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tables/table8.xml" ContentType="application/vnd.openxmlformats-officedocument.spreadsheetml.table+xml"/>
  <Override PartName="/xl/pivotTables/pivotTable1.xml" ContentType="application/vnd.openxmlformats-officedocument.spreadsheetml.pivotTable+xml"/>
  <Override PartName="/xl/drawings/drawing8.xml" ContentType="application/vnd.openxmlformats-officedocument.drawing+xml"/>
  <Override PartName="/xl/tables/table9.xml" ContentType="application/vnd.openxmlformats-officedocument.spreadsheetml.table+xml"/>
  <Override PartName="/xl/slicers/slicer8.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showInkAnnotation="0" codeName="ThisWorkbook" hidePivotFieldList="1"/>
  <mc:AlternateContent xmlns:mc="http://schemas.openxmlformats.org/markup-compatibility/2006">
    <mc:Choice Requires="x15">
      <x15ac:absPath xmlns:x15ac="http://schemas.microsoft.com/office/spreadsheetml/2010/11/ac" url="\\TKSERVER\Configuration\Quotation\Chai\2026\QC026-26 SHELL TUN JUGAH\"/>
    </mc:Choice>
  </mc:AlternateContent>
  <xr:revisionPtr revIDLastSave="0" documentId="13_ncr:1_{19F22A03-CF76-4A57-8D24-445819B70E4A}" xr6:coauthVersionLast="47" xr6:coauthVersionMax="47" xr10:uidLastSave="{00000000-0000-0000-0000-000000000000}"/>
  <bookViews>
    <workbookView xWindow="-120" yWindow="-120" windowWidth="29040" windowHeight="15840" tabRatio="668" xr2:uid="{00000000-000D-0000-FFFF-FFFF00000000}"/>
  </bookViews>
  <sheets>
    <sheet name="SUMMARY" sheetId="5" r:id="rId1"/>
    <sheet name="1" sheetId="722" r:id="rId2"/>
    <sheet name="2" sheetId="726" r:id="rId3"/>
    <sheet name="3" sheetId="727" r:id="rId4"/>
    <sheet name="4" sheetId="728" r:id="rId5"/>
    <sheet name="5" sheetId="729" r:id="rId6"/>
    <sheet name="6" sheetId="730" r:id="rId7"/>
    <sheet name="DB Components" sheetId="311" r:id="rId8"/>
    <sheet name="DBs" sheetId="482" r:id="rId9"/>
    <sheet name="Unit Price" sheetId="479" r:id="rId10"/>
    <sheet name="Discount Structure" sheetId="481" r:id="rId11"/>
    <sheet name="Form" sheetId="278" r:id="rId12"/>
    <sheet name="Detail" sheetId="35" r:id="rId13"/>
  </sheets>
  <definedNames>
    <definedName name="_xleta.UPPER" hidden="1" xlm="1">#NAME?</definedName>
    <definedName name="Slicer_Family">#N/A</definedName>
    <definedName name="Slicer_MAKER">#N/A</definedName>
    <definedName name="Slicer_Maker111411122213121111112">#N/A</definedName>
    <definedName name="Slicer_Maker1114111222131211111121">#N/A</definedName>
    <definedName name="Slicer_Maker11141112221312111111211">#N/A</definedName>
    <definedName name="Slicer_Maker111411122213121111112111">#N/A</definedName>
    <definedName name="Slicer_Maker1114111222131211111121111">#N/A</definedName>
    <definedName name="Slicer_Maker11141112221312111111211111">#N/A</definedName>
    <definedName name="Slicer_Series">#N/A</definedName>
    <definedName name="Slicer_TK_TKM">#N/A</definedName>
  </definedNames>
  <calcPr calcId="191029"/>
  <pivotCaches>
    <pivotCache cacheId="3" r:id="rId14"/>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4:slicerCache r:id="rId19"/>
        <x14:slicerCache r:id="rId20"/>
        <x14:slicerCache r:id="rId21"/>
        <x14:slicerCache r:id="rId22"/>
        <x14:slicerCache r:id="rId23"/>
        <x14:slicerCache r:id="rId2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1" i="5" l="1"/>
  <c r="T12" i="5"/>
  <c r="O1001" i="730"/>
  <c r="N1001" i="730"/>
  <c r="M1001" i="730"/>
  <c r="L1001" i="730"/>
  <c r="K1001" i="730"/>
  <c r="J1001" i="730"/>
  <c r="I1001" i="730"/>
  <c r="H1001" i="730"/>
  <c r="G1001" i="730"/>
  <c r="O1000" i="730"/>
  <c r="N1000" i="730"/>
  <c r="M1000" i="730"/>
  <c r="L1000" i="730"/>
  <c r="K1000" i="730"/>
  <c r="J1000" i="730"/>
  <c r="I1000" i="730"/>
  <c r="H1000" i="730"/>
  <c r="G1000" i="730"/>
  <c r="O999" i="730"/>
  <c r="N999" i="730"/>
  <c r="M999" i="730"/>
  <c r="L999" i="730"/>
  <c r="K999" i="730"/>
  <c r="J999" i="730"/>
  <c r="I999" i="730"/>
  <c r="H999" i="730"/>
  <c r="G999" i="730"/>
  <c r="O998" i="730"/>
  <c r="N998" i="730"/>
  <c r="M998" i="730"/>
  <c r="L998" i="730"/>
  <c r="K998" i="730"/>
  <c r="J998" i="730"/>
  <c r="I998" i="730"/>
  <c r="H998" i="730"/>
  <c r="G998" i="730"/>
  <c r="O997" i="730"/>
  <c r="N997" i="730"/>
  <c r="M997" i="730"/>
  <c r="L997" i="730"/>
  <c r="K997" i="730"/>
  <c r="J997" i="730"/>
  <c r="I997" i="730"/>
  <c r="H997" i="730"/>
  <c r="G997" i="730"/>
  <c r="O996" i="730"/>
  <c r="N996" i="730"/>
  <c r="M996" i="730"/>
  <c r="L996" i="730"/>
  <c r="K996" i="730"/>
  <c r="J996" i="730"/>
  <c r="I996" i="730"/>
  <c r="H996" i="730"/>
  <c r="G996" i="730"/>
  <c r="O995" i="730"/>
  <c r="N995" i="730"/>
  <c r="M995" i="730"/>
  <c r="L995" i="730"/>
  <c r="K995" i="730"/>
  <c r="J995" i="730"/>
  <c r="I995" i="730"/>
  <c r="H995" i="730"/>
  <c r="G995" i="730"/>
  <c r="O994" i="730"/>
  <c r="N994" i="730"/>
  <c r="M994" i="730"/>
  <c r="L994" i="730"/>
  <c r="K994" i="730"/>
  <c r="J994" i="730"/>
  <c r="I994" i="730"/>
  <c r="H994" i="730"/>
  <c r="G994" i="730"/>
  <c r="O993" i="730"/>
  <c r="N993" i="730"/>
  <c r="M993" i="730"/>
  <c r="L993" i="730"/>
  <c r="K993" i="730"/>
  <c r="J993" i="730"/>
  <c r="I993" i="730"/>
  <c r="H993" i="730"/>
  <c r="G993" i="730"/>
  <c r="O992" i="730"/>
  <c r="N992" i="730"/>
  <c r="M992" i="730"/>
  <c r="L992" i="730"/>
  <c r="K992" i="730"/>
  <c r="J992" i="730"/>
  <c r="I992" i="730"/>
  <c r="H992" i="730"/>
  <c r="G992" i="730"/>
  <c r="O991" i="730"/>
  <c r="N991" i="730"/>
  <c r="M991" i="730"/>
  <c r="L991" i="730"/>
  <c r="K991" i="730"/>
  <c r="J991" i="730"/>
  <c r="I991" i="730"/>
  <c r="H991" i="730"/>
  <c r="G991" i="730"/>
  <c r="O990" i="730"/>
  <c r="N990" i="730"/>
  <c r="M990" i="730"/>
  <c r="L990" i="730"/>
  <c r="K990" i="730"/>
  <c r="J990" i="730"/>
  <c r="I990" i="730"/>
  <c r="H990" i="730"/>
  <c r="G990" i="730"/>
  <c r="O989" i="730"/>
  <c r="N989" i="730"/>
  <c r="M989" i="730"/>
  <c r="L989" i="730"/>
  <c r="K989" i="730"/>
  <c r="J989" i="730"/>
  <c r="I989" i="730"/>
  <c r="H989" i="730"/>
  <c r="G989" i="730"/>
  <c r="O988" i="730"/>
  <c r="N988" i="730"/>
  <c r="M988" i="730"/>
  <c r="L988" i="730"/>
  <c r="K988" i="730"/>
  <c r="J988" i="730"/>
  <c r="I988" i="730"/>
  <c r="H988" i="730"/>
  <c r="G988" i="730"/>
  <c r="O987" i="730"/>
  <c r="N987" i="730"/>
  <c r="M987" i="730"/>
  <c r="L987" i="730"/>
  <c r="K987" i="730"/>
  <c r="J987" i="730"/>
  <c r="I987" i="730"/>
  <c r="H987" i="730"/>
  <c r="G987" i="730"/>
  <c r="O986" i="730"/>
  <c r="N986" i="730"/>
  <c r="M986" i="730"/>
  <c r="L986" i="730"/>
  <c r="K986" i="730"/>
  <c r="J986" i="730"/>
  <c r="I986" i="730"/>
  <c r="H986" i="730"/>
  <c r="G986" i="730"/>
  <c r="O985" i="730"/>
  <c r="N985" i="730"/>
  <c r="M985" i="730"/>
  <c r="L985" i="730"/>
  <c r="K985" i="730"/>
  <c r="J985" i="730"/>
  <c r="I985" i="730"/>
  <c r="H985" i="730"/>
  <c r="G985" i="730"/>
  <c r="O984" i="730"/>
  <c r="N984" i="730"/>
  <c r="M984" i="730"/>
  <c r="L984" i="730"/>
  <c r="K984" i="730"/>
  <c r="J984" i="730"/>
  <c r="I984" i="730"/>
  <c r="H984" i="730"/>
  <c r="G984" i="730"/>
  <c r="O983" i="730"/>
  <c r="N983" i="730"/>
  <c r="M983" i="730"/>
  <c r="L983" i="730"/>
  <c r="K983" i="730"/>
  <c r="J983" i="730"/>
  <c r="I983" i="730"/>
  <c r="H983" i="730"/>
  <c r="G983" i="730"/>
  <c r="O982" i="730"/>
  <c r="N982" i="730"/>
  <c r="M982" i="730"/>
  <c r="L982" i="730"/>
  <c r="K982" i="730"/>
  <c r="J982" i="730"/>
  <c r="I982" i="730"/>
  <c r="H982" i="730"/>
  <c r="G982" i="730"/>
  <c r="O981" i="730"/>
  <c r="N981" i="730"/>
  <c r="M981" i="730"/>
  <c r="L981" i="730"/>
  <c r="K981" i="730"/>
  <c r="J981" i="730"/>
  <c r="I981" i="730"/>
  <c r="H981" i="730"/>
  <c r="G981" i="730"/>
  <c r="O980" i="730"/>
  <c r="N980" i="730"/>
  <c r="M980" i="730"/>
  <c r="L980" i="730"/>
  <c r="K980" i="730"/>
  <c r="J980" i="730"/>
  <c r="I980" i="730"/>
  <c r="H980" i="730"/>
  <c r="G980" i="730"/>
  <c r="O979" i="730"/>
  <c r="N979" i="730"/>
  <c r="M979" i="730"/>
  <c r="L979" i="730"/>
  <c r="K979" i="730"/>
  <c r="J979" i="730"/>
  <c r="I979" i="730"/>
  <c r="H979" i="730"/>
  <c r="G979" i="730"/>
  <c r="O978" i="730"/>
  <c r="N978" i="730"/>
  <c r="M978" i="730"/>
  <c r="L978" i="730"/>
  <c r="K978" i="730"/>
  <c r="J978" i="730"/>
  <c r="I978" i="730"/>
  <c r="H978" i="730"/>
  <c r="G978" i="730"/>
  <c r="O977" i="730"/>
  <c r="N977" i="730"/>
  <c r="M977" i="730"/>
  <c r="L977" i="730"/>
  <c r="K977" i="730"/>
  <c r="J977" i="730"/>
  <c r="I977" i="730"/>
  <c r="H977" i="730"/>
  <c r="G977" i="730"/>
  <c r="O976" i="730"/>
  <c r="N976" i="730"/>
  <c r="M976" i="730"/>
  <c r="L976" i="730"/>
  <c r="K976" i="730"/>
  <c r="J976" i="730"/>
  <c r="I976" i="730"/>
  <c r="H976" i="730"/>
  <c r="G976" i="730"/>
  <c r="O975" i="730"/>
  <c r="N975" i="730"/>
  <c r="M975" i="730"/>
  <c r="L975" i="730"/>
  <c r="K975" i="730"/>
  <c r="J975" i="730"/>
  <c r="I975" i="730"/>
  <c r="H975" i="730"/>
  <c r="G975" i="730"/>
  <c r="O974" i="730"/>
  <c r="N974" i="730"/>
  <c r="M974" i="730"/>
  <c r="L974" i="730"/>
  <c r="K974" i="730"/>
  <c r="J974" i="730"/>
  <c r="I974" i="730"/>
  <c r="H974" i="730"/>
  <c r="G974" i="730"/>
  <c r="O973" i="730"/>
  <c r="N973" i="730"/>
  <c r="M973" i="730"/>
  <c r="L973" i="730"/>
  <c r="K973" i="730"/>
  <c r="J973" i="730"/>
  <c r="I973" i="730"/>
  <c r="H973" i="730"/>
  <c r="G973" i="730"/>
  <c r="O972" i="730"/>
  <c r="N972" i="730"/>
  <c r="M972" i="730"/>
  <c r="L972" i="730"/>
  <c r="K972" i="730"/>
  <c r="J972" i="730"/>
  <c r="I972" i="730"/>
  <c r="H972" i="730"/>
  <c r="G972" i="730"/>
  <c r="O971" i="730"/>
  <c r="N971" i="730"/>
  <c r="M971" i="730"/>
  <c r="L971" i="730"/>
  <c r="K971" i="730"/>
  <c r="J971" i="730"/>
  <c r="I971" i="730"/>
  <c r="H971" i="730"/>
  <c r="G971" i="730"/>
  <c r="O970" i="730"/>
  <c r="N970" i="730"/>
  <c r="M970" i="730"/>
  <c r="L970" i="730"/>
  <c r="K970" i="730"/>
  <c r="J970" i="730"/>
  <c r="I970" i="730"/>
  <c r="H970" i="730"/>
  <c r="G970" i="730"/>
  <c r="O969" i="730"/>
  <c r="N969" i="730"/>
  <c r="M969" i="730"/>
  <c r="L969" i="730"/>
  <c r="K969" i="730"/>
  <c r="J969" i="730"/>
  <c r="I969" i="730"/>
  <c r="H969" i="730"/>
  <c r="G969" i="730"/>
  <c r="O968" i="730"/>
  <c r="N968" i="730"/>
  <c r="M968" i="730"/>
  <c r="L968" i="730"/>
  <c r="K968" i="730"/>
  <c r="J968" i="730"/>
  <c r="I968" i="730"/>
  <c r="H968" i="730"/>
  <c r="G968" i="730"/>
  <c r="O967" i="730"/>
  <c r="N967" i="730"/>
  <c r="M967" i="730"/>
  <c r="L967" i="730"/>
  <c r="K967" i="730"/>
  <c r="J967" i="730"/>
  <c r="I967" i="730"/>
  <c r="H967" i="730"/>
  <c r="G967" i="730"/>
  <c r="O966" i="730"/>
  <c r="N966" i="730"/>
  <c r="M966" i="730"/>
  <c r="L966" i="730"/>
  <c r="K966" i="730"/>
  <c r="J966" i="730"/>
  <c r="I966" i="730"/>
  <c r="H966" i="730"/>
  <c r="G966" i="730"/>
  <c r="O965" i="730"/>
  <c r="N965" i="730"/>
  <c r="M965" i="730"/>
  <c r="L965" i="730"/>
  <c r="K965" i="730"/>
  <c r="J965" i="730"/>
  <c r="I965" i="730"/>
  <c r="H965" i="730"/>
  <c r="G965" i="730"/>
  <c r="O964" i="730"/>
  <c r="N964" i="730"/>
  <c r="M964" i="730"/>
  <c r="L964" i="730"/>
  <c r="K964" i="730"/>
  <c r="J964" i="730"/>
  <c r="I964" i="730"/>
  <c r="H964" i="730"/>
  <c r="G964" i="730"/>
  <c r="O963" i="730"/>
  <c r="N963" i="730"/>
  <c r="M963" i="730"/>
  <c r="L963" i="730"/>
  <c r="K963" i="730"/>
  <c r="J963" i="730"/>
  <c r="I963" i="730"/>
  <c r="H963" i="730"/>
  <c r="G963" i="730"/>
  <c r="O962" i="730"/>
  <c r="N962" i="730"/>
  <c r="M962" i="730"/>
  <c r="L962" i="730"/>
  <c r="K962" i="730"/>
  <c r="J962" i="730"/>
  <c r="I962" i="730"/>
  <c r="H962" i="730"/>
  <c r="G962" i="730"/>
  <c r="O961" i="730"/>
  <c r="N961" i="730"/>
  <c r="M961" i="730"/>
  <c r="L961" i="730"/>
  <c r="K961" i="730"/>
  <c r="J961" i="730"/>
  <c r="I961" i="730"/>
  <c r="H961" i="730"/>
  <c r="G961" i="730"/>
  <c r="O960" i="730"/>
  <c r="N960" i="730"/>
  <c r="M960" i="730"/>
  <c r="L960" i="730"/>
  <c r="K960" i="730"/>
  <c r="J960" i="730"/>
  <c r="I960" i="730"/>
  <c r="H960" i="730"/>
  <c r="G960" i="730"/>
  <c r="O959" i="730"/>
  <c r="N959" i="730"/>
  <c r="M959" i="730"/>
  <c r="L959" i="730"/>
  <c r="K959" i="730"/>
  <c r="J959" i="730"/>
  <c r="I959" i="730"/>
  <c r="H959" i="730"/>
  <c r="G959" i="730"/>
  <c r="O958" i="730"/>
  <c r="N958" i="730"/>
  <c r="M958" i="730"/>
  <c r="L958" i="730"/>
  <c r="K958" i="730"/>
  <c r="J958" i="730"/>
  <c r="I958" i="730"/>
  <c r="H958" i="730"/>
  <c r="G958" i="730"/>
  <c r="O957" i="730"/>
  <c r="N957" i="730"/>
  <c r="M957" i="730"/>
  <c r="L957" i="730"/>
  <c r="K957" i="730"/>
  <c r="J957" i="730"/>
  <c r="I957" i="730"/>
  <c r="H957" i="730"/>
  <c r="G957" i="730"/>
  <c r="O956" i="730"/>
  <c r="N956" i="730"/>
  <c r="M956" i="730"/>
  <c r="L956" i="730"/>
  <c r="K956" i="730"/>
  <c r="J956" i="730"/>
  <c r="I956" i="730"/>
  <c r="H956" i="730"/>
  <c r="G956" i="730"/>
  <c r="O955" i="730"/>
  <c r="N955" i="730"/>
  <c r="M955" i="730"/>
  <c r="L955" i="730"/>
  <c r="K955" i="730"/>
  <c r="J955" i="730"/>
  <c r="I955" i="730"/>
  <c r="H955" i="730"/>
  <c r="G955" i="730"/>
  <c r="O954" i="730"/>
  <c r="N954" i="730"/>
  <c r="M954" i="730"/>
  <c r="L954" i="730"/>
  <c r="K954" i="730"/>
  <c r="J954" i="730"/>
  <c r="I954" i="730"/>
  <c r="H954" i="730"/>
  <c r="G954" i="730"/>
  <c r="O953" i="730"/>
  <c r="N953" i="730"/>
  <c r="M953" i="730"/>
  <c r="L953" i="730"/>
  <c r="K953" i="730"/>
  <c r="J953" i="730"/>
  <c r="I953" i="730"/>
  <c r="H953" i="730"/>
  <c r="G953" i="730"/>
  <c r="O952" i="730"/>
  <c r="N952" i="730"/>
  <c r="M952" i="730"/>
  <c r="L952" i="730"/>
  <c r="K952" i="730"/>
  <c r="J952" i="730"/>
  <c r="I952" i="730"/>
  <c r="H952" i="730"/>
  <c r="G952" i="730"/>
  <c r="O951" i="730"/>
  <c r="N951" i="730"/>
  <c r="M951" i="730"/>
  <c r="L951" i="730"/>
  <c r="K951" i="730"/>
  <c r="J951" i="730"/>
  <c r="I951" i="730"/>
  <c r="H951" i="730"/>
  <c r="G951" i="730"/>
  <c r="O950" i="730"/>
  <c r="N950" i="730"/>
  <c r="M950" i="730"/>
  <c r="L950" i="730"/>
  <c r="K950" i="730"/>
  <c r="J950" i="730"/>
  <c r="I950" i="730"/>
  <c r="H950" i="730"/>
  <c r="G950" i="730"/>
  <c r="O949" i="730"/>
  <c r="N949" i="730"/>
  <c r="M949" i="730"/>
  <c r="L949" i="730"/>
  <c r="K949" i="730"/>
  <c r="J949" i="730"/>
  <c r="I949" i="730"/>
  <c r="H949" i="730"/>
  <c r="G949" i="730"/>
  <c r="O948" i="730"/>
  <c r="N948" i="730"/>
  <c r="M948" i="730"/>
  <c r="L948" i="730"/>
  <c r="K948" i="730"/>
  <c r="J948" i="730"/>
  <c r="I948" i="730"/>
  <c r="H948" i="730"/>
  <c r="G948" i="730"/>
  <c r="O947" i="730"/>
  <c r="N947" i="730"/>
  <c r="M947" i="730"/>
  <c r="L947" i="730"/>
  <c r="K947" i="730"/>
  <c r="J947" i="730"/>
  <c r="I947" i="730"/>
  <c r="H947" i="730"/>
  <c r="G947" i="730"/>
  <c r="O946" i="730"/>
  <c r="N946" i="730"/>
  <c r="M946" i="730"/>
  <c r="L946" i="730"/>
  <c r="K946" i="730"/>
  <c r="J946" i="730"/>
  <c r="I946" i="730"/>
  <c r="H946" i="730"/>
  <c r="G946" i="730"/>
  <c r="O945" i="730"/>
  <c r="N945" i="730"/>
  <c r="M945" i="730"/>
  <c r="L945" i="730"/>
  <c r="K945" i="730"/>
  <c r="J945" i="730"/>
  <c r="I945" i="730"/>
  <c r="H945" i="730"/>
  <c r="G945" i="730"/>
  <c r="O944" i="730"/>
  <c r="N944" i="730"/>
  <c r="M944" i="730"/>
  <c r="L944" i="730"/>
  <c r="K944" i="730"/>
  <c r="J944" i="730"/>
  <c r="I944" i="730"/>
  <c r="H944" i="730"/>
  <c r="G944" i="730"/>
  <c r="O943" i="730"/>
  <c r="N943" i="730"/>
  <c r="M943" i="730"/>
  <c r="L943" i="730"/>
  <c r="K943" i="730"/>
  <c r="J943" i="730"/>
  <c r="I943" i="730"/>
  <c r="H943" i="730"/>
  <c r="G943" i="730"/>
  <c r="O942" i="730"/>
  <c r="N942" i="730"/>
  <c r="M942" i="730"/>
  <c r="L942" i="730"/>
  <c r="K942" i="730"/>
  <c r="J942" i="730"/>
  <c r="I942" i="730"/>
  <c r="H942" i="730"/>
  <c r="G942" i="730"/>
  <c r="O941" i="730"/>
  <c r="N941" i="730"/>
  <c r="M941" i="730"/>
  <c r="L941" i="730"/>
  <c r="K941" i="730"/>
  <c r="J941" i="730"/>
  <c r="I941" i="730"/>
  <c r="H941" i="730"/>
  <c r="G941" i="730"/>
  <c r="O940" i="730"/>
  <c r="N940" i="730"/>
  <c r="M940" i="730"/>
  <c r="L940" i="730"/>
  <c r="K940" i="730"/>
  <c r="J940" i="730"/>
  <c r="I940" i="730"/>
  <c r="H940" i="730"/>
  <c r="G940" i="730"/>
  <c r="O939" i="730"/>
  <c r="N939" i="730"/>
  <c r="M939" i="730"/>
  <c r="L939" i="730"/>
  <c r="K939" i="730"/>
  <c r="J939" i="730"/>
  <c r="I939" i="730"/>
  <c r="H939" i="730"/>
  <c r="G939" i="730"/>
  <c r="O938" i="730"/>
  <c r="N938" i="730"/>
  <c r="M938" i="730"/>
  <c r="L938" i="730"/>
  <c r="K938" i="730"/>
  <c r="J938" i="730"/>
  <c r="I938" i="730"/>
  <c r="H938" i="730"/>
  <c r="G938" i="730"/>
  <c r="O937" i="730"/>
  <c r="N937" i="730"/>
  <c r="M937" i="730"/>
  <c r="L937" i="730"/>
  <c r="K937" i="730"/>
  <c r="J937" i="730"/>
  <c r="I937" i="730"/>
  <c r="H937" i="730"/>
  <c r="G937" i="730"/>
  <c r="O936" i="730"/>
  <c r="N936" i="730"/>
  <c r="M936" i="730"/>
  <c r="L936" i="730"/>
  <c r="K936" i="730"/>
  <c r="J936" i="730"/>
  <c r="I936" i="730"/>
  <c r="H936" i="730"/>
  <c r="G936" i="730"/>
  <c r="O935" i="730"/>
  <c r="N935" i="730"/>
  <c r="M935" i="730"/>
  <c r="L935" i="730"/>
  <c r="K935" i="730"/>
  <c r="J935" i="730"/>
  <c r="I935" i="730"/>
  <c r="H935" i="730"/>
  <c r="G935" i="730"/>
  <c r="O934" i="730"/>
  <c r="N934" i="730"/>
  <c r="M934" i="730"/>
  <c r="L934" i="730"/>
  <c r="K934" i="730"/>
  <c r="J934" i="730"/>
  <c r="I934" i="730"/>
  <c r="H934" i="730"/>
  <c r="G934" i="730"/>
  <c r="O933" i="730"/>
  <c r="N933" i="730"/>
  <c r="M933" i="730"/>
  <c r="L933" i="730"/>
  <c r="K933" i="730"/>
  <c r="J933" i="730"/>
  <c r="I933" i="730"/>
  <c r="H933" i="730"/>
  <c r="G933" i="730"/>
  <c r="O932" i="730"/>
  <c r="N932" i="730"/>
  <c r="M932" i="730"/>
  <c r="L932" i="730"/>
  <c r="K932" i="730"/>
  <c r="J932" i="730"/>
  <c r="I932" i="730"/>
  <c r="H932" i="730"/>
  <c r="G932" i="730"/>
  <c r="O931" i="730"/>
  <c r="N931" i="730"/>
  <c r="M931" i="730"/>
  <c r="L931" i="730"/>
  <c r="K931" i="730"/>
  <c r="J931" i="730"/>
  <c r="I931" i="730"/>
  <c r="H931" i="730"/>
  <c r="G931" i="730"/>
  <c r="O930" i="730"/>
  <c r="N930" i="730"/>
  <c r="M930" i="730"/>
  <c r="L930" i="730"/>
  <c r="K930" i="730"/>
  <c r="J930" i="730"/>
  <c r="I930" i="730"/>
  <c r="H930" i="730"/>
  <c r="G930" i="730"/>
  <c r="O929" i="730"/>
  <c r="N929" i="730"/>
  <c r="M929" i="730"/>
  <c r="L929" i="730"/>
  <c r="K929" i="730"/>
  <c r="J929" i="730"/>
  <c r="I929" i="730"/>
  <c r="H929" i="730"/>
  <c r="G929" i="730"/>
  <c r="O928" i="730"/>
  <c r="N928" i="730"/>
  <c r="M928" i="730"/>
  <c r="L928" i="730"/>
  <c r="K928" i="730"/>
  <c r="J928" i="730"/>
  <c r="I928" i="730"/>
  <c r="H928" i="730"/>
  <c r="G928" i="730"/>
  <c r="O927" i="730"/>
  <c r="N927" i="730"/>
  <c r="M927" i="730"/>
  <c r="L927" i="730"/>
  <c r="K927" i="730"/>
  <c r="J927" i="730"/>
  <c r="I927" i="730"/>
  <c r="H927" i="730"/>
  <c r="G927" i="730"/>
  <c r="O926" i="730"/>
  <c r="N926" i="730"/>
  <c r="M926" i="730"/>
  <c r="L926" i="730"/>
  <c r="K926" i="730"/>
  <c r="J926" i="730"/>
  <c r="I926" i="730"/>
  <c r="H926" i="730"/>
  <c r="G926" i="730"/>
  <c r="O925" i="730"/>
  <c r="N925" i="730"/>
  <c r="M925" i="730"/>
  <c r="L925" i="730"/>
  <c r="K925" i="730"/>
  <c r="J925" i="730"/>
  <c r="I925" i="730"/>
  <c r="H925" i="730"/>
  <c r="G925" i="730"/>
  <c r="O924" i="730"/>
  <c r="N924" i="730"/>
  <c r="M924" i="730"/>
  <c r="L924" i="730"/>
  <c r="K924" i="730"/>
  <c r="J924" i="730"/>
  <c r="I924" i="730"/>
  <c r="H924" i="730"/>
  <c r="G924" i="730"/>
  <c r="O923" i="730"/>
  <c r="N923" i="730"/>
  <c r="M923" i="730"/>
  <c r="L923" i="730"/>
  <c r="K923" i="730"/>
  <c r="J923" i="730"/>
  <c r="I923" i="730"/>
  <c r="H923" i="730"/>
  <c r="G923" i="730"/>
  <c r="O922" i="730"/>
  <c r="N922" i="730"/>
  <c r="M922" i="730"/>
  <c r="L922" i="730"/>
  <c r="K922" i="730"/>
  <c r="J922" i="730"/>
  <c r="I922" i="730"/>
  <c r="H922" i="730"/>
  <c r="G922" i="730"/>
  <c r="O921" i="730"/>
  <c r="N921" i="730"/>
  <c r="M921" i="730"/>
  <c r="L921" i="730"/>
  <c r="K921" i="730"/>
  <c r="J921" i="730"/>
  <c r="I921" i="730"/>
  <c r="H921" i="730"/>
  <c r="G921" i="730"/>
  <c r="O920" i="730"/>
  <c r="N920" i="730"/>
  <c r="M920" i="730"/>
  <c r="L920" i="730"/>
  <c r="K920" i="730"/>
  <c r="J920" i="730"/>
  <c r="I920" i="730"/>
  <c r="H920" i="730"/>
  <c r="G920" i="730"/>
  <c r="O919" i="730"/>
  <c r="N919" i="730"/>
  <c r="M919" i="730"/>
  <c r="L919" i="730"/>
  <c r="K919" i="730"/>
  <c r="J919" i="730"/>
  <c r="I919" i="730"/>
  <c r="H919" i="730"/>
  <c r="G919" i="730"/>
  <c r="O918" i="730"/>
  <c r="N918" i="730"/>
  <c r="M918" i="730"/>
  <c r="L918" i="730"/>
  <c r="K918" i="730"/>
  <c r="J918" i="730"/>
  <c r="I918" i="730"/>
  <c r="H918" i="730"/>
  <c r="G918" i="730"/>
  <c r="O917" i="730"/>
  <c r="N917" i="730"/>
  <c r="M917" i="730"/>
  <c r="L917" i="730"/>
  <c r="K917" i="730"/>
  <c r="J917" i="730"/>
  <c r="I917" i="730"/>
  <c r="H917" i="730"/>
  <c r="G917" i="730"/>
  <c r="O916" i="730"/>
  <c r="N916" i="730"/>
  <c r="M916" i="730"/>
  <c r="L916" i="730"/>
  <c r="K916" i="730"/>
  <c r="J916" i="730"/>
  <c r="I916" i="730"/>
  <c r="H916" i="730"/>
  <c r="G916" i="730"/>
  <c r="O915" i="730"/>
  <c r="N915" i="730"/>
  <c r="M915" i="730"/>
  <c r="L915" i="730"/>
  <c r="K915" i="730"/>
  <c r="J915" i="730"/>
  <c r="I915" i="730"/>
  <c r="H915" i="730"/>
  <c r="G915" i="730"/>
  <c r="O914" i="730"/>
  <c r="N914" i="730"/>
  <c r="M914" i="730"/>
  <c r="L914" i="730"/>
  <c r="K914" i="730"/>
  <c r="J914" i="730"/>
  <c r="I914" i="730"/>
  <c r="H914" i="730"/>
  <c r="G914" i="730"/>
  <c r="O913" i="730"/>
  <c r="N913" i="730"/>
  <c r="M913" i="730"/>
  <c r="L913" i="730"/>
  <c r="K913" i="730"/>
  <c r="J913" i="730"/>
  <c r="I913" i="730"/>
  <c r="H913" i="730"/>
  <c r="G913" i="730"/>
  <c r="N912" i="730"/>
  <c r="O912" i="730" s="1"/>
  <c r="M912" i="730"/>
  <c r="L912" i="730"/>
  <c r="K912" i="730"/>
  <c r="J912" i="730"/>
  <c r="I912" i="730"/>
  <c r="H912" i="730"/>
  <c r="G912" i="730"/>
  <c r="O911" i="730"/>
  <c r="N911" i="730"/>
  <c r="M911" i="730"/>
  <c r="K911" i="730"/>
  <c r="L911" i="730" s="1"/>
  <c r="J911" i="730"/>
  <c r="I911" i="730"/>
  <c r="H911" i="730"/>
  <c r="G911" i="730"/>
  <c r="O910" i="730"/>
  <c r="N910" i="730"/>
  <c r="M910" i="730"/>
  <c r="L910" i="730"/>
  <c r="K910" i="730"/>
  <c r="J910" i="730"/>
  <c r="I910" i="730"/>
  <c r="H910" i="730"/>
  <c r="G910" i="730"/>
  <c r="O909" i="730"/>
  <c r="N909" i="730"/>
  <c r="M909" i="730"/>
  <c r="L909" i="730"/>
  <c r="K909" i="730"/>
  <c r="J909" i="730"/>
  <c r="I909" i="730"/>
  <c r="H909" i="730"/>
  <c r="G909" i="730"/>
  <c r="N908" i="730"/>
  <c r="O908" i="730" s="1"/>
  <c r="M908" i="730"/>
  <c r="L908" i="730"/>
  <c r="K908" i="730"/>
  <c r="J908" i="730"/>
  <c r="I908" i="730"/>
  <c r="H908" i="730"/>
  <c r="G908" i="730"/>
  <c r="O907" i="730"/>
  <c r="N907" i="730"/>
  <c r="M907" i="730"/>
  <c r="K907" i="730"/>
  <c r="L907" i="730" s="1"/>
  <c r="J907" i="730"/>
  <c r="I907" i="730"/>
  <c r="H907" i="730"/>
  <c r="G907" i="730"/>
  <c r="O906" i="730"/>
  <c r="N906" i="730"/>
  <c r="M906" i="730"/>
  <c r="L906" i="730"/>
  <c r="K906" i="730"/>
  <c r="J906" i="730"/>
  <c r="I906" i="730"/>
  <c r="H906" i="730"/>
  <c r="G906" i="730"/>
  <c r="O905" i="730"/>
  <c r="N905" i="730"/>
  <c r="M905" i="730"/>
  <c r="L905" i="730"/>
  <c r="K905" i="730"/>
  <c r="J905" i="730"/>
  <c r="I905" i="730"/>
  <c r="H905" i="730"/>
  <c r="G905" i="730"/>
  <c r="N904" i="730"/>
  <c r="O904" i="730" s="1"/>
  <c r="M904" i="730"/>
  <c r="L904" i="730"/>
  <c r="K904" i="730"/>
  <c r="J904" i="730"/>
  <c r="I904" i="730"/>
  <c r="H904" i="730"/>
  <c r="G904" i="730"/>
  <c r="O903" i="730"/>
  <c r="N903" i="730"/>
  <c r="M903" i="730"/>
  <c r="K903" i="730"/>
  <c r="L903" i="730" s="1"/>
  <c r="J903" i="730"/>
  <c r="I903" i="730"/>
  <c r="H903" i="730"/>
  <c r="G903" i="730"/>
  <c r="O902" i="730"/>
  <c r="N902" i="730"/>
  <c r="M902" i="730"/>
  <c r="L902" i="730"/>
  <c r="K902" i="730"/>
  <c r="J902" i="730"/>
  <c r="I902" i="730"/>
  <c r="H902" i="730"/>
  <c r="G902" i="730"/>
  <c r="O901" i="730"/>
  <c r="N901" i="730"/>
  <c r="M901" i="730"/>
  <c r="L901" i="730"/>
  <c r="K901" i="730"/>
  <c r="J901" i="730"/>
  <c r="I901" i="730"/>
  <c r="H901" i="730"/>
  <c r="G901" i="730"/>
  <c r="N900" i="730"/>
  <c r="O900" i="730" s="1"/>
  <c r="M900" i="730"/>
  <c r="L900" i="730"/>
  <c r="K900" i="730"/>
  <c r="J900" i="730"/>
  <c r="I900" i="730"/>
  <c r="H900" i="730"/>
  <c r="G900" i="730"/>
  <c r="O899" i="730"/>
  <c r="N899" i="730"/>
  <c r="M899" i="730"/>
  <c r="K899" i="730"/>
  <c r="L899" i="730" s="1"/>
  <c r="J899" i="730"/>
  <c r="I899" i="730"/>
  <c r="H899" i="730"/>
  <c r="G899" i="730"/>
  <c r="O898" i="730"/>
  <c r="N898" i="730"/>
  <c r="M898" i="730"/>
  <c r="L898" i="730"/>
  <c r="K898" i="730"/>
  <c r="J898" i="730"/>
  <c r="I898" i="730"/>
  <c r="H898" i="730"/>
  <c r="G898" i="730"/>
  <c r="N897" i="730"/>
  <c r="O897" i="730" s="1"/>
  <c r="M897" i="730"/>
  <c r="L897" i="730"/>
  <c r="K897" i="730"/>
  <c r="J897" i="730"/>
  <c r="I897" i="730"/>
  <c r="H897" i="730"/>
  <c r="G897" i="730"/>
  <c r="N896" i="730"/>
  <c r="O896" i="730" s="1"/>
  <c r="M896" i="730"/>
  <c r="L896" i="730"/>
  <c r="K896" i="730"/>
  <c r="J896" i="730"/>
  <c r="I896" i="730"/>
  <c r="H896" i="730"/>
  <c r="G896" i="730"/>
  <c r="O895" i="730"/>
  <c r="N895" i="730"/>
  <c r="M895" i="730"/>
  <c r="K895" i="730"/>
  <c r="L895" i="730" s="1"/>
  <c r="J895" i="730"/>
  <c r="I895" i="730"/>
  <c r="H895" i="730"/>
  <c r="G895" i="730"/>
  <c r="O894" i="730"/>
  <c r="N894" i="730"/>
  <c r="M894" i="730"/>
  <c r="L894" i="730"/>
  <c r="K894" i="730"/>
  <c r="J894" i="730"/>
  <c r="I894" i="730"/>
  <c r="H894" i="730"/>
  <c r="G894" i="730"/>
  <c r="O893" i="730"/>
  <c r="N893" i="730"/>
  <c r="M893" i="730"/>
  <c r="L893" i="730"/>
  <c r="K893" i="730"/>
  <c r="J893" i="730"/>
  <c r="I893" i="730"/>
  <c r="H893" i="730"/>
  <c r="G893" i="730"/>
  <c r="N892" i="730"/>
  <c r="O892" i="730" s="1"/>
  <c r="M892" i="730"/>
  <c r="L892" i="730"/>
  <c r="K892" i="730"/>
  <c r="J892" i="730"/>
  <c r="I892" i="730"/>
  <c r="H892" i="730"/>
  <c r="G892" i="730"/>
  <c r="O891" i="730"/>
  <c r="N891" i="730"/>
  <c r="M891" i="730"/>
  <c r="K891" i="730"/>
  <c r="L891" i="730" s="1"/>
  <c r="J891" i="730"/>
  <c r="I891" i="730"/>
  <c r="H891" i="730"/>
  <c r="G891" i="730"/>
  <c r="O890" i="730"/>
  <c r="N890" i="730"/>
  <c r="M890" i="730"/>
  <c r="K890" i="730"/>
  <c r="L890" i="730" s="1"/>
  <c r="J890" i="730"/>
  <c r="I890" i="730"/>
  <c r="H890" i="730"/>
  <c r="G890" i="730"/>
  <c r="O889" i="730"/>
  <c r="N889" i="730"/>
  <c r="M889" i="730"/>
  <c r="L889" i="730"/>
  <c r="K889" i="730"/>
  <c r="J889" i="730"/>
  <c r="I889" i="730"/>
  <c r="H889" i="730"/>
  <c r="G889" i="730"/>
  <c r="N888" i="730"/>
  <c r="O888" i="730" s="1"/>
  <c r="M888" i="730"/>
  <c r="K888" i="730"/>
  <c r="L888" i="730" s="1"/>
  <c r="J888" i="730"/>
  <c r="I888" i="730"/>
  <c r="H888" i="730"/>
  <c r="G888" i="730"/>
  <c r="O887" i="730"/>
  <c r="N887" i="730"/>
  <c r="M887" i="730"/>
  <c r="K887" i="730"/>
  <c r="L887" i="730" s="1"/>
  <c r="J887" i="730"/>
  <c r="I887" i="730"/>
  <c r="H887" i="730"/>
  <c r="G887" i="730"/>
  <c r="O886" i="730"/>
  <c r="N886" i="730"/>
  <c r="M886" i="730"/>
  <c r="L886" i="730"/>
  <c r="K886" i="730"/>
  <c r="J886" i="730"/>
  <c r="I886" i="730"/>
  <c r="H886" i="730"/>
  <c r="G886" i="730"/>
  <c r="N885" i="730"/>
  <c r="O885" i="730" s="1"/>
  <c r="M885" i="730"/>
  <c r="L885" i="730"/>
  <c r="K885" i="730"/>
  <c r="J885" i="730"/>
  <c r="I885" i="730"/>
  <c r="H885" i="730"/>
  <c r="G885" i="730"/>
  <c r="N884" i="730"/>
  <c r="O884" i="730" s="1"/>
  <c r="M884" i="730"/>
  <c r="K884" i="730"/>
  <c r="L884" i="730" s="1"/>
  <c r="J884" i="730"/>
  <c r="I884" i="730"/>
  <c r="H884" i="730"/>
  <c r="G884" i="730"/>
  <c r="O883" i="730"/>
  <c r="N883" i="730"/>
  <c r="M883" i="730"/>
  <c r="K883" i="730"/>
  <c r="J883" i="730"/>
  <c r="L883" i="730" s="1"/>
  <c r="I883" i="730"/>
  <c r="H883" i="730"/>
  <c r="G883" i="730"/>
  <c r="O882" i="730"/>
  <c r="N882" i="730"/>
  <c r="M882" i="730"/>
  <c r="K882" i="730"/>
  <c r="L882" i="730" s="1"/>
  <c r="J882" i="730"/>
  <c r="I882" i="730"/>
  <c r="H882" i="730"/>
  <c r="G882" i="730"/>
  <c r="N881" i="730"/>
  <c r="O881" i="730" s="1"/>
  <c r="M881" i="730"/>
  <c r="L881" i="730"/>
  <c r="K881" i="730"/>
  <c r="J881" i="730"/>
  <c r="I881" i="730"/>
  <c r="H881" i="730"/>
  <c r="G881" i="730"/>
  <c r="N880" i="730"/>
  <c r="M880" i="730"/>
  <c r="O880" i="730" s="1"/>
  <c r="K880" i="730"/>
  <c r="L880" i="730" s="1"/>
  <c r="J880" i="730"/>
  <c r="I880" i="730"/>
  <c r="H880" i="730"/>
  <c r="G880" i="730"/>
  <c r="N879" i="730"/>
  <c r="O879" i="730" s="1"/>
  <c r="M879" i="730"/>
  <c r="K879" i="730"/>
  <c r="J879" i="730"/>
  <c r="L879" i="730" s="1"/>
  <c r="I879" i="730"/>
  <c r="H879" i="730"/>
  <c r="G879" i="730"/>
  <c r="O878" i="730"/>
  <c r="N878" i="730"/>
  <c r="M878" i="730"/>
  <c r="K878" i="730"/>
  <c r="L878" i="730" s="1"/>
  <c r="J878" i="730"/>
  <c r="I878" i="730"/>
  <c r="H878" i="730"/>
  <c r="G878" i="730"/>
  <c r="N877" i="730"/>
  <c r="O877" i="730" s="1"/>
  <c r="M877" i="730"/>
  <c r="L877" i="730"/>
  <c r="K877" i="730"/>
  <c r="J877" i="730"/>
  <c r="I877" i="730"/>
  <c r="H877" i="730"/>
  <c r="G877" i="730"/>
  <c r="N876" i="730"/>
  <c r="M876" i="730"/>
  <c r="O876" i="730" s="1"/>
  <c r="K876" i="730"/>
  <c r="L876" i="730" s="1"/>
  <c r="J876" i="730"/>
  <c r="I876" i="730"/>
  <c r="H876" i="730"/>
  <c r="G876" i="730"/>
  <c r="N875" i="730"/>
  <c r="O875" i="730" s="1"/>
  <c r="M875" i="730"/>
  <c r="K875" i="730"/>
  <c r="J875" i="730"/>
  <c r="L875" i="730" s="1"/>
  <c r="I875" i="730"/>
  <c r="H875" i="730"/>
  <c r="G875" i="730"/>
  <c r="O874" i="730"/>
  <c r="N874" i="730"/>
  <c r="M874" i="730"/>
  <c r="K874" i="730"/>
  <c r="L874" i="730" s="1"/>
  <c r="J874" i="730"/>
  <c r="I874" i="730"/>
  <c r="H874" i="730"/>
  <c r="G874" i="730"/>
  <c r="N873" i="730"/>
  <c r="O873" i="730" s="1"/>
  <c r="M873" i="730"/>
  <c r="K873" i="730"/>
  <c r="L873" i="730" s="1"/>
  <c r="J873" i="730"/>
  <c r="I873" i="730"/>
  <c r="H873" i="730"/>
  <c r="G873" i="730"/>
  <c r="N872" i="730"/>
  <c r="M872" i="730"/>
  <c r="K872" i="730"/>
  <c r="L872" i="730" s="1"/>
  <c r="J872" i="730"/>
  <c r="I872" i="730"/>
  <c r="H872" i="730"/>
  <c r="G872" i="730"/>
  <c r="N871" i="730"/>
  <c r="O871" i="730" s="1"/>
  <c r="M871" i="730"/>
  <c r="K871" i="730"/>
  <c r="J871" i="730"/>
  <c r="I871" i="730"/>
  <c r="H871" i="730"/>
  <c r="G871" i="730"/>
  <c r="O870" i="730"/>
  <c r="N870" i="730"/>
  <c r="M870" i="730"/>
  <c r="K870" i="730"/>
  <c r="L870" i="730" s="1"/>
  <c r="J870" i="730"/>
  <c r="I870" i="730"/>
  <c r="H870" i="730"/>
  <c r="G870" i="730"/>
  <c r="N869" i="730"/>
  <c r="O869" i="730" s="1"/>
  <c r="M869" i="730"/>
  <c r="L869" i="730"/>
  <c r="K869" i="730"/>
  <c r="J869" i="730"/>
  <c r="I869" i="730"/>
  <c r="H869" i="730"/>
  <c r="G869" i="730"/>
  <c r="N868" i="730"/>
  <c r="M868" i="730"/>
  <c r="O868" i="730" s="1"/>
  <c r="K868" i="730"/>
  <c r="L868" i="730" s="1"/>
  <c r="J868" i="730"/>
  <c r="I868" i="730"/>
  <c r="H868" i="730"/>
  <c r="G868" i="730"/>
  <c r="N867" i="730"/>
  <c r="O867" i="730" s="1"/>
  <c r="M867" i="730"/>
  <c r="K867" i="730"/>
  <c r="J867" i="730"/>
  <c r="L867" i="730" s="1"/>
  <c r="I867" i="730"/>
  <c r="H867" i="730"/>
  <c r="G867" i="730"/>
  <c r="N866" i="730"/>
  <c r="O866" i="730" s="1"/>
  <c r="M866" i="730"/>
  <c r="K866" i="730"/>
  <c r="L866" i="730" s="1"/>
  <c r="J866" i="730"/>
  <c r="I866" i="730"/>
  <c r="H866" i="730"/>
  <c r="G866" i="730"/>
  <c r="N865" i="730"/>
  <c r="O865" i="730" s="1"/>
  <c r="M865" i="730"/>
  <c r="K865" i="730"/>
  <c r="L865" i="730" s="1"/>
  <c r="J865" i="730"/>
  <c r="I865" i="730"/>
  <c r="H865" i="730"/>
  <c r="G865" i="730"/>
  <c r="N864" i="730"/>
  <c r="M864" i="730"/>
  <c r="K864" i="730"/>
  <c r="L864" i="730" s="1"/>
  <c r="J864" i="730"/>
  <c r="I864" i="730"/>
  <c r="H864" i="730"/>
  <c r="G864" i="730"/>
  <c r="N863" i="730"/>
  <c r="O863" i="730" s="1"/>
  <c r="M863" i="730"/>
  <c r="K863" i="730"/>
  <c r="J863" i="730"/>
  <c r="L863" i="730" s="1"/>
  <c r="I863" i="730"/>
  <c r="H863" i="730"/>
  <c r="G863" i="730"/>
  <c r="N862" i="730"/>
  <c r="O862" i="730" s="1"/>
  <c r="M862" i="730"/>
  <c r="K862" i="730"/>
  <c r="L862" i="730" s="1"/>
  <c r="J862" i="730"/>
  <c r="I862" i="730"/>
  <c r="H862" i="730"/>
  <c r="G862" i="730"/>
  <c r="N861" i="730"/>
  <c r="O861" i="730" s="1"/>
  <c r="M861" i="730"/>
  <c r="K861" i="730"/>
  <c r="L861" i="730" s="1"/>
  <c r="J861" i="730"/>
  <c r="I861" i="730"/>
  <c r="H861" i="730"/>
  <c r="G861" i="730"/>
  <c r="N860" i="730"/>
  <c r="M860" i="730"/>
  <c r="K860" i="730"/>
  <c r="J860" i="730"/>
  <c r="I860" i="730"/>
  <c r="L860" i="730" s="1"/>
  <c r="H860" i="730"/>
  <c r="G860" i="730"/>
  <c r="N859" i="730"/>
  <c r="O859" i="730" s="1"/>
  <c r="M859" i="730"/>
  <c r="K859" i="730"/>
  <c r="J859" i="730"/>
  <c r="L859" i="730" s="1"/>
  <c r="I859" i="730"/>
  <c r="H859" i="730"/>
  <c r="G859" i="730"/>
  <c r="O858" i="730"/>
  <c r="N858" i="730"/>
  <c r="M858" i="730"/>
  <c r="K858" i="730"/>
  <c r="J858" i="730"/>
  <c r="I858" i="730"/>
  <c r="L858" i="730" s="1"/>
  <c r="H858" i="730"/>
  <c r="G858" i="730"/>
  <c r="N857" i="730"/>
  <c r="O857" i="730" s="1"/>
  <c r="M857" i="730"/>
  <c r="L857" i="730"/>
  <c r="K857" i="730"/>
  <c r="J857" i="730"/>
  <c r="I857" i="730"/>
  <c r="H857" i="730"/>
  <c r="G857" i="730"/>
  <c r="N856" i="730"/>
  <c r="M856" i="730"/>
  <c r="O856" i="730" s="1"/>
  <c r="K856" i="730"/>
  <c r="J856" i="730"/>
  <c r="I856" i="730"/>
  <c r="L856" i="730" s="1"/>
  <c r="H856" i="730"/>
  <c r="G856" i="730"/>
  <c r="N855" i="730"/>
  <c r="O855" i="730" s="1"/>
  <c r="M855" i="730"/>
  <c r="K855" i="730"/>
  <c r="J855" i="730"/>
  <c r="I855" i="730"/>
  <c r="H855" i="730"/>
  <c r="G855" i="730"/>
  <c r="O854" i="730"/>
  <c r="N854" i="730"/>
  <c r="M854" i="730"/>
  <c r="K854" i="730"/>
  <c r="J854" i="730"/>
  <c r="I854" i="730"/>
  <c r="L854" i="730" s="1"/>
  <c r="H854" i="730"/>
  <c r="G854" i="730"/>
  <c r="N853" i="730"/>
  <c r="O853" i="730" s="1"/>
  <c r="M853" i="730"/>
  <c r="L853" i="730"/>
  <c r="K853" i="730"/>
  <c r="J853" i="730"/>
  <c r="I853" i="730"/>
  <c r="H853" i="730"/>
  <c r="G853" i="730"/>
  <c r="N852" i="730"/>
  <c r="M852" i="730"/>
  <c r="K852" i="730"/>
  <c r="J852" i="730"/>
  <c r="I852" i="730"/>
  <c r="L852" i="730" s="1"/>
  <c r="H852" i="730"/>
  <c r="G852" i="730"/>
  <c r="N851" i="730"/>
  <c r="O851" i="730" s="1"/>
  <c r="M851" i="730"/>
  <c r="K851" i="730"/>
  <c r="J851" i="730"/>
  <c r="L851" i="730" s="1"/>
  <c r="I851" i="730"/>
  <c r="H851" i="730"/>
  <c r="G851" i="730"/>
  <c r="O850" i="730"/>
  <c r="N850" i="730"/>
  <c r="M850" i="730"/>
  <c r="K850" i="730"/>
  <c r="J850" i="730"/>
  <c r="I850" i="730"/>
  <c r="L850" i="730" s="1"/>
  <c r="H850" i="730"/>
  <c r="G850" i="730"/>
  <c r="N849" i="730"/>
  <c r="O849" i="730" s="1"/>
  <c r="M849" i="730"/>
  <c r="L849" i="730"/>
  <c r="K849" i="730"/>
  <c r="J849" i="730"/>
  <c r="I849" i="730"/>
  <c r="H849" i="730"/>
  <c r="G849" i="730"/>
  <c r="N848" i="730"/>
  <c r="M848" i="730"/>
  <c r="O848" i="730" s="1"/>
  <c r="K848" i="730"/>
  <c r="J848" i="730"/>
  <c r="I848" i="730"/>
  <c r="L848" i="730" s="1"/>
  <c r="H848" i="730"/>
  <c r="G848" i="730"/>
  <c r="N847" i="730"/>
  <c r="O847" i="730" s="1"/>
  <c r="M847" i="730"/>
  <c r="K847" i="730"/>
  <c r="J847" i="730"/>
  <c r="I847" i="730"/>
  <c r="H847" i="730"/>
  <c r="G847" i="730"/>
  <c r="O846" i="730"/>
  <c r="N846" i="730"/>
  <c r="M846" i="730"/>
  <c r="K846" i="730"/>
  <c r="J846" i="730"/>
  <c r="I846" i="730"/>
  <c r="L846" i="730" s="1"/>
  <c r="H846" i="730"/>
  <c r="G846" i="730"/>
  <c r="N845" i="730"/>
  <c r="O845" i="730" s="1"/>
  <c r="M845" i="730"/>
  <c r="L845" i="730"/>
  <c r="K845" i="730"/>
  <c r="J845" i="730"/>
  <c r="I845" i="730"/>
  <c r="H845" i="730"/>
  <c r="G845" i="730"/>
  <c r="N844" i="730"/>
  <c r="M844" i="730"/>
  <c r="K844" i="730"/>
  <c r="J844" i="730"/>
  <c r="I844" i="730"/>
  <c r="L844" i="730" s="1"/>
  <c r="H844" i="730"/>
  <c r="G844" i="730"/>
  <c r="N843" i="730"/>
  <c r="O843" i="730" s="1"/>
  <c r="M843" i="730"/>
  <c r="K843" i="730"/>
  <c r="J843" i="730"/>
  <c r="L843" i="730" s="1"/>
  <c r="I843" i="730"/>
  <c r="H843" i="730"/>
  <c r="G843" i="730"/>
  <c r="O842" i="730"/>
  <c r="N842" i="730"/>
  <c r="M842" i="730"/>
  <c r="K842" i="730"/>
  <c r="J842" i="730"/>
  <c r="I842" i="730"/>
  <c r="L842" i="730" s="1"/>
  <c r="H842" i="730"/>
  <c r="G842" i="730"/>
  <c r="N841" i="730"/>
  <c r="O841" i="730" s="1"/>
  <c r="M841" i="730"/>
  <c r="K841" i="730"/>
  <c r="L841" i="730" s="1"/>
  <c r="J841" i="730"/>
  <c r="I841" i="730"/>
  <c r="H841" i="730"/>
  <c r="G841" i="730"/>
  <c r="N840" i="730"/>
  <c r="M840" i="730"/>
  <c r="O840" i="730" s="1"/>
  <c r="K840" i="730"/>
  <c r="J840" i="730"/>
  <c r="I840" i="730"/>
  <c r="L840" i="730" s="1"/>
  <c r="H840" i="730"/>
  <c r="G840" i="730"/>
  <c r="N839" i="730"/>
  <c r="O839" i="730" s="1"/>
  <c r="M839" i="730"/>
  <c r="K839" i="730"/>
  <c r="J839" i="730"/>
  <c r="L839" i="730" s="1"/>
  <c r="I839" i="730"/>
  <c r="H839" i="730"/>
  <c r="G839" i="730"/>
  <c r="N838" i="730"/>
  <c r="O838" i="730" s="1"/>
  <c r="M838" i="730"/>
  <c r="K838" i="730"/>
  <c r="J838" i="730"/>
  <c r="I838" i="730"/>
  <c r="L838" i="730" s="1"/>
  <c r="H838" i="730"/>
  <c r="G838" i="730"/>
  <c r="N837" i="730"/>
  <c r="O837" i="730" s="1"/>
  <c r="M837" i="730"/>
  <c r="K837" i="730"/>
  <c r="L837" i="730" s="1"/>
  <c r="J837" i="730"/>
  <c r="I837" i="730"/>
  <c r="H837" i="730"/>
  <c r="G837" i="730"/>
  <c r="N836" i="730"/>
  <c r="M836" i="730"/>
  <c r="O836" i="730" s="1"/>
  <c r="K836" i="730"/>
  <c r="J836" i="730"/>
  <c r="I836" i="730"/>
  <c r="L836" i="730" s="1"/>
  <c r="H836" i="730"/>
  <c r="G836" i="730"/>
  <c r="N835" i="730"/>
  <c r="O835" i="730" s="1"/>
  <c r="M835" i="730"/>
  <c r="K835" i="730"/>
  <c r="J835" i="730"/>
  <c r="L835" i="730" s="1"/>
  <c r="I835" i="730"/>
  <c r="H835" i="730"/>
  <c r="G835" i="730"/>
  <c r="N834" i="730"/>
  <c r="O834" i="730" s="1"/>
  <c r="M834" i="730"/>
  <c r="K834" i="730"/>
  <c r="J834" i="730"/>
  <c r="I834" i="730"/>
  <c r="L834" i="730" s="1"/>
  <c r="H834" i="730"/>
  <c r="G834" i="730"/>
  <c r="N833" i="730"/>
  <c r="O833" i="730" s="1"/>
  <c r="M833" i="730"/>
  <c r="K833" i="730"/>
  <c r="L833" i="730" s="1"/>
  <c r="J833" i="730"/>
  <c r="I833" i="730"/>
  <c r="H833" i="730"/>
  <c r="G833" i="730"/>
  <c r="N832" i="730"/>
  <c r="M832" i="730"/>
  <c r="O832" i="730" s="1"/>
  <c r="K832" i="730"/>
  <c r="J832" i="730"/>
  <c r="I832" i="730"/>
  <c r="L832" i="730" s="1"/>
  <c r="H832" i="730"/>
  <c r="G832" i="730"/>
  <c r="N831" i="730"/>
  <c r="O831" i="730" s="1"/>
  <c r="M831" i="730"/>
  <c r="K831" i="730"/>
  <c r="J831" i="730"/>
  <c r="I831" i="730"/>
  <c r="H831" i="730"/>
  <c r="G831" i="730"/>
  <c r="N830" i="730"/>
  <c r="O830" i="730" s="1"/>
  <c r="M830" i="730"/>
  <c r="K830" i="730"/>
  <c r="J830" i="730"/>
  <c r="I830" i="730"/>
  <c r="L830" i="730" s="1"/>
  <c r="H830" i="730"/>
  <c r="G830" i="730"/>
  <c r="N829" i="730"/>
  <c r="O829" i="730" s="1"/>
  <c r="M829" i="730"/>
  <c r="K829" i="730"/>
  <c r="L829" i="730" s="1"/>
  <c r="J829" i="730"/>
  <c r="I829" i="730"/>
  <c r="H829" i="730"/>
  <c r="G829" i="730"/>
  <c r="N828" i="730"/>
  <c r="M828" i="730"/>
  <c r="O828" i="730" s="1"/>
  <c r="K828" i="730"/>
  <c r="J828" i="730"/>
  <c r="I828" i="730"/>
  <c r="L828" i="730" s="1"/>
  <c r="H828" i="730"/>
  <c r="G828" i="730"/>
  <c r="N827" i="730"/>
  <c r="O827" i="730" s="1"/>
  <c r="M827" i="730"/>
  <c r="K827" i="730"/>
  <c r="J827" i="730"/>
  <c r="L827" i="730" s="1"/>
  <c r="I827" i="730"/>
  <c r="H827" i="730"/>
  <c r="G827" i="730"/>
  <c r="N826" i="730"/>
  <c r="O826" i="730" s="1"/>
  <c r="M826" i="730"/>
  <c r="K826" i="730"/>
  <c r="J826" i="730"/>
  <c r="I826" i="730"/>
  <c r="L826" i="730" s="1"/>
  <c r="H826" i="730"/>
  <c r="G826" i="730"/>
  <c r="N825" i="730"/>
  <c r="O825" i="730" s="1"/>
  <c r="M825" i="730"/>
  <c r="K825" i="730"/>
  <c r="J825" i="730"/>
  <c r="I825" i="730"/>
  <c r="L825" i="730" s="1"/>
  <c r="H825" i="730"/>
  <c r="G825" i="730"/>
  <c r="N824" i="730"/>
  <c r="M824" i="730"/>
  <c r="O824" i="730" s="1"/>
  <c r="K824" i="730"/>
  <c r="J824" i="730"/>
  <c r="I824" i="730"/>
  <c r="L824" i="730" s="1"/>
  <c r="H824" i="730"/>
  <c r="G824" i="730"/>
  <c r="N823" i="730"/>
  <c r="O823" i="730" s="1"/>
  <c r="M823" i="730"/>
  <c r="K823" i="730"/>
  <c r="J823" i="730"/>
  <c r="L823" i="730" s="1"/>
  <c r="I823" i="730"/>
  <c r="H823" i="730"/>
  <c r="G823" i="730"/>
  <c r="N822" i="730"/>
  <c r="O822" i="730" s="1"/>
  <c r="M822" i="730"/>
  <c r="K822" i="730"/>
  <c r="J822" i="730"/>
  <c r="I822" i="730"/>
  <c r="L822" i="730" s="1"/>
  <c r="H822" i="730"/>
  <c r="G822" i="730"/>
  <c r="N821" i="730"/>
  <c r="O821" i="730" s="1"/>
  <c r="M821" i="730"/>
  <c r="K821" i="730"/>
  <c r="J821" i="730"/>
  <c r="I821" i="730"/>
  <c r="L821" i="730" s="1"/>
  <c r="H821" i="730"/>
  <c r="G821" i="730"/>
  <c r="N820" i="730"/>
  <c r="M820" i="730"/>
  <c r="O820" i="730" s="1"/>
  <c r="K820" i="730"/>
  <c r="J820" i="730"/>
  <c r="I820" i="730"/>
  <c r="L820" i="730" s="1"/>
  <c r="H820" i="730"/>
  <c r="G820" i="730"/>
  <c r="N819" i="730"/>
  <c r="O819" i="730" s="1"/>
  <c r="M819" i="730"/>
  <c r="K819" i="730"/>
  <c r="J819" i="730"/>
  <c r="I819" i="730"/>
  <c r="H819" i="730"/>
  <c r="G819" i="730"/>
  <c r="N818" i="730"/>
  <c r="O818" i="730" s="1"/>
  <c r="M818" i="730"/>
  <c r="K818" i="730"/>
  <c r="J818" i="730"/>
  <c r="I818" i="730"/>
  <c r="L818" i="730" s="1"/>
  <c r="H818" i="730"/>
  <c r="G818" i="730"/>
  <c r="N817" i="730"/>
  <c r="O817" i="730" s="1"/>
  <c r="M817" i="730"/>
  <c r="K817" i="730"/>
  <c r="J817" i="730"/>
  <c r="I817" i="730"/>
  <c r="L817" i="730" s="1"/>
  <c r="H817" i="730"/>
  <c r="G817" i="730"/>
  <c r="N816" i="730"/>
  <c r="M816" i="730"/>
  <c r="O816" i="730" s="1"/>
  <c r="K816" i="730"/>
  <c r="J816" i="730"/>
  <c r="I816" i="730"/>
  <c r="L816" i="730" s="1"/>
  <c r="H816" i="730"/>
  <c r="G816" i="730"/>
  <c r="N815" i="730"/>
  <c r="O815" i="730" s="1"/>
  <c r="M815" i="730"/>
  <c r="K815" i="730"/>
  <c r="J815" i="730"/>
  <c r="I815" i="730"/>
  <c r="H815" i="730"/>
  <c r="G815" i="730"/>
  <c r="N814" i="730"/>
  <c r="O814" i="730" s="1"/>
  <c r="M814" i="730"/>
  <c r="K814" i="730"/>
  <c r="J814" i="730"/>
  <c r="I814" i="730"/>
  <c r="L814" i="730" s="1"/>
  <c r="H814" i="730"/>
  <c r="G814" i="730"/>
  <c r="N813" i="730"/>
  <c r="O813" i="730" s="1"/>
  <c r="M813" i="730"/>
  <c r="K813" i="730"/>
  <c r="L813" i="730" s="1"/>
  <c r="J813" i="730"/>
  <c r="I813" i="730"/>
  <c r="H813" i="730"/>
  <c r="G813" i="730"/>
  <c r="N812" i="730"/>
  <c r="M812" i="730"/>
  <c r="O812" i="730" s="1"/>
  <c r="K812" i="730"/>
  <c r="J812" i="730"/>
  <c r="I812" i="730"/>
  <c r="L812" i="730" s="1"/>
  <c r="H812" i="730"/>
  <c r="G812" i="730"/>
  <c r="N811" i="730"/>
  <c r="O811" i="730" s="1"/>
  <c r="M811" i="730"/>
  <c r="K811" i="730"/>
  <c r="J811" i="730"/>
  <c r="L811" i="730" s="1"/>
  <c r="I811" i="730"/>
  <c r="H811" i="730"/>
  <c r="G811" i="730"/>
  <c r="N810" i="730"/>
  <c r="O810" i="730" s="1"/>
  <c r="M810" i="730"/>
  <c r="K810" i="730"/>
  <c r="J810" i="730"/>
  <c r="I810" i="730"/>
  <c r="L810" i="730" s="1"/>
  <c r="H810" i="730"/>
  <c r="G810" i="730"/>
  <c r="N809" i="730"/>
  <c r="O809" i="730" s="1"/>
  <c r="M809" i="730"/>
  <c r="K809" i="730"/>
  <c r="L809" i="730" s="1"/>
  <c r="J809" i="730"/>
  <c r="I809" i="730"/>
  <c r="H809" i="730"/>
  <c r="G809" i="730"/>
  <c r="N808" i="730"/>
  <c r="M808" i="730"/>
  <c r="O808" i="730" s="1"/>
  <c r="K808" i="730"/>
  <c r="J808" i="730"/>
  <c r="I808" i="730"/>
  <c r="L808" i="730" s="1"/>
  <c r="H808" i="730"/>
  <c r="G808" i="730"/>
  <c r="N807" i="730"/>
  <c r="O807" i="730" s="1"/>
  <c r="M807" i="730"/>
  <c r="K807" i="730"/>
  <c r="J807" i="730"/>
  <c r="I807" i="730"/>
  <c r="H807" i="730"/>
  <c r="G807" i="730"/>
  <c r="N806" i="730"/>
  <c r="O806" i="730" s="1"/>
  <c r="M806" i="730"/>
  <c r="K806" i="730"/>
  <c r="J806" i="730"/>
  <c r="I806" i="730"/>
  <c r="L806" i="730" s="1"/>
  <c r="H806" i="730"/>
  <c r="G806" i="730"/>
  <c r="N805" i="730"/>
  <c r="O805" i="730" s="1"/>
  <c r="M805" i="730"/>
  <c r="K805" i="730"/>
  <c r="L805" i="730" s="1"/>
  <c r="J805" i="730"/>
  <c r="I805" i="730"/>
  <c r="H805" i="730"/>
  <c r="G805" i="730"/>
  <c r="N804" i="730"/>
  <c r="M804" i="730"/>
  <c r="O804" i="730" s="1"/>
  <c r="K804" i="730"/>
  <c r="J804" i="730"/>
  <c r="I804" i="730"/>
  <c r="L804" i="730" s="1"/>
  <c r="H804" i="730"/>
  <c r="G804" i="730"/>
  <c r="N803" i="730"/>
  <c r="O803" i="730" s="1"/>
  <c r="M803" i="730"/>
  <c r="K803" i="730"/>
  <c r="J803" i="730"/>
  <c r="I803" i="730"/>
  <c r="H803" i="730"/>
  <c r="G803" i="730"/>
  <c r="N802" i="730"/>
  <c r="O802" i="730" s="1"/>
  <c r="M802" i="730"/>
  <c r="K802" i="730"/>
  <c r="J802" i="730"/>
  <c r="I802" i="730"/>
  <c r="L802" i="730" s="1"/>
  <c r="H802" i="730"/>
  <c r="G802" i="730"/>
  <c r="N801" i="730"/>
  <c r="O801" i="730" s="1"/>
  <c r="M801" i="730"/>
  <c r="K801" i="730"/>
  <c r="L801" i="730" s="1"/>
  <c r="J801" i="730"/>
  <c r="I801" i="730"/>
  <c r="H801" i="730"/>
  <c r="G801" i="730"/>
  <c r="N800" i="730"/>
  <c r="M800" i="730"/>
  <c r="O800" i="730" s="1"/>
  <c r="K800" i="730"/>
  <c r="J800" i="730"/>
  <c r="I800" i="730"/>
  <c r="L800" i="730" s="1"/>
  <c r="H800" i="730"/>
  <c r="G800" i="730"/>
  <c r="N799" i="730"/>
  <c r="O799" i="730" s="1"/>
  <c r="M799" i="730"/>
  <c r="K799" i="730"/>
  <c r="J799" i="730"/>
  <c r="L799" i="730" s="1"/>
  <c r="I799" i="730"/>
  <c r="H799" i="730"/>
  <c r="G799" i="730"/>
  <c r="N798" i="730"/>
  <c r="O798" i="730" s="1"/>
  <c r="M798" i="730"/>
  <c r="K798" i="730"/>
  <c r="J798" i="730"/>
  <c r="I798" i="730"/>
  <c r="L798" i="730" s="1"/>
  <c r="H798" i="730"/>
  <c r="G798" i="730"/>
  <c r="N797" i="730"/>
  <c r="O797" i="730" s="1"/>
  <c r="M797" i="730"/>
  <c r="K797" i="730"/>
  <c r="L797" i="730" s="1"/>
  <c r="J797" i="730"/>
  <c r="I797" i="730"/>
  <c r="H797" i="730"/>
  <c r="G797" i="730"/>
  <c r="N796" i="730"/>
  <c r="M796" i="730"/>
  <c r="O796" i="730" s="1"/>
  <c r="K796" i="730"/>
  <c r="J796" i="730"/>
  <c r="I796" i="730"/>
  <c r="L796" i="730" s="1"/>
  <c r="H796" i="730"/>
  <c r="G796" i="730"/>
  <c r="N795" i="730"/>
  <c r="O795" i="730" s="1"/>
  <c r="M795" i="730"/>
  <c r="K795" i="730"/>
  <c r="J795" i="730"/>
  <c r="I795" i="730"/>
  <c r="H795" i="730"/>
  <c r="G795" i="730"/>
  <c r="N794" i="730"/>
  <c r="O794" i="730" s="1"/>
  <c r="M794" i="730"/>
  <c r="K794" i="730"/>
  <c r="J794" i="730"/>
  <c r="I794" i="730"/>
  <c r="L794" i="730" s="1"/>
  <c r="H794" i="730"/>
  <c r="G794" i="730"/>
  <c r="N793" i="730"/>
  <c r="O793" i="730" s="1"/>
  <c r="M793" i="730"/>
  <c r="K793" i="730"/>
  <c r="L793" i="730" s="1"/>
  <c r="J793" i="730"/>
  <c r="I793" i="730"/>
  <c r="H793" i="730"/>
  <c r="G793" i="730"/>
  <c r="N792" i="730"/>
  <c r="M792" i="730"/>
  <c r="O792" i="730" s="1"/>
  <c r="K792" i="730"/>
  <c r="J792" i="730"/>
  <c r="I792" i="730"/>
  <c r="L792" i="730" s="1"/>
  <c r="H792" i="730"/>
  <c r="G792" i="730"/>
  <c r="N791" i="730"/>
  <c r="O791" i="730" s="1"/>
  <c r="M791" i="730"/>
  <c r="K791" i="730"/>
  <c r="J791" i="730"/>
  <c r="I791" i="730"/>
  <c r="H791" i="730"/>
  <c r="G791" i="730"/>
  <c r="N790" i="730"/>
  <c r="O790" i="730" s="1"/>
  <c r="M790" i="730"/>
  <c r="K790" i="730"/>
  <c r="J790" i="730"/>
  <c r="I790" i="730"/>
  <c r="L790" i="730" s="1"/>
  <c r="H790" i="730"/>
  <c r="G790" i="730"/>
  <c r="N789" i="730"/>
  <c r="O789" i="730" s="1"/>
  <c r="M789" i="730"/>
  <c r="K789" i="730"/>
  <c r="L789" i="730" s="1"/>
  <c r="J789" i="730"/>
  <c r="I789" i="730"/>
  <c r="H789" i="730"/>
  <c r="G789" i="730"/>
  <c r="N788" i="730"/>
  <c r="M788" i="730"/>
  <c r="O788" i="730" s="1"/>
  <c r="K788" i="730"/>
  <c r="J788" i="730"/>
  <c r="I788" i="730"/>
  <c r="L788" i="730" s="1"/>
  <c r="H788" i="730"/>
  <c r="G788" i="730"/>
  <c r="N787" i="730"/>
  <c r="O787" i="730" s="1"/>
  <c r="M787" i="730"/>
  <c r="K787" i="730"/>
  <c r="J787" i="730"/>
  <c r="I787" i="730"/>
  <c r="H787" i="730"/>
  <c r="G787" i="730"/>
  <c r="N786" i="730"/>
  <c r="O786" i="730" s="1"/>
  <c r="M786" i="730"/>
  <c r="K786" i="730"/>
  <c r="J786" i="730"/>
  <c r="I786" i="730"/>
  <c r="L786" i="730" s="1"/>
  <c r="H786" i="730"/>
  <c r="G786" i="730"/>
  <c r="N785" i="730"/>
  <c r="O785" i="730" s="1"/>
  <c r="M785" i="730"/>
  <c r="K785" i="730"/>
  <c r="L785" i="730" s="1"/>
  <c r="J785" i="730"/>
  <c r="I785" i="730"/>
  <c r="H785" i="730"/>
  <c r="G785" i="730"/>
  <c r="N784" i="730"/>
  <c r="M784" i="730"/>
  <c r="O784" i="730" s="1"/>
  <c r="K784" i="730"/>
  <c r="J784" i="730"/>
  <c r="I784" i="730"/>
  <c r="L784" i="730" s="1"/>
  <c r="H784" i="730"/>
  <c r="G784" i="730"/>
  <c r="N783" i="730"/>
  <c r="O783" i="730" s="1"/>
  <c r="M783" i="730"/>
  <c r="K783" i="730"/>
  <c r="J783" i="730"/>
  <c r="I783" i="730"/>
  <c r="H783" i="730"/>
  <c r="G783" i="730"/>
  <c r="N782" i="730"/>
  <c r="O782" i="730" s="1"/>
  <c r="M782" i="730"/>
  <c r="K782" i="730"/>
  <c r="J782" i="730"/>
  <c r="I782" i="730"/>
  <c r="L782" i="730" s="1"/>
  <c r="H782" i="730"/>
  <c r="G782" i="730"/>
  <c r="N781" i="730"/>
  <c r="O781" i="730" s="1"/>
  <c r="M781" i="730"/>
  <c r="K781" i="730"/>
  <c r="L781" i="730" s="1"/>
  <c r="J781" i="730"/>
  <c r="I781" i="730"/>
  <c r="H781" i="730"/>
  <c r="G781" i="730"/>
  <c r="N780" i="730"/>
  <c r="M780" i="730"/>
  <c r="O780" i="730" s="1"/>
  <c r="K780" i="730"/>
  <c r="J780" i="730"/>
  <c r="I780" i="730"/>
  <c r="L780" i="730" s="1"/>
  <c r="H780" i="730"/>
  <c r="G780" i="730"/>
  <c r="N779" i="730"/>
  <c r="O779" i="730" s="1"/>
  <c r="M779" i="730"/>
  <c r="K779" i="730"/>
  <c r="J779" i="730"/>
  <c r="I779" i="730"/>
  <c r="H779" i="730"/>
  <c r="G779" i="730"/>
  <c r="N778" i="730"/>
  <c r="O778" i="730" s="1"/>
  <c r="M778" i="730"/>
  <c r="K778" i="730"/>
  <c r="J778" i="730"/>
  <c r="I778" i="730"/>
  <c r="L778" i="730" s="1"/>
  <c r="H778" i="730"/>
  <c r="G778" i="730"/>
  <c r="N777" i="730"/>
  <c r="O777" i="730" s="1"/>
  <c r="M777" i="730"/>
  <c r="K777" i="730"/>
  <c r="L777" i="730" s="1"/>
  <c r="J777" i="730"/>
  <c r="I777" i="730"/>
  <c r="H777" i="730"/>
  <c r="G777" i="730"/>
  <c r="N776" i="730"/>
  <c r="M776" i="730"/>
  <c r="O776" i="730" s="1"/>
  <c r="K776" i="730"/>
  <c r="J776" i="730"/>
  <c r="I776" i="730"/>
  <c r="L776" i="730" s="1"/>
  <c r="H776" i="730"/>
  <c r="G776" i="730"/>
  <c r="N775" i="730"/>
  <c r="O775" i="730" s="1"/>
  <c r="M775" i="730"/>
  <c r="K775" i="730"/>
  <c r="J775" i="730"/>
  <c r="I775" i="730"/>
  <c r="H775" i="730"/>
  <c r="G775" i="730"/>
  <c r="N774" i="730"/>
  <c r="O774" i="730" s="1"/>
  <c r="M774" i="730"/>
  <c r="K774" i="730"/>
  <c r="J774" i="730"/>
  <c r="I774" i="730"/>
  <c r="L774" i="730" s="1"/>
  <c r="H774" i="730"/>
  <c r="G774" i="730"/>
  <c r="N773" i="730"/>
  <c r="O773" i="730" s="1"/>
  <c r="M773" i="730"/>
  <c r="K773" i="730"/>
  <c r="L773" i="730" s="1"/>
  <c r="J773" i="730"/>
  <c r="I773" i="730"/>
  <c r="H773" i="730"/>
  <c r="G773" i="730"/>
  <c r="N772" i="730"/>
  <c r="M772" i="730"/>
  <c r="O772" i="730" s="1"/>
  <c r="K772" i="730"/>
  <c r="J772" i="730"/>
  <c r="I772" i="730"/>
  <c r="L772" i="730" s="1"/>
  <c r="H772" i="730"/>
  <c r="G772" i="730"/>
  <c r="N771" i="730"/>
  <c r="O771" i="730" s="1"/>
  <c r="M771" i="730"/>
  <c r="K771" i="730"/>
  <c r="J771" i="730"/>
  <c r="I771" i="730"/>
  <c r="H771" i="730"/>
  <c r="G771" i="730"/>
  <c r="N770" i="730"/>
  <c r="O770" i="730" s="1"/>
  <c r="M770" i="730"/>
  <c r="K770" i="730"/>
  <c r="J770" i="730"/>
  <c r="I770" i="730"/>
  <c r="L770" i="730" s="1"/>
  <c r="H770" i="730"/>
  <c r="G770" i="730"/>
  <c r="N769" i="730"/>
  <c r="O769" i="730" s="1"/>
  <c r="M769" i="730"/>
  <c r="K769" i="730"/>
  <c r="L769" i="730" s="1"/>
  <c r="J769" i="730"/>
  <c r="I769" i="730"/>
  <c r="H769" i="730"/>
  <c r="G769" i="730"/>
  <c r="N768" i="730"/>
  <c r="M768" i="730"/>
  <c r="O768" i="730" s="1"/>
  <c r="K768" i="730"/>
  <c r="J768" i="730"/>
  <c r="I768" i="730"/>
  <c r="L768" i="730" s="1"/>
  <c r="H768" i="730"/>
  <c r="G768" i="730"/>
  <c r="N767" i="730"/>
  <c r="O767" i="730" s="1"/>
  <c r="M767" i="730"/>
  <c r="K767" i="730"/>
  <c r="J767" i="730"/>
  <c r="I767" i="730"/>
  <c r="H767" i="730"/>
  <c r="G767" i="730"/>
  <c r="N766" i="730"/>
  <c r="O766" i="730" s="1"/>
  <c r="M766" i="730"/>
  <c r="K766" i="730"/>
  <c r="J766" i="730"/>
  <c r="I766" i="730"/>
  <c r="L766" i="730" s="1"/>
  <c r="H766" i="730"/>
  <c r="G766" i="730"/>
  <c r="N765" i="730"/>
  <c r="O765" i="730" s="1"/>
  <c r="M765" i="730"/>
  <c r="K765" i="730"/>
  <c r="L765" i="730" s="1"/>
  <c r="J765" i="730"/>
  <c r="I765" i="730"/>
  <c r="H765" i="730"/>
  <c r="G765" i="730"/>
  <c r="N764" i="730"/>
  <c r="M764" i="730"/>
  <c r="O764" i="730" s="1"/>
  <c r="K764" i="730"/>
  <c r="J764" i="730"/>
  <c r="I764" i="730"/>
  <c r="L764" i="730" s="1"/>
  <c r="H764" i="730"/>
  <c r="G764" i="730"/>
  <c r="N763" i="730"/>
  <c r="O763" i="730" s="1"/>
  <c r="M763" i="730"/>
  <c r="K763" i="730"/>
  <c r="J763" i="730"/>
  <c r="I763" i="730"/>
  <c r="H763" i="730"/>
  <c r="G763" i="730"/>
  <c r="N762" i="730"/>
  <c r="O762" i="730" s="1"/>
  <c r="M762" i="730"/>
  <c r="K762" i="730"/>
  <c r="J762" i="730"/>
  <c r="I762" i="730"/>
  <c r="L762" i="730" s="1"/>
  <c r="H762" i="730"/>
  <c r="G762" i="730"/>
  <c r="N761" i="730"/>
  <c r="O761" i="730" s="1"/>
  <c r="M761" i="730"/>
  <c r="K761" i="730"/>
  <c r="L761" i="730" s="1"/>
  <c r="J761" i="730"/>
  <c r="I761" i="730"/>
  <c r="H761" i="730"/>
  <c r="G761" i="730"/>
  <c r="N760" i="730"/>
  <c r="M760" i="730"/>
  <c r="O760" i="730" s="1"/>
  <c r="K760" i="730"/>
  <c r="J760" i="730"/>
  <c r="I760" i="730"/>
  <c r="L760" i="730" s="1"/>
  <c r="H760" i="730"/>
  <c r="G760" i="730"/>
  <c r="N759" i="730"/>
  <c r="O759" i="730" s="1"/>
  <c r="M759" i="730"/>
  <c r="K759" i="730"/>
  <c r="J759" i="730"/>
  <c r="I759" i="730"/>
  <c r="H759" i="730"/>
  <c r="G759" i="730"/>
  <c r="N758" i="730"/>
  <c r="O758" i="730" s="1"/>
  <c r="M758" i="730"/>
  <c r="K758" i="730"/>
  <c r="J758" i="730"/>
  <c r="I758" i="730"/>
  <c r="L758" i="730" s="1"/>
  <c r="H758" i="730"/>
  <c r="G758" i="730"/>
  <c r="N757" i="730"/>
  <c r="O757" i="730" s="1"/>
  <c r="M757" i="730"/>
  <c r="K757" i="730"/>
  <c r="L757" i="730" s="1"/>
  <c r="J757" i="730"/>
  <c r="I757" i="730"/>
  <c r="H757" i="730"/>
  <c r="G757" i="730"/>
  <c r="N756" i="730"/>
  <c r="M756" i="730"/>
  <c r="O756" i="730" s="1"/>
  <c r="K756" i="730"/>
  <c r="J756" i="730"/>
  <c r="I756" i="730"/>
  <c r="L756" i="730" s="1"/>
  <c r="H756" i="730"/>
  <c r="G756" i="730"/>
  <c r="N755" i="730"/>
  <c r="O755" i="730" s="1"/>
  <c r="M755" i="730"/>
  <c r="K755" i="730"/>
  <c r="J755" i="730"/>
  <c r="I755" i="730"/>
  <c r="H755" i="730"/>
  <c r="G755" i="730"/>
  <c r="N754" i="730"/>
  <c r="O754" i="730" s="1"/>
  <c r="M754" i="730"/>
  <c r="K754" i="730"/>
  <c r="J754" i="730"/>
  <c r="I754" i="730"/>
  <c r="L754" i="730" s="1"/>
  <c r="H754" i="730"/>
  <c r="G754" i="730"/>
  <c r="N753" i="730"/>
  <c r="O753" i="730" s="1"/>
  <c r="M753" i="730"/>
  <c r="K753" i="730"/>
  <c r="L753" i="730" s="1"/>
  <c r="J753" i="730"/>
  <c r="I753" i="730"/>
  <c r="H753" i="730"/>
  <c r="G753" i="730"/>
  <c r="N752" i="730"/>
  <c r="M752" i="730"/>
  <c r="O752" i="730" s="1"/>
  <c r="K752" i="730"/>
  <c r="J752" i="730"/>
  <c r="I752" i="730"/>
  <c r="L752" i="730" s="1"/>
  <c r="H752" i="730"/>
  <c r="G752" i="730"/>
  <c r="N751" i="730"/>
  <c r="O751" i="730" s="1"/>
  <c r="M751" i="730"/>
  <c r="K751" i="730"/>
  <c r="J751" i="730"/>
  <c r="I751" i="730"/>
  <c r="H751" i="730"/>
  <c r="G751" i="730"/>
  <c r="N750" i="730"/>
  <c r="O750" i="730" s="1"/>
  <c r="M750" i="730"/>
  <c r="K750" i="730"/>
  <c r="J750" i="730"/>
  <c r="I750" i="730"/>
  <c r="L750" i="730" s="1"/>
  <c r="H750" i="730"/>
  <c r="G750" i="730"/>
  <c r="N749" i="730"/>
  <c r="O749" i="730" s="1"/>
  <c r="M749" i="730"/>
  <c r="K749" i="730"/>
  <c r="L749" i="730" s="1"/>
  <c r="J749" i="730"/>
  <c r="I749" i="730"/>
  <c r="H749" i="730"/>
  <c r="G749" i="730"/>
  <c r="N748" i="730"/>
  <c r="M748" i="730"/>
  <c r="O748" i="730" s="1"/>
  <c r="K748" i="730"/>
  <c r="J748" i="730"/>
  <c r="I748" i="730"/>
  <c r="H748" i="730"/>
  <c r="G748" i="730"/>
  <c r="N747" i="730"/>
  <c r="O747" i="730" s="1"/>
  <c r="M747" i="730"/>
  <c r="K747" i="730"/>
  <c r="J747" i="730"/>
  <c r="I747" i="730"/>
  <c r="H747" i="730"/>
  <c r="G747" i="730"/>
  <c r="N746" i="730"/>
  <c r="O746" i="730" s="1"/>
  <c r="M746" i="730"/>
  <c r="K746" i="730"/>
  <c r="J746" i="730"/>
  <c r="I746" i="730"/>
  <c r="L746" i="730" s="1"/>
  <c r="H746" i="730"/>
  <c r="G746" i="730"/>
  <c r="N745" i="730"/>
  <c r="O745" i="730" s="1"/>
  <c r="M745" i="730"/>
  <c r="K745" i="730"/>
  <c r="L745" i="730" s="1"/>
  <c r="J745" i="730"/>
  <c r="I745" i="730"/>
  <c r="H745" i="730"/>
  <c r="G745" i="730"/>
  <c r="N744" i="730"/>
  <c r="M744" i="730"/>
  <c r="O744" i="730" s="1"/>
  <c r="K744" i="730"/>
  <c r="J744" i="730"/>
  <c r="I744" i="730"/>
  <c r="H744" i="730"/>
  <c r="G744" i="730"/>
  <c r="N743" i="730"/>
  <c r="O743" i="730" s="1"/>
  <c r="M743" i="730"/>
  <c r="L743" i="730"/>
  <c r="K743" i="730"/>
  <c r="J743" i="730"/>
  <c r="I743" i="730"/>
  <c r="H743" i="730"/>
  <c r="G743" i="730"/>
  <c r="N742" i="730"/>
  <c r="O742" i="730" s="1"/>
  <c r="M742" i="730"/>
  <c r="K742" i="730"/>
  <c r="J742" i="730"/>
  <c r="I742" i="730"/>
  <c r="H742" i="730"/>
  <c r="G742" i="730"/>
  <c r="N741" i="730"/>
  <c r="O741" i="730" s="1"/>
  <c r="M741" i="730"/>
  <c r="K741" i="730"/>
  <c r="L741" i="730" s="1"/>
  <c r="J741" i="730"/>
  <c r="I741" i="730"/>
  <c r="H741" i="730"/>
  <c r="G741" i="730"/>
  <c r="O740" i="730"/>
  <c r="N740" i="730"/>
  <c r="M740" i="730"/>
  <c r="K740" i="730"/>
  <c r="J740" i="730"/>
  <c r="I740" i="730"/>
  <c r="L740" i="730" s="1"/>
  <c r="H740" i="730"/>
  <c r="G740" i="730"/>
  <c r="N739" i="730"/>
  <c r="O739" i="730" s="1"/>
  <c r="M739" i="730"/>
  <c r="K739" i="730"/>
  <c r="J739" i="730"/>
  <c r="L739" i="730" s="1"/>
  <c r="I739" i="730"/>
  <c r="H739" i="730"/>
  <c r="G739" i="730"/>
  <c r="N738" i="730"/>
  <c r="O738" i="730" s="1"/>
  <c r="M738" i="730"/>
  <c r="K738" i="730"/>
  <c r="J738" i="730"/>
  <c r="I738" i="730"/>
  <c r="L738" i="730" s="1"/>
  <c r="H738" i="730"/>
  <c r="G738" i="730"/>
  <c r="N737" i="730"/>
  <c r="O737" i="730" s="1"/>
  <c r="M737" i="730"/>
  <c r="K737" i="730"/>
  <c r="L737" i="730" s="1"/>
  <c r="J737" i="730"/>
  <c r="I737" i="730"/>
  <c r="H737" i="730"/>
  <c r="G737" i="730"/>
  <c r="N736" i="730"/>
  <c r="M736" i="730"/>
  <c r="O736" i="730" s="1"/>
  <c r="K736" i="730"/>
  <c r="J736" i="730"/>
  <c r="I736" i="730"/>
  <c r="H736" i="730"/>
  <c r="G736" i="730"/>
  <c r="N735" i="730"/>
  <c r="O735" i="730" s="1"/>
  <c r="M735" i="730"/>
  <c r="L735" i="730"/>
  <c r="K735" i="730"/>
  <c r="J735" i="730"/>
  <c r="I735" i="730"/>
  <c r="H735" i="730"/>
  <c r="G735" i="730"/>
  <c r="N734" i="730"/>
  <c r="O734" i="730" s="1"/>
  <c r="M734" i="730"/>
  <c r="K734" i="730"/>
  <c r="J734" i="730"/>
  <c r="I734" i="730"/>
  <c r="H734" i="730"/>
  <c r="G734" i="730"/>
  <c r="N733" i="730"/>
  <c r="O733" i="730" s="1"/>
  <c r="M733" i="730"/>
  <c r="K733" i="730"/>
  <c r="L733" i="730" s="1"/>
  <c r="J733" i="730"/>
  <c r="I733" i="730"/>
  <c r="H733" i="730"/>
  <c r="G733" i="730"/>
  <c r="O732" i="730"/>
  <c r="N732" i="730"/>
  <c r="M732" i="730"/>
  <c r="K732" i="730"/>
  <c r="J732" i="730"/>
  <c r="I732" i="730"/>
  <c r="L732" i="730" s="1"/>
  <c r="H732" i="730"/>
  <c r="G732" i="730"/>
  <c r="N731" i="730"/>
  <c r="O731" i="730" s="1"/>
  <c r="M731" i="730"/>
  <c r="K731" i="730"/>
  <c r="J731" i="730"/>
  <c r="L731" i="730" s="1"/>
  <c r="I731" i="730"/>
  <c r="H731" i="730"/>
  <c r="G731" i="730"/>
  <c r="O730" i="730"/>
  <c r="N730" i="730"/>
  <c r="M730" i="730"/>
  <c r="K730" i="730"/>
  <c r="J730" i="730"/>
  <c r="I730" i="730"/>
  <c r="L730" i="730" s="1"/>
  <c r="H730" i="730"/>
  <c r="G730" i="730"/>
  <c r="N729" i="730"/>
  <c r="O729" i="730" s="1"/>
  <c r="M729" i="730"/>
  <c r="L729" i="730"/>
  <c r="K729" i="730"/>
  <c r="J729" i="730"/>
  <c r="I729" i="730"/>
  <c r="H729" i="730"/>
  <c r="G729" i="730"/>
  <c r="O728" i="730"/>
  <c r="N728" i="730"/>
  <c r="M728" i="730"/>
  <c r="K728" i="730"/>
  <c r="J728" i="730"/>
  <c r="I728" i="730"/>
  <c r="L728" i="730" s="1"/>
  <c r="H728" i="730"/>
  <c r="G728" i="730"/>
  <c r="N727" i="730"/>
  <c r="O727" i="730" s="1"/>
  <c r="M727" i="730"/>
  <c r="K727" i="730"/>
  <c r="J727" i="730"/>
  <c r="L727" i="730" s="1"/>
  <c r="I727" i="730"/>
  <c r="H727" i="730"/>
  <c r="G727" i="730"/>
  <c r="O726" i="730"/>
  <c r="N726" i="730"/>
  <c r="M726" i="730"/>
  <c r="K726" i="730"/>
  <c r="J726" i="730"/>
  <c r="I726" i="730"/>
  <c r="L726" i="730" s="1"/>
  <c r="H726" i="730"/>
  <c r="G726" i="730"/>
  <c r="N725" i="730"/>
  <c r="O725" i="730" s="1"/>
  <c r="M725" i="730"/>
  <c r="K725" i="730"/>
  <c r="L725" i="730" s="1"/>
  <c r="J725" i="730"/>
  <c r="I725" i="730"/>
  <c r="H725" i="730"/>
  <c r="G725" i="730"/>
  <c r="O724" i="730"/>
  <c r="N724" i="730"/>
  <c r="M724" i="730"/>
  <c r="K724" i="730"/>
  <c r="J724" i="730"/>
  <c r="I724" i="730"/>
  <c r="L724" i="730" s="1"/>
  <c r="H724" i="730"/>
  <c r="G724" i="730"/>
  <c r="N723" i="730"/>
  <c r="O723" i="730" s="1"/>
  <c r="M723" i="730"/>
  <c r="L723" i="730"/>
  <c r="K723" i="730"/>
  <c r="J723" i="730"/>
  <c r="I723" i="730"/>
  <c r="H723" i="730"/>
  <c r="G723" i="730"/>
  <c r="O722" i="730"/>
  <c r="N722" i="730"/>
  <c r="M722" i="730"/>
  <c r="K722" i="730"/>
  <c r="J722" i="730"/>
  <c r="I722" i="730"/>
  <c r="L722" i="730" s="1"/>
  <c r="H722" i="730"/>
  <c r="G722" i="730"/>
  <c r="N721" i="730"/>
  <c r="O721" i="730" s="1"/>
  <c r="M721" i="730"/>
  <c r="K721" i="730"/>
  <c r="J721" i="730"/>
  <c r="I721" i="730"/>
  <c r="L721" i="730" s="1"/>
  <c r="H721" i="730"/>
  <c r="G721" i="730"/>
  <c r="O720" i="730"/>
  <c r="N720" i="730"/>
  <c r="M720" i="730"/>
  <c r="K720" i="730"/>
  <c r="J720" i="730"/>
  <c r="I720" i="730"/>
  <c r="L720" i="730" s="1"/>
  <c r="H720" i="730"/>
  <c r="G720" i="730"/>
  <c r="O719" i="730"/>
  <c r="N719" i="730"/>
  <c r="M719" i="730"/>
  <c r="K719" i="730"/>
  <c r="J719" i="730"/>
  <c r="L719" i="730" s="1"/>
  <c r="I719" i="730"/>
  <c r="H719" i="730"/>
  <c r="G719" i="730"/>
  <c r="O718" i="730"/>
  <c r="N718" i="730"/>
  <c r="M718" i="730"/>
  <c r="L718" i="730"/>
  <c r="K718" i="730"/>
  <c r="J718" i="730"/>
  <c r="I718" i="730"/>
  <c r="H718" i="730"/>
  <c r="G718" i="730"/>
  <c r="N717" i="730"/>
  <c r="O717" i="730" s="1"/>
  <c r="M717" i="730"/>
  <c r="K717" i="730"/>
  <c r="L717" i="730" s="1"/>
  <c r="J717" i="730"/>
  <c r="I717" i="730"/>
  <c r="H717" i="730"/>
  <c r="G717" i="730"/>
  <c r="N716" i="730"/>
  <c r="M716" i="730"/>
  <c r="O716" i="730" s="1"/>
  <c r="K716" i="730"/>
  <c r="J716" i="730"/>
  <c r="I716" i="730"/>
  <c r="H716" i="730"/>
  <c r="G716" i="730"/>
  <c r="N715" i="730"/>
  <c r="O715" i="730" s="1"/>
  <c r="M715" i="730"/>
  <c r="L715" i="730"/>
  <c r="K715" i="730"/>
  <c r="J715" i="730"/>
  <c r="I715" i="730"/>
  <c r="H715" i="730"/>
  <c r="G715" i="730"/>
  <c r="N714" i="730"/>
  <c r="O714" i="730" s="1"/>
  <c r="M714" i="730"/>
  <c r="K714" i="730"/>
  <c r="J714" i="730"/>
  <c r="I714" i="730"/>
  <c r="L714" i="730" s="1"/>
  <c r="H714" i="730"/>
  <c r="G714" i="730"/>
  <c r="N713" i="730"/>
  <c r="O713" i="730" s="1"/>
  <c r="M713" i="730"/>
  <c r="L713" i="730"/>
  <c r="K713" i="730"/>
  <c r="J713" i="730"/>
  <c r="I713" i="730"/>
  <c r="H713" i="730"/>
  <c r="G713" i="730"/>
  <c r="O712" i="730"/>
  <c r="N712" i="730"/>
  <c r="M712" i="730"/>
  <c r="K712" i="730"/>
  <c r="J712" i="730"/>
  <c r="I712" i="730"/>
  <c r="L712" i="730" s="1"/>
  <c r="H712" i="730"/>
  <c r="G712" i="730"/>
  <c r="O711" i="730"/>
  <c r="N711" i="730"/>
  <c r="M711" i="730"/>
  <c r="K711" i="730"/>
  <c r="J711" i="730"/>
  <c r="L711" i="730" s="1"/>
  <c r="I711" i="730"/>
  <c r="H711" i="730"/>
  <c r="G711" i="730"/>
  <c r="N710" i="730"/>
  <c r="O710" i="730" s="1"/>
  <c r="M710" i="730"/>
  <c r="K710" i="730"/>
  <c r="L710" i="730" s="1"/>
  <c r="J710" i="730"/>
  <c r="I710" i="730"/>
  <c r="H710" i="730"/>
  <c r="G710" i="730"/>
  <c r="N709" i="730"/>
  <c r="O709" i="730" s="1"/>
  <c r="M709" i="730"/>
  <c r="L709" i="730"/>
  <c r="K709" i="730"/>
  <c r="J709" i="730"/>
  <c r="I709" i="730"/>
  <c r="H709" i="730"/>
  <c r="G709" i="730"/>
  <c r="N708" i="730"/>
  <c r="M708" i="730"/>
  <c r="O708" i="730" s="1"/>
  <c r="K708" i="730"/>
  <c r="J708" i="730"/>
  <c r="I708" i="730"/>
  <c r="H708" i="730"/>
  <c r="G708" i="730"/>
  <c r="O707" i="730"/>
  <c r="N707" i="730"/>
  <c r="M707" i="730"/>
  <c r="L707" i="730"/>
  <c r="K707" i="730"/>
  <c r="J707" i="730"/>
  <c r="I707" i="730"/>
  <c r="H707" i="730"/>
  <c r="G707" i="730"/>
  <c r="N706" i="730"/>
  <c r="O706" i="730" s="1"/>
  <c r="M706" i="730"/>
  <c r="L706" i="730"/>
  <c r="K706" i="730"/>
  <c r="J706" i="730"/>
  <c r="I706" i="730"/>
  <c r="H706" i="730"/>
  <c r="G706" i="730"/>
  <c r="N705" i="730"/>
  <c r="O705" i="730" s="1"/>
  <c r="M705" i="730"/>
  <c r="K705" i="730"/>
  <c r="J705" i="730"/>
  <c r="I705" i="730"/>
  <c r="L705" i="730" s="1"/>
  <c r="H705" i="730"/>
  <c r="G705" i="730"/>
  <c r="N704" i="730"/>
  <c r="O704" i="730" s="1"/>
  <c r="M704" i="730"/>
  <c r="K704" i="730"/>
  <c r="J704" i="730"/>
  <c r="I704" i="730"/>
  <c r="L704" i="730" s="1"/>
  <c r="H704" i="730"/>
  <c r="G704" i="730"/>
  <c r="O703" i="730"/>
  <c r="N703" i="730"/>
  <c r="M703" i="730"/>
  <c r="K703" i="730"/>
  <c r="J703" i="730"/>
  <c r="L703" i="730" s="1"/>
  <c r="I703" i="730"/>
  <c r="H703" i="730"/>
  <c r="G703" i="730"/>
  <c r="O702" i="730"/>
  <c r="N702" i="730"/>
  <c r="M702" i="730"/>
  <c r="L702" i="730"/>
  <c r="K702" i="730"/>
  <c r="J702" i="730"/>
  <c r="I702" i="730"/>
  <c r="H702" i="730"/>
  <c r="G702" i="730"/>
  <c r="N701" i="730"/>
  <c r="O701" i="730" s="1"/>
  <c r="M701" i="730"/>
  <c r="L701" i="730"/>
  <c r="K701" i="730"/>
  <c r="J701" i="730"/>
  <c r="I701" i="730"/>
  <c r="H701" i="730"/>
  <c r="G701" i="730"/>
  <c r="O700" i="730"/>
  <c r="N700" i="730"/>
  <c r="M700" i="730"/>
  <c r="K700" i="730"/>
  <c r="J700" i="730"/>
  <c r="I700" i="730"/>
  <c r="H700" i="730"/>
  <c r="G700" i="730"/>
  <c r="N699" i="730"/>
  <c r="O699" i="730" s="1"/>
  <c r="M699" i="730"/>
  <c r="K699" i="730"/>
  <c r="L699" i="730" s="1"/>
  <c r="J699" i="730"/>
  <c r="I699" i="730"/>
  <c r="H699" i="730"/>
  <c r="G699" i="730"/>
  <c r="N698" i="730"/>
  <c r="O698" i="730" s="1"/>
  <c r="M698" i="730"/>
  <c r="K698" i="730"/>
  <c r="J698" i="730"/>
  <c r="I698" i="730"/>
  <c r="L698" i="730" s="1"/>
  <c r="H698" i="730"/>
  <c r="G698" i="730"/>
  <c r="O697" i="730"/>
  <c r="N697" i="730"/>
  <c r="M697" i="730"/>
  <c r="K697" i="730"/>
  <c r="J697" i="730"/>
  <c r="I697" i="730"/>
  <c r="L697" i="730" s="1"/>
  <c r="H697" i="730"/>
  <c r="G697" i="730"/>
  <c r="N696" i="730"/>
  <c r="O696" i="730" s="1"/>
  <c r="M696" i="730"/>
  <c r="K696" i="730"/>
  <c r="L696" i="730" s="1"/>
  <c r="J696" i="730"/>
  <c r="I696" i="730"/>
  <c r="H696" i="730"/>
  <c r="G696" i="730"/>
  <c r="N695" i="730"/>
  <c r="O695" i="730" s="1"/>
  <c r="M695" i="730"/>
  <c r="K695" i="730"/>
  <c r="L695" i="730" s="1"/>
  <c r="J695" i="730"/>
  <c r="I695" i="730"/>
  <c r="H695" i="730"/>
  <c r="G695" i="730"/>
  <c r="N694" i="730"/>
  <c r="O694" i="730" s="1"/>
  <c r="M694" i="730"/>
  <c r="K694" i="730"/>
  <c r="J694" i="730"/>
  <c r="I694" i="730"/>
  <c r="L694" i="730" s="1"/>
  <c r="H694" i="730"/>
  <c r="G694" i="730"/>
  <c r="O693" i="730"/>
  <c r="N693" i="730"/>
  <c r="M693" i="730"/>
  <c r="K693" i="730"/>
  <c r="J693" i="730"/>
  <c r="I693" i="730"/>
  <c r="L693" i="730" s="1"/>
  <c r="H693" i="730"/>
  <c r="G693" i="730"/>
  <c r="N692" i="730"/>
  <c r="O692" i="730" s="1"/>
  <c r="M692" i="730"/>
  <c r="K692" i="730"/>
  <c r="L692" i="730" s="1"/>
  <c r="J692" i="730"/>
  <c r="I692" i="730"/>
  <c r="H692" i="730"/>
  <c r="G692" i="730"/>
  <c r="N691" i="730"/>
  <c r="M691" i="730"/>
  <c r="O691" i="730" s="1"/>
  <c r="K691" i="730"/>
  <c r="L691" i="730" s="1"/>
  <c r="J691" i="730"/>
  <c r="I691" i="730"/>
  <c r="H691" i="730"/>
  <c r="G691" i="730"/>
  <c r="N690" i="730"/>
  <c r="M690" i="730"/>
  <c r="O690" i="730" s="1"/>
  <c r="K690" i="730"/>
  <c r="J690" i="730"/>
  <c r="I690" i="730"/>
  <c r="H690" i="730"/>
  <c r="G690" i="730"/>
  <c r="N689" i="730"/>
  <c r="O689" i="730" s="1"/>
  <c r="M689" i="730"/>
  <c r="K689" i="730"/>
  <c r="J689" i="730"/>
  <c r="I689" i="730"/>
  <c r="L689" i="730" s="1"/>
  <c r="H689" i="730"/>
  <c r="G689" i="730"/>
  <c r="N688" i="730"/>
  <c r="O688" i="730" s="1"/>
  <c r="M688" i="730"/>
  <c r="K688" i="730"/>
  <c r="L688" i="730" s="1"/>
  <c r="J688" i="730"/>
  <c r="I688" i="730"/>
  <c r="H688" i="730"/>
  <c r="G688" i="730"/>
  <c r="N687" i="730"/>
  <c r="M687" i="730"/>
  <c r="O687" i="730" s="1"/>
  <c r="K687" i="730"/>
  <c r="L687" i="730" s="1"/>
  <c r="J687" i="730"/>
  <c r="I687" i="730"/>
  <c r="H687" i="730"/>
  <c r="G687" i="730"/>
  <c r="N686" i="730"/>
  <c r="M686" i="730"/>
  <c r="O686" i="730" s="1"/>
  <c r="K686" i="730"/>
  <c r="J686" i="730"/>
  <c r="I686" i="730"/>
  <c r="H686" i="730"/>
  <c r="G686" i="730"/>
  <c r="N685" i="730"/>
  <c r="O685" i="730" s="1"/>
  <c r="M685" i="730"/>
  <c r="K685" i="730"/>
  <c r="J685" i="730"/>
  <c r="I685" i="730"/>
  <c r="L685" i="730" s="1"/>
  <c r="H685" i="730"/>
  <c r="G685" i="730"/>
  <c r="N684" i="730"/>
  <c r="O684" i="730" s="1"/>
  <c r="M684" i="730"/>
  <c r="K684" i="730"/>
  <c r="L684" i="730" s="1"/>
  <c r="J684" i="730"/>
  <c r="I684" i="730"/>
  <c r="H684" i="730"/>
  <c r="G684" i="730"/>
  <c r="N683" i="730"/>
  <c r="M683" i="730"/>
  <c r="O683" i="730" s="1"/>
  <c r="K683" i="730"/>
  <c r="L683" i="730" s="1"/>
  <c r="J683" i="730"/>
  <c r="I683" i="730"/>
  <c r="H683" i="730"/>
  <c r="G683" i="730"/>
  <c r="N682" i="730"/>
  <c r="M682" i="730"/>
  <c r="O682" i="730" s="1"/>
  <c r="K682" i="730"/>
  <c r="J682" i="730"/>
  <c r="I682" i="730"/>
  <c r="L682" i="730" s="1"/>
  <c r="H682" i="730"/>
  <c r="G682" i="730"/>
  <c r="N681" i="730"/>
  <c r="O681" i="730" s="1"/>
  <c r="M681" i="730"/>
  <c r="K681" i="730"/>
  <c r="J681" i="730"/>
  <c r="I681" i="730"/>
  <c r="L681" i="730" s="1"/>
  <c r="H681" i="730"/>
  <c r="G681" i="730"/>
  <c r="N680" i="730"/>
  <c r="O680" i="730" s="1"/>
  <c r="M680" i="730"/>
  <c r="K680" i="730"/>
  <c r="L680" i="730" s="1"/>
  <c r="J680" i="730"/>
  <c r="I680" i="730"/>
  <c r="H680" i="730"/>
  <c r="G680" i="730"/>
  <c r="N679" i="730"/>
  <c r="M679" i="730"/>
  <c r="O679" i="730" s="1"/>
  <c r="K679" i="730"/>
  <c r="L679" i="730" s="1"/>
  <c r="J679" i="730"/>
  <c r="I679" i="730"/>
  <c r="H679" i="730"/>
  <c r="G679" i="730"/>
  <c r="N678" i="730"/>
  <c r="M678" i="730"/>
  <c r="O678" i="730" s="1"/>
  <c r="K678" i="730"/>
  <c r="J678" i="730"/>
  <c r="I678" i="730"/>
  <c r="H678" i="730"/>
  <c r="G678" i="730"/>
  <c r="N677" i="730"/>
  <c r="O677" i="730" s="1"/>
  <c r="M677" i="730"/>
  <c r="K677" i="730"/>
  <c r="J677" i="730"/>
  <c r="I677" i="730"/>
  <c r="L677" i="730" s="1"/>
  <c r="H677" i="730"/>
  <c r="G677" i="730"/>
  <c r="N676" i="730"/>
  <c r="O676" i="730" s="1"/>
  <c r="M676" i="730"/>
  <c r="K676" i="730"/>
  <c r="L676" i="730" s="1"/>
  <c r="J676" i="730"/>
  <c r="I676" i="730"/>
  <c r="H676" i="730"/>
  <c r="G676" i="730"/>
  <c r="N675" i="730"/>
  <c r="M675" i="730"/>
  <c r="O675" i="730" s="1"/>
  <c r="K675" i="730"/>
  <c r="L675" i="730" s="1"/>
  <c r="J675" i="730"/>
  <c r="I675" i="730"/>
  <c r="H675" i="730"/>
  <c r="G675" i="730"/>
  <c r="N674" i="730"/>
  <c r="M674" i="730"/>
  <c r="O674" i="730" s="1"/>
  <c r="K674" i="730"/>
  <c r="J674" i="730"/>
  <c r="I674" i="730"/>
  <c r="H674" i="730"/>
  <c r="G674" i="730"/>
  <c r="N673" i="730"/>
  <c r="O673" i="730" s="1"/>
  <c r="M673" i="730"/>
  <c r="K673" i="730"/>
  <c r="J673" i="730"/>
  <c r="I673" i="730"/>
  <c r="L673" i="730" s="1"/>
  <c r="H673" i="730"/>
  <c r="G673" i="730"/>
  <c r="N672" i="730"/>
  <c r="O672" i="730" s="1"/>
  <c r="M672" i="730"/>
  <c r="K672" i="730"/>
  <c r="L672" i="730" s="1"/>
  <c r="J672" i="730"/>
  <c r="I672" i="730"/>
  <c r="H672" i="730"/>
  <c r="G672" i="730"/>
  <c r="N671" i="730"/>
  <c r="M671" i="730"/>
  <c r="O671" i="730" s="1"/>
  <c r="K671" i="730"/>
  <c r="L671" i="730" s="1"/>
  <c r="J671" i="730"/>
  <c r="I671" i="730"/>
  <c r="H671" i="730"/>
  <c r="G671" i="730"/>
  <c r="N670" i="730"/>
  <c r="M670" i="730"/>
  <c r="O670" i="730" s="1"/>
  <c r="K670" i="730"/>
  <c r="J670" i="730"/>
  <c r="I670" i="730"/>
  <c r="L670" i="730" s="1"/>
  <c r="H670" i="730"/>
  <c r="G670" i="730"/>
  <c r="N669" i="730"/>
  <c r="O669" i="730" s="1"/>
  <c r="M669" i="730"/>
  <c r="K669" i="730"/>
  <c r="J669" i="730"/>
  <c r="I669" i="730"/>
  <c r="L669" i="730" s="1"/>
  <c r="H669" i="730"/>
  <c r="G669" i="730"/>
  <c r="N668" i="730"/>
  <c r="O668" i="730" s="1"/>
  <c r="M668" i="730"/>
  <c r="K668" i="730"/>
  <c r="L668" i="730" s="1"/>
  <c r="J668" i="730"/>
  <c r="I668" i="730"/>
  <c r="H668" i="730"/>
  <c r="G668" i="730"/>
  <c r="N667" i="730"/>
  <c r="M667" i="730"/>
  <c r="O667" i="730" s="1"/>
  <c r="K667" i="730"/>
  <c r="L667" i="730" s="1"/>
  <c r="J667" i="730"/>
  <c r="I667" i="730"/>
  <c r="H667" i="730"/>
  <c r="G667" i="730"/>
  <c r="N666" i="730"/>
  <c r="M666" i="730"/>
  <c r="O666" i="730" s="1"/>
  <c r="K666" i="730"/>
  <c r="J666" i="730"/>
  <c r="I666" i="730"/>
  <c r="H666" i="730"/>
  <c r="G666" i="730"/>
  <c r="N665" i="730"/>
  <c r="O665" i="730" s="1"/>
  <c r="M665" i="730"/>
  <c r="K665" i="730"/>
  <c r="J665" i="730"/>
  <c r="I665" i="730"/>
  <c r="L665" i="730" s="1"/>
  <c r="H665" i="730"/>
  <c r="G665" i="730"/>
  <c r="N664" i="730"/>
  <c r="O664" i="730" s="1"/>
  <c r="M664" i="730"/>
  <c r="K664" i="730"/>
  <c r="L664" i="730" s="1"/>
  <c r="J664" i="730"/>
  <c r="I664" i="730"/>
  <c r="H664" i="730"/>
  <c r="G664" i="730"/>
  <c r="N663" i="730"/>
  <c r="M663" i="730"/>
  <c r="O663" i="730" s="1"/>
  <c r="K663" i="730"/>
  <c r="L663" i="730" s="1"/>
  <c r="J663" i="730"/>
  <c r="I663" i="730"/>
  <c r="H663" i="730"/>
  <c r="G663" i="730"/>
  <c r="N662" i="730"/>
  <c r="M662" i="730"/>
  <c r="O662" i="730" s="1"/>
  <c r="K662" i="730"/>
  <c r="J662" i="730"/>
  <c r="I662" i="730"/>
  <c r="H662" i="730"/>
  <c r="G662" i="730"/>
  <c r="N661" i="730"/>
  <c r="O661" i="730" s="1"/>
  <c r="M661" i="730"/>
  <c r="K661" i="730"/>
  <c r="J661" i="730"/>
  <c r="I661" i="730"/>
  <c r="L661" i="730" s="1"/>
  <c r="H661" i="730"/>
  <c r="G661" i="730"/>
  <c r="N660" i="730"/>
  <c r="O660" i="730" s="1"/>
  <c r="M660" i="730"/>
  <c r="K660" i="730"/>
  <c r="L660" i="730" s="1"/>
  <c r="J660" i="730"/>
  <c r="I660" i="730"/>
  <c r="H660" i="730"/>
  <c r="G660" i="730"/>
  <c r="N659" i="730"/>
  <c r="M659" i="730"/>
  <c r="O659" i="730" s="1"/>
  <c r="K659" i="730"/>
  <c r="L659" i="730" s="1"/>
  <c r="J659" i="730"/>
  <c r="I659" i="730"/>
  <c r="H659" i="730"/>
  <c r="G659" i="730"/>
  <c r="N658" i="730"/>
  <c r="M658" i="730"/>
  <c r="O658" i="730" s="1"/>
  <c r="K658" i="730"/>
  <c r="J658" i="730"/>
  <c r="I658" i="730"/>
  <c r="L658" i="730" s="1"/>
  <c r="H658" i="730"/>
  <c r="G658" i="730"/>
  <c r="N657" i="730"/>
  <c r="O657" i="730" s="1"/>
  <c r="M657" i="730"/>
  <c r="K657" i="730"/>
  <c r="J657" i="730"/>
  <c r="I657" i="730"/>
  <c r="L657" i="730" s="1"/>
  <c r="H657" i="730"/>
  <c r="G657" i="730"/>
  <c r="N656" i="730"/>
  <c r="O656" i="730" s="1"/>
  <c r="M656" i="730"/>
  <c r="K656" i="730"/>
  <c r="L656" i="730" s="1"/>
  <c r="J656" i="730"/>
  <c r="I656" i="730"/>
  <c r="H656" i="730"/>
  <c r="G656" i="730"/>
  <c r="N655" i="730"/>
  <c r="M655" i="730"/>
  <c r="O655" i="730" s="1"/>
  <c r="K655" i="730"/>
  <c r="L655" i="730" s="1"/>
  <c r="J655" i="730"/>
  <c r="I655" i="730"/>
  <c r="H655" i="730"/>
  <c r="G655" i="730"/>
  <c r="N654" i="730"/>
  <c r="M654" i="730"/>
  <c r="O654" i="730" s="1"/>
  <c r="K654" i="730"/>
  <c r="J654" i="730"/>
  <c r="I654" i="730"/>
  <c r="H654" i="730"/>
  <c r="G654" i="730"/>
  <c r="N653" i="730"/>
  <c r="O653" i="730" s="1"/>
  <c r="M653" i="730"/>
  <c r="K653" i="730"/>
  <c r="J653" i="730"/>
  <c r="I653" i="730"/>
  <c r="L653" i="730" s="1"/>
  <c r="H653" i="730"/>
  <c r="G653" i="730"/>
  <c r="N652" i="730"/>
  <c r="O652" i="730" s="1"/>
  <c r="M652" i="730"/>
  <c r="K652" i="730"/>
  <c r="L652" i="730" s="1"/>
  <c r="J652" i="730"/>
  <c r="I652" i="730"/>
  <c r="H652" i="730"/>
  <c r="G652" i="730"/>
  <c r="N651" i="730"/>
  <c r="M651" i="730"/>
  <c r="O651" i="730" s="1"/>
  <c r="K651" i="730"/>
  <c r="L651" i="730" s="1"/>
  <c r="J651" i="730"/>
  <c r="I651" i="730"/>
  <c r="H651" i="730"/>
  <c r="G651" i="730"/>
  <c r="N650" i="730"/>
  <c r="M650" i="730"/>
  <c r="O650" i="730" s="1"/>
  <c r="K650" i="730"/>
  <c r="J650" i="730"/>
  <c r="I650" i="730"/>
  <c r="H650" i="730"/>
  <c r="G650" i="730"/>
  <c r="N649" i="730"/>
  <c r="O649" i="730" s="1"/>
  <c r="M649" i="730"/>
  <c r="K649" i="730"/>
  <c r="J649" i="730"/>
  <c r="I649" i="730"/>
  <c r="L649" i="730" s="1"/>
  <c r="H649" i="730"/>
  <c r="G649" i="730"/>
  <c r="N648" i="730"/>
  <c r="O648" i="730" s="1"/>
  <c r="M648" i="730"/>
  <c r="K648" i="730"/>
  <c r="L648" i="730" s="1"/>
  <c r="J648" i="730"/>
  <c r="I648" i="730"/>
  <c r="H648" i="730"/>
  <c r="G648" i="730"/>
  <c r="N647" i="730"/>
  <c r="M647" i="730"/>
  <c r="O647" i="730" s="1"/>
  <c r="K647" i="730"/>
  <c r="L647" i="730" s="1"/>
  <c r="J647" i="730"/>
  <c r="I647" i="730"/>
  <c r="H647" i="730"/>
  <c r="G647" i="730"/>
  <c r="N646" i="730"/>
  <c r="M646" i="730"/>
  <c r="O646" i="730" s="1"/>
  <c r="K646" i="730"/>
  <c r="J646" i="730"/>
  <c r="I646" i="730"/>
  <c r="L646" i="730" s="1"/>
  <c r="H646" i="730"/>
  <c r="G646" i="730"/>
  <c r="N645" i="730"/>
  <c r="O645" i="730" s="1"/>
  <c r="M645" i="730"/>
  <c r="K645" i="730"/>
  <c r="J645" i="730"/>
  <c r="I645" i="730"/>
  <c r="L645" i="730" s="1"/>
  <c r="H645" i="730"/>
  <c r="G645" i="730"/>
  <c r="N644" i="730"/>
  <c r="O644" i="730" s="1"/>
  <c r="M644" i="730"/>
  <c r="K644" i="730"/>
  <c r="L644" i="730" s="1"/>
  <c r="J644" i="730"/>
  <c r="I644" i="730"/>
  <c r="H644" i="730"/>
  <c r="G644" i="730"/>
  <c r="N643" i="730"/>
  <c r="M643" i="730"/>
  <c r="O643" i="730" s="1"/>
  <c r="K643" i="730"/>
  <c r="L643" i="730" s="1"/>
  <c r="J643" i="730"/>
  <c r="I643" i="730"/>
  <c r="H643" i="730"/>
  <c r="G643" i="730"/>
  <c r="N642" i="730"/>
  <c r="M642" i="730"/>
  <c r="O642" i="730" s="1"/>
  <c r="K642" i="730"/>
  <c r="J642" i="730"/>
  <c r="I642" i="730"/>
  <c r="H642" i="730"/>
  <c r="G642" i="730"/>
  <c r="N641" i="730"/>
  <c r="O641" i="730" s="1"/>
  <c r="M641" i="730"/>
  <c r="K641" i="730"/>
  <c r="J641" i="730"/>
  <c r="I641" i="730"/>
  <c r="L641" i="730" s="1"/>
  <c r="H641" i="730"/>
  <c r="G641" i="730"/>
  <c r="N640" i="730"/>
  <c r="O640" i="730" s="1"/>
  <c r="M640" i="730"/>
  <c r="K640" i="730"/>
  <c r="L640" i="730" s="1"/>
  <c r="J640" i="730"/>
  <c r="I640" i="730"/>
  <c r="H640" i="730"/>
  <c r="G640" i="730"/>
  <c r="N639" i="730"/>
  <c r="M639" i="730"/>
  <c r="O639" i="730" s="1"/>
  <c r="K639" i="730"/>
  <c r="L639" i="730" s="1"/>
  <c r="J639" i="730"/>
  <c r="I639" i="730"/>
  <c r="H639" i="730"/>
  <c r="G639" i="730"/>
  <c r="N638" i="730"/>
  <c r="M638" i="730"/>
  <c r="O638" i="730" s="1"/>
  <c r="K638" i="730"/>
  <c r="J638" i="730"/>
  <c r="I638" i="730"/>
  <c r="H638" i="730"/>
  <c r="G638" i="730"/>
  <c r="N637" i="730"/>
  <c r="O637" i="730" s="1"/>
  <c r="M637" i="730"/>
  <c r="K637" i="730"/>
  <c r="J637" i="730"/>
  <c r="I637" i="730"/>
  <c r="L637" i="730" s="1"/>
  <c r="H637" i="730"/>
  <c r="G637" i="730"/>
  <c r="N636" i="730"/>
  <c r="O636" i="730" s="1"/>
  <c r="M636" i="730"/>
  <c r="K636" i="730"/>
  <c r="L636" i="730" s="1"/>
  <c r="J636" i="730"/>
  <c r="I636" i="730"/>
  <c r="H636" i="730"/>
  <c r="G636" i="730"/>
  <c r="N635" i="730"/>
  <c r="M635" i="730"/>
  <c r="O635" i="730" s="1"/>
  <c r="K635" i="730"/>
  <c r="L635" i="730" s="1"/>
  <c r="J635" i="730"/>
  <c r="I635" i="730"/>
  <c r="H635" i="730"/>
  <c r="G635" i="730"/>
  <c r="N634" i="730"/>
  <c r="M634" i="730"/>
  <c r="O634" i="730" s="1"/>
  <c r="K634" i="730"/>
  <c r="J634" i="730"/>
  <c r="I634" i="730"/>
  <c r="L634" i="730" s="1"/>
  <c r="H634" i="730"/>
  <c r="G634" i="730"/>
  <c r="N633" i="730"/>
  <c r="O633" i="730" s="1"/>
  <c r="M633" i="730"/>
  <c r="K633" i="730"/>
  <c r="J633" i="730"/>
  <c r="I633" i="730"/>
  <c r="L633" i="730" s="1"/>
  <c r="H633" i="730"/>
  <c r="G633" i="730"/>
  <c r="N632" i="730"/>
  <c r="O632" i="730" s="1"/>
  <c r="M632" i="730"/>
  <c r="K632" i="730"/>
  <c r="L632" i="730" s="1"/>
  <c r="J632" i="730"/>
  <c r="I632" i="730"/>
  <c r="H632" i="730"/>
  <c r="G632" i="730"/>
  <c r="N631" i="730"/>
  <c r="M631" i="730"/>
  <c r="O631" i="730" s="1"/>
  <c r="K631" i="730"/>
  <c r="L631" i="730" s="1"/>
  <c r="J631" i="730"/>
  <c r="I631" i="730"/>
  <c r="H631" i="730"/>
  <c r="G631" i="730"/>
  <c r="N630" i="730"/>
  <c r="M630" i="730"/>
  <c r="O630" i="730" s="1"/>
  <c r="K630" i="730"/>
  <c r="J630" i="730"/>
  <c r="I630" i="730"/>
  <c r="H630" i="730"/>
  <c r="G630" i="730"/>
  <c r="N629" i="730"/>
  <c r="O629" i="730" s="1"/>
  <c r="M629" i="730"/>
  <c r="K629" i="730"/>
  <c r="J629" i="730"/>
  <c r="I629" i="730"/>
  <c r="L629" i="730" s="1"/>
  <c r="H629" i="730"/>
  <c r="G629" i="730"/>
  <c r="N628" i="730"/>
  <c r="O628" i="730" s="1"/>
  <c r="M628" i="730"/>
  <c r="K628" i="730"/>
  <c r="L628" i="730" s="1"/>
  <c r="J628" i="730"/>
  <c r="I628" i="730"/>
  <c r="H628" i="730"/>
  <c r="G628" i="730"/>
  <c r="N627" i="730"/>
  <c r="M627" i="730"/>
  <c r="O627" i="730" s="1"/>
  <c r="K627" i="730"/>
  <c r="L627" i="730" s="1"/>
  <c r="J627" i="730"/>
  <c r="I627" i="730"/>
  <c r="H627" i="730"/>
  <c r="G627" i="730"/>
  <c r="N626" i="730"/>
  <c r="M626" i="730"/>
  <c r="O626" i="730" s="1"/>
  <c r="K626" i="730"/>
  <c r="J626" i="730"/>
  <c r="I626" i="730"/>
  <c r="H626" i="730"/>
  <c r="G626" i="730"/>
  <c r="N625" i="730"/>
  <c r="O625" i="730" s="1"/>
  <c r="M625" i="730"/>
  <c r="K625" i="730"/>
  <c r="J625" i="730"/>
  <c r="I625" i="730"/>
  <c r="L625" i="730" s="1"/>
  <c r="H625" i="730"/>
  <c r="G625" i="730"/>
  <c r="N624" i="730"/>
  <c r="O624" i="730" s="1"/>
  <c r="M624" i="730"/>
  <c r="K624" i="730"/>
  <c r="L624" i="730" s="1"/>
  <c r="J624" i="730"/>
  <c r="I624" i="730"/>
  <c r="H624" i="730"/>
  <c r="G624" i="730"/>
  <c r="N623" i="730"/>
  <c r="M623" i="730"/>
  <c r="O623" i="730" s="1"/>
  <c r="K623" i="730"/>
  <c r="L623" i="730" s="1"/>
  <c r="J623" i="730"/>
  <c r="I623" i="730"/>
  <c r="H623" i="730"/>
  <c r="G623" i="730"/>
  <c r="N622" i="730"/>
  <c r="M622" i="730"/>
  <c r="O622" i="730" s="1"/>
  <c r="K622" i="730"/>
  <c r="J622" i="730"/>
  <c r="I622" i="730"/>
  <c r="H622" i="730"/>
  <c r="G622" i="730"/>
  <c r="N621" i="730"/>
  <c r="O621" i="730" s="1"/>
  <c r="M621" i="730"/>
  <c r="K621" i="730"/>
  <c r="J621" i="730"/>
  <c r="I621" i="730"/>
  <c r="L621" i="730" s="1"/>
  <c r="H621" i="730"/>
  <c r="G621" i="730"/>
  <c r="N620" i="730"/>
  <c r="O620" i="730" s="1"/>
  <c r="M620" i="730"/>
  <c r="K620" i="730"/>
  <c r="L620" i="730" s="1"/>
  <c r="J620" i="730"/>
  <c r="I620" i="730"/>
  <c r="H620" i="730"/>
  <c r="G620" i="730"/>
  <c r="N619" i="730"/>
  <c r="M619" i="730"/>
  <c r="O619" i="730" s="1"/>
  <c r="K619" i="730"/>
  <c r="L619" i="730" s="1"/>
  <c r="J619" i="730"/>
  <c r="I619" i="730"/>
  <c r="H619" i="730"/>
  <c r="G619" i="730"/>
  <c r="N618" i="730"/>
  <c r="M618" i="730"/>
  <c r="O618" i="730" s="1"/>
  <c r="K618" i="730"/>
  <c r="J618" i="730"/>
  <c r="I618" i="730"/>
  <c r="H618" i="730"/>
  <c r="G618" i="730"/>
  <c r="N617" i="730"/>
  <c r="O617" i="730" s="1"/>
  <c r="M617" i="730"/>
  <c r="K617" i="730"/>
  <c r="J617" i="730"/>
  <c r="I617" i="730"/>
  <c r="L617" i="730" s="1"/>
  <c r="H617" i="730"/>
  <c r="G617" i="730"/>
  <c r="N616" i="730"/>
  <c r="O616" i="730" s="1"/>
  <c r="M616" i="730"/>
  <c r="K616" i="730"/>
  <c r="L616" i="730" s="1"/>
  <c r="J616" i="730"/>
  <c r="I616" i="730"/>
  <c r="H616" i="730"/>
  <c r="G616" i="730"/>
  <c r="N615" i="730"/>
  <c r="M615" i="730"/>
  <c r="O615" i="730" s="1"/>
  <c r="K615" i="730"/>
  <c r="L615" i="730" s="1"/>
  <c r="J615" i="730"/>
  <c r="I615" i="730"/>
  <c r="H615" i="730"/>
  <c r="G615" i="730"/>
  <c r="N614" i="730"/>
  <c r="M614" i="730"/>
  <c r="O614" i="730" s="1"/>
  <c r="K614" i="730"/>
  <c r="J614" i="730"/>
  <c r="I614" i="730"/>
  <c r="H614" i="730"/>
  <c r="G614" i="730"/>
  <c r="N613" i="730"/>
  <c r="O613" i="730" s="1"/>
  <c r="M613" i="730"/>
  <c r="K613" i="730"/>
  <c r="J613" i="730"/>
  <c r="I613" i="730"/>
  <c r="L613" i="730" s="1"/>
  <c r="H613" i="730"/>
  <c r="G613" i="730"/>
  <c r="N612" i="730"/>
  <c r="O612" i="730" s="1"/>
  <c r="M612" i="730"/>
  <c r="K612" i="730"/>
  <c r="L612" i="730" s="1"/>
  <c r="J612" i="730"/>
  <c r="I612" i="730"/>
  <c r="H612" i="730"/>
  <c r="G612" i="730"/>
  <c r="N611" i="730"/>
  <c r="M611" i="730"/>
  <c r="O611" i="730" s="1"/>
  <c r="K611" i="730"/>
  <c r="L611" i="730" s="1"/>
  <c r="J611" i="730"/>
  <c r="I611" i="730"/>
  <c r="H611" i="730"/>
  <c r="G611" i="730"/>
  <c r="N610" i="730"/>
  <c r="M610" i="730"/>
  <c r="O610" i="730" s="1"/>
  <c r="K610" i="730"/>
  <c r="J610" i="730"/>
  <c r="I610" i="730"/>
  <c r="H610" i="730"/>
  <c r="G610" i="730"/>
  <c r="N609" i="730"/>
  <c r="O609" i="730" s="1"/>
  <c r="M609" i="730"/>
  <c r="K609" i="730"/>
  <c r="J609" i="730"/>
  <c r="I609" i="730"/>
  <c r="L609" i="730" s="1"/>
  <c r="H609" i="730"/>
  <c r="G609" i="730"/>
  <c r="N608" i="730"/>
  <c r="O608" i="730" s="1"/>
  <c r="M608" i="730"/>
  <c r="K608" i="730"/>
  <c r="L608" i="730" s="1"/>
  <c r="J608" i="730"/>
  <c r="I608" i="730"/>
  <c r="H608" i="730"/>
  <c r="G608" i="730"/>
  <c r="N607" i="730"/>
  <c r="M607" i="730"/>
  <c r="O607" i="730" s="1"/>
  <c r="K607" i="730"/>
  <c r="L607" i="730" s="1"/>
  <c r="J607" i="730"/>
  <c r="I607" i="730"/>
  <c r="H607" i="730"/>
  <c r="G607" i="730"/>
  <c r="N606" i="730"/>
  <c r="M606" i="730"/>
  <c r="O606" i="730" s="1"/>
  <c r="K606" i="730"/>
  <c r="J606" i="730"/>
  <c r="I606" i="730"/>
  <c r="H606" i="730"/>
  <c r="G606" i="730"/>
  <c r="N605" i="730"/>
  <c r="O605" i="730" s="1"/>
  <c r="M605" i="730"/>
  <c r="K605" i="730"/>
  <c r="J605" i="730"/>
  <c r="I605" i="730"/>
  <c r="L605" i="730" s="1"/>
  <c r="H605" i="730"/>
  <c r="G605" i="730"/>
  <c r="N604" i="730"/>
  <c r="O604" i="730" s="1"/>
  <c r="M604" i="730"/>
  <c r="K604" i="730"/>
  <c r="L604" i="730" s="1"/>
  <c r="J604" i="730"/>
  <c r="I604" i="730"/>
  <c r="H604" i="730"/>
  <c r="G604" i="730"/>
  <c r="N603" i="730"/>
  <c r="M603" i="730"/>
  <c r="O603" i="730" s="1"/>
  <c r="K603" i="730"/>
  <c r="L603" i="730" s="1"/>
  <c r="J603" i="730"/>
  <c r="I603" i="730"/>
  <c r="H603" i="730"/>
  <c r="G603" i="730"/>
  <c r="N602" i="730"/>
  <c r="M602" i="730"/>
  <c r="O602" i="730" s="1"/>
  <c r="K602" i="730"/>
  <c r="J602" i="730"/>
  <c r="I602" i="730"/>
  <c r="H602" i="730"/>
  <c r="G602" i="730"/>
  <c r="N601" i="730"/>
  <c r="O601" i="730" s="1"/>
  <c r="M601" i="730"/>
  <c r="K601" i="730"/>
  <c r="J601" i="730"/>
  <c r="I601" i="730"/>
  <c r="L601" i="730" s="1"/>
  <c r="H601" i="730"/>
  <c r="G601" i="730"/>
  <c r="N600" i="730"/>
  <c r="O600" i="730" s="1"/>
  <c r="M600" i="730"/>
  <c r="K600" i="730"/>
  <c r="L600" i="730" s="1"/>
  <c r="J600" i="730"/>
  <c r="I600" i="730"/>
  <c r="H600" i="730"/>
  <c r="G600" i="730"/>
  <c r="N599" i="730"/>
  <c r="M599" i="730"/>
  <c r="O599" i="730" s="1"/>
  <c r="K599" i="730"/>
  <c r="L599" i="730" s="1"/>
  <c r="J599" i="730"/>
  <c r="I599" i="730"/>
  <c r="H599" i="730"/>
  <c r="G599" i="730"/>
  <c r="N598" i="730"/>
  <c r="M598" i="730"/>
  <c r="O598" i="730" s="1"/>
  <c r="K598" i="730"/>
  <c r="J598" i="730"/>
  <c r="I598" i="730"/>
  <c r="H598" i="730"/>
  <c r="G598" i="730"/>
  <c r="N597" i="730"/>
  <c r="O597" i="730" s="1"/>
  <c r="M597" i="730"/>
  <c r="K597" i="730"/>
  <c r="J597" i="730"/>
  <c r="I597" i="730"/>
  <c r="H597" i="730"/>
  <c r="G597" i="730"/>
  <c r="N596" i="730"/>
  <c r="O596" i="730" s="1"/>
  <c r="M596" i="730"/>
  <c r="K596" i="730"/>
  <c r="L596" i="730" s="1"/>
  <c r="J596" i="730"/>
  <c r="I596" i="730"/>
  <c r="H596" i="730"/>
  <c r="G596" i="730"/>
  <c r="N595" i="730"/>
  <c r="M595" i="730"/>
  <c r="O595" i="730" s="1"/>
  <c r="K595" i="730"/>
  <c r="L595" i="730" s="1"/>
  <c r="J595" i="730"/>
  <c r="I595" i="730"/>
  <c r="H595" i="730"/>
  <c r="G595" i="730"/>
  <c r="N594" i="730"/>
  <c r="M594" i="730"/>
  <c r="O594" i="730" s="1"/>
  <c r="K594" i="730"/>
  <c r="J594" i="730"/>
  <c r="I594" i="730"/>
  <c r="H594" i="730"/>
  <c r="G594" i="730"/>
  <c r="N593" i="730"/>
  <c r="O593" i="730" s="1"/>
  <c r="M593" i="730"/>
  <c r="K593" i="730"/>
  <c r="J593" i="730"/>
  <c r="I593" i="730"/>
  <c r="L593" i="730" s="1"/>
  <c r="H593" i="730"/>
  <c r="G593" i="730"/>
  <c r="N592" i="730"/>
  <c r="O592" i="730" s="1"/>
  <c r="M592" i="730"/>
  <c r="K592" i="730"/>
  <c r="L592" i="730" s="1"/>
  <c r="J592" i="730"/>
  <c r="I592" i="730"/>
  <c r="H592" i="730"/>
  <c r="G592" i="730"/>
  <c r="N591" i="730"/>
  <c r="M591" i="730"/>
  <c r="O591" i="730" s="1"/>
  <c r="K591" i="730"/>
  <c r="L591" i="730" s="1"/>
  <c r="J591" i="730"/>
  <c r="I591" i="730"/>
  <c r="H591" i="730"/>
  <c r="G591" i="730"/>
  <c r="N590" i="730"/>
  <c r="M590" i="730"/>
  <c r="O590" i="730" s="1"/>
  <c r="K590" i="730"/>
  <c r="J590" i="730"/>
  <c r="I590" i="730"/>
  <c r="H590" i="730"/>
  <c r="G590" i="730"/>
  <c r="N589" i="730"/>
  <c r="O589" i="730" s="1"/>
  <c r="M589" i="730"/>
  <c r="K589" i="730"/>
  <c r="J589" i="730"/>
  <c r="I589" i="730"/>
  <c r="L589" i="730" s="1"/>
  <c r="H589" i="730"/>
  <c r="G589" i="730"/>
  <c r="N588" i="730"/>
  <c r="O588" i="730" s="1"/>
  <c r="M588" i="730"/>
  <c r="K588" i="730"/>
  <c r="L588" i="730" s="1"/>
  <c r="J588" i="730"/>
  <c r="I588" i="730"/>
  <c r="H588" i="730"/>
  <c r="G588" i="730"/>
  <c r="N587" i="730"/>
  <c r="M587" i="730"/>
  <c r="O587" i="730" s="1"/>
  <c r="K587" i="730"/>
  <c r="L587" i="730" s="1"/>
  <c r="J587" i="730"/>
  <c r="I587" i="730"/>
  <c r="H587" i="730"/>
  <c r="G587" i="730"/>
  <c r="N586" i="730"/>
  <c r="M586" i="730"/>
  <c r="O586" i="730" s="1"/>
  <c r="K586" i="730"/>
  <c r="J586" i="730"/>
  <c r="I586" i="730"/>
  <c r="L586" i="730" s="1"/>
  <c r="H586" i="730"/>
  <c r="G586" i="730"/>
  <c r="N585" i="730"/>
  <c r="O585" i="730" s="1"/>
  <c r="M585" i="730"/>
  <c r="K585" i="730"/>
  <c r="J585" i="730"/>
  <c r="I585" i="730"/>
  <c r="H585" i="730"/>
  <c r="G585" i="730"/>
  <c r="N584" i="730"/>
  <c r="O584" i="730" s="1"/>
  <c r="M584" i="730"/>
  <c r="K584" i="730"/>
  <c r="L584" i="730" s="1"/>
  <c r="J584" i="730"/>
  <c r="I584" i="730"/>
  <c r="H584" i="730"/>
  <c r="G584" i="730"/>
  <c r="N583" i="730"/>
  <c r="M583" i="730"/>
  <c r="O583" i="730" s="1"/>
  <c r="K583" i="730"/>
  <c r="L583" i="730" s="1"/>
  <c r="J583" i="730"/>
  <c r="I583" i="730"/>
  <c r="H583" i="730"/>
  <c r="G583" i="730"/>
  <c r="N582" i="730"/>
  <c r="M582" i="730"/>
  <c r="O582" i="730" s="1"/>
  <c r="K582" i="730"/>
  <c r="J582" i="730"/>
  <c r="I582" i="730"/>
  <c r="H582" i="730"/>
  <c r="G582" i="730"/>
  <c r="N581" i="730"/>
  <c r="O581" i="730" s="1"/>
  <c r="M581" i="730"/>
  <c r="K581" i="730"/>
  <c r="J581" i="730"/>
  <c r="I581" i="730"/>
  <c r="L581" i="730" s="1"/>
  <c r="H581" i="730"/>
  <c r="G581" i="730"/>
  <c r="N580" i="730"/>
  <c r="O580" i="730" s="1"/>
  <c r="M580" i="730"/>
  <c r="K580" i="730"/>
  <c r="L580" i="730" s="1"/>
  <c r="J580" i="730"/>
  <c r="I580" i="730"/>
  <c r="H580" i="730"/>
  <c r="G580" i="730"/>
  <c r="N579" i="730"/>
  <c r="M579" i="730"/>
  <c r="O579" i="730" s="1"/>
  <c r="K579" i="730"/>
  <c r="L579" i="730" s="1"/>
  <c r="J579" i="730"/>
  <c r="I579" i="730"/>
  <c r="H579" i="730"/>
  <c r="G579" i="730"/>
  <c r="N578" i="730"/>
  <c r="M578" i="730"/>
  <c r="O578" i="730" s="1"/>
  <c r="K578" i="730"/>
  <c r="J578" i="730"/>
  <c r="I578" i="730"/>
  <c r="L578" i="730" s="1"/>
  <c r="H578" i="730"/>
  <c r="G578" i="730"/>
  <c r="N577" i="730"/>
  <c r="O577" i="730" s="1"/>
  <c r="M577" i="730"/>
  <c r="K577" i="730"/>
  <c r="J577" i="730"/>
  <c r="I577" i="730"/>
  <c r="H577" i="730"/>
  <c r="G577" i="730"/>
  <c r="N576" i="730"/>
  <c r="O576" i="730" s="1"/>
  <c r="M576" i="730"/>
  <c r="K576" i="730"/>
  <c r="L576" i="730" s="1"/>
  <c r="J576" i="730"/>
  <c r="I576" i="730"/>
  <c r="H576" i="730"/>
  <c r="G576" i="730"/>
  <c r="N575" i="730"/>
  <c r="M575" i="730"/>
  <c r="O575" i="730" s="1"/>
  <c r="K575" i="730"/>
  <c r="L575" i="730" s="1"/>
  <c r="J575" i="730"/>
  <c r="I575" i="730"/>
  <c r="H575" i="730"/>
  <c r="G575" i="730"/>
  <c r="N574" i="730"/>
  <c r="M574" i="730"/>
  <c r="O574" i="730" s="1"/>
  <c r="K574" i="730"/>
  <c r="J574" i="730"/>
  <c r="I574" i="730"/>
  <c r="H574" i="730"/>
  <c r="G574" i="730"/>
  <c r="N573" i="730"/>
  <c r="O573" i="730" s="1"/>
  <c r="M573" i="730"/>
  <c r="K573" i="730"/>
  <c r="J573" i="730"/>
  <c r="I573" i="730"/>
  <c r="L573" i="730" s="1"/>
  <c r="H573" i="730"/>
  <c r="G573" i="730"/>
  <c r="N572" i="730"/>
  <c r="O572" i="730" s="1"/>
  <c r="M572" i="730"/>
  <c r="K572" i="730"/>
  <c r="L572" i="730" s="1"/>
  <c r="J572" i="730"/>
  <c r="I572" i="730"/>
  <c r="H572" i="730"/>
  <c r="G572" i="730"/>
  <c r="N571" i="730"/>
  <c r="M571" i="730"/>
  <c r="O571" i="730" s="1"/>
  <c r="K571" i="730"/>
  <c r="L571" i="730" s="1"/>
  <c r="J571" i="730"/>
  <c r="I571" i="730"/>
  <c r="H571" i="730"/>
  <c r="G571" i="730"/>
  <c r="N570" i="730"/>
  <c r="M570" i="730"/>
  <c r="O570" i="730" s="1"/>
  <c r="K570" i="730"/>
  <c r="J570" i="730"/>
  <c r="I570" i="730"/>
  <c r="L570" i="730" s="1"/>
  <c r="H570" i="730"/>
  <c r="G570" i="730"/>
  <c r="N569" i="730"/>
  <c r="O569" i="730" s="1"/>
  <c r="M569" i="730"/>
  <c r="K569" i="730"/>
  <c r="J569" i="730"/>
  <c r="I569" i="730"/>
  <c r="H569" i="730"/>
  <c r="G569" i="730"/>
  <c r="N568" i="730"/>
  <c r="O568" i="730" s="1"/>
  <c r="M568" i="730"/>
  <c r="K568" i="730"/>
  <c r="L568" i="730" s="1"/>
  <c r="J568" i="730"/>
  <c r="I568" i="730"/>
  <c r="H568" i="730"/>
  <c r="G568" i="730"/>
  <c r="N567" i="730"/>
  <c r="M567" i="730"/>
  <c r="O567" i="730" s="1"/>
  <c r="K567" i="730"/>
  <c r="L567" i="730" s="1"/>
  <c r="J567" i="730"/>
  <c r="I567" i="730"/>
  <c r="H567" i="730"/>
  <c r="G567" i="730"/>
  <c r="N566" i="730"/>
  <c r="M566" i="730"/>
  <c r="O566" i="730" s="1"/>
  <c r="K566" i="730"/>
  <c r="J566" i="730"/>
  <c r="I566" i="730"/>
  <c r="H566" i="730"/>
  <c r="G566" i="730"/>
  <c r="N565" i="730"/>
  <c r="O565" i="730" s="1"/>
  <c r="M565" i="730"/>
  <c r="K565" i="730"/>
  <c r="J565" i="730"/>
  <c r="I565" i="730"/>
  <c r="L565" i="730" s="1"/>
  <c r="H565" i="730"/>
  <c r="G565" i="730"/>
  <c r="N564" i="730"/>
  <c r="O564" i="730" s="1"/>
  <c r="M564" i="730"/>
  <c r="K564" i="730"/>
  <c r="L564" i="730" s="1"/>
  <c r="J564" i="730"/>
  <c r="I564" i="730"/>
  <c r="H564" i="730"/>
  <c r="G564" i="730"/>
  <c r="N563" i="730"/>
  <c r="M563" i="730"/>
  <c r="O563" i="730" s="1"/>
  <c r="K563" i="730"/>
  <c r="L563" i="730" s="1"/>
  <c r="J563" i="730"/>
  <c r="I563" i="730"/>
  <c r="H563" i="730"/>
  <c r="G563" i="730"/>
  <c r="N562" i="730"/>
  <c r="M562" i="730"/>
  <c r="O562" i="730" s="1"/>
  <c r="K562" i="730"/>
  <c r="J562" i="730"/>
  <c r="I562" i="730"/>
  <c r="L562" i="730" s="1"/>
  <c r="H562" i="730"/>
  <c r="G562" i="730"/>
  <c r="N561" i="730"/>
  <c r="O561" i="730" s="1"/>
  <c r="M561" i="730"/>
  <c r="K561" i="730"/>
  <c r="J561" i="730"/>
  <c r="I561" i="730"/>
  <c r="H561" i="730"/>
  <c r="G561" i="730"/>
  <c r="N560" i="730"/>
  <c r="O560" i="730" s="1"/>
  <c r="M560" i="730"/>
  <c r="K560" i="730"/>
  <c r="L560" i="730" s="1"/>
  <c r="J560" i="730"/>
  <c r="I560" i="730"/>
  <c r="H560" i="730"/>
  <c r="G560" i="730"/>
  <c r="N559" i="730"/>
  <c r="M559" i="730"/>
  <c r="O559" i="730" s="1"/>
  <c r="K559" i="730"/>
  <c r="L559" i="730" s="1"/>
  <c r="J559" i="730"/>
  <c r="I559" i="730"/>
  <c r="H559" i="730"/>
  <c r="G559" i="730"/>
  <c r="N558" i="730"/>
  <c r="M558" i="730"/>
  <c r="O558" i="730" s="1"/>
  <c r="K558" i="730"/>
  <c r="J558" i="730"/>
  <c r="I558" i="730"/>
  <c r="H558" i="730"/>
  <c r="G558" i="730"/>
  <c r="N557" i="730"/>
  <c r="O557" i="730" s="1"/>
  <c r="M557" i="730"/>
  <c r="K557" i="730"/>
  <c r="J557" i="730"/>
  <c r="I557" i="730"/>
  <c r="L557" i="730" s="1"/>
  <c r="H557" i="730"/>
  <c r="G557" i="730"/>
  <c r="N556" i="730"/>
  <c r="O556" i="730" s="1"/>
  <c r="M556" i="730"/>
  <c r="K556" i="730"/>
  <c r="L556" i="730" s="1"/>
  <c r="J556" i="730"/>
  <c r="I556" i="730"/>
  <c r="H556" i="730"/>
  <c r="G556" i="730"/>
  <c r="N555" i="730"/>
  <c r="M555" i="730"/>
  <c r="L555" i="730"/>
  <c r="K555" i="730"/>
  <c r="J555" i="730"/>
  <c r="I555" i="730"/>
  <c r="H555" i="730"/>
  <c r="G555" i="730"/>
  <c r="N554" i="730"/>
  <c r="M554" i="730"/>
  <c r="K554" i="730"/>
  <c r="J554" i="730"/>
  <c r="I554" i="730"/>
  <c r="L554" i="730" s="1"/>
  <c r="H554" i="730"/>
  <c r="G554" i="730"/>
  <c r="N553" i="730"/>
  <c r="O553" i="730" s="1"/>
  <c r="M553" i="730"/>
  <c r="K553" i="730"/>
  <c r="J553" i="730"/>
  <c r="I553" i="730"/>
  <c r="L553" i="730" s="1"/>
  <c r="H553" i="730"/>
  <c r="G553" i="730"/>
  <c r="N552" i="730"/>
  <c r="O552" i="730" s="1"/>
  <c r="M552" i="730"/>
  <c r="L552" i="730"/>
  <c r="K552" i="730"/>
  <c r="J552" i="730"/>
  <c r="I552" i="730"/>
  <c r="H552" i="730"/>
  <c r="G552" i="730"/>
  <c r="N551" i="730"/>
  <c r="M551" i="730"/>
  <c r="K551" i="730"/>
  <c r="J551" i="730"/>
  <c r="I551" i="730"/>
  <c r="L551" i="730" s="1"/>
  <c r="H551" i="730"/>
  <c r="G551" i="730"/>
  <c r="N550" i="730"/>
  <c r="M550" i="730"/>
  <c r="K550" i="730"/>
  <c r="J550" i="730"/>
  <c r="I550" i="730"/>
  <c r="L550" i="730" s="1"/>
  <c r="H550" i="730"/>
  <c r="G550" i="730"/>
  <c r="N549" i="730"/>
  <c r="O549" i="730" s="1"/>
  <c r="M549" i="730"/>
  <c r="K549" i="730"/>
  <c r="J549" i="730"/>
  <c r="I549" i="730"/>
  <c r="H549" i="730"/>
  <c r="G549" i="730"/>
  <c r="N548" i="730"/>
  <c r="O548" i="730" s="1"/>
  <c r="M548" i="730"/>
  <c r="K548" i="730"/>
  <c r="L548" i="730" s="1"/>
  <c r="J548" i="730"/>
  <c r="I548" i="730"/>
  <c r="H548" i="730"/>
  <c r="G548" i="730"/>
  <c r="N547" i="730"/>
  <c r="M547" i="730"/>
  <c r="K547" i="730"/>
  <c r="J547" i="730"/>
  <c r="I547" i="730"/>
  <c r="L547" i="730" s="1"/>
  <c r="H547" i="730"/>
  <c r="G547" i="730"/>
  <c r="N546" i="730"/>
  <c r="M546" i="730"/>
  <c r="K546" i="730"/>
  <c r="J546" i="730"/>
  <c r="I546" i="730"/>
  <c r="H546" i="730"/>
  <c r="G546" i="730"/>
  <c r="N545" i="730"/>
  <c r="O545" i="730" s="1"/>
  <c r="M545" i="730"/>
  <c r="K545" i="730"/>
  <c r="J545" i="730"/>
  <c r="I545" i="730"/>
  <c r="L545" i="730" s="1"/>
  <c r="H545" i="730"/>
  <c r="G545" i="730"/>
  <c r="N544" i="730"/>
  <c r="O544" i="730" s="1"/>
  <c r="M544" i="730"/>
  <c r="K544" i="730"/>
  <c r="L544" i="730" s="1"/>
  <c r="J544" i="730"/>
  <c r="I544" i="730"/>
  <c r="H544" i="730"/>
  <c r="G544" i="730"/>
  <c r="N543" i="730"/>
  <c r="M543" i="730"/>
  <c r="O543" i="730" s="1"/>
  <c r="K543" i="730"/>
  <c r="L543" i="730" s="1"/>
  <c r="J543" i="730"/>
  <c r="I543" i="730"/>
  <c r="H543" i="730"/>
  <c r="G543" i="730"/>
  <c r="N542" i="730"/>
  <c r="M542" i="730"/>
  <c r="O542" i="730" s="1"/>
  <c r="K542" i="730"/>
  <c r="J542" i="730"/>
  <c r="I542" i="730"/>
  <c r="L542" i="730" s="1"/>
  <c r="H542" i="730"/>
  <c r="G542" i="730"/>
  <c r="N541" i="730"/>
  <c r="O541" i="730" s="1"/>
  <c r="M541" i="730"/>
  <c r="K541" i="730"/>
  <c r="J541" i="730"/>
  <c r="I541" i="730"/>
  <c r="L541" i="730" s="1"/>
  <c r="H541" i="730"/>
  <c r="G541" i="730"/>
  <c r="N540" i="730"/>
  <c r="M540" i="730"/>
  <c r="O540" i="730" s="1"/>
  <c r="L540" i="730"/>
  <c r="K540" i="730"/>
  <c r="J540" i="730"/>
  <c r="I540" i="730"/>
  <c r="H540" i="730"/>
  <c r="G540" i="730"/>
  <c r="N539" i="730"/>
  <c r="M539" i="730"/>
  <c r="O539" i="730" s="1"/>
  <c r="K539" i="730"/>
  <c r="J539" i="730"/>
  <c r="I539" i="730"/>
  <c r="L539" i="730" s="1"/>
  <c r="H539" i="730"/>
  <c r="G539" i="730"/>
  <c r="N538" i="730"/>
  <c r="M538" i="730"/>
  <c r="O538" i="730" s="1"/>
  <c r="K538" i="730"/>
  <c r="J538" i="730"/>
  <c r="I538" i="730"/>
  <c r="L538" i="730" s="1"/>
  <c r="H538" i="730"/>
  <c r="G538" i="730"/>
  <c r="N537" i="730"/>
  <c r="O537" i="730" s="1"/>
  <c r="M537" i="730"/>
  <c r="K537" i="730"/>
  <c r="J537" i="730"/>
  <c r="I537" i="730"/>
  <c r="L537" i="730" s="1"/>
  <c r="H537" i="730"/>
  <c r="G537" i="730"/>
  <c r="N536" i="730"/>
  <c r="O536" i="730" s="1"/>
  <c r="M536" i="730"/>
  <c r="L536" i="730"/>
  <c r="K536" i="730"/>
  <c r="J536" i="730"/>
  <c r="I536" i="730"/>
  <c r="H536" i="730"/>
  <c r="G536" i="730"/>
  <c r="N535" i="730"/>
  <c r="M535" i="730"/>
  <c r="O535" i="730" s="1"/>
  <c r="K535" i="730"/>
  <c r="J535" i="730"/>
  <c r="I535" i="730"/>
  <c r="L535" i="730" s="1"/>
  <c r="H535" i="730"/>
  <c r="G535" i="730"/>
  <c r="N534" i="730"/>
  <c r="M534" i="730"/>
  <c r="O534" i="730" s="1"/>
  <c r="K534" i="730"/>
  <c r="J534" i="730"/>
  <c r="I534" i="730"/>
  <c r="L534" i="730" s="1"/>
  <c r="H534" i="730"/>
  <c r="G534" i="730"/>
  <c r="O533" i="730"/>
  <c r="N533" i="730"/>
  <c r="M533" i="730"/>
  <c r="K533" i="730"/>
  <c r="J533" i="730"/>
  <c r="I533" i="730"/>
  <c r="L533" i="730" s="1"/>
  <c r="H533" i="730"/>
  <c r="G533" i="730"/>
  <c r="N532" i="730"/>
  <c r="O532" i="730" s="1"/>
  <c r="M532" i="730"/>
  <c r="L532" i="730"/>
  <c r="K532" i="730"/>
  <c r="J532" i="730"/>
  <c r="I532" i="730"/>
  <c r="H532" i="730"/>
  <c r="G532" i="730"/>
  <c r="N531" i="730"/>
  <c r="M531" i="730"/>
  <c r="O531" i="730" s="1"/>
  <c r="K531" i="730"/>
  <c r="J531" i="730"/>
  <c r="I531" i="730"/>
  <c r="L531" i="730" s="1"/>
  <c r="H531" i="730"/>
  <c r="G531" i="730"/>
  <c r="N530" i="730"/>
  <c r="M530" i="730"/>
  <c r="O530" i="730" s="1"/>
  <c r="K530" i="730"/>
  <c r="J530" i="730"/>
  <c r="I530" i="730"/>
  <c r="L530" i="730" s="1"/>
  <c r="H530" i="730"/>
  <c r="G530" i="730"/>
  <c r="O529" i="730"/>
  <c r="N529" i="730"/>
  <c r="M529" i="730"/>
  <c r="K529" i="730"/>
  <c r="J529" i="730"/>
  <c r="I529" i="730"/>
  <c r="L529" i="730" s="1"/>
  <c r="H529" i="730"/>
  <c r="G529" i="730"/>
  <c r="N528" i="730"/>
  <c r="O528" i="730" s="1"/>
  <c r="M528" i="730"/>
  <c r="L528" i="730"/>
  <c r="K528" i="730"/>
  <c r="J528" i="730"/>
  <c r="I528" i="730"/>
  <c r="H528" i="730"/>
  <c r="G528" i="730"/>
  <c r="N527" i="730"/>
  <c r="M527" i="730"/>
  <c r="O527" i="730" s="1"/>
  <c r="K527" i="730"/>
  <c r="J527" i="730"/>
  <c r="I527" i="730"/>
  <c r="L527" i="730" s="1"/>
  <c r="H527" i="730"/>
  <c r="G527" i="730"/>
  <c r="N526" i="730"/>
  <c r="M526" i="730"/>
  <c r="O526" i="730" s="1"/>
  <c r="K526" i="730"/>
  <c r="J526" i="730"/>
  <c r="I526" i="730"/>
  <c r="L526" i="730" s="1"/>
  <c r="H526" i="730"/>
  <c r="G526" i="730"/>
  <c r="O525" i="730"/>
  <c r="N525" i="730"/>
  <c r="M525" i="730"/>
  <c r="K525" i="730"/>
  <c r="J525" i="730"/>
  <c r="I525" i="730"/>
  <c r="L525" i="730" s="1"/>
  <c r="H525" i="730"/>
  <c r="G525" i="730"/>
  <c r="N524" i="730"/>
  <c r="O524" i="730" s="1"/>
  <c r="M524" i="730"/>
  <c r="L524" i="730"/>
  <c r="K524" i="730"/>
  <c r="J524" i="730"/>
  <c r="I524" i="730"/>
  <c r="H524" i="730"/>
  <c r="G524" i="730"/>
  <c r="N523" i="730"/>
  <c r="M523" i="730"/>
  <c r="O523" i="730" s="1"/>
  <c r="K523" i="730"/>
  <c r="J523" i="730"/>
  <c r="I523" i="730"/>
  <c r="L523" i="730" s="1"/>
  <c r="H523" i="730"/>
  <c r="G523" i="730"/>
  <c r="N522" i="730"/>
  <c r="M522" i="730"/>
  <c r="O522" i="730" s="1"/>
  <c r="K522" i="730"/>
  <c r="J522" i="730"/>
  <c r="I522" i="730"/>
  <c r="L522" i="730" s="1"/>
  <c r="H522" i="730"/>
  <c r="G522" i="730"/>
  <c r="O521" i="730"/>
  <c r="N521" i="730"/>
  <c r="M521" i="730"/>
  <c r="K521" i="730"/>
  <c r="J521" i="730"/>
  <c r="I521" i="730"/>
  <c r="L521" i="730" s="1"/>
  <c r="H521" i="730"/>
  <c r="G521" i="730"/>
  <c r="N520" i="730"/>
  <c r="O520" i="730" s="1"/>
  <c r="M520" i="730"/>
  <c r="L520" i="730"/>
  <c r="K520" i="730"/>
  <c r="J520" i="730"/>
  <c r="I520" i="730"/>
  <c r="H520" i="730"/>
  <c r="G520" i="730"/>
  <c r="N519" i="730"/>
  <c r="M519" i="730"/>
  <c r="O519" i="730" s="1"/>
  <c r="K519" i="730"/>
  <c r="J519" i="730"/>
  <c r="I519" i="730"/>
  <c r="L519" i="730" s="1"/>
  <c r="H519" i="730"/>
  <c r="G519" i="730"/>
  <c r="N518" i="730"/>
  <c r="M518" i="730"/>
  <c r="O518" i="730" s="1"/>
  <c r="K518" i="730"/>
  <c r="J518" i="730"/>
  <c r="I518" i="730"/>
  <c r="L518" i="730" s="1"/>
  <c r="H518" i="730"/>
  <c r="G518" i="730"/>
  <c r="O517" i="730"/>
  <c r="N517" i="730"/>
  <c r="M517" i="730"/>
  <c r="K517" i="730"/>
  <c r="J517" i="730"/>
  <c r="I517" i="730"/>
  <c r="L517" i="730" s="1"/>
  <c r="H517" i="730"/>
  <c r="G517" i="730"/>
  <c r="N516" i="730"/>
  <c r="O516" i="730" s="1"/>
  <c r="M516" i="730"/>
  <c r="L516" i="730"/>
  <c r="K516" i="730"/>
  <c r="J516" i="730"/>
  <c r="I516" i="730"/>
  <c r="H516" i="730"/>
  <c r="G516" i="730"/>
  <c r="N515" i="730"/>
  <c r="M515" i="730"/>
  <c r="O515" i="730" s="1"/>
  <c r="K515" i="730"/>
  <c r="J515" i="730"/>
  <c r="I515" i="730"/>
  <c r="L515" i="730" s="1"/>
  <c r="H515" i="730"/>
  <c r="G515" i="730"/>
  <c r="N514" i="730"/>
  <c r="M514" i="730"/>
  <c r="O514" i="730" s="1"/>
  <c r="K514" i="730"/>
  <c r="J514" i="730"/>
  <c r="I514" i="730"/>
  <c r="L514" i="730" s="1"/>
  <c r="H514" i="730"/>
  <c r="G514" i="730"/>
  <c r="O513" i="730"/>
  <c r="N513" i="730"/>
  <c r="M513" i="730"/>
  <c r="K513" i="730"/>
  <c r="J513" i="730"/>
  <c r="I513" i="730"/>
  <c r="L513" i="730" s="1"/>
  <c r="H513" i="730"/>
  <c r="G513" i="730"/>
  <c r="N512" i="730"/>
  <c r="O512" i="730" s="1"/>
  <c r="M512" i="730"/>
  <c r="L512" i="730"/>
  <c r="K512" i="730"/>
  <c r="J512" i="730"/>
  <c r="I512" i="730"/>
  <c r="H512" i="730"/>
  <c r="G512" i="730"/>
  <c r="N511" i="730"/>
  <c r="M511" i="730"/>
  <c r="O511" i="730" s="1"/>
  <c r="K511" i="730"/>
  <c r="J511" i="730"/>
  <c r="I511" i="730"/>
  <c r="L511" i="730" s="1"/>
  <c r="H511" i="730"/>
  <c r="G511" i="730"/>
  <c r="N510" i="730"/>
  <c r="M510" i="730"/>
  <c r="O510" i="730" s="1"/>
  <c r="K510" i="730"/>
  <c r="J510" i="730"/>
  <c r="I510" i="730"/>
  <c r="L510" i="730" s="1"/>
  <c r="H510" i="730"/>
  <c r="G510" i="730"/>
  <c r="O509" i="730"/>
  <c r="N509" i="730"/>
  <c r="M509" i="730"/>
  <c r="K509" i="730"/>
  <c r="J509" i="730"/>
  <c r="I509" i="730"/>
  <c r="L509" i="730" s="1"/>
  <c r="H509" i="730"/>
  <c r="G509" i="730"/>
  <c r="N508" i="730"/>
  <c r="O508" i="730" s="1"/>
  <c r="M508" i="730"/>
  <c r="L508" i="730"/>
  <c r="K508" i="730"/>
  <c r="J508" i="730"/>
  <c r="I508" i="730"/>
  <c r="H508" i="730"/>
  <c r="G508" i="730"/>
  <c r="N507" i="730"/>
  <c r="M507" i="730"/>
  <c r="O507" i="730" s="1"/>
  <c r="K507" i="730"/>
  <c r="J507" i="730"/>
  <c r="I507" i="730"/>
  <c r="L507" i="730" s="1"/>
  <c r="H507" i="730"/>
  <c r="G507" i="730"/>
  <c r="N506" i="730"/>
  <c r="M506" i="730"/>
  <c r="O506" i="730" s="1"/>
  <c r="K506" i="730"/>
  <c r="J506" i="730"/>
  <c r="I506" i="730"/>
  <c r="L506" i="730" s="1"/>
  <c r="H506" i="730"/>
  <c r="G506" i="730"/>
  <c r="O505" i="730"/>
  <c r="N505" i="730"/>
  <c r="M505" i="730"/>
  <c r="K505" i="730"/>
  <c r="J505" i="730"/>
  <c r="I505" i="730"/>
  <c r="L505" i="730" s="1"/>
  <c r="H505" i="730"/>
  <c r="G505" i="730"/>
  <c r="N504" i="730"/>
  <c r="O504" i="730" s="1"/>
  <c r="M504" i="730"/>
  <c r="L504" i="730"/>
  <c r="K504" i="730"/>
  <c r="J504" i="730"/>
  <c r="I504" i="730"/>
  <c r="H504" i="730"/>
  <c r="G504" i="730"/>
  <c r="N503" i="730"/>
  <c r="M503" i="730"/>
  <c r="O503" i="730" s="1"/>
  <c r="K503" i="730"/>
  <c r="J503" i="730"/>
  <c r="I503" i="730"/>
  <c r="L503" i="730" s="1"/>
  <c r="H503" i="730"/>
  <c r="G503" i="730"/>
  <c r="N502" i="730"/>
  <c r="M502" i="730"/>
  <c r="O502" i="730" s="1"/>
  <c r="K502" i="730"/>
  <c r="J502" i="730"/>
  <c r="I502" i="730"/>
  <c r="L502" i="730" s="1"/>
  <c r="H502" i="730"/>
  <c r="G502" i="730"/>
  <c r="O501" i="730"/>
  <c r="N501" i="730"/>
  <c r="M501" i="730"/>
  <c r="K501" i="730"/>
  <c r="J501" i="730"/>
  <c r="I501" i="730"/>
  <c r="L501" i="730" s="1"/>
  <c r="H501" i="730"/>
  <c r="G501" i="730"/>
  <c r="N500" i="730"/>
  <c r="O500" i="730" s="1"/>
  <c r="M500" i="730"/>
  <c r="L500" i="730"/>
  <c r="K500" i="730"/>
  <c r="J500" i="730"/>
  <c r="I500" i="730"/>
  <c r="H500" i="730"/>
  <c r="G500" i="730"/>
  <c r="N499" i="730"/>
  <c r="M499" i="730"/>
  <c r="O499" i="730" s="1"/>
  <c r="K499" i="730"/>
  <c r="J499" i="730"/>
  <c r="I499" i="730"/>
  <c r="L499" i="730" s="1"/>
  <c r="H499" i="730"/>
  <c r="G499" i="730"/>
  <c r="N498" i="730"/>
  <c r="M498" i="730"/>
  <c r="O498" i="730" s="1"/>
  <c r="K498" i="730"/>
  <c r="J498" i="730"/>
  <c r="I498" i="730"/>
  <c r="L498" i="730" s="1"/>
  <c r="H498" i="730"/>
  <c r="G498" i="730"/>
  <c r="O497" i="730"/>
  <c r="N497" i="730"/>
  <c r="M497" i="730"/>
  <c r="K497" i="730"/>
  <c r="J497" i="730"/>
  <c r="I497" i="730"/>
  <c r="L497" i="730" s="1"/>
  <c r="H497" i="730"/>
  <c r="G497" i="730"/>
  <c r="N496" i="730"/>
  <c r="O496" i="730" s="1"/>
  <c r="M496" i="730"/>
  <c r="L496" i="730"/>
  <c r="K496" i="730"/>
  <c r="J496" i="730"/>
  <c r="I496" i="730"/>
  <c r="H496" i="730"/>
  <c r="G496" i="730"/>
  <c r="N495" i="730"/>
  <c r="M495" i="730"/>
  <c r="O495" i="730" s="1"/>
  <c r="K495" i="730"/>
  <c r="J495" i="730"/>
  <c r="I495" i="730"/>
  <c r="L495" i="730" s="1"/>
  <c r="H495" i="730"/>
  <c r="G495" i="730"/>
  <c r="N494" i="730"/>
  <c r="M494" i="730"/>
  <c r="O494" i="730" s="1"/>
  <c r="K494" i="730"/>
  <c r="J494" i="730"/>
  <c r="I494" i="730"/>
  <c r="L494" i="730" s="1"/>
  <c r="H494" i="730"/>
  <c r="G494" i="730"/>
  <c r="O493" i="730"/>
  <c r="N493" i="730"/>
  <c r="M493" i="730"/>
  <c r="K493" i="730"/>
  <c r="J493" i="730"/>
  <c r="I493" i="730"/>
  <c r="L493" i="730" s="1"/>
  <c r="H493" i="730"/>
  <c r="G493" i="730"/>
  <c r="N492" i="730"/>
  <c r="O492" i="730" s="1"/>
  <c r="M492" i="730"/>
  <c r="L492" i="730"/>
  <c r="K492" i="730"/>
  <c r="J492" i="730"/>
  <c r="I492" i="730"/>
  <c r="H492" i="730"/>
  <c r="G492" i="730"/>
  <c r="N491" i="730"/>
  <c r="M491" i="730"/>
  <c r="O491" i="730" s="1"/>
  <c r="K491" i="730"/>
  <c r="J491" i="730"/>
  <c r="I491" i="730"/>
  <c r="L491" i="730" s="1"/>
  <c r="H491" i="730"/>
  <c r="G491" i="730"/>
  <c r="N490" i="730"/>
  <c r="M490" i="730"/>
  <c r="O490" i="730" s="1"/>
  <c r="K490" i="730"/>
  <c r="J490" i="730"/>
  <c r="I490" i="730"/>
  <c r="L490" i="730" s="1"/>
  <c r="H490" i="730"/>
  <c r="G490" i="730"/>
  <c r="O489" i="730"/>
  <c r="N489" i="730"/>
  <c r="M489" i="730"/>
  <c r="K489" i="730"/>
  <c r="J489" i="730"/>
  <c r="I489" i="730"/>
  <c r="L489" i="730" s="1"/>
  <c r="H489" i="730"/>
  <c r="G489" i="730"/>
  <c r="N488" i="730"/>
  <c r="O488" i="730" s="1"/>
  <c r="M488" i="730"/>
  <c r="L488" i="730"/>
  <c r="K488" i="730"/>
  <c r="J488" i="730"/>
  <c r="I488" i="730"/>
  <c r="H488" i="730"/>
  <c r="G488" i="730"/>
  <c r="N487" i="730"/>
  <c r="M487" i="730"/>
  <c r="O487" i="730" s="1"/>
  <c r="K487" i="730"/>
  <c r="J487" i="730"/>
  <c r="I487" i="730"/>
  <c r="L487" i="730" s="1"/>
  <c r="H487" i="730"/>
  <c r="G487" i="730"/>
  <c r="N486" i="730"/>
  <c r="M486" i="730"/>
  <c r="O486" i="730" s="1"/>
  <c r="K486" i="730"/>
  <c r="J486" i="730"/>
  <c r="I486" i="730"/>
  <c r="L486" i="730" s="1"/>
  <c r="H486" i="730"/>
  <c r="G486" i="730"/>
  <c r="O485" i="730"/>
  <c r="N485" i="730"/>
  <c r="M485" i="730"/>
  <c r="K485" i="730"/>
  <c r="J485" i="730"/>
  <c r="I485" i="730"/>
  <c r="L485" i="730" s="1"/>
  <c r="H485" i="730"/>
  <c r="G485" i="730"/>
  <c r="N484" i="730"/>
  <c r="O484" i="730" s="1"/>
  <c r="M484" i="730"/>
  <c r="L484" i="730"/>
  <c r="K484" i="730"/>
  <c r="J484" i="730"/>
  <c r="I484" i="730"/>
  <c r="H484" i="730"/>
  <c r="G484" i="730"/>
  <c r="N483" i="730"/>
  <c r="M483" i="730"/>
  <c r="O483" i="730" s="1"/>
  <c r="K483" i="730"/>
  <c r="J483" i="730"/>
  <c r="I483" i="730"/>
  <c r="L483" i="730" s="1"/>
  <c r="H483" i="730"/>
  <c r="G483" i="730"/>
  <c r="N482" i="730"/>
  <c r="M482" i="730"/>
  <c r="O482" i="730" s="1"/>
  <c r="K482" i="730"/>
  <c r="J482" i="730"/>
  <c r="I482" i="730"/>
  <c r="L482" i="730" s="1"/>
  <c r="H482" i="730"/>
  <c r="G482" i="730"/>
  <c r="O481" i="730"/>
  <c r="N481" i="730"/>
  <c r="M481" i="730"/>
  <c r="K481" i="730"/>
  <c r="J481" i="730"/>
  <c r="I481" i="730"/>
  <c r="L481" i="730" s="1"/>
  <c r="H481" i="730"/>
  <c r="G481" i="730"/>
  <c r="N480" i="730"/>
  <c r="O480" i="730" s="1"/>
  <c r="M480" i="730"/>
  <c r="L480" i="730"/>
  <c r="K480" i="730"/>
  <c r="J480" i="730"/>
  <c r="I480" i="730"/>
  <c r="H480" i="730"/>
  <c r="G480" i="730"/>
  <c r="N479" i="730"/>
  <c r="M479" i="730"/>
  <c r="O479" i="730" s="1"/>
  <c r="K479" i="730"/>
  <c r="J479" i="730"/>
  <c r="I479" i="730"/>
  <c r="L479" i="730" s="1"/>
  <c r="H479" i="730"/>
  <c r="G479" i="730"/>
  <c r="N478" i="730"/>
  <c r="M478" i="730"/>
  <c r="O478" i="730" s="1"/>
  <c r="K478" i="730"/>
  <c r="J478" i="730"/>
  <c r="I478" i="730"/>
  <c r="L478" i="730" s="1"/>
  <c r="H478" i="730"/>
  <c r="G478" i="730"/>
  <c r="O477" i="730"/>
  <c r="N477" i="730"/>
  <c r="M477" i="730"/>
  <c r="K477" i="730"/>
  <c r="J477" i="730"/>
  <c r="I477" i="730"/>
  <c r="L477" i="730" s="1"/>
  <c r="H477" i="730"/>
  <c r="G477" i="730"/>
  <c r="N476" i="730"/>
  <c r="O476" i="730" s="1"/>
  <c r="M476" i="730"/>
  <c r="L476" i="730"/>
  <c r="K476" i="730"/>
  <c r="J476" i="730"/>
  <c r="I476" i="730"/>
  <c r="H476" i="730"/>
  <c r="G476" i="730"/>
  <c r="N475" i="730"/>
  <c r="M475" i="730"/>
  <c r="O475" i="730" s="1"/>
  <c r="K475" i="730"/>
  <c r="J475" i="730"/>
  <c r="I475" i="730"/>
  <c r="L475" i="730" s="1"/>
  <c r="H475" i="730"/>
  <c r="G475" i="730"/>
  <c r="N474" i="730"/>
  <c r="M474" i="730"/>
  <c r="O474" i="730" s="1"/>
  <c r="K474" i="730"/>
  <c r="J474" i="730"/>
  <c r="I474" i="730"/>
  <c r="L474" i="730" s="1"/>
  <c r="H474" i="730"/>
  <c r="G474" i="730"/>
  <c r="O473" i="730"/>
  <c r="N473" i="730"/>
  <c r="M473" i="730"/>
  <c r="K473" i="730"/>
  <c r="J473" i="730"/>
  <c r="I473" i="730"/>
  <c r="L473" i="730" s="1"/>
  <c r="H473" i="730"/>
  <c r="G473" i="730"/>
  <c r="N472" i="730"/>
  <c r="O472" i="730" s="1"/>
  <c r="M472" i="730"/>
  <c r="L472" i="730"/>
  <c r="K472" i="730"/>
  <c r="J472" i="730"/>
  <c r="I472" i="730"/>
  <c r="H472" i="730"/>
  <c r="G472" i="730"/>
  <c r="N471" i="730"/>
  <c r="M471" i="730"/>
  <c r="O471" i="730" s="1"/>
  <c r="K471" i="730"/>
  <c r="J471" i="730"/>
  <c r="I471" i="730"/>
  <c r="L471" i="730" s="1"/>
  <c r="H471" i="730"/>
  <c r="G471" i="730"/>
  <c r="N470" i="730"/>
  <c r="M470" i="730"/>
  <c r="O470" i="730" s="1"/>
  <c r="K470" i="730"/>
  <c r="J470" i="730"/>
  <c r="I470" i="730"/>
  <c r="L470" i="730" s="1"/>
  <c r="H470" i="730"/>
  <c r="G470" i="730"/>
  <c r="O469" i="730"/>
  <c r="N469" i="730"/>
  <c r="M469" i="730"/>
  <c r="K469" i="730"/>
  <c r="J469" i="730"/>
  <c r="I469" i="730"/>
  <c r="L469" i="730" s="1"/>
  <c r="H469" i="730"/>
  <c r="G469" i="730"/>
  <c r="N468" i="730"/>
  <c r="O468" i="730" s="1"/>
  <c r="M468" i="730"/>
  <c r="L468" i="730"/>
  <c r="K468" i="730"/>
  <c r="J468" i="730"/>
  <c r="I468" i="730"/>
  <c r="H468" i="730"/>
  <c r="G468" i="730"/>
  <c r="N467" i="730"/>
  <c r="M467" i="730"/>
  <c r="O467" i="730" s="1"/>
  <c r="K467" i="730"/>
  <c r="J467" i="730"/>
  <c r="I467" i="730"/>
  <c r="L467" i="730" s="1"/>
  <c r="H467" i="730"/>
  <c r="G467" i="730"/>
  <c r="N466" i="730"/>
  <c r="M466" i="730"/>
  <c r="O466" i="730" s="1"/>
  <c r="K466" i="730"/>
  <c r="J466" i="730"/>
  <c r="I466" i="730"/>
  <c r="L466" i="730" s="1"/>
  <c r="H466" i="730"/>
  <c r="G466" i="730"/>
  <c r="O465" i="730"/>
  <c r="N465" i="730"/>
  <c r="M465" i="730"/>
  <c r="K465" i="730"/>
  <c r="J465" i="730"/>
  <c r="I465" i="730"/>
  <c r="L465" i="730" s="1"/>
  <c r="H465" i="730"/>
  <c r="G465" i="730"/>
  <c r="N464" i="730"/>
  <c r="O464" i="730" s="1"/>
  <c r="M464" i="730"/>
  <c r="L464" i="730"/>
  <c r="K464" i="730"/>
  <c r="J464" i="730"/>
  <c r="I464" i="730"/>
  <c r="H464" i="730"/>
  <c r="G464" i="730"/>
  <c r="N463" i="730"/>
  <c r="M463" i="730"/>
  <c r="O463" i="730" s="1"/>
  <c r="K463" i="730"/>
  <c r="J463" i="730"/>
  <c r="I463" i="730"/>
  <c r="L463" i="730" s="1"/>
  <c r="H463" i="730"/>
  <c r="G463" i="730"/>
  <c r="N462" i="730"/>
  <c r="M462" i="730"/>
  <c r="O462" i="730" s="1"/>
  <c r="K462" i="730"/>
  <c r="J462" i="730"/>
  <c r="I462" i="730"/>
  <c r="L462" i="730" s="1"/>
  <c r="H462" i="730"/>
  <c r="G462" i="730"/>
  <c r="O461" i="730"/>
  <c r="N461" i="730"/>
  <c r="M461" i="730"/>
  <c r="K461" i="730"/>
  <c r="J461" i="730"/>
  <c r="I461" i="730"/>
  <c r="L461" i="730" s="1"/>
  <c r="H461" i="730"/>
  <c r="G461" i="730"/>
  <c r="N460" i="730"/>
  <c r="O460" i="730" s="1"/>
  <c r="M460" i="730"/>
  <c r="L460" i="730"/>
  <c r="K460" i="730"/>
  <c r="J460" i="730"/>
  <c r="I460" i="730"/>
  <c r="H460" i="730"/>
  <c r="G460" i="730"/>
  <c r="N459" i="730"/>
  <c r="M459" i="730"/>
  <c r="O459" i="730" s="1"/>
  <c r="K459" i="730"/>
  <c r="J459" i="730"/>
  <c r="I459" i="730"/>
  <c r="L459" i="730" s="1"/>
  <c r="H459" i="730"/>
  <c r="G459" i="730"/>
  <c r="N458" i="730"/>
  <c r="M458" i="730"/>
  <c r="O458" i="730" s="1"/>
  <c r="K458" i="730"/>
  <c r="J458" i="730"/>
  <c r="I458" i="730"/>
  <c r="L458" i="730" s="1"/>
  <c r="H458" i="730"/>
  <c r="G458" i="730"/>
  <c r="O457" i="730"/>
  <c r="N457" i="730"/>
  <c r="M457" i="730"/>
  <c r="K457" i="730"/>
  <c r="J457" i="730"/>
  <c r="I457" i="730"/>
  <c r="L457" i="730" s="1"/>
  <c r="H457" i="730"/>
  <c r="G457" i="730"/>
  <c r="N456" i="730"/>
  <c r="O456" i="730" s="1"/>
  <c r="M456" i="730"/>
  <c r="L456" i="730"/>
  <c r="K456" i="730"/>
  <c r="J456" i="730"/>
  <c r="I456" i="730"/>
  <c r="H456" i="730"/>
  <c r="G456" i="730"/>
  <c r="N455" i="730"/>
  <c r="M455" i="730"/>
  <c r="O455" i="730" s="1"/>
  <c r="K455" i="730"/>
  <c r="J455" i="730"/>
  <c r="I455" i="730"/>
  <c r="L455" i="730" s="1"/>
  <c r="H455" i="730"/>
  <c r="G455" i="730"/>
  <c r="N454" i="730"/>
  <c r="M454" i="730"/>
  <c r="O454" i="730" s="1"/>
  <c r="K454" i="730"/>
  <c r="J454" i="730"/>
  <c r="I454" i="730"/>
  <c r="L454" i="730" s="1"/>
  <c r="H454" i="730"/>
  <c r="G454" i="730"/>
  <c r="O453" i="730"/>
  <c r="N453" i="730"/>
  <c r="M453" i="730"/>
  <c r="K453" i="730"/>
  <c r="J453" i="730"/>
  <c r="I453" i="730"/>
  <c r="L453" i="730" s="1"/>
  <c r="H453" i="730"/>
  <c r="G453" i="730"/>
  <c r="N452" i="730"/>
  <c r="O452" i="730" s="1"/>
  <c r="M452" i="730"/>
  <c r="L452" i="730"/>
  <c r="K452" i="730"/>
  <c r="J452" i="730"/>
  <c r="I452" i="730"/>
  <c r="H452" i="730"/>
  <c r="G452" i="730"/>
  <c r="N451" i="730"/>
  <c r="M451" i="730"/>
  <c r="O451" i="730" s="1"/>
  <c r="K451" i="730"/>
  <c r="J451" i="730"/>
  <c r="I451" i="730"/>
  <c r="L451" i="730" s="1"/>
  <c r="H451" i="730"/>
  <c r="G451" i="730"/>
  <c r="N450" i="730"/>
  <c r="M450" i="730"/>
  <c r="O450" i="730" s="1"/>
  <c r="K450" i="730"/>
  <c r="J450" i="730"/>
  <c r="I450" i="730"/>
  <c r="L450" i="730" s="1"/>
  <c r="H450" i="730"/>
  <c r="G450" i="730"/>
  <c r="O449" i="730"/>
  <c r="N449" i="730"/>
  <c r="M449" i="730"/>
  <c r="K449" i="730"/>
  <c r="J449" i="730"/>
  <c r="I449" i="730"/>
  <c r="L449" i="730" s="1"/>
  <c r="H449" i="730"/>
  <c r="G449" i="730"/>
  <c r="N448" i="730"/>
  <c r="O448" i="730" s="1"/>
  <c r="M448" i="730"/>
  <c r="L448" i="730"/>
  <c r="K448" i="730"/>
  <c r="J448" i="730"/>
  <c r="I448" i="730"/>
  <c r="H448" i="730"/>
  <c r="G448" i="730"/>
  <c r="N447" i="730"/>
  <c r="M447" i="730"/>
  <c r="O447" i="730" s="1"/>
  <c r="K447" i="730"/>
  <c r="J447" i="730"/>
  <c r="I447" i="730"/>
  <c r="L447" i="730" s="1"/>
  <c r="H447" i="730"/>
  <c r="G447" i="730"/>
  <c r="N446" i="730"/>
  <c r="M446" i="730"/>
  <c r="O446" i="730" s="1"/>
  <c r="K446" i="730"/>
  <c r="J446" i="730"/>
  <c r="I446" i="730"/>
  <c r="L446" i="730" s="1"/>
  <c r="H446" i="730"/>
  <c r="G446" i="730"/>
  <c r="O445" i="730"/>
  <c r="N445" i="730"/>
  <c r="M445" i="730"/>
  <c r="K445" i="730"/>
  <c r="J445" i="730"/>
  <c r="I445" i="730"/>
  <c r="L445" i="730" s="1"/>
  <c r="H445" i="730"/>
  <c r="G445" i="730"/>
  <c r="N444" i="730"/>
  <c r="O444" i="730" s="1"/>
  <c r="M444" i="730"/>
  <c r="L444" i="730"/>
  <c r="K444" i="730"/>
  <c r="J444" i="730"/>
  <c r="I444" i="730"/>
  <c r="H444" i="730"/>
  <c r="G444" i="730"/>
  <c r="N443" i="730"/>
  <c r="M443" i="730"/>
  <c r="O443" i="730" s="1"/>
  <c r="K443" i="730"/>
  <c r="J443" i="730"/>
  <c r="I443" i="730"/>
  <c r="L443" i="730" s="1"/>
  <c r="H443" i="730"/>
  <c r="G443" i="730"/>
  <c r="N442" i="730"/>
  <c r="M442" i="730"/>
  <c r="O442" i="730" s="1"/>
  <c r="K442" i="730"/>
  <c r="J442" i="730"/>
  <c r="I442" i="730"/>
  <c r="L442" i="730" s="1"/>
  <c r="H442" i="730"/>
  <c r="G442" i="730"/>
  <c r="O441" i="730"/>
  <c r="N441" i="730"/>
  <c r="M441" i="730"/>
  <c r="K441" i="730"/>
  <c r="J441" i="730"/>
  <c r="I441" i="730"/>
  <c r="L441" i="730" s="1"/>
  <c r="H441" i="730"/>
  <c r="G441" i="730"/>
  <c r="N440" i="730"/>
  <c r="O440" i="730" s="1"/>
  <c r="M440" i="730"/>
  <c r="L440" i="730"/>
  <c r="K440" i="730"/>
  <c r="J440" i="730"/>
  <c r="I440" i="730"/>
  <c r="H440" i="730"/>
  <c r="G440" i="730"/>
  <c r="N439" i="730"/>
  <c r="M439" i="730"/>
  <c r="O439" i="730" s="1"/>
  <c r="K439" i="730"/>
  <c r="J439" i="730"/>
  <c r="I439" i="730"/>
  <c r="L439" i="730" s="1"/>
  <c r="H439" i="730"/>
  <c r="G439" i="730"/>
  <c r="N438" i="730"/>
  <c r="M438" i="730"/>
  <c r="O438" i="730" s="1"/>
  <c r="K438" i="730"/>
  <c r="J438" i="730"/>
  <c r="I438" i="730"/>
  <c r="L438" i="730" s="1"/>
  <c r="H438" i="730"/>
  <c r="G438" i="730"/>
  <c r="O437" i="730"/>
  <c r="N437" i="730"/>
  <c r="M437" i="730"/>
  <c r="K437" i="730"/>
  <c r="J437" i="730"/>
  <c r="I437" i="730"/>
  <c r="L437" i="730" s="1"/>
  <c r="H437" i="730"/>
  <c r="G437" i="730"/>
  <c r="N436" i="730"/>
  <c r="O436" i="730" s="1"/>
  <c r="M436" i="730"/>
  <c r="L436" i="730"/>
  <c r="K436" i="730"/>
  <c r="J436" i="730"/>
  <c r="I436" i="730"/>
  <c r="H436" i="730"/>
  <c r="G436" i="730"/>
  <c r="N435" i="730"/>
  <c r="M435" i="730"/>
  <c r="O435" i="730" s="1"/>
  <c r="K435" i="730"/>
  <c r="J435" i="730"/>
  <c r="I435" i="730"/>
  <c r="L435" i="730" s="1"/>
  <c r="H435" i="730"/>
  <c r="G435" i="730"/>
  <c r="N434" i="730"/>
  <c r="M434" i="730"/>
  <c r="O434" i="730" s="1"/>
  <c r="K434" i="730"/>
  <c r="J434" i="730"/>
  <c r="I434" i="730"/>
  <c r="L434" i="730" s="1"/>
  <c r="H434" i="730"/>
  <c r="G434" i="730"/>
  <c r="O433" i="730"/>
  <c r="N433" i="730"/>
  <c r="M433" i="730"/>
  <c r="K433" i="730"/>
  <c r="J433" i="730"/>
  <c r="I433" i="730"/>
  <c r="L433" i="730" s="1"/>
  <c r="H433" i="730"/>
  <c r="G433" i="730"/>
  <c r="N432" i="730"/>
  <c r="O432" i="730" s="1"/>
  <c r="M432" i="730"/>
  <c r="L432" i="730"/>
  <c r="K432" i="730"/>
  <c r="J432" i="730"/>
  <c r="I432" i="730"/>
  <c r="H432" i="730"/>
  <c r="G432" i="730"/>
  <c r="N431" i="730"/>
  <c r="M431" i="730"/>
  <c r="O431" i="730" s="1"/>
  <c r="K431" i="730"/>
  <c r="J431" i="730"/>
  <c r="I431" i="730"/>
  <c r="L431" i="730" s="1"/>
  <c r="H431" i="730"/>
  <c r="G431" i="730"/>
  <c r="N430" i="730"/>
  <c r="M430" i="730"/>
  <c r="O430" i="730" s="1"/>
  <c r="K430" i="730"/>
  <c r="J430" i="730"/>
  <c r="I430" i="730"/>
  <c r="L430" i="730" s="1"/>
  <c r="H430" i="730"/>
  <c r="G430" i="730"/>
  <c r="O429" i="730"/>
  <c r="N429" i="730"/>
  <c r="M429" i="730"/>
  <c r="K429" i="730"/>
  <c r="J429" i="730"/>
  <c r="I429" i="730"/>
  <c r="L429" i="730" s="1"/>
  <c r="H429" i="730"/>
  <c r="G429" i="730"/>
  <c r="N428" i="730"/>
  <c r="O428" i="730" s="1"/>
  <c r="M428" i="730"/>
  <c r="L428" i="730"/>
  <c r="K428" i="730"/>
  <c r="J428" i="730"/>
  <c r="I428" i="730"/>
  <c r="H428" i="730"/>
  <c r="G428" i="730"/>
  <c r="N427" i="730"/>
  <c r="M427" i="730"/>
  <c r="O427" i="730" s="1"/>
  <c r="K427" i="730"/>
  <c r="J427" i="730"/>
  <c r="I427" i="730"/>
  <c r="L427" i="730" s="1"/>
  <c r="H427" i="730"/>
  <c r="G427" i="730"/>
  <c r="N426" i="730"/>
  <c r="M426" i="730"/>
  <c r="O426" i="730" s="1"/>
  <c r="K426" i="730"/>
  <c r="J426" i="730"/>
  <c r="I426" i="730"/>
  <c r="L426" i="730" s="1"/>
  <c r="H426" i="730"/>
  <c r="G426" i="730"/>
  <c r="O425" i="730"/>
  <c r="N425" i="730"/>
  <c r="M425" i="730"/>
  <c r="K425" i="730"/>
  <c r="J425" i="730"/>
  <c r="I425" i="730"/>
  <c r="L425" i="730" s="1"/>
  <c r="H425" i="730"/>
  <c r="G425" i="730"/>
  <c r="N424" i="730"/>
  <c r="O424" i="730" s="1"/>
  <c r="M424" i="730"/>
  <c r="L424" i="730"/>
  <c r="K424" i="730"/>
  <c r="J424" i="730"/>
  <c r="I424" i="730"/>
  <c r="H424" i="730"/>
  <c r="G424" i="730"/>
  <c r="N423" i="730"/>
  <c r="M423" i="730"/>
  <c r="O423" i="730" s="1"/>
  <c r="K423" i="730"/>
  <c r="J423" i="730"/>
  <c r="I423" i="730"/>
  <c r="L423" i="730" s="1"/>
  <c r="H423" i="730"/>
  <c r="G423" i="730"/>
  <c r="N422" i="730"/>
  <c r="M422" i="730"/>
  <c r="O422" i="730" s="1"/>
  <c r="K422" i="730"/>
  <c r="J422" i="730"/>
  <c r="I422" i="730"/>
  <c r="L422" i="730" s="1"/>
  <c r="H422" i="730"/>
  <c r="G422" i="730"/>
  <c r="O421" i="730"/>
  <c r="N421" i="730"/>
  <c r="M421" i="730"/>
  <c r="K421" i="730"/>
  <c r="J421" i="730"/>
  <c r="I421" i="730"/>
  <c r="L421" i="730" s="1"/>
  <c r="H421" i="730"/>
  <c r="G421" i="730"/>
  <c r="N420" i="730"/>
  <c r="O420" i="730" s="1"/>
  <c r="M420" i="730"/>
  <c r="L420" i="730"/>
  <c r="K420" i="730"/>
  <c r="J420" i="730"/>
  <c r="I420" i="730"/>
  <c r="H420" i="730"/>
  <c r="G420" i="730"/>
  <c r="N419" i="730"/>
  <c r="M419" i="730"/>
  <c r="O419" i="730" s="1"/>
  <c r="K419" i="730"/>
  <c r="J419" i="730"/>
  <c r="I419" i="730"/>
  <c r="L419" i="730" s="1"/>
  <c r="H419" i="730"/>
  <c r="G419" i="730"/>
  <c r="N418" i="730"/>
  <c r="M418" i="730"/>
  <c r="O418" i="730" s="1"/>
  <c r="K418" i="730"/>
  <c r="J418" i="730"/>
  <c r="I418" i="730"/>
  <c r="L418" i="730" s="1"/>
  <c r="H418" i="730"/>
  <c r="G418" i="730"/>
  <c r="O417" i="730"/>
  <c r="N417" i="730"/>
  <c r="M417" i="730"/>
  <c r="K417" i="730"/>
  <c r="J417" i="730"/>
  <c r="I417" i="730"/>
  <c r="L417" i="730" s="1"/>
  <c r="H417" i="730"/>
  <c r="G417" i="730"/>
  <c r="N416" i="730"/>
  <c r="O416" i="730" s="1"/>
  <c r="M416" i="730"/>
  <c r="L416" i="730"/>
  <c r="K416" i="730"/>
  <c r="J416" i="730"/>
  <c r="I416" i="730"/>
  <c r="H416" i="730"/>
  <c r="G416" i="730"/>
  <c r="N415" i="730"/>
  <c r="M415" i="730"/>
  <c r="O415" i="730" s="1"/>
  <c r="K415" i="730"/>
  <c r="J415" i="730"/>
  <c r="I415" i="730"/>
  <c r="L415" i="730" s="1"/>
  <c r="H415" i="730"/>
  <c r="G415" i="730"/>
  <c r="N414" i="730"/>
  <c r="M414" i="730"/>
  <c r="O414" i="730" s="1"/>
  <c r="K414" i="730"/>
  <c r="J414" i="730"/>
  <c r="I414" i="730"/>
  <c r="L414" i="730" s="1"/>
  <c r="H414" i="730"/>
  <c r="G414" i="730"/>
  <c r="O413" i="730"/>
  <c r="N413" i="730"/>
  <c r="M413" i="730"/>
  <c r="K413" i="730"/>
  <c r="J413" i="730"/>
  <c r="I413" i="730"/>
  <c r="L413" i="730" s="1"/>
  <c r="H413" i="730"/>
  <c r="G413" i="730"/>
  <c r="N412" i="730"/>
  <c r="O412" i="730" s="1"/>
  <c r="M412" i="730"/>
  <c r="L412" i="730"/>
  <c r="K412" i="730"/>
  <c r="J412" i="730"/>
  <c r="I412" i="730"/>
  <c r="H412" i="730"/>
  <c r="G412" i="730"/>
  <c r="N411" i="730"/>
  <c r="M411" i="730"/>
  <c r="O411" i="730" s="1"/>
  <c r="K411" i="730"/>
  <c r="J411" i="730"/>
  <c r="I411" i="730"/>
  <c r="L411" i="730" s="1"/>
  <c r="H411" i="730"/>
  <c r="G411" i="730"/>
  <c r="N410" i="730"/>
  <c r="M410" i="730"/>
  <c r="O410" i="730" s="1"/>
  <c r="K410" i="730"/>
  <c r="J410" i="730"/>
  <c r="I410" i="730"/>
  <c r="L410" i="730" s="1"/>
  <c r="H410" i="730"/>
  <c r="G410" i="730"/>
  <c r="O409" i="730"/>
  <c r="N409" i="730"/>
  <c r="M409" i="730"/>
  <c r="K409" i="730"/>
  <c r="J409" i="730"/>
  <c r="I409" i="730"/>
  <c r="L409" i="730" s="1"/>
  <c r="H409" i="730"/>
  <c r="G409" i="730"/>
  <c r="N408" i="730"/>
  <c r="O408" i="730" s="1"/>
  <c r="M408" i="730"/>
  <c r="L408" i="730"/>
  <c r="K408" i="730"/>
  <c r="J408" i="730"/>
  <c r="I408" i="730"/>
  <c r="H408" i="730"/>
  <c r="G408" i="730"/>
  <c r="N407" i="730"/>
  <c r="M407" i="730"/>
  <c r="O407" i="730" s="1"/>
  <c r="K407" i="730"/>
  <c r="J407" i="730"/>
  <c r="I407" i="730"/>
  <c r="L407" i="730" s="1"/>
  <c r="H407" i="730"/>
  <c r="G407" i="730"/>
  <c r="N406" i="730"/>
  <c r="M406" i="730"/>
  <c r="O406" i="730" s="1"/>
  <c r="K406" i="730"/>
  <c r="J406" i="730"/>
  <c r="I406" i="730"/>
  <c r="L406" i="730" s="1"/>
  <c r="H406" i="730"/>
  <c r="G406" i="730"/>
  <c r="O405" i="730"/>
  <c r="N405" i="730"/>
  <c r="M405" i="730"/>
  <c r="K405" i="730"/>
  <c r="J405" i="730"/>
  <c r="I405" i="730"/>
  <c r="L405" i="730" s="1"/>
  <c r="H405" i="730"/>
  <c r="G405" i="730"/>
  <c r="N404" i="730"/>
  <c r="O404" i="730" s="1"/>
  <c r="M404" i="730"/>
  <c r="K404" i="730"/>
  <c r="L404" i="730" s="1"/>
  <c r="J404" i="730"/>
  <c r="I404" i="730"/>
  <c r="H404" i="730"/>
  <c r="G404" i="730"/>
  <c r="N403" i="730"/>
  <c r="M403" i="730"/>
  <c r="O403" i="730" s="1"/>
  <c r="K403" i="730"/>
  <c r="J403" i="730"/>
  <c r="I403" i="730"/>
  <c r="L403" i="730" s="1"/>
  <c r="H403" i="730"/>
  <c r="G403" i="730"/>
  <c r="N402" i="730"/>
  <c r="M402" i="730"/>
  <c r="O402" i="730" s="1"/>
  <c r="K402" i="730"/>
  <c r="J402" i="730"/>
  <c r="I402" i="730"/>
  <c r="L402" i="730" s="1"/>
  <c r="H402" i="730"/>
  <c r="G402" i="730"/>
  <c r="O401" i="730"/>
  <c r="N401" i="730"/>
  <c r="M401" i="730"/>
  <c r="K401" i="730"/>
  <c r="J401" i="730"/>
  <c r="I401" i="730"/>
  <c r="L401" i="730" s="1"/>
  <c r="H401" i="730"/>
  <c r="G401" i="730"/>
  <c r="N400" i="730"/>
  <c r="O400" i="730" s="1"/>
  <c r="M400" i="730"/>
  <c r="K400" i="730"/>
  <c r="L400" i="730" s="1"/>
  <c r="J400" i="730"/>
  <c r="I400" i="730"/>
  <c r="H400" i="730"/>
  <c r="G400" i="730"/>
  <c r="N399" i="730"/>
  <c r="M399" i="730"/>
  <c r="O399" i="730" s="1"/>
  <c r="K399" i="730"/>
  <c r="J399" i="730"/>
  <c r="I399" i="730"/>
  <c r="L399" i="730" s="1"/>
  <c r="H399" i="730"/>
  <c r="G399" i="730"/>
  <c r="N398" i="730"/>
  <c r="M398" i="730"/>
  <c r="O398" i="730" s="1"/>
  <c r="K398" i="730"/>
  <c r="J398" i="730"/>
  <c r="I398" i="730"/>
  <c r="L398" i="730" s="1"/>
  <c r="H398" i="730"/>
  <c r="G398" i="730"/>
  <c r="O397" i="730"/>
  <c r="N397" i="730"/>
  <c r="M397" i="730"/>
  <c r="K397" i="730"/>
  <c r="J397" i="730"/>
  <c r="I397" i="730"/>
  <c r="L397" i="730" s="1"/>
  <c r="H397" i="730"/>
  <c r="G397" i="730"/>
  <c r="N396" i="730"/>
  <c r="O396" i="730" s="1"/>
  <c r="M396" i="730"/>
  <c r="K396" i="730"/>
  <c r="L396" i="730" s="1"/>
  <c r="J396" i="730"/>
  <c r="I396" i="730"/>
  <c r="H396" i="730"/>
  <c r="G396" i="730"/>
  <c r="N395" i="730"/>
  <c r="M395" i="730"/>
  <c r="O395" i="730" s="1"/>
  <c r="K395" i="730"/>
  <c r="J395" i="730"/>
  <c r="I395" i="730"/>
  <c r="L395" i="730" s="1"/>
  <c r="H395" i="730"/>
  <c r="G395" i="730"/>
  <c r="N394" i="730"/>
  <c r="M394" i="730"/>
  <c r="O394" i="730" s="1"/>
  <c r="K394" i="730"/>
  <c r="J394" i="730"/>
  <c r="I394" i="730"/>
  <c r="L394" i="730" s="1"/>
  <c r="H394" i="730"/>
  <c r="G394" i="730"/>
  <c r="O393" i="730"/>
  <c r="N393" i="730"/>
  <c r="M393" i="730"/>
  <c r="K393" i="730"/>
  <c r="J393" i="730"/>
  <c r="I393" i="730"/>
  <c r="L393" i="730" s="1"/>
  <c r="H393" i="730"/>
  <c r="G393" i="730"/>
  <c r="N392" i="730"/>
  <c r="O392" i="730" s="1"/>
  <c r="M392" i="730"/>
  <c r="K392" i="730"/>
  <c r="L392" i="730" s="1"/>
  <c r="J392" i="730"/>
  <c r="I392" i="730"/>
  <c r="H392" i="730"/>
  <c r="G392" i="730"/>
  <c r="N391" i="730"/>
  <c r="M391" i="730"/>
  <c r="O391" i="730" s="1"/>
  <c r="K391" i="730"/>
  <c r="J391" i="730"/>
  <c r="I391" i="730"/>
  <c r="L391" i="730" s="1"/>
  <c r="H391" i="730"/>
  <c r="G391" i="730"/>
  <c r="N390" i="730"/>
  <c r="M390" i="730"/>
  <c r="O390" i="730" s="1"/>
  <c r="K390" i="730"/>
  <c r="J390" i="730"/>
  <c r="I390" i="730"/>
  <c r="L390" i="730" s="1"/>
  <c r="H390" i="730"/>
  <c r="G390" i="730"/>
  <c r="O389" i="730"/>
  <c r="N389" i="730"/>
  <c r="M389" i="730"/>
  <c r="K389" i="730"/>
  <c r="J389" i="730"/>
  <c r="I389" i="730"/>
  <c r="L389" i="730" s="1"/>
  <c r="H389" i="730"/>
  <c r="G389" i="730"/>
  <c r="N388" i="730"/>
  <c r="O388" i="730" s="1"/>
  <c r="M388" i="730"/>
  <c r="K388" i="730"/>
  <c r="L388" i="730" s="1"/>
  <c r="J388" i="730"/>
  <c r="I388" i="730"/>
  <c r="H388" i="730"/>
  <c r="G388" i="730"/>
  <c r="N387" i="730"/>
  <c r="M387" i="730"/>
  <c r="O387" i="730" s="1"/>
  <c r="K387" i="730"/>
  <c r="J387" i="730"/>
  <c r="I387" i="730"/>
  <c r="L387" i="730" s="1"/>
  <c r="H387" i="730"/>
  <c r="G387" i="730"/>
  <c r="N386" i="730"/>
  <c r="M386" i="730"/>
  <c r="K386" i="730"/>
  <c r="J386" i="730"/>
  <c r="I386" i="730"/>
  <c r="L386" i="730" s="1"/>
  <c r="H386" i="730"/>
  <c r="G386" i="730"/>
  <c r="O385" i="730"/>
  <c r="N385" i="730"/>
  <c r="M385" i="730"/>
  <c r="K385" i="730"/>
  <c r="J385" i="730"/>
  <c r="I385" i="730"/>
  <c r="L385" i="730" s="1"/>
  <c r="H385" i="730"/>
  <c r="G385" i="730"/>
  <c r="N384" i="730"/>
  <c r="O384" i="730" s="1"/>
  <c r="M384" i="730"/>
  <c r="K384" i="730"/>
  <c r="L384" i="730" s="1"/>
  <c r="J384" i="730"/>
  <c r="I384" i="730"/>
  <c r="H384" i="730"/>
  <c r="G384" i="730"/>
  <c r="N383" i="730"/>
  <c r="M383" i="730"/>
  <c r="O383" i="730" s="1"/>
  <c r="K383" i="730"/>
  <c r="J383" i="730"/>
  <c r="I383" i="730"/>
  <c r="L383" i="730" s="1"/>
  <c r="H383" i="730"/>
  <c r="G383" i="730"/>
  <c r="N382" i="730"/>
  <c r="M382" i="730"/>
  <c r="O382" i="730" s="1"/>
  <c r="K382" i="730"/>
  <c r="J382" i="730"/>
  <c r="I382" i="730"/>
  <c r="H382" i="730"/>
  <c r="G382" i="730"/>
  <c r="O381" i="730"/>
  <c r="N381" i="730"/>
  <c r="M381" i="730"/>
  <c r="K381" i="730"/>
  <c r="J381" i="730"/>
  <c r="I381" i="730"/>
  <c r="L381" i="730" s="1"/>
  <c r="H381" i="730"/>
  <c r="G381" i="730"/>
  <c r="N380" i="730"/>
  <c r="O380" i="730" s="1"/>
  <c r="M380" i="730"/>
  <c r="K380" i="730"/>
  <c r="L380" i="730" s="1"/>
  <c r="J380" i="730"/>
  <c r="I380" i="730"/>
  <c r="H380" i="730"/>
  <c r="G380" i="730"/>
  <c r="N379" i="730"/>
  <c r="M379" i="730"/>
  <c r="O379" i="730" s="1"/>
  <c r="K379" i="730"/>
  <c r="J379" i="730"/>
  <c r="I379" i="730"/>
  <c r="L379" i="730" s="1"/>
  <c r="H379" i="730"/>
  <c r="G379" i="730"/>
  <c r="N378" i="730"/>
  <c r="M378" i="730"/>
  <c r="K378" i="730"/>
  <c r="J378" i="730"/>
  <c r="I378" i="730"/>
  <c r="L378" i="730" s="1"/>
  <c r="H378" i="730"/>
  <c r="G378" i="730"/>
  <c r="O377" i="730"/>
  <c r="N377" i="730"/>
  <c r="M377" i="730"/>
  <c r="K377" i="730"/>
  <c r="J377" i="730"/>
  <c r="I377" i="730"/>
  <c r="L377" i="730" s="1"/>
  <c r="H377" i="730"/>
  <c r="G377" i="730"/>
  <c r="N376" i="730"/>
  <c r="M376" i="730"/>
  <c r="O376" i="730" s="1"/>
  <c r="K376" i="730"/>
  <c r="J376" i="730"/>
  <c r="L376" i="730" s="1"/>
  <c r="I376" i="730"/>
  <c r="H376" i="730"/>
  <c r="G376" i="730"/>
  <c r="N375" i="730"/>
  <c r="M375" i="730"/>
  <c r="O375" i="730" s="1"/>
  <c r="K375" i="730"/>
  <c r="J375" i="730"/>
  <c r="I375" i="730"/>
  <c r="L375" i="730" s="1"/>
  <c r="H375" i="730"/>
  <c r="G375" i="730"/>
  <c r="N374" i="730"/>
  <c r="M374" i="730"/>
  <c r="O374" i="730" s="1"/>
  <c r="K374" i="730"/>
  <c r="J374" i="730"/>
  <c r="I374" i="730"/>
  <c r="H374" i="730"/>
  <c r="G374" i="730"/>
  <c r="N373" i="730"/>
  <c r="M373" i="730"/>
  <c r="O373" i="730" s="1"/>
  <c r="K373" i="730"/>
  <c r="J373" i="730"/>
  <c r="I373" i="730"/>
  <c r="L373" i="730" s="1"/>
  <c r="H373" i="730"/>
  <c r="G373" i="730"/>
  <c r="N372" i="730"/>
  <c r="M372" i="730"/>
  <c r="K372" i="730"/>
  <c r="J372" i="730"/>
  <c r="L372" i="730" s="1"/>
  <c r="I372" i="730"/>
  <c r="H372" i="730"/>
  <c r="G372" i="730"/>
  <c r="N371" i="730"/>
  <c r="M371" i="730"/>
  <c r="O371" i="730" s="1"/>
  <c r="K371" i="730"/>
  <c r="J371" i="730"/>
  <c r="I371" i="730"/>
  <c r="L371" i="730" s="1"/>
  <c r="H371" i="730"/>
  <c r="G371" i="730"/>
  <c r="N370" i="730"/>
  <c r="M370" i="730"/>
  <c r="K370" i="730"/>
  <c r="J370" i="730"/>
  <c r="I370" i="730"/>
  <c r="H370" i="730"/>
  <c r="G370" i="730"/>
  <c r="N369" i="730"/>
  <c r="M369" i="730"/>
  <c r="O369" i="730" s="1"/>
  <c r="K369" i="730"/>
  <c r="J369" i="730"/>
  <c r="I369" i="730"/>
  <c r="L369" i="730" s="1"/>
  <c r="H369" i="730"/>
  <c r="G369" i="730"/>
  <c r="N368" i="730"/>
  <c r="M368" i="730"/>
  <c r="O368" i="730" s="1"/>
  <c r="K368" i="730"/>
  <c r="J368" i="730"/>
  <c r="L368" i="730" s="1"/>
  <c r="I368" i="730"/>
  <c r="H368" i="730"/>
  <c r="G368" i="730"/>
  <c r="N367" i="730"/>
  <c r="M367" i="730"/>
  <c r="O367" i="730" s="1"/>
  <c r="K367" i="730"/>
  <c r="J367" i="730"/>
  <c r="I367" i="730"/>
  <c r="L367" i="730" s="1"/>
  <c r="H367" i="730"/>
  <c r="G367" i="730"/>
  <c r="N366" i="730"/>
  <c r="M366" i="730"/>
  <c r="L366" i="730"/>
  <c r="K366" i="730"/>
  <c r="J366" i="730"/>
  <c r="I366" i="730"/>
  <c r="H366" i="730"/>
  <c r="G366" i="730"/>
  <c r="N365" i="730"/>
  <c r="O365" i="730" s="1"/>
  <c r="M365" i="730"/>
  <c r="K365" i="730"/>
  <c r="J365" i="730"/>
  <c r="I365" i="730"/>
  <c r="H365" i="730"/>
  <c r="G365" i="730"/>
  <c r="N364" i="730"/>
  <c r="M364" i="730"/>
  <c r="O364" i="730" s="1"/>
  <c r="K364" i="730"/>
  <c r="J364" i="730"/>
  <c r="L364" i="730" s="1"/>
  <c r="I364" i="730"/>
  <c r="H364" i="730"/>
  <c r="G364" i="730"/>
  <c r="N363" i="730"/>
  <c r="O363" i="730" s="1"/>
  <c r="M363" i="730"/>
  <c r="K363" i="730"/>
  <c r="J363" i="730"/>
  <c r="I363" i="730"/>
  <c r="L363" i="730" s="1"/>
  <c r="H363" i="730"/>
  <c r="G363" i="730"/>
  <c r="N362" i="730"/>
  <c r="M362" i="730"/>
  <c r="O362" i="730" s="1"/>
  <c r="K362" i="730"/>
  <c r="J362" i="730"/>
  <c r="L362" i="730" s="1"/>
  <c r="I362" i="730"/>
  <c r="H362" i="730"/>
  <c r="G362" i="730"/>
  <c r="N361" i="730"/>
  <c r="M361" i="730"/>
  <c r="O361" i="730" s="1"/>
  <c r="K361" i="730"/>
  <c r="J361" i="730"/>
  <c r="I361" i="730"/>
  <c r="L361" i="730" s="1"/>
  <c r="H361" i="730"/>
  <c r="G361" i="730"/>
  <c r="O360" i="730"/>
  <c r="N360" i="730"/>
  <c r="M360" i="730"/>
  <c r="L360" i="730"/>
  <c r="K360" i="730"/>
  <c r="J360" i="730"/>
  <c r="I360" i="730"/>
  <c r="H360" i="730"/>
  <c r="G360" i="730"/>
  <c r="N359" i="730"/>
  <c r="O359" i="730" s="1"/>
  <c r="M359" i="730"/>
  <c r="L359" i="730"/>
  <c r="K359" i="730"/>
  <c r="J359" i="730"/>
  <c r="I359" i="730"/>
  <c r="H359" i="730"/>
  <c r="G359" i="730"/>
  <c r="N358" i="730"/>
  <c r="M358" i="730"/>
  <c r="O358" i="730" s="1"/>
  <c r="K358" i="730"/>
  <c r="J358" i="730"/>
  <c r="I358" i="730"/>
  <c r="L358" i="730" s="1"/>
  <c r="H358" i="730"/>
  <c r="G358" i="730"/>
  <c r="N357" i="730"/>
  <c r="M357" i="730"/>
  <c r="O357" i="730" s="1"/>
  <c r="K357" i="730"/>
  <c r="J357" i="730"/>
  <c r="I357" i="730"/>
  <c r="L357" i="730" s="1"/>
  <c r="H357" i="730"/>
  <c r="G357" i="730"/>
  <c r="N356" i="730"/>
  <c r="M356" i="730"/>
  <c r="O356" i="730" s="1"/>
  <c r="K356" i="730"/>
  <c r="J356" i="730"/>
  <c r="L356" i="730" s="1"/>
  <c r="I356" i="730"/>
  <c r="H356" i="730"/>
  <c r="G356" i="730"/>
  <c r="N355" i="730"/>
  <c r="M355" i="730"/>
  <c r="O355" i="730" s="1"/>
  <c r="K355" i="730"/>
  <c r="J355" i="730"/>
  <c r="L355" i="730" s="1"/>
  <c r="I355" i="730"/>
  <c r="H355" i="730"/>
  <c r="G355" i="730"/>
  <c r="N354" i="730"/>
  <c r="M354" i="730"/>
  <c r="K354" i="730"/>
  <c r="J354" i="730"/>
  <c r="I354" i="730"/>
  <c r="L354" i="730" s="1"/>
  <c r="H354" i="730"/>
  <c r="G354" i="730"/>
  <c r="O353" i="730"/>
  <c r="N353" i="730"/>
  <c r="M353" i="730"/>
  <c r="K353" i="730"/>
  <c r="J353" i="730"/>
  <c r="I353" i="730"/>
  <c r="H353" i="730"/>
  <c r="G353" i="730"/>
  <c r="N352" i="730"/>
  <c r="M352" i="730"/>
  <c r="O352" i="730" s="1"/>
  <c r="K352" i="730"/>
  <c r="L352" i="730" s="1"/>
  <c r="J352" i="730"/>
  <c r="I352" i="730"/>
  <c r="H352" i="730"/>
  <c r="G352" i="730"/>
  <c r="N351" i="730"/>
  <c r="M351" i="730"/>
  <c r="O351" i="730" s="1"/>
  <c r="K351" i="730"/>
  <c r="J351" i="730"/>
  <c r="I351" i="730"/>
  <c r="L351" i="730" s="1"/>
  <c r="H351" i="730"/>
  <c r="G351" i="730"/>
  <c r="N350" i="730"/>
  <c r="M350" i="730"/>
  <c r="O350" i="730" s="1"/>
  <c r="K350" i="730"/>
  <c r="J350" i="730"/>
  <c r="I350" i="730"/>
  <c r="L350" i="730" s="1"/>
  <c r="H350" i="730"/>
  <c r="G350" i="730"/>
  <c r="N349" i="730"/>
  <c r="M349" i="730"/>
  <c r="O349" i="730" s="1"/>
  <c r="K349" i="730"/>
  <c r="J349" i="730"/>
  <c r="I349" i="730"/>
  <c r="L349" i="730" s="1"/>
  <c r="H349" i="730"/>
  <c r="G349" i="730"/>
  <c r="N348" i="730"/>
  <c r="O348" i="730" s="1"/>
  <c r="M348" i="730"/>
  <c r="K348" i="730"/>
  <c r="L348" i="730" s="1"/>
  <c r="J348" i="730"/>
  <c r="I348" i="730"/>
  <c r="H348" i="730"/>
  <c r="G348" i="730"/>
  <c r="O347" i="730"/>
  <c r="N347" i="730"/>
  <c r="M347" i="730"/>
  <c r="K347" i="730"/>
  <c r="J347" i="730"/>
  <c r="I347" i="730"/>
  <c r="L347" i="730" s="1"/>
  <c r="H347" i="730"/>
  <c r="G347" i="730"/>
  <c r="N346" i="730"/>
  <c r="M346" i="730"/>
  <c r="K346" i="730"/>
  <c r="J346" i="730"/>
  <c r="I346" i="730"/>
  <c r="L346" i="730" s="1"/>
  <c r="H346" i="730"/>
  <c r="G346" i="730"/>
  <c r="N345" i="730"/>
  <c r="M345" i="730"/>
  <c r="O345" i="730" s="1"/>
  <c r="K345" i="730"/>
  <c r="J345" i="730"/>
  <c r="I345" i="730"/>
  <c r="H345" i="730"/>
  <c r="G345" i="730"/>
  <c r="N344" i="730"/>
  <c r="M344" i="730"/>
  <c r="O344" i="730" s="1"/>
  <c r="K344" i="730"/>
  <c r="J344" i="730"/>
  <c r="L344" i="730" s="1"/>
  <c r="I344" i="730"/>
  <c r="H344" i="730"/>
  <c r="G344" i="730"/>
  <c r="N343" i="730"/>
  <c r="M343" i="730"/>
  <c r="O343" i="730" s="1"/>
  <c r="K343" i="730"/>
  <c r="J343" i="730"/>
  <c r="I343" i="730"/>
  <c r="L343" i="730" s="1"/>
  <c r="H343" i="730"/>
  <c r="G343" i="730"/>
  <c r="N342" i="730"/>
  <c r="M342" i="730"/>
  <c r="L342" i="730"/>
  <c r="K342" i="730"/>
  <c r="J342" i="730"/>
  <c r="I342" i="730"/>
  <c r="H342" i="730"/>
  <c r="G342" i="730"/>
  <c r="N341" i="730"/>
  <c r="O341" i="730" s="1"/>
  <c r="M341" i="730"/>
  <c r="K341" i="730"/>
  <c r="J341" i="730"/>
  <c r="I341" i="730"/>
  <c r="H341" i="730"/>
  <c r="G341" i="730"/>
  <c r="N340" i="730"/>
  <c r="M340" i="730"/>
  <c r="O340" i="730" s="1"/>
  <c r="K340" i="730"/>
  <c r="J340" i="730"/>
  <c r="L340" i="730" s="1"/>
  <c r="I340" i="730"/>
  <c r="H340" i="730"/>
  <c r="G340" i="730"/>
  <c r="N339" i="730"/>
  <c r="O339" i="730" s="1"/>
  <c r="M339" i="730"/>
  <c r="K339" i="730"/>
  <c r="J339" i="730"/>
  <c r="I339" i="730"/>
  <c r="L339" i="730" s="1"/>
  <c r="H339" i="730"/>
  <c r="G339" i="730"/>
  <c r="N338" i="730"/>
  <c r="M338" i="730"/>
  <c r="O338" i="730" s="1"/>
  <c r="K338" i="730"/>
  <c r="J338" i="730"/>
  <c r="L338" i="730" s="1"/>
  <c r="I338" i="730"/>
  <c r="H338" i="730"/>
  <c r="G338" i="730"/>
  <c r="N337" i="730"/>
  <c r="M337" i="730"/>
  <c r="O337" i="730" s="1"/>
  <c r="K337" i="730"/>
  <c r="J337" i="730"/>
  <c r="I337" i="730"/>
  <c r="L337" i="730" s="1"/>
  <c r="H337" i="730"/>
  <c r="G337" i="730"/>
  <c r="O336" i="730"/>
  <c r="N336" i="730"/>
  <c r="M336" i="730"/>
  <c r="L336" i="730"/>
  <c r="K336" i="730"/>
  <c r="J336" i="730"/>
  <c r="I336" i="730"/>
  <c r="H336" i="730"/>
  <c r="G336" i="730"/>
  <c r="O335" i="730"/>
  <c r="N335" i="730"/>
  <c r="M335" i="730"/>
  <c r="L335" i="730"/>
  <c r="K335" i="730"/>
  <c r="J335" i="730"/>
  <c r="I335" i="730"/>
  <c r="H335" i="730"/>
  <c r="G335" i="730"/>
  <c r="N334" i="730"/>
  <c r="M334" i="730"/>
  <c r="O334" i="730" s="1"/>
  <c r="K334" i="730"/>
  <c r="J334" i="730"/>
  <c r="I334" i="730"/>
  <c r="L334" i="730" s="1"/>
  <c r="H334" i="730"/>
  <c r="G334" i="730"/>
  <c r="N333" i="730"/>
  <c r="M333" i="730"/>
  <c r="O333" i="730" s="1"/>
  <c r="K333" i="730"/>
  <c r="J333" i="730"/>
  <c r="I333" i="730"/>
  <c r="L333" i="730" s="1"/>
  <c r="H333" i="730"/>
  <c r="G333" i="730"/>
  <c r="N332" i="730"/>
  <c r="M332" i="730"/>
  <c r="O332" i="730" s="1"/>
  <c r="K332" i="730"/>
  <c r="J332" i="730"/>
  <c r="L332" i="730" s="1"/>
  <c r="I332" i="730"/>
  <c r="H332" i="730"/>
  <c r="G332" i="730"/>
  <c r="N331" i="730"/>
  <c r="M331" i="730"/>
  <c r="O331" i="730" s="1"/>
  <c r="K331" i="730"/>
  <c r="J331" i="730"/>
  <c r="L331" i="730" s="1"/>
  <c r="I331" i="730"/>
  <c r="H331" i="730"/>
  <c r="G331" i="730"/>
  <c r="N330" i="730"/>
  <c r="M330" i="730"/>
  <c r="K330" i="730"/>
  <c r="J330" i="730"/>
  <c r="I330" i="730"/>
  <c r="L330" i="730" s="1"/>
  <c r="H330" i="730"/>
  <c r="G330" i="730"/>
  <c r="O329" i="730"/>
  <c r="N329" i="730"/>
  <c r="M329" i="730"/>
  <c r="K329" i="730"/>
  <c r="J329" i="730"/>
  <c r="I329" i="730"/>
  <c r="H329" i="730"/>
  <c r="G329" i="730"/>
  <c r="N328" i="730"/>
  <c r="M328" i="730"/>
  <c r="O328" i="730" s="1"/>
  <c r="K328" i="730"/>
  <c r="L328" i="730" s="1"/>
  <c r="J328" i="730"/>
  <c r="I328" i="730"/>
  <c r="H328" i="730"/>
  <c r="G328" i="730"/>
  <c r="N327" i="730"/>
  <c r="M327" i="730"/>
  <c r="O327" i="730" s="1"/>
  <c r="K327" i="730"/>
  <c r="J327" i="730"/>
  <c r="I327" i="730"/>
  <c r="L327" i="730" s="1"/>
  <c r="H327" i="730"/>
  <c r="G327" i="730"/>
  <c r="N326" i="730"/>
  <c r="M326" i="730"/>
  <c r="O326" i="730" s="1"/>
  <c r="K326" i="730"/>
  <c r="J326" i="730"/>
  <c r="I326" i="730"/>
  <c r="L326" i="730" s="1"/>
  <c r="H326" i="730"/>
  <c r="G326" i="730"/>
  <c r="N325" i="730"/>
  <c r="M325" i="730"/>
  <c r="O325" i="730" s="1"/>
  <c r="K325" i="730"/>
  <c r="J325" i="730"/>
  <c r="I325" i="730"/>
  <c r="L325" i="730" s="1"/>
  <c r="H325" i="730"/>
  <c r="G325" i="730"/>
  <c r="N324" i="730"/>
  <c r="O324" i="730" s="1"/>
  <c r="M324" i="730"/>
  <c r="L324" i="730"/>
  <c r="K324" i="730"/>
  <c r="J324" i="730"/>
  <c r="I324" i="730"/>
  <c r="H324" i="730"/>
  <c r="G324" i="730"/>
  <c r="O323" i="730"/>
  <c r="N323" i="730"/>
  <c r="M323" i="730"/>
  <c r="K323" i="730"/>
  <c r="J323" i="730"/>
  <c r="I323" i="730"/>
  <c r="L323" i="730" s="1"/>
  <c r="H323" i="730"/>
  <c r="G323" i="730"/>
  <c r="N322" i="730"/>
  <c r="M322" i="730"/>
  <c r="K322" i="730"/>
  <c r="J322" i="730"/>
  <c r="I322" i="730"/>
  <c r="L322" i="730" s="1"/>
  <c r="H322" i="730"/>
  <c r="G322" i="730"/>
  <c r="N321" i="730"/>
  <c r="M321" i="730"/>
  <c r="O321" i="730" s="1"/>
  <c r="K321" i="730"/>
  <c r="J321" i="730"/>
  <c r="I321" i="730"/>
  <c r="H321" i="730"/>
  <c r="G321" i="730"/>
  <c r="N320" i="730"/>
  <c r="M320" i="730"/>
  <c r="O320" i="730" s="1"/>
  <c r="K320" i="730"/>
  <c r="J320" i="730"/>
  <c r="L320" i="730" s="1"/>
  <c r="I320" i="730"/>
  <c r="H320" i="730"/>
  <c r="G320" i="730"/>
  <c r="N319" i="730"/>
  <c r="M319" i="730"/>
  <c r="O319" i="730" s="1"/>
  <c r="K319" i="730"/>
  <c r="J319" i="730"/>
  <c r="I319" i="730"/>
  <c r="L319" i="730" s="1"/>
  <c r="H319" i="730"/>
  <c r="G319" i="730"/>
  <c r="N318" i="730"/>
  <c r="M318" i="730"/>
  <c r="L318" i="730"/>
  <c r="K318" i="730"/>
  <c r="J318" i="730"/>
  <c r="I318" i="730"/>
  <c r="H318" i="730"/>
  <c r="G318" i="730"/>
  <c r="N317" i="730"/>
  <c r="O317" i="730" s="1"/>
  <c r="M317" i="730"/>
  <c r="K317" i="730"/>
  <c r="J317" i="730"/>
  <c r="I317" i="730"/>
  <c r="H317" i="730"/>
  <c r="G317" i="730"/>
  <c r="N316" i="730"/>
  <c r="M316" i="730"/>
  <c r="O316" i="730" s="1"/>
  <c r="K316" i="730"/>
  <c r="J316" i="730"/>
  <c r="L316" i="730" s="1"/>
  <c r="I316" i="730"/>
  <c r="H316" i="730"/>
  <c r="G316" i="730"/>
  <c r="N315" i="730"/>
  <c r="O315" i="730" s="1"/>
  <c r="M315" i="730"/>
  <c r="K315" i="730"/>
  <c r="J315" i="730"/>
  <c r="I315" i="730"/>
  <c r="L315" i="730" s="1"/>
  <c r="H315" i="730"/>
  <c r="G315" i="730"/>
  <c r="N314" i="730"/>
  <c r="M314" i="730"/>
  <c r="O314" i="730" s="1"/>
  <c r="K314" i="730"/>
  <c r="J314" i="730"/>
  <c r="L314" i="730" s="1"/>
  <c r="I314" i="730"/>
  <c r="H314" i="730"/>
  <c r="G314" i="730"/>
  <c r="N313" i="730"/>
  <c r="M313" i="730"/>
  <c r="O313" i="730" s="1"/>
  <c r="K313" i="730"/>
  <c r="J313" i="730"/>
  <c r="I313" i="730"/>
  <c r="L313" i="730" s="1"/>
  <c r="H313" i="730"/>
  <c r="G313" i="730"/>
  <c r="O312" i="730"/>
  <c r="N312" i="730"/>
  <c r="M312" i="730"/>
  <c r="L312" i="730"/>
  <c r="K312" i="730"/>
  <c r="J312" i="730"/>
  <c r="I312" i="730"/>
  <c r="H312" i="730"/>
  <c r="G312" i="730"/>
  <c r="O311" i="730"/>
  <c r="N311" i="730"/>
  <c r="M311" i="730"/>
  <c r="L311" i="730"/>
  <c r="K311" i="730"/>
  <c r="J311" i="730"/>
  <c r="I311" i="730"/>
  <c r="H311" i="730"/>
  <c r="G311" i="730"/>
  <c r="N310" i="730"/>
  <c r="M310" i="730"/>
  <c r="O310" i="730" s="1"/>
  <c r="K310" i="730"/>
  <c r="J310" i="730"/>
  <c r="I310" i="730"/>
  <c r="L310" i="730" s="1"/>
  <c r="H310" i="730"/>
  <c r="G310" i="730"/>
  <c r="N309" i="730"/>
  <c r="M309" i="730"/>
  <c r="O309" i="730" s="1"/>
  <c r="K309" i="730"/>
  <c r="J309" i="730"/>
  <c r="I309" i="730"/>
  <c r="L309" i="730" s="1"/>
  <c r="H309" i="730"/>
  <c r="G309" i="730"/>
  <c r="N308" i="730"/>
  <c r="M308" i="730"/>
  <c r="O308" i="730" s="1"/>
  <c r="K308" i="730"/>
  <c r="J308" i="730"/>
  <c r="L308" i="730" s="1"/>
  <c r="I308" i="730"/>
  <c r="H308" i="730"/>
  <c r="G308" i="730"/>
  <c r="N307" i="730"/>
  <c r="M307" i="730"/>
  <c r="O307" i="730" s="1"/>
  <c r="K307" i="730"/>
  <c r="J307" i="730"/>
  <c r="L307" i="730" s="1"/>
  <c r="I307" i="730"/>
  <c r="H307" i="730"/>
  <c r="G307" i="730"/>
  <c r="N306" i="730"/>
  <c r="M306" i="730"/>
  <c r="K306" i="730"/>
  <c r="J306" i="730"/>
  <c r="I306" i="730"/>
  <c r="L306" i="730" s="1"/>
  <c r="H306" i="730"/>
  <c r="G306" i="730"/>
  <c r="O305" i="730"/>
  <c r="N305" i="730"/>
  <c r="M305" i="730"/>
  <c r="K305" i="730"/>
  <c r="J305" i="730"/>
  <c r="I305" i="730"/>
  <c r="H305" i="730"/>
  <c r="G305" i="730"/>
  <c r="N304" i="730"/>
  <c r="M304" i="730"/>
  <c r="O304" i="730" s="1"/>
  <c r="K304" i="730"/>
  <c r="L304" i="730" s="1"/>
  <c r="J304" i="730"/>
  <c r="I304" i="730"/>
  <c r="H304" i="730"/>
  <c r="G304" i="730"/>
  <c r="N303" i="730"/>
  <c r="M303" i="730"/>
  <c r="O303" i="730" s="1"/>
  <c r="K303" i="730"/>
  <c r="J303" i="730"/>
  <c r="I303" i="730"/>
  <c r="L303" i="730" s="1"/>
  <c r="H303" i="730"/>
  <c r="G303" i="730"/>
  <c r="N302" i="730"/>
  <c r="M302" i="730"/>
  <c r="O302" i="730" s="1"/>
  <c r="K302" i="730"/>
  <c r="J302" i="730"/>
  <c r="I302" i="730"/>
  <c r="L302" i="730" s="1"/>
  <c r="H302" i="730"/>
  <c r="G302" i="730"/>
  <c r="N301" i="730"/>
  <c r="M301" i="730"/>
  <c r="O301" i="730" s="1"/>
  <c r="K301" i="730"/>
  <c r="J301" i="730"/>
  <c r="I301" i="730"/>
  <c r="L301" i="730" s="1"/>
  <c r="H301" i="730"/>
  <c r="G301" i="730"/>
  <c r="N300" i="730"/>
  <c r="O300" i="730" s="1"/>
  <c r="M300" i="730"/>
  <c r="L300" i="730"/>
  <c r="K300" i="730"/>
  <c r="J300" i="730"/>
  <c r="I300" i="730"/>
  <c r="H300" i="730"/>
  <c r="G300" i="730"/>
  <c r="O299" i="730"/>
  <c r="N299" i="730"/>
  <c r="M299" i="730"/>
  <c r="K299" i="730"/>
  <c r="J299" i="730"/>
  <c r="I299" i="730"/>
  <c r="L299" i="730" s="1"/>
  <c r="H299" i="730"/>
  <c r="G299" i="730"/>
  <c r="N298" i="730"/>
  <c r="M298" i="730"/>
  <c r="K298" i="730"/>
  <c r="J298" i="730"/>
  <c r="I298" i="730"/>
  <c r="L298" i="730" s="1"/>
  <c r="H298" i="730"/>
  <c r="G298" i="730"/>
  <c r="N297" i="730"/>
  <c r="M297" i="730"/>
  <c r="O297" i="730" s="1"/>
  <c r="K297" i="730"/>
  <c r="J297" i="730"/>
  <c r="I297" i="730"/>
  <c r="H297" i="730"/>
  <c r="G297" i="730"/>
  <c r="N296" i="730"/>
  <c r="M296" i="730"/>
  <c r="O296" i="730" s="1"/>
  <c r="K296" i="730"/>
  <c r="J296" i="730"/>
  <c r="L296" i="730" s="1"/>
  <c r="I296" i="730"/>
  <c r="H296" i="730"/>
  <c r="G296" i="730"/>
  <c r="N295" i="730"/>
  <c r="M295" i="730"/>
  <c r="O295" i="730" s="1"/>
  <c r="K295" i="730"/>
  <c r="J295" i="730"/>
  <c r="I295" i="730"/>
  <c r="L295" i="730" s="1"/>
  <c r="H295" i="730"/>
  <c r="G295" i="730"/>
  <c r="N294" i="730"/>
  <c r="M294" i="730"/>
  <c r="L294" i="730"/>
  <c r="K294" i="730"/>
  <c r="J294" i="730"/>
  <c r="I294" i="730"/>
  <c r="H294" i="730"/>
  <c r="G294" i="730"/>
  <c r="N293" i="730"/>
  <c r="O293" i="730" s="1"/>
  <c r="M293" i="730"/>
  <c r="K293" i="730"/>
  <c r="J293" i="730"/>
  <c r="I293" i="730"/>
  <c r="H293" i="730"/>
  <c r="G293" i="730"/>
  <c r="N292" i="730"/>
  <c r="M292" i="730"/>
  <c r="O292" i="730" s="1"/>
  <c r="K292" i="730"/>
  <c r="J292" i="730"/>
  <c r="I292" i="730"/>
  <c r="L292" i="730" s="1"/>
  <c r="H292" i="730"/>
  <c r="G292" i="730"/>
  <c r="N291" i="730"/>
  <c r="O291" i="730" s="1"/>
  <c r="M291" i="730"/>
  <c r="K291" i="730"/>
  <c r="J291" i="730"/>
  <c r="I291" i="730"/>
  <c r="L291" i="730" s="1"/>
  <c r="H291" i="730"/>
  <c r="G291" i="730"/>
  <c r="N290" i="730"/>
  <c r="M290" i="730"/>
  <c r="O290" i="730" s="1"/>
  <c r="K290" i="730"/>
  <c r="L290" i="730" s="1"/>
  <c r="J290" i="730"/>
  <c r="I290" i="730"/>
  <c r="H290" i="730"/>
  <c r="G290" i="730"/>
  <c r="N289" i="730"/>
  <c r="M289" i="730"/>
  <c r="O289" i="730" s="1"/>
  <c r="K289" i="730"/>
  <c r="J289" i="730"/>
  <c r="I289" i="730"/>
  <c r="L289" i="730" s="1"/>
  <c r="H289" i="730"/>
  <c r="G289" i="730"/>
  <c r="N288" i="730"/>
  <c r="M288" i="730"/>
  <c r="O288" i="730" s="1"/>
  <c r="K288" i="730"/>
  <c r="J288" i="730"/>
  <c r="I288" i="730"/>
  <c r="L288" i="730" s="1"/>
  <c r="H288" i="730"/>
  <c r="G288" i="730"/>
  <c r="N287" i="730"/>
  <c r="O287" i="730" s="1"/>
  <c r="M287" i="730"/>
  <c r="K287" i="730"/>
  <c r="J287" i="730"/>
  <c r="I287" i="730"/>
  <c r="L287" i="730" s="1"/>
  <c r="H287" i="730"/>
  <c r="G287" i="730"/>
  <c r="N286" i="730"/>
  <c r="M286" i="730"/>
  <c r="O286" i="730" s="1"/>
  <c r="K286" i="730"/>
  <c r="L286" i="730" s="1"/>
  <c r="J286" i="730"/>
  <c r="I286" i="730"/>
  <c r="H286" i="730"/>
  <c r="G286" i="730"/>
  <c r="N285" i="730"/>
  <c r="M285" i="730"/>
  <c r="O285" i="730" s="1"/>
  <c r="K285" i="730"/>
  <c r="J285" i="730"/>
  <c r="I285" i="730"/>
  <c r="L285" i="730" s="1"/>
  <c r="H285" i="730"/>
  <c r="G285" i="730"/>
  <c r="N284" i="730"/>
  <c r="M284" i="730"/>
  <c r="O284" i="730" s="1"/>
  <c r="K284" i="730"/>
  <c r="J284" i="730"/>
  <c r="I284" i="730"/>
  <c r="L284" i="730" s="1"/>
  <c r="H284" i="730"/>
  <c r="G284" i="730"/>
  <c r="N283" i="730"/>
  <c r="O283" i="730" s="1"/>
  <c r="M283" i="730"/>
  <c r="K283" i="730"/>
  <c r="J283" i="730"/>
  <c r="I283" i="730"/>
  <c r="L283" i="730" s="1"/>
  <c r="H283" i="730"/>
  <c r="G283" i="730"/>
  <c r="N282" i="730"/>
  <c r="M282" i="730"/>
  <c r="O282" i="730" s="1"/>
  <c r="K282" i="730"/>
  <c r="L282" i="730" s="1"/>
  <c r="J282" i="730"/>
  <c r="I282" i="730"/>
  <c r="H282" i="730"/>
  <c r="G282" i="730"/>
  <c r="N281" i="730"/>
  <c r="M281" i="730"/>
  <c r="O281" i="730" s="1"/>
  <c r="K281" i="730"/>
  <c r="J281" i="730"/>
  <c r="I281" i="730"/>
  <c r="L281" i="730" s="1"/>
  <c r="H281" i="730"/>
  <c r="G281" i="730"/>
  <c r="N280" i="730"/>
  <c r="M280" i="730"/>
  <c r="O280" i="730" s="1"/>
  <c r="K280" i="730"/>
  <c r="J280" i="730"/>
  <c r="I280" i="730"/>
  <c r="L280" i="730" s="1"/>
  <c r="H280" i="730"/>
  <c r="G280" i="730"/>
  <c r="N279" i="730"/>
  <c r="O279" i="730" s="1"/>
  <c r="M279" i="730"/>
  <c r="K279" i="730"/>
  <c r="J279" i="730"/>
  <c r="I279" i="730"/>
  <c r="L279" i="730" s="1"/>
  <c r="H279" i="730"/>
  <c r="G279" i="730"/>
  <c r="N278" i="730"/>
  <c r="M278" i="730"/>
  <c r="O278" i="730" s="1"/>
  <c r="K278" i="730"/>
  <c r="L278" i="730" s="1"/>
  <c r="J278" i="730"/>
  <c r="I278" i="730"/>
  <c r="H278" i="730"/>
  <c r="G278" i="730"/>
  <c r="N277" i="730"/>
  <c r="M277" i="730"/>
  <c r="O277" i="730" s="1"/>
  <c r="K277" i="730"/>
  <c r="J277" i="730"/>
  <c r="I277" i="730"/>
  <c r="L277" i="730" s="1"/>
  <c r="H277" i="730"/>
  <c r="G277" i="730"/>
  <c r="N276" i="730"/>
  <c r="M276" i="730"/>
  <c r="O276" i="730" s="1"/>
  <c r="K276" i="730"/>
  <c r="J276" i="730"/>
  <c r="I276" i="730"/>
  <c r="L276" i="730" s="1"/>
  <c r="H276" i="730"/>
  <c r="G276" i="730"/>
  <c r="N275" i="730"/>
  <c r="O275" i="730" s="1"/>
  <c r="M275" i="730"/>
  <c r="K275" i="730"/>
  <c r="J275" i="730"/>
  <c r="I275" i="730"/>
  <c r="L275" i="730" s="1"/>
  <c r="H275" i="730"/>
  <c r="G275" i="730"/>
  <c r="N274" i="730"/>
  <c r="M274" i="730"/>
  <c r="O274" i="730" s="1"/>
  <c r="K274" i="730"/>
  <c r="L274" i="730" s="1"/>
  <c r="J274" i="730"/>
  <c r="I274" i="730"/>
  <c r="H274" i="730"/>
  <c r="G274" i="730"/>
  <c r="N273" i="730"/>
  <c r="M273" i="730"/>
  <c r="O273" i="730" s="1"/>
  <c r="K273" i="730"/>
  <c r="J273" i="730"/>
  <c r="I273" i="730"/>
  <c r="L273" i="730" s="1"/>
  <c r="H273" i="730"/>
  <c r="G273" i="730"/>
  <c r="N272" i="730"/>
  <c r="M272" i="730"/>
  <c r="O272" i="730" s="1"/>
  <c r="K272" i="730"/>
  <c r="J272" i="730"/>
  <c r="I272" i="730"/>
  <c r="L272" i="730" s="1"/>
  <c r="H272" i="730"/>
  <c r="G272" i="730"/>
  <c r="N271" i="730"/>
  <c r="O271" i="730" s="1"/>
  <c r="M271" i="730"/>
  <c r="K271" i="730"/>
  <c r="J271" i="730"/>
  <c r="I271" i="730"/>
  <c r="L271" i="730" s="1"/>
  <c r="H271" i="730"/>
  <c r="G271" i="730"/>
  <c r="N270" i="730"/>
  <c r="M270" i="730"/>
  <c r="O270" i="730" s="1"/>
  <c r="K270" i="730"/>
  <c r="L270" i="730" s="1"/>
  <c r="J270" i="730"/>
  <c r="I270" i="730"/>
  <c r="H270" i="730"/>
  <c r="G270" i="730"/>
  <c r="N269" i="730"/>
  <c r="M269" i="730"/>
  <c r="O269" i="730" s="1"/>
  <c r="K269" i="730"/>
  <c r="J269" i="730"/>
  <c r="I269" i="730"/>
  <c r="L269" i="730" s="1"/>
  <c r="H269" i="730"/>
  <c r="G269" i="730"/>
  <c r="N268" i="730"/>
  <c r="M268" i="730"/>
  <c r="O268" i="730" s="1"/>
  <c r="K268" i="730"/>
  <c r="J268" i="730"/>
  <c r="I268" i="730"/>
  <c r="L268" i="730" s="1"/>
  <c r="H268" i="730"/>
  <c r="G268" i="730"/>
  <c r="N267" i="730"/>
  <c r="O267" i="730" s="1"/>
  <c r="M267" i="730"/>
  <c r="K267" i="730"/>
  <c r="J267" i="730"/>
  <c r="I267" i="730"/>
  <c r="L267" i="730" s="1"/>
  <c r="H267" i="730"/>
  <c r="G267" i="730"/>
  <c r="N266" i="730"/>
  <c r="M266" i="730"/>
  <c r="O266" i="730" s="1"/>
  <c r="K266" i="730"/>
  <c r="L266" i="730" s="1"/>
  <c r="J266" i="730"/>
  <c r="I266" i="730"/>
  <c r="H266" i="730"/>
  <c r="G266" i="730"/>
  <c r="N265" i="730"/>
  <c r="M265" i="730"/>
  <c r="O265" i="730" s="1"/>
  <c r="K265" i="730"/>
  <c r="J265" i="730"/>
  <c r="I265" i="730"/>
  <c r="L265" i="730" s="1"/>
  <c r="H265" i="730"/>
  <c r="G265" i="730"/>
  <c r="N264" i="730"/>
  <c r="M264" i="730"/>
  <c r="O264" i="730" s="1"/>
  <c r="K264" i="730"/>
  <c r="J264" i="730"/>
  <c r="I264" i="730"/>
  <c r="L264" i="730" s="1"/>
  <c r="H264" i="730"/>
  <c r="G264" i="730"/>
  <c r="N263" i="730"/>
  <c r="O263" i="730" s="1"/>
  <c r="M263" i="730"/>
  <c r="K263" i="730"/>
  <c r="J263" i="730"/>
  <c r="I263" i="730"/>
  <c r="L263" i="730" s="1"/>
  <c r="H263" i="730"/>
  <c r="G263" i="730"/>
  <c r="N262" i="730"/>
  <c r="M262" i="730"/>
  <c r="O262" i="730" s="1"/>
  <c r="K262" i="730"/>
  <c r="L262" i="730" s="1"/>
  <c r="J262" i="730"/>
  <c r="I262" i="730"/>
  <c r="H262" i="730"/>
  <c r="G262" i="730"/>
  <c r="N261" i="730"/>
  <c r="M261" i="730"/>
  <c r="O261" i="730" s="1"/>
  <c r="K261" i="730"/>
  <c r="J261" i="730"/>
  <c r="I261" i="730"/>
  <c r="L261" i="730" s="1"/>
  <c r="H261" i="730"/>
  <c r="G261" i="730"/>
  <c r="N260" i="730"/>
  <c r="M260" i="730"/>
  <c r="O260" i="730" s="1"/>
  <c r="K260" i="730"/>
  <c r="J260" i="730"/>
  <c r="I260" i="730"/>
  <c r="L260" i="730" s="1"/>
  <c r="H260" i="730"/>
  <c r="G260" i="730"/>
  <c r="N259" i="730"/>
  <c r="O259" i="730" s="1"/>
  <c r="M259" i="730"/>
  <c r="K259" i="730"/>
  <c r="J259" i="730"/>
  <c r="I259" i="730"/>
  <c r="L259" i="730" s="1"/>
  <c r="H259" i="730"/>
  <c r="G259" i="730"/>
  <c r="N258" i="730"/>
  <c r="M258" i="730"/>
  <c r="O258" i="730" s="1"/>
  <c r="K258" i="730"/>
  <c r="L258" i="730" s="1"/>
  <c r="J258" i="730"/>
  <c r="I258" i="730"/>
  <c r="H258" i="730"/>
  <c r="G258" i="730"/>
  <c r="N257" i="730"/>
  <c r="M257" i="730"/>
  <c r="O257" i="730" s="1"/>
  <c r="K257" i="730"/>
  <c r="J257" i="730"/>
  <c r="I257" i="730"/>
  <c r="L257" i="730" s="1"/>
  <c r="H257" i="730"/>
  <c r="G257" i="730"/>
  <c r="N256" i="730"/>
  <c r="M256" i="730"/>
  <c r="O256" i="730" s="1"/>
  <c r="K256" i="730"/>
  <c r="J256" i="730"/>
  <c r="I256" i="730"/>
  <c r="L256" i="730" s="1"/>
  <c r="H256" i="730"/>
  <c r="G256" i="730"/>
  <c r="N255" i="730"/>
  <c r="O255" i="730" s="1"/>
  <c r="M255" i="730"/>
  <c r="K255" i="730"/>
  <c r="J255" i="730"/>
  <c r="I255" i="730"/>
  <c r="L255" i="730" s="1"/>
  <c r="H255" i="730"/>
  <c r="G255" i="730"/>
  <c r="N254" i="730"/>
  <c r="M254" i="730"/>
  <c r="K254" i="730"/>
  <c r="L254" i="730" s="1"/>
  <c r="J254" i="730"/>
  <c r="I254" i="730"/>
  <c r="H254" i="730"/>
  <c r="G254" i="730"/>
  <c r="N253" i="730"/>
  <c r="M253" i="730"/>
  <c r="O253" i="730" s="1"/>
  <c r="K253" i="730"/>
  <c r="J253" i="730"/>
  <c r="I253" i="730"/>
  <c r="L253" i="730" s="1"/>
  <c r="H253" i="730"/>
  <c r="G253" i="730"/>
  <c r="N252" i="730"/>
  <c r="M252" i="730"/>
  <c r="O252" i="730" s="1"/>
  <c r="K252" i="730"/>
  <c r="J252" i="730"/>
  <c r="I252" i="730"/>
  <c r="L252" i="730" s="1"/>
  <c r="H252" i="730"/>
  <c r="G252" i="730"/>
  <c r="N251" i="730"/>
  <c r="O251" i="730" s="1"/>
  <c r="M251" i="730"/>
  <c r="K251" i="730"/>
  <c r="J251" i="730"/>
  <c r="I251" i="730"/>
  <c r="L251" i="730" s="1"/>
  <c r="H251" i="730"/>
  <c r="G251" i="730"/>
  <c r="N250" i="730"/>
  <c r="M250" i="730"/>
  <c r="O250" i="730" s="1"/>
  <c r="K250" i="730"/>
  <c r="L250" i="730" s="1"/>
  <c r="J250" i="730"/>
  <c r="I250" i="730"/>
  <c r="H250" i="730"/>
  <c r="G250" i="730"/>
  <c r="N249" i="730"/>
  <c r="M249" i="730"/>
  <c r="O249" i="730" s="1"/>
  <c r="K249" i="730"/>
  <c r="J249" i="730"/>
  <c r="I249" i="730"/>
  <c r="H249" i="730"/>
  <c r="G249" i="730"/>
  <c r="N248" i="730"/>
  <c r="M248" i="730"/>
  <c r="O248" i="730" s="1"/>
  <c r="K248" i="730"/>
  <c r="J248" i="730"/>
  <c r="I248" i="730"/>
  <c r="L248" i="730" s="1"/>
  <c r="H248" i="730"/>
  <c r="G248" i="730"/>
  <c r="N247" i="730"/>
  <c r="O247" i="730" s="1"/>
  <c r="M247" i="730"/>
  <c r="K247" i="730"/>
  <c r="J247" i="730"/>
  <c r="I247" i="730"/>
  <c r="L247" i="730" s="1"/>
  <c r="H247" i="730"/>
  <c r="G247" i="730"/>
  <c r="N246" i="730"/>
  <c r="M246" i="730"/>
  <c r="O246" i="730" s="1"/>
  <c r="K246" i="730"/>
  <c r="L246" i="730" s="1"/>
  <c r="J246" i="730"/>
  <c r="I246" i="730"/>
  <c r="H246" i="730"/>
  <c r="G246" i="730"/>
  <c r="N245" i="730"/>
  <c r="M245" i="730"/>
  <c r="O245" i="730" s="1"/>
  <c r="K245" i="730"/>
  <c r="J245" i="730"/>
  <c r="I245" i="730"/>
  <c r="L245" i="730" s="1"/>
  <c r="H245" i="730"/>
  <c r="G245" i="730"/>
  <c r="N244" i="730"/>
  <c r="M244" i="730"/>
  <c r="O244" i="730" s="1"/>
  <c r="K244" i="730"/>
  <c r="J244" i="730"/>
  <c r="I244" i="730"/>
  <c r="L244" i="730" s="1"/>
  <c r="H244" i="730"/>
  <c r="G244" i="730"/>
  <c r="N243" i="730"/>
  <c r="O243" i="730" s="1"/>
  <c r="M243" i="730"/>
  <c r="K243" i="730"/>
  <c r="J243" i="730"/>
  <c r="I243" i="730"/>
  <c r="L243" i="730" s="1"/>
  <c r="H243" i="730"/>
  <c r="G243" i="730"/>
  <c r="N242" i="730"/>
  <c r="M242" i="730"/>
  <c r="K242" i="730"/>
  <c r="L242" i="730" s="1"/>
  <c r="J242" i="730"/>
  <c r="I242" i="730"/>
  <c r="H242" i="730"/>
  <c r="G242" i="730"/>
  <c r="N241" i="730"/>
  <c r="M241" i="730"/>
  <c r="O241" i="730" s="1"/>
  <c r="K241" i="730"/>
  <c r="J241" i="730"/>
  <c r="I241" i="730"/>
  <c r="H241" i="730"/>
  <c r="G241" i="730"/>
  <c r="N240" i="730"/>
  <c r="M240" i="730"/>
  <c r="K240" i="730"/>
  <c r="J240" i="730"/>
  <c r="I240" i="730"/>
  <c r="L240" i="730" s="1"/>
  <c r="H240" i="730"/>
  <c r="G240" i="730"/>
  <c r="O239" i="730"/>
  <c r="N239" i="730"/>
  <c r="M239" i="730"/>
  <c r="K239" i="730"/>
  <c r="J239" i="730"/>
  <c r="I239" i="730"/>
  <c r="H239" i="730"/>
  <c r="G239" i="730"/>
  <c r="N238" i="730"/>
  <c r="M238" i="730"/>
  <c r="O238" i="730" s="1"/>
  <c r="K238" i="730"/>
  <c r="L238" i="730" s="1"/>
  <c r="J238" i="730"/>
  <c r="I238" i="730"/>
  <c r="H238" i="730"/>
  <c r="G238" i="730"/>
  <c r="N237" i="730"/>
  <c r="M237" i="730"/>
  <c r="O237" i="730" s="1"/>
  <c r="K237" i="730"/>
  <c r="J237" i="730"/>
  <c r="I237" i="730"/>
  <c r="H237" i="730"/>
  <c r="G237" i="730"/>
  <c r="N236" i="730"/>
  <c r="M236" i="730"/>
  <c r="K236" i="730"/>
  <c r="J236" i="730"/>
  <c r="I236" i="730"/>
  <c r="H236" i="730"/>
  <c r="G236" i="730"/>
  <c r="N235" i="730"/>
  <c r="O235" i="730" s="1"/>
  <c r="M235" i="730"/>
  <c r="K235" i="730"/>
  <c r="J235" i="730"/>
  <c r="I235" i="730"/>
  <c r="L235" i="730" s="1"/>
  <c r="H235" i="730"/>
  <c r="G235" i="730"/>
  <c r="N234" i="730"/>
  <c r="M234" i="730"/>
  <c r="K234" i="730"/>
  <c r="L234" i="730" s="1"/>
  <c r="J234" i="730"/>
  <c r="I234" i="730"/>
  <c r="H234" i="730"/>
  <c r="G234" i="730"/>
  <c r="N233" i="730"/>
  <c r="M233" i="730"/>
  <c r="O233" i="730" s="1"/>
  <c r="K233" i="730"/>
  <c r="J233" i="730"/>
  <c r="I233" i="730"/>
  <c r="H233" i="730"/>
  <c r="G233" i="730"/>
  <c r="N232" i="730"/>
  <c r="M232" i="730"/>
  <c r="K232" i="730"/>
  <c r="J232" i="730"/>
  <c r="I232" i="730"/>
  <c r="L232" i="730" s="1"/>
  <c r="H232" i="730"/>
  <c r="G232" i="730"/>
  <c r="O231" i="730"/>
  <c r="N231" i="730"/>
  <c r="M231" i="730"/>
  <c r="K231" i="730"/>
  <c r="J231" i="730"/>
  <c r="I231" i="730"/>
  <c r="H231" i="730"/>
  <c r="G231" i="730"/>
  <c r="N230" i="730"/>
  <c r="M230" i="730"/>
  <c r="O230" i="730" s="1"/>
  <c r="K230" i="730"/>
  <c r="L230" i="730" s="1"/>
  <c r="J230" i="730"/>
  <c r="I230" i="730"/>
  <c r="H230" i="730"/>
  <c r="G230" i="730"/>
  <c r="N229" i="730"/>
  <c r="M229" i="730"/>
  <c r="O229" i="730" s="1"/>
  <c r="K229" i="730"/>
  <c r="J229" i="730"/>
  <c r="I229" i="730"/>
  <c r="H229" i="730"/>
  <c r="G229" i="730"/>
  <c r="N228" i="730"/>
  <c r="M228" i="730"/>
  <c r="K228" i="730"/>
  <c r="J228" i="730"/>
  <c r="I228" i="730"/>
  <c r="H228" i="730"/>
  <c r="G228" i="730"/>
  <c r="N227" i="730"/>
  <c r="O227" i="730" s="1"/>
  <c r="M227" i="730"/>
  <c r="K227" i="730"/>
  <c r="J227" i="730"/>
  <c r="I227" i="730"/>
  <c r="L227" i="730" s="1"/>
  <c r="H227" i="730"/>
  <c r="G227" i="730"/>
  <c r="N226" i="730"/>
  <c r="M226" i="730"/>
  <c r="K226" i="730"/>
  <c r="L226" i="730" s="1"/>
  <c r="J226" i="730"/>
  <c r="I226" i="730"/>
  <c r="H226" i="730"/>
  <c r="G226" i="730"/>
  <c r="N225" i="730"/>
  <c r="M225" i="730"/>
  <c r="O225" i="730" s="1"/>
  <c r="K225" i="730"/>
  <c r="J225" i="730"/>
  <c r="I225" i="730"/>
  <c r="H225" i="730"/>
  <c r="G225" i="730"/>
  <c r="N224" i="730"/>
  <c r="M224" i="730"/>
  <c r="K224" i="730"/>
  <c r="J224" i="730"/>
  <c r="I224" i="730"/>
  <c r="L224" i="730" s="1"/>
  <c r="H224" i="730"/>
  <c r="G224" i="730"/>
  <c r="O223" i="730"/>
  <c r="N223" i="730"/>
  <c r="M223" i="730"/>
  <c r="K223" i="730"/>
  <c r="J223" i="730"/>
  <c r="I223" i="730"/>
  <c r="H223" i="730"/>
  <c r="G223" i="730"/>
  <c r="N222" i="730"/>
  <c r="M222" i="730"/>
  <c r="O222" i="730" s="1"/>
  <c r="K222" i="730"/>
  <c r="L222" i="730" s="1"/>
  <c r="J222" i="730"/>
  <c r="I222" i="730"/>
  <c r="H222" i="730"/>
  <c r="G222" i="730"/>
  <c r="N221" i="730"/>
  <c r="M221" i="730"/>
  <c r="O221" i="730" s="1"/>
  <c r="K221" i="730"/>
  <c r="J221" i="730"/>
  <c r="I221" i="730"/>
  <c r="H221" i="730"/>
  <c r="G221" i="730"/>
  <c r="N220" i="730"/>
  <c r="M220" i="730"/>
  <c r="K220" i="730"/>
  <c r="J220" i="730"/>
  <c r="I220" i="730"/>
  <c r="H220" i="730"/>
  <c r="G220" i="730"/>
  <c r="N219" i="730"/>
  <c r="O219" i="730" s="1"/>
  <c r="M219" i="730"/>
  <c r="K219" i="730"/>
  <c r="J219" i="730"/>
  <c r="I219" i="730"/>
  <c r="L219" i="730" s="1"/>
  <c r="H219" i="730"/>
  <c r="G219" i="730"/>
  <c r="N218" i="730"/>
  <c r="M218" i="730"/>
  <c r="K218" i="730"/>
  <c r="L218" i="730" s="1"/>
  <c r="J218" i="730"/>
  <c r="I218" i="730"/>
  <c r="H218" i="730"/>
  <c r="G218" i="730"/>
  <c r="N217" i="730"/>
  <c r="M217" i="730"/>
  <c r="O217" i="730" s="1"/>
  <c r="K217" i="730"/>
  <c r="J217" i="730"/>
  <c r="I217" i="730"/>
  <c r="H217" i="730"/>
  <c r="G217" i="730"/>
  <c r="N216" i="730"/>
  <c r="M216" i="730"/>
  <c r="K216" i="730"/>
  <c r="J216" i="730"/>
  <c r="I216" i="730"/>
  <c r="L216" i="730" s="1"/>
  <c r="H216" i="730"/>
  <c r="G216" i="730"/>
  <c r="O215" i="730"/>
  <c r="N215" i="730"/>
  <c r="M215" i="730"/>
  <c r="K215" i="730"/>
  <c r="J215" i="730"/>
  <c r="I215" i="730"/>
  <c r="L215" i="730" s="1"/>
  <c r="H215" i="730"/>
  <c r="G215" i="730"/>
  <c r="N214" i="730"/>
  <c r="M214" i="730"/>
  <c r="O214" i="730" s="1"/>
  <c r="K214" i="730"/>
  <c r="L214" i="730" s="1"/>
  <c r="J214" i="730"/>
  <c r="I214" i="730"/>
  <c r="H214" i="730"/>
  <c r="G214" i="730"/>
  <c r="N213" i="730"/>
  <c r="M213" i="730"/>
  <c r="O213" i="730" s="1"/>
  <c r="K213" i="730"/>
  <c r="J213" i="730"/>
  <c r="I213" i="730"/>
  <c r="H213" i="730"/>
  <c r="G213" i="730"/>
  <c r="N212" i="730"/>
  <c r="M212" i="730"/>
  <c r="K212" i="730"/>
  <c r="J212" i="730"/>
  <c r="I212" i="730"/>
  <c r="H212" i="730"/>
  <c r="G212" i="730"/>
  <c r="N211" i="730"/>
  <c r="O211" i="730" s="1"/>
  <c r="M211" i="730"/>
  <c r="K211" i="730"/>
  <c r="J211" i="730"/>
  <c r="I211" i="730"/>
  <c r="L211" i="730" s="1"/>
  <c r="H211" i="730"/>
  <c r="G211" i="730"/>
  <c r="N210" i="730"/>
  <c r="M210" i="730"/>
  <c r="K210" i="730"/>
  <c r="L210" i="730" s="1"/>
  <c r="J210" i="730"/>
  <c r="I210" i="730"/>
  <c r="H210" i="730"/>
  <c r="G210" i="730"/>
  <c r="N209" i="730"/>
  <c r="M209" i="730"/>
  <c r="O209" i="730" s="1"/>
  <c r="K209" i="730"/>
  <c r="J209" i="730"/>
  <c r="I209" i="730"/>
  <c r="H209" i="730"/>
  <c r="G209" i="730"/>
  <c r="N208" i="730"/>
  <c r="M208" i="730"/>
  <c r="K208" i="730"/>
  <c r="J208" i="730"/>
  <c r="I208" i="730"/>
  <c r="L208" i="730" s="1"/>
  <c r="H208" i="730"/>
  <c r="G208" i="730"/>
  <c r="O207" i="730"/>
  <c r="N207" i="730"/>
  <c r="M207" i="730"/>
  <c r="K207" i="730"/>
  <c r="J207" i="730"/>
  <c r="I207" i="730"/>
  <c r="L207" i="730" s="1"/>
  <c r="H207" i="730"/>
  <c r="G207" i="730"/>
  <c r="N206" i="730"/>
  <c r="M206" i="730"/>
  <c r="O206" i="730" s="1"/>
  <c r="K206" i="730"/>
  <c r="J206" i="730"/>
  <c r="L206" i="730" s="1"/>
  <c r="I206" i="730"/>
  <c r="H206" i="730"/>
  <c r="G206" i="730"/>
  <c r="N205" i="730"/>
  <c r="M205" i="730"/>
  <c r="O205" i="730" s="1"/>
  <c r="K205" i="730"/>
  <c r="J205" i="730"/>
  <c r="I205" i="730"/>
  <c r="H205" i="730"/>
  <c r="G205" i="730"/>
  <c r="N204" i="730"/>
  <c r="M204" i="730"/>
  <c r="K204" i="730"/>
  <c r="J204" i="730"/>
  <c r="I204" i="730"/>
  <c r="H204" i="730"/>
  <c r="G204" i="730"/>
  <c r="N203" i="730"/>
  <c r="M203" i="730"/>
  <c r="O203" i="730" s="1"/>
  <c r="K203" i="730"/>
  <c r="J203" i="730"/>
  <c r="I203" i="730"/>
  <c r="L203" i="730" s="1"/>
  <c r="H203" i="730"/>
  <c r="G203" i="730"/>
  <c r="N202" i="730"/>
  <c r="M202" i="730"/>
  <c r="K202" i="730"/>
  <c r="J202" i="730"/>
  <c r="L202" i="730" s="1"/>
  <c r="I202" i="730"/>
  <c r="H202" i="730"/>
  <c r="G202" i="730"/>
  <c r="N201" i="730"/>
  <c r="M201" i="730"/>
  <c r="O201" i="730" s="1"/>
  <c r="K201" i="730"/>
  <c r="J201" i="730"/>
  <c r="I201" i="730"/>
  <c r="H201" i="730"/>
  <c r="G201" i="730"/>
  <c r="N200" i="730"/>
  <c r="M200" i="730"/>
  <c r="K200" i="730"/>
  <c r="J200" i="730"/>
  <c r="I200" i="730"/>
  <c r="L200" i="730" s="1"/>
  <c r="H200" i="730"/>
  <c r="G200" i="730"/>
  <c r="O199" i="730"/>
  <c r="N199" i="730"/>
  <c r="M199" i="730"/>
  <c r="K199" i="730"/>
  <c r="J199" i="730"/>
  <c r="I199" i="730"/>
  <c r="H199" i="730"/>
  <c r="G199" i="730"/>
  <c r="N198" i="730"/>
  <c r="M198" i="730"/>
  <c r="O198" i="730" s="1"/>
  <c r="K198" i="730"/>
  <c r="J198" i="730"/>
  <c r="L198" i="730" s="1"/>
  <c r="I198" i="730"/>
  <c r="H198" i="730"/>
  <c r="G198" i="730"/>
  <c r="N197" i="730"/>
  <c r="M197" i="730"/>
  <c r="O197" i="730" s="1"/>
  <c r="K197" i="730"/>
  <c r="J197" i="730"/>
  <c r="I197" i="730"/>
  <c r="H197" i="730"/>
  <c r="G197" i="730"/>
  <c r="N196" i="730"/>
  <c r="M196" i="730"/>
  <c r="K196" i="730"/>
  <c r="J196" i="730"/>
  <c r="I196" i="730"/>
  <c r="H196" i="730"/>
  <c r="G196" i="730"/>
  <c r="N195" i="730"/>
  <c r="M195" i="730"/>
  <c r="O195" i="730" s="1"/>
  <c r="K195" i="730"/>
  <c r="J195" i="730"/>
  <c r="I195" i="730"/>
  <c r="L195" i="730" s="1"/>
  <c r="H195" i="730"/>
  <c r="G195" i="730"/>
  <c r="N194" i="730"/>
  <c r="M194" i="730"/>
  <c r="K194" i="730"/>
  <c r="J194" i="730"/>
  <c r="L194" i="730" s="1"/>
  <c r="I194" i="730"/>
  <c r="H194" i="730"/>
  <c r="G194" i="730"/>
  <c r="N193" i="730"/>
  <c r="M193" i="730"/>
  <c r="O193" i="730" s="1"/>
  <c r="K193" i="730"/>
  <c r="J193" i="730"/>
  <c r="I193" i="730"/>
  <c r="H193" i="730"/>
  <c r="G193" i="730"/>
  <c r="N192" i="730"/>
  <c r="M192" i="730"/>
  <c r="K192" i="730"/>
  <c r="J192" i="730"/>
  <c r="I192" i="730"/>
  <c r="L192" i="730" s="1"/>
  <c r="H192" i="730"/>
  <c r="G192" i="730"/>
  <c r="O191" i="730"/>
  <c r="N191" i="730"/>
  <c r="M191" i="730"/>
  <c r="K191" i="730"/>
  <c r="J191" i="730"/>
  <c r="I191" i="730"/>
  <c r="H191" i="730"/>
  <c r="G191" i="730"/>
  <c r="N190" i="730"/>
  <c r="M190" i="730"/>
  <c r="O190" i="730" s="1"/>
  <c r="K190" i="730"/>
  <c r="J190" i="730"/>
  <c r="L190" i="730" s="1"/>
  <c r="I190" i="730"/>
  <c r="H190" i="730"/>
  <c r="G190" i="730"/>
  <c r="N189" i="730"/>
  <c r="M189" i="730"/>
  <c r="O189" i="730" s="1"/>
  <c r="K189" i="730"/>
  <c r="J189" i="730"/>
  <c r="I189" i="730"/>
  <c r="L189" i="730" s="1"/>
  <c r="H189" i="730"/>
  <c r="G189" i="730"/>
  <c r="N188" i="730"/>
  <c r="M188" i="730"/>
  <c r="K188" i="730"/>
  <c r="J188" i="730"/>
  <c r="I188" i="730"/>
  <c r="H188" i="730"/>
  <c r="G188" i="730"/>
  <c r="N187" i="730"/>
  <c r="M187" i="730"/>
  <c r="O187" i="730" s="1"/>
  <c r="K187" i="730"/>
  <c r="J187" i="730"/>
  <c r="I187" i="730"/>
  <c r="H187" i="730"/>
  <c r="G187" i="730"/>
  <c r="N186" i="730"/>
  <c r="M186" i="730"/>
  <c r="O186" i="730" s="1"/>
  <c r="K186" i="730"/>
  <c r="J186" i="730"/>
  <c r="L186" i="730" s="1"/>
  <c r="I186" i="730"/>
  <c r="H186" i="730"/>
  <c r="G186" i="730"/>
  <c r="N185" i="730"/>
  <c r="M185" i="730"/>
  <c r="L185" i="730"/>
  <c r="K185" i="730"/>
  <c r="J185" i="730"/>
  <c r="I185" i="730"/>
  <c r="H185" i="730"/>
  <c r="G185" i="730"/>
  <c r="N184" i="730"/>
  <c r="M184" i="730"/>
  <c r="O184" i="730" s="1"/>
  <c r="K184" i="730"/>
  <c r="J184" i="730"/>
  <c r="I184" i="730"/>
  <c r="H184" i="730"/>
  <c r="G184" i="730"/>
  <c r="O183" i="730"/>
  <c r="N183" i="730"/>
  <c r="M183" i="730"/>
  <c r="K183" i="730"/>
  <c r="J183" i="730"/>
  <c r="I183" i="730"/>
  <c r="H183" i="730"/>
  <c r="G183" i="730"/>
  <c r="O182" i="730"/>
  <c r="N182" i="730"/>
  <c r="M182" i="730"/>
  <c r="L182" i="730"/>
  <c r="K182" i="730"/>
  <c r="J182" i="730"/>
  <c r="I182" i="730"/>
  <c r="H182" i="730"/>
  <c r="G182" i="730"/>
  <c r="N181" i="730"/>
  <c r="M181" i="730"/>
  <c r="O181" i="730" s="1"/>
  <c r="K181" i="730"/>
  <c r="J181" i="730"/>
  <c r="I181" i="730"/>
  <c r="L181" i="730" s="1"/>
  <c r="H181" i="730"/>
  <c r="G181" i="730"/>
  <c r="N180" i="730"/>
  <c r="M180" i="730"/>
  <c r="O180" i="730" s="1"/>
  <c r="K180" i="730"/>
  <c r="J180" i="730"/>
  <c r="I180" i="730"/>
  <c r="H180" i="730"/>
  <c r="G180" i="730"/>
  <c r="O179" i="730"/>
  <c r="N179" i="730"/>
  <c r="M179" i="730"/>
  <c r="K179" i="730"/>
  <c r="J179" i="730"/>
  <c r="I179" i="730"/>
  <c r="H179" i="730"/>
  <c r="G179" i="730"/>
  <c r="N178" i="730"/>
  <c r="M178" i="730"/>
  <c r="O178" i="730" s="1"/>
  <c r="K178" i="730"/>
  <c r="J178" i="730"/>
  <c r="L178" i="730" s="1"/>
  <c r="I178" i="730"/>
  <c r="H178" i="730"/>
  <c r="G178" i="730"/>
  <c r="N177" i="730"/>
  <c r="M177" i="730"/>
  <c r="O177" i="730" s="1"/>
  <c r="K177" i="730"/>
  <c r="J177" i="730"/>
  <c r="L177" i="730" s="1"/>
  <c r="I177" i="730"/>
  <c r="H177" i="730"/>
  <c r="G177" i="730"/>
  <c r="N176" i="730"/>
  <c r="M176" i="730"/>
  <c r="L176" i="730"/>
  <c r="K176" i="730"/>
  <c r="J176" i="730"/>
  <c r="I176" i="730"/>
  <c r="H176" i="730"/>
  <c r="G176" i="730"/>
  <c r="N175" i="730"/>
  <c r="M175" i="730"/>
  <c r="O175" i="730" s="1"/>
  <c r="K175" i="730"/>
  <c r="J175" i="730"/>
  <c r="I175" i="730"/>
  <c r="H175" i="730"/>
  <c r="G175" i="730"/>
  <c r="O174" i="730"/>
  <c r="N174" i="730"/>
  <c r="M174" i="730"/>
  <c r="K174" i="730"/>
  <c r="J174" i="730"/>
  <c r="L174" i="730" s="1"/>
  <c r="I174" i="730"/>
  <c r="H174" i="730"/>
  <c r="G174" i="730"/>
  <c r="O173" i="730"/>
  <c r="N173" i="730"/>
  <c r="M173" i="730"/>
  <c r="L173" i="730"/>
  <c r="K173" i="730"/>
  <c r="J173" i="730"/>
  <c r="I173" i="730"/>
  <c r="H173" i="730"/>
  <c r="G173" i="730"/>
  <c r="N172" i="730"/>
  <c r="M172" i="730"/>
  <c r="K172" i="730"/>
  <c r="L172" i="730" s="1"/>
  <c r="J172" i="730"/>
  <c r="I172" i="730"/>
  <c r="H172" i="730"/>
  <c r="G172" i="730"/>
  <c r="N171" i="730"/>
  <c r="M171" i="730"/>
  <c r="O171" i="730" s="1"/>
  <c r="K171" i="730"/>
  <c r="J171" i="730"/>
  <c r="I171" i="730"/>
  <c r="H171" i="730"/>
  <c r="G171" i="730"/>
  <c r="O170" i="730"/>
  <c r="N170" i="730"/>
  <c r="M170" i="730"/>
  <c r="K170" i="730"/>
  <c r="J170" i="730"/>
  <c r="L170" i="730" s="1"/>
  <c r="I170" i="730"/>
  <c r="H170" i="730"/>
  <c r="G170" i="730"/>
  <c r="O169" i="730"/>
  <c r="N169" i="730"/>
  <c r="M169" i="730"/>
  <c r="L169" i="730"/>
  <c r="K169" i="730"/>
  <c r="J169" i="730"/>
  <c r="I169" i="730"/>
  <c r="H169" i="730"/>
  <c r="G169" i="730"/>
  <c r="N168" i="730"/>
  <c r="M168" i="730"/>
  <c r="K168" i="730"/>
  <c r="L168" i="730" s="1"/>
  <c r="J168" i="730"/>
  <c r="I168" i="730"/>
  <c r="H168" i="730"/>
  <c r="G168" i="730"/>
  <c r="O167" i="730"/>
  <c r="N167" i="730"/>
  <c r="M167" i="730"/>
  <c r="K167" i="730"/>
  <c r="J167" i="730"/>
  <c r="I167" i="730"/>
  <c r="H167" i="730"/>
  <c r="G167" i="730"/>
  <c r="N166" i="730"/>
  <c r="O166" i="730" s="1"/>
  <c r="M166" i="730"/>
  <c r="K166" i="730"/>
  <c r="J166" i="730"/>
  <c r="L166" i="730" s="1"/>
  <c r="I166" i="730"/>
  <c r="H166" i="730"/>
  <c r="G166" i="730"/>
  <c r="N165" i="730"/>
  <c r="M165" i="730"/>
  <c r="O165" i="730" s="1"/>
  <c r="K165" i="730"/>
  <c r="L165" i="730" s="1"/>
  <c r="J165" i="730"/>
  <c r="I165" i="730"/>
  <c r="H165" i="730"/>
  <c r="G165" i="730"/>
  <c r="N164" i="730"/>
  <c r="M164" i="730"/>
  <c r="K164" i="730"/>
  <c r="J164" i="730"/>
  <c r="I164" i="730"/>
  <c r="L164" i="730" s="1"/>
  <c r="H164" i="730"/>
  <c r="G164" i="730"/>
  <c r="N163" i="730"/>
  <c r="M163" i="730"/>
  <c r="O163" i="730" s="1"/>
  <c r="K163" i="730"/>
  <c r="J163" i="730"/>
  <c r="I163" i="730"/>
  <c r="L163" i="730" s="1"/>
  <c r="H163" i="730"/>
  <c r="G163" i="730"/>
  <c r="N162" i="730"/>
  <c r="O162" i="730" s="1"/>
  <c r="M162" i="730"/>
  <c r="L162" i="730"/>
  <c r="K162" i="730"/>
  <c r="J162" i="730"/>
  <c r="I162" i="730"/>
  <c r="H162" i="730"/>
  <c r="G162" i="730"/>
  <c r="N161" i="730"/>
  <c r="M161" i="730"/>
  <c r="O161" i="730" s="1"/>
  <c r="K161" i="730"/>
  <c r="L161" i="730" s="1"/>
  <c r="J161" i="730"/>
  <c r="I161" i="730"/>
  <c r="H161" i="730"/>
  <c r="G161" i="730"/>
  <c r="N160" i="730"/>
  <c r="M160" i="730"/>
  <c r="K160" i="730"/>
  <c r="J160" i="730"/>
  <c r="I160" i="730"/>
  <c r="L160" i="730" s="1"/>
  <c r="H160" i="730"/>
  <c r="G160" i="730"/>
  <c r="N159" i="730"/>
  <c r="O159" i="730" s="1"/>
  <c r="M159" i="730"/>
  <c r="K159" i="730"/>
  <c r="J159" i="730"/>
  <c r="I159" i="730"/>
  <c r="H159" i="730"/>
  <c r="G159" i="730"/>
  <c r="N158" i="730"/>
  <c r="M158" i="730"/>
  <c r="O158" i="730" s="1"/>
  <c r="L158" i="730"/>
  <c r="K158" i="730"/>
  <c r="J158" i="730"/>
  <c r="I158" i="730"/>
  <c r="H158" i="730"/>
  <c r="G158" i="730"/>
  <c r="N157" i="730"/>
  <c r="M157" i="730"/>
  <c r="O157" i="730" s="1"/>
  <c r="K157" i="730"/>
  <c r="J157" i="730"/>
  <c r="I157" i="730"/>
  <c r="L157" i="730" s="1"/>
  <c r="H157" i="730"/>
  <c r="G157" i="730"/>
  <c r="O156" i="730"/>
  <c r="N156" i="730"/>
  <c r="M156" i="730"/>
  <c r="K156" i="730"/>
  <c r="J156" i="730"/>
  <c r="I156" i="730"/>
  <c r="L156" i="730" s="1"/>
  <c r="H156" i="730"/>
  <c r="G156" i="730"/>
  <c r="O155" i="730"/>
  <c r="N155" i="730"/>
  <c r="M155" i="730"/>
  <c r="L155" i="730"/>
  <c r="K155" i="730"/>
  <c r="J155" i="730"/>
  <c r="I155" i="730"/>
  <c r="H155" i="730"/>
  <c r="G155" i="730"/>
  <c r="N154" i="730"/>
  <c r="M154" i="730"/>
  <c r="O154" i="730" s="1"/>
  <c r="L154" i="730"/>
  <c r="K154" i="730"/>
  <c r="J154" i="730"/>
  <c r="I154" i="730"/>
  <c r="H154" i="730"/>
  <c r="G154" i="730"/>
  <c r="N153" i="730"/>
  <c r="M153" i="730"/>
  <c r="O153" i="730" s="1"/>
  <c r="K153" i="730"/>
  <c r="J153" i="730"/>
  <c r="I153" i="730"/>
  <c r="L153" i="730" s="1"/>
  <c r="H153" i="730"/>
  <c r="G153" i="730"/>
  <c r="O152" i="730"/>
  <c r="N152" i="730"/>
  <c r="M152" i="730"/>
  <c r="K152" i="730"/>
  <c r="J152" i="730"/>
  <c r="I152" i="730"/>
  <c r="L152" i="730" s="1"/>
  <c r="H152" i="730"/>
  <c r="G152" i="730"/>
  <c r="O151" i="730"/>
  <c r="N151" i="730"/>
  <c r="M151" i="730"/>
  <c r="L151" i="730"/>
  <c r="K151" i="730"/>
  <c r="J151" i="730"/>
  <c r="I151" i="730"/>
  <c r="H151" i="730"/>
  <c r="G151" i="730"/>
  <c r="N150" i="730"/>
  <c r="M150" i="730"/>
  <c r="O150" i="730" s="1"/>
  <c r="L150" i="730"/>
  <c r="K150" i="730"/>
  <c r="J150" i="730"/>
  <c r="I150" i="730"/>
  <c r="H150" i="730"/>
  <c r="G150" i="730"/>
  <c r="N149" i="730"/>
  <c r="M149" i="730"/>
  <c r="O149" i="730" s="1"/>
  <c r="K149" i="730"/>
  <c r="J149" i="730"/>
  <c r="I149" i="730"/>
  <c r="L149" i="730" s="1"/>
  <c r="H149" i="730"/>
  <c r="G149" i="730"/>
  <c r="O148" i="730"/>
  <c r="N148" i="730"/>
  <c r="M148" i="730"/>
  <c r="K148" i="730"/>
  <c r="J148" i="730"/>
  <c r="I148" i="730"/>
  <c r="L148" i="730" s="1"/>
  <c r="H148" i="730"/>
  <c r="G148" i="730"/>
  <c r="O147" i="730"/>
  <c r="N147" i="730"/>
  <c r="M147" i="730"/>
  <c r="L147" i="730"/>
  <c r="K147" i="730"/>
  <c r="J147" i="730"/>
  <c r="I147" i="730"/>
  <c r="H147" i="730"/>
  <c r="G147" i="730"/>
  <c r="N146" i="730"/>
  <c r="M146" i="730"/>
  <c r="O146" i="730" s="1"/>
  <c r="L146" i="730"/>
  <c r="K146" i="730"/>
  <c r="J146" i="730"/>
  <c r="I146" i="730"/>
  <c r="H146" i="730"/>
  <c r="G146" i="730"/>
  <c r="N145" i="730"/>
  <c r="M145" i="730"/>
  <c r="O145" i="730" s="1"/>
  <c r="K145" i="730"/>
  <c r="J145" i="730"/>
  <c r="I145" i="730"/>
  <c r="L145" i="730" s="1"/>
  <c r="H145" i="730"/>
  <c r="G145" i="730"/>
  <c r="O144" i="730"/>
  <c r="N144" i="730"/>
  <c r="M144" i="730"/>
  <c r="K144" i="730"/>
  <c r="J144" i="730"/>
  <c r="I144" i="730"/>
  <c r="L144" i="730" s="1"/>
  <c r="H144" i="730"/>
  <c r="G144" i="730"/>
  <c r="O143" i="730"/>
  <c r="N143" i="730"/>
  <c r="M143" i="730"/>
  <c r="L143" i="730"/>
  <c r="K143" i="730"/>
  <c r="J143" i="730"/>
  <c r="I143" i="730"/>
  <c r="H143" i="730"/>
  <c r="G143" i="730"/>
  <c r="N142" i="730"/>
  <c r="M142" i="730"/>
  <c r="O142" i="730" s="1"/>
  <c r="L142" i="730"/>
  <c r="K142" i="730"/>
  <c r="J142" i="730"/>
  <c r="I142" i="730"/>
  <c r="H142" i="730"/>
  <c r="G142" i="730"/>
  <c r="N141" i="730"/>
  <c r="M141" i="730"/>
  <c r="O141" i="730" s="1"/>
  <c r="K141" i="730"/>
  <c r="J141" i="730"/>
  <c r="I141" i="730"/>
  <c r="L141" i="730" s="1"/>
  <c r="H141" i="730"/>
  <c r="G141" i="730"/>
  <c r="O140" i="730"/>
  <c r="N140" i="730"/>
  <c r="M140" i="730"/>
  <c r="K140" i="730"/>
  <c r="J140" i="730"/>
  <c r="I140" i="730"/>
  <c r="L140" i="730" s="1"/>
  <c r="H140" i="730"/>
  <c r="G140" i="730"/>
  <c r="O139" i="730"/>
  <c r="N139" i="730"/>
  <c r="M139" i="730"/>
  <c r="L139" i="730"/>
  <c r="K139" i="730"/>
  <c r="J139" i="730"/>
  <c r="I139" i="730"/>
  <c r="H139" i="730"/>
  <c r="G139" i="730"/>
  <c r="N138" i="730"/>
  <c r="M138" i="730"/>
  <c r="O138" i="730" s="1"/>
  <c r="L138" i="730"/>
  <c r="K138" i="730"/>
  <c r="J138" i="730"/>
  <c r="I138" i="730"/>
  <c r="H138" i="730"/>
  <c r="G138" i="730"/>
  <c r="N137" i="730"/>
  <c r="M137" i="730"/>
  <c r="O137" i="730" s="1"/>
  <c r="K137" i="730"/>
  <c r="J137" i="730"/>
  <c r="I137" i="730"/>
  <c r="L137" i="730" s="1"/>
  <c r="H137" i="730"/>
  <c r="G137" i="730"/>
  <c r="O136" i="730"/>
  <c r="N136" i="730"/>
  <c r="M136" i="730"/>
  <c r="K136" i="730"/>
  <c r="J136" i="730"/>
  <c r="I136" i="730"/>
  <c r="L136" i="730" s="1"/>
  <c r="H136" i="730"/>
  <c r="G136" i="730"/>
  <c r="O135" i="730"/>
  <c r="N135" i="730"/>
  <c r="M135" i="730"/>
  <c r="L135" i="730"/>
  <c r="K135" i="730"/>
  <c r="J135" i="730"/>
  <c r="I135" i="730"/>
  <c r="H135" i="730"/>
  <c r="G135" i="730"/>
  <c r="N134" i="730"/>
  <c r="M134" i="730"/>
  <c r="O134" i="730" s="1"/>
  <c r="L134" i="730"/>
  <c r="K134" i="730"/>
  <c r="J134" i="730"/>
  <c r="I134" i="730"/>
  <c r="H134" i="730"/>
  <c r="G134" i="730"/>
  <c r="N133" i="730"/>
  <c r="M133" i="730"/>
  <c r="O133" i="730" s="1"/>
  <c r="K133" i="730"/>
  <c r="J133" i="730"/>
  <c r="I133" i="730"/>
  <c r="L133" i="730" s="1"/>
  <c r="H133" i="730"/>
  <c r="G133" i="730"/>
  <c r="O132" i="730"/>
  <c r="N132" i="730"/>
  <c r="M132" i="730"/>
  <c r="K132" i="730"/>
  <c r="J132" i="730"/>
  <c r="I132" i="730"/>
  <c r="L132" i="730" s="1"/>
  <c r="H132" i="730"/>
  <c r="G132" i="730"/>
  <c r="O131" i="730"/>
  <c r="N131" i="730"/>
  <c r="M131" i="730"/>
  <c r="L131" i="730"/>
  <c r="K131" i="730"/>
  <c r="J131" i="730"/>
  <c r="I131" i="730"/>
  <c r="H131" i="730"/>
  <c r="G131" i="730"/>
  <c r="N130" i="730"/>
  <c r="M130" i="730"/>
  <c r="O130" i="730" s="1"/>
  <c r="L130" i="730"/>
  <c r="K130" i="730"/>
  <c r="J130" i="730"/>
  <c r="I130" i="730"/>
  <c r="H130" i="730"/>
  <c r="G130" i="730"/>
  <c r="N129" i="730"/>
  <c r="M129" i="730"/>
  <c r="O129" i="730" s="1"/>
  <c r="K129" i="730"/>
  <c r="J129" i="730"/>
  <c r="I129" i="730"/>
  <c r="L129" i="730" s="1"/>
  <c r="H129" i="730"/>
  <c r="G129" i="730"/>
  <c r="O128" i="730"/>
  <c r="N128" i="730"/>
  <c r="M128" i="730"/>
  <c r="K128" i="730"/>
  <c r="J128" i="730"/>
  <c r="I128" i="730"/>
  <c r="L128" i="730" s="1"/>
  <c r="H128" i="730"/>
  <c r="G128" i="730"/>
  <c r="O127" i="730"/>
  <c r="N127" i="730"/>
  <c r="M127" i="730"/>
  <c r="L127" i="730"/>
  <c r="K127" i="730"/>
  <c r="J127" i="730"/>
  <c r="I127" i="730"/>
  <c r="H127" i="730"/>
  <c r="G127" i="730"/>
  <c r="N126" i="730"/>
  <c r="M126" i="730"/>
  <c r="O126" i="730" s="1"/>
  <c r="L126" i="730"/>
  <c r="K126" i="730"/>
  <c r="J126" i="730"/>
  <c r="I126" i="730"/>
  <c r="H126" i="730"/>
  <c r="G126" i="730"/>
  <c r="N125" i="730"/>
  <c r="M125" i="730"/>
  <c r="O125" i="730" s="1"/>
  <c r="K125" i="730"/>
  <c r="J125" i="730"/>
  <c r="I125" i="730"/>
  <c r="L125" i="730" s="1"/>
  <c r="H125" i="730"/>
  <c r="G125" i="730"/>
  <c r="O124" i="730"/>
  <c r="N124" i="730"/>
  <c r="M124" i="730"/>
  <c r="K124" i="730"/>
  <c r="J124" i="730"/>
  <c r="I124" i="730"/>
  <c r="L124" i="730" s="1"/>
  <c r="H124" i="730"/>
  <c r="G124" i="730"/>
  <c r="O123" i="730"/>
  <c r="N123" i="730"/>
  <c r="M123" i="730"/>
  <c r="L123" i="730"/>
  <c r="K123" i="730"/>
  <c r="J123" i="730"/>
  <c r="I123" i="730"/>
  <c r="H123" i="730"/>
  <c r="G123" i="730"/>
  <c r="N122" i="730"/>
  <c r="M122" i="730"/>
  <c r="O122" i="730" s="1"/>
  <c r="L122" i="730"/>
  <c r="K122" i="730"/>
  <c r="J122" i="730"/>
  <c r="I122" i="730"/>
  <c r="H122" i="730"/>
  <c r="G122" i="730"/>
  <c r="N121" i="730"/>
  <c r="M121" i="730"/>
  <c r="O121" i="730" s="1"/>
  <c r="K121" i="730"/>
  <c r="J121" i="730"/>
  <c r="I121" i="730"/>
  <c r="L121" i="730" s="1"/>
  <c r="H121" i="730"/>
  <c r="G121" i="730"/>
  <c r="N120" i="730"/>
  <c r="M120" i="730"/>
  <c r="O120" i="730" s="1"/>
  <c r="K120" i="730"/>
  <c r="J120" i="730"/>
  <c r="I120" i="730"/>
  <c r="L120" i="730" s="1"/>
  <c r="H120" i="730"/>
  <c r="G120" i="730"/>
  <c r="O119" i="730"/>
  <c r="N119" i="730"/>
  <c r="M119" i="730"/>
  <c r="L119" i="730"/>
  <c r="K119" i="730"/>
  <c r="J119" i="730"/>
  <c r="I119" i="730"/>
  <c r="H119" i="730"/>
  <c r="G119" i="730"/>
  <c r="N118" i="730"/>
  <c r="M118" i="730"/>
  <c r="O118" i="730" s="1"/>
  <c r="L118" i="730"/>
  <c r="K118" i="730"/>
  <c r="J118" i="730"/>
  <c r="I118" i="730"/>
  <c r="H118" i="730"/>
  <c r="G118" i="730"/>
  <c r="N117" i="730"/>
  <c r="M117" i="730"/>
  <c r="O117" i="730" s="1"/>
  <c r="K117" i="730"/>
  <c r="J117" i="730"/>
  <c r="I117" i="730"/>
  <c r="L117" i="730" s="1"/>
  <c r="H117" i="730"/>
  <c r="G117" i="730"/>
  <c r="N116" i="730"/>
  <c r="M116" i="730"/>
  <c r="O116" i="730" s="1"/>
  <c r="K116" i="730"/>
  <c r="J116" i="730"/>
  <c r="I116" i="730"/>
  <c r="L116" i="730" s="1"/>
  <c r="H116" i="730"/>
  <c r="G116" i="730"/>
  <c r="O115" i="730"/>
  <c r="N115" i="730"/>
  <c r="M115" i="730"/>
  <c r="L115" i="730"/>
  <c r="K115" i="730"/>
  <c r="J115" i="730"/>
  <c r="I115" i="730"/>
  <c r="H115" i="730"/>
  <c r="G115" i="730"/>
  <c r="N114" i="730"/>
  <c r="M114" i="730"/>
  <c r="O114" i="730" s="1"/>
  <c r="L114" i="730"/>
  <c r="K114" i="730"/>
  <c r="J114" i="730"/>
  <c r="I114" i="730"/>
  <c r="H114" i="730"/>
  <c r="G114" i="730"/>
  <c r="N113" i="730"/>
  <c r="M113" i="730"/>
  <c r="O113" i="730" s="1"/>
  <c r="K113" i="730"/>
  <c r="J113" i="730"/>
  <c r="I113" i="730"/>
  <c r="L113" i="730" s="1"/>
  <c r="H113" i="730"/>
  <c r="G113" i="730"/>
  <c r="N112" i="730"/>
  <c r="M112" i="730"/>
  <c r="O112" i="730" s="1"/>
  <c r="K112" i="730"/>
  <c r="J112" i="730"/>
  <c r="I112" i="730"/>
  <c r="L112" i="730" s="1"/>
  <c r="H112" i="730"/>
  <c r="G112" i="730"/>
  <c r="O111" i="730"/>
  <c r="N111" i="730"/>
  <c r="M111" i="730"/>
  <c r="K111" i="730"/>
  <c r="J111" i="730"/>
  <c r="L111" i="730" s="1"/>
  <c r="I111" i="730"/>
  <c r="H111" i="730"/>
  <c r="G111" i="730"/>
  <c r="N110" i="730"/>
  <c r="M110" i="730"/>
  <c r="O110" i="730" s="1"/>
  <c r="L110" i="730"/>
  <c r="K110" i="730"/>
  <c r="J110" i="730"/>
  <c r="I110" i="730"/>
  <c r="H110" i="730"/>
  <c r="G110" i="730"/>
  <c r="N109" i="730"/>
  <c r="M109" i="730"/>
  <c r="O109" i="730" s="1"/>
  <c r="K109" i="730"/>
  <c r="J109" i="730"/>
  <c r="I109" i="730"/>
  <c r="L109" i="730" s="1"/>
  <c r="H109" i="730"/>
  <c r="G109" i="730"/>
  <c r="N108" i="730"/>
  <c r="M108" i="730"/>
  <c r="O108" i="730" s="1"/>
  <c r="K108" i="730"/>
  <c r="J108" i="730"/>
  <c r="I108" i="730"/>
  <c r="L108" i="730" s="1"/>
  <c r="H108" i="730"/>
  <c r="G108" i="730"/>
  <c r="O107" i="730"/>
  <c r="N107" i="730"/>
  <c r="M107" i="730"/>
  <c r="K107" i="730"/>
  <c r="J107" i="730"/>
  <c r="L107" i="730" s="1"/>
  <c r="I107" i="730"/>
  <c r="H107" i="730"/>
  <c r="G107" i="730"/>
  <c r="N106" i="730"/>
  <c r="M106" i="730"/>
  <c r="O106" i="730" s="1"/>
  <c r="L106" i="730"/>
  <c r="K106" i="730"/>
  <c r="J106" i="730"/>
  <c r="I106" i="730"/>
  <c r="H106" i="730"/>
  <c r="G106" i="730"/>
  <c r="N105" i="730"/>
  <c r="M105" i="730"/>
  <c r="O105" i="730" s="1"/>
  <c r="K105" i="730"/>
  <c r="J105" i="730"/>
  <c r="I105" i="730"/>
  <c r="L105" i="730" s="1"/>
  <c r="H105" i="730"/>
  <c r="G105" i="730"/>
  <c r="N104" i="730"/>
  <c r="M104" i="730"/>
  <c r="O104" i="730" s="1"/>
  <c r="K104" i="730"/>
  <c r="J104" i="730"/>
  <c r="I104" i="730"/>
  <c r="L104" i="730" s="1"/>
  <c r="H104" i="730"/>
  <c r="G104" i="730"/>
  <c r="O103" i="730"/>
  <c r="N103" i="730"/>
  <c r="M103" i="730"/>
  <c r="K103" i="730"/>
  <c r="J103" i="730"/>
  <c r="L103" i="730" s="1"/>
  <c r="I103" i="730"/>
  <c r="H103" i="730"/>
  <c r="G103" i="730"/>
  <c r="N102" i="730"/>
  <c r="M102" i="730"/>
  <c r="O102" i="730" s="1"/>
  <c r="L102" i="730"/>
  <c r="K102" i="730"/>
  <c r="J102" i="730"/>
  <c r="I102" i="730"/>
  <c r="H102" i="730"/>
  <c r="G102" i="730"/>
  <c r="N101" i="730"/>
  <c r="M101" i="730"/>
  <c r="O101" i="730" s="1"/>
  <c r="K101" i="730"/>
  <c r="J101" i="730"/>
  <c r="I101" i="730"/>
  <c r="L101" i="730" s="1"/>
  <c r="H101" i="730"/>
  <c r="G101" i="730"/>
  <c r="N100" i="730"/>
  <c r="M100" i="730"/>
  <c r="O100" i="730" s="1"/>
  <c r="K100" i="730"/>
  <c r="J100" i="730"/>
  <c r="I100" i="730"/>
  <c r="L100" i="730" s="1"/>
  <c r="H100" i="730"/>
  <c r="G100" i="730"/>
  <c r="O99" i="730"/>
  <c r="N99" i="730"/>
  <c r="M99" i="730"/>
  <c r="K99" i="730"/>
  <c r="J99" i="730"/>
  <c r="L99" i="730" s="1"/>
  <c r="I99" i="730"/>
  <c r="H99" i="730"/>
  <c r="G99" i="730"/>
  <c r="N98" i="730"/>
  <c r="M98" i="730"/>
  <c r="O98" i="730" s="1"/>
  <c r="L98" i="730"/>
  <c r="K98" i="730"/>
  <c r="J98" i="730"/>
  <c r="I98" i="730"/>
  <c r="H98" i="730"/>
  <c r="G98" i="730"/>
  <c r="N97" i="730"/>
  <c r="M97" i="730"/>
  <c r="O97" i="730" s="1"/>
  <c r="K97" i="730"/>
  <c r="J97" i="730"/>
  <c r="I97" i="730"/>
  <c r="L97" i="730" s="1"/>
  <c r="H97" i="730"/>
  <c r="G97" i="730"/>
  <c r="N96" i="730"/>
  <c r="M96" i="730"/>
  <c r="O96" i="730" s="1"/>
  <c r="K96" i="730"/>
  <c r="J96" i="730"/>
  <c r="I96" i="730"/>
  <c r="L96" i="730" s="1"/>
  <c r="H96" i="730"/>
  <c r="G96" i="730"/>
  <c r="O95" i="730"/>
  <c r="N95" i="730"/>
  <c r="M95" i="730"/>
  <c r="K95" i="730"/>
  <c r="J95" i="730"/>
  <c r="L95" i="730" s="1"/>
  <c r="I95" i="730"/>
  <c r="H95" i="730"/>
  <c r="G95" i="730"/>
  <c r="N94" i="730"/>
  <c r="M94" i="730"/>
  <c r="O94" i="730" s="1"/>
  <c r="L94" i="730"/>
  <c r="K94" i="730"/>
  <c r="J94" i="730"/>
  <c r="I94" i="730"/>
  <c r="H94" i="730"/>
  <c r="G94" i="730"/>
  <c r="N93" i="730"/>
  <c r="M93" i="730"/>
  <c r="O93" i="730" s="1"/>
  <c r="K93" i="730"/>
  <c r="J93" i="730"/>
  <c r="I93" i="730"/>
  <c r="L93" i="730" s="1"/>
  <c r="H93" i="730"/>
  <c r="G93" i="730"/>
  <c r="N92" i="730"/>
  <c r="M92" i="730"/>
  <c r="O92" i="730" s="1"/>
  <c r="K92" i="730"/>
  <c r="J92" i="730"/>
  <c r="I92" i="730"/>
  <c r="L92" i="730" s="1"/>
  <c r="H92" i="730"/>
  <c r="G92" i="730"/>
  <c r="O91" i="730"/>
  <c r="N91" i="730"/>
  <c r="M91" i="730"/>
  <c r="K91" i="730"/>
  <c r="J91" i="730"/>
  <c r="L91" i="730" s="1"/>
  <c r="I91" i="730"/>
  <c r="H91" i="730"/>
  <c r="G91" i="730"/>
  <c r="N90" i="730"/>
  <c r="M90" i="730"/>
  <c r="O90" i="730" s="1"/>
  <c r="L90" i="730"/>
  <c r="K90" i="730"/>
  <c r="J90" i="730"/>
  <c r="I90" i="730"/>
  <c r="H90" i="730"/>
  <c r="G90" i="730"/>
  <c r="N89" i="730"/>
  <c r="M89" i="730"/>
  <c r="O89" i="730" s="1"/>
  <c r="K89" i="730"/>
  <c r="J89" i="730"/>
  <c r="I89" i="730"/>
  <c r="L89" i="730" s="1"/>
  <c r="H89" i="730"/>
  <c r="G89" i="730"/>
  <c r="N88" i="730"/>
  <c r="M88" i="730"/>
  <c r="O88" i="730" s="1"/>
  <c r="K88" i="730"/>
  <c r="J88" i="730"/>
  <c r="I88" i="730"/>
  <c r="L88" i="730" s="1"/>
  <c r="H88" i="730"/>
  <c r="G88" i="730"/>
  <c r="O87" i="730"/>
  <c r="N87" i="730"/>
  <c r="M87" i="730"/>
  <c r="K87" i="730"/>
  <c r="J87" i="730"/>
  <c r="L87" i="730" s="1"/>
  <c r="I87" i="730"/>
  <c r="H87" i="730"/>
  <c r="G87" i="730"/>
  <c r="N86" i="730"/>
  <c r="M86" i="730"/>
  <c r="O86" i="730" s="1"/>
  <c r="L86" i="730"/>
  <c r="K86" i="730"/>
  <c r="J86" i="730"/>
  <c r="I86" i="730"/>
  <c r="H86" i="730"/>
  <c r="G86" i="730"/>
  <c r="N85" i="730"/>
  <c r="M85" i="730"/>
  <c r="O85" i="730" s="1"/>
  <c r="K85" i="730"/>
  <c r="J85" i="730"/>
  <c r="I85" i="730"/>
  <c r="L85" i="730" s="1"/>
  <c r="H85" i="730"/>
  <c r="G85" i="730"/>
  <c r="N84" i="730"/>
  <c r="M84" i="730"/>
  <c r="O84" i="730" s="1"/>
  <c r="K84" i="730"/>
  <c r="J84" i="730"/>
  <c r="I84" i="730"/>
  <c r="L84" i="730" s="1"/>
  <c r="H84" i="730"/>
  <c r="G84" i="730"/>
  <c r="O83" i="730"/>
  <c r="N83" i="730"/>
  <c r="M83" i="730"/>
  <c r="K83" i="730"/>
  <c r="J83" i="730"/>
  <c r="L83" i="730" s="1"/>
  <c r="I83" i="730"/>
  <c r="H83" i="730"/>
  <c r="G83" i="730"/>
  <c r="N82" i="730"/>
  <c r="M82" i="730"/>
  <c r="O82" i="730" s="1"/>
  <c r="L82" i="730"/>
  <c r="K82" i="730"/>
  <c r="J82" i="730"/>
  <c r="I82" i="730"/>
  <c r="H82" i="730"/>
  <c r="G82" i="730"/>
  <c r="N81" i="730"/>
  <c r="M81" i="730"/>
  <c r="O81" i="730" s="1"/>
  <c r="K81" i="730"/>
  <c r="J81" i="730"/>
  <c r="I81" i="730"/>
  <c r="L81" i="730" s="1"/>
  <c r="H81" i="730"/>
  <c r="G81" i="730"/>
  <c r="N80" i="730"/>
  <c r="M80" i="730"/>
  <c r="O80" i="730" s="1"/>
  <c r="K80" i="730"/>
  <c r="J80" i="730"/>
  <c r="I80" i="730"/>
  <c r="L80" i="730" s="1"/>
  <c r="H80" i="730"/>
  <c r="G80" i="730"/>
  <c r="O79" i="730"/>
  <c r="N79" i="730"/>
  <c r="M79" i="730"/>
  <c r="K79" i="730"/>
  <c r="J79" i="730"/>
  <c r="L79" i="730" s="1"/>
  <c r="I79" i="730"/>
  <c r="H79" i="730"/>
  <c r="G79" i="730"/>
  <c r="N78" i="730"/>
  <c r="M78" i="730"/>
  <c r="O78" i="730" s="1"/>
  <c r="L78" i="730"/>
  <c r="K78" i="730"/>
  <c r="J78" i="730"/>
  <c r="I78" i="730"/>
  <c r="H78" i="730"/>
  <c r="G78" i="730"/>
  <c r="N77" i="730"/>
  <c r="M77" i="730"/>
  <c r="O77" i="730" s="1"/>
  <c r="K77" i="730"/>
  <c r="J77" i="730"/>
  <c r="I77" i="730"/>
  <c r="L77" i="730" s="1"/>
  <c r="H77" i="730"/>
  <c r="G77" i="730"/>
  <c r="N76" i="730"/>
  <c r="M76" i="730"/>
  <c r="O76" i="730" s="1"/>
  <c r="K76" i="730"/>
  <c r="J76" i="730"/>
  <c r="I76" i="730"/>
  <c r="L76" i="730" s="1"/>
  <c r="H76" i="730"/>
  <c r="G76" i="730"/>
  <c r="O75" i="730"/>
  <c r="N75" i="730"/>
  <c r="M75" i="730"/>
  <c r="K75" i="730"/>
  <c r="J75" i="730"/>
  <c r="L75" i="730" s="1"/>
  <c r="I75" i="730"/>
  <c r="H75" i="730"/>
  <c r="G75" i="730"/>
  <c r="N74" i="730"/>
  <c r="M74" i="730"/>
  <c r="O74" i="730" s="1"/>
  <c r="L74" i="730"/>
  <c r="K74" i="730"/>
  <c r="J74" i="730"/>
  <c r="I74" i="730"/>
  <c r="H74" i="730"/>
  <c r="G74" i="730"/>
  <c r="N73" i="730"/>
  <c r="M73" i="730"/>
  <c r="O73" i="730" s="1"/>
  <c r="K73" i="730"/>
  <c r="J73" i="730"/>
  <c r="I73" i="730"/>
  <c r="L73" i="730" s="1"/>
  <c r="H73" i="730"/>
  <c r="G73" i="730"/>
  <c r="N72" i="730"/>
  <c r="M72" i="730"/>
  <c r="O72" i="730" s="1"/>
  <c r="K72" i="730"/>
  <c r="J72" i="730"/>
  <c r="I72" i="730"/>
  <c r="L72" i="730" s="1"/>
  <c r="H72" i="730"/>
  <c r="G72" i="730"/>
  <c r="O71" i="730"/>
  <c r="N71" i="730"/>
  <c r="M71" i="730"/>
  <c r="K71" i="730"/>
  <c r="J71" i="730"/>
  <c r="L71" i="730" s="1"/>
  <c r="I71" i="730"/>
  <c r="H71" i="730"/>
  <c r="G71" i="730"/>
  <c r="N70" i="730"/>
  <c r="M70" i="730"/>
  <c r="O70" i="730" s="1"/>
  <c r="L70" i="730"/>
  <c r="K70" i="730"/>
  <c r="J70" i="730"/>
  <c r="I70" i="730"/>
  <c r="H70" i="730"/>
  <c r="G70" i="730"/>
  <c r="N69" i="730"/>
  <c r="M69" i="730"/>
  <c r="O69" i="730" s="1"/>
  <c r="K69" i="730"/>
  <c r="J69" i="730"/>
  <c r="I69" i="730"/>
  <c r="L69" i="730" s="1"/>
  <c r="H69" i="730"/>
  <c r="G69" i="730"/>
  <c r="N68" i="730"/>
  <c r="M68" i="730"/>
  <c r="O68" i="730" s="1"/>
  <c r="K68" i="730"/>
  <c r="J68" i="730"/>
  <c r="I68" i="730"/>
  <c r="L68" i="730" s="1"/>
  <c r="H68" i="730"/>
  <c r="G68" i="730"/>
  <c r="O67" i="730"/>
  <c r="N67" i="730"/>
  <c r="M67" i="730"/>
  <c r="K67" i="730"/>
  <c r="J67" i="730"/>
  <c r="L67" i="730" s="1"/>
  <c r="I67" i="730"/>
  <c r="H67" i="730"/>
  <c r="G67" i="730"/>
  <c r="N66" i="730"/>
  <c r="M66" i="730"/>
  <c r="O66" i="730" s="1"/>
  <c r="L66" i="730"/>
  <c r="K66" i="730"/>
  <c r="J66" i="730"/>
  <c r="I66" i="730"/>
  <c r="H66" i="730"/>
  <c r="G66" i="730"/>
  <c r="N65" i="730"/>
  <c r="M65" i="730"/>
  <c r="O65" i="730" s="1"/>
  <c r="K65" i="730"/>
  <c r="J65" i="730"/>
  <c r="I65" i="730"/>
  <c r="L65" i="730" s="1"/>
  <c r="H65" i="730"/>
  <c r="G65" i="730"/>
  <c r="N64" i="730"/>
  <c r="M64" i="730"/>
  <c r="O64" i="730" s="1"/>
  <c r="K64" i="730"/>
  <c r="J64" i="730"/>
  <c r="I64" i="730"/>
  <c r="L64" i="730" s="1"/>
  <c r="H64" i="730"/>
  <c r="G64" i="730"/>
  <c r="O63" i="730"/>
  <c r="N63" i="730"/>
  <c r="M63" i="730"/>
  <c r="K63" i="730"/>
  <c r="J63" i="730"/>
  <c r="L63" i="730" s="1"/>
  <c r="I63" i="730"/>
  <c r="H63" i="730"/>
  <c r="G63" i="730"/>
  <c r="N62" i="730"/>
  <c r="M62" i="730"/>
  <c r="O62" i="730" s="1"/>
  <c r="L62" i="730"/>
  <c r="K62" i="730"/>
  <c r="J62" i="730"/>
  <c r="I62" i="730"/>
  <c r="H62" i="730"/>
  <c r="G62" i="730"/>
  <c r="N61" i="730"/>
  <c r="M61" i="730"/>
  <c r="O61" i="730" s="1"/>
  <c r="K61" i="730"/>
  <c r="J61" i="730"/>
  <c r="I61" i="730"/>
  <c r="L61" i="730" s="1"/>
  <c r="H61" i="730"/>
  <c r="G61" i="730"/>
  <c r="N60" i="730"/>
  <c r="M60" i="730"/>
  <c r="O60" i="730" s="1"/>
  <c r="K60" i="730"/>
  <c r="J60" i="730"/>
  <c r="I60" i="730"/>
  <c r="L60" i="730" s="1"/>
  <c r="H60" i="730"/>
  <c r="G60" i="730"/>
  <c r="O59" i="730"/>
  <c r="N59" i="730"/>
  <c r="M59" i="730"/>
  <c r="K59" i="730"/>
  <c r="J59" i="730"/>
  <c r="L59" i="730" s="1"/>
  <c r="I59" i="730"/>
  <c r="H59" i="730"/>
  <c r="G59" i="730"/>
  <c r="N58" i="730"/>
  <c r="M58" i="730"/>
  <c r="O58" i="730" s="1"/>
  <c r="K58" i="730"/>
  <c r="L58" i="730" s="1"/>
  <c r="J58" i="730"/>
  <c r="I58" i="730"/>
  <c r="H58" i="730"/>
  <c r="G58" i="730"/>
  <c r="N57" i="730"/>
  <c r="M57" i="730"/>
  <c r="O57" i="730" s="1"/>
  <c r="K57" i="730"/>
  <c r="J57" i="730"/>
  <c r="I57" i="730"/>
  <c r="L57" i="730" s="1"/>
  <c r="H57" i="730"/>
  <c r="G57" i="730"/>
  <c r="N56" i="730"/>
  <c r="M56" i="730"/>
  <c r="O56" i="730" s="1"/>
  <c r="K56" i="730"/>
  <c r="J56" i="730"/>
  <c r="I56" i="730"/>
  <c r="L56" i="730" s="1"/>
  <c r="H56" i="730"/>
  <c r="G56" i="730"/>
  <c r="O55" i="730"/>
  <c r="N55" i="730"/>
  <c r="M55" i="730"/>
  <c r="K55" i="730"/>
  <c r="J55" i="730"/>
  <c r="L55" i="730" s="1"/>
  <c r="I55" i="730"/>
  <c r="H55" i="730"/>
  <c r="G55" i="730"/>
  <c r="N54" i="730"/>
  <c r="M54" i="730"/>
  <c r="O54" i="730" s="1"/>
  <c r="K54" i="730"/>
  <c r="L54" i="730" s="1"/>
  <c r="J54" i="730"/>
  <c r="I54" i="730"/>
  <c r="H54" i="730"/>
  <c r="G54" i="730"/>
  <c r="N53" i="730"/>
  <c r="M53" i="730"/>
  <c r="O53" i="730" s="1"/>
  <c r="K53" i="730"/>
  <c r="J53" i="730"/>
  <c r="I53" i="730"/>
  <c r="L53" i="730" s="1"/>
  <c r="H53" i="730"/>
  <c r="G53" i="730"/>
  <c r="N52" i="730"/>
  <c r="M52" i="730"/>
  <c r="O52" i="730" s="1"/>
  <c r="K52" i="730"/>
  <c r="J52" i="730"/>
  <c r="I52" i="730"/>
  <c r="L52" i="730" s="1"/>
  <c r="H52" i="730"/>
  <c r="G52" i="730"/>
  <c r="O51" i="730"/>
  <c r="N51" i="730"/>
  <c r="M51" i="730"/>
  <c r="K51" i="730"/>
  <c r="J51" i="730"/>
  <c r="L51" i="730" s="1"/>
  <c r="I51" i="730"/>
  <c r="H51" i="730"/>
  <c r="G51" i="730"/>
  <c r="N50" i="730"/>
  <c r="M50" i="730"/>
  <c r="O50" i="730" s="1"/>
  <c r="K50" i="730"/>
  <c r="L50" i="730" s="1"/>
  <c r="J50" i="730"/>
  <c r="I50" i="730"/>
  <c r="H50" i="730"/>
  <c r="G50" i="730"/>
  <c r="N49" i="730"/>
  <c r="M49" i="730"/>
  <c r="O49" i="730" s="1"/>
  <c r="K49" i="730"/>
  <c r="J49" i="730"/>
  <c r="I49" i="730"/>
  <c r="L49" i="730" s="1"/>
  <c r="H49" i="730"/>
  <c r="G49" i="730"/>
  <c r="N48" i="730"/>
  <c r="M48" i="730"/>
  <c r="O48" i="730" s="1"/>
  <c r="K48" i="730"/>
  <c r="J48" i="730"/>
  <c r="I48" i="730"/>
  <c r="L48" i="730" s="1"/>
  <c r="H48" i="730"/>
  <c r="G48" i="730"/>
  <c r="O47" i="730"/>
  <c r="N47" i="730"/>
  <c r="M47" i="730"/>
  <c r="K47" i="730"/>
  <c r="J47" i="730"/>
  <c r="L47" i="730" s="1"/>
  <c r="I47" i="730"/>
  <c r="H47" i="730"/>
  <c r="G47" i="730"/>
  <c r="N46" i="730"/>
  <c r="M46" i="730"/>
  <c r="O46" i="730" s="1"/>
  <c r="K46" i="730"/>
  <c r="L46" i="730" s="1"/>
  <c r="J46" i="730"/>
  <c r="I46" i="730"/>
  <c r="H46" i="730"/>
  <c r="G46" i="730"/>
  <c r="N45" i="730"/>
  <c r="M45" i="730"/>
  <c r="O45" i="730" s="1"/>
  <c r="K45" i="730"/>
  <c r="J45" i="730"/>
  <c r="I45" i="730"/>
  <c r="L45" i="730" s="1"/>
  <c r="H45" i="730"/>
  <c r="G45" i="730"/>
  <c r="N44" i="730"/>
  <c r="M44" i="730"/>
  <c r="O44" i="730" s="1"/>
  <c r="K44" i="730"/>
  <c r="J44" i="730"/>
  <c r="I44" i="730"/>
  <c r="L44" i="730" s="1"/>
  <c r="H44" i="730"/>
  <c r="G44" i="730"/>
  <c r="O43" i="730"/>
  <c r="N43" i="730"/>
  <c r="M43" i="730"/>
  <c r="K43" i="730"/>
  <c r="J43" i="730"/>
  <c r="L43" i="730" s="1"/>
  <c r="I43" i="730"/>
  <c r="H43" i="730"/>
  <c r="G43" i="730"/>
  <c r="N42" i="730"/>
  <c r="M42" i="730"/>
  <c r="O42" i="730" s="1"/>
  <c r="L42" i="730"/>
  <c r="K42" i="730"/>
  <c r="J42" i="730"/>
  <c r="I42" i="730"/>
  <c r="H42" i="730"/>
  <c r="G42" i="730"/>
  <c r="N41" i="730"/>
  <c r="M41" i="730"/>
  <c r="O41" i="730" s="1"/>
  <c r="K41" i="730"/>
  <c r="J41" i="730"/>
  <c r="I41" i="730"/>
  <c r="L41" i="730" s="1"/>
  <c r="H41" i="730"/>
  <c r="G41" i="730"/>
  <c r="N40" i="730"/>
  <c r="M40" i="730"/>
  <c r="O40" i="730" s="1"/>
  <c r="K40" i="730"/>
  <c r="J40" i="730"/>
  <c r="I40" i="730"/>
  <c r="L40" i="730" s="1"/>
  <c r="H40" i="730"/>
  <c r="G40" i="730"/>
  <c r="O39" i="730"/>
  <c r="N39" i="730"/>
  <c r="M39" i="730"/>
  <c r="K39" i="730"/>
  <c r="J39" i="730"/>
  <c r="L39" i="730" s="1"/>
  <c r="I39" i="730"/>
  <c r="H39" i="730"/>
  <c r="G39" i="730"/>
  <c r="N38" i="730"/>
  <c r="M38" i="730"/>
  <c r="O38" i="730" s="1"/>
  <c r="K38" i="730"/>
  <c r="L38" i="730" s="1"/>
  <c r="J38" i="730"/>
  <c r="I38" i="730"/>
  <c r="H38" i="730"/>
  <c r="G38" i="730"/>
  <c r="N37" i="730"/>
  <c r="M37" i="730"/>
  <c r="O37" i="730" s="1"/>
  <c r="K37" i="730"/>
  <c r="J37" i="730"/>
  <c r="I37" i="730"/>
  <c r="L37" i="730" s="1"/>
  <c r="H37" i="730"/>
  <c r="G37" i="730"/>
  <c r="N36" i="730"/>
  <c r="M36" i="730"/>
  <c r="O36" i="730" s="1"/>
  <c r="K36" i="730"/>
  <c r="J36" i="730"/>
  <c r="I36" i="730"/>
  <c r="L36" i="730" s="1"/>
  <c r="H36" i="730"/>
  <c r="G36" i="730"/>
  <c r="O35" i="730"/>
  <c r="N35" i="730"/>
  <c r="M35" i="730"/>
  <c r="K35" i="730"/>
  <c r="J35" i="730"/>
  <c r="L35" i="730" s="1"/>
  <c r="I35" i="730"/>
  <c r="H35" i="730"/>
  <c r="G35" i="730"/>
  <c r="N34" i="730"/>
  <c r="M34" i="730"/>
  <c r="O34" i="730" s="1"/>
  <c r="L34" i="730"/>
  <c r="K34" i="730"/>
  <c r="J34" i="730"/>
  <c r="I34" i="730"/>
  <c r="H34" i="730"/>
  <c r="G34" i="730"/>
  <c r="N33" i="730"/>
  <c r="M33" i="730"/>
  <c r="O33" i="730" s="1"/>
  <c r="K33" i="730"/>
  <c r="J33" i="730"/>
  <c r="I33" i="730"/>
  <c r="L33" i="730" s="1"/>
  <c r="H33" i="730"/>
  <c r="G33" i="730"/>
  <c r="N32" i="730"/>
  <c r="M32" i="730"/>
  <c r="O32" i="730" s="1"/>
  <c r="K32" i="730"/>
  <c r="J32" i="730"/>
  <c r="I32" i="730"/>
  <c r="L32" i="730" s="1"/>
  <c r="H32" i="730"/>
  <c r="G32" i="730"/>
  <c r="O31" i="730"/>
  <c r="N31" i="730"/>
  <c r="M31" i="730"/>
  <c r="K31" i="730"/>
  <c r="J31" i="730"/>
  <c r="L31" i="730" s="1"/>
  <c r="I31" i="730"/>
  <c r="H31" i="730"/>
  <c r="G31" i="730"/>
  <c r="N30" i="730"/>
  <c r="M30" i="730"/>
  <c r="O30" i="730" s="1"/>
  <c r="K30" i="730"/>
  <c r="L30" i="730" s="1"/>
  <c r="J30" i="730"/>
  <c r="I30" i="730"/>
  <c r="H30" i="730"/>
  <c r="G30" i="730"/>
  <c r="N29" i="730"/>
  <c r="M29" i="730"/>
  <c r="O29" i="730" s="1"/>
  <c r="K29" i="730"/>
  <c r="J29" i="730"/>
  <c r="I29" i="730"/>
  <c r="L29" i="730" s="1"/>
  <c r="H29" i="730"/>
  <c r="G29" i="730"/>
  <c r="N28" i="730"/>
  <c r="M28" i="730"/>
  <c r="O28" i="730" s="1"/>
  <c r="K28" i="730"/>
  <c r="J28" i="730"/>
  <c r="I28" i="730"/>
  <c r="L28" i="730" s="1"/>
  <c r="H28" i="730"/>
  <c r="G28" i="730"/>
  <c r="O27" i="730"/>
  <c r="N27" i="730"/>
  <c r="M27" i="730"/>
  <c r="K27" i="730"/>
  <c r="J27" i="730"/>
  <c r="L27" i="730" s="1"/>
  <c r="I27" i="730"/>
  <c r="H27" i="730"/>
  <c r="G27" i="730"/>
  <c r="N26" i="730"/>
  <c r="M26" i="730"/>
  <c r="O26" i="730" s="1"/>
  <c r="K26" i="730"/>
  <c r="L26" i="730" s="1"/>
  <c r="J26" i="730"/>
  <c r="I26" i="730"/>
  <c r="H26" i="730"/>
  <c r="G26" i="730"/>
  <c r="N25" i="730"/>
  <c r="M25" i="730"/>
  <c r="O25" i="730" s="1"/>
  <c r="K25" i="730"/>
  <c r="J25" i="730"/>
  <c r="I25" i="730"/>
  <c r="L25" i="730" s="1"/>
  <c r="H25" i="730"/>
  <c r="G25" i="730"/>
  <c r="N24" i="730"/>
  <c r="M24" i="730"/>
  <c r="O24" i="730" s="1"/>
  <c r="K24" i="730"/>
  <c r="J24" i="730"/>
  <c r="I24" i="730"/>
  <c r="L24" i="730" s="1"/>
  <c r="H24" i="730"/>
  <c r="G24" i="730"/>
  <c r="N23" i="730"/>
  <c r="O23" i="730" s="1"/>
  <c r="M23" i="730"/>
  <c r="K23" i="730"/>
  <c r="J23" i="730"/>
  <c r="L23" i="730" s="1"/>
  <c r="I23" i="730"/>
  <c r="H23" i="730"/>
  <c r="G23" i="730"/>
  <c r="N22" i="730"/>
  <c r="M22" i="730"/>
  <c r="O22" i="730" s="1"/>
  <c r="K22" i="730"/>
  <c r="J22" i="730"/>
  <c r="I22" i="730"/>
  <c r="H22" i="730"/>
  <c r="G22" i="730"/>
  <c r="N21" i="730"/>
  <c r="M21" i="730"/>
  <c r="O21" i="730" s="1"/>
  <c r="K21" i="730"/>
  <c r="J21" i="730"/>
  <c r="I21" i="730"/>
  <c r="L21" i="730" s="1"/>
  <c r="H21" i="730"/>
  <c r="G21" i="730"/>
  <c r="N20" i="730"/>
  <c r="M20" i="730"/>
  <c r="O20" i="730" s="1"/>
  <c r="K20" i="730"/>
  <c r="J20" i="730"/>
  <c r="I20" i="730"/>
  <c r="L20" i="730" s="1"/>
  <c r="H20" i="730"/>
  <c r="G20" i="730"/>
  <c r="N19" i="730"/>
  <c r="M19" i="730"/>
  <c r="O19" i="730" s="1"/>
  <c r="K19" i="730"/>
  <c r="J19" i="730"/>
  <c r="L19" i="730" s="1"/>
  <c r="I19" i="730"/>
  <c r="H19" i="730"/>
  <c r="G19" i="730"/>
  <c r="N18" i="730"/>
  <c r="K18" i="730"/>
  <c r="J18" i="730"/>
  <c r="I18" i="730"/>
  <c r="H18" i="730"/>
  <c r="G18" i="730"/>
  <c r="N17" i="730"/>
  <c r="M17" i="730"/>
  <c r="O17" i="730" s="1"/>
  <c r="K17" i="730"/>
  <c r="J17" i="730"/>
  <c r="I17" i="730"/>
  <c r="L17" i="730" s="1"/>
  <c r="H17" i="730"/>
  <c r="G17" i="730"/>
  <c r="N16" i="730"/>
  <c r="K16" i="730"/>
  <c r="J16" i="730"/>
  <c r="I16" i="730"/>
  <c r="L16" i="730" s="1"/>
  <c r="M16" i="730" s="1"/>
  <c r="O16" i="730" s="1"/>
  <c r="H16" i="730"/>
  <c r="G16" i="730"/>
  <c r="O15" i="730"/>
  <c r="N15" i="730"/>
  <c r="M15" i="730"/>
  <c r="K15" i="730"/>
  <c r="J15" i="730"/>
  <c r="L15" i="730" s="1"/>
  <c r="I15" i="730"/>
  <c r="H15" i="730"/>
  <c r="G15" i="730"/>
  <c r="N14" i="730"/>
  <c r="K14" i="730"/>
  <c r="J14" i="730"/>
  <c r="I14" i="730"/>
  <c r="L14" i="730" s="1"/>
  <c r="M14" i="730" s="1"/>
  <c r="O14" i="730" s="1"/>
  <c r="H14" i="730"/>
  <c r="G14" i="730"/>
  <c r="N13" i="730"/>
  <c r="M13" i="730"/>
  <c r="O13" i="730" s="1"/>
  <c r="K13" i="730"/>
  <c r="J13" i="730"/>
  <c r="L13" i="730" s="1"/>
  <c r="I13" i="730"/>
  <c r="H13" i="730"/>
  <c r="G13" i="730"/>
  <c r="N12" i="730"/>
  <c r="K12" i="730"/>
  <c r="J12" i="730"/>
  <c r="I12" i="730"/>
  <c r="L12" i="730" s="1"/>
  <c r="M12" i="730" s="1"/>
  <c r="O12" i="730" s="1"/>
  <c r="H12" i="730"/>
  <c r="G12" i="730"/>
  <c r="N11" i="730"/>
  <c r="K11" i="730"/>
  <c r="J11" i="730"/>
  <c r="I11" i="730"/>
  <c r="L11" i="730" s="1"/>
  <c r="M11" i="730" s="1"/>
  <c r="O11" i="730" s="1"/>
  <c r="H11" i="730"/>
  <c r="G11" i="730"/>
  <c r="N10" i="730"/>
  <c r="K10" i="730"/>
  <c r="J10" i="730"/>
  <c r="I10" i="730"/>
  <c r="L10" i="730" s="1"/>
  <c r="M10" i="730" s="1"/>
  <c r="O10" i="730" s="1"/>
  <c r="H10" i="730"/>
  <c r="G10" i="730"/>
  <c r="N9" i="730"/>
  <c r="M9" i="730"/>
  <c r="K9" i="730"/>
  <c r="J9" i="730"/>
  <c r="L9" i="730" s="1"/>
  <c r="I9" i="730"/>
  <c r="H9" i="730"/>
  <c r="G9" i="730"/>
  <c r="N1001" i="729"/>
  <c r="M1001" i="729"/>
  <c r="O1001" i="729" s="1"/>
  <c r="K1001" i="729"/>
  <c r="J1001" i="729"/>
  <c r="I1001" i="729"/>
  <c r="L1001" i="729" s="1"/>
  <c r="H1001" i="729"/>
  <c r="G1001" i="729"/>
  <c r="O1000" i="729"/>
  <c r="N1000" i="729"/>
  <c r="M1000" i="729"/>
  <c r="K1000" i="729"/>
  <c r="J1000" i="729"/>
  <c r="I1000" i="729"/>
  <c r="L1000" i="729" s="1"/>
  <c r="H1000" i="729"/>
  <c r="G1000" i="729"/>
  <c r="N999" i="729"/>
  <c r="M999" i="729"/>
  <c r="O999" i="729" s="1"/>
  <c r="L999" i="729"/>
  <c r="K999" i="729"/>
  <c r="J999" i="729"/>
  <c r="I999" i="729"/>
  <c r="H999" i="729"/>
  <c r="G999" i="729"/>
  <c r="N998" i="729"/>
  <c r="M998" i="729"/>
  <c r="O998" i="729" s="1"/>
  <c r="K998" i="729"/>
  <c r="J998" i="729"/>
  <c r="I998" i="729"/>
  <c r="L998" i="729" s="1"/>
  <c r="H998" i="729"/>
  <c r="G998" i="729"/>
  <c r="N997" i="729"/>
  <c r="M997" i="729"/>
  <c r="O997" i="729" s="1"/>
  <c r="K997" i="729"/>
  <c r="J997" i="729"/>
  <c r="I997" i="729"/>
  <c r="L997" i="729" s="1"/>
  <c r="H997" i="729"/>
  <c r="G997" i="729"/>
  <c r="O996" i="729"/>
  <c r="N996" i="729"/>
  <c r="M996" i="729"/>
  <c r="K996" i="729"/>
  <c r="J996" i="729"/>
  <c r="I996" i="729"/>
  <c r="L996" i="729" s="1"/>
  <c r="H996" i="729"/>
  <c r="G996" i="729"/>
  <c r="N995" i="729"/>
  <c r="M995" i="729"/>
  <c r="O995" i="729" s="1"/>
  <c r="L995" i="729"/>
  <c r="K995" i="729"/>
  <c r="J995" i="729"/>
  <c r="I995" i="729"/>
  <c r="H995" i="729"/>
  <c r="G995" i="729"/>
  <c r="N994" i="729"/>
  <c r="M994" i="729"/>
  <c r="O994" i="729" s="1"/>
  <c r="K994" i="729"/>
  <c r="J994" i="729"/>
  <c r="I994" i="729"/>
  <c r="L994" i="729" s="1"/>
  <c r="H994" i="729"/>
  <c r="G994" i="729"/>
  <c r="N993" i="729"/>
  <c r="M993" i="729"/>
  <c r="O993" i="729" s="1"/>
  <c r="K993" i="729"/>
  <c r="J993" i="729"/>
  <c r="I993" i="729"/>
  <c r="L993" i="729" s="1"/>
  <c r="H993" i="729"/>
  <c r="G993" i="729"/>
  <c r="O992" i="729"/>
  <c r="N992" i="729"/>
  <c r="M992" i="729"/>
  <c r="K992" i="729"/>
  <c r="J992" i="729"/>
  <c r="I992" i="729"/>
  <c r="L992" i="729" s="1"/>
  <c r="H992" i="729"/>
  <c r="G992" i="729"/>
  <c r="N991" i="729"/>
  <c r="M991" i="729"/>
  <c r="O991" i="729" s="1"/>
  <c r="L991" i="729"/>
  <c r="K991" i="729"/>
  <c r="J991" i="729"/>
  <c r="I991" i="729"/>
  <c r="H991" i="729"/>
  <c r="G991" i="729"/>
  <c r="N990" i="729"/>
  <c r="M990" i="729"/>
  <c r="O990" i="729" s="1"/>
  <c r="K990" i="729"/>
  <c r="J990" i="729"/>
  <c r="I990" i="729"/>
  <c r="L990" i="729" s="1"/>
  <c r="H990" i="729"/>
  <c r="G990" i="729"/>
  <c r="N989" i="729"/>
  <c r="M989" i="729"/>
  <c r="O989" i="729" s="1"/>
  <c r="K989" i="729"/>
  <c r="J989" i="729"/>
  <c r="I989" i="729"/>
  <c r="L989" i="729" s="1"/>
  <c r="H989" i="729"/>
  <c r="G989" i="729"/>
  <c r="O988" i="729"/>
  <c r="N988" i="729"/>
  <c r="M988" i="729"/>
  <c r="K988" i="729"/>
  <c r="J988" i="729"/>
  <c r="I988" i="729"/>
  <c r="L988" i="729" s="1"/>
  <c r="H988" i="729"/>
  <c r="G988" i="729"/>
  <c r="N987" i="729"/>
  <c r="M987" i="729"/>
  <c r="O987" i="729" s="1"/>
  <c r="L987" i="729"/>
  <c r="K987" i="729"/>
  <c r="J987" i="729"/>
  <c r="I987" i="729"/>
  <c r="H987" i="729"/>
  <c r="G987" i="729"/>
  <c r="N986" i="729"/>
  <c r="M986" i="729"/>
  <c r="O986" i="729" s="1"/>
  <c r="K986" i="729"/>
  <c r="J986" i="729"/>
  <c r="I986" i="729"/>
  <c r="L986" i="729" s="1"/>
  <c r="H986" i="729"/>
  <c r="G986" i="729"/>
  <c r="N985" i="729"/>
  <c r="M985" i="729"/>
  <c r="O985" i="729" s="1"/>
  <c r="K985" i="729"/>
  <c r="J985" i="729"/>
  <c r="I985" i="729"/>
  <c r="L985" i="729" s="1"/>
  <c r="H985" i="729"/>
  <c r="G985" i="729"/>
  <c r="O984" i="729"/>
  <c r="N984" i="729"/>
  <c r="M984" i="729"/>
  <c r="K984" i="729"/>
  <c r="J984" i="729"/>
  <c r="I984" i="729"/>
  <c r="L984" i="729" s="1"/>
  <c r="H984" i="729"/>
  <c r="G984" i="729"/>
  <c r="N983" i="729"/>
  <c r="M983" i="729"/>
  <c r="O983" i="729" s="1"/>
  <c r="L983" i="729"/>
  <c r="K983" i="729"/>
  <c r="J983" i="729"/>
  <c r="I983" i="729"/>
  <c r="H983" i="729"/>
  <c r="G983" i="729"/>
  <c r="N982" i="729"/>
  <c r="M982" i="729"/>
  <c r="O982" i="729" s="1"/>
  <c r="K982" i="729"/>
  <c r="J982" i="729"/>
  <c r="I982" i="729"/>
  <c r="L982" i="729" s="1"/>
  <c r="H982" i="729"/>
  <c r="G982" i="729"/>
  <c r="N981" i="729"/>
  <c r="M981" i="729"/>
  <c r="O981" i="729" s="1"/>
  <c r="K981" i="729"/>
  <c r="J981" i="729"/>
  <c r="I981" i="729"/>
  <c r="L981" i="729" s="1"/>
  <c r="H981" i="729"/>
  <c r="G981" i="729"/>
  <c r="O980" i="729"/>
  <c r="N980" i="729"/>
  <c r="M980" i="729"/>
  <c r="K980" i="729"/>
  <c r="J980" i="729"/>
  <c r="I980" i="729"/>
  <c r="L980" i="729" s="1"/>
  <c r="H980" i="729"/>
  <c r="G980" i="729"/>
  <c r="N979" i="729"/>
  <c r="M979" i="729"/>
  <c r="O979" i="729" s="1"/>
  <c r="L979" i="729"/>
  <c r="K979" i="729"/>
  <c r="J979" i="729"/>
  <c r="I979" i="729"/>
  <c r="H979" i="729"/>
  <c r="G979" i="729"/>
  <c r="N978" i="729"/>
  <c r="M978" i="729"/>
  <c r="O978" i="729" s="1"/>
  <c r="K978" i="729"/>
  <c r="J978" i="729"/>
  <c r="I978" i="729"/>
  <c r="L978" i="729" s="1"/>
  <c r="H978" i="729"/>
  <c r="G978" i="729"/>
  <c r="N977" i="729"/>
  <c r="M977" i="729"/>
  <c r="O977" i="729" s="1"/>
  <c r="K977" i="729"/>
  <c r="J977" i="729"/>
  <c r="I977" i="729"/>
  <c r="L977" i="729" s="1"/>
  <c r="H977" i="729"/>
  <c r="G977" i="729"/>
  <c r="O976" i="729"/>
  <c r="N976" i="729"/>
  <c r="M976" i="729"/>
  <c r="K976" i="729"/>
  <c r="J976" i="729"/>
  <c r="I976" i="729"/>
  <c r="L976" i="729" s="1"/>
  <c r="H976" i="729"/>
  <c r="G976" i="729"/>
  <c r="N975" i="729"/>
  <c r="M975" i="729"/>
  <c r="O975" i="729" s="1"/>
  <c r="L975" i="729"/>
  <c r="K975" i="729"/>
  <c r="J975" i="729"/>
  <c r="I975" i="729"/>
  <c r="H975" i="729"/>
  <c r="G975" i="729"/>
  <c r="N974" i="729"/>
  <c r="M974" i="729"/>
  <c r="K974" i="729"/>
  <c r="J974" i="729"/>
  <c r="I974" i="729"/>
  <c r="L974" i="729" s="1"/>
  <c r="H974" i="729"/>
  <c r="G974" i="729"/>
  <c r="N973" i="729"/>
  <c r="M973" i="729"/>
  <c r="O973" i="729" s="1"/>
  <c r="K973" i="729"/>
  <c r="J973" i="729"/>
  <c r="I973" i="729"/>
  <c r="H973" i="729"/>
  <c r="G973" i="729"/>
  <c r="O972" i="729"/>
  <c r="N972" i="729"/>
  <c r="M972" i="729"/>
  <c r="K972" i="729"/>
  <c r="J972" i="729"/>
  <c r="I972" i="729"/>
  <c r="L972" i="729" s="1"/>
  <c r="H972" i="729"/>
  <c r="G972" i="729"/>
  <c r="N971" i="729"/>
  <c r="M971" i="729"/>
  <c r="O971" i="729" s="1"/>
  <c r="L971" i="729"/>
  <c r="K971" i="729"/>
  <c r="J971" i="729"/>
  <c r="I971" i="729"/>
  <c r="H971" i="729"/>
  <c r="G971" i="729"/>
  <c r="N970" i="729"/>
  <c r="M970" i="729"/>
  <c r="O970" i="729" s="1"/>
  <c r="K970" i="729"/>
  <c r="J970" i="729"/>
  <c r="I970" i="729"/>
  <c r="L970" i="729" s="1"/>
  <c r="H970" i="729"/>
  <c r="G970" i="729"/>
  <c r="N969" i="729"/>
  <c r="M969" i="729"/>
  <c r="O969" i="729" s="1"/>
  <c r="K969" i="729"/>
  <c r="J969" i="729"/>
  <c r="I969" i="729"/>
  <c r="H969" i="729"/>
  <c r="G969" i="729"/>
  <c r="O968" i="729"/>
  <c r="N968" i="729"/>
  <c r="M968" i="729"/>
  <c r="K968" i="729"/>
  <c r="J968" i="729"/>
  <c r="I968" i="729"/>
  <c r="L968" i="729" s="1"/>
  <c r="H968" i="729"/>
  <c r="G968" i="729"/>
  <c r="N967" i="729"/>
  <c r="M967" i="729"/>
  <c r="O967" i="729" s="1"/>
  <c r="L967" i="729"/>
  <c r="K967" i="729"/>
  <c r="J967" i="729"/>
  <c r="I967" i="729"/>
  <c r="H967" i="729"/>
  <c r="G967" i="729"/>
  <c r="N966" i="729"/>
  <c r="M966" i="729"/>
  <c r="K966" i="729"/>
  <c r="J966" i="729"/>
  <c r="I966" i="729"/>
  <c r="L966" i="729" s="1"/>
  <c r="H966" i="729"/>
  <c r="G966" i="729"/>
  <c r="N965" i="729"/>
  <c r="M965" i="729"/>
  <c r="O965" i="729" s="1"/>
  <c r="K965" i="729"/>
  <c r="J965" i="729"/>
  <c r="I965" i="729"/>
  <c r="H965" i="729"/>
  <c r="G965" i="729"/>
  <c r="O964" i="729"/>
  <c r="N964" i="729"/>
  <c r="M964" i="729"/>
  <c r="K964" i="729"/>
  <c r="J964" i="729"/>
  <c r="I964" i="729"/>
  <c r="L964" i="729" s="1"/>
  <c r="H964" i="729"/>
  <c r="G964" i="729"/>
  <c r="N963" i="729"/>
  <c r="M963" i="729"/>
  <c r="O963" i="729" s="1"/>
  <c r="L963" i="729"/>
  <c r="K963" i="729"/>
  <c r="J963" i="729"/>
  <c r="I963" i="729"/>
  <c r="H963" i="729"/>
  <c r="G963" i="729"/>
  <c r="N962" i="729"/>
  <c r="M962" i="729"/>
  <c r="O962" i="729" s="1"/>
  <c r="K962" i="729"/>
  <c r="J962" i="729"/>
  <c r="I962" i="729"/>
  <c r="L962" i="729" s="1"/>
  <c r="H962" i="729"/>
  <c r="G962" i="729"/>
  <c r="N961" i="729"/>
  <c r="M961" i="729"/>
  <c r="O961" i="729" s="1"/>
  <c r="K961" i="729"/>
  <c r="J961" i="729"/>
  <c r="I961" i="729"/>
  <c r="H961" i="729"/>
  <c r="G961" i="729"/>
  <c r="O960" i="729"/>
  <c r="N960" i="729"/>
  <c r="M960" i="729"/>
  <c r="K960" i="729"/>
  <c r="J960" i="729"/>
  <c r="I960" i="729"/>
  <c r="L960" i="729" s="1"/>
  <c r="H960" i="729"/>
  <c r="G960" i="729"/>
  <c r="N959" i="729"/>
  <c r="M959" i="729"/>
  <c r="O959" i="729" s="1"/>
  <c r="L959" i="729"/>
  <c r="K959" i="729"/>
  <c r="J959" i="729"/>
  <c r="I959" i="729"/>
  <c r="H959" i="729"/>
  <c r="G959" i="729"/>
  <c r="N958" i="729"/>
  <c r="M958" i="729"/>
  <c r="K958" i="729"/>
  <c r="J958" i="729"/>
  <c r="I958" i="729"/>
  <c r="L958" i="729" s="1"/>
  <c r="H958" i="729"/>
  <c r="G958" i="729"/>
  <c r="N957" i="729"/>
  <c r="M957" i="729"/>
  <c r="O957" i="729" s="1"/>
  <c r="K957" i="729"/>
  <c r="J957" i="729"/>
  <c r="I957" i="729"/>
  <c r="H957" i="729"/>
  <c r="G957" i="729"/>
  <c r="O956" i="729"/>
  <c r="N956" i="729"/>
  <c r="M956" i="729"/>
  <c r="K956" i="729"/>
  <c r="J956" i="729"/>
  <c r="I956" i="729"/>
  <c r="L956" i="729" s="1"/>
  <c r="H956" i="729"/>
  <c r="G956" i="729"/>
  <c r="N955" i="729"/>
  <c r="M955" i="729"/>
  <c r="O955" i="729" s="1"/>
  <c r="L955" i="729"/>
  <c r="K955" i="729"/>
  <c r="J955" i="729"/>
  <c r="I955" i="729"/>
  <c r="H955" i="729"/>
  <c r="G955" i="729"/>
  <c r="N954" i="729"/>
  <c r="M954" i="729"/>
  <c r="O954" i="729" s="1"/>
  <c r="K954" i="729"/>
  <c r="J954" i="729"/>
  <c r="I954" i="729"/>
  <c r="L954" i="729" s="1"/>
  <c r="H954" i="729"/>
  <c r="G954" i="729"/>
  <c r="N953" i="729"/>
  <c r="M953" i="729"/>
  <c r="O953" i="729" s="1"/>
  <c r="K953" i="729"/>
  <c r="J953" i="729"/>
  <c r="I953" i="729"/>
  <c r="H953" i="729"/>
  <c r="G953" i="729"/>
  <c r="O952" i="729"/>
  <c r="N952" i="729"/>
  <c r="M952" i="729"/>
  <c r="K952" i="729"/>
  <c r="J952" i="729"/>
  <c r="I952" i="729"/>
  <c r="L952" i="729" s="1"/>
  <c r="H952" i="729"/>
  <c r="G952" i="729"/>
  <c r="N951" i="729"/>
  <c r="M951" i="729"/>
  <c r="O951" i="729" s="1"/>
  <c r="L951" i="729"/>
  <c r="K951" i="729"/>
  <c r="J951" i="729"/>
  <c r="I951" i="729"/>
  <c r="H951" i="729"/>
  <c r="G951" i="729"/>
  <c r="N950" i="729"/>
  <c r="M950" i="729"/>
  <c r="K950" i="729"/>
  <c r="J950" i="729"/>
  <c r="I950" i="729"/>
  <c r="L950" i="729" s="1"/>
  <c r="H950" i="729"/>
  <c r="G950" i="729"/>
  <c r="N949" i="729"/>
  <c r="M949" i="729"/>
  <c r="O949" i="729" s="1"/>
  <c r="K949" i="729"/>
  <c r="J949" i="729"/>
  <c r="I949" i="729"/>
  <c r="H949" i="729"/>
  <c r="G949" i="729"/>
  <c r="O948" i="729"/>
  <c r="N948" i="729"/>
  <c r="M948" i="729"/>
  <c r="K948" i="729"/>
  <c r="J948" i="729"/>
  <c r="I948" i="729"/>
  <c r="L948" i="729" s="1"/>
  <c r="H948" i="729"/>
  <c r="G948" i="729"/>
  <c r="N947" i="729"/>
  <c r="M947" i="729"/>
  <c r="O947" i="729" s="1"/>
  <c r="L947" i="729"/>
  <c r="K947" i="729"/>
  <c r="J947" i="729"/>
  <c r="I947" i="729"/>
  <c r="H947" i="729"/>
  <c r="G947" i="729"/>
  <c r="N946" i="729"/>
  <c r="M946" i="729"/>
  <c r="O946" i="729" s="1"/>
  <c r="K946" i="729"/>
  <c r="J946" i="729"/>
  <c r="I946" i="729"/>
  <c r="L946" i="729" s="1"/>
  <c r="H946" i="729"/>
  <c r="G946" i="729"/>
  <c r="N945" i="729"/>
  <c r="M945" i="729"/>
  <c r="O945" i="729" s="1"/>
  <c r="K945" i="729"/>
  <c r="J945" i="729"/>
  <c r="I945" i="729"/>
  <c r="H945" i="729"/>
  <c r="G945" i="729"/>
  <c r="O944" i="729"/>
  <c r="N944" i="729"/>
  <c r="M944" i="729"/>
  <c r="K944" i="729"/>
  <c r="J944" i="729"/>
  <c r="I944" i="729"/>
  <c r="L944" i="729" s="1"/>
  <c r="H944" i="729"/>
  <c r="G944" i="729"/>
  <c r="N943" i="729"/>
  <c r="M943" i="729"/>
  <c r="O943" i="729" s="1"/>
  <c r="L943" i="729"/>
  <c r="K943" i="729"/>
  <c r="J943" i="729"/>
  <c r="I943" i="729"/>
  <c r="H943" i="729"/>
  <c r="G943" i="729"/>
  <c r="N942" i="729"/>
  <c r="M942" i="729"/>
  <c r="K942" i="729"/>
  <c r="J942" i="729"/>
  <c r="I942" i="729"/>
  <c r="L942" i="729" s="1"/>
  <c r="H942" i="729"/>
  <c r="G942" i="729"/>
  <c r="N941" i="729"/>
  <c r="M941" i="729"/>
  <c r="O941" i="729" s="1"/>
  <c r="K941" i="729"/>
  <c r="J941" i="729"/>
  <c r="I941" i="729"/>
  <c r="H941" i="729"/>
  <c r="G941" i="729"/>
  <c r="O940" i="729"/>
  <c r="N940" i="729"/>
  <c r="M940" i="729"/>
  <c r="K940" i="729"/>
  <c r="J940" i="729"/>
  <c r="I940" i="729"/>
  <c r="L940" i="729" s="1"/>
  <c r="H940" i="729"/>
  <c r="G940" i="729"/>
  <c r="N939" i="729"/>
  <c r="M939" i="729"/>
  <c r="O939" i="729" s="1"/>
  <c r="L939" i="729"/>
  <c r="K939" i="729"/>
  <c r="J939" i="729"/>
  <c r="I939" i="729"/>
  <c r="H939" i="729"/>
  <c r="G939" i="729"/>
  <c r="N938" i="729"/>
  <c r="M938" i="729"/>
  <c r="O938" i="729" s="1"/>
  <c r="K938" i="729"/>
  <c r="J938" i="729"/>
  <c r="I938" i="729"/>
  <c r="L938" i="729" s="1"/>
  <c r="H938" i="729"/>
  <c r="G938" i="729"/>
  <c r="N937" i="729"/>
  <c r="M937" i="729"/>
  <c r="O937" i="729" s="1"/>
  <c r="K937" i="729"/>
  <c r="J937" i="729"/>
  <c r="I937" i="729"/>
  <c r="H937" i="729"/>
  <c r="G937" i="729"/>
  <c r="O936" i="729"/>
  <c r="N936" i="729"/>
  <c r="M936" i="729"/>
  <c r="K936" i="729"/>
  <c r="J936" i="729"/>
  <c r="I936" i="729"/>
  <c r="L936" i="729" s="1"/>
  <c r="H936" i="729"/>
  <c r="G936" i="729"/>
  <c r="N935" i="729"/>
  <c r="M935" i="729"/>
  <c r="O935" i="729" s="1"/>
  <c r="L935" i="729"/>
  <c r="K935" i="729"/>
  <c r="J935" i="729"/>
  <c r="I935" i="729"/>
  <c r="H935" i="729"/>
  <c r="G935" i="729"/>
  <c r="N934" i="729"/>
  <c r="M934" i="729"/>
  <c r="K934" i="729"/>
  <c r="J934" i="729"/>
  <c r="I934" i="729"/>
  <c r="L934" i="729" s="1"/>
  <c r="H934" i="729"/>
  <c r="G934" i="729"/>
  <c r="N933" i="729"/>
  <c r="M933" i="729"/>
  <c r="O933" i="729" s="1"/>
  <c r="K933" i="729"/>
  <c r="J933" i="729"/>
  <c r="I933" i="729"/>
  <c r="H933" i="729"/>
  <c r="G933" i="729"/>
  <c r="O932" i="729"/>
  <c r="N932" i="729"/>
  <c r="M932" i="729"/>
  <c r="K932" i="729"/>
  <c r="J932" i="729"/>
  <c r="I932" i="729"/>
  <c r="L932" i="729" s="1"/>
  <c r="H932" i="729"/>
  <c r="G932" i="729"/>
  <c r="N931" i="729"/>
  <c r="M931" i="729"/>
  <c r="O931" i="729" s="1"/>
  <c r="L931" i="729"/>
  <c r="K931" i="729"/>
  <c r="J931" i="729"/>
  <c r="I931" i="729"/>
  <c r="H931" i="729"/>
  <c r="G931" i="729"/>
  <c r="N930" i="729"/>
  <c r="M930" i="729"/>
  <c r="O930" i="729" s="1"/>
  <c r="K930" i="729"/>
  <c r="J930" i="729"/>
  <c r="I930" i="729"/>
  <c r="L930" i="729" s="1"/>
  <c r="H930" i="729"/>
  <c r="G930" i="729"/>
  <c r="N929" i="729"/>
  <c r="M929" i="729"/>
  <c r="O929" i="729" s="1"/>
  <c r="K929" i="729"/>
  <c r="J929" i="729"/>
  <c r="I929" i="729"/>
  <c r="H929" i="729"/>
  <c r="G929" i="729"/>
  <c r="O928" i="729"/>
  <c r="N928" i="729"/>
  <c r="M928" i="729"/>
  <c r="K928" i="729"/>
  <c r="J928" i="729"/>
  <c r="I928" i="729"/>
  <c r="L928" i="729" s="1"/>
  <c r="H928" i="729"/>
  <c r="G928" i="729"/>
  <c r="N927" i="729"/>
  <c r="M927" i="729"/>
  <c r="O927" i="729" s="1"/>
  <c r="L927" i="729"/>
  <c r="K927" i="729"/>
  <c r="J927" i="729"/>
  <c r="I927" i="729"/>
  <c r="H927" i="729"/>
  <c r="G927" i="729"/>
  <c r="N926" i="729"/>
  <c r="M926" i="729"/>
  <c r="K926" i="729"/>
  <c r="J926" i="729"/>
  <c r="I926" i="729"/>
  <c r="L926" i="729" s="1"/>
  <c r="H926" i="729"/>
  <c r="G926" i="729"/>
  <c r="N925" i="729"/>
  <c r="M925" i="729"/>
  <c r="O925" i="729" s="1"/>
  <c r="K925" i="729"/>
  <c r="J925" i="729"/>
  <c r="I925" i="729"/>
  <c r="H925" i="729"/>
  <c r="G925" i="729"/>
  <c r="O924" i="729"/>
  <c r="N924" i="729"/>
  <c r="M924" i="729"/>
  <c r="K924" i="729"/>
  <c r="J924" i="729"/>
  <c r="I924" i="729"/>
  <c r="L924" i="729" s="1"/>
  <c r="H924" i="729"/>
  <c r="G924" i="729"/>
  <c r="N923" i="729"/>
  <c r="M923" i="729"/>
  <c r="O923" i="729" s="1"/>
  <c r="L923" i="729"/>
  <c r="K923" i="729"/>
  <c r="J923" i="729"/>
  <c r="I923" i="729"/>
  <c r="H923" i="729"/>
  <c r="G923" i="729"/>
  <c r="N922" i="729"/>
  <c r="M922" i="729"/>
  <c r="O922" i="729" s="1"/>
  <c r="K922" i="729"/>
  <c r="J922" i="729"/>
  <c r="I922" i="729"/>
  <c r="L922" i="729" s="1"/>
  <c r="H922" i="729"/>
  <c r="G922" i="729"/>
  <c r="N921" i="729"/>
  <c r="M921" i="729"/>
  <c r="O921" i="729" s="1"/>
  <c r="K921" i="729"/>
  <c r="J921" i="729"/>
  <c r="I921" i="729"/>
  <c r="H921" i="729"/>
  <c r="G921" i="729"/>
  <c r="O920" i="729"/>
  <c r="N920" i="729"/>
  <c r="M920" i="729"/>
  <c r="K920" i="729"/>
  <c r="J920" i="729"/>
  <c r="I920" i="729"/>
  <c r="L920" i="729" s="1"/>
  <c r="H920" i="729"/>
  <c r="G920" i="729"/>
  <c r="N919" i="729"/>
  <c r="M919" i="729"/>
  <c r="O919" i="729" s="1"/>
  <c r="L919" i="729"/>
  <c r="K919" i="729"/>
  <c r="J919" i="729"/>
  <c r="I919" i="729"/>
  <c r="H919" i="729"/>
  <c r="G919" i="729"/>
  <c r="N918" i="729"/>
  <c r="M918" i="729"/>
  <c r="K918" i="729"/>
  <c r="J918" i="729"/>
  <c r="I918" i="729"/>
  <c r="L918" i="729" s="1"/>
  <c r="H918" i="729"/>
  <c r="G918" i="729"/>
  <c r="N917" i="729"/>
  <c r="M917" i="729"/>
  <c r="O917" i="729" s="1"/>
  <c r="K917" i="729"/>
  <c r="J917" i="729"/>
  <c r="L917" i="729" s="1"/>
  <c r="I917" i="729"/>
  <c r="H917" i="729"/>
  <c r="G917" i="729"/>
  <c r="N916" i="729"/>
  <c r="O916" i="729" s="1"/>
  <c r="M916" i="729"/>
  <c r="K916" i="729"/>
  <c r="J916" i="729"/>
  <c r="I916" i="729"/>
  <c r="L916" i="729" s="1"/>
  <c r="H916" i="729"/>
  <c r="G916" i="729"/>
  <c r="N915" i="729"/>
  <c r="M915" i="729"/>
  <c r="O915" i="729" s="1"/>
  <c r="L915" i="729"/>
  <c r="K915" i="729"/>
  <c r="J915" i="729"/>
  <c r="I915" i="729"/>
  <c r="H915" i="729"/>
  <c r="G915" i="729"/>
  <c r="N914" i="729"/>
  <c r="M914" i="729"/>
  <c r="O914" i="729" s="1"/>
  <c r="K914" i="729"/>
  <c r="J914" i="729"/>
  <c r="I914" i="729"/>
  <c r="L914" i="729" s="1"/>
  <c r="H914" i="729"/>
  <c r="G914" i="729"/>
  <c r="N913" i="729"/>
  <c r="M913" i="729"/>
  <c r="O913" i="729" s="1"/>
  <c r="K913" i="729"/>
  <c r="J913" i="729"/>
  <c r="I913" i="729"/>
  <c r="H913" i="729"/>
  <c r="G913" i="729"/>
  <c r="N912" i="729"/>
  <c r="O912" i="729" s="1"/>
  <c r="M912" i="729"/>
  <c r="K912" i="729"/>
  <c r="J912" i="729"/>
  <c r="I912" i="729"/>
  <c r="L912" i="729" s="1"/>
  <c r="H912" i="729"/>
  <c r="G912" i="729"/>
  <c r="N911" i="729"/>
  <c r="M911" i="729"/>
  <c r="O911" i="729" s="1"/>
  <c r="K911" i="729"/>
  <c r="L911" i="729" s="1"/>
  <c r="J911" i="729"/>
  <c r="I911" i="729"/>
  <c r="H911" i="729"/>
  <c r="G911" i="729"/>
  <c r="N910" i="729"/>
  <c r="M910" i="729"/>
  <c r="K910" i="729"/>
  <c r="J910" i="729"/>
  <c r="I910" i="729"/>
  <c r="L910" i="729" s="1"/>
  <c r="H910" i="729"/>
  <c r="G910" i="729"/>
  <c r="N909" i="729"/>
  <c r="M909" i="729"/>
  <c r="O909" i="729" s="1"/>
  <c r="K909" i="729"/>
  <c r="J909" i="729"/>
  <c r="I909" i="729"/>
  <c r="H909" i="729"/>
  <c r="G909" i="729"/>
  <c r="N908" i="729"/>
  <c r="O908" i="729" s="1"/>
  <c r="M908" i="729"/>
  <c r="K908" i="729"/>
  <c r="J908" i="729"/>
  <c r="I908" i="729"/>
  <c r="L908" i="729" s="1"/>
  <c r="H908" i="729"/>
  <c r="G908" i="729"/>
  <c r="N907" i="729"/>
  <c r="M907" i="729"/>
  <c r="L907" i="729"/>
  <c r="K907" i="729"/>
  <c r="J907" i="729"/>
  <c r="I907" i="729"/>
  <c r="H907" i="729"/>
  <c r="G907" i="729"/>
  <c r="N906" i="729"/>
  <c r="M906" i="729"/>
  <c r="O906" i="729" s="1"/>
  <c r="K906" i="729"/>
  <c r="J906" i="729"/>
  <c r="I906" i="729"/>
  <c r="L906" i="729" s="1"/>
  <c r="H906" i="729"/>
  <c r="G906" i="729"/>
  <c r="N905" i="729"/>
  <c r="M905" i="729"/>
  <c r="K905" i="729"/>
  <c r="J905" i="729"/>
  <c r="I905" i="729"/>
  <c r="H905" i="729"/>
  <c r="G905" i="729"/>
  <c r="N904" i="729"/>
  <c r="O904" i="729" s="1"/>
  <c r="M904" i="729"/>
  <c r="K904" i="729"/>
  <c r="J904" i="729"/>
  <c r="I904" i="729"/>
  <c r="H904" i="729"/>
  <c r="G904" i="729"/>
  <c r="N903" i="729"/>
  <c r="M903" i="729"/>
  <c r="O903" i="729" s="1"/>
  <c r="K903" i="729"/>
  <c r="L903" i="729" s="1"/>
  <c r="J903" i="729"/>
  <c r="I903" i="729"/>
  <c r="H903" i="729"/>
  <c r="G903" i="729"/>
  <c r="N902" i="729"/>
  <c r="M902" i="729"/>
  <c r="K902" i="729"/>
  <c r="J902" i="729"/>
  <c r="I902" i="729"/>
  <c r="L902" i="729" s="1"/>
  <c r="H902" i="729"/>
  <c r="G902" i="729"/>
  <c r="N901" i="729"/>
  <c r="M901" i="729"/>
  <c r="K901" i="729"/>
  <c r="J901" i="729"/>
  <c r="L901" i="729" s="1"/>
  <c r="I901" i="729"/>
  <c r="H901" i="729"/>
  <c r="G901" i="729"/>
  <c r="N900" i="729"/>
  <c r="O900" i="729" s="1"/>
  <c r="M900" i="729"/>
  <c r="K900" i="729"/>
  <c r="J900" i="729"/>
  <c r="I900" i="729"/>
  <c r="H900" i="729"/>
  <c r="G900" i="729"/>
  <c r="N899" i="729"/>
  <c r="M899" i="729"/>
  <c r="L899" i="729"/>
  <c r="K899" i="729"/>
  <c r="J899" i="729"/>
  <c r="I899" i="729"/>
  <c r="H899" i="729"/>
  <c r="G899" i="729"/>
  <c r="N898" i="729"/>
  <c r="M898" i="729"/>
  <c r="O898" i="729" s="1"/>
  <c r="K898" i="729"/>
  <c r="J898" i="729"/>
  <c r="I898" i="729"/>
  <c r="L898" i="729" s="1"/>
  <c r="H898" i="729"/>
  <c r="G898" i="729"/>
  <c r="N897" i="729"/>
  <c r="M897" i="729"/>
  <c r="K897" i="729"/>
  <c r="J897" i="729"/>
  <c r="L897" i="729" s="1"/>
  <c r="I897" i="729"/>
  <c r="H897" i="729"/>
  <c r="G897" i="729"/>
  <c r="N896" i="729"/>
  <c r="O896" i="729" s="1"/>
  <c r="M896" i="729"/>
  <c r="K896" i="729"/>
  <c r="J896" i="729"/>
  <c r="I896" i="729"/>
  <c r="H896" i="729"/>
  <c r="G896" i="729"/>
  <c r="N895" i="729"/>
  <c r="M895" i="729"/>
  <c r="O895" i="729" s="1"/>
  <c r="K895" i="729"/>
  <c r="L895" i="729" s="1"/>
  <c r="J895" i="729"/>
  <c r="I895" i="729"/>
  <c r="H895" i="729"/>
  <c r="G895" i="729"/>
  <c r="N894" i="729"/>
  <c r="M894" i="729"/>
  <c r="K894" i="729"/>
  <c r="J894" i="729"/>
  <c r="I894" i="729"/>
  <c r="L894" i="729" s="1"/>
  <c r="H894" i="729"/>
  <c r="G894" i="729"/>
  <c r="N893" i="729"/>
  <c r="M893" i="729"/>
  <c r="K893" i="729"/>
  <c r="J893" i="729"/>
  <c r="L893" i="729" s="1"/>
  <c r="I893" i="729"/>
  <c r="H893" i="729"/>
  <c r="G893" i="729"/>
  <c r="N892" i="729"/>
  <c r="O892" i="729" s="1"/>
  <c r="M892" i="729"/>
  <c r="K892" i="729"/>
  <c r="J892" i="729"/>
  <c r="I892" i="729"/>
  <c r="H892" i="729"/>
  <c r="G892" i="729"/>
  <c r="N891" i="729"/>
  <c r="M891" i="729"/>
  <c r="L891" i="729"/>
  <c r="K891" i="729"/>
  <c r="J891" i="729"/>
  <c r="I891" i="729"/>
  <c r="H891" i="729"/>
  <c r="G891" i="729"/>
  <c r="N890" i="729"/>
  <c r="M890" i="729"/>
  <c r="O890" i="729" s="1"/>
  <c r="K890" i="729"/>
  <c r="J890" i="729"/>
  <c r="I890" i="729"/>
  <c r="L890" i="729" s="1"/>
  <c r="H890" i="729"/>
  <c r="G890" i="729"/>
  <c r="N889" i="729"/>
  <c r="M889" i="729"/>
  <c r="K889" i="729"/>
  <c r="J889" i="729"/>
  <c r="L889" i="729" s="1"/>
  <c r="I889" i="729"/>
  <c r="H889" i="729"/>
  <c r="G889" i="729"/>
  <c r="N888" i="729"/>
  <c r="M888" i="729"/>
  <c r="O888" i="729" s="1"/>
  <c r="K888" i="729"/>
  <c r="J888" i="729"/>
  <c r="I888" i="729"/>
  <c r="H888" i="729"/>
  <c r="G888" i="729"/>
  <c r="N887" i="729"/>
  <c r="M887" i="729"/>
  <c r="O887" i="729" s="1"/>
  <c r="K887" i="729"/>
  <c r="J887" i="729"/>
  <c r="L887" i="729" s="1"/>
  <c r="I887" i="729"/>
  <c r="H887" i="729"/>
  <c r="G887" i="729"/>
  <c r="N886" i="729"/>
  <c r="M886" i="729"/>
  <c r="K886" i="729"/>
  <c r="J886" i="729"/>
  <c r="I886" i="729"/>
  <c r="L886" i="729" s="1"/>
  <c r="H886" i="729"/>
  <c r="G886" i="729"/>
  <c r="N885" i="729"/>
  <c r="M885" i="729"/>
  <c r="K885" i="729"/>
  <c r="J885" i="729"/>
  <c r="L885" i="729" s="1"/>
  <c r="I885" i="729"/>
  <c r="H885" i="729"/>
  <c r="G885" i="729"/>
  <c r="N884" i="729"/>
  <c r="M884" i="729"/>
  <c r="O884" i="729" s="1"/>
  <c r="K884" i="729"/>
  <c r="J884" i="729"/>
  <c r="I884" i="729"/>
  <c r="H884" i="729"/>
  <c r="G884" i="729"/>
  <c r="N883" i="729"/>
  <c r="M883" i="729"/>
  <c r="L883" i="729"/>
  <c r="K883" i="729"/>
  <c r="J883" i="729"/>
  <c r="I883" i="729"/>
  <c r="H883" i="729"/>
  <c r="G883" i="729"/>
  <c r="N882" i="729"/>
  <c r="M882" i="729"/>
  <c r="O882" i="729" s="1"/>
  <c r="K882" i="729"/>
  <c r="J882" i="729"/>
  <c r="I882" i="729"/>
  <c r="L882" i="729" s="1"/>
  <c r="H882" i="729"/>
  <c r="G882" i="729"/>
  <c r="N881" i="729"/>
  <c r="M881" i="729"/>
  <c r="K881" i="729"/>
  <c r="J881" i="729"/>
  <c r="L881" i="729" s="1"/>
  <c r="I881" i="729"/>
  <c r="H881" i="729"/>
  <c r="G881" i="729"/>
  <c r="N880" i="729"/>
  <c r="M880" i="729"/>
  <c r="O880" i="729" s="1"/>
  <c r="K880" i="729"/>
  <c r="J880" i="729"/>
  <c r="I880" i="729"/>
  <c r="H880" i="729"/>
  <c r="G880" i="729"/>
  <c r="N879" i="729"/>
  <c r="M879" i="729"/>
  <c r="O879" i="729" s="1"/>
  <c r="K879" i="729"/>
  <c r="J879" i="729"/>
  <c r="L879" i="729" s="1"/>
  <c r="I879" i="729"/>
  <c r="H879" i="729"/>
  <c r="G879" i="729"/>
  <c r="N878" i="729"/>
  <c r="M878" i="729"/>
  <c r="K878" i="729"/>
  <c r="J878" i="729"/>
  <c r="I878" i="729"/>
  <c r="L878" i="729" s="1"/>
  <c r="H878" i="729"/>
  <c r="G878" i="729"/>
  <c r="N877" i="729"/>
  <c r="M877" i="729"/>
  <c r="K877" i="729"/>
  <c r="J877" i="729"/>
  <c r="L877" i="729" s="1"/>
  <c r="I877" i="729"/>
  <c r="H877" i="729"/>
  <c r="G877" i="729"/>
  <c r="N876" i="729"/>
  <c r="M876" i="729"/>
  <c r="O876" i="729" s="1"/>
  <c r="K876" i="729"/>
  <c r="J876" i="729"/>
  <c r="I876" i="729"/>
  <c r="H876" i="729"/>
  <c r="G876" i="729"/>
  <c r="N875" i="729"/>
  <c r="M875" i="729"/>
  <c r="L875" i="729"/>
  <c r="K875" i="729"/>
  <c r="J875" i="729"/>
  <c r="I875" i="729"/>
  <c r="H875" i="729"/>
  <c r="G875" i="729"/>
  <c r="N874" i="729"/>
  <c r="M874" i="729"/>
  <c r="O874" i="729" s="1"/>
  <c r="K874" i="729"/>
  <c r="J874" i="729"/>
  <c r="I874" i="729"/>
  <c r="L874" i="729" s="1"/>
  <c r="H874" i="729"/>
  <c r="G874" i="729"/>
  <c r="N873" i="729"/>
  <c r="M873" i="729"/>
  <c r="K873" i="729"/>
  <c r="J873" i="729"/>
  <c r="L873" i="729" s="1"/>
  <c r="I873" i="729"/>
  <c r="H873" i="729"/>
  <c r="G873" i="729"/>
  <c r="N872" i="729"/>
  <c r="M872" i="729"/>
  <c r="O872" i="729" s="1"/>
  <c r="K872" i="729"/>
  <c r="J872" i="729"/>
  <c r="I872" i="729"/>
  <c r="H872" i="729"/>
  <c r="G872" i="729"/>
  <c r="N871" i="729"/>
  <c r="M871" i="729"/>
  <c r="O871" i="729" s="1"/>
  <c r="K871" i="729"/>
  <c r="J871" i="729"/>
  <c r="L871" i="729" s="1"/>
  <c r="I871" i="729"/>
  <c r="H871" i="729"/>
  <c r="G871" i="729"/>
  <c r="N870" i="729"/>
  <c r="M870" i="729"/>
  <c r="K870" i="729"/>
  <c r="J870" i="729"/>
  <c r="I870" i="729"/>
  <c r="L870" i="729" s="1"/>
  <c r="H870" i="729"/>
  <c r="G870" i="729"/>
  <c r="N869" i="729"/>
  <c r="M869" i="729"/>
  <c r="K869" i="729"/>
  <c r="J869" i="729"/>
  <c r="L869" i="729" s="1"/>
  <c r="I869" i="729"/>
  <c r="H869" i="729"/>
  <c r="G869" i="729"/>
  <c r="N868" i="729"/>
  <c r="M868" i="729"/>
  <c r="O868" i="729" s="1"/>
  <c r="K868" i="729"/>
  <c r="J868" i="729"/>
  <c r="I868" i="729"/>
  <c r="H868" i="729"/>
  <c r="G868" i="729"/>
  <c r="N867" i="729"/>
  <c r="M867" i="729"/>
  <c r="L867" i="729"/>
  <c r="K867" i="729"/>
  <c r="J867" i="729"/>
  <c r="I867" i="729"/>
  <c r="H867" i="729"/>
  <c r="G867" i="729"/>
  <c r="N866" i="729"/>
  <c r="M866" i="729"/>
  <c r="O866" i="729" s="1"/>
  <c r="K866" i="729"/>
  <c r="J866" i="729"/>
  <c r="I866" i="729"/>
  <c r="H866" i="729"/>
  <c r="G866" i="729"/>
  <c r="N865" i="729"/>
  <c r="M865" i="729"/>
  <c r="K865" i="729"/>
  <c r="J865" i="729"/>
  <c r="L865" i="729" s="1"/>
  <c r="I865" i="729"/>
  <c r="H865" i="729"/>
  <c r="G865" i="729"/>
  <c r="N864" i="729"/>
  <c r="M864" i="729"/>
  <c r="O864" i="729" s="1"/>
  <c r="K864" i="729"/>
  <c r="J864" i="729"/>
  <c r="I864" i="729"/>
  <c r="H864" i="729"/>
  <c r="G864" i="729"/>
  <c r="N863" i="729"/>
  <c r="M863" i="729"/>
  <c r="O863" i="729" s="1"/>
  <c r="K863" i="729"/>
  <c r="J863" i="729"/>
  <c r="L863" i="729" s="1"/>
  <c r="I863" i="729"/>
  <c r="H863" i="729"/>
  <c r="G863" i="729"/>
  <c r="N862" i="729"/>
  <c r="M862" i="729"/>
  <c r="K862" i="729"/>
  <c r="J862" i="729"/>
  <c r="I862" i="729"/>
  <c r="L862" i="729" s="1"/>
  <c r="H862" i="729"/>
  <c r="G862" i="729"/>
  <c r="N861" i="729"/>
  <c r="M861" i="729"/>
  <c r="K861" i="729"/>
  <c r="J861" i="729"/>
  <c r="L861" i="729" s="1"/>
  <c r="I861" i="729"/>
  <c r="H861" i="729"/>
  <c r="G861" i="729"/>
  <c r="N860" i="729"/>
  <c r="M860" i="729"/>
  <c r="O860" i="729" s="1"/>
  <c r="K860" i="729"/>
  <c r="J860" i="729"/>
  <c r="I860" i="729"/>
  <c r="H860" i="729"/>
  <c r="G860" i="729"/>
  <c r="N859" i="729"/>
  <c r="M859" i="729"/>
  <c r="L859" i="729"/>
  <c r="K859" i="729"/>
  <c r="J859" i="729"/>
  <c r="I859" i="729"/>
  <c r="H859" i="729"/>
  <c r="G859" i="729"/>
  <c r="N858" i="729"/>
  <c r="M858" i="729"/>
  <c r="O858" i="729" s="1"/>
  <c r="K858" i="729"/>
  <c r="J858" i="729"/>
  <c r="I858" i="729"/>
  <c r="H858" i="729"/>
  <c r="G858" i="729"/>
  <c r="N857" i="729"/>
  <c r="M857" i="729"/>
  <c r="K857" i="729"/>
  <c r="J857" i="729"/>
  <c r="L857" i="729" s="1"/>
  <c r="I857" i="729"/>
  <c r="H857" i="729"/>
  <c r="G857" i="729"/>
  <c r="O856" i="729"/>
  <c r="N856" i="729"/>
  <c r="M856" i="729"/>
  <c r="K856" i="729"/>
  <c r="J856" i="729"/>
  <c r="I856" i="729"/>
  <c r="H856" i="729"/>
  <c r="G856" i="729"/>
  <c r="N855" i="729"/>
  <c r="M855" i="729"/>
  <c r="O855" i="729" s="1"/>
  <c r="K855" i="729"/>
  <c r="J855" i="729"/>
  <c r="L855" i="729" s="1"/>
  <c r="I855" i="729"/>
  <c r="H855" i="729"/>
  <c r="G855" i="729"/>
  <c r="O854" i="729"/>
  <c r="N854" i="729"/>
  <c r="M854" i="729"/>
  <c r="K854" i="729"/>
  <c r="J854" i="729"/>
  <c r="I854" i="729"/>
  <c r="L854" i="729" s="1"/>
  <c r="H854" i="729"/>
  <c r="G854" i="729"/>
  <c r="N853" i="729"/>
  <c r="M853" i="729"/>
  <c r="K853" i="729"/>
  <c r="J853" i="729"/>
  <c r="L853" i="729" s="1"/>
  <c r="I853" i="729"/>
  <c r="H853" i="729"/>
  <c r="G853" i="729"/>
  <c r="N852" i="729"/>
  <c r="O852" i="729" s="1"/>
  <c r="M852" i="729"/>
  <c r="K852" i="729"/>
  <c r="J852" i="729"/>
  <c r="I852" i="729"/>
  <c r="H852" i="729"/>
  <c r="G852" i="729"/>
  <c r="N851" i="729"/>
  <c r="M851" i="729"/>
  <c r="K851" i="729"/>
  <c r="J851" i="729"/>
  <c r="L851" i="729" s="1"/>
  <c r="I851" i="729"/>
  <c r="H851" i="729"/>
  <c r="G851" i="729"/>
  <c r="O850" i="729"/>
  <c r="N850" i="729"/>
  <c r="M850" i="729"/>
  <c r="K850" i="729"/>
  <c r="J850" i="729"/>
  <c r="I850" i="729"/>
  <c r="H850" i="729"/>
  <c r="G850" i="729"/>
  <c r="N849" i="729"/>
  <c r="M849" i="729"/>
  <c r="O849" i="729" s="1"/>
  <c r="K849" i="729"/>
  <c r="J849" i="729"/>
  <c r="L849" i="729" s="1"/>
  <c r="I849" i="729"/>
  <c r="H849" i="729"/>
  <c r="G849" i="729"/>
  <c r="O848" i="729"/>
  <c r="N848" i="729"/>
  <c r="M848" i="729"/>
  <c r="K848" i="729"/>
  <c r="J848" i="729"/>
  <c r="I848" i="729"/>
  <c r="L848" i="729" s="1"/>
  <c r="H848" i="729"/>
  <c r="G848" i="729"/>
  <c r="N847" i="729"/>
  <c r="M847" i="729"/>
  <c r="K847" i="729"/>
  <c r="J847" i="729"/>
  <c r="L847" i="729" s="1"/>
  <c r="I847" i="729"/>
  <c r="H847" i="729"/>
  <c r="G847" i="729"/>
  <c r="N846" i="729"/>
  <c r="O846" i="729" s="1"/>
  <c r="M846" i="729"/>
  <c r="K846" i="729"/>
  <c r="J846" i="729"/>
  <c r="I846" i="729"/>
  <c r="H846" i="729"/>
  <c r="G846" i="729"/>
  <c r="N845" i="729"/>
  <c r="M845" i="729"/>
  <c r="K845" i="729"/>
  <c r="J845" i="729"/>
  <c r="L845" i="729" s="1"/>
  <c r="I845" i="729"/>
  <c r="H845" i="729"/>
  <c r="G845" i="729"/>
  <c r="N844" i="729"/>
  <c r="M844" i="729"/>
  <c r="O844" i="729" s="1"/>
  <c r="K844" i="729"/>
  <c r="J844" i="729"/>
  <c r="I844" i="729"/>
  <c r="H844" i="729"/>
  <c r="G844" i="729"/>
  <c r="N843" i="729"/>
  <c r="M843" i="729"/>
  <c r="O843" i="729" s="1"/>
  <c r="K843" i="729"/>
  <c r="J843" i="729"/>
  <c r="L843" i="729" s="1"/>
  <c r="I843" i="729"/>
  <c r="H843" i="729"/>
  <c r="G843" i="729"/>
  <c r="O842" i="729"/>
  <c r="N842" i="729"/>
  <c r="M842" i="729"/>
  <c r="K842" i="729"/>
  <c r="J842" i="729"/>
  <c r="I842" i="729"/>
  <c r="L842" i="729" s="1"/>
  <c r="H842" i="729"/>
  <c r="G842" i="729"/>
  <c r="N841" i="729"/>
  <c r="M841" i="729"/>
  <c r="K841" i="729"/>
  <c r="J841" i="729"/>
  <c r="L841" i="729" s="1"/>
  <c r="I841" i="729"/>
  <c r="H841" i="729"/>
  <c r="G841" i="729"/>
  <c r="N840" i="729"/>
  <c r="O840" i="729" s="1"/>
  <c r="M840" i="729"/>
  <c r="K840" i="729"/>
  <c r="J840" i="729"/>
  <c r="I840" i="729"/>
  <c r="H840" i="729"/>
  <c r="G840" i="729"/>
  <c r="N839" i="729"/>
  <c r="M839" i="729"/>
  <c r="K839" i="729"/>
  <c r="J839" i="729"/>
  <c r="L839" i="729" s="1"/>
  <c r="I839" i="729"/>
  <c r="H839" i="729"/>
  <c r="G839" i="729"/>
  <c r="N838" i="729"/>
  <c r="M838" i="729"/>
  <c r="O838" i="729" s="1"/>
  <c r="K838" i="729"/>
  <c r="J838" i="729"/>
  <c r="I838" i="729"/>
  <c r="H838" i="729"/>
  <c r="G838" i="729"/>
  <c r="N837" i="729"/>
  <c r="M837" i="729"/>
  <c r="O837" i="729" s="1"/>
  <c r="K837" i="729"/>
  <c r="J837" i="729"/>
  <c r="L837" i="729" s="1"/>
  <c r="I837" i="729"/>
  <c r="H837" i="729"/>
  <c r="G837" i="729"/>
  <c r="O836" i="729"/>
  <c r="N836" i="729"/>
  <c r="M836" i="729"/>
  <c r="K836" i="729"/>
  <c r="J836" i="729"/>
  <c r="I836" i="729"/>
  <c r="L836" i="729" s="1"/>
  <c r="H836" i="729"/>
  <c r="G836" i="729"/>
  <c r="N835" i="729"/>
  <c r="M835" i="729"/>
  <c r="K835" i="729"/>
  <c r="J835" i="729"/>
  <c r="L835" i="729" s="1"/>
  <c r="I835" i="729"/>
  <c r="H835" i="729"/>
  <c r="G835" i="729"/>
  <c r="N834" i="729"/>
  <c r="O834" i="729" s="1"/>
  <c r="M834" i="729"/>
  <c r="K834" i="729"/>
  <c r="J834" i="729"/>
  <c r="I834" i="729"/>
  <c r="H834" i="729"/>
  <c r="G834" i="729"/>
  <c r="N833" i="729"/>
  <c r="M833" i="729"/>
  <c r="K833" i="729"/>
  <c r="J833" i="729"/>
  <c r="L833" i="729" s="1"/>
  <c r="I833" i="729"/>
  <c r="H833" i="729"/>
  <c r="G833" i="729"/>
  <c r="N832" i="729"/>
  <c r="M832" i="729"/>
  <c r="O832" i="729" s="1"/>
  <c r="K832" i="729"/>
  <c r="L832" i="729" s="1"/>
  <c r="J832" i="729"/>
  <c r="I832" i="729"/>
  <c r="H832" i="729"/>
  <c r="G832" i="729"/>
  <c r="N831" i="729"/>
  <c r="M831" i="729"/>
  <c r="L831" i="729"/>
  <c r="K831" i="729"/>
  <c r="J831" i="729"/>
  <c r="I831" i="729"/>
  <c r="H831" i="729"/>
  <c r="G831" i="729"/>
  <c r="O830" i="729"/>
  <c r="N830" i="729"/>
  <c r="M830" i="729"/>
  <c r="K830" i="729"/>
  <c r="J830" i="729"/>
  <c r="I830" i="729"/>
  <c r="L830" i="729" s="1"/>
  <c r="H830" i="729"/>
  <c r="G830" i="729"/>
  <c r="N829" i="729"/>
  <c r="M829" i="729"/>
  <c r="O829" i="729" s="1"/>
  <c r="L829" i="729"/>
  <c r="K829" i="729"/>
  <c r="J829" i="729"/>
  <c r="I829" i="729"/>
  <c r="H829" i="729"/>
  <c r="G829" i="729"/>
  <c r="O828" i="729"/>
  <c r="N828" i="729"/>
  <c r="M828" i="729"/>
  <c r="K828" i="729"/>
  <c r="J828" i="729"/>
  <c r="L828" i="729" s="1"/>
  <c r="I828" i="729"/>
  <c r="H828" i="729"/>
  <c r="G828" i="729"/>
  <c r="N827" i="729"/>
  <c r="O827" i="729" s="1"/>
  <c r="M827" i="729"/>
  <c r="L827" i="729"/>
  <c r="K827" i="729"/>
  <c r="J827" i="729"/>
  <c r="I827" i="729"/>
  <c r="H827" i="729"/>
  <c r="G827" i="729"/>
  <c r="O826" i="729"/>
  <c r="N826" i="729"/>
  <c r="M826" i="729"/>
  <c r="K826" i="729"/>
  <c r="J826" i="729"/>
  <c r="I826" i="729"/>
  <c r="L826" i="729" s="1"/>
  <c r="H826" i="729"/>
  <c r="G826" i="729"/>
  <c r="N825" i="729"/>
  <c r="M825" i="729"/>
  <c r="O825" i="729" s="1"/>
  <c r="L825" i="729"/>
  <c r="K825" i="729"/>
  <c r="J825" i="729"/>
  <c r="I825" i="729"/>
  <c r="H825" i="729"/>
  <c r="G825" i="729"/>
  <c r="O824" i="729"/>
  <c r="N824" i="729"/>
  <c r="M824" i="729"/>
  <c r="K824" i="729"/>
  <c r="J824" i="729"/>
  <c r="L824" i="729" s="1"/>
  <c r="I824" i="729"/>
  <c r="H824" i="729"/>
  <c r="G824" i="729"/>
  <c r="N823" i="729"/>
  <c r="O823" i="729" s="1"/>
  <c r="M823" i="729"/>
  <c r="L823" i="729"/>
  <c r="K823" i="729"/>
  <c r="J823" i="729"/>
  <c r="I823" i="729"/>
  <c r="H823" i="729"/>
  <c r="G823" i="729"/>
  <c r="O822" i="729"/>
  <c r="N822" i="729"/>
  <c r="M822" i="729"/>
  <c r="K822" i="729"/>
  <c r="J822" i="729"/>
  <c r="I822" i="729"/>
  <c r="L822" i="729" s="1"/>
  <c r="H822" i="729"/>
  <c r="G822" i="729"/>
  <c r="N821" i="729"/>
  <c r="M821" i="729"/>
  <c r="O821" i="729" s="1"/>
  <c r="L821" i="729"/>
  <c r="K821" i="729"/>
  <c r="J821" i="729"/>
  <c r="I821" i="729"/>
  <c r="H821" i="729"/>
  <c r="G821" i="729"/>
  <c r="O820" i="729"/>
  <c r="N820" i="729"/>
  <c r="M820" i="729"/>
  <c r="K820" i="729"/>
  <c r="J820" i="729"/>
  <c r="L820" i="729" s="1"/>
  <c r="I820" i="729"/>
  <c r="H820" i="729"/>
  <c r="G820" i="729"/>
  <c r="N819" i="729"/>
  <c r="O819" i="729" s="1"/>
  <c r="M819" i="729"/>
  <c r="L819" i="729"/>
  <c r="K819" i="729"/>
  <c r="J819" i="729"/>
  <c r="I819" i="729"/>
  <c r="H819" i="729"/>
  <c r="G819" i="729"/>
  <c r="O818" i="729"/>
  <c r="N818" i="729"/>
  <c r="M818" i="729"/>
  <c r="K818" i="729"/>
  <c r="J818" i="729"/>
  <c r="I818" i="729"/>
  <c r="L818" i="729" s="1"/>
  <c r="H818" i="729"/>
  <c r="G818" i="729"/>
  <c r="N817" i="729"/>
  <c r="M817" i="729"/>
  <c r="O817" i="729" s="1"/>
  <c r="L817" i="729"/>
  <c r="K817" i="729"/>
  <c r="J817" i="729"/>
  <c r="I817" i="729"/>
  <c r="H817" i="729"/>
  <c r="G817" i="729"/>
  <c r="O816" i="729"/>
  <c r="N816" i="729"/>
  <c r="M816" i="729"/>
  <c r="K816" i="729"/>
  <c r="J816" i="729"/>
  <c r="L816" i="729" s="1"/>
  <c r="I816" i="729"/>
  <c r="H816" i="729"/>
  <c r="G816" i="729"/>
  <c r="N815" i="729"/>
  <c r="O815" i="729" s="1"/>
  <c r="M815" i="729"/>
  <c r="L815" i="729"/>
  <c r="K815" i="729"/>
  <c r="J815" i="729"/>
  <c r="I815" i="729"/>
  <c r="H815" i="729"/>
  <c r="G815" i="729"/>
  <c r="O814" i="729"/>
  <c r="N814" i="729"/>
  <c r="M814" i="729"/>
  <c r="K814" i="729"/>
  <c r="J814" i="729"/>
  <c r="I814" i="729"/>
  <c r="L814" i="729" s="1"/>
  <c r="H814" i="729"/>
  <c r="G814" i="729"/>
  <c r="N813" i="729"/>
  <c r="M813" i="729"/>
  <c r="O813" i="729" s="1"/>
  <c r="L813" i="729"/>
  <c r="K813" i="729"/>
  <c r="J813" i="729"/>
  <c r="I813" i="729"/>
  <c r="H813" i="729"/>
  <c r="G813" i="729"/>
  <c r="O812" i="729"/>
  <c r="N812" i="729"/>
  <c r="M812" i="729"/>
  <c r="K812" i="729"/>
  <c r="J812" i="729"/>
  <c r="L812" i="729" s="1"/>
  <c r="I812" i="729"/>
  <c r="H812" i="729"/>
  <c r="G812" i="729"/>
  <c r="N811" i="729"/>
  <c r="O811" i="729" s="1"/>
  <c r="M811" i="729"/>
  <c r="L811" i="729"/>
  <c r="K811" i="729"/>
  <c r="J811" i="729"/>
  <c r="I811" i="729"/>
  <c r="H811" i="729"/>
  <c r="G811" i="729"/>
  <c r="O810" i="729"/>
  <c r="N810" i="729"/>
  <c r="M810" i="729"/>
  <c r="K810" i="729"/>
  <c r="J810" i="729"/>
  <c r="I810" i="729"/>
  <c r="L810" i="729" s="1"/>
  <c r="H810" i="729"/>
  <c r="G810" i="729"/>
  <c r="N809" i="729"/>
  <c r="M809" i="729"/>
  <c r="O809" i="729" s="1"/>
  <c r="L809" i="729"/>
  <c r="K809" i="729"/>
  <c r="J809" i="729"/>
  <c r="I809" i="729"/>
  <c r="H809" i="729"/>
  <c r="G809" i="729"/>
  <c r="O808" i="729"/>
  <c r="N808" i="729"/>
  <c r="M808" i="729"/>
  <c r="K808" i="729"/>
  <c r="J808" i="729"/>
  <c r="L808" i="729" s="1"/>
  <c r="I808" i="729"/>
  <c r="H808" i="729"/>
  <c r="G808" i="729"/>
  <c r="N807" i="729"/>
  <c r="O807" i="729" s="1"/>
  <c r="M807" i="729"/>
  <c r="L807" i="729"/>
  <c r="K807" i="729"/>
  <c r="J807" i="729"/>
  <c r="I807" i="729"/>
  <c r="H807" i="729"/>
  <c r="G807" i="729"/>
  <c r="O806" i="729"/>
  <c r="N806" i="729"/>
  <c r="M806" i="729"/>
  <c r="K806" i="729"/>
  <c r="J806" i="729"/>
  <c r="I806" i="729"/>
  <c r="L806" i="729" s="1"/>
  <c r="H806" i="729"/>
  <c r="G806" i="729"/>
  <c r="N805" i="729"/>
  <c r="M805" i="729"/>
  <c r="O805" i="729" s="1"/>
  <c r="L805" i="729"/>
  <c r="K805" i="729"/>
  <c r="J805" i="729"/>
  <c r="I805" i="729"/>
  <c r="H805" i="729"/>
  <c r="G805" i="729"/>
  <c r="O804" i="729"/>
  <c r="N804" i="729"/>
  <c r="M804" i="729"/>
  <c r="K804" i="729"/>
  <c r="J804" i="729"/>
  <c r="L804" i="729" s="1"/>
  <c r="I804" i="729"/>
  <c r="H804" i="729"/>
  <c r="G804" i="729"/>
  <c r="N803" i="729"/>
  <c r="O803" i="729" s="1"/>
  <c r="M803" i="729"/>
  <c r="L803" i="729"/>
  <c r="K803" i="729"/>
  <c r="J803" i="729"/>
  <c r="I803" i="729"/>
  <c r="H803" i="729"/>
  <c r="G803" i="729"/>
  <c r="O802" i="729"/>
  <c r="N802" i="729"/>
  <c r="M802" i="729"/>
  <c r="K802" i="729"/>
  <c r="J802" i="729"/>
  <c r="I802" i="729"/>
  <c r="L802" i="729" s="1"/>
  <c r="H802" i="729"/>
  <c r="G802" i="729"/>
  <c r="N801" i="729"/>
  <c r="M801" i="729"/>
  <c r="O801" i="729" s="1"/>
  <c r="L801" i="729"/>
  <c r="K801" i="729"/>
  <c r="J801" i="729"/>
  <c r="I801" i="729"/>
  <c r="H801" i="729"/>
  <c r="G801" i="729"/>
  <c r="O800" i="729"/>
  <c r="N800" i="729"/>
  <c r="M800" i="729"/>
  <c r="K800" i="729"/>
  <c r="J800" i="729"/>
  <c r="L800" i="729" s="1"/>
  <c r="I800" i="729"/>
  <c r="H800" i="729"/>
  <c r="G800" i="729"/>
  <c r="N799" i="729"/>
  <c r="O799" i="729" s="1"/>
  <c r="M799" i="729"/>
  <c r="L799" i="729"/>
  <c r="K799" i="729"/>
  <c r="J799" i="729"/>
  <c r="I799" i="729"/>
  <c r="H799" i="729"/>
  <c r="G799" i="729"/>
  <c r="O798" i="729"/>
  <c r="N798" i="729"/>
  <c r="M798" i="729"/>
  <c r="K798" i="729"/>
  <c r="J798" i="729"/>
  <c r="I798" i="729"/>
  <c r="L798" i="729" s="1"/>
  <c r="H798" i="729"/>
  <c r="G798" i="729"/>
  <c r="N797" i="729"/>
  <c r="M797" i="729"/>
  <c r="O797" i="729" s="1"/>
  <c r="L797" i="729"/>
  <c r="K797" i="729"/>
  <c r="J797" i="729"/>
  <c r="I797" i="729"/>
  <c r="H797" i="729"/>
  <c r="G797" i="729"/>
  <c r="O796" i="729"/>
  <c r="N796" i="729"/>
  <c r="M796" i="729"/>
  <c r="K796" i="729"/>
  <c r="J796" i="729"/>
  <c r="L796" i="729" s="1"/>
  <c r="I796" i="729"/>
  <c r="H796" i="729"/>
  <c r="G796" i="729"/>
  <c r="N795" i="729"/>
  <c r="O795" i="729" s="1"/>
  <c r="M795" i="729"/>
  <c r="L795" i="729"/>
  <c r="K795" i="729"/>
  <c r="J795" i="729"/>
  <c r="I795" i="729"/>
  <c r="H795" i="729"/>
  <c r="G795" i="729"/>
  <c r="O794" i="729"/>
  <c r="N794" i="729"/>
  <c r="M794" i="729"/>
  <c r="K794" i="729"/>
  <c r="J794" i="729"/>
  <c r="I794" i="729"/>
  <c r="L794" i="729" s="1"/>
  <c r="H794" i="729"/>
  <c r="G794" i="729"/>
  <c r="N793" i="729"/>
  <c r="M793" i="729"/>
  <c r="O793" i="729" s="1"/>
  <c r="L793" i="729"/>
  <c r="K793" i="729"/>
  <c r="J793" i="729"/>
  <c r="I793" i="729"/>
  <c r="H793" i="729"/>
  <c r="G793" i="729"/>
  <c r="O792" i="729"/>
  <c r="N792" i="729"/>
  <c r="M792" i="729"/>
  <c r="K792" i="729"/>
  <c r="J792" i="729"/>
  <c r="L792" i="729" s="1"/>
  <c r="I792" i="729"/>
  <c r="H792" i="729"/>
  <c r="G792" i="729"/>
  <c r="N791" i="729"/>
  <c r="O791" i="729" s="1"/>
  <c r="M791" i="729"/>
  <c r="L791" i="729"/>
  <c r="K791" i="729"/>
  <c r="J791" i="729"/>
  <c r="I791" i="729"/>
  <c r="H791" i="729"/>
  <c r="G791" i="729"/>
  <c r="O790" i="729"/>
  <c r="N790" i="729"/>
  <c r="M790" i="729"/>
  <c r="K790" i="729"/>
  <c r="J790" i="729"/>
  <c r="I790" i="729"/>
  <c r="L790" i="729" s="1"/>
  <c r="H790" i="729"/>
  <c r="G790" i="729"/>
  <c r="N789" i="729"/>
  <c r="M789" i="729"/>
  <c r="O789" i="729" s="1"/>
  <c r="L789" i="729"/>
  <c r="K789" i="729"/>
  <c r="J789" i="729"/>
  <c r="I789" i="729"/>
  <c r="H789" i="729"/>
  <c r="G789" i="729"/>
  <c r="O788" i="729"/>
  <c r="N788" i="729"/>
  <c r="M788" i="729"/>
  <c r="K788" i="729"/>
  <c r="J788" i="729"/>
  <c r="L788" i="729" s="1"/>
  <c r="I788" i="729"/>
  <c r="H788" i="729"/>
  <c r="G788" i="729"/>
  <c r="N787" i="729"/>
  <c r="O787" i="729" s="1"/>
  <c r="M787" i="729"/>
  <c r="L787" i="729"/>
  <c r="K787" i="729"/>
  <c r="J787" i="729"/>
  <c r="I787" i="729"/>
  <c r="H787" i="729"/>
  <c r="G787" i="729"/>
  <c r="O786" i="729"/>
  <c r="N786" i="729"/>
  <c r="M786" i="729"/>
  <c r="K786" i="729"/>
  <c r="J786" i="729"/>
  <c r="I786" i="729"/>
  <c r="L786" i="729" s="1"/>
  <c r="H786" i="729"/>
  <c r="G786" i="729"/>
  <c r="N785" i="729"/>
  <c r="M785" i="729"/>
  <c r="O785" i="729" s="1"/>
  <c r="L785" i="729"/>
  <c r="K785" i="729"/>
  <c r="J785" i="729"/>
  <c r="I785" i="729"/>
  <c r="H785" i="729"/>
  <c r="G785" i="729"/>
  <c r="O784" i="729"/>
  <c r="N784" i="729"/>
  <c r="M784" i="729"/>
  <c r="K784" i="729"/>
  <c r="J784" i="729"/>
  <c r="L784" i="729" s="1"/>
  <c r="I784" i="729"/>
  <c r="H784" i="729"/>
  <c r="G784" i="729"/>
  <c r="N783" i="729"/>
  <c r="O783" i="729" s="1"/>
  <c r="M783" i="729"/>
  <c r="L783" i="729"/>
  <c r="K783" i="729"/>
  <c r="J783" i="729"/>
  <c r="I783" i="729"/>
  <c r="H783" i="729"/>
  <c r="G783" i="729"/>
  <c r="O782" i="729"/>
  <c r="N782" i="729"/>
  <c r="M782" i="729"/>
  <c r="K782" i="729"/>
  <c r="J782" i="729"/>
  <c r="I782" i="729"/>
  <c r="L782" i="729" s="1"/>
  <c r="H782" i="729"/>
  <c r="G782" i="729"/>
  <c r="N781" i="729"/>
  <c r="M781" i="729"/>
  <c r="O781" i="729" s="1"/>
  <c r="K781" i="729"/>
  <c r="L781" i="729" s="1"/>
  <c r="J781" i="729"/>
  <c r="I781" i="729"/>
  <c r="H781" i="729"/>
  <c r="G781" i="729"/>
  <c r="O780" i="729"/>
  <c r="N780" i="729"/>
  <c r="M780" i="729"/>
  <c r="K780" i="729"/>
  <c r="J780" i="729"/>
  <c r="L780" i="729" s="1"/>
  <c r="I780" i="729"/>
  <c r="H780" i="729"/>
  <c r="G780" i="729"/>
  <c r="N779" i="729"/>
  <c r="O779" i="729" s="1"/>
  <c r="M779" i="729"/>
  <c r="L779" i="729"/>
  <c r="K779" i="729"/>
  <c r="J779" i="729"/>
  <c r="I779" i="729"/>
  <c r="H779" i="729"/>
  <c r="G779" i="729"/>
  <c r="O778" i="729"/>
  <c r="N778" i="729"/>
  <c r="M778" i="729"/>
  <c r="K778" i="729"/>
  <c r="J778" i="729"/>
  <c r="I778" i="729"/>
  <c r="L778" i="729" s="1"/>
  <c r="H778" i="729"/>
  <c r="G778" i="729"/>
  <c r="N777" i="729"/>
  <c r="M777" i="729"/>
  <c r="O777" i="729" s="1"/>
  <c r="K777" i="729"/>
  <c r="L777" i="729" s="1"/>
  <c r="J777" i="729"/>
  <c r="I777" i="729"/>
  <c r="H777" i="729"/>
  <c r="G777" i="729"/>
  <c r="O776" i="729"/>
  <c r="N776" i="729"/>
  <c r="M776" i="729"/>
  <c r="K776" i="729"/>
  <c r="J776" i="729"/>
  <c r="L776" i="729" s="1"/>
  <c r="I776" i="729"/>
  <c r="H776" i="729"/>
  <c r="G776" i="729"/>
  <c r="N775" i="729"/>
  <c r="O775" i="729" s="1"/>
  <c r="M775" i="729"/>
  <c r="L775" i="729"/>
  <c r="K775" i="729"/>
  <c r="J775" i="729"/>
  <c r="I775" i="729"/>
  <c r="H775" i="729"/>
  <c r="G775" i="729"/>
  <c r="O774" i="729"/>
  <c r="N774" i="729"/>
  <c r="M774" i="729"/>
  <c r="K774" i="729"/>
  <c r="J774" i="729"/>
  <c r="I774" i="729"/>
  <c r="H774" i="729"/>
  <c r="G774" i="729"/>
  <c r="N773" i="729"/>
  <c r="M773" i="729"/>
  <c r="O773" i="729" s="1"/>
  <c r="K773" i="729"/>
  <c r="L773" i="729" s="1"/>
  <c r="J773" i="729"/>
  <c r="I773" i="729"/>
  <c r="H773" i="729"/>
  <c r="G773" i="729"/>
  <c r="O772" i="729"/>
  <c r="N772" i="729"/>
  <c r="M772" i="729"/>
  <c r="K772" i="729"/>
  <c r="J772" i="729"/>
  <c r="L772" i="729" s="1"/>
  <c r="I772" i="729"/>
  <c r="H772" i="729"/>
  <c r="G772" i="729"/>
  <c r="N771" i="729"/>
  <c r="O771" i="729" s="1"/>
  <c r="M771" i="729"/>
  <c r="L771" i="729"/>
  <c r="K771" i="729"/>
  <c r="J771" i="729"/>
  <c r="I771" i="729"/>
  <c r="H771" i="729"/>
  <c r="G771" i="729"/>
  <c r="N770" i="729"/>
  <c r="O770" i="729" s="1"/>
  <c r="M770" i="729"/>
  <c r="K770" i="729"/>
  <c r="J770" i="729"/>
  <c r="I770" i="729"/>
  <c r="L770" i="729" s="1"/>
  <c r="H770" i="729"/>
  <c r="G770" i="729"/>
  <c r="N769" i="729"/>
  <c r="M769" i="729"/>
  <c r="O769" i="729" s="1"/>
  <c r="K769" i="729"/>
  <c r="L769" i="729" s="1"/>
  <c r="J769" i="729"/>
  <c r="I769" i="729"/>
  <c r="H769" i="729"/>
  <c r="G769" i="729"/>
  <c r="O768" i="729"/>
  <c r="N768" i="729"/>
  <c r="M768" i="729"/>
  <c r="K768" i="729"/>
  <c r="J768" i="729"/>
  <c r="L768" i="729" s="1"/>
  <c r="I768" i="729"/>
  <c r="H768" i="729"/>
  <c r="G768" i="729"/>
  <c r="N767" i="729"/>
  <c r="O767" i="729" s="1"/>
  <c r="M767" i="729"/>
  <c r="L767" i="729"/>
  <c r="K767" i="729"/>
  <c r="J767" i="729"/>
  <c r="I767" i="729"/>
  <c r="H767" i="729"/>
  <c r="G767" i="729"/>
  <c r="N766" i="729"/>
  <c r="O766" i="729" s="1"/>
  <c r="M766" i="729"/>
  <c r="K766" i="729"/>
  <c r="J766" i="729"/>
  <c r="I766" i="729"/>
  <c r="H766" i="729"/>
  <c r="G766" i="729"/>
  <c r="N765" i="729"/>
  <c r="M765" i="729"/>
  <c r="O765" i="729" s="1"/>
  <c r="K765" i="729"/>
  <c r="L765" i="729" s="1"/>
  <c r="J765" i="729"/>
  <c r="I765" i="729"/>
  <c r="H765" i="729"/>
  <c r="G765" i="729"/>
  <c r="O764" i="729"/>
  <c r="N764" i="729"/>
  <c r="M764" i="729"/>
  <c r="K764" i="729"/>
  <c r="J764" i="729"/>
  <c r="L764" i="729" s="1"/>
  <c r="I764" i="729"/>
  <c r="H764" i="729"/>
  <c r="G764" i="729"/>
  <c r="N763" i="729"/>
  <c r="O763" i="729" s="1"/>
  <c r="M763" i="729"/>
  <c r="L763" i="729"/>
  <c r="K763" i="729"/>
  <c r="J763" i="729"/>
  <c r="I763" i="729"/>
  <c r="H763" i="729"/>
  <c r="G763" i="729"/>
  <c r="N762" i="729"/>
  <c r="O762" i="729" s="1"/>
  <c r="M762" i="729"/>
  <c r="K762" i="729"/>
  <c r="J762" i="729"/>
  <c r="I762" i="729"/>
  <c r="L762" i="729" s="1"/>
  <c r="H762" i="729"/>
  <c r="G762" i="729"/>
  <c r="N761" i="729"/>
  <c r="M761" i="729"/>
  <c r="O761" i="729" s="1"/>
  <c r="K761" i="729"/>
  <c r="L761" i="729" s="1"/>
  <c r="J761" i="729"/>
  <c r="I761" i="729"/>
  <c r="H761" i="729"/>
  <c r="G761" i="729"/>
  <c r="O760" i="729"/>
  <c r="N760" i="729"/>
  <c r="M760" i="729"/>
  <c r="K760" i="729"/>
  <c r="J760" i="729"/>
  <c r="L760" i="729" s="1"/>
  <c r="I760" i="729"/>
  <c r="H760" i="729"/>
  <c r="G760" i="729"/>
  <c r="N759" i="729"/>
  <c r="M759" i="729"/>
  <c r="L759" i="729"/>
  <c r="K759" i="729"/>
  <c r="J759" i="729"/>
  <c r="I759" i="729"/>
  <c r="H759" i="729"/>
  <c r="G759" i="729"/>
  <c r="N758" i="729"/>
  <c r="O758" i="729" s="1"/>
  <c r="M758" i="729"/>
  <c r="K758" i="729"/>
  <c r="J758" i="729"/>
  <c r="I758" i="729"/>
  <c r="H758" i="729"/>
  <c r="G758" i="729"/>
  <c r="N757" i="729"/>
  <c r="M757" i="729"/>
  <c r="O757" i="729" s="1"/>
  <c r="K757" i="729"/>
  <c r="L757" i="729" s="1"/>
  <c r="J757" i="729"/>
  <c r="I757" i="729"/>
  <c r="H757" i="729"/>
  <c r="G757" i="729"/>
  <c r="O756" i="729"/>
  <c r="N756" i="729"/>
  <c r="M756" i="729"/>
  <c r="K756" i="729"/>
  <c r="J756" i="729"/>
  <c r="L756" i="729" s="1"/>
  <c r="I756" i="729"/>
  <c r="H756" i="729"/>
  <c r="G756" i="729"/>
  <c r="N755" i="729"/>
  <c r="M755" i="729"/>
  <c r="L755" i="729"/>
  <c r="K755" i="729"/>
  <c r="J755" i="729"/>
  <c r="I755" i="729"/>
  <c r="H755" i="729"/>
  <c r="G755" i="729"/>
  <c r="N754" i="729"/>
  <c r="O754" i="729" s="1"/>
  <c r="M754" i="729"/>
  <c r="K754" i="729"/>
  <c r="J754" i="729"/>
  <c r="I754" i="729"/>
  <c r="L754" i="729" s="1"/>
  <c r="H754" i="729"/>
  <c r="G754" i="729"/>
  <c r="N753" i="729"/>
  <c r="M753" i="729"/>
  <c r="O753" i="729" s="1"/>
  <c r="K753" i="729"/>
  <c r="L753" i="729" s="1"/>
  <c r="J753" i="729"/>
  <c r="I753" i="729"/>
  <c r="H753" i="729"/>
  <c r="G753" i="729"/>
  <c r="O752" i="729"/>
  <c r="N752" i="729"/>
  <c r="M752" i="729"/>
  <c r="K752" i="729"/>
  <c r="J752" i="729"/>
  <c r="L752" i="729" s="1"/>
  <c r="I752" i="729"/>
  <c r="H752" i="729"/>
  <c r="G752" i="729"/>
  <c r="N751" i="729"/>
  <c r="M751" i="729"/>
  <c r="L751" i="729"/>
  <c r="K751" i="729"/>
  <c r="J751" i="729"/>
  <c r="I751" i="729"/>
  <c r="H751" i="729"/>
  <c r="G751" i="729"/>
  <c r="N750" i="729"/>
  <c r="O750" i="729" s="1"/>
  <c r="M750" i="729"/>
  <c r="K750" i="729"/>
  <c r="J750" i="729"/>
  <c r="I750" i="729"/>
  <c r="H750" i="729"/>
  <c r="G750" i="729"/>
  <c r="N749" i="729"/>
  <c r="M749" i="729"/>
  <c r="O749" i="729" s="1"/>
  <c r="K749" i="729"/>
  <c r="L749" i="729" s="1"/>
  <c r="J749" i="729"/>
  <c r="I749" i="729"/>
  <c r="H749" i="729"/>
  <c r="G749" i="729"/>
  <c r="O748" i="729"/>
  <c r="N748" i="729"/>
  <c r="M748" i="729"/>
  <c r="K748" i="729"/>
  <c r="J748" i="729"/>
  <c r="L748" i="729" s="1"/>
  <c r="I748" i="729"/>
  <c r="H748" i="729"/>
  <c r="G748" i="729"/>
  <c r="N747" i="729"/>
  <c r="M747" i="729"/>
  <c r="L747" i="729"/>
  <c r="K747" i="729"/>
  <c r="J747" i="729"/>
  <c r="I747" i="729"/>
  <c r="H747" i="729"/>
  <c r="G747" i="729"/>
  <c r="N746" i="729"/>
  <c r="O746" i="729" s="1"/>
  <c r="M746" i="729"/>
  <c r="K746" i="729"/>
  <c r="J746" i="729"/>
  <c r="I746" i="729"/>
  <c r="L746" i="729" s="1"/>
  <c r="H746" i="729"/>
  <c r="G746" i="729"/>
  <c r="N745" i="729"/>
  <c r="M745" i="729"/>
  <c r="K745" i="729"/>
  <c r="L745" i="729" s="1"/>
  <c r="J745" i="729"/>
  <c r="I745" i="729"/>
  <c r="H745" i="729"/>
  <c r="G745" i="729"/>
  <c r="O744" i="729"/>
  <c r="N744" i="729"/>
  <c r="M744" i="729"/>
  <c r="K744" i="729"/>
  <c r="J744" i="729"/>
  <c r="L744" i="729" s="1"/>
  <c r="I744" i="729"/>
  <c r="H744" i="729"/>
  <c r="G744" i="729"/>
  <c r="N743" i="729"/>
  <c r="M743" i="729"/>
  <c r="L743" i="729"/>
  <c r="K743" i="729"/>
  <c r="J743" i="729"/>
  <c r="I743" i="729"/>
  <c r="H743" i="729"/>
  <c r="G743" i="729"/>
  <c r="N742" i="729"/>
  <c r="O742" i="729" s="1"/>
  <c r="M742" i="729"/>
  <c r="K742" i="729"/>
  <c r="J742" i="729"/>
  <c r="I742" i="729"/>
  <c r="H742" i="729"/>
  <c r="G742" i="729"/>
  <c r="N741" i="729"/>
  <c r="M741" i="729"/>
  <c r="O741" i="729" s="1"/>
  <c r="K741" i="729"/>
  <c r="L741" i="729" s="1"/>
  <c r="J741" i="729"/>
  <c r="I741" i="729"/>
  <c r="H741" i="729"/>
  <c r="G741" i="729"/>
  <c r="O740" i="729"/>
  <c r="N740" i="729"/>
  <c r="M740" i="729"/>
  <c r="K740" i="729"/>
  <c r="J740" i="729"/>
  <c r="L740" i="729" s="1"/>
  <c r="I740" i="729"/>
  <c r="H740" i="729"/>
  <c r="G740" i="729"/>
  <c r="N739" i="729"/>
  <c r="M739" i="729"/>
  <c r="K739" i="729"/>
  <c r="L739" i="729" s="1"/>
  <c r="J739" i="729"/>
  <c r="I739" i="729"/>
  <c r="H739" i="729"/>
  <c r="G739" i="729"/>
  <c r="N738" i="729"/>
  <c r="O738" i="729" s="1"/>
  <c r="M738" i="729"/>
  <c r="K738" i="729"/>
  <c r="J738" i="729"/>
  <c r="I738" i="729"/>
  <c r="L738" i="729" s="1"/>
  <c r="H738" i="729"/>
  <c r="G738" i="729"/>
  <c r="N737" i="729"/>
  <c r="M737" i="729"/>
  <c r="K737" i="729"/>
  <c r="L737" i="729" s="1"/>
  <c r="J737" i="729"/>
  <c r="I737" i="729"/>
  <c r="H737" i="729"/>
  <c r="G737" i="729"/>
  <c r="O736" i="729"/>
  <c r="N736" i="729"/>
  <c r="M736" i="729"/>
  <c r="K736" i="729"/>
  <c r="J736" i="729"/>
  <c r="L736" i="729" s="1"/>
  <c r="I736" i="729"/>
  <c r="H736" i="729"/>
  <c r="G736" i="729"/>
  <c r="N735" i="729"/>
  <c r="M735" i="729"/>
  <c r="L735" i="729"/>
  <c r="K735" i="729"/>
  <c r="J735" i="729"/>
  <c r="I735" i="729"/>
  <c r="H735" i="729"/>
  <c r="G735" i="729"/>
  <c r="N734" i="729"/>
  <c r="O734" i="729" s="1"/>
  <c r="M734" i="729"/>
  <c r="K734" i="729"/>
  <c r="J734" i="729"/>
  <c r="I734" i="729"/>
  <c r="H734" i="729"/>
  <c r="G734" i="729"/>
  <c r="N733" i="729"/>
  <c r="M733" i="729"/>
  <c r="O733" i="729" s="1"/>
  <c r="K733" i="729"/>
  <c r="L733" i="729" s="1"/>
  <c r="J733" i="729"/>
  <c r="I733" i="729"/>
  <c r="H733" i="729"/>
  <c r="G733" i="729"/>
  <c r="O732" i="729"/>
  <c r="N732" i="729"/>
  <c r="M732" i="729"/>
  <c r="K732" i="729"/>
  <c r="J732" i="729"/>
  <c r="L732" i="729" s="1"/>
  <c r="I732" i="729"/>
  <c r="H732" i="729"/>
  <c r="G732" i="729"/>
  <c r="N731" i="729"/>
  <c r="M731" i="729"/>
  <c r="K731" i="729"/>
  <c r="L731" i="729" s="1"/>
  <c r="J731" i="729"/>
  <c r="I731" i="729"/>
  <c r="H731" i="729"/>
  <c r="G731" i="729"/>
  <c r="N730" i="729"/>
  <c r="O730" i="729" s="1"/>
  <c r="M730" i="729"/>
  <c r="K730" i="729"/>
  <c r="J730" i="729"/>
  <c r="I730" i="729"/>
  <c r="H730" i="729"/>
  <c r="G730" i="729"/>
  <c r="N729" i="729"/>
  <c r="M729" i="729"/>
  <c r="K729" i="729"/>
  <c r="L729" i="729" s="1"/>
  <c r="J729" i="729"/>
  <c r="I729" i="729"/>
  <c r="H729" i="729"/>
  <c r="G729" i="729"/>
  <c r="O728" i="729"/>
  <c r="N728" i="729"/>
  <c r="M728" i="729"/>
  <c r="K728" i="729"/>
  <c r="J728" i="729"/>
  <c r="L728" i="729" s="1"/>
  <c r="I728" i="729"/>
  <c r="H728" i="729"/>
  <c r="G728" i="729"/>
  <c r="N727" i="729"/>
  <c r="M727" i="729"/>
  <c r="L727" i="729"/>
  <c r="K727" i="729"/>
  <c r="J727" i="729"/>
  <c r="I727" i="729"/>
  <c r="H727" i="729"/>
  <c r="G727" i="729"/>
  <c r="N726" i="729"/>
  <c r="O726" i="729" s="1"/>
  <c r="M726" i="729"/>
  <c r="K726" i="729"/>
  <c r="J726" i="729"/>
  <c r="I726" i="729"/>
  <c r="H726" i="729"/>
  <c r="G726" i="729"/>
  <c r="N725" i="729"/>
  <c r="M725" i="729"/>
  <c r="O725" i="729" s="1"/>
  <c r="K725" i="729"/>
  <c r="L725" i="729" s="1"/>
  <c r="J725" i="729"/>
  <c r="I725" i="729"/>
  <c r="H725" i="729"/>
  <c r="G725" i="729"/>
  <c r="O724" i="729"/>
  <c r="N724" i="729"/>
  <c r="M724" i="729"/>
  <c r="K724" i="729"/>
  <c r="J724" i="729"/>
  <c r="L724" i="729" s="1"/>
  <c r="I724" i="729"/>
  <c r="H724" i="729"/>
  <c r="G724" i="729"/>
  <c r="N723" i="729"/>
  <c r="M723" i="729"/>
  <c r="K723" i="729"/>
  <c r="L723" i="729" s="1"/>
  <c r="J723" i="729"/>
  <c r="I723" i="729"/>
  <c r="H723" i="729"/>
  <c r="G723" i="729"/>
  <c r="N722" i="729"/>
  <c r="O722" i="729" s="1"/>
  <c r="M722" i="729"/>
  <c r="K722" i="729"/>
  <c r="J722" i="729"/>
  <c r="I722" i="729"/>
  <c r="H722" i="729"/>
  <c r="G722" i="729"/>
  <c r="O721" i="729"/>
  <c r="N721" i="729"/>
  <c r="M721" i="729"/>
  <c r="K721" i="729"/>
  <c r="L721" i="729" s="1"/>
  <c r="J721" i="729"/>
  <c r="I721" i="729"/>
  <c r="H721" i="729"/>
  <c r="G721" i="729"/>
  <c r="N720" i="729"/>
  <c r="O720" i="729" s="1"/>
  <c r="M720" i="729"/>
  <c r="K720" i="729"/>
  <c r="J720" i="729"/>
  <c r="L720" i="729" s="1"/>
  <c r="I720" i="729"/>
  <c r="H720" i="729"/>
  <c r="G720" i="729"/>
  <c r="N719" i="729"/>
  <c r="M719" i="729"/>
  <c r="L719" i="729"/>
  <c r="K719" i="729"/>
  <c r="J719" i="729"/>
  <c r="I719" i="729"/>
  <c r="H719" i="729"/>
  <c r="G719" i="729"/>
  <c r="N718" i="729"/>
  <c r="O718" i="729" s="1"/>
  <c r="M718" i="729"/>
  <c r="K718" i="729"/>
  <c r="J718" i="729"/>
  <c r="I718" i="729"/>
  <c r="L718" i="729" s="1"/>
  <c r="H718" i="729"/>
  <c r="G718" i="729"/>
  <c r="N717" i="729"/>
  <c r="O717" i="729" s="1"/>
  <c r="M717" i="729"/>
  <c r="K717" i="729"/>
  <c r="L717" i="729" s="1"/>
  <c r="J717" i="729"/>
  <c r="I717" i="729"/>
  <c r="H717" i="729"/>
  <c r="G717" i="729"/>
  <c r="N716" i="729"/>
  <c r="O716" i="729" s="1"/>
  <c r="M716" i="729"/>
  <c r="L716" i="729"/>
  <c r="K716" i="729"/>
  <c r="J716" i="729"/>
  <c r="I716" i="729"/>
  <c r="H716" i="729"/>
  <c r="G716" i="729"/>
  <c r="N715" i="729"/>
  <c r="M715" i="729"/>
  <c r="L715" i="729"/>
  <c r="K715" i="729"/>
  <c r="J715" i="729"/>
  <c r="I715" i="729"/>
  <c r="H715" i="729"/>
  <c r="G715" i="729"/>
  <c r="N714" i="729"/>
  <c r="O714" i="729" s="1"/>
  <c r="M714" i="729"/>
  <c r="K714" i="729"/>
  <c r="J714" i="729"/>
  <c r="I714" i="729"/>
  <c r="L714" i="729" s="1"/>
  <c r="H714" i="729"/>
  <c r="G714" i="729"/>
  <c r="N713" i="729"/>
  <c r="O713" i="729" s="1"/>
  <c r="M713" i="729"/>
  <c r="K713" i="729"/>
  <c r="L713" i="729" s="1"/>
  <c r="J713" i="729"/>
  <c r="I713" i="729"/>
  <c r="H713" i="729"/>
  <c r="G713" i="729"/>
  <c r="O712" i="729"/>
  <c r="N712" i="729"/>
  <c r="M712" i="729"/>
  <c r="K712" i="729"/>
  <c r="J712" i="729"/>
  <c r="L712" i="729" s="1"/>
  <c r="I712" i="729"/>
  <c r="H712" i="729"/>
  <c r="G712" i="729"/>
  <c r="N711" i="729"/>
  <c r="M711" i="729"/>
  <c r="K711" i="729"/>
  <c r="J711" i="729"/>
  <c r="L711" i="729" s="1"/>
  <c r="I711" i="729"/>
  <c r="H711" i="729"/>
  <c r="G711" i="729"/>
  <c r="N710" i="729"/>
  <c r="O710" i="729" s="1"/>
  <c r="M710" i="729"/>
  <c r="K710" i="729"/>
  <c r="J710" i="729"/>
  <c r="I710" i="729"/>
  <c r="H710" i="729"/>
  <c r="G710" i="729"/>
  <c r="O709" i="729"/>
  <c r="N709" i="729"/>
  <c r="M709" i="729"/>
  <c r="K709" i="729"/>
  <c r="L709" i="729" s="1"/>
  <c r="J709" i="729"/>
  <c r="I709" i="729"/>
  <c r="H709" i="729"/>
  <c r="G709" i="729"/>
  <c r="N708" i="729"/>
  <c r="O708" i="729" s="1"/>
  <c r="M708" i="729"/>
  <c r="K708" i="729"/>
  <c r="J708" i="729"/>
  <c r="L708" i="729" s="1"/>
  <c r="I708" i="729"/>
  <c r="H708" i="729"/>
  <c r="G708" i="729"/>
  <c r="N707" i="729"/>
  <c r="M707" i="729"/>
  <c r="L707" i="729"/>
  <c r="K707" i="729"/>
  <c r="J707" i="729"/>
  <c r="I707" i="729"/>
  <c r="H707" i="729"/>
  <c r="G707" i="729"/>
  <c r="O706" i="729"/>
  <c r="N706" i="729"/>
  <c r="M706" i="729"/>
  <c r="K706" i="729"/>
  <c r="J706" i="729"/>
  <c r="I706" i="729"/>
  <c r="H706" i="729"/>
  <c r="G706" i="729"/>
  <c r="N705" i="729"/>
  <c r="M705" i="729"/>
  <c r="O705" i="729" s="1"/>
  <c r="L705" i="729"/>
  <c r="K705" i="729"/>
  <c r="J705" i="729"/>
  <c r="I705" i="729"/>
  <c r="H705" i="729"/>
  <c r="G705" i="729"/>
  <c r="N704" i="729"/>
  <c r="M704" i="729"/>
  <c r="O704" i="729" s="1"/>
  <c r="K704" i="729"/>
  <c r="J704" i="729"/>
  <c r="I704" i="729"/>
  <c r="L704" i="729" s="1"/>
  <c r="H704" i="729"/>
  <c r="G704" i="729"/>
  <c r="N703" i="729"/>
  <c r="M703" i="729"/>
  <c r="L703" i="729"/>
  <c r="K703" i="729"/>
  <c r="J703" i="729"/>
  <c r="I703" i="729"/>
  <c r="H703" i="729"/>
  <c r="G703" i="729"/>
  <c r="N702" i="729"/>
  <c r="O702" i="729" s="1"/>
  <c r="M702" i="729"/>
  <c r="K702" i="729"/>
  <c r="J702" i="729"/>
  <c r="I702" i="729"/>
  <c r="L702" i="729" s="1"/>
  <c r="H702" i="729"/>
  <c r="G702" i="729"/>
  <c r="O701" i="729"/>
  <c r="N701" i="729"/>
  <c r="M701" i="729"/>
  <c r="K701" i="729"/>
  <c r="L701" i="729" s="1"/>
  <c r="J701" i="729"/>
  <c r="I701" i="729"/>
  <c r="H701" i="729"/>
  <c r="G701" i="729"/>
  <c r="N700" i="729"/>
  <c r="O700" i="729" s="1"/>
  <c r="M700" i="729"/>
  <c r="L700" i="729"/>
  <c r="K700" i="729"/>
  <c r="J700" i="729"/>
  <c r="I700" i="729"/>
  <c r="H700" i="729"/>
  <c r="G700" i="729"/>
  <c r="N699" i="729"/>
  <c r="M699" i="729"/>
  <c r="K699" i="729"/>
  <c r="J699" i="729"/>
  <c r="L699" i="729" s="1"/>
  <c r="I699" i="729"/>
  <c r="H699" i="729"/>
  <c r="G699" i="729"/>
  <c r="O698" i="729"/>
  <c r="N698" i="729"/>
  <c r="M698" i="729"/>
  <c r="K698" i="729"/>
  <c r="J698" i="729"/>
  <c r="I698" i="729"/>
  <c r="H698" i="729"/>
  <c r="G698" i="729"/>
  <c r="O697" i="729"/>
  <c r="N697" i="729"/>
  <c r="M697" i="729"/>
  <c r="K697" i="729"/>
  <c r="L697" i="729" s="1"/>
  <c r="J697" i="729"/>
  <c r="I697" i="729"/>
  <c r="H697" i="729"/>
  <c r="G697" i="729"/>
  <c r="N696" i="729"/>
  <c r="M696" i="729"/>
  <c r="O696" i="729" s="1"/>
  <c r="L696" i="729"/>
  <c r="K696" i="729"/>
  <c r="J696" i="729"/>
  <c r="I696" i="729"/>
  <c r="H696" i="729"/>
  <c r="G696" i="729"/>
  <c r="N695" i="729"/>
  <c r="M695" i="729"/>
  <c r="O695" i="729" s="1"/>
  <c r="L695" i="729"/>
  <c r="K695" i="729"/>
  <c r="J695" i="729"/>
  <c r="I695" i="729"/>
  <c r="H695" i="729"/>
  <c r="G695" i="729"/>
  <c r="O694" i="729"/>
  <c r="N694" i="729"/>
  <c r="M694" i="729"/>
  <c r="K694" i="729"/>
  <c r="J694" i="729"/>
  <c r="I694" i="729"/>
  <c r="L694" i="729" s="1"/>
  <c r="H694" i="729"/>
  <c r="G694" i="729"/>
  <c r="N693" i="729"/>
  <c r="M693" i="729"/>
  <c r="O693" i="729" s="1"/>
  <c r="K693" i="729"/>
  <c r="L693" i="729" s="1"/>
  <c r="J693" i="729"/>
  <c r="I693" i="729"/>
  <c r="H693" i="729"/>
  <c r="G693" i="729"/>
  <c r="O692" i="729"/>
  <c r="N692" i="729"/>
  <c r="M692" i="729"/>
  <c r="K692" i="729"/>
  <c r="J692" i="729"/>
  <c r="L692" i="729" s="1"/>
  <c r="I692" i="729"/>
  <c r="H692" i="729"/>
  <c r="G692" i="729"/>
  <c r="N691" i="729"/>
  <c r="M691" i="729"/>
  <c r="K691" i="729"/>
  <c r="J691" i="729"/>
  <c r="L691" i="729" s="1"/>
  <c r="I691" i="729"/>
  <c r="H691" i="729"/>
  <c r="G691" i="729"/>
  <c r="O690" i="729"/>
  <c r="N690" i="729"/>
  <c r="M690" i="729"/>
  <c r="K690" i="729"/>
  <c r="J690" i="729"/>
  <c r="I690" i="729"/>
  <c r="H690" i="729"/>
  <c r="G690" i="729"/>
  <c r="O689" i="729"/>
  <c r="N689" i="729"/>
  <c r="M689" i="729"/>
  <c r="K689" i="729"/>
  <c r="L689" i="729" s="1"/>
  <c r="J689" i="729"/>
  <c r="I689" i="729"/>
  <c r="H689" i="729"/>
  <c r="G689" i="729"/>
  <c r="N688" i="729"/>
  <c r="M688" i="729"/>
  <c r="O688" i="729" s="1"/>
  <c r="L688" i="729"/>
  <c r="K688" i="729"/>
  <c r="J688" i="729"/>
  <c r="I688" i="729"/>
  <c r="H688" i="729"/>
  <c r="G688" i="729"/>
  <c r="N687" i="729"/>
  <c r="M687" i="729"/>
  <c r="K687" i="729"/>
  <c r="J687" i="729"/>
  <c r="I687" i="729"/>
  <c r="L687" i="729" s="1"/>
  <c r="H687" i="729"/>
  <c r="G687" i="729"/>
  <c r="N686" i="729"/>
  <c r="M686" i="729"/>
  <c r="O686" i="729" s="1"/>
  <c r="K686" i="729"/>
  <c r="J686" i="729"/>
  <c r="I686" i="729"/>
  <c r="L686" i="729" s="1"/>
  <c r="H686" i="729"/>
  <c r="G686" i="729"/>
  <c r="O685" i="729"/>
  <c r="N685" i="729"/>
  <c r="M685" i="729"/>
  <c r="K685" i="729"/>
  <c r="J685" i="729"/>
  <c r="L685" i="729" s="1"/>
  <c r="I685" i="729"/>
  <c r="H685" i="729"/>
  <c r="G685" i="729"/>
  <c r="N684" i="729"/>
  <c r="M684" i="729"/>
  <c r="O684" i="729" s="1"/>
  <c r="L684" i="729"/>
  <c r="K684" i="729"/>
  <c r="J684" i="729"/>
  <c r="I684" i="729"/>
  <c r="H684" i="729"/>
  <c r="G684" i="729"/>
  <c r="N683" i="729"/>
  <c r="M683" i="729"/>
  <c r="O683" i="729" s="1"/>
  <c r="K683" i="729"/>
  <c r="J683" i="729"/>
  <c r="I683" i="729"/>
  <c r="L683" i="729" s="1"/>
  <c r="H683" i="729"/>
  <c r="G683" i="729"/>
  <c r="N682" i="729"/>
  <c r="M682" i="729"/>
  <c r="O682" i="729" s="1"/>
  <c r="K682" i="729"/>
  <c r="J682" i="729"/>
  <c r="I682" i="729"/>
  <c r="L682" i="729" s="1"/>
  <c r="H682" i="729"/>
  <c r="G682" i="729"/>
  <c r="O681" i="729"/>
  <c r="N681" i="729"/>
  <c r="M681" i="729"/>
  <c r="K681" i="729"/>
  <c r="J681" i="729"/>
  <c r="L681" i="729" s="1"/>
  <c r="I681" i="729"/>
  <c r="H681" i="729"/>
  <c r="G681" i="729"/>
  <c r="N680" i="729"/>
  <c r="M680" i="729"/>
  <c r="O680" i="729" s="1"/>
  <c r="L680" i="729"/>
  <c r="K680" i="729"/>
  <c r="J680" i="729"/>
  <c r="I680" i="729"/>
  <c r="H680" i="729"/>
  <c r="G680" i="729"/>
  <c r="N679" i="729"/>
  <c r="M679" i="729"/>
  <c r="O679" i="729" s="1"/>
  <c r="K679" i="729"/>
  <c r="J679" i="729"/>
  <c r="I679" i="729"/>
  <c r="L679" i="729" s="1"/>
  <c r="H679" i="729"/>
  <c r="G679" i="729"/>
  <c r="N678" i="729"/>
  <c r="M678" i="729"/>
  <c r="O678" i="729" s="1"/>
  <c r="K678" i="729"/>
  <c r="J678" i="729"/>
  <c r="I678" i="729"/>
  <c r="L678" i="729" s="1"/>
  <c r="H678" i="729"/>
  <c r="G678" i="729"/>
  <c r="O677" i="729"/>
  <c r="N677" i="729"/>
  <c r="M677" i="729"/>
  <c r="K677" i="729"/>
  <c r="J677" i="729"/>
  <c r="L677" i="729" s="1"/>
  <c r="I677" i="729"/>
  <c r="H677" i="729"/>
  <c r="G677" i="729"/>
  <c r="N676" i="729"/>
  <c r="M676" i="729"/>
  <c r="O676" i="729" s="1"/>
  <c r="L676" i="729"/>
  <c r="K676" i="729"/>
  <c r="J676" i="729"/>
  <c r="I676" i="729"/>
  <c r="H676" i="729"/>
  <c r="G676" i="729"/>
  <c r="N675" i="729"/>
  <c r="M675" i="729"/>
  <c r="O675" i="729" s="1"/>
  <c r="K675" i="729"/>
  <c r="J675" i="729"/>
  <c r="I675" i="729"/>
  <c r="L675" i="729" s="1"/>
  <c r="H675" i="729"/>
  <c r="G675" i="729"/>
  <c r="N674" i="729"/>
  <c r="M674" i="729"/>
  <c r="O674" i="729" s="1"/>
  <c r="K674" i="729"/>
  <c r="J674" i="729"/>
  <c r="I674" i="729"/>
  <c r="L674" i="729" s="1"/>
  <c r="H674" i="729"/>
  <c r="G674" i="729"/>
  <c r="O673" i="729"/>
  <c r="N673" i="729"/>
  <c r="M673" i="729"/>
  <c r="K673" i="729"/>
  <c r="J673" i="729"/>
  <c r="L673" i="729" s="1"/>
  <c r="I673" i="729"/>
  <c r="H673" i="729"/>
  <c r="G673" i="729"/>
  <c r="N672" i="729"/>
  <c r="M672" i="729"/>
  <c r="O672" i="729" s="1"/>
  <c r="L672" i="729"/>
  <c r="K672" i="729"/>
  <c r="J672" i="729"/>
  <c r="I672" i="729"/>
  <c r="H672" i="729"/>
  <c r="G672" i="729"/>
  <c r="N671" i="729"/>
  <c r="M671" i="729"/>
  <c r="O671" i="729" s="1"/>
  <c r="K671" i="729"/>
  <c r="J671" i="729"/>
  <c r="I671" i="729"/>
  <c r="L671" i="729" s="1"/>
  <c r="H671" i="729"/>
  <c r="G671" i="729"/>
  <c r="N670" i="729"/>
  <c r="M670" i="729"/>
  <c r="O670" i="729" s="1"/>
  <c r="K670" i="729"/>
  <c r="J670" i="729"/>
  <c r="I670" i="729"/>
  <c r="L670" i="729" s="1"/>
  <c r="H670" i="729"/>
  <c r="G670" i="729"/>
  <c r="O669" i="729"/>
  <c r="N669" i="729"/>
  <c r="M669" i="729"/>
  <c r="K669" i="729"/>
  <c r="J669" i="729"/>
  <c r="L669" i="729" s="1"/>
  <c r="I669" i="729"/>
  <c r="H669" i="729"/>
  <c r="G669" i="729"/>
  <c r="N668" i="729"/>
  <c r="M668" i="729"/>
  <c r="O668" i="729" s="1"/>
  <c r="L668" i="729"/>
  <c r="K668" i="729"/>
  <c r="J668" i="729"/>
  <c r="I668" i="729"/>
  <c r="H668" i="729"/>
  <c r="G668" i="729"/>
  <c r="N667" i="729"/>
  <c r="M667" i="729"/>
  <c r="O667" i="729" s="1"/>
  <c r="K667" i="729"/>
  <c r="J667" i="729"/>
  <c r="I667" i="729"/>
  <c r="L667" i="729" s="1"/>
  <c r="H667" i="729"/>
  <c r="G667" i="729"/>
  <c r="N666" i="729"/>
  <c r="M666" i="729"/>
  <c r="O666" i="729" s="1"/>
  <c r="K666" i="729"/>
  <c r="J666" i="729"/>
  <c r="I666" i="729"/>
  <c r="L666" i="729" s="1"/>
  <c r="H666" i="729"/>
  <c r="G666" i="729"/>
  <c r="O665" i="729"/>
  <c r="N665" i="729"/>
  <c r="M665" i="729"/>
  <c r="K665" i="729"/>
  <c r="J665" i="729"/>
  <c r="L665" i="729" s="1"/>
  <c r="I665" i="729"/>
  <c r="H665" i="729"/>
  <c r="G665" i="729"/>
  <c r="N664" i="729"/>
  <c r="M664" i="729"/>
  <c r="O664" i="729" s="1"/>
  <c r="L664" i="729"/>
  <c r="K664" i="729"/>
  <c r="J664" i="729"/>
  <c r="I664" i="729"/>
  <c r="H664" i="729"/>
  <c r="G664" i="729"/>
  <c r="N663" i="729"/>
  <c r="M663" i="729"/>
  <c r="O663" i="729" s="1"/>
  <c r="K663" i="729"/>
  <c r="J663" i="729"/>
  <c r="I663" i="729"/>
  <c r="L663" i="729" s="1"/>
  <c r="H663" i="729"/>
  <c r="G663" i="729"/>
  <c r="N662" i="729"/>
  <c r="M662" i="729"/>
  <c r="O662" i="729" s="1"/>
  <c r="K662" i="729"/>
  <c r="J662" i="729"/>
  <c r="I662" i="729"/>
  <c r="L662" i="729" s="1"/>
  <c r="H662" i="729"/>
  <c r="G662" i="729"/>
  <c r="O661" i="729"/>
  <c r="N661" i="729"/>
  <c r="M661" i="729"/>
  <c r="K661" i="729"/>
  <c r="J661" i="729"/>
  <c r="L661" i="729" s="1"/>
  <c r="I661" i="729"/>
  <c r="H661" i="729"/>
  <c r="G661" i="729"/>
  <c r="N660" i="729"/>
  <c r="M660" i="729"/>
  <c r="O660" i="729" s="1"/>
  <c r="L660" i="729"/>
  <c r="K660" i="729"/>
  <c r="J660" i="729"/>
  <c r="I660" i="729"/>
  <c r="H660" i="729"/>
  <c r="G660" i="729"/>
  <c r="N659" i="729"/>
  <c r="M659" i="729"/>
  <c r="O659" i="729" s="1"/>
  <c r="K659" i="729"/>
  <c r="J659" i="729"/>
  <c r="I659" i="729"/>
  <c r="L659" i="729" s="1"/>
  <c r="H659" i="729"/>
  <c r="G659" i="729"/>
  <c r="N658" i="729"/>
  <c r="M658" i="729"/>
  <c r="O658" i="729" s="1"/>
  <c r="K658" i="729"/>
  <c r="J658" i="729"/>
  <c r="I658" i="729"/>
  <c r="L658" i="729" s="1"/>
  <c r="H658" i="729"/>
  <c r="G658" i="729"/>
  <c r="O657" i="729"/>
  <c r="N657" i="729"/>
  <c r="M657" i="729"/>
  <c r="K657" i="729"/>
  <c r="J657" i="729"/>
  <c r="L657" i="729" s="1"/>
  <c r="I657" i="729"/>
  <c r="H657" i="729"/>
  <c r="G657" i="729"/>
  <c r="N656" i="729"/>
  <c r="M656" i="729"/>
  <c r="O656" i="729" s="1"/>
  <c r="L656" i="729"/>
  <c r="K656" i="729"/>
  <c r="J656" i="729"/>
  <c r="I656" i="729"/>
  <c r="H656" i="729"/>
  <c r="G656" i="729"/>
  <c r="N655" i="729"/>
  <c r="M655" i="729"/>
  <c r="O655" i="729" s="1"/>
  <c r="K655" i="729"/>
  <c r="J655" i="729"/>
  <c r="I655" i="729"/>
  <c r="L655" i="729" s="1"/>
  <c r="H655" i="729"/>
  <c r="G655" i="729"/>
  <c r="N654" i="729"/>
  <c r="M654" i="729"/>
  <c r="O654" i="729" s="1"/>
  <c r="K654" i="729"/>
  <c r="J654" i="729"/>
  <c r="I654" i="729"/>
  <c r="L654" i="729" s="1"/>
  <c r="H654" i="729"/>
  <c r="G654" i="729"/>
  <c r="O653" i="729"/>
  <c r="N653" i="729"/>
  <c r="M653" i="729"/>
  <c r="K653" i="729"/>
  <c r="J653" i="729"/>
  <c r="L653" i="729" s="1"/>
  <c r="I653" i="729"/>
  <c r="H653" i="729"/>
  <c r="G653" i="729"/>
  <c r="N652" i="729"/>
  <c r="M652" i="729"/>
  <c r="O652" i="729" s="1"/>
  <c r="L652" i="729"/>
  <c r="K652" i="729"/>
  <c r="J652" i="729"/>
  <c r="I652" i="729"/>
  <c r="H652" i="729"/>
  <c r="G652" i="729"/>
  <c r="N651" i="729"/>
  <c r="M651" i="729"/>
  <c r="O651" i="729" s="1"/>
  <c r="K651" i="729"/>
  <c r="J651" i="729"/>
  <c r="I651" i="729"/>
  <c r="L651" i="729" s="1"/>
  <c r="H651" i="729"/>
  <c r="G651" i="729"/>
  <c r="N650" i="729"/>
  <c r="M650" i="729"/>
  <c r="O650" i="729" s="1"/>
  <c r="K650" i="729"/>
  <c r="J650" i="729"/>
  <c r="I650" i="729"/>
  <c r="L650" i="729" s="1"/>
  <c r="H650" i="729"/>
  <c r="G650" i="729"/>
  <c r="O649" i="729"/>
  <c r="N649" i="729"/>
  <c r="M649" i="729"/>
  <c r="K649" i="729"/>
  <c r="J649" i="729"/>
  <c r="L649" i="729" s="1"/>
  <c r="I649" i="729"/>
  <c r="H649" i="729"/>
  <c r="G649" i="729"/>
  <c r="N648" i="729"/>
  <c r="M648" i="729"/>
  <c r="O648" i="729" s="1"/>
  <c r="L648" i="729"/>
  <c r="K648" i="729"/>
  <c r="J648" i="729"/>
  <c r="I648" i="729"/>
  <c r="H648" i="729"/>
  <c r="G648" i="729"/>
  <c r="N647" i="729"/>
  <c r="M647" i="729"/>
  <c r="O647" i="729" s="1"/>
  <c r="K647" i="729"/>
  <c r="J647" i="729"/>
  <c r="I647" i="729"/>
  <c r="L647" i="729" s="1"/>
  <c r="H647" i="729"/>
  <c r="G647" i="729"/>
  <c r="N646" i="729"/>
  <c r="M646" i="729"/>
  <c r="O646" i="729" s="1"/>
  <c r="K646" i="729"/>
  <c r="J646" i="729"/>
  <c r="I646" i="729"/>
  <c r="L646" i="729" s="1"/>
  <c r="H646" i="729"/>
  <c r="G646" i="729"/>
  <c r="O645" i="729"/>
  <c r="N645" i="729"/>
  <c r="M645" i="729"/>
  <c r="K645" i="729"/>
  <c r="J645" i="729"/>
  <c r="L645" i="729" s="1"/>
  <c r="I645" i="729"/>
  <c r="H645" i="729"/>
  <c r="G645" i="729"/>
  <c r="N644" i="729"/>
  <c r="M644" i="729"/>
  <c r="O644" i="729" s="1"/>
  <c r="L644" i="729"/>
  <c r="K644" i="729"/>
  <c r="J644" i="729"/>
  <c r="I644" i="729"/>
  <c r="H644" i="729"/>
  <c r="G644" i="729"/>
  <c r="N643" i="729"/>
  <c r="M643" i="729"/>
  <c r="O643" i="729" s="1"/>
  <c r="K643" i="729"/>
  <c r="J643" i="729"/>
  <c r="I643" i="729"/>
  <c r="L643" i="729" s="1"/>
  <c r="H643" i="729"/>
  <c r="G643" i="729"/>
  <c r="N642" i="729"/>
  <c r="M642" i="729"/>
  <c r="O642" i="729" s="1"/>
  <c r="K642" i="729"/>
  <c r="J642" i="729"/>
  <c r="I642" i="729"/>
  <c r="L642" i="729" s="1"/>
  <c r="H642" i="729"/>
  <c r="G642" i="729"/>
  <c r="O641" i="729"/>
  <c r="N641" i="729"/>
  <c r="M641" i="729"/>
  <c r="K641" i="729"/>
  <c r="J641" i="729"/>
  <c r="L641" i="729" s="1"/>
  <c r="I641" i="729"/>
  <c r="H641" i="729"/>
  <c r="G641" i="729"/>
  <c r="N640" i="729"/>
  <c r="M640" i="729"/>
  <c r="O640" i="729" s="1"/>
  <c r="L640" i="729"/>
  <c r="K640" i="729"/>
  <c r="J640" i="729"/>
  <c r="I640" i="729"/>
  <c r="H640" i="729"/>
  <c r="G640" i="729"/>
  <c r="N639" i="729"/>
  <c r="M639" i="729"/>
  <c r="O639" i="729" s="1"/>
  <c r="K639" i="729"/>
  <c r="J639" i="729"/>
  <c r="I639" i="729"/>
  <c r="L639" i="729" s="1"/>
  <c r="H639" i="729"/>
  <c r="G639" i="729"/>
  <c r="N638" i="729"/>
  <c r="M638" i="729"/>
  <c r="O638" i="729" s="1"/>
  <c r="K638" i="729"/>
  <c r="J638" i="729"/>
  <c r="I638" i="729"/>
  <c r="L638" i="729" s="1"/>
  <c r="H638" i="729"/>
  <c r="G638" i="729"/>
  <c r="O637" i="729"/>
  <c r="N637" i="729"/>
  <c r="M637" i="729"/>
  <c r="K637" i="729"/>
  <c r="J637" i="729"/>
  <c r="L637" i="729" s="1"/>
  <c r="I637" i="729"/>
  <c r="H637" i="729"/>
  <c r="G637" i="729"/>
  <c r="N636" i="729"/>
  <c r="M636" i="729"/>
  <c r="O636" i="729" s="1"/>
  <c r="K636" i="729"/>
  <c r="L636" i="729" s="1"/>
  <c r="J636" i="729"/>
  <c r="I636" i="729"/>
  <c r="H636" i="729"/>
  <c r="G636" i="729"/>
  <c r="N635" i="729"/>
  <c r="M635" i="729"/>
  <c r="O635" i="729" s="1"/>
  <c r="K635" i="729"/>
  <c r="J635" i="729"/>
  <c r="I635" i="729"/>
  <c r="L635" i="729" s="1"/>
  <c r="H635" i="729"/>
  <c r="G635" i="729"/>
  <c r="N634" i="729"/>
  <c r="M634" i="729"/>
  <c r="O634" i="729" s="1"/>
  <c r="K634" i="729"/>
  <c r="J634" i="729"/>
  <c r="I634" i="729"/>
  <c r="L634" i="729" s="1"/>
  <c r="H634" i="729"/>
  <c r="G634" i="729"/>
  <c r="O633" i="729"/>
  <c r="N633" i="729"/>
  <c r="M633" i="729"/>
  <c r="K633" i="729"/>
  <c r="J633" i="729"/>
  <c r="L633" i="729" s="1"/>
  <c r="I633" i="729"/>
  <c r="H633" i="729"/>
  <c r="G633" i="729"/>
  <c r="N632" i="729"/>
  <c r="M632" i="729"/>
  <c r="O632" i="729" s="1"/>
  <c r="K632" i="729"/>
  <c r="L632" i="729" s="1"/>
  <c r="J632" i="729"/>
  <c r="I632" i="729"/>
  <c r="H632" i="729"/>
  <c r="G632" i="729"/>
  <c r="N631" i="729"/>
  <c r="M631" i="729"/>
  <c r="O631" i="729" s="1"/>
  <c r="K631" i="729"/>
  <c r="J631" i="729"/>
  <c r="I631" i="729"/>
  <c r="L631" i="729" s="1"/>
  <c r="H631" i="729"/>
  <c r="G631" i="729"/>
  <c r="N630" i="729"/>
  <c r="M630" i="729"/>
  <c r="O630" i="729" s="1"/>
  <c r="K630" i="729"/>
  <c r="J630" i="729"/>
  <c r="I630" i="729"/>
  <c r="L630" i="729" s="1"/>
  <c r="H630" i="729"/>
  <c r="G630" i="729"/>
  <c r="O629" i="729"/>
  <c r="N629" i="729"/>
  <c r="M629" i="729"/>
  <c r="K629" i="729"/>
  <c r="J629" i="729"/>
  <c r="L629" i="729" s="1"/>
  <c r="I629" i="729"/>
  <c r="H629" i="729"/>
  <c r="G629" i="729"/>
  <c r="N628" i="729"/>
  <c r="M628" i="729"/>
  <c r="O628" i="729" s="1"/>
  <c r="K628" i="729"/>
  <c r="L628" i="729" s="1"/>
  <c r="J628" i="729"/>
  <c r="I628" i="729"/>
  <c r="H628" i="729"/>
  <c r="G628" i="729"/>
  <c r="N627" i="729"/>
  <c r="M627" i="729"/>
  <c r="O627" i="729" s="1"/>
  <c r="K627" i="729"/>
  <c r="J627" i="729"/>
  <c r="I627" i="729"/>
  <c r="L627" i="729" s="1"/>
  <c r="H627" i="729"/>
  <c r="G627" i="729"/>
  <c r="N626" i="729"/>
  <c r="M626" i="729"/>
  <c r="O626" i="729" s="1"/>
  <c r="K626" i="729"/>
  <c r="J626" i="729"/>
  <c r="I626" i="729"/>
  <c r="L626" i="729" s="1"/>
  <c r="H626" i="729"/>
  <c r="G626" i="729"/>
  <c r="O625" i="729"/>
  <c r="N625" i="729"/>
  <c r="M625" i="729"/>
  <c r="K625" i="729"/>
  <c r="J625" i="729"/>
  <c r="L625" i="729" s="1"/>
  <c r="I625" i="729"/>
  <c r="H625" i="729"/>
  <c r="G625" i="729"/>
  <c r="N624" i="729"/>
  <c r="M624" i="729"/>
  <c r="O624" i="729" s="1"/>
  <c r="K624" i="729"/>
  <c r="L624" i="729" s="1"/>
  <c r="J624" i="729"/>
  <c r="I624" i="729"/>
  <c r="H624" i="729"/>
  <c r="G624" i="729"/>
  <c r="N623" i="729"/>
  <c r="M623" i="729"/>
  <c r="O623" i="729" s="1"/>
  <c r="K623" i="729"/>
  <c r="J623" i="729"/>
  <c r="I623" i="729"/>
  <c r="L623" i="729" s="1"/>
  <c r="H623" i="729"/>
  <c r="G623" i="729"/>
  <c r="N622" i="729"/>
  <c r="M622" i="729"/>
  <c r="O622" i="729" s="1"/>
  <c r="K622" i="729"/>
  <c r="J622" i="729"/>
  <c r="I622" i="729"/>
  <c r="L622" i="729" s="1"/>
  <c r="H622" i="729"/>
  <c r="G622" i="729"/>
  <c r="O621" i="729"/>
  <c r="N621" i="729"/>
  <c r="M621" i="729"/>
  <c r="K621" i="729"/>
  <c r="J621" i="729"/>
  <c r="L621" i="729" s="1"/>
  <c r="I621" i="729"/>
  <c r="H621" i="729"/>
  <c r="G621" i="729"/>
  <c r="N620" i="729"/>
  <c r="M620" i="729"/>
  <c r="O620" i="729" s="1"/>
  <c r="K620" i="729"/>
  <c r="L620" i="729" s="1"/>
  <c r="J620" i="729"/>
  <c r="I620" i="729"/>
  <c r="H620" i="729"/>
  <c r="G620" i="729"/>
  <c r="N619" i="729"/>
  <c r="M619" i="729"/>
  <c r="O619" i="729" s="1"/>
  <c r="K619" i="729"/>
  <c r="J619" i="729"/>
  <c r="I619" i="729"/>
  <c r="L619" i="729" s="1"/>
  <c r="H619" i="729"/>
  <c r="G619" i="729"/>
  <c r="N618" i="729"/>
  <c r="M618" i="729"/>
  <c r="O618" i="729" s="1"/>
  <c r="K618" i="729"/>
  <c r="J618" i="729"/>
  <c r="I618" i="729"/>
  <c r="L618" i="729" s="1"/>
  <c r="H618" i="729"/>
  <c r="G618" i="729"/>
  <c r="O617" i="729"/>
  <c r="N617" i="729"/>
  <c r="M617" i="729"/>
  <c r="K617" i="729"/>
  <c r="J617" i="729"/>
  <c r="L617" i="729" s="1"/>
  <c r="I617" i="729"/>
  <c r="H617" i="729"/>
  <c r="G617" i="729"/>
  <c r="N616" i="729"/>
  <c r="M616" i="729"/>
  <c r="O616" i="729" s="1"/>
  <c r="K616" i="729"/>
  <c r="L616" i="729" s="1"/>
  <c r="J616" i="729"/>
  <c r="I616" i="729"/>
  <c r="H616" i="729"/>
  <c r="G616" i="729"/>
  <c r="N615" i="729"/>
  <c r="M615" i="729"/>
  <c r="O615" i="729" s="1"/>
  <c r="K615" i="729"/>
  <c r="J615" i="729"/>
  <c r="I615" i="729"/>
  <c r="L615" i="729" s="1"/>
  <c r="H615" i="729"/>
  <c r="G615" i="729"/>
  <c r="N614" i="729"/>
  <c r="M614" i="729"/>
  <c r="O614" i="729" s="1"/>
  <c r="K614" i="729"/>
  <c r="J614" i="729"/>
  <c r="I614" i="729"/>
  <c r="L614" i="729" s="1"/>
  <c r="H614" i="729"/>
  <c r="G614" i="729"/>
  <c r="O613" i="729"/>
  <c r="N613" i="729"/>
  <c r="M613" i="729"/>
  <c r="K613" i="729"/>
  <c r="J613" i="729"/>
  <c r="L613" i="729" s="1"/>
  <c r="I613" i="729"/>
  <c r="H613" i="729"/>
  <c r="G613" i="729"/>
  <c r="N612" i="729"/>
  <c r="M612" i="729"/>
  <c r="O612" i="729" s="1"/>
  <c r="K612" i="729"/>
  <c r="L612" i="729" s="1"/>
  <c r="J612" i="729"/>
  <c r="I612" i="729"/>
  <c r="H612" i="729"/>
  <c r="G612" i="729"/>
  <c r="N611" i="729"/>
  <c r="M611" i="729"/>
  <c r="O611" i="729" s="1"/>
  <c r="K611" i="729"/>
  <c r="J611" i="729"/>
  <c r="I611" i="729"/>
  <c r="L611" i="729" s="1"/>
  <c r="H611" i="729"/>
  <c r="G611" i="729"/>
  <c r="N610" i="729"/>
  <c r="M610" i="729"/>
  <c r="O610" i="729" s="1"/>
  <c r="K610" i="729"/>
  <c r="J610" i="729"/>
  <c r="I610" i="729"/>
  <c r="L610" i="729" s="1"/>
  <c r="H610" i="729"/>
  <c r="G610" i="729"/>
  <c r="O609" i="729"/>
  <c r="N609" i="729"/>
  <c r="M609" i="729"/>
  <c r="K609" i="729"/>
  <c r="J609" i="729"/>
  <c r="L609" i="729" s="1"/>
  <c r="I609" i="729"/>
  <c r="H609" i="729"/>
  <c r="G609" i="729"/>
  <c r="N608" i="729"/>
  <c r="M608" i="729"/>
  <c r="O608" i="729" s="1"/>
  <c r="K608" i="729"/>
  <c r="L608" i="729" s="1"/>
  <c r="J608" i="729"/>
  <c r="I608" i="729"/>
  <c r="H608" i="729"/>
  <c r="G608" i="729"/>
  <c r="N607" i="729"/>
  <c r="M607" i="729"/>
  <c r="O607" i="729" s="1"/>
  <c r="K607" i="729"/>
  <c r="J607" i="729"/>
  <c r="I607" i="729"/>
  <c r="L607" i="729" s="1"/>
  <c r="H607" i="729"/>
  <c r="G607" i="729"/>
  <c r="N606" i="729"/>
  <c r="M606" i="729"/>
  <c r="O606" i="729" s="1"/>
  <c r="K606" i="729"/>
  <c r="J606" i="729"/>
  <c r="I606" i="729"/>
  <c r="L606" i="729" s="1"/>
  <c r="H606" i="729"/>
  <c r="G606" i="729"/>
  <c r="O605" i="729"/>
  <c r="N605" i="729"/>
  <c r="M605" i="729"/>
  <c r="K605" i="729"/>
  <c r="J605" i="729"/>
  <c r="L605" i="729" s="1"/>
  <c r="I605" i="729"/>
  <c r="H605" i="729"/>
  <c r="G605" i="729"/>
  <c r="N604" i="729"/>
  <c r="M604" i="729"/>
  <c r="O604" i="729" s="1"/>
  <c r="K604" i="729"/>
  <c r="L604" i="729" s="1"/>
  <c r="J604" i="729"/>
  <c r="I604" i="729"/>
  <c r="H604" i="729"/>
  <c r="G604" i="729"/>
  <c r="N603" i="729"/>
  <c r="M603" i="729"/>
  <c r="O603" i="729" s="1"/>
  <c r="K603" i="729"/>
  <c r="J603" i="729"/>
  <c r="I603" i="729"/>
  <c r="L603" i="729" s="1"/>
  <c r="H603" i="729"/>
  <c r="G603" i="729"/>
  <c r="N602" i="729"/>
  <c r="M602" i="729"/>
  <c r="O602" i="729" s="1"/>
  <c r="K602" i="729"/>
  <c r="J602" i="729"/>
  <c r="I602" i="729"/>
  <c r="L602" i="729" s="1"/>
  <c r="H602" i="729"/>
  <c r="G602" i="729"/>
  <c r="O601" i="729"/>
  <c r="N601" i="729"/>
  <c r="M601" i="729"/>
  <c r="K601" i="729"/>
  <c r="J601" i="729"/>
  <c r="L601" i="729" s="1"/>
  <c r="I601" i="729"/>
  <c r="H601" i="729"/>
  <c r="G601" i="729"/>
  <c r="N600" i="729"/>
  <c r="M600" i="729"/>
  <c r="O600" i="729" s="1"/>
  <c r="K600" i="729"/>
  <c r="L600" i="729" s="1"/>
  <c r="J600" i="729"/>
  <c r="I600" i="729"/>
  <c r="H600" i="729"/>
  <c r="G600" i="729"/>
  <c r="N599" i="729"/>
  <c r="M599" i="729"/>
  <c r="O599" i="729" s="1"/>
  <c r="K599" i="729"/>
  <c r="J599" i="729"/>
  <c r="I599" i="729"/>
  <c r="L599" i="729" s="1"/>
  <c r="H599" i="729"/>
  <c r="G599" i="729"/>
  <c r="N598" i="729"/>
  <c r="M598" i="729"/>
  <c r="O598" i="729" s="1"/>
  <c r="K598" i="729"/>
  <c r="J598" i="729"/>
  <c r="I598" i="729"/>
  <c r="H598" i="729"/>
  <c r="G598" i="729"/>
  <c r="O597" i="729"/>
  <c r="N597" i="729"/>
  <c r="M597" i="729"/>
  <c r="K597" i="729"/>
  <c r="J597" i="729"/>
  <c r="L597" i="729" s="1"/>
  <c r="I597" i="729"/>
  <c r="H597" i="729"/>
  <c r="G597" i="729"/>
  <c r="N596" i="729"/>
  <c r="M596" i="729"/>
  <c r="O596" i="729" s="1"/>
  <c r="K596" i="729"/>
  <c r="L596" i="729" s="1"/>
  <c r="J596" i="729"/>
  <c r="I596" i="729"/>
  <c r="H596" i="729"/>
  <c r="G596" i="729"/>
  <c r="N595" i="729"/>
  <c r="M595" i="729"/>
  <c r="O595" i="729" s="1"/>
  <c r="K595" i="729"/>
  <c r="J595" i="729"/>
  <c r="I595" i="729"/>
  <c r="H595" i="729"/>
  <c r="G595" i="729"/>
  <c r="N594" i="729"/>
  <c r="M594" i="729"/>
  <c r="O594" i="729" s="1"/>
  <c r="K594" i="729"/>
  <c r="J594" i="729"/>
  <c r="I594" i="729"/>
  <c r="L594" i="729" s="1"/>
  <c r="H594" i="729"/>
  <c r="G594" i="729"/>
  <c r="O593" i="729"/>
  <c r="N593" i="729"/>
  <c r="M593" i="729"/>
  <c r="K593" i="729"/>
  <c r="J593" i="729"/>
  <c r="L593" i="729" s="1"/>
  <c r="I593" i="729"/>
  <c r="H593" i="729"/>
  <c r="G593" i="729"/>
  <c r="N592" i="729"/>
  <c r="M592" i="729"/>
  <c r="O592" i="729" s="1"/>
  <c r="K592" i="729"/>
  <c r="L592" i="729" s="1"/>
  <c r="J592" i="729"/>
  <c r="I592" i="729"/>
  <c r="H592" i="729"/>
  <c r="G592" i="729"/>
  <c r="N591" i="729"/>
  <c r="M591" i="729"/>
  <c r="O591" i="729" s="1"/>
  <c r="K591" i="729"/>
  <c r="J591" i="729"/>
  <c r="I591" i="729"/>
  <c r="L591" i="729" s="1"/>
  <c r="H591" i="729"/>
  <c r="G591" i="729"/>
  <c r="N590" i="729"/>
  <c r="M590" i="729"/>
  <c r="O590" i="729" s="1"/>
  <c r="K590" i="729"/>
  <c r="J590" i="729"/>
  <c r="I590" i="729"/>
  <c r="H590" i="729"/>
  <c r="G590" i="729"/>
  <c r="O589" i="729"/>
  <c r="N589" i="729"/>
  <c r="M589" i="729"/>
  <c r="K589" i="729"/>
  <c r="J589" i="729"/>
  <c r="L589" i="729" s="1"/>
  <c r="I589" i="729"/>
  <c r="H589" i="729"/>
  <c r="G589" i="729"/>
  <c r="N588" i="729"/>
  <c r="M588" i="729"/>
  <c r="O588" i="729" s="1"/>
  <c r="K588" i="729"/>
  <c r="L588" i="729" s="1"/>
  <c r="J588" i="729"/>
  <c r="I588" i="729"/>
  <c r="H588" i="729"/>
  <c r="G588" i="729"/>
  <c r="N587" i="729"/>
  <c r="M587" i="729"/>
  <c r="O587" i="729" s="1"/>
  <c r="K587" i="729"/>
  <c r="J587" i="729"/>
  <c r="I587" i="729"/>
  <c r="H587" i="729"/>
  <c r="G587" i="729"/>
  <c r="N586" i="729"/>
  <c r="M586" i="729"/>
  <c r="O586" i="729" s="1"/>
  <c r="K586" i="729"/>
  <c r="J586" i="729"/>
  <c r="I586" i="729"/>
  <c r="L586" i="729" s="1"/>
  <c r="H586" i="729"/>
  <c r="G586" i="729"/>
  <c r="O585" i="729"/>
  <c r="N585" i="729"/>
  <c r="M585" i="729"/>
  <c r="K585" i="729"/>
  <c r="J585" i="729"/>
  <c r="L585" i="729" s="1"/>
  <c r="I585" i="729"/>
  <c r="H585" i="729"/>
  <c r="G585" i="729"/>
  <c r="N584" i="729"/>
  <c r="M584" i="729"/>
  <c r="O584" i="729" s="1"/>
  <c r="K584" i="729"/>
  <c r="L584" i="729" s="1"/>
  <c r="J584" i="729"/>
  <c r="I584" i="729"/>
  <c r="H584" i="729"/>
  <c r="G584" i="729"/>
  <c r="N583" i="729"/>
  <c r="M583" i="729"/>
  <c r="O583" i="729" s="1"/>
  <c r="K583" i="729"/>
  <c r="J583" i="729"/>
  <c r="I583" i="729"/>
  <c r="L583" i="729" s="1"/>
  <c r="H583" i="729"/>
  <c r="G583" i="729"/>
  <c r="N582" i="729"/>
  <c r="M582" i="729"/>
  <c r="O582" i="729" s="1"/>
  <c r="K582" i="729"/>
  <c r="J582" i="729"/>
  <c r="I582" i="729"/>
  <c r="H582" i="729"/>
  <c r="G582" i="729"/>
  <c r="O581" i="729"/>
  <c r="N581" i="729"/>
  <c r="M581" i="729"/>
  <c r="K581" i="729"/>
  <c r="J581" i="729"/>
  <c r="L581" i="729" s="1"/>
  <c r="I581" i="729"/>
  <c r="H581" i="729"/>
  <c r="G581" i="729"/>
  <c r="N580" i="729"/>
  <c r="M580" i="729"/>
  <c r="O580" i="729" s="1"/>
  <c r="K580" i="729"/>
  <c r="L580" i="729" s="1"/>
  <c r="J580" i="729"/>
  <c r="I580" i="729"/>
  <c r="H580" i="729"/>
  <c r="G580" i="729"/>
  <c r="N579" i="729"/>
  <c r="M579" i="729"/>
  <c r="O579" i="729" s="1"/>
  <c r="K579" i="729"/>
  <c r="J579" i="729"/>
  <c r="I579" i="729"/>
  <c r="H579" i="729"/>
  <c r="G579" i="729"/>
  <c r="N578" i="729"/>
  <c r="M578" i="729"/>
  <c r="O578" i="729" s="1"/>
  <c r="K578" i="729"/>
  <c r="J578" i="729"/>
  <c r="I578" i="729"/>
  <c r="L578" i="729" s="1"/>
  <c r="H578" i="729"/>
  <c r="G578" i="729"/>
  <c r="O577" i="729"/>
  <c r="N577" i="729"/>
  <c r="M577" i="729"/>
  <c r="K577" i="729"/>
  <c r="J577" i="729"/>
  <c r="L577" i="729" s="1"/>
  <c r="I577" i="729"/>
  <c r="H577" i="729"/>
  <c r="G577" i="729"/>
  <c r="N576" i="729"/>
  <c r="M576" i="729"/>
  <c r="O576" i="729" s="1"/>
  <c r="L576" i="729"/>
  <c r="K576" i="729"/>
  <c r="J576" i="729"/>
  <c r="I576" i="729"/>
  <c r="H576" i="729"/>
  <c r="G576" i="729"/>
  <c r="N575" i="729"/>
  <c r="M575" i="729"/>
  <c r="K575" i="729"/>
  <c r="J575" i="729"/>
  <c r="I575" i="729"/>
  <c r="L575" i="729" s="1"/>
  <c r="H575" i="729"/>
  <c r="G575" i="729"/>
  <c r="N574" i="729"/>
  <c r="M574" i="729"/>
  <c r="K574" i="729"/>
  <c r="J574" i="729"/>
  <c r="I574" i="729"/>
  <c r="L574" i="729" s="1"/>
  <c r="H574" i="729"/>
  <c r="G574" i="729"/>
  <c r="N573" i="729"/>
  <c r="O573" i="729" s="1"/>
  <c r="M573" i="729"/>
  <c r="K573" i="729"/>
  <c r="J573" i="729"/>
  <c r="I573" i="729"/>
  <c r="H573" i="729"/>
  <c r="G573" i="729"/>
  <c r="N572" i="729"/>
  <c r="M572" i="729"/>
  <c r="O572" i="729" s="1"/>
  <c r="K572" i="729"/>
  <c r="L572" i="729" s="1"/>
  <c r="J572" i="729"/>
  <c r="I572" i="729"/>
  <c r="H572" i="729"/>
  <c r="G572" i="729"/>
  <c r="N571" i="729"/>
  <c r="M571" i="729"/>
  <c r="K571" i="729"/>
  <c r="J571" i="729"/>
  <c r="I571" i="729"/>
  <c r="L571" i="729" s="1"/>
  <c r="H571" i="729"/>
  <c r="G571" i="729"/>
  <c r="N570" i="729"/>
  <c r="M570" i="729"/>
  <c r="O570" i="729" s="1"/>
  <c r="K570" i="729"/>
  <c r="J570" i="729"/>
  <c r="I570" i="729"/>
  <c r="H570" i="729"/>
  <c r="G570" i="729"/>
  <c r="N569" i="729"/>
  <c r="O569" i="729" s="1"/>
  <c r="M569" i="729"/>
  <c r="K569" i="729"/>
  <c r="J569" i="729"/>
  <c r="I569" i="729"/>
  <c r="L569" i="729" s="1"/>
  <c r="H569" i="729"/>
  <c r="G569" i="729"/>
  <c r="O568" i="729"/>
  <c r="N568" i="729"/>
  <c r="M568" i="729"/>
  <c r="L568" i="729"/>
  <c r="K568" i="729"/>
  <c r="J568" i="729"/>
  <c r="I568" i="729"/>
  <c r="H568" i="729"/>
  <c r="G568" i="729"/>
  <c r="N567" i="729"/>
  <c r="M567" i="729"/>
  <c r="O567" i="729" s="1"/>
  <c r="L567" i="729"/>
  <c r="K567" i="729"/>
  <c r="J567" i="729"/>
  <c r="I567" i="729"/>
  <c r="H567" i="729"/>
  <c r="G567" i="729"/>
  <c r="N566" i="729"/>
  <c r="M566" i="729"/>
  <c r="K566" i="729"/>
  <c r="J566" i="729"/>
  <c r="I566" i="729"/>
  <c r="L566" i="729" s="1"/>
  <c r="H566" i="729"/>
  <c r="G566" i="729"/>
  <c r="O565" i="729"/>
  <c r="N565" i="729"/>
  <c r="M565" i="729"/>
  <c r="K565" i="729"/>
  <c r="J565" i="729"/>
  <c r="I565" i="729"/>
  <c r="L565" i="729" s="1"/>
  <c r="H565" i="729"/>
  <c r="G565" i="729"/>
  <c r="N564" i="729"/>
  <c r="M564" i="729"/>
  <c r="O564" i="729" s="1"/>
  <c r="L564" i="729"/>
  <c r="K564" i="729"/>
  <c r="J564" i="729"/>
  <c r="I564" i="729"/>
  <c r="H564" i="729"/>
  <c r="G564" i="729"/>
  <c r="N563" i="729"/>
  <c r="M563" i="729"/>
  <c r="K563" i="729"/>
  <c r="J563" i="729"/>
  <c r="I563" i="729"/>
  <c r="L563" i="729" s="1"/>
  <c r="H563" i="729"/>
  <c r="G563" i="729"/>
  <c r="N562" i="729"/>
  <c r="M562" i="729"/>
  <c r="K562" i="729"/>
  <c r="J562" i="729"/>
  <c r="I562" i="729"/>
  <c r="L562" i="729" s="1"/>
  <c r="H562" i="729"/>
  <c r="G562" i="729"/>
  <c r="N561" i="729"/>
  <c r="O561" i="729" s="1"/>
  <c r="M561" i="729"/>
  <c r="K561" i="729"/>
  <c r="J561" i="729"/>
  <c r="I561" i="729"/>
  <c r="H561" i="729"/>
  <c r="G561" i="729"/>
  <c r="N560" i="729"/>
  <c r="M560" i="729"/>
  <c r="O560" i="729" s="1"/>
  <c r="K560" i="729"/>
  <c r="L560" i="729" s="1"/>
  <c r="J560" i="729"/>
  <c r="I560" i="729"/>
  <c r="H560" i="729"/>
  <c r="G560" i="729"/>
  <c r="N559" i="729"/>
  <c r="M559" i="729"/>
  <c r="K559" i="729"/>
  <c r="J559" i="729"/>
  <c r="I559" i="729"/>
  <c r="L559" i="729" s="1"/>
  <c r="H559" i="729"/>
  <c r="G559" i="729"/>
  <c r="N558" i="729"/>
  <c r="M558" i="729"/>
  <c r="O558" i="729" s="1"/>
  <c r="K558" i="729"/>
  <c r="J558" i="729"/>
  <c r="I558" i="729"/>
  <c r="H558" i="729"/>
  <c r="G558" i="729"/>
  <c r="N557" i="729"/>
  <c r="O557" i="729" s="1"/>
  <c r="M557" i="729"/>
  <c r="K557" i="729"/>
  <c r="J557" i="729"/>
  <c r="I557" i="729"/>
  <c r="L557" i="729" s="1"/>
  <c r="H557" i="729"/>
  <c r="G557" i="729"/>
  <c r="O556" i="729"/>
  <c r="N556" i="729"/>
  <c r="M556" i="729"/>
  <c r="L556" i="729"/>
  <c r="K556" i="729"/>
  <c r="J556" i="729"/>
  <c r="I556" i="729"/>
  <c r="H556" i="729"/>
  <c r="G556" i="729"/>
  <c r="N555" i="729"/>
  <c r="M555" i="729"/>
  <c r="O555" i="729" s="1"/>
  <c r="L555" i="729"/>
  <c r="K555" i="729"/>
  <c r="J555" i="729"/>
  <c r="I555" i="729"/>
  <c r="H555" i="729"/>
  <c r="G555" i="729"/>
  <c r="N554" i="729"/>
  <c r="M554" i="729"/>
  <c r="K554" i="729"/>
  <c r="J554" i="729"/>
  <c r="I554" i="729"/>
  <c r="L554" i="729" s="1"/>
  <c r="H554" i="729"/>
  <c r="G554" i="729"/>
  <c r="O553" i="729"/>
  <c r="N553" i="729"/>
  <c r="M553" i="729"/>
  <c r="K553" i="729"/>
  <c r="J553" i="729"/>
  <c r="I553" i="729"/>
  <c r="L553" i="729" s="1"/>
  <c r="H553" i="729"/>
  <c r="G553" i="729"/>
  <c r="N552" i="729"/>
  <c r="M552" i="729"/>
  <c r="O552" i="729" s="1"/>
  <c r="L552" i="729"/>
  <c r="K552" i="729"/>
  <c r="J552" i="729"/>
  <c r="I552" i="729"/>
  <c r="H552" i="729"/>
  <c r="G552" i="729"/>
  <c r="N551" i="729"/>
  <c r="M551" i="729"/>
  <c r="K551" i="729"/>
  <c r="J551" i="729"/>
  <c r="I551" i="729"/>
  <c r="L551" i="729" s="1"/>
  <c r="H551" i="729"/>
  <c r="G551" i="729"/>
  <c r="N550" i="729"/>
  <c r="M550" i="729"/>
  <c r="K550" i="729"/>
  <c r="J550" i="729"/>
  <c r="I550" i="729"/>
  <c r="L550" i="729" s="1"/>
  <c r="H550" i="729"/>
  <c r="G550" i="729"/>
  <c r="N549" i="729"/>
  <c r="O549" i="729" s="1"/>
  <c r="M549" i="729"/>
  <c r="K549" i="729"/>
  <c r="J549" i="729"/>
  <c r="I549" i="729"/>
  <c r="H549" i="729"/>
  <c r="G549" i="729"/>
  <c r="N548" i="729"/>
  <c r="M548" i="729"/>
  <c r="O548" i="729" s="1"/>
  <c r="K548" i="729"/>
  <c r="L548" i="729" s="1"/>
  <c r="J548" i="729"/>
  <c r="I548" i="729"/>
  <c r="H548" i="729"/>
  <c r="G548" i="729"/>
  <c r="N547" i="729"/>
  <c r="M547" i="729"/>
  <c r="K547" i="729"/>
  <c r="J547" i="729"/>
  <c r="I547" i="729"/>
  <c r="L547" i="729" s="1"/>
  <c r="H547" i="729"/>
  <c r="G547" i="729"/>
  <c r="N546" i="729"/>
  <c r="M546" i="729"/>
  <c r="O546" i="729" s="1"/>
  <c r="K546" i="729"/>
  <c r="J546" i="729"/>
  <c r="I546" i="729"/>
  <c r="H546" i="729"/>
  <c r="G546" i="729"/>
  <c r="N545" i="729"/>
  <c r="O545" i="729" s="1"/>
  <c r="M545" i="729"/>
  <c r="K545" i="729"/>
  <c r="J545" i="729"/>
  <c r="I545" i="729"/>
  <c r="H545" i="729"/>
  <c r="G545" i="729"/>
  <c r="O544" i="729"/>
  <c r="N544" i="729"/>
  <c r="M544" i="729"/>
  <c r="L544" i="729"/>
  <c r="K544" i="729"/>
  <c r="J544" i="729"/>
  <c r="I544" i="729"/>
  <c r="H544" i="729"/>
  <c r="G544" i="729"/>
  <c r="N543" i="729"/>
  <c r="M543" i="729"/>
  <c r="O543" i="729" s="1"/>
  <c r="L543" i="729"/>
  <c r="K543" i="729"/>
  <c r="J543" i="729"/>
  <c r="I543" i="729"/>
  <c r="H543" i="729"/>
  <c r="G543" i="729"/>
  <c r="N542" i="729"/>
  <c r="M542" i="729"/>
  <c r="K542" i="729"/>
  <c r="J542" i="729"/>
  <c r="I542" i="729"/>
  <c r="L542" i="729" s="1"/>
  <c r="H542" i="729"/>
  <c r="G542" i="729"/>
  <c r="O541" i="729"/>
  <c r="N541" i="729"/>
  <c r="M541" i="729"/>
  <c r="K541" i="729"/>
  <c r="J541" i="729"/>
  <c r="I541" i="729"/>
  <c r="L541" i="729" s="1"/>
  <c r="H541" i="729"/>
  <c r="G541" i="729"/>
  <c r="N540" i="729"/>
  <c r="M540" i="729"/>
  <c r="O540" i="729" s="1"/>
  <c r="L540" i="729"/>
  <c r="K540" i="729"/>
  <c r="J540" i="729"/>
  <c r="I540" i="729"/>
  <c r="H540" i="729"/>
  <c r="G540" i="729"/>
  <c r="N539" i="729"/>
  <c r="M539" i="729"/>
  <c r="K539" i="729"/>
  <c r="J539" i="729"/>
  <c r="I539" i="729"/>
  <c r="L539" i="729" s="1"/>
  <c r="H539" i="729"/>
  <c r="G539" i="729"/>
  <c r="N538" i="729"/>
  <c r="M538" i="729"/>
  <c r="O538" i="729" s="1"/>
  <c r="K538" i="729"/>
  <c r="J538" i="729"/>
  <c r="I538" i="729"/>
  <c r="H538" i="729"/>
  <c r="G538" i="729"/>
  <c r="N537" i="729"/>
  <c r="O537" i="729" s="1"/>
  <c r="M537" i="729"/>
  <c r="K537" i="729"/>
  <c r="J537" i="729"/>
  <c r="L537" i="729" s="1"/>
  <c r="I537" i="729"/>
  <c r="H537" i="729"/>
  <c r="G537" i="729"/>
  <c r="N536" i="729"/>
  <c r="M536" i="729"/>
  <c r="O536" i="729" s="1"/>
  <c r="K536" i="729"/>
  <c r="L536" i="729" s="1"/>
  <c r="J536" i="729"/>
  <c r="I536" i="729"/>
  <c r="H536" i="729"/>
  <c r="G536" i="729"/>
  <c r="N535" i="729"/>
  <c r="M535" i="729"/>
  <c r="O535" i="729" s="1"/>
  <c r="K535" i="729"/>
  <c r="J535" i="729"/>
  <c r="I535" i="729"/>
  <c r="L535" i="729" s="1"/>
  <c r="H535" i="729"/>
  <c r="G535" i="729"/>
  <c r="N534" i="729"/>
  <c r="M534" i="729"/>
  <c r="O534" i="729" s="1"/>
  <c r="K534" i="729"/>
  <c r="J534" i="729"/>
  <c r="I534" i="729"/>
  <c r="H534" i="729"/>
  <c r="G534" i="729"/>
  <c r="N533" i="729"/>
  <c r="O533" i="729" s="1"/>
  <c r="M533" i="729"/>
  <c r="K533" i="729"/>
  <c r="J533" i="729"/>
  <c r="L533" i="729" s="1"/>
  <c r="I533" i="729"/>
  <c r="H533" i="729"/>
  <c r="G533" i="729"/>
  <c r="N532" i="729"/>
  <c r="M532" i="729"/>
  <c r="O532" i="729" s="1"/>
  <c r="K532" i="729"/>
  <c r="L532" i="729" s="1"/>
  <c r="J532" i="729"/>
  <c r="I532" i="729"/>
  <c r="H532" i="729"/>
  <c r="G532" i="729"/>
  <c r="N531" i="729"/>
  <c r="M531" i="729"/>
  <c r="K531" i="729"/>
  <c r="J531" i="729"/>
  <c r="I531" i="729"/>
  <c r="L531" i="729" s="1"/>
  <c r="H531" i="729"/>
  <c r="G531" i="729"/>
  <c r="N530" i="729"/>
  <c r="M530" i="729"/>
  <c r="O530" i="729" s="1"/>
  <c r="K530" i="729"/>
  <c r="J530" i="729"/>
  <c r="I530" i="729"/>
  <c r="H530" i="729"/>
  <c r="G530" i="729"/>
  <c r="N529" i="729"/>
  <c r="O529" i="729" s="1"/>
  <c r="M529" i="729"/>
  <c r="K529" i="729"/>
  <c r="J529" i="729"/>
  <c r="L529" i="729" s="1"/>
  <c r="I529" i="729"/>
  <c r="H529" i="729"/>
  <c r="G529" i="729"/>
  <c r="N528" i="729"/>
  <c r="M528" i="729"/>
  <c r="O528" i="729" s="1"/>
  <c r="K528" i="729"/>
  <c r="L528" i="729" s="1"/>
  <c r="J528" i="729"/>
  <c r="I528" i="729"/>
  <c r="H528" i="729"/>
  <c r="G528" i="729"/>
  <c r="N527" i="729"/>
  <c r="M527" i="729"/>
  <c r="O527" i="729" s="1"/>
  <c r="K527" i="729"/>
  <c r="J527" i="729"/>
  <c r="I527" i="729"/>
  <c r="L527" i="729" s="1"/>
  <c r="H527" i="729"/>
  <c r="G527" i="729"/>
  <c r="N526" i="729"/>
  <c r="M526" i="729"/>
  <c r="O526" i="729" s="1"/>
  <c r="K526" i="729"/>
  <c r="J526" i="729"/>
  <c r="I526" i="729"/>
  <c r="H526" i="729"/>
  <c r="G526" i="729"/>
  <c r="N525" i="729"/>
  <c r="O525" i="729" s="1"/>
  <c r="M525" i="729"/>
  <c r="K525" i="729"/>
  <c r="J525" i="729"/>
  <c r="L525" i="729" s="1"/>
  <c r="I525" i="729"/>
  <c r="H525" i="729"/>
  <c r="G525" i="729"/>
  <c r="N524" i="729"/>
  <c r="M524" i="729"/>
  <c r="O524" i="729" s="1"/>
  <c r="K524" i="729"/>
  <c r="L524" i="729" s="1"/>
  <c r="J524" i="729"/>
  <c r="I524" i="729"/>
  <c r="H524" i="729"/>
  <c r="G524" i="729"/>
  <c r="N523" i="729"/>
  <c r="M523" i="729"/>
  <c r="O523" i="729" s="1"/>
  <c r="K523" i="729"/>
  <c r="J523" i="729"/>
  <c r="I523" i="729"/>
  <c r="L523" i="729" s="1"/>
  <c r="H523" i="729"/>
  <c r="G523" i="729"/>
  <c r="N522" i="729"/>
  <c r="M522" i="729"/>
  <c r="O522" i="729" s="1"/>
  <c r="K522" i="729"/>
  <c r="J522" i="729"/>
  <c r="I522" i="729"/>
  <c r="H522" i="729"/>
  <c r="G522" i="729"/>
  <c r="N521" i="729"/>
  <c r="O521" i="729" s="1"/>
  <c r="M521" i="729"/>
  <c r="K521" i="729"/>
  <c r="J521" i="729"/>
  <c r="L521" i="729" s="1"/>
  <c r="I521" i="729"/>
  <c r="H521" i="729"/>
  <c r="G521" i="729"/>
  <c r="N520" i="729"/>
  <c r="M520" i="729"/>
  <c r="O520" i="729" s="1"/>
  <c r="K520" i="729"/>
  <c r="L520" i="729" s="1"/>
  <c r="J520" i="729"/>
  <c r="I520" i="729"/>
  <c r="H520" i="729"/>
  <c r="G520" i="729"/>
  <c r="N519" i="729"/>
  <c r="M519" i="729"/>
  <c r="K519" i="729"/>
  <c r="J519" i="729"/>
  <c r="I519" i="729"/>
  <c r="L519" i="729" s="1"/>
  <c r="H519" i="729"/>
  <c r="G519" i="729"/>
  <c r="N518" i="729"/>
  <c r="M518" i="729"/>
  <c r="O518" i="729" s="1"/>
  <c r="K518" i="729"/>
  <c r="J518" i="729"/>
  <c r="I518" i="729"/>
  <c r="H518" i="729"/>
  <c r="G518" i="729"/>
  <c r="N517" i="729"/>
  <c r="O517" i="729" s="1"/>
  <c r="M517" i="729"/>
  <c r="K517" i="729"/>
  <c r="J517" i="729"/>
  <c r="L517" i="729" s="1"/>
  <c r="I517" i="729"/>
  <c r="H517" i="729"/>
  <c r="G517" i="729"/>
  <c r="N516" i="729"/>
  <c r="M516" i="729"/>
  <c r="O516" i="729" s="1"/>
  <c r="K516" i="729"/>
  <c r="L516" i="729" s="1"/>
  <c r="J516" i="729"/>
  <c r="I516" i="729"/>
  <c r="H516" i="729"/>
  <c r="G516" i="729"/>
  <c r="N515" i="729"/>
  <c r="M515" i="729"/>
  <c r="O515" i="729" s="1"/>
  <c r="K515" i="729"/>
  <c r="J515" i="729"/>
  <c r="I515" i="729"/>
  <c r="L515" i="729" s="1"/>
  <c r="H515" i="729"/>
  <c r="G515" i="729"/>
  <c r="N514" i="729"/>
  <c r="M514" i="729"/>
  <c r="O514" i="729" s="1"/>
  <c r="K514" i="729"/>
  <c r="J514" i="729"/>
  <c r="I514" i="729"/>
  <c r="H514" i="729"/>
  <c r="G514" i="729"/>
  <c r="N513" i="729"/>
  <c r="O513" i="729" s="1"/>
  <c r="M513" i="729"/>
  <c r="K513" i="729"/>
  <c r="J513" i="729"/>
  <c r="L513" i="729" s="1"/>
  <c r="I513" i="729"/>
  <c r="H513" i="729"/>
  <c r="G513" i="729"/>
  <c r="N512" i="729"/>
  <c r="M512" i="729"/>
  <c r="O512" i="729" s="1"/>
  <c r="K512" i="729"/>
  <c r="L512" i="729" s="1"/>
  <c r="J512" i="729"/>
  <c r="I512" i="729"/>
  <c r="H512" i="729"/>
  <c r="G512" i="729"/>
  <c r="N511" i="729"/>
  <c r="M511" i="729"/>
  <c r="O511" i="729" s="1"/>
  <c r="K511" i="729"/>
  <c r="J511" i="729"/>
  <c r="I511" i="729"/>
  <c r="L511" i="729" s="1"/>
  <c r="H511" i="729"/>
  <c r="G511" i="729"/>
  <c r="N510" i="729"/>
  <c r="M510" i="729"/>
  <c r="O510" i="729" s="1"/>
  <c r="K510" i="729"/>
  <c r="J510" i="729"/>
  <c r="I510" i="729"/>
  <c r="H510" i="729"/>
  <c r="G510" i="729"/>
  <c r="N509" i="729"/>
  <c r="O509" i="729" s="1"/>
  <c r="M509" i="729"/>
  <c r="K509" i="729"/>
  <c r="J509" i="729"/>
  <c r="I509" i="729"/>
  <c r="L509" i="729" s="1"/>
  <c r="H509" i="729"/>
  <c r="G509" i="729"/>
  <c r="N508" i="729"/>
  <c r="M508" i="729"/>
  <c r="O508" i="729" s="1"/>
  <c r="K508" i="729"/>
  <c r="J508" i="729"/>
  <c r="L508" i="729" s="1"/>
  <c r="I508" i="729"/>
  <c r="H508" i="729"/>
  <c r="G508" i="729"/>
  <c r="N507" i="729"/>
  <c r="M507" i="729"/>
  <c r="O507" i="729" s="1"/>
  <c r="K507" i="729"/>
  <c r="J507" i="729"/>
  <c r="I507" i="729"/>
  <c r="L507" i="729" s="1"/>
  <c r="H507" i="729"/>
  <c r="G507" i="729"/>
  <c r="N506" i="729"/>
  <c r="M506" i="729"/>
  <c r="O506" i="729" s="1"/>
  <c r="K506" i="729"/>
  <c r="J506" i="729"/>
  <c r="I506" i="729"/>
  <c r="H506" i="729"/>
  <c r="G506" i="729"/>
  <c r="N505" i="729"/>
  <c r="M505" i="729"/>
  <c r="O505" i="729" s="1"/>
  <c r="K505" i="729"/>
  <c r="J505" i="729"/>
  <c r="I505" i="729"/>
  <c r="L505" i="729" s="1"/>
  <c r="H505" i="729"/>
  <c r="G505" i="729"/>
  <c r="N504" i="729"/>
  <c r="M504" i="729"/>
  <c r="O504" i="729" s="1"/>
  <c r="K504" i="729"/>
  <c r="J504" i="729"/>
  <c r="I504" i="729"/>
  <c r="H504" i="729"/>
  <c r="G504" i="729"/>
  <c r="N503" i="729"/>
  <c r="M503" i="729"/>
  <c r="O503" i="729" s="1"/>
  <c r="K503" i="729"/>
  <c r="J503" i="729"/>
  <c r="I503" i="729"/>
  <c r="L503" i="729" s="1"/>
  <c r="H503" i="729"/>
  <c r="G503" i="729"/>
  <c r="N502" i="729"/>
  <c r="M502" i="729"/>
  <c r="O502" i="729" s="1"/>
  <c r="K502" i="729"/>
  <c r="J502" i="729"/>
  <c r="I502" i="729"/>
  <c r="H502" i="729"/>
  <c r="G502" i="729"/>
  <c r="N501" i="729"/>
  <c r="M501" i="729"/>
  <c r="O501" i="729" s="1"/>
  <c r="K501" i="729"/>
  <c r="J501" i="729"/>
  <c r="I501" i="729"/>
  <c r="L501" i="729" s="1"/>
  <c r="H501" i="729"/>
  <c r="G501" i="729"/>
  <c r="N500" i="729"/>
  <c r="M500" i="729"/>
  <c r="O500" i="729" s="1"/>
  <c r="K500" i="729"/>
  <c r="J500" i="729"/>
  <c r="I500" i="729"/>
  <c r="H500" i="729"/>
  <c r="G500" i="729"/>
  <c r="N499" i="729"/>
  <c r="M499" i="729"/>
  <c r="O499" i="729" s="1"/>
  <c r="K499" i="729"/>
  <c r="J499" i="729"/>
  <c r="I499" i="729"/>
  <c r="L499" i="729" s="1"/>
  <c r="H499" i="729"/>
  <c r="G499" i="729"/>
  <c r="N498" i="729"/>
  <c r="M498" i="729"/>
  <c r="O498" i="729" s="1"/>
  <c r="K498" i="729"/>
  <c r="J498" i="729"/>
  <c r="I498" i="729"/>
  <c r="H498" i="729"/>
  <c r="G498" i="729"/>
  <c r="N497" i="729"/>
  <c r="M497" i="729"/>
  <c r="O497" i="729" s="1"/>
  <c r="K497" i="729"/>
  <c r="J497" i="729"/>
  <c r="I497" i="729"/>
  <c r="L497" i="729" s="1"/>
  <c r="H497" i="729"/>
  <c r="G497" i="729"/>
  <c r="N496" i="729"/>
  <c r="M496" i="729"/>
  <c r="O496" i="729" s="1"/>
  <c r="K496" i="729"/>
  <c r="J496" i="729"/>
  <c r="L496" i="729" s="1"/>
  <c r="I496" i="729"/>
  <c r="H496" i="729"/>
  <c r="G496" i="729"/>
  <c r="N495" i="729"/>
  <c r="M495" i="729"/>
  <c r="O495" i="729" s="1"/>
  <c r="K495" i="729"/>
  <c r="J495" i="729"/>
  <c r="I495" i="729"/>
  <c r="L495" i="729" s="1"/>
  <c r="H495" i="729"/>
  <c r="G495" i="729"/>
  <c r="N494" i="729"/>
  <c r="M494" i="729"/>
  <c r="O494" i="729" s="1"/>
  <c r="K494" i="729"/>
  <c r="J494" i="729"/>
  <c r="I494" i="729"/>
  <c r="H494" i="729"/>
  <c r="G494" i="729"/>
  <c r="N493" i="729"/>
  <c r="M493" i="729"/>
  <c r="O493" i="729" s="1"/>
  <c r="K493" i="729"/>
  <c r="J493" i="729"/>
  <c r="I493" i="729"/>
  <c r="L493" i="729" s="1"/>
  <c r="H493" i="729"/>
  <c r="G493" i="729"/>
  <c r="N492" i="729"/>
  <c r="M492" i="729"/>
  <c r="O492" i="729" s="1"/>
  <c r="K492" i="729"/>
  <c r="J492" i="729"/>
  <c r="I492" i="729"/>
  <c r="H492" i="729"/>
  <c r="G492" i="729"/>
  <c r="N491" i="729"/>
  <c r="M491" i="729"/>
  <c r="O491" i="729" s="1"/>
  <c r="K491" i="729"/>
  <c r="J491" i="729"/>
  <c r="I491" i="729"/>
  <c r="L491" i="729" s="1"/>
  <c r="H491" i="729"/>
  <c r="G491" i="729"/>
  <c r="N490" i="729"/>
  <c r="M490" i="729"/>
  <c r="O490" i="729" s="1"/>
  <c r="K490" i="729"/>
  <c r="J490" i="729"/>
  <c r="I490" i="729"/>
  <c r="H490" i="729"/>
  <c r="G490" i="729"/>
  <c r="N489" i="729"/>
  <c r="M489" i="729"/>
  <c r="O489" i="729" s="1"/>
  <c r="K489" i="729"/>
  <c r="J489" i="729"/>
  <c r="I489" i="729"/>
  <c r="L489" i="729" s="1"/>
  <c r="H489" i="729"/>
  <c r="G489" i="729"/>
  <c r="N488" i="729"/>
  <c r="M488" i="729"/>
  <c r="O488" i="729" s="1"/>
  <c r="K488" i="729"/>
  <c r="J488" i="729"/>
  <c r="I488" i="729"/>
  <c r="H488" i="729"/>
  <c r="G488" i="729"/>
  <c r="N487" i="729"/>
  <c r="M487" i="729"/>
  <c r="O487" i="729" s="1"/>
  <c r="K487" i="729"/>
  <c r="J487" i="729"/>
  <c r="I487" i="729"/>
  <c r="L487" i="729" s="1"/>
  <c r="H487" i="729"/>
  <c r="G487" i="729"/>
  <c r="N486" i="729"/>
  <c r="M486" i="729"/>
  <c r="O486" i="729" s="1"/>
  <c r="K486" i="729"/>
  <c r="J486" i="729"/>
  <c r="I486" i="729"/>
  <c r="H486" i="729"/>
  <c r="G486" i="729"/>
  <c r="N485" i="729"/>
  <c r="M485" i="729"/>
  <c r="O485" i="729" s="1"/>
  <c r="K485" i="729"/>
  <c r="J485" i="729"/>
  <c r="I485" i="729"/>
  <c r="L485" i="729" s="1"/>
  <c r="H485" i="729"/>
  <c r="G485" i="729"/>
  <c r="N484" i="729"/>
  <c r="M484" i="729"/>
  <c r="O484" i="729" s="1"/>
  <c r="K484" i="729"/>
  <c r="J484" i="729"/>
  <c r="L484" i="729" s="1"/>
  <c r="I484" i="729"/>
  <c r="H484" i="729"/>
  <c r="G484" i="729"/>
  <c r="N483" i="729"/>
  <c r="M483" i="729"/>
  <c r="O483" i="729" s="1"/>
  <c r="K483" i="729"/>
  <c r="J483" i="729"/>
  <c r="I483" i="729"/>
  <c r="L483" i="729" s="1"/>
  <c r="H483" i="729"/>
  <c r="G483" i="729"/>
  <c r="N482" i="729"/>
  <c r="M482" i="729"/>
  <c r="O482" i="729" s="1"/>
  <c r="K482" i="729"/>
  <c r="J482" i="729"/>
  <c r="I482" i="729"/>
  <c r="H482" i="729"/>
  <c r="G482" i="729"/>
  <c r="N481" i="729"/>
  <c r="M481" i="729"/>
  <c r="O481" i="729" s="1"/>
  <c r="K481" i="729"/>
  <c r="J481" i="729"/>
  <c r="I481" i="729"/>
  <c r="L481" i="729" s="1"/>
  <c r="H481" i="729"/>
  <c r="G481" i="729"/>
  <c r="N480" i="729"/>
  <c r="M480" i="729"/>
  <c r="O480" i="729" s="1"/>
  <c r="K480" i="729"/>
  <c r="J480" i="729"/>
  <c r="I480" i="729"/>
  <c r="H480" i="729"/>
  <c r="G480" i="729"/>
  <c r="N479" i="729"/>
  <c r="M479" i="729"/>
  <c r="O479" i="729" s="1"/>
  <c r="K479" i="729"/>
  <c r="J479" i="729"/>
  <c r="I479" i="729"/>
  <c r="L479" i="729" s="1"/>
  <c r="H479" i="729"/>
  <c r="G479" i="729"/>
  <c r="N478" i="729"/>
  <c r="M478" i="729"/>
  <c r="O478" i="729" s="1"/>
  <c r="K478" i="729"/>
  <c r="J478" i="729"/>
  <c r="I478" i="729"/>
  <c r="H478" i="729"/>
  <c r="G478" i="729"/>
  <c r="N477" i="729"/>
  <c r="M477" i="729"/>
  <c r="O477" i="729" s="1"/>
  <c r="K477" i="729"/>
  <c r="J477" i="729"/>
  <c r="I477" i="729"/>
  <c r="L477" i="729" s="1"/>
  <c r="H477" i="729"/>
  <c r="G477" i="729"/>
  <c r="N476" i="729"/>
  <c r="M476" i="729"/>
  <c r="O476" i="729" s="1"/>
  <c r="K476" i="729"/>
  <c r="J476" i="729"/>
  <c r="I476" i="729"/>
  <c r="H476" i="729"/>
  <c r="G476" i="729"/>
  <c r="N475" i="729"/>
  <c r="M475" i="729"/>
  <c r="O475" i="729" s="1"/>
  <c r="K475" i="729"/>
  <c r="J475" i="729"/>
  <c r="I475" i="729"/>
  <c r="L475" i="729" s="1"/>
  <c r="H475" i="729"/>
  <c r="G475" i="729"/>
  <c r="N474" i="729"/>
  <c r="M474" i="729"/>
  <c r="O474" i="729" s="1"/>
  <c r="K474" i="729"/>
  <c r="J474" i="729"/>
  <c r="I474" i="729"/>
  <c r="H474" i="729"/>
  <c r="G474" i="729"/>
  <c r="N473" i="729"/>
  <c r="M473" i="729"/>
  <c r="O473" i="729" s="1"/>
  <c r="K473" i="729"/>
  <c r="J473" i="729"/>
  <c r="I473" i="729"/>
  <c r="L473" i="729" s="1"/>
  <c r="H473" i="729"/>
  <c r="G473" i="729"/>
  <c r="N472" i="729"/>
  <c r="M472" i="729"/>
  <c r="O472" i="729" s="1"/>
  <c r="K472" i="729"/>
  <c r="J472" i="729"/>
  <c r="L472" i="729" s="1"/>
  <c r="I472" i="729"/>
  <c r="H472" i="729"/>
  <c r="G472" i="729"/>
  <c r="N471" i="729"/>
  <c r="M471" i="729"/>
  <c r="O471" i="729" s="1"/>
  <c r="K471" i="729"/>
  <c r="J471" i="729"/>
  <c r="I471" i="729"/>
  <c r="L471" i="729" s="1"/>
  <c r="H471" i="729"/>
  <c r="G471" i="729"/>
  <c r="N470" i="729"/>
  <c r="M470" i="729"/>
  <c r="O470" i="729" s="1"/>
  <c r="K470" i="729"/>
  <c r="J470" i="729"/>
  <c r="I470" i="729"/>
  <c r="H470" i="729"/>
  <c r="G470" i="729"/>
  <c r="N469" i="729"/>
  <c r="M469" i="729"/>
  <c r="O469" i="729" s="1"/>
  <c r="K469" i="729"/>
  <c r="J469" i="729"/>
  <c r="I469" i="729"/>
  <c r="L469" i="729" s="1"/>
  <c r="H469" i="729"/>
  <c r="G469" i="729"/>
  <c r="N468" i="729"/>
  <c r="M468" i="729"/>
  <c r="O468" i="729" s="1"/>
  <c r="K468" i="729"/>
  <c r="J468" i="729"/>
  <c r="I468" i="729"/>
  <c r="H468" i="729"/>
  <c r="G468" i="729"/>
  <c r="N467" i="729"/>
  <c r="M467" i="729"/>
  <c r="O467" i="729" s="1"/>
  <c r="K467" i="729"/>
  <c r="J467" i="729"/>
  <c r="I467" i="729"/>
  <c r="L467" i="729" s="1"/>
  <c r="H467" i="729"/>
  <c r="G467" i="729"/>
  <c r="N466" i="729"/>
  <c r="M466" i="729"/>
  <c r="O466" i="729" s="1"/>
  <c r="K466" i="729"/>
  <c r="J466" i="729"/>
  <c r="I466" i="729"/>
  <c r="H466" i="729"/>
  <c r="G466" i="729"/>
  <c r="N465" i="729"/>
  <c r="M465" i="729"/>
  <c r="O465" i="729" s="1"/>
  <c r="K465" i="729"/>
  <c r="J465" i="729"/>
  <c r="I465" i="729"/>
  <c r="L465" i="729" s="1"/>
  <c r="H465" i="729"/>
  <c r="G465" i="729"/>
  <c r="N464" i="729"/>
  <c r="M464" i="729"/>
  <c r="O464" i="729" s="1"/>
  <c r="K464" i="729"/>
  <c r="J464" i="729"/>
  <c r="I464" i="729"/>
  <c r="H464" i="729"/>
  <c r="G464" i="729"/>
  <c r="N463" i="729"/>
  <c r="M463" i="729"/>
  <c r="K463" i="729"/>
  <c r="J463" i="729"/>
  <c r="I463" i="729"/>
  <c r="L463" i="729" s="1"/>
  <c r="H463" i="729"/>
  <c r="G463" i="729"/>
  <c r="N462" i="729"/>
  <c r="M462" i="729"/>
  <c r="O462" i="729" s="1"/>
  <c r="K462" i="729"/>
  <c r="J462" i="729"/>
  <c r="I462" i="729"/>
  <c r="H462" i="729"/>
  <c r="G462" i="729"/>
  <c r="N461" i="729"/>
  <c r="M461" i="729"/>
  <c r="O461" i="729" s="1"/>
  <c r="K461" i="729"/>
  <c r="J461" i="729"/>
  <c r="I461" i="729"/>
  <c r="L461" i="729" s="1"/>
  <c r="H461" i="729"/>
  <c r="G461" i="729"/>
  <c r="N460" i="729"/>
  <c r="M460" i="729"/>
  <c r="O460" i="729" s="1"/>
  <c r="K460" i="729"/>
  <c r="J460" i="729"/>
  <c r="L460" i="729" s="1"/>
  <c r="I460" i="729"/>
  <c r="H460" i="729"/>
  <c r="G460" i="729"/>
  <c r="N459" i="729"/>
  <c r="M459" i="729"/>
  <c r="O459" i="729" s="1"/>
  <c r="K459" i="729"/>
  <c r="J459" i="729"/>
  <c r="I459" i="729"/>
  <c r="L459" i="729" s="1"/>
  <c r="H459" i="729"/>
  <c r="G459" i="729"/>
  <c r="N458" i="729"/>
  <c r="M458" i="729"/>
  <c r="O458" i="729" s="1"/>
  <c r="K458" i="729"/>
  <c r="J458" i="729"/>
  <c r="I458" i="729"/>
  <c r="H458" i="729"/>
  <c r="G458" i="729"/>
  <c r="N457" i="729"/>
  <c r="M457" i="729"/>
  <c r="O457" i="729" s="1"/>
  <c r="K457" i="729"/>
  <c r="J457" i="729"/>
  <c r="I457" i="729"/>
  <c r="L457" i="729" s="1"/>
  <c r="H457" i="729"/>
  <c r="G457" i="729"/>
  <c r="N456" i="729"/>
  <c r="M456" i="729"/>
  <c r="O456" i="729" s="1"/>
  <c r="K456" i="729"/>
  <c r="J456" i="729"/>
  <c r="I456" i="729"/>
  <c r="H456" i="729"/>
  <c r="G456" i="729"/>
  <c r="N455" i="729"/>
  <c r="M455" i="729"/>
  <c r="O455" i="729" s="1"/>
  <c r="K455" i="729"/>
  <c r="J455" i="729"/>
  <c r="I455" i="729"/>
  <c r="L455" i="729" s="1"/>
  <c r="H455" i="729"/>
  <c r="G455" i="729"/>
  <c r="N454" i="729"/>
  <c r="M454" i="729"/>
  <c r="O454" i="729" s="1"/>
  <c r="K454" i="729"/>
  <c r="J454" i="729"/>
  <c r="I454" i="729"/>
  <c r="H454" i="729"/>
  <c r="G454" i="729"/>
  <c r="N453" i="729"/>
  <c r="M453" i="729"/>
  <c r="O453" i="729" s="1"/>
  <c r="K453" i="729"/>
  <c r="J453" i="729"/>
  <c r="I453" i="729"/>
  <c r="L453" i="729" s="1"/>
  <c r="H453" i="729"/>
  <c r="G453" i="729"/>
  <c r="N452" i="729"/>
  <c r="M452" i="729"/>
  <c r="K452" i="729"/>
  <c r="J452" i="729"/>
  <c r="I452" i="729"/>
  <c r="H452" i="729"/>
  <c r="G452" i="729"/>
  <c r="N451" i="729"/>
  <c r="M451" i="729"/>
  <c r="K451" i="729"/>
  <c r="J451" i="729"/>
  <c r="I451" i="729"/>
  <c r="L451" i="729" s="1"/>
  <c r="H451" i="729"/>
  <c r="G451" i="729"/>
  <c r="N450" i="729"/>
  <c r="M450" i="729"/>
  <c r="O450" i="729" s="1"/>
  <c r="K450" i="729"/>
  <c r="J450" i="729"/>
  <c r="I450" i="729"/>
  <c r="H450" i="729"/>
  <c r="G450" i="729"/>
  <c r="N449" i="729"/>
  <c r="M449" i="729"/>
  <c r="O449" i="729" s="1"/>
  <c r="K449" i="729"/>
  <c r="J449" i="729"/>
  <c r="I449" i="729"/>
  <c r="L449" i="729" s="1"/>
  <c r="H449" i="729"/>
  <c r="G449" i="729"/>
  <c r="N448" i="729"/>
  <c r="M448" i="729"/>
  <c r="K448" i="729"/>
  <c r="J448" i="729"/>
  <c r="L448" i="729" s="1"/>
  <c r="I448" i="729"/>
  <c r="H448" i="729"/>
  <c r="G448" i="729"/>
  <c r="N447" i="729"/>
  <c r="M447" i="729"/>
  <c r="O447" i="729" s="1"/>
  <c r="K447" i="729"/>
  <c r="J447" i="729"/>
  <c r="I447" i="729"/>
  <c r="L447" i="729" s="1"/>
  <c r="H447" i="729"/>
  <c r="G447" i="729"/>
  <c r="N446" i="729"/>
  <c r="M446" i="729"/>
  <c r="O446" i="729" s="1"/>
  <c r="K446" i="729"/>
  <c r="J446" i="729"/>
  <c r="L446" i="729" s="1"/>
  <c r="I446" i="729"/>
  <c r="H446" i="729"/>
  <c r="G446" i="729"/>
  <c r="N445" i="729"/>
  <c r="M445" i="729"/>
  <c r="O445" i="729" s="1"/>
  <c r="K445" i="729"/>
  <c r="J445" i="729"/>
  <c r="I445" i="729"/>
  <c r="L445" i="729" s="1"/>
  <c r="H445" i="729"/>
  <c r="G445" i="729"/>
  <c r="N444" i="729"/>
  <c r="M444" i="729"/>
  <c r="O444" i="729" s="1"/>
  <c r="K444" i="729"/>
  <c r="J444" i="729"/>
  <c r="I444" i="729"/>
  <c r="H444" i="729"/>
  <c r="G444" i="729"/>
  <c r="N443" i="729"/>
  <c r="M443" i="729"/>
  <c r="O443" i="729" s="1"/>
  <c r="K443" i="729"/>
  <c r="J443" i="729"/>
  <c r="I443" i="729"/>
  <c r="L443" i="729" s="1"/>
  <c r="H443" i="729"/>
  <c r="G443" i="729"/>
  <c r="N442" i="729"/>
  <c r="M442" i="729"/>
  <c r="O442" i="729" s="1"/>
  <c r="K442" i="729"/>
  <c r="J442" i="729"/>
  <c r="I442" i="729"/>
  <c r="H442" i="729"/>
  <c r="G442" i="729"/>
  <c r="N441" i="729"/>
  <c r="M441" i="729"/>
  <c r="O441" i="729" s="1"/>
  <c r="K441" i="729"/>
  <c r="J441" i="729"/>
  <c r="I441" i="729"/>
  <c r="L441" i="729" s="1"/>
  <c r="H441" i="729"/>
  <c r="G441" i="729"/>
  <c r="N440" i="729"/>
  <c r="M440" i="729"/>
  <c r="K440" i="729"/>
  <c r="J440" i="729"/>
  <c r="I440" i="729"/>
  <c r="H440" i="729"/>
  <c r="G440" i="729"/>
  <c r="N439" i="729"/>
  <c r="M439" i="729"/>
  <c r="K439" i="729"/>
  <c r="J439" i="729"/>
  <c r="I439" i="729"/>
  <c r="L439" i="729" s="1"/>
  <c r="H439" i="729"/>
  <c r="G439" i="729"/>
  <c r="N438" i="729"/>
  <c r="M438" i="729"/>
  <c r="O438" i="729" s="1"/>
  <c r="K438" i="729"/>
  <c r="J438" i="729"/>
  <c r="I438" i="729"/>
  <c r="H438" i="729"/>
  <c r="G438" i="729"/>
  <c r="N437" i="729"/>
  <c r="M437" i="729"/>
  <c r="O437" i="729" s="1"/>
  <c r="K437" i="729"/>
  <c r="J437" i="729"/>
  <c r="I437" i="729"/>
  <c r="L437" i="729" s="1"/>
  <c r="H437" i="729"/>
  <c r="G437" i="729"/>
  <c r="N436" i="729"/>
  <c r="M436" i="729"/>
  <c r="O436" i="729" s="1"/>
  <c r="L436" i="729"/>
  <c r="K436" i="729"/>
  <c r="J436" i="729"/>
  <c r="I436" i="729"/>
  <c r="H436" i="729"/>
  <c r="G436" i="729"/>
  <c r="N435" i="729"/>
  <c r="M435" i="729"/>
  <c r="O435" i="729" s="1"/>
  <c r="K435" i="729"/>
  <c r="J435" i="729"/>
  <c r="I435" i="729"/>
  <c r="L435" i="729" s="1"/>
  <c r="H435" i="729"/>
  <c r="G435" i="729"/>
  <c r="N434" i="729"/>
  <c r="M434" i="729"/>
  <c r="O434" i="729" s="1"/>
  <c r="K434" i="729"/>
  <c r="J434" i="729"/>
  <c r="I434" i="729"/>
  <c r="H434" i="729"/>
  <c r="G434" i="729"/>
  <c r="N433" i="729"/>
  <c r="M433" i="729"/>
  <c r="O433" i="729" s="1"/>
  <c r="K433" i="729"/>
  <c r="J433" i="729"/>
  <c r="I433" i="729"/>
  <c r="L433" i="729" s="1"/>
  <c r="H433" i="729"/>
  <c r="G433" i="729"/>
  <c r="N432" i="729"/>
  <c r="M432" i="729"/>
  <c r="O432" i="729" s="1"/>
  <c r="K432" i="729"/>
  <c r="J432" i="729"/>
  <c r="L432" i="729" s="1"/>
  <c r="I432" i="729"/>
  <c r="H432" i="729"/>
  <c r="G432" i="729"/>
  <c r="N431" i="729"/>
  <c r="M431" i="729"/>
  <c r="K431" i="729"/>
  <c r="J431" i="729"/>
  <c r="I431" i="729"/>
  <c r="H431" i="729"/>
  <c r="G431" i="729"/>
  <c r="N430" i="729"/>
  <c r="M430" i="729"/>
  <c r="O430" i="729" s="1"/>
  <c r="K430" i="729"/>
  <c r="J430" i="729"/>
  <c r="I430" i="729"/>
  <c r="H430" i="729"/>
  <c r="G430" i="729"/>
  <c r="N429" i="729"/>
  <c r="M429" i="729"/>
  <c r="O429" i="729" s="1"/>
  <c r="K429" i="729"/>
  <c r="J429" i="729"/>
  <c r="I429" i="729"/>
  <c r="L429" i="729" s="1"/>
  <c r="H429" i="729"/>
  <c r="G429" i="729"/>
  <c r="N428" i="729"/>
  <c r="M428" i="729"/>
  <c r="O428" i="729" s="1"/>
  <c r="L428" i="729"/>
  <c r="K428" i="729"/>
  <c r="J428" i="729"/>
  <c r="I428" i="729"/>
  <c r="H428" i="729"/>
  <c r="G428" i="729"/>
  <c r="N427" i="729"/>
  <c r="M427" i="729"/>
  <c r="O427" i="729" s="1"/>
  <c r="K427" i="729"/>
  <c r="J427" i="729"/>
  <c r="I427" i="729"/>
  <c r="H427" i="729"/>
  <c r="G427" i="729"/>
  <c r="N426" i="729"/>
  <c r="M426" i="729"/>
  <c r="O426" i="729" s="1"/>
  <c r="K426" i="729"/>
  <c r="J426" i="729"/>
  <c r="I426" i="729"/>
  <c r="H426" i="729"/>
  <c r="G426" i="729"/>
  <c r="N425" i="729"/>
  <c r="M425" i="729"/>
  <c r="O425" i="729" s="1"/>
  <c r="K425" i="729"/>
  <c r="J425" i="729"/>
  <c r="I425" i="729"/>
  <c r="H425" i="729"/>
  <c r="G425" i="729"/>
  <c r="N424" i="729"/>
  <c r="M424" i="729"/>
  <c r="O424" i="729" s="1"/>
  <c r="K424" i="729"/>
  <c r="J424" i="729"/>
  <c r="L424" i="729" s="1"/>
  <c r="I424" i="729"/>
  <c r="H424" i="729"/>
  <c r="G424" i="729"/>
  <c r="N423" i="729"/>
  <c r="M423" i="729"/>
  <c r="K423" i="729"/>
  <c r="J423" i="729"/>
  <c r="I423" i="729"/>
  <c r="H423" i="729"/>
  <c r="G423" i="729"/>
  <c r="N422" i="729"/>
  <c r="M422" i="729"/>
  <c r="O422" i="729" s="1"/>
  <c r="K422" i="729"/>
  <c r="J422" i="729"/>
  <c r="I422" i="729"/>
  <c r="H422" i="729"/>
  <c r="G422" i="729"/>
  <c r="N421" i="729"/>
  <c r="M421" i="729"/>
  <c r="O421" i="729" s="1"/>
  <c r="K421" i="729"/>
  <c r="J421" i="729"/>
  <c r="I421" i="729"/>
  <c r="L421" i="729" s="1"/>
  <c r="H421" i="729"/>
  <c r="G421" i="729"/>
  <c r="N420" i="729"/>
  <c r="M420" i="729"/>
  <c r="O420" i="729" s="1"/>
  <c r="L420" i="729"/>
  <c r="K420" i="729"/>
  <c r="J420" i="729"/>
  <c r="I420" i="729"/>
  <c r="H420" i="729"/>
  <c r="G420" i="729"/>
  <c r="N419" i="729"/>
  <c r="M419" i="729"/>
  <c r="O419" i="729" s="1"/>
  <c r="K419" i="729"/>
  <c r="J419" i="729"/>
  <c r="I419" i="729"/>
  <c r="H419" i="729"/>
  <c r="G419" i="729"/>
  <c r="N418" i="729"/>
  <c r="M418" i="729"/>
  <c r="O418" i="729" s="1"/>
  <c r="K418" i="729"/>
  <c r="J418" i="729"/>
  <c r="I418" i="729"/>
  <c r="H418" i="729"/>
  <c r="G418" i="729"/>
  <c r="N417" i="729"/>
  <c r="M417" i="729"/>
  <c r="O417" i="729" s="1"/>
  <c r="K417" i="729"/>
  <c r="J417" i="729"/>
  <c r="I417" i="729"/>
  <c r="H417" i="729"/>
  <c r="G417" i="729"/>
  <c r="N416" i="729"/>
  <c r="M416" i="729"/>
  <c r="K416" i="729"/>
  <c r="J416" i="729"/>
  <c r="L416" i="729" s="1"/>
  <c r="I416" i="729"/>
  <c r="H416" i="729"/>
  <c r="G416" i="729"/>
  <c r="N415" i="729"/>
  <c r="M415" i="729"/>
  <c r="K415" i="729"/>
  <c r="J415" i="729"/>
  <c r="I415" i="729"/>
  <c r="H415" i="729"/>
  <c r="G415" i="729"/>
  <c r="N414" i="729"/>
  <c r="M414" i="729"/>
  <c r="O414" i="729" s="1"/>
  <c r="K414" i="729"/>
  <c r="J414" i="729"/>
  <c r="I414" i="729"/>
  <c r="H414" i="729"/>
  <c r="G414" i="729"/>
  <c r="N413" i="729"/>
  <c r="O413" i="729" s="1"/>
  <c r="M413" i="729"/>
  <c r="K413" i="729"/>
  <c r="J413" i="729"/>
  <c r="I413" i="729"/>
  <c r="L413" i="729" s="1"/>
  <c r="H413" i="729"/>
  <c r="G413" i="729"/>
  <c r="N412" i="729"/>
  <c r="M412" i="729"/>
  <c r="L412" i="729"/>
  <c r="K412" i="729"/>
  <c r="J412" i="729"/>
  <c r="I412" i="729"/>
  <c r="H412" i="729"/>
  <c r="G412" i="729"/>
  <c r="N411" i="729"/>
  <c r="M411" i="729"/>
  <c r="O411" i="729" s="1"/>
  <c r="K411" i="729"/>
  <c r="J411" i="729"/>
  <c r="I411" i="729"/>
  <c r="H411" i="729"/>
  <c r="G411" i="729"/>
  <c r="N410" i="729"/>
  <c r="M410" i="729"/>
  <c r="O410" i="729" s="1"/>
  <c r="K410" i="729"/>
  <c r="J410" i="729"/>
  <c r="I410" i="729"/>
  <c r="H410" i="729"/>
  <c r="G410" i="729"/>
  <c r="N409" i="729"/>
  <c r="M409" i="729"/>
  <c r="O409" i="729" s="1"/>
  <c r="K409" i="729"/>
  <c r="J409" i="729"/>
  <c r="I409" i="729"/>
  <c r="H409" i="729"/>
  <c r="G409" i="729"/>
  <c r="N408" i="729"/>
  <c r="M408" i="729"/>
  <c r="K408" i="729"/>
  <c r="J408" i="729"/>
  <c r="L408" i="729" s="1"/>
  <c r="I408" i="729"/>
  <c r="H408" i="729"/>
  <c r="G408" i="729"/>
  <c r="N407" i="729"/>
  <c r="M407" i="729"/>
  <c r="K407" i="729"/>
  <c r="J407" i="729"/>
  <c r="I407" i="729"/>
  <c r="H407" i="729"/>
  <c r="G407" i="729"/>
  <c r="N406" i="729"/>
  <c r="M406" i="729"/>
  <c r="O406" i="729" s="1"/>
  <c r="K406" i="729"/>
  <c r="J406" i="729"/>
  <c r="I406" i="729"/>
  <c r="H406" i="729"/>
  <c r="G406" i="729"/>
  <c r="N405" i="729"/>
  <c r="O405" i="729" s="1"/>
  <c r="M405" i="729"/>
  <c r="K405" i="729"/>
  <c r="J405" i="729"/>
  <c r="I405" i="729"/>
  <c r="L405" i="729" s="1"/>
  <c r="H405" i="729"/>
  <c r="G405" i="729"/>
  <c r="N404" i="729"/>
  <c r="M404" i="729"/>
  <c r="L404" i="729"/>
  <c r="K404" i="729"/>
  <c r="J404" i="729"/>
  <c r="I404" i="729"/>
  <c r="H404" i="729"/>
  <c r="G404" i="729"/>
  <c r="N403" i="729"/>
  <c r="M403" i="729"/>
  <c r="O403" i="729" s="1"/>
  <c r="K403" i="729"/>
  <c r="J403" i="729"/>
  <c r="I403" i="729"/>
  <c r="H403" i="729"/>
  <c r="G403" i="729"/>
  <c r="N402" i="729"/>
  <c r="M402" i="729"/>
  <c r="O402" i="729" s="1"/>
  <c r="K402" i="729"/>
  <c r="J402" i="729"/>
  <c r="I402" i="729"/>
  <c r="H402" i="729"/>
  <c r="G402" i="729"/>
  <c r="N401" i="729"/>
  <c r="M401" i="729"/>
  <c r="O401" i="729" s="1"/>
  <c r="K401" i="729"/>
  <c r="J401" i="729"/>
  <c r="I401" i="729"/>
  <c r="H401" i="729"/>
  <c r="G401" i="729"/>
  <c r="N400" i="729"/>
  <c r="M400" i="729"/>
  <c r="K400" i="729"/>
  <c r="J400" i="729"/>
  <c r="L400" i="729" s="1"/>
  <c r="I400" i="729"/>
  <c r="H400" i="729"/>
  <c r="G400" i="729"/>
  <c r="O399" i="729"/>
  <c r="N399" i="729"/>
  <c r="M399" i="729"/>
  <c r="K399" i="729"/>
  <c r="J399" i="729"/>
  <c r="I399" i="729"/>
  <c r="H399" i="729"/>
  <c r="G399" i="729"/>
  <c r="N398" i="729"/>
  <c r="M398" i="729"/>
  <c r="O398" i="729" s="1"/>
  <c r="K398" i="729"/>
  <c r="J398" i="729"/>
  <c r="L398" i="729" s="1"/>
  <c r="I398" i="729"/>
  <c r="H398" i="729"/>
  <c r="G398" i="729"/>
  <c r="O397" i="729"/>
  <c r="N397" i="729"/>
  <c r="M397" i="729"/>
  <c r="K397" i="729"/>
  <c r="J397" i="729"/>
  <c r="I397" i="729"/>
  <c r="L397" i="729" s="1"/>
  <c r="H397" i="729"/>
  <c r="G397" i="729"/>
  <c r="N396" i="729"/>
  <c r="M396" i="729"/>
  <c r="K396" i="729"/>
  <c r="L396" i="729" s="1"/>
  <c r="J396" i="729"/>
  <c r="I396" i="729"/>
  <c r="H396" i="729"/>
  <c r="G396" i="729"/>
  <c r="N395" i="729"/>
  <c r="M395" i="729"/>
  <c r="O395" i="729" s="1"/>
  <c r="K395" i="729"/>
  <c r="J395" i="729"/>
  <c r="I395" i="729"/>
  <c r="H395" i="729"/>
  <c r="G395" i="729"/>
  <c r="N394" i="729"/>
  <c r="M394" i="729"/>
  <c r="K394" i="729"/>
  <c r="J394" i="729"/>
  <c r="L394" i="729" s="1"/>
  <c r="I394" i="729"/>
  <c r="H394" i="729"/>
  <c r="G394" i="729"/>
  <c r="O393" i="729"/>
  <c r="N393" i="729"/>
  <c r="M393" i="729"/>
  <c r="L393" i="729"/>
  <c r="K393" i="729"/>
  <c r="J393" i="729"/>
  <c r="I393" i="729"/>
  <c r="H393" i="729"/>
  <c r="G393" i="729"/>
  <c r="N392" i="729"/>
  <c r="M392" i="729"/>
  <c r="K392" i="729"/>
  <c r="J392" i="729"/>
  <c r="I392" i="729"/>
  <c r="L392" i="729" s="1"/>
  <c r="H392" i="729"/>
  <c r="G392" i="729"/>
  <c r="O391" i="729"/>
  <c r="N391" i="729"/>
  <c r="M391" i="729"/>
  <c r="K391" i="729"/>
  <c r="J391" i="729"/>
  <c r="I391" i="729"/>
  <c r="H391" i="729"/>
  <c r="G391" i="729"/>
  <c r="N390" i="729"/>
  <c r="M390" i="729"/>
  <c r="O390" i="729" s="1"/>
  <c r="L390" i="729"/>
  <c r="K390" i="729"/>
  <c r="J390" i="729"/>
  <c r="I390" i="729"/>
  <c r="H390" i="729"/>
  <c r="G390" i="729"/>
  <c r="N389" i="729"/>
  <c r="M389" i="729"/>
  <c r="O389" i="729" s="1"/>
  <c r="K389" i="729"/>
  <c r="J389" i="729"/>
  <c r="L389" i="729" s="1"/>
  <c r="I389" i="729"/>
  <c r="H389" i="729"/>
  <c r="G389" i="729"/>
  <c r="N388" i="729"/>
  <c r="M388" i="729"/>
  <c r="K388" i="729"/>
  <c r="J388" i="729"/>
  <c r="I388" i="729"/>
  <c r="L388" i="729" s="1"/>
  <c r="H388" i="729"/>
  <c r="G388" i="729"/>
  <c r="O387" i="729"/>
  <c r="N387" i="729"/>
  <c r="M387" i="729"/>
  <c r="K387" i="729"/>
  <c r="J387" i="729"/>
  <c r="I387" i="729"/>
  <c r="H387" i="729"/>
  <c r="G387" i="729"/>
  <c r="N386" i="729"/>
  <c r="M386" i="729"/>
  <c r="O386" i="729" s="1"/>
  <c r="K386" i="729"/>
  <c r="L386" i="729" s="1"/>
  <c r="J386" i="729"/>
  <c r="I386" i="729"/>
  <c r="H386" i="729"/>
  <c r="G386" i="729"/>
  <c r="N385" i="729"/>
  <c r="M385" i="729"/>
  <c r="O385" i="729" s="1"/>
  <c r="K385" i="729"/>
  <c r="J385" i="729"/>
  <c r="I385" i="729"/>
  <c r="L385" i="729" s="1"/>
  <c r="H385" i="729"/>
  <c r="G385" i="729"/>
  <c r="N384" i="729"/>
  <c r="M384" i="729"/>
  <c r="K384" i="729"/>
  <c r="J384" i="729"/>
  <c r="I384" i="729"/>
  <c r="L384" i="729" s="1"/>
  <c r="H384" i="729"/>
  <c r="G384" i="729"/>
  <c r="N383" i="729"/>
  <c r="M383" i="729"/>
  <c r="O383" i="729" s="1"/>
  <c r="K383" i="729"/>
  <c r="J383" i="729"/>
  <c r="I383" i="729"/>
  <c r="H383" i="729"/>
  <c r="G383" i="729"/>
  <c r="O382" i="729"/>
  <c r="N382" i="729"/>
  <c r="M382" i="729"/>
  <c r="L382" i="729"/>
  <c r="K382" i="729"/>
  <c r="J382" i="729"/>
  <c r="I382" i="729"/>
  <c r="H382" i="729"/>
  <c r="G382" i="729"/>
  <c r="N381" i="729"/>
  <c r="M381" i="729"/>
  <c r="O381" i="729" s="1"/>
  <c r="K381" i="729"/>
  <c r="J381" i="729"/>
  <c r="I381" i="729"/>
  <c r="L381" i="729" s="1"/>
  <c r="H381" i="729"/>
  <c r="G381" i="729"/>
  <c r="O380" i="729"/>
  <c r="N380" i="729"/>
  <c r="M380" i="729"/>
  <c r="K380" i="729"/>
  <c r="J380" i="729"/>
  <c r="I380" i="729"/>
  <c r="L380" i="729" s="1"/>
  <c r="H380" i="729"/>
  <c r="G380" i="729"/>
  <c r="O379" i="729"/>
  <c r="N379" i="729"/>
  <c r="M379" i="729"/>
  <c r="L379" i="729"/>
  <c r="K379" i="729"/>
  <c r="J379" i="729"/>
  <c r="I379" i="729"/>
  <c r="H379" i="729"/>
  <c r="G379" i="729"/>
  <c r="O378" i="729"/>
  <c r="N378" i="729"/>
  <c r="M378" i="729"/>
  <c r="L378" i="729"/>
  <c r="K378" i="729"/>
  <c r="J378" i="729"/>
  <c r="I378" i="729"/>
  <c r="H378" i="729"/>
  <c r="G378" i="729"/>
  <c r="N377" i="729"/>
  <c r="M377" i="729"/>
  <c r="O377" i="729" s="1"/>
  <c r="K377" i="729"/>
  <c r="J377" i="729"/>
  <c r="I377" i="729"/>
  <c r="L377" i="729" s="1"/>
  <c r="H377" i="729"/>
  <c r="G377" i="729"/>
  <c r="O376" i="729"/>
  <c r="N376" i="729"/>
  <c r="M376" i="729"/>
  <c r="K376" i="729"/>
  <c r="J376" i="729"/>
  <c r="I376" i="729"/>
  <c r="L376" i="729" s="1"/>
  <c r="H376" i="729"/>
  <c r="G376" i="729"/>
  <c r="O375" i="729"/>
  <c r="N375" i="729"/>
  <c r="M375" i="729"/>
  <c r="L375" i="729"/>
  <c r="K375" i="729"/>
  <c r="J375" i="729"/>
  <c r="I375" i="729"/>
  <c r="H375" i="729"/>
  <c r="G375" i="729"/>
  <c r="O374" i="729"/>
  <c r="N374" i="729"/>
  <c r="M374" i="729"/>
  <c r="L374" i="729"/>
  <c r="K374" i="729"/>
  <c r="J374" i="729"/>
  <c r="I374" i="729"/>
  <c r="H374" i="729"/>
  <c r="G374" i="729"/>
  <c r="N373" i="729"/>
  <c r="M373" i="729"/>
  <c r="O373" i="729" s="1"/>
  <c r="K373" i="729"/>
  <c r="J373" i="729"/>
  <c r="I373" i="729"/>
  <c r="L373" i="729" s="1"/>
  <c r="H373" i="729"/>
  <c r="G373" i="729"/>
  <c r="O372" i="729"/>
  <c r="N372" i="729"/>
  <c r="M372" i="729"/>
  <c r="K372" i="729"/>
  <c r="J372" i="729"/>
  <c r="I372" i="729"/>
  <c r="L372" i="729" s="1"/>
  <c r="H372" i="729"/>
  <c r="G372" i="729"/>
  <c r="O371" i="729"/>
  <c r="N371" i="729"/>
  <c r="M371" i="729"/>
  <c r="L371" i="729"/>
  <c r="K371" i="729"/>
  <c r="J371" i="729"/>
  <c r="I371" i="729"/>
  <c r="H371" i="729"/>
  <c r="G371" i="729"/>
  <c r="O370" i="729"/>
  <c r="N370" i="729"/>
  <c r="M370" i="729"/>
  <c r="L370" i="729"/>
  <c r="K370" i="729"/>
  <c r="J370" i="729"/>
  <c r="I370" i="729"/>
  <c r="H370" i="729"/>
  <c r="G370" i="729"/>
  <c r="N369" i="729"/>
  <c r="M369" i="729"/>
  <c r="O369" i="729" s="1"/>
  <c r="K369" i="729"/>
  <c r="J369" i="729"/>
  <c r="I369" i="729"/>
  <c r="L369" i="729" s="1"/>
  <c r="H369" i="729"/>
  <c r="G369" i="729"/>
  <c r="O368" i="729"/>
  <c r="N368" i="729"/>
  <c r="M368" i="729"/>
  <c r="K368" i="729"/>
  <c r="J368" i="729"/>
  <c r="I368" i="729"/>
  <c r="L368" i="729" s="1"/>
  <c r="H368" i="729"/>
  <c r="G368" i="729"/>
  <c r="O367" i="729"/>
  <c r="N367" i="729"/>
  <c r="M367" i="729"/>
  <c r="L367" i="729"/>
  <c r="K367" i="729"/>
  <c r="J367" i="729"/>
  <c r="I367" i="729"/>
  <c r="H367" i="729"/>
  <c r="G367" i="729"/>
  <c r="O366" i="729"/>
  <c r="N366" i="729"/>
  <c r="M366" i="729"/>
  <c r="L366" i="729"/>
  <c r="K366" i="729"/>
  <c r="J366" i="729"/>
  <c r="I366" i="729"/>
  <c r="H366" i="729"/>
  <c r="G366" i="729"/>
  <c r="N365" i="729"/>
  <c r="M365" i="729"/>
  <c r="O365" i="729" s="1"/>
  <c r="K365" i="729"/>
  <c r="J365" i="729"/>
  <c r="I365" i="729"/>
  <c r="L365" i="729" s="1"/>
  <c r="H365" i="729"/>
  <c r="G365" i="729"/>
  <c r="O364" i="729"/>
  <c r="N364" i="729"/>
  <c r="M364" i="729"/>
  <c r="K364" i="729"/>
  <c r="J364" i="729"/>
  <c r="I364" i="729"/>
  <c r="L364" i="729" s="1"/>
  <c r="H364" i="729"/>
  <c r="G364" i="729"/>
  <c r="O363" i="729"/>
  <c r="N363" i="729"/>
  <c r="M363" i="729"/>
  <c r="L363" i="729"/>
  <c r="K363" i="729"/>
  <c r="J363" i="729"/>
  <c r="I363" i="729"/>
  <c r="H363" i="729"/>
  <c r="G363" i="729"/>
  <c r="O362" i="729"/>
  <c r="N362" i="729"/>
  <c r="M362" i="729"/>
  <c r="L362" i="729"/>
  <c r="K362" i="729"/>
  <c r="J362" i="729"/>
  <c r="I362" i="729"/>
  <c r="H362" i="729"/>
  <c r="G362" i="729"/>
  <c r="N361" i="729"/>
  <c r="M361" i="729"/>
  <c r="O361" i="729" s="1"/>
  <c r="K361" i="729"/>
  <c r="J361" i="729"/>
  <c r="I361" i="729"/>
  <c r="L361" i="729" s="1"/>
  <c r="H361" i="729"/>
  <c r="G361" i="729"/>
  <c r="O360" i="729"/>
  <c r="N360" i="729"/>
  <c r="M360" i="729"/>
  <c r="K360" i="729"/>
  <c r="J360" i="729"/>
  <c r="I360" i="729"/>
  <c r="L360" i="729" s="1"/>
  <c r="H360" i="729"/>
  <c r="G360" i="729"/>
  <c r="O359" i="729"/>
  <c r="N359" i="729"/>
  <c r="M359" i="729"/>
  <c r="L359" i="729"/>
  <c r="K359" i="729"/>
  <c r="J359" i="729"/>
  <c r="I359" i="729"/>
  <c r="H359" i="729"/>
  <c r="G359" i="729"/>
  <c r="O358" i="729"/>
  <c r="N358" i="729"/>
  <c r="M358" i="729"/>
  <c r="L358" i="729"/>
  <c r="K358" i="729"/>
  <c r="J358" i="729"/>
  <c r="I358" i="729"/>
  <c r="H358" i="729"/>
  <c r="G358" i="729"/>
  <c r="N357" i="729"/>
  <c r="M357" i="729"/>
  <c r="O357" i="729" s="1"/>
  <c r="K357" i="729"/>
  <c r="J357" i="729"/>
  <c r="I357" i="729"/>
  <c r="L357" i="729" s="1"/>
  <c r="H357" i="729"/>
  <c r="G357" i="729"/>
  <c r="O356" i="729"/>
  <c r="N356" i="729"/>
  <c r="M356" i="729"/>
  <c r="K356" i="729"/>
  <c r="J356" i="729"/>
  <c r="I356" i="729"/>
  <c r="L356" i="729" s="1"/>
  <c r="H356" i="729"/>
  <c r="G356" i="729"/>
  <c r="O355" i="729"/>
  <c r="N355" i="729"/>
  <c r="M355" i="729"/>
  <c r="L355" i="729"/>
  <c r="K355" i="729"/>
  <c r="J355" i="729"/>
  <c r="I355" i="729"/>
  <c r="H355" i="729"/>
  <c r="G355" i="729"/>
  <c r="O354" i="729"/>
  <c r="N354" i="729"/>
  <c r="M354" i="729"/>
  <c r="L354" i="729"/>
  <c r="K354" i="729"/>
  <c r="J354" i="729"/>
  <c r="I354" i="729"/>
  <c r="H354" i="729"/>
  <c r="G354" i="729"/>
  <c r="N353" i="729"/>
  <c r="M353" i="729"/>
  <c r="O353" i="729" s="1"/>
  <c r="K353" i="729"/>
  <c r="J353" i="729"/>
  <c r="I353" i="729"/>
  <c r="L353" i="729" s="1"/>
  <c r="H353" i="729"/>
  <c r="G353" i="729"/>
  <c r="O352" i="729"/>
  <c r="N352" i="729"/>
  <c r="M352" i="729"/>
  <c r="K352" i="729"/>
  <c r="J352" i="729"/>
  <c r="I352" i="729"/>
  <c r="L352" i="729" s="1"/>
  <c r="H352" i="729"/>
  <c r="G352" i="729"/>
  <c r="O351" i="729"/>
  <c r="N351" i="729"/>
  <c r="M351" i="729"/>
  <c r="L351" i="729"/>
  <c r="K351" i="729"/>
  <c r="J351" i="729"/>
  <c r="I351" i="729"/>
  <c r="H351" i="729"/>
  <c r="G351" i="729"/>
  <c r="O350" i="729"/>
  <c r="N350" i="729"/>
  <c r="M350" i="729"/>
  <c r="L350" i="729"/>
  <c r="K350" i="729"/>
  <c r="J350" i="729"/>
  <c r="I350" i="729"/>
  <c r="H350" i="729"/>
  <c r="G350" i="729"/>
  <c r="N349" i="729"/>
  <c r="M349" i="729"/>
  <c r="O349" i="729" s="1"/>
  <c r="K349" i="729"/>
  <c r="J349" i="729"/>
  <c r="I349" i="729"/>
  <c r="L349" i="729" s="1"/>
  <c r="H349" i="729"/>
  <c r="G349" i="729"/>
  <c r="O348" i="729"/>
  <c r="N348" i="729"/>
  <c r="M348" i="729"/>
  <c r="K348" i="729"/>
  <c r="J348" i="729"/>
  <c r="I348" i="729"/>
  <c r="L348" i="729" s="1"/>
  <c r="H348" i="729"/>
  <c r="G348" i="729"/>
  <c r="O347" i="729"/>
  <c r="N347" i="729"/>
  <c r="M347" i="729"/>
  <c r="L347" i="729"/>
  <c r="K347" i="729"/>
  <c r="J347" i="729"/>
  <c r="I347" i="729"/>
  <c r="H347" i="729"/>
  <c r="G347" i="729"/>
  <c r="O346" i="729"/>
  <c r="N346" i="729"/>
  <c r="M346" i="729"/>
  <c r="L346" i="729"/>
  <c r="K346" i="729"/>
  <c r="J346" i="729"/>
  <c r="I346" i="729"/>
  <c r="H346" i="729"/>
  <c r="G346" i="729"/>
  <c r="N345" i="729"/>
  <c r="M345" i="729"/>
  <c r="O345" i="729" s="1"/>
  <c r="K345" i="729"/>
  <c r="J345" i="729"/>
  <c r="I345" i="729"/>
  <c r="L345" i="729" s="1"/>
  <c r="H345" i="729"/>
  <c r="G345" i="729"/>
  <c r="O344" i="729"/>
  <c r="N344" i="729"/>
  <c r="M344" i="729"/>
  <c r="K344" i="729"/>
  <c r="J344" i="729"/>
  <c r="I344" i="729"/>
  <c r="L344" i="729" s="1"/>
  <c r="H344" i="729"/>
  <c r="G344" i="729"/>
  <c r="O343" i="729"/>
  <c r="N343" i="729"/>
  <c r="M343" i="729"/>
  <c r="L343" i="729"/>
  <c r="K343" i="729"/>
  <c r="J343" i="729"/>
  <c r="I343" i="729"/>
  <c r="H343" i="729"/>
  <c r="G343" i="729"/>
  <c r="O342" i="729"/>
  <c r="N342" i="729"/>
  <c r="M342" i="729"/>
  <c r="L342" i="729"/>
  <c r="K342" i="729"/>
  <c r="J342" i="729"/>
  <c r="I342" i="729"/>
  <c r="H342" i="729"/>
  <c r="G342" i="729"/>
  <c r="N341" i="729"/>
  <c r="M341" i="729"/>
  <c r="O341" i="729" s="1"/>
  <c r="K341" i="729"/>
  <c r="J341" i="729"/>
  <c r="I341" i="729"/>
  <c r="L341" i="729" s="1"/>
  <c r="H341" i="729"/>
  <c r="G341" i="729"/>
  <c r="O340" i="729"/>
  <c r="N340" i="729"/>
  <c r="M340" i="729"/>
  <c r="K340" i="729"/>
  <c r="J340" i="729"/>
  <c r="I340" i="729"/>
  <c r="L340" i="729" s="1"/>
  <c r="H340" i="729"/>
  <c r="G340" i="729"/>
  <c r="O339" i="729"/>
  <c r="N339" i="729"/>
  <c r="M339" i="729"/>
  <c r="L339" i="729"/>
  <c r="K339" i="729"/>
  <c r="J339" i="729"/>
  <c r="I339" i="729"/>
  <c r="H339" i="729"/>
  <c r="G339" i="729"/>
  <c r="O338" i="729"/>
  <c r="N338" i="729"/>
  <c r="M338" i="729"/>
  <c r="L338" i="729"/>
  <c r="K338" i="729"/>
  <c r="J338" i="729"/>
  <c r="I338" i="729"/>
  <c r="H338" i="729"/>
  <c r="G338" i="729"/>
  <c r="N337" i="729"/>
  <c r="M337" i="729"/>
  <c r="O337" i="729" s="1"/>
  <c r="K337" i="729"/>
  <c r="J337" i="729"/>
  <c r="I337" i="729"/>
  <c r="L337" i="729" s="1"/>
  <c r="H337" i="729"/>
  <c r="G337" i="729"/>
  <c r="O336" i="729"/>
  <c r="N336" i="729"/>
  <c r="M336" i="729"/>
  <c r="K336" i="729"/>
  <c r="J336" i="729"/>
  <c r="I336" i="729"/>
  <c r="L336" i="729" s="1"/>
  <c r="H336" i="729"/>
  <c r="G336" i="729"/>
  <c r="O335" i="729"/>
  <c r="N335" i="729"/>
  <c r="M335" i="729"/>
  <c r="L335" i="729"/>
  <c r="K335" i="729"/>
  <c r="J335" i="729"/>
  <c r="I335" i="729"/>
  <c r="H335" i="729"/>
  <c r="G335" i="729"/>
  <c r="O334" i="729"/>
  <c r="N334" i="729"/>
  <c r="M334" i="729"/>
  <c r="L334" i="729"/>
  <c r="K334" i="729"/>
  <c r="J334" i="729"/>
  <c r="I334" i="729"/>
  <c r="H334" i="729"/>
  <c r="G334" i="729"/>
  <c r="N333" i="729"/>
  <c r="M333" i="729"/>
  <c r="O333" i="729" s="1"/>
  <c r="K333" i="729"/>
  <c r="J333" i="729"/>
  <c r="I333" i="729"/>
  <c r="L333" i="729" s="1"/>
  <c r="H333" i="729"/>
  <c r="G333" i="729"/>
  <c r="O332" i="729"/>
  <c r="N332" i="729"/>
  <c r="M332" i="729"/>
  <c r="K332" i="729"/>
  <c r="J332" i="729"/>
  <c r="I332" i="729"/>
  <c r="L332" i="729" s="1"/>
  <c r="H332" i="729"/>
  <c r="G332" i="729"/>
  <c r="O331" i="729"/>
  <c r="N331" i="729"/>
  <c r="M331" i="729"/>
  <c r="L331" i="729"/>
  <c r="K331" i="729"/>
  <c r="J331" i="729"/>
  <c r="I331" i="729"/>
  <c r="H331" i="729"/>
  <c r="G331" i="729"/>
  <c r="O330" i="729"/>
  <c r="N330" i="729"/>
  <c r="M330" i="729"/>
  <c r="L330" i="729"/>
  <c r="K330" i="729"/>
  <c r="J330" i="729"/>
  <c r="I330" i="729"/>
  <c r="H330" i="729"/>
  <c r="G330" i="729"/>
  <c r="N329" i="729"/>
  <c r="M329" i="729"/>
  <c r="O329" i="729" s="1"/>
  <c r="K329" i="729"/>
  <c r="J329" i="729"/>
  <c r="I329" i="729"/>
  <c r="L329" i="729" s="1"/>
  <c r="H329" i="729"/>
  <c r="G329" i="729"/>
  <c r="O328" i="729"/>
  <c r="N328" i="729"/>
  <c r="M328" i="729"/>
  <c r="K328" i="729"/>
  <c r="J328" i="729"/>
  <c r="I328" i="729"/>
  <c r="L328" i="729" s="1"/>
  <c r="H328" i="729"/>
  <c r="G328" i="729"/>
  <c r="O327" i="729"/>
  <c r="N327" i="729"/>
  <c r="M327" i="729"/>
  <c r="L327" i="729"/>
  <c r="K327" i="729"/>
  <c r="J327" i="729"/>
  <c r="I327" i="729"/>
  <c r="H327" i="729"/>
  <c r="G327" i="729"/>
  <c r="O326" i="729"/>
  <c r="N326" i="729"/>
  <c r="M326" i="729"/>
  <c r="L326" i="729"/>
  <c r="K326" i="729"/>
  <c r="J326" i="729"/>
  <c r="I326" i="729"/>
  <c r="H326" i="729"/>
  <c r="G326" i="729"/>
  <c r="N325" i="729"/>
  <c r="M325" i="729"/>
  <c r="O325" i="729" s="1"/>
  <c r="K325" i="729"/>
  <c r="J325" i="729"/>
  <c r="I325" i="729"/>
  <c r="L325" i="729" s="1"/>
  <c r="H325" i="729"/>
  <c r="G325" i="729"/>
  <c r="O324" i="729"/>
  <c r="N324" i="729"/>
  <c r="M324" i="729"/>
  <c r="K324" i="729"/>
  <c r="J324" i="729"/>
  <c r="I324" i="729"/>
  <c r="L324" i="729" s="1"/>
  <c r="H324" i="729"/>
  <c r="G324" i="729"/>
  <c r="O323" i="729"/>
  <c r="N323" i="729"/>
  <c r="M323" i="729"/>
  <c r="L323" i="729"/>
  <c r="K323" i="729"/>
  <c r="J323" i="729"/>
  <c r="I323" i="729"/>
  <c r="H323" i="729"/>
  <c r="G323" i="729"/>
  <c r="O322" i="729"/>
  <c r="N322" i="729"/>
  <c r="M322" i="729"/>
  <c r="L322" i="729"/>
  <c r="K322" i="729"/>
  <c r="J322" i="729"/>
  <c r="I322" i="729"/>
  <c r="H322" i="729"/>
  <c r="G322" i="729"/>
  <c r="N321" i="729"/>
  <c r="M321" i="729"/>
  <c r="O321" i="729" s="1"/>
  <c r="K321" i="729"/>
  <c r="J321" i="729"/>
  <c r="I321" i="729"/>
  <c r="L321" i="729" s="1"/>
  <c r="H321" i="729"/>
  <c r="G321" i="729"/>
  <c r="O320" i="729"/>
  <c r="N320" i="729"/>
  <c r="M320" i="729"/>
  <c r="K320" i="729"/>
  <c r="J320" i="729"/>
  <c r="I320" i="729"/>
  <c r="L320" i="729" s="1"/>
  <c r="H320" i="729"/>
  <c r="G320" i="729"/>
  <c r="O319" i="729"/>
  <c r="N319" i="729"/>
  <c r="M319" i="729"/>
  <c r="L319" i="729"/>
  <c r="K319" i="729"/>
  <c r="J319" i="729"/>
  <c r="I319" i="729"/>
  <c r="H319" i="729"/>
  <c r="G319" i="729"/>
  <c r="O318" i="729"/>
  <c r="N318" i="729"/>
  <c r="M318" i="729"/>
  <c r="L318" i="729"/>
  <c r="K318" i="729"/>
  <c r="J318" i="729"/>
  <c r="I318" i="729"/>
  <c r="H318" i="729"/>
  <c r="G318" i="729"/>
  <c r="N317" i="729"/>
  <c r="M317" i="729"/>
  <c r="O317" i="729" s="1"/>
  <c r="K317" i="729"/>
  <c r="J317" i="729"/>
  <c r="I317" i="729"/>
  <c r="L317" i="729" s="1"/>
  <c r="H317" i="729"/>
  <c r="G317" i="729"/>
  <c r="O316" i="729"/>
  <c r="N316" i="729"/>
  <c r="M316" i="729"/>
  <c r="K316" i="729"/>
  <c r="J316" i="729"/>
  <c r="I316" i="729"/>
  <c r="L316" i="729" s="1"/>
  <c r="H316" i="729"/>
  <c r="G316" i="729"/>
  <c r="O315" i="729"/>
  <c r="N315" i="729"/>
  <c r="M315" i="729"/>
  <c r="L315" i="729"/>
  <c r="K315" i="729"/>
  <c r="J315" i="729"/>
  <c r="I315" i="729"/>
  <c r="H315" i="729"/>
  <c r="G315" i="729"/>
  <c r="O314" i="729"/>
  <c r="N314" i="729"/>
  <c r="M314" i="729"/>
  <c r="L314" i="729"/>
  <c r="K314" i="729"/>
  <c r="J314" i="729"/>
  <c r="I314" i="729"/>
  <c r="H314" i="729"/>
  <c r="G314" i="729"/>
  <c r="N313" i="729"/>
  <c r="M313" i="729"/>
  <c r="O313" i="729" s="1"/>
  <c r="K313" i="729"/>
  <c r="J313" i="729"/>
  <c r="I313" i="729"/>
  <c r="L313" i="729" s="1"/>
  <c r="H313" i="729"/>
  <c r="G313" i="729"/>
  <c r="O312" i="729"/>
  <c r="N312" i="729"/>
  <c r="M312" i="729"/>
  <c r="K312" i="729"/>
  <c r="J312" i="729"/>
  <c r="I312" i="729"/>
  <c r="L312" i="729" s="1"/>
  <c r="H312" i="729"/>
  <c r="G312" i="729"/>
  <c r="O311" i="729"/>
  <c r="N311" i="729"/>
  <c r="M311" i="729"/>
  <c r="L311" i="729"/>
  <c r="K311" i="729"/>
  <c r="J311" i="729"/>
  <c r="I311" i="729"/>
  <c r="H311" i="729"/>
  <c r="G311" i="729"/>
  <c r="O310" i="729"/>
  <c r="N310" i="729"/>
  <c r="M310" i="729"/>
  <c r="L310" i="729"/>
  <c r="K310" i="729"/>
  <c r="J310" i="729"/>
  <c r="I310" i="729"/>
  <c r="H310" i="729"/>
  <c r="G310" i="729"/>
  <c r="N309" i="729"/>
  <c r="M309" i="729"/>
  <c r="O309" i="729" s="1"/>
  <c r="K309" i="729"/>
  <c r="J309" i="729"/>
  <c r="I309" i="729"/>
  <c r="L309" i="729" s="1"/>
  <c r="H309" i="729"/>
  <c r="G309" i="729"/>
  <c r="O308" i="729"/>
  <c r="N308" i="729"/>
  <c r="M308" i="729"/>
  <c r="K308" i="729"/>
  <c r="J308" i="729"/>
  <c r="I308" i="729"/>
  <c r="L308" i="729" s="1"/>
  <c r="H308" i="729"/>
  <c r="G308" i="729"/>
  <c r="O307" i="729"/>
  <c r="N307" i="729"/>
  <c r="M307" i="729"/>
  <c r="L307" i="729"/>
  <c r="K307" i="729"/>
  <c r="J307" i="729"/>
  <c r="I307" i="729"/>
  <c r="H307" i="729"/>
  <c r="G307" i="729"/>
  <c r="O306" i="729"/>
  <c r="N306" i="729"/>
  <c r="M306" i="729"/>
  <c r="L306" i="729"/>
  <c r="K306" i="729"/>
  <c r="J306" i="729"/>
  <c r="I306" i="729"/>
  <c r="H306" i="729"/>
  <c r="G306" i="729"/>
  <c r="N305" i="729"/>
  <c r="M305" i="729"/>
  <c r="O305" i="729" s="1"/>
  <c r="K305" i="729"/>
  <c r="J305" i="729"/>
  <c r="I305" i="729"/>
  <c r="L305" i="729" s="1"/>
  <c r="H305" i="729"/>
  <c r="G305" i="729"/>
  <c r="O304" i="729"/>
  <c r="N304" i="729"/>
  <c r="M304" i="729"/>
  <c r="K304" i="729"/>
  <c r="J304" i="729"/>
  <c r="I304" i="729"/>
  <c r="L304" i="729" s="1"/>
  <c r="H304" i="729"/>
  <c r="G304" i="729"/>
  <c r="O303" i="729"/>
  <c r="N303" i="729"/>
  <c r="M303" i="729"/>
  <c r="L303" i="729"/>
  <c r="K303" i="729"/>
  <c r="J303" i="729"/>
  <c r="I303" i="729"/>
  <c r="H303" i="729"/>
  <c r="G303" i="729"/>
  <c r="O302" i="729"/>
  <c r="N302" i="729"/>
  <c r="M302" i="729"/>
  <c r="L302" i="729"/>
  <c r="K302" i="729"/>
  <c r="J302" i="729"/>
  <c r="I302" i="729"/>
  <c r="H302" i="729"/>
  <c r="G302" i="729"/>
  <c r="N301" i="729"/>
  <c r="M301" i="729"/>
  <c r="O301" i="729" s="1"/>
  <c r="K301" i="729"/>
  <c r="J301" i="729"/>
  <c r="I301" i="729"/>
  <c r="L301" i="729" s="1"/>
  <c r="H301" i="729"/>
  <c r="G301" i="729"/>
  <c r="O300" i="729"/>
  <c r="N300" i="729"/>
  <c r="M300" i="729"/>
  <c r="K300" i="729"/>
  <c r="J300" i="729"/>
  <c r="I300" i="729"/>
  <c r="L300" i="729" s="1"/>
  <c r="H300" i="729"/>
  <c r="G300" i="729"/>
  <c r="O299" i="729"/>
  <c r="N299" i="729"/>
  <c r="M299" i="729"/>
  <c r="L299" i="729"/>
  <c r="K299" i="729"/>
  <c r="J299" i="729"/>
  <c r="I299" i="729"/>
  <c r="H299" i="729"/>
  <c r="G299" i="729"/>
  <c r="O298" i="729"/>
  <c r="N298" i="729"/>
  <c r="M298" i="729"/>
  <c r="L298" i="729"/>
  <c r="K298" i="729"/>
  <c r="J298" i="729"/>
  <c r="I298" i="729"/>
  <c r="H298" i="729"/>
  <c r="G298" i="729"/>
  <c r="N297" i="729"/>
  <c r="M297" i="729"/>
  <c r="O297" i="729" s="1"/>
  <c r="K297" i="729"/>
  <c r="J297" i="729"/>
  <c r="I297" i="729"/>
  <c r="L297" i="729" s="1"/>
  <c r="H297" i="729"/>
  <c r="G297" i="729"/>
  <c r="O296" i="729"/>
  <c r="N296" i="729"/>
  <c r="M296" i="729"/>
  <c r="K296" i="729"/>
  <c r="J296" i="729"/>
  <c r="I296" i="729"/>
  <c r="L296" i="729" s="1"/>
  <c r="H296" i="729"/>
  <c r="G296" i="729"/>
  <c r="O295" i="729"/>
  <c r="N295" i="729"/>
  <c r="M295" i="729"/>
  <c r="L295" i="729"/>
  <c r="K295" i="729"/>
  <c r="J295" i="729"/>
  <c r="I295" i="729"/>
  <c r="H295" i="729"/>
  <c r="G295" i="729"/>
  <c r="O294" i="729"/>
  <c r="N294" i="729"/>
  <c r="M294" i="729"/>
  <c r="L294" i="729"/>
  <c r="K294" i="729"/>
  <c r="J294" i="729"/>
  <c r="I294" i="729"/>
  <c r="H294" i="729"/>
  <c r="G294" i="729"/>
  <c r="N293" i="729"/>
  <c r="M293" i="729"/>
  <c r="O293" i="729" s="1"/>
  <c r="K293" i="729"/>
  <c r="J293" i="729"/>
  <c r="I293" i="729"/>
  <c r="L293" i="729" s="1"/>
  <c r="H293" i="729"/>
  <c r="G293" i="729"/>
  <c r="O292" i="729"/>
  <c r="N292" i="729"/>
  <c r="M292" i="729"/>
  <c r="K292" i="729"/>
  <c r="J292" i="729"/>
  <c r="I292" i="729"/>
  <c r="L292" i="729" s="1"/>
  <c r="H292" i="729"/>
  <c r="G292" i="729"/>
  <c r="O291" i="729"/>
  <c r="N291" i="729"/>
  <c r="M291" i="729"/>
  <c r="L291" i="729"/>
  <c r="K291" i="729"/>
  <c r="J291" i="729"/>
  <c r="I291" i="729"/>
  <c r="H291" i="729"/>
  <c r="G291" i="729"/>
  <c r="O290" i="729"/>
  <c r="N290" i="729"/>
  <c r="M290" i="729"/>
  <c r="L290" i="729"/>
  <c r="K290" i="729"/>
  <c r="J290" i="729"/>
  <c r="I290" i="729"/>
  <c r="H290" i="729"/>
  <c r="G290" i="729"/>
  <c r="N289" i="729"/>
  <c r="M289" i="729"/>
  <c r="O289" i="729" s="1"/>
  <c r="K289" i="729"/>
  <c r="J289" i="729"/>
  <c r="I289" i="729"/>
  <c r="L289" i="729" s="1"/>
  <c r="H289" i="729"/>
  <c r="G289" i="729"/>
  <c r="O288" i="729"/>
  <c r="N288" i="729"/>
  <c r="M288" i="729"/>
  <c r="K288" i="729"/>
  <c r="J288" i="729"/>
  <c r="I288" i="729"/>
  <c r="L288" i="729" s="1"/>
  <c r="H288" i="729"/>
  <c r="G288" i="729"/>
  <c r="O287" i="729"/>
  <c r="N287" i="729"/>
  <c r="M287" i="729"/>
  <c r="L287" i="729"/>
  <c r="K287" i="729"/>
  <c r="J287" i="729"/>
  <c r="I287" i="729"/>
  <c r="H287" i="729"/>
  <c r="G287" i="729"/>
  <c r="O286" i="729"/>
  <c r="N286" i="729"/>
  <c r="M286" i="729"/>
  <c r="L286" i="729"/>
  <c r="K286" i="729"/>
  <c r="J286" i="729"/>
  <c r="I286" i="729"/>
  <c r="H286" i="729"/>
  <c r="G286" i="729"/>
  <c r="N285" i="729"/>
  <c r="M285" i="729"/>
  <c r="O285" i="729" s="1"/>
  <c r="K285" i="729"/>
  <c r="J285" i="729"/>
  <c r="I285" i="729"/>
  <c r="L285" i="729" s="1"/>
  <c r="H285" i="729"/>
  <c r="G285" i="729"/>
  <c r="O284" i="729"/>
  <c r="N284" i="729"/>
  <c r="M284" i="729"/>
  <c r="K284" i="729"/>
  <c r="J284" i="729"/>
  <c r="I284" i="729"/>
  <c r="L284" i="729" s="1"/>
  <c r="H284" i="729"/>
  <c r="G284" i="729"/>
  <c r="O283" i="729"/>
  <c r="N283" i="729"/>
  <c r="M283" i="729"/>
  <c r="L283" i="729"/>
  <c r="K283" i="729"/>
  <c r="J283" i="729"/>
  <c r="I283" i="729"/>
  <c r="H283" i="729"/>
  <c r="G283" i="729"/>
  <c r="O282" i="729"/>
  <c r="N282" i="729"/>
  <c r="M282" i="729"/>
  <c r="L282" i="729"/>
  <c r="K282" i="729"/>
  <c r="J282" i="729"/>
  <c r="I282" i="729"/>
  <c r="H282" i="729"/>
  <c r="G282" i="729"/>
  <c r="N281" i="729"/>
  <c r="M281" i="729"/>
  <c r="O281" i="729" s="1"/>
  <c r="K281" i="729"/>
  <c r="J281" i="729"/>
  <c r="I281" i="729"/>
  <c r="L281" i="729" s="1"/>
  <c r="H281" i="729"/>
  <c r="G281" i="729"/>
  <c r="O280" i="729"/>
  <c r="N280" i="729"/>
  <c r="M280" i="729"/>
  <c r="K280" i="729"/>
  <c r="J280" i="729"/>
  <c r="I280" i="729"/>
  <c r="L280" i="729" s="1"/>
  <c r="H280" i="729"/>
  <c r="G280" i="729"/>
  <c r="O279" i="729"/>
  <c r="N279" i="729"/>
  <c r="M279" i="729"/>
  <c r="L279" i="729"/>
  <c r="K279" i="729"/>
  <c r="J279" i="729"/>
  <c r="I279" i="729"/>
  <c r="H279" i="729"/>
  <c r="G279" i="729"/>
  <c r="O278" i="729"/>
  <c r="N278" i="729"/>
  <c r="M278" i="729"/>
  <c r="L278" i="729"/>
  <c r="K278" i="729"/>
  <c r="J278" i="729"/>
  <c r="I278" i="729"/>
  <c r="H278" i="729"/>
  <c r="G278" i="729"/>
  <c r="N277" i="729"/>
  <c r="M277" i="729"/>
  <c r="O277" i="729" s="1"/>
  <c r="K277" i="729"/>
  <c r="J277" i="729"/>
  <c r="I277" i="729"/>
  <c r="L277" i="729" s="1"/>
  <c r="H277" i="729"/>
  <c r="G277" i="729"/>
  <c r="O276" i="729"/>
  <c r="N276" i="729"/>
  <c r="M276" i="729"/>
  <c r="K276" i="729"/>
  <c r="J276" i="729"/>
  <c r="I276" i="729"/>
  <c r="L276" i="729" s="1"/>
  <c r="H276" i="729"/>
  <c r="G276" i="729"/>
  <c r="O275" i="729"/>
  <c r="N275" i="729"/>
  <c r="M275" i="729"/>
  <c r="L275" i="729"/>
  <c r="K275" i="729"/>
  <c r="J275" i="729"/>
  <c r="I275" i="729"/>
  <c r="H275" i="729"/>
  <c r="G275" i="729"/>
  <c r="O274" i="729"/>
  <c r="N274" i="729"/>
  <c r="M274" i="729"/>
  <c r="L274" i="729"/>
  <c r="K274" i="729"/>
  <c r="J274" i="729"/>
  <c r="I274" i="729"/>
  <c r="H274" i="729"/>
  <c r="G274" i="729"/>
  <c r="N273" i="729"/>
  <c r="M273" i="729"/>
  <c r="O273" i="729" s="1"/>
  <c r="K273" i="729"/>
  <c r="J273" i="729"/>
  <c r="I273" i="729"/>
  <c r="L273" i="729" s="1"/>
  <c r="H273" i="729"/>
  <c r="G273" i="729"/>
  <c r="O272" i="729"/>
  <c r="N272" i="729"/>
  <c r="M272" i="729"/>
  <c r="K272" i="729"/>
  <c r="J272" i="729"/>
  <c r="I272" i="729"/>
  <c r="L272" i="729" s="1"/>
  <c r="H272" i="729"/>
  <c r="G272" i="729"/>
  <c r="O271" i="729"/>
  <c r="N271" i="729"/>
  <c r="M271" i="729"/>
  <c r="L271" i="729"/>
  <c r="K271" i="729"/>
  <c r="J271" i="729"/>
  <c r="I271" i="729"/>
  <c r="H271" i="729"/>
  <c r="G271" i="729"/>
  <c r="O270" i="729"/>
  <c r="N270" i="729"/>
  <c r="M270" i="729"/>
  <c r="L270" i="729"/>
  <c r="K270" i="729"/>
  <c r="J270" i="729"/>
  <c r="I270" i="729"/>
  <c r="H270" i="729"/>
  <c r="G270" i="729"/>
  <c r="N269" i="729"/>
  <c r="M269" i="729"/>
  <c r="O269" i="729" s="1"/>
  <c r="K269" i="729"/>
  <c r="J269" i="729"/>
  <c r="I269" i="729"/>
  <c r="L269" i="729" s="1"/>
  <c r="H269" i="729"/>
  <c r="G269" i="729"/>
  <c r="O268" i="729"/>
  <c r="N268" i="729"/>
  <c r="M268" i="729"/>
  <c r="K268" i="729"/>
  <c r="J268" i="729"/>
  <c r="I268" i="729"/>
  <c r="L268" i="729" s="1"/>
  <c r="H268" i="729"/>
  <c r="G268" i="729"/>
  <c r="O267" i="729"/>
  <c r="N267" i="729"/>
  <c r="M267" i="729"/>
  <c r="L267" i="729"/>
  <c r="K267" i="729"/>
  <c r="J267" i="729"/>
  <c r="I267" i="729"/>
  <c r="H267" i="729"/>
  <c r="G267" i="729"/>
  <c r="O266" i="729"/>
  <c r="N266" i="729"/>
  <c r="M266" i="729"/>
  <c r="L266" i="729"/>
  <c r="K266" i="729"/>
  <c r="J266" i="729"/>
  <c r="I266" i="729"/>
  <c r="H266" i="729"/>
  <c r="G266" i="729"/>
  <c r="N265" i="729"/>
  <c r="M265" i="729"/>
  <c r="O265" i="729" s="1"/>
  <c r="K265" i="729"/>
  <c r="J265" i="729"/>
  <c r="I265" i="729"/>
  <c r="L265" i="729" s="1"/>
  <c r="H265" i="729"/>
  <c r="G265" i="729"/>
  <c r="O264" i="729"/>
  <c r="N264" i="729"/>
  <c r="M264" i="729"/>
  <c r="K264" i="729"/>
  <c r="J264" i="729"/>
  <c r="I264" i="729"/>
  <c r="L264" i="729" s="1"/>
  <c r="H264" i="729"/>
  <c r="G264" i="729"/>
  <c r="O263" i="729"/>
  <c r="N263" i="729"/>
  <c r="M263" i="729"/>
  <c r="L263" i="729"/>
  <c r="K263" i="729"/>
  <c r="J263" i="729"/>
  <c r="I263" i="729"/>
  <c r="H263" i="729"/>
  <c r="G263" i="729"/>
  <c r="O262" i="729"/>
  <c r="N262" i="729"/>
  <c r="M262" i="729"/>
  <c r="L262" i="729"/>
  <c r="K262" i="729"/>
  <c r="J262" i="729"/>
  <c r="I262" i="729"/>
  <c r="H262" i="729"/>
  <c r="G262" i="729"/>
  <c r="N261" i="729"/>
  <c r="M261" i="729"/>
  <c r="O261" i="729" s="1"/>
  <c r="K261" i="729"/>
  <c r="J261" i="729"/>
  <c r="I261" i="729"/>
  <c r="L261" i="729" s="1"/>
  <c r="H261" i="729"/>
  <c r="G261" i="729"/>
  <c r="O260" i="729"/>
  <c r="N260" i="729"/>
  <c r="M260" i="729"/>
  <c r="K260" i="729"/>
  <c r="J260" i="729"/>
  <c r="I260" i="729"/>
  <c r="L260" i="729" s="1"/>
  <c r="H260" i="729"/>
  <c r="G260" i="729"/>
  <c r="O259" i="729"/>
  <c r="N259" i="729"/>
  <c r="M259" i="729"/>
  <c r="L259" i="729"/>
  <c r="K259" i="729"/>
  <c r="J259" i="729"/>
  <c r="I259" i="729"/>
  <c r="H259" i="729"/>
  <c r="G259" i="729"/>
  <c r="O258" i="729"/>
  <c r="N258" i="729"/>
  <c r="M258" i="729"/>
  <c r="L258" i="729"/>
  <c r="K258" i="729"/>
  <c r="J258" i="729"/>
  <c r="I258" i="729"/>
  <c r="H258" i="729"/>
  <c r="G258" i="729"/>
  <c r="N257" i="729"/>
  <c r="M257" i="729"/>
  <c r="O257" i="729" s="1"/>
  <c r="K257" i="729"/>
  <c r="J257" i="729"/>
  <c r="I257" i="729"/>
  <c r="L257" i="729" s="1"/>
  <c r="H257" i="729"/>
  <c r="G257" i="729"/>
  <c r="O256" i="729"/>
  <c r="N256" i="729"/>
  <c r="M256" i="729"/>
  <c r="K256" i="729"/>
  <c r="J256" i="729"/>
  <c r="I256" i="729"/>
  <c r="L256" i="729" s="1"/>
  <c r="H256" i="729"/>
  <c r="G256" i="729"/>
  <c r="O255" i="729"/>
  <c r="N255" i="729"/>
  <c r="M255" i="729"/>
  <c r="L255" i="729"/>
  <c r="K255" i="729"/>
  <c r="J255" i="729"/>
  <c r="I255" i="729"/>
  <c r="H255" i="729"/>
  <c r="G255" i="729"/>
  <c r="O254" i="729"/>
  <c r="N254" i="729"/>
  <c r="M254" i="729"/>
  <c r="K254" i="729"/>
  <c r="J254" i="729"/>
  <c r="I254" i="729"/>
  <c r="L254" i="729" s="1"/>
  <c r="H254" i="729"/>
  <c r="G254" i="729"/>
  <c r="N253" i="729"/>
  <c r="M253" i="729"/>
  <c r="O253" i="729" s="1"/>
  <c r="K253" i="729"/>
  <c r="J253" i="729"/>
  <c r="I253" i="729"/>
  <c r="L253" i="729" s="1"/>
  <c r="H253" i="729"/>
  <c r="G253" i="729"/>
  <c r="O252" i="729"/>
  <c r="N252" i="729"/>
  <c r="M252" i="729"/>
  <c r="K252" i="729"/>
  <c r="J252" i="729"/>
  <c r="I252" i="729"/>
  <c r="L252" i="729" s="1"/>
  <c r="H252" i="729"/>
  <c r="G252" i="729"/>
  <c r="O251" i="729"/>
  <c r="N251" i="729"/>
  <c r="M251" i="729"/>
  <c r="L251" i="729"/>
  <c r="K251" i="729"/>
  <c r="J251" i="729"/>
  <c r="I251" i="729"/>
  <c r="H251" i="729"/>
  <c r="G251" i="729"/>
  <c r="O250" i="729"/>
  <c r="N250" i="729"/>
  <c r="M250" i="729"/>
  <c r="L250" i="729"/>
  <c r="K250" i="729"/>
  <c r="J250" i="729"/>
  <c r="I250" i="729"/>
  <c r="H250" i="729"/>
  <c r="G250" i="729"/>
  <c r="N249" i="729"/>
  <c r="M249" i="729"/>
  <c r="O249" i="729" s="1"/>
  <c r="K249" i="729"/>
  <c r="J249" i="729"/>
  <c r="I249" i="729"/>
  <c r="L249" i="729" s="1"/>
  <c r="H249" i="729"/>
  <c r="G249" i="729"/>
  <c r="O248" i="729"/>
  <c r="N248" i="729"/>
  <c r="M248" i="729"/>
  <c r="K248" i="729"/>
  <c r="J248" i="729"/>
  <c r="I248" i="729"/>
  <c r="L248" i="729" s="1"/>
  <c r="H248" i="729"/>
  <c r="G248" i="729"/>
  <c r="O247" i="729"/>
  <c r="N247" i="729"/>
  <c r="M247" i="729"/>
  <c r="L247" i="729"/>
  <c r="K247" i="729"/>
  <c r="J247" i="729"/>
  <c r="I247" i="729"/>
  <c r="H247" i="729"/>
  <c r="G247" i="729"/>
  <c r="O246" i="729"/>
  <c r="N246" i="729"/>
  <c r="M246" i="729"/>
  <c r="K246" i="729"/>
  <c r="J246" i="729"/>
  <c r="I246" i="729"/>
  <c r="L246" i="729" s="1"/>
  <c r="H246" i="729"/>
  <c r="G246" i="729"/>
  <c r="N245" i="729"/>
  <c r="M245" i="729"/>
  <c r="L245" i="729"/>
  <c r="K245" i="729"/>
  <c r="J245" i="729"/>
  <c r="I245" i="729"/>
  <c r="H245" i="729"/>
  <c r="G245" i="729"/>
  <c r="O244" i="729"/>
  <c r="N244" i="729"/>
  <c r="M244" i="729"/>
  <c r="K244" i="729"/>
  <c r="J244" i="729"/>
  <c r="I244" i="729"/>
  <c r="H244" i="729"/>
  <c r="G244" i="729"/>
  <c r="N243" i="729"/>
  <c r="O243" i="729" s="1"/>
  <c r="M243" i="729"/>
  <c r="K243" i="729"/>
  <c r="L243" i="729" s="1"/>
  <c r="J243" i="729"/>
  <c r="I243" i="729"/>
  <c r="H243" i="729"/>
  <c r="G243" i="729"/>
  <c r="O242" i="729"/>
  <c r="N242" i="729"/>
  <c r="M242" i="729"/>
  <c r="K242" i="729"/>
  <c r="J242" i="729"/>
  <c r="I242" i="729"/>
  <c r="L242" i="729" s="1"/>
  <c r="H242" i="729"/>
  <c r="G242" i="729"/>
  <c r="N241" i="729"/>
  <c r="M241" i="729"/>
  <c r="K241" i="729"/>
  <c r="J241" i="729"/>
  <c r="I241" i="729"/>
  <c r="L241" i="729" s="1"/>
  <c r="H241" i="729"/>
  <c r="G241" i="729"/>
  <c r="O240" i="729"/>
  <c r="N240" i="729"/>
  <c r="M240" i="729"/>
  <c r="K240" i="729"/>
  <c r="J240" i="729"/>
  <c r="I240" i="729"/>
  <c r="H240" i="729"/>
  <c r="G240" i="729"/>
  <c r="O239" i="729"/>
  <c r="N239" i="729"/>
  <c r="M239" i="729"/>
  <c r="K239" i="729"/>
  <c r="L239" i="729" s="1"/>
  <c r="J239" i="729"/>
  <c r="I239" i="729"/>
  <c r="H239" i="729"/>
  <c r="G239" i="729"/>
  <c r="O238" i="729"/>
  <c r="N238" i="729"/>
  <c r="M238" i="729"/>
  <c r="L238" i="729"/>
  <c r="K238" i="729"/>
  <c r="J238" i="729"/>
  <c r="I238" i="729"/>
  <c r="H238" i="729"/>
  <c r="G238" i="729"/>
  <c r="N237" i="729"/>
  <c r="M237" i="729"/>
  <c r="L237" i="729"/>
  <c r="K237" i="729"/>
  <c r="J237" i="729"/>
  <c r="I237" i="729"/>
  <c r="H237" i="729"/>
  <c r="G237" i="729"/>
  <c r="N236" i="729"/>
  <c r="O236" i="729" s="1"/>
  <c r="M236" i="729"/>
  <c r="K236" i="729"/>
  <c r="J236" i="729"/>
  <c r="I236" i="729"/>
  <c r="L236" i="729" s="1"/>
  <c r="H236" i="729"/>
  <c r="G236" i="729"/>
  <c r="O235" i="729"/>
  <c r="N235" i="729"/>
  <c r="M235" i="729"/>
  <c r="L235" i="729"/>
  <c r="K235" i="729"/>
  <c r="J235" i="729"/>
  <c r="I235" i="729"/>
  <c r="H235" i="729"/>
  <c r="G235" i="729"/>
  <c r="O234" i="729"/>
  <c r="N234" i="729"/>
  <c r="M234" i="729"/>
  <c r="K234" i="729"/>
  <c r="J234" i="729"/>
  <c r="I234" i="729"/>
  <c r="L234" i="729" s="1"/>
  <c r="H234" i="729"/>
  <c r="G234" i="729"/>
  <c r="N233" i="729"/>
  <c r="M233" i="729"/>
  <c r="L233" i="729"/>
  <c r="K233" i="729"/>
  <c r="J233" i="729"/>
  <c r="I233" i="729"/>
  <c r="H233" i="729"/>
  <c r="G233" i="729"/>
  <c r="O232" i="729"/>
  <c r="N232" i="729"/>
  <c r="M232" i="729"/>
  <c r="K232" i="729"/>
  <c r="J232" i="729"/>
  <c r="I232" i="729"/>
  <c r="L232" i="729" s="1"/>
  <c r="H232" i="729"/>
  <c r="G232" i="729"/>
  <c r="O231" i="729"/>
  <c r="N231" i="729"/>
  <c r="M231" i="729"/>
  <c r="K231" i="729"/>
  <c r="L231" i="729" s="1"/>
  <c r="J231" i="729"/>
  <c r="I231" i="729"/>
  <c r="H231" i="729"/>
  <c r="G231" i="729"/>
  <c r="O230" i="729"/>
  <c r="N230" i="729"/>
  <c r="M230" i="729"/>
  <c r="L230" i="729"/>
  <c r="K230" i="729"/>
  <c r="J230" i="729"/>
  <c r="I230" i="729"/>
  <c r="H230" i="729"/>
  <c r="G230" i="729"/>
  <c r="N229" i="729"/>
  <c r="M229" i="729"/>
  <c r="O229" i="729" s="1"/>
  <c r="K229" i="729"/>
  <c r="J229" i="729"/>
  <c r="I229" i="729"/>
  <c r="L229" i="729" s="1"/>
  <c r="H229" i="729"/>
  <c r="G229" i="729"/>
  <c r="O228" i="729"/>
  <c r="N228" i="729"/>
  <c r="M228" i="729"/>
  <c r="K228" i="729"/>
  <c r="J228" i="729"/>
  <c r="I228" i="729"/>
  <c r="L228" i="729" s="1"/>
  <c r="H228" i="729"/>
  <c r="G228" i="729"/>
  <c r="O227" i="729"/>
  <c r="N227" i="729"/>
  <c r="M227" i="729"/>
  <c r="K227" i="729"/>
  <c r="L227" i="729" s="1"/>
  <c r="J227" i="729"/>
  <c r="I227" i="729"/>
  <c r="H227" i="729"/>
  <c r="G227" i="729"/>
  <c r="O226" i="729"/>
  <c r="N226" i="729"/>
  <c r="M226" i="729"/>
  <c r="L226" i="729"/>
  <c r="K226" i="729"/>
  <c r="J226" i="729"/>
  <c r="I226" i="729"/>
  <c r="H226" i="729"/>
  <c r="G226" i="729"/>
  <c r="N225" i="729"/>
  <c r="M225" i="729"/>
  <c r="K225" i="729"/>
  <c r="J225" i="729"/>
  <c r="I225" i="729"/>
  <c r="L225" i="729" s="1"/>
  <c r="H225" i="729"/>
  <c r="G225" i="729"/>
  <c r="O224" i="729"/>
  <c r="N224" i="729"/>
  <c r="M224" i="729"/>
  <c r="K224" i="729"/>
  <c r="J224" i="729"/>
  <c r="I224" i="729"/>
  <c r="L224" i="729" s="1"/>
  <c r="H224" i="729"/>
  <c r="G224" i="729"/>
  <c r="O223" i="729"/>
  <c r="N223" i="729"/>
  <c r="M223" i="729"/>
  <c r="L223" i="729"/>
  <c r="K223" i="729"/>
  <c r="J223" i="729"/>
  <c r="I223" i="729"/>
  <c r="H223" i="729"/>
  <c r="G223" i="729"/>
  <c r="O222" i="729"/>
  <c r="N222" i="729"/>
  <c r="M222" i="729"/>
  <c r="K222" i="729"/>
  <c r="J222" i="729"/>
  <c r="I222" i="729"/>
  <c r="L222" i="729" s="1"/>
  <c r="H222" i="729"/>
  <c r="G222" i="729"/>
  <c r="N221" i="729"/>
  <c r="M221" i="729"/>
  <c r="L221" i="729"/>
  <c r="K221" i="729"/>
  <c r="J221" i="729"/>
  <c r="I221" i="729"/>
  <c r="H221" i="729"/>
  <c r="G221" i="729"/>
  <c r="O220" i="729"/>
  <c r="N220" i="729"/>
  <c r="M220" i="729"/>
  <c r="K220" i="729"/>
  <c r="J220" i="729"/>
  <c r="I220" i="729"/>
  <c r="H220" i="729"/>
  <c r="G220" i="729"/>
  <c r="N219" i="729"/>
  <c r="O219" i="729" s="1"/>
  <c r="M219" i="729"/>
  <c r="K219" i="729"/>
  <c r="L219" i="729" s="1"/>
  <c r="J219" i="729"/>
  <c r="I219" i="729"/>
  <c r="H219" i="729"/>
  <c r="G219" i="729"/>
  <c r="O218" i="729"/>
  <c r="N218" i="729"/>
  <c r="M218" i="729"/>
  <c r="K218" i="729"/>
  <c r="J218" i="729"/>
  <c r="I218" i="729"/>
  <c r="L218" i="729" s="1"/>
  <c r="H218" i="729"/>
  <c r="G218" i="729"/>
  <c r="N217" i="729"/>
  <c r="M217" i="729"/>
  <c r="K217" i="729"/>
  <c r="J217" i="729"/>
  <c r="I217" i="729"/>
  <c r="L217" i="729" s="1"/>
  <c r="H217" i="729"/>
  <c r="G217" i="729"/>
  <c r="N216" i="729"/>
  <c r="O216" i="729" s="1"/>
  <c r="M216" i="729"/>
  <c r="K216" i="729"/>
  <c r="J216" i="729"/>
  <c r="I216" i="729"/>
  <c r="H216" i="729"/>
  <c r="G216" i="729"/>
  <c r="O215" i="729"/>
  <c r="N215" i="729"/>
  <c r="M215" i="729"/>
  <c r="K215" i="729"/>
  <c r="L215" i="729" s="1"/>
  <c r="J215" i="729"/>
  <c r="I215" i="729"/>
  <c r="H215" i="729"/>
  <c r="G215" i="729"/>
  <c r="O214" i="729"/>
  <c r="N214" i="729"/>
  <c r="M214" i="729"/>
  <c r="L214" i="729"/>
  <c r="K214" i="729"/>
  <c r="J214" i="729"/>
  <c r="I214" i="729"/>
  <c r="H214" i="729"/>
  <c r="G214" i="729"/>
  <c r="N213" i="729"/>
  <c r="M213" i="729"/>
  <c r="L213" i="729"/>
  <c r="K213" i="729"/>
  <c r="J213" i="729"/>
  <c r="I213" i="729"/>
  <c r="H213" i="729"/>
  <c r="G213" i="729"/>
  <c r="N212" i="729"/>
  <c r="O212" i="729" s="1"/>
  <c r="M212" i="729"/>
  <c r="K212" i="729"/>
  <c r="J212" i="729"/>
  <c r="I212" i="729"/>
  <c r="L212" i="729" s="1"/>
  <c r="H212" i="729"/>
  <c r="G212" i="729"/>
  <c r="N211" i="729"/>
  <c r="M211" i="729"/>
  <c r="O211" i="729" s="1"/>
  <c r="L211" i="729"/>
  <c r="K211" i="729"/>
  <c r="J211" i="729"/>
  <c r="I211" i="729"/>
  <c r="H211" i="729"/>
  <c r="G211" i="729"/>
  <c r="O210" i="729"/>
  <c r="N210" i="729"/>
  <c r="M210" i="729"/>
  <c r="K210" i="729"/>
  <c r="J210" i="729"/>
  <c r="I210" i="729"/>
  <c r="L210" i="729" s="1"/>
  <c r="H210" i="729"/>
  <c r="G210" i="729"/>
  <c r="N209" i="729"/>
  <c r="M209" i="729"/>
  <c r="O209" i="729" s="1"/>
  <c r="L209" i="729"/>
  <c r="K209" i="729"/>
  <c r="J209" i="729"/>
  <c r="I209" i="729"/>
  <c r="H209" i="729"/>
  <c r="G209" i="729"/>
  <c r="O208" i="729"/>
  <c r="N208" i="729"/>
  <c r="M208" i="729"/>
  <c r="K208" i="729"/>
  <c r="J208" i="729"/>
  <c r="I208" i="729"/>
  <c r="L208" i="729" s="1"/>
  <c r="H208" i="729"/>
  <c r="G208" i="729"/>
  <c r="O207" i="729"/>
  <c r="N207" i="729"/>
  <c r="M207" i="729"/>
  <c r="K207" i="729"/>
  <c r="L207" i="729" s="1"/>
  <c r="J207" i="729"/>
  <c r="I207" i="729"/>
  <c r="H207" i="729"/>
  <c r="G207" i="729"/>
  <c r="O206" i="729"/>
  <c r="N206" i="729"/>
  <c r="M206" i="729"/>
  <c r="L206" i="729"/>
  <c r="K206" i="729"/>
  <c r="J206" i="729"/>
  <c r="I206" i="729"/>
  <c r="H206" i="729"/>
  <c r="G206" i="729"/>
  <c r="N205" i="729"/>
  <c r="M205" i="729"/>
  <c r="O205" i="729" s="1"/>
  <c r="K205" i="729"/>
  <c r="J205" i="729"/>
  <c r="I205" i="729"/>
  <c r="L205" i="729" s="1"/>
  <c r="H205" i="729"/>
  <c r="G205" i="729"/>
  <c r="O204" i="729"/>
  <c r="N204" i="729"/>
  <c r="M204" i="729"/>
  <c r="K204" i="729"/>
  <c r="J204" i="729"/>
  <c r="I204" i="729"/>
  <c r="L204" i="729" s="1"/>
  <c r="H204" i="729"/>
  <c r="G204" i="729"/>
  <c r="O203" i="729"/>
  <c r="N203" i="729"/>
  <c r="M203" i="729"/>
  <c r="L203" i="729"/>
  <c r="K203" i="729"/>
  <c r="J203" i="729"/>
  <c r="I203" i="729"/>
  <c r="H203" i="729"/>
  <c r="G203" i="729"/>
  <c r="O202" i="729"/>
  <c r="N202" i="729"/>
  <c r="M202" i="729"/>
  <c r="L202" i="729"/>
  <c r="K202" i="729"/>
  <c r="J202" i="729"/>
  <c r="I202" i="729"/>
  <c r="H202" i="729"/>
  <c r="G202" i="729"/>
  <c r="N201" i="729"/>
  <c r="M201" i="729"/>
  <c r="K201" i="729"/>
  <c r="J201" i="729"/>
  <c r="I201" i="729"/>
  <c r="L201" i="729" s="1"/>
  <c r="H201" i="729"/>
  <c r="G201" i="729"/>
  <c r="O200" i="729"/>
  <c r="N200" i="729"/>
  <c r="M200" i="729"/>
  <c r="K200" i="729"/>
  <c r="J200" i="729"/>
  <c r="I200" i="729"/>
  <c r="L200" i="729" s="1"/>
  <c r="H200" i="729"/>
  <c r="G200" i="729"/>
  <c r="N199" i="729"/>
  <c r="M199" i="729"/>
  <c r="O199" i="729" s="1"/>
  <c r="L199" i="729"/>
  <c r="K199" i="729"/>
  <c r="J199" i="729"/>
  <c r="I199" i="729"/>
  <c r="H199" i="729"/>
  <c r="G199" i="729"/>
  <c r="O198" i="729"/>
  <c r="N198" i="729"/>
  <c r="M198" i="729"/>
  <c r="K198" i="729"/>
  <c r="J198" i="729"/>
  <c r="I198" i="729"/>
  <c r="L198" i="729" s="1"/>
  <c r="H198" i="729"/>
  <c r="G198" i="729"/>
  <c r="N197" i="729"/>
  <c r="M197" i="729"/>
  <c r="L197" i="729"/>
  <c r="K197" i="729"/>
  <c r="J197" i="729"/>
  <c r="I197" i="729"/>
  <c r="H197" i="729"/>
  <c r="G197" i="729"/>
  <c r="O196" i="729"/>
  <c r="N196" i="729"/>
  <c r="M196" i="729"/>
  <c r="K196" i="729"/>
  <c r="J196" i="729"/>
  <c r="I196" i="729"/>
  <c r="H196" i="729"/>
  <c r="G196" i="729"/>
  <c r="N195" i="729"/>
  <c r="M195" i="729"/>
  <c r="O195" i="729" s="1"/>
  <c r="K195" i="729"/>
  <c r="J195" i="729"/>
  <c r="L195" i="729" s="1"/>
  <c r="I195" i="729"/>
  <c r="H195" i="729"/>
  <c r="G195" i="729"/>
  <c r="N194" i="729"/>
  <c r="O194" i="729" s="1"/>
  <c r="M194" i="729"/>
  <c r="K194" i="729"/>
  <c r="J194" i="729"/>
  <c r="I194" i="729"/>
  <c r="L194" i="729" s="1"/>
  <c r="H194" i="729"/>
  <c r="G194" i="729"/>
  <c r="N193" i="729"/>
  <c r="M193" i="729"/>
  <c r="K193" i="729"/>
  <c r="J193" i="729"/>
  <c r="I193" i="729"/>
  <c r="L193" i="729" s="1"/>
  <c r="H193" i="729"/>
  <c r="G193" i="729"/>
  <c r="N192" i="729"/>
  <c r="M192" i="729"/>
  <c r="O192" i="729" s="1"/>
  <c r="K192" i="729"/>
  <c r="J192" i="729"/>
  <c r="I192" i="729"/>
  <c r="H192" i="729"/>
  <c r="G192" i="729"/>
  <c r="O191" i="729"/>
  <c r="N191" i="729"/>
  <c r="M191" i="729"/>
  <c r="K191" i="729"/>
  <c r="J191" i="729"/>
  <c r="L191" i="729" s="1"/>
  <c r="I191" i="729"/>
  <c r="H191" i="729"/>
  <c r="G191" i="729"/>
  <c r="O190" i="729"/>
  <c r="N190" i="729"/>
  <c r="M190" i="729"/>
  <c r="L190" i="729"/>
  <c r="K190" i="729"/>
  <c r="J190" i="729"/>
  <c r="I190" i="729"/>
  <c r="H190" i="729"/>
  <c r="G190" i="729"/>
  <c r="N189" i="729"/>
  <c r="M189" i="729"/>
  <c r="L189" i="729"/>
  <c r="K189" i="729"/>
  <c r="J189" i="729"/>
  <c r="I189" i="729"/>
  <c r="H189" i="729"/>
  <c r="G189" i="729"/>
  <c r="N188" i="729"/>
  <c r="M188" i="729"/>
  <c r="O188" i="729" s="1"/>
  <c r="K188" i="729"/>
  <c r="J188" i="729"/>
  <c r="I188" i="729"/>
  <c r="L188" i="729" s="1"/>
  <c r="H188" i="729"/>
  <c r="G188" i="729"/>
  <c r="N187" i="729"/>
  <c r="M187" i="729"/>
  <c r="O187" i="729" s="1"/>
  <c r="K187" i="729"/>
  <c r="J187" i="729"/>
  <c r="L187" i="729" s="1"/>
  <c r="I187" i="729"/>
  <c r="H187" i="729"/>
  <c r="G187" i="729"/>
  <c r="O186" i="729"/>
  <c r="N186" i="729"/>
  <c r="M186" i="729"/>
  <c r="K186" i="729"/>
  <c r="J186" i="729"/>
  <c r="I186" i="729"/>
  <c r="L186" i="729" s="1"/>
  <c r="H186" i="729"/>
  <c r="G186" i="729"/>
  <c r="N185" i="729"/>
  <c r="M185" i="729"/>
  <c r="O185" i="729" s="1"/>
  <c r="L185" i="729"/>
  <c r="K185" i="729"/>
  <c r="J185" i="729"/>
  <c r="I185" i="729"/>
  <c r="H185" i="729"/>
  <c r="G185" i="729"/>
  <c r="O184" i="729"/>
  <c r="N184" i="729"/>
  <c r="M184" i="729"/>
  <c r="K184" i="729"/>
  <c r="J184" i="729"/>
  <c r="I184" i="729"/>
  <c r="L184" i="729" s="1"/>
  <c r="H184" i="729"/>
  <c r="G184" i="729"/>
  <c r="O183" i="729"/>
  <c r="N183" i="729"/>
  <c r="M183" i="729"/>
  <c r="K183" i="729"/>
  <c r="J183" i="729"/>
  <c r="L183" i="729" s="1"/>
  <c r="I183" i="729"/>
  <c r="H183" i="729"/>
  <c r="G183" i="729"/>
  <c r="N182" i="729"/>
  <c r="O182" i="729" s="1"/>
  <c r="M182" i="729"/>
  <c r="L182" i="729"/>
  <c r="K182" i="729"/>
  <c r="J182" i="729"/>
  <c r="I182" i="729"/>
  <c r="H182" i="729"/>
  <c r="G182" i="729"/>
  <c r="N181" i="729"/>
  <c r="M181" i="729"/>
  <c r="O181" i="729" s="1"/>
  <c r="K181" i="729"/>
  <c r="J181" i="729"/>
  <c r="I181" i="729"/>
  <c r="L181" i="729" s="1"/>
  <c r="H181" i="729"/>
  <c r="G181" i="729"/>
  <c r="N180" i="729"/>
  <c r="M180" i="729"/>
  <c r="O180" i="729" s="1"/>
  <c r="K180" i="729"/>
  <c r="J180" i="729"/>
  <c r="I180" i="729"/>
  <c r="L180" i="729" s="1"/>
  <c r="H180" i="729"/>
  <c r="G180" i="729"/>
  <c r="O179" i="729"/>
  <c r="N179" i="729"/>
  <c r="M179" i="729"/>
  <c r="L179" i="729"/>
  <c r="K179" i="729"/>
  <c r="J179" i="729"/>
  <c r="I179" i="729"/>
  <c r="H179" i="729"/>
  <c r="G179" i="729"/>
  <c r="N178" i="729"/>
  <c r="O178" i="729" s="1"/>
  <c r="M178" i="729"/>
  <c r="L178" i="729"/>
  <c r="K178" i="729"/>
  <c r="J178" i="729"/>
  <c r="I178" i="729"/>
  <c r="H178" i="729"/>
  <c r="G178" i="729"/>
  <c r="N177" i="729"/>
  <c r="M177" i="729"/>
  <c r="K177" i="729"/>
  <c r="J177" i="729"/>
  <c r="I177" i="729"/>
  <c r="L177" i="729" s="1"/>
  <c r="H177" i="729"/>
  <c r="G177" i="729"/>
  <c r="O176" i="729"/>
  <c r="N176" i="729"/>
  <c r="M176" i="729"/>
  <c r="K176" i="729"/>
  <c r="J176" i="729"/>
  <c r="I176" i="729"/>
  <c r="L176" i="729" s="1"/>
  <c r="H176" i="729"/>
  <c r="G176" i="729"/>
  <c r="N175" i="729"/>
  <c r="M175" i="729"/>
  <c r="O175" i="729" s="1"/>
  <c r="L175" i="729"/>
  <c r="K175" i="729"/>
  <c r="J175" i="729"/>
  <c r="I175" i="729"/>
  <c r="H175" i="729"/>
  <c r="G175" i="729"/>
  <c r="O174" i="729"/>
  <c r="N174" i="729"/>
  <c r="M174" i="729"/>
  <c r="K174" i="729"/>
  <c r="J174" i="729"/>
  <c r="I174" i="729"/>
  <c r="L174" i="729" s="1"/>
  <c r="H174" i="729"/>
  <c r="G174" i="729"/>
  <c r="N173" i="729"/>
  <c r="M173" i="729"/>
  <c r="L173" i="729"/>
  <c r="K173" i="729"/>
  <c r="J173" i="729"/>
  <c r="I173" i="729"/>
  <c r="H173" i="729"/>
  <c r="G173" i="729"/>
  <c r="O172" i="729"/>
  <c r="N172" i="729"/>
  <c r="M172" i="729"/>
  <c r="K172" i="729"/>
  <c r="J172" i="729"/>
  <c r="I172" i="729"/>
  <c r="H172" i="729"/>
  <c r="G172" i="729"/>
  <c r="N171" i="729"/>
  <c r="M171" i="729"/>
  <c r="O171" i="729" s="1"/>
  <c r="K171" i="729"/>
  <c r="J171" i="729"/>
  <c r="L171" i="729" s="1"/>
  <c r="I171" i="729"/>
  <c r="H171" i="729"/>
  <c r="G171" i="729"/>
  <c r="N170" i="729"/>
  <c r="O170" i="729" s="1"/>
  <c r="M170" i="729"/>
  <c r="K170" i="729"/>
  <c r="J170" i="729"/>
  <c r="I170" i="729"/>
  <c r="L170" i="729" s="1"/>
  <c r="H170" i="729"/>
  <c r="G170" i="729"/>
  <c r="N169" i="729"/>
  <c r="M169" i="729"/>
  <c r="K169" i="729"/>
  <c r="J169" i="729"/>
  <c r="I169" i="729"/>
  <c r="L169" i="729" s="1"/>
  <c r="H169" i="729"/>
  <c r="G169" i="729"/>
  <c r="N168" i="729"/>
  <c r="M168" i="729"/>
  <c r="O168" i="729" s="1"/>
  <c r="K168" i="729"/>
  <c r="J168" i="729"/>
  <c r="I168" i="729"/>
  <c r="H168" i="729"/>
  <c r="G168" i="729"/>
  <c r="O167" i="729"/>
  <c r="N167" i="729"/>
  <c r="M167" i="729"/>
  <c r="K167" i="729"/>
  <c r="J167" i="729"/>
  <c r="L167" i="729" s="1"/>
  <c r="I167" i="729"/>
  <c r="H167" i="729"/>
  <c r="G167" i="729"/>
  <c r="O166" i="729"/>
  <c r="N166" i="729"/>
  <c r="M166" i="729"/>
  <c r="L166" i="729"/>
  <c r="K166" i="729"/>
  <c r="J166" i="729"/>
  <c r="I166" i="729"/>
  <c r="H166" i="729"/>
  <c r="G166" i="729"/>
  <c r="N165" i="729"/>
  <c r="M165" i="729"/>
  <c r="L165" i="729"/>
  <c r="K165" i="729"/>
  <c r="J165" i="729"/>
  <c r="I165" i="729"/>
  <c r="H165" i="729"/>
  <c r="G165" i="729"/>
  <c r="N164" i="729"/>
  <c r="M164" i="729"/>
  <c r="O164" i="729" s="1"/>
  <c r="K164" i="729"/>
  <c r="J164" i="729"/>
  <c r="I164" i="729"/>
  <c r="L164" i="729" s="1"/>
  <c r="H164" i="729"/>
  <c r="G164" i="729"/>
  <c r="N163" i="729"/>
  <c r="M163" i="729"/>
  <c r="O163" i="729" s="1"/>
  <c r="K163" i="729"/>
  <c r="J163" i="729"/>
  <c r="L163" i="729" s="1"/>
  <c r="I163" i="729"/>
  <c r="H163" i="729"/>
  <c r="G163" i="729"/>
  <c r="O162" i="729"/>
  <c r="N162" i="729"/>
  <c r="M162" i="729"/>
  <c r="K162" i="729"/>
  <c r="J162" i="729"/>
  <c r="I162" i="729"/>
  <c r="L162" i="729" s="1"/>
  <c r="H162" i="729"/>
  <c r="G162" i="729"/>
  <c r="N161" i="729"/>
  <c r="M161" i="729"/>
  <c r="O161" i="729" s="1"/>
  <c r="L161" i="729"/>
  <c r="K161" i="729"/>
  <c r="J161" i="729"/>
  <c r="I161" i="729"/>
  <c r="H161" i="729"/>
  <c r="G161" i="729"/>
  <c r="O160" i="729"/>
  <c r="N160" i="729"/>
  <c r="M160" i="729"/>
  <c r="K160" i="729"/>
  <c r="J160" i="729"/>
  <c r="I160" i="729"/>
  <c r="L160" i="729" s="1"/>
  <c r="H160" i="729"/>
  <c r="G160" i="729"/>
  <c r="O159" i="729"/>
  <c r="N159" i="729"/>
  <c r="M159" i="729"/>
  <c r="K159" i="729"/>
  <c r="J159" i="729"/>
  <c r="L159" i="729" s="1"/>
  <c r="I159" i="729"/>
  <c r="H159" i="729"/>
  <c r="G159" i="729"/>
  <c r="N158" i="729"/>
  <c r="M158" i="729"/>
  <c r="O158" i="729" s="1"/>
  <c r="L158" i="729"/>
  <c r="K158" i="729"/>
  <c r="J158" i="729"/>
  <c r="I158" i="729"/>
  <c r="H158" i="729"/>
  <c r="G158" i="729"/>
  <c r="N157" i="729"/>
  <c r="M157" i="729"/>
  <c r="O157" i="729" s="1"/>
  <c r="K157" i="729"/>
  <c r="J157" i="729"/>
  <c r="I157" i="729"/>
  <c r="L157" i="729" s="1"/>
  <c r="H157" i="729"/>
  <c r="G157" i="729"/>
  <c r="N156" i="729"/>
  <c r="M156" i="729"/>
  <c r="O156" i="729" s="1"/>
  <c r="K156" i="729"/>
  <c r="J156" i="729"/>
  <c r="I156" i="729"/>
  <c r="L156" i="729" s="1"/>
  <c r="H156" i="729"/>
  <c r="G156" i="729"/>
  <c r="O155" i="729"/>
  <c r="N155" i="729"/>
  <c r="M155" i="729"/>
  <c r="L155" i="729"/>
  <c r="K155" i="729"/>
  <c r="J155" i="729"/>
  <c r="I155" i="729"/>
  <c r="H155" i="729"/>
  <c r="G155" i="729"/>
  <c r="N154" i="729"/>
  <c r="M154" i="729"/>
  <c r="O154" i="729" s="1"/>
  <c r="L154" i="729"/>
  <c r="K154" i="729"/>
  <c r="J154" i="729"/>
  <c r="I154" i="729"/>
  <c r="H154" i="729"/>
  <c r="G154" i="729"/>
  <c r="N153" i="729"/>
  <c r="M153" i="729"/>
  <c r="K153" i="729"/>
  <c r="J153" i="729"/>
  <c r="I153" i="729"/>
  <c r="L153" i="729" s="1"/>
  <c r="H153" i="729"/>
  <c r="G153" i="729"/>
  <c r="O152" i="729"/>
  <c r="N152" i="729"/>
  <c r="M152" i="729"/>
  <c r="K152" i="729"/>
  <c r="J152" i="729"/>
  <c r="I152" i="729"/>
  <c r="L152" i="729" s="1"/>
  <c r="H152" i="729"/>
  <c r="G152" i="729"/>
  <c r="N151" i="729"/>
  <c r="M151" i="729"/>
  <c r="O151" i="729" s="1"/>
  <c r="L151" i="729"/>
  <c r="K151" i="729"/>
  <c r="J151" i="729"/>
  <c r="I151" i="729"/>
  <c r="H151" i="729"/>
  <c r="G151" i="729"/>
  <c r="N150" i="729"/>
  <c r="M150" i="729"/>
  <c r="O150" i="729" s="1"/>
  <c r="K150" i="729"/>
  <c r="J150" i="729"/>
  <c r="I150" i="729"/>
  <c r="L150" i="729" s="1"/>
  <c r="H150" i="729"/>
  <c r="G150" i="729"/>
  <c r="N149" i="729"/>
  <c r="M149" i="729"/>
  <c r="O149" i="729" s="1"/>
  <c r="L149" i="729"/>
  <c r="K149" i="729"/>
  <c r="J149" i="729"/>
  <c r="I149" i="729"/>
  <c r="H149" i="729"/>
  <c r="G149" i="729"/>
  <c r="O148" i="729"/>
  <c r="N148" i="729"/>
  <c r="M148" i="729"/>
  <c r="K148" i="729"/>
  <c r="J148" i="729"/>
  <c r="I148" i="729"/>
  <c r="H148" i="729"/>
  <c r="G148" i="729"/>
  <c r="N147" i="729"/>
  <c r="M147" i="729"/>
  <c r="O147" i="729" s="1"/>
  <c r="K147" i="729"/>
  <c r="J147" i="729"/>
  <c r="L147" i="729" s="1"/>
  <c r="I147" i="729"/>
  <c r="H147" i="729"/>
  <c r="G147" i="729"/>
  <c r="N146" i="729"/>
  <c r="M146" i="729"/>
  <c r="O146" i="729" s="1"/>
  <c r="K146" i="729"/>
  <c r="J146" i="729"/>
  <c r="I146" i="729"/>
  <c r="L146" i="729" s="1"/>
  <c r="H146" i="729"/>
  <c r="G146" i="729"/>
  <c r="N145" i="729"/>
  <c r="M145" i="729"/>
  <c r="K145" i="729"/>
  <c r="J145" i="729"/>
  <c r="I145" i="729"/>
  <c r="L145" i="729" s="1"/>
  <c r="H145" i="729"/>
  <c r="G145" i="729"/>
  <c r="N144" i="729"/>
  <c r="M144" i="729"/>
  <c r="O144" i="729" s="1"/>
  <c r="K144" i="729"/>
  <c r="J144" i="729"/>
  <c r="I144" i="729"/>
  <c r="H144" i="729"/>
  <c r="G144" i="729"/>
  <c r="O143" i="729"/>
  <c r="N143" i="729"/>
  <c r="M143" i="729"/>
  <c r="K143" i="729"/>
  <c r="J143" i="729"/>
  <c r="L143" i="729" s="1"/>
  <c r="I143" i="729"/>
  <c r="H143" i="729"/>
  <c r="G143" i="729"/>
  <c r="O142" i="729"/>
  <c r="N142" i="729"/>
  <c r="M142" i="729"/>
  <c r="L142" i="729"/>
  <c r="K142" i="729"/>
  <c r="J142" i="729"/>
  <c r="I142" i="729"/>
  <c r="H142" i="729"/>
  <c r="G142" i="729"/>
  <c r="N141" i="729"/>
  <c r="M141" i="729"/>
  <c r="L141" i="729"/>
  <c r="K141" i="729"/>
  <c r="J141" i="729"/>
  <c r="I141" i="729"/>
  <c r="H141" i="729"/>
  <c r="G141" i="729"/>
  <c r="N140" i="729"/>
  <c r="M140" i="729"/>
  <c r="O140" i="729" s="1"/>
  <c r="K140" i="729"/>
  <c r="J140" i="729"/>
  <c r="I140" i="729"/>
  <c r="H140" i="729"/>
  <c r="G140" i="729"/>
  <c r="N139" i="729"/>
  <c r="M139" i="729"/>
  <c r="O139" i="729" s="1"/>
  <c r="K139" i="729"/>
  <c r="J139" i="729"/>
  <c r="L139" i="729" s="1"/>
  <c r="I139" i="729"/>
  <c r="H139" i="729"/>
  <c r="G139" i="729"/>
  <c r="O138" i="729"/>
  <c r="N138" i="729"/>
  <c r="M138" i="729"/>
  <c r="K138" i="729"/>
  <c r="J138" i="729"/>
  <c r="I138" i="729"/>
  <c r="L138" i="729" s="1"/>
  <c r="H138" i="729"/>
  <c r="G138" i="729"/>
  <c r="N137" i="729"/>
  <c r="M137" i="729"/>
  <c r="O137" i="729" s="1"/>
  <c r="L137" i="729"/>
  <c r="K137" i="729"/>
  <c r="J137" i="729"/>
  <c r="I137" i="729"/>
  <c r="H137" i="729"/>
  <c r="G137" i="729"/>
  <c r="O136" i="729"/>
  <c r="N136" i="729"/>
  <c r="M136" i="729"/>
  <c r="K136" i="729"/>
  <c r="J136" i="729"/>
  <c r="I136" i="729"/>
  <c r="L136" i="729" s="1"/>
  <c r="H136" i="729"/>
  <c r="G136" i="729"/>
  <c r="O135" i="729"/>
  <c r="N135" i="729"/>
  <c r="M135" i="729"/>
  <c r="K135" i="729"/>
  <c r="J135" i="729"/>
  <c r="L135" i="729" s="1"/>
  <c r="I135" i="729"/>
  <c r="H135" i="729"/>
  <c r="G135" i="729"/>
  <c r="N134" i="729"/>
  <c r="M134" i="729"/>
  <c r="O134" i="729" s="1"/>
  <c r="L134" i="729"/>
  <c r="K134" i="729"/>
  <c r="J134" i="729"/>
  <c r="I134" i="729"/>
  <c r="H134" i="729"/>
  <c r="G134" i="729"/>
  <c r="N133" i="729"/>
  <c r="M133" i="729"/>
  <c r="O133" i="729" s="1"/>
  <c r="K133" i="729"/>
  <c r="J133" i="729"/>
  <c r="I133" i="729"/>
  <c r="L133" i="729" s="1"/>
  <c r="H133" i="729"/>
  <c r="G133" i="729"/>
  <c r="N132" i="729"/>
  <c r="M132" i="729"/>
  <c r="O132" i="729" s="1"/>
  <c r="K132" i="729"/>
  <c r="J132" i="729"/>
  <c r="I132" i="729"/>
  <c r="L132" i="729" s="1"/>
  <c r="H132" i="729"/>
  <c r="G132" i="729"/>
  <c r="O131" i="729"/>
  <c r="N131" i="729"/>
  <c r="M131" i="729"/>
  <c r="L131" i="729"/>
  <c r="K131" i="729"/>
  <c r="J131" i="729"/>
  <c r="I131" i="729"/>
  <c r="H131" i="729"/>
  <c r="G131" i="729"/>
  <c r="N130" i="729"/>
  <c r="M130" i="729"/>
  <c r="O130" i="729" s="1"/>
  <c r="L130" i="729"/>
  <c r="K130" i="729"/>
  <c r="J130" i="729"/>
  <c r="I130" i="729"/>
  <c r="H130" i="729"/>
  <c r="G130" i="729"/>
  <c r="N129" i="729"/>
  <c r="M129" i="729"/>
  <c r="K129" i="729"/>
  <c r="J129" i="729"/>
  <c r="I129" i="729"/>
  <c r="L129" i="729" s="1"/>
  <c r="H129" i="729"/>
  <c r="G129" i="729"/>
  <c r="O128" i="729"/>
  <c r="N128" i="729"/>
  <c r="M128" i="729"/>
  <c r="K128" i="729"/>
  <c r="J128" i="729"/>
  <c r="I128" i="729"/>
  <c r="H128" i="729"/>
  <c r="G128" i="729"/>
  <c r="N127" i="729"/>
  <c r="M127" i="729"/>
  <c r="O127" i="729" s="1"/>
  <c r="L127" i="729"/>
  <c r="K127" i="729"/>
  <c r="J127" i="729"/>
  <c r="I127" i="729"/>
  <c r="H127" i="729"/>
  <c r="G127" i="729"/>
  <c r="N126" i="729"/>
  <c r="M126" i="729"/>
  <c r="O126" i="729" s="1"/>
  <c r="K126" i="729"/>
  <c r="J126" i="729"/>
  <c r="I126" i="729"/>
  <c r="L126" i="729" s="1"/>
  <c r="H126" i="729"/>
  <c r="G126" i="729"/>
  <c r="N125" i="729"/>
  <c r="M125" i="729"/>
  <c r="O125" i="729" s="1"/>
  <c r="L125" i="729"/>
  <c r="K125" i="729"/>
  <c r="J125" i="729"/>
  <c r="I125" i="729"/>
  <c r="H125" i="729"/>
  <c r="G125" i="729"/>
  <c r="O124" i="729"/>
  <c r="N124" i="729"/>
  <c r="M124" i="729"/>
  <c r="K124" i="729"/>
  <c r="J124" i="729"/>
  <c r="I124" i="729"/>
  <c r="H124" i="729"/>
  <c r="G124" i="729"/>
  <c r="N123" i="729"/>
  <c r="M123" i="729"/>
  <c r="O123" i="729" s="1"/>
  <c r="K123" i="729"/>
  <c r="J123" i="729"/>
  <c r="L123" i="729" s="1"/>
  <c r="I123" i="729"/>
  <c r="H123" i="729"/>
  <c r="G123" i="729"/>
  <c r="N122" i="729"/>
  <c r="M122" i="729"/>
  <c r="O122" i="729" s="1"/>
  <c r="K122" i="729"/>
  <c r="J122" i="729"/>
  <c r="I122" i="729"/>
  <c r="L122" i="729" s="1"/>
  <c r="H122" i="729"/>
  <c r="G122" i="729"/>
  <c r="N121" i="729"/>
  <c r="M121" i="729"/>
  <c r="K121" i="729"/>
  <c r="J121" i="729"/>
  <c r="I121" i="729"/>
  <c r="L121" i="729" s="1"/>
  <c r="H121" i="729"/>
  <c r="G121" i="729"/>
  <c r="N120" i="729"/>
  <c r="M120" i="729"/>
  <c r="O120" i="729" s="1"/>
  <c r="K120" i="729"/>
  <c r="J120" i="729"/>
  <c r="I120" i="729"/>
  <c r="H120" i="729"/>
  <c r="G120" i="729"/>
  <c r="O119" i="729"/>
  <c r="N119" i="729"/>
  <c r="M119" i="729"/>
  <c r="K119" i="729"/>
  <c r="J119" i="729"/>
  <c r="L119" i="729" s="1"/>
  <c r="I119" i="729"/>
  <c r="H119" i="729"/>
  <c r="G119" i="729"/>
  <c r="O118" i="729"/>
  <c r="N118" i="729"/>
  <c r="M118" i="729"/>
  <c r="L118" i="729"/>
  <c r="K118" i="729"/>
  <c r="J118" i="729"/>
  <c r="I118" i="729"/>
  <c r="H118" i="729"/>
  <c r="G118" i="729"/>
  <c r="N117" i="729"/>
  <c r="M117" i="729"/>
  <c r="L117" i="729"/>
  <c r="K117" i="729"/>
  <c r="J117" i="729"/>
  <c r="I117" i="729"/>
  <c r="H117" i="729"/>
  <c r="G117" i="729"/>
  <c r="N116" i="729"/>
  <c r="M116" i="729"/>
  <c r="O116" i="729" s="1"/>
  <c r="K116" i="729"/>
  <c r="J116" i="729"/>
  <c r="I116" i="729"/>
  <c r="H116" i="729"/>
  <c r="G116" i="729"/>
  <c r="N115" i="729"/>
  <c r="M115" i="729"/>
  <c r="O115" i="729" s="1"/>
  <c r="K115" i="729"/>
  <c r="J115" i="729"/>
  <c r="L115" i="729" s="1"/>
  <c r="I115" i="729"/>
  <c r="H115" i="729"/>
  <c r="G115" i="729"/>
  <c r="O114" i="729"/>
  <c r="N114" i="729"/>
  <c r="M114" i="729"/>
  <c r="K114" i="729"/>
  <c r="J114" i="729"/>
  <c r="I114" i="729"/>
  <c r="L114" i="729" s="1"/>
  <c r="H114" i="729"/>
  <c r="G114" i="729"/>
  <c r="N113" i="729"/>
  <c r="M113" i="729"/>
  <c r="O113" i="729" s="1"/>
  <c r="L113" i="729"/>
  <c r="K113" i="729"/>
  <c r="J113" i="729"/>
  <c r="I113" i="729"/>
  <c r="H113" i="729"/>
  <c r="G113" i="729"/>
  <c r="O112" i="729"/>
  <c r="N112" i="729"/>
  <c r="M112" i="729"/>
  <c r="K112" i="729"/>
  <c r="J112" i="729"/>
  <c r="I112" i="729"/>
  <c r="L112" i="729" s="1"/>
  <c r="H112" i="729"/>
  <c r="G112" i="729"/>
  <c r="O111" i="729"/>
  <c r="N111" i="729"/>
  <c r="M111" i="729"/>
  <c r="K111" i="729"/>
  <c r="J111" i="729"/>
  <c r="L111" i="729" s="1"/>
  <c r="I111" i="729"/>
  <c r="H111" i="729"/>
  <c r="G111" i="729"/>
  <c r="N110" i="729"/>
  <c r="M110" i="729"/>
  <c r="O110" i="729" s="1"/>
  <c r="L110" i="729"/>
  <c r="K110" i="729"/>
  <c r="J110" i="729"/>
  <c r="I110" i="729"/>
  <c r="H110" i="729"/>
  <c r="G110" i="729"/>
  <c r="N109" i="729"/>
  <c r="M109" i="729"/>
  <c r="O109" i="729" s="1"/>
  <c r="K109" i="729"/>
  <c r="J109" i="729"/>
  <c r="I109" i="729"/>
  <c r="L109" i="729" s="1"/>
  <c r="H109" i="729"/>
  <c r="G109" i="729"/>
  <c r="N108" i="729"/>
  <c r="M108" i="729"/>
  <c r="O108" i="729" s="1"/>
  <c r="K108" i="729"/>
  <c r="J108" i="729"/>
  <c r="I108" i="729"/>
  <c r="L108" i="729" s="1"/>
  <c r="H108" i="729"/>
  <c r="G108" i="729"/>
  <c r="O107" i="729"/>
  <c r="N107" i="729"/>
  <c r="M107" i="729"/>
  <c r="L107" i="729"/>
  <c r="K107" i="729"/>
  <c r="J107" i="729"/>
  <c r="I107" i="729"/>
  <c r="H107" i="729"/>
  <c r="G107" i="729"/>
  <c r="N106" i="729"/>
  <c r="M106" i="729"/>
  <c r="O106" i="729" s="1"/>
  <c r="L106" i="729"/>
  <c r="K106" i="729"/>
  <c r="J106" i="729"/>
  <c r="I106" i="729"/>
  <c r="H106" i="729"/>
  <c r="G106" i="729"/>
  <c r="N105" i="729"/>
  <c r="M105" i="729"/>
  <c r="K105" i="729"/>
  <c r="J105" i="729"/>
  <c r="I105" i="729"/>
  <c r="L105" i="729" s="1"/>
  <c r="H105" i="729"/>
  <c r="G105" i="729"/>
  <c r="O104" i="729"/>
  <c r="N104" i="729"/>
  <c r="M104" i="729"/>
  <c r="K104" i="729"/>
  <c r="J104" i="729"/>
  <c r="I104" i="729"/>
  <c r="H104" i="729"/>
  <c r="G104" i="729"/>
  <c r="N103" i="729"/>
  <c r="M103" i="729"/>
  <c r="O103" i="729" s="1"/>
  <c r="L103" i="729"/>
  <c r="K103" i="729"/>
  <c r="J103" i="729"/>
  <c r="I103" i="729"/>
  <c r="H103" i="729"/>
  <c r="G103" i="729"/>
  <c r="N102" i="729"/>
  <c r="M102" i="729"/>
  <c r="O102" i="729" s="1"/>
  <c r="K102" i="729"/>
  <c r="J102" i="729"/>
  <c r="I102" i="729"/>
  <c r="L102" i="729" s="1"/>
  <c r="H102" i="729"/>
  <c r="G102" i="729"/>
  <c r="N101" i="729"/>
  <c r="M101" i="729"/>
  <c r="O101" i="729" s="1"/>
  <c r="L101" i="729"/>
  <c r="K101" i="729"/>
  <c r="J101" i="729"/>
  <c r="I101" i="729"/>
  <c r="H101" i="729"/>
  <c r="G101" i="729"/>
  <c r="O100" i="729"/>
  <c r="N100" i="729"/>
  <c r="M100" i="729"/>
  <c r="K100" i="729"/>
  <c r="J100" i="729"/>
  <c r="I100" i="729"/>
  <c r="H100" i="729"/>
  <c r="G100" i="729"/>
  <c r="N99" i="729"/>
  <c r="M99" i="729"/>
  <c r="O99" i="729" s="1"/>
  <c r="K99" i="729"/>
  <c r="J99" i="729"/>
  <c r="L99" i="729" s="1"/>
  <c r="I99" i="729"/>
  <c r="H99" i="729"/>
  <c r="G99" i="729"/>
  <c r="N98" i="729"/>
  <c r="M98" i="729"/>
  <c r="O98" i="729" s="1"/>
  <c r="K98" i="729"/>
  <c r="J98" i="729"/>
  <c r="I98" i="729"/>
  <c r="L98" i="729" s="1"/>
  <c r="H98" i="729"/>
  <c r="G98" i="729"/>
  <c r="N97" i="729"/>
  <c r="M97" i="729"/>
  <c r="K97" i="729"/>
  <c r="J97" i="729"/>
  <c r="I97" i="729"/>
  <c r="L97" i="729" s="1"/>
  <c r="H97" i="729"/>
  <c r="G97" i="729"/>
  <c r="N96" i="729"/>
  <c r="M96" i="729"/>
  <c r="O96" i="729" s="1"/>
  <c r="K96" i="729"/>
  <c r="J96" i="729"/>
  <c r="I96" i="729"/>
  <c r="H96" i="729"/>
  <c r="G96" i="729"/>
  <c r="O95" i="729"/>
  <c r="N95" i="729"/>
  <c r="M95" i="729"/>
  <c r="K95" i="729"/>
  <c r="J95" i="729"/>
  <c r="L95" i="729" s="1"/>
  <c r="I95" i="729"/>
  <c r="H95" i="729"/>
  <c r="G95" i="729"/>
  <c r="O94" i="729"/>
  <c r="N94" i="729"/>
  <c r="M94" i="729"/>
  <c r="L94" i="729"/>
  <c r="K94" i="729"/>
  <c r="J94" i="729"/>
  <c r="I94" i="729"/>
  <c r="H94" i="729"/>
  <c r="G94" i="729"/>
  <c r="N93" i="729"/>
  <c r="M93" i="729"/>
  <c r="K93" i="729"/>
  <c r="L93" i="729" s="1"/>
  <c r="J93" i="729"/>
  <c r="I93" i="729"/>
  <c r="H93" i="729"/>
  <c r="G93" i="729"/>
  <c r="N92" i="729"/>
  <c r="M92" i="729"/>
  <c r="O92" i="729" s="1"/>
  <c r="K92" i="729"/>
  <c r="J92" i="729"/>
  <c r="I92" i="729"/>
  <c r="H92" i="729"/>
  <c r="G92" i="729"/>
  <c r="N91" i="729"/>
  <c r="M91" i="729"/>
  <c r="O91" i="729" s="1"/>
  <c r="K91" i="729"/>
  <c r="J91" i="729"/>
  <c r="L91" i="729" s="1"/>
  <c r="I91" i="729"/>
  <c r="H91" i="729"/>
  <c r="G91" i="729"/>
  <c r="O90" i="729"/>
  <c r="N90" i="729"/>
  <c r="M90" i="729"/>
  <c r="K90" i="729"/>
  <c r="J90" i="729"/>
  <c r="I90" i="729"/>
  <c r="L90" i="729" s="1"/>
  <c r="H90" i="729"/>
  <c r="G90" i="729"/>
  <c r="N89" i="729"/>
  <c r="M89" i="729"/>
  <c r="O89" i="729" s="1"/>
  <c r="L89" i="729"/>
  <c r="K89" i="729"/>
  <c r="J89" i="729"/>
  <c r="I89" i="729"/>
  <c r="H89" i="729"/>
  <c r="G89" i="729"/>
  <c r="O88" i="729"/>
  <c r="N88" i="729"/>
  <c r="M88" i="729"/>
  <c r="K88" i="729"/>
  <c r="J88" i="729"/>
  <c r="I88" i="729"/>
  <c r="L88" i="729" s="1"/>
  <c r="H88" i="729"/>
  <c r="G88" i="729"/>
  <c r="N87" i="729"/>
  <c r="O87" i="729" s="1"/>
  <c r="M87" i="729"/>
  <c r="K87" i="729"/>
  <c r="J87" i="729"/>
  <c r="L87" i="729" s="1"/>
  <c r="I87" i="729"/>
  <c r="H87" i="729"/>
  <c r="G87" i="729"/>
  <c r="N86" i="729"/>
  <c r="M86" i="729"/>
  <c r="O86" i="729" s="1"/>
  <c r="K86" i="729"/>
  <c r="L86" i="729" s="1"/>
  <c r="J86" i="729"/>
  <c r="I86" i="729"/>
  <c r="H86" i="729"/>
  <c r="G86" i="729"/>
  <c r="N85" i="729"/>
  <c r="M85" i="729"/>
  <c r="O85" i="729" s="1"/>
  <c r="K85" i="729"/>
  <c r="J85" i="729"/>
  <c r="I85" i="729"/>
  <c r="L85" i="729" s="1"/>
  <c r="H85" i="729"/>
  <c r="G85" i="729"/>
  <c r="N84" i="729"/>
  <c r="M84" i="729"/>
  <c r="O84" i="729" s="1"/>
  <c r="K84" i="729"/>
  <c r="J84" i="729"/>
  <c r="I84" i="729"/>
  <c r="L84" i="729" s="1"/>
  <c r="H84" i="729"/>
  <c r="G84" i="729"/>
  <c r="O83" i="729"/>
  <c r="N83" i="729"/>
  <c r="M83" i="729"/>
  <c r="L83" i="729"/>
  <c r="K83" i="729"/>
  <c r="J83" i="729"/>
  <c r="I83" i="729"/>
  <c r="H83" i="729"/>
  <c r="G83" i="729"/>
  <c r="N82" i="729"/>
  <c r="M82" i="729"/>
  <c r="O82" i="729" s="1"/>
  <c r="L82" i="729"/>
  <c r="K82" i="729"/>
  <c r="J82" i="729"/>
  <c r="I82" i="729"/>
  <c r="H82" i="729"/>
  <c r="G82" i="729"/>
  <c r="N81" i="729"/>
  <c r="M81" i="729"/>
  <c r="K81" i="729"/>
  <c r="J81" i="729"/>
  <c r="I81" i="729"/>
  <c r="L81" i="729" s="1"/>
  <c r="H81" i="729"/>
  <c r="G81" i="729"/>
  <c r="N80" i="729"/>
  <c r="O80" i="729" s="1"/>
  <c r="M80" i="729"/>
  <c r="K80" i="729"/>
  <c r="J80" i="729"/>
  <c r="L80" i="729" s="1"/>
  <c r="I80" i="729"/>
  <c r="H80" i="729"/>
  <c r="G80" i="729"/>
  <c r="N79" i="729"/>
  <c r="M79" i="729"/>
  <c r="O79" i="729" s="1"/>
  <c r="K79" i="729"/>
  <c r="L79" i="729" s="1"/>
  <c r="J79" i="729"/>
  <c r="I79" i="729"/>
  <c r="H79" i="729"/>
  <c r="G79" i="729"/>
  <c r="N78" i="729"/>
  <c r="M78" i="729"/>
  <c r="O78" i="729" s="1"/>
  <c r="K78" i="729"/>
  <c r="J78" i="729"/>
  <c r="L78" i="729" s="1"/>
  <c r="I78" i="729"/>
  <c r="H78" i="729"/>
  <c r="G78" i="729"/>
  <c r="N77" i="729"/>
  <c r="M77" i="729"/>
  <c r="O77" i="729" s="1"/>
  <c r="K77" i="729"/>
  <c r="J77" i="729"/>
  <c r="I77" i="729"/>
  <c r="L77" i="729" s="1"/>
  <c r="H77" i="729"/>
  <c r="G77" i="729"/>
  <c r="N76" i="729"/>
  <c r="O76" i="729" s="1"/>
  <c r="M76" i="729"/>
  <c r="K76" i="729"/>
  <c r="J76" i="729"/>
  <c r="L76" i="729" s="1"/>
  <c r="I76" i="729"/>
  <c r="H76" i="729"/>
  <c r="G76" i="729"/>
  <c r="N75" i="729"/>
  <c r="M75" i="729"/>
  <c r="O75" i="729" s="1"/>
  <c r="K75" i="729"/>
  <c r="L75" i="729" s="1"/>
  <c r="J75" i="729"/>
  <c r="I75" i="729"/>
  <c r="H75" i="729"/>
  <c r="G75" i="729"/>
  <c r="N74" i="729"/>
  <c r="M74" i="729"/>
  <c r="O74" i="729" s="1"/>
  <c r="K74" i="729"/>
  <c r="J74" i="729"/>
  <c r="L74" i="729" s="1"/>
  <c r="I74" i="729"/>
  <c r="H74" i="729"/>
  <c r="G74" i="729"/>
  <c r="N73" i="729"/>
  <c r="M73" i="729"/>
  <c r="O73" i="729" s="1"/>
  <c r="K73" i="729"/>
  <c r="J73" i="729"/>
  <c r="I73" i="729"/>
  <c r="L73" i="729" s="1"/>
  <c r="H73" i="729"/>
  <c r="G73" i="729"/>
  <c r="N72" i="729"/>
  <c r="O72" i="729" s="1"/>
  <c r="M72" i="729"/>
  <c r="K72" i="729"/>
  <c r="J72" i="729"/>
  <c r="L72" i="729" s="1"/>
  <c r="I72" i="729"/>
  <c r="H72" i="729"/>
  <c r="G72" i="729"/>
  <c r="N71" i="729"/>
  <c r="M71" i="729"/>
  <c r="O71" i="729" s="1"/>
  <c r="K71" i="729"/>
  <c r="L71" i="729" s="1"/>
  <c r="J71" i="729"/>
  <c r="I71" i="729"/>
  <c r="H71" i="729"/>
  <c r="G71" i="729"/>
  <c r="N70" i="729"/>
  <c r="M70" i="729"/>
  <c r="O70" i="729" s="1"/>
  <c r="K70" i="729"/>
  <c r="J70" i="729"/>
  <c r="L70" i="729" s="1"/>
  <c r="I70" i="729"/>
  <c r="H70" i="729"/>
  <c r="G70" i="729"/>
  <c r="N69" i="729"/>
  <c r="M69" i="729"/>
  <c r="O69" i="729" s="1"/>
  <c r="K69" i="729"/>
  <c r="J69" i="729"/>
  <c r="I69" i="729"/>
  <c r="L69" i="729" s="1"/>
  <c r="H69" i="729"/>
  <c r="G69" i="729"/>
  <c r="N68" i="729"/>
  <c r="O68" i="729" s="1"/>
  <c r="M68" i="729"/>
  <c r="K68" i="729"/>
  <c r="J68" i="729"/>
  <c r="L68" i="729" s="1"/>
  <c r="I68" i="729"/>
  <c r="H68" i="729"/>
  <c r="G68" i="729"/>
  <c r="N67" i="729"/>
  <c r="M67" i="729"/>
  <c r="O67" i="729" s="1"/>
  <c r="K67" i="729"/>
  <c r="L67" i="729" s="1"/>
  <c r="J67" i="729"/>
  <c r="I67" i="729"/>
  <c r="H67" i="729"/>
  <c r="G67" i="729"/>
  <c r="N66" i="729"/>
  <c r="M66" i="729"/>
  <c r="O66" i="729" s="1"/>
  <c r="K66" i="729"/>
  <c r="J66" i="729"/>
  <c r="L66" i="729" s="1"/>
  <c r="I66" i="729"/>
  <c r="H66" i="729"/>
  <c r="G66" i="729"/>
  <c r="N65" i="729"/>
  <c r="M65" i="729"/>
  <c r="O65" i="729" s="1"/>
  <c r="K65" i="729"/>
  <c r="J65" i="729"/>
  <c r="I65" i="729"/>
  <c r="L65" i="729" s="1"/>
  <c r="H65" i="729"/>
  <c r="G65" i="729"/>
  <c r="N64" i="729"/>
  <c r="O64" i="729" s="1"/>
  <c r="M64" i="729"/>
  <c r="K64" i="729"/>
  <c r="J64" i="729"/>
  <c r="L64" i="729" s="1"/>
  <c r="I64" i="729"/>
  <c r="H64" i="729"/>
  <c r="G64" i="729"/>
  <c r="N63" i="729"/>
  <c r="M63" i="729"/>
  <c r="O63" i="729" s="1"/>
  <c r="K63" i="729"/>
  <c r="L63" i="729" s="1"/>
  <c r="J63" i="729"/>
  <c r="I63" i="729"/>
  <c r="H63" i="729"/>
  <c r="G63" i="729"/>
  <c r="N62" i="729"/>
  <c r="M62" i="729"/>
  <c r="O62" i="729" s="1"/>
  <c r="K62" i="729"/>
  <c r="J62" i="729"/>
  <c r="L62" i="729" s="1"/>
  <c r="I62" i="729"/>
  <c r="H62" i="729"/>
  <c r="G62" i="729"/>
  <c r="N61" i="729"/>
  <c r="M61" i="729"/>
  <c r="O61" i="729" s="1"/>
  <c r="K61" i="729"/>
  <c r="J61" i="729"/>
  <c r="I61" i="729"/>
  <c r="L61" i="729" s="1"/>
  <c r="H61" i="729"/>
  <c r="G61" i="729"/>
  <c r="N60" i="729"/>
  <c r="O60" i="729" s="1"/>
  <c r="M60" i="729"/>
  <c r="K60" i="729"/>
  <c r="J60" i="729"/>
  <c r="L60" i="729" s="1"/>
  <c r="I60" i="729"/>
  <c r="H60" i="729"/>
  <c r="G60" i="729"/>
  <c r="N59" i="729"/>
  <c r="M59" i="729"/>
  <c r="O59" i="729" s="1"/>
  <c r="K59" i="729"/>
  <c r="L59" i="729" s="1"/>
  <c r="J59" i="729"/>
  <c r="I59" i="729"/>
  <c r="H59" i="729"/>
  <c r="G59" i="729"/>
  <c r="N58" i="729"/>
  <c r="M58" i="729"/>
  <c r="O58" i="729" s="1"/>
  <c r="K58" i="729"/>
  <c r="J58" i="729"/>
  <c r="L58" i="729" s="1"/>
  <c r="I58" i="729"/>
  <c r="H58" i="729"/>
  <c r="G58" i="729"/>
  <c r="N57" i="729"/>
  <c r="M57" i="729"/>
  <c r="O57" i="729" s="1"/>
  <c r="K57" i="729"/>
  <c r="J57" i="729"/>
  <c r="I57" i="729"/>
  <c r="L57" i="729" s="1"/>
  <c r="H57" i="729"/>
  <c r="G57" i="729"/>
  <c r="N56" i="729"/>
  <c r="O56" i="729" s="1"/>
  <c r="M56" i="729"/>
  <c r="K56" i="729"/>
  <c r="J56" i="729"/>
  <c r="L56" i="729" s="1"/>
  <c r="I56" i="729"/>
  <c r="H56" i="729"/>
  <c r="G56" i="729"/>
  <c r="N55" i="729"/>
  <c r="M55" i="729"/>
  <c r="O55" i="729" s="1"/>
  <c r="K55" i="729"/>
  <c r="L55" i="729" s="1"/>
  <c r="J55" i="729"/>
  <c r="I55" i="729"/>
  <c r="H55" i="729"/>
  <c r="G55" i="729"/>
  <c r="N54" i="729"/>
  <c r="M54" i="729"/>
  <c r="O54" i="729" s="1"/>
  <c r="K54" i="729"/>
  <c r="J54" i="729"/>
  <c r="L54" i="729" s="1"/>
  <c r="I54" i="729"/>
  <c r="H54" i="729"/>
  <c r="G54" i="729"/>
  <c r="N53" i="729"/>
  <c r="M53" i="729"/>
  <c r="O53" i="729" s="1"/>
  <c r="K53" i="729"/>
  <c r="J53" i="729"/>
  <c r="I53" i="729"/>
  <c r="L53" i="729" s="1"/>
  <c r="H53" i="729"/>
  <c r="G53" i="729"/>
  <c r="N52" i="729"/>
  <c r="O52" i="729" s="1"/>
  <c r="M52" i="729"/>
  <c r="K52" i="729"/>
  <c r="J52" i="729"/>
  <c r="L52" i="729" s="1"/>
  <c r="I52" i="729"/>
  <c r="H52" i="729"/>
  <c r="G52" i="729"/>
  <c r="N51" i="729"/>
  <c r="M51" i="729"/>
  <c r="O51" i="729" s="1"/>
  <c r="K51" i="729"/>
  <c r="L51" i="729" s="1"/>
  <c r="J51" i="729"/>
  <c r="I51" i="729"/>
  <c r="H51" i="729"/>
  <c r="G51" i="729"/>
  <c r="N50" i="729"/>
  <c r="M50" i="729"/>
  <c r="O50" i="729" s="1"/>
  <c r="K50" i="729"/>
  <c r="J50" i="729"/>
  <c r="L50" i="729" s="1"/>
  <c r="I50" i="729"/>
  <c r="H50" i="729"/>
  <c r="G50" i="729"/>
  <c r="N49" i="729"/>
  <c r="M49" i="729"/>
  <c r="O49" i="729" s="1"/>
  <c r="K49" i="729"/>
  <c r="J49" i="729"/>
  <c r="I49" i="729"/>
  <c r="L49" i="729" s="1"/>
  <c r="H49" i="729"/>
  <c r="G49" i="729"/>
  <c r="N48" i="729"/>
  <c r="O48" i="729" s="1"/>
  <c r="M48" i="729"/>
  <c r="K48" i="729"/>
  <c r="J48" i="729"/>
  <c r="L48" i="729" s="1"/>
  <c r="I48" i="729"/>
  <c r="H48" i="729"/>
  <c r="G48" i="729"/>
  <c r="N47" i="729"/>
  <c r="M47" i="729"/>
  <c r="O47" i="729" s="1"/>
  <c r="K47" i="729"/>
  <c r="L47" i="729" s="1"/>
  <c r="J47" i="729"/>
  <c r="I47" i="729"/>
  <c r="H47" i="729"/>
  <c r="G47" i="729"/>
  <c r="N46" i="729"/>
  <c r="M46" i="729"/>
  <c r="O46" i="729" s="1"/>
  <c r="K46" i="729"/>
  <c r="J46" i="729"/>
  <c r="L46" i="729" s="1"/>
  <c r="I46" i="729"/>
  <c r="H46" i="729"/>
  <c r="G46" i="729"/>
  <c r="N45" i="729"/>
  <c r="M45" i="729"/>
  <c r="O45" i="729" s="1"/>
  <c r="K45" i="729"/>
  <c r="J45" i="729"/>
  <c r="I45" i="729"/>
  <c r="L45" i="729" s="1"/>
  <c r="H45" i="729"/>
  <c r="G45" i="729"/>
  <c r="N44" i="729"/>
  <c r="O44" i="729" s="1"/>
  <c r="M44" i="729"/>
  <c r="K44" i="729"/>
  <c r="J44" i="729"/>
  <c r="L44" i="729" s="1"/>
  <c r="I44" i="729"/>
  <c r="H44" i="729"/>
  <c r="G44" i="729"/>
  <c r="N43" i="729"/>
  <c r="M43" i="729"/>
  <c r="O43" i="729" s="1"/>
  <c r="K43" i="729"/>
  <c r="L43" i="729" s="1"/>
  <c r="J43" i="729"/>
  <c r="I43" i="729"/>
  <c r="H43" i="729"/>
  <c r="G43" i="729"/>
  <c r="N42" i="729"/>
  <c r="M42" i="729"/>
  <c r="O42" i="729" s="1"/>
  <c r="K42" i="729"/>
  <c r="J42" i="729"/>
  <c r="L42" i="729" s="1"/>
  <c r="I42" i="729"/>
  <c r="H42" i="729"/>
  <c r="G42" i="729"/>
  <c r="N41" i="729"/>
  <c r="M41" i="729"/>
  <c r="O41" i="729" s="1"/>
  <c r="K41" i="729"/>
  <c r="J41" i="729"/>
  <c r="I41" i="729"/>
  <c r="L41" i="729" s="1"/>
  <c r="H41" i="729"/>
  <c r="G41" i="729"/>
  <c r="N40" i="729"/>
  <c r="O40" i="729" s="1"/>
  <c r="M40" i="729"/>
  <c r="K40" i="729"/>
  <c r="J40" i="729"/>
  <c r="L40" i="729" s="1"/>
  <c r="I40" i="729"/>
  <c r="H40" i="729"/>
  <c r="G40" i="729"/>
  <c r="N39" i="729"/>
  <c r="M39" i="729"/>
  <c r="O39" i="729" s="1"/>
  <c r="K39" i="729"/>
  <c r="L39" i="729" s="1"/>
  <c r="J39" i="729"/>
  <c r="I39" i="729"/>
  <c r="H39" i="729"/>
  <c r="G39" i="729"/>
  <c r="N38" i="729"/>
  <c r="M38" i="729"/>
  <c r="O38" i="729" s="1"/>
  <c r="K38" i="729"/>
  <c r="J38" i="729"/>
  <c r="L38" i="729" s="1"/>
  <c r="I38" i="729"/>
  <c r="H38" i="729"/>
  <c r="G38" i="729"/>
  <c r="N37" i="729"/>
  <c r="M37" i="729"/>
  <c r="O37" i="729" s="1"/>
  <c r="K37" i="729"/>
  <c r="J37" i="729"/>
  <c r="I37" i="729"/>
  <c r="L37" i="729" s="1"/>
  <c r="H37" i="729"/>
  <c r="G37" i="729"/>
  <c r="N36" i="729"/>
  <c r="O36" i="729" s="1"/>
  <c r="M36" i="729"/>
  <c r="K36" i="729"/>
  <c r="J36" i="729"/>
  <c r="L36" i="729" s="1"/>
  <c r="I36" i="729"/>
  <c r="H36" i="729"/>
  <c r="G36" i="729"/>
  <c r="N35" i="729"/>
  <c r="M35" i="729"/>
  <c r="O35" i="729" s="1"/>
  <c r="K35" i="729"/>
  <c r="L35" i="729" s="1"/>
  <c r="J35" i="729"/>
  <c r="I35" i="729"/>
  <c r="H35" i="729"/>
  <c r="G35" i="729"/>
  <c r="N34" i="729"/>
  <c r="M34" i="729"/>
  <c r="O34" i="729" s="1"/>
  <c r="K34" i="729"/>
  <c r="J34" i="729"/>
  <c r="L34" i="729" s="1"/>
  <c r="I34" i="729"/>
  <c r="H34" i="729"/>
  <c r="G34" i="729"/>
  <c r="N33" i="729"/>
  <c r="M33" i="729"/>
  <c r="O33" i="729" s="1"/>
  <c r="K33" i="729"/>
  <c r="J33" i="729"/>
  <c r="I33" i="729"/>
  <c r="L33" i="729" s="1"/>
  <c r="H33" i="729"/>
  <c r="G33" i="729"/>
  <c r="N32" i="729"/>
  <c r="O32" i="729" s="1"/>
  <c r="M32" i="729"/>
  <c r="K32" i="729"/>
  <c r="J32" i="729"/>
  <c r="L32" i="729" s="1"/>
  <c r="I32" i="729"/>
  <c r="H32" i="729"/>
  <c r="G32" i="729"/>
  <c r="N31" i="729"/>
  <c r="M31" i="729"/>
  <c r="O31" i="729" s="1"/>
  <c r="K31" i="729"/>
  <c r="L31" i="729" s="1"/>
  <c r="J31" i="729"/>
  <c r="I31" i="729"/>
  <c r="H31" i="729"/>
  <c r="G31" i="729"/>
  <c r="N30" i="729"/>
  <c r="M30" i="729"/>
  <c r="O30" i="729" s="1"/>
  <c r="K30" i="729"/>
  <c r="J30" i="729"/>
  <c r="L30" i="729" s="1"/>
  <c r="I30" i="729"/>
  <c r="H30" i="729"/>
  <c r="G30" i="729"/>
  <c r="N29" i="729"/>
  <c r="M29" i="729"/>
  <c r="O29" i="729" s="1"/>
  <c r="K29" i="729"/>
  <c r="J29" i="729"/>
  <c r="I29" i="729"/>
  <c r="L29" i="729" s="1"/>
  <c r="H29" i="729"/>
  <c r="G29" i="729"/>
  <c r="N28" i="729"/>
  <c r="O28" i="729" s="1"/>
  <c r="M28" i="729"/>
  <c r="K28" i="729"/>
  <c r="J28" i="729"/>
  <c r="L28" i="729" s="1"/>
  <c r="I28" i="729"/>
  <c r="H28" i="729"/>
  <c r="G28" i="729"/>
  <c r="N27" i="729"/>
  <c r="M27" i="729"/>
  <c r="O27" i="729" s="1"/>
  <c r="K27" i="729"/>
  <c r="L27" i="729" s="1"/>
  <c r="J27" i="729"/>
  <c r="I27" i="729"/>
  <c r="H27" i="729"/>
  <c r="G27" i="729"/>
  <c r="N26" i="729"/>
  <c r="M26" i="729"/>
  <c r="O26" i="729" s="1"/>
  <c r="K26" i="729"/>
  <c r="J26" i="729"/>
  <c r="L26" i="729" s="1"/>
  <c r="I26" i="729"/>
  <c r="H26" i="729"/>
  <c r="G26" i="729"/>
  <c r="N25" i="729"/>
  <c r="M25" i="729"/>
  <c r="O25" i="729" s="1"/>
  <c r="K25" i="729"/>
  <c r="J25" i="729"/>
  <c r="I25" i="729"/>
  <c r="L25" i="729" s="1"/>
  <c r="H25" i="729"/>
  <c r="G25" i="729"/>
  <c r="N24" i="729"/>
  <c r="O24" i="729" s="1"/>
  <c r="M24" i="729"/>
  <c r="K24" i="729"/>
  <c r="J24" i="729"/>
  <c r="L24" i="729" s="1"/>
  <c r="I24" i="729"/>
  <c r="H24" i="729"/>
  <c r="G24" i="729"/>
  <c r="N23" i="729"/>
  <c r="M23" i="729"/>
  <c r="O23" i="729" s="1"/>
  <c r="K23" i="729"/>
  <c r="L23" i="729" s="1"/>
  <c r="J23" i="729"/>
  <c r="I23" i="729"/>
  <c r="H23" i="729"/>
  <c r="G23" i="729"/>
  <c r="N22" i="729"/>
  <c r="M22" i="729"/>
  <c r="O22" i="729" s="1"/>
  <c r="K22" i="729"/>
  <c r="J22" i="729"/>
  <c r="L22" i="729" s="1"/>
  <c r="I22" i="729"/>
  <c r="H22" i="729"/>
  <c r="G22" i="729"/>
  <c r="N21" i="729"/>
  <c r="M21" i="729"/>
  <c r="O21" i="729" s="1"/>
  <c r="K21" i="729"/>
  <c r="J21" i="729"/>
  <c r="I21" i="729"/>
  <c r="L21" i="729" s="1"/>
  <c r="H21" i="729"/>
  <c r="G21" i="729"/>
  <c r="N20" i="729"/>
  <c r="O20" i="729" s="1"/>
  <c r="M20" i="729"/>
  <c r="K20" i="729"/>
  <c r="J20" i="729"/>
  <c r="L20" i="729" s="1"/>
  <c r="I20" i="729"/>
  <c r="H20" i="729"/>
  <c r="G20" i="729"/>
  <c r="N19" i="729"/>
  <c r="M19" i="729"/>
  <c r="O19" i="729" s="1"/>
  <c r="K19" i="729"/>
  <c r="L19" i="729" s="1"/>
  <c r="J19" i="729"/>
  <c r="I19" i="729"/>
  <c r="H19" i="729"/>
  <c r="G19" i="729"/>
  <c r="N18" i="729"/>
  <c r="M18" i="729"/>
  <c r="O18" i="729" s="1"/>
  <c r="K18" i="729"/>
  <c r="J18" i="729"/>
  <c r="L18" i="729" s="1"/>
  <c r="I18" i="729"/>
  <c r="H18" i="729"/>
  <c r="G18" i="729"/>
  <c r="N17" i="729"/>
  <c r="M17" i="729"/>
  <c r="O17" i="729" s="1"/>
  <c r="K17" i="729"/>
  <c r="J17" i="729"/>
  <c r="I17" i="729"/>
  <c r="L17" i="729" s="1"/>
  <c r="H17" i="729"/>
  <c r="G17" i="729"/>
  <c r="N16" i="729"/>
  <c r="K16" i="729"/>
  <c r="J16" i="729"/>
  <c r="I16" i="729"/>
  <c r="L16" i="729" s="1"/>
  <c r="M16" i="729" s="1"/>
  <c r="O16" i="729" s="1"/>
  <c r="H16" i="729"/>
  <c r="G16" i="729"/>
  <c r="N15" i="729"/>
  <c r="M15" i="729"/>
  <c r="O15" i="729" s="1"/>
  <c r="K15" i="729"/>
  <c r="L15" i="729" s="1"/>
  <c r="J15" i="729"/>
  <c r="I15" i="729"/>
  <c r="H15" i="729"/>
  <c r="G15" i="729"/>
  <c r="N14" i="729"/>
  <c r="K14" i="729"/>
  <c r="J14" i="729"/>
  <c r="I14" i="729"/>
  <c r="L14" i="729" s="1"/>
  <c r="M14" i="729" s="1"/>
  <c r="O14" i="729" s="1"/>
  <c r="H14" i="729"/>
  <c r="G14" i="729"/>
  <c r="N13" i="729"/>
  <c r="M13" i="729"/>
  <c r="O13" i="729" s="1"/>
  <c r="K13" i="729"/>
  <c r="J13" i="729"/>
  <c r="L13" i="729" s="1"/>
  <c r="I13" i="729"/>
  <c r="H13" i="729"/>
  <c r="G13" i="729"/>
  <c r="N12" i="729"/>
  <c r="K12" i="729"/>
  <c r="J12" i="729"/>
  <c r="I12" i="729"/>
  <c r="L12" i="729" s="1"/>
  <c r="M12" i="729" s="1"/>
  <c r="O12" i="729" s="1"/>
  <c r="H12" i="729"/>
  <c r="G12" i="729"/>
  <c r="N11" i="729"/>
  <c r="K11" i="729"/>
  <c r="J11" i="729"/>
  <c r="I11" i="729"/>
  <c r="L11" i="729" s="1"/>
  <c r="M11" i="729" s="1"/>
  <c r="O11" i="729" s="1"/>
  <c r="H11" i="729"/>
  <c r="G11" i="729"/>
  <c r="N10" i="729"/>
  <c r="K10" i="729"/>
  <c r="J10" i="729"/>
  <c r="I10" i="729"/>
  <c r="L10" i="729" s="1"/>
  <c r="M10" i="729" s="1"/>
  <c r="O10" i="729" s="1"/>
  <c r="H10" i="729"/>
  <c r="G10" i="729"/>
  <c r="N9" i="729"/>
  <c r="M9" i="729"/>
  <c r="K9" i="729"/>
  <c r="J9" i="729"/>
  <c r="L9" i="729" s="1"/>
  <c r="I9" i="729"/>
  <c r="H9" i="729"/>
  <c r="G9" i="729"/>
  <c r="N1001" i="728"/>
  <c r="M1001" i="728"/>
  <c r="O1001" i="728" s="1"/>
  <c r="K1001" i="728"/>
  <c r="J1001" i="728"/>
  <c r="I1001" i="728"/>
  <c r="L1001" i="728" s="1"/>
  <c r="H1001" i="728"/>
  <c r="G1001" i="728"/>
  <c r="N1000" i="728"/>
  <c r="O1000" i="728" s="1"/>
  <c r="M1000" i="728"/>
  <c r="K1000" i="728"/>
  <c r="J1000" i="728"/>
  <c r="I1000" i="728"/>
  <c r="L1000" i="728" s="1"/>
  <c r="H1000" i="728"/>
  <c r="G1000" i="728"/>
  <c r="N999" i="728"/>
  <c r="M999" i="728"/>
  <c r="O999" i="728" s="1"/>
  <c r="K999" i="728"/>
  <c r="L999" i="728" s="1"/>
  <c r="J999" i="728"/>
  <c r="I999" i="728"/>
  <c r="H999" i="728"/>
  <c r="G999" i="728"/>
  <c r="N998" i="728"/>
  <c r="M998" i="728"/>
  <c r="O998" i="728" s="1"/>
  <c r="K998" i="728"/>
  <c r="J998" i="728"/>
  <c r="I998" i="728"/>
  <c r="L998" i="728" s="1"/>
  <c r="H998" i="728"/>
  <c r="G998" i="728"/>
  <c r="N997" i="728"/>
  <c r="M997" i="728"/>
  <c r="O997" i="728" s="1"/>
  <c r="K997" i="728"/>
  <c r="J997" i="728"/>
  <c r="I997" i="728"/>
  <c r="L997" i="728" s="1"/>
  <c r="H997" i="728"/>
  <c r="G997" i="728"/>
  <c r="N996" i="728"/>
  <c r="O996" i="728" s="1"/>
  <c r="M996" i="728"/>
  <c r="K996" i="728"/>
  <c r="J996" i="728"/>
  <c r="I996" i="728"/>
  <c r="L996" i="728" s="1"/>
  <c r="H996" i="728"/>
  <c r="G996" i="728"/>
  <c r="N995" i="728"/>
  <c r="M995" i="728"/>
  <c r="O995" i="728" s="1"/>
  <c r="K995" i="728"/>
  <c r="L995" i="728" s="1"/>
  <c r="J995" i="728"/>
  <c r="I995" i="728"/>
  <c r="H995" i="728"/>
  <c r="G995" i="728"/>
  <c r="N994" i="728"/>
  <c r="M994" i="728"/>
  <c r="O994" i="728" s="1"/>
  <c r="K994" i="728"/>
  <c r="J994" i="728"/>
  <c r="I994" i="728"/>
  <c r="L994" i="728" s="1"/>
  <c r="H994" i="728"/>
  <c r="G994" i="728"/>
  <c r="N993" i="728"/>
  <c r="M993" i="728"/>
  <c r="K993" i="728"/>
  <c r="J993" i="728"/>
  <c r="I993" i="728"/>
  <c r="L993" i="728" s="1"/>
  <c r="H993" i="728"/>
  <c r="G993" i="728"/>
  <c r="N992" i="728"/>
  <c r="O992" i="728" s="1"/>
  <c r="M992" i="728"/>
  <c r="K992" i="728"/>
  <c r="J992" i="728"/>
  <c r="I992" i="728"/>
  <c r="L992" i="728" s="1"/>
  <c r="H992" i="728"/>
  <c r="G992" i="728"/>
  <c r="N991" i="728"/>
  <c r="M991" i="728"/>
  <c r="K991" i="728"/>
  <c r="L991" i="728" s="1"/>
  <c r="J991" i="728"/>
  <c r="I991" i="728"/>
  <c r="H991" i="728"/>
  <c r="G991" i="728"/>
  <c r="N990" i="728"/>
  <c r="M990" i="728"/>
  <c r="O990" i="728" s="1"/>
  <c r="K990" i="728"/>
  <c r="J990" i="728"/>
  <c r="I990" i="728"/>
  <c r="L990" i="728" s="1"/>
  <c r="H990" i="728"/>
  <c r="G990" i="728"/>
  <c r="N989" i="728"/>
  <c r="M989" i="728"/>
  <c r="O989" i="728" s="1"/>
  <c r="K989" i="728"/>
  <c r="J989" i="728"/>
  <c r="I989" i="728"/>
  <c r="L989" i="728" s="1"/>
  <c r="H989" i="728"/>
  <c r="G989" i="728"/>
  <c r="N988" i="728"/>
  <c r="O988" i="728" s="1"/>
  <c r="M988" i="728"/>
  <c r="K988" i="728"/>
  <c r="J988" i="728"/>
  <c r="I988" i="728"/>
  <c r="L988" i="728" s="1"/>
  <c r="H988" i="728"/>
  <c r="G988" i="728"/>
  <c r="N987" i="728"/>
  <c r="M987" i="728"/>
  <c r="O987" i="728" s="1"/>
  <c r="K987" i="728"/>
  <c r="L987" i="728" s="1"/>
  <c r="J987" i="728"/>
  <c r="I987" i="728"/>
  <c r="H987" i="728"/>
  <c r="G987" i="728"/>
  <c r="N986" i="728"/>
  <c r="M986" i="728"/>
  <c r="O986" i="728" s="1"/>
  <c r="K986" i="728"/>
  <c r="J986" i="728"/>
  <c r="I986" i="728"/>
  <c r="L986" i="728" s="1"/>
  <c r="H986" i="728"/>
  <c r="G986" i="728"/>
  <c r="N985" i="728"/>
  <c r="M985" i="728"/>
  <c r="O985" i="728" s="1"/>
  <c r="K985" i="728"/>
  <c r="J985" i="728"/>
  <c r="I985" i="728"/>
  <c r="L985" i="728" s="1"/>
  <c r="H985" i="728"/>
  <c r="G985" i="728"/>
  <c r="N984" i="728"/>
  <c r="O984" i="728" s="1"/>
  <c r="M984" i="728"/>
  <c r="K984" i="728"/>
  <c r="J984" i="728"/>
  <c r="I984" i="728"/>
  <c r="L984" i="728" s="1"/>
  <c r="H984" i="728"/>
  <c r="G984" i="728"/>
  <c r="N983" i="728"/>
  <c r="M983" i="728"/>
  <c r="O983" i="728" s="1"/>
  <c r="K983" i="728"/>
  <c r="L983" i="728" s="1"/>
  <c r="J983" i="728"/>
  <c r="I983" i="728"/>
  <c r="H983" i="728"/>
  <c r="G983" i="728"/>
  <c r="N982" i="728"/>
  <c r="M982" i="728"/>
  <c r="O982" i="728" s="1"/>
  <c r="K982" i="728"/>
  <c r="J982" i="728"/>
  <c r="I982" i="728"/>
  <c r="L982" i="728" s="1"/>
  <c r="H982" i="728"/>
  <c r="G982" i="728"/>
  <c r="N981" i="728"/>
  <c r="M981" i="728"/>
  <c r="K981" i="728"/>
  <c r="J981" i="728"/>
  <c r="I981" i="728"/>
  <c r="L981" i="728" s="1"/>
  <c r="H981" i="728"/>
  <c r="G981" i="728"/>
  <c r="N980" i="728"/>
  <c r="O980" i="728" s="1"/>
  <c r="M980" i="728"/>
  <c r="K980" i="728"/>
  <c r="J980" i="728"/>
  <c r="I980" i="728"/>
  <c r="L980" i="728" s="1"/>
  <c r="H980" i="728"/>
  <c r="G980" i="728"/>
  <c r="N979" i="728"/>
  <c r="M979" i="728"/>
  <c r="K979" i="728"/>
  <c r="L979" i="728" s="1"/>
  <c r="J979" i="728"/>
  <c r="I979" i="728"/>
  <c r="H979" i="728"/>
  <c r="G979" i="728"/>
  <c r="N978" i="728"/>
  <c r="M978" i="728"/>
  <c r="O978" i="728" s="1"/>
  <c r="K978" i="728"/>
  <c r="J978" i="728"/>
  <c r="I978" i="728"/>
  <c r="L978" i="728" s="1"/>
  <c r="H978" i="728"/>
  <c r="G978" i="728"/>
  <c r="N977" i="728"/>
  <c r="M977" i="728"/>
  <c r="O977" i="728" s="1"/>
  <c r="K977" i="728"/>
  <c r="J977" i="728"/>
  <c r="I977" i="728"/>
  <c r="L977" i="728" s="1"/>
  <c r="H977" i="728"/>
  <c r="G977" i="728"/>
  <c r="N976" i="728"/>
  <c r="O976" i="728" s="1"/>
  <c r="M976" i="728"/>
  <c r="K976" i="728"/>
  <c r="J976" i="728"/>
  <c r="I976" i="728"/>
  <c r="L976" i="728" s="1"/>
  <c r="H976" i="728"/>
  <c r="G976" i="728"/>
  <c r="N975" i="728"/>
  <c r="M975" i="728"/>
  <c r="O975" i="728" s="1"/>
  <c r="K975" i="728"/>
  <c r="L975" i="728" s="1"/>
  <c r="J975" i="728"/>
  <c r="I975" i="728"/>
  <c r="H975" i="728"/>
  <c r="G975" i="728"/>
  <c r="N974" i="728"/>
  <c r="M974" i="728"/>
  <c r="O974" i="728" s="1"/>
  <c r="K974" i="728"/>
  <c r="J974" i="728"/>
  <c r="I974" i="728"/>
  <c r="L974" i="728" s="1"/>
  <c r="H974" i="728"/>
  <c r="G974" i="728"/>
  <c r="N973" i="728"/>
  <c r="M973" i="728"/>
  <c r="O973" i="728" s="1"/>
  <c r="K973" i="728"/>
  <c r="J973" i="728"/>
  <c r="I973" i="728"/>
  <c r="L973" i="728" s="1"/>
  <c r="H973" i="728"/>
  <c r="G973" i="728"/>
  <c r="N972" i="728"/>
  <c r="O972" i="728" s="1"/>
  <c r="M972" i="728"/>
  <c r="K972" i="728"/>
  <c r="J972" i="728"/>
  <c r="I972" i="728"/>
  <c r="L972" i="728" s="1"/>
  <c r="H972" i="728"/>
  <c r="G972" i="728"/>
  <c r="N971" i="728"/>
  <c r="M971" i="728"/>
  <c r="O971" i="728" s="1"/>
  <c r="K971" i="728"/>
  <c r="L971" i="728" s="1"/>
  <c r="J971" i="728"/>
  <c r="I971" i="728"/>
  <c r="H971" i="728"/>
  <c r="G971" i="728"/>
  <c r="N970" i="728"/>
  <c r="M970" i="728"/>
  <c r="O970" i="728" s="1"/>
  <c r="K970" i="728"/>
  <c r="J970" i="728"/>
  <c r="I970" i="728"/>
  <c r="L970" i="728" s="1"/>
  <c r="H970" i="728"/>
  <c r="G970" i="728"/>
  <c r="N969" i="728"/>
  <c r="M969" i="728"/>
  <c r="K969" i="728"/>
  <c r="J969" i="728"/>
  <c r="I969" i="728"/>
  <c r="L969" i="728" s="1"/>
  <c r="H969" i="728"/>
  <c r="G969" i="728"/>
  <c r="N968" i="728"/>
  <c r="O968" i="728" s="1"/>
  <c r="M968" i="728"/>
  <c r="K968" i="728"/>
  <c r="J968" i="728"/>
  <c r="I968" i="728"/>
  <c r="L968" i="728" s="1"/>
  <c r="H968" i="728"/>
  <c r="G968" i="728"/>
  <c r="N967" i="728"/>
  <c r="M967" i="728"/>
  <c r="K967" i="728"/>
  <c r="L967" i="728" s="1"/>
  <c r="J967" i="728"/>
  <c r="I967" i="728"/>
  <c r="H967" i="728"/>
  <c r="G967" i="728"/>
  <c r="N966" i="728"/>
  <c r="M966" i="728"/>
  <c r="O966" i="728" s="1"/>
  <c r="K966" i="728"/>
  <c r="J966" i="728"/>
  <c r="I966" i="728"/>
  <c r="L966" i="728" s="1"/>
  <c r="H966" i="728"/>
  <c r="G966" i="728"/>
  <c r="N965" i="728"/>
  <c r="M965" i="728"/>
  <c r="O965" i="728" s="1"/>
  <c r="K965" i="728"/>
  <c r="J965" i="728"/>
  <c r="I965" i="728"/>
  <c r="L965" i="728" s="1"/>
  <c r="H965" i="728"/>
  <c r="G965" i="728"/>
  <c r="N964" i="728"/>
  <c r="O964" i="728" s="1"/>
  <c r="M964" i="728"/>
  <c r="K964" i="728"/>
  <c r="J964" i="728"/>
  <c r="I964" i="728"/>
  <c r="L964" i="728" s="1"/>
  <c r="H964" i="728"/>
  <c r="G964" i="728"/>
  <c r="N963" i="728"/>
  <c r="M963" i="728"/>
  <c r="O963" i="728" s="1"/>
  <c r="K963" i="728"/>
  <c r="L963" i="728" s="1"/>
  <c r="J963" i="728"/>
  <c r="I963" i="728"/>
  <c r="H963" i="728"/>
  <c r="G963" i="728"/>
  <c r="N962" i="728"/>
  <c r="M962" i="728"/>
  <c r="O962" i="728" s="1"/>
  <c r="K962" i="728"/>
  <c r="J962" i="728"/>
  <c r="I962" i="728"/>
  <c r="L962" i="728" s="1"/>
  <c r="H962" i="728"/>
  <c r="G962" i="728"/>
  <c r="N961" i="728"/>
  <c r="M961" i="728"/>
  <c r="O961" i="728" s="1"/>
  <c r="K961" i="728"/>
  <c r="J961" i="728"/>
  <c r="I961" i="728"/>
  <c r="L961" i="728" s="1"/>
  <c r="H961" i="728"/>
  <c r="G961" i="728"/>
  <c r="N960" i="728"/>
  <c r="O960" i="728" s="1"/>
  <c r="M960" i="728"/>
  <c r="K960" i="728"/>
  <c r="J960" i="728"/>
  <c r="I960" i="728"/>
  <c r="L960" i="728" s="1"/>
  <c r="H960" i="728"/>
  <c r="G960" i="728"/>
  <c r="N959" i="728"/>
  <c r="M959" i="728"/>
  <c r="O959" i="728" s="1"/>
  <c r="K959" i="728"/>
  <c r="L959" i="728" s="1"/>
  <c r="J959" i="728"/>
  <c r="I959" i="728"/>
  <c r="H959" i="728"/>
  <c r="G959" i="728"/>
  <c r="N958" i="728"/>
  <c r="M958" i="728"/>
  <c r="O958" i="728" s="1"/>
  <c r="K958" i="728"/>
  <c r="J958" i="728"/>
  <c r="I958" i="728"/>
  <c r="L958" i="728" s="1"/>
  <c r="H958" i="728"/>
  <c r="G958" i="728"/>
  <c r="N957" i="728"/>
  <c r="M957" i="728"/>
  <c r="K957" i="728"/>
  <c r="J957" i="728"/>
  <c r="I957" i="728"/>
  <c r="L957" i="728" s="1"/>
  <c r="H957" i="728"/>
  <c r="G957" i="728"/>
  <c r="N956" i="728"/>
  <c r="O956" i="728" s="1"/>
  <c r="M956" i="728"/>
  <c r="K956" i="728"/>
  <c r="J956" i="728"/>
  <c r="I956" i="728"/>
  <c r="L956" i="728" s="1"/>
  <c r="H956" i="728"/>
  <c r="G956" i="728"/>
  <c r="N955" i="728"/>
  <c r="M955" i="728"/>
  <c r="K955" i="728"/>
  <c r="L955" i="728" s="1"/>
  <c r="J955" i="728"/>
  <c r="I955" i="728"/>
  <c r="H955" i="728"/>
  <c r="G955" i="728"/>
  <c r="N954" i="728"/>
  <c r="M954" i="728"/>
  <c r="O954" i="728" s="1"/>
  <c r="K954" i="728"/>
  <c r="J954" i="728"/>
  <c r="I954" i="728"/>
  <c r="L954" i="728" s="1"/>
  <c r="H954" i="728"/>
  <c r="G954" i="728"/>
  <c r="N953" i="728"/>
  <c r="M953" i="728"/>
  <c r="O953" i="728" s="1"/>
  <c r="K953" i="728"/>
  <c r="J953" i="728"/>
  <c r="I953" i="728"/>
  <c r="L953" i="728" s="1"/>
  <c r="H953" i="728"/>
  <c r="G953" i="728"/>
  <c r="N952" i="728"/>
  <c r="O952" i="728" s="1"/>
  <c r="M952" i="728"/>
  <c r="K952" i="728"/>
  <c r="J952" i="728"/>
  <c r="I952" i="728"/>
  <c r="L952" i="728" s="1"/>
  <c r="H952" i="728"/>
  <c r="G952" i="728"/>
  <c r="N951" i="728"/>
  <c r="M951" i="728"/>
  <c r="O951" i="728" s="1"/>
  <c r="K951" i="728"/>
  <c r="L951" i="728" s="1"/>
  <c r="J951" i="728"/>
  <c r="I951" i="728"/>
  <c r="H951" i="728"/>
  <c r="G951" i="728"/>
  <c r="N950" i="728"/>
  <c r="M950" i="728"/>
  <c r="O950" i="728" s="1"/>
  <c r="K950" i="728"/>
  <c r="J950" i="728"/>
  <c r="I950" i="728"/>
  <c r="L950" i="728" s="1"/>
  <c r="H950" i="728"/>
  <c r="G950" i="728"/>
  <c r="N949" i="728"/>
  <c r="M949" i="728"/>
  <c r="O949" i="728" s="1"/>
  <c r="K949" i="728"/>
  <c r="J949" i="728"/>
  <c r="I949" i="728"/>
  <c r="L949" i="728" s="1"/>
  <c r="H949" i="728"/>
  <c r="G949" i="728"/>
  <c r="N948" i="728"/>
  <c r="O948" i="728" s="1"/>
  <c r="M948" i="728"/>
  <c r="K948" i="728"/>
  <c r="J948" i="728"/>
  <c r="I948" i="728"/>
  <c r="L948" i="728" s="1"/>
  <c r="H948" i="728"/>
  <c r="G948" i="728"/>
  <c r="N947" i="728"/>
  <c r="M947" i="728"/>
  <c r="O947" i="728" s="1"/>
  <c r="K947" i="728"/>
  <c r="L947" i="728" s="1"/>
  <c r="J947" i="728"/>
  <c r="I947" i="728"/>
  <c r="H947" i="728"/>
  <c r="G947" i="728"/>
  <c r="N946" i="728"/>
  <c r="M946" i="728"/>
  <c r="O946" i="728" s="1"/>
  <c r="K946" i="728"/>
  <c r="J946" i="728"/>
  <c r="I946" i="728"/>
  <c r="L946" i="728" s="1"/>
  <c r="H946" i="728"/>
  <c r="G946" i="728"/>
  <c r="N945" i="728"/>
  <c r="M945" i="728"/>
  <c r="K945" i="728"/>
  <c r="J945" i="728"/>
  <c r="L945" i="728" s="1"/>
  <c r="I945" i="728"/>
  <c r="H945" i="728"/>
  <c r="G945" i="728"/>
  <c r="N944" i="728"/>
  <c r="O944" i="728" s="1"/>
  <c r="M944" i="728"/>
  <c r="K944" i="728"/>
  <c r="J944" i="728"/>
  <c r="I944" i="728"/>
  <c r="L944" i="728" s="1"/>
  <c r="H944" i="728"/>
  <c r="G944" i="728"/>
  <c r="N943" i="728"/>
  <c r="M943" i="728"/>
  <c r="K943" i="728"/>
  <c r="L943" i="728" s="1"/>
  <c r="J943" i="728"/>
  <c r="I943" i="728"/>
  <c r="H943" i="728"/>
  <c r="G943" i="728"/>
  <c r="N942" i="728"/>
  <c r="M942" i="728"/>
  <c r="O942" i="728" s="1"/>
  <c r="K942" i="728"/>
  <c r="J942" i="728"/>
  <c r="I942" i="728"/>
  <c r="L942" i="728" s="1"/>
  <c r="H942" i="728"/>
  <c r="G942" i="728"/>
  <c r="N941" i="728"/>
  <c r="M941" i="728"/>
  <c r="O941" i="728" s="1"/>
  <c r="K941" i="728"/>
  <c r="J941" i="728"/>
  <c r="L941" i="728" s="1"/>
  <c r="I941" i="728"/>
  <c r="H941" i="728"/>
  <c r="G941" i="728"/>
  <c r="N940" i="728"/>
  <c r="O940" i="728" s="1"/>
  <c r="M940" i="728"/>
  <c r="K940" i="728"/>
  <c r="J940" i="728"/>
  <c r="I940" i="728"/>
  <c r="L940" i="728" s="1"/>
  <c r="H940" i="728"/>
  <c r="G940" i="728"/>
  <c r="N939" i="728"/>
  <c r="M939" i="728"/>
  <c r="O939" i="728" s="1"/>
  <c r="K939" i="728"/>
  <c r="L939" i="728" s="1"/>
  <c r="J939" i="728"/>
  <c r="I939" i="728"/>
  <c r="H939" i="728"/>
  <c r="G939" i="728"/>
  <c r="N938" i="728"/>
  <c r="M938" i="728"/>
  <c r="O938" i="728" s="1"/>
  <c r="K938" i="728"/>
  <c r="J938" i="728"/>
  <c r="I938" i="728"/>
  <c r="L938" i="728" s="1"/>
  <c r="H938" i="728"/>
  <c r="G938" i="728"/>
  <c r="N937" i="728"/>
  <c r="M937" i="728"/>
  <c r="O937" i="728" s="1"/>
  <c r="K937" i="728"/>
  <c r="J937" i="728"/>
  <c r="L937" i="728" s="1"/>
  <c r="I937" i="728"/>
  <c r="H937" i="728"/>
  <c r="G937" i="728"/>
  <c r="N936" i="728"/>
  <c r="O936" i="728" s="1"/>
  <c r="M936" i="728"/>
  <c r="K936" i="728"/>
  <c r="J936" i="728"/>
  <c r="I936" i="728"/>
  <c r="L936" i="728" s="1"/>
  <c r="H936" i="728"/>
  <c r="G936" i="728"/>
  <c r="N935" i="728"/>
  <c r="M935" i="728"/>
  <c r="O935" i="728" s="1"/>
  <c r="K935" i="728"/>
  <c r="L935" i="728" s="1"/>
  <c r="J935" i="728"/>
  <c r="I935" i="728"/>
  <c r="H935" i="728"/>
  <c r="G935" i="728"/>
  <c r="N934" i="728"/>
  <c r="M934" i="728"/>
  <c r="O934" i="728" s="1"/>
  <c r="K934" i="728"/>
  <c r="J934" i="728"/>
  <c r="I934" i="728"/>
  <c r="L934" i="728" s="1"/>
  <c r="H934" i="728"/>
  <c r="G934" i="728"/>
  <c r="N933" i="728"/>
  <c r="M933" i="728"/>
  <c r="K933" i="728"/>
  <c r="J933" i="728"/>
  <c r="L933" i="728" s="1"/>
  <c r="I933" i="728"/>
  <c r="H933" i="728"/>
  <c r="G933" i="728"/>
  <c r="N932" i="728"/>
  <c r="O932" i="728" s="1"/>
  <c r="M932" i="728"/>
  <c r="K932" i="728"/>
  <c r="J932" i="728"/>
  <c r="I932" i="728"/>
  <c r="L932" i="728" s="1"/>
  <c r="H932" i="728"/>
  <c r="G932" i="728"/>
  <c r="N931" i="728"/>
  <c r="M931" i="728"/>
  <c r="K931" i="728"/>
  <c r="L931" i="728" s="1"/>
  <c r="J931" i="728"/>
  <c r="I931" i="728"/>
  <c r="H931" i="728"/>
  <c r="G931" i="728"/>
  <c r="N930" i="728"/>
  <c r="M930" i="728"/>
  <c r="O930" i="728" s="1"/>
  <c r="K930" i="728"/>
  <c r="J930" i="728"/>
  <c r="I930" i="728"/>
  <c r="L930" i="728" s="1"/>
  <c r="H930" i="728"/>
  <c r="G930" i="728"/>
  <c r="N929" i="728"/>
  <c r="M929" i="728"/>
  <c r="O929" i="728" s="1"/>
  <c r="K929" i="728"/>
  <c r="J929" i="728"/>
  <c r="L929" i="728" s="1"/>
  <c r="I929" i="728"/>
  <c r="H929" i="728"/>
  <c r="G929" i="728"/>
  <c r="N928" i="728"/>
  <c r="O928" i="728" s="1"/>
  <c r="M928" i="728"/>
  <c r="K928" i="728"/>
  <c r="J928" i="728"/>
  <c r="I928" i="728"/>
  <c r="L928" i="728" s="1"/>
  <c r="H928" i="728"/>
  <c r="G928" i="728"/>
  <c r="N927" i="728"/>
  <c r="M927" i="728"/>
  <c r="O927" i="728" s="1"/>
  <c r="K927" i="728"/>
  <c r="L927" i="728" s="1"/>
  <c r="J927" i="728"/>
  <c r="I927" i="728"/>
  <c r="H927" i="728"/>
  <c r="G927" i="728"/>
  <c r="N926" i="728"/>
  <c r="M926" i="728"/>
  <c r="O926" i="728" s="1"/>
  <c r="K926" i="728"/>
  <c r="J926" i="728"/>
  <c r="I926" i="728"/>
  <c r="L926" i="728" s="1"/>
  <c r="H926" i="728"/>
  <c r="G926" i="728"/>
  <c r="N925" i="728"/>
  <c r="M925" i="728"/>
  <c r="O925" i="728" s="1"/>
  <c r="K925" i="728"/>
  <c r="J925" i="728"/>
  <c r="L925" i="728" s="1"/>
  <c r="I925" i="728"/>
  <c r="H925" i="728"/>
  <c r="G925" i="728"/>
  <c r="N924" i="728"/>
  <c r="O924" i="728" s="1"/>
  <c r="M924" i="728"/>
  <c r="K924" i="728"/>
  <c r="J924" i="728"/>
  <c r="I924" i="728"/>
  <c r="L924" i="728" s="1"/>
  <c r="H924" i="728"/>
  <c r="G924" i="728"/>
  <c r="N923" i="728"/>
  <c r="M923" i="728"/>
  <c r="O923" i="728" s="1"/>
  <c r="K923" i="728"/>
  <c r="L923" i="728" s="1"/>
  <c r="J923" i="728"/>
  <c r="I923" i="728"/>
  <c r="H923" i="728"/>
  <c r="G923" i="728"/>
  <c r="N922" i="728"/>
  <c r="M922" i="728"/>
  <c r="O922" i="728" s="1"/>
  <c r="K922" i="728"/>
  <c r="J922" i="728"/>
  <c r="I922" i="728"/>
  <c r="L922" i="728" s="1"/>
  <c r="H922" i="728"/>
  <c r="G922" i="728"/>
  <c r="N921" i="728"/>
  <c r="M921" i="728"/>
  <c r="K921" i="728"/>
  <c r="J921" i="728"/>
  <c r="L921" i="728" s="1"/>
  <c r="I921" i="728"/>
  <c r="H921" i="728"/>
  <c r="G921" i="728"/>
  <c r="N920" i="728"/>
  <c r="O920" i="728" s="1"/>
  <c r="M920" i="728"/>
  <c r="K920" i="728"/>
  <c r="J920" i="728"/>
  <c r="I920" i="728"/>
  <c r="L920" i="728" s="1"/>
  <c r="H920" i="728"/>
  <c r="G920" i="728"/>
  <c r="N919" i="728"/>
  <c r="M919" i="728"/>
  <c r="K919" i="728"/>
  <c r="L919" i="728" s="1"/>
  <c r="J919" i="728"/>
  <c r="I919" i="728"/>
  <c r="H919" i="728"/>
  <c r="G919" i="728"/>
  <c r="N918" i="728"/>
  <c r="M918" i="728"/>
  <c r="O918" i="728" s="1"/>
  <c r="K918" i="728"/>
  <c r="J918" i="728"/>
  <c r="I918" i="728"/>
  <c r="L918" i="728" s="1"/>
  <c r="H918" i="728"/>
  <c r="G918" i="728"/>
  <c r="N917" i="728"/>
  <c r="M917" i="728"/>
  <c r="O917" i="728" s="1"/>
  <c r="K917" i="728"/>
  <c r="J917" i="728"/>
  <c r="L917" i="728" s="1"/>
  <c r="I917" i="728"/>
  <c r="H917" i="728"/>
  <c r="G917" i="728"/>
  <c r="N916" i="728"/>
  <c r="O916" i="728" s="1"/>
  <c r="M916" i="728"/>
  <c r="K916" i="728"/>
  <c r="J916" i="728"/>
  <c r="I916" i="728"/>
  <c r="L916" i="728" s="1"/>
  <c r="H916" i="728"/>
  <c r="G916" i="728"/>
  <c r="N915" i="728"/>
  <c r="M915" i="728"/>
  <c r="O915" i="728" s="1"/>
  <c r="K915" i="728"/>
  <c r="L915" i="728" s="1"/>
  <c r="J915" i="728"/>
  <c r="I915" i="728"/>
  <c r="H915" i="728"/>
  <c r="G915" i="728"/>
  <c r="N914" i="728"/>
  <c r="M914" i="728"/>
  <c r="O914" i="728" s="1"/>
  <c r="K914" i="728"/>
  <c r="J914" i="728"/>
  <c r="I914" i="728"/>
  <c r="L914" i="728" s="1"/>
  <c r="H914" i="728"/>
  <c r="G914" i="728"/>
  <c r="N913" i="728"/>
  <c r="M913" i="728"/>
  <c r="O913" i="728" s="1"/>
  <c r="K913" i="728"/>
  <c r="J913" i="728"/>
  <c r="L913" i="728" s="1"/>
  <c r="I913" i="728"/>
  <c r="H913" i="728"/>
  <c r="G913" i="728"/>
  <c r="N912" i="728"/>
  <c r="O912" i="728" s="1"/>
  <c r="M912" i="728"/>
  <c r="K912" i="728"/>
  <c r="J912" i="728"/>
  <c r="I912" i="728"/>
  <c r="L912" i="728" s="1"/>
  <c r="H912" i="728"/>
  <c r="G912" i="728"/>
  <c r="N911" i="728"/>
  <c r="M911" i="728"/>
  <c r="O911" i="728" s="1"/>
  <c r="K911" i="728"/>
  <c r="L911" i="728" s="1"/>
  <c r="J911" i="728"/>
  <c r="I911" i="728"/>
  <c r="H911" i="728"/>
  <c r="G911" i="728"/>
  <c r="N910" i="728"/>
  <c r="M910" i="728"/>
  <c r="O910" i="728" s="1"/>
  <c r="K910" i="728"/>
  <c r="J910" i="728"/>
  <c r="I910" i="728"/>
  <c r="L910" i="728" s="1"/>
  <c r="H910" i="728"/>
  <c r="G910" i="728"/>
  <c r="N909" i="728"/>
  <c r="M909" i="728"/>
  <c r="K909" i="728"/>
  <c r="J909" i="728"/>
  <c r="L909" i="728" s="1"/>
  <c r="I909" i="728"/>
  <c r="H909" i="728"/>
  <c r="G909" i="728"/>
  <c r="N908" i="728"/>
  <c r="O908" i="728" s="1"/>
  <c r="M908" i="728"/>
  <c r="K908" i="728"/>
  <c r="J908" i="728"/>
  <c r="I908" i="728"/>
  <c r="L908" i="728" s="1"/>
  <c r="H908" i="728"/>
  <c r="G908" i="728"/>
  <c r="N907" i="728"/>
  <c r="M907" i="728"/>
  <c r="K907" i="728"/>
  <c r="L907" i="728" s="1"/>
  <c r="J907" i="728"/>
  <c r="I907" i="728"/>
  <c r="H907" i="728"/>
  <c r="G907" i="728"/>
  <c r="N906" i="728"/>
  <c r="M906" i="728"/>
  <c r="O906" i="728" s="1"/>
  <c r="K906" i="728"/>
  <c r="J906" i="728"/>
  <c r="I906" i="728"/>
  <c r="L906" i="728" s="1"/>
  <c r="H906" i="728"/>
  <c r="G906" i="728"/>
  <c r="N905" i="728"/>
  <c r="M905" i="728"/>
  <c r="O905" i="728" s="1"/>
  <c r="K905" i="728"/>
  <c r="J905" i="728"/>
  <c r="L905" i="728" s="1"/>
  <c r="I905" i="728"/>
  <c r="H905" i="728"/>
  <c r="G905" i="728"/>
  <c r="N904" i="728"/>
  <c r="O904" i="728" s="1"/>
  <c r="M904" i="728"/>
  <c r="K904" i="728"/>
  <c r="J904" i="728"/>
  <c r="I904" i="728"/>
  <c r="L904" i="728" s="1"/>
  <c r="H904" i="728"/>
  <c r="G904" i="728"/>
  <c r="N903" i="728"/>
  <c r="M903" i="728"/>
  <c r="O903" i="728" s="1"/>
  <c r="K903" i="728"/>
  <c r="L903" i="728" s="1"/>
  <c r="J903" i="728"/>
  <c r="I903" i="728"/>
  <c r="H903" i="728"/>
  <c r="G903" i="728"/>
  <c r="N902" i="728"/>
  <c r="M902" i="728"/>
  <c r="O902" i="728" s="1"/>
  <c r="K902" i="728"/>
  <c r="J902" i="728"/>
  <c r="I902" i="728"/>
  <c r="L902" i="728" s="1"/>
  <c r="H902" i="728"/>
  <c r="G902" i="728"/>
  <c r="N901" i="728"/>
  <c r="M901" i="728"/>
  <c r="O901" i="728" s="1"/>
  <c r="K901" i="728"/>
  <c r="J901" i="728"/>
  <c r="L901" i="728" s="1"/>
  <c r="I901" i="728"/>
  <c r="H901" i="728"/>
  <c r="G901" i="728"/>
  <c r="N900" i="728"/>
  <c r="O900" i="728" s="1"/>
  <c r="M900" i="728"/>
  <c r="K900" i="728"/>
  <c r="J900" i="728"/>
  <c r="I900" i="728"/>
  <c r="L900" i="728" s="1"/>
  <c r="H900" i="728"/>
  <c r="G900" i="728"/>
  <c r="N899" i="728"/>
  <c r="M899" i="728"/>
  <c r="O899" i="728" s="1"/>
  <c r="K899" i="728"/>
  <c r="L899" i="728" s="1"/>
  <c r="J899" i="728"/>
  <c r="I899" i="728"/>
  <c r="H899" i="728"/>
  <c r="G899" i="728"/>
  <c r="N898" i="728"/>
  <c r="M898" i="728"/>
  <c r="K898" i="728"/>
  <c r="J898" i="728"/>
  <c r="I898" i="728"/>
  <c r="L898" i="728" s="1"/>
  <c r="H898" i="728"/>
  <c r="G898" i="728"/>
  <c r="N897" i="728"/>
  <c r="M897" i="728"/>
  <c r="K897" i="728"/>
  <c r="J897" i="728"/>
  <c r="I897" i="728"/>
  <c r="H897" i="728"/>
  <c r="G897" i="728"/>
  <c r="N896" i="728"/>
  <c r="O896" i="728" s="1"/>
  <c r="M896" i="728"/>
  <c r="K896" i="728"/>
  <c r="J896" i="728"/>
  <c r="I896" i="728"/>
  <c r="L896" i="728" s="1"/>
  <c r="H896" i="728"/>
  <c r="G896" i="728"/>
  <c r="N895" i="728"/>
  <c r="M895" i="728"/>
  <c r="K895" i="728"/>
  <c r="L895" i="728" s="1"/>
  <c r="J895" i="728"/>
  <c r="I895" i="728"/>
  <c r="H895" i="728"/>
  <c r="G895" i="728"/>
  <c r="N894" i="728"/>
  <c r="M894" i="728"/>
  <c r="K894" i="728"/>
  <c r="J894" i="728"/>
  <c r="I894" i="728"/>
  <c r="L894" i="728" s="1"/>
  <c r="H894" i="728"/>
  <c r="G894" i="728"/>
  <c r="N893" i="728"/>
  <c r="M893" i="728"/>
  <c r="O893" i="728" s="1"/>
  <c r="K893" i="728"/>
  <c r="J893" i="728"/>
  <c r="L893" i="728" s="1"/>
  <c r="I893" i="728"/>
  <c r="H893" i="728"/>
  <c r="G893" i="728"/>
  <c r="N892" i="728"/>
  <c r="O892" i="728" s="1"/>
  <c r="M892" i="728"/>
  <c r="K892" i="728"/>
  <c r="J892" i="728"/>
  <c r="I892" i="728"/>
  <c r="L892" i="728" s="1"/>
  <c r="H892" i="728"/>
  <c r="G892" i="728"/>
  <c r="N891" i="728"/>
  <c r="M891" i="728"/>
  <c r="O891" i="728" s="1"/>
  <c r="K891" i="728"/>
  <c r="L891" i="728" s="1"/>
  <c r="J891" i="728"/>
  <c r="I891" i="728"/>
  <c r="H891" i="728"/>
  <c r="G891" i="728"/>
  <c r="N890" i="728"/>
  <c r="M890" i="728"/>
  <c r="O890" i="728" s="1"/>
  <c r="K890" i="728"/>
  <c r="J890" i="728"/>
  <c r="I890" i="728"/>
  <c r="L890" i="728" s="1"/>
  <c r="H890" i="728"/>
  <c r="G890" i="728"/>
  <c r="N889" i="728"/>
  <c r="M889" i="728"/>
  <c r="O889" i="728" s="1"/>
  <c r="K889" i="728"/>
  <c r="J889" i="728"/>
  <c r="L889" i="728" s="1"/>
  <c r="I889" i="728"/>
  <c r="H889" i="728"/>
  <c r="G889" i="728"/>
  <c r="N888" i="728"/>
  <c r="O888" i="728" s="1"/>
  <c r="M888" i="728"/>
  <c r="K888" i="728"/>
  <c r="J888" i="728"/>
  <c r="I888" i="728"/>
  <c r="L888" i="728" s="1"/>
  <c r="H888" i="728"/>
  <c r="G888" i="728"/>
  <c r="N887" i="728"/>
  <c r="M887" i="728"/>
  <c r="O887" i="728" s="1"/>
  <c r="K887" i="728"/>
  <c r="L887" i="728" s="1"/>
  <c r="J887" i="728"/>
  <c r="I887" i="728"/>
  <c r="H887" i="728"/>
  <c r="G887" i="728"/>
  <c r="N886" i="728"/>
  <c r="M886" i="728"/>
  <c r="O886" i="728" s="1"/>
  <c r="K886" i="728"/>
  <c r="J886" i="728"/>
  <c r="I886" i="728"/>
  <c r="L886" i="728" s="1"/>
  <c r="H886" i="728"/>
  <c r="G886" i="728"/>
  <c r="N885" i="728"/>
  <c r="M885" i="728"/>
  <c r="O885" i="728" s="1"/>
  <c r="K885" i="728"/>
  <c r="J885" i="728"/>
  <c r="I885" i="728"/>
  <c r="H885" i="728"/>
  <c r="G885" i="728"/>
  <c r="O884" i="728"/>
  <c r="N884" i="728"/>
  <c r="M884" i="728"/>
  <c r="K884" i="728"/>
  <c r="J884" i="728"/>
  <c r="I884" i="728"/>
  <c r="L884" i="728" s="1"/>
  <c r="H884" i="728"/>
  <c r="G884" i="728"/>
  <c r="N883" i="728"/>
  <c r="M883" i="728"/>
  <c r="K883" i="728"/>
  <c r="L883" i="728" s="1"/>
  <c r="J883" i="728"/>
  <c r="I883" i="728"/>
  <c r="H883" i="728"/>
  <c r="G883" i="728"/>
  <c r="N882" i="728"/>
  <c r="M882" i="728"/>
  <c r="O882" i="728" s="1"/>
  <c r="K882" i="728"/>
  <c r="J882" i="728"/>
  <c r="I882" i="728"/>
  <c r="H882" i="728"/>
  <c r="G882" i="728"/>
  <c r="N881" i="728"/>
  <c r="M881" i="728"/>
  <c r="O881" i="728" s="1"/>
  <c r="K881" i="728"/>
  <c r="J881" i="728"/>
  <c r="I881" i="728"/>
  <c r="H881" i="728"/>
  <c r="G881" i="728"/>
  <c r="N880" i="728"/>
  <c r="O880" i="728" s="1"/>
  <c r="M880" i="728"/>
  <c r="K880" i="728"/>
  <c r="J880" i="728"/>
  <c r="I880" i="728"/>
  <c r="H880" i="728"/>
  <c r="G880" i="728"/>
  <c r="N879" i="728"/>
  <c r="M879" i="728"/>
  <c r="K879" i="728"/>
  <c r="L879" i="728" s="1"/>
  <c r="J879" i="728"/>
  <c r="I879" i="728"/>
  <c r="H879" i="728"/>
  <c r="G879" i="728"/>
  <c r="N878" i="728"/>
  <c r="M878" i="728"/>
  <c r="K878" i="728"/>
  <c r="J878" i="728"/>
  <c r="I878" i="728"/>
  <c r="H878" i="728"/>
  <c r="G878" i="728"/>
  <c r="N877" i="728"/>
  <c r="M877" i="728"/>
  <c r="O877" i="728" s="1"/>
  <c r="K877" i="728"/>
  <c r="J877" i="728"/>
  <c r="I877" i="728"/>
  <c r="H877" i="728"/>
  <c r="G877" i="728"/>
  <c r="O876" i="728"/>
  <c r="N876" i="728"/>
  <c r="M876" i="728"/>
  <c r="K876" i="728"/>
  <c r="J876" i="728"/>
  <c r="I876" i="728"/>
  <c r="L876" i="728" s="1"/>
  <c r="H876" i="728"/>
  <c r="G876" i="728"/>
  <c r="N875" i="728"/>
  <c r="M875" i="728"/>
  <c r="K875" i="728"/>
  <c r="L875" i="728" s="1"/>
  <c r="J875" i="728"/>
  <c r="I875" i="728"/>
  <c r="H875" i="728"/>
  <c r="G875" i="728"/>
  <c r="N874" i="728"/>
  <c r="M874" i="728"/>
  <c r="K874" i="728"/>
  <c r="J874" i="728"/>
  <c r="I874" i="728"/>
  <c r="H874" i="728"/>
  <c r="G874" i="728"/>
  <c r="N873" i="728"/>
  <c r="M873" i="728"/>
  <c r="K873" i="728"/>
  <c r="J873" i="728"/>
  <c r="I873" i="728"/>
  <c r="H873" i="728"/>
  <c r="G873" i="728"/>
  <c r="N872" i="728"/>
  <c r="O872" i="728" s="1"/>
  <c r="M872" i="728"/>
  <c r="K872" i="728"/>
  <c r="J872" i="728"/>
  <c r="I872" i="728"/>
  <c r="H872" i="728"/>
  <c r="G872" i="728"/>
  <c r="N871" i="728"/>
  <c r="M871" i="728"/>
  <c r="O871" i="728" s="1"/>
  <c r="K871" i="728"/>
  <c r="J871" i="728"/>
  <c r="L871" i="728" s="1"/>
  <c r="I871" i="728"/>
  <c r="H871" i="728"/>
  <c r="G871" i="728"/>
  <c r="N870" i="728"/>
  <c r="M870" i="728"/>
  <c r="K870" i="728"/>
  <c r="J870" i="728"/>
  <c r="I870" i="728"/>
  <c r="H870" i="728"/>
  <c r="G870" i="728"/>
  <c r="N869" i="728"/>
  <c r="M869" i="728"/>
  <c r="O869" i="728" s="1"/>
  <c r="K869" i="728"/>
  <c r="J869" i="728"/>
  <c r="I869" i="728"/>
  <c r="H869" i="728"/>
  <c r="G869" i="728"/>
  <c r="N868" i="728"/>
  <c r="O868" i="728" s="1"/>
  <c r="M868" i="728"/>
  <c r="K868" i="728"/>
  <c r="J868" i="728"/>
  <c r="I868" i="728"/>
  <c r="L868" i="728" s="1"/>
  <c r="H868" i="728"/>
  <c r="G868" i="728"/>
  <c r="N867" i="728"/>
  <c r="M867" i="728"/>
  <c r="K867" i="728"/>
  <c r="J867" i="728"/>
  <c r="L867" i="728" s="1"/>
  <c r="I867" i="728"/>
  <c r="H867" i="728"/>
  <c r="G867" i="728"/>
  <c r="N866" i="728"/>
  <c r="M866" i="728"/>
  <c r="O866" i="728" s="1"/>
  <c r="K866" i="728"/>
  <c r="J866" i="728"/>
  <c r="I866" i="728"/>
  <c r="H866" i="728"/>
  <c r="G866" i="728"/>
  <c r="N865" i="728"/>
  <c r="M865" i="728"/>
  <c r="O865" i="728" s="1"/>
  <c r="K865" i="728"/>
  <c r="J865" i="728"/>
  <c r="L865" i="728" s="1"/>
  <c r="I865" i="728"/>
  <c r="H865" i="728"/>
  <c r="G865" i="728"/>
  <c r="N864" i="728"/>
  <c r="O864" i="728" s="1"/>
  <c r="M864" i="728"/>
  <c r="K864" i="728"/>
  <c r="J864" i="728"/>
  <c r="I864" i="728"/>
  <c r="L864" i="728" s="1"/>
  <c r="H864" i="728"/>
  <c r="G864" i="728"/>
  <c r="N863" i="728"/>
  <c r="M863" i="728"/>
  <c r="O863" i="728" s="1"/>
  <c r="K863" i="728"/>
  <c r="J863" i="728"/>
  <c r="L863" i="728" s="1"/>
  <c r="I863" i="728"/>
  <c r="H863" i="728"/>
  <c r="G863" i="728"/>
  <c r="N862" i="728"/>
  <c r="M862" i="728"/>
  <c r="O862" i="728" s="1"/>
  <c r="K862" i="728"/>
  <c r="J862" i="728"/>
  <c r="I862" i="728"/>
  <c r="H862" i="728"/>
  <c r="G862" i="728"/>
  <c r="N861" i="728"/>
  <c r="M861" i="728"/>
  <c r="K861" i="728"/>
  <c r="J861" i="728"/>
  <c r="I861" i="728"/>
  <c r="H861" i="728"/>
  <c r="G861" i="728"/>
  <c r="N860" i="728"/>
  <c r="O860" i="728" s="1"/>
  <c r="M860" i="728"/>
  <c r="K860" i="728"/>
  <c r="J860" i="728"/>
  <c r="I860" i="728"/>
  <c r="L860" i="728" s="1"/>
  <c r="H860" i="728"/>
  <c r="G860" i="728"/>
  <c r="N859" i="728"/>
  <c r="M859" i="728"/>
  <c r="K859" i="728"/>
  <c r="J859" i="728"/>
  <c r="L859" i="728" s="1"/>
  <c r="I859" i="728"/>
  <c r="H859" i="728"/>
  <c r="G859" i="728"/>
  <c r="N858" i="728"/>
  <c r="M858" i="728"/>
  <c r="O858" i="728" s="1"/>
  <c r="K858" i="728"/>
  <c r="J858" i="728"/>
  <c r="I858" i="728"/>
  <c r="H858" i="728"/>
  <c r="G858" i="728"/>
  <c r="N857" i="728"/>
  <c r="M857" i="728"/>
  <c r="O857" i="728" s="1"/>
  <c r="K857" i="728"/>
  <c r="J857" i="728"/>
  <c r="L857" i="728" s="1"/>
  <c r="I857" i="728"/>
  <c r="H857" i="728"/>
  <c r="G857" i="728"/>
  <c r="N856" i="728"/>
  <c r="O856" i="728" s="1"/>
  <c r="M856" i="728"/>
  <c r="K856" i="728"/>
  <c r="J856" i="728"/>
  <c r="I856" i="728"/>
  <c r="L856" i="728" s="1"/>
  <c r="H856" i="728"/>
  <c r="G856" i="728"/>
  <c r="N855" i="728"/>
  <c r="M855" i="728"/>
  <c r="O855" i="728" s="1"/>
  <c r="K855" i="728"/>
  <c r="J855" i="728"/>
  <c r="L855" i="728" s="1"/>
  <c r="I855" i="728"/>
  <c r="H855" i="728"/>
  <c r="G855" i="728"/>
  <c r="N854" i="728"/>
  <c r="M854" i="728"/>
  <c r="O854" i="728" s="1"/>
  <c r="K854" i="728"/>
  <c r="J854" i="728"/>
  <c r="I854" i="728"/>
  <c r="L854" i="728" s="1"/>
  <c r="H854" i="728"/>
  <c r="G854" i="728"/>
  <c r="N853" i="728"/>
  <c r="M853" i="728"/>
  <c r="L853" i="728"/>
  <c r="K853" i="728"/>
  <c r="J853" i="728"/>
  <c r="I853" i="728"/>
  <c r="H853" i="728"/>
  <c r="G853" i="728"/>
  <c r="N852" i="728"/>
  <c r="M852" i="728"/>
  <c r="O852" i="728" s="1"/>
  <c r="K852" i="728"/>
  <c r="J852" i="728"/>
  <c r="I852" i="728"/>
  <c r="L852" i="728" s="1"/>
  <c r="H852" i="728"/>
  <c r="G852" i="728"/>
  <c r="N851" i="728"/>
  <c r="M851" i="728"/>
  <c r="L851" i="728"/>
  <c r="K851" i="728"/>
  <c r="J851" i="728"/>
  <c r="I851" i="728"/>
  <c r="H851" i="728"/>
  <c r="G851" i="728"/>
  <c r="N850" i="728"/>
  <c r="O850" i="728" s="1"/>
  <c r="M850" i="728"/>
  <c r="K850" i="728"/>
  <c r="J850" i="728"/>
  <c r="I850" i="728"/>
  <c r="L850" i="728" s="1"/>
  <c r="H850" i="728"/>
  <c r="G850" i="728"/>
  <c r="N849" i="728"/>
  <c r="M849" i="728"/>
  <c r="O849" i="728" s="1"/>
  <c r="K849" i="728"/>
  <c r="J849" i="728"/>
  <c r="L849" i="728" s="1"/>
  <c r="I849" i="728"/>
  <c r="H849" i="728"/>
  <c r="G849" i="728"/>
  <c r="N848" i="728"/>
  <c r="M848" i="728"/>
  <c r="O848" i="728" s="1"/>
  <c r="K848" i="728"/>
  <c r="J848" i="728"/>
  <c r="I848" i="728"/>
  <c r="L848" i="728" s="1"/>
  <c r="H848" i="728"/>
  <c r="G848" i="728"/>
  <c r="N847" i="728"/>
  <c r="M847" i="728"/>
  <c r="O847" i="728" s="1"/>
  <c r="L847" i="728"/>
  <c r="K847" i="728"/>
  <c r="J847" i="728"/>
  <c r="I847" i="728"/>
  <c r="H847" i="728"/>
  <c r="G847" i="728"/>
  <c r="N846" i="728"/>
  <c r="M846" i="728"/>
  <c r="K846" i="728"/>
  <c r="J846" i="728"/>
  <c r="I846" i="728"/>
  <c r="L846" i="728" s="1"/>
  <c r="H846" i="728"/>
  <c r="G846" i="728"/>
  <c r="N845" i="728"/>
  <c r="M845" i="728"/>
  <c r="O845" i="728" s="1"/>
  <c r="L845" i="728"/>
  <c r="K845" i="728"/>
  <c r="J845" i="728"/>
  <c r="I845" i="728"/>
  <c r="H845" i="728"/>
  <c r="G845" i="728"/>
  <c r="N844" i="728"/>
  <c r="O844" i="728" s="1"/>
  <c r="M844" i="728"/>
  <c r="K844" i="728"/>
  <c r="J844" i="728"/>
  <c r="I844" i="728"/>
  <c r="L844" i="728" s="1"/>
  <c r="H844" i="728"/>
  <c r="G844" i="728"/>
  <c r="N843" i="728"/>
  <c r="M843" i="728"/>
  <c r="K843" i="728"/>
  <c r="J843" i="728"/>
  <c r="L843" i="728" s="1"/>
  <c r="I843" i="728"/>
  <c r="H843" i="728"/>
  <c r="G843" i="728"/>
  <c r="N842" i="728"/>
  <c r="M842" i="728"/>
  <c r="O842" i="728" s="1"/>
  <c r="K842" i="728"/>
  <c r="J842" i="728"/>
  <c r="I842" i="728"/>
  <c r="L842" i="728" s="1"/>
  <c r="H842" i="728"/>
  <c r="G842" i="728"/>
  <c r="N841" i="728"/>
  <c r="M841" i="728"/>
  <c r="O841" i="728" s="1"/>
  <c r="K841" i="728"/>
  <c r="L841" i="728" s="1"/>
  <c r="J841" i="728"/>
  <c r="I841" i="728"/>
  <c r="H841" i="728"/>
  <c r="G841" i="728"/>
  <c r="N840" i="728"/>
  <c r="M840" i="728"/>
  <c r="O840" i="728" s="1"/>
  <c r="K840" i="728"/>
  <c r="J840" i="728"/>
  <c r="I840" i="728"/>
  <c r="L840" i="728" s="1"/>
  <c r="H840" i="728"/>
  <c r="G840" i="728"/>
  <c r="N839" i="728"/>
  <c r="M839" i="728"/>
  <c r="O839" i="728" s="1"/>
  <c r="L839" i="728"/>
  <c r="K839" i="728"/>
  <c r="J839" i="728"/>
  <c r="I839" i="728"/>
  <c r="H839" i="728"/>
  <c r="G839" i="728"/>
  <c r="N838" i="728"/>
  <c r="O838" i="728" s="1"/>
  <c r="M838" i="728"/>
  <c r="K838" i="728"/>
  <c r="J838" i="728"/>
  <c r="I838" i="728"/>
  <c r="H838" i="728"/>
  <c r="G838" i="728"/>
  <c r="N837" i="728"/>
  <c r="M837" i="728"/>
  <c r="O837" i="728" s="1"/>
  <c r="K837" i="728"/>
  <c r="J837" i="728"/>
  <c r="L837" i="728" s="1"/>
  <c r="I837" i="728"/>
  <c r="H837" i="728"/>
  <c r="G837" i="728"/>
  <c r="N836" i="728"/>
  <c r="M836" i="728"/>
  <c r="O836" i="728" s="1"/>
  <c r="K836" i="728"/>
  <c r="J836" i="728"/>
  <c r="I836" i="728"/>
  <c r="L836" i="728" s="1"/>
  <c r="H836" i="728"/>
  <c r="G836" i="728"/>
  <c r="N835" i="728"/>
  <c r="M835" i="728"/>
  <c r="O835" i="728" s="1"/>
  <c r="K835" i="728"/>
  <c r="L835" i="728" s="1"/>
  <c r="J835" i="728"/>
  <c r="I835" i="728"/>
  <c r="H835" i="728"/>
  <c r="G835" i="728"/>
  <c r="N834" i="728"/>
  <c r="M834" i="728"/>
  <c r="O834" i="728" s="1"/>
  <c r="K834" i="728"/>
  <c r="J834" i="728"/>
  <c r="I834" i="728"/>
  <c r="L834" i="728" s="1"/>
  <c r="H834" i="728"/>
  <c r="G834" i="728"/>
  <c r="N833" i="728"/>
  <c r="M833" i="728"/>
  <c r="O833" i="728" s="1"/>
  <c r="L833" i="728"/>
  <c r="K833" i="728"/>
  <c r="J833" i="728"/>
  <c r="I833" i="728"/>
  <c r="H833" i="728"/>
  <c r="G833" i="728"/>
  <c r="N832" i="728"/>
  <c r="O832" i="728" s="1"/>
  <c r="M832" i="728"/>
  <c r="K832" i="728"/>
  <c r="J832" i="728"/>
  <c r="I832" i="728"/>
  <c r="L832" i="728" s="1"/>
  <c r="H832" i="728"/>
  <c r="G832" i="728"/>
  <c r="N831" i="728"/>
  <c r="M831" i="728"/>
  <c r="O831" i="728" s="1"/>
  <c r="K831" i="728"/>
  <c r="L831" i="728" s="1"/>
  <c r="J831" i="728"/>
  <c r="I831" i="728"/>
  <c r="H831" i="728"/>
  <c r="G831" i="728"/>
  <c r="N830" i="728"/>
  <c r="O830" i="728" s="1"/>
  <c r="M830" i="728"/>
  <c r="K830" i="728"/>
  <c r="J830" i="728"/>
  <c r="I830" i="728"/>
  <c r="L830" i="728" s="1"/>
  <c r="H830" i="728"/>
  <c r="G830" i="728"/>
  <c r="O829" i="728"/>
  <c r="N829" i="728"/>
  <c r="M829" i="728"/>
  <c r="L829" i="728"/>
  <c r="K829" i="728"/>
  <c r="J829" i="728"/>
  <c r="I829" i="728"/>
  <c r="H829" i="728"/>
  <c r="G829" i="728"/>
  <c r="N828" i="728"/>
  <c r="O828" i="728" s="1"/>
  <c r="M828" i="728"/>
  <c r="K828" i="728"/>
  <c r="J828" i="728"/>
  <c r="I828" i="728"/>
  <c r="L828" i="728" s="1"/>
  <c r="H828" i="728"/>
  <c r="G828" i="728"/>
  <c r="N827" i="728"/>
  <c r="M827" i="728"/>
  <c r="O827" i="728" s="1"/>
  <c r="K827" i="728"/>
  <c r="L827" i="728" s="1"/>
  <c r="J827" i="728"/>
  <c r="I827" i="728"/>
  <c r="H827" i="728"/>
  <c r="G827" i="728"/>
  <c r="N826" i="728"/>
  <c r="O826" i="728" s="1"/>
  <c r="M826" i="728"/>
  <c r="K826" i="728"/>
  <c r="J826" i="728"/>
  <c r="I826" i="728"/>
  <c r="L826" i="728" s="1"/>
  <c r="H826" i="728"/>
  <c r="G826" i="728"/>
  <c r="N825" i="728"/>
  <c r="M825" i="728"/>
  <c r="L825" i="728"/>
  <c r="K825" i="728"/>
  <c r="J825" i="728"/>
  <c r="I825" i="728"/>
  <c r="H825" i="728"/>
  <c r="G825" i="728"/>
  <c r="N824" i="728"/>
  <c r="O824" i="728" s="1"/>
  <c r="M824" i="728"/>
  <c r="K824" i="728"/>
  <c r="J824" i="728"/>
  <c r="I824" i="728"/>
  <c r="L824" i="728" s="1"/>
  <c r="H824" i="728"/>
  <c r="G824" i="728"/>
  <c r="N823" i="728"/>
  <c r="M823" i="728"/>
  <c r="O823" i="728" s="1"/>
  <c r="K823" i="728"/>
  <c r="L823" i="728" s="1"/>
  <c r="J823" i="728"/>
  <c r="I823" i="728"/>
  <c r="H823" i="728"/>
  <c r="G823" i="728"/>
  <c r="O822" i="728"/>
  <c r="N822" i="728"/>
  <c r="M822" i="728"/>
  <c r="K822" i="728"/>
  <c r="J822" i="728"/>
  <c r="I822" i="728"/>
  <c r="L822" i="728" s="1"/>
  <c r="H822" i="728"/>
  <c r="G822" i="728"/>
  <c r="N821" i="728"/>
  <c r="M821" i="728"/>
  <c r="O821" i="728" s="1"/>
  <c r="L821" i="728"/>
  <c r="K821" i="728"/>
  <c r="J821" i="728"/>
  <c r="I821" i="728"/>
  <c r="H821" i="728"/>
  <c r="G821" i="728"/>
  <c r="N820" i="728"/>
  <c r="O820" i="728" s="1"/>
  <c r="M820" i="728"/>
  <c r="K820" i="728"/>
  <c r="J820" i="728"/>
  <c r="I820" i="728"/>
  <c r="L820" i="728" s="1"/>
  <c r="H820" i="728"/>
  <c r="G820" i="728"/>
  <c r="N819" i="728"/>
  <c r="M819" i="728"/>
  <c r="O819" i="728" s="1"/>
  <c r="K819" i="728"/>
  <c r="L819" i="728" s="1"/>
  <c r="J819" i="728"/>
  <c r="I819" i="728"/>
  <c r="H819" i="728"/>
  <c r="G819" i="728"/>
  <c r="N818" i="728"/>
  <c r="O818" i="728" s="1"/>
  <c r="M818" i="728"/>
  <c r="K818" i="728"/>
  <c r="J818" i="728"/>
  <c r="I818" i="728"/>
  <c r="L818" i="728" s="1"/>
  <c r="H818" i="728"/>
  <c r="G818" i="728"/>
  <c r="N817" i="728"/>
  <c r="M817" i="728"/>
  <c r="L817" i="728"/>
  <c r="K817" i="728"/>
  <c r="J817" i="728"/>
  <c r="I817" i="728"/>
  <c r="H817" i="728"/>
  <c r="G817" i="728"/>
  <c r="N816" i="728"/>
  <c r="O816" i="728" s="1"/>
  <c r="M816" i="728"/>
  <c r="K816" i="728"/>
  <c r="J816" i="728"/>
  <c r="I816" i="728"/>
  <c r="L816" i="728" s="1"/>
  <c r="H816" i="728"/>
  <c r="G816" i="728"/>
  <c r="N815" i="728"/>
  <c r="M815" i="728"/>
  <c r="O815" i="728" s="1"/>
  <c r="K815" i="728"/>
  <c r="L815" i="728" s="1"/>
  <c r="J815" i="728"/>
  <c r="I815" i="728"/>
  <c r="H815" i="728"/>
  <c r="G815" i="728"/>
  <c r="O814" i="728"/>
  <c r="N814" i="728"/>
  <c r="M814" i="728"/>
  <c r="K814" i="728"/>
  <c r="J814" i="728"/>
  <c r="I814" i="728"/>
  <c r="L814" i="728" s="1"/>
  <c r="H814" i="728"/>
  <c r="G814" i="728"/>
  <c r="N813" i="728"/>
  <c r="M813" i="728"/>
  <c r="O813" i="728" s="1"/>
  <c r="L813" i="728"/>
  <c r="K813" i="728"/>
  <c r="J813" i="728"/>
  <c r="I813" i="728"/>
  <c r="H813" i="728"/>
  <c r="G813" i="728"/>
  <c r="N812" i="728"/>
  <c r="O812" i="728" s="1"/>
  <c r="M812" i="728"/>
  <c r="K812" i="728"/>
  <c r="J812" i="728"/>
  <c r="I812" i="728"/>
  <c r="L812" i="728" s="1"/>
  <c r="H812" i="728"/>
  <c r="G812" i="728"/>
  <c r="N811" i="728"/>
  <c r="M811" i="728"/>
  <c r="O811" i="728" s="1"/>
  <c r="K811" i="728"/>
  <c r="L811" i="728" s="1"/>
  <c r="J811" i="728"/>
  <c r="I811" i="728"/>
  <c r="H811" i="728"/>
  <c r="G811" i="728"/>
  <c r="N810" i="728"/>
  <c r="O810" i="728" s="1"/>
  <c r="M810" i="728"/>
  <c r="K810" i="728"/>
  <c r="J810" i="728"/>
  <c r="I810" i="728"/>
  <c r="L810" i="728" s="1"/>
  <c r="H810" i="728"/>
  <c r="G810" i="728"/>
  <c r="N809" i="728"/>
  <c r="M809" i="728"/>
  <c r="L809" i="728"/>
  <c r="K809" i="728"/>
  <c r="J809" i="728"/>
  <c r="I809" i="728"/>
  <c r="H809" i="728"/>
  <c r="G809" i="728"/>
  <c r="N808" i="728"/>
  <c r="O808" i="728" s="1"/>
  <c r="M808" i="728"/>
  <c r="K808" i="728"/>
  <c r="J808" i="728"/>
  <c r="I808" i="728"/>
  <c r="L808" i="728" s="1"/>
  <c r="H808" i="728"/>
  <c r="G808" i="728"/>
  <c r="N807" i="728"/>
  <c r="M807" i="728"/>
  <c r="O807" i="728" s="1"/>
  <c r="K807" i="728"/>
  <c r="L807" i="728" s="1"/>
  <c r="J807" i="728"/>
  <c r="I807" i="728"/>
  <c r="H807" i="728"/>
  <c r="G807" i="728"/>
  <c r="O806" i="728"/>
  <c r="N806" i="728"/>
  <c r="M806" i="728"/>
  <c r="K806" i="728"/>
  <c r="J806" i="728"/>
  <c r="I806" i="728"/>
  <c r="L806" i="728" s="1"/>
  <c r="H806" i="728"/>
  <c r="G806" i="728"/>
  <c r="N805" i="728"/>
  <c r="M805" i="728"/>
  <c r="O805" i="728" s="1"/>
  <c r="L805" i="728"/>
  <c r="K805" i="728"/>
  <c r="J805" i="728"/>
  <c r="I805" i="728"/>
  <c r="H805" i="728"/>
  <c r="G805" i="728"/>
  <c r="N804" i="728"/>
  <c r="O804" i="728" s="1"/>
  <c r="M804" i="728"/>
  <c r="K804" i="728"/>
  <c r="J804" i="728"/>
  <c r="I804" i="728"/>
  <c r="L804" i="728" s="1"/>
  <c r="H804" i="728"/>
  <c r="G804" i="728"/>
  <c r="N803" i="728"/>
  <c r="M803" i="728"/>
  <c r="O803" i="728" s="1"/>
  <c r="K803" i="728"/>
  <c r="L803" i="728" s="1"/>
  <c r="J803" i="728"/>
  <c r="I803" i="728"/>
  <c r="H803" i="728"/>
  <c r="G803" i="728"/>
  <c r="N802" i="728"/>
  <c r="O802" i="728" s="1"/>
  <c r="M802" i="728"/>
  <c r="K802" i="728"/>
  <c r="J802" i="728"/>
  <c r="I802" i="728"/>
  <c r="L802" i="728" s="1"/>
  <c r="H802" i="728"/>
  <c r="G802" i="728"/>
  <c r="N801" i="728"/>
  <c r="M801" i="728"/>
  <c r="L801" i="728"/>
  <c r="K801" i="728"/>
  <c r="J801" i="728"/>
  <c r="I801" i="728"/>
  <c r="H801" i="728"/>
  <c r="G801" i="728"/>
  <c r="N800" i="728"/>
  <c r="O800" i="728" s="1"/>
  <c r="M800" i="728"/>
  <c r="K800" i="728"/>
  <c r="J800" i="728"/>
  <c r="I800" i="728"/>
  <c r="L800" i="728" s="1"/>
  <c r="H800" i="728"/>
  <c r="G800" i="728"/>
  <c r="N799" i="728"/>
  <c r="M799" i="728"/>
  <c r="O799" i="728" s="1"/>
  <c r="K799" i="728"/>
  <c r="L799" i="728" s="1"/>
  <c r="J799" i="728"/>
  <c r="I799" i="728"/>
  <c r="H799" i="728"/>
  <c r="G799" i="728"/>
  <c r="O798" i="728"/>
  <c r="N798" i="728"/>
  <c r="M798" i="728"/>
  <c r="K798" i="728"/>
  <c r="J798" i="728"/>
  <c r="I798" i="728"/>
  <c r="L798" i="728" s="1"/>
  <c r="H798" i="728"/>
  <c r="G798" i="728"/>
  <c r="N797" i="728"/>
  <c r="M797" i="728"/>
  <c r="O797" i="728" s="1"/>
  <c r="L797" i="728"/>
  <c r="K797" i="728"/>
  <c r="J797" i="728"/>
  <c r="I797" i="728"/>
  <c r="H797" i="728"/>
  <c r="G797" i="728"/>
  <c r="N796" i="728"/>
  <c r="O796" i="728" s="1"/>
  <c r="M796" i="728"/>
  <c r="K796" i="728"/>
  <c r="J796" i="728"/>
  <c r="I796" i="728"/>
  <c r="L796" i="728" s="1"/>
  <c r="H796" i="728"/>
  <c r="G796" i="728"/>
  <c r="N795" i="728"/>
  <c r="M795" i="728"/>
  <c r="O795" i="728" s="1"/>
  <c r="K795" i="728"/>
  <c r="L795" i="728" s="1"/>
  <c r="J795" i="728"/>
  <c r="I795" i="728"/>
  <c r="H795" i="728"/>
  <c r="G795" i="728"/>
  <c r="N794" i="728"/>
  <c r="O794" i="728" s="1"/>
  <c r="M794" i="728"/>
  <c r="K794" i="728"/>
  <c r="J794" i="728"/>
  <c r="I794" i="728"/>
  <c r="L794" i="728" s="1"/>
  <c r="H794" i="728"/>
  <c r="G794" i="728"/>
  <c r="N793" i="728"/>
  <c r="M793" i="728"/>
  <c r="L793" i="728"/>
  <c r="K793" i="728"/>
  <c r="J793" i="728"/>
  <c r="I793" i="728"/>
  <c r="H793" i="728"/>
  <c r="G793" i="728"/>
  <c r="N792" i="728"/>
  <c r="O792" i="728" s="1"/>
  <c r="M792" i="728"/>
  <c r="K792" i="728"/>
  <c r="J792" i="728"/>
  <c r="I792" i="728"/>
  <c r="L792" i="728" s="1"/>
  <c r="H792" i="728"/>
  <c r="G792" i="728"/>
  <c r="N791" i="728"/>
  <c r="M791" i="728"/>
  <c r="O791" i="728" s="1"/>
  <c r="K791" i="728"/>
  <c r="L791" i="728" s="1"/>
  <c r="J791" i="728"/>
  <c r="I791" i="728"/>
  <c r="H791" i="728"/>
  <c r="G791" i="728"/>
  <c r="O790" i="728"/>
  <c r="N790" i="728"/>
  <c r="M790" i="728"/>
  <c r="K790" i="728"/>
  <c r="J790" i="728"/>
  <c r="I790" i="728"/>
  <c r="L790" i="728" s="1"/>
  <c r="H790" i="728"/>
  <c r="G790" i="728"/>
  <c r="N789" i="728"/>
  <c r="M789" i="728"/>
  <c r="O789" i="728" s="1"/>
  <c r="L789" i="728"/>
  <c r="K789" i="728"/>
  <c r="J789" i="728"/>
  <c r="I789" i="728"/>
  <c r="H789" i="728"/>
  <c r="G789" i="728"/>
  <c r="N788" i="728"/>
  <c r="O788" i="728" s="1"/>
  <c r="M788" i="728"/>
  <c r="K788" i="728"/>
  <c r="J788" i="728"/>
  <c r="I788" i="728"/>
  <c r="L788" i="728" s="1"/>
  <c r="H788" i="728"/>
  <c r="G788" i="728"/>
  <c r="N787" i="728"/>
  <c r="M787" i="728"/>
  <c r="O787" i="728" s="1"/>
  <c r="K787" i="728"/>
  <c r="L787" i="728" s="1"/>
  <c r="J787" i="728"/>
  <c r="I787" i="728"/>
  <c r="H787" i="728"/>
  <c r="G787" i="728"/>
  <c r="N786" i="728"/>
  <c r="O786" i="728" s="1"/>
  <c r="M786" i="728"/>
  <c r="K786" i="728"/>
  <c r="J786" i="728"/>
  <c r="I786" i="728"/>
  <c r="L786" i="728" s="1"/>
  <c r="H786" i="728"/>
  <c r="G786" i="728"/>
  <c r="N785" i="728"/>
  <c r="M785" i="728"/>
  <c r="L785" i="728"/>
  <c r="K785" i="728"/>
  <c r="J785" i="728"/>
  <c r="I785" i="728"/>
  <c r="H785" i="728"/>
  <c r="G785" i="728"/>
  <c r="N784" i="728"/>
  <c r="O784" i="728" s="1"/>
  <c r="M784" i="728"/>
  <c r="K784" i="728"/>
  <c r="J784" i="728"/>
  <c r="I784" i="728"/>
  <c r="L784" i="728" s="1"/>
  <c r="H784" i="728"/>
  <c r="G784" i="728"/>
  <c r="N783" i="728"/>
  <c r="M783" i="728"/>
  <c r="O783" i="728" s="1"/>
  <c r="K783" i="728"/>
  <c r="L783" i="728" s="1"/>
  <c r="J783" i="728"/>
  <c r="I783" i="728"/>
  <c r="H783" i="728"/>
  <c r="G783" i="728"/>
  <c r="O782" i="728"/>
  <c r="N782" i="728"/>
  <c r="M782" i="728"/>
  <c r="K782" i="728"/>
  <c r="J782" i="728"/>
  <c r="I782" i="728"/>
  <c r="L782" i="728" s="1"/>
  <c r="H782" i="728"/>
  <c r="G782" i="728"/>
  <c r="N781" i="728"/>
  <c r="M781" i="728"/>
  <c r="O781" i="728" s="1"/>
  <c r="L781" i="728"/>
  <c r="K781" i="728"/>
  <c r="J781" i="728"/>
  <c r="I781" i="728"/>
  <c r="H781" i="728"/>
  <c r="G781" i="728"/>
  <c r="N780" i="728"/>
  <c r="O780" i="728" s="1"/>
  <c r="M780" i="728"/>
  <c r="K780" i="728"/>
  <c r="J780" i="728"/>
  <c r="I780" i="728"/>
  <c r="L780" i="728" s="1"/>
  <c r="H780" i="728"/>
  <c r="G780" i="728"/>
  <c r="N779" i="728"/>
  <c r="M779" i="728"/>
  <c r="O779" i="728" s="1"/>
  <c r="K779" i="728"/>
  <c r="L779" i="728" s="1"/>
  <c r="J779" i="728"/>
  <c r="I779" i="728"/>
  <c r="H779" i="728"/>
  <c r="G779" i="728"/>
  <c r="N778" i="728"/>
  <c r="O778" i="728" s="1"/>
  <c r="M778" i="728"/>
  <c r="K778" i="728"/>
  <c r="J778" i="728"/>
  <c r="I778" i="728"/>
  <c r="L778" i="728" s="1"/>
  <c r="H778" i="728"/>
  <c r="G778" i="728"/>
  <c r="N777" i="728"/>
  <c r="M777" i="728"/>
  <c r="L777" i="728"/>
  <c r="K777" i="728"/>
  <c r="J777" i="728"/>
  <c r="I777" i="728"/>
  <c r="H777" i="728"/>
  <c r="G777" i="728"/>
  <c r="N776" i="728"/>
  <c r="O776" i="728" s="1"/>
  <c r="M776" i="728"/>
  <c r="K776" i="728"/>
  <c r="J776" i="728"/>
  <c r="I776" i="728"/>
  <c r="L776" i="728" s="1"/>
  <c r="H776" i="728"/>
  <c r="G776" i="728"/>
  <c r="N775" i="728"/>
  <c r="M775" i="728"/>
  <c r="O775" i="728" s="1"/>
  <c r="K775" i="728"/>
  <c r="L775" i="728" s="1"/>
  <c r="J775" i="728"/>
  <c r="I775" i="728"/>
  <c r="H775" i="728"/>
  <c r="G775" i="728"/>
  <c r="O774" i="728"/>
  <c r="N774" i="728"/>
  <c r="M774" i="728"/>
  <c r="K774" i="728"/>
  <c r="J774" i="728"/>
  <c r="I774" i="728"/>
  <c r="L774" i="728" s="1"/>
  <c r="H774" i="728"/>
  <c r="G774" i="728"/>
  <c r="N773" i="728"/>
  <c r="M773" i="728"/>
  <c r="O773" i="728" s="1"/>
  <c r="L773" i="728"/>
  <c r="K773" i="728"/>
  <c r="J773" i="728"/>
  <c r="I773" i="728"/>
  <c r="H773" i="728"/>
  <c r="G773" i="728"/>
  <c r="N772" i="728"/>
  <c r="O772" i="728" s="1"/>
  <c r="M772" i="728"/>
  <c r="K772" i="728"/>
  <c r="J772" i="728"/>
  <c r="I772" i="728"/>
  <c r="L772" i="728" s="1"/>
  <c r="H772" i="728"/>
  <c r="G772" i="728"/>
  <c r="N771" i="728"/>
  <c r="M771" i="728"/>
  <c r="O771" i="728" s="1"/>
  <c r="K771" i="728"/>
  <c r="L771" i="728" s="1"/>
  <c r="J771" i="728"/>
  <c r="I771" i="728"/>
  <c r="H771" i="728"/>
  <c r="G771" i="728"/>
  <c r="N770" i="728"/>
  <c r="O770" i="728" s="1"/>
  <c r="M770" i="728"/>
  <c r="K770" i="728"/>
  <c r="J770" i="728"/>
  <c r="I770" i="728"/>
  <c r="L770" i="728" s="1"/>
  <c r="H770" i="728"/>
  <c r="G770" i="728"/>
  <c r="N769" i="728"/>
  <c r="M769" i="728"/>
  <c r="L769" i="728"/>
  <c r="K769" i="728"/>
  <c r="J769" i="728"/>
  <c r="I769" i="728"/>
  <c r="H769" i="728"/>
  <c r="G769" i="728"/>
  <c r="N768" i="728"/>
  <c r="O768" i="728" s="1"/>
  <c r="M768" i="728"/>
  <c r="K768" i="728"/>
  <c r="J768" i="728"/>
  <c r="I768" i="728"/>
  <c r="L768" i="728" s="1"/>
  <c r="H768" i="728"/>
  <c r="G768" i="728"/>
  <c r="N767" i="728"/>
  <c r="M767" i="728"/>
  <c r="O767" i="728" s="1"/>
  <c r="K767" i="728"/>
  <c r="L767" i="728" s="1"/>
  <c r="J767" i="728"/>
  <c r="I767" i="728"/>
  <c r="H767" i="728"/>
  <c r="G767" i="728"/>
  <c r="O766" i="728"/>
  <c r="N766" i="728"/>
  <c r="M766" i="728"/>
  <c r="K766" i="728"/>
  <c r="J766" i="728"/>
  <c r="I766" i="728"/>
  <c r="L766" i="728" s="1"/>
  <c r="H766" i="728"/>
  <c r="G766" i="728"/>
  <c r="N765" i="728"/>
  <c r="M765" i="728"/>
  <c r="O765" i="728" s="1"/>
  <c r="L765" i="728"/>
  <c r="K765" i="728"/>
  <c r="J765" i="728"/>
  <c r="I765" i="728"/>
  <c r="H765" i="728"/>
  <c r="G765" i="728"/>
  <c r="N764" i="728"/>
  <c r="O764" i="728" s="1"/>
  <c r="M764" i="728"/>
  <c r="K764" i="728"/>
  <c r="J764" i="728"/>
  <c r="I764" i="728"/>
  <c r="L764" i="728" s="1"/>
  <c r="H764" i="728"/>
  <c r="G764" i="728"/>
  <c r="N763" i="728"/>
  <c r="M763" i="728"/>
  <c r="O763" i="728" s="1"/>
  <c r="K763" i="728"/>
  <c r="L763" i="728" s="1"/>
  <c r="J763" i="728"/>
  <c r="I763" i="728"/>
  <c r="H763" i="728"/>
  <c r="G763" i="728"/>
  <c r="N762" i="728"/>
  <c r="O762" i="728" s="1"/>
  <c r="M762" i="728"/>
  <c r="K762" i="728"/>
  <c r="J762" i="728"/>
  <c r="I762" i="728"/>
  <c r="L762" i="728" s="1"/>
  <c r="H762" i="728"/>
  <c r="G762" i="728"/>
  <c r="N761" i="728"/>
  <c r="M761" i="728"/>
  <c r="L761" i="728"/>
  <c r="K761" i="728"/>
  <c r="J761" i="728"/>
  <c r="I761" i="728"/>
  <c r="H761" i="728"/>
  <c r="G761" i="728"/>
  <c r="N760" i="728"/>
  <c r="O760" i="728" s="1"/>
  <c r="M760" i="728"/>
  <c r="K760" i="728"/>
  <c r="J760" i="728"/>
  <c r="I760" i="728"/>
  <c r="L760" i="728" s="1"/>
  <c r="H760" i="728"/>
  <c r="G760" i="728"/>
  <c r="N759" i="728"/>
  <c r="M759" i="728"/>
  <c r="O759" i="728" s="1"/>
  <c r="K759" i="728"/>
  <c r="L759" i="728" s="1"/>
  <c r="J759" i="728"/>
  <c r="I759" i="728"/>
  <c r="H759" i="728"/>
  <c r="G759" i="728"/>
  <c r="O758" i="728"/>
  <c r="N758" i="728"/>
  <c r="M758" i="728"/>
  <c r="K758" i="728"/>
  <c r="J758" i="728"/>
  <c r="I758" i="728"/>
  <c r="L758" i="728" s="1"/>
  <c r="H758" i="728"/>
  <c r="G758" i="728"/>
  <c r="N757" i="728"/>
  <c r="M757" i="728"/>
  <c r="O757" i="728" s="1"/>
  <c r="L757" i="728"/>
  <c r="K757" i="728"/>
  <c r="J757" i="728"/>
  <c r="I757" i="728"/>
  <c r="H757" i="728"/>
  <c r="G757" i="728"/>
  <c r="N756" i="728"/>
  <c r="O756" i="728" s="1"/>
  <c r="M756" i="728"/>
  <c r="K756" i="728"/>
  <c r="J756" i="728"/>
  <c r="I756" i="728"/>
  <c r="L756" i="728" s="1"/>
  <c r="H756" i="728"/>
  <c r="G756" i="728"/>
  <c r="N755" i="728"/>
  <c r="M755" i="728"/>
  <c r="O755" i="728" s="1"/>
  <c r="K755" i="728"/>
  <c r="L755" i="728" s="1"/>
  <c r="J755" i="728"/>
  <c r="I755" i="728"/>
  <c r="H755" i="728"/>
  <c r="G755" i="728"/>
  <c r="N754" i="728"/>
  <c r="O754" i="728" s="1"/>
  <c r="M754" i="728"/>
  <c r="K754" i="728"/>
  <c r="J754" i="728"/>
  <c r="I754" i="728"/>
  <c r="L754" i="728" s="1"/>
  <c r="H754" i="728"/>
  <c r="G754" i="728"/>
  <c r="N753" i="728"/>
  <c r="M753" i="728"/>
  <c r="K753" i="728"/>
  <c r="L753" i="728" s="1"/>
  <c r="J753" i="728"/>
  <c r="I753" i="728"/>
  <c r="H753" i="728"/>
  <c r="G753" i="728"/>
  <c r="N752" i="728"/>
  <c r="O752" i="728" s="1"/>
  <c r="M752" i="728"/>
  <c r="K752" i="728"/>
  <c r="J752" i="728"/>
  <c r="I752" i="728"/>
  <c r="L752" i="728" s="1"/>
  <c r="H752" i="728"/>
  <c r="G752" i="728"/>
  <c r="N751" i="728"/>
  <c r="M751" i="728"/>
  <c r="K751" i="728"/>
  <c r="L751" i="728" s="1"/>
  <c r="J751" i="728"/>
  <c r="I751" i="728"/>
  <c r="H751" i="728"/>
  <c r="G751" i="728"/>
  <c r="N750" i="728"/>
  <c r="O750" i="728" s="1"/>
  <c r="M750" i="728"/>
  <c r="K750" i="728"/>
  <c r="J750" i="728"/>
  <c r="I750" i="728"/>
  <c r="L750" i="728" s="1"/>
  <c r="H750" i="728"/>
  <c r="G750" i="728"/>
  <c r="N749" i="728"/>
  <c r="M749" i="728"/>
  <c r="L749" i="728"/>
  <c r="K749" i="728"/>
  <c r="J749" i="728"/>
  <c r="I749" i="728"/>
  <c r="H749" i="728"/>
  <c r="G749" i="728"/>
  <c r="N748" i="728"/>
  <c r="O748" i="728" s="1"/>
  <c r="M748" i="728"/>
  <c r="K748" i="728"/>
  <c r="J748" i="728"/>
  <c r="I748" i="728"/>
  <c r="L748" i="728" s="1"/>
  <c r="H748" i="728"/>
  <c r="G748" i="728"/>
  <c r="N747" i="728"/>
  <c r="M747" i="728"/>
  <c r="O747" i="728" s="1"/>
  <c r="K747" i="728"/>
  <c r="L747" i="728" s="1"/>
  <c r="J747" i="728"/>
  <c r="I747" i="728"/>
  <c r="H747" i="728"/>
  <c r="G747" i="728"/>
  <c r="N746" i="728"/>
  <c r="O746" i="728" s="1"/>
  <c r="M746" i="728"/>
  <c r="K746" i="728"/>
  <c r="J746" i="728"/>
  <c r="I746" i="728"/>
  <c r="L746" i="728" s="1"/>
  <c r="H746" i="728"/>
  <c r="G746" i="728"/>
  <c r="N745" i="728"/>
  <c r="M745" i="728"/>
  <c r="O745" i="728" s="1"/>
  <c r="K745" i="728"/>
  <c r="L745" i="728" s="1"/>
  <c r="J745" i="728"/>
  <c r="I745" i="728"/>
  <c r="H745" i="728"/>
  <c r="G745" i="728"/>
  <c r="N744" i="728"/>
  <c r="O744" i="728" s="1"/>
  <c r="M744" i="728"/>
  <c r="K744" i="728"/>
  <c r="J744" i="728"/>
  <c r="I744" i="728"/>
  <c r="L744" i="728" s="1"/>
  <c r="H744" i="728"/>
  <c r="G744" i="728"/>
  <c r="N743" i="728"/>
  <c r="M743" i="728"/>
  <c r="K743" i="728"/>
  <c r="L743" i="728" s="1"/>
  <c r="J743" i="728"/>
  <c r="I743" i="728"/>
  <c r="H743" i="728"/>
  <c r="G743" i="728"/>
  <c r="N742" i="728"/>
  <c r="O742" i="728" s="1"/>
  <c r="M742" i="728"/>
  <c r="K742" i="728"/>
  <c r="J742" i="728"/>
  <c r="I742" i="728"/>
  <c r="L742" i="728" s="1"/>
  <c r="H742" i="728"/>
  <c r="G742" i="728"/>
  <c r="N741" i="728"/>
  <c r="M741" i="728"/>
  <c r="O741" i="728" s="1"/>
  <c r="K741" i="728"/>
  <c r="L741" i="728" s="1"/>
  <c r="J741" i="728"/>
  <c r="I741" i="728"/>
  <c r="H741" i="728"/>
  <c r="G741" i="728"/>
  <c r="N740" i="728"/>
  <c r="O740" i="728" s="1"/>
  <c r="M740" i="728"/>
  <c r="K740" i="728"/>
  <c r="J740" i="728"/>
  <c r="I740" i="728"/>
  <c r="L740" i="728" s="1"/>
  <c r="H740" i="728"/>
  <c r="G740" i="728"/>
  <c r="N739" i="728"/>
  <c r="M739" i="728"/>
  <c r="O739" i="728" s="1"/>
  <c r="K739" i="728"/>
  <c r="L739" i="728" s="1"/>
  <c r="J739" i="728"/>
  <c r="I739" i="728"/>
  <c r="H739" i="728"/>
  <c r="G739" i="728"/>
  <c r="N738" i="728"/>
  <c r="O738" i="728" s="1"/>
  <c r="M738" i="728"/>
  <c r="K738" i="728"/>
  <c r="J738" i="728"/>
  <c r="I738" i="728"/>
  <c r="L738" i="728" s="1"/>
  <c r="H738" i="728"/>
  <c r="G738" i="728"/>
  <c r="N737" i="728"/>
  <c r="M737" i="728"/>
  <c r="O737" i="728" s="1"/>
  <c r="K737" i="728"/>
  <c r="L737" i="728" s="1"/>
  <c r="J737" i="728"/>
  <c r="I737" i="728"/>
  <c r="H737" i="728"/>
  <c r="G737" i="728"/>
  <c r="N736" i="728"/>
  <c r="O736" i="728" s="1"/>
  <c r="M736" i="728"/>
  <c r="K736" i="728"/>
  <c r="J736" i="728"/>
  <c r="I736" i="728"/>
  <c r="L736" i="728" s="1"/>
  <c r="H736" i="728"/>
  <c r="G736" i="728"/>
  <c r="N735" i="728"/>
  <c r="M735" i="728"/>
  <c r="K735" i="728"/>
  <c r="L735" i="728" s="1"/>
  <c r="J735" i="728"/>
  <c r="I735" i="728"/>
  <c r="H735" i="728"/>
  <c r="G735" i="728"/>
  <c r="N734" i="728"/>
  <c r="O734" i="728" s="1"/>
  <c r="M734" i="728"/>
  <c r="K734" i="728"/>
  <c r="J734" i="728"/>
  <c r="I734" i="728"/>
  <c r="L734" i="728" s="1"/>
  <c r="H734" i="728"/>
  <c r="G734" i="728"/>
  <c r="N733" i="728"/>
  <c r="M733" i="728"/>
  <c r="K733" i="728"/>
  <c r="L733" i="728" s="1"/>
  <c r="J733" i="728"/>
  <c r="I733" i="728"/>
  <c r="H733" i="728"/>
  <c r="G733" i="728"/>
  <c r="N732" i="728"/>
  <c r="O732" i="728" s="1"/>
  <c r="M732" i="728"/>
  <c r="K732" i="728"/>
  <c r="J732" i="728"/>
  <c r="I732" i="728"/>
  <c r="L732" i="728" s="1"/>
  <c r="H732" i="728"/>
  <c r="G732" i="728"/>
  <c r="N731" i="728"/>
  <c r="M731" i="728"/>
  <c r="K731" i="728"/>
  <c r="L731" i="728" s="1"/>
  <c r="J731" i="728"/>
  <c r="I731" i="728"/>
  <c r="H731" i="728"/>
  <c r="G731" i="728"/>
  <c r="N730" i="728"/>
  <c r="O730" i="728" s="1"/>
  <c r="M730" i="728"/>
  <c r="K730" i="728"/>
  <c r="J730" i="728"/>
  <c r="I730" i="728"/>
  <c r="L730" i="728" s="1"/>
  <c r="H730" i="728"/>
  <c r="G730" i="728"/>
  <c r="N729" i="728"/>
  <c r="M729" i="728"/>
  <c r="O729" i="728" s="1"/>
  <c r="K729" i="728"/>
  <c r="L729" i="728" s="1"/>
  <c r="J729" i="728"/>
  <c r="I729" i="728"/>
  <c r="H729" i="728"/>
  <c r="G729" i="728"/>
  <c r="N728" i="728"/>
  <c r="O728" i="728" s="1"/>
  <c r="M728" i="728"/>
  <c r="K728" i="728"/>
  <c r="J728" i="728"/>
  <c r="I728" i="728"/>
  <c r="L728" i="728" s="1"/>
  <c r="H728" i="728"/>
  <c r="G728" i="728"/>
  <c r="N727" i="728"/>
  <c r="M727" i="728"/>
  <c r="O727" i="728" s="1"/>
  <c r="K727" i="728"/>
  <c r="L727" i="728" s="1"/>
  <c r="J727" i="728"/>
  <c r="I727" i="728"/>
  <c r="H727" i="728"/>
  <c r="G727" i="728"/>
  <c r="N726" i="728"/>
  <c r="O726" i="728" s="1"/>
  <c r="M726" i="728"/>
  <c r="K726" i="728"/>
  <c r="J726" i="728"/>
  <c r="I726" i="728"/>
  <c r="L726" i="728" s="1"/>
  <c r="H726" i="728"/>
  <c r="G726" i="728"/>
  <c r="N725" i="728"/>
  <c r="M725" i="728"/>
  <c r="O725" i="728" s="1"/>
  <c r="K725" i="728"/>
  <c r="L725" i="728" s="1"/>
  <c r="J725" i="728"/>
  <c r="I725" i="728"/>
  <c r="H725" i="728"/>
  <c r="G725" i="728"/>
  <c r="N724" i="728"/>
  <c r="O724" i="728" s="1"/>
  <c r="M724" i="728"/>
  <c r="K724" i="728"/>
  <c r="J724" i="728"/>
  <c r="I724" i="728"/>
  <c r="L724" i="728" s="1"/>
  <c r="H724" i="728"/>
  <c r="G724" i="728"/>
  <c r="N723" i="728"/>
  <c r="M723" i="728"/>
  <c r="K723" i="728"/>
  <c r="L723" i="728" s="1"/>
  <c r="J723" i="728"/>
  <c r="I723" i="728"/>
  <c r="H723" i="728"/>
  <c r="G723" i="728"/>
  <c r="N722" i="728"/>
  <c r="O722" i="728" s="1"/>
  <c r="M722" i="728"/>
  <c r="K722" i="728"/>
  <c r="J722" i="728"/>
  <c r="I722" i="728"/>
  <c r="L722" i="728" s="1"/>
  <c r="H722" i="728"/>
  <c r="G722" i="728"/>
  <c r="N721" i="728"/>
  <c r="M721" i="728"/>
  <c r="K721" i="728"/>
  <c r="L721" i="728" s="1"/>
  <c r="J721" i="728"/>
  <c r="I721" i="728"/>
  <c r="H721" i="728"/>
  <c r="G721" i="728"/>
  <c r="N720" i="728"/>
  <c r="O720" i="728" s="1"/>
  <c r="M720" i="728"/>
  <c r="K720" i="728"/>
  <c r="J720" i="728"/>
  <c r="I720" i="728"/>
  <c r="L720" i="728" s="1"/>
  <c r="H720" i="728"/>
  <c r="G720" i="728"/>
  <c r="N719" i="728"/>
  <c r="M719" i="728"/>
  <c r="K719" i="728"/>
  <c r="L719" i="728" s="1"/>
  <c r="J719" i="728"/>
  <c r="I719" i="728"/>
  <c r="H719" i="728"/>
  <c r="G719" i="728"/>
  <c r="N718" i="728"/>
  <c r="O718" i="728" s="1"/>
  <c r="M718" i="728"/>
  <c r="K718" i="728"/>
  <c r="J718" i="728"/>
  <c r="I718" i="728"/>
  <c r="L718" i="728" s="1"/>
  <c r="H718" i="728"/>
  <c r="G718" i="728"/>
  <c r="N717" i="728"/>
  <c r="M717" i="728"/>
  <c r="O717" i="728" s="1"/>
  <c r="K717" i="728"/>
  <c r="L717" i="728" s="1"/>
  <c r="J717" i="728"/>
  <c r="I717" i="728"/>
  <c r="H717" i="728"/>
  <c r="G717" i="728"/>
  <c r="N716" i="728"/>
  <c r="O716" i="728" s="1"/>
  <c r="M716" i="728"/>
  <c r="K716" i="728"/>
  <c r="J716" i="728"/>
  <c r="I716" i="728"/>
  <c r="L716" i="728" s="1"/>
  <c r="H716" i="728"/>
  <c r="G716" i="728"/>
  <c r="N715" i="728"/>
  <c r="M715" i="728"/>
  <c r="O715" i="728" s="1"/>
  <c r="K715" i="728"/>
  <c r="L715" i="728" s="1"/>
  <c r="J715" i="728"/>
  <c r="I715" i="728"/>
  <c r="H715" i="728"/>
  <c r="G715" i="728"/>
  <c r="N714" i="728"/>
  <c r="O714" i="728" s="1"/>
  <c r="M714" i="728"/>
  <c r="K714" i="728"/>
  <c r="J714" i="728"/>
  <c r="I714" i="728"/>
  <c r="L714" i="728" s="1"/>
  <c r="H714" i="728"/>
  <c r="G714" i="728"/>
  <c r="N713" i="728"/>
  <c r="M713" i="728"/>
  <c r="O713" i="728" s="1"/>
  <c r="K713" i="728"/>
  <c r="L713" i="728" s="1"/>
  <c r="J713" i="728"/>
  <c r="I713" i="728"/>
  <c r="H713" i="728"/>
  <c r="G713" i="728"/>
  <c r="N712" i="728"/>
  <c r="O712" i="728" s="1"/>
  <c r="M712" i="728"/>
  <c r="K712" i="728"/>
  <c r="J712" i="728"/>
  <c r="I712" i="728"/>
  <c r="L712" i="728" s="1"/>
  <c r="H712" i="728"/>
  <c r="G712" i="728"/>
  <c r="N711" i="728"/>
  <c r="M711" i="728"/>
  <c r="K711" i="728"/>
  <c r="L711" i="728" s="1"/>
  <c r="J711" i="728"/>
  <c r="I711" i="728"/>
  <c r="H711" i="728"/>
  <c r="G711" i="728"/>
  <c r="N710" i="728"/>
  <c r="O710" i="728" s="1"/>
  <c r="M710" i="728"/>
  <c r="K710" i="728"/>
  <c r="J710" i="728"/>
  <c r="I710" i="728"/>
  <c r="L710" i="728" s="1"/>
  <c r="H710" i="728"/>
  <c r="G710" i="728"/>
  <c r="N709" i="728"/>
  <c r="M709" i="728"/>
  <c r="K709" i="728"/>
  <c r="L709" i="728" s="1"/>
  <c r="J709" i="728"/>
  <c r="I709" i="728"/>
  <c r="H709" i="728"/>
  <c r="G709" i="728"/>
  <c r="N708" i="728"/>
  <c r="O708" i="728" s="1"/>
  <c r="M708" i="728"/>
  <c r="K708" i="728"/>
  <c r="J708" i="728"/>
  <c r="I708" i="728"/>
  <c r="L708" i="728" s="1"/>
  <c r="H708" i="728"/>
  <c r="G708" i="728"/>
  <c r="N707" i="728"/>
  <c r="M707" i="728"/>
  <c r="K707" i="728"/>
  <c r="L707" i="728" s="1"/>
  <c r="J707" i="728"/>
  <c r="I707" i="728"/>
  <c r="H707" i="728"/>
  <c r="G707" i="728"/>
  <c r="N706" i="728"/>
  <c r="O706" i="728" s="1"/>
  <c r="M706" i="728"/>
  <c r="K706" i="728"/>
  <c r="J706" i="728"/>
  <c r="I706" i="728"/>
  <c r="H706" i="728"/>
  <c r="G706" i="728"/>
  <c r="N705" i="728"/>
  <c r="M705" i="728"/>
  <c r="O705" i="728" s="1"/>
  <c r="K705" i="728"/>
  <c r="L705" i="728" s="1"/>
  <c r="J705" i="728"/>
  <c r="I705" i="728"/>
  <c r="H705" i="728"/>
  <c r="G705" i="728"/>
  <c r="N704" i="728"/>
  <c r="O704" i="728" s="1"/>
  <c r="M704" i="728"/>
  <c r="K704" i="728"/>
  <c r="J704" i="728"/>
  <c r="I704" i="728"/>
  <c r="L704" i="728" s="1"/>
  <c r="H704" i="728"/>
  <c r="G704" i="728"/>
  <c r="N703" i="728"/>
  <c r="M703" i="728"/>
  <c r="O703" i="728" s="1"/>
  <c r="K703" i="728"/>
  <c r="L703" i="728" s="1"/>
  <c r="J703" i="728"/>
  <c r="I703" i="728"/>
  <c r="H703" i="728"/>
  <c r="G703" i="728"/>
  <c r="N702" i="728"/>
  <c r="O702" i="728" s="1"/>
  <c r="M702" i="728"/>
  <c r="K702" i="728"/>
  <c r="J702" i="728"/>
  <c r="I702" i="728"/>
  <c r="L702" i="728" s="1"/>
  <c r="H702" i="728"/>
  <c r="G702" i="728"/>
  <c r="N701" i="728"/>
  <c r="M701" i="728"/>
  <c r="O701" i="728" s="1"/>
  <c r="K701" i="728"/>
  <c r="L701" i="728" s="1"/>
  <c r="J701" i="728"/>
  <c r="I701" i="728"/>
  <c r="H701" i="728"/>
  <c r="G701" i="728"/>
  <c r="N700" i="728"/>
  <c r="O700" i="728" s="1"/>
  <c r="M700" i="728"/>
  <c r="K700" i="728"/>
  <c r="J700" i="728"/>
  <c r="I700" i="728"/>
  <c r="L700" i="728" s="1"/>
  <c r="H700" i="728"/>
  <c r="G700" i="728"/>
  <c r="N699" i="728"/>
  <c r="M699" i="728"/>
  <c r="K699" i="728"/>
  <c r="L699" i="728" s="1"/>
  <c r="J699" i="728"/>
  <c r="I699" i="728"/>
  <c r="H699" i="728"/>
  <c r="G699" i="728"/>
  <c r="N698" i="728"/>
  <c r="O698" i="728" s="1"/>
  <c r="M698" i="728"/>
  <c r="K698" i="728"/>
  <c r="J698" i="728"/>
  <c r="I698" i="728"/>
  <c r="L698" i="728" s="1"/>
  <c r="H698" i="728"/>
  <c r="G698" i="728"/>
  <c r="N697" i="728"/>
  <c r="M697" i="728"/>
  <c r="K697" i="728"/>
  <c r="L697" i="728" s="1"/>
  <c r="J697" i="728"/>
  <c r="I697" i="728"/>
  <c r="H697" i="728"/>
  <c r="G697" i="728"/>
  <c r="O696" i="728"/>
  <c r="N696" i="728"/>
  <c r="M696" i="728"/>
  <c r="K696" i="728"/>
  <c r="J696" i="728"/>
  <c r="I696" i="728"/>
  <c r="L696" i="728" s="1"/>
  <c r="H696" i="728"/>
  <c r="G696" i="728"/>
  <c r="N695" i="728"/>
  <c r="M695" i="728"/>
  <c r="O695" i="728" s="1"/>
  <c r="L695" i="728"/>
  <c r="K695" i="728"/>
  <c r="J695" i="728"/>
  <c r="I695" i="728"/>
  <c r="H695" i="728"/>
  <c r="G695" i="728"/>
  <c r="N694" i="728"/>
  <c r="O694" i="728" s="1"/>
  <c r="M694" i="728"/>
  <c r="K694" i="728"/>
  <c r="J694" i="728"/>
  <c r="I694" i="728"/>
  <c r="L694" i="728" s="1"/>
  <c r="H694" i="728"/>
  <c r="G694" i="728"/>
  <c r="N693" i="728"/>
  <c r="M693" i="728"/>
  <c r="O693" i="728" s="1"/>
  <c r="K693" i="728"/>
  <c r="L693" i="728" s="1"/>
  <c r="J693" i="728"/>
  <c r="I693" i="728"/>
  <c r="H693" i="728"/>
  <c r="G693" i="728"/>
  <c r="O692" i="728"/>
  <c r="N692" i="728"/>
  <c r="M692" i="728"/>
  <c r="K692" i="728"/>
  <c r="J692" i="728"/>
  <c r="I692" i="728"/>
  <c r="L692" i="728" s="1"/>
  <c r="H692" i="728"/>
  <c r="G692" i="728"/>
  <c r="N691" i="728"/>
  <c r="M691" i="728"/>
  <c r="O691" i="728" s="1"/>
  <c r="K691" i="728"/>
  <c r="L691" i="728" s="1"/>
  <c r="J691" i="728"/>
  <c r="I691" i="728"/>
  <c r="H691" i="728"/>
  <c r="G691" i="728"/>
  <c r="N690" i="728"/>
  <c r="O690" i="728" s="1"/>
  <c r="M690" i="728"/>
  <c r="K690" i="728"/>
  <c r="J690" i="728"/>
  <c r="I690" i="728"/>
  <c r="L690" i="728" s="1"/>
  <c r="H690" i="728"/>
  <c r="G690" i="728"/>
  <c r="N689" i="728"/>
  <c r="M689" i="728"/>
  <c r="O689" i="728" s="1"/>
  <c r="K689" i="728"/>
  <c r="L689" i="728" s="1"/>
  <c r="J689" i="728"/>
  <c r="I689" i="728"/>
  <c r="H689" i="728"/>
  <c r="G689" i="728"/>
  <c r="N688" i="728"/>
  <c r="O688" i="728" s="1"/>
  <c r="M688" i="728"/>
  <c r="K688" i="728"/>
  <c r="J688" i="728"/>
  <c r="I688" i="728"/>
  <c r="L688" i="728" s="1"/>
  <c r="H688" i="728"/>
  <c r="G688" i="728"/>
  <c r="N687" i="728"/>
  <c r="M687" i="728"/>
  <c r="O687" i="728" s="1"/>
  <c r="K687" i="728"/>
  <c r="L687" i="728" s="1"/>
  <c r="J687" i="728"/>
  <c r="I687" i="728"/>
  <c r="H687" i="728"/>
  <c r="G687" i="728"/>
  <c r="N686" i="728"/>
  <c r="O686" i="728" s="1"/>
  <c r="M686" i="728"/>
  <c r="K686" i="728"/>
  <c r="J686" i="728"/>
  <c r="I686" i="728"/>
  <c r="L686" i="728" s="1"/>
  <c r="H686" i="728"/>
  <c r="G686" i="728"/>
  <c r="N685" i="728"/>
  <c r="M685" i="728"/>
  <c r="O685" i="728" s="1"/>
  <c r="K685" i="728"/>
  <c r="L685" i="728" s="1"/>
  <c r="J685" i="728"/>
  <c r="I685" i="728"/>
  <c r="H685" i="728"/>
  <c r="G685" i="728"/>
  <c r="N684" i="728"/>
  <c r="O684" i="728" s="1"/>
  <c r="M684" i="728"/>
  <c r="K684" i="728"/>
  <c r="J684" i="728"/>
  <c r="I684" i="728"/>
  <c r="L684" i="728" s="1"/>
  <c r="H684" i="728"/>
  <c r="G684" i="728"/>
  <c r="N683" i="728"/>
  <c r="M683" i="728"/>
  <c r="O683" i="728" s="1"/>
  <c r="K683" i="728"/>
  <c r="L683" i="728" s="1"/>
  <c r="J683" i="728"/>
  <c r="I683" i="728"/>
  <c r="H683" i="728"/>
  <c r="G683" i="728"/>
  <c r="O682" i="728"/>
  <c r="N682" i="728"/>
  <c r="M682" i="728"/>
  <c r="K682" i="728"/>
  <c r="J682" i="728"/>
  <c r="I682" i="728"/>
  <c r="L682" i="728" s="1"/>
  <c r="H682" i="728"/>
  <c r="G682" i="728"/>
  <c r="N681" i="728"/>
  <c r="M681" i="728"/>
  <c r="O681" i="728" s="1"/>
  <c r="K681" i="728"/>
  <c r="L681" i="728" s="1"/>
  <c r="J681" i="728"/>
  <c r="I681" i="728"/>
  <c r="H681" i="728"/>
  <c r="G681" i="728"/>
  <c r="N680" i="728"/>
  <c r="O680" i="728" s="1"/>
  <c r="M680" i="728"/>
  <c r="K680" i="728"/>
  <c r="J680" i="728"/>
  <c r="I680" i="728"/>
  <c r="L680" i="728" s="1"/>
  <c r="H680" i="728"/>
  <c r="G680" i="728"/>
  <c r="N679" i="728"/>
  <c r="M679" i="728"/>
  <c r="K679" i="728"/>
  <c r="L679" i="728" s="1"/>
  <c r="J679" i="728"/>
  <c r="I679" i="728"/>
  <c r="H679" i="728"/>
  <c r="G679" i="728"/>
  <c r="N678" i="728"/>
  <c r="O678" i="728" s="1"/>
  <c r="M678" i="728"/>
  <c r="K678" i="728"/>
  <c r="J678" i="728"/>
  <c r="I678" i="728"/>
  <c r="H678" i="728"/>
  <c r="G678" i="728"/>
  <c r="N677" i="728"/>
  <c r="M677" i="728"/>
  <c r="K677" i="728"/>
  <c r="L677" i="728" s="1"/>
  <c r="J677" i="728"/>
  <c r="I677" i="728"/>
  <c r="H677" i="728"/>
  <c r="G677" i="728"/>
  <c r="N676" i="728"/>
  <c r="O676" i="728" s="1"/>
  <c r="M676" i="728"/>
  <c r="K676" i="728"/>
  <c r="J676" i="728"/>
  <c r="I676" i="728"/>
  <c r="L676" i="728" s="1"/>
  <c r="H676" i="728"/>
  <c r="G676" i="728"/>
  <c r="N675" i="728"/>
  <c r="M675" i="728"/>
  <c r="O675" i="728" s="1"/>
  <c r="K675" i="728"/>
  <c r="L675" i="728" s="1"/>
  <c r="J675" i="728"/>
  <c r="I675" i="728"/>
  <c r="H675" i="728"/>
  <c r="G675" i="728"/>
  <c r="N674" i="728"/>
  <c r="O674" i="728" s="1"/>
  <c r="M674" i="728"/>
  <c r="K674" i="728"/>
  <c r="J674" i="728"/>
  <c r="I674" i="728"/>
  <c r="L674" i="728" s="1"/>
  <c r="H674" i="728"/>
  <c r="G674" i="728"/>
  <c r="N673" i="728"/>
  <c r="M673" i="728"/>
  <c r="O673" i="728" s="1"/>
  <c r="K673" i="728"/>
  <c r="L673" i="728" s="1"/>
  <c r="J673" i="728"/>
  <c r="I673" i="728"/>
  <c r="H673" i="728"/>
  <c r="G673" i="728"/>
  <c r="N672" i="728"/>
  <c r="O672" i="728" s="1"/>
  <c r="M672" i="728"/>
  <c r="K672" i="728"/>
  <c r="J672" i="728"/>
  <c r="I672" i="728"/>
  <c r="H672" i="728"/>
  <c r="G672" i="728"/>
  <c r="N671" i="728"/>
  <c r="M671" i="728"/>
  <c r="O671" i="728" s="1"/>
  <c r="K671" i="728"/>
  <c r="L671" i="728" s="1"/>
  <c r="J671" i="728"/>
  <c r="I671" i="728"/>
  <c r="H671" i="728"/>
  <c r="G671" i="728"/>
  <c r="N670" i="728"/>
  <c r="O670" i="728" s="1"/>
  <c r="M670" i="728"/>
  <c r="K670" i="728"/>
  <c r="J670" i="728"/>
  <c r="I670" i="728"/>
  <c r="L670" i="728" s="1"/>
  <c r="H670" i="728"/>
  <c r="G670" i="728"/>
  <c r="N669" i="728"/>
  <c r="M669" i="728"/>
  <c r="O669" i="728" s="1"/>
  <c r="K669" i="728"/>
  <c r="L669" i="728" s="1"/>
  <c r="J669" i="728"/>
  <c r="I669" i="728"/>
  <c r="H669" i="728"/>
  <c r="G669" i="728"/>
  <c r="N668" i="728"/>
  <c r="O668" i="728" s="1"/>
  <c r="M668" i="728"/>
  <c r="K668" i="728"/>
  <c r="J668" i="728"/>
  <c r="I668" i="728"/>
  <c r="L668" i="728" s="1"/>
  <c r="H668" i="728"/>
  <c r="G668" i="728"/>
  <c r="N667" i="728"/>
  <c r="M667" i="728"/>
  <c r="K667" i="728"/>
  <c r="J667" i="728"/>
  <c r="L667" i="728" s="1"/>
  <c r="I667" i="728"/>
  <c r="H667" i="728"/>
  <c r="G667" i="728"/>
  <c r="N666" i="728"/>
  <c r="O666" i="728" s="1"/>
  <c r="M666" i="728"/>
  <c r="K666" i="728"/>
  <c r="J666" i="728"/>
  <c r="I666" i="728"/>
  <c r="H666" i="728"/>
  <c r="G666" i="728"/>
  <c r="N665" i="728"/>
  <c r="M665" i="728"/>
  <c r="O665" i="728" s="1"/>
  <c r="K665" i="728"/>
  <c r="J665" i="728"/>
  <c r="I665" i="728"/>
  <c r="L665" i="728" s="1"/>
  <c r="H665" i="728"/>
  <c r="G665" i="728"/>
  <c r="N664" i="728"/>
  <c r="M664" i="728"/>
  <c r="K664" i="728"/>
  <c r="J664" i="728"/>
  <c r="L664" i="728" s="1"/>
  <c r="I664" i="728"/>
  <c r="H664" i="728"/>
  <c r="G664" i="728"/>
  <c r="N663" i="728"/>
  <c r="M663" i="728"/>
  <c r="K663" i="728"/>
  <c r="J663" i="728"/>
  <c r="I663" i="728"/>
  <c r="L663" i="728" s="1"/>
  <c r="H663" i="728"/>
  <c r="G663" i="728"/>
  <c r="N662" i="728"/>
  <c r="M662" i="728"/>
  <c r="K662" i="728"/>
  <c r="J662" i="728"/>
  <c r="I662" i="728"/>
  <c r="L662" i="728" s="1"/>
  <c r="H662" i="728"/>
  <c r="G662" i="728"/>
  <c r="N661" i="728"/>
  <c r="M661" i="728"/>
  <c r="K661" i="728"/>
  <c r="J661" i="728"/>
  <c r="I661" i="728"/>
  <c r="L661" i="728" s="1"/>
  <c r="H661" i="728"/>
  <c r="G661" i="728"/>
  <c r="N660" i="728"/>
  <c r="M660" i="728"/>
  <c r="O660" i="728" s="1"/>
  <c r="K660" i="728"/>
  <c r="J660" i="728"/>
  <c r="L660" i="728" s="1"/>
  <c r="I660" i="728"/>
  <c r="H660" i="728"/>
  <c r="G660" i="728"/>
  <c r="N659" i="728"/>
  <c r="M659" i="728"/>
  <c r="O659" i="728" s="1"/>
  <c r="K659" i="728"/>
  <c r="J659" i="728"/>
  <c r="I659" i="728"/>
  <c r="L659" i="728" s="1"/>
  <c r="H659" i="728"/>
  <c r="G659" i="728"/>
  <c r="N658" i="728"/>
  <c r="M658" i="728"/>
  <c r="O658" i="728" s="1"/>
  <c r="K658" i="728"/>
  <c r="J658" i="728"/>
  <c r="I658" i="728"/>
  <c r="L658" i="728" s="1"/>
  <c r="H658" i="728"/>
  <c r="G658" i="728"/>
  <c r="N657" i="728"/>
  <c r="M657" i="728"/>
  <c r="O657" i="728" s="1"/>
  <c r="K657" i="728"/>
  <c r="J657" i="728"/>
  <c r="I657" i="728"/>
  <c r="L657" i="728" s="1"/>
  <c r="H657" i="728"/>
  <c r="G657" i="728"/>
  <c r="N656" i="728"/>
  <c r="M656" i="728"/>
  <c r="O656" i="728" s="1"/>
  <c r="K656" i="728"/>
  <c r="J656" i="728"/>
  <c r="L656" i="728" s="1"/>
  <c r="I656" i="728"/>
  <c r="H656" i="728"/>
  <c r="G656" i="728"/>
  <c r="N655" i="728"/>
  <c r="M655" i="728"/>
  <c r="K655" i="728"/>
  <c r="J655" i="728"/>
  <c r="I655" i="728"/>
  <c r="L655" i="728" s="1"/>
  <c r="H655" i="728"/>
  <c r="G655" i="728"/>
  <c r="N654" i="728"/>
  <c r="M654" i="728"/>
  <c r="O654" i="728" s="1"/>
  <c r="K654" i="728"/>
  <c r="J654" i="728"/>
  <c r="I654" i="728"/>
  <c r="L654" i="728" s="1"/>
  <c r="H654" i="728"/>
  <c r="G654" i="728"/>
  <c r="N653" i="728"/>
  <c r="M653" i="728"/>
  <c r="O653" i="728" s="1"/>
  <c r="K653" i="728"/>
  <c r="J653" i="728"/>
  <c r="I653" i="728"/>
  <c r="L653" i="728" s="1"/>
  <c r="H653" i="728"/>
  <c r="G653" i="728"/>
  <c r="N652" i="728"/>
  <c r="M652" i="728"/>
  <c r="K652" i="728"/>
  <c r="J652" i="728"/>
  <c r="L652" i="728" s="1"/>
  <c r="I652" i="728"/>
  <c r="H652" i="728"/>
  <c r="G652" i="728"/>
  <c r="N651" i="728"/>
  <c r="M651" i="728"/>
  <c r="K651" i="728"/>
  <c r="J651" i="728"/>
  <c r="I651" i="728"/>
  <c r="L651" i="728" s="1"/>
  <c r="H651" i="728"/>
  <c r="G651" i="728"/>
  <c r="N650" i="728"/>
  <c r="M650" i="728"/>
  <c r="K650" i="728"/>
  <c r="J650" i="728"/>
  <c r="I650" i="728"/>
  <c r="L650" i="728" s="1"/>
  <c r="H650" i="728"/>
  <c r="G650" i="728"/>
  <c r="N649" i="728"/>
  <c r="M649" i="728"/>
  <c r="K649" i="728"/>
  <c r="J649" i="728"/>
  <c r="I649" i="728"/>
  <c r="L649" i="728" s="1"/>
  <c r="H649" i="728"/>
  <c r="G649" i="728"/>
  <c r="N648" i="728"/>
  <c r="M648" i="728"/>
  <c r="O648" i="728" s="1"/>
  <c r="K648" i="728"/>
  <c r="J648" i="728"/>
  <c r="L648" i="728" s="1"/>
  <c r="I648" i="728"/>
  <c r="H648" i="728"/>
  <c r="G648" i="728"/>
  <c r="N647" i="728"/>
  <c r="M647" i="728"/>
  <c r="O647" i="728" s="1"/>
  <c r="K647" i="728"/>
  <c r="J647" i="728"/>
  <c r="I647" i="728"/>
  <c r="L647" i="728" s="1"/>
  <c r="H647" i="728"/>
  <c r="G647" i="728"/>
  <c r="N646" i="728"/>
  <c r="M646" i="728"/>
  <c r="O646" i="728" s="1"/>
  <c r="K646" i="728"/>
  <c r="J646" i="728"/>
  <c r="I646" i="728"/>
  <c r="L646" i="728" s="1"/>
  <c r="H646" i="728"/>
  <c r="G646" i="728"/>
  <c r="N645" i="728"/>
  <c r="M645" i="728"/>
  <c r="O645" i="728" s="1"/>
  <c r="K645" i="728"/>
  <c r="J645" i="728"/>
  <c r="I645" i="728"/>
  <c r="L645" i="728" s="1"/>
  <c r="H645" i="728"/>
  <c r="G645" i="728"/>
  <c r="N644" i="728"/>
  <c r="M644" i="728"/>
  <c r="O644" i="728" s="1"/>
  <c r="K644" i="728"/>
  <c r="J644" i="728"/>
  <c r="L644" i="728" s="1"/>
  <c r="I644" i="728"/>
  <c r="H644" i="728"/>
  <c r="G644" i="728"/>
  <c r="N643" i="728"/>
  <c r="M643" i="728"/>
  <c r="K643" i="728"/>
  <c r="J643" i="728"/>
  <c r="I643" i="728"/>
  <c r="L643" i="728" s="1"/>
  <c r="H643" i="728"/>
  <c r="G643" i="728"/>
  <c r="N642" i="728"/>
  <c r="M642" i="728"/>
  <c r="O642" i="728" s="1"/>
  <c r="K642" i="728"/>
  <c r="J642" i="728"/>
  <c r="I642" i="728"/>
  <c r="L642" i="728" s="1"/>
  <c r="H642" i="728"/>
  <c r="G642" i="728"/>
  <c r="N641" i="728"/>
  <c r="M641" i="728"/>
  <c r="O641" i="728" s="1"/>
  <c r="K641" i="728"/>
  <c r="J641" i="728"/>
  <c r="I641" i="728"/>
  <c r="L641" i="728" s="1"/>
  <c r="H641" i="728"/>
  <c r="G641" i="728"/>
  <c r="N640" i="728"/>
  <c r="M640" i="728"/>
  <c r="K640" i="728"/>
  <c r="J640" i="728"/>
  <c r="L640" i="728" s="1"/>
  <c r="I640" i="728"/>
  <c r="H640" i="728"/>
  <c r="G640" i="728"/>
  <c r="N639" i="728"/>
  <c r="M639" i="728"/>
  <c r="K639" i="728"/>
  <c r="J639" i="728"/>
  <c r="I639" i="728"/>
  <c r="L639" i="728" s="1"/>
  <c r="H639" i="728"/>
  <c r="G639" i="728"/>
  <c r="N638" i="728"/>
  <c r="M638" i="728"/>
  <c r="K638" i="728"/>
  <c r="J638" i="728"/>
  <c r="I638" i="728"/>
  <c r="L638" i="728" s="1"/>
  <c r="H638" i="728"/>
  <c r="G638" i="728"/>
  <c r="N637" i="728"/>
  <c r="M637" i="728"/>
  <c r="K637" i="728"/>
  <c r="J637" i="728"/>
  <c r="I637" i="728"/>
  <c r="L637" i="728" s="1"/>
  <c r="H637" i="728"/>
  <c r="G637" i="728"/>
  <c r="N636" i="728"/>
  <c r="M636" i="728"/>
  <c r="O636" i="728" s="1"/>
  <c r="K636" i="728"/>
  <c r="J636" i="728"/>
  <c r="L636" i="728" s="1"/>
  <c r="I636" i="728"/>
  <c r="H636" i="728"/>
  <c r="G636" i="728"/>
  <c r="N635" i="728"/>
  <c r="M635" i="728"/>
  <c r="O635" i="728" s="1"/>
  <c r="K635" i="728"/>
  <c r="J635" i="728"/>
  <c r="I635" i="728"/>
  <c r="L635" i="728" s="1"/>
  <c r="H635" i="728"/>
  <c r="G635" i="728"/>
  <c r="N634" i="728"/>
  <c r="M634" i="728"/>
  <c r="O634" i="728" s="1"/>
  <c r="K634" i="728"/>
  <c r="J634" i="728"/>
  <c r="I634" i="728"/>
  <c r="L634" i="728" s="1"/>
  <c r="H634" i="728"/>
  <c r="G634" i="728"/>
  <c r="N633" i="728"/>
  <c r="M633" i="728"/>
  <c r="O633" i="728" s="1"/>
  <c r="K633" i="728"/>
  <c r="J633" i="728"/>
  <c r="I633" i="728"/>
  <c r="L633" i="728" s="1"/>
  <c r="H633" i="728"/>
  <c r="G633" i="728"/>
  <c r="N632" i="728"/>
  <c r="M632" i="728"/>
  <c r="O632" i="728" s="1"/>
  <c r="K632" i="728"/>
  <c r="J632" i="728"/>
  <c r="L632" i="728" s="1"/>
  <c r="I632" i="728"/>
  <c r="H632" i="728"/>
  <c r="G632" i="728"/>
  <c r="N631" i="728"/>
  <c r="M631" i="728"/>
  <c r="K631" i="728"/>
  <c r="J631" i="728"/>
  <c r="I631" i="728"/>
  <c r="L631" i="728" s="1"/>
  <c r="H631" i="728"/>
  <c r="G631" i="728"/>
  <c r="N630" i="728"/>
  <c r="M630" i="728"/>
  <c r="O630" i="728" s="1"/>
  <c r="K630" i="728"/>
  <c r="J630" i="728"/>
  <c r="I630" i="728"/>
  <c r="L630" i="728" s="1"/>
  <c r="H630" i="728"/>
  <c r="G630" i="728"/>
  <c r="N629" i="728"/>
  <c r="M629" i="728"/>
  <c r="O629" i="728" s="1"/>
  <c r="K629" i="728"/>
  <c r="J629" i="728"/>
  <c r="I629" i="728"/>
  <c r="L629" i="728" s="1"/>
  <c r="H629" i="728"/>
  <c r="G629" i="728"/>
  <c r="N628" i="728"/>
  <c r="M628" i="728"/>
  <c r="K628" i="728"/>
  <c r="J628" i="728"/>
  <c r="L628" i="728" s="1"/>
  <c r="I628" i="728"/>
  <c r="H628" i="728"/>
  <c r="G628" i="728"/>
  <c r="N627" i="728"/>
  <c r="M627" i="728"/>
  <c r="K627" i="728"/>
  <c r="J627" i="728"/>
  <c r="I627" i="728"/>
  <c r="L627" i="728" s="1"/>
  <c r="H627" i="728"/>
  <c r="G627" i="728"/>
  <c r="N626" i="728"/>
  <c r="M626" i="728"/>
  <c r="K626" i="728"/>
  <c r="J626" i="728"/>
  <c r="I626" i="728"/>
  <c r="L626" i="728" s="1"/>
  <c r="H626" i="728"/>
  <c r="G626" i="728"/>
  <c r="N625" i="728"/>
  <c r="M625" i="728"/>
  <c r="K625" i="728"/>
  <c r="J625" i="728"/>
  <c r="I625" i="728"/>
  <c r="L625" i="728" s="1"/>
  <c r="H625" i="728"/>
  <c r="G625" i="728"/>
  <c r="N624" i="728"/>
  <c r="M624" i="728"/>
  <c r="O624" i="728" s="1"/>
  <c r="K624" i="728"/>
  <c r="J624" i="728"/>
  <c r="L624" i="728" s="1"/>
  <c r="I624" i="728"/>
  <c r="H624" i="728"/>
  <c r="G624" i="728"/>
  <c r="N623" i="728"/>
  <c r="M623" i="728"/>
  <c r="O623" i="728" s="1"/>
  <c r="K623" i="728"/>
  <c r="J623" i="728"/>
  <c r="I623" i="728"/>
  <c r="L623" i="728" s="1"/>
  <c r="H623" i="728"/>
  <c r="G623" i="728"/>
  <c r="N622" i="728"/>
  <c r="M622" i="728"/>
  <c r="O622" i="728" s="1"/>
  <c r="K622" i="728"/>
  <c r="J622" i="728"/>
  <c r="I622" i="728"/>
  <c r="L622" i="728" s="1"/>
  <c r="H622" i="728"/>
  <c r="G622" i="728"/>
  <c r="N621" i="728"/>
  <c r="M621" i="728"/>
  <c r="O621" i="728" s="1"/>
  <c r="K621" i="728"/>
  <c r="J621" i="728"/>
  <c r="I621" i="728"/>
  <c r="L621" i="728" s="1"/>
  <c r="H621" i="728"/>
  <c r="G621" i="728"/>
  <c r="N620" i="728"/>
  <c r="M620" i="728"/>
  <c r="O620" i="728" s="1"/>
  <c r="K620" i="728"/>
  <c r="J620" i="728"/>
  <c r="L620" i="728" s="1"/>
  <c r="I620" i="728"/>
  <c r="H620" i="728"/>
  <c r="G620" i="728"/>
  <c r="N619" i="728"/>
  <c r="M619" i="728"/>
  <c r="K619" i="728"/>
  <c r="J619" i="728"/>
  <c r="I619" i="728"/>
  <c r="L619" i="728" s="1"/>
  <c r="H619" i="728"/>
  <c r="G619" i="728"/>
  <c r="N618" i="728"/>
  <c r="M618" i="728"/>
  <c r="O618" i="728" s="1"/>
  <c r="K618" i="728"/>
  <c r="J618" i="728"/>
  <c r="I618" i="728"/>
  <c r="L618" i="728" s="1"/>
  <c r="H618" i="728"/>
  <c r="G618" i="728"/>
  <c r="N617" i="728"/>
  <c r="M617" i="728"/>
  <c r="O617" i="728" s="1"/>
  <c r="K617" i="728"/>
  <c r="J617" i="728"/>
  <c r="I617" i="728"/>
  <c r="L617" i="728" s="1"/>
  <c r="H617" i="728"/>
  <c r="G617" i="728"/>
  <c r="N616" i="728"/>
  <c r="M616" i="728"/>
  <c r="K616" i="728"/>
  <c r="J616" i="728"/>
  <c r="L616" i="728" s="1"/>
  <c r="I616" i="728"/>
  <c r="H616" i="728"/>
  <c r="G616" i="728"/>
  <c r="N615" i="728"/>
  <c r="M615" i="728"/>
  <c r="K615" i="728"/>
  <c r="J615" i="728"/>
  <c r="I615" i="728"/>
  <c r="L615" i="728" s="1"/>
  <c r="H615" i="728"/>
  <c r="G615" i="728"/>
  <c r="N614" i="728"/>
  <c r="M614" i="728"/>
  <c r="K614" i="728"/>
  <c r="J614" i="728"/>
  <c r="I614" i="728"/>
  <c r="L614" i="728" s="1"/>
  <c r="H614" i="728"/>
  <c r="G614" i="728"/>
  <c r="N613" i="728"/>
  <c r="M613" i="728"/>
  <c r="K613" i="728"/>
  <c r="J613" i="728"/>
  <c r="I613" i="728"/>
  <c r="L613" i="728" s="1"/>
  <c r="H613" i="728"/>
  <c r="G613" i="728"/>
  <c r="N612" i="728"/>
  <c r="M612" i="728"/>
  <c r="O612" i="728" s="1"/>
  <c r="K612" i="728"/>
  <c r="J612" i="728"/>
  <c r="L612" i="728" s="1"/>
  <c r="I612" i="728"/>
  <c r="H612" i="728"/>
  <c r="G612" i="728"/>
  <c r="N611" i="728"/>
  <c r="M611" i="728"/>
  <c r="O611" i="728" s="1"/>
  <c r="K611" i="728"/>
  <c r="J611" i="728"/>
  <c r="I611" i="728"/>
  <c r="L611" i="728" s="1"/>
  <c r="H611" i="728"/>
  <c r="G611" i="728"/>
  <c r="N610" i="728"/>
  <c r="M610" i="728"/>
  <c r="O610" i="728" s="1"/>
  <c r="K610" i="728"/>
  <c r="J610" i="728"/>
  <c r="I610" i="728"/>
  <c r="L610" i="728" s="1"/>
  <c r="H610" i="728"/>
  <c r="G610" i="728"/>
  <c r="N609" i="728"/>
  <c r="M609" i="728"/>
  <c r="O609" i="728" s="1"/>
  <c r="K609" i="728"/>
  <c r="J609" i="728"/>
  <c r="I609" i="728"/>
  <c r="L609" i="728" s="1"/>
  <c r="H609" i="728"/>
  <c r="G609" i="728"/>
  <c r="N608" i="728"/>
  <c r="M608" i="728"/>
  <c r="O608" i="728" s="1"/>
  <c r="K608" i="728"/>
  <c r="J608" i="728"/>
  <c r="L608" i="728" s="1"/>
  <c r="I608" i="728"/>
  <c r="H608" i="728"/>
  <c r="G608" i="728"/>
  <c r="N607" i="728"/>
  <c r="M607" i="728"/>
  <c r="K607" i="728"/>
  <c r="J607" i="728"/>
  <c r="I607" i="728"/>
  <c r="L607" i="728" s="1"/>
  <c r="H607" i="728"/>
  <c r="G607" i="728"/>
  <c r="N606" i="728"/>
  <c r="M606" i="728"/>
  <c r="O606" i="728" s="1"/>
  <c r="K606" i="728"/>
  <c r="J606" i="728"/>
  <c r="I606" i="728"/>
  <c r="L606" i="728" s="1"/>
  <c r="H606" i="728"/>
  <c r="G606" i="728"/>
  <c r="N605" i="728"/>
  <c r="M605" i="728"/>
  <c r="O605" i="728" s="1"/>
  <c r="K605" i="728"/>
  <c r="J605" i="728"/>
  <c r="I605" i="728"/>
  <c r="L605" i="728" s="1"/>
  <c r="H605" i="728"/>
  <c r="G605" i="728"/>
  <c r="N604" i="728"/>
  <c r="M604" i="728"/>
  <c r="K604" i="728"/>
  <c r="J604" i="728"/>
  <c r="L604" i="728" s="1"/>
  <c r="I604" i="728"/>
  <c r="H604" i="728"/>
  <c r="G604" i="728"/>
  <c r="N603" i="728"/>
  <c r="M603" i="728"/>
  <c r="K603" i="728"/>
  <c r="J603" i="728"/>
  <c r="I603" i="728"/>
  <c r="L603" i="728" s="1"/>
  <c r="H603" i="728"/>
  <c r="G603" i="728"/>
  <c r="N602" i="728"/>
  <c r="M602" i="728"/>
  <c r="K602" i="728"/>
  <c r="J602" i="728"/>
  <c r="I602" i="728"/>
  <c r="L602" i="728" s="1"/>
  <c r="H602" i="728"/>
  <c r="G602" i="728"/>
  <c r="N601" i="728"/>
  <c r="M601" i="728"/>
  <c r="K601" i="728"/>
  <c r="J601" i="728"/>
  <c r="I601" i="728"/>
  <c r="L601" i="728" s="1"/>
  <c r="H601" i="728"/>
  <c r="G601" i="728"/>
  <c r="N600" i="728"/>
  <c r="M600" i="728"/>
  <c r="O600" i="728" s="1"/>
  <c r="K600" i="728"/>
  <c r="J600" i="728"/>
  <c r="L600" i="728" s="1"/>
  <c r="I600" i="728"/>
  <c r="H600" i="728"/>
  <c r="G600" i="728"/>
  <c r="N599" i="728"/>
  <c r="M599" i="728"/>
  <c r="O599" i="728" s="1"/>
  <c r="K599" i="728"/>
  <c r="J599" i="728"/>
  <c r="I599" i="728"/>
  <c r="L599" i="728" s="1"/>
  <c r="H599" i="728"/>
  <c r="G599" i="728"/>
  <c r="N598" i="728"/>
  <c r="M598" i="728"/>
  <c r="O598" i="728" s="1"/>
  <c r="K598" i="728"/>
  <c r="J598" i="728"/>
  <c r="I598" i="728"/>
  <c r="L598" i="728" s="1"/>
  <c r="H598" i="728"/>
  <c r="G598" i="728"/>
  <c r="N597" i="728"/>
  <c r="M597" i="728"/>
  <c r="O597" i="728" s="1"/>
  <c r="K597" i="728"/>
  <c r="J597" i="728"/>
  <c r="I597" i="728"/>
  <c r="L597" i="728" s="1"/>
  <c r="H597" i="728"/>
  <c r="G597" i="728"/>
  <c r="N596" i="728"/>
  <c r="M596" i="728"/>
  <c r="O596" i="728" s="1"/>
  <c r="K596" i="728"/>
  <c r="J596" i="728"/>
  <c r="L596" i="728" s="1"/>
  <c r="I596" i="728"/>
  <c r="H596" i="728"/>
  <c r="G596" i="728"/>
  <c r="N595" i="728"/>
  <c r="M595" i="728"/>
  <c r="K595" i="728"/>
  <c r="J595" i="728"/>
  <c r="I595" i="728"/>
  <c r="L595" i="728" s="1"/>
  <c r="H595" i="728"/>
  <c r="G595" i="728"/>
  <c r="N594" i="728"/>
  <c r="M594" i="728"/>
  <c r="O594" i="728" s="1"/>
  <c r="K594" i="728"/>
  <c r="J594" i="728"/>
  <c r="I594" i="728"/>
  <c r="L594" i="728" s="1"/>
  <c r="H594" i="728"/>
  <c r="G594" i="728"/>
  <c r="N593" i="728"/>
  <c r="M593" i="728"/>
  <c r="O593" i="728" s="1"/>
  <c r="K593" i="728"/>
  <c r="J593" i="728"/>
  <c r="I593" i="728"/>
  <c r="L593" i="728" s="1"/>
  <c r="H593" i="728"/>
  <c r="G593" i="728"/>
  <c r="N592" i="728"/>
  <c r="M592" i="728"/>
  <c r="K592" i="728"/>
  <c r="J592" i="728"/>
  <c r="L592" i="728" s="1"/>
  <c r="I592" i="728"/>
  <c r="H592" i="728"/>
  <c r="G592" i="728"/>
  <c r="N591" i="728"/>
  <c r="M591" i="728"/>
  <c r="K591" i="728"/>
  <c r="J591" i="728"/>
  <c r="I591" i="728"/>
  <c r="L591" i="728" s="1"/>
  <c r="H591" i="728"/>
  <c r="G591" i="728"/>
  <c r="N590" i="728"/>
  <c r="M590" i="728"/>
  <c r="K590" i="728"/>
  <c r="J590" i="728"/>
  <c r="I590" i="728"/>
  <c r="L590" i="728" s="1"/>
  <c r="H590" i="728"/>
  <c r="G590" i="728"/>
  <c r="N589" i="728"/>
  <c r="M589" i="728"/>
  <c r="K589" i="728"/>
  <c r="J589" i="728"/>
  <c r="I589" i="728"/>
  <c r="L589" i="728" s="1"/>
  <c r="H589" i="728"/>
  <c r="G589" i="728"/>
  <c r="N588" i="728"/>
  <c r="M588" i="728"/>
  <c r="O588" i="728" s="1"/>
  <c r="K588" i="728"/>
  <c r="J588" i="728"/>
  <c r="L588" i="728" s="1"/>
  <c r="I588" i="728"/>
  <c r="H588" i="728"/>
  <c r="G588" i="728"/>
  <c r="N587" i="728"/>
  <c r="M587" i="728"/>
  <c r="O587" i="728" s="1"/>
  <c r="K587" i="728"/>
  <c r="J587" i="728"/>
  <c r="I587" i="728"/>
  <c r="L587" i="728" s="1"/>
  <c r="H587" i="728"/>
  <c r="G587" i="728"/>
  <c r="N586" i="728"/>
  <c r="M586" i="728"/>
  <c r="O586" i="728" s="1"/>
  <c r="K586" i="728"/>
  <c r="J586" i="728"/>
  <c r="I586" i="728"/>
  <c r="L586" i="728" s="1"/>
  <c r="H586" i="728"/>
  <c r="G586" i="728"/>
  <c r="N585" i="728"/>
  <c r="M585" i="728"/>
  <c r="O585" i="728" s="1"/>
  <c r="K585" i="728"/>
  <c r="J585" i="728"/>
  <c r="I585" i="728"/>
  <c r="L585" i="728" s="1"/>
  <c r="H585" i="728"/>
  <c r="G585" i="728"/>
  <c r="N584" i="728"/>
  <c r="M584" i="728"/>
  <c r="O584" i="728" s="1"/>
  <c r="K584" i="728"/>
  <c r="J584" i="728"/>
  <c r="L584" i="728" s="1"/>
  <c r="I584" i="728"/>
  <c r="H584" i="728"/>
  <c r="G584" i="728"/>
  <c r="N583" i="728"/>
  <c r="M583" i="728"/>
  <c r="K583" i="728"/>
  <c r="J583" i="728"/>
  <c r="I583" i="728"/>
  <c r="L583" i="728" s="1"/>
  <c r="H583" i="728"/>
  <c r="G583" i="728"/>
  <c r="N582" i="728"/>
  <c r="M582" i="728"/>
  <c r="O582" i="728" s="1"/>
  <c r="K582" i="728"/>
  <c r="J582" i="728"/>
  <c r="I582" i="728"/>
  <c r="L582" i="728" s="1"/>
  <c r="H582" i="728"/>
  <c r="G582" i="728"/>
  <c r="N581" i="728"/>
  <c r="M581" i="728"/>
  <c r="O581" i="728" s="1"/>
  <c r="K581" i="728"/>
  <c r="J581" i="728"/>
  <c r="I581" i="728"/>
  <c r="L581" i="728" s="1"/>
  <c r="H581" i="728"/>
  <c r="G581" i="728"/>
  <c r="N580" i="728"/>
  <c r="M580" i="728"/>
  <c r="K580" i="728"/>
  <c r="J580" i="728"/>
  <c r="L580" i="728" s="1"/>
  <c r="I580" i="728"/>
  <c r="H580" i="728"/>
  <c r="G580" i="728"/>
  <c r="N579" i="728"/>
  <c r="M579" i="728"/>
  <c r="K579" i="728"/>
  <c r="J579" i="728"/>
  <c r="I579" i="728"/>
  <c r="L579" i="728" s="1"/>
  <c r="H579" i="728"/>
  <c r="G579" i="728"/>
  <c r="N578" i="728"/>
  <c r="M578" i="728"/>
  <c r="K578" i="728"/>
  <c r="J578" i="728"/>
  <c r="I578" i="728"/>
  <c r="L578" i="728" s="1"/>
  <c r="H578" i="728"/>
  <c r="G578" i="728"/>
  <c r="N577" i="728"/>
  <c r="M577" i="728"/>
  <c r="K577" i="728"/>
  <c r="J577" i="728"/>
  <c r="I577" i="728"/>
  <c r="L577" i="728" s="1"/>
  <c r="H577" i="728"/>
  <c r="G577" i="728"/>
  <c r="N576" i="728"/>
  <c r="M576" i="728"/>
  <c r="O576" i="728" s="1"/>
  <c r="K576" i="728"/>
  <c r="J576" i="728"/>
  <c r="I576" i="728"/>
  <c r="H576" i="728"/>
  <c r="G576" i="728"/>
  <c r="N575" i="728"/>
  <c r="M575" i="728"/>
  <c r="O575" i="728" s="1"/>
  <c r="K575" i="728"/>
  <c r="J575" i="728"/>
  <c r="I575" i="728"/>
  <c r="L575" i="728" s="1"/>
  <c r="H575" i="728"/>
  <c r="G575" i="728"/>
  <c r="N574" i="728"/>
  <c r="M574" i="728"/>
  <c r="O574" i="728" s="1"/>
  <c r="K574" i="728"/>
  <c r="J574" i="728"/>
  <c r="I574" i="728"/>
  <c r="L574" i="728" s="1"/>
  <c r="H574" i="728"/>
  <c r="G574" i="728"/>
  <c r="N573" i="728"/>
  <c r="M573" i="728"/>
  <c r="O573" i="728" s="1"/>
  <c r="K573" i="728"/>
  <c r="J573" i="728"/>
  <c r="I573" i="728"/>
  <c r="L573" i="728" s="1"/>
  <c r="H573" i="728"/>
  <c r="G573" i="728"/>
  <c r="N572" i="728"/>
  <c r="M572" i="728"/>
  <c r="O572" i="728" s="1"/>
  <c r="K572" i="728"/>
  <c r="J572" i="728"/>
  <c r="I572" i="728"/>
  <c r="H572" i="728"/>
  <c r="G572" i="728"/>
  <c r="N571" i="728"/>
  <c r="M571" i="728"/>
  <c r="K571" i="728"/>
  <c r="J571" i="728"/>
  <c r="I571" i="728"/>
  <c r="L571" i="728" s="1"/>
  <c r="H571" i="728"/>
  <c r="G571" i="728"/>
  <c r="N570" i="728"/>
  <c r="M570" i="728"/>
  <c r="O570" i="728" s="1"/>
  <c r="K570" i="728"/>
  <c r="J570" i="728"/>
  <c r="I570" i="728"/>
  <c r="L570" i="728" s="1"/>
  <c r="H570" i="728"/>
  <c r="G570" i="728"/>
  <c r="N569" i="728"/>
  <c r="M569" i="728"/>
  <c r="O569" i="728" s="1"/>
  <c r="K569" i="728"/>
  <c r="J569" i="728"/>
  <c r="I569" i="728"/>
  <c r="L569" i="728" s="1"/>
  <c r="H569" i="728"/>
  <c r="G569" i="728"/>
  <c r="N568" i="728"/>
  <c r="M568" i="728"/>
  <c r="K568" i="728"/>
  <c r="J568" i="728"/>
  <c r="I568" i="728"/>
  <c r="H568" i="728"/>
  <c r="G568" i="728"/>
  <c r="N567" i="728"/>
  <c r="M567" i="728"/>
  <c r="K567" i="728"/>
  <c r="J567" i="728"/>
  <c r="I567" i="728"/>
  <c r="L567" i="728" s="1"/>
  <c r="H567" i="728"/>
  <c r="G567" i="728"/>
  <c r="N566" i="728"/>
  <c r="M566" i="728"/>
  <c r="K566" i="728"/>
  <c r="J566" i="728"/>
  <c r="I566" i="728"/>
  <c r="L566" i="728" s="1"/>
  <c r="H566" i="728"/>
  <c r="G566" i="728"/>
  <c r="N565" i="728"/>
  <c r="M565" i="728"/>
  <c r="O565" i="728" s="1"/>
  <c r="K565" i="728"/>
  <c r="J565" i="728"/>
  <c r="I565" i="728"/>
  <c r="L565" i="728" s="1"/>
  <c r="H565" i="728"/>
  <c r="G565" i="728"/>
  <c r="N564" i="728"/>
  <c r="M564" i="728"/>
  <c r="K564" i="728"/>
  <c r="J564" i="728"/>
  <c r="I564" i="728"/>
  <c r="H564" i="728"/>
  <c r="G564" i="728"/>
  <c r="N563" i="728"/>
  <c r="M563" i="728"/>
  <c r="O563" i="728" s="1"/>
  <c r="K563" i="728"/>
  <c r="J563" i="728"/>
  <c r="I563" i="728"/>
  <c r="L563" i="728" s="1"/>
  <c r="H563" i="728"/>
  <c r="G563" i="728"/>
  <c r="N562" i="728"/>
  <c r="M562" i="728"/>
  <c r="O562" i="728" s="1"/>
  <c r="K562" i="728"/>
  <c r="J562" i="728"/>
  <c r="I562" i="728"/>
  <c r="L562" i="728" s="1"/>
  <c r="H562" i="728"/>
  <c r="G562" i="728"/>
  <c r="N561" i="728"/>
  <c r="M561" i="728"/>
  <c r="O561" i="728" s="1"/>
  <c r="K561" i="728"/>
  <c r="J561" i="728"/>
  <c r="I561" i="728"/>
  <c r="L561" i="728" s="1"/>
  <c r="H561" i="728"/>
  <c r="G561" i="728"/>
  <c r="N560" i="728"/>
  <c r="M560" i="728"/>
  <c r="O560" i="728" s="1"/>
  <c r="K560" i="728"/>
  <c r="J560" i="728"/>
  <c r="I560" i="728"/>
  <c r="H560" i="728"/>
  <c r="G560" i="728"/>
  <c r="N559" i="728"/>
  <c r="M559" i="728"/>
  <c r="K559" i="728"/>
  <c r="J559" i="728"/>
  <c r="I559" i="728"/>
  <c r="L559" i="728" s="1"/>
  <c r="H559" i="728"/>
  <c r="G559" i="728"/>
  <c r="N558" i="728"/>
  <c r="M558" i="728"/>
  <c r="O558" i="728" s="1"/>
  <c r="K558" i="728"/>
  <c r="J558" i="728"/>
  <c r="I558" i="728"/>
  <c r="L558" i="728" s="1"/>
  <c r="H558" i="728"/>
  <c r="G558" i="728"/>
  <c r="N557" i="728"/>
  <c r="M557" i="728"/>
  <c r="O557" i="728" s="1"/>
  <c r="K557" i="728"/>
  <c r="J557" i="728"/>
  <c r="I557" i="728"/>
  <c r="L557" i="728" s="1"/>
  <c r="H557" i="728"/>
  <c r="G557" i="728"/>
  <c r="N556" i="728"/>
  <c r="M556" i="728"/>
  <c r="K556" i="728"/>
  <c r="J556" i="728"/>
  <c r="I556" i="728"/>
  <c r="H556" i="728"/>
  <c r="G556" i="728"/>
  <c r="N555" i="728"/>
  <c r="M555" i="728"/>
  <c r="K555" i="728"/>
  <c r="J555" i="728"/>
  <c r="I555" i="728"/>
  <c r="L555" i="728" s="1"/>
  <c r="H555" i="728"/>
  <c r="G555" i="728"/>
  <c r="N554" i="728"/>
  <c r="M554" i="728"/>
  <c r="K554" i="728"/>
  <c r="J554" i="728"/>
  <c r="I554" i="728"/>
  <c r="L554" i="728" s="1"/>
  <c r="H554" i="728"/>
  <c r="G554" i="728"/>
  <c r="N553" i="728"/>
  <c r="M553" i="728"/>
  <c r="K553" i="728"/>
  <c r="J553" i="728"/>
  <c r="I553" i="728"/>
  <c r="L553" i="728" s="1"/>
  <c r="H553" i="728"/>
  <c r="G553" i="728"/>
  <c r="N552" i="728"/>
  <c r="M552" i="728"/>
  <c r="K552" i="728"/>
  <c r="J552" i="728"/>
  <c r="I552" i="728"/>
  <c r="H552" i="728"/>
  <c r="G552" i="728"/>
  <c r="N551" i="728"/>
  <c r="M551" i="728"/>
  <c r="K551" i="728"/>
  <c r="J551" i="728"/>
  <c r="I551" i="728"/>
  <c r="H551" i="728"/>
  <c r="G551" i="728"/>
  <c r="N550" i="728"/>
  <c r="M550" i="728"/>
  <c r="O550" i="728" s="1"/>
  <c r="K550" i="728"/>
  <c r="J550" i="728"/>
  <c r="I550" i="728"/>
  <c r="L550" i="728" s="1"/>
  <c r="H550" i="728"/>
  <c r="G550" i="728"/>
  <c r="N549" i="728"/>
  <c r="M549" i="728"/>
  <c r="O549" i="728" s="1"/>
  <c r="K549" i="728"/>
  <c r="J549" i="728"/>
  <c r="I549" i="728"/>
  <c r="L549" i="728" s="1"/>
  <c r="H549" i="728"/>
  <c r="G549" i="728"/>
  <c r="N548" i="728"/>
  <c r="M548" i="728"/>
  <c r="O548" i="728" s="1"/>
  <c r="K548" i="728"/>
  <c r="J548" i="728"/>
  <c r="I548" i="728"/>
  <c r="H548" i="728"/>
  <c r="G548" i="728"/>
  <c r="N547" i="728"/>
  <c r="M547" i="728"/>
  <c r="K547" i="728"/>
  <c r="J547" i="728"/>
  <c r="I547" i="728"/>
  <c r="L547" i="728" s="1"/>
  <c r="H547" i="728"/>
  <c r="G547" i="728"/>
  <c r="N546" i="728"/>
  <c r="M546" i="728"/>
  <c r="O546" i="728" s="1"/>
  <c r="K546" i="728"/>
  <c r="J546" i="728"/>
  <c r="I546" i="728"/>
  <c r="L546" i="728" s="1"/>
  <c r="H546" i="728"/>
  <c r="G546" i="728"/>
  <c r="N545" i="728"/>
  <c r="M545" i="728"/>
  <c r="O545" i="728" s="1"/>
  <c r="K545" i="728"/>
  <c r="J545" i="728"/>
  <c r="I545" i="728"/>
  <c r="L545" i="728" s="1"/>
  <c r="H545" i="728"/>
  <c r="G545" i="728"/>
  <c r="N544" i="728"/>
  <c r="M544" i="728"/>
  <c r="K544" i="728"/>
  <c r="J544" i="728"/>
  <c r="I544" i="728"/>
  <c r="H544" i="728"/>
  <c r="G544" i="728"/>
  <c r="N543" i="728"/>
  <c r="M543" i="728"/>
  <c r="K543" i="728"/>
  <c r="J543" i="728"/>
  <c r="I543" i="728"/>
  <c r="L543" i="728" s="1"/>
  <c r="H543" i="728"/>
  <c r="G543" i="728"/>
  <c r="N542" i="728"/>
  <c r="M542" i="728"/>
  <c r="K542" i="728"/>
  <c r="J542" i="728"/>
  <c r="I542" i="728"/>
  <c r="L542" i="728" s="1"/>
  <c r="H542" i="728"/>
  <c r="G542" i="728"/>
  <c r="N541" i="728"/>
  <c r="M541" i="728"/>
  <c r="K541" i="728"/>
  <c r="J541" i="728"/>
  <c r="I541" i="728"/>
  <c r="L541" i="728" s="1"/>
  <c r="H541" i="728"/>
  <c r="G541" i="728"/>
  <c r="N540" i="728"/>
  <c r="M540" i="728"/>
  <c r="O540" i="728" s="1"/>
  <c r="K540" i="728"/>
  <c r="J540" i="728"/>
  <c r="L540" i="728" s="1"/>
  <c r="I540" i="728"/>
  <c r="H540" i="728"/>
  <c r="G540" i="728"/>
  <c r="N539" i="728"/>
  <c r="M539" i="728"/>
  <c r="O539" i="728" s="1"/>
  <c r="K539" i="728"/>
  <c r="J539" i="728"/>
  <c r="I539" i="728"/>
  <c r="H539" i="728"/>
  <c r="G539" i="728"/>
  <c r="N538" i="728"/>
  <c r="M538" i="728"/>
  <c r="O538" i="728" s="1"/>
  <c r="K538" i="728"/>
  <c r="J538" i="728"/>
  <c r="I538" i="728"/>
  <c r="H538" i="728"/>
  <c r="G538" i="728"/>
  <c r="N537" i="728"/>
  <c r="O537" i="728" s="1"/>
  <c r="M537" i="728"/>
  <c r="K537" i="728"/>
  <c r="J537" i="728"/>
  <c r="I537" i="728"/>
  <c r="L537" i="728" s="1"/>
  <c r="H537" i="728"/>
  <c r="G537" i="728"/>
  <c r="N536" i="728"/>
  <c r="M536" i="728"/>
  <c r="K536" i="728"/>
  <c r="L536" i="728" s="1"/>
  <c r="J536" i="728"/>
  <c r="I536" i="728"/>
  <c r="H536" i="728"/>
  <c r="G536" i="728"/>
  <c r="N535" i="728"/>
  <c r="M535" i="728"/>
  <c r="O535" i="728" s="1"/>
  <c r="K535" i="728"/>
  <c r="J535" i="728"/>
  <c r="I535" i="728"/>
  <c r="H535" i="728"/>
  <c r="G535" i="728"/>
  <c r="N534" i="728"/>
  <c r="M534" i="728"/>
  <c r="O534" i="728" s="1"/>
  <c r="K534" i="728"/>
  <c r="J534" i="728"/>
  <c r="I534" i="728"/>
  <c r="L534" i="728" s="1"/>
  <c r="H534" i="728"/>
  <c r="G534" i="728"/>
  <c r="N533" i="728"/>
  <c r="M533" i="728"/>
  <c r="O533" i="728" s="1"/>
  <c r="K533" i="728"/>
  <c r="J533" i="728"/>
  <c r="I533" i="728"/>
  <c r="L533" i="728" s="1"/>
  <c r="H533" i="728"/>
  <c r="G533" i="728"/>
  <c r="N532" i="728"/>
  <c r="M532" i="728"/>
  <c r="O532" i="728" s="1"/>
  <c r="K532" i="728"/>
  <c r="J532" i="728"/>
  <c r="L532" i="728" s="1"/>
  <c r="I532" i="728"/>
  <c r="H532" i="728"/>
  <c r="G532" i="728"/>
  <c r="N531" i="728"/>
  <c r="M531" i="728"/>
  <c r="O531" i="728" s="1"/>
  <c r="K531" i="728"/>
  <c r="J531" i="728"/>
  <c r="I531" i="728"/>
  <c r="H531" i="728"/>
  <c r="G531" i="728"/>
  <c r="N530" i="728"/>
  <c r="M530" i="728"/>
  <c r="K530" i="728"/>
  <c r="J530" i="728"/>
  <c r="I530" i="728"/>
  <c r="H530" i="728"/>
  <c r="G530" i="728"/>
  <c r="N529" i="728"/>
  <c r="O529" i="728" s="1"/>
  <c r="M529" i="728"/>
  <c r="K529" i="728"/>
  <c r="J529" i="728"/>
  <c r="I529" i="728"/>
  <c r="L529" i="728" s="1"/>
  <c r="H529" i="728"/>
  <c r="G529" i="728"/>
  <c r="N528" i="728"/>
  <c r="M528" i="728"/>
  <c r="K528" i="728"/>
  <c r="L528" i="728" s="1"/>
  <c r="J528" i="728"/>
  <c r="I528" i="728"/>
  <c r="H528" i="728"/>
  <c r="G528" i="728"/>
  <c r="N527" i="728"/>
  <c r="M527" i="728"/>
  <c r="O527" i="728" s="1"/>
  <c r="K527" i="728"/>
  <c r="J527" i="728"/>
  <c r="I527" i="728"/>
  <c r="H527" i="728"/>
  <c r="G527" i="728"/>
  <c r="N526" i="728"/>
  <c r="M526" i="728"/>
  <c r="O526" i="728" s="1"/>
  <c r="K526" i="728"/>
  <c r="J526" i="728"/>
  <c r="I526" i="728"/>
  <c r="L526" i="728" s="1"/>
  <c r="H526" i="728"/>
  <c r="G526" i="728"/>
  <c r="N525" i="728"/>
  <c r="M525" i="728"/>
  <c r="K525" i="728"/>
  <c r="J525" i="728"/>
  <c r="I525" i="728"/>
  <c r="L525" i="728" s="1"/>
  <c r="H525" i="728"/>
  <c r="G525" i="728"/>
  <c r="N524" i="728"/>
  <c r="M524" i="728"/>
  <c r="O524" i="728" s="1"/>
  <c r="K524" i="728"/>
  <c r="J524" i="728"/>
  <c r="L524" i="728" s="1"/>
  <c r="I524" i="728"/>
  <c r="H524" i="728"/>
  <c r="G524" i="728"/>
  <c r="N523" i="728"/>
  <c r="M523" i="728"/>
  <c r="K523" i="728"/>
  <c r="J523" i="728"/>
  <c r="I523" i="728"/>
  <c r="H523" i="728"/>
  <c r="G523" i="728"/>
  <c r="N522" i="728"/>
  <c r="M522" i="728"/>
  <c r="K522" i="728"/>
  <c r="J522" i="728"/>
  <c r="I522" i="728"/>
  <c r="H522" i="728"/>
  <c r="G522" i="728"/>
  <c r="O521" i="728"/>
  <c r="N521" i="728"/>
  <c r="M521" i="728"/>
  <c r="K521" i="728"/>
  <c r="J521" i="728"/>
  <c r="I521" i="728"/>
  <c r="L521" i="728" s="1"/>
  <c r="H521" i="728"/>
  <c r="G521" i="728"/>
  <c r="N520" i="728"/>
  <c r="M520" i="728"/>
  <c r="K520" i="728"/>
  <c r="L520" i="728" s="1"/>
  <c r="J520" i="728"/>
  <c r="I520" i="728"/>
  <c r="H520" i="728"/>
  <c r="G520" i="728"/>
  <c r="N519" i="728"/>
  <c r="M519" i="728"/>
  <c r="O519" i="728" s="1"/>
  <c r="K519" i="728"/>
  <c r="J519" i="728"/>
  <c r="I519" i="728"/>
  <c r="H519" i="728"/>
  <c r="G519" i="728"/>
  <c r="N518" i="728"/>
  <c r="M518" i="728"/>
  <c r="O518" i="728" s="1"/>
  <c r="K518" i="728"/>
  <c r="J518" i="728"/>
  <c r="I518" i="728"/>
  <c r="L518" i="728" s="1"/>
  <c r="H518" i="728"/>
  <c r="G518" i="728"/>
  <c r="N517" i="728"/>
  <c r="M517" i="728"/>
  <c r="K517" i="728"/>
  <c r="J517" i="728"/>
  <c r="I517" i="728"/>
  <c r="L517" i="728" s="1"/>
  <c r="H517" i="728"/>
  <c r="G517" i="728"/>
  <c r="N516" i="728"/>
  <c r="M516" i="728"/>
  <c r="K516" i="728"/>
  <c r="J516" i="728"/>
  <c r="L516" i="728" s="1"/>
  <c r="I516" i="728"/>
  <c r="H516" i="728"/>
  <c r="G516" i="728"/>
  <c r="N515" i="728"/>
  <c r="M515" i="728"/>
  <c r="K515" i="728"/>
  <c r="J515" i="728"/>
  <c r="I515" i="728"/>
  <c r="H515" i="728"/>
  <c r="G515" i="728"/>
  <c r="N514" i="728"/>
  <c r="M514" i="728"/>
  <c r="O514" i="728" s="1"/>
  <c r="K514" i="728"/>
  <c r="J514" i="728"/>
  <c r="I514" i="728"/>
  <c r="H514" i="728"/>
  <c r="G514" i="728"/>
  <c r="O513" i="728"/>
  <c r="N513" i="728"/>
  <c r="M513" i="728"/>
  <c r="K513" i="728"/>
  <c r="J513" i="728"/>
  <c r="I513" i="728"/>
  <c r="L513" i="728" s="1"/>
  <c r="H513" i="728"/>
  <c r="G513" i="728"/>
  <c r="N512" i="728"/>
  <c r="M512" i="728"/>
  <c r="K512" i="728"/>
  <c r="L512" i="728" s="1"/>
  <c r="J512" i="728"/>
  <c r="I512" i="728"/>
  <c r="H512" i="728"/>
  <c r="G512" i="728"/>
  <c r="N511" i="728"/>
  <c r="M511" i="728"/>
  <c r="K511" i="728"/>
  <c r="J511" i="728"/>
  <c r="I511" i="728"/>
  <c r="H511" i="728"/>
  <c r="G511" i="728"/>
  <c r="N510" i="728"/>
  <c r="M510" i="728"/>
  <c r="K510" i="728"/>
  <c r="J510" i="728"/>
  <c r="I510" i="728"/>
  <c r="L510" i="728" s="1"/>
  <c r="H510" i="728"/>
  <c r="G510" i="728"/>
  <c r="N509" i="728"/>
  <c r="M509" i="728"/>
  <c r="O509" i="728" s="1"/>
  <c r="K509" i="728"/>
  <c r="J509" i="728"/>
  <c r="I509" i="728"/>
  <c r="L509" i="728" s="1"/>
  <c r="H509" i="728"/>
  <c r="G509" i="728"/>
  <c r="N508" i="728"/>
  <c r="M508" i="728"/>
  <c r="K508" i="728"/>
  <c r="J508" i="728"/>
  <c r="L508" i="728" s="1"/>
  <c r="I508" i="728"/>
  <c r="H508" i="728"/>
  <c r="G508" i="728"/>
  <c r="N507" i="728"/>
  <c r="M507" i="728"/>
  <c r="O507" i="728" s="1"/>
  <c r="K507" i="728"/>
  <c r="J507" i="728"/>
  <c r="I507" i="728"/>
  <c r="H507" i="728"/>
  <c r="G507" i="728"/>
  <c r="N506" i="728"/>
  <c r="M506" i="728"/>
  <c r="K506" i="728"/>
  <c r="J506" i="728"/>
  <c r="I506" i="728"/>
  <c r="H506" i="728"/>
  <c r="G506" i="728"/>
  <c r="N505" i="728"/>
  <c r="O505" i="728" s="1"/>
  <c r="M505" i="728"/>
  <c r="K505" i="728"/>
  <c r="J505" i="728"/>
  <c r="I505" i="728"/>
  <c r="L505" i="728" s="1"/>
  <c r="H505" i="728"/>
  <c r="G505" i="728"/>
  <c r="N504" i="728"/>
  <c r="M504" i="728"/>
  <c r="O504" i="728" s="1"/>
  <c r="K504" i="728"/>
  <c r="L504" i="728" s="1"/>
  <c r="J504" i="728"/>
  <c r="I504" i="728"/>
  <c r="H504" i="728"/>
  <c r="G504" i="728"/>
  <c r="N503" i="728"/>
  <c r="M503" i="728"/>
  <c r="K503" i="728"/>
  <c r="J503" i="728"/>
  <c r="I503" i="728"/>
  <c r="H503" i="728"/>
  <c r="G503" i="728"/>
  <c r="N502" i="728"/>
  <c r="M502" i="728"/>
  <c r="K502" i="728"/>
  <c r="J502" i="728"/>
  <c r="I502" i="728"/>
  <c r="L502" i="728" s="1"/>
  <c r="H502" i="728"/>
  <c r="G502" i="728"/>
  <c r="N501" i="728"/>
  <c r="M501" i="728"/>
  <c r="O501" i="728" s="1"/>
  <c r="K501" i="728"/>
  <c r="J501" i="728"/>
  <c r="I501" i="728"/>
  <c r="L501" i="728" s="1"/>
  <c r="H501" i="728"/>
  <c r="G501" i="728"/>
  <c r="N500" i="728"/>
  <c r="M500" i="728"/>
  <c r="O500" i="728" s="1"/>
  <c r="K500" i="728"/>
  <c r="J500" i="728"/>
  <c r="L500" i="728" s="1"/>
  <c r="I500" i="728"/>
  <c r="H500" i="728"/>
  <c r="G500" i="728"/>
  <c r="N499" i="728"/>
  <c r="M499" i="728"/>
  <c r="O499" i="728" s="1"/>
  <c r="K499" i="728"/>
  <c r="J499" i="728"/>
  <c r="I499" i="728"/>
  <c r="H499" i="728"/>
  <c r="G499" i="728"/>
  <c r="N498" i="728"/>
  <c r="M498" i="728"/>
  <c r="K498" i="728"/>
  <c r="J498" i="728"/>
  <c r="I498" i="728"/>
  <c r="H498" i="728"/>
  <c r="G498" i="728"/>
  <c r="O497" i="728"/>
  <c r="N497" i="728"/>
  <c r="M497" i="728"/>
  <c r="K497" i="728"/>
  <c r="J497" i="728"/>
  <c r="I497" i="728"/>
  <c r="L497" i="728" s="1"/>
  <c r="H497" i="728"/>
  <c r="G497" i="728"/>
  <c r="N496" i="728"/>
  <c r="M496" i="728"/>
  <c r="O496" i="728" s="1"/>
  <c r="K496" i="728"/>
  <c r="L496" i="728" s="1"/>
  <c r="J496" i="728"/>
  <c r="I496" i="728"/>
  <c r="H496" i="728"/>
  <c r="G496" i="728"/>
  <c r="N495" i="728"/>
  <c r="M495" i="728"/>
  <c r="O495" i="728" s="1"/>
  <c r="K495" i="728"/>
  <c r="J495" i="728"/>
  <c r="I495" i="728"/>
  <c r="L495" i="728" s="1"/>
  <c r="H495" i="728"/>
  <c r="G495" i="728"/>
  <c r="N494" i="728"/>
  <c r="M494" i="728"/>
  <c r="K494" i="728"/>
  <c r="J494" i="728"/>
  <c r="I494" i="728"/>
  <c r="L494" i="728" s="1"/>
  <c r="H494" i="728"/>
  <c r="G494" i="728"/>
  <c r="N493" i="728"/>
  <c r="M493" i="728"/>
  <c r="K493" i="728"/>
  <c r="J493" i="728"/>
  <c r="I493" i="728"/>
  <c r="H493" i="728"/>
  <c r="G493" i="728"/>
  <c r="N492" i="728"/>
  <c r="M492" i="728"/>
  <c r="L492" i="728"/>
  <c r="K492" i="728"/>
  <c r="J492" i="728"/>
  <c r="I492" i="728"/>
  <c r="H492" i="728"/>
  <c r="G492" i="728"/>
  <c r="N491" i="728"/>
  <c r="M491" i="728"/>
  <c r="O491" i="728" s="1"/>
  <c r="K491" i="728"/>
  <c r="J491" i="728"/>
  <c r="I491" i="728"/>
  <c r="L491" i="728" s="1"/>
  <c r="H491" i="728"/>
  <c r="G491" i="728"/>
  <c r="N490" i="728"/>
  <c r="M490" i="728"/>
  <c r="O490" i="728" s="1"/>
  <c r="K490" i="728"/>
  <c r="J490" i="728"/>
  <c r="I490" i="728"/>
  <c r="L490" i="728" s="1"/>
  <c r="H490" i="728"/>
  <c r="G490" i="728"/>
  <c r="N489" i="728"/>
  <c r="M489" i="728"/>
  <c r="O489" i="728" s="1"/>
  <c r="K489" i="728"/>
  <c r="J489" i="728"/>
  <c r="I489" i="728"/>
  <c r="L489" i="728" s="1"/>
  <c r="H489" i="728"/>
  <c r="G489" i="728"/>
  <c r="N488" i="728"/>
  <c r="M488" i="728"/>
  <c r="K488" i="728"/>
  <c r="J488" i="728"/>
  <c r="L488" i="728" s="1"/>
  <c r="I488" i="728"/>
  <c r="H488" i="728"/>
  <c r="G488" i="728"/>
  <c r="O487" i="728"/>
  <c r="N487" i="728"/>
  <c r="M487" i="728"/>
  <c r="K487" i="728"/>
  <c r="J487" i="728"/>
  <c r="I487" i="728"/>
  <c r="L487" i="728" s="1"/>
  <c r="H487" i="728"/>
  <c r="G487" i="728"/>
  <c r="N486" i="728"/>
  <c r="M486" i="728"/>
  <c r="O486" i="728" s="1"/>
  <c r="K486" i="728"/>
  <c r="L486" i="728" s="1"/>
  <c r="J486" i="728"/>
  <c r="I486" i="728"/>
  <c r="H486" i="728"/>
  <c r="G486" i="728"/>
  <c r="N485" i="728"/>
  <c r="M485" i="728"/>
  <c r="O485" i="728" s="1"/>
  <c r="K485" i="728"/>
  <c r="J485" i="728"/>
  <c r="I485" i="728"/>
  <c r="H485" i="728"/>
  <c r="G485" i="728"/>
  <c r="N484" i="728"/>
  <c r="O484" i="728" s="1"/>
  <c r="M484" i="728"/>
  <c r="K484" i="728"/>
  <c r="J484" i="728"/>
  <c r="L484" i="728" s="1"/>
  <c r="I484" i="728"/>
  <c r="H484" i="728"/>
  <c r="G484" i="728"/>
  <c r="N483" i="728"/>
  <c r="M483" i="728"/>
  <c r="K483" i="728"/>
  <c r="J483" i="728"/>
  <c r="I483" i="728"/>
  <c r="L483" i="728" s="1"/>
  <c r="H483" i="728"/>
  <c r="G483" i="728"/>
  <c r="N482" i="728"/>
  <c r="M482" i="728"/>
  <c r="K482" i="728"/>
  <c r="J482" i="728"/>
  <c r="I482" i="728"/>
  <c r="L482" i="728" s="1"/>
  <c r="H482" i="728"/>
  <c r="G482" i="728"/>
  <c r="N481" i="728"/>
  <c r="M481" i="728"/>
  <c r="O481" i="728" s="1"/>
  <c r="K481" i="728"/>
  <c r="J481" i="728"/>
  <c r="I481" i="728"/>
  <c r="L481" i="728" s="1"/>
  <c r="H481" i="728"/>
  <c r="G481" i="728"/>
  <c r="N480" i="728"/>
  <c r="O480" i="728" s="1"/>
  <c r="M480" i="728"/>
  <c r="K480" i="728"/>
  <c r="J480" i="728"/>
  <c r="L480" i="728" s="1"/>
  <c r="I480" i="728"/>
  <c r="H480" i="728"/>
  <c r="G480" i="728"/>
  <c r="N479" i="728"/>
  <c r="O479" i="728" s="1"/>
  <c r="M479" i="728"/>
  <c r="K479" i="728"/>
  <c r="L479" i="728" s="1"/>
  <c r="J479" i="728"/>
  <c r="I479" i="728"/>
  <c r="H479" i="728"/>
  <c r="G479" i="728"/>
  <c r="N478" i="728"/>
  <c r="M478" i="728"/>
  <c r="K478" i="728"/>
  <c r="J478" i="728"/>
  <c r="I478" i="728"/>
  <c r="L478" i="728" s="1"/>
  <c r="H478" i="728"/>
  <c r="G478" i="728"/>
  <c r="N477" i="728"/>
  <c r="O477" i="728" s="1"/>
  <c r="M477" i="728"/>
  <c r="K477" i="728"/>
  <c r="J477" i="728"/>
  <c r="I477" i="728"/>
  <c r="L477" i="728" s="1"/>
  <c r="H477" i="728"/>
  <c r="G477" i="728"/>
  <c r="N476" i="728"/>
  <c r="M476" i="728"/>
  <c r="L476" i="728"/>
  <c r="K476" i="728"/>
  <c r="J476" i="728"/>
  <c r="I476" i="728"/>
  <c r="H476" i="728"/>
  <c r="G476" i="728"/>
  <c r="N475" i="728"/>
  <c r="M475" i="728"/>
  <c r="K475" i="728"/>
  <c r="J475" i="728"/>
  <c r="I475" i="728"/>
  <c r="L475" i="728" s="1"/>
  <c r="H475" i="728"/>
  <c r="G475" i="728"/>
  <c r="N474" i="728"/>
  <c r="M474" i="728"/>
  <c r="K474" i="728"/>
  <c r="J474" i="728"/>
  <c r="I474" i="728"/>
  <c r="L474" i="728" s="1"/>
  <c r="H474" i="728"/>
  <c r="G474" i="728"/>
  <c r="N473" i="728"/>
  <c r="O473" i="728" s="1"/>
  <c r="M473" i="728"/>
  <c r="K473" i="728"/>
  <c r="J473" i="728"/>
  <c r="I473" i="728"/>
  <c r="L473" i="728" s="1"/>
  <c r="H473" i="728"/>
  <c r="G473" i="728"/>
  <c r="N472" i="728"/>
  <c r="M472" i="728"/>
  <c r="K472" i="728"/>
  <c r="J472" i="728"/>
  <c r="L472" i="728" s="1"/>
  <c r="I472" i="728"/>
  <c r="H472" i="728"/>
  <c r="G472" i="728"/>
  <c r="N471" i="728"/>
  <c r="M471" i="728"/>
  <c r="K471" i="728"/>
  <c r="J471" i="728"/>
  <c r="I471" i="728"/>
  <c r="L471" i="728" s="1"/>
  <c r="H471" i="728"/>
  <c r="G471" i="728"/>
  <c r="N470" i="728"/>
  <c r="M470" i="728"/>
  <c r="K470" i="728"/>
  <c r="J470" i="728"/>
  <c r="I470" i="728"/>
  <c r="L470" i="728" s="1"/>
  <c r="H470" i="728"/>
  <c r="G470" i="728"/>
  <c r="N469" i="728"/>
  <c r="M469" i="728"/>
  <c r="O469" i="728" s="1"/>
  <c r="K469" i="728"/>
  <c r="J469" i="728"/>
  <c r="I469" i="728"/>
  <c r="H469" i="728"/>
  <c r="G469" i="728"/>
  <c r="N468" i="728"/>
  <c r="M468" i="728"/>
  <c r="L468" i="728"/>
  <c r="K468" i="728"/>
  <c r="J468" i="728"/>
  <c r="I468" i="728"/>
  <c r="H468" i="728"/>
  <c r="G468" i="728"/>
  <c r="N467" i="728"/>
  <c r="M467" i="728"/>
  <c r="K467" i="728"/>
  <c r="J467" i="728"/>
  <c r="I467" i="728"/>
  <c r="L467" i="728" s="1"/>
  <c r="H467" i="728"/>
  <c r="G467" i="728"/>
  <c r="N466" i="728"/>
  <c r="M466" i="728"/>
  <c r="K466" i="728"/>
  <c r="J466" i="728"/>
  <c r="I466" i="728"/>
  <c r="L466" i="728" s="1"/>
  <c r="H466" i="728"/>
  <c r="G466" i="728"/>
  <c r="N465" i="728"/>
  <c r="M465" i="728"/>
  <c r="K465" i="728"/>
  <c r="J465" i="728"/>
  <c r="I465" i="728"/>
  <c r="L465" i="728" s="1"/>
  <c r="H465" i="728"/>
  <c r="G465" i="728"/>
  <c r="N464" i="728"/>
  <c r="M464" i="728"/>
  <c r="O464" i="728" s="1"/>
  <c r="K464" i="728"/>
  <c r="J464" i="728"/>
  <c r="L464" i="728" s="1"/>
  <c r="I464" i="728"/>
  <c r="H464" i="728"/>
  <c r="G464" i="728"/>
  <c r="N463" i="728"/>
  <c r="O463" i="728" s="1"/>
  <c r="M463" i="728"/>
  <c r="K463" i="728"/>
  <c r="J463" i="728"/>
  <c r="I463" i="728"/>
  <c r="L463" i="728" s="1"/>
  <c r="H463" i="728"/>
  <c r="G463" i="728"/>
  <c r="N462" i="728"/>
  <c r="M462" i="728"/>
  <c r="K462" i="728"/>
  <c r="L462" i="728" s="1"/>
  <c r="J462" i="728"/>
  <c r="I462" i="728"/>
  <c r="H462" i="728"/>
  <c r="G462" i="728"/>
  <c r="N461" i="728"/>
  <c r="M461" i="728"/>
  <c r="K461" i="728"/>
  <c r="J461" i="728"/>
  <c r="I461" i="728"/>
  <c r="H461" i="728"/>
  <c r="G461" i="728"/>
  <c r="O460" i="728"/>
  <c r="N460" i="728"/>
  <c r="M460" i="728"/>
  <c r="K460" i="728"/>
  <c r="J460" i="728"/>
  <c r="L460" i="728" s="1"/>
  <c r="I460" i="728"/>
  <c r="H460" i="728"/>
  <c r="G460" i="728"/>
  <c r="N459" i="728"/>
  <c r="M459" i="728"/>
  <c r="K459" i="728"/>
  <c r="J459" i="728"/>
  <c r="I459" i="728"/>
  <c r="L459" i="728" s="1"/>
  <c r="H459" i="728"/>
  <c r="G459" i="728"/>
  <c r="N458" i="728"/>
  <c r="M458" i="728"/>
  <c r="K458" i="728"/>
  <c r="J458" i="728"/>
  <c r="I458" i="728"/>
  <c r="L458" i="728" s="1"/>
  <c r="H458" i="728"/>
  <c r="G458" i="728"/>
  <c r="N457" i="728"/>
  <c r="M457" i="728"/>
  <c r="K457" i="728"/>
  <c r="J457" i="728"/>
  <c r="I457" i="728"/>
  <c r="L457" i="728" s="1"/>
  <c r="H457" i="728"/>
  <c r="G457" i="728"/>
  <c r="N456" i="728"/>
  <c r="O456" i="728" s="1"/>
  <c r="M456" i="728"/>
  <c r="K456" i="728"/>
  <c r="J456" i="728"/>
  <c r="L456" i="728" s="1"/>
  <c r="I456" i="728"/>
  <c r="H456" i="728"/>
  <c r="G456" i="728"/>
  <c r="O455" i="728"/>
  <c r="N455" i="728"/>
  <c r="M455" i="728"/>
  <c r="K455" i="728"/>
  <c r="L455" i="728" s="1"/>
  <c r="J455" i="728"/>
  <c r="I455" i="728"/>
  <c r="H455" i="728"/>
  <c r="G455" i="728"/>
  <c r="N454" i="728"/>
  <c r="M454" i="728"/>
  <c r="K454" i="728"/>
  <c r="J454" i="728"/>
  <c r="I454" i="728"/>
  <c r="L454" i="728" s="1"/>
  <c r="H454" i="728"/>
  <c r="G454" i="728"/>
  <c r="O453" i="728"/>
  <c r="N453" i="728"/>
  <c r="M453" i="728"/>
  <c r="K453" i="728"/>
  <c r="J453" i="728"/>
  <c r="I453" i="728"/>
  <c r="L453" i="728" s="1"/>
  <c r="H453" i="728"/>
  <c r="G453" i="728"/>
  <c r="N452" i="728"/>
  <c r="M452" i="728"/>
  <c r="O452" i="728" s="1"/>
  <c r="L452" i="728"/>
  <c r="K452" i="728"/>
  <c r="J452" i="728"/>
  <c r="I452" i="728"/>
  <c r="H452" i="728"/>
  <c r="G452" i="728"/>
  <c r="N451" i="728"/>
  <c r="M451" i="728"/>
  <c r="O451" i="728" s="1"/>
  <c r="K451" i="728"/>
  <c r="J451" i="728"/>
  <c r="I451" i="728"/>
  <c r="L451" i="728" s="1"/>
  <c r="H451" i="728"/>
  <c r="G451" i="728"/>
  <c r="N450" i="728"/>
  <c r="M450" i="728"/>
  <c r="O450" i="728" s="1"/>
  <c r="K450" i="728"/>
  <c r="J450" i="728"/>
  <c r="I450" i="728"/>
  <c r="L450" i="728" s="1"/>
  <c r="H450" i="728"/>
  <c r="G450" i="728"/>
  <c r="N449" i="728"/>
  <c r="O449" i="728" s="1"/>
  <c r="M449" i="728"/>
  <c r="K449" i="728"/>
  <c r="J449" i="728"/>
  <c r="I449" i="728"/>
  <c r="L449" i="728" s="1"/>
  <c r="H449" i="728"/>
  <c r="G449" i="728"/>
  <c r="N448" i="728"/>
  <c r="M448" i="728"/>
  <c r="O448" i="728" s="1"/>
  <c r="K448" i="728"/>
  <c r="J448" i="728"/>
  <c r="L448" i="728" s="1"/>
  <c r="I448" i="728"/>
  <c r="H448" i="728"/>
  <c r="G448" i="728"/>
  <c r="N447" i="728"/>
  <c r="M447" i="728"/>
  <c r="O447" i="728" s="1"/>
  <c r="K447" i="728"/>
  <c r="J447" i="728"/>
  <c r="I447" i="728"/>
  <c r="L447" i="728" s="1"/>
  <c r="H447" i="728"/>
  <c r="G447" i="728"/>
  <c r="N446" i="728"/>
  <c r="M446" i="728"/>
  <c r="K446" i="728"/>
  <c r="J446" i="728"/>
  <c r="I446" i="728"/>
  <c r="L446" i="728" s="1"/>
  <c r="H446" i="728"/>
  <c r="G446" i="728"/>
  <c r="N445" i="728"/>
  <c r="M445" i="728"/>
  <c r="L445" i="728"/>
  <c r="K445" i="728"/>
  <c r="J445" i="728"/>
  <c r="I445" i="728"/>
  <c r="H445" i="728"/>
  <c r="G445" i="728"/>
  <c r="N444" i="728"/>
  <c r="M444" i="728"/>
  <c r="K444" i="728"/>
  <c r="J444" i="728"/>
  <c r="I444" i="728"/>
  <c r="L444" i="728" s="1"/>
  <c r="H444" i="728"/>
  <c r="G444" i="728"/>
  <c r="N443" i="728"/>
  <c r="M443" i="728"/>
  <c r="O443" i="728" s="1"/>
  <c r="K443" i="728"/>
  <c r="J443" i="728"/>
  <c r="L443" i="728" s="1"/>
  <c r="I443" i="728"/>
  <c r="H443" i="728"/>
  <c r="G443" i="728"/>
  <c r="N442" i="728"/>
  <c r="O442" i="728" s="1"/>
  <c r="M442" i="728"/>
  <c r="K442" i="728"/>
  <c r="J442" i="728"/>
  <c r="I442" i="728"/>
  <c r="L442" i="728" s="1"/>
  <c r="H442" i="728"/>
  <c r="G442" i="728"/>
  <c r="N441" i="728"/>
  <c r="M441" i="728"/>
  <c r="O441" i="728" s="1"/>
  <c r="L441" i="728"/>
  <c r="K441" i="728"/>
  <c r="J441" i="728"/>
  <c r="I441" i="728"/>
  <c r="H441" i="728"/>
  <c r="G441" i="728"/>
  <c r="N440" i="728"/>
  <c r="M440" i="728"/>
  <c r="K440" i="728"/>
  <c r="J440" i="728"/>
  <c r="I440" i="728"/>
  <c r="L440" i="728" s="1"/>
  <c r="H440" i="728"/>
  <c r="G440" i="728"/>
  <c r="N439" i="728"/>
  <c r="M439" i="728"/>
  <c r="K439" i="728"/>
  <c r="J439" i="728"/>
  <c r="L439" i="728" s="1"/>
  <c r="I439" i="728"/>
  <c r="H439" i="728"/>
  <c r="G439" i="728"/>
  <c r="O438" i="728"/>
  <c r="N438" i="728"/>
  <c r="M438" i="728"/>
  <c r="K438" i="728"/>
  <c r="J438" i="728"/>
  <c r="I438" i="728"/>
  <c r="L438" i="728" s="1"/>
  <c r="H438" i="728"/>
  <c r="G438" i="728"/>
  <c r="N437" i="728"/>
  <c r="M437" i="728"/>
  <c r="L437" i="728"/>
  <c r="K437" i="728"/>
  <c r="J437" i="728"/>
  <c r="I437" i="728"/>
  <c r="H437" i="728"/>
  <c r="G437" i="728"/>
  <c r="N436" i="728"/>
  <c r="M436" i="728"/>
  <c r="K436" i="728"/>
  <c r="J436" i="728"/>
  <c r="I436" i="728"/>
  <c r="L436" i="728" s="1"/>
  <c r="H436" i="728"/>
  <c r="G436" i="728"/>
  <c r="N435" i="728"/>
  <c r="M435" i="728"/>
  <c r="O435" i="728" s="1"/>
  <c r="K435" i="728"/>
  <c r="J435" i="728"/>
  <c r="L435" i="728" s="1"/>
  <c r="I435" i="728"/>
  <c r="H435" i="728"/>
  <c r="G435" i="728"/>
  <c r="N434" i="728"/>
  <c r="O434" i="728" s="1"/>
  <c r="M434" i="728"/>
  <c r="K434" i="728"/>
  <c r="J434" i="728"/>
  <c r="I434" i="728"/>
  <c r="L434" i="728" s="1"/>
  <c r="H434" i="728"/>
  <c r="G434" i="728"/>
  <c r="N433" i="728"/>
  <c r="M433" i="728"/>
  <c r="O433" i="728" s="1"/>
  <c r="L433" i="728"/>
  <c r="K433" i="728"/>
  <c r="J433" i="728"/>
  <c r="I433" i="728"/>
  <c r="H433" i="728"/>
  <c r="G433" i="728"/>
  <c r="N432" i="728"/>
  <c r="M432" i="728"/>
  <c r="K432" i="728"/>
  <c r="J432" i="728"/>
  <c r="I432" i="728"/>
  <c r="L432" i="728" s="1"/>
  <c r="H432" i="728"/>
  <c r="G432" i="728"/>
  <c r="N431" i="728"/>
  <c r="M431" i="728"/>
  <c r="K431" i="728"/>
  <c r="J431" i="728"/>
  <c r="L431" i="728" s="1"/>
  <c r="I431" i="728"/>
  <c r="H431" i="728"/>
  <c r="G431" i="728"/>
  <c r="O430" i="728"/>
  <c r="N430" i="728"/>
  <c r="M430" i="728"/>
  <c r="K430" i="728"/>
  <c r="J430" i="728"/>
  <c r="I430" i="728"/>
  <c r="L430" i="728" s="1"/>
  <c r="H430" i="728"/>
  <c r="G430" i="728"/>
  <c r="N429" i="728"/>
  <c r="M429" i="728"/>
  <c r="L429" i="728"/>
  <c r="K429" i="728"/>
  <c r="J429" i="728"/>
  <c r="I429" i="728"/>
  <c r="H429" i="728"/>
  <c r="G429" i="728"/>
  <c r="N428" i="728"/>
  <c r="M428" i="728"/>
  <c r="O428" i="728" s="1"/>
  <c r="K428" i="728"/>
  <c r="J428" i="728"/>
  <c r="I428" i="728"/>
  <c r="L428" i="728" s="1"/>
  <c r="H428" i="728"/>
  <c r="G428" i="728"/>
  <c r="N427" i="728"/>
  <c r="M427" i="728"/>
  <c r="O427" i="728" s="1"/>
  <c r="K427" i="728"/>
  <c r="J427" i="728"/>
  <c r="L427" i="728" s="1"/>
  <c r="I427" i="728"/>
  <c r="H427" i="728"/>
  <c r="G427" i="728"/>
  <c r="N426" i="728"/>
  <c r="O426" i="728" s="1"/>
  <c r="M426" i="728"/>
  <c r="K426" i="728"/>
  <c r="J426" i="728"/>
  <c r="I426" i="728"/>
  <c r="L426" i="728" s="1"/>
  <c r="H426" i="728"/>
  <c r="G426" i="728"/>
  <c r="N425" i="728"/>
  <c r="M425" i="728"/>
  <c r="O425" i="728" s="1"/>
  <c r="L425" i="728"/>
  <c r="K425" i="728"/>
  <c r="J425" i="728"/>
  <c r="I425" i="728"/>
  <c r="H425" i="728"/>
  <c r="G425" i="728"/>
  <c r="N424" i="728"/>
  <c r="M424" i="728"/>
  <c r="K424" i="728"/>
  <c r="J424" i="728"/>
  <c r="I424" i="728"/>
  <c r="L424" i="728" s="1"/>
  <c r="H424" i="728"/>
  <c r="G424" i="728"/>
  <c r="N423" i="728"/>
  <c r="M423" i="728"/>
  <c r="K423" i="728"/>
  <c r="J423" i="728"/>
  <c r="L423" i="728" s="1"/>
  <c r="I423" i="728"/>
  <c r="H423" i="728"/>
  <c r="G423" i="728"/>
  <c r="O422" i="728"/>
  <c r="N422" i="728"/>
  <c r="M422" i="728"/>
  <c r="K422" i="728"/>
  <c r="J422" i="728"/>
  <c r="I422" i="728"/>
  <c r="L422" i="728" s="1"/>
  <c r="H422" i="728"/>
  <c r="G422" i="728"/>
  <c r="N421" i="728"/>
  <c r="M421" i="728"/>
  <c r="L421" i="728"/>
  <c r="K421" i="728"/>
  <c r="J421" i="728"/>
  <c r="I421" i="728"/>
  <c r="H421" i="728"/>
  <c r="G421" i="728"/>
  <c r="N420" i="728"/>
  <c r="M420" i="728"/>
  <c r="O420" i="728" s="1"/>
  <c r="K420" i="728"/>
  <c r="J420" i="728"/>
  <c r="I420" i="728"/>
  <c r="L420" i="728" s="1"/>
  <c r="H420" i="728"/>
  <c r="G420" i="728"/>
  <c r="N419" i="728"/>
  <c r="M419" i="728"/>
  <c r="O419" i="728" s="1"/>
  <c r="K419" i="728"/>
  <c r="J419" i="728"/>
  <c r="L419" i="728" s="1"/>
  <c r="I419" i="728"/>
  <c r="H419" i="728"/>
  <c r="G419" i="728"/>
  <c r="N418" i="728"/>
  <c r="O418" i="728" s="1"/>
  <c r="M418" i="728"/>
  <c r="K418" i="728"/>
  <c r="J418" i="728"/>
  <c r="I418" i="728"/>
  <c r="L418" i="728" s="1"/>
  <c r="H418" i="728"/>
  <c r="G418" i="728"/>
  <c r="N417" i="728"/>
  <c r="M417" i="728"/>
  <c r="O417" i="728" s="1"/>
  <c r="L417" i="728"/>
  <c r="K417" i="728"/>
  <c r="J417" i="728"/>
  <c r="I417" i="728"/>
  <c r="H417" i="728"/>
  <c r="G417" i="728"/>
  <c r="N416" i="728"/>
  <c r="M416" i="728"/>
  <c r="K416" i="728"/>
  <c r="J416" i="728"/>
  <c r="I416" i="728"/>
  <c r="L416" i="728" s="1"/>
  <c r="H416" i="728"/>
  <c r="G416" i="728"/>
  <c r="N415" i="728"/>
  <c r="M415" i="728"/>
  <c r="K415" i="728"/>
  <c r="J415" i="728"/>
  <c r="L415" i="728" s="1"/>
  <c r="I415" i="728"/>
  <c r="H415" i="728"/>
  <c r="G415" i="728"/>
  <c r="O414" i="728"/>
  <c r="N414" i="728"/>
  <c r="M414" i="728"/>
  <c r="K414" i="728"/>
  <c r="J414" i="728"/>
  <c r="I414" i="728"/>
  <c r="L414" i="728" s="1"/>
  <c r="H414" i="728"/>
  <c r="G414" i="728"/>
  <c r="N413" i="728"/>
  <c r="M413" i="728"/>
  <c r="L413" i="728"/>
  <c r="K413" i="728"/>
  <c r="J413" i="728"/>
  <c r="I413" i="728"/>
  <c r="H413" i="728"/>
  <c r="G413" i="728"/>
  <c r="N412" i="728"/>
  <c r="M412" i="728"/>
  <c r="O412" i="728" s="1"/>
  <c r="K412" i="728"/>
  <c r="J412" i="728"/>
  <c r="I412" i="728"/>
  <c r="L412" i="728" s="1"/>
  <c r="H412" i="728"/>
  <c r="G412" i="728"/>
  <c r="N411" i="728"/>
  <c r="M411" i="728"/>
  <c r="O411" i="728" s="1"/>
  <c r="K411" i="728"/>
  <c r="J411" i="728"/>
  <c r="L411" i="728" s="1"/>
  <c r="I411" i="728"/>
  <c r="H411" i="728"/>
  <c r="G411" i="728"/>
  <c r="N410" i="728"/>
  <c r="O410" i="728" s="1"/>
  <c r="M410" i="728"/>
  <c r="K410" i="728"/>
  <c r="J410" i="728"/>
  <c r="I410" i="728"/>
  <c r="L410" i="728" s="1"/>
  <c r="H410" i="728"/>
  <c r="G410" i="728"/>
  <c r="N409" i="728"/>
  <c r="M409" i="728"/>
  <c r="O409" i="728" s="1"/>
  <c r="L409" i="728"/>
  <c r="K409" i="728"/>
  <c r="J409" i="728"/>
  <c r="I409" i="728"/>
  <c r="H409" i="728"/>
  <c r="G409" i="728"/>
  <c r="N408" i="728"/>
  <c r="M408" i="728"/>
  <c r="O408" i="728" s="1"/>
  <c r="K408" i="728"/>
  <c r="J408" i="728"/>
  <c r="I408" i="728"/>
  <c r="L408" i="728" s="1"/>
  <c r="H408" i="728"/>
  <c r="G408" i="728"/>
  <c r="N407" i="728"/>
  <c r="M407" i="728"/>
  <c r="K407" i="728"/>
  <c r="J407" i="728"/>
  <c r="L407" i="728" s="1"/>
  <c r="I407" i="728"/>
  <c r="H407" i="728"/>
  <c r="G407" i="728"/>
  <c r="O406" i="728"/>
  <c r="N406" i="728"/>
  <c r="M406" i="728"/>
  <c r="K406" i="728"/>
  <c r="J406" i="728"/>
  <c r="I406" i="728"/>
  <c r="L406" i="728" s="1"/>
  <c r="H406" i="728"/>
  <c r="G406" i="728"/>
  <c r="N405" i="728"/>
  <c r="M405" i="728"/>
  <c r="L405" i="728"/>
  <c r="K405" i="728"/>
  <c r="J405" i="728"/>
  <c r="I405" i="728"/>
  <c r="H405" i="728"/>
  <c r="G405" i="728"/>
  <c r="N404" i="728"/>
  <c r="M404" i="728"/>
  <c r="O404" i="728" s="1"/>
  <c r="K404" i="728"/>
  <c r="J404" i="728"/>
  <c r="I404" i="728"/>
  <c r="L404" i="728" s="1"/>
  <c r="H404" i="728"/>
  <c r="G404" i="728"/>
  <c r="N403" i="728"/>
  <c r="M403" i="728"/>
  <c r="O403" i="728" s="1"/>
  <c r="K403" i="728"/>
  <c r="J403" i="728"/>
  <c r="L403" i="728" s="1"/>
  <c r="I403" i="728"/>
  <c r="H403" i="728"/>
  <c r="G403" i="728"/>
  <c r="N402" i="728"/>
  <c r="O402" i="728" s="1"/>
  <c r="M402" i="728"/>
  <c r="K402" i="728"/>
  <c r="J402" i="728"/>
  <c r="I402" i="728"/>
  <c r="L402" i="728" s="1"/>
  <c r="H402" i="728"/>
  <c r="G402" i="728"/>
  <c r="N401" i="728"/>
  <c r="M401" i="728"/>
  <c r="O401" i="728" s="1"/>
  <c r="L401" i="728"/>
  <c r="K401" i="728"/>
  <c r="J401" i="728"/>
  <c r="I401" i="728"/>
  <c r="H401" i="728"/>
  <c r="G401" i="728"/>
  <c r="N400" i="728"/>
  <c r="M400" i="728"/>
  <c r="O400" i="728" s="1"/>
  <c r="K400" i="728"/>
  <c r="J400" i="728"/>
  <c r="I400" i="728"/>
  <c r="L400" i="728" s="1"/>
  <c r="H400" i="728"/>
  <c r="G400" i="728"/>
  <c r="N399" i="728"/>
  <c r="M399" i="728"/>
  <c r="K399" i="728"/>
  <c r="J399" i="728"/>
  <c r="L399" i="728" s="1"/>
  <c r="I399" i="728"/>
  <c r="H399" i="728"/>
  <c r="G399" i="728"/>
  <c r="O398" i="728"/>
  <c r="N398" i="728"/>
  <c r="M398" i="728"/>
  <c r="K398" i="728"/>
  <c r="J398" i="728"/>
  <c r="I398" i="728"/>
  <c r="L398" i="728" s="1"/>
  <c r="H398" i="728"/>
  <c r="G398" i="728"/>
  <c r="N397" i="728"/>
  <c r="M397" i="728"/>
  <c r="L397" i="728"/>
  <c r="K397" i="728"/>
  <c r="J397" i="728"/>
  <c r="I397" i="728"/>
  <c r="H397" i="728"/>
  <c r="G397" i="728"/>
  <c r="N396" i="728"/>
  <c r="M396" i="728"/>
  <c r="O396" i="728" s="1"/>
  <c r="K396" i="728"/>
  <c r="J396" i="728"/>
  <c r="I396" i="728"/>
  <c r="L396" i="728" s="1"/>
  <c r="H396" i="728"/>
  <c r="G396" i="728"/>
  <c r="N395" i="728"/>
  <c r="M395" i="728"/>
  <c r="O395" i="728" s="1"/>
  <c r="K395" i="728"/>
  <c r="J395" i="728"/>
  <c r="L395" i="728" s="1"/>
  <c r="I395" i="728"/>
  <c r="H395" i="728"/>
  <c r="G395" i="728"/>
  <c r="N394" i="728"/>
  <c r="O394" i="728" s="1"/>
  <c r="M394" i="728"/>
  <c r="K394" i="728"/>
  <c r="J394" i="728"/>
  <c r="I394" i="728"/>
  <c r="L394" i="728" s="1"/>
  <c r="H394" i="728"/>
  <c r="G394" i="728"/>
  <c r="N393" i="728"/>
  <c r="M393" i="728"/>
  <c r="O393" i="728" s="1"/>
  <c r="L393" i="728"/>
  <c r="K393" i="728"/>
  <c r="J393" i="728"/>
  <c r="I393" i="728"/>
  <c r="H393" i="728"/>
  <c r="G393" i="728"/>
  <c r="N392" i="728"/>
  <c r="M392" i="728"/>
  <c r="O392" i="728" s="1"/>
  <c r="K392" i="728"/>
  <c r="J392" i="728"/>
  <c r="I392" i="728"/>
  <c r="L392" i="728" s="1"/>
  <c r="H392" i="728"/>
  <c r="G392" i="728"/>
  <c r="N391" i="728"/>
  <c r="M391" i="728"/>
  <c r="K391" i="728"/>
  <c r="J391" i="728"/>
  <c r="L391" i="728" s="1"/>
  <c r="I391" i="728"/>
  <c r="H391" i="728"/>
  <c r="G391" i="728"/>
  <c r="O390" i="728"/>
  <c r="N390" i="728"/>
  <c r="M390" i="728"/>
  <c r="K390" i="728"/>
  <c r="J390" i="728"/>
  <c r="I390" i="728"/>
  <c r="L390" i="728" s="1"/>
  <c r="H390" i="728"/>
  <c r="G390" i="728"/>
  <c r="N389" i="728"/>
  <c r="M389" i="728"/>
  <c r="L389" i="728"/>
  <c r="K389" i="728"/>
  <c r="J389" i="728"/>
  <c r="I389" i="728"/>
  <c r="H389" i="728"/>
  <c r="G389" i="728"/>
  <c r="N388" i="728"/>
  <c r="M388" i="728"/>
  <c r="O388" i="728" s="1"/>
  <c r="K388" i="728"/>
  <c r="J388" i="728"/>
  <c r="I388" i="728"/>
  <c r="L388" i="728" s="1"/>
  <c r="H388" i="728"/>
  <c r="G388" i="728"/>
  <c r="N387" i="728"/>
  <c r="M387" i="728"/>
  <c r="O387" i="728" s="1"/>
  <c r="K387" i="728"/>
  <c r="J387" i="728"/>
  <c r="L387" i="728" s="1"/>
  <c r="I387" i="728"/>
  <c r="H387" i="728"/>
  <c r="G387" i="728"/>
  <c r="N386" i="728"/>
  <c r="O386" i="728" s="1"/>
  <c r="M386" i="728"/>
  <c r="K386" i="728"/>
  <c r="J386" i="728"/>
  <c r="I386" i="728"/>
  <c r="L386" i="728" s="1"/>
  <c r="H386" i="728"/>
  <c r="G386" i="728"/>
  <c r="N385" i="728"/>
  <c r="M385" i="728"/>
  <c r="O385" i="728" s="1"/>
  <c r="L385" i="728"/>
  <c r="K385" i="728"/>
  <c r="J385" i="728"/>
  <c r="I385" i="728"/>
  <c r="H385" i="728"/>
  <c r="G385" i="728"/>
  <c r="N384" i="728"/>
  <c r="M384" i="728"/>
  <c r="O384" i="728" s="1"/>
  <c r="K384" i="728"/>
  <c r="J384" i="728"/>
  <c r="I384" i="728"/>
  <c r="L384" i="728" s="1"/>
  <c r="H384" i="728"/>
  <c r="G384" i="728"/>
  <c r="N383" i="728"/>
  <c r="M383" i="728"/>
  <c r="K383" i="728"/>
  <c r="J383" i="728"/>
  <c r="L383" i="728" s="1"/>
  <c r="I383" i="728"/>
  <c r="H383" i="728"/>
  <c r="G383" i="728"/>
  <c r="O382" i="728"/>
  <c r="N382" i="728"/>
  <c r="M382" i="728"/>
  <c r="K382" i="728"/>
  <c r="J382" i="728"/>
  <c r="I382" i="728"/>
  <c r="L382" i="728" s="1"/>
  <c r="H382" i="728"/>
  <c r="G382" i="728"/>
  <c r="N381" i="728"/>
  <c r="M381" i="728"/>
  <c r="L381" i="728"/>
  <c r="K381" i="728"/>
  <c r="J381" i="728"/>
  <c r="I381" i="728"/>
  <c r="H381" i="728"/>
  <c r="G381" i="728"/>
  <c r="N380" i="728"/>
  <c r="M380" i="728"/>
  <c r="O380" i="728" s="1"/>
  <c r="K380" i="728"/>
  <c r="J380" i="728"/>
  <c r="I380" i="728"/>
  <c r="H380" i="728"/>
  <c r="G380" i="728"/>
  <c r="N379" i="728"/>
  <c r="M379" i="728"/>
  <c r="O379" i="728" s="1"/>
  <c r="K379" i="728"/>
  <c r="J379" i="728"/>
  <c r="L379" i="728" s="1"/>
  <c r="I379" i="728"/>
  <c r="H379" i="728"/>
  <c r="G379" i="728"/>
  <c r="N378" i="728"/>
  <c r="O378" i="728" s="1"/>
  <c r="M378" i="728"/>
  <c r="K378" i="728"/>
  <c r="J378" i="728"/>
  <c r="I378" i="728"/>
  <c r="L378" i="728" s="1"/>
  <c r="H378" i="728"/>
  <c r="G378" i="728"/>
  <c r="N377" i="728"/>
  <c r="M377" i="728"/>
  <c r="L377" i="728"/>
  <c r="K377" i="728"/>
  <c r="J377" i="728"/>
  <c r="I377" i="728"/>
  <c r="H377" i="728"/>
  <c r="G377" i="728"/>
  <c r="N376" i="728"/>
  <c r="M376" i="728"/>
  <c r="O376" i="728" s="1"/>
  <c r="K376" i="728"/>
  <c r="J376" i="728"/>
  <c r="I376" i="728"/>
  <c r="L376" i="728" s="1"/>
  <c r="H376" i="728"/>
  <c r="G376" i="728"/>
  <c r="N375" i="728"/>
  <c r="M375" i="728"/>
  <c r="K375" i="728"/>
  <c r="J375" i="728"/>
  <c r="L375" i="728" s="1"/>
  <c r="I375" i="728"/>
  <c r="H375" i="728"/>
  <c r="G375" i="728"/>
  <c r="O374" i="728"/>
  <c r="N374" i="728"/>
  <c r="M374" i="728"/>
  <c r="K374" i="728"/>
  <c r="J374" i="728"/>
  <c r="I374" i="728"/>
  <c r="L374" i="728" s="1"/>
  <c r="H374" i="728"/>
  <c r="G374" i="728"/>
  <c r="N373" i="728"/>
  <c r="M373" i="728"/>
  <c r="L373" i="728"/>
  <c r="K373" i="728"/>
  <c r="J373" i="728"/>
  <c r="I373" i="728"/>
  <c r="H373" i="728"/>
  <c r="G373" i="728"/>
  <c r="N372" i="728"/>
  <c r="M372" i="728"/>
  <c r="O372" i="728" s="1"/>
  <c r="K372" i="728"/>
  <c r="J372" i="728"/>
  <c r="I372" i="728"/>
  <c r="H372" i="728"/>
  <c r="G372" i="728"/>
  <c r="N371" i="728"/>
  <c r="M371" i="728"/>
  <c r="O371" i="728" s="1"/>
  <c r="K371" i="728"/>
  <c r="J371" i="728"/>
  <c r="L371" i="728" s="1"/>
  <c r="I371" i="728"/>
  <c r="H371" i="728"/>
  <c r="G371" i="728"/>
  <c r="N370" i="728"/>
  <c r="O370" i="728" s="1"/>
  <c r="M370" i="728"/>
  <c r="K370" i="728"/>
  <c r="J370" i="728"/>
  <c r="I370" i="728"/>
  <c r="L370" i="728" s="1"/>
  <c r="H370" i="728"/>
  <c r="G370" i="728"/>
  <c r="N369" i="728"/>
  <c r="M369" i="728"/>
  <c r="L369" i="728"/>
  <c r="K369" i="728"/>
  <c r="J369" i="728"/>
  <c r="I369" i="728"/>
  <c r="H369" i="728"/>
  <c r="G369" i="728"/>
  <c r="N368" i="728"/>
  <c r="M368" i="728"/>
  <c r="O368" i="728" s="1"/>
  <c r="K368" i="728"/>
  <c r="J368" i="728"/>
  <c r="I368" i="728"/>
  <c r="L368" i="728" s="1"/>
  <c r="H368" i="728"/>
  <c r="G368" i="728"/>
  <c r="N367" i="728"/>
  <c r="M367" i="728"/>
  <c r="K367" i="728"/>
  <c r="J367" i="728"/>
  <c r="L367" i="728" s="1"/>
  <c r="I367" i="728"/>
  <c r="H367" i="728"/>
  <c r="G367" i="728"/>
  <c r="O366" i="728"/>
  <c r="N366" i="728"/>
  <c r="M366" i="728"/>
  <c r="K366" i="728"/>
  <c r="J366" i="728"/>
  <c r="I366" i="728"/>
  <c r="L366" i="728" s="1"/>
  <c r="H366" i="728"/>
  <c r="G366" i="728"/>
  <c r="N365" i="728"/>
  <c r="M365" i="728"/>
  <c r="L365" i="728"/>
  <c r="K365" i="728"/>
  <c r="J365" i="728"/>
  <c r="I365" i="728"/>
  <c r="H365" i="728"/>
  <c r="G365" i="728"/>
  <c r="N364" i="728"/>
  <c r="M364" i="728"/>
  <c r="O364" i="728" s="1"/>
  <c r="K364" i="728"/>
  <c r="J364" i="728"/>
  <c r="I364" i="728"/>
  <c r="H364" i="728"/>
  <c r="G364" i="728"/>
  <c r="N363" i="728"/>
  <c r="M363" i="728"/>
  <c r="O363" i="728" s="1"/>
  <c r="K363" i="728"/>
  <c r="J363" i="728"/>
  <c r="L363" i="728" s="1"/>
  <c r="I363" i="728"/>
  <c r="H363" i="728"/>
  <c r="G363" i="728"/>
  <c r="N362" i="728"/>
  <c r="O362" i="728" s="1"/>
  <c r="M362" i="728"/>
  <c r="K362" i="728"/>
  <c r="J362" i="728"/>
  <c r="I362" i="728"/>
  <c r="L362" i="728" s="1"/>
  <c r="H362" i="728"/>
  <c r="G362" i="728"/>
  <c r="N361" i="728"/>
  <c r="M361" i="728"/>
  <c r="L361" i="728"/>
  <c r="K361" i="728"/>
  <c r="J361" i="728"/>
  <c r="I361" i="728"/>
  <c r="H361" i="728"/>
  <c r="G361" i="728"/>
  <c r="N360" i="728"/>
  <c r="M360" i="728"/>
  <c r="O360" i="728" s="1"/>
  <c r="K360" i="728"/>
  <c r="J360" i="728"/>
  <c r="I360" i="728"/>
  <c r="L360" i="728" s="1"/>
  <c r="H360" i="728"/>
  <c r="G360" i="728"/>
  <c r="N359" i="728"/>
  <c r="M359" i="728"/>
  <c r="K359" i="728"/>
  <c r="J359" i="728"/>
  <c r="L359" i="728" s="1"/>
  <c r="I359" i="728"/>
  <c r="H359" i="728"/>
  <c r="G359" i="728"/>
  <c r="O358" i="728"/>
  <c r="N358" i="728"/>
  <c r="M358" i="728"/>
  <c r="K358" i="728"/>
  <c r="J358" i="728"/>
  <c r="I358" i="728"/>
  <c r="L358" i="728" s="1"/>
  <c r="H358" i="728"/>
  <c r="G358" i="728"/>
  <c r="N357" i="728"/>
  <c r="M357" i="728"/>
  <c r="L357" i="728"/>
  <c r="K357" i="728"/>
  <c r="J357" i="728"/>
  <c r="I357" i="728"/>
  <c r="H357" i="728"/>
  <c r="G357" i="728"/>
  <c r="N356" i="728"/>
  <c r="M356" i="728"/>
  <c r="O356" i="728" s="1"/>
  <c r="K356" i="728"/>
  <c r="J356" i="728"/>
  <c r="I356" i="728"/>
  <c r="H356" i="728"/>
  <c r="G356" i="728"/>
  <c r="N355" i="728"/>
  <c r="M355" i="728"/>
  <c r="L355" i="728"/>
  <c r="K355" i="728"/>
  <c r="J355" i="728"/>
  <c r="I355" i="728"/>
  <c r="H355" i="728"/>
  <c r="G355" i="728"/>
  <c r="O354" i="728"/>
  <c r="N354" i="728"/>
  <c r="M354" i="728"/>
  <c r="K354" i="728"/>
  <c r="J354" i="728"/>
  <c r="I354" i="728"/>
  <c r="L354" i="728" s="1"/>
  <c r="H354" i="728"/>
  <c r="G354" i="728"/>
  <c r="N353" i="728"/>
  <c r="M353" i="728"/>
  <c r="L353" i="728"/>
  <c r="K353" i="728"/>
  <c r="J353" i="728"/>
  <c r="I353" i="728"/>
  <c r="H353" i="728"/>
  <c r="G353" i="728"/>
  <c r="N352" i="728"/>
  <c r="M352" i="728"/>
  <c r="O352" i="728" s="1"/>
  <c r="K352" i="728"/>
  <c r="J352" i="728"/>
  <c r="I352" i="728"/>
  <c r="L352" i="728" s="1"/>
  <c r="H352" i="728"/>
  <c r="G352" i="728"/>
  <c r="N351" i="728"/>
  <c r="M351" i="728"/>
  <c r="K351" i="728"/>
  <c r="J351" i="728"/>
  <c r="L351" i="728" s="1"/>
  <c r="I351" i="728"/>
  <c r="H351" i="728"/>
  <c r="G351" i="728"/>
  <c r="N350" i="728"/>
  <c r="O350" i="728" s="1"/>
  <c r="M350" i="728"/>
  <c r="K350" i="728"/>
  <c r="J350" i="728"/>
  <c r="I350" i="728"/>
  <c r="H350" i="728"/>
  <c r="G350" i="728"/>
  <c r="N349" i="728"/>
  <c r="M349" i="728"/>
  <c r="L349" i="728"/>
  <c r="K349" i="728"/>
  <c r="J349" i="728"/>
  <c r="I349" i="728"/>
  <c r="H349" i="728"/>
  <c r="G349" i="728"/>
  <c r="O348" i="728"/>
  <c r="N348" i="728"/>
  <c r="M348" i="728"/>
  <c r="K348" i="728"/>
  <c r="J348" i="728"/>
  <c r="I348" i="728"/>
  <c r="H348" i="728"/>
  <c r="G348" i="728"/>
  <c r="N347" i="728"/>
  <c r="M347" i="728"/>
  <c r="O347" i="728" s="1"/>
  <c r="L347" i="728"/>
  <c r="K347" i="728"/>
  <c r="J347" i="728"/>
  <c r="I347" i="728"/>
  <c r="H347" i="728"/>
  <c r="G347" i="728"/>
  <c r="O346" i="728"/>
  <c r="N346" i="728"/>
  <c r="M346" i="728"/>
  <c r="K346" i="728"/>
  <c r="J346" i="728"/>
  <c r="I346" i="728"/>
  <c r="L346" i="728" s="1"/>
  <c r="H346" i="728"/>
  <c r="G346" i="728"/>
  <c r="N345" i="728"/>
  <c r="M345" i="728"/>
  <c r="K345" i="728"/>
  <c r="L345" i="728" s="1"/>
  <c r="J345" i="728"/>
  <c r="I345" i="728"/>
  <c r="H345" i="728"/>
  <c r="G345" i="728"/>
  <c r="N344" i="728"/>
  <c r="M344" i="728"/>
  <c r="K344" i="728"/>
  <c r="J344" i="728"/>
  <c r="I344" i="728"/>
  <c r="H344" i="728"/>
  <c r="G344" i="728"/>
  <c r="N343" i="728"/>
  <c r="M343" i="728"/>
  <c r="L343" i="728"/>
  <c r="K343" i="728"/>
  <c r="J343" i="728"/>
  <c r="I343" i="728"/>
  <c r="H343" i="728"/>
  <c r="G343" i="728"/>
  <c r="O342" i="728"/>
  <c r="N342" i="728"/>
  <c r="M342" i="728"/>
  <c r="K342" i="728"/>
  <c r="J342" i="728"/>
  <c r="I342" i="728"/>
  <c r="L342" i="728" s="1"/>
  <c r="H342" i="728"/>
  <c r="G342" i="728"/>
  <c r="N341" i="728"/>
  <c r="M341" i="728"/>
  <c r="O341" i="728" s="1"/>
  <c r="L341" i="728"/>
  <c r="K341" i="728"/>
  <c r="J341" i="728"/>
  <c r="I341" i="728"/>
  <c r="H341" i="728"/>
  <c r="G341" i="728"/>
  <c r="N340" i="728"/>
  <c r="M340" i="728"/>
  <c r="K340" i="728"/>
  <c r="J340" i="728"/>
  <c r="I340" i="728"/>
  <c r="L340" i="728" s="1"/>
  <c r="H340" i="728"/>
  <c r="G340" i="728"/>
  <c r="N339" i="728"/>
  <c r="M339" i="728"/>
  <c r="O339" i="728" s="1"/>
  <c r="K339" i="728"/>
  <c r="J339" i="728"/>
  <c r="I339" i="728"/>
  <c r="L339" i="728" s="1"/>
  <c r="H339" i="728"/>
  <c r="G339" i="728"/>
  <c r="O338" i="728"/>
  <c r="N338" i="728"/>
  <c r="M338" i="728"/>
  <c r="K338" i="728"/>
  <c r="J338" i="728"/>
  <c r="I338" i="728"/>
  <c r="L338" i="728" s="1"/>
  <c r="H338" i="728"/>
  <c r="G338" i="728"/>
  <c r="O337" i="728"/>
  <c r="N337" i="728"/>
  <c r="M337" i="728"/>
  <c r="K337" i="728"/>
  <c r="L337" i="728" s="1"/>
  <c r="J337" i="728"/>
  <c r="I337" i="728"/>
  <c r="H337" i="728"/>
  <c r="G337" i="728"/>
  <c r="N336" i="728"/>
  <c r="M336" i="728"/>
  <c r="O336" i="728" s="1"/>
  <c r="L336" i="728"/>
  <c r="K336" i="728"/>
  <c r="J336" i="728"/>
  <c r="I336" i="728"/>
  <c r="H336" i="728"/>
  <c r="G336" i="728"/>
  <c r="N335" i="728"/>
  <c r="M335" i="728"/>
  <c r="K335" i="728"/>
  <c r="J335" i="728"/>
  <c r="I335" i="728"/>
  <c r="L335" i="728" s="1"/>
  <c r="H335" i="728"/>
  <c r="G335" i="728"/>
  <c r="N334" i="728"/>
  <c r="O334" i="728" s="1"/>
  <c r="M334" i="728"/>
  <c r="K334" i="728"/>
  <c r="J334" i="728"/>
  <c r="I334" i="728"/>
  <c r="H334" i="728"/>
  <c r="G334" i="728"/>
  <c r="N333" i="728"/>
  <c r="M333" i="728"/>
  <c r="O333" i="728" s="1"/>
  <c r="K333" i="728"/>
  <c r="L333" i="728" s="1"/>
  <c r="J333" i="728"/>
  <c r="I333" i="728"/>
  <c r="H333" i="728"/>
  <c r="G333" i="728"/>
  <c r="N332" i="728"/>
  <c r="M332" i="728"/>
  <c r="O332" i="728" s="1"/>
  <c r="K332" i="728"/>
  <c r="J332" i="728"/>
  <c r="I332" i="728"/>
  <c r="L332" i="728" s="1"/>
  <c r="H332" i="728"/>
  <c r="G332" i="728"/>
  <c r="N331" i="728"/>
  <c r="M331" i="728"/>
  <c r="O331" i="728" s="1"/>
  <c r="K331" i="728"/>
  <c r="J331" i="728"/>
  <c r="I331" i="728"/>
  <c r="L331" i="728" s="1"/>
  <c r="H331" i="728"/>
  <c r="G331" i="728"/>
  <c r="O330" i="728"/>
  <c r="N330" i="728"/>
  <c r="M330" i="728"/>
  <c r="K330" i="728"/>
  <c r="J330" i="728"/>
  <c r="I330" i="728"/>
  <c r="L330" i="728" s="1"/>
  <c r="H330" i="728"/>
  <c r="G330" i="728"/>
  <c r="N329" i="728"/>
  <c r="M329" i="728"/>
  <c r="O329" i="728" s="1"/>
  <c r="K329" i="728"/>
  <c r="L329" i="728" s="1"/>
  <c r="J329" i="728"/>
  <c r="I329" i="728"/>
  <c r="H329" i="728"/>
  <c r="G329" i="728"/>
  <c r="N328" i="728"/>
  <c r="O328" i="728" s="1"/>
  <c r="M328" i="728"/>
  <c r="K328" i="728"/>
  <c r="J328" i="728"/>
  <c r="I328" i="728"/>
  <c r="L328" i="728" s="1"/>
  <c r="H328" i="728"/>
  <c r="G328" i="728"/>
  <c r="N327" i="728"/>
  <c r="M327" i="728"/>
  <c r="K327" i="728"/>
  <c r="L327" i="728" s="1"/>
  <c r="J327" i="728"/>
  <c r="I327" i="728"/>
  <c r="H327" i="728"/>
  <c r="G327" i="728"/>
  <c r="O326" i="728"/>
  <c r="N326" i="728"/>
  <c r="M326" i="728"/>
  <c r="K326" i="728"/>
  <c r="J326" i="728"/>
  <c r="I326" i="728"/>
  <c r="L326" i="728" s="1"/>
  <c r="H326" i="728"/>
  <c r="G326" i="728"/>
  <c r="N325" i="728"/>
  <c r="O325" i="728" s="1"/>
  <c r="M325" i="728"/>
  <c r="K325" i="728"/>
  <c r="L325" i="728" s="1"/>
  <c r="J325" i="728"/>
  <c r="I325" i="728"/>
  <c r="H325" i="728"/>
  <c r="G325" i="728"/>
  <c r="N324" i="728"/>
  <c r="M324" i="728"/>
  <c r="K324" i="728"/>
  <c r="J324" i="728"/>
  <c r="I324" i="728"/>
  <c r="L324" i="728" s="1"/>
  <c r="H324" i="728"/>
  <c r="G324" i="728"/>
  <c r="N323" i="728"/>
  <c r="M323" i="728"/>
  <c r="K323" i="728"/>
  <c r="J323" i="728"/>
  <c r="I323" i="728"/>
  <c r="L323" i="728" s="1"/>
  <c r="H323" i="728"/>
  <c r="G323" i="728"/>
  <c r="N322" i="728"/>
  <c r="O322" i="728" s="1"/>
  <c r="M322" i="728"/>
  <c r="K322" i="728"/>
  <c r="J322" i="728"/>
  <c r="I322" i="728"/>
  <c r="H322" i="728"/>
  <c r="G322" i="728"/>
  <c r="N321" i="728"/>
  <c r="O321" i="728" s="1"/>
  <c r="M321" i="728"/>
  <c r="K321" i="728"/>
  <c r="L321" i="728" s="1"/>
  <c r="J321" i="728"/>
  <c r="I321" i="728"/>
  <c r="H321" i="728"/>
  <c r="G321" i="728"/>
  <c r="N320" i="728"/>
  <c r="M320" i="728"/>
  <c r="O320" i="728" s="1"/>
  <c r="K320" i="728"/>
  <c r="L320" i="728" s="1"/>
  <c r="J320" i="728"/>
  <c r="I320" i="728"/>
  <c r="H320" i="728"/>
  <c r="G320" i="728"/>
  <c r="N319" i="728"/>
  <c r="M319" i="728"/>
  <c r="L319" i="728"/>
  <c r="K319" i="728"/>
  <c r="J319" i="728"/>
  <c r="I319" i="728"/>
  <c r="H319" i="728"/>
  <c r="G319" i="728"/>
  <c r="N318" i="728"/>
  <c r="O318" i="728" s="1"/>
  <c r="M318" i="728"/>
  <c r="K318" i="728"/>
  <c r="J318" i="728"/>
  <c r="I318" i="728"/>
  <c r="L318" i="728" s="1"/>
  <c r="H318" i="728"/>
  <c r="G318" i="728"/>
  <c r="N317" i="728"/>
  <c r="M317" i="728"/>
  <c r="L317" i="728"/>
  <c r="K317" i="728"/>
  <c r="J317" i="728"/>
  <c r="I317" i="728"/>
  <c r="H317" i="728"/>
  <c r="G317" i="728"/>
  <c r="N316" i="728"/>
  <c r="M316" i="728"/>
  <c r="K316" i="728"/>
  <c r="J316" i="728"/>
  <c r="I316" i="728"/>
  <c r="L316" i="728" s="1"/>
  <c r="H316" i="728"/>
  <c r="G316" i="728"/>
  <c r="N315" i="728"/>
  <c r="M315" i="728"/>
  <c r="K315" i="728"/>
  <c r="J315" i="728"/>
  <c r="I315" i="728"/>
  <c r="L315" i="728" s="1"/>
  <c r="H315" i="728"/>
  <c r="G315" i="728"/>
  <c r="O314" i="728"/>
  <c r="N314" i="728"/>
  <c r="M314" i="728"/>
  <c r="K314" i="728"/>
  <c r="J314" i="728"/>
  <c r="I314" i="728"/>
  <c r="L314" i="728" s="1"/>
  <c r="H314" i="728"/>
  <c r="G314" i="728"/>
  <c r="O313" i="728"/>
  <c r="N313" i="728"/>
  <c r="M313" i="728"/>
  <c r="K313" i="728"/>
  <c r="L313" i="728" s="1"/>
  <c r="J313" i="728"/>
  <c r="I313" i="728"/>
  <c r="H313" i="728"/>
  <c r="G313" i="728"/>
  <c r="N312" i="728"/>
  <c r="M312" i="728"/>
  <c r="O312" i="728" s="1"/>
  <c r="L312" i="728"/>
  <c r="K312" i="728"/>
  <c r="J312" i="728"/>
  <c r="I312" i="728"/>
  <c r="H312" i="728"/>
  <c r="G312" i="728"/>
  <c r="N311" i="728"/>
  <c r="M311" i="728"/>
  <c r="K311" i="728"/>
  <c r="J311" i="728"/>
  <c r="I311" i="728"/>
  <c r="L311" i="728" s="1"/>
  <c r="H311" i="728"/>
  <c r="G311" i="728"/>
  <c r="N310" i="728"/>
  <c r="O310" i="728" s="1"/>
  <c r="M310" i="728"/>
  <c r="K310" i="728"/>
  <c r="J310" i="728"/>
  <c r="I310" i="728"/>
  <c r="H310" i="728"/>
  <c r="G310" i="728"/>
  <c r="N309" i="728"/>
  <c r="M309" i="728"/>
  <c r="K309" i="728"/>
  <c r="L309" i="728" s="1"/>
  <c r="J309" i="728"/>
  <c r="I309" i="728"/>
  <c r="H309" i="728"/>
  <c r="G309" i="728"/>
  <c r="N308" i="728"/>
  <c r="M308" i="728"/>
  <c r="O308" i="728" s="1"/>
  <c r="K308" i="728"/>
  <c r="J308" i="728"/>
  <c r="I308" i="728"/>
  <c r="L308" i="728" s="1"/>
  <c r="H308" i="728"/>
  <c r="G308" i="728"/>
  <c r="N307" i="728"/>
  <c r="M307" i="728"/>
  <c r="O307" i="728" s="1"/>
  <c r="K307" i="728"/>
  <c r="J307" i="728"/>
  <c r="I307" i="728"/>
  <c r="L307" i="728" s="1"/>
  <c r="H307" i="728"/>
  <c r="G307" i="728"/>
  <c r="N306" i="728"/>
  <c r="O306" i="728" s="1"/>
  <c r="M306" i="728"/>
  <c r="K306" i="728"/>
  <c r="J306" i="728"/>
  <c r="I306" i="728"/>
  <c r="L306" i="728" s="1"/>
  <c r="H306" i="728"/>
  <c r="G306" i="728"/>
  <c r="N305" i="728"/>
  <c r="M305" i="728"/>
  <c r="K305" i="728"/>
  <c r="J305" i="728"/>
  <c r="I305" i="728"/>
  <c r="L305" i="728" s="1"/>
  <c r="H305" i="728"/>
  <c r="G305" i="728"/>
  <c r="O304" i="728"/>
  <c r="N304" i="728"/>
  <c r="M304" i="728"/>
  <c r="K304" i="728"/>
  <c r="J304" i="728"/>
  <c r="I304" i="728"/>
  <c r="L304" i="728" s="1"/>
  <c r="H304" i="728"/>
  <c r="G304" i="728"/>
  <c r="N303" i="728"/>
  <c r="M303" i="728"/>
  <c r="L303" i="728"/>
  <c r="K303" i="728"/>
  <c r="J303" i="728"/>
  <c r="I303" i="728"/>
  <c r="H303" i="728"/>
  <c r="G303" i="728"/>
  <c r="N302" i="728"/>
  <c r="M302" i="728"/>
  <c r="O302" i="728" s="1"/>
  <c r="K302" i="728"/>
  <c r="J302" i="728"/>
  <c r="I302" i="728"/>
  <c r="H302" i="728"/>
  <c r="G302" i="728"/>
  <c r="N301" i="728"/>
  <c r="M301" i="728"/>
  <c r="K301" i="728"/>
  <c r="J301" i="728"/>
  <c r="I301" i="728"/>
  <c r="L301" i="728" s="1"/>
  <c r="H301" i="728"/>
  <c r="G301" i="728"/>
  <c r="O300" i="728"/>
  <c r="N300" i="728"/>
  <c r="M300" i="728"/>
  <c r="K300" i="728"/>
  <c r="J300" i="728"/>
  <c r="I300" i="728"/>
  <c r="L300" i="728" s="1"/>
  <c r="H300" i="728"/>
  <c r="G300" i="728"/>
  <c r="N299" i="728"/>
  <c r="M299" i="728"/>
  <c r="O299" i="728" s="1"/>
  <c r="L299" i="728"/>
  <c r="K299" i="728"/>
  <c r="J299" i="728"/>
  <c r="I299" i="728"/>
  <c r="H299" i="728"/>
  <c r="G299" i="728"/>
  <c r="N298" i="728"/>
  <c r="M298" i="728"/>
  <c r="K298" i="728"/>
  <c r="J298" i="728"/>
  <c r="I298" i="728"/>
  <c r="L298" i="728" s="1"/>
  <c r="H298" i="728"/>
  <c r="G298" i="728"/>
  <c r="N297" i="728"/>
  <c r="M297" i="728"/>
  <c r="K297" i="728"/>
  <c r="J297" i="728"/>
  <c r="I297" i="728"/>
  <c r="L297" i="728" s="1"/>
  <c r="H297" i="728"/>
  <c r="G297" i="728"/>
  <c r="O296" i="728"/>
  <c r="N296" i="728"/>
  <c r="M296" i="728"/>
  <c r="K296" i="728"/>
  <c r="J296" i="728"/>
  <c r="I296" i="728"/>
  <c r="L296" i="728" s="1"/>
  <c r="H296" i="728"/>
  <c r="G296" i="728"/>
  <c r="N295" i="728"/>
  <c r="M295" i="728"/>
  <c r="L295" i="728"/>
  <c r="K295" i="728"/>
  <c r="J295" i="728"/>
  <c r="I295" i="728"/>
  <c r="H295" i="728"/>
  <c r="G295" i="728"/>
  <c r="N294" i="728"/>
  <c r="M294" i="728"/>
  <c r="O294" i="728" s="1"/>
  <c r="K294" i="728"/>
  <c r="J294" i="728"/>
  <c r="I294" i="728"/>
  <c r="H294" i="728"/>
  <c r="G294" i="728"/>
  <c r="N293" i="728"/>
  <c r="M293" i="728"/>
  <c r="K293" i="728"/>
  <c r="J293" i="728"/>
  <c r="I293" i="728"/>
  <c r="L293" i="728" s="1"/>
  <c r="H293" i="728"/>
  <c r="G293" i="728"/>
  <c r="O292" i="728"/>
  <c r="N292" i="728"/>
  <c r="M292" i="728"/>
  <c r="K292" i="728"/>
  <c r="J292" i="728"/>
  <c r="I292" i="728"/>
  <c r="L292" i="728" s="1"/>
  <c r="H292" i="728"/>
  <c r="G292" i="728"/>
  <c r="N291" i="728"/>
  <c r="M291" i="728"/>
  <c r="O291" i="728" s="1"/>
  <c r="L291" i="728"/>
  <c r="K291" i="728"/>
  <c r="J291" i="728"/>
  <c r="I291" i="728"/>
  <c r="H291" i="728"/>
  <c r="G291" i="728"/>
  <c r="N290" i="728"/>
  <c r="M290" i="728"/>
  <c r="K290" i="728"/>
  <c r="J290" i="728"/>
  <c r="I290" i="728"/>
  <c r="L290" i="728" s="1"/>
  <c r="H290" i="728"/>
  <c r="G290" i="728"/>
  <c r="N289" i="728"/>
  <c r="M289" i="728"/>
  <c r="K289" i="728"/>
  <c r="J289" i="728"/>
  <c r="I289" i="728"/>
  <c r="L289" i="728" s="1"/>
  <c r="H289" i="728"/>
  <c r="G289" i="728"/>
  <c r="O288" i="728"/>
  <c r="N288" i="728"/>
  <c r="M288" i="728"/>
  <c r="K288" i="728"/>
  <c r="J288" i="728"/>
  <c r="I288" i="728"/>
  <c r="L288" i="728" s="1"/>
  <c r="H288" i="728"/>
  <c r="G288" i="728"/>
  <c r="N287" i="728"/>
  <c r="M287" i="728"/>
  <c r="L287" i="728"/>
  <c r="K287" i="728"/>
  <c r="J287" i="728"/>
  <c r="I287" i="728"/>
  <c r="H287" i="728"/>
  <c r="G287" i="728"/>
  <c r="N286" i="728"/>
  <c r="M286" i="728"/>
  <c r="O286" i="728" s="1"/>
  <c r="K286" i="728"/>
  <c r="J286" i="728"/>
  <c r="I286" i="728"/>
  <c r="H286" i="728"/>
  <c r="G286" i="728"/>
  <c r="N285" i="728"/>
  <c r="M285" i="728"/>
  <c r="K285" i="728"/>
  <c r="J285" i="728"/>
  <c r="I285" i="728"/>
  <c r="L285" i="728" s="1"/>
  <c r="H285" i="728"/>
  <c r="G285" i="728"/>
  <c r="O284" i="728"/>
  <c r="N284" i="728"/>
  <c r="M284" i="728"/>
  <c r="K284" i="728"/>
  <c r="J284" i="728"/>
  <c r="I284" i="728"/>
  <c r="L284" i="728" s="1"/>
  <c r="H284" i="728"/>
  <c r="G284" i="728"/>
  <c r="N283" i="728"/>
  <c r="M283" i="728"/>
  <c r="O283" i="728" s="1"/>
  <c r="L283" i="728"/>
  <c r="K283" i="728"/>
  <c r="J283" i="728"/>
  <c r="I283" i="728"/>
  <c r="H283" i="728"/>
  <c r="G283" i="728"/>
  <c r="N282" i="728"/>
  <c r="M282" i="728"/>
  <c r="K282" i="728"/>
  <c r="J282" i="728"/>
  <c r="I282" i="728"/>
  <c r="L282" i="728" s="1"/>
  <c r="H282" i="728"/>
  <c r="G282" i="728"/>
  <c r="N281" i="728"/>
  <c r="M281" i="728"/>
  <c r="K281" i="728"/>
  <c r="J281" i="728"/>
  <c r="I281" i="728"/>
  <c r="L281" i="728" s="1"/>
  <c r="H281" i="728"/>
  <c r="G281" i="728"/>
  <c r="O280" i="728"/>
  <c r="N280" i="728"/>
  <c r="M280" i="728"/>
  <c r="K280" i="728"/>
  <c r="J280" i="728"/>
  <c r="I280" i="728"/>
  <c r="L280" i="728" s="1"/>
  <c r="H280" i="728"/>
  <c r="G280" i="728"/>
  <c r="N279" i="728"/>
  <c r="M279" i="728"/>
  <c r="L279" i="728"/>
  <c r="K279" i="728"/>
  <c r="J279" i="728"/>
  <c r="I279" i="728"/>
  <c r="H279" i="728"/>
  <c r="G279" i="728"/>
  <c r="N278" i="728"/>
  <c r="M278" i="728"/>
  <c r="O278" i="728" s="1"/>
  <c r="K278" i="728"/>
  <c r="J278" i="728"/>
  <c r="I278" i="728"/>
  <c r="H278" i="728"/>
  <c r="G278" i="728"/>
  <c r="N277" i="728"/>
  <c r="M277" i="728"/>
  <c r="K277" i="728"/>
  <c r="J277" i="728"/>
  <c r="I277" i="728"/>
  <c r="L277" i="728" s="1"/>
  <c r="H277" i="728"/>
  <c r="G277" i="728"/>
  <c r="O276" i="728"/>
  <c r="N276" i="728"/>
  <c r="M276" i="728"/>
  <c r="K276" i="728"/>
  <c r="J276" i="728"/>
  <c r="I276" i="728"/>
  <c r="L276" i="728" s="1"/>
  <c r="H276" i="728"/>
  <c r="G276" i="728"/>
  <c r="N275" i="728"/>
  <c r="M275" i="728"/>
  <c r="O275" i="728" s="1"/>
  <c r="L275" i="728"/>
  <c r="K275" i="728"/>
  <c r="J275" i="728"/>
  <c r="I275" i="728"/>
  <c r="H275" i="728"/>
  <c r="G275" i="728"/>
  <c r="N274" i="728"/>
  <c r="M274" i="728"/>
  <c r="K274" i="728"/>
  <c r="J274" i="728"/>
  <c r="I274" i="728"/>
  <c r="L274" i="728" s="1"/>
  <c r="H274" i="728"/>
  <c r="G274" i="728"/>
  <c r="N273" i="728"/>
  <c r="M273" i="728"/>
  <c r="K273" i="728"/>
  <c r="J273" i="728"/>
  <c r="I273" i="728"/>
  <c r="L273" i="728" s="1"/>
  <c r="H273" i="728"/>
  <c r="G273" i="728"/>
  <c r="O272" i="728"/>
  <c r="N272" i="728"/>
  <c r="M272" i="728"/>
  <c r="K272" i="728"/>
  <c r="J272" i="728"/>
  <c r="I272" i="728"/>
  <c r="L272" i="728" s="1"/>
  <c r="H272" i="728"/>
  <c r="G272" i="728"/>
  <c r="N271" i="728"/>
  <c r="M271" i="728"/>
  <c r="L271" i="728"/>
  <c r="K271" i="728"/>
  <c r="J271" i="728"/>
  <c r="I271" i="728"/>
  <c r="H271" i="728"/>
  <c r="G271" i="728"/>
  <c r="N270" i="728"/>
  <c r="M270" i="728"/>
  <c r="O270" i="728" s="1"/>
  <c r="K270" i="728"/>
  <c r="J270" i="728"/>
  <c r="I270" i="728"/>
  <c r="H270" i="728"/>
  <c r="G270" i="728"/>
  <c r="N269" i="728"/>
  <c r="M269" i="728"/>
  <c r="K269" i="728"/>
  <c r="J269" i="728"/>
  <c r="I269" i="728"/>
  <c r="L269" i="728" s="1"/>
  <c r="H269" i="728"/>
  <c r="G269" i="728"/>
  <c r="O268" i="728"/>
  <c r="N268" i="728"/>
  <c r="M268" i="728"/>
  <c r="K268" i="728"/>
  <c r="J268" i="728"/>
  <c r="I268" i="728"/>
  <c r="L268" i="728" s="1"/>
  <c r="H268" i="728"/>
  <c r="G268" i="728"/>
  <c r="N267" i="728"/>
  <c r="M267" i="728"/>
  <c r="O267" i="728" s="1"/>
  <c r="L267" i="728"/>
  <c r="K267" i="728"/>
  <c r="J267" i="728"/>
  <c r="I267" i="728"/>
  <c r="H267" i="728"/>
  <c r="G267" i="728"/>
  <c r="N266" i="728"/>
  <c r="M266" i="728"/>
  <c r="K266" i="728"/>
  <c r="J266" i="728"/>
  <c r="I266" i="728"/>
  <c r="L266" i="728" s="1"/>
  <c r="H266" i="728"/>
  <c r="G266" i="728"/>
  <c r="N265" i="728"/>
  <c r="M265" i="728"/>
  <c r="K265" i="728"/>
  <c r="J265" i="728"/>
  <c r="I265" i="728"/>
  <c r="H265" i="728"/>
  <c r="G265" i="728"/>
  <c r="O264" i="728"/>
  <c r="N264" i="728"/>
  <c r="M264" i="728"/>
  <c r="K264" i="728"/>
  <c r="J264" i="728"/>
  <c r="I264" i="728"/>
  <c r="L264" i="728" s="1"/>
  <c r="H264" i="728"/>
  <c r="G264" i="728"/>
  <c r="N263" i="728"/>
  <c r="M263" i="728"/>
  <c r="L263" i="728"/>
  <c r="K263" i="728"/>
  <c r="J263" i="728"/>
  <c r="I263" i="728"/>
  <c r="H263" i="728"/>
  <c r="G263" i="728"/>
  <c r="N262" i="728"/>
  <c r="M262" i="728"/>
  <c r="O262" i="728" s="1"/>
  <c r="K262" i="728"/>
  <c r="J262" i="728"/>
  <c r="I262" i="728"/>
  <c r="H262" i="728"/>
  <c r="G262" i="728"/>
  <c r="N261" i="728"/>
  <c r="M261" i="728"/>
  <c r="K261" i="728"/>
  <c r="J261" i="728"/>
  <c r="I261" i="728"/>
  <c r="L261" i="728" s="1"/>
  <c r="H261" i="728"/>
  <c r="G261" i="728"/>
  <c r="O260" i="728"/>
  <c r="N260" i="728"/>
  <c r="M260" i="728"/>
  <c r="K260" i="728"/>
  <c r="J260" i="728"/>
  <c r="I260" i="728"/>
  <c r="L260" i="728" s="1"/>
  <c r="H260" i="728"/>
  <c r="G260" i="728"/>
  <c r="N259" i="728"/>
  <c r="M259" i="728"/>
  <c r="O259" i="728" s="1"/>
  <c r="L259" i="728"/>
  <c r="K259" i="728"/>
  <c r="J259" i="728"/>
  <c r="I259" i="728"/>
  <c r="H259" i="728"/>
  <c r="G259" i="728"/>
  <c r="N258" i="728"/>
  <c r="M258" i="728"/>
  <c r="K258" i="728"/>
  <c r="J258" i="728"/>
  <c r="I258" i="728"/>
  <c r="L258" i="728" s="1"/>
  <c r="H258" i="728"/>
  <c r="G258" i="728"/>
  <c r="N257" i="728"/>
  <c r="M257" i="728"/>
  <c r="K257" i="728"/>
  <c r="J257" i="728"/>
  <c r="I257" i="728"/>
  <c r="H257" i="728"/>
  <c r="G257" i="728"/>
  <c r="O256" i="728"/>
  <c r="N256" i="728"/>
  <c r="M256" i="728"/>
  <c r="K256" i="728"/>
  <c r="J256" i="728"/>
  <c r="I256" i="728"/>
  <c r="L256" i="728" s="1"/>
  <c r="H256" i="728"/>
  <c r="G256" i="728"/>
  <c r="N255" i="728"/>
  <c r="M255" i="728"/>
  <c r="L255" i="728"/>
  <c r="K255" i="728"/>
  <c r="J255" i="728"/>
  <c r="I255" i="728"/>
  <c r="H255" i="728"/>
  <c r="G255" i="728"/>
  <c r="N254" i="728"/>
  <c r="M254" i="728"/>
  <c r="O254" i="728" s="1"/>
  <c r="K254" i="728"/>
  <c r="J254" i="728"/>
  <c r="I254" i="728"/>
  <c r="H254" i="728"/>
  <c r="G254" i="728"/>
  <c r="N253" i="728"/>
  <c r="M253" i="728"/>
  <c r="K253" i="728"/>
  <c r="J253" i="728"/>
  <c r="I253" i="728"/>
  <c r="L253" i="728" s="1"/>
  <c r="H253" i="728"/>
  <c r="G253" i="728"/>
  <c r="O252" i="728"/>
  <c r="N252" i="728"/>
  <c r="M252" i="728"/>
  <c r="K252" i="728"/>
  <c r="J252" i="728"/>
  <c r="I252" i="728"/>
  <c r="L252" i="728" s="1"/>
  <c r="H252" i="728"/>
  <c r="G252" i="728"/>
  <c r="N251" i="728"/>
  <c r="M251" i="728"/>
  <c r="O251" i="728" s="1"/>
  <c r="L251" i="728"/>
  <c r="K251" i="728"/>
  <c r="J251" i="728"/>
  <c r="I251" i="728"/>
  <c r="H251" i="728"/>
  <c r="G251" i="728"/>
  <c r="N250" i="728"/>
  <c r="M250" i="728"/>
  <c r="K250" i="728"/>
  <c r="J250" i="728"/>
  <c r="I250" i="728"/>
  <c r="L250" i="728" s="1"/>
  <c r="H250" i="728"/>
  <c r="G250" i="728"/>
  <c r="N249" i="728"/>
  <c r="M249" i="728"/>
  <c r="K249" i="728"/>
  <c r="J249" i="728"/>
  <c r="I249" i="728"/>
  <c r="H249" i="728"/>
  <c r="G249" i="728"/>
  <c r="O248" i="728"/>
  <c r="N248" i="728"/>
  <c r="M248" i="728"/>
  <c r="K248" i="728"/>
  <c r="J248" i="728"/>
  <c r="I248" i="728"/>
  <c r="L248" i="728" s="1"/>
  <c r="H248" i="728"/>
  <c r="G248" i="728"/>
  <c r="N247" i="728"/>
  <c r="M247" i="728"/>
  <c r="L247" i="728"/>
  <c r="K247" i="728"/>
  <c r="J247" i="728"/>
  <c r="I247" i="728"/>
  <c r="H247" i="728"/>
  <c r="G247" i="728"/>
  <c r="N246" i="728"/>
  <c r="M246" i="728"/>
  <c r="O246" i="728" s="1"/>
  <c r="K246" i="728"/>
  <c r="J246" i="728"/>
  <c r="I246" i="728"/>
  <c r="H246" i="728"/>
  <c r="G246" i="728"/>
  <c r="N245" i="728"/>
  <c r="M245" i="728"/>
  <c r="K245" i="728"/>
  <c r="J245" i="728"/>
  <c r="I245" i="728"/>
  <c r="L245" i="728" s="1"/>
  <c r="H245" i="728"/>
  <c r="G245" i="728"/>
  <c r="O244" i="728"/>
  <c r="N244" i="728"/>
  <c r="M244" i="728"/>
  <c r="K244" i="728"/>
  <c r="J244" i="728"/>
  <c r="I244" i="728"/>
  <c r="L244" i="728" s="1"/>
  <c r="H244" i="728"/>
  <c r="G244" i="728"/>
  <c r="N243" i="728"/>
  <c r="M243" i="728"/>
  <c r="O243" i="728" s="1"/>
  <c r="L243" i="728"/>
  <c r="K243" i="728"/>
  <c r="J243" i="728"/>
  <c r="I243" i="728"/>
  <c r="H243" i="728"/>
  <c r="G243" i="728"/>
  <c r="N242" i="728"/>
  <c r="M242" i="728"/>
  <c r="K242" i="728"/>
  <c r="J242" i="728"/>
  <c r="I242" i="728"/>
  <c r="L242" i="728" s="1"/>
  <c r="H242" i="728"/>
  <c r="G242" i="728"/>
  <c r="N241" i="728"/>
  <c r="M241" i="728"/>
  <c r="K241" i="728"/>
  <c r="J241" i="728"/>
  <c r="I241" i="728"/>
  <c r="H241" i="728"/>
  <c r="G241" i="728"/>
  <c r="O240" i="728"/>
  <c r="N240" i="728"/>
  <c r="M240" i="728"/>
  <c r="K240" i="728"/>
  <c r="J240" i="728"/>
  <c r="I240" i="728"/>
  <c r="L240" i="728" s="1"/>
  <c r="H240" i="728"/>
  <c r="G240" i="728"/>
  <c r="N239" i="728"/>
  <c r="M239" i="728"/>
  <c r="L239" i="728"/>
  <c r="K239" i="728"/>
  <c r="J239" i="728"/>
  <c r="I239" i="728"/>
  <c r="H239" i="728"/>
  <c r="G239" i="728"/>
  <c r="N238" i="728"/>
  <c r="M238" i="728"/>
  <c r="O238" i="728" s="1"/>
  <c r="K238" i="728"/>
  <c r="J238" i="728"/>
  <c r="I238" i="728"/>
  <c r="H238" i="728"/>
  <c r="G238" i="728"/>
  <c r="N237" i="728"/>
  <c r="M237" i="728"/>
  <c r="K237" i="728"/>
  <c r="J237" i="728"/>
  <c r="I237" i="728"/>
  <c r="L237" i="728" s="1"/>
  <c r="H237" i="728"/>
  <c r="G237" i="728"/>
  <c r="O236" i="728"/>
  <c r="N236" i="728"/>
  <c r="M236" i="728"/>
  <c r="K236" i="728"/>
  <c r="J236" i="728"/>
  <c r="I236" i="728"/>
  <c r="L236" i="728" s="1"/>
  <c r="H236" i="728"/>
  <c r="G236" i="728"/>
  <c r="N235" i="728"/>
  <c r="M235" i="728"/>
  <c r="O235" i="728" s="1"/>
  <c r="L235" i="728"/>
  <c r="K235" i="728"/>
  <c r="J235" i="728"/>
  <c r="I235" i="728"/>
  <c r="H235" i="728"/>
  <c r="G235" i="728"/>
  <c r="N234" i="728"/>
  <c r="M234" i="728"/>
  <c r="K234" i="728"/>
  <c r="J234" i="728"/>
  <c r="I234" i="728"/>
  <c r="L234" i="728" s="1"/>
  <c r="H234" i="728"/>
  <c r="G234" i="728"/>
  <c r="N233" i="728"/>
  <c r="M233" i="728"/>
  <c r="K233" i="728"/>
  <c r="J233" i="728"/>
  <c r="I233" i="728"/>
  <c r="H233" i="728"/>
  <c r="G233" i="728"/>
  <c r="O232" i="728"/>
  <c r="N232" i="728"/>
  <c r="M232" i="728"/>
  <c r="K232" i="728"/>
  <c r="J232" i="728"/>
  <c r="I232" i="728"/>
  <c r="L232" i="728" s="1"/>
  <c r="H232" i="728"/>
  <c r="G232" i="728"/>
  <c r="N231" i="728"/>
  <c r="M231" i="728"/>
  <c r="L231" i="728"/>
  <c r="K231" i="728"/>
  <c r="J231" i="728"/>
  <c r="I231" i="728"/>
  <c r="H231" i="728"/>
  <c r="G231" i="728"/>
  <c r="N230" i="728"/>
  <c r="M230" i="728"/>
  <c r="O230" i="728" s="1"/>
  <c r="K230" i="728"/>
  <c r="J230" i="728"/>
  <c r="I230" i="728"/>
  <c r="H230" i="728"/>
  <c r="G230" i="728"/>
  <c r="N229" i="728"/>
  <c r="M229" i="728"/>
  <c r="K229" i="728"/>
  <c r="J229" i="728"/>
  <c r="I229" i="728"/>
  <c r="L229" i="728" s="1"/>
  <c r="H229" i="728"/>
  <c r="G229" i="728"/>
  <c r="O228" i="728"/>
  <c r="N228" i="728"/>
  <c r="M228" i="728"/>
  <c r="K228" i="728"/>
  <c r="J228" i="728"/>
  <c r="I228" i="728"/>
  <c r="L228" i="728" s="1"/>
  <c r="H228" i="728"/>
  <c r="G228" i="728"/>
  <c r="N227" i="728"/>
  <c r="M227" i="728"/>
  <c r="O227" i="728" s="1"/>
  <c r="K227" i="728"/>
  <c r="J227" i="728"/>
  <c r="L227" i="728" s="1"/>
  <c r="I227" i="728"/>
  <c r="H227" i="728"/>
  <c r="G227" i="728"/>
  <c r="N226" i="728"/>
  <c r="M226" i="728"/>
  <c r="O226" i="728" s="1"/>
  <c r="K226" i="728"/>
  <c r="J226" i="728"/>
  <c r="I226" i="728"/>
  <c r="L226" i="728" s="1"/>
  <c r="H226" i="728"/>
  <c r="G226" i="728"/>
  <c r="N225" i="728"/>
  <c r="M225" i="728"/>
  <c r="O225" i="728" s="1"/>
  <c r="K225" i="728"/>
  <c r="J225" i="728"/>
  <c r="I225" i="728"/>
  <c r="H225" i="728"/>
  <c r="G225" i="728"/>
  <c r="N224" i="728"/>
  <c r="M224" i="728"/>
  <c r="K224" i="728"/>
  <c r="J224" i="728"/>
  <c r="I224" i="728"/>
  <c r="L224" i="728" s="1"/>
  <c r="H224" i="728"/>
  <c r="G224" i="728"/>
  <c r="N223" i="728"/>
  <c r="M223" i="728"/>
  <c r="K223" i="728"/>
  <c r="J223" i="728"/>
  <c r="L223" i="728" s="1"/>
  <c r="I223" i="728"/>
  <c r="H223" i="728"/>
  <c r="G223" i="728"/>
  <c r="N222" i="728"/>
  <c r="M222" i="728"/>
  <c r="O222" i="728" s="1"/>
  <c r="K222" i="728"/>
  <c r="J222" i="728"/>
  <c r="I222" i="728"/>
  <c r="H222" i="728"/>
  <c r="G222" i="728"/>
  <c r="N221" i="728"/>
  <c r="M221" i="728"/>
  <c r="K221" i="728"/>
  <c r="J221" i="728"/>
  <c r="I221" i="728"/>
  <c r="L221" i="728" s="1"/>
  <c r="H221" i="728"/>
  <c r="G221" i="728"/>
  <c r="O220" i="728"/>
  <c r="N220" i="728"/>
  <c r="M220" i="728"/>
  <c r="K220" i="728"/>
  <c r="J220" i="728"/>
  <c r="I220" i="728"/>
  <c r="L220" i="728" s="1"/>
  <c r="H220" i="728"/>
  <c r="G220" i="728"/>
  <c r="N219" i="728"/>
  <c r="M219" i="728"/>
  <c r="K219" i="728"/>
  <c r="J219" i="728"/>
  <c r="L219" i="728" s="1"/>
  <c r="I219" i="728"/>
  <c r="H219" i="728"/>
  <c r="G219" i="728"/>
  <c r="N218" i="728"/>
  <c r="M218" i="728"/>
  <c r="K218" i="728"/>
  <c r="J218" i="728"/>
  <c r="I218" i="728"/>
  <c r="L218" i="728" s="1"/>
  <c r="H218" i="728"/>
  <c r="G218" i="728"/>
  <c r="N217" i="728"/>
  <c r="M217" i="728"/>
  <c r="O217" i="728" s="1"/>
  <c r="K217" i="728"/>
  <c r="J217" i="728"/>
  <c r="I217" i="728"/>
  <c r="H217" i="728"/>
  <c r="G217" i="728"/>
  <c r="N216" i="728"/>
  <c r="M216" i="728"/>
  <c r="K216" i="728"/>
  <c r="J216" i="728"/>
  <c r="I216" i="728"/>
  <c r="L216" i="728" s="1"/>
  <c r="H216" i="728"/>
  <c r="G216" i="728"/>
  <c r="N215" i="728"/>
  <c r="M215" i="728"/>
  <c r="K215" i="728"/>
  <c r="J215" i="728"/>
  <c r="L215" i="728" s="1"/>
  <c r="I215" i="728"/>
  <c r="H215" i="728"/>
  <c r="G215" i="728"/>
  <c r="N214" i="728"/>
  <c r="M214" i="728"/>
  <c r="K214" i="728"/>
  <c r="J214" i="728"/>
  <c r="I214" i="728"/>
  <c r="H214" i="728"/>
  <c r="G214" i="728"/>
  <c r="N213" i="728"/>
  <c r="M213" i="728"/>
  <c r="K213" i="728"/>
  <c r="J213" i="728"/>
  <c r="I213" i="728"/>
  <c r="L213" i="728" s="1"/>
  <c r="H213" i="728"/>
  <c r="G213" i="728"/>
  <c r="O212" i="728"/>
  <c r="N212" i="728"/>
  <c r="M212" i="728"/>
  <c r="K212" i="728"/>
  <c r="J212" i="728"/>
  <c r="I212" i="728"/>
  <c r="L212" i="728" s="1"/>
  <c r="H212" i="728"/>
  <c r="G212" i="728"/>
  <c r="N211" i="728"/>
  <c r="M211" i="728"/>
  <c r="K211" i="728"/>
  <c r="J211" i="728"/>
  <c r="L211" i="728" s="1"/>
  <c r="I211" i="728"/>
  <c r="H211" i="728"/>
  <c r="G211" i="728"/>
  <c r="N210" i="728"/>
  <c r="M210" i="728"/>
  <c r="K210" i="728"/>
  <c r="J210" i="728"/>
  <c r="I210" i="728"/>
  <c r="L210" i="728" s="1"/>
  <c r="H210" i="728"/>
  <c r="G210" i="728"/>
  <c r="N209" i="728"/>
  <c r="M209" i="728"/>
  <c r="K209" i="728"/>
  <c r="J209" i="728"/>
  <c r="I209" i="728"/>
  <c r="H209" i="728"/>
  <c r="G209" i="728"/>
  <c r="N208" i="728"/>
  <c r="M208" i="728"/>
  <c r="K208" i="728"/>
  <c r="J208" i="728"/>
  <c r="I208" i="728"/>
  <c r="L208" i="728" s="1"/>
  <c r="H208" i="728"/>
  <c r="G208" i="728"/>
  <c r="N207" i="728"/>
  <c r="M207" i="728"/>
  <c r="K207" i="728"/>
  <c r="J207" i="728"/>
  <c r="L207" i="728" s="1"/>
  <c r="I207" i="728"/>
  <c r="H207" i="728"/>
  <c r="G207" i="728"/>
  <c r="N206" i="728"/>
  <c r="M206" i="728"/>
  <c r="O206" i="728" s="1"/>
  <c r="K206" i="728"/>
  <c r="J206" i="728"/>
  <c r="I206" i="728"/>
  <c r="H206" i="728"/>
  <c r="G206" i="728"/>
  <c r="N205" i="728"/>
  <c r="M205" i="728"/>
  <c r="O205" i="728" s="1"/>
  <c r="K205" i="728"/>
  <c r="J205" i="728"/>
  <c r="I205" i="728"/>
  <c r="L205" i="728" s="1"/>
  <c r="H205" i="728"/>
  <c r="G205" i="728"/>
  <c r="N204" i="728"/>
  <c r="O204" i="728" s="1"/>
  <c r="M204" i="728"/>
  <c r="K204" i="728"/>
  <c r="J204" i="728"/>
  <c r="I204" i="728"/>
  <c r="L204" i="728" s="1"/>
  <c r="H204" i="728"/>
  <c r="G204" i="728"/>
  <c r="N203" i="728"/>
  <c r="M203" i="728"/>
  <c r="K203" i="728"/>
  <c r="J203" i="728"/>
  <c r="L203" i="728" s="1"/>
  <c r="I203" i="728"/>
  <c r="H203" i="728"/>
  <c r="G203" i="728"/>
  <c r="N202" i="728"/>
  <c r="M202" i="728"/>
  <c r="K202" i="728"/>
  <c r="J202" i="728"/>
  <c r="I202" i="728"/>
  <c r="L202" i="728" s="1"/>
  <c r="H202" i="728"/>
  <c r="G202" i="728"/>
  <c r="N201" i="728"/>
  <c r="M201" i="728"/>
  <c r="O201" i="728" s="1"/>
  <c r="K201" i="728"/>
  <c r="J201" i="728"/>
  <c r="I201" i="728"/>
  <c r="H201" i="728"/>
  <c r="G201" i="728"/>
  <c r="N200" i="728"/>
  <c r="M200" i="728"/>
  <c r="O200" i="728" s="1"/>
  <c r="K200" i="728"/>
  <c r="J200" i="728"/>
  <c r="I200" i="728"/>
  <c r="L200" i="728" s="1"/>
  <c r="H200" i="728"/>
  <c r="G200" i="728"/>
  <c r="N199" i="728"/>
  <c r="M199" i="728"/>
  <c r="O199" i="728" s="1"/>
  <c r="K199" i="728"/>
  <c r="J199" i="728"/>
  <c r="L199" i="728" s="1"/>
  <c r="I199" i="728"/>
  <c r="H199" i="728"/>
  <c r="G199" i="728"/>
  <c r="N198" i="728"/>
  <c r="M198" i="728"/>
  <c r="O198" i="728" s="1"/>
  <c r="K198" i="728"/>
  <c r="J198" i="728"/>
  <c r="I198" i="728"/>
  <c r="H198" i="728"/>
  <c r="G198" i="728"/>
  <c r="N197" i="728"/>
  <c r="M197" i="728"/>
  <c r="K197" i="728"/>
  <c r="J197" i="728"/>
  <c r="I197" i="728"/>
  <c r="L197" i="728" s="1"/>
  <c r="H197" i="728"/>
  <c r="G197" i="728"/>
  <c r="O196" i="728"/>
  <c r="N196" i="728"/>
  <c r="M196" i="728"/>
  <c r="K196" i="728"/>
  <c r="J196" i="728"/>
  <c r="I196" i="728"/>
  <c r="L196" i="728" s="1"/>
  <c r="H196" i="728"/>
  <c r="G196" i="728"/>
  <c r="N195" i="728"/>
  <c r="M195" i="728"/>
  <c r="O195" i="728" s="1"/>
  <c r="K195" i="728"/>
  <c r="J195" i="728"/>
  <c r="L195" i="728" s="1"/>
  <c r="I195" i="728"/>
  <c r="H195" i="728"/>
  <c r="G195" i="728"/>
  <c r="N194" i="728"/>
  <c r="M194" i="728"/>
  <c r="O194" i="728" s="1"/>
  <c r="K194" i="728"/>
  <c r="J194" i="728"/>
  <c r="I194" i="728"/>
  <c r="L194" i="728" s="1"/>
  <c r="H194" i="728"/>
  <c r="G194" i="728"/>
  <c r="N193" i="728"/>
  <c r="M193" i="728"/>
  <c r="O193" i="728" s="1"/>
  <c r="K193" i="728"/>
  <c r="J193" i="728"/>
  <c r="I193" i="728"/>
  <c r="H193" i="728"/>
  <c r="G193" i="728"/>
  <c r="N192" i="728"/>
  <c r="M192" i="728"/>
  <c r="K192" i="728"/>
  <c r="J192" i="728"/>
  <c r="I192" i="728"/>
  <c r="L192" i="728" s="1"/>
  <c r="H192" i="728"/>
  <c r="G192" i="728"/>
  <c r="N191" i="728"/>
  <c r="M191" i="728"/>
  <c r="K191" i="728"/>
  <c r="J191" i="728"/>
  <c r="L191" i="728" s="1"/>
  <c r="I191" i="728"/>
  <c r="H191" i="728"/>
  <c r="G191" i="728"/>
  <c r="N190" i="728"/>
  <c r="M190" i="728"/>
  <c r="O190" i="728" s="1"/>
  <c r="K190" i="728"/>
  <c r="J190" i="728"/>
  <c r="I190" i="728"/>
  <c r="H190" i="728"/>
  <c r="G190" i="728"/>
  <c r="N189" i="728"/>
  <c r="M189" i="728"/>
  <c r="K189" i="728"/>
  <c r="J189" i="728"/>
  <c r="I189" i="728"/>
  <c r="L189" i="728" s="1"/>
  <c r="H189" i="728"/>
  <c r="G189" i="728"/>
  <c r="O188" i="728"/>
  <c r="N188" i="728"/>
  <c r="M188" i="728"/>
  <c r="K188" i="728"/>
  <c r="J188" i="728"/>
  <c r="I188" i="728"/>
  <c r="L188" i="728" s="1"/>
  <c r="H188" i="728"/>
  <c r="G188" i="728"/>
  <c r="N187" i="728"/>
  <c r="M187" i="728"/>
  <c r="K187" i="728"/>
  <c r="J187" i="728"/>
  <c r="L187" i="728" s="1"/>
  <c r="I187" i="728"/>
  <c r="H187" i="728"/>
  <c r="G187" i="728"/>
  <c r="N186" i="728"/>
  <c r="M186" i="728"/>
  <c r="K186" i="728"/>
  <c r="J186" i="728"/>
  <c r="I186" i="728"/>
  <c r="L186" i="728" s="1"/>
  <c r="H186" i="728"/>
  <c r="G186" i="728"/>
  <c r="N185" i="728"/>
  <c r="M185" i="728"/>
  <c r="O185" i="728" s="1"/>
  <c r="K185" i="728"/>
  <c r="J185" i="728"/>
  <c r="I185" i="728"/>
  <c r="H185" i="728"/>
  <c r="G185" i="728"/>
  <c r="N184" i="728"/>
  <c r="M184" i="728"/>
  <c r="K184" i="728"/>
  <c r="J184" i="728"/>
  <c r="I184" i="728"/>
  <c r="L184" i="728" s="1"/>
  <c r="H184" i="728"/>
  <c r="G184" i="728"/>
  <c r="N183" i="728"/>
  <c r="M183" i="728"/>
  <c r="K183" i="728"/>
  <c r="J183" i="728"/>
  <c r="L183" i="728" s="1"/>
  <c r="I183" i="728"/>
  <c r="H183" i="728"/>
  <c r="G183" i="728"/>
  <c r="N182" i="728"/>
  <c r="M182" i="728"/>
  <c r="K182" i="728"/>
  <c r="J182" i="728"/>
  <c r="I182" i="728"/>
  <c r="H182" i="728"/>
  <c r="G182" i="728"/>
  <c r="N181" i="728"/>
  <c r="M181" i="728"/>
  <c r="K181" i="728"/>
  <c r="J181" i="728"/>
  <c r="I181" i="728"/>
  <c r="L181" i="728" s="1"/>
  <c r="H181" i="728"/>
  <c r="G181" i="728"/>
  <c r="O180" i="728"/>
  <c r="N180" i="728"/>
  <c r="M180" i="728"/>
  <c r="K180" i="728"/>
  <c r="J180" i="728"/>
  <c r="I180" i="728"/>
  <c r="H180" i="728"/>
  <c r="G180" i="728"/>
  <c r="N179" i="728"/>
  <c r="M179" i="728"/>
  <c r="K179" i="728"/>
  <c r="J179" i="728"/>
  <c r="L179" i="728" s="1"/>
  <c r="I179" i="728"/>
  <c r="H179" i="728"/>
  <c r="G179" i="728"/>
  <c r="N178" i="728"/>
  <c r="M178" i="728"/>
  <c r="K178" i="728"/>
  <c r="J178" i="728"/>
  <c r="I178" i="728"/>
  <c r="L178" i="728" s="1"/>
  <c r="H178" i="728"/>
  <c r="G178" i="728"/>
  <c r="N177" i="728"/>
  <c r="M177" i="728"/>
  <c r="K177" i="728"/>
  <c r="J177" i="728"/>
  <c r="I177" i="728"/>
  <c r="H177" i="728"/>
  <c r="G177" i="728"/>
  <c r="N176" i="728"/>
  <c r="M176" i="728"/>
  <c r="K176" i="728"/>
  <c r="J176" i="728"/>
  <c r="I176" i="728"/>
  <c r="H176" i="728"/>
  <c r="G176" i="728"/>
  <c r="N175" i="728"/>
  <c r="M175" i="728"/>
  <c r="K175" i="728"/>
  <c r="J175" i="728"/>
  <c r="L175" i="728" s="1"/>
  <c r="I175" i="728"/>
  <c r="H175" i="728"/>
  <c r="G175" i="728"/>
  <c r="N174" i="728"/>
  <c r="M174" i="728"/>
  <c r="O174" i="728" s="1"/>
  <c r="K174" i="728"/>
  <c r="J174" i="728"/>
  <c r="I174" i="728"/>
  <c r="H174" i="728"/>
  <c r="G174" i="728"/>
  <c r="N173" i="728"/>
  <c r="M173" i="728"/>
  <c r="O173" i="728" s="1"/>
  <c r="K173" i="728"/>
  <c r="J173" i="728"/>
  <c r="I173" i="728"/>
  <c r="L173" i="728" s="1"/>
  <c r="H173" i="728"/>
  <c r="G173" i="728"/>
  <c r="N172" i="728"/>
  <c r="O172" i="728" s="1"/>
  <c r="M172" i="728"/>
  <c r="K172" i="728"/>
  <c r="J172" i="728"/>
  <c r="I172" i="728"/>
  <c r="H172" i="728"/>
  <c r="G172" i="728"/>
  <c r="N171" i="728"/>
  <c r="M171" i="728"/>
  <c r="O171" i="728" s="1"/>
  <c r="K171" i="728"/>
  <c r="J171" i="728"/>
  <c r="L171" i="728" s="1"/>
  <c r="I171" i="728"/>
  <c r="H171" i="728"/>
  <c r="G171" i="728"/>
  <c r="N170" i="728"/>
  <c r="M170" i="728"/>
  <c r="K170" i="728"/>
  <c r="J170" i="728"/>
  <c r="I170" i="728"/>
  <c r="L170" i="728" s="1"/>
  <c r="H170" i="728"/>
  <c r="G170" i="728"/>
  <c r="N169" i="728"/>
  <c r="M169" i="728"/>
  <c r="K169" i="728"/>
  <c r="J169" i="728"/>
  <c r="I169" i="728"/>
  <c r="H169" i="728"/>
  <c r="G169" i="728"/>
  <c r="N168" i="728"/>
  <c r="O168" i="728" s="1"/>
  <c r="M168" i="728"/>
  <c r="K168" i="728"/>
  <c r="J168" i="728"/>
  <c r="I168" i="728"/>
  <c r="L168" i="728" s="1"/>
  <c r="H168" i="728"/>
  <c r="G168" i="728"/>
  <c r="N167" i="728"/>
  <c r="M167" i="728"/>
  <c r="K167" i="728"/>
  <c r="J167" i="728"/>
  <c r="L167" i="728" s="1"/>
  <c r="I167" i="728"/>
  <c r="H167" i="728"/>
  <c r="G167" i="728"/>
  <c r="N166" i="728"/>
  <c r="M166" i="728"/>
  <c r="L166" i="728"/>
  <c r="K166" i="728"/>
  <c r="J166" i="728"/>
  <c r="I166" i="728"/>
  <c r="H166" i="728"/>
  <c r="G166" i="728"/>
  <c r="N165" i="728"/>
  <c r="M165" i="728"/>
  <c r="K165" i="728"/>
  <c r="J165" i="728"/>
  <c r="I165" i="728"/>
  <c r="L165" i="728" s="1"/>
  <c r="H165" i="728"/>
  <c r="G165" i="728"/>
  <c r="N164" i="728"/>
  <c r="M164" i="728"/>
  <c r="K164" i="728"/>
  <c r="J164" i="728"/>
  <c r="I164" i="728"/>
  <c r="L164" i="728" s="1"/>
  <c r="H164" i="728"/>
  <c r="G164" i="728"/>
  <c r="N163" i="728"/>
  <c r="O163" i="728" s="1"/>
  <c r="M163" i="728"/>
  <c r="L163" i="728"/>
  <c r="K163" i="728"/>
  <c r="J163" i="728"/>
  <c r="I163" i="728"/>
  <c r="H163" i="728"/>
  <c r="G163" i="728"/>
  <c r="N162" i="728"/>
  <c r="M162" i="728"/>
  <c r="K162" i="728"/>
  <c r="J162" i="728"/>
  <c r="L162" i="728" s="1"/>
  <c r="I162" i="728"/>
  <c r="H162" i="728"/>
  <c r="G162" i="728"/>
  <c r="N161" i="728"/>
  <c r="M161" i="728"/>
  <c r="O161" i="728" s="1"/>
  <c r="K161" i="728"/>
  <c r="J161" i="728"/>
  <c r="I161" i="728"/>
  <c r="L161" i="728" s="1"/>
  <c r="H161" i="728"/>
  <c r="G161" i="728"/>
  <c r="N160" i="728"/>
  <c r="O160" i="728" s="1"/>
  <c r="M160" i="728"/>
  <c r="K160" i="728"/>
  <c r="J160" i="728"/>
  <c r="I160" i="728"/>
  <c r="H160" i="728"/>
  <c r="G160" i="728"/>
  <c r="N159" i="728"/>
  <c r="O159" i="728" s="1"/>
  <c r="M159" i="728"/>
  <c r="K159" i="728"/>
  <c r="J159" i="728"/>
  <c r="L159" i="728" s="1"/>
  <c r="I159" i="728"/>
  <c r="H159" i="728"/>
  <c r="G159" i="728"/>
  <c r="N158" i="728"/>
  <c r="M158" i="728"/>
  <c r="O158" i="728" s="1"/>
  <c r="K158" i="728"/>
  <c r="J158" i="728"/>
  <c r="I158" i="728"/>
  <c r="L158" i="728" s="1"/>
  <c r="H158" i="728"/>
  <c r="G158" i="728"/>
  <c r="N157" i="728"/>
  <c r="M157" i="728"/>
  <c r="K157" i="728"/>
  <c r="J157" i="728"/>
  <c r="I157" i="728"/>
  <c r="H157" i="728"/>
  <c r="G157" i="728"/>
  <c r="O156" i="728"/>
  <c r="N156" i="728"/>
  <c r="M156" i="728"/>
  <c r="K156" i="728"/>
  <c r="J156" i="728"/>
  <c r="I156" i="728"/>
  <c r="L156" i="728" s="1"/>
  <c r="H156" i="728"/>
  <c r="G156" i="728"/>
  <c r="N155" i="728"/>
  <c r="M155" i="728"/>
  <c r="K155" i="728"/>
  <c r="J155" i="728"/>
  <c r="L155" i="728" s="1"/>
  <c r="I155" i="728"/>
  <c r="H155" i="728"/>
  <c r="G155" i="728"/>
  <c r="N154" i="728"/>
  <c r="M154" i="728"/>
  <c r="L154" i="728"/>
  <c r="K154" i="728"/>
  <c r="J154" i="728"/>
  <c r="I154" i="728"/>
  <c r="H154" i="728"/>
  <c r="G154" i="728"/>
  <c r="N153" i="728"/>
  <c r="M153" i="728"/>
  <c r="K153" i="728"/>
  <c r="J153" i="728"/>
  <c r="I153" i="728"/>
  <c r="L153" i="728" s="1"/>
  <c r="H153" i="728"/>
  <c r="G153" i="728"/>
  <c r="N152" i="728"/>
  <c r="M152" i="728"/>
  <c r="O152" i="728" s="1"/>
  <c r="K152" i="728"/>
  <c r="J152" i="728"/>
  <c r="I152" i="728"/>
  <c r="H152" i="728"/>
  <c r="G152" i="728"/>
  <c r="N151" i="728"/>
  <c r="O151" i="728" s="1"/>
  <c r="M151" i="728"/>
  <c r="L151" i="728"/>
  <c r="K151" i="728"/>
  <c r="J151" i="728"/>
  <c r="I151" i="728"/>
  <c r="H151" i="728"/>
  <c r="G151" i="728"/>
  <c r="N150" i="728"/>
  <c r="M150" i="728"/>
  <c r="K150" i="728"/>
  <c r="J150" i="728"/>
  <c r="L150" i="728" s="1"/>
  <c r="I150" i="728"/>
  <c r="H150" i="728"/>
  <c r="G150" i="728"/>
  <c r="N149" i="728"/>
  <c r="M149" i="728"/>
  <c r="O149" i="728" s="1"/>
  <c r="K149" i="728"/>
  <c r="J149" i="728"/>
  <c r="I149" i="728"/>
  <c r="L149" i="728" s="1"/>
  <c r="H149" i="728"/>
  <c r="G149" i="728"/>
  <c r="N148" i="728"/>
  <c r="O148" i="728" s="1"/>
  <c r="M148" i="728"/>
  <c r="K148" i="728"/>
  <c r="J148" i="728"/>
  <c r="I148" i="728"/>
  <c r="L148" i="728" s="1"/>
  <c r="H148" i="728"/>
  <c r="G148" i="728"/>
  <c r="N147" i="728"/>
  <c r="M147" i="728"/>
  <c r="K147" i="728"/>
  <c r="L147" i="728" s="1"/>
  <c r="J147" i="728"/>
  <c r="I147" i="728"/>
  <c r="H147" i="728"/>
  <c r="G147" i="728"/>
  <c r="N146" i="728"/>
  <c r="M146" i="728"/>
  <c r="K146" i="728"/>
  <c r="J146" i="728"/>
  <c r="I146" i="728"/>
  <c r="L146" i="728" s="1"/>
  <c r="H146" i="728"/>
  <c r="G146" i="728"/>
  <c r="N145" i="728"/>
  <c r="M145" i="728"/>
  <c r="K145" i="728"/>
  <c r="J145" i="728"/>
  <c r="I145" i="728"/>
  <c r="L145" i="728" s="1"/>
  <c r="H145" i="728"/>
  <c r="G145" i="728"/>
  <c r="N144" i="728"/>
  <c r="M144" i="728"/>
  <c r="O144" i="728" s="1"/>
  <c r="K144" i="728"/>
  <c r="J144" i="728"/>
  <c r="I144" i="728"/>
  <c r="H144" i="728"/>
  <c r="G144" i="728"/>
  <c r="N143" i="728"/>
  <c r="M143" i="728"/>
  <c r="O143" i="728" s="1"/>
  <c r="K143" i="728"/>
  <c r="J143" i="728"/>
  <c r="L143" i="728" s="1"/>
  <c r="I143" i="728"/>
  <c r="H143" i="728"/>
  <c r="G143" i="728"/>
  <c r="N142" i="728"/>
  <c r="M142" i="728"/>
  <c r="O142" i="728" s="1"/>
  <c r="K142" i="728"/>
  <c r="J142" i="728"/>
  <c r="I142" i="728"/>
  <c r="L142" i="728" s="1"/>
  <c r="H142" i="728"/>
  <c r="G142" i="728"/>
  <c r="N141" i="728"/>
  <c r="M141" i="728"/>
  <c r="K141" i="728"/>
  <c r="J141" i="728"/>
  <c r="I141" i="728"/>
  <c r="L141" i="728" s="1"/>
  <c r="H141" i="728"/>
  <c r="G141" i="728"/>
  <c r="N140" i="728"/>
  <c r="M140" i="728"/>
  <c r="K140" i="728"/>
  <c r="J140" i="728"/>
  <c r="I140" i="728"/>
  <c r="H140" i="728"/>
  <c r="G140" i="728"/>
  <c r="N139" i="728"/>
  <c r="M139" i="728"/>
  <c r="L139" i="728"/>
  <c r="K139" i="728"/>
  <c r="J139" i="728"/>
  <c r="I139" i="728"/>
  <c r="H139" i="728"/>
  <c r="G139" i="728"/>
  <c r="N138" i="728"/>
  <c r="O138" i="728" s="1"/>
  <c r="M138" i="728"/>
  <c r="K138" i="728"/>
  <c r="J138" i="728"/>
  <c r="I138" i="728"/>
  <c r="L138" i="728" s="1"/>
  <c r="H138" i="728"/>
  <c r="G138" i="728"/>
  <c r="N137" i="728"/>
  <c r="M137" i="728"/>
  <c r="O137" i="728" s="1"/>
  <c r="L137" i="728"/>
  <c r="K137" i="728"/>
  <c r="J137" i="728"/>
  <c r="I137" i="728"/>
  <c r="H137" i="728"/>
  <c r="G137" i="728"/>
  <c r="N136" i="728"/>
  <c r="M136" i="728"/>
  <c r="K136" i="728"/>
  <c r="J136" i="728"/>
  <c r="I136" i="728"/>
  <c r="L136" i="728" s="1"/>
  <c r="H136" i="728"/>
  <c r="G136" i="728"/>
  <c r="O135" i="728"/>
  <c r="N135" i="728"/>
  <c r="M135" i="728"/>
  <c r="K135" i="728"/>
  <c r="J135" i="728"/>
  <c r="L135" i="728" s="1"/>
  <c r="I135" i="728"/>
  <c r="H135" i="728"/>
  <c r="G135" i="728"/>
  <c r="N134" i="728"/>
  <c r="O134" i="728" s="1"/>
  <c r="M134" i="728"/>
  <c r="K134" i="728"/>
  <c r="J134" i="728"/>
  <c r="I134" i="728"/>
  <c r="L134" i="728" s="1"/>
  <c r="H134" i="728"/>
  <c r="G134" i="728"/>
  <c r="N133" i="728"/>
  <c r="M133" i="728"/>
  <c r="K133" i="728"/>
  <c r="J133" i="728"/>
  <c r="L133" i="728" s="1"/>
  <c r="I133" i="728"/>
  <c r="H133" i="728"/>
  <c r="G133" i="728"/>
  <c r="N132" i="728"/>
  <c r="M132" i="728"/>
  <c r="K132" i="728"/>
  <c r="J132" i="728"/>
  <c r="I132" i="728"/>
  <c r="H132" i="728"/>
  <c r="G132" i="728"/>
  <c r="O131" i="728"/>
  <c r="N131" i="728"/>
  <c r="M131" i="728"/>
  <c r="K131" i="728"/>
  <c r="J131" i="728"/>
  <c r="L131" i="728" s="1"/>
  <c r="I131" i="728"/>
  <c r="H131" i="728"/>
  <c r="G131" i="728"/>
  <c r="N130" i="728"/>
  <c r="M130" i="728"/>
  <c r="O130" i="728" s="1"/>
  <c r="L130" i="728"/>
  <c r="K130" i="728"/>
  <c r="J130" i="728"/>
  <c r="I130" i="728"/>
  <c r="H130" i="728"/>
  <c r="G130" i="728"/>
  <c r="N129" i="728"/>
  <c r="M129" i="728"/>
  <c r="O129" i="728" s="1"/>
  <c r="K129" i="728"/>
  <c r="J129" i="728"/>
  <c r="I129" i="728"/>
  <c r="L129" i="728" s="1"/>
  <c r="H129" i="728"/>
  <c r="G129" i="728"/>
  <c r="N128" i="728"/>
  <c r="O128" i="728" s="1"/>
  <c r="M128" i="728"/>
  <c r="K128" i="728"/>
  <c r="J128" i="728"/>
  <c r="I128" i="728"/>
  <c r="L128" i="728" s="1"/>
  <c r="H128" i="728"/>
  <c r="G128" i="728"/>
  <c r="N127" i="728"/>
  <c r="M127" i="728"/>
  <c r="K127" i="728"/>
  <c r="L127" i="728" s="1"/>
  <c r="J127" i="728"/>
  <c r="I127" i="728"/>
  <c r="H127" i="728"/>
  <c r="G127" i="728"/>
  <c r="N126" i="728"/>
  <c r="O126" i="728" s="1"/>
  <c r="M126" i="728"/>
  <c r="K126" i="728"/>
  <c r="J126" i="728"/>
  <c r="L126" i="728" s="1"/>
  <c r="I126" i="728"/>
  <c r="H126" i="728"/>
  <c r="G126" i="728"/>
  <c r="N125" i="728"/>
  <c r="M125" i="728"/>
  <c r="K125" i="728"/>
  <c r="J125" i="728"/>
  <c r="I125" i="728"/>
  <c r="L125" i="728" s="1"/>
  <c r="H125" i="728"/>
  <c r="G125" i="728"/>
  <c r="O124" i="728"/>
  <c r="N124" i="728"/>
  <c r="M124" i="728"/>
  <c r="K124" i="728"/>
  <c r="J124" i="728"/>
  <c r="I124" i="728"/>
  <c r="L124" i="728" s="1"/>
  <c r="H124" i="728"/>
  <c r="G124" i="728"/>
  <c r="N123" i="728"/>
  <c r="M123" i="728"/>
  <c r="K123" i="728"/>
  <c r="L123" i="728" s="1"/>
  <c r="J123" i="728"/>
  <c r="I123" i="728"/>
  <c r="H123" i="728"/>
  <c r="G123" i="728"/>
  <c r="N122" i="728"/>
  <c r="M122" i="728"/>
  <c r="O122" i="728" s="1"/>
  <c r="K122" i="728"/>
  <c r="J122" i="728"/>
  <c r="I122" i="728"/>
  <c r="L122" i="728" s="1"/>
  <c r="H122" i="728"/>
  <c r="G122" i="728"/>
  <c r="N121" i="728"/>
  <c r="M121" i="728"/>
  <c r="K121" i="728"/>
  <c r="J121" i="728"/>
  <c r="I121" i="728"/>
  <c r="L121" i="728" s="1"/>
  <c r="H121" i="728"/>
  <c r="G121" i="728"/>
  <c r="N120" i="728"/>
  <c r="M120" i="728"/>
  <c r="K120" i="728"/>
  <c r="J120" i="728"/>
  <c r="I120" i="728"/>
  <c r="H120" i="728"/>
  <c r="G120" i="728"/>
  <c r="N119" i="728"/>
  <c r="M119" i="728"/>
  <c r="K119" i="728"/>
  <c r="J119" i="728"/>
  <c r="L119" i="728" s="1"/>
  <c r="I119" i="728"/>
  <c r="H119" i="728"/>
  <c r="G119" i="728"/>
  <c r="N118" i="728"/>
  <c r="M118" i="728"/>
  <c r="K118" i="728"/>
  <c r="J118" i="728"/>
  <c r="I118" i="728"/>
  <c r="L118" i="728" s="1"/>
  <c r="H118" i="728"/>
  <c r="G118" i="728"/>
  <c r="O117" i="728"/>
  <c r="N117" i="728"/>
  <c r="M117" i="728"/>
  <c r="K117" i="728"/>
  <c r="J117" i="728"/>
  <c r="I117" i="728"/>
  <c r="L117" i="728" s="1"/>
  <c r="H117" i="728"/>
  <c r="G117" i="728"/>
  <c r="N116" i="728"/>
  <c r="M116" i="728"/>
  <c r="O116" i="728" s="1"/>
  <c r="L116" i="728"/>
  <c r="K116" i="728"/>
  <c r="J116" i="728"/>
  <c r="I116" i="728"/>
  <c r="H116" i="728"/>
  <c r="G116" i="728"/>
  <c r="N115" i="728"/>
  <c r="M115" i="728"/>
  <c r="O115" i="728" s="1"/>
  <c r="K115" i="728"/>
  <c r="J115" i="728"/>
  <c r="I115" i="728"/>
  <c r="L115" i="728" s="1"/>
  <c r="H115" i="728"/>
  <c r="G115" i="728"/>
  <c r="N114" i="728"/>
  <c r="M114" i="728"/>
  <c r="K114" i="728"/>
  <c r="J114" i="728"/>
  <c r="I114" i="728"/>
  <c r="L114" i="728" s="1"/>
  <c r="H114" i="728"/>
  <c r="G114" i="728"/>
  <c r="O113" i="728"/>
  <c r="N113" i="728"/>
  <c r="M113" i="728"/>
  <c r="K113" i="728"/>
  <c r="J113" i="728"/>
  <c r="I113" i="728"/>
  <c r="L113" i="728" s="1"/>
  <c r="H113" i="728"/>
  <c r="G113" i="728"/>
  <c r="N112" i="728"/>
  <c r="M112" i="728"/>
  <c r="O112" i="728" s="1"/>
  <c r="L112" i="728"/>
  <c r="K112" i="728"/>
  <c r="J112" i="728"/>
  <c r="I112" i="728"/>
  <c r="H112" i="728"/>
  <c r="G112" i="728"/>
  <c r="N111" i="728"/>
  <c r="M111" i="728"/>
  <c r="K111" i="728"/>
  <c r="J111" i="728"/>
  <c r="I111" i="728"/>
  <c r="L111" i="728" s="1"/>
  <c r="H111" i="728"/>
  <c r="G111" i="728"/>
  <c r="N110" i="728"/>
  <c r="M110" i="728"/>
  <c r="K110" i="728"/>
  <c r="J110" i="728"/>
  <c r="I110" i="728"/>
  <c r="L110" i="728" s="1"/>
  <c r="H110" i="728"/>
  <c r="G110" i="728"/>
  <c r="O109" i="728"/>
  <c r="N109" i="728"/>
  <c r="M109" i="728"/>
  <c r="K109" i="728"/>
  <c r="J109" i="728"/>
  <c r="I109" i="728"/>
  <c r="L109" i="728" s="1"/>
  <c r="H109" i="728"/>
  <c r="G109" i="728"/>
  <c r="N108" i="728"/>
  <c r="M108" i="728"/>
  <c r="O108" i="728" s="1"/>
  <c r="L108" i="728"/>
  <c r="K108" i="728"/>
  <c r="J108" i="728"/>
  <c r="I108" i="728"/>
  <c r="H108" i="728"/>
  <c r="G108" i="728"/>
  <c r="N107" i="728"/>
  <c r="M107" i="728"/>
  <c r="O107" i="728" s="1"/>
  <c r="K107" i="728"/>
  <c r="J107" i="728"/>
  <c r="I107" i="728"/>
  <c r="L107" i="728" s="1"/>
  <c r="H107" i="728"/>
  <c r="G107" i="728"/>
  <c r="N106" i="728"/>
  <c r="M106" i="728"/>
  <c r="K106" i="728"/>
  <c r="J106" i="728"/>
  <c r="I106" i="728"/>
  <c r="L106" i="728" s="1"/>
  <c r="H106" i="728"/>
  <c r="G106" i="728"/>
  <c r="O105" i="728"/>
  <c r="N105" i="728"/>
  <c r="M105" i="728"/>
  <c r="K105" i="728"/>
  <c r="J105" i="728"/>
  <c r="I105" i="728"/>
  <c r="L105" i="728" s="1"/>
  <c r="H105" i="728"/>
  <c r="G105" i="728"/>
  <c r="N104" i="728"/>
  <c r="M104" i="728"/>
  <c r="O104" i="728" s="1"/>
  <c r="L104" i="728"/>
  <c r="K104" i="728"/>
  <c r="J104" i="728"/>
  <c r="I104" i="728"/>
  <c r="H104" i="728"/>
  <c r="G104" i="728"/>
  <c r="N103" i="728"/>
  <c r="M103" i="728"/>
  <c r="K103" i="728"/>
  <c r="J103" i="728"/>
  <c r="I103" i="728"/>
  <c r="L103" i="728" s="1"/>
  <c r="H103" i="728"/>
  <c r="G103" i="728"/>
  <c r="N102" i="728"/>
  <c r="M102" i="728"/>
  <c r="K102" i="728"/>
  <c r="J102" i="728"/>
  <c r="I102" i="728"/>
  <c r="L102" i="728" s="1"/>
  <c r="H102" i="728"/>
  <c r="G102" i="728"/>
  <c r="O101" i="728"/>
  <c r="N101" i="728"/>
  <c r="M101" i="728"/>
  <c r="K101" i="728"/>
  <c r="J101" i="728"/>
  <c r="I101" i="728"/>
  <c r="L101" i="728" s="1"/>
  <c r="H101" i="728"/>
  <c r="G101" i="728"/>
  <c r="N100" i="728"/>
  <c r="M100" i="728"/>
  <c r="O100" i="728" s="1"/>
  <c r="L100" i="728"/>
  <c r="K100" i="728"/>
  <c r="J100" i="728"/>
  <c r="I100" i="728"/>
  <c r="H100" i="728"/>
  <c r="G100" i="728"/>
  <c r="N99" i="728"/>
  <c r="M99" i="728"/>
  <c r="O99" i="728" s="1"/>
  <c r="K99" i="728"/>
  <c r="J99" i="728"/>
  <c r="I99" i="728"/>
  <c r="L99" i="728" s="1"/>
  <c r="H99" i="728"/>
  <c r="G99" i="728"/>
  <c r="N98" i="728"/>
  <c r="M98" i="728"/>
  <c r="K98" i="728"/>
  <c r="J98" i="728"/>
  <c r="I98" i="728"/>
  <c r="L98" i="728" s="1"/>
  <c r="H98" i="728"/>
  <c r="G98" i="728"/>
  <c r="O97" i="728"/>
  <c r="N97" i="728"/>
  <c r="M97" i="728"/>
  <c r="K97" i="728"/>
  <c r="J97" i="728"/>
  <c r="I97" i="728"/>
  <c r="L97" i="728" s="1"/>
  <c r="H97" i="728"/>
  <c r="G97" i="728"/>
  <c r="N96" i="728"/>
  <c r="M96" i="728"/>
  <c r="O96" i="728" s="1"/>
  <c r="L96" i="728"/>
  <c r="K96" i="728"/>
  <c r="J96" i="728"/>
  <c r="I96" i="728"/>
  <c r="H96" i="728"/>
  <c r="G96" i="728"/>
  <c r="N95" i="728"/>
  <c r="M95" i="728"/>
  <c r="K95" i="728"/>
  <c r="J95" i="728"/>
  <c r="I95" i="728"/>
  <c r="L95" i="728" s="1"/>
  <c r="H95" i="728"/>
  <c r="G95" i="728"/>
  <c r="N94" i="728"/>
  <c r="M94" i="728"/>
  <c r="K94" i="728"/>
  <c r="J94" i="728"/>
  <c r="I94" i="728"/>
  <c r="L94" i="728" s="1"/>
  <c r="H94" i="728"/>
  <c r="G94" i="728"/>
  <c r="O93" i="728"/>
  <c r="N93" i="728"/>
  <c r="M93" i="728"/>
  <c r="K93" i="728"/>
  <c r="J93" i="728"/>
  <c r="I93" i="728"/>
  <c r="L93" i="728" s="1"/>
  <c r="H93" i="728"/>
  <c r="G93" i="728"/>
  <c r="N92" i="728"/>
  <c r="M92" i="728"/>
  <c r="O92" i="728" s="1"/>
  <c r="L92" i="728"/>
  <c r="K92" i="728"/>
  <c r="J92" i="728"/>
  <c r="I92" i="728"/>
  <c r="H92" i="728"/>
  <c r="G92" i="728"/>
  <c r="N91" i="728"/>
  <c r="M91" i="728"/>
  <c r="O91" i="728" s="1"/>
  <c r="K91" i="728"/>
  <c r="J91" i="728"/>
  <c r="I91" i="728"/>
  <c r="L91" i="728" s="1"/>
  <c r="H91" i="728"/>
  <c r="G91" i="728"/>
  <c r="N90" i="728"/>
  <c r="M90" i="728"/>
  <c r="K90" i="728"/>
  <c r="J90" i="728"/>
  <c r="I90" i="728"/>
  <c r="L90" i="728" s="1"/>
  <c r="H90" i="728"/>
  <c r="G90" i="728"/>
  <c r="O89" i="728"/>
  <c r="N89" i="728"/>
  <c r="M89" i="728"/>
  <c r="K89" i="728"/>
  <c r="J89" i="728"/>
  <c r="I89" i="728"/>
  <c r="L89" i="728" s="1"/>
  <c r="H89" i="728"/>
  <c r="G89" i="728"/>
  <c r="N88" i="728"/>
  <c r="M88" i="728"/>
  <c r="O88" i="728" s="1"/>
  <c r="L88" i="728"/>
  <c r="K88" i="728"/>
  <c r="J88" i="728"/>
  <c r="I88" i="728"/>
  <c r="H88" i="728"/>
  <c r="G88" i="728"/>
  <c r="N87" i="728"/>
  <c r="M87" i="728"/>
  <c r="K87" i="728"/>
  <c r="J87" i="728"/>
  <c r="I87" i="728"/>
  <c r="L87" i="728" s="1"/>
  <c r="H87" i="728"/>
  <c r="G87" i="728"/>
  <c r="N86" i="728"/>
  <c r="M86" i="728"/>
  <c r="K86" i="728"/>
  <c r="J86" i="728"/>
  <c r="I86" i="728"/>
  <c r="L86" i="728" s="1"/>
  <c r="H86" i="728"/>
  <c r="G86" i="728"/>
  <c r="O85" i="728"/>
  <c r="N85" i="728"/>
  <c r="M85" i="728"/>
  <c r="K85" i="728"/>
  <c r="J85" i="728"/>
  <c r="I85" i="728"/>
  <c r="L85" i="728" s="1"/>
  <c r="H85" i="728"/>
  <c r="G85" i="728"/>
  <c r="N84" i="728"/>
  <c r="M84" i="728"/>
  <c r="O84" i="728" s="1"/>
  <c r="L84" i="728"/>
  <c r="K84" i="728"/>
  <c r="J84" i="728"/>
  <c r="I84" i="728"/>
  <c r="H84" i="728"/>
  <c r="G84" i="728"/>
  <c r="N83" i="728"/>
  <c r="M83" i="728"/>
  <c r="O83" i="728" s="1"/>
  <c r="K83" i="728"/>
  <c r="J83" i="728"/>
  <c r="I83" i="728"/>
  <c r="L83" i="728" s="1"/>
  <c r="H83" i="728"/>
  <c r="G83" i="728"/>
  <c r="N82" i="728"/>
  <c r="M82" i="728"/>
  <c r="K82" i="728"/>
  <c r="J82" i="728"/>
  <c r="I82" i="728"/>
  <c r="L82" i="728" s="1"/>
  <c r="H82" i="728"/>
  <c r="G82" i="728"/>
  <c r="O81" i="728"/>
  <c r="N81" i="728"/>
  <c r="M81" i="728"/>
  <c r="K81" i="728"/>
  <c r="J81" i="728"/>
  <c r="I81" i="728"/>
  <c r="L81" i="728" s="1"/>
  <c r="H81" i="728"/>
  <c r="G81" i="728"/>
  <c r="N80" i="728"/>
  <c r="M80" i="728"/>
  <c r="O80" i="728" s="1"/>
  <c r="L80" i="728"/>
  <c r="K80" i="728"/>
  <c r="J80" i="728"/>
  <c r="I80" i="728"/>
  <c r="H80" i="728"/>
  <c r="G80" i="728"/>
  <c r="N79" i="728"/>
  <c r="M79" i="728"/>
  <c r="K79" i="728"/>
  <c r="J79" i="728"/>
  <c r="I79" i="728"/>
  <c r="L79" i="728" s="1"/>
  <c r="H79" i="728"/>
  <c r="G79" i="728"/>
  <c r="N78" i="728"/>
  <c r="M78" i="728"/>
  <c r="K78" i="728"/>
  <c r="J78" i="728"/>
  <c r="I78" i="728"/>
  <c r="L78" i="728" s="1"/>
  <c r="H78" i="728"/>
  <c r="G78" i="728"/>
  <c r="O77" i="728"/>
  <c r="N77" i="728"/>
  <c r="M77" i="728"/>
  <c r="K77" i="728"/>
  <c r="J77" i="728"/>
  <c r="I77" i="728"/>
  <c r="L77" i="728" s="1"/>
  <c r="H77" i="728"/>
  <c r="G77" i="728"/>
  <c r="N76" i="728"/>
  <c r="M76" i="728"/>
  <c r="O76" i="728" s="1"/>
  <c r="L76" i="728"/>
  <c r="K76" i="728"/>
  <c r="J76" i="728"/>
  <c r="I76" i="728"/>
  <c r="H76" i="728"/>
  <c r="G76" i="728"/>
  <c r="N75" i="728"/>
  <c r="M75" i="728"/>
  <c r="O75" i="728" s="1"/>
  <c r="K75" i="728"/>
  <c r="J75" i="728"/>
  <c r="I75" i="728"/>
  <c r="L75" i="728" s="1"/>
  <c r="H75" i="728"/>
  <c r="G75" i="728"/>
  <c r="N74" i="728"/>
  <c r="M74" i="728"/>
  <c r="K74" i="728"/>
  <c r="J74" i="728"/>
  <c r="I74" i="728"/>
  <c r="L74" i="728" s="1"/>
  <c r="H74" i="728"/>
  <c r="G74" i="728"/>
  <c r="O73" i="728"/>
  <c r="N73" i="728"/>
  <c r="M73" i="728"/>
  <c r="K73" i="728"/>
  <c r="J73" i="728"/>
  <c r="I73" i="728"/>
  <c r="L73" i="728" s="1"/>
  <c r="H73" i="728"/>
  <c r="G73" i="728"/>
  <c r="N72" i="728"/>
  <c r="M72" i="728"/>
  <c r="O72" i="728" s="1"/>
  <c r="L72" i="728"/>
  <c r="K72" i="728"/>
  <c r="J72" i="728"/>
  <c r="I72" i="728"/>
  <c r="H72" i="728"/>
  <c r="G72" i="728"/>
  <c r="N71" i="728"/>
  <c r="M71" i="728"/>
  <c r="K71" i="728"/>
  <c r="J71" i="728"/>
  <c r="I71" i="728"/>
  <c r="L71" i="728" s="1"/>
  <c r="H71" i="728"/>
  <c r="G71" i="728"/>
  <c r="N70" i="728"/>
  <c r="M70" i="728"/>
  <c r="K70" i="728"/>
  <c r="J70" i="728"/>
  <c r="I70" i="728"/>
  <c r="L70" i="728" s="1"/>
  <c r="H70" i="728"/>
  <c r="G70" i="728"/>
  <c r="O69" i="728"/>
  <c r="N69" i="728"/>
  <c r="M69" i="728"/>
  <c r="K69" i="728"/>
  <c r="J69" i="728"/>
  <c r="I69" i="728"/>
  <c r="L69" i="728" s="1"/>
  <c r="H69" i="728"/>
  <c r="G69" i="728"/>
  <c r="N68" i="728"/>
  <c r="M68" i="728"/>
  <c r="O68" i="728" s="1"/>
  <c r="L68" i="728"/>
  <c r="K68" i="728"/>
  <c r="J68" i="728"/>
  <c r="I68" i="728"/>
  <c r="H68" i="728"/>
  <c r="G68" i="728"/>
  <c r="N67" i="728"/>
  <c r="M67" i="728"/>
  <c r="O67" i="728" s="1"/>
  <c r="K67" i="728"/>
  <c r="J67" i="728"/>
  <c r="I67" i="728"/>
  <c r="L67" i="728" s="1"/>
  <c r="H67" i="728"/>
  <c r="G67" i="728"/>
  <c r="N66" i="728"/>
  <c r="M66" i="728"/>
  <c r="K66" i="728"/>
  <c r="J66" i="728"/>
  <c r="I66" i="728"/>
  <c r="L66" i="728" s="1"/>
  <c r="H66" i="728"/>
  <c r="G66" i="728"/>
  <c r="O65" i="728"/>
  <c r="N65" i="728"/>
  <c r="M65" i="728"/>
  <c r="K65" i="728"/>
  <c r="J65" i="728"/>
  <c r="I65" i="728"/>
  <c r="L65" i="728" s="1"/>
  <c r="H65" i="728"/>
  <c r="G65" i="728"/>
  <c r="N64" i="728"/>
  <c r="M64" i="728"/>
  <c r="O64" i="728" s="1"/>
  <c r="L64" i="728"/>
  <c r="K64" i="728"/>
  <c r="J64" i="728"/>
  <c r="I64" i="728"/>
  <c r="H64" i="728"/>
  <c r="G64" i="728"/>
  <c r="N63" i="728"/>
  <c r="M63" i="728"/>
  <c r="K63" i="728"/>
  <c r="J63" i="728"/>
  <c r="I63" i="728"/>
  <c r="L63" i="728" s="1"/>
  <c r="H63" i="728"/>
  <c r="G63" i="728"/>
  <c r="N62" i="728"/>
  <c r="M62" i="728"/>
  <c r="K62" i="728"/>
  <c r="J62" i="728"/>
  <c r="I62" i="728"/>
  <c r="L62" i="728" s="1"/>
  <c r="H62" i="728"/>
  <c r="G62" i="728"/>
  <c r="O61" i="728"/>
  <c r="N61" i="728"/>
  <c r="M61" i="728"/>
  <c r="K61" i="728"/>
  <c r="J61" i="728"/>
  <c r="I61" i="728"/>
  <c r="L61" i="728" s="1"/>
  <c r="H61" i="728"/>
  <c r="G61" i="728"/>
  <c r="N60" i="728"/>
  <c r="M60" i="728"/>
  <c r="O60" i="728" s="1"/>
  <c r="L60" i="728"/>
  <c r="K60" i="728"/>
  <c r="J60" i="728"/>
  <c r="I60" i="728"/>
  <c r="H60" i="728"/>
  <c r="G60" i="728"/>
  <c r="N59" i="728"/>
  <c r="M59" i="728"/>
  <c r="O59" i="728" s="1"/>
  <c r="K59" i="728"/>
  <c r="J59" i="728"/>
  <c r="I59" i="728"/>
  <c r="L59" i="728" s="1"/>
  <c r="H59" i="728"/>
  <c r="G59" i="728"/>
  <c r="N58" i="728"/>
  <c r="M58" i="728"/>
  <c r="K58" i="728"/>
  <c r="J58" i="728"/>
  <c r="I58" i="728"/>
  <c r="L58" i="728" s="1"/>
  <c r="H58" i="728"/>
  <c r="G58" i="728"/>
  <c r="O57" i="728"/>
  <c r="N57" i="728"/>
  <c r="M57" i="728"/>
  <c r="K57" i="728"/>
  <c r="J57" i="728"/>
  <c r="I57" i="728"/>
  <c r="L57" i="728" s="1"/>
  <c r="H57" i="728"/>
  <c r="G57" i="728"/>
  <c r="N56" i="728"/>
  <c r="M56" i="728"/>
  <c r="O56" i="728" s="1"/>
  <c r="L56" i="728"/>
  <c r="K56" i="728"/>
  <c r="J56" i="728"/>
  <c r="I56" i="728"/>
  <c r="H56" i="728"/>
  <c r="G56" i="728"/>
  <c r="N55" i="728"/>
  <c r="M55" i="728"/>
  <c r="K55" i="728"/>
  <c r="J55" i="728"/>
  <c r="I55" i="728"/>
  <c r="L55" i="728" s="1"/>
  <c r="H55" i="728"/>
  <c r="G55" i="728"/>
  <c r="N54" i="728"/>
  <c r="M54" i="728"/>
  <c r="K54" i="728"/>
  <c r="J54" i="728"/>
  <c r="I54" i="728"/>
  <c r="L54" i="728" s="1"/>
  <c r="H54" i="728"/>
  <c r="G54" i="728"/>
  <c r="O53" i="728"/>
  <c r="N53" i="728"/>
  <c r="M53" i="728"/>
  <c r="K53" i="728"/>
  <c r="J53" i="728"/>
  <c r="I53" i="728"/>
  <c r="L53" i="728" s="1"/>
  <c r="H53" i="728"/>
  <c r="G53" i="728"/>
  <c r="N52" i="728"/>
  <c r="M52" i="728"/>
  <c r="O52" i="728" s="1"/>
  <c r="L52" i="728"/>
  <c r="K52" i="728"/>
  <c r="J52" i="728"/>
  <c r="I52" i="728"/>
  <c r="H52" i="728"/>
  <c r="G52" i="728"/>
  <c r="N51" i="728"/>
  <c r="M51" i="728"/>
  <c r="O51" i="728" s="1"/>
  <c r="K51" i="728"/>
  <c r="J51" i="728"/>
  <c r="I51" i="728"/>
  <c r="L51" i="728" s="1"/>
  <c r="H51" i="728"/>
  <c r="G51" i="728"/>
  <c r="N50" i="728"/>
  <c r="M50" i="728"/>
  <c r="K50" i="728"/>
  <c r="J50" i="728"/>
  <c r="I50" i="728"/>
  <c r="L50" i="728" s="1"/>
  <c r="H50" i="728"/>
  <c r="G50" i="728"/>
  <c r="O49" i="728"/>
  <c r="N49" i="728"/>
  <c r="M49" i="728"/>
  <c r="K49" i="728"/>
  <c r="J49" i="728"/>
  <c r="I49" i="728"/>
  <c r="L49" i="728" s="1"/>
  <c r="H49" i="728"/>
  <c r="G49" i="728"/>
  <c r="N48" i="728"/>
  <c r="M48" i="728"/>
  <c r="O48" i="728" s="1"/>
  <c r="L48" i="728"/>
  <c r="K48" i="728"/>
  <c r="J48" i="728"/>
  <c r="I48" i="728"/>
  <c r="H48" i="728"/>
  <c r="G48" i="728"/>
  <c r="N47" i="728"/>
  <c r="M47" i="728"/>
  <c r="K47" i="728"/>
  <c r="J47" i="728"/>
  <c r="I47" i="728"/>
  <c r="L47" i="728" s="1"/>
  <c r="H47" i="728"/>
  <c r="G47" i="728"/>
  <c r="N46" i="728"/>
  <c r="M46" i="728"/>
  <c r="K46" i="728"/>
  <c r="J46" i="728"/>
  <c r="I46" i="728"/>
  <c r="L46" i="728" s="1"/>
  <c r="H46" i="728"/>
  <c r="G46" i="728"/>
  <c r="O45" i="728"/>
  <c r="N45" i="728"/>
  <c r="M45" i="728"/>
  <c r="K45" i="728"/>
  <c r="J45" i="728"/>
  <c r="I45" i="728"/>
  <c r="L45" i="728" s="1"/>
  <c r="H45" i="728"/>
  <c r="G45" i="728"/>
  <c r="N44" i="728"/>
  <c r="M44" i="728"/>
  <c r="O44" i="728" s="1"/>
  <c r="L44" i="728"/>
  <c r="K44" i="728"/>
  <c r="J44" i="728"/>
  <c r="I44" i="728"/>
  <c r="H44" i="728"/>
  <c r="G44" i="728"/>
  <c r="N43" i="728"/>
  <c r="M43" i="728"/>
  <c r="O43" i="728" s="1"/>
  <c r="K43" i="728"/>
  <c r="J43" i="728"/>
  <c r="I43" i="728"/>
  <c r="L43" i="728" s="1"/>
  <c r="H43" i="728"/>
  <c r="G43" i="728"/>
  <c r="N42" i="728"/>
  <c r="M42" i="728"/>
  <c r="K42" i="728"/>
  <c r="J42" i="728"/>
  <c r="I42" i="728"/>
  <c r="L42" i="728" s="1"/>
  <c r="H42" i="728"/>
  <c r="G42" i="728"/>
  <c r="O41" i="728"/>
  <c r="N41" i="728"/>
  <c r="M41" i="728"/>
  <c r="K41" i="728"/>
  <c r="J41" i="728"/>
  <c r="I41" i="728"/>
  <c r="L41" i="728" s="1"/>
  <c r="H41" i="728"/>
  <c r="G41" i="728"/>
  <c r="N40" i="728"/>
  <c r="M40" i="728"/>
  <c r="O40" i="728" s="1"/>
  <c r="L40" i="728"/>
  <c r="K40" i="728"/>
  <c r="J40" i="728"/>
  <c r="I40" i="728"/>
  <c r="H40" i="728"/>
  <c r="G40" i="728"/>
  <c r="N39" i="728"/>
  <c r="M39" i="728"/>
  <c r="K39" i="728"/>
  <c r="J39" i="728"/>
  <c r="I39" i="728"/>
  <c r="L39" i="728" s="1"/>
  <c r="H39" i="728"/>
  <c r="G39" i="728"/>
  <c r="N38" i="728"/>
  <c r="M38" i="728"/>
  <c r="K38" i="728"/>
  <c r="J38" i="728"/>
  <c r="I38" i="728"/>
  <c r="L38" i="728" s="1"/>
  <c r="H38" i="728"/>
  <c r="G38" i="728"/>
  <c r="O37" i="728"/>
  <c r="N37" i="728"/>
  <c r="M37" i="728"/>
  <c r="K37" i="728"/>
  <c r="J37" i="728"/>
  <c r="I37" i="728"/>
  <c r="L37" i="728" s="1"/>
  <c r="H37" i="728"/>
  <c r="G37" i="728"/>
  <c r="N36" i="728"/>
  <c r="K36" i="728"/>
  <c r="J36" i="728"/>
  <c r="I36" i="728"/>
  <c r="L36" i="728" s="1"/>
  <c r="M36" i="728" s="1"/>
  <c r="O36" i="728" s="1"/>
  <c r="H36" i="728"/>
  <c r="G36" i="728"/>
  <c r="N35" i="728"/>
  <c r="K35" i="728"/>
  <c r="J35" i="728"/>
  <c r="I35" i="728"/>
  <c r="L35" i="728" s="1"/>
  <c r="M35" i="728" s="1"/>
  <c r="O35" i="728" s="1"/>
  <c r="H35" i="728"/>
  <c r="G35" i="728"/>
  <c r="N34" i="728"/>
  <c r="M34" i="728"/>
  <c r="O34" i="728" s="1"/>
  <c r="K34" i="728"/>
  <c r="J34" i="728"/>
  <c r="I34" i="728"/>
  <c r="H34" i="728"/>
  <c r="G34" i="728"/>
  <c r="N33" i="728"/>
  <c r="K33" i="728"/>
  <c r="J33" i="728"/>
  <c r="I33" i="728"/>
  <c r="H33" i="728"/>
  <c r="G33" i="728"/>
  <c r="N32" i="728"/>
  <c r="K32" i="728"/>
  <c r="J32" i="728"/>
  <c r="I32" i="728"/>
  <c r="H32" i="728"/>
  <c r="G32" i="728"/>
  <c r="N31" i="728"/>
  <c r="K31" i="728"/>
  <c r="J31" i="728"/>
  <c r="I31" i="728"/>
  <c r="H31" i="728"/>
  <c r="G31" i="728"/>
  <c r="N30" i="728"/>
  <c r="M30" i="728"/>
  <c r="O30" i="728" s="1"/>
  <c r="K30" i="728"/>
  <c r="J30" i="728"/>
  <c r="L30" i="728" s="1"/>
  <c r="I30" i="728"/>
  <c r="H30" i="728"/>
  <c r="G30" i="728"/>
  <c r="N29" i="728"/>
  <c r="K29" i="728"/>
  <c r="J29" i="728"/>
  <c r="I29" i="728"/>
  <c r="H29" i="728"/>
  <c r="G29" i="728"/>
  <c r="N28" i="728"/>
  <c r="K28" i="728"/>
  <c r="J28" i="728"/>
  <c r="L28" i="728" s="1"/>
  <c r="M28" i="728" s="1"/>
  <c r="I28" i="728"/>
  <c r="H28" i="728"/>
  <c r="G28" i="728"/>
  <c r="N27" i="728"/>
  <c r="K27" i="728"/>
  <c r="J27" i="728"/>
  <c r="I27" i="728"/>
  <c r="H27" i="728"/>
  <c r="G27" i="728"/>
  <c r="N26" i="728"/>
  <c r="K26" i="728"/>
  <c r="J26" i="728"/>
  <c r="L26" i="728" s="1"/>
  <c r="M26" i="728" s="1"/>
  <c r="I26" i="728"/>
  <c r="H26" i="728"/>
  <c r="G26" i="728"/>
  <c r="N25" i="728"/>
  <c r="M25" i="728"/>
  <c r="O25" i="728" s="1"/>
  <c r="K25" i="728"/>
  <c r="J25" i="728"/>
  <c r="I25" i="728"/>
  <c r="H25" i="728"/>
  <c r="G25" i="728"/>
  <c r="N24" i="728"/>
  <c r="K24" i="728"/>
  <c r="J24" i="728"/>
  <c r="L24" i="728" s="1"/>
  <c r="M24" i="728" s="1"/>
  <c r="I24" i="728"/>
  <c r="H24" i="728"/>
  <c r="G24" i="728"/>
  <c r="N23" i="728"/>
  <c r="K23" i="728"/>
  <c r="J23" i="728"/>
  <c r="I23" i="728"/>
  <c r="H23" i="728"/>
  <c r="G23" i="728"/>
  <c r="N22" i="728"/>
  <c r="K22" i="728"/>
  <c r="J22" i="728"/>
  <c r="L22" i="728" s="1"/>
  <c r="M22" i="728" s="1"/>
  <c r="I22" i="728"/>
  <c r="H22" i="728"/>
  <c r="G22" i="728"/>
  <c r="N21" i="728"/>
  <c r="K21" i="728"/>
  <c r="J21" i="728"/>
  <c r="I21" i="728"/>
  <c r="H21" i="728"/>
  <c r="G21" i="728"/>
  <c r="N20" i="728"/>
  <c r="K20" i="728"/>
  <c r="J20" i="728"/>
  <c r="L20" i="728" s="1"/>
  <c r="M20" i="728" s="1"/>
  <c r="I20" i="728"/>
  <c r="H20" i="728"/>
  <c r="G20" i="728"/>
  <c r="N19" i="728"/>
  <c r="K19" i="728"/>
  <c r="J19" i="728"/>
  <c r="I19" i="728"/>
  <c r="H19" i="728"/>
  <c r="G19" i="728"/>
  <c r="N18" i="728"/>
  <c r="K18" i="728"/>
  <c r="J18" i="728"/>
  <c r="L18" i="728" s="1"/>
  <c r="M18" i="728" s="1"/>
  <c r="I18" i="728"/>
  <c r="H18" i="728"/>
  <c r="G18" i="728"/>
  <c r="N17" i="728"/>
  <c r="M17" i="728"/>
  <c r="K17" i="728"/>
  <c r="J17" i="728"/>
  <c r="I17" i="728"/>
  <c r="L17" i="728" s="1"/>
  <c r="H17" i="728"/>
  <c r="G17" i="728"/>
  <c r="N16" i="728"/>
  <c r="K16" i="728"/>
  <c r="J16" i="728"/>
  <c r="I16" i="728"/>
  <c r="L16" i="728" s="1"/>
  <c r="M16" i="728" s="1"/>
  <c r="H16" i="728"/>
  <c r="G16" i="728"/>
  <c r="N15" i="728"/>
  <c r="K15" i="728"/>
  <c r="J15" i="728"/>
  <c r="I15" i="728"/>
  <c r="L15" i="728" s="1"/>
  <c r="M15" i="728" s="1"/>
  <c r="H15" i="728"/>
  <c r="G15" i="728"/>
  <c r="N14" i="728"/>
  <c r="K14" i="728"/>
  <c r="J14" i="728"/>
  <c r="I14" i="728"/>
  <c r="H14" i="728"/>
  <c r="G14" i="728"/>
  <c r="N13" i="728"/>
  <c r="K13" i="728"/>
  <c r="J13" i="728"/>
  <c r="I13" i="728"/>
  <c r="H13" i="728"/>
  <c r="G13" i="728"/>
  <c r="N12" i="728"/>
  <c r="K12" i="728"/>
  <c r="J12" i="728"/>
  <c r="I12" i="728"/>
  <c r="L12" i="728" s="1"/>
  <c r="M12" i="728" s="1"/>
  <c r="H12" i="728"/>
  <c r="G12" i="728"/>
  <c r="N11" i="728"/>
  <c r="K11" i="728"/>
  <c r="J11" i="728"/>
  <c r="I11" i="728"/>
  <c r="L11" i="728" s="1"/>
  <c r="M11" i="728" s="1"/>
  <c r="H11" i="728"/>
  <c r="G11" i="728"/>
  <c r="N10" i="728"/>
  <c r="K10" i="728"/>
  <c r="J10" i="728"/>
  <c r="L10" i="728" s="1"/>
  <c r="M10" i="728" s="1"/>
  <c r="I10" i="728"/>
  <c r="H10" i="728"/>
  <c r="G10" i="728"/>
  <c r="N9" i="728"/>
  <c r="M9" i="728"/>
  <c r="K9" i="728"/>
  <c r="J9" i="728"/>
  <c r="L9" i="728" s="1"/>
  <c r="I9" i="728"/>
  <c r="H9" i="728"/>
  <c r="G9" i="728"/>
  <c r="O1001" i="727"/>
  <c r="N1001" i="727"/>
  <c r="M1001" i="727"/>
  <c r="L1001" i="727"/>
  <c r="K1001" i="727"/>
  <c r="J1001" i="727"/>
  <c r="I1001" i="727"/>
  <c r="H1001" i="727"/>
  <c r="G1001" i="727"/>
  <c r="N1000" i="727"/>
  <c r="M1000" i="727"/>
  <c r="O1000" i="727" s="1"/>
  <c r="L1000" i="727"/>
  <c r="K1000" i="727"/>
  <c r="J1000" i="727"/>
  <c r="I1000" i="727"/>
  <c r="H1000" i="727"/>
  <c r="G1000" i="727"/>
  <c r="O999" i="727"/>
  <c r="N999" i="727"/>
  <c r="M999" i="727"/>
  <c r="K999" i="727"/>
  <c r="J999" i="727"/>
  <c r="L999" i="727" s="1"/>
  <c r="I999" i="727"/>
  <c r="H999" i="727"/>
  <c r="G999" i="727"/>
  <c r="O998" i="727"/>
  <c r="N998" i="727"/>
  <c r="M998" i="727"/>
  <c r="L998" i="727"/>
  <c r="K998" i="727"/>
  <c r="J998" i="727"/>
  <c r="I998" i="727"/>
  <c r="H998" i="727"/>
  <c r="G998" i="727"/>
  <c r="O997" i="727"/>
  <c r="N997" i="727"/>
  <c r="M997" i="727"/>
  <c r="L997" i="727"/>
  <c r="K997" i="727"/>
  <c r="J997" i="727"/>
  <c r="I997" i="727"/>
  <c r="H997" i="727"/>
  <c r="G997" i="727"/>
  <c r="N996" i="727"/>
  <c r="M996" i="727"/>
  <c r="O996" i="727" s="1"/>
  <c r="L996" i="727"/>
  <c r="K996" i="727"/>
  <c r="J996" i="727"/>
  <c r="I996" i="727"/>
  <c r="H996" i="727"/>
  <c r="G996" i="727"/>
  <c r="O995" i="727"/>
  <c r="N995" i="727"/>
  <c r="M995" i="727"/>
  <c r="K995" i="727"/>
  <c r="J995" i="727"/>
  <c r="L995" i="727" s="1"/>
  <c r="I995" i="727"/>
  <c r="H995" i="727"/>
  <c r="G995" i="727"/>
  <c r="O994" i="727"/>
  <c r="N994" i="727"/>
  <c r="M994" i="727"/>
  <c r="L994" i="727"/>
  <c r="K994" i="727"/>
  <c r="J994" i="727"/>
  <c r="I994" i="727"/>
  <c r="H994" i="727"/>
  <c r="G994" i="727"/>
  <c r="O993" i="727"/>
  <c r="N993" i="727"/>
  <c r="M993" i="727"/>
  <c r="L993" i="727"/>
  <c r="K993" i="727"/>
  <c r="J993" i="727"/>
  <c r="I993" i="727"/>
  <c r="H993" i="727"/>
  <c r="G993" i="727"/>
  <c r="N992" i="727"/>
  <c r="M992" i="727"/>
  <c r="O992" i="727" s="1"/>
  <c r="L992" i="727"/>
  <c r="K992" i="727"/>
  <c r="J992" i="727"/>
  <c r="I992" i="727"/>
  <c r="H992" i="727"/>
  <c r="G992" i="727"/>
  <c r="O991" i="727"/>
  <c r="N991" i="727"/>
  <c r="M991" i="727"/>
  <c r="K991" i="727"/>
  <c r="J991" i="727"/>
  <c r="L991" i="727" s="1"/>
  <c r="I991" i="727"/>
  <c r="H991" i="727"/>
  <c r="G991" i="727"/>
  <c r="O990" i="727"/>
  <c r="N990" i="727"/>
  <c r="M990" i="727"/>
  <c r="L990" i="727"/>
  <c r="K990" i="727"/>
  <c r="J990" i="727"/>
  <c r="I990" i="727"/>
  <c r="H990" i="727"/>
  <c r="G990" i="727"/>
  <c r="O989" i="727"/>
  <c r="N989" i="727"/>
  <c r="M989" i="727"/>
  <c r="L989" i="727"/>
  <c r="K989" i="727"/>
  <c r="J989" i="727"/>
  <c r="I989" i="727"/>
  <c r="H989" i="727"/>
  <c r="G989" i="727"/>
  <c r="N988" i="727"/>
  <c r="M988" i="727"/>
  <c r="O988" i="727" s="1"/>
  <c r="L988" i="727"/>
  <c r="K988" i="727"/>
  <c r="J988" i="727"/>
  <c r="I988" i="727"/>
  <c r="H988" i="727"/>
  <c r="G988" i="727"/>
  <c r="O987" i="727"/>
  <c r="N987" i="727"/>
  <c r="M987" i="727"/>
  <c r="K987" i="727"/>
  <c r="J987" i="727"/>
  <c r="L987" i="727" s="1"/>
  <c r="I987" i="727"/>
  <c r="H987" i="727"/>
  <c r="G987" i="727"/>
  <c r="O986" i="727"/>
  <c r="N986" i="727"/>
  <c r="M986" i="727"/>
  <c r="L986" i="727"/>
  <c r="K986" i="727"/>
  <c r="J986" i="727"/>
  <c r="I986" i="727"/>
  <c r="H986" i="727"/>
  <c r="G986" i="727"/>
  <c r="O985" i="727"/>
  <c r="N985" i="727"/>
  <c r="M985" i="727"/>
  <c r="L985" i="727"/>
  <c r="K985" i="727"/>
  <c r="J985" i="727"/>
  <c r="I985" i="727"/>
  <c r="H985" i="727"/>
  <c r="G985" i="727"/>
  <c r="N984" i="727"/>
  <c r="M984" i="727"/>
  <c r="O984" i="727" s="1"/>
  <c r="L984" i="727"/>
  <c r="K984" i="727"/>
  <c r="J984" i="727"/>
  <c r="I984" i="727"/>
  <c r="H984" i="727"/>
  <c r="G984" i="727"/>
  <c r="O983" i="727"/>
  <c r="N983" i="727"/>
  <c r="M983" i="727"/>
  <c r="K983" i="727"/>
  <c r="J983" i="727"/>
  <c r="L983" i="727" s="1"/>
  <c r="I983" i="727"/>
  <c r="H983" i="727"/>
  <c r="G983" i="727"/>
  <c r="O982" i="727"/>
  <c r="N982" i="727"/>
  <c r="M982" i="727"/>
  <c r="L982" i="727"/>
  <c r="K982" i="727"/>
  <c r="J982" i="727"/>
  <c r="I982" i="727"/>
  <c r="H982" i="727"/>
  <c r="G982" i="727"/>
  <c r="O981" i="727"/>
  <c r="N981" i="727"/>
  <c r="M981" i="727"/>
  <c r="L981" i="727"/>
  <c r="K981" i="727"/>
  <c r="J981" i="727"/>
  <c r="I981" i="727"/>
  <c r="H981" i="727"/>
  <c r="G981" i="727"/>
  <c r="N980" i="727"/>
  <c r="M980" i="727"/>
  <c r="O980" i="727" s="1"/>
  <c r="L980" i="727"/>
  <c r="K980" i="727"/>
  <c r="J980" i="727"/>
  <c r="I980" i="727"/>
  <c r="H980" i="727"/>
  <c r="G980" i="727"/>
  <c r="O979" i="727"/>
  <c r="N979" i="727"/>
  <c r="M979" i="727"/>
  <c r="K979" i="727"/>
  <c r="J979" i="727"/>
  <c r="L979" i="727" s="1"/>
  <c r="I979" i="727"/>
  <c r="H979" i="727"/>
  <c r="G979" i="727"/>
  <c r="O978" i="727"/>
  <c r="N978" i="727"/>
  <c r="M978" i="727"/>
  <c r="L978" i="727"/>
  <c r="K978" i="727"/>
  <c r="J978" i="727"/>
  <c r="I978" i="727"/>
  <c r="H978" i="727"/>
  <c r="G978" i="727"/>
  <c r="O977" i="727"/>
  <c r="N977" i="727"/>
  <c r="M977" i="727"/>
  <c r="L977" i="727"/>
  <c r="K977" i="727"/>
  <c r="J977" i="727"/>
  <c r="I977" i="727"/>
  <c r="H977" i="727"/>
  <c r="G977" i="727"/>
  <c r="N976" i="727"/>
  <c r="M976" i="727"/>
  <c r="O976" i="727" s="1"/>
  <c r="L976" i="727"/>
  <c r="K976" i="727"/>
  <c r="J976" i="727"/>
  <c r="I976" i="727"/>
  <c r="H976" i="727"/>
  <c r="G976" i="727"/>
  <c r="O975" i="727"/>
  <c r="N975" i="727"/>
  <c r="M975" i="727"/>
  <c r="K975" i="727"/>
  <c r="J975" i="727"/>
  <c r="L975" i="727" s="1"/>
  <c r="I975" i="727"/>
  <c r="H975" i="727"/>
  <c r="G975" i="727"/>
  <c r="O974" i="727"/>
  <c r="N974" i="727"/>
  <c r="M974" i="727"/>
  <c r="L974" i="727"/>
  <c r="K974" i="727"/>
  <c r="J974" i="727"/>
  <c r="I974" i="727"/>
  <c r="H974" i="727"/>
  <c r="G974" i="727"/>
  <c r="O973" i="727"/>
  <c r="N973" i="727"/>
  <c r="M973" i="727"/>
  <c r="L973" i="727"/>
  <c r="K973" i="727"/>
  <c r="J973" i="727"/>
  <c r="I973" i="727"/>
  <c r="H973" i="727"/>
  <c r="G973" i="727"/>
  <c r="N972" i="727"/>
  <c r="M972" i="727"/>
  <c r="O972" i="727" s="1"/>
  <c r="L972" i="727"/>
  <c r="K972" i="727"/>
  <c r="J972" i="727"/>
  <c r="I972" i="727"/>
  <c r="H972" i="727"/>
  <c r="G972" i="727"/>
  <c r="O971" i="727"/>
  <c r="N971" i="727"/>
  <c r="M971" i="727"/>
  <c r="K971" i="727"/>
  <c r="J971" i="727"/>
  <c r="L971" i="727" s="1"/>
  <c r="I971" i="727"/>
  <c r="H971" i="727"/>
  <c r="G971" i="727"/>
  <c r="O970" i="727"/>
  <c r="N970" i="727"/>
  <c r="M970" i="727"/>
  <c r="L970" i="727"/>
  <c r="K970" i="727"/>
  <c r="J970" i="727"/>
  <c r="I970" i="727"/>
  <c r="H970" i="727"/>
  <c r="G970" i="727"/>
  <c r="O969" i="727"/>
  <c r="N969" i="727"/>
  <c r="M969" i="727"/>
  <c r="L969" i="727"/>
  <c r="K969" i="727"/>
  <c r="J969" i="727"/>
  <c r="I969" i="727"/>
  <c r="H969" i="727"/>
  <c r="G969" i="727"/>
  <c r="N968" i="727"/>
  <c r="M968" i="727"/>
  <c r="O968" i="727" s="1"/>
  <c r="L968" i="727"/>
  <c r="K968" i="727"/>
  <c r="J968" i="727"/>
  <c r="I968" i="727"/>
  <c r="H968" i="727"/>
  <c r="G968" i="727"/>
  <c r="O967" i="727"/>
  <c r="N967" i="727"/>
  <c r="M967" i="727"/>
  <c r="K967" i="727"/>
  <c r="J967" i="727"/>
  <c r="L967" i="727" s="1"/>
  <c r="I967" i="727"/>
  <c r="H967" i="727"/>
  <c r="G967" i="727"/>
  <c r="O966" i="727"/>
  <c r="N966" i="727"/>
  <c r="M966" i="727"/>
  <c r="L966" i="727"/>
  <c r="K966" i="727"/>
  <c r="J966" i="727"/>
  <c r="I966" i="727"/>
  <c r="H966" i="727"/>
  <c r="G966" i="727"/>
  <c r="O965" i="727"/>
  <c r="N965" i="727"/>
  <c r="M965" i="727"/>
  <c r="L965" i="727"/>
  <c r="K965" i="727"/>
  <c r="J965" i="727"/>
  <c r="I965" i="727"/>
  <c r="H965" i="727"/>
  <c r="G965" i="727"/>
  <c r="N964" i="727"/>
  <c r="M964" i="727"/>
  <c r="O964" i="727" s="1"/>
  <c r="L964" i="727"/>
  <c r="K964" i="727"/>
  <c r="J964" i="727"/>
  <c r="I964" i="727"/>
  <c r="H964" i="727"/>
  <c r="G964" i="727"/>
  <c r="O963" i="727"/>
  <c r="N963" i="727"/>
  <c r="M963" i="727"/>
  <c r="K963" i="727"/>
  <c r="J963" i="727"/>
  <c r="L963" i="727" s="1"/>
  <c r="I963" i="727"/>
  <c r="H963" i="727"/>
  <c r="G963" i="727"/>
  <c r="O962" i="727"/>
  <c r="N962" i="727"/>
  <c r="M962" i="727"/>
  <c r="L962" i="727"/>
  <c r="K962" i="727"/>
  <c r="J962" i="727"/>
  <c r="I962" i="727"/>
  <c r="H962" i="727"/>
  <c r="G962" i="727"/>
  <c r="O961" i="727"/>
  <c r="N961" i="727"/>
  <c r="M961" i="727"/>
  <c r="L961" i="727"/>
  <c r="K961" i="727"/>
  <c r="J961" i="727"/>
  <c r="I961" i="727"/>
  <c r="H961" i="727"/>
  <c r="G961" i="727"/>
  <c r="N960" i="727"/>
  <c r="M960" i="727"/>
  <c r="O960" i="727" s="1"/>
  <c r="L960" i="727"/>
  <c r="K960" i="727"/>
  <c r="J960" i="727"/>
  <c r="I960" i="727"/>
  <c r="H960" i="727"/>
  <c r="G960" i="727"/>
  <c r="O959" i="727"/>
  <c r="N959" i="727"/>
  <c r="M959" i="727"/>
  <c r="K959" i="727"/>
  <c r="J959" i="727"/>
  <c r="L959" i="727" s="1"/>
  <c r="I959" i="727"/>
  <c r="H959" i="727"/>
  <c r="G959" i="727"/>
  <c r="O958" i="727"/>
  <c r="N958" i="727"/>
  <c r="M958" i="727"/>
  <c r="L958" i="727"/>
  <c r="K958" i="727"/>
  <c r="J958" i="727"/>
  <c r="I958" i="727"/>
  <c r="H958" i="727"/>
  <c r="G958" i="727"/>
  <c r="O957" i="727"/>
  <c r="N957" i="727"/>
  <c r="M957" i="727"/>
  <c r="L957" i="727"/>
  <c r="K957" i="727"/>
  <c r="J957" i="727"/>
  <c r="I957" i="727"/>
  <c r="H957" i="727"/>
  <c r="G957" i="727"/>
  <c r="N956" i="727"/>
  <c r="M956" i="727"/>
  <c r="O956" i="727" s="1"/>
  <c r="L956" i="727"/>
  <c r="K956" i="727"/>
  <c r="J956" i="727"/>
  <c r="I956" i="727"/>
  <c r="H956" i="727"/>
  <c r="G956" i="727"/>
  <c r="O955" i="727"/>
  <c r="N955" i="727"/>
  <c r="M955" i="727"/>
  <c r="K955" i="727"/>
  <c r="J955" i="727"/>
  <c r="L955" i="727" s="1"/>
  <c r="I955" i="727"/>
  <c r="H955" i="727"/>
  <c r="G955" i="727"/>
  <c r="O954" i="727"/>
  <c r="N954" i="727"/>
  <c r="M954" i="727"/>
  <c r="L954" i="727"/>
  <c r="K954" i="727"/>
  <c r="J954" i="727"/>
  <c r="I954" i="727"/>
  <c r="H954" i="727"/>
  <c r="G954" i="727"/>
  <c r="O953" i="727"/>
  <c r="N953" i="727"/>
  <c r="M953" i="727"/>
  <c r="L953" i="727"/>
  <c r="K953" i="727"/>
  <c r="J953" i="727"/>
  <c r="I953" i="727"/>
  <c r="H953" i="727"/>
  <c r="G953" i="727"/>
  <c r="N952" i="727"/>
  <c r="M952" i="727"/>
  <c r="O952" i="727" s="1"/>
  <c r="L952" i="727"/>
  <c r="K952" i="727"/>
  <c r="J952" i="727"/>
  <c r="I952" i="727"/>
  <c r="H952" i="727"/>
  <c r="G952" i="727"/>
  <c r="O951" i="727"/>
  <c r="N951" i="727"/>
  <c r="M951" i="727"/>
  <c r="K951" i="727"/>
  <c r="J951" i="727"/>
  <c r="L951" i="727" s="1"/>
  <c r="I951" i="727"/>
  <c r="H951" i="727"/>
  <c r="G951" i="727"/>
  <c r="O950" i="727"/>
  <c r="N950" i="727"/>
  <c r="M950" i="727"/>
  <c r="L950" i="727"/>
  <c r="K950" i="727"/>
  <c r="J950" i="727"/>
  <c r="I950" i="727"/>
  <c r="H950" i="727"/>
  <c r="G950" i="727"/>
  <c r="O949" i="727"/>
  <c r="N949" i="727"/>
  <c r="M949" i="727"/>
  <c r="L949" i="727"/>
  <c r="K949" i="727"/>
  <c r="J949" i="727"/>
  <c r="I949" i="727"/>
  <c r="H949" i="727"/>
  <c r="G949" i="727"/>
  <c r="N948" i="727"/>
  <c r="M948" i="727"/>
  <c r="O948" i="727" s="1"/>
  <c r="L948" i="727"/>
  <c r="K948" i="727"/>
  <c r="J948" i="727"/>
  <c r="I948" i="727"/>
  <c r="H948" i="727"/>
  <c r="G948" i="727"/>
  <c r="O947" i="727"/>
  <c r="N947" i="727"/>
  <c r="M947" i="727"/>
  <c r="K947" i="727"/>
  <c r="J947" i="727"/>
  <c r="L947" i="727" s="1"/>
  <c r="I947" i="727"/>
  <c r="H947" i="727"/>
  <c r="G947" i="727"/>
  <c r="O946" i="727"/>
  <c r="N946" i="727"/>
  <c r="M946" i="727"/>
  <c r="L946" i="727"/>
  <c r="K946" i="727"/>
  <c r="J946" i="727"/>
  <c r="I946" i="727"/>
  <c r="H946" i="727"/>
  <c r="G946" i="727"/>
  <c r="O945" i="727"/>
  <c r="N945" i="727"/>
  <c r="M945" i="727"/>
  <c r="L945" i="727"/>
  <c r="K945" i="727"/>
  <c r="J945" i="727"/>
  <c r="I945" i="727"/>
  <c r="H945" i="727"/>
  <c r="G945" i="727"/>
  <c r="N944" i="727"/>
  <c r="M944" i="727"/>
  <c r="O944" i="727" s="1"/>
  <c r="L944" i="727"/>
  <c r="K944" i="727"/>
  <c r="J944" i="727"/>
  <c r="I944" i="727"/>
  <c r="H944" i="727"/>
  <c r="G944" i="727"/>
  <c r="O943" i="727"/>
  <c r="N943" i="727"/>
  <c r="M943" i="727"/>
  <c r="K943" i="727"/>
  <c r="J943" i="727"/>
  <c r="L943" i="727" s="1"/>
  <c r="I943" i="727"/>
  <c r="H943" i="727"/>
  <c r="G943" i="727"/>
  <c r="O942" i="727"/>
  <c r="N942" i="727"/>
  <c r="M942" i="727"/>
  <c r="L942" i="727"/>
  <c r="K942" i="727"/>
  <c r="J942" i="727"/>
  <c r="I942" i="727"/>
  <c r="H942" i="727"/>
  <c r="G942" i="727"/>
  <c r="O941" i="727"/>
  <c r="N941" i="727"/>
  <c r="M941" i="727"/>
  <c r="L941" i="727"/>
  <c r="K941" i="727"/>
  <c r="J941" i="727"/>
  <c r="I941" i="727"/>
  <c r="H941" i="727"/>
  <c r="G941" i="727"/>
  <c r="N940" i="727"/>
  <c r="M940" i="727"/>
  <c r="O940" i="727" s="1"/>
  <c r="L940" i="727"/>
  <c r="K940" i="727"/>
  <c r="J940" i="727"/>
  <c r="I940" i="727"/>
  <c r="H940" i="727"/>
  <c r="G940" i="727"/>
  <c r="O939" i="727"/>
  <c r="N939" i="727"/>
  <c r="M939" i="727"/>
  <c r="K939" i="727"/>
  <c r="J939" i="727"/>
  <c r="L939" i="727" s="1"/>
  <c r="I939" i="727"/>
  <c r="H939" i="727"/>
  <c r="G939" i="727"/>
  <c r="O938" i="727"/>
  <c r="N938" i="727"/>
  <c r="M938" i="727"/>
  <c r="L938" i="727"/>
  <c r="K938" i="727"/>
  <c r="J938" i="727"/>
  <c r="I938" i="727"/>
  <c r="H938" i="727"/>
  <c r="G938" i="727"/>
  <c r="O937" i="727"/>
  <c r="N937" i="727"/>
  <c r="M937" i="727"/>
  <c r="L937" i="727"/>
  <c r="K937" i="727"/>
  <c r="J937" i="727"/>
  <c r="I937" i="727"/>
  <c r="H937" i="727"/>
  <c r="G937" i="727"/>
  <c r="N936" i="727"/>
  <c r="M936" i="727"/>
  <c r="O936" i="727" s="1"/>
  <c r="L936" i="727"/>
  <c r="K936" i="727"/>
  <c r="J936" i="727"/>
  <c r="I936" i="727"/>
  <c r="H936" i="727"/>
  <c r="G936" i="727"/>
  <c r="O935" i="727"/>
  <c r="N935" i="727"/>
  <c r="M935" i="727"/>
  <c r="K935" i="727"/>
  <c r="J935" i="727"/>
  <c r="L935" i="727" s="1"/>
  <c r="I935" i="727"/>
  <c r="H935" i="727"/>
  <c r="G935" i="727"/>
  <c r="O934" i="727"/>
  <c r="N934" i="727"/>
  <c r="M934" i="727"/>
  <c r="L934" i="727"/>
  <c r="K934" i="727"/>
  <c r="J934" i="727"/>
  <c r="I934" i="727"/>
  <c r="H934" i="727"/>
  <c r="G934" i="727"/>
  <c r="O933" i="727"/>
  <c r="N933" i="727"/>
  <c r="M933" i="727"/>
  <c r="L933" i="727"/>
  <c r="K933" i="727"/>
  <c r="J933" i="727"/>
  <c r="I933" i="727"/>
  <c r="H933" i="727"/>
  <c r="G933" i="727"/>
  <c r="N932" i="727"/>
  <c r="M932" i="727"/>
  <c r="O932" i="727" s="1"/>
  <c r="L932" i="727"/>
  <c r="K932" i="727"/>
  <c r="J932" i="727"/>
  <c r="I932" i="727"/>
  <c r="H932" i="727"/>
  <c r="G932" i="727"/>
  <c r="O931" i="727"/>
  <c r="N931" i="727"/>
  <c r="M931" i="727"/>
  <c r="K931" i="727"/>
  <c r="J931" i="727"/>
  <c r="L931" i="727" s="1"/>
  <c r="I931" i="727"/>
  <c r="H931" i="727"/>
  <c r="G931" i="727"/>
  <c r="O930" i="727"/>
  <c r="N930" i="727"/>
  <c r="M930" i="727"/>
  <c r="L930" i="727"/>
  <c r="K930" i="727"/>
  <c r="J930" i="727"/>
  <c r="I930" i="727"/>
  <c r="H930" i="727"/>
  <c r="G930" i="727"/>
  <c r="O929" i="727"/>
  <c r="N929" i="727"/>
  <c r="M929" i="727"/>
  <c r="L929" i="727"/>
  <c r="K929" i="727"/>
  <c r="J929" i="727"/>
  <c r="I929" i="727"/>
  <c r="H929" i="727"/>
  <c r="G929" i="727"/>
  <c r="N928" i="727"/>
  <c r="M928" i="727"/>
  <c r="O928" i="727" s="1"/>
  <c r="L928" i="727"/>
  <c r="K928" i="727"/>
  <c r="J928" i="727"/>
  <c r="I928" i="727"/>
  <c r="H928" i="727"/>
  <c r="G928" i="727"/>
  <c r="O927" i="727"/>
  <c r="N927" i="727"/>
  <c r="M927" i="727"/>
  <c r="K927" i="727"/>
  <c r="J927" i="727"/>
  <c r="L927" i="727" s="1"/>
  <c r="I927" i="727"/>
  <c r="H927" i="727"/>
  <c r="G927" i="727"/>
  <c r="O926" i="727"/>
  <c r="N926" i="727"/>
  <c r="M926" i="727"/>
  <c r="L926" i="727"/>
  <c r="K926" i="727"/>
  <c r="J926" i="727"/>
  <c r="I926" i="727"/>
  <c r="H926" i="727"/>
  <c r="G926" i="727"/>
  <c r="O925" i="727"/>
  <c r="N925" i="727"/>
  <c r="M925" i="727"/>
  <c r="L925" i="727"/>
  <c r="K925" i="727"/>
  <c r="J925" i="727"/>
  <c r="I925" i="727"/>
  <c r="H925" i="727"/>
  <c r="G925" i="727"/>
  <c r="N924" i="727"/>
  <c r="M924" i="727"/>
  <c r="O924" i="727" s="1"/>
  <c r="L924" i="727"/>
  <c r="K924" i="727"/>
  <c r="J924" i="727"/>
  <c r="I924" i="727"/>
  <c r="H924" i="727"/>
  <c r="G924" i="727"/>
  <c r="O923" i="727"/>
  <c r="N923" i="727"/>
  <c r="M923" i="727"/>
  <c r="K923" i="727"/>
  <c r="J923" i="727"/>
  <c r="L923" i="727" s="1"/>
  <c r="I923" i="727"/>
  <c r="H923" i="727"/>
  <c r="G923" i="727"/>
  <c r="O922" i="727"/>
  <c r="N922" i="727"/>
  <c r="M922" i="727"/>
  <c r="L922" i="727"/>
  <c r="K922" i="727"/>
  <c r="J922" i="727"/>
  <c r="I922" i="727"/>
  <c r="H922" i="727"/>
  <c r="G922" i="727"/>
  <c r="O921" i="727"/>
  <c r="N921" i="727"/>
  <c r="M921" i="727"/>
  <c r="L921" i="727"/>
  <c r="K921" i="727"/>
  <c r="J921" i="727"/>
  <c r="I921" i="727"/>
  <c r="H921" i="727"/>
  <c r="G921" i="727"/>
  <c r="N920" i="727"/>
  <c r="M920" i="727"/>
  <c r="O920" i="727" s="1"/>
  <c r="L920" i="727"/>
  <c r="K920" i="727"/>
  <c r="J920" i="727"/>
  <c r="I920" i="727"/>
  <c r="H920" i="727"/>
  <c r="G920" i="727"/>
  <c r="O919" i="727"/>
  <c r="N919" i="727"/>
  <c r="M919" i="727"/>
  <c r="K919" i="727"/>
  <c r="J919" i="727"/>
  <c r="L919" i="727" s="1"/>
  <c r="I919" i="727"/>
  <c r="H919" i="727"/>
  <c r="G919" i="727"/>
  <c r="O918" i="727"/>
  <c r="N918" i="727"/>
  <c r="M918" i="727"/>
  <c r="L918" i="727"/>
  <c r="K918" i="727"/>
  <c r="J918" i="727"/>
  <c r="I918" i="727"/>
  <c r="H918" i="727"/>
  <c r="G918" i="727"/>
  <c r="O917" i="727"/>
  <c r="N917" i="727"/>
  <c r="M917" i="727"/>
  <c r="L917" i="727"/>
  <c r="K917" i="727"/>
  <c r="J917" i="727"/>
  <c r="I917" i="727"/>
  <c r="H917" i="727"/>
  <c r="G917" i="727"/>
  <c r="N916" i="727"/>
  <c r="M916" i="727"/>
  <c r="O916" i="727" s="1"/>
  <c r="L916" i="727"/>
  <c r="K916" i="727"/>
  <c r="J916" i="727"/>
  <c r="I916" i="727"/>
  <c r="H916" i="727"/>
  <c r="G916" i="727"/>
  <c r="O915" i="727"/>
  <c r="N915" i="727"/>
  <c r="M915" i="727"/>
  <c r="K915" i="727"/>
  <c r="J915" i="727"/>
  <c r="L915" i="727" s="1"/>
  <c r="I915" i="727"/>
  <c r="H915" i="727"/>
  <c r="G915" i="727"/>
  <c r="O914" i="727"/>
  <c r="N914" i="727"/>
  <c r="M914" i="727"/>
  <c r="K914" i="727"/>
  <c r="L914" i="727" s="1"/>
  <c r="J914" i="727"/>
  <c r="I914" i="727"/>
  <c r="H914" i="727"/>
  <c r="G914" i="727"/>
  <c r="O913" i="727"/>
  <c r="N913" i="727"/>
  <c r="M913" i="727"/>
  <c r="L913" i="727"/>
  <c r="K913" i="727"/>
  <c r="J913" i="727"/>
  <c r="I913" i="727"/>
  <c r="H913" i="727"/>
  <c r="G913" i="727"/>
  <c r="N912" i="727"/>
  <c r="M912" i="727"/>
  <c r="O912" i="727" s="1"/>
  <c r="L912" i="727"/>
  <c r="K912" i="727"/>
  <c r="J912" i="727"/>
  <c r="I912" i="727"/>
  <c r="H912" i="727"/>
  <c r="G912" i="727"/>
  <c r="N911" i="727"/>
  <c r="O911" i="727" s="1"/>
  <c r="M911" i="727"/>
  <c r="K911" i="727"/>
  <c r="J911" i="727"/>
  <c r="L911" i="727" s="1"/>
  <c r="I911" i="727"/>
  <c r="H911" i="727"/>
  <c r="G911" i="727"/>
  <c r="O910" i="727"/>
  <c r="N910" i="727"/>
  <c r="M910" i="727"/>
  <c r="K910" i="727"/>
  <c r="L910" i="727" s="1"/>
  <c r="J910" i="727"/>
  <c r="I910" i="727"/>
  <c r="H910" i="727"/>
  <c r="G910" i="727"/>
  <c r="O909" i="727"/>
  <c r="N909" i="727"/>
  <c r="M909" i="727"/>
  <c r="L909" i="727"/>
  <c r="K909" i="727"/>
  <c r="J909" i="727"/>
  <c r="I909" i="727"/>
  <c r="H909" i="727"/>
  <c r="G909" i="727"/>
  <c r="N908" i="727"/>
  <c r="M908" i="727"/>
  <c r="O908" i="727" s="1"/>
  <c r="L908" i="727"/>
  <c r="K908" i="727"/>
  <c r="J908" i="727"/>
  <c r="I908" i="727"/>
  <c r="H908" i="727"/>
  <c r="G908" i="727"/>
  <c r="O907" i="727"/>
  <c r="N907" i="727"/>
  <c r="M907" i="727"/>
  <c r="K907" i="727"/>
  <c r="J907" i="727"/>
  <c r="L907" i="727" s="1"/>
  <c r="I907" i="727"/>
  <c r="H907" i="727"/>
  <c r="G907" i="727"/>
  <c r="O906" i="727"/>
  <c r="N906" i="727"/>
  <c r="M906" i="727"/>
  <c r="K906" i="727"/>
  <c r="L906" i="727" s="1"/>
  <c r="J906" i="727"/>
  <c r="I906" i="727"/>
  <c r="H906" i="727"/>
  <c r="G906" i="727"/>
  <c r="O905" i="727"/>
  <c r="N905" i="727"/>
  <c r="M905" i="727"/>
  <c r="L905" i="727"/>
  <c r="K905" i="727"/>
  <c r="J905" i="727"/>
  <c r="I905" i="727"/>
  <c r="H905" i="727"/>
  <c r="G905" i="727"/>
  <c r="N904" i="727"/>
  <c r="M904" i="727"/>
  <c r="O904" i="727" s="1"/>
  <c r="L904" i="727"/>
  <c r="K904" i="727"/>
  <c r="J904" i="727"/>
  <c r="I904" i="727"/>
  <c r="H904" i="727"/>
  <c r="G904" i="727"/>
  <c r="O903" i="727"/>
  <c r="N903" i="727"/>
  <c r="M903" i="727"/>
  <c r="K903" i="727"/>
  <c r="J903" i="727"/>
  <c r="L903" i="727" s="1"/>
  <c r="I903" i="727"/>
  <c r="H903" i="727"/>
  <c r="G903" i="727"/>
  <c r="O902" i="727"/>
  <c r="N902" i="727"/>
  <c r="M902" i="727"/>
  <c r="K902" i="727"/>
  <c r="L902" i="727" s="1"/>
  <c r="J902" i="727"/>
  <c r="I902" i="727"/>
  <c r="H902" i="727"/>
  <c r="G902" i="727"/>
  <c r="O901" i="727"/>
  <c r="N901" i="727"/>
  <c r="M901" i="727"/>
  <c r="L901" i="727"/>
  <c r="K901" i="727"/>
  <c r="J901" i="727"/>
  <c r="I901" i="727"/>
  <c r="H901" i="727"/>
  <c r="G901" i="727"/>
  <c r="N900" i="727"/>
  <c r="M900" i="727"/>
  <c r="O900" i="727" s="1"/>
  <c r="L900" i="727"/>
  <c r="K900" i="727"/>
  <c r="J900" i="727"/>
  <c r="I900" i="727"/>
  <c r="H900" i="727"/>
  <c r="G900" i="727"/>
  <c r="N899" i="727"/>
  <c r="O899" i="727" s="1"/>
  <c r="M899" i="727"/>
  <c r="K899" i="727"/>
  <c r="J899" i="727"/>
  <c r="L899" i="727" s="1"/>
  <c r="I899" i="727"/>
  <c r="H899" i="727"/>
  <c r="G899" i="727"/>
  <c r="O898" i="727"/>
  <c r="N898" i="727"/>
  <c r="M898" i="727"/>
  <c r="K898" i="727"/>
  <c r="L898" i="727" s="1"/>
  <c r="J898" i="727"/>
  <c r="I898" i="727"/>
  <c r="H898" i="727"/>
  <c r="G898" i="727"/>
  <c r="O897" i="727"/>
  <c r="N897" i="727"/>
  <c r="M897" i="727"/>
  <c r="L897" i="727"/>
  <c r="K897" i="727"/>
  <c r="J897" i="727"/>
  <c r="I897" i="727"/>
  <c r="H897" i="727"/>
  <c r="G897" i="727"/>
  <c r="N896" i="727"/>
  <c r="M896" i="727"/>
  <c r="O896" i="727" s="1"/>
  <c r="L896" i="727"/>
  <c r="K896" i="727"/>
  <c r="J896" i="727"/>
  <c r="I896" i="727"/>
  <c r="H896" i="727"/>
  <c r="G896" i="727"/>
  <c r="N895" i="727"/>
  <c r="O895" i="727" s="1"/>
  <c r="M895" i="727"/>
  <c r="K895" i="727"/>
  <c r="J895" i="727"/>
  <c r="L895" i="727" s="1"/>
  <c r="I895" i="727"/>
  <c r="H895" i="727"/>
  <c r="G895" i="727"/>
  <c r="O894" i="727"/>
  <c r="N894" i="727"/>
  <c r="M894" i="727"/>
  <c r="K894" i="727"/>
  <c r="L894" i="727" s="1"/>
  <c r="J894" i="727"/>
  <c r="I894" i="727"/>
  <c r="H894" i="727"/>
  <c r="G894" i="727"/>
  <c r="N893" i="727"/>
  <c r="O893" i="727" s="1"/>
  <c r="M893" i="727"/>
  <c r="L893" i="727"/>
  <c r="K893" i="727"/>
  <c r="J893" i="727"/>
  <c r="I893" i="727"/>
  <c r="H893" i="727"/>
  <c r="G893" i="727"/>
  <c r="N892" i="727"/>
  <c r="M892" i="727"/>
  <c r="O892" i="727" s="1"/>
  <c r="K892" i="727"/>
  <c r="L892" i="727" s="1"/>
  <c r="J892" i="727"/>
  <c r="I892" i="727"/>
  <c r="H892" i="727"/>
  <c r="G892" i="727"/>
  <c r="N891" i="727"/>
  <c r="O891" i="727" s="1"/>
  <c r="M891" i="727"/>
  <c r="K891" i="727"/>
  <c r="J891" i="727"/>
  <c r="L891" i="727" s="1"/>
  <c r="I891" i="727"/>
  <c r="H891" i="727"/>
  <c r="G891" i="727"/>
  <c r="O890" i="727"/>
  <c r="N890" i="727"/>
  <c r="M890" i="727"/>
  <c r="K890" i="727"/>
  <c r="L890" i="727" s="1"/>
  <c r="J890" i="727"/>
  <c r="I890" i="727"/>
  <c r="H890" i="727"/>
  <c r="G890" i="727"/>
  <c r="N889" i="727"/>
  <c r="O889" i="727" s="1"/>
  <c r="M889" i="727"/>
  <c r="L889" i="727"/>
  <c r="K889" i="727"/>
  <c r="J889" i="727"/>
  <c r="I889" i="727"/>
  <c r="H889" i="727"/>
  <c r="G889" i="727"/>
  <c r="N888" i="727"/>
  <c r="M888" i="727"/>
  <c r="O888" i="727" s="1"/>
  <c r="K888" i="727"/>
  <c r="L888" i="727" s="1"/>
  <c r="J888" i="727"/>
  <c r="I888" i="727"/>
  <c r="H888" i="727"/>
  <c r="G888" i="727"/>
  <c r="N887" i="727"/>
  <c r="O887" i="727" s="1"/>
  <c r="M887" i="727"/>
  <c r="K887" i="727"/>
  <c r="J887" i="727"/>
  <c r="L887" i="727" s="1"/>
  <c r="I887" i="727"/>
  <c r="H887" i="727"/>
  <c r="G887" i="727"/>
  <c r="O886" i="727"/>
  <c r="N886" i="727"/>
  <c r="M886" i="727"/>
  <c r="K886" i="727"/>
  <c r="L886" i="727" s="1"/>
  <c r="J886" i="727"/>
  <c r="I886" i="727"/>
  <c r="H886" i="727"/>
  <c r="G886" i="727"/>
  <c r="N885" i="727"/>
  <c r="O885" i="727" s="1"/>
  <c r="M885" i="727"/>
  <c r="L885" i="727"/>
  <c r="K885" i="727"/>
  <c r="J885" i="727"/>
  <c r="I885" i="727"/>
  <c r="H885" i="727"/>
  <c r="G885" i="727"/>
  <c r="N884" i="727"/>
  <c r="M884" i="727"/>
  <c r="O884" i="727" s="1"/>
  <c r="K884" i="727"/>
  <c r="L884" i="727" s="1"/>
  <c r="J884" i="727"/>
  <c r="I884" i="727"/>
  <c r="H884" i="727"/>
  <c r="G884" i="727"/>
  <c r="N883" i="727"/>
  <c r="O883" i="727" s="1"/>
  <c r="M883" i="727"/>
  <c r="K883" i="727"/>
  <c r="J883" i="727"/>
  <c r="L883" i="727" s="1"/>
  <c r="I883" i="727"/>
  <c r="H883" i="727"/>
  <c r="G883" i="727"/>
  <c r="O882" i="727"/>
  <c r="N882" i="727"/>
  <c r="M882" i="727"/>
  <c r="K882" i="727"/>
  <c r="L882" i="727" s="1"/>
  <c r="J882" i="727"/>
  <c r="I882" i="727"/>
  <c r="H882" i="727"/>
  <c r="G882" i="727"/>
  <c r="N881" i="727"/>
  <c r="O881" i="727" s="1"/>
  <c r="M881" i="727"/>
  <c r="L881" i="727"/>
  <c r="K881" i="727"/>
  <c r="J881" i="727"/>
  <c r="I881" i="727"/>
  <c r="H881" i="727"/>
  <c r="G881" i="727"/>
  <c r="N880" i="727"/>
  <c r="M880" i="727"/>
  <c r="O880" i="727" s="1"/>
  <c r="K880" i="727"/>
  <c r="L880" i="727" s="1"/>
  <c r="J880" i="727"/>
  <c r="I880" i="727"/>
  <c r="H880" i="727"/>
  <c r="G880" i="727"/>
  <c r="N879" i="727"/>
  <c r="O879" i="727" s="1"/>
  <c r="M879" i="727"/>
  <c r="K879" i="727"/>
  <c r="J879" i="727"/>
  <c r="L879" i="727" s="1"/>
  <c r="I879" i="727"/>
  <c r="H879" i="727"/>
  <c r="G879" i="727"/>
  <c r="O878" i="727"/>
  <c r="N878" i="727"/>
  <c r="M878" i="727"/>
  <c r="K878" i="727"/>
  <c r="L878" i="727" s="1"/>
  <c r="J878" i="727"/>
  <c r="I878" i="727"/>
  <c r="H878" i="727"/>
  <c r="G878" i="727"/>
  <c r="N877" i="727"/>
  <c r="O877" i="727" s="1"/>
  <c r="M877" i="727"/>
  <c r="L877" i="727"/>
  <c r="K877" i="727"/>
  <c r="J877" i="727"/>
  <c r="I877" i="727"/>
  <c r="H877" i="727"/>
  <c r="G877" i="727"/>
  <c r="N876" i="727"/>
  <c r="M876" i="727"/>
  <c r="O876" i="727" s="1"/>
  <c r="K876" i="727"/>
  <c r="L876" i="727" s="1"/>
  <c r="J876" i="727"/>
  <c r="I876" i="727"/>
  <c r="H876" i="727"/>
  <c r="G876" i="727"/>
  <c r="N875" i="727"/>
  <c r="O875" i="727" s="1"/>
  <c r="M875" i="727"/>
  <c r="K875" i="727"/>
  <c r="J875" i="727"/>
  <c r="L875" i="727" s="1"/>
  <c r="I875" i="727"/>
  <c r="H875" i="727"/>
  <c r="G875" i="727"/>
  <c r="O874" i="727"/>
  <c r="N874" i="727"/>
  <c r="M874" i="727"/>
  <c r="K874" i="727"/>
  <c r="L874" i="727" s="1"/>
  <c r="J874" i="727"/>
  <c r="I874" i="727"/>
  <c r="H874" i="727"/>
  <c r="G874" i="727"/>
  <c r="N873" i="727"/>
  <c r="O873" i="727" s="1"/>
  <c r="M873" i="727"/>
  <c r="L873" i="727"/>
  <c r="K873" i="727"/>
  <c r="J873" i="727"/>
  <c r="I873" i="727"/>
  <c r="H873" i="727"/>
  <c r="G873" i="727"/>
  <c r="N872" i="727"/>
  <c r="M872" i="727"/>
  <c r="O872" i="727" s="1"/>
  <c r="K872" i="727"/>
  <c r="L872" i="727" s="1"/>
  <c r="J872" i="727"/>
  <c r="I872" i="727"/>
  <c r="H872" i="727"/>
  <c r="G872" i="727"/>
  <c r="N871" i="727"/>
  <c r="O871" i="727" s="1"/>
  <c r="M871" i="727"/>
  <c r="K871" i="727"/>
  <c r="J871" i="727"/>
  <c r="L871" i="727" s="1"/>
  <c r="I871" i="727"/>
  <c r="H871" i="727"/>
  <c r="G871" i="727"/>
  <c r="O870" i="727"/>
  <c r="N870" i="727"/>
  <c r="M870" i="727"/>
  <c r="K870" i="727"/>
  <c r="L870" i="727" s="1"/>
  <c r="J870" i="727"/>
  <c r="I870" i="727"/>
  <c r="H870" i="727"/>
  <c r="G870" i="727"/>
  <c r="N869" i="727"/>
  <c r="O869" i="727" s="1"/>
  <c r="M869" i="727"/>
  <c r="L869" i="727"/>
  <c r="K869" i="727"/>
  <c r="J869" i="727"/>
  <c r="I869" i="727"/>
  <c r="H869" i="727"/>
  <c r="G869" i="727"/>
  <c r="N868" i="727"/>
  <c r="M868" i="727"/>
  <c r="O868" i="727" s="1"/>
  <c r="K868" i="727"/>
  <c r="L868" i="727" s="1"/>
  <c r="J868" i="727"/>
  <c r="I868" i="727"/>
  <c r="H868" i="727"/>
  <c r="G868" i="727"/>
  <c r="N867" i="727"/>
  <c r="O867" i="727" s="1"/>
  <c r="M867" i="727"/>
  <c r="K867" i="727"/>
  <c r="J867" i="727"/>
  <c r="L867" i="727" s="1"/>
  <c r="I867" i="727"/>
  <c r="H867" i="727"/>
  <c r="G867" i="727"/>
  <c r="O866" i="727"/>
  <c r="N866" i="727"/>
  <c r="M866" i="727"/>
  <c r="K866" i="727"/>
  <c r="L866" i="727" s="1"/>
  <c r="J866" i="727"/>
  <c r="I866" i="727"/>
  <c r="H866" i="727"/>
  <c r="G866" i="727"/>
  <c r="N865" i="727"/>
  <c r="O865" i="727" s="1"/>
  <c r="M865" i="727"/>
  <c r="L865" i="727"/>
  <c r="K865" i="727"/>
  <c r="J865" i="727"/>
  <c r="I865" i="727"/>
  <c r="H865" i="727"/>
  <c r="G865" i="727"/>
  <c r="N864" i="727"/>
  <c r="M864" i="727"/>
  <c r="O864" i="727" s="1"/>
  <c r="K864" i="727"/>
  <c r="L864" i="727" s="1"/>
  <c r="J864" i="727"/>
  <c r="I864" i="727"/>
  <c r="H864" i="727"/>
  <c r="G864" i="727"/>
  <c r="N863" i="727"/>
  <c r="O863" i="727" s="1"/>
  <c r="M863" i="727"/>
  <c r="K863" i="727"/>
  <c r="J863" i="727"/>
  <c r="L863" i="727" s="1"/>
  <c r="I863" i="727"/>
  <c r="H863" i="727"/>
  <c r="G863" i="727"/>
  <c r="O862" i="727"/>
  <c r="N862" i="727"/>
  <c r="M862" i="727"/>
  <c r="K862" i="727"/>
  <c r="L862" i="727" s="1"/>
  <c r="J862" i="727"/>
  <c r="I862" i="727"/>
  <c r="H862" i="727"/>
  <c r="G862" i="727"/>
  <c r="N861" i="727"/>
  <c r="O861" i="727" s="1"/>
  <c r="M861" i="727"/>
  <c r="L861" i="727"/>
  <c r="K861" i="727"/>
  <c r="J861" i="727"/>
  <c r="I861" i="727"/>
  <c r="H861" i="727"/>
  <c r="G861" i="727"/>
  <c r="N860" i="727"/>
  <c r="M860" i="727"/>
  <c r="O860" i="727" s="1"/>
  <c r="K860" i="727"/>
  <c r="L860" i="727" s="1"/>
  <c r="J860" i="727"/>
  <c r="I860" i="727"/>
  <c r="H860" i="727"/>
  <c r="G860" i="727"/>
  <c r="N859" i="727"/>
  <c r="O859" i="727" s="1"/>
  <c r="M859" i="727"/>
  <c r="K859" i="727"/>
  <c r="J859" i="727"/>
  <c r="L859" i="727" s="1"/>
  <c r="I859" i="727"/>
  <c r="H859" i="727"/>
  <c r="G859" i="727"/>
  <c r="O858" i="727"/>
  <c r="N858" i="727"/>
  <c r="M858" i="727"/>
  <c r="K858" i="727"/>
  <c r="J858" i="727"/>
  <c r="I858" i="727"/>
  <c r="L858" i="727" s="1"/>
  <c r="H858" i="727"/>
  <c r="G858" i="727"/>
  <c r="N857" i="727"/>
  <c r="O857" i="727" s="1"/>
  <c r="M857" i="727"/>
  <c r="L857" i="727"/>
  <c r="K857" i="727"/>
  <c r="J857" i="727"/>
  <c r="I857" i="727"/>
  <c r="H857" i="727"/>
  <c r="G857" i="727"/>
  <c r="N856" i="727"/>
  <c r="M856" i="727"/>
  <c r="O856" i="727" s="1"/>
  <c r="K856" i="727"/>
  <c r="L856" i="727" s="1"/>
  <c r="J856" i="727"/>
  <c r="I856" i="727"/>
  <c r="H856" i="727"/>
  <c r="G856" i="727"/>
  <c r="N855" i="727"/>
  <c r="O855" i="727" s="1"/>
  <c r="M855" i="727"/>
  <c r="K855" i="727"/>
  <c r="J855" i="727"/>
  <c r="L855" i="727" s="1"/>
  <c r="I855" i="727"/>
  <c r="H855" i="727"/>
  <c r="G855" i="727"/>
  <c r="O854" i="727"/>
  <c r="N854" i="727"/>
  <c r="M854" i="727"/>
  <c r="K854" i="727"/>
  <c r="J854" i="727"/>
  <c r="I854" i="727"/>
  <c r="L854" i="727" s="1"/>
  <c r="H854" i="727"/>
  <c r="G854" i="727"/>
  <c r="N853" i="727"/>
  <c r="O853" i="727" s="1"/>
  <c r="M853" i="727"/>
  <c r="L853" i="727"/>
  <c r="K853" i="727"/>
  <c r="J853" i="727"/>
  <c r="I853" i="727"/>
  <c r="H853" i="727"/>
  <c r="G853" i="727"/>
  <c r="N852" i="727"/>
  <c r="M852" i="727"/>
  <c r="O852" i="727" s="1"/>
  <c r="K852" i="727"/>
  <c r="L852" i="727" s="1"/>
  <c r="J852" i="727"/>
  <c r="I852" i="727"/>
  <c r="H852" i="727"/>
  <c r="G852" i="727"/>
  <c r="N851" i="727"/>
  <c r="O851" i="727" s="1"/>
  <c r="M851" i="727"/>
  <c r="K851" i="727"/>
  <c r="J851" i="727"/>
  <c r="L851" i="727" s="1"/>
  <c r="I851" i="727"/>
  <c r="H851" i="727"/>
  <c r="G851" i="727"/>
  <c r="O850" i="727"/>
  <c r="N850" i="727"/>
  <c r="M850" i="727"/>
  <c r="K850" i="727"/>
  <c r="J850" i="727"/>
  <c r="I850" i="727"/>
  <c r="L850" i="727" s="1"/>
  <c r="H850" i="727"/>
  <c r="G850" i="727"/>
  <c r="N849" i="727"/>
  <c r="O849" i="727" s="1"/>
  <c r="M849" i="727"/>
  <c r="L849" i="727"/>
  <c r="K849" i="727"/>
  <c r="J849" i="727"/>
  <c r="I849" i="727"/>
  <c r="H849" i="727"/>
  <c r="G849" i="727"/>
  <c r="N848" i="727"/>
  <c r="M848" i="727"/>
  <c r="O848" i="727" s="1"/>
  <c r="K848" i="727"/>
  <c r="L848" i="727" s="1"/>
  <c r="J848" i="727"/>
  <c r="I848" i="727"/>
  <c r="H848" i="727"/>
  <c r="G848" i="727"/>
  <c r="N847" i="727"/>
  <c r="O847" i="727" s="1"/>
  <c r="M847" i="727"/>
  <c r="K847" i="727"/>
  <c r="J847" i="727"/>
  <c r="L847" i="727" s="1"/>
  <c r="I847" i="727"/>
  <c r="H847" i="727"/>
  <c r="G847" i="727"/>
  <c r="O846" i="727"/>
  <c r="N846" i="727"/>
  <c r="M846" i="727"/>
  <c r="K846" i="727"/>
  <c r="J846" i="727"/>
  <c r="I846" i="727"/>
  <c r="L846" i="727" s="1"/>
  <c r="H846" i="727"/>
  <c r="G846" i="727"/>
  <c r="N845" i="727"/>
  <c r="O845" i="727" s="1"/>
  <c r="M845" i="727"/>
  <c r="K845" i="727"/>
  <c r="L845" i="727" s="1"/>
  <c r="J845" i="727"/>
  <c r="I845" i="727"/>
  <c r="H845" i="727"/>
  <c r="G845" i="727"/>
  <c r="N844" i="727"/>
  <c r="M844" i="727"/>
  <c r="O844" i="727" s="1"/>
  <c r="K844" i="727"/>
  <c r="L844" i="727" s="1"/>
  <c r="J844" i="727"/>
  <c r="I844" i="727"/>
  <c r="H844" i="727"/>
  <c r="G844" i="727"/>
  <c r="N843" i="727"/>
  <c r="O843" i="727" s="1"/>
  <c r="M843" i="727"/>
  <c r="K843" i="727"/>
  <c r="J843" i="727"/>
  <c r="L843" i="727" s="1"/>
  <c r="I843" i="727"/>
  <c r="H843" i="727"/>
  <c r="G843" i="727"/>
  <c r="O842" i="727"/>
  <c r="N842" i="727"/>
  <c r="M842" i="727"/>
  <c r="K842" i="727"/>
  <c r="J842" i="727"/>
  <c r="I842" i="727"/>
  <c r="L842" i="727" s="1"/>
  <c r="H842" i="727"/>
  <c r="G842" i="727"/>
  <c r="N841" i="727"/>
  <c r="O841" i="727" s="1"/>
  <c r="M841" i="727"/>
  <c r="L841" i="727"/>
  <c r="K841" i="727"/>
  <c r="J841" i="727"/>
  <c r="I841" i="727"/>
  <c r="H841" i="727"/>
  <c r="G841" i="727"/>
  <c r="N840" i="727"/>
  <c r="M840" i="727"/>
  <c r="O840" i="727" s="1"/>
  <c r="K840" i="727"/>
  <c r="L840" i="727" s="1"/>
  <c r="J840" i="727"/>
  <c r="I840" i="727"/>
  <c r="H840" i="727"/>
  <c r="G840" i="727"/>
  <c r="N839" i="727"/>
  <c r="O839" i="727" s="1"/>
  <c r="M839" i="727"/>
  <c r="K839" i="727"/>
  <c r="J839" i="727"/>
  <c r="L839" i="727" s="1"/>
  <c r="I839" i="727"/>
  <c r="H839" i="727"/>
  <c r="G839" i="727"/>
  <c r="O838" i="727"/>
  <c r="N838" i="727"/>
  <c r="M838" i="727"/>
  <c r="K838" i="727"/>
  <c r="J838" i="727"/>
  <c r="I838" i="727"/>
  <c r="L838" i="727" s="1"/>
  <c r="H838" i="727"/>
  <c r="G838" i="727"/>
  <c r="N837" i="727"/>
  <c r="O837" i="727" s="1"/>
  <c r="M837" i="727"/>
  <c r="K837" i="727"/>
  <c r="L837" i="727" s="1"/>
  <c r="J837" i="727"/>
  <c r="I837" i="727"/>
  <c r="H837" i="727"/>
  <c r="G837" i="727"/>
  <c r="N836" i="727"/>
  <c r="M836" i="727"/>
  <c r="O836" i="727" s="1"/>
  <c r="K836" i="727"/>
  <c r="L836" i="727" s="1"/>
  <c r="J836" i="727"/>
  <c r="I836" i="727"/>
  <c r="H836" i="727"/>
  <c r="G836" i="727"/>
  <c r="N835" i="727"/>
  <c r="O835" i="727" s="1"/>
  <c r="M835" i="727"/>
  <c r="K835" i="727"/>
  <c r="J835" i="727"/>
  <c r="L835" i="727" s="1"/>
  <c r="I835" i="727"/>
  <c r="H835" i="727"/>
  <c r="G835" i="727"/>
  <c r="N834" i="727"/>
  <c r="O834" i="727" s="1"/>
  <c r="M834" i="727"/>
  <c r="K834" i="727"/>
  <c r="J834" i="727"/>
  <c r="I834" i="727"/>
  <c r="L834" i="727" s="1"/>
  <c r="H834" i="727"/>
  <c r="G834" i="727"/>
  <c r="N833" i="727"/>
  <c r="O833" i="727" s="1"/>
  <c r="M833" i="727"/>
  <c r="K833" i="727"/>
  <c r="L833" i="727" s="1"/>
  <c r="J833" i="727"/>
  <c r="I833" i="727"/>
  <c r="H833" i="727"/>
  <c r="G833" i="727"/>
  <c r="N832" i="727"/>
  <c r="M832" i="727"/>
  <c r="O832" i="727" s="1"/>
  <c r="K832" i="727"/>
  <c r="J832" i="727"/>
  <c r="I832" i="727"/>
  <c r="L832" i="727" s="1"/>
  <c r="H832" i="727"/>
  <c r="G832" i="727"/>
  <c r="N831" i="727"/>
  <c r="O831" i="727" s="1"/>
  <c r="M831" i="727"/>
  <c r="K831" i="727"/>
  <c r="J831" i="727"/>
  <c r="L831" i="727" s="1"/>
  <c r="I831" i="727"/>
  <c r="H831" i="727"/>
  <c r="G831" i="727"/>
  <c r="O830" i="727"/>
  <c r="N830" i="727"/>
  <c r="M830" i="727"/>
  <c r="K830" i="727"/>
  <c r="J830" i="727"/>
  <c r="I830" i="727"/>
  <c r="L830" i="727" s="1"/>
  <c r="H830" i="727"/>
  <c r="G830" i="727"/>
  <c r="N829" i="727"/>
  <c r="O829" i="727" s="1"/>
  <c r="M829" i="727"/>
  <c r="L829" i="727"/>
  <c r="K829" i="727"/>
  <c r="J829" i="727"/>
  <c r="I829" i="727"/>
  <c r="H829" i="727"/>
  <c r="G829" i="727"/>
  <c r="N828" i="727"/>
  <c r="M828" i="727"/>
  <c r="O828" i="727" s="1"/>
  <c r="K828" i="727"/>
  <c r="J828" i="727"/>
  <c r="I828" i="727"/>
  <c r="L828" i="727" s="1"/>
  <c r="H828" i="727"/>
  <c r="G828" i="727"/>
  <c r="N827" i="727"/>
  <c r="O827" i="727" s="1"/>
  <c r="M827" i="727"/>
  <c r="K827" i="727"/>
  <c r="J827" i="727"/>
  <c r="L827" i="727" s="1"/>
  <c r="I827" i="727"/>
  <c r="H827" i="727"/>
  <c r="G827" i="727"/>
  <c r="O826" i="727"/>
  <c r="N826" i="727"/>
  <c r="M826" i="727"/>
  <c r="K826" i="727"/>
  <c r="J826" i="727"/>
  <c r="I826" i="727"/>
  <c r="L826" i="727" s="1"/>
  <c r="H826" i="727"/>
  <c r="G826" i="727"/>
  <c r="N825" i="727"/>
  <c r="O825" i="727" s="1"/>
  <c r="M825" i="727"/>
  <c r="K825" i="727"/>
  <c r="L825" i="727" s="1"/>
  <c r="J825" i="727"/>
  <c r="I825" i="727"/>
  <c r="H825" i="727"/>
  <c r="G825" i="727"/>
  <c r="N824" i="727"/>
  <c r="O824" i="727" s="1"/>
  <c r="M824" i="727"/>
  <c r="K824" i="727"/>
  <c r="J824" i="727"/>
  <c r="I824" i="727"/>
  <c r="L824" i="727" s="1"/>
  <c r="H824" i="727"/>
  <c r="G824" i="727"/>
  <c r="N823" i="727"/>
  <c r="O823" i="727" s="1"/>
  <c r="M823" i="727"/>
  <c r="L823" i="727"/>
  <c r="K823" i="727"/>
  <c r="J823" i="727"/>
  <c r="I823" i="727"/>
  <c r="H823" i="727"/>
  <c r="G823" i="727"/>
  <c r="N822" i="727"/>
  <c r="O822" i="727" s="1"/>
  <c r="M822" i="727"/>
  <c r="K822" i="727"/>
  <c r="J822" i="727"/>
  <c r="I822" i="727"/>
  <c r="L822" i="727" s="1"/>
  <c r="H822" i="727"/>
  <c r="G822" i="727"/>
  <c r="N821" i="727"/>
  <c r="O821" i="727" s="1"/>
  <c r="M821" i="727"/>
  <c r="K821" i="727"/>
  <c r="L821" i="727" s="1"/>
  <c r="J821" i="727"/>
  <c r="I821" i="727"/>
  <c r="H821" i="727"/>
  <c r="G821" i="727"/>
  <c r="N820" i="727"/>
  <c r="M820" i="727"/>
  <c r="O820" i="727" s="1"/>
  <c r="K820" i="727"/>
  <c r="J820" i="727"/>
  <c r="I820" i="727"/>
  <c r="L820" i="727" s="1"/>
  <c r="H820" i="727"/>
  <c r="G820" i="727"/>
  <c r="N819" i="727"/>
  <c r="O819" i="727" s="1"/>
  <c r="M819" i="727"/>
  <c r="K819" i="727"/>
  <c r="J819" i="727"/>
  <c r="L819" i="727" s="1"/>
  <c r="I819" i="727"/>
  <c r="H819" i="727"/>
  <c r="G819" i="727"/>
  <c r="N818" i="727"/>
  <c r="O818" i="727" s="1"/>
  <c r="M818" i="727"/>
  <c r="K818" i="727"/>
  <c r="J818" i="727"/>
  <c r="I818" i="727"/>
  <c r="L818" i="727" s="1"/>
  <c r="H818" i="727"/>
  <c r="G818" i="727"/>
  <c r="N817" i="727"/>
  <c r="O817" i="727" s="1"/>
  <c r="M817" i="727"/>
  <c r="L817" i="727"/>
  <c r="K817" i="727"/>
  <c r="J817" i="727"/>
  <c r="I817" i="727"/>
  <c r="H817" i="727"/>
  <c r="G817" i="727"/>
  <c r="N816" i="727"/>
  <c r="M816" i="727"/>
  <c r="O816" i="727" s="1"/>
  <c r="K816" i="727"/>
  <c r="J816" i="727"/>
  <c r="I816" i="727"/>
  <c r="H816" i="727"/>
  <c r="G816" i="727"/>
  <c r="N815" i="727"/>
  <c r="O815" i="727" s="1"/>
  <c r="M815" i="727"/>
  <c r="K815" i="727"/>
  <c r="J815" i="727"/>
  <c r="L815" i="727" s="1"/>
  <c r="I815" i="727"/>
  <c r="H815" i="727"/>
  <c r="G815" i="727"/>
  <c r="O814" i="727"/>
  <c r="N814" i="727"/>
  <c r="M814" i="727"/>
  <c r="K814" i="727"/>
  <c r="J814" i="727"/>
  <c r="I814" i="727"/>
  <c r="L814" i="727" s="1"/>
  <c r="H814" i="727"/>
  <c r="G814" i="727"/>
  <c r="N813" i="727"/>
  <c r="O813" i="727" s="1"/>
  <c r="M813" i="727"/>
  <c r="K813" i="727"/>
  <c r="L813" i="727" s="1"/>
  <c r="J813" i="727"/>
  <c r="I813" i="727"/>
  <c r="H813" i="727"/>
  <c r="G813" i="727"/>
  <c r="N812" i="727"/>
  <c r="O812" i="727" s="1"/>
  <c r="M812" i="727"/>
  <c r="K812" i="727"/>
  <c r="J812" i="727"/>
  <c r="I812" i="727"/>
  <c r="H812" i="727"/>
  <c r="G812" i="727"/>
  <c r="N811" i="727"/>
  <c r="O811" i="727" s="1"/>
  <c r="M811" i="727"/>
  <c r="L811" i="727"/>
  <c r="K811" i="727"/>
  <c r="J811" i="727"/>
  <c r="I811" i="727"/>
  <c r="H811" i="727"/>
  <c r="G811" i="727"/>
  <c r="N810" i="727"/>
  <c r="O810" i="727" s="1"/>
  <c r="M810" i="727"/>
  <c r="K810" i="727"/>
  <c r="J810" i="727"/>
  <c r="I810" i="727"/>
  <c r="H810" i="727"/>
  <c r="G810" i="727"/>
  <c r="N809" i="727"/>
  <c r="O809" i="727" s="1"/>
  <c r="M809" i="727"/>
  <c r="K809" i="727"/>
  <c r="L809" i="727" s="1"/>
  <c r="J809" i="727"/>
  <c r="I809" i="727"/>
  <c r="H809" i="727"/>
  <c r="G809" i="727"/>
  <c r="N808" i="727"/>
  <c r="M808" i="727"/>
  <c r="O808" i="727" s="1"/>
  <c r="K808" i="727"/>
  <c r="J808" i="727"/>
  <c r="I808" i="727"/>
  <c r="L808" i="727" s="1"/>
  <c r="H808" i="727"/>
  <c r="G808" i="727"/>
  <c r="N807" i="727"/>
  <c r="O807" i="727" s="1"/>
  <c r="M807" i="727"/>
  <c r="K807" i="727"/>
  <c r="J807" i="727"/>
  <c r="L807" i="727" s="1"/>
  <c r="I807" i="727"/>
  <c r="H807" i="727"/>
  <c r="G807" i="727"/>
  <c r="N806" i="727"/>
  <c r="O806" i="727" s="1"/>
  <c r="M806" i="727"/>
  <c r="K806" i="727"/>
  <c r="J806" i="727"/>
  <c r="I806" i="727"/>
  <c r="H806" i="727"/>
  <c r="G806" i="727"/>
  <c r="N805" i="727"/>
  <c r="O805" i="727" s="1"/>
  <c r="M805" i="727"/>
  <c r="L805" i="727"/>
  <c r="K805" i="727"/>
  <c r="J805" i="727"/>
  <c r="I805" i="727"/>
  <c r="H805" i="727"/>
  <c r="G805" i="727"/>
  <c r="N804" i="727"/>
  <c r="M804" i="727"/>
  <c r="O804" i="727" s="1"/>
  <c r="K804" i="727"/>
  <c r="J804" i="727"/>
  <c r="I804" i="727"/>
  <c r="H804" i="727"/>
  <c r="G804" i="727"/>
  <c r="N803" i="727"/>
  <c r="O803" i="727" s="1"/>
  <c r="M803" i="727"/>
  <c r="K803" i="727"/>
  <c r="J803" i="727"/>
  <c r="L803" i="727" s="1"/>
  <c r="I803" i="727"/>
  <c r="H803" i="727"/>
  <c r="G803" i="727"/>
  <c r="O802" i="727"/>
  <c r="N802" i="727"/>
  <c r="M802" i="727"/>
  <c r="K802" i="727"/>
  <c r="J802" i="727"/>
  <c r="I802" i="727"/>
  <c r="L802" i="727" s="1"/>
  <c r="H802" i="727"/>
  <c r="G802" i="727"/>
  <c r="N801" i="727"/>
  <c r="O801" i="727" s="1"/>
  <c r="M801" i="727"/>
  <c r="K801" i="727"/>
  <c r="J801" i="727"/>
  <c r="I801" i="727"/>
  <c r="L801" i="727" s="1"/>
  <c r="H801" i="727"/>
  <c r="G801" i="727"/>
  <c r="N800" i="727"/>
  <c r="O800" i="727" s="1"/>
  <c r="M800" i="727"/>
  <c r="K800" i="727"/>
  <c r="J800" i="727"/>
  <c r="I800" i="727"/>
  <c r="H800" i="727"/>
  <c r="G800" i="727"/>
  <c r="O799" i="727"/>
  <c r="N799" i="727"/>
  <c r="M799" i="727"/>
  <c r="K799" i="727"/>
  <c r="J799" i="727"/>
  <c r="L799" i="727" s="1"/>
  <c r="I799" i="727"/>
  <c r="H799" i="727"/>
  <c r="G799" i="727"/>
  <c r="N798" i="727"/>
  <c r="O798" i="727" s="1"/>
  <c r="M798" i="727"/>
  <c r="K798" i="727"/>
  <c r="J798" i="727"/>
  <c r="I798" i="727"/>
  <c r="L798" i="727" s="1"/>
  <c r="H798" i="727"/>
  <c r="G798" i="727"/>
  <c r="N797" i="727"/>
  <c r="O797" i="727" s="1"/>
  <c r="M797" i="727"/>
  <c r="K797" i="727"/>
  <c r="J797" i="727"/>
  <c r="I797" i="727"/>
  <c r="L797" i="727" s="1"/>
  <c r="H797" i="727"/>
  <c r="G797" i="727"/>
  <c r="O796" i="727"/>
  <c r="N796" i="727"/>
  <c r="M796" i="727"/>
  <c r="L796" i="727"/>
  <c r="K796" i="727"/>
  <c r="J796" i="727"/>
  <c r="I796" i="727"/>
  <c r="H796" i="727"/>
  <c r="G796" i="727"/>
  <c r="N795" i="727"/>
  <c r="O795" i="727" s="1"/>
  <c r="M795" i="727"/>
  <c r="K795" i="727"/>
  <c r="J795" i="727"/>
  <c r="I795" i="727"/>
  <c r="L795" i="727" s="1"/>
  <c r="H795" i="727"/>
  <c r="G795" i="727"/>
  <c r="N794" i="727"/>
  <c r="O794" i="727" s="1"/>
  <c r="M794" i="727"/>
  <c r="K794" i="727"/>
  <c r="J794" i="727"/>
  <c r="I794" i="727"/>
  <c r="L794" i="727" s="1"/>
  <c r="H794" i="727"/>
  <c r="G794" i="727"/>
  <c r="O793" i="727"/>
  <c r="N793" i="727"/>
  <c r="M793" i="727"/>
  <c r="K793" i="727"/>
  <c r="J793" i="727"/>
  <c r="I793" i="727"/>
  <c r="L793" i="727" s="1"/>
  <c r="H793" i="727"/>
  <c r="G793" i="727"/>
  <c r="O792" i="727"/>
  <c r="N792" i="727"/>
  <c r="M792" i="727"/>
  <c r="L792" i="727"/>
  <c r="K792" i="727"/>
  <c r="J792" i="727"/>
  <c r="I792" i="727"/>
  <c r="H792" i="727"/>
  <c r="G792" i="727"/>
  <c r="N791" i="727"/>
  <c r="O791" i="727" s="1"/>
  <c r="M791" i="727"/>
  <c r="K791" i="727"/>
  <c r="J791" i="727"/>
  <c r="I791" i="727"/>
  <c r="L791" i="727" s="1"/>
  <c r="H791" i="727"/>
  <c r="G791" i="727"/>
  <c r="N790" i="727"/>
  <c r="O790" i="727" s="1"/>
  <c r="M790" i="727"/>
  <c r="K790" i="727"/>
  <c r="J790" i="727"/>
  <c r="I790" i="727"/>
  <c r="L790" i="727" s="1"/>
  <c r="H790" i="727"/>
  <c r="G790" i="727"/>
  <c r="O789" i="727"/>
  <c r="N789" i="727"/>
  <c r="M789" i="727"/>
  <c r="K789" i="727"/>
  <c r="J789" i="727"/>
  <c r="I789" i="727"/>
  <c r="L789" i="727" s="1"/>
  <c r="H789" i="727"/>
  <c r="G789" i="727"/>
  <c r="O788" i="727"/>
  <c r="N788" i="727"/>
  <c r="M788" i="727"/>
  <c r="L788" i="727"/>
  <c r="K788" i="727"/>
  <c r="J788" i="727"/>
  <c r="I788" i="727"/>
  <c r="H788" i="727"/>
  <c r="G788" i="727"/>
  <c r="N787" i="727"/>
  <c r="O787" i="727" s="1"/>
  <c r="M787" i="727"/>
  <c r="K787" i="727"/>
  <c r="J787" i="727"/>
  <c r="I787" i="727"/>
  <c r="L787" i="727" s="1"/>
  <c r="H787" i="727"/>
  <c r="G787" i="727"/>
  <c r="N786" i="727"/>
  <c r="O786" i="727" s="1"/>
  <c r="M786" i="727"/>
  <c r="K786" i="727"/>
  <c r="J786" i="727"/>
  <c r="I786" i="727"/>
  <c r="L786" i="727" s="1"/>
  <c r="H786" i="727"/>
  <c r="G786" i="727"/>
  <c r="O785" i="727"/>
  <c r="N785" i="727"/>
  <c r="M785" i="727"/>
  <c r="K785" i="727"/>
  <c r="J785" i="727"/>
  <c r="I785" i="727"/>
  <c r="L785" i="727" s="1"/>
  <c r="H785" i="727"/>
  <c r="G785" i="727"/>
  <c r="O784" i="727"/>
  <c r="N784" i="727"/>
  <c r="M784" i="727"/>
  <c r="L784" i="727"/>
  <c r="K784" i="727"/>
  <c r="J784" i="727"/>
  <c r="I784" i="727"/>
  <c r="H784" i="727"/>
  <c r="G784" i="727"/>
  <c r="N783" i="727"/>
  <c r="O783" i="727" s="1"/>
  <c r="M783" i="727"/>
  <c r="K783" i="727"/>
  <c r="J783" i="727"/>
  <c r="I783" i="727"/>
  <c r="L783" i="727" s="1"/>
  <c r="H783" i="727"/>
  <c r="G783" i="727"/>
  <c r="N782" i="727"/>
  <c r="O782" i="727" s="1"/>
  <c r="M782" i="727"/>
  <c r="K782" i="727"/>
  <c r="J782" i="727"/>
  <c r="I782" i="727"/>
  <c r="L782" i="727" s="1"/>
  <c r="H782" i="727"/>
  <c r="G782" i="727"/>
  <c r="O781" i="727"/>
  <c r="N781" i="727"/>
  <c r="M781" i="727"/>
  <c r="K781" i="727"/>
  <c r="J781" i="727"/>
  <c r="I781" i="727"/>
  <c r="L781" i="727" s="1"/>
  <c r="H781" i="727"/>
  <c r="G781" i="727"/>
  <c r="O780" i="727"/>
  <c r="N780" i="727"/>
  <c r="M780" i="727"/>
  <c r="L780" i="727"/>
  <c r="K780" i="727"/>
  <c r="J780" i="727"/>
  <c r="I780" i="727"/>
  <c r="H780" i="727"/>
  <c r="G780" i="727"/>
  <c r="N779" i="727"/>
  <c r="O779" i="727" s="1"/>
  <c r="M779" i="727"/>
  <c r="K779" i="727"/>
  <c r="J779" i="727"/>
  <c r="I779" i="727"/>
  <c r="L779" i="727" s="1"/>
  <c r="H779" i="727"/>
  <c r="G779" i="727"/>
  <c r="N778" i="727"/>
  <c r="O778" i="727" s="1"/>
  <c r="M778" i="727"/>
  <c r="K778" i="727"/>
  <c r="J778" i="727"/>
  <c r="I778" i="727"/>
  <c r="L778" i="727" s="1"/>
  <c r="H778" i="727"/>
  <c r="G778" i="727"/>
  <c r="O777" i="727"/>
  <c r="N777" i="727"/>
  <c r="M777" i="727"/>
  <c r="K777" i="727"/>
  <c r="J777" i="727"/>
  <c r="I777" i="727"/>
  <c r="L777" i="727" s="1"/>
  <c r="H777" i="727"/>
  <c r="G777" i="727"/>
  <c r="O776" i="727"/>
  <c r="N776" i="727"/>
  <c r="M776" i="727"/>
  <c r="L776" i="727"/>
  <c r="K776" i="727"/>
  <c r="J776" i="727"/>
  <c r="I776" i="727"/>
  <c r="H776" i="727"/>
  <c r="G776" i="727"/>
  <c r="N775" i="727"/>
  <c r="O775" i="727" s="1"/>
  <c r="M775" i="727"/>
  <c r="K775" i="727"/>
  <c r="J775" i="727"/>
  <c r="I775" i="727"/>
  <c r="L775" i="727" s="1"/>
  <c r="H775" i="727"/>
  <c r="G775" i="727"/>
  <c r="N774" i="727"/>
  <c r="M774" i="727"/>
  <c r="O774" i="727" s="1"/>
  <c r="K774" i="727"/>
  <c r="J774" i="727"/>
  <c r="I774" i="727"/>
  <c r="L774" i="727" s="1"/>
  <c r="H774" i="727"/>
  <c r="G774" i="727"/>
  <c r="O773" i="727"/>
  <c r="N773" i="727"/>
  <c r="M773" i="727"/>
  <c r="K773" i="727"/>
  <c r="J773" i="727"/>
  <c r="I773" i="727"/>
  <c r="L773" i="727" s="1"/>
  <c r="H773" i="727"/>
  <c r="G773" i="727"/>
  <c r="N772" i="727"/>
  <c r="O772" i="727" s="1"/>
  <c r="M772" i="727"/>
  <c r="L772" i="727"/>
  <c r="K772" i="727"/>
  <c r="J772" i="727"/>
  <c r="I772" i="727"/>
  <c r="H772" i="727"/>
  <c r="G772" i="727"/>
  <c r="N771" i="727"/>
  <c r="O771" i="727" s="1"/>
  <c r="M771" i="727"/>
  <c r="K771" i="727"/>
  <c r="J771" i="727"/>
  <c r="I771" i="727"/>
  <c r="L771" i="727" s="1"/>
  <c r="H771" i="727"/>
  <c r="G771" i="727"/>
  <c r="N770" i="727"/>
  <c r="M770" i="727"/>
  <c r="O770" i="727" s="1"/>
  <c r="K770" i="727"/>
  <c r="J770" i="727"/>
  <c r="I770" i="727"/>
  <c r="L770" i="727" s="1"/>
  <c r="H770" i="727"/>
  <c r="G770" i="727"/>
  <c r="O769" i="727"/>
  <c r="N769" i="727"/>
  <c r="M769" i="727"/>
  <c r="K769" i="727"/>
  <c r="J769" i="727"/>
  <c r="I769" i="727"/>
  <c r="L769" i="727" s="1"/>
  <c r="H769" i="727"/>
  <c r="G769" i="727"/>
  <c r="N768" i="727"/>
  <c r="O768" i="727" s="1"/>
  <c r="M768" i="727"/>
  <c r="L768" i="727"/>
  <c r="K768" i="727"/>
  <c r="J768" i="727"/>
  <c r="I768" i="727"/>
  <c r="H768" i="727"/>
  <c r="G768" i="727"/>
  <c r="N767" i="727"/>
  <c r="O767" i="727" s="1"/>
  <c r="M767" i="727"/>
  <c r="K767" i="727"/>
  <c r="J767" i="727"/>
  <c r="I767" i="727"/>
  <c r="L767" i="727" s="1"/>
  <c r="H767" i="727"/>
  <c r="G767" i="727"/>
  <c r="N766" i="727"/>
  <c r="M766" i="727"/>
  <c r="O766" i="727" s="1"/>
  <c r="K766" i="727"/>
  <c r="J766" i="727"/>
  <c r="I766" i="727"/>
  <c r="H766" i="727"/>
  <c r="G766" i="727"/>
  <c r="O765" i="727"/>
  <c r="N765" i="727"/>
  <c r="M765" i="727"/>
  <c r="K765" i="727"/>
  <c r="J765" i="727"/>
  <c r="I765" i="727"/>
  <c r="L765" i="727" s="1"/>
  <c r="H765" i="727"/>
  <c r="G765" i="727"/>
  <c r="O764" i="727"/>
  <c r="N764" i="727"/>
  <c r="M764" i="727"/>
  <c r="L764" i="727"/>
  <c r="K764" i="727"/>
  <c r="J764" i="727"/>
  <c r="I764" i="727"/>
  <c r="H764" i="727"/>
  <c r="G764" i="727"/>
  <c r="N763" i="727"/>
  <c r="O763" i="727" s="1"/>
  <c r="M763" i="727"/>
  <c r="K763" i="727"/>
  <c r="J763" i="727"/>
  <c r="I763" i="727"/>
  <c r="H763" i="727"/>
  <c r="G763" i="727"/>
  <c r="N762" i="727"/>
  <c r="M762" i="727"/>
  <c r="O762" i="727" s="1"/>
  <c r="K762" i="727"/>
  <c r="J762" i="727"/>
  <c r="I762" i="727"/>
  <c r="L762" i="727" s="1"/>
  <c r="H762" i="727"/>
  <c r="G762" i="727"/>
  <c r="O761" i="727"/>
  <c r="N761" i="727"/>
  <c r="M761" i="727"/>
  <c r="K761" i="727"/>
  <c r="J761" i="727"/>
  <c r="I761" i="727"/>
  <c r="L761" i="727" s="1"/>
  <c r="H761" i="727"/>
  <c r="G761" i="727"/>
  <c r="N760" i="727"/>
  <c r="O760" i="727" s="1"/>
  <c r="M760" i="727"/>
  <c r="L760" i="727"/>
  <c r="K760" i="727"/>
  <c r="J760" i="727"/>
  <c r="I760" i="727"/>
  <c r="H760" i="727"/>
  <c r="G760" i="727"/>
  <c r="N759" i="727"/>
  <c r="O759" i="727" s="1"/>
  <c r="M759" i="727"/>
  <c r="K759" i="727"/>
  <c r="J759" i="727"/>
  <c r="I759" i="727"/>
  <c r="L759" i="727" s="1"/>
  <c r="H759" i="727"/>
  <c r="G759" i="727"/>
  <c r="N758" i="727"/>
  <c r="M758" i="727"/>
  <c r="O758" i="727" s="1"/>
  <c r="K758" i="727"/>
  <c r="J758" i="727"/>
  <c r="I758" i="727"/>
  <c r="L758" i="727" s="1"/>
  <c r="H758" i="727"/>
  <c r="G758" i="727"/>
  <c r="O757" i="727"/>
  <c r="N757" i="727"/>
  <c r="M757" i="727"/>
  <c r="K757" i="727"/>
  <c r="J757" i="727"/>
  <c r="I757" i="727"/>
  <c r="L757" i="727" s="1"/>
  <c r="H757" i="727"/>
  <c r="G757" i="727"/>
  <c r="N756" i="727"/>
  <c r="O756" i="727" s="1"/>
  <c r="M756" i="727"/>
  <c r="L756" i="727"/>
  <c r="K756" i="727"/>
  <c r="J756" i="727"/>
  <c r="I756" i="727"/>
  <c r="H756" i="727"/>
  <c r="G756" i="727"/>
  <c r="N755" i="727"/>
  <c r="O755" i="727" s="1"/>
  <c r="M755" i="727"/>
  <c r="K755" i="727"/>
  <c r="J755" i="727"/>
  <c r="I755" i="727"/>
  <c r="L755" i="727" s="1"/>
  <c r="H755" i="727"/>
  <c r="G755" i="727"/>
  <c r="N754" i="727"/>
  <c r="M754" i="727"/>
  <c r="O754" i="727" s="1"/>
  <c r="K754" i="727"/>
  <c r="J754" i="727"/>
  <c r="I754" i="727"/>
  <c r="H754" i="727"/>
  <c r="G754" i="727"/>
  <c r="O753" i="727"/>
  <c r="N753" i="727"/>
  <c r="M753" i="727"/>
  <c r="K753" i="727"/>
  <c r="J753" i="727"/>
  <c r="I753" i="727"/>
  <c r="L753" i="727" s="1"/>
  <c r="H753" i="727"/>
  <c r="G753" i="727"/>
  <c r="O752" i="727"/>
  <c r="N752" i="727"/>
  <c r="M752" i="727"/>
  <c r="L752" i="727"/>
  <c r="K752" i="727"/>
  <c r="J752" i="727"/>
  <c r="I752" i="727"/>
  <c r="H752" i="727"/>
  <c r="G752" i="727"/>
  <c r="N751" i="727"/>
  <c r="O751" i="727" s="1"/>
  <c r="M751" i="727"/>
  <c r="K751" i="727"/>
  <c r="J751" i="727"/>
  <c r="I751" i="727"/>
  <c r="L751" i="727" s="1"/>
  <c r="H751" i="727"/>
  <c r="G751" i="727"/>
  <c r="N750" i="727"/>
  <c r="M750" i="727"/>
  <c r="O750" i="727" s="1"/>
  <c r="K750" i="727"/>
  <c r="J750" i="727"/>
  <c r="I750" i="727"/>
  <c r="L750" i="727" s="1"/>
  <c r="H750" i="727"/>
  <c r="G750" i="727"/>
  <c r="O749" i="727"/>
  <c r="N749" i="727"/>
  <c r="M749" i="727"/>
  <c r="K749" i="727"/>
  <c r="J749" i="727"/>
  <c r="I749" i="727"/>
  <c r="L749" i="727" s="1"/>
  <c r="H749" i="727"/>
  <c r="G749" i="727"/>
  <c r="N748" i="727"/>
  <c r="O748" i="727" s="1"/>
  <c r="M748" i="727"/>
  <c r="L748" i="727"/>
  <c r="K748" i="727"/>
  <c r="J748" i="727"/>
  <c r="I748" i="727"/>
  <c r="H748" i="727"/>
  <c r="G748" i="727"/>
  <c r="N747" i="727"/>
  <c r="O747" i="727" s="1"/>
  <c r="M747" i="727"/>
  <c r="K747" i="727"/>
  <c r="J747" i="727"/>
  <c r="L747" i="727" s="1"/>
  <c r="I747" i="727"/>
  <c r="H747" i="727"/>
  <c r="G747" i="727"/>
  <c r="N746" i="727"/>
  <c r="M746" i="727"/>
  <c r="O746" i="727" s="1"/>
  <c r="K746" i="727"/>
  <c r="J746" i="727"/>
  <c r="I746" i="727"/>
  <c r="L746" i="727" s="1"/>
  <c r="H746" i="727"/>
  <c r="G746" i="727"/>
  <c r="O745" i="727"/>
  <c r="N745" i="727"/>
  <c r="M745" i="727"/>
  <c r="K745" i="727"/>
  <c r="J745" i="727"/>
  <c r="I745" i="727"/>
  <c r="L745" i="727" s="1"/>
  <c r="H745" i="727"/>
  <c r="G745" i="727"/>
  <c r="N744" i="727"/>
  <c r="M744" i="727"/>
  <c r="O744" i="727" s="1"/>
  <c r="L744" i="727"/>
  <c r="K744" i="727"/>
  <c r="J744" i="727"/>
  <c r="I744" i="727"/>
  <c r="H744" i="727"/>
  <c r="G744" i="727"/>
  <c r="N743" i="727"/>
  <c r="O743" i="727" s="1"/>
  <c r="M743" i="727"/>
  <c r="K743" i="727"/>
  <c r="J743" i="727"/>
  <c r="I743" i="727"/>
  <c r="L743" i="727" s="1"/>
  <c r="H743" i="727"/>
  <c r="G743" i="727"/>
  <c r="N742" i="727"/>
  <c r="M742" i="727"/>
  <c r="O742" i="727" s="1"/>
  <c r="K742" i="727"/>
  <c r="J742" i="727"/>
  <c r="I742" i="727"/>
  <c r="H742" i="727"/>
  <c r="G742" i="727"/>
  <c r="O741" i="727"/>
  <c r="N741" i="727"/>
  <c r="M741" i="727"/>
  <c r="K741" i="727"/>
  <c r="J741" i="727"/>
  <c r="I741" i="727"/>
  <c r="L741" i="727" s="1"/>
  <c r="H741" i="727"/>
  <c r="G741" i="727"/>
  <c r="N740" i="727"/>
  <c r="M740" i="727"/>
  <c r="O740" i="727" s="1"/>
  <c r="L740" i="727"/>
  <c r="K740" i="727"/>
  <c r="J740" i="727"/>
  <c r="I740" i="727"/>
  <c r="H740" i="727"/>
  <c r="G740" i="727"/>
  <c r="N739" i="727"/>
  <c r="O739" i="727" s="1"/>
  <c r="M739" i="727"/>
  <c r="K739" i="727"/>
  <c r="J739" i="727"/>
  <c r="I739" i="727"/>
  <c r="L739" i="727" s="1"/>
  <c r="H739" i="727"/>
  <c r="G739" i="727"/>
  <c r="N738" i="727"/>
  <c r="M738" i="727"/>
  <c r="O738" i="727" s="1"/>
  <c r="K738" i="727"/>
  <c r="J738" i="727"/>
  <c r="I738" i="727"/>
  <c r="L738" i="727" s="1"/>
  <c r="H738" i="727"/>
  <c r="G738" i="727"/>
  <c r="O737" i="727"/>
  <c r="N737" i="727"/>
  <c r="M737" i="727"/>
  <c r="K737" i="727"/>
  <c r="J737" i="727"/>
  <c r="I737" i="727"/>
  <c r="L737" i="727" s="1"/>
  <c r="H737" i="727"/>
  <c r="G737" i="727"/>
  <c r="N736" i="727"/>
  <c r="O736" i="727" s="1"/>
  <c r="M736" i="727"/>
  <c r="L736" i="727"/>
  <c r="K736" i="727"/>
  <c r="J736" i="727"/>
  <c r="I736" i="727"/>
  <c r="H736" i="727"/>
  <c r="G736" i="727"/>
  <c r="N735" i="727"/>
  <c r="O735" i="727" s="1"/>
  <c r="M735" i="727"/>
  <c r="K735" i="727"/>
  <c r="J735" i="727"/>
  <c r="L735" i="727" s="1"/>
  <c r="I735" i="727"/>
  <c r="H735" i="727"/>
  <c r="G735" i="727"/>
  <c r="N734" i="727"/>
  <c r="M734" i="727"/>
  <c r="O734" i="727" s="1"/>
  <c r="K734" i="727"/>
  <c r="J734" i="727"/>
  <c r="I734" i="727"/>
  <c r="L734" i="727" s="1"/>
  <c r="H734" i="727"/>
  <c r="G734" i="727"/>
  <c r="O733" i="727"/>
  <c r="N733" i="727"/>
  <c r="M733" i="727"/>
  <c r="K733" i="727"/>
  <c r="J733" i="727"/>
  <c r="I733" i="727"/>
  <c r="L733" i="727" s="1"/>
  <c r="H733" i="727"/>
  <c r="G733" i="727"/>
  <c r="N732" i="727"/>
  <c r="M732" i="727"/>
  <c r="O732" i="727" s="1"/>
  <c r="L732" i="727"/>
  <c r="K732" i="727"/>
  <c r="J732" i="727"/>
  <c r="I732" i="727"/>
  <c r="H732" i="727"/>
  <c r="G732" i="727"/>
  <c r="N731" i="727"/>
  <c r="O731" i="727" s="1"/>
  <c r="M731" i="727"/>
  <c r="K731" i="727"/>
  <c r="J731" i="727"/>
  <c r="I731" i="727"/>
  <c r="L731" i="727" s="1"/>
  <c r="H731" i="727"/>
  <c r="G731" i="727"/>
  <c r="N730" i="727"/>
  <c r="M730" i="727"/>
  <c r="O730" i="727" s="1"/>
  <c r="K730" i="727"/>
  <c r="J730" i="727"/>
  <c r="I730" i="727"/>
  <c r="H730" i="727"/>
  <c r="G730" i="727"/>
  <c r="O729" i="727"/>
  <c r="N729" i="727"/>
  <c r="M729" i="727"/>
  <c r="K729" i="727"/>
  <c r="J729" i="727"/>
  <c r="I729" i="727"/>
  <c r="L729" i="727" s="1"/>
  <c r="H729" i="727"/>
  <c r="G729" i="727"/>
  <c r="N728" i="727"/>
  <c r="M728" i="727"/>
  <c r="O728" i="727" s="1"/>
  <c r="L728" i="727"/>
  <c r="K728" i="727"/>
  <c r="J728" i="727"/>
  <c r="I728" i="727"/>
  <c r="H728" i="727"/>
  <c r="G728" i="727"/>
  <c r="N727" i="727"/>
  <c r="O727" i="727" s="1"/>
  <c r="M727" i="727"/>
  <c r="K727" i="727"/>
  <c r="J727" i="727"/>
  <c r="I727" i="727"/>
  <c r="L727" i="727" s="1"/>
  <c r="H727" i="727"/>
  <c r="G727" i="727"/>
  <c r="N726" i="727"/>
  <c r="M726" i="727"/>
  <c r="O726" i="727" s="1"/>
  <c r="K726" i="727"/>
  <c r="J726" i="727"/>
  <c r="I726" i="727"/>
  <c r="L726" i="727" s="1"/>
  <c r="H726" i="727"/>
  <c r="G726" i="727"/>
  <c r="O725" i="727"/>
  <c r="N725" i="727"/>
  <c r="M725" i="727"/>
  <c r="K725" i="727"/>
  <c r="J725" i="727"/>
  <c r="I725" i="727"/>
  <c r="L725" i="727" s="1"/>
  <c r="H725" i="727"/>
  <c r="G725" i="727"/>
  <c r="N724" i="727"/>
  <c r="O724" i="727" s="1"/>
  <c r="M724" i="727"/>
  <c r="L724" i="727"/>
  <c r="K724" i="727"/>
  <c r="J724" i="727"/>
  <c r="I724" i="727"/>
  <c r="H724" i="727"/>
  <c r="G724" i="727"/>
  <c r="N723" i="727"/>
  <c r="O723" i="727" s="1"/>
  <c r="M723" i="727"/>
  <c r="K723" i="727"/>
  <c r="J723" i="727"/>
  <c r="L723" i="727" s="1"/>
  <c r="I723" i="727"/>
  <c r="H723" i="727"/>
  <c r="G723" i="727"/>
  <c r="N722" i="727"/>
  <c r="M722" i="727"/>
  <c r="O722" i="727" s="1"/>
  <c r="K722" i="727"/>
  <c r="J722" i="727"/>
  <c r="I722" i="727"/>
  <c r="L722" i="727" s="1"/>
  <c r="H722" i="727"/>
  <c r="G722" i="727"/>
  <c r="O721" i="727"/>
  <c r="N721" i="727"/>
  <c r="M721" i="727"/>
  <c r="K721" i="727"/>
  <c r="J721" i="727"/>
  <c r="I721" i="727"/>
  <c r="L721" i="727" s="1"/>
  <c r="H721" i="727"/>
  <c r="G721" i="727"/>
  <c r="N720" i="727"/>
  <c r="M720" i="727"/>
  <c r="O720" i="727" s="1"/>
  <c r="L720" i="727"/>
  <c r="K720" i="727"/>
  <c r="J720" i="727"/>
  <c r="I720" i="727"/>
  <c r="H720" i="727"/>
  <c r="G720" i="727"/>
  <c r="N719" i="727"/>
  <c r="O719" i="727" s="1"/>
  <c r="M719" i="727"/>
  <c r="K719" i="727"/>
  <c r="J719" i="727"/>
  <c r="I719" i="727"/>
  <c r="L719" i="727" s="1"/>
  <c r="H719" i="727"/>
  <c r="G719" i="727"/>
  <c r="N718" i="727"/>
  <c r="M718" i="727"/>
  <c r="O718" i="727" s="1"/>
  <c r="K718" i="727"/>
  <c r="J718" i="727"/>
  <c r="I718" i="727"/>
  <c r="L718" i="727" s="1"/>
  <c r="H718" i="727"/>
  <c r="G718" i="727"/>
  <c r="O717" i="727"/>
  <c r="N717" i="727"/>
  <c r="M717" i="727"/>
  <c r="K717" i="727"/>
  <c r="J717" i="727"/>
  <c r="I717" i="727"/>
  <c r="L717" i="727" s="1"/>
  <c r="H717" i="727"/>
  <c r="G717" i="727"/>
  <c r="N716" i="727"/>
  <c r="M716" i="727"/>
  <c r="O716" i="727" s="1"/>
  <c r="L716" i="727"/>
  <c r="K716" i="727"/>
  <c r="J716" i="727"/>
  <c r="I716" i="727"/>
  <c r="H716" i="727"/>
  <c r="G716" i="727"/>
  <c r="N715" i="727"/>
  <c r="O715" i="727" s="1"/>
  <c r="M715" i="727"/>
  <c r="K715" i="727"/>
  <c r="J715" i="727"/>
  <c r="I715" i="727"/>
  <c r="L715" i="727" s="1"/>
  <c r="H715" i="727"/>
  <c r="G715" i="727"/>
  <c r="N714" i="727"/>
  <c r="M714" i="727"/>
  <c r="O714" i="727" s="1"/>
  <c r="K714" i="727"/>
  <c r="J714" i="727"/>
  <c r="I714" i="727"/>
  <c r="L714" i="727" s="1"/>
  <c r="H714" i="727"/>
  <c r="G714" i="727"/>
  <c r="O713" i="727"/>
  <c r="N713" i="727"/>
  <c r="M713" i="727"/>
  <c r="K713" i="727"/>
  <c r="J713" i="727"/>
  <c r="I713" i="727"/>
  <c r="L713" i="727" s="1"/>
  <c r="H713" i="727"/>
  <c r="G713" i="727"/>
  <c r="N712" i="727"/>
  <c r="O712" i="727" s="1"/>
  <c r="M712" i="727"/>
  <c r="L712" i="727"/>
  <c r="K712" i="727"/>
  <c r="J712" i="727"/>
  <c r="I712" i="727"/>
  <c r="H712" i="727"/>
  <c r="G712" i="727"/>
  <c r="N711" i="727"/>
  <c r="O711" i="727" s="1"/>
  <c r="M711" i="727"/>
  <c r="K711" i="727"/>
  <c r="J711" i="727"/>
  <c r="L711" i="727" s="1"/>
  <c r="I711" i="727"/>
  <c r="H711" i="727"/>
  <c r="G711" i="727"/>
  <c r="N710" i="727"/>
  <c r="M710" i="727"/>
  <c r="O710" i="727" s="1"/>
  <c r="K710" i="727"/>
  <c r="J710" i="727"/>
  <c r="I710" i="727"/>
  <c r="L710" i="727" s="1"/>
  <c r="H710" i="727"/>
  <c r="G710" i="727"/>
  <c r="O709" i="727"/>
  <c r="N709" i="727"/>
  <c r="M709" i="727"/>
  <c r="K709" i="727"/>
  <c r="J709" i="727"/>
  <c r="I709" i="727"/>
  <c r="H709" i="727"/>
  <c r="G709" i="727"/>
  <c r="N708" i="727"/>
  <c r="M708" i="727"/>
  <c r="O708" i="727" s="1"/>
  <c r="L708" i="727"/>
  <c r="K708" i="727"/>
  <c r="J708" i="727"/>
  <c r="I708" i="727"/>
  <c r="H708" i="727"/>
  <c r="G708" i="727"/>
  <c r="N707" i="727"/>
  <c r="M707" i="727"/>
  <c r="O707" i="727" s="1"/>
  <c r="K707" i="727"/>
  <c r="J707" i="727"/>
  <c r="L707" i="727" s="1"/>
  <c r="I707" i="727"/>
  <c r="H707" i="727"/>
  <c r="G707" i="727"/>
  <c r="N706" i="727"/>
  <c r="M706" i="727"/>
  <c r="K706" i="727"/>
  <c r="J706" i="727"/>
  <c r="I706" i="727"/>
  <c r="H706" i="727"/>
  <c r="G706" i="727"/>
  <c r="O705" i="727"/>
  <c r="N705" i="727"/>
  <c r="M705" i="727"/>
  <c r="K705" i="727"/>
  <c r="J705" i="727"/>
  <c r="I705" i="727"/>
  <c r="L705" i="727" s="1"/>
  <c r="H705" i="727"/>
  <c r="G705" i="727"/>
  <c r="O704" i="727"/>
  <c r="N704" i="727"/>
  <c r="M704" i="727"/>
  <c r="L704" i="727"/>
  <c r="K704" i="727"/>
  <c r="J704" i="727"/>
  <c r="I704" i="727"/>
  <c r="H704" i="727"/>
  <c r="G704" i="727"/>
  <c r="N703" i="727"/>
  <c r="M703" i="727"/>
  <c r="K703" i="727"/>
  <c r="J703" i="727"/>
  <c r="I703" i="727"/>
  <c r="L703" i="727" s="1"/>
  <c r="H703" i="727"/>
  <c r="G703" i="727"/>
  <c r="N702" i="727"/>
  <c r="M702" i="727"/>
  <c r="K702" i="727"/>
  <c r="J702" i="727"/>
  <c r="I702" i="727"/>
  <c r="L702" i="727" s="1"/>
  <c r="H702" i="727"/>
  <c r="G702" i="727"/>
  <c r="O701" i="727"/>
  <c r="N701" i="727"/>
  <c r="M701" i="727"/>
  <c r="K701" i="727"/>
  <c r="J701" i="727"/>
  <c r="I701" i="727"/>
  <c r="L701" i="727" s="1"/>
  <c r="H701" i="727"/>
  <c r="G701" i="727"/>
  <c r="N700" i="727"/>
  <c r="O700" i="727" s="1"/>
  <c r="M700" i="727"/>
  <c r="L700" i="727"/>
  <c r="K700" i="727"/>
  <c r="J700" i="727"/>
  <c r="I700" i="727"/>
  <c r="H700" i="727"/>
  <c r="G700" i="727"/>
  <c r="N699" i="727"/>
  <c r="M699" i="727"/>
  <c r="K699" i="727"/>
  <c r="J699" i="727"/>
  <c r="L699" i="727" s="1"/>
  <c r="I699" i="727"/>
  <c r="H699" i="727"/>
  <c r="G699" i="727"/>
  <c r="N698" i="727"/>
  <c r="M698" i="727"/>
  <c r="O698" i="727" s="1"/>
  <c r="K698" i="727"/>
  <c r="J698" i="727"/>
  <c r="I698" i="727"/>
  <c r="L698" i="727" s="1"/>
  <c r="H698" i="727"/>
  <c r="G698" i="727"/>
  <c r="O697" i="727"/>
  <c r="N697" i="727"/>
  <c r="M697" i="727"/>
  <c r="K697" i="727"/>
  <c r="J697" i="727"/>
  <c r="I697" i="727"/>
  <c r="H697" i="727"/>
  <c r="G697" i="727"/>
  <c r="N696" i="727"/>
  <c r="M696" i="727"/>
  <c r="O696" i="727" s="1"/>
  <c r="L696" i="727"/>
  <c r="K696" i="727"/>
  <c r="J696" i="727"/>
  <c r="I696" i="727"/>
  <c r="H696" i="727"/>
  <c r="G696" i="727"/>
  <c r="N695" i="727"/>
  <c r="M695" i="727"/>
  <c r="O695" i="727" s="1"/>
  <c r="K695" i="727"/>
  <c r="J695" i="727"/>
  <c r="L695" i="727" s="1"/>
  <c r="I695" i="727"/>
  <c r="H695" i="727"/>
  <c r="G695" i="727"/>
  <c r="N694" i="727"/>
  <c r="M694" i="727"/>
  <c r="K694" i="727"/>
  <c r="J694" i="727"/>
  <c r="I694" i="727"/>
  <c r="H694" i="727"/>
  <c r="G694" i="727"/>
  <c r="O693" i="727"/>
  <c r="N693" i="727"/>
  <c r="M693" i="727"/>
  <c r="K693" i="727"/>
  <c r="J693" i="727"/>
  <c r="I693" i="727"/>
  <c r="H693" i="727"/>
  <c r="G693" i="727"/>
  <c r="N692" i="727"/>
  <c r="M692" i="727"/>
  <c r="O692" i="727" s="1"/>
  <c r="L692" i="727"/>
  <c r="K692" i="727"/>
  <c r="J692" i="727"/>
  <c r="I692" i="727"/>
  <c r="H692" i="727"/>
  <c r="G692" i="727"/>
  <c r="N691" i="727"/>
  <c r="M691" i="727"/>
  <c r="O691" i="727" s="1"/>
  <c r="K691" i="727"/>
  <c r="J691" i="727"/>
  <c r="L691" i="727" s="1"/>
  <c r="I691" i="727"/>
  <c r="H691" i="727"/>
  <c r="G691" i="727"/>
  <c r="N690" i="727"/>
  <c r="M690" i="727"/>
  <c r="O690" i="727" s="1"/>
  <c r="K690" i="727"/>
  <c r="J690" i="727"/>
  <c r="I690" i="727"/>
  <c r="L690" i="727" s="1"/>
  <c r="H690" i="727"/>
  <c r="G690" i="727"/>
  <c r="O689" i="727"/>
  <c r="N689" i="727"/>
  <c r="M689" i="727"/>
  <c r="K689" i="727"/>
  <c r="J689" i="727"/>
  <c r="I689" i="727"/>
  <c r="L689" i="727" s="1"/>
  <c r="H689" i="727"/>
  <c r="G689" i="727"/>
  <c r="N688" i="727"/>
  <c r="M688" i="727"/>
  <c r="O688" i="727" s="1"/>
  <c r="K688" i="727"/>
  <c r="L688" i="727" s="1"/>
  <c r="J688" i="727"/>
  <c r="I688" i="727"/>
  <c r="H688" i="727"/>
  <c r="G688" i="727"/>
  <c r="N687" i="727"/>
  <c r="M687" i="727"/>
  <c r="O687" i="727" s="1"/>
  <c r="K687" i="727"/>
  <c r="J687" i="727"/>
  <c r="I687" i="727"/>
  <c r="H687" i="727"/>
  <c r="G687" i="727"/>
  <c r="N686" i="727"/>
  <c r="M686" i="727"/>
  <c r="O686" i="727" s="1"/>
  <c r="K686" i="727"/>
  <c r="J686" i="727"/>
  <c r="I686" i="727"/>
  <c r="L686" i="727" s="1"/>
  <c r="H686" i="727"/>
  <c r="G686" i="727"/>
  <c r="O685" i="727"/>
  <c r="N685" i="727"/>
  <c r="M685" i="727"/>
  <c r="K685" i="727"/>
  <c r="J685" i="727"/>
  <c r="I685" i="727"/>
  <c r="L685" i="727" s="1"/>
  <c r="H685" i="727"/>
  <c r="G685" i="727"/>
  <c r="N684" i="727"/>
  <c r="O684" i="727" s="1"/>
  <c r="M684" i="727"/>
  <c r="K684" i="727"/>
  <c r="L684" i="727" s="1"/>
  <c r="J684" i="727"/>
  <c r="I684" i="727"/>
  <c r="H684" i="727"/>
  <c r="G684" i="727"/>
  <c r="N683" i="727"/>
  <c r="M683" i="727"/>
  <c r="O683" i="727" s="1"/>
  <c r="K683" i="727"/>
  <c r="J683" i="727"/>
  <c r="I683" i="727"/>
  <c r="L683" i="727" s="1"/>
  <c r="H683" i="727"/>
  <c r="G683" i="727"/>
  <c r="N682" i="727"/>
  <c r="M682" i="727"/>
  <c r="K682" i="727"/>
  <c r="J682" i="727"/>
  <c r="I682" i="727"/>
  <c r="L682" i="727" s="1"/>
  <c r="H682" i="727"/>
  <c r="G682" i="727"/>
  <c r="N681" i="727"/>
  <c r="O681" i="727" s="1"/>
  <c r="M681" i="727"/>
  <c r="K681" i="727"/>
  <c r="J681" i="727"/>
  <c r="I681" i="727"/>
  <c r="H681" i="727"/>
  <c r="G681" i="727"/>
  <c r="N680" i="727"/>
  <c r="M680" i="727"/>
  <c r="O680" i="727" s="1"/>
  <c r="L680" i="727"/>
  <c r="K680" i="727"/>
  <c r="J680" i="727"/>
  <c r="I680" i="727"/>
  <c r="H680" i="727"/>
  <c r="G680" i="727"/>
  <c r="N679" i="727"/>
  <c r="M679" i="727"/>
  <c r="O679" i="727" s="1"/>
  <c r="K679" i="727"/>
  <c r="J679" i="727"/>
  <c r="I679" i="727"/>
  <c r="L679" i="727" s="1"/>
  <c r="H679" i="727"/>
  <c r="G679" i="727"/>
  <c r="N678" i="727"/>
  <c r="M678" i="727"/>
  <c r="L678" i="727"/>
  <c r="K678" i="727"/>
  <c r="J678" i="727"/>
  <c r="I678" i="727"/>
  <c r="H678" i="727"/>
  <c r="G678" i="727"/>
  <c r="N677" i="727"/>
  <c r="O677" i="727" s="1"/>
  <c r="M677" i="727"/>
  <c r="K677" i="727"/>
  <c r="J677" i="727"/>
  <c r="I677" i="727"/>
  <c r="H677" i="727"/>
  <c r="G677" i="727"/>
  <c r="N676" i="727"/>
  <c r="M676" i="727"/>
  <c r="O676" i="727" s="1"/>
  <c r="L676" i="727"/>
  <c r="K676" i="727"/>
  <c r="J676" i="727"/>
  <c r="I676" i="727"/>
  <c r="H676" i="727"/>
  <c r="G676" i="727"/>
  <c r="N675" i="727"/>
  <c r="O675" i="727" s="1"/>
  <c r="M675" i="727"/>
  <c r="K675" i="727"/>
  <c r="J675" i="727"/>
  <c r="I675" i="727"/>
  <c r="L675" i="727" s="1"/>
  <c r="H675" i="727"/>
  <c r="G675" i="727"/>
  <c r="N674" i="727"/>
  <c r="M674" i="727"/>
  <c r="O674" i="727" s="1"/>
  <c r="K674" i="727"/>
  <c r="J674" i="727"/>
  <c r="L674" i="727" s="1"/>
  <c r="I674" i="727"/>
  <c r="H674" i="727"/>
  <c r="G674" i="727"/>
  <c r="N673" i="727"/>
  <c r="O673" i="727" s="1"/>
  <c r="M673" i="727"/>
  <c r="K673" i="727"/>
  <c r="J673" i="727"/>
  <c r="I673" i="727"/>
  <c r="L673" i="727" s="1"/>
  <c r="H673" i="727"/>
  <c r="G673" i="727"/>
  <c r="O672" i="727"/>
  <c r="N672" i="727"/>
  <c r="M672" i="727"/>
  <c r="L672" i="727"/>
  <c r="K672" i="727"/>
  <c r="J672" i="727"/>
  <c r="I672" i="727"/>
  <c r="H672" i="727"/>
  <c r="G672" i="727"/>
  <c r="N671" i="727"/>
  <c r="M671" i="727"/>
  <c r="L671" i="727"/>
  <c r="K671" i="727"/>
  <c r="J671" i="727"/>
  <c r="I671" i="727"/>
  <c r="H671" i="727"/>
  <c r="G671" i="727"/>
  <c r="N670" i="727"/>
  <c r="M670" i="727"/>
  <c r="O670" i="727" s="1"/>
  <c r="K670" i="727"/>
  <c r="J670" i="727"/>
  <c r="I670" i="727"/>
  <c r="L670" i="727" s="1"/>
  <c r="H670" i="727"/>
  <c r="G670" i="727"/>
  <c r="N669" i="727"/>
  <c r="O669" i="727" s="1"/>
  <c r="M669" i="727"/>
  <c r="K669" i="727"/>
  <c r="J669" i="727"/>
  <c r="I669" i="727"/>
  <c r="L669" i="727" s="1"/>
  <c r="H669" i="727"/>
  <c r="G669" i="727"/>
  <c r="N668" i="727"/>
  <c r="M668" i="727"/>
  <c r="O668" i="727" s="1"/>
  <c r="L668" i="727"/>
  <c r="K668" i="727"/>
  <c r="J668" i="727"/>
  <c r="I668" i="727"/>
  <c r="H668" i="727"/>
  <c r="G668" i="727"/>
  <c r="N667" i="727"/>
  <c r="M667" i="727"/>
  <c r="O667" i="727" s="1"/>
  <c r="K667" i="727"/>
  <c r="J667" i="727"/>
  <c r="L667" i="727" s="1"/>
  <c r="I667" i="727"/>
  <c r="H667" i="727"/>
  <c r="G667" i="727"/>
  <c r="N666" i="727"/>
  <c r="M666" i="727"/>
  <c r="O666" i="727" s="1"/>
  <c r="K666" i="727"/>
  <c r="J666" i="727"/>
  <c r="I666" i="727"/>
  <c r="L666" i="727" s="1"/>
  <c r="H666" i="727"/>
  <c r="G666" i="727"/>
  <c r="O665" i="727"/>
  <c r="N665" i="727"/>
  <c r="M665" i="727"/>
  <c r="K665" i="727"/>
  <c r="J665" i="727"/>
  <c r="I665" i="727"/>
  <c r="L665" i="727" s="1"/>
  <c r="H665" i="727"/>
  <c r="G665" i="727"/>
  <c r="N664" i="727"/>
  <c r="M664" i="727"/>
  <c r="O664" i="727" s="1"/>
  <c r="K664" i="727"/>
  <c r="L664" i="727" s="1"/>
  <c r="J664" i="727"/>
  <c r="I664" i="727"/>
  <c r="H664" i="727"/>
  <c r="G664" i="727"/>
  <c r="N663" i="727"/>
  <c r="M663" i="727"/>
  <c r="O663" i="727" s="1"/>
  <c r="K663" i="727"/>
  <c r="J663" i="727"/>
  <c r="I663" i="727"/>
  <c r="H663" i="727"/>
  <c r="G663" i="727"/>
  <c r="N662" i="727"/>
  <c r="M662" i="727"/>
  <c r="O662" i="727" s="1"/>
  <c r="K662" i="727"/>
  <c r="J662" i="727"/>
  <c r="I662" i="727"/>
  <c r="L662" i="727" s="1"/>
  <c r="H662" i="727"/>
  <c r="G662" i="727"/>
  <c r="O661" i="727"/>
  <c r="N661" i="727"/>
  <c r="M661" i="727"/>
  <c r="K661" i="727"/>
  <c r="J661" i="727"/>
  <c r="I661" i="727"/>
  <c r="L661" i="727" s="1"/>
  <c r="H661" i="727"/>
  <c r="G661" i="727"/>
  <c r="N660" i="727"/>
  <c r="M660" i="727"/>
  <c r="O660" i="727" s="1"/>
  <c r="K660" i="727"/>
  <c r="L660" i="727" s="1"/>
  <c r="J660" i="727"/>
  <c r="I660" i="727"/>
  <c r="H660" i="727"/>
  <c r="G660" i="727"/>
  <c r="N659" i="727"/>
  <c r="M659" i="727"/>
  <c r="O659" i="727" s="1"/>
  <c r="K659" i="727"/>
  <c r="J659" i="727"/>
  <c r="I659" i="727"/>
  <c r="L659" i="727" s="1"/>
  <c r="H659" i="727"/>
  <c r="G659" i="727"/>
  <c r="N658" i="727"/>
  <c r="M658" i="727"/>
  <c r="K658" i="727"/>
  <c r="J658" i="727"/>
  <c r="I658" i="727"/>
  <c r="L658" i="727" s="1"/>
  <c r="H658" i="727"/>
  <c r="G658" i="727"/>
  <c r="N657" i="727"/>
  <c r="O657" i="727" s="1"/>
  <c r="M657" i="727"/>
  <c r="K657" i="727"/>
  <c r="J657" i="727"/>
  <c r="I657" i="727"/>
  <c r="H657" i="727"/>
  <c r="G657" i="727"/>
  <c r="N656" i="727"/>
  <c r="M656" i="727"/>
  <c r="O656" i="727" s="1"/>
  <c r="K656" i="727"/>
  <c r="J656" i="727"/>
  <c r="L656" i="727" s="1"/>
  <c r="I656" i="727"/>
  <c r="H656" i="727"/>
  <c r="G656" i="727"/>
  <c r="N655" i="727"/>
  <c r="M655" i="727"/>
  <c r="O655" i="727" s="1"/>
  <c r="K655" i="727"/>
  <c r="J655" i="727"/>
  <c r="I655" i="727"/>
  <c r="L655" i="727" s="1"/>
  <c r="H655" i="727"/>
  <c r="G655" i="727"/>
  <c r="N654" i="727"/>
  <c r="M654" i="727"/>
  <c r="L654" i="727"/>
  <c r="K654" i="727"/>
  <c r="J654" i="727"/>
  <c r="I654" i="727"/>
  <c r="H654" i="727"/>
  <c r="G654" i="727"/>
  <c r="N653" i="727"/>
  <c r="M653" i="727"/>
  <c r="O653" i="727" s="1"/>
  <c r="K653" i="727"/>
  <c r="J653" i="727"/>
  <c r="I653" i="727"/>
  <c r="H653" i="727"/>
  <c r="G653" i="727"/>
  <c r="N652" i="727"/>
  <c r="M652" i="727"/>
  <c r="O652" i="727" s="1"/>
  <c r="K652" i="727"/>
  <c r="J652" i="727"/>
  <c r="L652" i="727" s="1"/>
  <c r="I652" i="727"/>
  <c r="H652" i="727"/>
  <c r="G652" i="727"/>
  <c r="N651" i="727"/>
  <c r="O651" i="727" s="1"/>
  <c r="M651" i="727"/>
  <c r="K651" i="727"/>
  <c r="J651" i="727"/>
  <c r="I651" i="727"/>
  <c r="L651" i="727" s="1"/>
  <c r="H651" i="727"/>
  <c r="G651" i="727"/>
  <c r="N650" i="727"/>
  <c r="M650" i="727"/>
  <c r="O650" i="727" s="1"/>
  <c r="K650" i="727"/>
  <c r="J650" i="727"/>
  <c r="L650" i="727" s="1"/>
  <c r="I650" i="727"/>
  <c r="H650" i="727"/>
  <c r="G650" i="727"/>
  <c r="N649" i="727"/>
  <c r="M649" i="727"/>
  <c r="O649" i="727" s="1"/>
  <c r="K649" i="727"/>
  <c r="J649" i="727"/>
  <c r="I649" i="727"/>
  <c r="L649" i="727" s="1"/>
  <c r="H649" i="727"/>
  <c r="G649" i="727"/>
  <c r="O648" i="727"/>
  <c r="N648" i="727"/>
  <c r="M648" i="727"/>
  <c r="K648" i="727"/>
  <c r="J648" i="727"/>
  <c r="L648" i="727" s="1"/>
  <c r="I648" i="727"/>
  <c r="H648" i="727"/>
  <c r="G648" i="727"/>
  <c r="N647" i="727"/>
  <c r="M647" i="727"/>
  <c r="O647" i="727" s="1"/>
  <c r="L647" i="727"/>
  <c r="K647" i="727"/>
  <c r="J647" i="727"/>
  <c r="I647" i="727"/>
  <c r="H647" i="727"/>
  <c r="G647" i="727"/>
  <c r="N646" i="727"/>
  <c r="M646" i="727"/>
  <c r="O646" i="727" s="1"/>
  <c r="K646" i="727"/>
  <c r="J646" i="727"/>
  <c r="I646" i="727"/>
  <c r="H646" i="727"/>
  <c r="G646" i="727"/>
  <c r="N645" i="727"/>
  <c r="M645" i="727"/>
  <c r="O645" i="727" s="1"/>
  <c r="K645" i="727"/>
  <c r="J645" i="727"/>
  <c r="I645" i="727"/>
  <c r="L645" i="727" s="1"/>
  <c r="H645" i="727"/>
  <c r="G645" i="727"/>
  <c r="O644" i="727"/>
  <c r="N644" i="727"/>
  <c r="M644" i="727"/>
  <c r="K644" i="727"/>
  <c r="J644" i="727"/>
  <c r="L644" i="727" s="1"/>
  <c r="I644" i="727"/>
  <c r="H644" i="727"/>
  <c r="G644" i="727"/>
  <c r="N643" i="727"/>
  <c r="M643" i="727"/>
  <c r="O643" i="727" s="1"/>
  <c r="K643" i="727"/>
  <c r="J643" i="727"/>
  <c r="L643" i="727" s="1"/>
  <c r="I643" i="727"/>
  <c r="H643" i="727"/>
  <c r="G643" i="727"/>
  <c r="N642" i="727"/>
  <c r="M642" i="727"/>
  <c r="O642" i="727" s="1"/>
  <c r="K642" i="727"/>
  <c r="J642" i="727"/>
  <c r="I642" i="727"/>
  <c r="L642" i="727" s="1"/>
  <c r="H642" i="727"/>
  <c r="G642" i="727"/>
  <c r="O641" i="727"/>
  <c r="N641" i="727"/>
  <c r="M641" i="727"/>
  <c r="K641" i="727"/>
  <c r="J641" i="727"/>
  <c r="I641" i="727"/>
  <c r="L641" i="727" s="1"/>
  <c r="H641" i="727"/>
  <c r="G641" i="727"/>
  <c r="N640" i="727"/>
  <c r="M640" i="727"/>
  <c r="O640" i="727" s="1"/>
  <c r="K640" i="727"/>
  <c r="L640" i="727" s="1"/>
  <c r="J640" i="727"/>
  <c r="I640" i="727"/>
  <c r="H640" i="727"/>
  <c r="G640" i="727"/>
  <c r="N639" i="727"/>
  <c r="M639" i="727"/>
  <c r="O639" i="727" s="1"/>
  <c r="K639" i="727"/>
  <c r="J639" i="727"/>
  <c r="I639" i="727"/>
  <c r="L639" i="727" s="1"/>
  <c r="H639" i="727"/>
  <c r="G639" i="727"/>
  <c r="N638" i="727"/>
  <c r="M638" i="727"/>
  <c r="O638" i="727" s="1"/>
  <c r="K638" i="727"/>
  <c r="J638" i="727"/>
  <c r="I638" i="727"/>
  <c r="L638" i="727" s="1"/>
  <c r="H638" i="727"/>
  <c r="G638" i="727"/>
  <c r="N637" i="727"/>
  <c r="M637" i="727"/>
  <c r="O637" i="727" s="1"/>
  <c r="K637" i="727"/>
  <c r="J637" i="727"/>
  <c r="L637" i="727" s="1"/>
  <c r="I637" i="727"/>
  <c r="H637" i="727"/>
  <c r="G637" i="727"/>
  <c r="N636" i="727"/>
  <c r="M636" i="727"/>
  <c r="O636" i="727" s="1"/>
  <c r="K636" i="727"/>
  <c r="J636" i="727"/>
  <c r="L636" i="727" s="1"/>
  <c r="I636" i="727"/>
  <c r="H636" i="727"/>
  <c r="G636" i="727"/>
  <c r="N635" i="727"/>
  <c r="M635" i="727"/>
  <c r="O635" i="727" s="1"/>
  <c r="K635" i="727"/>
  <c r="J635" i="727"/>
  <c r="I635" i="727"/>
  <c r="L635" i="727" s="1"/>
  <c r="H635" i="727"/>
  <c r="G635" i="727"/>
  <c r="N634" i="727"/>
  <c r="M634" i="727"/>
  <c r="O634" i="727" s="1"/>
  <c r="K634" i="727"/>
  <c r="J634" i="727"/>
  <c r="I634" i="727"/>
  <c r="L634" i="727" s="1"/>
  <c r="H634" i="727"/>
  <c r="G634" i="727"/>
  <c r="N633" i="727"/>
  <c r="M633" i="727"/>
  <c r="O633" i="727" s="1"/>
  <c r="K633" i="727"/>
  <c r="J633" i="727"/>
  <c r="L633" i="727" s="1"/>
  <c r="I633" i="727"/>
  <c r="H633" i="727"/>
  <c r="G633" i="727"/>
  <c r="N632" i="727"/>
  <c r="M632" i="727"/>
  <c r="O632" i="727" s="1"/>
  <c r="L632" i="727"/>
  <c r="K632" i="727"/>
  <c r="J632" i="727"/>
  <c r="I632" i="727"/>
  <c r="H632" i="727"/>
  <c r="G632" i="727"/>
  <c r="N631" i="727"/>
  <c r="M631" i="727"/>
  <c r="O631" i="727" s="1"/>
  <c r="K631" i="727"/>
  <c r="J631" i="727"/>
  <c r="I631" i="727"/>
  <c r="L631" i="727" s="1"/>
  <c r="H631" i="727"/>
  <c r="G631" i="727"/>
  <c r="N630" i="727"/>
  <c r="M630" i="727"/>
  <c r="O630" i="727" s="1"/>
  <c r="K630" i="727"/>
  <c r="J630" i="727"/>
  <c r="I630" i="727"/>
  <c r="L630" i="727" s="1"/>
  <c r="H630" i="727"/>
  <c r="G630" i="727"/>
  <c r="N629" i="727"/>
  <c r="M629" i="727"/>
  <c r="O629" i="727" s="1"/>
  <c r="K629" i="727"/>
  <c r="J629" i="727"/>
  <c r="L629" i="727" s="1"/>
  <c r="I629" i="727"/>
  <c r="H629" i="727"/>
  <c r="G629" i="727"/>
  <c r="N628" i="727"/>
  <c r="M628" i="727"/>
  <c r="O628" i="727" s="1"/>
  <c r="K628" i="727"/>
  <c r="J628" i="727"/>
  <c r="L628" i="727" s="1"/>
  <c r="I628" i="727"/>
  <c r="H628" i="727"/>
  <c r="G628" i="727"/>
  <c r="N627" i="727"/>
  <c r="M627" i="727"/>
  <c r="O627" i="727" s="1"/>
  <c r="K627" i="727"/>
  <c r="J627" i="727"/>
  <c r="I627" i="727"/>
  <c r="L627" i="727" s="1"/>
  <c r="H627" i="727"/>
  <c r="G627" i="727"/>
  <c r="N626" i="727"/>
  <c r="M626" i="727"/>
  <c r="O626" i="727" s="1"/>
  <c r="K626" i="727"/>
  <c r="J626" i="727"/>
  <c r="I626" i="727"/>
  <c r="L626" i="727" s="1"/>
  <c r="H626" i="727"/>
  <c r="G626" i="727"/>
  <c r="N625" i="727"/>
  <c r="M625" i="727"/>
  <c r="O625" i="727" s="1"/>
  <c r="K625" i="727"/>
  <c r="J625" i="727"/>
  <c r="L625" i="727" s="1"/>
  <c r="I625" i="727"/>
  <c r="H625" i="727"/>
  <c r="G625" i="727"/>
  <c r="N624" i="727"/>
  <c r="M624" i="727"/>
  <c r="O624" i="727" s="1"/>
  <c r="L624" i="727"/>
  <c r="K624" i="727"/>
  <c r="J624" i="727"/>
  <c r="I624" i="727"/>
  <c r="H624" i="727"/>
  <c r="G624" i="727"/>
  <c r="N623" i="727"/>
  <c r="M623" i="727"/>
  <c r="O623" i="727" s="1"/>
  <c r="K623" i="727"/>
  <c r="J623" i="727"/>
  <c r="I623" i="727"/>
  <c r="L623" i="727" s="1"/>
  <c r="H623" i="727"/>
  <c r="G623" i="727"/>
  <c r="N622" i="727"/>
  <c r="M622" i="727"/>
  <c r="O622" i="727" s="1"/>
  <c r="K622" i="727"/>
  <c r="J622" i="727"/>
  <c r="I622" i="727"/>
  <c r="L622" i="727" s="1"/>
  <c r="H622" i="727"/>
  <c r="G622" i="727"/>
  <c r="N621" i="727"/>
  <c r="M621" i="727"/>
  <c r="O621" i="727" s="1"/>
  <c r="K621" i="727"/>
  <c r="J621" i="727"/>
  <c r="L621" i="727" s="1"/>
  <c r="I621" i="727"/>
  <c r="H621" i="727"/>
  <c r="G621" i="727"/>
  <c r="N620" i="727"/>
  <c r="M620" i="727"/>
  <c r="O620" i="727" s="1"/>
  <c r="K620" i="727"/>
  <c r="J620" i="727"/>
  <c r="L620" i="727" s="1"/>
  <c r="I620" i="727"/>
  <c r="H620" i="727"/>
  <c r="G620" i="727"/>
  <c r="N619" i="727"/>
  <c r="M619" i="727"/>
  <c r="O619" i="727" s="1"/>
  <c r="K619" i="727"/>
  <c r="J619" i="727"/>
  <c r="I619" i="727"/>
  <c r="L619" i="727" s="1"/>
  <c r="H619" i="727"/>
  <c r="G619" i="727"/>
  <c r="N618" i="727"/>
  <c r="M618" i="727"/>
  <c r="O618" i="727" s="1"/>
  <c r="K618" i="727"/>
  <c r="J618" i="727"/>
  <c r="I618" i="727"/>
  <c r="L618" i="727" s="1"/>
  <c r="H618" i="727"/>
  <c r="G618" i="727"/>
  <c r="N617" i="727"/>
  <c r="M617" i="727"/>
  <c r="O617" i="727" s="1"/>
  <c r="K617" i="727"/>
  <c r="J617" i="727"/>
  <c r="L617" i="727" s="1"/>
  <c r="I617" i="727"/>
  <c r="H617" i="727"/>
  <c r="G617" i="727"/>
  <c r="N616" i="727"/>
  <c r="M616" i="727"/>
  <c r="O616" i="727" s="1"/>
  <c r="L616" i="727"/>
  <c r="K616" i="727"/>
  <c r="J616" i="727"/>
  <c r="I616" i="727"/>
  <c r="H616" i="727"/>
  <c r="G616" i="727"/>
  <c r="N615" i="727"/>
  <c r="M615" i="727"/>
  <c r="O615" i="727" s="1"/>
  <c r="K615" i="727"/>
  <c r="J615" i="727"/>
  <c r="I615" i="727"/>
  <c r="L615" i="727" s="1"/>
  <c r="H615" i="727"/>
  <c r="G615" i="727"/>
  <c r="N614" i="727"/>
  <c r="M614" i="727"/>
  <c r="O614" i="727" s="1"/>
  <c r="K614" i="727"/>
  <c r="J614" i="727"/>
  <c r="I614" i="727"/>
  <c r="L614" i="727" s="1"/>
  <c r="H614" i="727"/>
  <c r="G614" i="727"/>
  <c r="N613" i="727"/>
  <c r="M613" i="727"/>
  <c r="O613" i="727" s="1"/>
  <c r="K613" i="727"/>
  <c r="J613" i="727"/>
  <c r="L613" i="727" s="1"/>
  <c r="I613" i="727"/>
  <c r="H613" i="727"/>
  <c r="G613" i="727"/>
  <c r="N612" i="727"/>
  <c r="M612" i="727"/>
  <c r="O612" i="727" s="1"/>
  <c r="K612" i="727"/>
  <c r="J612" i="727"/>
  <c r="L612" i="727" s="1"/>
  <c r="I612" i="727"/>
  <c r="H612" i="727"/>
  <c r="G612" i="727"/>
  <c r="N611" i="727"/>
  <c r="M611" i="727"/>
  <c r="O611" i="727" s="1"/>
  <c r="K611" i="727"/>
  <c r="J611" i="727"/>
  <c r="I611" i="727"/>
  <c r="L611" i="727" s="1"/>
  <c r="H611" i="727"/>
  <c r="G611" i="727"/>
  <c r="N610" i="727"/>
  <c r="M610" i="727"/>
  <c r="O610" i="727" s="1"/>
  <c r="K610" i="727"/>
  <c r="J610" i="727"/>
  <c r="I610" i="727"/>
  <c r="L610" i="727" s="1"/>
  <c r="H610" i="727"/>
  <c r="G610" i="727"/>
  <c r="N609" i="727"/>
  <c r="M609" i="727"/>
  <c r="O609" i="727" s="1"/>
  <c r="K609" i="727"/>
  <c r="J609" i="727"/>
  <c r="L609" i="727" s="1"/>
  <c r="I609" i="727"/>
  <c r="H609" i="727"/>
  <c r="G609" i="727"/>
  <c r="N608" i="727"/>
  <c r="M608" i="727"/>
  <c r="O608" i="727" s="1"/>
  <c r="L608" i="727"/>
  <c r="K608" i="727"/>
  <c r="J608" i="727"/>
  <c r="I608" i="727"/>
  <c r="H608" i="727"/>
  <c r="G608" i="727"/>
  <c r="N607" i="727"/>
  <c r="M607" i="727"/>
  <c r="O607" i="727" s="1"/>
  <c r="K607" i="727"/>
  <c r="J607" i="727"/>
  <c r="I607" i="727"/>
  <c r="L607" i="727" s="1"/>
  <c r="H607" i="727"/>
  <c r="G607" i="727"/>
  <c r="N606" i="727"/>
  <c r="M606" i="727"/>
  <c r="O606" i="727" s="1"/>
  <c r="K606" i="727"/>
  <c r="J606" i="727"/>
  <c r="I606" i="727"/>
  <c r="L606" i="727" s="1"/>
  <c r="H606" i="727"/>
  <c r="G606" i="727"/>
  <c r="N605" i="727"/>
  <c r="M605" i="727"/>
  <c r="O605" i="727" s="1"/>
  <c r="K605" i="727"/>
  <c r="J605" i="727"/>
  <c r="L605" i="727" s="1"/>
  <c r="I605" i="727"/>
  <c r="H605" i="727"/>
  <c r="G605" i="727"/>
  <c r="N604" i="727"/>
  <c r="M604" i="727"/>
  <c r="O604" i="727" s="1"/>
  <c r="K604" i="727"/>
  <c r="J604" i="727"/>
  <c r="L604" i="727" s="1"/>
  <c r="I604" i="727"/>
  <c r="H604" i="727"/>
  <c r="G604" i="727"/>
  <c r="N603" i="727"/>
  <c r="M603" i="727"/>
  <c r="O603" i="727" s="1"/>
  <c r="K603" i="727"/>
  <c r="J603" i="727"/>
  <c r="I603" i="727"/>
  <c r="L603" i="727" s="1"/>
  <c r="H603" i="727"/>
  <c r="G603" i="727"/>
  <c r="N602" i="727"/>
  <c r="M602" i="727"/>
  <c r="O602" i="727" s="1"/>
  <c r="K602" i="727"/>
  <c r="J602" i="727"/>
  <c r="I602" i="727"/>
  <c r="L602" i="727" s="1"/>
  <c r="H602" i="727"/>
  <c r="G602" i="727"/>
  <c r="N601" i="727"/>
  <c r="M601" i="727"/>
  <c r="O601" i="727" s="1"/>
  <c r="K601" i="727"/>
  <c r="J601" i="727"/>
  <c r="L601" i="727" s="1"/>
  <c r="I601" i="727"/>
  <c r="H601" i="727"/>
  <c r="G601" i="727"/>
  <c r="N600" i="727"/>
  <c r="M600" i="727"/>
  <c r="O600" i="727" s="1"/>
  <c r="L600" i="727"/>
  <c r="K600" i="727"/>
  <c r="J600" i="727"/>
  <c r="I600" i="727"/>
  <c r="H600" i="727"/>
  <c r="G600" i="727"/>
  <c r="N599" i="727"/>
  <c r="M599" i="727"/>
  <c r="O599" i="727" s="1"/>
  <c r="K599" i="727"/>
  <c r="J599" i="727"/>
  <c r="I599" i="727"/>
  <c r="L599" i="727" s="1"/>
  <c r="H599" i="727"/>
  <c r="G599" i="727"/>
  <c r="N598" i="727"/>
  <c r="M598" i="727"/>
  <c r="O598" i="727" s="1"/>
  <c r="K598" i="727"/>
  <c r="J598" i="727"/>
  <c r="I598" i="727"/>
  <c r="L598" i="727" s="1"/>
  <c r="H598" i="727"/>
  <c r="G598" i="727"/>
  <c r="N597" i="727"/>
  <c r="M597" i="727"/>
  <c r="O597" i="727" s="1"/>
  <c r="K597" i="727"/>
  <c r="J597" i="727"/>
  <c r="L597" i="727" s="1"/>
  <c r="I597" i="727"/>
  <c r="H597" i="727"/>
  <c r="G597" i="727"/>
  <c r="N596" i="727"/>
  <c r="M596" i="727"/>
  <c r="O596" i="727" s="1"/>
  <c r="K596" i="727"/>
  <c r="J596" i="727"/>
  <c r="L596" i="727" s="1"/>
  <c r="I596" i="727"/>
  <c r="H596" i="727"/>
  <c r="G596" i="727"/>
  <c r="N595" i="727"/>
  <c r="M595" i="727"/>
  <c r="O595" i="727" s="1"/>
  <c r="K595" i="727"/>
  <c r="J595" i="727"/>
  <c r="I595" i="727"/>
  <c r="L595" i="727" s="1"/>
  <c r="H595" i="727"/>
  <c r="G595" i="727"/>
  <c r="N594" i="727"/>
  <c r="M594" i="727"/>
  <c r="O594" i="727" s="1"/>
  <c r="K594" i="727"/>
  <c r="J594" i="727"/>
  <c r="I594" i="727"/>
  <c r="L594" i="727" s="1"/>
  <c r="H594" i="727"/>
  <c r="G594" i="727"/>
  <c r="N593" i="727"/>
  <c r="M593" i="727"/>
  <c r="O593" i="727" s="1"/>
  <c r="K593" i="727"/>
  <c r="J593" i="727"/>
  <c r="L593" i="727" s="1"/>
  <c r="I593" i="727"/>
  <c r="H593" i="727"/>
  <c r="G593" i="727"/>
  <c r="N592" i="727"/>
  <c r="M592" i="727"/>
  <c r="O592" i="727" s="1"/>
  <c r="L592" i="727"/>
  <c r="K592" i="727"/>
  <c r="J592" i="727"/>
  <c r="I592" i="727"/>
  <c r="H592" i="727"/>
  <c r="G592" i="727"/>
  <c r="N591" i="727"/>
  <c r="M591" i="727"/>
  <c r="O591" i="727" s="1"/>
  <c r="K591" i="727"/>
  <c r="J591" i="727"/>
  <c r="I591" i="727"/>
  <c r="L591" i="727" s="1"/>
  <c r="H591" i="727"/>
  <c r="G591" i="727"/>
  <c r="N590" i="727"/>
  <c r="M590" i="727"/>
  <c r="O590" i="727" s="1"/>
  <c r="K590" i="727"/>
  <c r="J590" i="727"/>
  <c r="I590" i="727"/>
  <c r="L590" i="727" s="1"/>
  <c r="H590" i="727"/>
  <c r="G590" i="727"/>
  <c r="N589" i="727"/>
  <c r="M589" i="727"/>
  <c r="O589" i="727" s="1"/>
  <c r="K589" i="727"/>
  <c r="J589" i="727"/>
  <c r="L589" i="727" s="1"/>
  <c r="I589" i="727"/>
  <c r="H589" i="727"/>
  <c r="G589" i="727"/>
  <c r="N588" i="727"/>
  <c r="M588" i="727"/>
  <c r="O588" i="727" s="1"/>
  <c r="K588" i="727"/>
  <c r="J588" i="727"/>
  <c r="L588" i="727" s="1"/>
  <c r="I588" i="727"/>
  <c r="H588" i="727"/>
  <c r="G588" i="727"/>
  <c r="N587" i="727"/>
  <c r="M587" i="727"/>
  <c r="O587" i="727" s="1"/>
  <c r="K587" i="727"/>
  <c r="J587" i="727"/>
  <c r="I587" i="727"/>
  <c r="L587" i="727" s="1"/>
  <c r="H587" i="727"/>
  <c r="G587" i="727"/>
  <c r="N586" i="727"/>
  <c r="M586" i="727"/>
  <c r="O586" i="727" s="1"/>
  <c r="K586" i="727"/>
  <c r="J586" i="727"/>
  <c r="I586" i="727"/>
  <c r="L586" i="727" s="1"/>
  <c r="H586" i="727"/>
  <c r="G586" i="727"/>
  <c r="N585" i="727"/>
  <c r="M585" i="727"/>
  <c r="O585" i="727" s="1"/>
  <c r="K585" i="727"/>
  <c r="J585" i="727"/>
  <c r="L585" i="727" s="1"/>
  <c r="I585" i="727"/>
  <c r="H585" i="727"/>
  <c r="G585" i="727"/>
  <c r="N584" i="727"/>
  <c r="M584" i="727"/>
  <c r="O584" i="727" s="1"/>
  <c r="L584" i="727"/>
  <c r="K584" i="727"/>
  <c r="J584" i="727"/>
  <c r="I584" i="727"/>
  <c r="H584" i="727"/>
  <c r="G584" i="727"/>
  <c r="N583" i="727"/>
  <c r="M583" i="727"/>
  <c r="O583" i="727" s="1"/>
  <c r="K583" i="727"/>
  <c r="J583" i="727"/>
  <c r="I583" i="727"/>
  <c r="L583" i="727" s="1"/>
  <c r="H583" i="727"/>
  <c r="G583" i="727"/>
  <c r="N582" i="727"/>
  <c r="M582" i="727"/>
  <c r="O582" i="727" s="1"/>
  <c r="K582" i="727"/>
  <c r="J582" i="727"/>
  <c r="I582" i="727"/>
  <c r="L582" i="727" s="1"/>
  <c r="H582" i="727"/>
  <c r="G582" i="727"/>
  <c r="N581" i="727"/>
  <c r="M581" i="727"/>
  <c r="O581" i="727" s="1"/>
  <c r="K581" i="727"/>
  <c r="J581" i="727"/>
  <c r="L581" i="727" s="1"/>
  <c r="I581" i="727"/>
  <c r="H581" i="727"/>
  <c r="G581" i="727"/>
  <c r="N580" i="727"/>
  <c r="M580" i="727"/>
  <c r="O580" i="727" s="1"/>
  <c r="K580" i="727"/>
  <c r="J580" i="727"/>
  <c r="L580" i="727" s="1"/>
  <c r="I580" i="727"/>
  <c r="H580" i="727"/>
  <c r="G580" i="727"/>
  <c r="N579" i="727"/>
  <c r="M579" i="727"/>
  <c r="O579" i="727" s="1"/>
  <c r="K579" i="727"/>
  <c r="J579" i="727"/>
  <c r="I579" i="727"/>
  <c r="L579" i="727" s="1"/>
  <c r="H579" i="727"/>
  <c r="G579" i="727"/>
  <c r="N578" i="727"/>
  <c r="M578" i="727"/>
  <c r="O578" i="727" s="1"/>
  <c r="K578" i="727"/>
  <c r="J578" i="727"/>
  <c r="I578" i="727"/>
  <c r="L578" i="727" s="1"/>
  <c r="H578" i="727"/>
  <c r="G578" i="727"/>
  <c r="N577" i="727"/>
  <c r="M577" i="727"/>
  <c r="O577" i="727" s="1"/>
  <c r="K577" i="727"/>
  <c r="J577" i="727"/>
  <c r="L577" i="727" s="1"/>
  <c r="I577" i="727"/>
  <c r="H577" i="727"/>
  <c r="G577" i="727"/>
  <c r="N576" i="727"/>
  <c r="M576" i="727"/>
  <c r="O576" i="727" s="1"/>
  <c r="K576" i="727"/>
  <c r="L576" i="727" s="1"/>
  <c r="J576" i="727"/>
  <c r="I576" i="727"/>
  <c r="H576" i="727"/>
  <c r="G576" i="727"/>
  <c r="N575" i="727"/>
  <c r="M575" i="727"/>
  <c r="O575" i="727" s="1"/>
  <c r="K575" i="727"/>
  <c r="J575" i="727"/>
  <c r="I575" i="727"/>
  <c r="L575" i="727" s="1"/>
  <c r="H575" i="727"/>
  <c r="G575" i="727"/>
  <c r="N574" i="727"/>
  <c r="M574" i="727"/>
  <c r="O574" i="727" s="1"/>
  <c r="K574" i="727"/>
  <c r="J574" i="727"/>
  <c r="I574" i="727"/>
  <c r="L574" i="727" s="1"/>
  <c r="H574" i="727"/>
  <c r="G574" i="727"/>
  <c r="N573" i="727"/>
  <c r="M573" i="727"/>
  <c r="O573" i="727" s="1"/>
  <c r="K573" i="727"/>
  <c r="J573" i="727"/>
  <c r="L573" i="727" s="1"/>
  <c r="I573" i="727"/>
  <c r="H573" i="727"/>
  <c r="G573" i="727"/>
  <c r="N572" i="727"/>
  <c r="M572" i="727"/>
  <c r="O572" i="727" s="1"/>
  <c r="K572" i="727"/>
  <c r="J572" i="727"/>
  <c r="L572" i="727" s="1"/>
  <c r="I572" i="727"/>
  <c r="H572" i="727"/>
  <c r="G572" i="727"/>
  <c r="N571" i="727"/>
  <c r="M571" i="727"/>
  <c r="O571" i="727" s="1"/>
  <c r="K571" i="727"/>
  <c r="J571" i="727"/>
  <c r="I571" i="727"/>
  <c r="L571" i="727" s="1"/>
  <c r="H571" i="727"/>
  <c r="G571" i="727"/>
  <c r="N570" i="727"/>
  <c r="M570" i="727"/>
  <c r="O570" i="727" s="1"/>
  <c r="K570" i="727"/>
  <c r="J570" i="727"/>
  <c r="I570" i="727"/>
  <c r="L570" i="727" s="1"/>
  <c r="H570" i="727"/>
  <c r="G570" i="727"/>
  <c r="N569" i="727"/>
  <c r="M569" i="727"/>
  <c r="O569" i="727" s="1"/>
  <c r="K569" i="727"/>
  <c r="J569" i="727"/>
  <c r="L569" i="727" s="1"/>
  <c r="I569" i="727"/>
  <c r="H569" i="727"/>
  <c r="G569" i="727"/>
  <c r="N568" i="727"/>
  <c r="M568" i="727"/>
  <c r="O568" i="727" s="1"/>
  <c r="K568" i="727"/>
  <c r="L568" i="727" s="1"/>
  <c r="J568" i="727"/>
  <c r="I568" i="727"/>
  <c r="H568" i="727"/>
  <c r="G568" i="727"/>
  <c r="N567" i="727"/>
  <c r="M567" i="727"/>
  <c r="O567" i="727" s="1"/>
  <c r="K567" i="727"/>
  <c r="J567" i="727"/>
  <c r="I567" i="727"/>
  <c r="L567" i="727" s="1"/>
  <c r="H567" i="727"/>
  <c r="G567" i="727"/>
  <c r="N566" i="727"/>
  <c r="M566" i="727"/>
  <c r="O566" i="727" s="1"/>
  <c r="K566" i="727"/>
  <c r="J566" i="727"/>
  <c r="I566" i="727"/>
  <c r="L566" i="727" s="1"/>
  <c r="H566" i="727"/>
  <c r="G566" i="727"/>
  <c r="N565" i="727"/>
  <c r="M565" i="727"/>
  <c r="O565" i="727" s="1"/>
  <c r="K565" i="727"/>
  <c r="J565" i="727"/>
  <c r="L565" i="727" s="1"/>
  <c r="I565" i="727"/>
  <c r="H565" i="727"/>
  <c r="G565" i="727"/>
  <c r="N564" i="727"/>
  <c r="M564" i="727"/>
  <c r="O564" i="727" s="1"/>
  <c r="K564" i="727"/>
  <c r="J564" i="727"/>
  <c r="L564" i="727" s="1"/>
  <c r="I564" i="727"/>
  <c r="H564" i="727"/>
  <c r="G564" i="727"/>
  <c r="N563" i="727"/>
  <c r="M563" i="727"/>
  <c r="O563" i="727" s="1"/>
  <c r="K563" i="727"/>
  <c r="J563" i="727"/>
  <c r="I563" i="727"/>
  <c r="L563" i="727" s="1"/>
  <c r="H563" i="727"/>
  <c r="G563" i="727"/>
  <c r="N562" i="727"/>
  <c r="M562" i="727"/>
  <c r="O562" i="727" s="1"/>
  <c r="K562" i="727"/>
  <c r="J562" i="727"/>
  <c r="I562" i="727"/>
  <c r="L562" i="727" s="1"/>
  <c r="H562" i="727"/>
  <c r="G562" i="727"/>
  <c r="N561" i="727"/>
  <c r="M561" i="727"/>
  <c r="O561" i="727" s="1"/>
  <c r="K561" i="727"/>
  <c r="J561" i="727"/>
  <c r="L561" i="727" s="1"/>
  <c r="I561" i="727"/>
  <c r="H561" i="727"/>
  <c r="G561" i="727"/>
  <c r="N560" i="727"/>
  <c r="M560" i="727"/>
  <c r="O560" i="727" s="1"/>
  <c r="K560" i="727"/>
  <c r="L560" i="727" s="1"/>
  <c r="J560" i="727"/>
  <c r="I560" i="727"/>
  <c r="H560" i="727"/>
  <c r="G560" i="727"/>
  <c r="N559" i="727"/>
  <c r="M559" i="727"/>
  <c r="O559" i="727" s="1"/>
  <c r="K559" i="727"/>
  <c r="J559" i="727"/>
  <c r="I559" i="727"/>
  <c r="L559" i="727" s="1"/>
  <c r="H559" i="727"/>
  <c r="G559" i="727"/>
  <c r="N558" i="727"/>
  <c r="M558" i="727"/>
  <c r="O558" i="727" s="1"/>
  <c r="K558" i="727"/>
  <c r="J558" i="727"/>
  <c r="I558" i="727"/>
  <c r="L558" i="727" s="1"/>
  <c r="H558" i="727"/>
  <c r="G558" i="727"/>
  <c r="N557" i="727"/>
  <c r="M557" i="727"/>
  <c r="O557" i="727" s="1"/>
  <c r="K557" i="727"/>
  <c r="J557" i="727"/>
  <c r="L557" i="727" s="1"/>
  <c r="I557" i="727"/>
  <c r="H557" i="727"/>
  <c r="G557" i="727"/>
  <c r="N556" i="727"/>
  <c r="M556" i="727"/>
  <c r="O556" i="727" s="1"/>
  <c r="K556" i="727"/>
  <c r="J556" i="727"/>
  <c r="L556" i="727" s="1"/>
  <c r="I556" i="727"/>
  <c r="H556" i="727"/>
  <c r="G556" i="727"/>
  <c r="N555" i="727"/>
  <c r="M555" i="727"/>
  <c r="O555" i="727" s="1"/>
  <c r="K555" i="727"/>
  <c r="J555" i="727"/>
  <c r="I555" i="727"/>
  <c r="L555" i="727" s="1"/>
  <c r="H555" i="727"/>
  <c r="G555" i="727"/>
  <c r="N554" i="727"/>
  <c r="M554" i="727"/>
  <c r="O554" i="727" s="1"/>
  <c r="K554" i="727"/>
  <c r="J554" i="727"/>
  <c r="I554" i="727"/>
  <c r="L554" i="727" s="1"/>
  <c r="H554" i="727"/>
  <c r="G554" i="727"/>
  <c r="N553" i="727"/>
  <c r="M553" i="727"/>
  <c r="O553" i="727" s="1"/>
  <c r="K553" i="727"/>
  <c r="J553" i="727"/>
  <c r="L553" i="727" s="1"/>
  <c r="I553" i="727"/>
  <c r="H553" i="727"/>
  <c r="G553" i="727"/>
  <c r="N552" i="727"/>
  <c r="M552" i="727"/>
  <c r="O552" i="727" s="1"/>
  <c r="K552" i="727"/>
  <c r="L552" i="727" s="1"/>
  <c r="J552" i="727"/>
  <c r="I552" i="727"/>
  <c r="H552" i="727"/>
  <c r="G552" i="727"/>
  <c r="N551" i="727"/>
  <c r="M551" i="727"/>
  <c r="O551" i="727" s="1"/>
  <c r="K551" i="727"/>
  <c r="J551" i="727"/>
  <c r="I551" i="727"/>
  <c r="L551" i="727" s="1"/>
  <c r="H551" i="727"/>
  <c r="G551" i="727"/>
  <c r="N550" i="727"/>
  <c r="M550" i="727"/>
  <c r="O550" i="727" s="1"/>
  <c r="K550" i="727"/>
  <c r="J550" i="727"/>
  <c r="I550" i="727"/>
  <c r="L550" i="727" s="1"/>
  <c r="H550" i="727"/>
  <c r="G550" i="727"/>
  <c r="N549" i="727"/>
  <c r="M549" i="727"/>
  <c r="O549" i="727" s="1"/>
  <c r="K549" i="727"/>
  <c r="J549" i="727"/>
  <c r="L549" i="727" s="1"/>
  <c r="I549" i="727"/>
  <c r="H549" i="727"/>
  <c r="G549" i="727"/>
  <c r="N548" i="727"/>
  <c r="M548" i="727"/>
  <c r="O548" i="727" s="1"/>
  <c r="K548" i="727"/>
  <c r="J548" i="727"/>
  <c r="L548" i="727" s="1"/>
  <c r="I548" i="727"/>
  <c r="H548" i="727"/>
  <c r="G548" i="727"/>
  <c r="N547" i="727"/>
  <c r="M547" i="727"/>
  <c r="O547" i="727" s="1"/>
  <c r="K547" i="727"/>
  <c r="J547" i="727"/>
  <c r="I547" i="727"/>
  <c r="L547" i="727" s="1"/>
  <c r="H547" i="727"/>
  <c r="G547" i="727"/>
  <c r="N546" i="727"/>
  <c r="M546" i="727"/>
  <c r="O546" i="727" s="1"/>
  <c r="K546" i="727"/>
  <c r="J546" i="727"/>
  <c r="I546" i="727"/>
  <c r="L546" i="727" s="1"/>
  <c r="H546" i="727"/>
  <c r="G546" i="727"/>
  <c r="N545" i="727"/>
  <c r="M545" i="727"/>
  <c r="O545" i="727" s="1"/>
  <c r="K545" i="727"/>
  <c r="J545" i="727"/>
  <c r="L545" i="727" s="1"/>
  <c r="I545" i="727"/>
  <c r="H545" i="727"/>
  <c r="G545" i="727"/>
  <c r="N544" i="727"/>
  <c r="M544" i="727"/>
  <c r="O544" i="727" s="1"/>
  <c r="K544" i="727"/>
  <c r="L544" i="727" s="1"/>
  <c r="J544" i="727"/>
  <c r="I544" i="727"/>
  <c r="H544" i="727"/>
  <c r="G544" i="727"/>
  <c r="N543" i="727"/>
  <c r="M543" i="727"/>
  <c r="O543" i="727" s="1"/>
  <c r="K543" i="727"/>
  <c r="J543" i="727"/>
  <c r="I543" i="727"/>
  <c r="L543" i="727" s="1"/>
  <c r="H543" i="727"/>
  <c r="G543" i="727"/>
  <c r="N542" i="727"/>
  <c r="M542" i="727"/>
  <c r="O542" i="727" s="1"/>
  <c r="K542" i="727"/>
  <c r="J542" i="727"/>
  <c r="I542" i="727"/>
  <c r="L542" i="727" s="1"/>
  <c r="H542" i="727"/>
  <c r="G542" i="727"/>
  <c r="N541" i="727"/>
  <c r="M541" i="727"/>
  <c r="O541" i="727" s="1"/>
  <c r="K541" i="727"/>
  <c r="J541" i="727"/>
  <c r="L541" i="727" s="1"/>
  <c r="I541" i="727"/>
  <c r="H541" i="727"/>
  <c r="G541" i="727"/>
  <c r="N540" i="727"/>
  <c r="M540" i="727"/>
  <c r="O540" i="727" s="1"/>
  <c r="K540" i="727"/>
  <c r="J540" i="727"/>
  <c r="L540" i="727" s="1"/>
  <c r="I540" i="727"/>
  <c r="H540" i="727"/>
  <c r="G540" i="727"/>
  <c r="N539" i="727"/>
  <c r="M539" i="727"/>
  <c r="O539" i="727" s="1"/>
  <c r="K539" i="727"/>
  <c r="J539" i="727"/>
  <c r="I539" i="727"/>
  <c r="L539" i="727" s="1"/>
  <c r="H539" i="727"/>
  <c r="G539" i="727"/>
  <c r="N538" i="727"/>
  <c r="M538" i="727"/>
  <c r="O538" i="727" s="1"/>
  <c r="K538" i="727"/>
  <c r="J538" i="727"/>
  <c r="I538" i="727"/>
  <c r="L538" i="727" s="1"/>
  <c r="H538" i="727"/>
  <c r="G538" i="727"/>
  <c r="N537" i="727"/>
  <c r="M537" i="727"/>
  <c r="O537" i="727" s="1"/>
  <c r="K537" i="727"/>
  <c r="J537" i="727"/>
  <c r="L537" i="727" s="1"/>
  <c r="I537" i="727"/>
  <c r="H537" i="727"/>
  <c r="G537" i="727"/>
  <c r="N536" i="727"/>
  <c r="M536" i="727"/>
  <c r="O536" i="727" s="1"/>
  <c r="K536" i="727"/>
  <c r="L536" i="727" s="1"/>
  <c r="J536" i="727"/>
  <c r="I536" i="727"/>
  <c r="H536" i="727"/>
  <c r="G536" i="727"/>
  <c r="N535" i="727"/>
  <c r="M535" i="727"/>
  <c r="O535" i="727" s="1"/>
  <c r="K535" i="727"/>
  <c r="J535" i="727"/>
  <c r="I535" i="727"/>
  <c r="L535" i="727" s="1"/>
  <c r="H535" i="727"/>
  <c r="G535" i="727"/>
  <c r="N534" i="727"/>
  <c r="M534" i="727"/>
  <c r="O534" i="727" s="1"/>
  <c r="K534" i="727"/>
  <c r="J534" i="727"/>
  <c r="I534" i="727"/>
  <c r="L534" i="727" s="1"/>
  <c r="H534" i="727"/>
  <c r="G534" i="727"/>
  <c r="N533" i="727"/>
  <c r="M533" i="727"/>
  <c r="O533" i="727" s="1"/>
  <c r="K533" i="727"/>
  <c r="J533" i="727"/>
  <c r="L533" i="727" s="1"/>
  <c r="I533" i="727"/>
  <c r="H533" i="727"/>
  <c r="G533" i="727"/>
  <c r="N532" i="727"/>
  <c r="M532" i="727"/>
  <c r="O532" i="727" s="1"/>
  <c r="K532" i="727"/>
  <c r="J532" i="727"/>
  <c r="L532" i="727" s="1"/>
  <c r="I532" i="727"/>
  <c r="H532" i="727"/>
  <c r="G532" i="727"/>
  <c r="N531" i="727"/>
  <c r="M531" i="727"/>
  <c r="O531" i="727" s="1"/>
  <c r="K531" i="727"/>
  <c r="J531" i="727"/>
  <c r="I531" i="727"/>
  <c r="L531" i="727" s="1"/>
  <c r="H531" i="727"/>
  <c r="G531" i="727"/>
  <c r="N530" i="727"/>
  <c r="M530" i="727"/>
  <c r="O530" i="727" s="1"/>
  <c r="K530" i="727"/>
  <c r="J530" i="727"/>
  <c r="I530" i="727"/>
  <c r="L530" i="727" s="1"/>
  <c r="H530" i="727"/>
  <c r="G530" i="727"/>
  <c r="N529" i="727"/>
  <c r="M529" i="727"/>
  <c r="O529" i="727" s="1"/>
  <c r="K529" i="727"/>
  <c r="J529" i="727"/>
  <c r="L529" i="727" s="1"/>
  <c r="I529" i="727"/>
  <c r="H529" i="727"/>
  <c r="G529" i="727"/>
  <c r="N528" i="727"/>
  <c r="M528" i="727"/>
  <c r="O528" i="727" s="1"/>
  <c r="K528" i="727"/>
  <c r="L528" i="727" s="1"/>
  <c r="J528" i="727"/>
  <c r="I528" i="727"/>
  <c r="H528" i="727"/>
  <c r="G528" i="727"/>
  <c r="N527" i="727"/>
  <c r="M527" i="727"/>
  <c r="O527" i="727" s="1"/>
  <c r="K527" i="727"/>
  <c r="J527" i="727"/>
  <c r="I527" i="727"/>
  <c r="L527" i="727" s="1"/>
  <c r="H527" i="727"/>
  <c r="G527" i="727"/>
  <c r="N526" i="727"/>
  <c r="M526" i="727"/>
  <c r="O526" i="727" s="1"/>
  <c r="K526" i="727"/>
  <c r="J526" i="727"/>
  <c r="I526" i="727"/>
  <c r="L526" i="727" s="1"/>
  <c r="H526" i="727"/>
  <c r="G526" i="727"/>
  <c r="N525" i="727"/>
  <c r="M525" i="727"/>
  <c r="O525" i="727" s="1"/>
  <c r="K525" i="727"/>
  <c r="J525" i="727"/>
  <c r="L525" i="727" s="1"/>
  <c r="I525" i="727"/>
  <c r="H525" i="727"/>
  <c r="G525" i="727"/>
  <c r="N524" i="727"/>
  <c r="M524" i="727"/>
  <c r="O524" i="727" s="1"/>
  <c r="K524" i="727"/>
  <c r="J524" i="727"/>
  <c r="L524" i="727" s="1"/>
  <c r="I524" i="727"/>
  <c r="H524" i="727"/>
  <c r="G524" i="727"/>
  <c r="N523" i="727"/>
  <c r="M523" i="727"/>
  <c r="O523" i="727" s="1"/>
  <c r="K523" i="727"/>
  <c r="J523" i="727"/>
  <c r="I523" i="727"/>
  <c r="L523" i="727" s="1"/>
  <c r="H523" i="727"/>
  <c r="G523" i="727"/>
  <c r="N522" i="727"/>
  <c r="M522" i="727"/>
  <c r="O522" i="727" s="1"/>
  <c r="K522" i="727"/>
  <c r="J522" i="727"/>
  <c r="I522" i="727"/>
  <c r="L522" i="727" s="1"/>
  <c r="H522" i="727"/>
  <c r="G522" i="727"/>
  <c r="N521" i="727"/>
  <c r="M521" i="727"/>
  <c r="O521" i="727" s="1"/>
  <c r="K521" i="727"/>
  <c r="J521" i="727"/>
  <c r="L521" i="727" s="1"/>
  <c r="I521" i="727"/>
  <c r="H521" i="727"/>
  <c r="G521" i="727"/>
  <c r="N520" i="727"/>
  <c r="M520" i="727"/>
  <c r="O520" i="727" s="1"/>
  <c r="L520" i="727"/>
  <c r="K520" i="727"/>
  <c r="J520" i="727"/>
  <c r="I520" i="727"/>
  <c r="H520" i="727"/>
  <c r="G520" i="727"/>
  <c r="N519" i="727"/>
  <c r="M519" i="727"/>
  <c r="O519" i="727" s="1"/>
  <c r="K519" i="727"/>
  <c r="J519" i="727"/>
  <c r="I519" i="727"/>
  <c r="L519" i="727" s="1"/>
  <c r="H519" i="727"/>
  <c r="G519" i="727"/>
  <c r="N518" i="727"/>
  <c r="M518" i="727"/>
  <c r="O518" i="727" s="1"/>
  <c r="K518" i="727"/>
  <c r="J518" i="727"/>
  <c r="I518" i="727"/>
  <c r="H518" i="727"/>
  <c r="G518" i="727"/>
  <c r="N517" i="727"/>
  <c r="M517" i="727"/>
  <c r="O517" i="727" s="1"/>
  <c r="K517" i="727"/>
  <c r="J517" i="727"/>
  <c r="L517" i="727" s="1"/>
  <c r="I517" i="727"/>
  <c r="H517" i="727"/>
  <c r="G517" i="727"/>
  <c r="N516" i="727"/>
  <c r="M516" i="727"/>
  <c r="O516" i="727" s="1"/>
  <c r="K516" i="727"/>
  <c r="J516" i="727"/>
  <c r="L516" i="727" s="1"/>
  <c r="I516" i="727"/>
  <c r="H516" i="727"/>
  <c r="G516" i="727"/>
  <c r="N515" i="727"/>
  <c r="M515" i="727"/>
  <c r="O515" i="727" s="1"/>
  <c r="L515" i="727"/>
  <c r="K515" i="727"/>
  <c r="J515" i="727"/>
  <c r="I515" i="727"/>
  <c r="H515" i="727"/>
  <c r="G515" i="727"/>
  <c r="N514" i="727"/>
  <c r="M514" i="727"/>
  <c r="O514" i="727" s="1"/>
  <c r="K514" i="727"/>
  <c r="J514" i="727"/>
  <c r="I514" i="727"/>
  <c r="H514" i="727"/>
  <c r="G514" i="727"/>
  <c r="N513" i="727"/>
  <c r="M513" i="727"/>
  <c r="O513" i="727" s="1"/>
  <c r="K513" i="727"/>
  <c r="J513" i="727"/>
  <c r="L513" i="727" s="1"/>
  <c r="I513" i="727"/>
  <c r="H513" i="727"/>
  <c r="G513" i="727"/>
  <c r="N512" i="727"/>
  <c r="M512" i="727"/>
  <c r="O512" i="727" s="1"/>
  <c r="L512" i="727"/>
  <c r="K512" i="727"/>
  <c r="J512" i="727"/>
  <c r="I512" i="727"/>
  <c r="H512" i="727"/>
  <c r="G512" i="727"/>
  <c r="N511" i="727"/>
  <c r="M511" i="727"/>
  <c r="O511" i="727" s="1"/>
  <c r="L511" i="727"/>
  <c r="K511" i="727"/>
  <c r="J511" i="727"/>
  <c r="I511" i="727"/>
  <c r="H511" i="727"/>
  <c r="G511" i="727"/>
  <c r="N510" i="727"/>
  <c r="M510" i="727"/>
  <c r="O510" i="727" s="1"/>
  <c r="K510" i="727"/>
  <c r="J510" i="727"/>
  <c r="I510" i="727"/>
  <c r="L510" i="727" s="1"/>
  <c r="H510" i="727"/>
  <c r="G510" i="727"/>
  <c r="N509" i="727"/>
  <c r="M509" i="727"/>
  <c r="O509" i="727" s="1"/>
  <c r="K509" i="727"/>
  <c r="J509" i="727"/>
  <c r="I509" i="727"/>
  <c r="H509" i="727"/>
  <c r="G509" i="727"/>
  <c r="N508" i="727"/>
  <c r="M508" i="727"/>
  <c r="O508" i="727" s="1"/>
  <c r="L508" i="727"/>
  <c r="K508" i="727"/>
  <c r="J508" i="727"/>
  <c r="I508" i="727"/>
  <c r="H508" i="727"/>
  <c r="G508" i="727"/>
  <c r="N507" i="727"/>
  <c r="M507" i="727"/>
  <c r="O507" i="727" s="1"/>
  <c r="K507" i="727"/>
  <c r="J507" i="727"/>
  <c r="I507" i="727"/>
  <c r="L507" i="727" s="1"/>
  <c r="H507" i="727"/>
  <c r="G507" i="727"/>
  <c r="N506" i="727"/>
  <c r="M506" i="727"/>
  <c r="O506" i="727" s="1"/>
  <c r="K506" i="727"/>
  <c r="J506" i="727"/>
  <c r="I506" i="727"/>
  <c r="H506" i="727"/>
  <c r="G506" i="727"/>
  <c r="N505" i="727"/>
  <c r="M505" i="727"/>
  <c r="O505" i="727" s="1"/>
  <c r="K505" i="727"/>
  <c r="J505" i="727"/>
  <c r="I505" i="727"/>
  <c r="H505" i="727"/>
  <c r="G505" i="727"/>
  <c r="N504" i="727"/>
  <c r="M504" i="727"/>
  <c r="O504" i="727" s="1"/>
  <c r="K504" i="727"/>
  <c r="J504" i="727"/>
  <c r="L504" i="727" s="1"/>
  <c r="I504" i="727"/>
  <c r="H504" i="727"/>
  <c r="G504" i="727"/>
  <c r="N503" i="727"/>
  <c r="M503" i="727"/>
  <c r="O503" i="727" s="1"/>
  <c r="L503" i="727"/>
  <c r="K503" i="727"/>
  <c r="J503" i="727"/>
  <c r="I503" i="727"/>
  <c r="H503" i="727"/>
  <c r="G503" i="727"/>
  <c r="N502" i="727"/>
  <c r="M502" i="727"/>
  <c r="O502" i="727" s="1"/>
  <c r="K502" i="727"/>
  <c r="J502" i="727"/>
  <c r="I502" i="727"/>
  <c r="H502" i="727"/>
  <c r="G502" i="727"/>
  <c r="N501" i="727"/>
  <c r="M501" i="727"/>
  <c r="O501" i="727" s="1"/>
  <c r="K501" i="727"/>
  <c r="J501" i="727"/>
  <c r="L501" i="727" s="1"/>
  <c r="I501" i="727"/>
  <c r="H501" i="727"/>
  <c r="G501" i="727"/>
  <c r="N500" i="727"/>
  <c r="M500" i="727"/>
  <c r="O500" i="727" s="1"/>
  <c r="L500" i="727"/>
  <c r="K500" i="727"/>
  <c r="J500" i="727"/>
  <c r="I500" i="727"/>
  <c r="H500" i="727"/>
  <c r="G500" i="727"/>
  <c r="N499" i="727"/>
  <c r="M499" i="727"/>
  <c r="O499" i="727" s="1"/>
  <c r="L499" i="727"/>
  <c r="K499" i="727"/>
  <c r="J499" i="727"/>
  <c r="I499" i="727"/>
  <c r="H499" i="727"/>
  <c r="G499" i="727"/>
  <c r="N498" i="727"/>
  <c r="O498" i="727" s="1"/>
  <c r="M498" i="727"/>
  <c r="K498" i="727"/>
  <c r="J498" i="727"/>
  <c r="I498" i="727"/>
  <c r="L498" i="727" s="1"/>
  <c r="H498" i="727"/>
  <c r="G498" i="727"/>
  <c r="N497" i="727"/>
  <c r="M497" i="727"/>
  <c r="O497" i="727" s="1"/>
  <c r="K497" i="727"/>
  <c r="J497" i="727"/>
  <c r="L497" i="727" s="1"/>
  <c r="I497" i="727"/>
  <c r="H497" i="727"/>
  <c r="G497" i="727"/>
  <c r="N496" i="727"/>
  <c r="O496" i="727" s="1"/>
  <c r="M496" i="727"/>
  <c r="K496" i="727"/>
  <c r="J496" i="727"/>
  <c r="I496" i="727"/>
  <c r="L496" i="727" s="1"/>
  <c r="H496" i="727"/>
  <c r="G496" i="727"/>
  <c r="N495" i="727"/>
  <c r="M495" i="727"/>
  <c r="O495" i="727" s="1"/>
  <c r="K495" i="727"/>
  <c r="J495" i="727"/>
  <c r="L495" i="727" s="1"/>
  <c r="I495" i="727"/>
  <c r="H495" i="727"/>
  <c r="G495" i="727"/>
  <c r="O494" i="727"/>
  <c r="N494" i="727"/>
  <c r="M494" i="727"/>
  <c r="K494" i="727"/>
  <c r="J494" i="727"/>
  <c r="I494" i="727"/>
  <c r="L494" i="727" s="1"/>
  <c r="H494" i="727"/>
  <c r="G494" i="727"/>
  <c r="O493" i="727"/>
  <c r="N493" i="727"/>
  <c r="M493" i="727"/>
  <c r="K493" i="727"/>
  <c r="J493" i="727"/>
  <c r="L493" i="727" s="1"/>
  <c r="I493" i="727"/>
  <c r="H493" i="727"/>
  <c r="G493" i="727"/>
  <c r="N492" i="727"/>
  <c r="M492" i="727"/>
  <c r="O492" i="727" s="1"/>
  <c r="L492" i="727"/>
  <c r="K492" i="727"/>
  <c r="J492" i="727"/>
  <c r="I492" i="727"/>
  <c r="H492" i="727"/>
  <c r="G492" i="727"/>
  <c r="N491" i="727"/>
  <c r="M491" i="727"/>
  <c r="O491" i="727" s="1"/>
  <c r="K491" i="727"/>
  <c r="J491" i="727"/>
  <c r="I491" i="727"/>
  <c r="L491" i="727" s="1"/>
  <c r="H491" i="727"/>
  <c r="G491" i="727"/>
  <c r="N490" i="727"/>
  <c r="M490" i="727"/>
  <c r="O490" i="727" s="1"/>
  <c r="K490" i="727"/>
  <c r="J490" i="727"/>
  <c r="I490" i="727"/>
  <c r="L490" i="727" s="1"/>
  <c r="H490" i="727"/>
  <c r="G490" i="727"/>
  <c r="N489" i="727"/>
  <c r="M489" i="727"/>
  <c r="O489" i="727" s="1"/>
  <c r="K489" i="727"/>
  <c r="J489" i="727"/>
  <c r="L489" i="727" s="1"/>
  <c r="I489" i="727"/>
  <c r="H489" i="727"/>
  <c r="G489" i="727"/>
  <c r="N488" i="727"/>
  <c r="M488" i="727"/>
  <c r="O488" i="727" s="1"/>
  <c r="K488" i="727"/>
  <c r="J488" i="727"/>
  <c r="L488" i="727" s="1"/>
  <c r="I488" i="727"/>
  <c r="H488" i="727"/>
  <c r="G488" i="727"/>
  <c r="N487" i="727"/>
  <c r="M487" i="727"/>
  <c r="K487" i="727"/>
  <c r="J487" i="727"/>
  <c r="I487" i="727"/>
  <c r="L487" i="727" s="1"/>
  <c r="H487" i="727"/>
  <c r="G487" i="727"/>
  <c r="O486" i="727"/>
  <c r="N486" i="727"/>
  <c r="M486" i="727"/>
  <c r="K486" i="727"/>
  <c r="J486" i="727"/>
  <c r="I486" i="727"/>
  <c r="H486" i="727"/>
  <c r="G486" i="727"/>
  <c r="N485" i="727"/>
  <c r="M485" i="727"/>
  <c r="O485" i="727" s="1"/>
  <c r="K485" i="727"/>
  <c r="L485" i="727" s="1"/>
  <c r="J485" i="727"/>
  <c r="I485" i="727"/>
  <c r="H485" i="727"/>
  <c r="G485" i="727"/>
  <c r="N484" i="727"/>
  <c r="M484" i="727"/>
  <c r="O484" i="727" s="1"/>
  <c r="K484" i="727"/>
  <c r="J484" i="727"/>
  <c r="I484" i="727"/>
  <c r="L484" i="727" s="1"/>
  <c r="H484" i="727"/>
  <c r="G484" i="727"/>
  <c r="N483" i="727"/>
  <c r="M483" i="727"/>
  <c r="O483" i="727" s="1"/>
  <c r="L483" i="727"/>
  <c r="K483" i="727"/>
  <c r="J483" i="727"/>
  <c r="I483" i="727"/>
  <c r="H483" i="727"/>
  <c r="G483" i="727"/>
  <c r="N482" i="727"/>
  <c r="M482" i="727"/>
  <c r="O482" i="727" s="1"/>
  <c r="K482" i="727"/>
  <c r="J482" i="727"/>
  <c r="I482" i="727"/>
  <c r="L482" i="727" s="1"/>
  <c r="H482" i="727"/>
  <c r="G482" i="727"/>
  <c r="N481" i="727"/>
  <c r="O481" i="727" s="1"/>
  <c r="M481" i="727"/>
  <c r="K481" i="727"/>
  <c r="J481" i="727"/>
  <c r="L481" i="727" s="1"/>
  <c r="I481" i="727"/>
  <c r="H481" i="727"/>
  <c r="G481" i="727"/>
  <c r="N480" i="727"/>
  <c r="M480" i="727"/>
  <c r="O480" i="727" s="1"/>
  <c r="K480" i="727"/>
  <c r="J480" i="727"/>
  <c r="I480" i="727"/>
  <c r="L480" i="727" s="1"/>
  <c r="H480" i="727"/>
  <c r="G480" i="727"/>
  <c r="N479" i="727"/>
  <c r="M479" i="727"/>
  <c r="K479" i="727"/>
  <c r="J479" i="727"/>
  <c r="I479" i="727"/>
  <c r="L479" i="727" s="1"/>
  <c r="H479" i="727"/>
  <c r="G479" i="727"/>
  <c r="N478" i="727"/>
  <c r="M478" i="727"/>
  <c r="O478" i="727" s="1"/>
  <c r="K478" i="727"/>
  <c r="J478" i="727"/>
  <c r="I478" i="727"/>
  <c r="H478" i="727"/>
  <c r="G478" i="727"/>
  <c r="O477" i="727"/>
  <c r="N477" i="727"/>
  <c r="M477" i="727"/>
  <c r="K477" i="727"/>
  <c r="J477" i="727"/>
  <c r="L477" i="727" s="1"/>
  <c r="I477" i="727"/>
  <c r="H477" i="727"/>
  <c r="G477" i="727"/>
  <c r="N476" i="727"/>
  <c r="M476" i="727"/>
  <c r="O476" i="727" s="1"/>
  <c r="L476" i="727"/>
  <c r="K476" i="727"/>
  <c r="J476" i="727"/>
  <c r="I476" i="727"/>
  <c r="H476" i="727"/>
  <c r="G476" i="727"/>
  <c r="N475" i="727"/>
  <c r="M475" i="727"/>
  <c r="O475" i="727" s="1"/>
  <c r="L475" i="727"/>
  <c r="K475" i="727"/>
  <c r="J475" i="727"/>
  <c r="I475" i="727"/>
  <c r="H475" i="727"/>
  <c r="G475" i="727"/>
  <c r="N474" i="727"/>
  <c r="O474" i="727" s="1"/>
  <c r="M474" i="727"/>
  <c r="K474" i="727"/>
  <c r="J474" i="727"/>
  <c r="I474" i="727"/>
  <c r="L474" i="727" s="1"/>
  <c r="H474" i="727"/>
  <c r="G474" i="727"/>
  <c r="N473" i="727"/>
  <c r="M473" i="727"/>
  <c r="O473" i="727" s="1"/>
  <c r="K473" i="727"/>
  <c r="J473" i="727"/>
  <c r="I473" i="727"/>
  <c r="L473" i="727" s="1"/>
  <c r="H473" i="727"/>
  <c r="G473" i="727"/>
  <c r="O472" i="727"/>
  <c r="N472" i="727"/>
  <c r="M472" i="727"/>
  <c r="K472" i="727"/>
  <c r="J472" i="727"/>
  <c r="I472" i="727"/>
  <c r="L472" i="727" s="1"/>
  <c r="H472" i="727"/>
  <c r="G472" i="727"/>
  <c r="N471" i="727"/>
  <c r="M471" i="727"/>
  <c r="O471" i="727" s="1"/>
  <c r="L471" i="727"/>
  <c r="K471" i="727"/>
  <c r="J471" i="727"/>
  <c r="I471" i="727"/>
  <c r="H471" i="727"/>
  <c r="G471" i="727"/>
  <c r="N470" i="727"/>
  <c r="O470" i="727" s="1"/>
  <c r="M470" i="727"/>
  <c r="K470" i="727"/>
  <c r="J470" i="727"/>
  <c r="I470" i="727"/>
  <c r="L470" i="727" s="1"/>
  <c r="H470" i="727"/>
  <c r="G470" i="727"/>
  <c r="N469" i="727"/>
  <c r="M469" i="727"/>
  <c r="O469" i="727" s="1"/>
  <c r="K469" i="727"/>
  <c r="J469" i="727"/>
  <c r="I469" i="727"/>
  <c r="L469" i="727" s="1"/>
  <c r="H469" i="727"/>
  <c r="G469" i="727"/>
  <c r="O468" i="727"/>
  <c r="N468" i="727"/>
  <c r="M468" i="727"/>
  <c r="K468" i="727"/>
  <c r="J468" i="727"/>
  <c r="I468" i="727"/>
  <c r="L468" i="727" s="1"/>
  <c r="H468" i="727"/>
  <c r="G468" i="727"/>
  <c r="N467" i="727"/>
  <c r="M467" i="727"/>
  <c r="O467" i="727" s="1"/>
  <c r="L467" i="727"/>
  <c r="K467" i="727"/>
  <c r="J467" i="727"/>
  <c r="I467" i="727"/>
  <c r="H467" i="727"/>
  <c r="G467" i="727"/>
  <c r="N466" i="727"/>
  <c r="O466" i="727" s="1"/>
  <c r="M466" i="727"/>
  <c r="K466" i="727"/>
  <c r="J466" i="727"/>
  <c r="I466" i="727"/>
  <c r="L466" i="727" s="1"/>
  <c r="H466" i="727"/>
  <c r="G466" i="727"/>
  <c r="N465" i="727"/>
  <c r="M465" i="727"/>
  <c r="O465" i="727" s="1"/>
  <c r="K465" i="727"/>
  <c r="J465" i="727"/>
  <c r="I465" i="727"/>
  <c r="L465" i="727" s="1"/>
  <c r="H465" i="727"/>
  <c r="G465" i="727"/>
  <c r="O464" i="727"/>
  <c r="N464" i="727"/>
  <c r="M464" i="727"/>
  <c r="K464" i="727"/>
  <c r="J464" i="727"/>
  <c r="I464" i="727"/>
  <c r="L464" i="727" s="1"/>
  <c r="H464" i="727"/>
  <c r="G464" i="727"/>
  <c r="N463" i="727"/>
  <c r="M463" i="727"/>
  <c r="O463" i="727" s="1"/>
  <c r="L463" i="727"/>
  <c r="K463" i="727"/>
  <c r="J463" i="727"/>
  <c r="I463" i="727"/>
  <c r="H463" i="727"/>
  <c r="G463" i="727"/>
  <c r="N462" i="727"/>
  <c r="O462" i="727" s="1"/>
  <c r="M462" i="727"/>
  <c r="K462" i="727"/>
  <c r="J462" i="727"/>
  <c r="I462" i="727"/>
  <c r="L462" i="727" s="1"/>
  <c r="H462" i="727"/>
  <c r="G462" i="727"/>
  <c r="N461" i="727"/>
  <c r="M461" i="727"/>
  <c r="O461" i="727" s="1"/>
  <c r="K461" i="727"/>
  <c r="J461" i="727"/>
  <c r="I461" i="727"/>
  <c r="L461" i="727" s="1"/>
  <c r="H461" i="727"/>
  <c r="G461" i="727"/>
  <c r="O460" i="727"/>
  <c r="N460" i="727"/>
  <c r="M460" i="727"/>
  <c r="K460" i="727"/>
  <c r="J460" i="727"/>
  <c r="I460" i="727"/>
  <c r="L460" i="727" s="1"/>
  <c r="H460" i="727"/>
  <c r="G460" i="727"/>
  <c r="N459" i="727"/>
  <c r="M459" i="727"/>
  <c r="O459" i="727" s="1"/>
  <c r="L459" i="727"/>
  <c r="K459" i="727"/>
  <c r="J459" i="727"/>
  <c r="I459" i="727"/>
  <c r="H459" i="727"/>
  <c r="G459" i="727"/>
  <c r="N458" i="727"/>
  <c r="O458" i="727" s="1"/>
  <c r="M458" i="727"/>
  <c r="K458" i="727"/>
  <c r="J458" i="727"/>
  <c r="I458" i="727"/>
  <c r="L458" i="727" s="1"/>
  <c r="H458" i="727"/>
  <c r="G458" i="727"/>
  <c r="N457" i="727"/>
  <c r="M457" i="727"/>
  <c r="O457" i="727" s="1"/>
  <c r="K457" i="727"/>
  <c r="J457" i="727"/>
  <c r="I457" i="727"/>
  <c r="L457" i="727" s="1"/>
  <c r="H457" i="727"/>
  <c r="G457" i="727"/>
  <c r="O456" i="727"/>
  <c r="N456" i="727"/>
  <c r="M456" i="727"/>
  <c r="K456" i="727"/>
  <c r="J456" i="727"/>
  <c r="L456" i="727" s="1"/>
  <c r="I456" i="727"/>
  <c r="H456" i="727"/>
  <c r="G456" i="727"/>
  <c r="N455" i="727"/>
  <c r="M455" i="727"/>
  <c r="O455" i="727" s="1"/>
  <c r="L455" i="727"/>
  <c r="K455" i="727"/>
  <c r="J455" i="727"/>
  <c r="I455" i="727"/>
  <c r="H455" i="727"/>
  <c r="G455" i="727"/>
  <c r="N454" i="727"/>
  <c r="O454" i="727" s="1"/>
  <c r="M454" i="727"/>
  <c r="K454" i="727"/>
  <c r="J454" i="727"/>
  <c r="I454" i="727"/>
  <c r="L454" i="727" s="1"/>
  <c r="H454" i="727"/>
  <c r="G454" i="727"/>
  <c r="N453" i="727"/>
  <c r="M453" i="727"/>
  <c r="O453" i="727" s="1"/>
  <c r="K453" i="727"/>
  <c r="J453" i="727"/>
  <c r="I453" i="727"/>
  <c r="L453" i="727" s="1"/>
  <c r="H453" i="727"/>
  <c r="G453" i="727"/>
  <c r="O452" i="727"/>
  <c r="N452" i="727"/>
  <c r="M452" i="727"/>
  <c r="K452" i="727"/>
  <c r="J452" i="727"/>
  <c r="L452" i="727" s="1"/>
  <c r="I452" i="727"/>
  <c r="H452" i="727"/>
  <c r="G452" i="727"/>
  <c r="N451" i="727"/>
  <c r="M451" i="727"/>
  <c r="O451" i="727" s="1"/>
  <c r="L451" i="727"/>
  <c r="K451" i="727"/>
  <c r="J451" i="727"/>
  <c r="I451" i="727"/>
  <c r="H451" i="727"/>
  <c r="G451" i="727"/>
  <c r="N450" i="727"/>
  <c r="O450" i="727" s="1"/>
  <c r="M450" i="727"/>
  <c r="K450" i="727"/>
  <c r="J450" i="727"/>
  <c r="I450" i="727"/>
  <c r="L450" i="727" s="1"/>
  <c r="H450" i="727"/>
  <c r="G450" i="727"/>
  <c r="N449" i="727"/>
  <c r="M449" i="727"/>
  <c r="O449" i="727" s="1"/>
  <c r="K449" i="727"/>
  <c r="J449" i="727"/>
  <c r="I449" i="727"/>
  <c r="L449" i="727" s="1"/>
  <c r="H449" i="727"/>
  <c r="G449" i="727"/>
  <c r="O448" i="727"/>
  <c r="N448" i="727"/>
  <c r="M448" i="727"/>
  <c r="K448" i="727"/>
  <c r="J448" i="727"/>
  <c r="L448" i="727" s="1"/>
  <c r="I448" i="727"/>
  <c r="H448" i="727"/>
  <c r="G448" i="727"/>
  <c r="N447" i="727"/>
  <c r="M447" i="727"/>
  <c r="O447" i="727" s="1"/>
  <c r="L447" i="727"/>
  <c r="K447" i="727"/>
  <c r="J447" i="727"/>
  <c r="I447" i="727"/>
  <c r="H447" i="727"/>
  <c r="G447" i="727"/>
  <c r="N446" i="727"/>
  <c r="O446" i="727" s="1"/>
  <c r="M446" i="727"/>
  <c r="K446" i="727"/>
  <c r="J446" i="727"/>
  <c r="I446" i="727"/>
  <c r="L446" i="727" s="1"/>
  <c r="H446" i="727"/>
  <c r="G446" i="727"/>
  <c r="N445" i="727"/>
  <c r="M445" i="727"/>
  <c r="O445" i="727" s="1"/>
  <c r="K445" i="727"/>
  <c r="J445" i="727"/>
  <c r="I445" i="727"/>
  <c r="L445" i="727" s="1"/>
  <c r="H445" i="727"/>
  <c r="G445" i="727"/>
  <c r="O444" i="727"/>
  <c r="N444" i="727"/>
  <c r="M444" i="727"/>
  <c r="K444" i="727"/>
  <c r="J444" i="727"/>
  <c r="I444" i="727"/>
  <c r="L444" i="727" s="1"/>
  <c r="H444" i="727"/>
  <c r="G444" i="727"/>
  <c r="N443" i="727"/>
  <c r="M443" i="727"/>
  <c r="O443" i="727" s="1"/>
  <c r="L443" i="727"/>
  <c r="K443" i="727"/>
  <c r="J443" i="727"/>
  <c r="I443" i="727"/>
  <c r="H443" i="727"/>
  <c r="G443" i="727"/>
  <c r="N442" i="727"/>
  <c r="O442" i="727" s="1"/>
  <c r="M442" i="727"/>
  <c r="K442" i="727"/>
  <c r="J442" i="727"/>
  <c r="I442" i="727"/>
  <c r="L442" i="727" s="1"/>
  <c r="H442" i="727"/>
  <c r="G442" i="727"/>
  <c r="N441" i="727"/>
  <c r="M441" i="727"/>
  <c r="O441" i="727" s="1"/>
  <c r="K441" i="727"/>
  <c r="J441" i="727"/>
  <c r="I441" i="727"/>
  <c r="L441" i="727" s="1"/>
  <c r="H441" i="727"/>
  <c r="G441" i="727"/>
  <c r="O440" i="727"/>
  <c r="N440" i="727"/>
  <c r="M440" i="727"/>
  <c r="K440" i="727"/>
  <c r="J440" i="727"/>
  <c r="I440" i="727"/>
  <c r="L440" i="727" s="1"/>
  <c r="H440" i="727"/>
  <c r="G440" i="727"/>
  <c r="N439" i="727"/>
  <c r="M439" i="727"/>
  <c r="O439" i="727" s="1"/>
  <c r="L439" i="727"/>
  <c r="K439" i="727"/>
  <c r="J439" i="727"/>
  <c r="I439" i="727"/>
  <c r="H439" i="727"/>
  <c r="G439" i="727"/>
  <c r="N438" i="727"/>
  <c r="O438" i="727" s="1"/>
  <c r="M438" i="727"/>
  <c r="K438" i="727"/>
  <c r="J438" i="727"/>
  <c r="I438" i="727"/>
  <c r="L438" i="727" s="1"/>
  <c r="H438" i="727"/>
  <c r="G438" i="727"/>
  <c r="N437" i="727"/>
  <c r="M437" i="727"/>
  <c r="O437" i="727" s="1"/>
  <c r="K437" i="727"/>
  <c r="J437" i="727"/>
  <c r="I437" i="727"/>
  <c r="L437" i="727" s="1"/>
  <c r="H437" i="727"/>
  <c r="G437" i="727"/>
  <c r="O436" i="727"/>
  <c r="N436" i="727"/>
  <c r="M436" i="727"/>
  <c r="K436" i="727"/>
  <c r="J436" i="727"/>
  <c r="L436" i="727" s="1"/>
  <c r="I436" i="727"/>
  <c r="H436" i="727"/>
  <c r="G436" i="727"/>
  <c r="N435" i="727"/>
  <c r="M435" i="727"/>
  <c r="O435" i="727" s="1"/>
  <c r="L435" i="727"/>
  <c r="K435" i="727"/>
  <c r="J435" i="727"/>
  <c r="I435" i="727"/>
  <c r="H435" i="727"/>
  <c r="G435" i="727"/>
  <c r="N434" i="727"/>
  <c r="O434" i="727" s="1"/>
  <c r="M434" i="727"/>
  <c r="K434" i="727"/>
  <c r="J434" i="727"/>
  <c r="I434" i="727"/>
  <c r="L434" i="727" s="1"/>
  <c r="H434" i="727"/>
  <c r="G434" i="727"/>
  <c r="N433" i="727"/>
  <c r="M433" i="727"/>
  <c r="O433" i="727" s="1"/>
  <c r="K433" i="727"/>
  <c r="J433" i="727"/>
  <c r="I433" i="727"/>
  <c r="L433" i="727" s="1"/>
  <c r="H433" i="727"/>
  <c r="G433" i="727"/>
  <c r="O432" i="727"/>
  <c r="N432" i="727"/>
  <c r="M432" i="727"/>
  <c r="K432" i="727"/>
  <c r="J432" i="727"/>
  <c r="L432" i="727" s="1"/>
  <c r="I432" i="727"/>
  <c r="H432" i="727"/>
  <c r="G432" i="727"/>
  <c r="N431" i="727"/>
  <c r="M431" i="727"/>
  <c r="O431" i="727" s="1"/>
  <c r="L431" i="727"/>
  <c r="K431" i="727"/>
  <c r="J431" i="727"/>
  <c r="I431" i="727"/>
  <c r="H431" i="727"/>
  <c r="G431" i="727"/>
  <c r="N430" i="727"/>
  <c r="O430" i="727" s="1"/>
  <c r="M430" i="727"/>
  <c r="K430" i="727"/>
  <c r="J430" i="727"/>
  <c r="I430" i="727"/>
  <c r="L430" i="727" s="1"/>
  <c r="H430" i="727"/>
  <c r="G430" i="727"/>
  <c r="N429" i="727"/>
  <c r="M429" i="727"/>
  <c r="O429" i="727" s="1"/>
  <c r="K429" i="727"/>
  <c r="J429" i="727"/>
  <c r="I429" i="727"/>
  <c r="L429" i="727" s="1"/>
  <c r="H429" i="727"/>
  <c r="G429" i="727"/>
  <c r="O428" i="727"/>
  <c r="N428" i="727"/>
  <c r="M428" i="727"/>
  <c r="K428" i="727"/>
  <c r="J428" i="727"/>
  <c r="L428" i="727" s="1"/>
  <c r="I428" i="727"/>
  <c r="H428" i="727"/>
  <c r="G428" i="727"/>
  <c r="N427" i="727"/>
  <c r="M427" i="727"/>
  <c r="O427" i="727" s="1"/>
  <c r="L427" i="727"/>
  <c r="K427" i="727"/>
  <c r="J427" i="727"/>
  <c r="I427" i="727"/>
  <c r="H427" i="727"/>
  <c r="G427" i="727"/>
  <c r="N426" i="727"/>
  <c r="O426" i="727" s="1"/>
  <c r="M426" i="727"/>
  <c r="K426" i="727"/>
  <c r="J426" i="727"/>
  <c r="I426" i="727"/>
  <c r="L426" i="727" s="1"/>
  <c r="H426" i="727"/>
  <c r="G426" i="727"/>
  <c r="N425" i="727"/>
  <c r="M425" i="727"/>
  <c r="O425" i="727" s="1"/>
  <c r="K425" i="727"/>
  <c r="J425" i="727"/>
  <c r="I425" i="727"/>
  <c r="L425" i="727" s="1"/>
  <c r="H425" i="727"/>
  <c r="G425" i="727"/>
  <c r="O424" i="727"/>
  <c r="N424" i="727"/>
  <c r="M424" i="727"/>
  <c r="K424" i="727"/>
  <c r="J424" i="727"/>
  <c r="L424" i="727" s="1"/>
  <c r="I424" i="727"/>
  <c r="H424" i="727"/>
  <c r="G424" i="727"/>
  <c r="N423" i="727"/>
  <c r="M423" i="727"/>
  <c r="O423" i="727" s="1"/>
  <c r="L423" i="727"/>
  <c r="K423" i="727"/>
  <c r="J423" i="727"/>
  <c r="I423" i="727"/>
  <c r="H423" i="727"/>
  <c r="G423" i="727"/>
  <c r="N422" i="727"/>
  <c r="O422" i="727" s="1"/>
  <c r="M422" i="727"/>
  <c r="K422" i="727"/>
  <c r="J422" i="727"/>
  <c r="I422" i="727"/>
  <c r="L422" i="727" s="1"/>
  <c r="H422" i="727"/>
  <c r="G422" i="727"/>
  <c r="N421" i="727"/>
  <c r="M421" i="727"/>
  <c r="O421" i="727" s="1"/>
  <c r="K421" i="727"/>
  <c r="J421" i="727"/>
  <c r="I421" i="727"/>
  <c r="L421" i="727" s="1"/>
  <c r="H421" i="727"/>
  <c r="G421" i="727"/>
  <c r="O420" i="727"/>
  <c r="N420" i="727"/>
  <c r="M420" i="727"/>
  <c r="K420" i="727"/>
  <c r="J420" i="727"/>
  <c r="L420" i="727" s="1"/>
  <c r="I420" i="727"/>
  <c r="H420" i="727"/>
  <c r="G420" i="727"/>
  <c r="N419" i="727"/>
  <c r="M419" i="727"/>
  <c r="O419" i="727" s="1"/>
  <c r="L419" i="727"/>
  <c r="K419" i="727"/>
  <c r="J419" i="727"/>
  <c r="I419" i="727"/>
  <c r="H419" i="727"/>
  <c r="G419" i="727"/>
  <c r="N418" i="727"/>
  <c r="O418" i="727" s="1"/>
  <c r="M418" i="727"/>
  <c r="K418" i="727"/>
  <c r="J418" i="727"/>
  <c r="I418" i="727"/>
  <c r="L418" i="727" s="1"/>
  <c r="H418" i="727"/>
  <c r="G418" i="727"/>
  <c r="N417" i="727"/>
  <c r="M417" i="727"/>
  <c r="O417" i="727" s="1"/>
  <c r="K417" i="727"/>
  <c r="J417" i="727"/>
  <c r="I417" i="727"/>
  <c r="L417" i="727" s="1"/>
  <c r="H417" i="727"/>
  <c r="G417" i="727"/>
  <c r="O416" i="727"/>
  <c r="N416" i="727"/>
  <c r="M416" i="727"/>
  <c r="K416" i="727"/>
  <c r="J416" i="727"/>
  <c r="L416" i="727" s="1"/>
  <c r="I416" i="727"/>
  <c r="H416" i="727"/>
  <c r="G416" i="727"/>
  <c r="N415" i="727"/>
  <c r="M415" i="727"/>
  <c r="O415" i="727" s="1"/>
  <c r="L415" i="727"/>
  <c r="K415" i="727"/>
  <c r="J415" i="727"/>
  <c r="I415" i="727"/>
  <c r="H415" i="727"/>
  <c r="G415" i="727"/>
  <c r="N414" i="727"/>
  <c r="O414" i="727" s="1"/>
  <c r="M414" i="727"/>
  <c r="K414" i="727"/>
  <c r="J414" i="727"/>
  <c r="I414" i="727"/>
  <c r="L414" i="727" s="1"/>
  <c r="H414" i="727"/>
  <c r="G414" i="727"/>
  <c r="N413" i="727"/>
  <c r="M413" i="727"/>
  <c r="O413" i="727" s="1"/>
  <c r="K413" i="727"/>
  <c r="J413" i="727"/>
  <c r="I413" i="727"/>
  <c r="L413" i="727" s="1"/>
  <c r="H413" i="727"/>
  <c r="G413" i="727"/>
  <c r="O412" i="727"/>
  <c r="N412" i="727"/>
  <c r="M412" i="727"/>
  <c r="K412" i="727"/>
  <c r="J412" i="727"/>
  <c r="L412" i="727" s="1"/>
  <c r="I412" i="727"/>
  <c r="H412" i="727"/>
  <c r="G412" i="727"/>
  <c r="N411" i="727"/>
  <c r="M411" i="727"/>
  <c r="O411" i="727" s="1"/>
  <c r="L411" i="727"/>
  <c r="K411" i="727"/>
  <c r="J411" i="727"/>
  <c r="I411" i="727"/>
  <c r="H411" i="727"/>
  <c r="G411" i="727"/>
  <c r="N410" i="727"/>
  <c r="O410" i="727" s="1"/>
  <c r="M410" i="727"/>
  <c r="K410" i="727"/>
  <c r="J410" i="727"/>
  <c r="I410" i="727"/>
  <c r="L410" i="727" s="1"/>
  <c r="H410" i="727"/>
  <c r="G410" i="727"/>
  <c r="N409" i="727"/>
  <c r="M409" i="727"/>
  <c r="O409" i="727" s="1"/>
  <c r="K409" i="727"/>
  <c r="J409" i="727"/>
  <c r="I409" i="727"/>
  <c r="L409" i="727" s="1"/>
  <c r="H409" i="727"/>
  <c r="G409" i="727"/>
  <c r="O408" i="727"/>
  <c r="N408" i="727"/>
  <c r="M408" i="727"/>
  <c r="K408" i="727"/>
  <c r="J408" i="727"/>
  <c r="L408" i="727" s="1"/>
  <c r="I408" i="727"/>
  <c r="H408" i="727"/>
  <c r="G408" i="727"/>
  <c r="N407" i="727"/>
  <c r="M407" i="727"/>
  <c r="O407" i="727" s="1"/>
  <c r="L407" i="727"/>
  <c r="K407" i="727"/>
  <c r="J407" i="727"/>
  <c r="I407" i="727"/>
  <c r="H407" i="727"/>
  <c r="G407" i="727"/>
  <c r="N406" i="727"/>
  <c r="O406" i="727" s="1"/>
  <c r="M406" i="727"/>
  <c r="K406" i="727"/>
  <c r="J406" i="727"/>
  <c r="I406" i="727"/>
  <c r="L406" i="727" s="1"/>
  <c r="H406" i="727"/>
  <c r="G406" i="727"/>
  <c r="N405" i="727"/>
  <c r="M405" i="727"/>
  <c r="O405" i="727" s="1"/>
  <c r="K405" i="727"/>
  <c r="J405" i="727"/>
  <c r="I405" i="727"/>
  <c r="L405" i="727" s="1"/>
  <c r="H405" i="727"/>
  <c r="G405" i="727"/>
  <c r="O404" i="727"/>
  <c r="N404" i="727"/>
  <c r="M404" i="727"/>
  <c r="K404" i="727"/>
  <c r="J404" i="727"/>
  <c r="L404" i="727" s="1"/>
  <c r="I404" i="727"/>
  <c r="H404" i="727"/>
  <c r="G404" i="727"/>
  <c r="N403" i="727"/>
  <c r="M403" i="727"/>
  <c r="O403" i="727" s="1"/>
  <c r="L403" i="727"/>
  <c r="K403" i="727"/>
  <c r="J403" i="727"/>
  <c r="I403" i="727"/>
  <c r="H403" i="727"/>
  <c r="G403" i="727"/>
  <c r="N402" i="727"/>
  <c r="O402" i="727" s="1"/>
  <c r="M402" i="727"/>
  <c r="K402" i="727"/>
  <c r="J402" i="727"/>
  <c r="I402" i="727"/>
  <c r="L402" i="727" s="1"/>
  <c r="H402" i="727"/>
  <c r="G402" i="727"/>
  <c r="N401" i="727"/>
  <c r="M401" i="727"/>
  <c r="O401" i="727" s="1"/>
  <c r="K401" i="727"/>
  <c r="J401" i="727"/>
  <c r="I401" i="727"/>
  <c r="L401" i="727" s="1"/>
  <c r="H401" i="727"/>
  <c r="G401" i="727"/>
  <c r="O400" i="727"/>
  <c r="N400" i="727"/>
  <c r="M400" i="727"/>
  <c r="K400" i="727"/>
  <c r="J400" i="727"/>
  <c r="I400" i="727"/>
  <c r="L400" i="727" s="1"/>
  <c r="H400" i="727"/>
  <c r="G400" i="727"/>
  <c r="N399" i="727"/>
  <c r="M399" i="727"/>
  <c r="O399" i="727" s="1"/>
  <c r="L399" i="727"/>
  <c r="K399" i="727"/>
  <c r="J399" i="727"/>
  <c r="I399" i="727"/>
  <c r="H399" i="727"/>
  <c r="G399" i="727"/>
  <c r="N398" i="727"/>
  <c r="O398" i="727" s="1"/>
  <c r="M398" i="727"/>
  <c r="K398" i="727"/>
  <c r="J398" i="727"/>
  <c r="I398" i="727"/>
  <c r="L398" i="727" s="1"/>
  <c r="H398" i="727"/>
  <c r="G398" i="727"/>
  <c r="N397" i="727"/>
  <c r="M397" i="727"/>
  <c r="O397" i="727" s="1"/>
  <c r="K397" i="727"/>
  <c r="J397" i="727"/>
  <c r="I397" i="727"/>
  <c r="L397" i="727" s="1"/>
  <c r="H397" i="727"/>
  <c r="G397" i="727"/>
  <c r="O396" i="727"/>
  <c r="N396" i="727"/>
  <c r="M396" i="727"/>
  <c r="K396" i="727"/>
  <c r="J396" i="727"/>
  <c r="I396" i="727"/>
  <c r="L396" i="727" s="1"/>
  <c r="H396" i="727"/>
  <c r="G396" i="727"/>
  <c r="N395" i="727"/>
  <c r="M395" i="727"/>
  <c r="O395" i="727" s="1"/>
  <c r="L395" i="727"/>
  <c r="K395" i="727"/>
  <c r="J395" i="727"/>
  <c r="I395" i="727"/>
  <c r="H395" i="727"/>
  <c r="G395" i="727"/>
  <c r="N394" i="727"/>
  <c r="O394" i="727" s="1"/>
  <c r="M394" i="727"/>
  <c r="K394" i="727"/>
  <c r="J394" i="727"/>
  <c r="I394" i="727"/>
  <c r="L394" i="727" s="1"/>
  <c r="H394" i="727"/>
  <c r="G394" i="727"/>
  <c r="N393" i="727"/>
  <c r="M393" i="727"/>
  <c r="O393" i="727" s="1"/>
  <c r="K393" i="727"/>
  <c r="J393" i="727"/>
  <c r="I393" i="727"/>
  <c r="L393" i="727" s="1"/>
  <c r="H393" i="727"/>
  <c r="G393" i="727"/>
  <c r="O392" i="727"/>
  <c r="N392" i="727"/>
  <c r="M392" i="727"/>
  <c r="K392" i="727"/>
  <c r="J392" i="727"/>
  <c r="I392" i="727"/>
  <c r="L392" i="727" s="1"/>
  <c r="H392" i="727"/>
  <c r="G392" i="727"/>
  <c r="O391" i="727"/>
  <c r="N391" i="727"/>
  <c r="M391" i="727"/>
  <c r="L391" i="727"/>
  <c r="K391" i="727"/>
  <c r="J391" i="727"/>
  <c r="I391" i="727"/>
  <c r="H391" i="727"/>
  <c r="G391" i="727"/>
  <c r="N390" i="727"/>
  <c r="O390" i="727" s="1"/>
  <c r="M390" i="727"/>
  <c r="K390" i="727"/>
  <c r="J390" i="727"/>
  <c r="I390" i="727"/>
  <c r="L390" i="727" s="1"/>
  <c r="H390" i="727"/>
  <c r="G390" i="727"/>
  <c r="N389" i="727"/>
  <c r="M389" i="727"/>
  <c r="O389" i="727" s="1"/>
  <c r="K389" i="727"/>
  <c r="J389" i="727"/>
  <c r="I389" i="727"/>
  <c r="L389" i="727" s="1"/>
  <c r="H389" i="727"/>
  <c r="G389" i="727"/>
  <c r="O388" i="727"/>
  <c r="N388" i="727"/>
  <c r="M388" i="727"/>
  <c r="K388" i="727"/>
  <c r="J388" i="727"/>
  <c r="I388" i="727"/>
  <c r="L388" i="727" s="1"/>
  <c r="H388" i="727"/>
  <c r="G388" i="727"/>
  <c r="O387" i="727"/>
  <c r="N387" i="727"/>
  <c r="M387" i="727"/>
  <c r="L387" i="727"/>
  <c r="K387" i="727"/>
  <c r="J387" i="727"/>
  <c r="I387" i="727"/>
  <c r="H387" i="727"/>
  <c r="G387" i="727"/>
  <c r="N386" i="727"/>
  <c r="O386" i="727" s="1"/>
  <c r="M386" i="727"/>
  <c r="K386" i="727"/>
  <c r="J386" i="727"/>
  <c r="I386" i="727"/>
  <c r="L386" i="727" s="1"/>
  <c r="H386" i="727"/>
  <c r="G386" i="727"/>
  <c r="N385" i="727"/>
  <c r="M385" i="727"/>
  <c r="O385" i="727" s="1"/>
  <c r="K385" i="727"/>
  <c r="J385" i="727"/>
  <c r="I385" i="727"/>
  <c r="L385" i="727" s="1"/>
  <c r="H385" i="727"/>
  <c r="G385" i="727"/>
  <c r="O384" i="727"/>
  <c r="N384" i="727"/>
  <c r="M384" i="727"/>
  <c r="K384" i="727"/>
  <c r="J384" i="727"/>
  <c r="I384" i="727"/>
  <c r="L384" i="727" s="1"/>
  <c r="H384" i="727"/>
  <c r="G384" i="727"/>
  <c r="O383" i="727"/>
  <c r="N383" i="727"/>
  <c r="M383" i="727"/>
  <c r="L383" i="727"/>
  <c r="K383" i="727"/>
  <c r="J383" i="727"/>
  <c r="I383" i="727"/>
  <c r="H383" i="727"/>
  <c r="G383" i="727"/>
  <c r="N382" i="727"/>
  <c r="O382" i="727" s="1"/>
  <c r="M382" i="727"/>
  <c r="L382" i="727"/>
  <c r="K382" i="727"/>
  <c r="J382" i="727"/>
  <c r="I382" i="727"/>
  <c r="H382" i="727"/>
  <c r="G382" i="727"/>
  <c r="N381" i="727"/>
  <c r="M381" i="727"/>
  <c r="O381" i="727" s="1"/>
  <c r="K381" i="727"/>
  <c r="J381" i="727"/>
  <c r="I381" i="727"/>
  <c r="L381" i="727" s="1"/>
  <c r="H381" i="727"/>
  <c r="G381" i="727"/>
  <c r="O380" i="727"/>
  <c r="N380" i="727"/>
  <c r="M380" i="727"/>
  <c r="K380" i="727"/>
  <c r="J380" i="727"/>
  <c r="I380" i="727"/>
  <c r="L380" i="727" s="1"/>
  <c r="H380" i="727"/>
  <c r="G380" i="727"/>
  <c r="O379" i="727"/>
  <c r="N379" i="727"/>
  <c r="M379" i="727"/>
  <c r="L379" i="727"/>
  <c r="K379" i="727"/>
  <c r="J379" i="727"/>
  <c r="I379" i="727"/>
  <c r="H379" i="727"/>
  <c r="G379" i="727"/>
  <c r="N378" i="727"/>
  <c r="O378" i="727" s="1"/>
  <c r="M378" i="727"/>
  <c r="K378" i="727"/>
  <c r="J378" i="727"/>
  <c r="I378" i="727"/>
  <c r="L378" i="727" s="1"/>
  <c r="H378" i="727"/>
  <c r="G378" i="727"/>
  <c r="N377" i="727"/>
  <c r="M377" i="727"/>
  <c r="O377" i="727" s="1"/>
  <c r="K377" i="727"/>
  <c r="J377" i="727"/>
  <c r="I377" i="727"/>
  <c r="L377" i="727" s="1"/>
  <c r="H377" i="727"/>
  <c r="G377" i="727"/>
  <c r="O376" i="727"/>
  <c r="N376" i="727"/>
  <c r="M376" i="727"/>
  <c r="K376" i="727"/>
  <c r="J376" i="727"/>
  <c r="I376" i="727"/>
  <c r="L376" i="727" s="1"/>
  <c r="H376" i="727"/>
  <c r="G376" i="727"/>
  <c r="O375" i="727"/>
  <c r="N375" i="727"/>
  <c r="M375" i="727"/>
  <c r="L375" i="727"/>
  <c r="K375" i="727"/>
  <c r="J375" i="727"/>
  <c r="I375" i="727"/>
  <c r="H375" i="727"/>
  <c r="G375" i="727"/>
  <c r="N374" i="727"/>
  <c r="O374" i="727" s="1"/>
  <c r="M374" i="727"/>
  <c r="K374" i="727"/>
  <c r="J374" i="727"/>
  <c r="I374" i="727"/>
  <c r="L374" i="727" s="1"/>
  <c r="H374" i="727"/>
  <c r="G374" i="727"/>
  <c r="N373" i="727"/>
  <c r="M373" i="727"/>
  <c r="O373" i="727" s="1"/>
  <c r="K373" i="727"/>
  <c r="J373" i="727"/>
  <c r="I373" i="727"/>
  <c r="L373" i="727" s="1"/>
  <c r="H373" i="727"/>
  <c r="G373" i="727"/>
  <c r="O372" i="727"/>
  <c r="N372" i="727"/>
  <c r="M372" i="727"/>
  <c r="K372" i="727"/>
  <c r="J372" i="727"/>
  <c r="I372" i="727"/>
  <c r="L372" i="727" s="1"/>
  <c r="H372" i="727"/>
  <c r="G372" i="727"/>
  <c r="O371" i="727"/>
  <c r="N371" i="727"/>
  <c r="M371" i="727"/>
  <c r="L371" i="727"/>
  <c r="K371" i="727"/>
  <c r="J371" i="727"/>
  <c r="I371" i="727"/>
  <c r="H371" i="727"/>
  <c r="G371" i="727"/>
  <c r="N370" i="727"/>
  <c r="O370" i="727" s="1"/>
  <c r="M370" i="727"/>
  <c r="L370" i="727"/>
  <c r="K370" i="727"/>
  <c r="J370" i="727"/>
  <c r="I370" i="727"/>
  <c r="H370" i="727"/>
  <c r="G370" i="727"/>
  <c r="N369" i="727"/>
  <c r="M369" i="727"/>
  <c r="O369" i="727" s="1"/>
  <c r="K369" i="727"/>
  <c r="J369" i="727"/>
  <c r="I369" i="727"/>
  <c r="L369" i="727" s="1"/>
  <c r="H369" i="727"/>
  <c r="G369" i="727"/>
  <c r="O368" i="727"/>
  <c r="N368" i="727"/>
  <c r="M368" i="727"/>
  <c r="K368" i="727"/>
  <c r="J368" i="727"/>
  <c r="I368" i="727"/>
  <c r="L368" i="727" s="1"/>
  <c r="H368" i="727"/>
  <c r="G368" i="727"/>
  <c r="O367" i="727"/>
  <c r="N367" i="727"/>
  <c r="M367" i="727"/>
  <c r="L367" i="727"/>
  <c r="K367" i="727"/>
  <c r="J367" i="727"/>
  <c r="I367" i="727"/>
  <c r="H367" i="727"/>
  <c r="G367" i="727"/>
  <c r="N366" i="727"/>
  <c r="O366" i="727" s="1"/>
  <c r="M366" i="727"/>
  <c r="K366" i="727"/>
  <c r="J366" i="727"/>
  <c r="I366" i="727"/>
  <c r="L366" i="727" s="1"/>
  <c r="H366" i="727"/>
  <c r="G366" i="727"/>
  <c r="N365" i="727"/>
  <c r="M365" i="727"/>
  <c r="O365" i="727" s="1"/>
  <c r="K365" i="727"/>
  <c r="J365" i="727"/>
  <c r="I365" i="727"/>
  <c r="L365" i="727" s="1"/>
  <c r="H365" i="727"/>
  <c r="G365" i="727"/>
  <c r="O364" i="727"/>
  <c r="N364" i="727"/>
  <c r="M364" i="727"/>
  <c r="K364" i="727"/>
  <c r="J364" i="727"/>
  <c r="I364" i="727"/>
  <c r="L364" i="727" s="1"/>
  <c r="H364" i="727"/>
  <c r="G364" i="727"/>
  <c r="O363" i="727"/>
  <c r="N363" i="727"/>
  <c r="M363" i="727"/>
  <c r="L363" i="727"/>
  <c r="K363" i="727"/>
  <c r="J363" i="727"/>
  <c r="I363" i="727"/>
  <c r="H363" i="727"/>
  <c r="G363" i="727"/>
  <c r="N362" i="727"/>
  <c r="O362" i="727" s="1"/>
  <c r="M362" i="727"/>
  <c r="K362" i="727"/>
  <c r="J362" i="727"/>
  <c r="I362" i="727"/>
  <c r="L362" i="727" s="1"/>
  <c r="H362" i="727"/>
  <c r="G362" i="727"/>
  <c r="N361" i="727"/>
  <c r="M361" i="727"/>
  <c r="O361" i="727" s="1"/>
  <c r="K361" i="727"/>
  <c r="J361" i="727"/>
  <c r="I361" i="727"/>
  <c r="L361" i="727" s="1"/>
  <c r="H361" i="727"/>
  <c r="G361" i="727"/>
  <c r="O360" i="727"/>
  <c r="N360" i="727"/>
  <c r="M360" i="727"/>
  <c r="K360" i="727"/>
  <c r="J360" i="727"/>
  <c r="I360" i="727"/>
  <c r="L360" i="727" s="1"/>
  <c r="H360" i="727"/>
  <c r="G360" i="727"/>
  <c r="N359" i="727"/>
  <c r="O359" i="727" s="1"/>
  <c r="M359" i="727"/>
  <c r="L359" i="727"/>
  <c r="K359" i="727"/>
  <c r="J359" i="727"/>
  <c r="I359" i="727"/>
  <c r="H359" i="727"/>
  <c r="G359" i="727"/>
  <c r="N358" i="727"/>
  <c r="O358" i="727" s="1"/>
  <c r="M358" i="727"/>
  <c r="K358" i="727"/>
  <c r="L358" i="727" s="1"/>
  <c r="J358" i="727"/>
  <c r="I358" i="727"/>
  <c r="H358" i="727"/>
  <c r="G358" i="727"/>
  <c r="N357" i="727"/>
  <c r="M357" i="727"/>
  <c r="O357" i="727" s="1"/>
  <c r="K357" i="727"/>
  <c r="J357" i="727"/>
  <c r="I357" i="727"/>
  <c r="L357" i="727" s="1"/>
  <c r="H357" i="727"/>
  <c r="G357" i="727"/>
  <c r="O356" i="727"/>
  <c r="N356" i="727"/>
  <c r="M356" i="727"/>
  <c r="K356" i="727"/>
  <c r="J356" i="727"/>
  <c r="I356" i="727"/>
  <c r="H356" i="727"/>
  <c r="G356" i="727"/>
  <c r="N355" i="727"/>
  <c r="O355" i="727" s="1"/>
  <c r="M355" i="727"/>
  <c r="L355" i="727"/>
  <c r="K355" i="727"/>
  <c r="J355" i="727"/>
  <c r="I355" i="727"/>
  <c r="H355" i="727"/>
  <c r="G355" i="727"/>
  <c r="N354" i="727"/>
  <c r="O354" i="727" s="1"/>
  <c r="M354" i="727"/>
  <c r="K354" i="727"/>
  <c r="J354" i="727"/>
  <c r="I354" i="727"/>
  <c r="L354" i="727" s="1"/>
  <c r="H354" i="727"/>
  <c r="G354" i="727"/>
  <c r="N353" i="727"/>
  <c r="M353" i="727"/>
  <c r="K353" i="727"/>
  <c r="J353" i="727"/>
  <c r="I353" i="727"/>
  <c r="L353" i="727" s="1"/>
  <c r="H353" i="727"/>
  <c r="G353" i="727"/>
  <c r="O352" i="727"/>
  <c r="N352" i="727"/>
  <c r="M352" i="727"/>
  <c r="K352" i="727"/>
  <c r="J352" i="727"/>
  <c r="I352" i="727"/>
  <c r="L352" i="727" s="1"/>
  <c r="H352" i="727"/>
  <c r="G352" i="727"/>
  <c r="O351" i="727"/>
  <c r="N351" i="727"/>
  <c r="M351" i="727"/>
  <c r="L351" i="727"/>
  <c r="K351" i="727"/>
  <c r="J351" i="727"/>
  <c r="I351" i="727"/>
  <c r="H351" i="727"/>
  <c r="G351" i="727"/>
  <c r="N350" i="727"/>
  <c r="O350" i="727" s="1"/>
  <c r="M350" i="727"/>
  <c r="L350" i="727"/>
  <c r="K350" i="727"/>
  <c r="J350" i="727"/>
  <c r="I350" i="727"/>
  <c r="H350" i="727"/>
  <c r="G350" i="727"/>
  <c r="N349" i="727"/>
  <c r="M349" i="727"/>
  <c r="O349" i="727" s="1"/>
  <c r="K349" i="727"/>
  <c r="J349" i="727"/>
  <c r="I349" i="727"/>
  <c r="L349" i="727" s="1"/>
  <c r="H349" i="727"/>
  <c r="G349" i="727"/>
  <c r="O348" i="727"/>
  <c r="N348" i="727"/>
  <c r="M348" i="727"/>
  <c r="K348" i="727"/>
  <c r="J348" i="727"/>
  <c r="I348" i="727"/>
  <c r="H348" i="727"/>
  <c r="G348" i="727"/>
  <c r="N347" i="727"/>
  <c r="O347" i="727" s="1"/>
  <c r="M347" i="727"/>
  <c r="L347" i="727"/>
  <c r="K347" i="727"/>
  <c r="J347" i="727"/>
  <c r="I347" i="727"/>
  <c r="H347" i="727"/>
  <c r="G347" i="727"/>
  <c r="N346" i="727"/>
  <c r="O346" i="727" s="1"/>
  <c r="M346" i="727"/>
  <c r="K346" i="727"/>
  <c r="J346" i="727"/>
  <c r="L346" i="727" s="1"/>
  <c r="I346" i="727"/>
  <c r="H346" i="727"/>
  <c r="G346" i="727"/>
  <c r="N345" i="727"/>
  <c r="M345" i="727"/>
  <c r="O345" i="727" s="1"/>
  <c r="K345" i="727"/>
  <c r="J345" i="727"/>
  <c r="I345" i="727"/>
  <c r="H345" i="727"/>
  <c r="G345" i="727"/>
  <c r="O344" i="727"/>
  <c r="N344" i="727"/>
  <c r="M344" i="727"/>
  <c r="K344" i="727"/>
  <c r="J344" i="727"/>
  <c r="I344" i="727"/>
  <c r="H344" i="727"/>
  <c r="G344" i="727"/>
  <c r="N343" i="727"/>
  <c r="M343" i="727"/>
  <c r="O343" i="727" s="1"/>
  <c r="L343" i="727"/>
  <c r="K343" i="727"/>
  <c r="J343" i="727"/>
  <c r="I343" i="727"/>
  <c r="H343" i="727"/>
  <c r="G343" i="727"/>
  <c r="N342" i="727"/>
  <c r="O342" i="727" s="1"/>
  <c r="M342" i="727"/>
  <c r="K342" i="727"/>
  <c r="J342" i="727"/>
  <c r="I342" i="727"/>
  <c r="L342" i="727" s="1"/>
  <c r="H342" i="727"/>
  <c r="G342" i="727"/>
  <c r="N341" i="727"/>
  <c r="M341" i="727"/>
  <c r="K341" i="727"/>
  <c r="J341" i="727"/>
  <c r="I341" i="727"/>
  <c r="H341" i="727"/>
  <c r="G341" i="727"/>
  <c r="O340" i="727"/>
  <c r="N340" i="727"/>
  <c r="M340" i="727"/>
  <c r="K340" i="727"/>
  <c r="J340" i="727"/>
  <c r="I340" i="727"/>
  <c r="L340" i="727" s="1"/>
  <c r="H340" i="727"/>
  <c r="G340" i="727"/>
  <c r="N339" i="727"/>
  <c r="M339" i="727"/>
  <c r="O339" i="727" s="1"/>
  <c r="L339" i="727"/>
  <c r="K339" i="727"/>
  <c r="J339" i="727"/>
  <c r="I339" i="727"/>
  <c r="H339" i="727"/>
  <c r="G339" i="727"/>
  <c r="N338" i="727"/>
  <c r="O338" i="727" s="1"/>
  <c r="M338" i="727"/>
  <c r="L338" i="727"/>
  <c r="K338" i="727"/>
  <c r="J338" i="727"/>
  <c r="I338" i="727"/>
  <c r="H338" i="727"/>
  <c r="G338" i="727"/>
  <c r="N337" i="727"/>
  <c r="M337" i="727"/>
  <c r="O337" i="727" s="1"/>
  <c r="K337" i="727"/>
  <c r="J337" i="727"/>
  <c r="I337" i="727"/>
  <c r="L337" i="727" s="1"/>
  <c r="H337" i="727"/>
  <c r="G337" i="727"/>
  <c r="O336" i="727"/>
  <c r="N336" i="727"/>
  <c r="M336" i="727"/>
  <c r="K336" i="727"/>
  <c r="J336" i="727"/>
  <c r="I336" i="727"/>
  <c r="H336" i="727"/>
  <c r="G336" i="727"/>
  <c r="N335" i="727"/>
  <c r="O335" i="727" s="1"/>
  <c r="M335" i="727"/>
  <c r="L335" i="727"/>
  <c r="K335" i="727"/>
  <c r="J335" i="727"/>
  <c r="I335" i="727"/>
  <c r="H335" i="727"/>
  <c r="G335" i="727"/>
  <c r="N334" i="727"/>
  <c r="O334" i="727" s="1"/>
  <c r="M334" i="727"/>
  <c r="K334" i="727"/>
  <c r="J334" i="727"/>
  <c r="L334" i="727" s="1"/>
  <c r="I334" i="727"/>
  <c r="H334" i="727"/>
  <c r="G334" i="727"/>
  <c r="N333" i="727"/>
  <c r="M333" i="727"/>
  <c r="O333" i="727" s="1"/>
  <c r="K333" i="727"/>
  <c r="J333" i="727"/>
  <c r="I333" i="727"/>
  <c r="H333" i="727"/>
  <c r="G333" i="727"/>
  <c r="O332" i="727"/>
  <c r="N332" i="727"/>
  <c r="M332" i="727"/>
  <c r="K332" i="727"/>
  <c r="J332" i="727"/>
  <c r="I332" i="727"/>
  <c r="H332" i="727"/>
  <c r="G332" i="727"/>
  <c r="N331" i="727"/>
  <c r="M331" i="727"/>
  <c r="O331" i="727" s="1"/>
  <c r="L331" i="727"/>
  <c r="K331" i="727"/>
  <c r="J331" i="727"/>
  <c r="I331" i="727"/>
  <c r="H331" i="727"/>
  <c r="G331" i="727"/>
  <c r="N330" i="727"/>
  <c r="O330" i="727" s="1"/>
  <c r="M330" i="727"/>
  <c r="K330" i="727"/>
  <c r="J330" i="727"/>
  <c r="I330" i="727"/>
  <c r="L330" i="727" s="1"/>
  <c r="H330" i="727"/>
  <c r="G330" i="727"/>
  <c r="N329" i="727"/>
  <c r="M329" i="727"/>
  <c r="K329" i="727"/>
  <c r="J329" i="727"/>
  <c r="I329" i="727"/>
  <c r="H329" i="727"/>
  <c r="G329" i="727"/>
  <c r="O328" i="727"/>
  <c r="N328" i="727"/>
  <c r="M328" i="727"/>
  <c r="K328" i="727"/>
  <c r="J328" i="727"/>
  <c r="I328" i="727"/>
  <c r="L328" i="727" s="1"/>
  <c r="H328" i="727"/>
  <c r="G328" i="727"/>
  <c r="N327" i="727"/>
  <c r="M327" i="727"/>
  <c r="O327" i="727" s="1"/>
  <c r="K327" i="727"/>
  <c r="L327" i="727" s="1"/>
  <c r="J327" i="727"/>
  <c r="I327" i="727"/>
  <c r="H327" i="727"/>
  <c r="G327" i="727"/>
  <c r="N326" i="727"/>
  <c r="O326" i="727" s="1"/>
  <c r="M326" i="727"/>
  <c r="L326" i="727"/>
  <c r="K326" i="727"/>
  <c r="J326" i="727"/>
  <c r="I326" i="727"/>
  <c r="H326" i="727"/>
  <c r="G326" i="727"/>
  <c r="N325" i="727"/>
  <c r="M325" i="727"/>
  <c r="O325" i="727" s="1"/>
  <c r="K325" i="727"/>
  <c r="J325" i="727"/>
  <c r="I325" i="727"/>
  <c r="L325" i="727" s="1"/>
  <c r="H325" i="727"/>
  <c r="G325" i="727"/>
  <c r="O324" i="727"/>
  <c r="N324" i="727"/>
  <c r="M324" i="727"/>
  <c r="K324" i="727"/>
  <c r="J324" i="727"/>
  <c r="I324" i="727"/>
  <c r="H324" i="727"/>
  <c r="G324" i="727"/>
  <c r="N323" i="727"/>
  <c r="O323" i="727" s="1"/>
  <c r="M323" i="727"/>
  <c r="L323" i="727"/>
  <c r="K323" i="727"/>
  <c r="J323" i="727"/>
  <c r="I323" i="727"/>
  <c r="H323" i="727"/>
  <c r="G323" i="727"/>
  <c r="N322" i="727"/>
  <c r="O322" i="727" s="1"/>
  <c r="M322" i="727"/>
  <c r="K322" i="727"/>
  <c r="J322" i="727"/>
  <c r="L322" i="727" s="1"/>
  <c r="I322" i="727"/>
  <c r="H322" i="727"/>
  <c r="G322" i="727"/>
  <c r="N321" i="727"/>
  <c r="M321" i="727"/>
  <c r="O321" i="727" s="1"/>
  <c r="K321" i="727"/>
  <c r="J321" i="727"/>
  <c r="I321" i="727"/>
  <c r="L321" i="727" s="1"/>
  <c r="H321" i="727"/>
  <c r="G321" i="727"/>
  <c r="O320" i="727"/>
  <c r="N320" i="727"/>
  <c r="M320" i="727"/>
  <c r="K320" i="727"/>
  <c r="J320" i="727"/>
  <c r="I320" i="727"/>
  <c r="L320" i="727" s="1"/>
  <c r="H320" i="727"/>
  <c r="G320" i="727"/>
  <c r="N319" i="727"/>
  <c r="M319" i="727"/>
  <c r="O319" i="727" s="1"/>
  <c r="K319" i="727"/>
  <c r="L319" i="727" s="1"/>
  <c r="J319" i="727"/>
  <c r="I319" i="727"/>
  <c r="H319" i="727"/>
  <c r="G319" i="727"/>
  <c r="O318" i="727"/>
  <c r="N318" i="727"/>
  <c r="M318" i="727"/>
  <c r="K318" i="727"/>
  <c r="J318" i="727"/>
  <c r="I318" i="727"/>
  <c r="L318" i="727" s="1"/>
  <c r="H318" i="727"/>
  <c r="G318" i="727"/>
  <c r="O317" i="727"/>
  <c r="N317" i="727"/>
  <c r="M317" i="727"/>
  <c r="L317" i="727"/>
  <c r="K317" i="727"/>
  <c r="J317" i="727"/>
  <c r="I317" i="727"/>
  <c r="H317" i="727"/>
  <c r="G317" i="727"/>
  <c r="N316" i="727"/>
  <c r="O316" i="727" s="1"/>
  <c r="M316" i="727"/>
  <c r="L316" i="727"/>
  <c r="K316" i="727"/>
  <c r="J316" i="727"/>
  <c r="I316" i="727"/>
  <c r="H316" i="727"/>
  <c r="G316" i="727"/>
  <c r="N315" i="727"/>
  <c r="M315" i="727"/>
  <c r="O315" i="727" s="1"/>
  <c r="K315" i="727"/>
  <c r="J315" i="727"/>
  <c r="I315" i="727"/>
  <c r="L315" i="727" s="1"/>
  <c r="H315" i="727"/>
  <c r="G315" i="727"/>
  <c r="O314" i="727"/>
  <c r="N314" i="727"/>
  <c r="M314" i="727"/>
  <c r="K314" i="727"/>
  <c r="J314" i="727"/>
  <c r="I314" i="727"/>
  <c r="L314" i="727" s="1"/>
  <c r="H314" i="727"/>
  <c r="G314" i="727"/>
  <c r="O313" i="727"/>
  <c r="N313" i="727"/>
  <c r="M313" i="727"/>
  <c r="L313" i="727"/>
  <c r="K313" i="727"/>
  <c r="J313" i="727"/>
  <c r="I313" i="727"/>
  <c r="H313" i="727"/>
  <c r="G313" i="727"/>
  <c r="N312" i="727"/>
  <c r="O312" i="727" s="1"/>
  <c r="M312" i="727"/>
  <c r="L312" i="727"/>
  <c r="K312" i="727"/>
  <c r="J312" i="727"/>
  <c r="I312" i="727"/>
  <c r="H312" i="727"/>
  <c r="G312" i="727"/>
  <c r="N311" i="727"/>
  <c r="M311" i="727"/>
  <c r="O311" i="727" s="1"/>
  <c r="K311" i="727"/>
  <c r="J311" i="727"/>
  <c r="I311" i="727"/>
  <c r="H311" i="727"/>
  <c r="G311" i="727"/>
  <c r="O310" i="727"/>
  <c r="N310" i="727"/>
  <c r="M310" i="727"/>
  <c r="K310" i="727"/>
  <c r="J310" i="727"/>
  <c r="I310" i="727"/>
  <c r="L310" i="727" s="1"/>
  <c r="H310" i="727"/>
  <c r="G310" i="727"/>
  <c r="O309" i="727"/>
  <c r="N309" i="727"/>
  <c r="M309" i="727"/>
  <c r="K309" i="727"/>
  <c r="L309" i="727" s="1"/>
  <c r="J309" i="727"/>
  <c r="I309" i="727"/>
  <c r="H309" i="727"/>
  <c r="G309" i="727"/>
  <c r="N308" i="727"/>
  <c r="O308" i="727" s="1"/>
  <c r="M308" i="727"/>
  <c r="L308" i="727"/>
  <c r="K308" i="727"/>
  <c r="J308" i="727"/>
  <c r="I308" i="727"/>
  <c r="H308" i="727"/>
  <c r="G308" i="727"/>
  <c r="N307" i="727"/>
  <c r="M307" i="727"/>
  <c r="O307" i="727" s="1"/>
  <c r="K307" i="727"/>
  <c r="J307" i="727"/>
  <c r="I307" i="727"/>
  <c r="H307" i="727"/>
  <c r="G307" i="727"/>
  <c r="O306" i="727"/>
  <c r="N306" i="727"/>
  <c r="M306" i="727"/>
  <c r="K306" i="727"/>
  <c r="J306" i="727"/>
  <c r="I306" i="727"/>
  <c r="L306" i="727" s="1"/>
  <c r="H306" i="727"/>
  <c r="G306" i="727"/>
  <c r="O305" i="727"/>
  <c r="N305" i="727"/>
  <c r="M305" i="727"/>
  <c r="K305" i="727"/>
  <c r="L305" i="727" s="1"/>
  <c r="J305" i="727"/>
  <c r="I305" i="727"/>
  <c r="H305" i="727"/>
  <c r="G305" i="727"/>
  <c r="N304" i="727"/>
  <c r="O304" i="727" s="1"/>
  <c r="M304" i="727"/>
  <c r="L304" i="727"/>
  <c r="K304" i="727"/>
  <c r="J304" i="727"/>
  <c r="I304" i="727"/>
  <c r="H304" i="727"/>
  <c r="G304" i="727"/>
  <c r="N303" i="727"/>
  <c r="M303" i="727"/>
  <c r="O303" i="727" s="1"/>
  <c r="K303" i="727"/>
  <c r="J303" i="727"/>
  <c r="I303" i="727"/>
  <c r="L303" i="727" s="1"/>
  <c r="H303" i="727"/>
  <c r="G303" i="727"/>
  <c r="O302" i="727"/>
  <c r="N302" i="727"/>
  <c r="M302" i="727"/>
  <c r="K302" i="727"/>
  <c r="J302" i="727"/>
  <c r="I302" i="727"/>
  <c r="L302" i="727" s="1"/>
  <c r="H302" i="727"/>
  <c r="G302" i="727"/>
  <c r="O301" i="727"/>
  <c r="N301" i="727"/>
  <c r="M301" i="727"/>
  <c r="K301" i="727"/>
  <c r="L301" i="727" s="1"/>
  <c r="J301" i="727"/>
  <c r="I301" i="727"/>
  <c r="H301" i="727"/>
  <c r="G301" i="727"/>
  <c r="N300" i="727"/>
  <c r="O300" i="727" s="1"/>
  <c r="M300" i="727"/>
  <c r="L300" i="727"/>
  <c r="K300" i="727"/>
  <c r="J300" i="727"/>
  <c r="I300" i="727"/>
  <c r="H300" i="727"/>
  <c r="G300" i="727"/>
  <c r="N299" i="727"/>
  <c r="M299" i="727"/>
  <c r="O299" i="727" s="1"/>
  <c r="K299" i="727"/>
  <c r="J299" i="727"/>
  <c r="I299" i="727"/>
  <c r="H299" i="727"/>
  <c r="G299" i="727"/>
  <c r="O298" i="727"/>
  <c r="N298" i="727"/>
  <c r="M298" i="727"/>
  <c r="K298" i="727"/>
  <c r="J298" i="727"/>
  <c r="I298" i="727"/>
  <c r="L298" i="727" s="1"/>
  <c r="H298" i="727"/>
  <c r="G298" i="727"/>
  <c r="O297" i="727"/>
  <c r="N297" i="727"/>
  <c r="M297" i="727"/>
  <c r="K297" i="727"/>
  <c r="L297" i="727" s="1"/>
  <c r="J297" i="727"/>
  <c r="I297" i="727"/>
  <c r="H297" i="727"/>
  <c r="G297" i="727"/>
  <c r="N296" i="727"/>
  <c r="O296" i="727" s="1"/>
  <c r="M296" i="727"/>
  <c r="L296" i="727"/>
  <c r="K296" i="727"/>
  <c r="J296" i="727"/>
  <c r="I296" i="727"/>
  <c r="H296" i="727"/>
  <c r="G296" i="727"/>
  <c r="N295" i="727"/>
  <c r="M295" i="727"/>
  <c r="O295" i="727" s="1"/>
  <c r="K295" i="727"/>
  <c r="J295" i="727"/>
  <c r="I295" i="727"/>
  <c r="L295" i="727" s="1"/>
  <c r="H295" i="727"/>
  <c r="G295" i="727"/>
  <c r="N294" i="727"/>
  <c r="O294" i="727" s="1"/>
  <c r="M294" i="727"/>
  <c r="K294" i="727"/>
  <c r="J294" i="727"/>
  <c r="I294" i="727"/>
  <c r="L294" i="727" s="1"/>
  <c r="H294" i="727"/>
  <c r="G294" i="727"/>
  <c r="O293" i="727"/>
  <c r="N293" i="727"/>
  <c r="M293" i="727"/>
  <c r="K293" i="727"/>
  <c r="L293" i="727" s="1"/>
  <c r="J293" i="727"/>
  <c r="I293" i="727"/>
  <c r="H293" i="727"/>
  <c r="G293" i="727"/>
  <c r="N292" i="727"/>
  <c r="O292" i="727" s="1"/>
  <c r="M292" i="727"/>
  <c r="L292" i="727"/>
  <c r="K292" i="727"/>
  <c r="J292" i="727"/>
  <c r="I292" i="727"/>
  <c r="H292" i="727"/>
  <c r="G292" i="727"/>
  <c r="N291" i="727"/>
  <c r="M291" i="727"/>
  <c r="O291" i="727" s="1"/>
  <c r="K291" i="727"/>
  <c r="J291" i="727"/>
  <c r="I291" i="727"/>
  <c r="H291" i="727"/>
  <c r="G291" i="727"/>
  <c r="N290" i="727"/>
  <c r="O290" i="727" s="1"/>
  <c r="M290" i="727"/>
  <c r="K290" i="727"/>
  <c r="J290" i="727"/>
  <c r="I290" i="727"/>
  <c r="L290" i="727" s="1"/>
  <c r="H290" i="727"/>
  <c r="G290" i="727"/>
  <c r="O289" i="727"/>
  <c r="N289" i="727"/>
  <c r="M289" i="727"/>
  <c r="K289" i="727"/>
  <c r="L289" i="727" s="1"/>
  <c r="J289" i="727"/>
  <c r="I289" i="727"/>
  <c r="H289" i="727"/>
  <c r="G289" i="727"/>
  <c r="N288" i="727"/>
  <c r="O288" i="727" s="1"/>
  <c r="M288" i="727"/>
  <c r="L288" i="727"/>
  <c r="K288" i="727"/>
  <c r="J288" i="727"/>
  <c r="I288" i="727"/>
  <c r="H288" i="727"/>
  <c r="G288" i="727"/>
  <c r="N287" i="727"/>
  <c r="M287" i="727"/>
  <c r="O287" i="727" s="1"/>
  <c r="K287" i="727"/>
  <c r="J287" i="727"/>
  <c r="I287" i="727"/>
  <c r="L287" i="727" s="1"/>
  <c r="H287" i="727"/>
  <c r="G287" i="727"/>
  <c r="N286" i="727"/>
  <c r="O286" i="727" s="1"/>
  <c r="M286" i="727"/>
  <c r="K286" i="727"/>
  <c r="J286" i="727"/>
  <c r="I286" i="727"/>
  <c r="L286" i="727" s="1"/>
  <c r="H286" i="727"/>
  <c r="G286" i="727"/>
  <c r="O285" i="727"/>
  <c r="N285" i="727"/>
  <c r="M285" i="727"/>
  <c r="K285" i="727"/>
  <c r="L285" i="727" s="1"/>
  <c r="J285" i="727"/>
  <c r="I285" i="727"/>
  <c r="H285" i="727"/>
  <c r="G285" i="727"/>
  <c r="N284" i="727"/>
  <c r="O284" i="727" s="1"/>
  <c r="M284" i="727"/>
  <c r="L284" i="727"/>
  <c r="K284" i="727"/>
  <c r="J284" i="727"/>
  <c r="I284" i="727"/>
  <c r="H284" i="727"/>
  <c r="G284" i="727"/>
  <c r="N283" i="727"/>
  <c r="M283" i="727"/>
  <c r="O283" i="727" s="1"/>
  <c r="K283" i="727"/>
  <c r="J283" i="727"/>
  <c r="I283" i="727"/>
  <c r="H283" i="727"/>
  <c r="G283" i="727"/>
  <c r="N282" i="727"/>
  <c r="O282" i="727" s="1"/>
  <c r="M282" i="727"/>
  <c r="K282" i="727"/>
  <c r="J282" i="727"/>
  <c r="I282" i="727"/>
  <c r="L282" i="727" s="1"/>
  <c r="H282" i="727"/>
  <c r="G282" i="727"/>
  <c r="O281" i="727"/>
  <c r="N281" i="727"/>
  <c r="M281" i="727"/>
  <c r="K281" i="727"/>
  <c r="L281" i="727" s="1"/>
  <c r="J281" i="727"/>
  <c r="I281" i="727"/>
  <c r="H281" i="727"/>
  <c r="G281" i="727"/>
  <c r="N280" i="727"/>
  <c r="O280" i="727" s="1"/>
  <c r="M280" i="727"/>
  <c r="L280" i="727"/>
  <c r="K280" i="727"/>
  <c r="J280" i="727"/>
  <c r="I280" i="727"/>
  <c r="H280" i="727"/>
  <c r="G280" i="727"/>
  <c r="N279" i="727"/>
  <c r="M279" i="727"/>
  <c r="O279" i="727" s="1"/>
  <c r="K279" i="727"/>
  <c r="J279" i="727"/>
  <c r="I279" i="727"/>
  <c r="L279" i="727" s="1"/>
  <c r="H279" i="727"/>
  <c r="G279" i="727"/>
  <c r="N278" i="727"/>
  <c r="O278" i="727" s="1"/>
  <c r="M278" i="727"/>
  <c r="K278" i="727"/>
  <c r="J278" i="727"/>
  <c r="I278" i="727"/>
  <c r="L278" i="727" s="1"/>
  <c r="H278" i="727"/>
  <c r="G278" i="727"/>
  <c r="O277" i="727"/>
  <c r="N277" i="727"/>
  <c r="M277" i="727"/>
  <c r="K277" i="727"/>
  <c r="L277" i="727" s="1"/>
  <c r="J277" i="727"/>
  <c r="I277" i="727"/>
  <c r="H277" i="727"/>
  <c r="G277" i="727"/>
  <c r="N276" i="727"/>
  <c r="O276" i="727" s="1"/>
  <c r="M276" i="727"/>
  <c r="L276" i="727"/>
  <c r="K276" i="727"/>
  <c r="J276" i="727"/>
  <c r="I276" i="727"/>
  <c r="H276" i="727"/>
  <c r="G276" i="727"/>
  <c r="N275" i="727"/>
  <c r="M275" i="727"/>
  <c r="O275" i="727" s="1"/>
  <c r="K275" i="727"/>
  <c r="J275" i="727"/>
  <c r="I275" i="727"/>
  <c r="H275" i="727"/>
  <c r="G275" i="727"/>
  <c r="N274" i="727"/>
  <c r="O274" i="727" s="1"/>
  <c r="M274" i="727"/>
  <c r="K274" i="727"/>
  <c r="J274" i="727"/>
  <c r="I274" i="727"/>
  <c r="L274" i="727" s="1"/>
  <c r="H274" i="727"/>
  <c r="G274" i="727"/>
  <c r="O273" i="727"/>
  <c r="N273" i="727"/>
  <c r="M273" i="727"/>
  <c r="K273" i="727"/>
  <c r="L273" i="727" s="1"/>
  <c r="J273" i="727"/>
  <c r="I273" i="727"/>
  <c r="H273" i="727"/>
  <c r="G273" i="727"/>
  <c r="N272" i="727"/>
  <c r="O272" i="727" s="1"/>
  <c r="M272" i="727"/>
  <c r="L272" i="727"/>
  <c r="K272" i="727"/>
  <c r="J272" i="727"/>
  <c r="I272" i="727"/>
  <c r="H272" i="727"/>
  <c r="G272" i="727"/>
  <c r="N271" i="727"/>
  <c r="M271" i="727"/>
  <c r="O271" i="727" s="1"/>
  <c r="K271" i="727"/>
  <c r="J271" i="727"/>
  <c r="I271" i="727"/>
  <c r="L271" i="727" s="1"/>
  <c r="H271" i="727"/>
  <c r="G271" i="727"/>
  <c r="N270" i="727"/>
  <c r="O270" i="727" s="1"/>
  <c r="M270" i="727"/>
  <c r="K270" i="727"/>
  <c r="J270" i="727"/>
  <c r="I270" i="727"/>
  <c r="L270" i="727" s="1"/>
  <c r="H270" i="727"/>
  <c r="G270" i="727"/>
  <c r="O269" i="727"/>
  <c r="N269" i="727"/>
  <c r="M269" i="727"/>
  <c r="K269" i="727"/>
  <c r="L269" i="727" s="1"/>
  <c r="J269" i="727"/>
  <c r="I269" i="727"/>
  <c r="H269" i="727"/>
  <c r="G269" i="727"/>
  <c r="N268" i="727"/>
  <c r="O268" i="727" s="1"/>
  <c r="M268" i="727"/>
  <c r="L268" i="727"/>
  <c r="K268" i="727"/>
  <c r="J268" i="727"/>
  <c r="I268" i="727"/>
  <c r="H268" i="727"/>
  <c r="G268" i="727"/>
  <c r="N267" i="727"/>
  <c r="M267" i="727"/>
  <c r="O267" i="727" s="1"/>
  <c r="K267" i="727"/>
  <c r="J267" i="727"/>
  <c r="I267" i="727"/>
  <c r="H267" i="727"/>
  <c r="G267" i="727"/>
  <c r="N266" i="727"/>
  <c r="O266" i="727" s="1"/>
  <c r="M266" i="727"/>
  <c r="K266" i="727"/>
  <c r="J266" i="727"/>
  <c r="I266" i="727"/>
  <c r="L266" i="727" s="1"/>
  <c r="H266" i="727"/>
  <c r="G266" i="727"/>
  <c r="O265" i="727"/>
  <c r="N265" i="727"/>
  <c r="M265" i="727"/>
  <c r="K265" i="727"/>
  <c r="L265" i="727" s="1"/>
  <c r="J265" i="727"/>
  <c r="I265" i="727"/>
  <c r="H265" i="727"/>
  <c r="G265" i="727"/>
  <c r="N264" i="727"/>
  <c r="O264" i="727" s="1"/>
  <c r="M264" i="727"/>
  <c r="L264" i="727"/>
  <c r="K264" i="727"/>
  <c r="J264" i="727"/>
  <c r="I264" i="727"/>
  <c r="H264" i="727"/>
  <c r="G264" i="727"/>
  <c r="N263" i="727"/>
  <c r="M263" i="727"/>
  <c r="O263" i="727" s="1"/>
  <c r="K263" i="727"/>
  <c r="J263" i="727"/>
  <c r="I263" i="727"/>
  <c r="L263" i="727" s="1"/>
  <c r="H263" i="727"/>
  <c r="G263" i="727"/>
  <c r="N262" i="727"/>
  <c r="O262" i="727" s="1"/>
  <c r="M262" i="727"/>
  <c r="K262" i="727"/>
  <c r="J262" i="727"/>
  <c r="I262" i="727"/>
  <c r="L262" i="727" s="1"/>
  <c r="H262" i="727"/>
  <c r="G262" i="727"/>
  <c r="O261" i="727"/>
  <c r="N261" i="727"/>
  <c r="M261" i="727"/>
  <c r="K261" i="727"/>
  <c r="L261" i="727" s="1"/>
  <c r="J261" i="727"/>
  <c r="I261" i="727"/>
  <c r="H261" i="727"/>
  <c r="G261" i="727"/>
  <c r="N260" i="727"/>
  <c r="O260" i="727" s="1"/>
  <c r="M260" i="727"/>
  <c r="L260" i="727"/>
  <c r="K260" i="727"/>
  <c r="J260" i="727"/>
  <c r="I260" i="727"/>
  <c r="H260" i="727"/>
  <c r="G260" i="727"/>
  <c r="N259" i="727"/>
  <c r="M259" i="727"/>
  <c r="O259" i="727" s="1"/>
  <c r="K259" i="727"/>
  <c r="J259" i="727"/>
  <c r="I259" i="727"/>
  <c r="H259" i="727"/>
  <c r="G259" i="727"/>
  <c r="N258" i="727"/>
  <c r="O258" i="727" s="1"/>
  <c r="M258" i="727"/>
  <c r="K258" i="727"/>
  <c r="J258" i="727"/>
  <c r="I258" i="727"/>
  <c r="L258" i="727" s="1"/>
  <c r="H258" i="727"/>
  <c r="G258" i="727"/>
  <c r="O257" i="727"/>
  <c r="N257" i="727"/>
  <c r="M257" i="727"/>
  <c r="K257" i="727"/>
  <c r="L257" i="727" s="1"/>
  <c r="J257" i="727"/>
  <c r="I257" i="727"/>
  <c r="H257" i="727"/>
  <c r="G257" i="727"/>
  <c r="N256" i="727"/>
  <c r="O256" i="727" s="1"/>
  <c r="M256" i="727"/>
  <c r="L256" i="727"/>
  <c r="K256" i="727"/>
  <c r="J256" i="727"/>
  <c r="I256" i="727"/>
  <c r="H256" i="727"/>
  <c r="G256" i="727"/>
  <c r="N255" i="727"/>
  <c r="M255" i="727"/>
  <c r="O255" i="727" s="1"/>
  <c r="K255" i="727"/>
  <c r="J255" i="727"/>
  <c r="I255" i="727"/>
  <c r="L255" i="727" s="1"/>
  <c r="H255" i="727"/>
  <c r="G255" i="727"/>
  <c r="N254" i="727"/>
  <c r="O254" i="727" s="1"/>
  <c r="M254" i="727"/>
  <c r="K254" i="727"/>
  <c r="J254" i="727"/>
  <c r="I254" i="727"/>
  <c r="L254" i="727" s="1"/>
  <c r="H254" i="727"/>
  <c r="G254" i="727"/>
  <c r="O253" i="727"/>
  <c r="N253" i="727"/>
  <c r="M253" i="727"/>
  <c r="K253" i="727"/>
  <c r="L253" i="727" s="1"/>
  <c r="J253" i="727"/>
  <c r="I253" i="727"/>
  <c r="H253" i="727"/>
  <c r="G253" i="727"/>
  <c r="N252" i="727"/>
  <c r="O252" i="727" s="1"/>
  <c r="M252" i="727"/>
  <c r="L252" i="727"/>
  <c r="K252" i="727"/>
  <c r="J252" i="727"/>
  <c r="I252" i="727"/>
  <c r="H252" i="727"/>
  <c r="G252" i="727"/>
  <c r="N251" i="727"/>
  <c r="M251" i="727"/>
  <c r="O251" i="727" s="1"/>
  <c r="K251" i="727"/>
  <c r="J251" i="727"/>
  <c r="I251" i="727"/>
  <c r="H251" i="727"/>
  <c r="G251" i="727"/>
  <c r="N250" i="727"/>
  <c r="O250" i="727" s="1"/>
  <c r="M250" i="727"/>
  <c r="K250" i="727"/>
  <c r="J250" i="727"/>
  <c r="I250" i="727"/>
  <c r="L250" i="727" s="1"/>
  <c r="H250" i="727"/>
  <c r="G250" i="727"/>
  <c r="O249" i="727"/>
  <c r="N249" i="727"/>
  <c r="M249" i="727"/>
  <c r="K249" i="727"/>
  <c r="L249" i="727" s="1"/>
  <c r="J249" i="727"/>
  <c r="I249" i="727"/>
  <c r="H249" i="727"/>
  <c r="G249" i="727"/>
  <c r="N248" i="727"/>
  <c r="O248" i="727" s="1"/>
  <c r="M248" i="727"/>
  <c r="L248" i="727"/>
  <c r="K248" i="727"/>
  <c r="J248" i="727"/>
  <c r="I248" i="727"/>
  <c r="H248" i="727"/>
  <c r="G248" i="727"/>
  <c r="N247" i="727"/>
  <c r="M247" i="727"/>
  <c r="O247" i="727" s="1"/>
  <c r="K247" i="727"/>
  <c r="J247" i="727"/>
  <c r="I247" i="727"/>
  <c r="L247" i="727" s="1"/>
  <c r="H247" i="727"/>
  <c r="G247" i="727"/>
  <c r="N246" i="727"/>
  <c r="O246" i="727" s="1"/>
  <c r="M246" i="727"/>
  <c r="K246" i="727"/>
  <c r="J246" i="727"/>
  <c r="I246" i="727"/>
  <c r="L246" i="727" s="1"/>
  <c r="H246" i="727"/>
  <c r="G246" i="727"/>
  <c r="O245" i="727"/>
  <c r="N245" i="727"/>
  <c r="M245" i="727"/>
  <c r="K245" i="727"/>
  <c r="L245" i="727" s="1"/>
  <c r="J245" i="727"/>
  <c r="I245" i="727"/>
  <c r="H245" i="727"/>
  <c r="G245" i="727"/>
  <c r="N244" i="727"/>
  <c r="O244" i="727" s="1"/>
  <c r="M244" i="727"/>
  <c r="L244" i="727"/>
  <c r="K244" i="727"/>
  <c r="J244" i="727"/>
  <c r="I244" i="727"/>
  <c r="H244" i="727"/>
  <c r="G244" i="727"/>
  <c r="N243" i="727"/>
  <c r="M243" i="727"/>
  <c r="O243" i="727" s="1"/>
  <c r="K243" i="727"/>
  <c r="J243" i="727"/>
  <c r="I243" i="727"/>
  <c r="H243" i="727"/>
  <c r="G243" i="727"/>
  <c r="N242" i="727"/>
  <c r="O242" i="727" s="1"/>
  <c r="M242" i="727"/>
  <c r="K242" i="727"/>
  <c r="J242" i="727"/>
  <c r="I242" i="727"/>
  <c r="L242" i="727" s="1"/>
  <c r="H242" i="727"/>
  <c r="G242" i="727"/>
  <c r="O241" i="727"/>
  <c r="N241" i="727"/>
  <c r="M241" i="727"/>
  <c r="K241" i="727"/>
  <c r="L241" i="727" s="1"/>
  <c r="J241" i="727"/>
  <c r="I241" i="727"/>
  <c r="H241" i="727"/>
  <c r="G241" i="727"/>
  <c r="N240" i="727"/>
  <c r="O240" i="727" s="1"/>
  <c r="M240" i="727"/>
  <c r="L240" i="727"/>
  <c r="K240" i="727"/>
  <c r="J240" i="727"/>
  <c r="I240" i="727"/>
  <c r="H240" i="727"/>
  <c r="G240" i="727"/>
  <c r="N239" i="727"/>
  <c r="M239" i="727"/>
  <c r="O239" i="727" s="1"/>
  <c r="K239" i="727"/>
  <c r="J239" i="727"/>
  <c r="I239" i="727"/>
  <c r="L239" i="727" s="1"/>
  <c r="H239" i="727"/>
  <c r="G239" i="727"/>
  <c r="N238" i="727"/>
  <c r="O238" i="727" s="1"/>
  <c r="M238" i="727"/>
  <c r="K238" i="727"/>
  <c r="J238" i="727"/>
  <c r="I238" i="727"/>
  <c r="L238" i="727" s="1"/>
  <c r="H238" i="727"/>
  <c r="G238" i="727"/>
  <c r="O237" i="727"/>
  <c r="N237" i="727"/>
  <c r="M237" i="727"/>
  <c r="K237" i="727"/>
  <c r="L237" i="727" s="1"/>
  <c r="J237" i="727"/>
  <c r="I237" i="727"/>
  <c r="H237" i="727"/>
  <c r="G237" i="727"/>
  <c r="N236" i="727"/>
  <c r="O236" i="727" s="1"/>
  <c r="M236" i="727"/>
  <c r="L236" i="727"/>
  <c r="K236" i="727"/>
  <c r="J236" i="727"/>
  <c r="I236" i="727"/>
  <c r="H236" i="727"/>
  <c r="G236" i="727"/>
  <c r="N235" i="727"/>
  <c r="M235" i="727"/>
  <c r="O235" i="727" s="1"/>
  <c r="K235" i="727"/>
  <c r="J235" i="727"/>
  <c r="I235" i="727"/>
  <c r="H235" i="727"/>
  <c r="G235" i="727"/>
  <c r="N234" i="727"/>
  <c r="O234" i="727" s="1"/>
  <c r="M234" i="727"/>
  <c r="K234" i="727"/>
  <c r="J234" i="727"/>
  <c r="I234" i="727"/>
  <c r="L234" i="727" s="1"/>
  <c r="H234" i="727"/>
  <c r="G234" i="727"/>
  <c r="O233" i="727"/>
  <c r="N233" i="727"/>
  <c r="M233" i="727"/>
  <c r="K233" i="727"/>
  <c r="L233" i="727" s="1"/>
  <c r="J233" i="727"/>
  <c r="I233" i="727"/>
  <c r="H233" i="727"/>
  <c r="G233" i="727"/>
  <c r="N232" i="727"/>
  <c r="O232" i="727" s="1"/>
  <c r="M232" i="727"/>
  <c r="L232" i="727"/>
  <c r="K232" i="727"/>
  <c r="J232" i="727"/>
  <c r="I232" i="727"/>
  <c r="H232" i="727"/>
  <c r="G232" i="727"/>
  <c r="N231" i="727"/>
  <c r="M231" i="727"/>
  <c r="O231" i="727" s="1"/>
  <c r="K231" i="727"/>
  <c r="J231" i="727"/>
  <c r="I231" i="727"/>
  <c r="L231" i="727" s="1"/>
  <c r="H231" i="727"/>
  <c r="G231" i="727"/>
  <c r="N230" i="727"/>
  <c r="O230" i="727" s="1"/>
  <c r="M230" i="727"/>
  <c r="K230" i="727"/>
  <c r="J230" i="727"/>
  <c r="I230" i="727"/>
  <c r="L230" i="727" s="1"/>
  <c r="H230" i="727"/>
  <c r="G230" i="727"/>
  <c r="O229" i="727"/>
  <c r="N229" i="727"/>
  <c r="M229" i="727"/>
  <c r="K229" i="727"/>
  <c r="L229" i="727" s="1"/>
  <c r="J229" i="727"/>
  <c r="I229" i="727"/>
  <c r="H229" i="727"/>
  <c r="G229" i="727"/>
  <c r="N228" i="727"/>
  <c r="O228" i="727" s="1"/>
  <c r="M228" i="727"/>
  <c r="L228" i="727"/>
  <c r="K228" i="727"/>
  <c r="J228" i="727"/>
  <c r="I228" i="727"/>
  <c r="H228" i="727"/>
  <c r="G228" i="727"/>
  <c r="N227" i="727"/>
  <c r="M227" i="727"/>
  <c r="O227" i="727" s="1"/>
  <c r="K227" i="727"/>
  <c r="J227" i="727"/>
  <c r="I227" i="727"/>
  <c r="H227" i="727"/>
  <c r="G227" i="727"/>
  <c r="N226" i="727"/>
  <c r="O226" i="727" s="1"/>
  <c r="M226" i="727"/>
  <c r="K226" i="727"/>
  <c r="J226" i="727"/>
  <c r="I226" i="727"/>
  <c r="L226" i="727" s="1"/>
  <c r="H226" i="727"/>
  <c r="G226" i="727"/>
  <c r="O225" i="727"/>
  <c r="N225" i="727"/>
  <c r="M225" i="727"/>
  <c r="K225" i="727"/>
  <c r="L225" i="727" s="1"/>
  <c r="J225" i="727"/>
  <c r="I225" i="727"/>
  <c r="H225" i="727"/>
  <c r="G225" i="727"/>
  <c r="N224" i="727"/>
  <c r="O224" i="727" s="1"/>
  <c r="M224" i="727"/>
  <c r="L224" i="727"/>
  <c r="K224" i="727"/>
  <c r="J224" i="727"/>
  <c r="I224" i="727"/>
  <c r="H224" i="727"/>
  <c r="G224" i="727"/>
  <c r="N223" i="727"/>
  <c r="M223" i="727"/>
  <c r="O223" i="727" s="1"/>
  <c r="K223" i="727"/>
  <c r="J223" i="727"/>
  <c r="I223" i="727"/>
  <c r="L223" i="727" s="1"/>
  <c r="H223" i="727"/>
  <c r="G223" i="727"/>
  <c r="N222" i="727"/>
  <c r="O222" i="727" s="1"/>
  <c r="M222" i="727"/>
  <c r="K222" i="727"/>
  <c r="J222" i="727"/>
  <c r="I222" i="727"/>
  <c r="L222" i="727" s="1"/>
  <c r="H222" i="727"/>
  <c r="G222" i="727"/>
  <c r="O221" i="727"/>
  <c r="N221" i="727"/>
  <c r="M221" i="727"/>
  <c r="K221" i="727"/>
  <c r="L221" i="727" s="1"/>
  <c r="J221" i="727"/>
  <c r="I221" i="727"/>
  <c r="H221" i="727"/>
  <c r="G221" i="727"/>
  <c r="N220" i="727"/>
  <c r="O220" i="727" s="1"/>
  <c r="M220" i="727"/>
  <c r="L220" i="727"/>
  <c r="K220" i="727"/>
  <c r="J220" i="727"/>
  <c r="I220" i="727"/>
  <c r="H220" i="727"/>
  <c r="G220" i="727"/>
  <c r="N219" i="727"/>
  <c r="M219" i="727"/>
  <c r="O219" i="727" s="1"/>
  <c r="K219" i="727"/>
  <c r="J219" i="727"/>
  <c r="I219" i="727"/>
  <c r="H219" i="727"/>
  <c r="G219" i="727"/>
  <c r="N218" i="727"/>
  <c r="O218" i="727" s="1"/>
  <c r="M218" i="727"/>
  <c r="K218" i="727"/>
  <c r="J218" i="727"/>
  <c r="I218" i="727"/>
  <c r="L218" i="727" s="1"/>
  <c r="H218" i="727"/>
  <c r="G218" i="727"/>
  <c r="O217" i="727"/>
  <c r="N217" i="727"/>
  <c r="M217" i="727"/>
  <c r="K217" i="727"/>
  <c r="L217" i="727" s="1"/>
  <c r="J217" i="727"/>
  <c r="I217" i="727"/>
  <c r="H217" i="727"/>
  <c r="G217" i="727"/>
  <c r="N216" i="727"/>
  <c r="O216" i="727" s="1"/>
  <c r="M216" i="727"/>
  <c r="L216" i="727"/>
  <c r="K216" i="727"/>
  <c r="J216" i="727"/>
  <c r="I216" i="727"/>
  <c r="H216" i="727"/>
  <c r="G216" i="727"/>
  <c r="N215" i="727"/>
  <c r="M215" i="727"/>
  <c r="O215" i="727" s="1"/>
  <c r="K215" i="727"/>
  <c r="J215" i="727"/>
  <c r="I215" i="727"/>
  <c r="L215" i="727" s="1"/>
  <c r="H215" i="727"/>
  <c r="G215" i="727"/>
  <c r="N214" i="727"/>
  <c r="O214" i="727" s="1"/>
  <c r="M214" i="727"/>
  <c r="K214" i="727"/>
  <c r="J214" i="727"/>
  <c r="I214" i="727"/>
  <c r="L214" i="727" s="1"/>
  <c r="H214" i="727"/>
  <c r="G214" i="727"/>
  <c r="O213" i="727"/>
  <c r="N213" i="727"/>
  <c r="M213" i="727"/>
  <c r="K213" i="727"/>
  <c r="L213" i="727" s="1"/>
  <c r="J213" i="727"/>
  <c r="I213" i="727"/>
  <c r="H213" i="727"/>
  <c r="G213" i="727"/>
  <c r="N212" i="727"/>
  <c r="O212" i="727" s="1"/>
  <c r="M212" i="727"/>
  <c r="L212" i="727"/>
  <c r="K212" i="727"/>
  <c r="J212" i="727"/>
  <c r="I212" i="727"/>
  <c r="H212" i="727"/>
  <c r="G212" i="727"/>
  <c r="N211" i="727"/>
  <c r="M211" i="727"/>
  <c r="O211" i="727" s="1"/>
  <c r="K211" i="727"/>
  <c r="J211" i="727"/>
  <c r="I211" i="727"/>
  <c r="H211" i="727"/>
  <c r="G211" i="727"/>
  <c r="N210" i="727"/>
  <c r="O210" i="727" s="1"/>
  <c r="M210" i="727"/>
  <c r="K210" i="727"/>
  <c r="J210" i="727"/>
  <c r="I210" i="727"/>
  <c r="L210" i="727" s="1"/>
  <c r="H210" i="727"/>
  <c r="G210" i="727"/>
  <c r="O209" i="727"/>
  <c r="N209" i="727"/>
  <c r="M209" i="727"/>
  <c r="K209" i="727"/>
  <c r="L209" i="727" s="1"/>
  <c r="J209" i="727"/>
  <c r="I209" i="727"/>
  <c r="H209" i="727"/>
  <c r="G209" i="727"/>
  <c r="N208" i="727"/>
  <c r="O208" i="727" s="1"/>
  <c r="M208" i="727"/>
  <c r="L208" i="727"/>
  <c r="K208" i="727"/>
  <c r="J208" i="727"/>
  <c r="I208" i="727"/>
  <c r="H208" i="727"/>
  <c r="G208" i="727"/>
  <c r="N207" i="727"/>
  <c r="M207" i="727"/>
  <c r="O207" i="727" s="1"/>
  <c r="K207" i="727"/>
  <c r="J207" i="727"/>
  <c r="I207" i="727"/>
  <c r="L207" i="727" s="1"/>
  <c r="H207" i="727"/>
  <c r="G207" i="727"/>
  <c r="N206" i="727"/>
  <c r="O206" i="727" s="1"/>
  <c r="M206" i="727"/>
  <c r="K206" i="727"/>
  <c r="J206" i="727"/>
  <c r="I206" i="727"/>
  <c r="L206" i="727" s="1"/>
  <c r="H206" i="727"/>
  <c r="G206" i="727"/>
  <c r="O205" i="727"/>
  <c r="N205" i="727"/>
  <c r="M205" i="727"/>
  <c r="K205" i="727"/>
  <c r="L205" i="727" s="1"/>
  <c r="J205" i="727"/>
  <c r="I205" i="727"/>
  <c r="H205" i="727"/>
  <c r="G205" i="727"/>
  <c r="N204" i="727"/>
  <c r="O204" i="727" s="1"/>
  <c r="M204" i="727"/>
  <c r="L204" i="727"/>
  <c r="K204" i="727"/>
  <c r="J204" i="727"/>
  <c r="I204" i="727"/>
  <c r="H204" i="727"/>
  <c r="G204" i="727"/>
  <c r="N203" i="727"/>
  <c r="M203" i="727"/>
  <c r="O203" i="727" s="1"/>
  <c r="K203" i="727"/>
  <c r="J203" i="727"/>
  <c r="I203" i="727"/>
  <c r="H203" i="727"/>
  <c r="G203" i="727"/>
  <c r="N202" i="727"/>
  <c r="O202" i="727" s="1"/>
  <c r="M202" i="727"/>
  <c r="K202" i="727"/>
  <c r="J202" i="727"/>
  <c r="I202" i="727"/>
  <c r="L202" i="727" s="1"/>
  <c r="H202" i="727"/>
  <c r="G202" i="727"/>
  <c r="O201" i="727"/>
  <c r="N201" i="727"/>
  <c r="M201" i="727"/>
  <c r="K201" i="727"/>
  <c r="L201" i="727" s="1"/>
  <c r="J201" i="727"/>
  <c r="I201" i="727"/>
  <c r="H201" i="727"/>
  <c r="G201" i="727"/>
  <c r="N200" i="727"/>
  <c r="O200" i="727" s="1"/>
  <c r="M200" i="727"/>
  <c r="K200" i="727"/>
  <c r="L200" i="727" s="1"/>
  <c r="J200" i="727"/>
  <c r="I200" i="727"/>
  <c r="H200" i="727"/>
  <c r="G200" i="727"/>
  <c r="N199" i="727"/>
  <c r="M199" i="727"/>
  <c r="K199" i="727"/>
  <c r="J199" i="727"/>
  <c r="I199" i="727"/>
  <c r="L199" i="727" s="1"/>
  <c r="H199" i="727"/>
  <c r="G199" i="727"/>
  <c r="N198" i="727"/>
  <c r="O198" i="727" s="1"/>
  <c r="M198" i="727"/>
  <c r="K198" i="727"/>
  <c r="J198" i="727"/>
  <c r="I198" i="727"/>
  <c r="H198" i="727"/>
  <c r="G198" i="727"/>
  <c r="N197" i="727"/>
  <c r="O197" i="727" s="1"/>
  <c r="M197" i="727"/>
  <c r="K197" i="727"/>
  <c r="L197" i="727" s="1"/>
  <c r="J197" i="727"/>
  <c r="I197" i="727"/>
  <c r="H197" i="727"/>
  <c r="G197" i="727"/>
  <c r="N196" i="727"/>
  <c r="O196" i="727" s="1"/>
  <c r="M196" i="727"/>
  <c r="L196" i="727"/>
  <c r="K196" i="727"/>
  <c r="J196" i="727"/>
  <c r="I196" i="727"/>
  <c r="H196" i="727"/>
  <c r="G196" i="727"/>
  <c r="N195" i="727"/>
  <c r="M195" i="727"/>
  <c r="K195" i="727"/>
  <c r="J195" i="727"/>
  <c r="I195" i="727"/>
  <c r="H195" i="727"/>
  <c r="G195" i="727"/>
  <c r="N194" i="727"/>
  <c r="O194" i="727" s="1"/>
  <c r="M194" i="727"/>
  <c r="K194" i="727"/>
  <c r="J194" i="727"/>
  <c r="I194" i="727"/>
  <c r="L194" i="727" s="1"/>
  <c r="H194" i="727"/>
  <c r="G194" i="727"/>
  <c r="N193" i="727"/>
  <c r="O193" i="727" s="1"/>
  <c r="M193" i="727"/>
  <c r="K193" i="727"/>
  <c r="L193" i="727" s="1"/>
  <c r="J193" i="727"/>
  <c r="I193" i="727"/>
  <c r="H193" i="727"/>
  <c r="G193" i="727"/>
  <c r="N192" i="727"/>
  <c r="O192" i="727" s="1"/>
  <c r="M192" i="727"/>
  <c r="K192" i="727"/>
  <c r="L192" i="727" s="1"/>
  <c r="J192" i="727"/>
  <c r="I192" i="727"/>
  <c r="H192" i="727"/>
  <c r="G192" i="727"/>
  <c r="N191" i="727"/>
  <c r="M191" i="727"/>
  <c r="O191" i="727" s="1"/>
  <c r="K191" i="727"/>
  <c r="J191" i="727"/>
  <c r="I191" i="727"/>
  <c r="L191" i="727" s="1"/>
  <c r="H191" i="727"/>
  <c r="G191" i="727"/>
  <c r="N190" i="727"/>
  <c r="O190" i="727" s="1"/>
  <c r="M190" i="727"/>
  <c r="K190" i="727"/>
  <c r="J190" i="727"/>
  <c r="I190" i="727"/>
  <c r="H190" i="727"/>
  <c r="G190" i="727"/>
  <c r="N189" i="727"/>
  <c r="O189" i="727" s="1"/>
  <c r="M189" i="727"/>
  <c r="K189" i="727"/>
  <c r="L189" i="727" s="1"/>
  <c r="J189" i="727"/>
  <c r="I189" i="727"/>
  <c r="H189" i="727"/>
  <c r="G189" i="727"/>
  <c r="O188" i="727"/>
  <c r="N188" i="727"/>
  <c r="M188" i="727"/>
  <c r="K188" i="727"/>
  <c r="J188" i="727"/>
  <c r="I188" i="727"/>
  <c r="L188" i="727" s="1"/>
  <c r="H188" i="727"/>
  <c r="G188" i="727"/>
  <c r="N187" i="727"/>
  <c r="M187" i="727"/>
  <c r="L187" i="727"/>
  <c r="K187" i="727"/>
  <c r="J187" i="727"/>
  <c r="I187" i="727"/>
  <c r="H187" i="727"/>
  <c r="G187" i="727"/>
  <c r="O186" i="727"/>
  <c r="N186" i="727"/>
  <c r="M186" i="727"/>
  <c r="K186" i="727"/>
  <c r="J186" i="727"/>
  <c r="I186" i="727"/>
  <c r="H186" i="727"/>
  <c r="G186" i="727"/>
  <c r="N185" i="727"/>
  <c r="O185" i="727" s="1"/>
  <c r="M185" i="727"/>
  <c r="K185" i="727"/>
  <c r="L185" i="727" s="1"/>
  <c r="J185" i="727"/>
  <c r="I185" i="727"/>
  <c r="H185" i="727"/>
  <c r="G185" i="727"/>
  <c r="N184" i="727"/>
  <c r="O184" i="727" s="1"/>
  <c r="M184" i="727"/>
  <c r="K184" i="727"/>
  <c r="J184" i="727"/>
  <c r="I184" i="727"/>
  <c r="L184" i="727" s="1"/>
  <c r="H184" i="727"/>
  <c r="G184" i="727"/>
  <c r="N183" i="727"/>
  <c r="M183" i="727"/>
  <c r="O183" i="727" s="1"/>
  <c r="L183" i="727"/>
  <c r="K183" i="727"/>
  <c r="J183" i="727"/>
  <c r="I183" i="727"/>
  <c r="H183" i="727"/>
  <c r="G183" i="727"/>
  <c r="O182" i="727"/>
  <c r="N182" i="727"/>
  <c r="M182" i="727"/>
  <c r="K182" i="727"/>
  <c r="J182" i="727"/>
  <c r="I182" i="727"/>
  <c r="L182" i="727" s="1"/>
  <c r="H182" i="727"/>
  <c r="G182" i="727"/>
  <c r="O181" i="727"/>
  <c r="N181" i="727"/>
  <c r="M181" i="727"/>
  <c r="K181" i="727"/>
  <c r="L181" i="727" s="1"/>
  <c r="J181" i="727"/>
  <c r="I181" i="727"/>
  <c r="H181" i="727"/>
  <c r="G181" i="727"/>
  <c r="N180" i="727"/>
  <c r="O180" i="727" s="1"/>
  <c r="M180" i="727"/>
  <c r="K180" i="727"/>
  <c r="J180" i="727"/>
  <c r="I180" i="727"/>
  <c r="L180" i="727" s="1"/>
  <c r="H180" i="727"/>
  <c r="G180" i="727"/>
  <c r="N179" i="727"/>
  <c r="M179" i="727"/>
  <c r="K179" i="727"/>
  <c r="L179" i="727" s="1"/>
  <c r="J179" i="727"/>
  <c r="I179" i="727"/>
  <c r="H179" i="727"/>
  <c r="G179" i="727"/>
  <c r="N178" i="727"/>
  <c r="O178" i="727" s="1"/>
  <c r="M178" i="727"/>
  <c r="K178" i="727"/>
  <c r="J178" i="727"/>
  <c r="I178" i="727"/>
  <c r="H178" i="727"/>
  <c r="G178" i="727"/>
  <c r="O177" i="727"/>
  <c r="N177" i="727"/>
  <c r="M177" i="727"/>
  <c r="L177" i="727"/>
  <c r="K177" i="727"/>
  <c r="J177" i="727"/>
  <c r="I177" i="727"/>
  <c r="H177" i="727"/>
  <c r="G177" i="727"/>
  <c r="O176" i="727"/>
  <c r="N176" i="727"/>
  <c r="M176" i="727"/>
  <c r="L176" i="727"/>
  <c r="K176" i="727"/>
  <c r="J176" i="727"/>
  <c r="I176" i="727"/>
  <c r="H176" i="727"/>
  <c r="G176" i="727"/>
  <c r="N175" i="727"/>
  <c r="M175" i="727"/>
  <c r="K175" i="727"/>
  <c r="J175" i="727"/>
  <c r="I175" i="727"/>
  <c r="L175" i="727" s="1"/>
  <c r="H175" i="727"/>
  <c r="G175" i="727"/>
  <c r="O174" i="727"/>
  <c r="N174" i="727"/>
  <c r="M174" i="727"/>
  <c r="K174" i="727"/>
  <c r="J174" i="727"/>
  <c r="I174" i="727"/>
  <c r="H174" i="727"/>
  <c r="G174" i="727"/>
  <c r="N173" i="727"/>
  <c r="O173" i="727" s="1"/>
  <c r="M173" i="727"/>
  <c r="K173" i="727"/>
  <c r="L173" i="727" s="1"/>
  <c r="J173" i="727"/>
  <c r="I173" i="727"/>
  <c r="H173" i="727"/>
  <c r="G173" i="727"/>
  <c r="N172" i="727"/>
  <c r="O172" i="727" s="1"/>
  <c r="M172" i="727"/>
  <c r="K172" i="727"/>
  <c r="L172" i="727" s="1"/>
  <c r="J172" i="727"/>
  <c r="I172" i="727"/>
  <c r="H172" i="727"/>
  <c r="G172" i="727"/>
  <c r="N171" i="727"/>
  <c r="M171" i="727"/>
  <c r="O171" i="727" s="1"/>
  <c r="K171" i="727"/>
  <c r="J171" i="727"/>
  <c r="I171" i="727"/>
  <c r="L171" i="727" s="1"/>
  <c r="H171" i="727"/>
  <c r="G171" i="727"/>
  <c r="O170" i="727"/>
  <c r="N170" i="727"/>
  <c r="M170" i="727"/>
  <c r="K170" i="727"/>
  <c r="J170" i="727"/>
  <c r="I170" i="727"/>
  <c r="L170" i="727" s="1"/>
  <c r="H170" i="727"/>
  <c r="G170" i="727"/>
  <c r="N169" i="727"/>
  <c r="O169" i="727" s="1"/>
  <c r="M169" i="727"/>
  <c r="K169" i="727"/>
  <c r="L169" i="727" s="1"/>
  <c r="J169" i="727"/>
  <c r="I169" i="727"/>
  <c r="H169" i="727"/>
  <c r="G169" i="727"/>
  <c r="N168" i="727"/>
  <c r="O168" i="727" s="1"/>
  <c r="M168" i="727"/>
  <c r="K168" i="727"/>
  <c r="J168" i="727"/>
  <c r="I168" i="727"/>
  <c r="L168" i="727" s="1"/>
  <c r="H168" i="727"/>
  <c r="G168" i="727"/>
  <c r="N167" i="727"/>
  <c r="M167" i="727"/>
  <c r="K167" i="727"/>
  <c r="J167" i="727"/>
  <c r="I167" i="727"/>
  <c r="L167" i="727" s="1"/>
  <c r="H167" i="727"/>
  <c r="G167" i="727"/>
  <c r="N166" i="727"/>
  <c r="O166" i="727" s="1"/>
  <c r="M166" i="727"/>
  <c r="K166" i="727"/>
  <c r="J166" i="727"/>
  <c r="I166" i="727"/>
  <c r="H166" i="727"/>
  <c r="G166" i="727"/>
  <c r="O165" i="727"/>
  <c r="N165" i="727"/>
  <c r="M165" i="727"/>
  <c r="L165" i="727"/>
  <c r="K165" i="727"/>
  <c r="J165" i="727"/>
  <c r="I165" i="727"/>
  <c r="H165" i="727"/>
  <c r="G165" i="727"/>
  <c r="O164" i="727"/>
  <c r="N164" i="727"/>
  <c r="M164" i="727"/>
  <c r="K164" i="727"/>
  <c r="J164" i="727"/>
  <c r="I164" i="727"/>
  <c r="L164" i="727" s="1"/>
  <c r="H164" i="727"/>
  <c r="G164" i="727"/>
  <c r="N163" i="727"/>
  <c r="M163" i="727"/>
  <c r="K163" i="727"/>
  <c r="J163" i="727"/>
  <c r="I163" i="727"/>
  <c r="L163" i="727" s="1"/>
  <c r="H163" i="727"/>
  <c r="G163" i="727"/>
  <c r="N162" i="727"/>
  <c r="O162" i="727" s="1"/>
  <c r="M162" i="727"/>
  <c r="K162" i="727"/>
  <c r="J162" i="727"/>
  <c r="I162" i="727"/>
  <c r="H162" i="727"/>
  <c r="G162" i="727"/>
  <c r="N161" i="727"/>
  <c r="O161" i="727" s="1"/>
  <c r="M161" i="727"/>
  <c r="K161" i="727"/>
  <c r="L161" i="727" s="1"/>
  <c r="J161" i="727"/>
  <c r="I161" i="727"/>
  <c r="H161" i="727"/>
  <c r="G161" i="727"/>
  <c r="N160" i="727"/>
  <c r="O160" i="727" s="1"/>
  <c r="M160" i="727"/>
  <c r="K160" i="727"/>
  <c r="J160" i="727"/>
  <c r="I160" i="727"/>
  <c r="L160" i="727" s="1"/>
  <c r="H160" i="727"/>
  <c r="G160" i="727"/>
  <c r="N159" i="727"/>
  <c r="M159" i="727"/>
  <c r="O159" i="727" s="1"/>
  <c r="K159" i="727"/>
  <c r="J159" i="727"/>
  <c r="I159" i="727"/>
  <c r="L159" i="727" s="1"/>
  <c r="H159" i="727"/>
  <c r="G159" i="727"/>
  <c r="N158" i="727"/>
  <c r="O158" i="727" s="1"/>
  <c r="M158" i="727"/>
  <c r="K158" i="727"/>
  <c r="J158" i="727"/>
  <c r="L158" i="727" s="1"/>
  <c r="I158" i="727"/>
  <c r="H158" i="727"/>
  <c r="G158" i="727"/>
  <c r="N157" i="727"/>
  <c r="O157" i="727" s="1"/>
  <c r="M157" i="727"/>
  <c r="K157" i="727"/>
  <c r="L157" i="727" s="1"/>
  <c r="J157" i="727"/>
  <c r="I157" i="727"/>
  <c r="H157" i="727"/>
  <c r="G157" i="727"/>
  <c r="N156" i="727"/>
  <c r="O156" i="727" s="1"/>
  <c r="M156" i="727"/>
  <c r="K156" i="727"/>
  <c r="J156" i="727"/>
  <c r="I156" i="727"/>
  <c r="L156" i="727" s="1"/>
  <c r="H156" i="727"/>
  <c r="G156" i="727"/>
  <c r="N155" i="727"/>
  <c r="M155" i="727"/>
  <c r="O155" i="727" s="1"/>
  <c r="K155" i="727"/>
  <c r="J155" i="727"/>
  <c r="I155" i="727"/>
  <c r="L155" i="727" s="1"/>
  <c r="H155" i="727"/>
  <c r="G155" i="727"/>
  <c r="N154" i="727"/>
  <c r="O154" i="727" s="1"/>
  <c r="M154" i="727"/>
  <c r="K154" i="727"/>
  <c r="J154" i="727"/>
  <c r="L154" i="727" s="1"/>
  <c r="I154" i="727"/>
  <c r="H154" i="727"/>
  <c r="G154" i="727"/>
  <c r="N153" i="727"/>
  <c r="O153" i="727" s="1"/>
  <c r="M153" i="727"/>
  <c r="K153" i="727"/>
  <c r="L153" i="727" s="1"/>
  <c r="J153" i="727"/>
  <c r="I153" i="727"/>
  <c r="H153" i="727"/>
  <c r="G153" i="727"/>
  <c r="N152" i="727"/>
  <c r="O152" i="727" s="1"/>
  <c r="M152" i="727"/>
  <c r="K152" i="727"/>
  <c r="J152" i="727"/>
  <c r="I152" i="727"/>
  <c r="L152" i="727" s="1"/>
  <c r="H152" i="727"/>
  <c r="G152" i="727"/>
  <c r="N151" i="727"/>
  <c r="M151" i="727"/>
  <c r="O151" i="727" s="1"/>
  <c r="K151" i="727"/>
  <c r="J151" i="727"/>
  <c r="I151" i="727"/>
  <c r="L151" i="727" s="1"/>
  <c r="H151" i="727"/>
  <c r="G151" i="727"/>
  <c r="N150" i="727"/>
  <c r="O150" i="727" s="1"/>
  <c r="M150" i="727"/>
  <c r="K150" i="727"/>
  <c r="J150" i="727"/>
  <c r="L150" i="727" s="1"/>
  <c r="I150" i="727"/>
  <c r="H150" i="727"/>
  <c r="G150" i="727"/>
  <c r="N149" i="727"/>
  <c r="O149" i="727" s="1"/>
  <c r="M149" i="727"/>
  <c r="K149" i="727"/>
  <c r="L149" i="727" s="1"/>
  <c r="J149" i="727"/>
  <c r="I149" i="727"/>
  <c r="H149" i="727"/>
  <c r="G149" i="727"/>
  <c r="N148" i="727"/>
  <c r="O148" i="727" s="1"/>
  <c r="M148" i="727"/>
  <c r="K148" i="727"/>
  <c r="J148" i="727"/>
  <c r="I148" i="727"/>
  <c r="L148" i="727" s="1"/>
  <c r="H148" i="727"/>
  <c r="G148" i="727"/>
  <c r="N147" i="727"/>
  <c r="M147" i="727"/>
  <c r="O147" i="727" s="1"/>
  <c r="K147" i="727"/>
  <c r="J147" i="727"/>
  <c r="I147" i="727"/>
  <c r="L147" i="727" s="1"/>
  <c r="H147" i="727"/>
  <c r="G147" i="727"/>
  <c r="N146" i="727"/>
  <c r="O146" i="727" s="1"/>
  <c r="M146" i="727"/>
  <c r="K146" i="727"/>
  <c r="J146" i="727"/>
  <c r="L146" i="727" s="1"/>
  <c r="I146" i="727"/>
  <c r="H146" i="727"/>
  <c r="G146" i="727"/>
  <c r="N145" i="727"/>
  <c r="M145" i="727"/>
  <c r="O145" i="727" s="1"/>
  <c r="K145" i="727"/>
  <c r="L145" i="727" s="1"/>
  <c r="J145" i="727"/>
  <c r="I145" i="727"/>
  <c r="H145" i="727"/>
  <c r="G145" i="727"/>
  <c r="N144" i="727"/>
  <c r="O144" i="727" s="1"/>
  <c r="M144" i="727"/>
  <c r="K144" i="727"/>
  <c r="J144" i="727"/>
  <c r="I144" i="727"/>
  <c r="L144" i="727" s="1"/>
  <c r="H144" i="727"/>
  <c r="G144" i="727"/>
  <c r="N143" i="727"/>
  <c r="M143" i="727"/>
  <c r="O143" i="727" s="1"/>
  <c r="K143" i="727"/>
  <c r="J143" i="727"/>
  <c r="I143" i="727"/>
  <c r="L143" i="727" s="1"/>
  <c r="H143" i="727"/>
  <c r="G143" i="727"/>
  <c r="N142" i="727"/>
  <c r="M142" i="727"/>
  <c r="O142" i="727" s="1"/>
  <c r="K142" i="727"/>
  <c r="J142" i="727"/>
  <c r="L142" i="727" s="1"/>
  <c r="I142" i="727"/>
  <c r="H142" i="727"/>
  <c r="G142" i="727"/>
  <c r="N141" i="727"/>
  <c r="M141" i="727"/>
  <c r="O141" i="727" s="1"/>
  <c r="K141" i="727"/>
  <c r="L141" i="727" s="1"/>
  <c r="J141" i="727"/>
  <c r="I141" i="727"/>
  <c r="H141" i="727"/>
  <c r="G141" i="727"/>
  <c r="N140" i="727"/>
  <c r="O140" i="727" s="1"/>
  <c r="M140" i="727"/>
  <c r="K140" i="727"/>
  <c r="J140" i="727"/>
  <c r="I140" i="727"/>
  <c r="L140" i="727" s="1"/>
  <c r="H140" i="727"/>
  <c r="G140" i="727"/>
  <c r="N139" i="727"/>
  <c r="M139" i="727"/>
  <c r="O139" i="727" s="1"/>
  <c r="K139" i="727"/>
  <c r="J139" i="727"/>
  <c r="I139" i="727"/>
  <c r="L139" i="727" s="1"/>
  <c r="H139" i="727"/>
  <c r="G139" i="727"/>
  <c r="N138" i="727"/>
  <c r="O138" i="727" s="1"/>
  <c r="M138" i="727"/>
  <c r="K138" i="727"/>
  <c r="J138" i="727"/>
  <c r="L138" i="727" s="1"/>
  <c r="I138" i="727"/>
  <c r="H138" i="727"/>
  <c r="G138" i="727"/>
  <c r="N137" i="727"/>
  <c r="M137" i="727"/>
  <c r="O137" i="727" s="1"/>
  <c r="K137" i="727"/>
  <c r="L137" i="727" s="1"/>
  <c r="J137" i="727"/>
  <c r="I137" i="727"/>
  <c r="H137" i="727"/>
  <c r="G137" i="727"/>
  <c r="N136" i="727"/>
  <c r="O136" i="727" s="1"/>
  <c r="M136" i="727"/>
  <c r="K136" i="727"/>
  <c r="J136" i="727"/>
  <c r="I136" i="727"/>
  <c r="L136" i="727" s="1"/>
  <c r="H136" i="727"/>
  <c r="G136" i="727"/>
  <c r="N135" i="727"/>
  <c r="M135" i="727"/>
  <c r="O135" i="727" s="1"/>
  <c r="K135" i="727"/>
  <c r="J135" i="727"/>
  <c r="I135" i="727"/>
  <c r="L135" i="727" s="1"/>
  <c r="H135" i="727"/>
  <c r="G135" i="727"/>
  <c r="N134" i="727"/>
  <c r="O134" i="727" s="1"/>
  <c r="M134" i="727"/>
  <c r="K134" i="727"/>
  <c r="J134" i="727"/>
  <c r="L134" i="727" s="1"/>
  <c r="I134" i="727"/>
  <c r="H134" i="727"/>
  <c r="G134" i="727"/>
  <c r="N133" i="727"/>
  <c r="M133" i="727"/>
  <c r="O133" i="727" s="1"/>
  <c r="K133" i="727"/>
  <c r="L133" i="727" s="1"/>
  <c r="J133" i="727"/>
  <c r="I133" i="727"/>
  <c r="H133" i="727"/>
  <c r="G133" i="727"/>
  <c r="N132" i="727"/>
  <c r="O132" i="727" s="1"/>
  <c r="M132" i="727"/>
  <c r="K132" i="727"/>
  <c r="J132" i="727"/>
  <c r="I132" i="727"/>
  <c r="L132" i="727" s="1"/>
  <c r="H132" i="727"/>
  <c r="G132" i="727"/>
  <c r="N131" i="727"/>
  <c r="M131" i="727"/>
  <c r="O131" i="727" s="1"/>
  <c r="K131" i="727"/>
  <c r="J131" i="727"/>
  <c r="I131" i="727"/>
  <c r="L131" i="727" s="1"/>
  <c r="H131" i="727"/>
  <c r="G131" i="727"/>
  <c r="N130" i="727"/>
  <c r="O130" i="727" s="1"/>
  <c r="M130" i="727"/>
  <c r="K130" i="727"/>
  <c r="J130" i="727"/>
  <c r="L130" i="727" s="1"/>
  <c r="I130" i="727"/>
  <c r="H130" i="727"/>
  <c r="G130" i="727"/>
  <c r="N129" i="727"/>
  <c r="M129" i="727"/>
  <c r="O129" i="727" s="1"/>
  <c r="K129" i="727"/>
  <c r="L129" i="727" s="1"/>
  <c r="J129" i="727"/>
  <c r="I129" i="727"/>
  <c r="H129" i="727"/>
  <c r="G129" i="727"/>
  <c r="N128" i="727"/>
  <c r="O128" i="727" s="1"/>
  <c r="M128" i="727"/>
  <c r="K128" i="727"/>
  <c r="J128" i="727"/>
  <c r="I128" i="727"/>
  <c r="L128" i="727" s="1"/>
  <c r="H128" i="727"/>
  <c r="G128" i="727"/>
  <c r="N127" i="727"/>
  <c r="M127" i="727"/>
  <c r="O127" i="727" s="1"/>
  <c r="K127" i="727"/>
  <c r="J127" i="727"/>
  <c r="I127" i="727"/>
  <c r="L127" i="727" s="1"/>
  <c r="H127" i="727"/>
  <c r="G127" i="727"/>
  <c r="N126" i="727"/>
  <c r="O126" i="727" s="1"/>
  <c r="M126" i="727"/>
  <c r="K126" i="727"/>
  <c r="J126" i="727"/>
  <c r="L126" i="727" s="1"/>
  <c r="I126" i="727"/>
  <c r="H126" i="727"/>
  <c r="G126" i="727"/>
  <c r="N125" i="727"/>
  <c r="M125" i="727"/>
  <c r="O125" i="727" s="1"/>
  <c r="K125" i="727"/>
  <c r="L125" i="727" s="1"/>
  <c r="J125" i="727"/>
  <c r="I125" i="727"/>
  <c r="H125" i="727"/>
  <c r="G125" i="727"/>
  <c r="N124" i="727"/>
  <c r="O124" i="727" s="1"/>
  <c r="M124" i="727"/>
  <c r="K124" i="727"/>
  <c r="J124" i="727"/>
  <c r="I124" i="727"/>
  <c r="L124" i="727" s="1"/>
  <c r="H124" i="727"/>
  <c r="G124" i="727"/>
  <c r="N123" i="727"/>
  <c r="M123" i="727"/>
  <c r="O123" i="727" s="1"/>
  <c r="K123" i="727"/>
  <c r="J123" i="727"/>
  <c r="I123" i="727"/>
  <c r="L123" i="727" s="1"/>
  <c r="H123" i="727"/>
  <c r="G123" i="727"/>
  <c r="N122" i="727"/>
  <c r="O122" i="727" s="1"/>
  <c r="M122" i="727"/>
  <c r="K122" i="727"/>
  <c r="J122" i="727"/>
  <c r="L122" i="727" s="1"/>
  <c r="I122" i="727"/>
  <c r="H122" i="727"/>
  <c r="G122" i="727"/>
  <c r="N121" i="727"/>
  <c r="M121" i="727"/>
  <c r="O121" i="727" s="1"/>
  <c r="K121" i="727"/>
  <c r="L121" i="727" s="1"/>
  <c r="J121" i="727"/>
  <c r="I121" i="727"/>
  <c r="H121" i="727"/>
  <c r="G121" i="727"/>
  <c r="N120" i="727"/>
  <c r="O120" i="727" s="1"/>
  <c r="M120" i="727"/>
  <c r="K120" i="727"/>
  <c r="J120" i="727"/>
  <c r="I120" i="727"/>
  <c r="L120" i="727" s="1"/>
  <c r="H120" i="727"/>
  <c r="G120" i="727"/>
  <c r="N119" i="727"/>
  <c r="M119" i="727"/>
  <c r="O119" i="727" s="1"/>
  <c r="K119" i="727"/>
  <c r="J119" i="727"/>
  <c r="I119" i="727"/>
  <c r="L119" i="727" s="1"/>
  <c r="H119" i="727"/>
  <c r="G119" i="727"/>
  <c r="N118" i="727"/>
  <c r="O118" i="727" s="1"/>
  <c r="M118" i="727"/>
  <c r="K118" i="727"/>
  <c r="J118" i="727"/>
  <c r="L118" i="727" s="1"/>
  <c r="I118" i="727"/>
  <c r="H118" i="727"/>
  <c r="G118" i="727"/>
  <c r="N117" i="727"/>
  <c r="M117" i="727"/>
  <c r="O117" i="727" s="1"/>
  <c r="K117" i="727"/>
  <c r="L117" i="727" s="1"/>
  <c r="J117" i="727"/>
  <c r="I117" i="727"/>
  <c r="H117" i="727"/>
  <c r="G117" i="727"/>
  <c r="N116" i="727"/>
  <c r="O116" i="727" s="1"/>
  <c r="M116" i="727"/>
  <c r="K116" i="727"/>
  <c r="J116" i="727"/>
  <c r="I116" i="727"/>
  <c r="L116" i="727" s="1"/>
  <c r="H116" i="727"/>
  <c r="G116" i="727"/>
  <c r="N115" i="727"/>
  <c r="M115" i="727"/>
  <c r="O115" i="727" s="1"/>
  <c r="K115" i="727"/>
  <c r="J115" i="727"/>
  <c r="I115" i="727"/>
  <c r="L115" i="727" s="1"/>
  <c r="H115" i="727"/>
  <c r="G115" i="727"/>
  <c r="N114" i="727"/>
  <c r="O114" i="727" s="1"/>
  <c r="M114" i="727"/>
  <c r="K114" i="727"/>
  <c r="J114" i="727"/>
  <c r="L114" i="727" s="1"/>
  <c r="I114" i="727"/>
  <c r="H114" i="727"/>
  <c r="G114" i="727"/>
  <c r="N113" i="727"/>
  <c r="M113" i="727"/>
  <c r="O113" i="727" s="1"/>
  <c r="K113" i="727"/>
  <c r="L113" i="727" s="1"/>
  <c r="J113" i="727"/>
  <c r="I113" i="727"/>
  <c r="H113" i="727"/>
  <c r="G113" i="727"/>
  <c r="N112" i="727"/>
  <c r="O112" i="727" s="1"/>
  <c r="M112" i="727"/>
  <c r="K112" i="727"/>
  <c r="J112" i="727"/>
  <c r="I112" i="727"/>
  <c r="L112" i="727" s="1"/>
  <c r="H112" i="727"/>
  <c r="G112" i="727"/>
  <c r="N111" i="727"/>
  <c r="M111" i="727"/>
  <c r="O111" i="727" s="1"/>
  <c r="K111" i="727"/>
  <c r="J111" i="727"/>
  <c r="I111" i="727"/>
  <c r="L111" i="727" s="1"/>
  <c r="H111" i="727"/>
  <c r="G111" i="727"/>
  <c r="N110" i="727"/>
  <c r="O110" i="727" s="1"/>
  <c r="M110" i="727"/>
  <c r="K110" i="727"/>
  <c r="J110" i="727"/>
  <c r="L110" i="727" s="1"/>
  <c r="I110" i="727"/>
  <c r="H110" i="727"/>
  <c r="G110" i="727"/>
  <c r="N109" i="727"/>
  <c r="M109" i="727"/>
  <c r="O109" i="727" s="1"/>
  <c r="K109" i="727"/>
  <c r="L109" i="727" s="1"/>
  <c r="J109" i="727"/>
  <c r="I109" i="727"/>
  <c r="H109" i="727"/>
  <c r="G109" i="727"/>
  <c r="N108" i="727"/>
  <c r="O108" i="727" s="1"/>
  <c r="M108" i="727"/>
  <c r="K108" i="727"/>
  <c r="J108" i="727"/>
  <c r="I108" i="727"/>
  <c r="L108" i="727" s="1"/>
  <c r="H108" i="727"/>
  <c r="G108" i="727"/>
  <c r="N107" i="727"/>
  <c r="M107" i="727"/>
  <c r="O107" i="727" s="1"/>
  <c r="K107" i="727"/>
  <c r="J107" i="727"/>
  <c r="I107" i="727"/>
  <c r="L107" i="727" s="1"/>
  <c r="H107" i="727"/>
  <c r="G107" i="727"/>
  <c r="N106" i="727"/>
  <c r="O106" i="727" s="1"/>
  <c r="M106" i="727"/>
  <c r="K106" i="727"/>
  <c r="J106" i="727"/>
  <c r="L106" i="727" s="1"/>
  <c r="I106" i="727"/>
  <c r="H106" i="727"/>
  <c r="G106" i="727"/>
  <c r="N105" i="727"/>
  <c r="M105" i="727"/>
  <c r="O105" i="727" s="1"/>
  <c r="K105" i="727"/>
  <c r="L105" i="727" s="1"/>
  <c r="J105" i="727"/>
  <c r="I105" i="727"/>
  <c r="H105" i="727"/>
  <c r="G105" i="727"/>
  <c r="N104" i="727"/>
  <c r="O104" i="727" s="1"/>
  <c r="M104" i="727"/>
  <c r="K104" i="727"/>
  <c r="J104" i="727"/>
  <c r="I104" i="727"/>
  <c r="L104" i="727" s="1"/>
  <c r="H104" i="727"/>
  <c r="G104" i="727"/>
  <c r="N103" i="727"/>
  <c r="M103" i="727"/>
  <c r="O103" i="727" s="1"/>
  <c r="K103" i="727"/>
  <c r="J103" i="727"/>
  <c r="I103" i="727"/>
  <c r="L103" i="727" s="1"/>
  <c r="H103" i="727"/>
  <c r="G103" i="727"/>
  <c r="N102" i="727"/>
  <c r="O102" i="727" s="1"/>
  <c r="M102" i="727"/>
  <c r="K102" i="727"/>
  <c r="J102" i="727"/>
  <c r="L102" i="727" s="1"/>
  <c r="I102" i="727"/>
  <c r="H102" i="727"/>
  <c r="G102" i="727"/>
  <c r="N101" i="727"/>
  <c r="M101" i="727"/>
  <c r="O101" i="727" s="1"/>
  <c r="K101" i="727"/>
  <c r="L101" i="727" s="1"/>
  <c r="J101" i="727"/>
  <c r="I101" i="727"/>
  <c r="H101" i="727"/>
  <c r="G101" i="727"/>
  <c r="N100" i="727"/>
  <c r="O100" i="727" s="1"/>
  <c r="M100" i="727"/>
  <c r="K100" i="727"/>
  <c r="J100" i="727"/>
  <c r="I100" i="727"/>
  <c r="L100" i="727" s="1"/>
  <c r="H100" i="727"/>
  <c r="G100" i="727"/>
  <c r="N99" i="727"/>
  <c r="M99" i="727"/>
  <c r="O99" i="727" s="1"/>
  <c r="K99" i="727"/>
  <c r="J99" i="727"/>
  <c r="I99" i="727"/>
  <c r="L99" i="727" s="1"/>
  <c r="H99" i="727"/>
  <c r="G99" i="727"/>
  <c r="N98" i="727"/>
  <c r="O98" i="727" s="1"/>
  <c r="M98" i="727"/>
  <c r="K98" i="727"/>
  <c r="J98" i="727"/>
  <c r="L98" i="727" s="1"/>
  <c r="I98" i="727"/>
  <c r="H98" i="727"/>
  <c r="G98" i="727"/>
  <c r="N97" i="727"/>
  <c r="M97" i="727"/>
  <c r="O97" i="727" s="1"/>
  <c r="K97" i="727"/>
  <c r="L97" i="727" s="1"/>
  <c r="J97" i="727"/>
  <c r="I97" i="727"/>
  <c r="H97" i="727"/>
  <c r="G97" i="727"/>
  <c r="N96" i="727"/>
  <c r="O96" i="727" s="1"/>
  <c r="M96" i="727"/>
  <c r="K96" i="727"/>
  <c r="J96" i="727"/>
  <c r="I96" i="727"/>
  <c r="L96" i="727" s="1"/>
  <c r="H96" i="727"/>
  <c r="G96" i="727"/>
  <c r="N95" i="727"/>
  <c r="M95" i="727"/>
  <c r="O95" i="727" s="1"/>
  <c r="K95" i="727"/>
  <c r="J95" i="727"/>
  <c r="I95" i="727"/>
  <c r="L95" i="727" s="1"/>
  <c r="H95" i="727"/>
  <c r="G95" i="727"/>
  <c r="N94" i="727"/>
  <c r="O94" i="727" s="1"/>
  <c r="M94" i="727"/>
  <c r="K94" i="727"/>
  <c r="J94" i="727"/>
  <c r="L94" i="727" s="1"/>
  <c r="I94" i="727"/>
  <c r="H94" i="727"/>
  <c r="G94" i="727"/>
  <c r="N93" i="727"/>
  <c r="M93" i="727"/>
  <c r="O93" i="727" s="1"/>
  <c r="K93" i="727"/>
  <c r="L93" i="727" s="1"/>
  <c r="J93" i="727"/>
  <c r="I93" i="727"/>
  <c r="H93" i="727"/>
  <c r="G93" i="727"/>
  <c r="N92" i="727"/>
  <c r="O92" i="727" s="1"/>
  <c r="M92" i="727"/>
  <c r="K92" i="727"/>
  <c r="J92" i="727"/>
  <c r="I92" i="727"/>
  <c r="L92" i="727" s="1"/>
  <c r="H92" i="727"/>
  <c r="G92" i="727"/>
  <c r="N91" i="727"/>
  <c r="M91" i="727"/>
  <c r="O91" i="727" s="1"/>
  <c r="K91" i="727"/>
  <c r="J91" i="727"/>
  <c r="I91" i="727"/>
  <c r="L91" i="727" s="1"/>
  <c r="H91" i="727"/>
  <c r="G91" i="727"/>
  <c r="N90" i="727"/>
  <c r="O90" i="727" s="1"/>
  <c r="M90" i="727"/>
  <c r="K90" i="727"/>
  <c r="J90" i="727"/>
  <c r="L90" i="727" s="1"/>
  <c r="I90" i="727"/>
  <c r="H90" i="727"/>
  <c r="G90" i="727"/>
  <c r="N89" i="727"/>
  <c r="M89" i="727"/>
  <c r="O89" i="727" s="1"/>
  <c r="K89" i="727"/>
  <c r="L89" i="727" s="1"/>
  <c r="J89" i="727"/>
  <c r="I89" i="727"/>
  <c r="H89" i="727"/>
  <c r="G89" i="727"/>
  <c r="N88" i="727"/>
  <c r="O88" i="727" s="1"/>
  <c r="M88" i="727"/>
  <c r="K88" i="727"/>
  <c r="J88" i="727"/>
  <c r="I88" i="727"/>
  <c r="L88" i="727" s="1"/>
  <c r="H88" i="727"/>
  <c r="G88" i="727"/>
  <c r="N87" i="727"/>
  <c r="M87" i="727"/>
  <c r="O87" i="727" s="1"/>
  <c r="K87" i="727"/>
  <c r="J87" i="727"/>
  <c r="I87" i="727"/>
  <c r="L87" i="727" s="1"/>
  <c r="H87" i="727"/>
  <c r="G87" i="727"/>
  <c r="N86" i="727"/>
  <c r="O86" i="727" s="1"/>
  <c r="M86" i="727"/>
  <c r="K86" i="727"/>
  <c r="J86" i="727"/>
  <c r="L86" i="727" s="1"/>
  <c r="I86" i="727"/>
  <c r="H86" i="727"/>
  <c r="G86" i="727"/>
  <c r="N85" i="727"/>
  <c r="M85" i="727"/>
  <c r="O85" i="727" s="1"/>
  <c r="K85" i="727"/>
  <c r="L85" i="727" s="1"/>
  <c r="J85" i="727"/>
  <c r="I85" i="727"/>
  <c r="H85" i="727"/>
  <c r="G85" i="727"/>
  <c r="N84" i="727"/>
  <c r="O84" i="727" s="1"/>
  <c r="M84" i="727"/>
  <c r="K84" i="727"/>
  <c r="J84" i="727"/>
  <c r="I84" i="727"/>
  <c r="L84" i="727" s="1"/>
  <c r="H84" i="727"/>
  <c r="G84" i="727"/>
  <c r="N83" i="727"/>
  <c r="M83" i="727"/>
  <c r="O83" i="727" s="1"/>
  <c r="K83" i="727"/>
  <c r="J83" i="727"/>
  <c r="I83" i="727"/>
  <c r="L83" i="727" s="1"/>
  <c r="H83" i="727"/>
  <c r="G83" i="727"/>
  <c r="N82" i="727"/>
  <c r="O82" i="727" s="1"/>
  <c r="M82" i="727"/>
  <c r="K82" i="727"/>
  <c r="J82" i="727"/>
  <c r="L82" i="727" s="1"/>
  <c r="I82" i="727"/>
  <c r="H82" i="727"/>
  <c r="G82" i="727"/>
  <c r="N81" i="727"/>
  <c r="M81" i="727"/>
  <c r="O81" i="727" s="1"/>
  <c r="K81" i="727"/>
  <c r="L81" i="727" s="1"/>
  <c r="J81" i="727"/>
  <c r="I81" i="727"/>
  <c r="H81" i="727"/>
  <c r="G81" i="727"/>
  <c r="N80" i="727"/>
  <c r="O80" i="727" s="1"/>
  <c r="M80" i="727"/>
  <c r="K80" i="727"/>
  <c r="J80" i="727"/>
  <c r="I80" i="727"/>
  <c r="L80" i="727" s="1"/>
  <c r="H80" i="727"/>
  <c r="G80" i="727"/>
  <c r="N79" i="727"/>
  <c r="M79" i="727"/>
  <c r="O79" i="727" s="1"/>
  <c r="K79" i="727"/>
  <c r="J79" i="727"/>
  <c r="I79" i="727"/>
  <c r="L79" i="727" s="1"/>
  <c r="H79" i="727"/>
  <c r="G79" i="727"/>
  <c r="N78" i="727"/>
  <c r="O78" i="727" s="1"/>
  <c r="M78" i="727"/>
  <c r="K78" i="727"/>
  <c r="J78" i="727"/>
  <c r="L78" i="727" s="1"/>
  <c r="I78" i="727"/>
  <c r="H78" i="727"/>
  <c r="G78" i="727"/>
  <c r="N77" i="727"/>
  <c r="M77" i="727"/>
  <c r="O77" i="727" s="1"/>
  <c r="K77" i="727"/>
  <c r="L77" i="727" s="1"/>
  <c r="J77" i="727"/>
  <c r="I77" i="727"/>
  <c r="H77" i="727"/>
  <c r="G77" i="727"/>
  <c r="N76" i="727"/>
  <c r="O76" i="727" s="1"/>
  <c r="M76" i="727"/>
  <c r="K76" i="727"/>
  <c r="J76" i="727"/>
  <c r="I76" i="727"/>
  <c r="L76" i="727" s="1"/>
  <c r="H76" i="727"/>
  <c r="G76" i="727"/>
  <c r="N75" i="727"/>
  <c r="M75" i="727"/>
  <c r="O75" i="727" s="1"/>
  <c r="K75" i="727"/>
  <c r="J75" i="727"/>
  <c r="I75" i="727"/>
  <c r="L75" i="727" s="1"/>
  <c r="H75" i="727"/>
  <c r="G75" i="727"/>
  <c r="N74" i="727"/>
  <c r="O74" i="727" s="1"/>
  <c r="M74" i="727"/>
  <c r="K74" i="727"/>
  <c r="J74" i="727"/>
  <c r="L74" i="727" s="1"/>
  <c r="I74" i="727"/>
  <c r="H74" i="727"/>
  <c r="G74" i="727"/>
  <c r="N73" i="727"/>
  <c r="M73" i="727"/>
  <c r="O73" i="727" s="1"/>
  <c r="K73" i="727"/>
  <c r="L73" i="727" s="1"/>
  <c r="J73" i="727"/>
  <c r="I73" i="727"/>
  <c r="H73" i="727"/>
  <c r="G73" i="727"/>
  <c r="N72" i="727"/>
  <c r="O72" i="727" s="1"/>
  <c r="M72" i="727"/>
  <c r="K72" i="727"/>
  <c r="J72" i="727"/>
  <c r="I72" i="727"/>
  <c r="L72" i="727" s="1"/>
  <c r="H72" i="727"/>
  <c r="G72" i="727"/>
  <c r="N71" i="727"/>
  <c r="M71" i="727"/>
  <c r="O71" i="727" s="1"/>
  <c r="K71" i="727"/>
  <c r="J71" i="727"/>
  <c r="I71" i="727"/>
  <c r="L71" i="727" s="1"/>
  <c r="H71" i="727"/>
  <c r="G71" i="727"/>
  <c r="N70" i="727"/>
  <c r="O70" i="727" s="1"/>
  <c r="M70" i="727"/>
  <c r="K70" i="727"/>
  <c r="J70" i="727"/>
  <c r="L70" i="727" s="1"/>
  <c r="I70" i="727"/>
  <c r="H70" i="727"/>
  <c r="G70" i="727"/>
  <c r="N69" i="727"/>
  <c r="M69" i="727"/>
  <c r="O69" i="727" s="1"/>
  <c r="K69" i="727"/>
  <c r="L69" i="727" s="1"/>
  <c r="J69" i="727"/>
  <c r="I69" i="727"/>
  <c r="H69" i="727"/>
  <c r="G69" i="727"/>
  <c r="N68" i="727"/>
  <c r="O68" i="727" s="1"/>
  <c r="M68" i="727"/>
  <c r="K68" i="727"/>
  <c r="J68" i="727"/>
  <c r="I68" i="727"/>
  <c r="L68" i="727" s="1"/>
  <c r="H68" i="727"/>
  <c r="G68" i="727"/>
  <c r="N67" i="727"/>
  <c r="M67" i="727"/>
  <c r="O67" i="727" s="1"/>
  <c r="K67" i="727"/>
  <c r="J67" i="727"/>
  <c r="I67" i="727"/>
  <c r="L67" i="727" s="1"/>
  <c r="H67" i="727"/>
  <c r="G67" i="727"/>
  <c r="N66" i="727"/>
  <c r="O66" i="727" s="1"/>
  <c r="M66" i="727"/>
  <c r="K66" i="727"/>
  <c r="J66" i="727"/>
  <c r="L66" i="727" s="1"/>
  <c r="I66" i="727"/>
  <c r="H66" i="727"/>
  <c r="G66" i="727"/>
  <c r="N65" i="727"/>
  <c r="M65" i="727"/>
  <c r="O65" i="727" s="1"/>
  <c r="K65" i="727"/>
  <c r="L65" i="727" s="1"/>
  <c r="J65" i="727"/>
  <c r="I65" i="727"/>
  <c r="H65" i="727"/>
  <c r="G65" i="727"/>
  <c r="N64" i="727"/>
  <c r="O64" i="727" s="1"/>
  <c r="M64" i="727"/>
  <c r="K64" i="727"/>
  <c r="J64" i="727"/>
  <c r="I64" i="727"/>
  <c r="L64" i="727" s="1"/>
  <c r="H64" i="727"/>
  <c r="G64" i="727"/>
  <c r="N63" i="727"/>
  <c r="M63" i="727"/>
  <c r="O63" i="727" s="1"/>
  <c r="K63" i="727"/>
  <c r="J63" i="727"/>
  <c r="I63" i="727"/>
  <c r="L63" i="727" s="1"/>
  <c r="H63" i="727"/>
  <c r="G63" i="727"/>
  <c r="N62" i="727"/>
  <c r="O62" i="727" s="1"/>
  <c r="M62" i="727"/>
  <c r="K62" i="727"/>
  <c r="J62" i="727"/>
  <c r="L62" i="727" s="1"/>
  <c r="I62" i="727"/>
  <c r="H62" i="727"/>
  <c r="G62" i="727"/>
  <c r="N61" i="727"/>
  <c r="M61" i="727"/>
  <c r="O61" i="727" s="1"/>
  <c r="K61" i="727"/>
  <c r="L61" i="727" s="1"/>
  <c r="J61" i="727"/>
  <c r="I61" i="727"/>
  <c r="H61" i="727"/>
  <c r="G61" i="727"/>
  <c r="N60" i="727"/>
  <c r="O60" i="727" s="1"/>
  <c r="M60" i="727"/>
  <c r="K60" i="727"/>
  <c r="J60" i="727"/>
  <c r="I60" i="727"/>
  <c r="L60" i="727" s="1"/>
  <c r="H60" i="727"/>
  <c r="G60" i="727"/>
  <c r="N59" i="727"/>
  <c r="M59" i="727"/>
  <c r="O59" i="727" s="1"/>
  <c r="K59" i="727"/>
  <c r="J59" i="727"/>
  <c r="I59" i="727"/>
  <c r="L59" i="727" s="1"/>
  <c r="H59" i="727"/>
  <c r="G59" i="727"/>
  <c r="N58" i="727"/>
  <c r="O58" i="727" s="1"/>
  <c r="M58" i="727"/>
  <c r="K58" i="727"/>
  <c r="J58" i="727"/>
  <c r="L58" i="727" s="1"/>
  <c r="I58" i="727"/>
  <c r="H58" i="727"/>
  <c r="G58" i="727"/>
  <c r="N57" i="727"/>
  <c r="M57" i="727"/>
  <c r="O57" i="727" s="1"/>
  <c r="K57" i="727"/>
  <c r="L57" i="727" s="1"/>
  <c r="J57" i="727"/>
  <c r="I57" i="727"/>
  <c r="H57" i="727"/>
  <c r="G57" i="727"/>
  <c r="N56" i="727"/>
  <c r="O56" i="727" s="1"/>
  <c r="M56" i="727"/>
  <c r="K56" i="727"/>
  <c r="J56" i="727"/>
  <c r="I56" i="727"/>
  <c r="L56" i="727" s="1"/>
  <c r="H56" i="727"/>
  <c r="G56" i="727"/>
  <c r="N55" i="727"/>
  <c r="M55" i="727"/>
  <c r="O55" i="727" s="1"/>
  <c r="K55" i="727"/>
  <c r="J55" i="727"/>
  <c r="I55" i="727"/>
  <c r="L55" i="727" s="1"/>
  <c r="H55" i="727"/>
  <c r="G55" i="727"/>
  <c r="N54" i="727"/>
  <c r="O54" i="727" s="1"/>
  <c r="M54" i="727"/>
  <c r="K54" i="727"/>
  <c r="J54" i="727"/>
  <c r="L54" i="727" s="1"/>
  <c r="I54" i="727"/>
  <c r="H54" i="727"/>
  <c r="G54" i="727"/>
  <c r="N53" i="727"/>
  <c r="M53" i="727"/>
  <c r="O53" i="727" s="1"/>
  <c r="K53" i="727"/>
  <c r="L53" i="727" s="1"/>
  <c r="J53" i="727"/>
  <c r="I53" i="727"/>
  <c r="H53" i="727"/>
  <c r="G53" i="727"/>
  <c r="N52" i="727"/>
  <c r="O52" i="727" s="1"/>
  <c r="M52" i="727"/>
  <c r="K52" i="727"/>
  <c r="J52" i="727"/>
  <c r="I52" i="727"/>
  <c r="L52" i="727" s="1"/>
  <c r="H52" i="727"/>
  <c r="G52" i="727"/>
  <c r="N51" i="727"/>
  <c r="M51" i="727"/>
  <c r="O51" i="727" s="1"/>
  <c r="K51" i="727"/>
  <c r="J51" i="727"/>
  <c r="I51" i="727"/>
  <c r="L51" i="727" s="1"/>
  <c r="H51" i="727"/>
  <c r="G51" i="727"/>
  <c r="N50" i="727"/>
  <c r="O50" i="727" s="1"/>
  <c r="M50" i="727"/>
  <c r="K50" i="727"/>
  <c r="J50" i="727"/>
  <c r="L50" i="727" s="1"/>
  <c r="I50" i="727"/>
  <c r="H50" i="727"/>
  <c r="G50" i="727"/>
  <c r="N49" i="727"/>
  <c r="M49" i="727"/>
  <c r="O49" i="727" s="1"/>
  <c r="K49" i="727"/>
  <c r="L49" i="727" s="1"/>
  <c r="J49" i="727"/>
  <c r="I49" i="727"/>
  <c r="H49" i="727"/>
  <c r="G49" i="727"/>
  <c r="N48" i="727"/>
  <c r="O48" i="727" s="1"/>
  <c r="M48" i="727"/>
  <c r="K48" i="727"/>
  <c r="J48" i="727"/>
  <c r="I48" i="727"/>
  <c r="L48" i="727" s="1"/>
  <c r="H48" i="727"/>
  <c r="G48" i="727"/>
  <c r="N47" i="727"/>
  <c r="M47" i="727"/>
  <c r="O47" i="727" s="1"/>
  <c r="K47" i="727"/>
  <c r="J47" i="727"/>
  <c r="I47" i="727"/>
  <c r="L47" i="727" s="1"/>
  <c r="H47" i="727"/>
  <c r="G47" i="727"/>
  <c r="N46" i="727"/>
  <c r="O46" i="727" s="1"/>
  <c r="M46" i="727"/>
  <c r="K46" i="727"/>
  <c r="J46" i="727"/>
  <c r="L46" i="727" s="1"/>
  <c r="I46" i="727"/>
  <c r="H46" i="727"/>
  <c r="G46" i="727"/>
  <c r="N45" i="727"/>
  <c r="M45" i="727"/>
  <c r="O45" i="727" s="1"/>
  <c r="K45" i="727"/>
  <c r="L45" i="727" s="1"/>
  <c r="J45" i="727"/>
  <c r="I45" i="727"/>
  <c r="H45" i="727"/>
  <c r="G45" i="727"/>
  <c r="N44" i="727"/>
  <c r="O44" i="727" s="1"/>
  <c r="M44" i="727"/>
  <c r="K44" i="727"/>
  <c r="J44" i="727"/>
  <c r="I44" i="727"/>
  <c r="L44" i="727" s="1"/>
  <c r="H44" i="727"/>
  <c r="G44" i="727"/>
  <c r="N43" i="727"/>
  <c r="M43" i="727"/>
  <c r="O43" i="727" s="1"/>
  <c r="K43" i="727"/>
  <c r="J43" i="727"/>
  <c r="I43" i="727"/>
  <c r="L43" i="727" s="1"/>
  <c r="H43" i="727"/>
  <c r="G43" i="727"/>
  <c r="N42" i="727"/>
  <c r="O42" i="727" s="1"/>
  <c r="M42" i="727"/>
  <c r="K42" i="727"/>
  <c r="J42" i="727"/>
  <c r="L42" i="727" s="1"/>
  <c r="I42" i="727"/>
  <c r="H42" i="727"/>
  <c r="G42" i="727"/>
  <c r="N41" i="727"/>
  <c r="M41" i="727"/>
  <c r="O41" i="727" s="1"/>
  <c r="K41" i="727"/>
  <c r="L41" i="727" s="1"/>
  <c r="J41" i="727"/>
  <c r="I41" i="727"/>
  <c r="H41" i="727"/>
  <c r="G41" i="727"/>
  <c r="N40" i="727"/>
  <c r="O40" i="727" s="1"/>
  <c r="M40" i="727"/>
  <c r="K40" i="727"/>
  <c r="J40" i="727"/>
  <c r="I40" i="727"/>
  <c r="L40" i="727" s="1"/>
  <c r="H40" i="727"/>
  <c r="G40" i="727"/>
  <c r="N39" i="727"/>
  <c r="M39" i="727"/>
  <c r="O39" i="727" s="1"/>
  <c r="K39" i="727"/>
  <c r="J39" i="727"/>
  <c r="I39" i="727"/>
  <c r="L39" i="727" s="1"/>
  <c r="H39" i="727"/>
  <c r="G39" i="727"/>
  <c r="N38" i="727"/>
  <c r="O38" i="727" s="1"/>
  <c r="M38" i="727"/>
  <c r="K38" i="727"/>
  <c r="J38" i="727"/>
  <c r="L38" i="727" s="1"/>
  <c r="I38" i="727"/>
  <c r="H38" i="727"/>
  <c r="G38" i="727"/>
  <c r="N37" i="727"/>
  <c r="M37" i="727"/>
  <c r="O37" i="727" s="1"/>
  <c r="K37" i="727"/>
  <c r="L37" i="727" s="1"/>
  <c r="J37" i="727"/>
  <c r="I37" i="727"/>
  <c r="H37" i="727"/>
  <c r="G37" i="727"/>
  <c r="N36" i="727"/>
  <c r="M36" i="727"/>
  <c r="O36" i="727" s="1"/>
  <c r="K36" i="727"/>
  <c r="J36" i="727"/>
  <c r="I36" i="727"/>
  <c r="L36" i="727" s="1"/>
  <c r="H36" i="727"/>
  <c r="G36" i="727"/>
  <c r="N35" i="727"/>
  <c r="M35" i="727"/>
  <c r="O35" i="727" s="1"/>
  <c r="K35" i="727"/>
  <c r="J35" i="727"/>
  <c r="I35" i="727"/>
  <c r="L35" i="727" s="1"/>
  <c r="H35" i="727"/>
  <c r="G35" i="727"/>
  <c r="N34" i="727"/>
  <c r="M34" i="727"/>
  <c r="O34" i="727" s="1"/>
  <c r="K34" i="727"/>
  <c r="J34" i="727"/>
  <c r="L34" i="727" s="1"/>
  <c r="I34" i="727"/>
  <c r="H34" i="727"/>
  <c r="G34" i="727"/>
  <c r="N33" i="727"/>
  <c r="M33" i="727"/>
  <c r="O33" i="727" s="1"/>
  <c r="K33" i="727"/>
  <c r="J33" i="727"/>
  <c r="I33" i="727"/>
  <c r="H33" i="727"/>
  <c r="G33" i="727"/>
  <c r="N32" i="727"/>
  <c r="K32" i="727"/>
  <c r="J32" i="727"/>
  <c r="I32" i="727"/>
  <c r="L32" i="727" s="1"/>
  <c r="M32" i="727" s="1"/>
  <c r="H32" i="727"/>
  <c r="G32" i="727"/>
  <c r="N31" i="727"/>
  <c r="M31" i="727"/>
  <c r="O31" i="727" s="1"/>
  <c r="K31" i="727"/>
  <c r="J31" i="727"/>
  <c r="I31" i="727"/>
  <c r="L31" i="727" s="1"/>
  <c r="H31" i="727"/>
  <c r="G31" i="727"/>
  <c r="N30" i="727"/>
  <c r="O30" i="727" s="1"/>
  <c r="M30" i="727"/>
  <c r="K30" i="727"/>
  <c r="J30" i="727"/>
  <c r="L30" i="727" s="1"/>
  <c r="I30" i="727"/>
  <c r="H30" i="727"/>
  <c r="G30" i="727"/>
  <c r="N29" i="727"/>
  <c r="M29" i="727"/>
  <c r="O29" i="727" s="1"/>
  <c r="K29" i="727"/>
  <c r="J29" i="727"/>
  <c r="I29" i="727"/>
  <c r="H29" i="727"/>
  <c r="G29" i="727"/>
  <c r="N28" i="727"/>
  <c r="M28" i="727"/>
  <c r="K28" i="727"/>
  <c r="J28" i="727"/>
  <c r="I28" i="727"/>
  <c r="L28" i="727" s="1"/>
  <c r="H28" i="727"/>
  <c r="G28" i="727"/>
  <c r="N27" i="727"/>
  <c r="M27" i="727"/>
  <c r="O27" i="727" s="1"/>
  <c r="K27" i="727"/>
  <c r="J27" i="727"/>
  <c r="I27" i="727"/>
  <c r="L27" i="727" s="1"/>
  <c r="H27" i="727"/>
  <c r="G27" i="727"/>
  <c r="N26" i="727"/>
  <c r="M26" i="727"/>
  <c r="O26" i="727" s="1"/>
  <c r="K26" i="727"/>
  <c r="J26" i="727"/>
  <c r="I26" i="727"/>
  <c r="H26" i="727"/>
  <c r="G26" i="727"/>
  <c r="N25" i="727"/>
  <c r="M25" i="727"/>
  <c r="O25" i="727" s="1"/>
  <c r="K25" i="727"/>
  <c r="J25" i="727"/>
  <c r="L25" i="727" s="1"/>
  <c r="I25" i="727"/>
  <c r="H25" i="727"/>
  <c r="G25" i="727"/>
  <c r="N24" i="727"/>
  <c r="K24" i="727"/>
  <c r="J24" i="727"/>
  <c r="I24" i="727"/>
  <c r="H24" i="727"/>
  <c r="G24" i="727"/>
  <c r="N23" i="727"/>
  <c r="K23" i="727"/>
  <c r="J23" i="727"/>
  <c r="I23" i="727"/>
  <c r="H23" i="727"/>
  <c r="G23" i="727"/>
  <c r="N22" i="727"/>
  <c r="M22" i="727"/>
  <c r="O22" i="727" s="1"/>
  <c r="K22" i="727"/>
  <c r="J22" i="727"/>
  <c r="I22" i="727"/>
  <c r="H22" i="727"/>
  <c r="G22" i="727"/>
  <c r="N21" i="727"/>
  <c r="K21" i="727"/>
  <c r="J21" i="727"/>
  <c r="L21" i="727" s="1"/>
  <c r="M21" i="727" s="1"/>
  <c r="O21" i="727" s="1"/>
  <c r="I21" i="727"/>
  <c r="H21" i="727"/>
  <c r="G21" i="727"/>
  <c r="N20" i="727"/>
  <c r="K20" i="727"/>
  <c r="J20" i="727"/>
  <c r="I20" i="727"/>
  <c r="H20" i="727"/>
  <c r="G20" i="727"/>
  <c r="N19" i="727"/>
  <c r="M19" i="727"/>
  <c r="O19" i="727" s="1"/>
  <c r="K19" i="727"/>
  <c r="J19" i="727"/>
  <c r="I19" i="727"/>
  <c r="H19" i="727"/>
  <c r="G19" i="727"/>
  <c r="N18" i="727"/>
  <c r="K18" i="727"/>
  <c r="J18" i="727"/>
  <c r="I18" i="727"/>
  <c r="H18" i="727"/>
  <c r="G18" i="727"/>
  <c r="N17" i="727"/>
  <c r="K17" i="727"/>
  <c r="J17" i="727"/>
  <c r="I17" i="727"/>
  <c r="H17" i="727"/>
  <c r="G17" i="727"/>
  <c r="N16" i="727"/>
  <c r="K16" i="727"/>
  <c r="J16" i="727"/>
  <c r="I16" i="727"/>
  <c r="H16" i="727"/>
  <c r="G16" i="727"/>
  <c r="N15" i="727"/>
  <c r="K15" i="727"/>
  <c r="J15" i="727"/>
  <c r="I15" i="727"/>
  <c r="L15" i="727" s="1"/>
  <c r="M15" i="727" s="1"/>
  <c r="O15" i="727" s="1"/>
  <c r="H15" i="727"/>
  <c r="G15" i="727"/>
  <c r="N14" i="727"/>
  <c r="K14" i="727"/>
  <c r="J14" i="727"/>
  <c r="I14" i="727"/>
  <c r="H14" i="727"/>
  <c r="G14" i="727"/>
  <c r="N13" i="727"/>
  <c r="M13" i="727"/>
  <c r="O13" i="727" s="1"/>
  <c r="K13" i="727"/>
  <c r="J13" i="727"/>
  <c r="L13" i="727" s="1"/>
  <c r="I13" i="727"/>
  <c r="H13" i="727"/>
  <c r="G13" i="727"/>
  <c r="N12" i="727"/>
  <c r="K12" i="727"/>
  <c r="J12" i="727"/>
  <c r="I12" i="727"/>
  <c r="H12" i="727"/>
  <c r="G12" i="727"/>
  <c r="N11" i="727"/>
  <c r="K11" i="727"/>
  <c r="J11" i="727"/>
  <c r="I11" i="727"/>
  <c r="H11" i="727"/>
  <c r="G11" i="727"/>
  <c r="N10" i="727"/>
  <c r="K10" i="727"/>
  <c r="J10" i="727"/>
  <c r="I10" i="727"/>
  <c r="H10" i="727"/>
  <c r="G10" i="727"/>
  <c r="N9" i="727"/>
  <c r="M9" i="727"/>
  <c r="O9" i="727" s="1"/>
  <c r="K9" i="727"/>
  <c r="J9" i="727"/>
  <c r="L9" i="727" s="1"/>
  <c r="I9" i="727"/>
  <c r="H9" i="727"/>
  <c r="G9" i="727"/>
  <c r="N1001" i="726"/>
  <c r="M1001" i="726"/>
  <c r="O1001" i="726" s="1"/>
  <c r="K1001" i="726"/>
  <c r="L1001" i="726" s="1"/>
  <c r="J1001" i="726"/>
  <c r="I1001" i="726"/>
  <c r="H1001" i="726"/>
  <c r="G1001" i="726"/>
  <c r="O1000" i="726"/>
  <c r="N1000" i="726"/>
  <c r="M1000" i="726"/>
  <c r="K1000" i="726"/>
  <c r="J1000" i="726"/>
  <c r="I1000" i="726"/>
  <c r="L1000" i="726" s="1"/>
  <c r="H1000" i="726"/>
  <c r="G1000" i="726"/>
  <c r="N999" i="726"/>
  <c r="M999" i="726"/>
  <c r="K999" i="726"/>
  <c r="L999" i="726" s="1"/>
  <c r="J999" i="726"/>
  <c r="I999" i="726"/>
  <c r="H999" i="726"/>
  <c r="G999" i="726"/>
  <c r="N998" i="726"/>
  <c r="O998" i="726" s="1"/>
  <c r="M998" i="726"/>
  <c r="K998" i="726"/>
  <c r="J998" i="726"/>
  <c r="I998" i="726"/>
  <c r="L998" i="726" s="1"/>
  <c r="H998" i="726"/>
  <c r="G998" i="726"/>
  <c r="N997" i="726"/>
  <c r="M997" i="726"/>
  <c r="K997" i="726"/>
  <c r="L997" i="726" s="1"/>
  <c r="J997" i="726"/>
  <c r="I997" i="726"/>
  <c r="H997" i="726"/>
  <c r="G997" i="726"/>
  <c r="N996" i="726"/>
  <c r="O996" i="726" s="1"/>
  <c r="M996" i="726"/>
  <c r="K996" i="726"/>
  <c r="J996" i="726"/>
  <c r="I996" i="726"/>
  <c r="L996" i="726" s="1"/>
  <c r="H996" i="726"/>
  <c r="G996" i="726"/>
  <c r="N995" i="726"/>
  <c r="M995" i="726"/>
  <c r="O995" i="726" s="1"/>
  <c r="K995" i="726"/>
  <c r="L995" i="726" s="1"/>
  <c r="J995" i="726"/>
  <c r="I995" i="726"/>
  <c r="H995" i="726"/>
  <c r="G995" i="726"/>
  <c r="N994" i="726"/>
  <c r="O994" i="726" s="1"/>
  <c r="M994" i="726"/>
  <c r="K994" i="726"/>
  <c r="J994" i="726"/>
  <c r="I994" i="726"/>
  <c r="L994" i="726" s="1"/>
  <c r="H994" i="726"/>
  <c r="G994" i="726"/>
  <c r="N993" i="726"/>
  <c r="M993" i="726"/>
  <c r="K993" i="726"/>
  <c r="L993" i="726" s="1"/>
  <c r="J993" i="726"/>
  <c r="I993" i="726"/>
  <c r="H993" i="726"/>
  <c r="G993" i="726"/>
  <c r="N992" i="726"/>
  <c r="O992" i="726" s="1"/>
  <c r="M992" i="726"/>
  <c r="K992" i="726"/>
  <c r="J992" i="726"/>
  <c r="I992" i="726"/>
  <c r="L992" i="726" s="1"/>
  <c r="H992" i="726"/>
  <c r="G992" i="726"/>
  <c r="N991" i="726"/>
  <c r="M991" i="726"/>
  <c r="O991" i="726" s="1"/>
  <c r="L991" i="726"/>
  <c r="K991" i="726"/>
  <c r="J991" i="726"/>
  <c r="I991" i="726"/>
  <c r="H991" i="726"/>
  <c r="G991" i="726"/>
  <c r="N990" i="726"/>
  <c r="O990" i="726" s="1"/>
  <c r="M990" i="726"/>
  <c r="K990" i="726"/>
  <c r="J990" i="726"/>
  <c r="I990" i="726"/>
  <c r="L990" i="726" s="1"/>
  <c r="H990" i="726"/>
  <c r="G990" i="726"/>
  <c r="N989" i="726"/>
  <c r="M989" i="726"/>
  <c r="K989" i="726"/>
  <c r="L989" i="726" s="1"/>
  <c r="J989" i="726"/>
  <c r="I989" i="726"/>
  <c r="H989" i="726"/>
  <c r="G989" i="726"/>
  <c r="N988" i="726"/>
  <c r="O988" i="726" s="1"/>
  <c r="M988" i="726"/>
  <c r="K988" i="726"/>
  <c r="J988" i="726"/>
  <c r="I988" i="726"/>
  <c r="L988" i="726" s="1"/>
  <c r="H988" i="726"/>
  <c r="G988" i="726"/>
  <c r="N987" i="726"/>
  <c r="M987" i="726"/>
  <c r="K987" i="726"/>
  <c r="L987" i="726" s="1"/>
  <c r="J987" i="726"/>
  <c r="I987" i="726"/>
  <c r="H987" i="726"/>
  <c r="G987" i="726"/>
  <c r="N986" i="726"/>
  <c r="O986" i="726" s="1"/>
  <c r="M986" i="726"/>
  <c r="K986" i="726"/>
  <c r="J986" i="726"/>
  <c r="I986" i="726"/>
  <c r="L986" i="726" s="1"/>
  <c r="H986" i="726"/>
  <c r="G986" i="726"/>
  <c r="N985" i="726"/>
  <c r="M985" i="726"/>
  <c r="K985" i="726"/>
  <c r="L985" i="726" s="1"/>
  <c r="J985" i="726"/>
  <c r="I985" i="726"/>
  <c r="H985" i="726"/>
  <c r="G985" i="726"/>
  <c r="N984" i="726"/>
  <c r="O984" i="726" s="1"/>
  <c r="M984" i="726"/>
  <c r="K984" i="726"/>
  <c r="J984" i="726"/>
  <c r="I984" i="726"/>
  <c r="L984" i="726" s="1"/>
  <c r="H984" i="726"/>
  <c r="G984" i="726"/>
  <c r="N983" i="726"/>
  <c r="M983" i="726"/>
  <c r="O983" i="726" s="1"/>
  <c r="L983" i="726"/>
  <c r="K983" i="726"/>
  <c r="J983" i="726"/>
  <c r="I983" i="726"/>
  <c r="H983" i="726"/>
  <c r="G983" i="726"/>
  <c r="N982" i="726"/>
  <c r="O982" i="726" s="1"/>
  <c r="M982" i="726"/>
  <c r="K982" i="726"/>
  <c r="J982" i="726"/>
  <c r="I982" i="726"/>
  <c r="L982" i="726" s="1"/>
  <c r="H982" i="726"/>
  <c r="G982" i="726"/>
  <c r="N981" i="726"/>
  <c r="M981" i="726"/>
  <c r="K981" i="726"/>
  <c r="L981" i="726" s="1"/>
  <c r="J981" i="726"/>
  <c r="I981" i="726"/>
  <c r="H981" i="726"/>
  <c r="G981" i="726"/>
  <c r="O980" i="726"/>
  <c r="N980" i="726"/>
  <c r="M980" i="726"/>
  <c r="K980" i="726"/>
  <c r="J980" i="726"/>
  <c r="I980" i="726"/>
  <c r="L980" i="726" s="1"/>
  <c r="H980" i="726"/>
  <c r="G980" i="726"/>
  <c r="N979" i="726"/>
  <c r="M979" i="726"/>
  <c r="K979" i="726"/>
  <c r="L979" i="726" s="1"/>
  <c r="J979" i="726"/>
  <c r="I979" i="726"/>
  <c r="H979" i="726"/>
  <c r="G979" i="726"/>
  <c r="N978" i="726"/>
  <c r="O978" i="726" s="1"/>
  <c r="M978" i="726"/>
  <c r="K978" i="726"/>
  <c r="J978" i="726"/>
  <c r="I978" i="726"/>
  <c r="L978" i="726" s="1"/>
  <c r="H978" i="726"/>
  <c r="G978" i="726"/>
  <c r="N977" i="726"/>
  <c r="M977" i="726"/>
  <c r="L977" i="726"/>
  <c r="K977" i="726"/>
  <c r="J977" i="726"/>
  <c r="I977" i="726"/>
  <c r="H977" i="726"/>
  <c r="G977" i="726"/>
  <c r="N976" i="726"/>
  <c r="O976" i="726" s="1"/>
  <c r="M976" i="726"/>
  <c r="K976" i="726"/>
  <c r="J976" i="726"/>
  <c r="I976" i="726"/>
  <c r="L976" i="726" s="1"/>
  <c r="H976" i="726"/>
  <c r="G976" i="726"/>
  <c r="N975" i="726"/>
  <c r="M975" i="726"/>
  <c r="O975" i="726" s="1"/>
  <c r="K975" i="726"/>
  <c r="L975" i="726" s="1"/>
  <c r="J975" i="726"/>
  <c r="I975" i="726"/>
  <c r="H975" i="726"/>
  <c r="G975" i="726"/>
  <c r="N974" i="726"/>
  <c r="O974" i="726" s="1"/>
  <c r="M974" i="726"/>
  <c r="K974" i="726"/>
  <c r="J974" i="726"/>
  <c r="I974" i="726"/>
  <c r="L974" i="726" s="1"/>
  <c r="H974" i="726"/>
  <c r="G974" i="726"/>
  <c r="N973" i="726"/>
  <c r="M973" i="726"/>
  <c r="K973" i="726"/>
  <c r="L973" i="726" s="1"/>
  <c r="J973" i="726"/>
  <c r="I973" i="726"/>
  <c r="H973" i="726"/>
  <c r="G973" i="726"/>
  <c r="N972" i="726"/>
  <c r="O972" i="726" s="1"/>
  <c r="M972" i="726"/>
  <c r="K972" i="726"/>
  <c r="J972" i="726"/>
  <c r="I972" i="726"/>
  <c r="L972" i="726" s="1"/>
  <c r="H972" i="726"/>
  <c r="G972" i="726"/>
  <c r="N971" i="726"/>
  <c r="M971" i="726"/>
  <c r="L971" i="726"/>
  <c r="K971" i="726"/>
  <c r="J971" i="726"/>
  <c r="I971" i="726"/>
  <c r="H971" i="726"/>
  <c r="G971" i="726"/>
  <c r="N970" i="726"/>
  <c r="O970" i="726" s="1"/>
  <c r="M970" i="726"/>
  <c r="K970" i="726"/>
  <c r="J970" i="726"/>
  <c r="I970" i="726"/>
  <c r="H970" i="726"/>
  <c r="G970" i="726"/>
  <c r="N969" i="726"/>
  <c r="M969" i="726"/>
  <c r="K969" i="726"/>
  <c r="L969" i="726" s="1"/>
  <c r="J969" i="726"/>
  <c r="I969" i="726"/>
  <c r="H969" i="726"/>
  <c r="G969" i="726"/>
  <c r="N968" i="726"/>
  <c r="O968" i="726" s="1"/>
  <c r="M968" i="726"/>
  <c r="K968" i="726"/>
  <c r="J968" i="726"/>
  <c r="I968" i="726"/>
  <c r="L968" i="726" s="1"/>
  <c r="H968" i="726"/>
  <c r="G968" i="726"/>
  <c r="N967" i="726"/>
  <c r="M967" i="726"/>
  <c r="K967" i="726"/>
  <c r="L967" i="726" s="1"/>
  <c r="J967" i="726"/>
  <c r="I967" i="726"/>
  <c r="H967" i="726"/>
  <c r="G967" i="726"/>
  <c r="N966" i="726"/>
  <c r="O966" i="726" s="1"/>
  <c r="M966" i="726"/>
  <c r="K966" i="726"/>
  <c r="J966" i="726"/>
  <c r="I966" i="726"/>
  <c r="L966" i="726" s="1"/>
  <c r="H966" i="726"/>
  <c r="G966" i="726"/>
  <c r="N965" i="726"/>
  <c r="M965" i="726"/>
  <c r="L965" i="726"/>
  <c r="K965" i="726"/>
  <c r="J965" i="726"/>
  <c r="I965" i="726"/>
  <c r="H965" i="726"/>
  <c r="G965" i="726"/>
  <c r="N964" i="726"/>
  <c r="O964" i="726" s="1"/>
  <c r="M964" i="726"/>
  <c r="K964" i="726"/>
  <c r="J964" i="726"/>
  <c r="I964" i="726"/>
  <c r="H964" i="726"/>
  <c r="G964" i="726"/>
  <c r="N963" i="726"/>
  <c r="M963" i="726"/>
  <c r="K963" i="726"/>
  <c r="L963" i="726" s="1"/>
  <c r="J963" i="726"/>
  <c r="I963" i="726"/>
  <c r="H963" i="726"/>
  <c r="G963" i="726"/>
  <c r="N962" i="726"/>
  <c r="O962" i="726" s="1"/>
  <c r="M962" i="726"/>
  <c r="K962" i="726"/>
  <c r="J962" i="726"/>
  <c r="I962" i="726"/>
  <c r="L962" i="726" s="1"/>
  <c r="H962" i="726"/>
  <c r="G962" i="726"/>
  <c r="N961" i="726"/>
  <c r="M961" i="726"/>
  <c r="O961" i="726" s="1"/>
  <c r="K961" i="726"/>
  <c r="L961" i="726" s="1"/>
  <c r="J961" i="726"/>
  <c r="I961" i="726"/>
  <c r="H961" i="726"/>
  <c r="G961" i="726"/>
  <c r="N960" i="726"/>
  <c r="O960" i="726" s="1"/>
  <c r="M960" i="726"/>
  <c r="K960" i="726"/>
  <c r="J960" i="726"/>
  <c r="I960" i="726"/>
  <c r="L960" i="726" s="1"/>
  <c r="H960" i="726"/>
  <c r="G960" i="726"/>
  <c r="N959" i="726"/>
  <c r="M959" i="726"/>
  <c r="O959" i="726" s="1"/>
  <c r="L959" i="726"/>
  <c r="K959" i="726"/>
  <c r="J959" i="726"/>
  <c r="I959" i="726"/>
  <c r="H959" i="726"/>
  <c r="G959" i="726"/>
  <c r="N958" i="726"/>
  <c r="O958" i="726" s="1"/>
  <c r="M958" i="726"/>
  <c r="K958" i="726"/>
  <c r="J958" i="726"/>
  <c r="I958" i="726"/>
  <c r="H958" i="726"/>
  <c r="G958" i="726"/>
  <c r="N957" i="726"/>
  <c r="M957" i="726"/>
  <c r="K957" i="726"/>
  <c r="L957" i="726" s="1"/>
  <c r="J957" i="726"/>
  <c r="I957" i="726"/>
  <c r="H957" i="726"/>
  <c r="G957" i="726"/>
  <c r="N956" i="726"/>
  <c r="O956" i="726" s="1"/>
  <c r="M956" i="726"/>
  <c r="K956" i="726"/>
  <c r="J956" i="726"/>
  <c r="I956" i="726"/>
  <c r="L956" i="726" s="1"/>
  <c r="H956" i="726"/>
  <c r="G956" i="726"/>
  <c r="N955" i="726"/>
  <c r="M955" i="726"/>
  <c r="K955" i="726"/>
  <c r="L955" i="726" s="1"/>
  <c r="J955" i="726"/>
  <c r="I955" i="726"/>
  <c r="H955" i="726"/>
  <c r="G955" i="726"/>
  <c r="N954" i="726"/>
  <c r="O954" i="726" s="1"/>
  <c r="M954" i="726"/>
  <c r="K954" i="726"/>
  <c r="J954" i="726"/>
  <c r="I954" i="726"/>
  <c r="L954" i="726" s="1"/>
  <c r="H954" i="726"/>
  <c r="G954" i="726"/>
  <c r="N953" i="726"/>
  <c r="M953" i="726"/>
  <c r="O953" i="726" s="1"/>
  <c r="L953" i="726"/>
  <c r="K953" i="726"/>
  <c r="J953" i="726"/>
  <c r="I953" i="726"/>
  <c r="H953" i="726"/>
  <c r="G953" i="726"/>
  <c r="N952" i="726"/>
  <c r="O952" i="726" s="1"/>
  <c r="M952" i="726"/>
  <c r="K952" i="726"/>
  <c r="J952" i="726"/>
  <c r="I952" i="726"/>
  <c r="H952" i="726"/>
  <c r="G952" i="726"/>
  <c r="N951" i="726"/>
  <c r="M951" i="726"/>
  <c r="O951" i="726" s="1"/>
  <c r="K951" i="726"/>
  <c r="L951" i="726" s="1"/>
  <c r="J951" i="726"/>
  <c r="I951" i="726"/>
  <c r="H951" i="726"/>
  <c r="G951" i="726"/>
  <c r="N950" i="726"/>
  <c r="O950" i="726" s="1"/>
  <c r="M950" i="726"/>
  <c r="K950" i="726"/>
  <c r="J950" i="726"/>
  <c r="I950" i="726"/>
  <c r="L950" i="726" s="1"/>
  <c r="H950" i="726"/>
  <c r="G950" i="726"/>
  <c r="N949" i="726"/>
  <c r="M949" i="726"/>
  <c r="O949" i="726" s="1"/>
  <c r="K949" i="726"/>
  <c r="L949" i="726" s="1"/>
  <c r="J949" i="726"/>
  <c r="I949" i="726"/>
  <c r="H949" i="726"/>
  <c r="G949" i="726"/>
  <c r="N948" i="726"/>
  <c r="O948" i="726" s="1"/>
  <c r="M948" i="726"/>
  <c r="K948" i="726"/>
  <c r="J948" i="726"/>
  <c r="I948" i="726"/>
  <c r="L948" i="726" s="1"/>
  <c r="H948" i="726"/>
  <c r="G948" i="726"/>
  <c r="N947" i="726"/>
  <c r="M947" i="726"/>
  <c r="O947" i="726" s="1"/>
  <c r="L947" i="726"/>
  <c r="K947" i="726"/>
  <c r="J947" i="726"/>
  <c r="I947" i="726"/>
  <c r="H947" i="726"/>
  <c r="G947" i="726"/>
  <c r="N946" i="726"/>
  <c r="O946" i="726" s="1"/>
  <c r="M946" i="726"/>
  <c r="K946" i="726"/>
  <c r="J946" i="726"/>
  <c r="I946" i="726"/>
  <c r="H946" i="726"/>
  <c r="G946" i="726"/>
  <c r="N945" i="726"/>
  <c r="M945" i="726"/>
  <c r="K945" i="726"/>
  <c r="L945" i="726" s="1"/>
  <c r="J945" i="726"/>
  <c r="I945" i="726"/>
  <c r="H945" i="726"/>
  <c r="G945" i="726"/>
  <c r="N944" i="726"/>
  <c r="O944" i="726" s="1"/>
  <c r="M944" i="726"/>
  <c r="K944" i="726"/>
  <c r="J944" i="726"/>
  <c r="I944" i="726"/>
  <c r="L944" i="726" s="1"/>
  <c r="H944" i="726"/>
  <c r="G944" i="726"/>
  <c r="N943" i="726"/>
  <c r="M943" i="726"/>
  <c r="O943" i="726" s="1"/>
  <c r="K943" i="726"/>
  <c r="L943" i="726" s="1"/>
  <c r="J943" i="726"/>
  <c r="I943" i="726"/>
  <c r="H943" i="726"/>
  <c r="G943" i="726"/>
  <c r="N942" i="726"/>
  <c r="O942" i="726" s="1"/>
  <c r="M942" i="726"/>
  <c r="K942" i="726"/>
  <c r="J942" i="726"/>
  <c r="I942" i="726"/>
  <c r="L942" i="726" s="1"/>
  <c r="H942" i="726"/>
  <c r="G942" i="726"/>
  <c r="N941" i="726"/>
  <c r="M941" i="726"/>
  <c r="L941" i="726"/>
  <c r="K941" i="726"/>
  <c r="J941" i="726"/>
  <c r="I941" i="726"/>
  <c r="H941" i="726"/>
  <c r="G941" i="726"/>
  <c r="N940" i="726"/>
  <c r="O940" i="726" s="1"/>
  <c r="M940" i="726"/>
  <c r="K940" i="726"/>
  <c r="J940" i="726"/>
  <c r="I940" i="726"/>
  <c r="H940" i="726"/>
  <c r="G940" i="726"/>
  <c r="N939" i="726"/>
  <c r="M939" i="726"/>
  <c r="O939" i="726" s="1"/>
  <c r="K939" i="726"/>
  <c r="L939" i="726" s="1"/>
  <c r="J939" i="726"/>
  <c r="I939" i="726"/>
  <c r="H939" i="726"/>
  <c r="G939" i="726"/>
  <c r="N938" i="726"/>
  <c r="O938" i="726" s="1"/>
  <c r="M938" i="726"/>
  <c r="K938" i="726"/>
  <c r="J938" i="726"/>
  <c r="I938" i="726"/>
  <c r="L938" i="726" s="1"/>
  <c r="H938" i="726"/>
  <c r="G938" i="726"/>
  <c r="N937" i="726"/>
  <c r="M937" i="726"/>
  <c r="O937" i="726" s="1"/>
  <c r="K937" i="726"/>
  <c r="L937" i="726" s="1"/>
  <c r="J937" i="726"/>
  <c r="I937" i="726"/>
  <c r="H937" i="726"/>
  <c r="G937" i="726"/>
  <c r="N936" i="726"/>
  <c r="O936" i="726" s="1"/>
  <c r="M936" i="726"/>
  <c r="K936" i="726"/>
  <c r="J936" i="726"/>
  <c r="I936" i="726"/>
  <c r="L936" i="726" s="1"/>
  <c r="H936" i="726"/>
  <c r="G936" i="726"/>
  <c r="N935" i="726"/>
  <c r="M935" i="726"/>
  <c r="O935" i="726" s="1"/>
  <c r="L935" i="726"/>
  <c r="K935" i="726"/>
  <c r="J935" i="726"/>
  <c r="I935" i="726"/>
  <c r="H935" i="726"/>
  <c r="G935" i="726"/>
  <c r="N934" i="726"/>
  <c r="O934" i="726" s="1"/>
  <c r="M934" i="726"/>
  <c r="K934" i="726"/>
  <c r="J934" i="726"/>
  <c r="I934" i="726"/>
  <c r="H934" i="726"/>
  <c r="G934" i="726"/>
  <c r="N933" i="726"/>
  <c r="M933" i="726"/>
  <c r="O933" i="726" s="1"/>
  <c r="K933" i="726"/>
  <c r="L933" i="726" s="1"/>
  <c r="J933" i="726"/>
  <c r="I933" i="726"/>
  <c r="H933" i="726"/>
  <c r="G933" i="726"/>
  <c r="N932" i="726"/>
  <c r="O932" i="726" s="1"/>
  <c r="M932" i="726"/>
  <c r="K932" i="726"/>
  <c r="J932" i="726"/>
  <c r="I932" i="726"/>
  <c r="H932" i="726"/>
  <c r="G932" i="726"/>
  <c r="N931" i="726"/>
  <c r="M931" i="726"/>
  <c r="K931" i="726"/>
  <c r="L931" i="726" s="1"/>
  <c r="J931" i="726"/>
  <c r="I931" i="726"/>
  <c r="H931" i="726"/>
  <c r="G931" i="726"/>
  <c r="N930" i="726"/>
  <c r="O930" i="726" s="1"/>
  <c r="M930" i="726"/>
  <c r="K930" i="726"/>
  <c r="J930" i="726"/>
  <c r="I930" i="726"/>
  <c r="L930" i="726" s="1"/>
  <c r="H930" i="726"/>
  <c r="G930" i="726"/>
  <c r="N929" i="726"/>
  <c r="M929" i="726"/>
  <c r="O929" i="726" s="1"/>
  <c r="L929" i="726"/>
  <c r="K929" i="726"/>
  <c r="J929" i="726"/>
  <c r="I929" i="726"/>
  <c r="H929" i="726"/>
  <c r="G929" i="726"/>
  <c r="N928" i="726"/>
  <c r="O928" i="726" s="1"/>
  <c r="M928" i="726"/>
  <c r="K928" i="726"/>
  <c r="J928" i="726"/>
  <c r="I928" i="726"/>
  <c r="H928" i="726"/>
  <c r="G928" i="726"/>
  <c r="N927" i="726"/>
  <c r="M927" i="726"/>
  <c r="O927" i="726" s="1"/>
  <c r="K927" i="726"/>
  <c r="L927" i="726" s="1"/>
  <c r="J927" i="726"/>
  <c r="I927" i="726"/>
  <c r="H927" i="726"/>
  <c r="G927" i="726"/>
  <c r="N926" i="726"/>
  <c r="O926" i="726" s="1"/>
  <c r="M926" i="726"/>
  <c r="K926" i="726"/>
  <c r="J926" i="726"/>
  <c r="I926" i="726"/>
  <c r="L926" i="726" s="1"/>
  <c r="H926" i="726"/>
  <c r="G926" i="726"/>
  <c r="N925" i="726"/>
  <c r="M925" i="726"/>
  <c r="O925" i="726" s="1"/>
  <c r="K925" i="726"/>
  <c r="L925" i="726" s="1"/>
  <c r="J925" i="726"/>
  <c r="I925" i="726"/>
  <c r="H925" i="726"/>
  <c r="G925" i="726"/>
  <c r="N924" i="726"/>
  <c r="O924" i="726" s="1"/>
  <c r="M924" i="726"/>
  <c r="K924" i="726"/>
  <c r="J924" i="726"/>
  <c r="I924" i="726"/>
  <c r="L924" i="726" s="1"/>
  <c r="H924" i="726"/>
  <c r="G924" i="726"/>
  <c r="N923" i="726"/>
  <c r="M923" i="726"/>
  <c r="O923" i="726" s="1"/>
  <c r="L923" i="726"/>
  <c r="K923" i="726"/>
  <c r="J923" i="726"/>
  <c r="I923" i="726"/>
  <c r="H923" i="726"/>
  <c r="G923" i="726"/>
  <c r="N922" i="726"/>
  <c r="O922" i="726" s="1"/>
  <c r="M922" i="726"/>
  <c r="K922" i="726"/>
  <c r="J922" i="726"/>
  <c r="I922" i="726"/>
  <c r="H922" i="726"/>
  <c r="G922" i="726"/>
  <c r="N921" i="726"/>
  <c r="M921" i="726"/>
  <c r="K921" i="726"/>
  <c r="L921" i="726" s="1"/>
  <c r="J921" i="726"/>
  <c r="I921" i="726"/>
  <c r="H921" i="726"/>
  <c r="G921" i="726"/>
  <c r="N920" i="726"/>
  <c r="O920" i="726" s="1"/>
  <c r="M920" i="726"/>
  <c r="K920" i="726"/>
  <c r="J920" i="726"/>
  <c r="I920" i="726"/>
  <c r="L920" i="726" s="1"/>
  <c r="H920" i="726"/>
  <c r="G920" i="726"/>
  <c r="N919" i="726"/>
  <c r="M919" i="726"/>
  <c r="O919" i="726" s="1"/>
  <c r="K919" i="726"/>
  <c r="L919" i="726" s="1"/>
  <c r="J919" i="726"/>
  <c r="I919" i="726"/>
  <c r="H919" i="726"/>
  <c r="G919" i="726"/>
  <c r="N918" i="726"/>
  <c r="O918" i="726" s="1"/>
  <c r="M918" i="726"/>
  <c r="K918" i="726"/>
  <c r="J918" i="726"/>
  <c r="I918" i="726"/>
  <c r="L918" i="726" s="1"/>
  <c r="H918" i="726"/>
  <c r="G918" i="726"/>
  <c r="N917" i="726"/>
  <c r="M917" i="726"/>
  <c r="L917" i="726"/>
  <c r="K917" i="726"/>
  <c r="J917" i="726"/>
  <c r="I917" i="726"/>
  <c r="H917" i="726"/>
  <c r="G917" i="726"/>
  <c r="N916" i="726"/>
  <c r="O916" i="726" s="1"/>
  <c r="M916" i="726"/>
  <c r="K916" i="726"/>
  <c r="J916" i="726"/>
  <c r="I916" i="726"/>
  <c r="H916" i="726"/>
  <c r="G916" i="726"/>
  <c r="N915" i="726"/>
  <c r="M915" i="726"/>
  <c r="O915" i="726" s="1"/>
  <c r="K915" i="726"/>
  <c r="L915" i="726" s="1"/>
  <c r="J915" i="726"/>
  <c r="I915" i="726"/>
  <c r="H915" i="726"/>
  <c r="G915" i="726"/>
  <c r="N914" i="726"/>
  <c r="O914" i="726" s="1"/>
  <c r="M914" i="726"/>
  <c r="K914" i="726"/>
  <c r="J914" i="726"/>
  <c r="I914" i="726"/>
  <c r="H914" i="726"/>
  <c r="G914" i="726"/>
  <c r="N913" i="726"/>
  <c r="M913" i="726"/>
  <c r="O913" i="726" s="1"/>
  <c r="K913" i="726"/>
  <c r="L913" i="726" s="1"/>
  <c r="J913" i="726"/>
  <c r="I913" i="726"/>
  <c r="H913" i="726"/>
  <c r="G913" i="726"/>
  <c r="N912" i="726"/>
  <c r="O912" i="726" s="1"/>
  <c r="M912" i="726"/>
  <c r="K912" i="726"/>
  <c r="J912" i="726"/>
  <c r="I912" i="726"/>
  <c r="L912" i="726" s="1"/>
  <c r="H912" i="726"/>
  <c r="G912" i="726"/>
  <c r="N911" i="726"/>
  <c r="M911" i="726"/>
  <c r="L911" i="726"/>
  <c r="K911" i="726"/>
  <c r="J911" i="726"/>
  <c r="I911" i="726"/>
  <c r="H911" i="726"/>
  <c r="G911" i="726"/>
  <c r="N910" i="726"/>
  <c r="O910" i="726" s="1"/>
  <c r="M910" i="726"/>
  <c r="K910" i="726"/>
  <c r="J910" i="726"/>
  <c r="I910" i="726"/>
  <c r="H910" i="726"/>
  <c r="G910" i="726"/>
  <c r="N909" i="726"/>
  <c r="M909" i="726"/>
  <c r="O909" i="726" s="1"/>
  <c r="K909" i="726"/>
  <c r="L909" i="726" s="1"/>
  <c r="J909" i="726"/>
  <c r="I909" i="726"/>
  <c r="H909" i="726"/>
  <c r="G909" i="726"/>
  <c r="N908" i="726"/>
  <c r="O908" i="726" s="1"/>
  <c r="M908" i="726"/>
  <c r="K908" i="726"/>
  <c r="J908" i="726"/>
  <c r="I908" i="726"/>
  <c r="H908" i="726"/>
  <c r="G908" i="726"/>
  <c r="N907" i="726"/>
  <c r="M907" i="726"/>
  <c r="K907" i="726"/>
  <c r="L907" i="726" s="1"/>
  <c r="J907" i="726"/>
  <c r="I907" i="726"/>
  <c r="H907" i="726"/>
  <c r="G907" i="726"/>
  <c r="N906" i="726"/>
  <c r="O906" i="726" s="1"/>
  <c r="M906" i="726"/>
  <c r="K906" i="726"/>
  <c r="J906" i="726"/>
  <c r="I906" i="726"/>
  <c r="L906" i="726" s="1"/>
  <c r="H906" i="726"/>
  <c r="G906" i="726"/>
  <c r="N905" i="726"/>
  <c r="M905" i="726"/>
  <c r="L905" i="726"/>
  <c r="K905" i="726"/>
  <c r="J905" i="726"/>
  <c r="I905" i="726"/>
  <c r="H905" i="726"/>
  <c r="G905" i="726"/>
  <c r="N904" i="726"/>
  <c r="O904" i="726" s="1"/>
  <c r="M904" i="726"/>
  <c r="K904" i="726"/>
  <c r="J904" i="726"/>
  <c r="I904" i="726"/>
  <c r="H904" i="726"/>
  <c r="G904" i="726"/>
  <c r="N903" i="726"/>
  <c r="M903" i="726"/>
  <c r="O903" i="726" s="1"/>
  <c r="K903" i="726"/>
  <c r="L903" i="726" s="1"/>
  <c r="J903" i="726"/>
  <c r="I903" i="726"/>
  <c r="H903" i="726"/>
  <c r="G903" i="726"/>
  <c r="N902" i="726"/>
  <c r="O902" i="726" s="1"/>
  <c r="M902" i="726"/>
  <c r="K902" i="726"/>
  <c r="J902" i="726"/>
  <c r="I902" i="726"/>
  <c r="H902" i="726"/>
  <c r="G902" i="726"/>
  <c r="N901" i="726"/>
  <c r="M901" i="726"/>
  <c r="K901" i="726"/>
  <c r="L901" i="726" s="1"/>
  <c r="J901" i="726"/>
  <c r="I901" i="726"/>
  <c r="H901" i="726"/>
  <c r="G901" i="726"/>
  <c r="N900" i="726"/>
  <c r="O900" i="726" s="1"/>
  <c r="M900" i="726"/>
  <c r="K900" i="726"/>
  <c r="J900" i="726"/>
  <c r="I900" i="726"/>
  <c r="L900" i="726" s="1"/>
  <c r="H900" i="726"/>
  <c r="G900" i="726"/>
  <c r="N899" i="726"/>
  <c r="M899" i="726"/>
  <c r="O899" i="726" s="1"/>
  <c r="L899" i="726"/>
  <c r="K899" i="726"/>
  <c r="J899" i="726"/>
  <c r="I899" i="726"/>
  <c r="H899" i="726"/>
  <c r="G899" i="726"/>
  <c r="N898" i="726"/>
  <c r="O898" i="726" s="1"/>
  <c r="M898" i="726"/>
  <c r="K898" i="726"/>
  <c r="J898" i="726"/>
  <c r="I898" i="726"/>
  <c r="H898" i="726"/>
  <c r="G898" i="726"/>
  <c r="N897" i="726"/>
  <c r="M897" i="726"/>
  <c r="K897" i="726"/>
  <c r="L897" i="726" s="1"/>
  <c r="J897" i="726"/>
  <c r="I897" i="726"/>
  <c r="H897" i="726"/>
  <c r="G897" i="726"/>
  <c r="N896" i="726"/>
  <c r="O896" i="726" s="1"/>
  <c r="M896" i="726"/>
  <c r="K896" i="726"/>
  <c r="J896" i="726"/>
  <c r="I896" i="726"/>
  <c r="H896" i="726"/>
  <c r="G896" i="726"/>
  <c r="N895" i="726"/>
  <c r="M895" i="726"/>
  <c r="K895" i="726"/>
  <c r="L895" i="726" s="1"/>
  <c r="J895" i="726"/>
  <c r="I895" i="726"/>
  <c r="H895" i="726"/>
  <c r="G895" i="726"/>
  <c r="N894" i="726"/>
  <c r="O894" i="726" s="1"/>
  <c r="M894" i="726"/>
  <c r="K894" i="726"/>
  <c r="J894" i="726"/>
  <c r="I894" i="726"/>
  <c r="L894" i="726" s="1"/>
  <c r="H894" i="726"/>
  <c r="G894" i="726"/>
  <c r="N893" i="726"/>
  <c r="M893" i="726"/>
  <c r="L893" i="726"/>
  <c r="K893" i="726"/>
  <c r="J893" i="726"/>
  <c r="I893" i="726"/>
  <c r="H893" i="726"/>
  <c r="G893" i="726"/>
  <c r="N892" i="726"/>
  <c r="O892" i="726" s="1"/>
  <c r="M892" i="726"/>
  <c r="K892" i="726"/>
  <c r="J892" i="726"/>
  <c r="I892" i="726"/>
  <c r="H892" i="726"/>
  <c r="G892" i="726"/>
  <c r="N891" i="726"/>
  <c r="M891" i="726"/>
  <c r="K891" i="726"/>
  <c r="L891" i="726" s="1"/>
  <c r="J891" i="726"/>
  <c r="I891" i="726"/>
  <c r="H891" i="726"/>
  <c r="G891" i="726"/>
  <c r="N890" i="726"/>
  <c r="O890" i="726" s="1"/>
  <c r="M890" i="726"/>
  <c r="K890" i="726"/>
  <c r="J890" i="726"/>
  <c r="I890" i="726"/>
  <c r="H890" i="726"/>
  <c r="G890" i="726"/>
  <c r="N889" i="726"/>
  <c r="M889" i="726"/>
  <c r="O889" i="726" s="1"/>
  <c r="K889" i="726"/>
  <c r="L889" i="726" s="1"/>
  <c r="J889" i="726"/>
  <c r="I889" i="726"/>
  <c r="H889" i="726"/>
  <c r="G889" i="726"/>
  <c r="N888" i="726"/>
  <c r="O888" i="726" s="1"/>
  <c r="M888" i="726"/>
  <c r="K888" i="726"/>
  <c r="J888" i="726"/>
  <c r="I888" i="726"/>
  <c r="L888" i="726" s="1"/>
  <c r="H888" i="726"/>
  <c r="G888" i="726"/>
  <c r="N887" i="726"/>
  <c r="M887" i="726"/>
  <c r="O887" i="726" s="1"/>
  <c r="L887" i="726"/>
  <c r="K887" i="726"/>
  <c r="J887" i="726"/>
  <c r="I887" i="726"/>
  <c r="H887" i="726"/>
  <c r="G887" i="726"/>
  <c r="N886" i="726"/>
  <c r="O886" i="726" s="1"/>
  <c r="M886" i="726"/>
  <c r="K886" i="726"/>
  <c r="J886" i="726"/>
  <c r="I886" i="726"/>
  <c r="H886" i="726"/>
  <c r="G886" i="726"/>
  <c r="N885" i="726"/>
  <c r="M885" i="726"/>
  <c r="K885" i="726"/>
  <c r="L885" i="726" s="1"/>
  <c r="J885" i="726"/>
  <c r="I885" i="726"/>
  <c r="H885" i="726"/>
  <c r="G885" i="726"/>
  <c r="N884" i="726"/>
  <c r="O884" i="726" s="1"/>
  <c r="M884" i="726"/>
  <c r="K884" i="726"/>
  <c r="J884" i="726"/>
  <c r="I884" i="726"/>
  <c r="H884" i="726"/>
  <c r="G884" i="726"/>
  <c r="N883" i="726"/>
  <c r="M883" i="726"/>
  <c r="K883" i="726"/>
  <c r="L883" i="726" s="1"/>
  <c r="J883" i="726"/>
  <c r="I883" i="726"/>
  <c r="H883" i="726"/>
  <c r="G883" i="726"/>
  <c r="N882" i="726"/>
  <c r="O882" i="726" s="1"/>
  <c r="M882" i="726"/>
  <c r="K882" i="726"/>
  <c r="J882" i="726"/>
  <c r="I882" i="726"/>
  <c r="L882" i="726" s="1"/>
  <c r="H882" i="726"/>
  <c r="G882" i="726"/>
  <c r="N881" i="726"/>
  <c r="M881" i="726"/>
  <c r="O881" i="726" s="1"/>
  <c r="L881" i="726"/>
  <c r="K881" i="726"/>
  <c r="J881" i="726"/>
  <c r="I881" i="726"/>
  <c r="H881" i="726"/>
  <c r="G881" i="726"/>
  <c r="N880" i="726"/>
  <c r="O880" i="726" s="1"/>
  <c r="M880" i="726"/>
  <c r="K880" i="726"/>
  <c r="J880" i="726"/>
  <c r="I880" i="726"/>
  <c r="H880" i="726"/>
  <c r="G880" i="726"/>
  <c r="N879" i="726"/>
  <c r="M879" i="726"/>
  <c r="O879" i="726" s="1"/>
  <c r="K879" i="726"/>
  <c r="L879" i="726" s="1"/>
  <c r="J879" i="726"/>
  <c r="I879" i="726"/>
  <c r="H879" i="726"/>
  <c r="G879" i="726"/>
  <c r="N878" i="726"/>
  <c r="O878" i="726" s="1"/>
  <c r="M878" i="726"/>
  <c r="K878" i="726"/>
  <c r="J878" i="726"/>
  <c r="I878" i="726"/>
  <c r="H878" i="726"/>
  <c r="G878" i="726"/>
  <c r="N877" i="726"/>
  <c r="M877" i="726"/>
  <c r="O877" i="726" s="1"/>
  <c r="K877" i="726"/>
  <c r="L877" i="726" s="1"/>
  <c r="J877" i="726"/>
  <c r="I877" i="726"/>
  <c r="H877" i="726"/>
  <c r="G877" i="726"/>
  <c r="N876" i="726"/>
  <c r="O876" i="726" s="1"/>
  <c r="M876" i="726"/>
  <c r="K876" i="726"/>
  <c r="J876" i="726"/>
  <c r="I876" i="726"/>
  <c r="L876" i="726" s="1"/>
  <c r="H876" i="726"/>
  <c r="G876" i="726"/>
  <c r="N875" i="726"/>
  <c r="M875" i="726"/>
  <c r="O875" i="726" s="1"/>
  <c r="L875" i="726"/>
  <c r="K875" i="726"/>
  <c r="J875" i="726"/>
  <c r="I875" i="726"/>
  <c r="H875" i="726"/>
  <c r="G875" i="726"/>
  <c r="N874" i="726"/>
  <c r="O874" i="726" s="1"/>
  <c r="M874" i="726"/>
  <c r="K874" i="726"/>
  <c r="J874" i="726"/>
  <c r="I874" i="726"/>
  <c r="H874" i="726"/>
  <c r="G874" i="726"/>
  <c r="N873" i="726"/>
  <c r="M873" i="726"/>
  <c r="K873" i="726"/>
  <c r="L873" i="726" s="1"/>
  <c r="J873" i="726"/>
  <c r="I873" i="726"/>
  <c r="H873" i="726"/>
  <c r="G873" i="726"/>
  <c r="N872" i="726"/>
  <c r="M872" i="726"/>
  <c r="O872" i="726" s="1"/>
  <c r="K872" i="726"/>
  <c r="J872" i="726"/>
  <c r="I872" i="726"/>
  <c r="H872" i="726"/>
  <c r="G872" i="726"/>
  <c r="N871" i="726"/>
  <c r="M871" i="726"/>
  <c r="O871" i="726" s="1"/>
  <c r="K871" i="726"/>
  <c r="J871" i="726"/>
  <c r="L871" i="726" s="1"/>
  <c r="I871" i="726"/>
  <c r="H871" i="726"/>
  <c r="G871" i="726"/>
  <c r="N870" i="726"/>
  <c r="M870" i="726"/>
  <c r="O870" i="726" s="1"/>
  <c r="K870" i="726"/>
  <c r="J870" i="726"/>
  <c r="I870" i="726"/>
  <c r="L870" i="726" s="1"/>
  <c r="H870" i="726"/>
  <c r="G870" i="726"/>
  <c r="N869" i="726"/>
  <c r="M869" i="726"/>
  <c r="L869" i="726"/>
  <c r="K869" i="726"/>
  <c r="J869" i="726"/>
  <c r="I869" i="726"/>
  <c r="H869" i="726"/>
  <c r="G869" i="726"/>
  <c r="N868" i="726"/>
  <c r="O868" i="726" s="1"/>
  <c r="M868" i="726"/>
  <c r="K868" i="726"/>
  <c r="J868" i="726"/>
  <c r="I868" i="726"/>
  <c r="H868" i="726"/>
  <c r="G868" i="726"/>
  <c r="N867" i="726"/>
  <c r="M867" i="726"/>
  <c r="O867" i="726" s="1"/>
  <c r="K867" i="726"/>
  <c r="L867" i="726" s="1"/>
  <c r="J867" i="726"/>
  <c r="I867" i="726"/>
  <c r="H867" i="726"/>
  <c r="G867" i="726"/>
  <c r="N866" i="726"/>
  <c r="M866" i="726"/>
  <c r="O866" i="726" s="1"/>
  <c r="K866" i="726"/>
  <c r="J866" i="726"/>
  <c r="I866" i="726"/>
  <c r="H866" i="726"/>
  <c r="G866" i="726"/>
  <c r="N865" i="726"/>
  <c r="M865" i="726"/>
  <c r="O865" i="726" s="1"/>
  <c r="K865" i="726"/>
  <c r="J865" i="726"/>
  <c r="L865" i="726" s="1"/>
  <c r="I865" i="726"/>
  <c r="H865" i="726"/>
  <c r="G865" i="726"/>
  <c r="N864" i="726"/>
  <c r="M864" i="726"/>
  <c r="K864" i="726"/>
  <c r="J864" i="726"/>
  <c r="I864" i="726"/>
  <c r="L864" i="726" s="1"/>
  <c r="H864" i="726"/>
  <c r="G864" i="726"/>
  <c r="N863" i="726"/>
  <c r="M863" i="726"/>
  <c r="O863" i="726" s="1"/>
  <c r="L863" i="726"/>
  <c r="K863" i="726"/>
  <c r="J863" i="726"/>
  <c r="I863" i="726"/>
  <c r="H863" i="726"/>
  <c r="G863" i="726"/>
  <c r="N862" i="726"/>
  <c r="O862" i="726" s="1"/>
  <c r="M862" i="726"/>
  <c r="K862" i="726"/>
  <c r="J862" i="726"/>
  <c r="I862" i="726"/>
  <c r="H862" i="726"/>
  <c r="G862" i="726"/>
  <c r="N861" i="726"/>
  <c r="M861" i="726"/>
  <c r="O861" i="726" s="1"/>
  <c r="K861" i="726"/>
  <c r="L861" i="726" s="1"/>
  <c r="J861" i="726"/>
  <c r="I861" i="726"/>
  <c r="H861" i="726"/>
  <c r="G861" i="726"/>
  <c r="N860" i="726"/>
  <c r="M860" i="726"/>
  <c r="O860" i="726" s="1"/>
  <c r="K860" i="726"/>
  <c r="J860" i="726"/>
  <c r="I860" i="726"/>
  <c r="H860" i="726"/>
  <c r="G860" i="726"/>
  <c r="N859" i="726"/>
  <c r="M859" i="726"/>
  <c r="K859" i="726"/>
  <c r="J859" i="726"/>
  <c r="I859" i="726"/>
  <c r="H859" i="726"/>
  <c r="G859" i="726"/>
  <c r="N858" i="726"/>
  <c r="M858" i="726"/>
  <c r="O858" i="726" s="1"/>
  <c r="K858" i="726"/>
  <c r="J858" i="726"/>
  <c r="I858" i="726"/>
  <c r="L858" i="726" s="1"/>
  <c r="H858" i="726"/>
  <c r="G858" i="726"/>
  <c r="N857" i="726"/>
  <c r="M857" i="726"/>
  <c r="O857" i="726" s="1"/>
  <c r="L857" i="726"/>
  <c r="K857" i="726"/>
  <c r="J857" i="726"/>
  <c r="I857" i="726"/>
  <c r="H857" i="726"/>
  <c r="G857" i="726"/>
  <c r="N856" i="726"/>
  <c r="O856" i="726" s="1"/>
  <c r="M856" i="726"/>
  <c r="K856" i="726"/>
  <c r="J856" i="726"/>
  <c r="I856" i="726"/>
  <c r="H856" i="726"/>
  <c r="G856" i="726"/>
  <c r="N855" i="726"/>
  <c r="M855" i="726"/>
  <c r="O855" i="726" s="1"/>
  <c r="K855" i="726"/>
  <c r="L855" i="726" s="1"/>
  <c r="J855" i="726"/>
  <c r="I855" i="726"/>
  <c r="H855" i="726"/>
  <c r="G855" i="726"/>
  <c r="N854" i="726"/>
  <c r="M854" i="726"/>
  <c r="K854" i="726"/>
  <c r="J854" i="726"/>
  <c r="I854" i="726"/>
  <c r="H854" i="726"/>
  <c r="G854" i="726"/>
  <c r="N853" i="726"/>
  <c r="M853" i="726"/>
  <c r="O853" i="726" s="1"/>
  <c r="K853" i="726"/>
  <c r="J853" i="726"/>
  <c r="L853" i="726" s="1"/>
  <c r="I853" i="726"/>
  <c r="H853" i="726"/>
  <c r="G853" i="726"/>
  <c r="N852" i="726"/>
  <c r="M852" i="726"/>
  <c r="O852" i="726" s="1"/>
  <c r="K852" i="726"/>
  <c r="J852" i="726"/>
  <c r="I852" i="726"/>
  <c r="L852" i="726" s="1"/>
  <c r="H852" i="726"/>
  <c r="G852" i="726"/>
  <c r="N851" i="726"/>
  <c r="M851" i="726"/>
  <c r="O851" i="726" s="1"/>
  <c r="L851" i="726"/>
  <c r="K851" i="726"/>
  <c r="J851" i="726"/>
  <c r="I851" i="726"/>
  <c r="H851" i="726"/>
  <c r="G851" i="726"/>
  <c r="N850" i="726"/>
  <c r="O850" i="726" s="1"/>
  <c r="M850" i="726"/>
  <c r="K850" i="726"/>
  <c r="J850" i="726"/>
  <c r="I850" i="726"/>
  <c r="H850" i="726"/>
  <c r="G850" i="726"/>
  <c r="N849" i="726"/>
  <c r="M849" i="726"/>
  <c r="K849" i="726"/>
  <c r="L849" i="726" s="1"/>
  <c r="J849" i="726"/>
  <c r="I849" i="726"/>
  <c r="H849" i="726"/>
  <c r="G849" i="726"/>
  <c r="N848" i="726"/>
  <c r="M848" i="726"/>
  <c r="O848" i="726" s="1"/>
  <c r="K848" i="726"/>
  <c r="J848" i="726"/>
  <c r="I848" i="726"/>
  <c r="H848" i="726"/>
  <c r="G848" i="726"/>
  <c r="N847" i="726"/>
  <c r="M847" i="726"/>
  <c r="O847" i="726" s="1"/>
  <c r="K847" i="726"/>
  <c r="J847" i="726"/>
  <c r="L847" i="726" s="1"/>
  <c r="I847" i="726"/>
  <c r="H847" i="726"/>
  <c r="G847" i="726"/>
  <c r="N846" i="726"/>
  <c r="M846" i="726"/>
  <c r="O846" i="726" s="1"/>
  <c r="K846" i="726"/>
  <c r="J846" i="726"/>
  <c r="I846" i="726"/>
  <c r="L846" i="726" s="1"/>
  <c r="H846" i="726"/>
  <c r="G846" i="726"/>
  <c r="N845" i="726"/>
  <c r="M845" i="726"/>
  <c r="K845" i="726"/>
  <c r="L845" i="726" s="1"/>
  <c r="J845" i="726"/>
  <c r="I845" i="726"/>
  <c r="H845" i="726"/>
  <c r="G845" i="726"/>
  <c r="N844" i="726"/>
  <c r="O844" i="726" s="1"/>
  <c r="M844" i="726"/>
  <c r="K844" i="726"/>
  <c r="J844" i="726"/>
  <c r="I844" i="726"/>
  <c r="H844" i="726"/>
  <c r="G844" i="726"/>
  <c r="N843" i="726"/>
  <c r="M843" i="726"/>
  <c r="K843" i="726"/>
  <c r="L843" i="726" s="1"/>
  <c r="J843" i="726"/>
  <c r="I843" i="726"/>
  <c r="H843" i="726"/>
  <c r="G843" i="726"/>
  <c r="N842" i="726"/>
  <c r="M842" i="726"/>
  <c r="K842" i="726"/>
  <c r="J842" i="726"/>
  <c r="I842" i="726"/>
  <c r="H842" i="726"/>
  <c r="G842" i="726"/>
  <c r="N841" i="726"/>
  <c r="M841" i="726"/>
  <c r="K841" i="726"/>
  <c r="J841" i="726"/>
  <c r="I841" i="726"/>
  <c r="H841" i="726"/>
  <c r="G841" i="726"/>
  <c r="N840" i="726"/>
  <c r="M840" i="726"/>
  <c r="O840" i="726" s="1"/>
  <c r="K840" i="726"/>
  <c r="J840" i="726"/>
  <c r="I840" i="726"/>
  <c r="L840" i="726" s="1"/>
  <c r="H840" i="726"/>
  <c r="G840" i="726"/>
  <c r="N839" i="726"/>
  <c r="M839" i="726"/>
  <c r="O839" i="726" s="1"/>
  <c r="L839" i="726"/>
  <c r="K839" i="726"/>
  <c r="J839" i="726"/>
  <c r="I839" i="726"/>
  <c r="H839" i="726"/>
  <c r="G839" i="726"/>
  <c r="N838" i="726"/>
  <c r="O838" i="726" s="1"/>
  <c r="M838" i="726"/>
  <c r="K838" i="726"/>
  <c r="J838" i="726"/>
  <c r="I838" i="726"/>
  <c r="H838" i="726"/>
  <c r="G838" i="726"/>
  <c r="N837" i="726"/>
  <c r="M837" i="726"/>
  <c r="K837" i="726"/>
  <c r="L837" i="726" s="1"/>
  <c r="J837" i="726"/>
  <c r="I837" i="726"/>
  <c r="H837" i="726"/>
  <c r="G837" i="726"/>
  <c r="N836" i="726"/>
  <c r="M836" i="726"/>
  <c r="K836" i="726"/>
  <c r="J836" i="726"/>
  <c r="I836" i="726"/>
  <c r="H836" i="726"/>
  <c r="G836" i="726"/>
  <c r="N835" i="726"/>
  <c r="M835" i="726"/>
  <c r="O835" i="726" s="1"/>
  <c r="K835" i="726"/>
  <c r="J835" i="726"/>
  <c r="L835" i="726" s="1"/>
  <c r="I835" i="726"/>
  <c r="H835" i="726"/>
  <c r="G835" i="726"/>
  <c r="N834" i="726"/>
  <c r="M834" i="726"/>
  <c r="O834" i="726" s="1"/>
  <c r="K834" i="726"/>
  <c r="J834" i="726"/>
  <c r="I834" i="726"/>
  <c r="L834" i="726" s="1"/>
  <c r="H834" i="726"/>
  <c r="G834" i="726"/>
  <c r="N833" i="726"/>
  <c r="M833" i="726"/>
  <c r="O833" i="726" s="1"/>
  <c r="L833" i="726"/>
  <c r="K833" i="726"/>
  <c r="J833" i="726"/>
  <c r="I833" i="726"/>
  <c r="H833" i="726"/>
  <c r="G833" i="726"/>
  <c r="N832" i="726"/>
  <c r="O832" i="726" s="1"/>
  <c r="M832" i="726"/>
  <c r="L832" i="726"/>
  <c r="K832" i="726"/>
  <c r="J832" i="726"/>
  <c r="I832" i="726"/>
  <c r="H832" i="726"/>
  <c r="G832" i="726"/>
  <c r="N831" i="726"/>
  <c r="M831" i="726"/>
  <c r="K831" i="726"/>
  <c r="J831" i="726"/>
  <c r="L831" i="726" s="1"/>
  <c r="I831" i="726"/>
  <c r="H831" i="726"/>
  <c r="G831" i="726"/>
  <c r="N830" i="726"/>
  <c r="M830" i="726"/>
  <c r="K830" i="726"/>
  <c r="J830" i="726"/>
  <c r="I830" i="726"/>
  <c r="L830" i="726" s="1"/>
  <c r="H830" i="726"/>
  <c r="G830" i="726"/>
  <c r="N829" i="726"/>
  <c r="M829" i="726"/>
  <c r="K829" i="726"/>
  <c r="J829" i="726"/>
  <c r="L829" i="726" s="1"/>
  <c r="I829" i="726"/>
  <c r="H829" i="726"/>
  <c r="G829" i="726"/>
  <c r="N828" i="726"/>
  <c r="M828" i="726"/>
  <c r="K828" i="726"/>
  <c r="J828" i="726"/>
  <c r="I828" i="726"/>
  <c r="L828" i="726" s="1"/>
  <c r="H828" i="726"/>
  <c r="G828" i="726"/>
  <c r="N827" i="726"/>
  <c r="M827" i="726"/>
  <c r="K827" i="726"/>
  <c r="J827" i="726"/>
  <c r="L827" i="726" s="1"/>
  <c r="I827" i="726"/>
  <c r="H827" i="726"/>
  <c r="G827" i="726"/>
  <c r="N826" i="726"/>
  <c r="M826" i="726"/>
  <c r="K826" i="726"/>
  <c r="J826" i="726"/>
  <c r="I826" i="726"/>
  <c r="L826" i="726" s="1"/>
  <c r="H826" i="726"/>
  <c r="G826" i="726"/>
  <c r="N825" i="726"/>
  <c r="M825" i="726"/>
  <c r="O825" i="726" s="1"/>
  <c r="K825" i="726"/>
  <c r="J825" i="726"/>
  <c r="L825" i="726" s="1"/>
  <c r="I825" i="726"/>
  <c r="H825" i="726"/>
  <c r="G825" i="726"/>
  <c r="N824" i="726"/>
  <c r="M824" i="726"/>
  <c r="O824" i="726" s="1"/>
  <c r="K824" i="726"/>
  <c r="J824" i="726"/>
  <c r="I824" i="726"/>
  <c r="H824" i="726"/>
  <c r="G824" i="726"/>
  <c r="N823" i="726"/>
  <c r="M823" i="726"/>
  <c r="O823" i="726" s="1"/>
  <c r="K823" i="726"/>
  <c r="J823" i="726"/>
  <c r="L823" i="726" s="1"/>
  <c r="I823" i="726"/>
  <c r="H823" i="726"/>
  <c r="G823" i="726"/>
  <c r="N822" i="726"/>
  <c r="M822" i="726"/>
  <c r="K822" i="726"/>
  <c r="J822" i="726"/>
  <c r="I822" i="726"/>
  <c r="L822" i="726" s="1"/>
  <c r="H822" i="726"/>
  <c r="G822" i="726"/>
  <c r="N821" i="726"/>
  <c r="M821" i="726"/>
  <c r="O821" i="726" s="1"/>
  <c r="K821" i="726"/>
  <c r="J821" i="726"/>
  <c r="L821" i="726" s="1"/>
  <c r="I821" i="726"/>
  <c r="H821" i="726"/>
  <c r="G821" i="726"/>
  <c r="N820" i="726"/>
  <c r="M820" i="726"/>
  <c r="O820" i="726" s="1"/>
  <c r="K820" i="726"/>
  <c r="J820" i="726"/>
  <c r="I820" i="726"/>
  <c r="L820" i="726" s="1"/>
  <c r="H820" i="726"/>
  <c r="G820" i="726"/>
  <c r="N819" i="726"/>
  <c r="M819" i="726"/>
  <c r="O819" i="726" s="1"/>
  <c r="L819" i="726"/>
  <c r="K819" i="726"/>
  <c r="J819" i="726"/>
  <c r="I819" i="726"/>
  <c r="H819" i="726"/>
  <c r="G819" i="726"/>
  <c r="N818" i="726"/>
  <c r="M818" i="726"/>
  <c r="O818" i="726" s="1"/>
  <c r="K818" i="726"/>
  <c r="J818" i="726"/>
  <c r="I818" i="726"/>
  <c r="L818" i="726" s="1"/>
  <c r="H818" i="726"/>
  <c r="G818" i="726"/>
  <c r="N817" i="726"/>
  <c r="M817" i="726"/>
  <c r="K817" i="726"/>
  <c r="J817" i="726"/>
  <c r="L817" i="726" s="1"/>
  <c r="I817" i="726"/>
  <c r="H817" i="726"/>
  <c r="G817" i="726"/>
  <c r="N816" i="726"/>
  <c r="M816" i="726"/>
  <c r="O816" i="726" s="1"/>
  <c r="K816" i="726"/>
  <c r="J816" i="726"/>
  <c r="I816" i="726"/>
  <c r="H816" i="726"/>
  <c r="G816" i="726"/>
  <c r="N815" i="726"/>
  <c r="M815" i="726"/>
  <c r="O815" i="726" s="1"/>
  <c r="K815" i="726"/>
  <c r="J815" i="726"/>
  <c r="L815" i="726" s="1"/>
  <c r="I815" i="726"/>
  <c r="H815" i="726"/>
  <c r="G815" i="726"/>
  <c r="N814" i="726"/>
  <c r="M814" i="726"/>
  <c r="K814" i="726"/>
  <c r="J814" i="726"/>
  <c r="I814" i="726"/>
  <c r="L814" i="726" s="1"/>
  <c r="H814" i="726"/>
  <c r="G814" i="726"/>
  <c r="N813" i="726"/>
  <c r="M813" i="726"/>
  <c r="K813" i="726"/>
  <c r="J813" i="726"/>
  <c r="L813" i="726" s="1"/>
  <c r="I813" i="726"/>
  <c r="H813" i="726"/>
  <c r="G813" i="726"/>
  <c r="N812" i="726"/>
  <c r="M812" i="726"/>
  <c r="K812" i="726"/>
  <c r="J812" i="726"/>
  <c r="I812" i="726"/>
  <c r="H812" i="726"/>
  <c r="G812" i="726"/>
  <c r="N811" i="726"/>
  <c r="M811" i="726"/>
  <c r="L811" i="726"/>
  <c r="K811" i="726"/>
  <c r="J811" i="726"/>
  <c r="I811" i="726"/>
  <c r="H811" i="726"/>
  <c r="G811" i="726"/>
  <c r="N810" i="726"/>
  <c r="M810" i="726"/>
  <c r="K810" i="726"/>
  <c r="J810" i="726"/>
  <c r="I810" i="726"/>
  <c r="L810" i="726" s="1"/>
  <c r="H810" i="726"/>
  <c r="G810" i="726"/>
  <c r="N809" i="726"/>
  <c r="M809" i="726"/>
  <c r="O809" i="726" s="1"/>
  <c r="K809" i="726"/>
  <c r="J809" i="726"/>
  <c r="L809" i="726" s="1"/>
  <c r="I809" i="726"/>
  <c r="H809" i="726"/>
  <c r="G809" i="726"/>
  <c r="N808" i="726"/>
  <c r="M808" i="726"/>
  <c r="K808" i="726"/>
  <c r="J808" i="726"/>
  <c r="I808" i="726"/>
  <c r="H808" i="726"/>
  <c r="G808" i="726"/>
  <c r="N807" i="726"/>
  <c r="M807" i="726"/>
  <c r="K807" i="726"/>
  <c r="J807" i="726"/>
  <c r="L807" i="726" s="1"/>
  <c r="I807" i="726"/>
  <c r="H807" i="726"/>
  <c r="G807" i="726"/>
  <c r="N806" i="726"/>
  <c r="M806" i="726"/>
  <c r="K806" i="726"/>
  <c r="J806" i="726"/>
  <c r="I806" i="726"/>
  <c r="L806" i="726" s="1"/>
  <c r="H806" i="726"/>
  <c r="G806" i="726"/>
  <c r="N805" i="726"/>
  <c r="M805" i="726"/>
  <c r="K805" i="726"/>
  <c r="J805" i="726"/>
  <c r="L805" i="726" s="1"/>
  <c r="I805" i="726"/>
  <c r="H805" i="726"/>
  <c r="G805" i="726"/>
  <c r="N804" i="726"/>
  <c r="M804" i="726"/>
  <c r="K804" i="726"/>
  <c r="J804" i="726"/>
  <c r="I804" i="726"/>
  <c r="H804" i="726"/>
  <c r="G804" i="726"/>
  <c r="N803" i="726"/>
  <c r="M803" i="726"/>
  <c r="O803" i="726" s="1"/>
  <c r="L803" i="726"/>
  <c r="K803" i="726"/>
  <c r="J803" i="726"/>
  <c r="I803" i="726"/>
  <c r="H803" i="726"/>
  <c r="G803" i="726"/>
  <c r="N802" i="726"/>
  <c r="M802" i="726"/>
  <c r="K802" i="726"/>
  <c r="J802" i="726"/>
  <c r="I802" i="726"/>
  <c r="L802" i="726" s="1"/>
  <c r="H802" i="726"/>
  <c r="G802" i="726"/>
  <c r="N801" i="726"/>
  <c r="M801" i="726"/>
  <c r="K801" i="726"/>
  <c r="J801" i="726"/>
  <c r="L801" i="726" s="1"/>
  <c r="I801" i="726"/>
  <c r="H801" i="726"/>
  <c r="G801" i="726"/>
  <c r="N800" i="726"/>
  <c r="M800" i="726"/>
  <c r="K800" i="726"/>
  <c r="J800" i="726"/>
  <c r="I800" i="726"/>
  <c r="H800" i="726"/>
  <c r="G800" i="726"/>
  <c r="N799" i="726"/>
  <c r="M799" i="726"/>
  <c r="K799" i="726"/>
  <c r="J799" i="726"/>
  <c r="L799" i="726" s="1"/>
  <c r="I799" i="726"/>
  <c r="H799" i="726"/>
  <c r="G799" i="726"/>
  <c r="N798" i="726"/>
  <c r="M798" i="726"/>
  <c r="K798" i="726"/>
  <c r="J798" i="726"/>
  <c r="I798" i="726"/>
  <c r="L798" i="726" s="1"/>
  <c r="H798" i="726"/>
  <c r="G798" i="726"/>
  <c r="N797" i="726"/>
  <c r="M797" i="726"/>
  <c r="O797" i="726" s="1"/>
  <c r="K797" i="726"/>
  <c r="J797" i="726"/>
  <c r="L797" i="726" s="1"/>
  <c r="I797" i="726"/>
  <c r="H797" i="726"/>
  <c r="G797" i="726"/>
  <c r="N796" i="726"/>
  <c r="M796" i="726"/>
  <c r="O796" i="726" s="1"/>
  <c r="K796" i="726"/>
  <c r="J796" i="726"/>
  <c r="I796" i="726"/>
  <c r="L796" i="726" s="1"/>
  <c r="H796" i="726"/>
  <c r="G796" i="726"/>
  <c r="N795" i="726"/>
  <c r="M795" i="726"/>
  <c r="L795" i="726"/>
  <c r="K795" i="726"/>
  <c r="J795" i="726"/>
  <c r="I795" i="726"/>
  <c r="H795" i="726"/>
  <c r="G795" i="726"/>
  <c r="N794" i="726"/>
  <c r="M794" i="726"/>
  <c r="K794" i="726"/>
  <c r="J794" i="726"/>
  <c r="I794" i="726"/>
  <c r="L794" i="726" s="1"/>
  <c r="H794" i="726"/>
  <c r="G794" i="726"/>
  <c r="N793" i="726"/>
  <c r="M793" i="726"/>
  <c r="O793" i="726" s="1"/>
  <c r="K793" i="726"/>
  <c r="J793" i="726"/>
  <c r="L793" i="726" s="1"/>
  <c r="I793" i="726"/>
  <c r="H793" i="726"/>
  <c r="G793" i="726"/>
  <c r="N792" i="726"/>
  <c r="M792" i="726"/>
  <c r="O792" i="726" s="1"/>
  <c r="K792" i="726"/>
  <c r="J792" i="726"/>
  <c r="I792" i="726"/>
  <c r="H792" i="726"/>
  <c r="G792" i="726"/>
  <c r="N791" i="726"/>
  <c r="M791" i="726"/>
  <c r="O791" i="726" s="1"/>
  <c r="K791" i="726"/>
  <c r="J791" i="726"/>
  <c r="L791" i="726" s="1"/>
  <c r="I791" i="726"/>
  <c r="H791" i="726"/>
  <c r="G791" i="726"/>
  <c r="N790" i="726"/>
  <c r="M790" i="726"/>
  <c r="K790" i="726"/>
  <c r="J790" i="726"/>
  <c r="I790" i="726"/>
  <c r="L790" i="726" s="1"/>
  <c r="H790" i="726"/>
  <c r="G790" i="726"/>
  <c r="N789" i="726"/>
  <c r="M789" i="726"/>
  <c r="O789" i="726" s="1"/>
  <c r="K789" i="726"/>
  <c r="J789" i="726"/>
  <c r="L789" i="726" s="1"/>
  <c r="I789" i="726"/>
  <c r="H789" i="726"/>
  <c r="G789" i="726"/>
  <c r="N788" i="726"/>
  <c r="M788" i="726"/>
  <c r="O788" i="726" s="1"/>
  <c r="K788" i="726"/>
  <c r="J788" i="726"/>
  <c r="I788" i="726"/>
  <c r="L788" i="726" s="1"/>
  <c r="H788" i="726"/>
  <c r="G788" i="726"/>
  <c r="N787" i="726"/>
  <c r="M787" i="726"/>
  <c r="L787" i="726"/>
  <c r="K787" i="726"/>
  <c r="J787" i="726"/>
  <c r="I787" i="726"/>
  <c r="H787" i="726"/>
  <c r="G787" i="726"/>
  <c r="N786" i="726"/>
  <c r="M786" i="726"/>
  <c r="O786" i="726" s="1"/>
  <c r="K786" i="726"/>
  <c r="J786" i="726"/>
  <c r="I786" i="726"/>
  <c r="L786" i="726" s="1"/>
  <c r="H786" i="726"/>
  <c r="G786" i="726"/>
  <c r="N785" i="726"/>
  <c r="M785" i="726"/>
  <c r="K785" i="726"/>
  <c r="J785" i="726"/>
  <c r="L785" i="726" s="1"/>
  <c r="I785" i="726"/>
  <c r="H785" i="726"/>
  <c r="G785" i="726"/>
  <c r="N784" i="726"/>
  <c r="M784" i="726"/>
  <c r="O784" i="726" s="1"/>
  <c r="K784" i="726"/>
  <c r="J784" i="726"/>
  <c r="I784" i="726"/>
  <c r="H784" i="726"/>
  <c r="G784" i="726"/>
  <c r="N783" i="726"/>
  <c r="M783" i="726"/>
  <c r="O783" i="726" s="1"/>
  <c r="K783" i="726"/>
  <c r="J783" i="726"/>
  <c r="L783" i="726" s="1"/>
  <c r="I783" i="726"/>
  <c r="H783" i="726"/>
  <c r="G783" i="726"/>
  <c r="N782" i="726"/>
  <c r="M782" i="726"/>
  <c r="K782" i="726"/>
  <c r="J782" i="726"/>
  <c r="I782" i="726"/>
  <c r="L782" i="726" s="1"/>
  <c r="H782" i="726"/>
  <c r="G782" i="726"/>
  <c r="N781" i="726"/>
  <c r="M781" i="726"/>
  <c r="K781" i="726"/>
  <c r="J781" i="726"/>
  <c r="L781" i="726" s="1"/>
  <c r="I781" i="726"/>
  <c r="H781" i="726"/>
  <c r="G781" i="726"/>
  <c r="N780" i="726"/>
  <c r="M780" i="726"/>
  <c r="K780" i="726"/>
  <c r="J780" i="726"/>
  <c r="I780" i="726"/>
  <c r="L780" i="726" s="1"/>
  <c r="H780" i="726"/>
  <c r="G780" i="726"/>
  <c r="N779" i="726"/>
  <c r="M779" i="726"/>
  <c r="L779" i="726"/>
  <c r="K779" i="726"/>
  <c r="J779" i="726"/>
  <c r="I779" i="726"/>
  <c r="H779" i="726"/>
  <c r="G779" i="726"/>
  <c r="N778" i="726"/>
  <c r="M778" i="726"/>
  <c r="O778" i="726" s="1"/>
  <c r="K778" i="726"/>
  <c r="J778" i="726"/>
  <c r="I778" i="726"/>
  <c r="L778" i="726" s="1"/>
  <c r="H778" i="726"/>
  <c r="G778" i="726"/>
  <c r="N777" i="726"/>
  <c r="M777" i="726"/>
  <c r="O777" i="726" s="1"/>
  <c r="K777" i="726"/>
  <c r="J777" i="726"/>
  <c r="L777" i="726" s="1"/>
  <c r="I777" i="726"/>
  <c r="H777" i="726"/>
  <c r="G777" i="726"/>
  <c r="N776" i="726"/>
  <c r="M776" i="726"/>
  <c r="K776" i="726"/>
  <c r="J776" i="726"/>
  <c r="I776" i="726"/>
  <c r="H776" i="726"/>
  <c r="G776" i="726"/>
  <c r="N775" i="726"/>
  <c r="M775" i="726"/>
  <c r="K775" i="726"/>
  <c r="J775" i="726"/>
  <c r="L775" i="726" s="1"/>
  <c r="I775" i="726"/>
  <c r="H775" i="726"/>
  <c r="G775" i="726"/>
  <c r="N774" i="726"/>
  <c r="M774" i="726"/>
  <c r="K774" i="726"/>
  <c r="J774" i="726"/>
  <c r="I774" i="726"/>
  <c r="L774" i="726" s="1"/>
  <c r="H774" i="726"/>
  <c r="G774" i="726"/>
  <c r="N773" i="726"/>
  <c r="M773" i="726"/>
  <c r="K773" i="726"/>
  <c r="J773" i="726"/>
  <c r="L773" i="726" s="1"/>
  <c r="I773" i="726"/>
  <c r="H773" i="726"/>
  <c r="G773" i="726"/>
  <c r="N772" i="726"/>
  <c r="M772" i="726"/>
  <c r="K772" i="726"/>
  <c r="J772" i="726"/>
  <c r="I772" i="726"/>
  <c r="L772" i="726" s="1"/>
  <c r="H772" i="726"/>
  <c r="G772" i="726"/>
  <c r="N771" i="726"/>
  <c r="M771" i="726"/>
  <c r="L771" i="726"/>
  <c r="K771" i="726"/>
  <c r="J771" i="726"/>
  <c r="I771" i="726"/>
  <c r="H771" i="726"/>
  <c r="G771" i="726"/>
  <c r="N770" i="726"/>
  <c r="M770" i="726"/>
  <c r="K770" i="726"/>
  <c r="J770" i="726"/>
  <c r="I770" i="726"/>
  <c r="L770" i="726" s="1"/>
  <c r="H770" i="726"/>
  <c r="G770" i="726"/>
  <c r="N769" i="726"/>
  <c r="M769" i="726"/>
  <c r="K769" i="726"/>
  <c r="J769" i="726"/>
  <c r="L769" i="726" s="1"/>
  <c r="I769" i="726"/>
  <c r="H769" i="726"/>
  <c r="G769" i="726"/>
  <c r="N768" i="726"/>
  <c r="M768" i="726"/>
  <c r="K768" i="726"/>
  <c r="J768" i="726"/>
  <c r="I768" i="726"/>
  <c r="H768" i="726"/>
  <c r="G768" i="726"/>
  <c r="N767" i="726"/>
  <c r="M767" i="726"/>
  <c r="K767" i="726"/>
  <c r="J767" i="726"/>
  <c r="L767" i="726" s="1"/>
  <c r="I767" i="726"/>
  <c r="H767" i="726"/>
  <c r="G767" i="726"/>
  <c r="N766" i="726"/>
  <c r="M766" i="726"/>
  <c r="K766" i="726"/>
  <c r="J766" i="726"/>
  <c r="I766" i="726"/>
  <c r="L766" i="726" s="1"/>
  <c r="H766" i="726"/>
  <c r="G766" i="726"/>
  <c r="N765" i="726"/>
  <c r="M765" i="726"/>
  <c r="O765" i="726" s="1"/>
  <c r="K765" i="726"/>
  <c r="J765" i="726"/>
  <c r="L765" i="726" s="1"/>
  <c r="I765" i="726"/>
  <c r="H765" i="726"/>
  <c r="G765" i="726"/>
  <c r="N764" i="726"/>
  <c r="M764" i="726"/>
  <c r="O764" i="726" s="1"/>
  <c r="K764" i="726"/>
  <c r="J764" i="726"/>
  <c r="I764" i="726"/>
  <c r="L764" i="726" s="1"/>
  <c r="H764" i="726"/>
  <c r="G764" i="726"/>
  <c r="N763" i="726"/>
  <c r="M763" i="726"/>
  <c r="L763" i="726"/>
  <c r="K763" i="726"/>
  <c r="J763" i="726"/>
  <c r="I763" i="726"/>
  <c r="H763" i="726"/>
  <c r="G763" i="726"/>
  <c r="N762" i="726"/>
  <c r="M762" i="726"/>
  <c r="K762" i="726"/>
  <c r="J762" i="726"/>
  <c r="I762" i="726"/>
  <c r="L762" i="726" s="1"/>
  <c r="H762" i="726"/>
  <c r="G762" i="726"/>
  <c r="N761" i="726"/>
  <c r="M761" i="726"/>
  <c r="O761" i="726" s="1"/>
  <c r="K761" i="726"/>
  <c r="J761" i="726"/>
  <c r="L761" i="726" s="1"/>
  <c r="I761" i="726"/>
  <c r="H761" i="726"/>
  <c r="G761" i="726"/>
  <c r="N760" i="726"/>
  <c r="M760" i="726"/>
  <c r="O760" i="726" s="1"/>
  <c r="K760" i="726"/>
  <c r="J760" i="726"/>
  <c r="I760" i="726"/>
  <c r="H760" i="726"/>
  <c r="G760" i="726"/>
  <c r="N759" i="726"/>
  <c r="M759" i="726"/>
  <c r="K759" i="726"/>
  <c r="J759" i="726"/>
  <c r="L759" i="726" s="1"/>
  <c r="I759" i="726"/>
  <c r="H759" i="726"/>
  <c r="G759" i="726"/>
  <c r="N758" i="726"/>
  <c r="M758" i="726"/>
  <c r="K758" i="726"/>
  <c r="J758" i="726"/>
  <c r="I758" i="726"/>
  <c r="L758" i="726" s="1"/>
  <c r="H758" i="726"/>
  <c r="G758" i="726"/>
  <c r="N757" i="726"/>
  <c r="M757" i="726"/>
  <c r="O757" i="726" s="1"/>
  <c r="K757" i="726"/>
  <c r="J757" i="726"/>
  <c r="L757" i="726" s="1"/>
  <c r="I757" i="726"/>
  <c r="H757" i="726"/>
  <c r="G757" i="726"/>
  <c r="N756" i="726"/>
  <c r="M756" i="726"/>
  <c r="O756" i="726" s="1"/>
  <c r="K756" i="726"/>
  <c r="J756" i="726"/>
  <c r="I756" i="726"/>
  <c r="L756" i="726" s="1"/>
  <c r="H756" i="726"/>
  <c r="G756" i="726"/>
  <c r="N755" i="726"/>
  <c r="M755" i="726"/>
  <c r="L755" i="726"/>
  <c r="K755" i="726"/>
  <c r="J755" i="726"/>
  <c r="I755" i="726"/>
  <c r="H755" i="726"/>
  <c r="G755" i="726"/>
  <c r="N754" i="726"/>
  <c r="M754" i="726"/>
  <c r="O754" i="726" s="1"/>
  <c r="K754" i="726"/>
  <c r="J754" i="726"/>
  <c r="I754" i="726"/>
  <c r="L754" i="726" s="1"/>
  <c r="H754" i="726"/>
  <c r="G754" i="726"/>
  <c r="N753" i="726"/>
  <c r="M753" i="726"/>
  <c r="K753" i="726"/>
  <c r="J753" i="726"/>
  <c r="L753" i="726" s="1"/>
  <c r="I753" i="726"/>
  <c r="H753" i="726"/>
  <c r="G753" i="726"/>
  <c r="N752" i="726"/>
  <c r="M752" i="726"/>
  <c r="O752" i="726" s="1"/>
  <c r="K752" i="726"/>
  <c r="J752" i="726"/>
  <c r="I752" i="726"/>
  <c r="H752" i="726"/>
  <c r="G752" i="726"/>
  <c r="N751" i="726"/>
  <c r="M751" i="726"/>
  <c r="K751" i="726"/>
  <c r="J751" i="726"/>
  <c r="L751" i="726" s="1"/>
  <c r="I751" i="726"/>
  <c r="H751" i="726"/>
  <c r="G751" i="726"/>
  <c r="N750" i="726"/>
  <c r="M750" i="726"/>
  <c r="K750" i="726"/>
  <c r="J750" i="726"/>
  <c r="I750" i="726"/>
  <c r="L750" i="726" s="1"/>
  <c r="H750" i="726"/>
  <c r="G750" i="726"/>
  <c r="N749" i="726"/>
  <c r="M749" i="726"/>
  <c r="K749" i="726"/>
  <c r="J749" i="726"/>
  <c r="L749" i="726" s="1"/>
  <c r="I749" i="726"/>
  <c r="H749" i="726"/>
  <c r="G749" i="726"/>
  <c r="N748" i="726"/>
  <c r="M748" i="726"/>
  <c r="K748" i="726"/>
  <c r="J748" i="726"/>
  <c r="I748" i="726"/>
  <c r="L748" i="726" s="1"/>
  <c r="H748" i="726"/>
  <c r="G748" i="726"/>
  <c r="N747" i="726"/>
  <c r="M747" i="726"/>
  <c r="L747" i="726"/>
  <c r="K747" i="726"/>
  <c r="J747" i="726"/>
  <c r="I747" i="726"/>
  <c r="H747" i="726"/>
  <c r="G747" i="726"/>
  <c r="N746" i="726"/>
  <c r="M746" i="726"/>
  <c r="O746" i="726" s="1"/>
  <c r="K746" i="726"/>
  <c r="J746" i="726"/>
  <c r="I746" i="726"/>
  <c r="L746" i="726" s="1"/>
  <c r="H746" i="726"/>
  <c r="G746" i="726"/>
  <c r="N745" i="726"/>
  <c r="M745" i="726"/>
  <c r="O745" i="726" s="1"/>
  <c r="K745" i="726"/>
  <c r="J745" i="726"/>
  <c r="L745" i="726" s="1"/>
  <c r="I745" i="726"/>
  <c r="H745" i="726"/>
  <c r="G745" i="726"/>
  <c r="N744" i="726"/>
  <c r="M744" i="726"/>
  <c r="K744" i="726"/>
  <c r="J744" i="726"/>
  <c r="I744" i="726"/>
  <c r="H744" i="726"/>
  <c r="G744" i="726"/>
  <c r="N743" i="726"/>
  <c r="M743" i="726"/>
  <c r="K743" i="726"/>
  <c r="J743" i="726"/>
  <c r="L743" i="726" s="1"/>
  <c r="I743" i="726"/>
  <c r="H743" i="726"/>
  <c r="G743" i="726"/>
  <c r="N742" i="726"/>
  <c r="M742" i="726"/>
  <c r="K742" i="726"/>
  <c r="J742" i="726"/>
  <c r="I742" i="726"/>
  <c r="L742" i="726" s="1"/>
  <c r="H742" i="726"/>
  <c r="G742" i="726"/>
  <c r="N741" i="726"/>
  <c r="M741" i="726"/>
  <c r="K741" i="726"/>
  <c r="J741" i="726"/>
  <c r="L741" i="726" s="1"/>
  <c r="I741" i="726"/>
  <c r="H741" i="726"/>
  <c r="G741" i="726"/>
  <c r="N740" i="726"/>
  <c r="M740" i="726"/>
  <c r="K740" i="726"/>
  <c r="J740" i="726"/>
  <c r="I740" i="726"/>
  <c r="L740" i="726" s="1"/>
  <c r="H740" i="726"/>
  <c r="G740" i="726"/>
  <c r="N739" i="726"/>
  <c r="M739" i="726"/>
  <c r="L739" i="726"/>
  <c r="K739" i="726"/>
  <c r="J739" i="726"/>
  <c r="I739" i="726"/>
  <c r="H739" i="726"/>
  <c r="G739" i="726"/>
  <c r="N738" i="726"/>
  <c r="M738" i="726"/>
  <c r="K738" i="726"/>
  <c r="J738" i="726"/>
  <c r="I738" i="726"/>
  <c r="L738" i="726" s="1"/>
  <c r="H738" i="726"/>
  <c r="G738" i="726"/>
  <c r="N737" i="726"/>
  <c r="M737" i="726"/>
  <c r="K737" i="726"/>
  <c r="J737" i="726"/>
  <c r="L737" i="726" s="1"/>
  <c r="I737" i="726"/>
  <c r="H737" i="726"/>
  <c r="G737" i="726"/>
  <c r="N736" i="726"/>
  <c r="M736" i="726"/>
  <c r="K736" i="726"/>
  <c r="J736" i="726"/>
  <c r="I736" i="726"/>
  <c r="H736" i="726"/>
  <c r="G736" i="726"/>
  <c r="N735" i="726"/>
  <c r="M735" i="726"/>
  <c r="K735" i="726"/>
  <c r="J735" i="726"/>
  <c r="L735" i="726" s="1"/>
  <c r="I735" i="726"/>
  <c r="H735" i="726"/>
  <c r="G735" i="726"/>
  <c r="N734" i="726"/>
  <c r="M734" i="726"/>
  <c r="K734" i="726"/>
  <c r="J734" i="726"/>
  <c r="I734" i="726"/>
  <c r="L734" i="726" s="1"/>
  <c r="H734" i="726"/>
  <c r="G734" i="726"/>
  <c r="N733" i="726"/>
  <c r="M733" i="726"/>
  <c r="O733" i="726" s="1"/>
  <c r="K733" i="726"/>
  <c r="J733" i="726"/>
  <c r="L733" i="726" s="1"/>
  <c r="I733" i="726"/>
  <c r="H733" i="726"/>
  <c r="G733" i="726"/>
  <c r="N732" i="726"/>
  <c r="M732" i="726"/>
  <c r="O732" i="726" s="1"/>
  <c r="K732" i="726"/>
  <c r="J732" i="726"/>
  <c r="I732" i="726"/>
  <c r="H732" i="726"/>
  <c r="G732" i="726"/>
  <c r="N731" i="726"/>
  <c r="M731" i="726"/>
  <c r="L731" i="726"/>
  <c r="K731" i="726"/>
  <c r="J731" i="726"/>
  <c r="I731" i="726"/>
  <c r="H731" i="726"/>
  <c r="G731" i="726"/>
  <c r="N730" i="726"/>
  <c r="M730" i="726"/>
  <c r="K730" i="726"/>
  <c r="J730" i="726"/>
  <c r="I730" i="726"/>
  <c r="L730" i="726" s="1"/>
  <c r="H730" i="726"/>
  <c r="G730" i="726"/>
  <c r="N729" i="726"/>
  <c r="M729" i="726"/>
  <c r="O729" i="726" s="1"/>
  <c r="K729" i="726"/>
  <c r="J729" i="726"/>
  <c r="L729" i="726" s="1"/>
  <c r="I729" i="726"/>
  <c r="H729" i="726"/>
  <c r="G729" i="726"/>
  <c r="N728" i="726"/>
  <c r="M728" i="726"/>
  <c r="O728" i="726" s="1"/>
  <c r="K728" i="726"/>
  <c r="J728" i="726"/>
  <c r="I728" i="726"/>
  <c r="L728" i="726" s="1"/>
  <c r="H728" i="726"/>
  <c r="G728" i="726"/>
  <c r="N727" i="726"/>
  <c r="M727" i="726"/>
  <c r="K727" i="726"/>
  <c r="J727" i="726"/>
  <c r="L727" i="726" s="1"/>
  <c r="I727" i="726"/>
  <c r="H727" i="726"/>
  <c r="G727" i="726"/>
  <c r="N726" i="726"/>
  <c r="M726" i="726"/>
  <c r="K726" i="726"/>
  <c r="J726" i="726"/>
  <c r="I726" i="726"/>
  <c r="L726" i="726" s="1"/>
  <c r="H726" i="726"/>
  <c r="G726" i="726"/>
  <c r="N725" i="726"/>
  <c r="M725" i="726"/>
  <c r="O725" i="726" s="1"/>
  <c r="K725" i="726"/>
  <c r="J725" i="726"/>
  <c r="L725" i="726" s="1"/>
  <c r="I725" i="726"/>
  <c r="H725" i="726"/>
  <c r="G725" i="726"/>
  <c r="N724" i="726"/>
  <c r="M724" i="726"/>
  <c r="O724" i="726" s="1"/>
  <c r="K724" i="726"/>
  <c r="J724" i="726"/>
  <c r="I724" i="726"/>
  <c r="L724" i="726" s="1"/>
  <c r="H724" i="726"/>
  <c r="G724" i="726"/>
  <c r="N723" i="726"/>
  <c r="M723" i="726"/>
  <c r="L723" i="726"/>
  <c r="K723" i="726"/>
  <c r="J723" i="726"/>
  <c r="I723" i="726"/>
  <c r="H723" i="726"/>
  <c r="G723" i="726"/>
  <c r="N722" i="726"/>
  <c r="M722" i="726"/>
  <c r="O722" i="726" s="1"/>
  <c r="K722" i="726"/>
  <c r="J722" i="726"/>
  <c r="I722" i="726"/>
  <c r="L722" i="726" s="1"/>
  <c r="H722" i="726"/>
  <c r="G722" i="726"/>
  <c r="N721" i="726"/>
  <c r="M721" i="726"/>
  <c r="K721" i="726"/>
  <c r="J721" i="726"/>
  <c r="L721" i="726" s="1"/>
  <c r="I721" i="726"/>
  <c r="H721" i="726"/>
  <c r="G721" i="726"/>
  <c r="N720" i="726"/>
  <c r="M720" i="726"/>
  <c r="O720" i="726" s="1"/>
  <c r="K720" i="726"/>
  <c r="J720" i="726"/>
  <c r="I720" i="726"/>
  <c r="L720" i="726" s="1"/>
  <c r="H720" i="726"/>
  <c r="G720" i="726"/>
  <c r="N719" i="726"/>
  <c r="M719" i="726"/>
  <c r="K719" i="726"/>
  <c r="J719" i="726"/>
  <c r="L719" i="726" s="1"/>
  <c r="I719" i="726"/>
  <c r="H719" i="726"/>
  <c r="G719" i="726"/>
  <c r="N718" i="726"/>
  <c r="M718" i="726"/>
  <c r="K718" i="726"/>
  <c r="J718" i="726"/>
  <c r="I718" i="726"/>
  <c r="L718" i="726" s="1"/>
  <c r="H718" i="726"/>
  <c r="G718" i="726"/>
  <c r="N717" i="726"/>
  <c r="M717" i="726"/>
  <c r="K717" i="726"/>
  <c r="J717" i="726"/>
  <c r="L717" i="726" s="1"/>
  <c r="I717" i="726"/>
  <c r="H717" i="726"/>
  <c r="G717" i="726"/>
  <c r="N716" i="726"/>
  <c r="M716" i="726"/>
  <c r="K716" i="726"/>
  <c r="J716" i="726"/>
  <c r="I716" i="726"/>
  <c r="L716" i="726" s="1"/>
  <c r="H716" i="726"/>
  <c r="G716" i="726"/>
  <c r="N715" i="726"/>
  <c r="M715" i="726"/>
  <c r="L715" i="726"/>
  <c r="K715" i="726"/>
  <c r="J715" i="726"/>
  <c r="I715" i="726"/>
  <c r="H715" i="726"/>
  <c r="G715" i="726"/>
  <c r="N714" i="726"/>
  <c r="M714" i="726"/>
  <c r="O714" i="726" s="1"/>
  <c r="K714" i="726"/>
  <c r="J714" i="726"/>
  <c r="I714" i="726"/>
  <c r="L714" i="726" s="1"/>
  <c r="H714" i="726"/>
  <c r="G714" i="726"/>
  <c r="N713" i="726"/>
  <c r="M713" i="726"/>
  <c r="K713" i="726"/>
  <c r="J713" i="726"/>
  <c r="L713" i="726" s="1"/>
  <c r="I713" i="726"/>
  <c r="H713" i="726"/>
  <c r="G713" i="726"/>
  <c r="N712" i="726"/>
  <c r="M712" i="726"/>
  <c r="K712" i="726"/>
  <c r="J712" i="726"/>
  <c r="I712" i="726"/>
  <c r="L712" i="726" s="1"/>
  <c r="H712" i="726"/>
  <c r="G712" i="726"/>
  <c r="N711" i="726"/>
  <c r="M711" i="726"/>
  <c r="K711" i="726"/>
  <c r="J711" i="726"/>
  <c r="L711" i="726" s="1"/>
  <c r="I711" i="726"/>
  <c r="H711" i="726"/>
  <c r="G711" i="726"/>
  <c r="N710" i="726"/>
  <c r="M710" i="726"/>
  <c r="K710" i="726"/>
  <c r="J710" i="726"/>
  <c r="I710" i="726"/>
  <c r="L710" i="726" s="1"/>
  <c r="H710" i="726"/>
  <c r="G710" i="726"/>
  <c r="N709" i="726"/>
  <c r="M709" i="726"/>
  <c r="K709" i="726"/>
  <c r="L709" i="726" s="1"/>
  <c r="J709" i="726"/>
  <c r="I709" i="726"/>
  <c r="H709" i="726"/>
  <c r="G709" i="726"/>
  <c r="N708" i="726"/>
  <c r="M708" i="726"/>
  <c r="K708" i="726"/>
  <c r="J708" i="726"/>
  <c r="I708" i="726"/>
  <c r="L708" i="726" s="1"/>
  <c r="H708" i="726"/>
  <c r="G708" i="726"/>
  <c r="N707" i="726"/>
  <c r="M707" i="726"/>
  <c r="O707" i="726" s="1"/>
  <c r="K707" i="726"/>
  <c r="L707" i="726" s="1"/>
  <c r="J707" i="726"/>
  <c r="I707" i="726"/>
  <c r="H707" i="726"/>
  <c r="G707" i="726"/>
  <c r="N706" i="726"/>
  <c r="O706" i="726" s="1"/>
  <c r="M706" i="726"/>
  <c r="K706" i="726"/>
  <c r="J706" i="726"/>
  <c r="I706" i="726"/>
  <c r="H706" i="726"/>
  <c r="G706" i="726"/>
  <c r="N705" i="726"/>
  <c r="M705" i="726"/>
  <c r="O705" i="726" s="1"/>
  <c r="K705" i="726"/>
  <c r="J705" i="726"/>
  <c r="L705" i="726" s="1"/>
  <c r="I705" i="726"/>
  <c r="H705" i="726"/>
  <c r="G705" i="726"/>
  <c r="N704" i="726"/>
  <c r="M704" i="726"/>
  <c r="K704" i="726"/>
  <c r="J704" i="726"/>
  <c r="I704" i="726"/>
  <c r="L704" i="726" s="1"/>
  <c r="H704" i="726"/>
  <c r="G704" i="726"/>
  <c r="N703" i="726"/>
  <c r="M703" i="726"/>
  <c r="O703" i="726" s="1"/>
  <c r="K703" i="726"/>
  <c r="L703" i="726" s="1"/>
  <c r="J703" i="726"/>
  <c r="I703" i="726"/>
  <c r="H703" i="726"/>
  <c r="G703" i="726"/>
  <c r="N702" i="726"/>
  <c r="M702" i="726"/>
  <c r="O702" i="726" s="1"/>
  <c r="K702" i="726"/>
  <c r="J702" i="726"/>
  <c r="I702" i="726"/>
  <c r="L702" i="726" s="1"/>
  <c r="H702" i="726"/>
  <c r="G702" i="726"/>
  <c r="N701" i="726"/>
  <c r="M701" i="726"/>
  <c r="O701" i="726" s="1"/>
  <c r="K701" i="726"/>
  <c r="L701" i="726" s="1"/>
  <c r="J701" i="726"/>
  <c r="I701" i="726"/>
  <c r="H701" i="726"/>
  <c r="G701" i="726"/>
  <c r="N700" i="726"/>
  <c r="O700" i="726" s="1"/>
  <c r="M700" i="726"/>
  <c r="K700" i="726"/>
  <c r="J700" i="726"/>
  <c r="I700" i="726"/>
  <c r="H700" i="726"/>
  <c r="G700" i="726"/>
  <c r="N699" i="726"/>
  <c r="M699" i="726"/>
  <c r="K699" i="726"/>
  <c r="J699" i="726"/>
  <c r="L699" i="726" s="1"/>
  <c r="I699" i="726"/>
  <c r="H699" i="726"/>
  <c r="G699" i="726"/>
  <c r="N698" i="726"/>
  <c r="M698" i="726"/>
  <c r="K698" i="726"/>
  <c r="J698" i="726"/>
  <c r="I698" i="726"/>
  <c r="L698" i="726" s="1"/>
  <c r="H698" i="726"/>
  <c r="G698" i="726"/>
  <c r="N697" i="726"/>
  <c r="M697" i="726"/>
  <c r="K697" i="726"/>
  <c r="L697" i="726" s="1"/>
  <c r="J697" i="726"/>
  <c r="I697" i="726"/>
  <c r="H697" i="726"/>
  <c r="G697" i="726"/>
  <c r="N696" i="726"/>
  <c r="M696" i="726"/>
  <c r="K696" i="726"/>
  <c r="J696" i="726"/>
  <c r="I696" i="726"/>
  <c r="L696" i="726" s="1"/>
  <c r="H696" i="726"/>
  <c r="G696" i="726"/>
  <c r="N695" i="726"/>
  <c r="M695" i="726"/>
  <c r="O695" i="726" s="1"/>
  <c r="K695" i="726"/>
  <c r="L695" i="726" s="1"/>
  <c r="J695" i="726"/>
  <c r="I695" i="726"/>
  <c r="H695" i="726"/>
  <c r="G695" i="726"/>
  <c r="N694" i="726"/>
  <c r="O694" i="726" s="1"/>
  <c r="M694" i="726"/>
  <c r="K694" i="726"/>
  <c r="J694" i="726"/>
  <c r="I694" i="726"/>
  <c r="H694" i="726"/>
  <c r="G694" i="726"/>
  <c r="N693" i="726"/>
  <c r="M693" i="726"/>
  <c r="O693" i="726" s="1"/>
  <c r="K693" i="726"/>
  <c r="J693" i="726"/>
  <c r="L693" i="726" s="1"/>
  <c r="I693" i="726"/>
  <c r="H693" i="726"/>
  <c r="G693" i="726"/>
  <c r="N692" i="726"/>
  <c r="M692" i="726"/>
  <c r="K692" i="726"/>
  <c r="J692" i="726"/>
  <c r="I692" i="726"/>
  <c r="L692" i="726" s="1"/>
  <c r="H692" i="726"/>
  <c r="G692" i="726"/>
  <c r="N691" i="726"/>
  <c r="M691" i="726"/>
  <c r="O691" i="726" s="1"/>
  <c r="K691" i="726"/>
  <c r="L691" i="726" s="1"/>
  <c r="J691" i="726"/>
  <c r="I691" i="726"/>
  <c r="H691" i="726"/>
  <c r="G691" i="726"/>
  <c r="N690" i="726"/>
  <c r="M690" i="726"/>
  <c r="O690" i="726" s="1"/>
  <c r="K690" i="726"/>
  <c r="J690" i="726"/>
  <c r="I690" i="726"/>
  <c r="L690" i="726" s="1"/>
  <c r="H690" i="726"/>
  <c r="G690" i="726"/>
  <c r="N689" i="726"/>
  <c r="M689" i="726"/>
  <c r="O689" i="726" s="1"/>
  <c r="K689" i="726"/>
  <c r="L689" i="726" s="1"/>
  <c r="J689" i="726"/>
  <c r="I689" i="726"/>
  <c r="H689" i="726"/>
  <c r="G689" i="726"/>
  <c r="N688" i="726"/>
  <c r="O688" i="726" s="1"/>
  <c r="M688" i="726"/>
  <c r="K688" i="726"/>
  <c r="J688" i="726"/>
  <c r="I688" i="726"/>
  <c r="H688" i="726"/>
  <c r="G688" i="726"/>
  <c r="N687" i="726"/>
  <c r="M687" i="726"/>
  <c r="K687" i="726"/>
  <c r="J687" i="726"/>
  <c r="L687" i="726" s="1"/>
  <c r="I687" i="726"/>
  <c r="H687" i="726"/>
  <c r="G687" i="726"/>
  <c r="N686" i="726"/>
  <c r="M686" i="726"/>
  <c r="K686" i="726"/>
  <c r="J686" i="726"/>
  <c r="I686" i="726"/>
  <c r="L686" i="726" s="1"/>
  <c r="H686" i="726"/>
  <c r="G686" i="726"/>
  <c r="N685" i="726"/>
  <c r="M685" i="726"/>
  <c r="K685" i="726"/>
  <c r="L685" i="726" s="1"/>
  <c r="J685" i="726"/>
  <c r="I685" i="726"/>
  <c r="H685" i="726"/>
  <c r="G685" i="726"/>
  <c r="N684" i="726"/>
  <c r="M684" i="726"/>
  <c r="K684" i="726"/>
  <c r="J684" i="726"/>
  <c r="I684" i="726"/>
  <c r="L684" i="726" s="1"/>
  <c r="H684" i="726"/>
  <c r="G684" i="726"/>
  <c r="N683" i="726"/>
  <c r="M683" i="726"/>
  <c r="O683" i="726" s="1"/>
  <c r="K683" i="726"/>
  <c r="L683" i="726" s="1"/>
  <c r="J683" i="726"/>
  <c r="I683" i="726"/>
  <c r="H683" i="726"/>
  <c r="G683" i="726"/>
  <c r="N682" i="726"/>
  <c r="O682" i="726" s="1"/>
  <c r="M682" i="726"/>
  <c r="K682" i="726"/>
  <c r="J682" i="726"/>
  <c r="I682" i="726"/>
  <c r="H682" i="726"/>
  <c r="G682" i="726"/>
  <c r="N681" i="726"/>
  <c r="M681" i="726"/>
  <c r="O681" i="726" s="1"/>
  <c r="K681" i="726"/>
  <c r="J681" i="726"/>
  <c r="L681" i="726" s="1"/>
  <c r="I681" i="726"/>
  <c r="H681" i="726"/>
  <c r="G681" i="726"/>
  <c r="N680" i="726"/>
  <c r="M680" i="726"/>
  <c r="O680" i="726" s="1"/>
  <c r="K680" i="726"/>
  <c r="J680" i="726"/>
  <c r="I680" i="726"/>
  <c r="L680" i="726" s="1"/>
  <c r="H680" i="726"/>
  <c r="G680" i="726"/>
  <c r="N679" i="726"/>
  <c r="M679" i="726"/>
  <c r="O679" i="726" s="1"/>
  <c r="K679" i="726"/>
  <c r="L679" i="726" s="1"/>
  <c r="J679" i="726"/>
  <c r="I679" i="726"/>
  <c r="H679" i="726"/>
  <c r="G679" i="726"/>
  <c r="N678" i="726"/>
  <c r="M678" i="726"/>
  <c r="O678" i="726" s="1"/>
  <c r="K678" i="726"/>
  <c r="J678" i="726"/>
  <c r="I678" i="726"/>
  <c r="L678" i="726" s="1"/>
  <c r="H678" i="726"/>
  <c r="G678" i="726"/>
  <c r="N677" i="726"/>
  <c r="M677" i="726"/>
  <c r="O677" i="726" s="1"/>
  <c r="K677" i="726"/>
  <c r="L677" i="726" s="1"/>
  <c r="J677" i="726"/>
  <c r="I677" i="726"/>
  <c r="H677" i="726"/>
  <c r="G677" i="726"/>
  <c r="N676" i="726"/>
  <c r="O676" i="726" s="1"/>
  <c r="M676" i="726"/>
  <c r="K676" i="726"/>
  <c r="J676" i="726"/>
  <c r="I676" i="726"/>
  <c r="H676" i="726"/>
  <c r="G676" i="726"/>
  <c r="N675" i="726"/>
  <c r="M675" i="726"/>
  <c r="K675" i="726"/>
  <c r="J675" i="726"/>
  <c r="L675" i="726" s="1"/>
  <c r="I675" i="726"/>
  <c r="H675" i="726"/>
  <c r="G675" i="726"/>
  <c r="N674" i="726"/>
  <c r="M674" i="726"/>
  <c r="K674" i="726"/>
  <c r="J674" i="726"/>
  <c r="I674" i="726"/>
  <c r="L674" i="726" s="1"/>
  <c r="H674" i="726"/>
  <c r="G674" i="726"/>
  <c r="N673" i="726"/>
  <c r="M673" i="726"/>
  <c r="K673" i="726"/>
  <c r="L673" i="726" s="1"/>
  <c r="J673" i="726"/>
  <c r="I673" i="726"/>
  <c r="H673" i="726"/>
  <c r="G673" i="726"/>
  <c r="N672" i="726"/>
  <c r="M672" i="726"/>
  <c r="K672" i="726"/>
  <c r="J672" i="726"/>
  <c r="I672" i="726"/>
  <c r="L672" i="726" s="1"/>
  <c r="H672" i="726"/>
  <c r="G672" i="726"/>
  <c r="N671" i="726"/>
  <c r="M671" i="726"/>
  <c r="O671" i="726" s="1"/>
  <c r="K671" i="726"/>
  <c r="L671" i="726" s="1"/>
  <c r="J671" i="726"/>
  <c r="I671" i="726"/>
  <c r="H671" i="726"/>
  <c r="G671" i="726"/>
  <c r="N670" i="726"/>
  <c r="O670" i="726" s="1"/>
  <c r="M670" i="726"/>
  <c r="K670" i="726"/>
  <c r="J670" i="726"/>
  <c r="I670" i="726"/>
  <c r="H670" i="726"/>
  <c r="G670" i="726"/>
  <c r="N669" i="726"/>
  <c r="M669" i="726"/>
  <c r="O669" i="726" s="1"/>
  <c r="K669" i="726"/>
  <c r="J669" i="726"/>
  <c r="L669" i="726" s="1"/>
  <c r="I669" i="726"/>
  <c r="H669" i="726"/>
  <c r="G669" i="726"/>
  <c r="N668" i="726"/>
  <c r="M668" i="726"/>
  <c r="O668" i="726" s="1"/>
  <c r="K668" i="726"/>
  <c r="J668" i="726"/>
  <c r="I668" i="726"/>
  <c r="L668" i="726" s="1"/>
  <c r="H668" i="726"/>
  <c r="G668" i="726"/>
  <c r="N667" i="726"/>
  <c r="M667" i="726"/>
  <c r="O667" i="726" s="1"/>
  <c r="K667" i="726"/>
  <c r="L667" i="726" s="1"/>
  <c r="J667" i="726"/>
  <c r="I667" i="726"/>
  <c r="H667" i="726"/>
  <c r="G667" i="726"/>
  <c r="N666" i="726"/>
  <c r="M666" i="726"/>
  <c r="O666" i="726" s="1"/>
  <c r="K666" i="726"/>
  <c r="J666" i="726"/>
  <c r="I666" i="726"/>
  <c r="L666" i="726" s="1"/>
  <c r="H666" i="726"/>
  <c r="G666" i="726"/>
  <c r="N665" i="726"/>
  <c r="M665" i="726"/>
  <c r="O665" i="726" s="1"/>
  <c r="K665" i="726"/>
  <c r="L665" i="726" s="1"/>
  <c r="J665" i="726"/>
  <c r="I665" i="726"/>
  <c r="H665" i="726"/>
  <c r="G665" i="726"/>
  <c r="N664" i="726"/>
  <c r="M664" i="726"/>
  <c r="K664" i="726"/>
  <c r="J664" i="726"/>
  <c r="I664" i="726"/>
  <c r="H664" i="726"/>
  <c r="G664" i="726"/>
  <c r="N663" i="726"/>
  <c r="M663" i="726"/>
  <c r="L663" i="726"/>
  <c r="K663" i="726"/>
  <c r="J663" i="726"/>
  <c r="I663" i="726"/>
  <c r="H663" i="726"/>
  <c r="G663" i="726"/>
  <c r="N662" i="726"/>
  <c r="M662" i="726"/>
  <c r="O662" i="726" s="1"/>
  <c r="K662" i="726"/>
  <c r="J662" i="726"/>
  <c r="I662" i="726"/>
  <c r="L662" i="726" s="1"/>
  <c r="H662" i="726"/>
  <c r="G662" i="726"/>
  <c r="N661" i="726"/>
  <c r="M661" i="726"/>
  <c r="O661" i="726" s="1"/>
  <c r="K661" i="726"/>
  <c r="L661" i="726" s="1"/>
  <c r="J661" i="726"/>
  <c r="I661" i="726"/>
  <c r="H661" i="726"/>
  <c r="G661" i="726"/>
  <c r="N660" i="726"/>
  <c r="M660" i="726"/>
  <c r="O660" i="726" s="1"/>
  <c r="K660" i="726"/>
  <c r="J660" i="726"/>
  <c r="I660" i="726"/>
  <c r="L660" i="726" s="1"/>
  <c r="H660" i="726"/>
  <c r="G660" i="726"/>
  <c r="N659" i="726"/>
  <c r="M659" i="726"/>
  <c r="K659" i="726"/>
  <c r="L659" i="726" s="1"/>
  <c r="J659" i="726"/>
  <c r="I659" i="726"/>
  <c r="H659" i="726"/>
  <c r="G659" i="726"/>
  <c r="N658" i="726"/>
  <c r="M658" i="726"/>
  <c r="K658" i="726"/>
  <c r="J658" i="726"/>
  <c r="I658" i="726"/>
  <c r="H658" i="726"/>
  <c r="G658" i="726"/>
  <c r="N657" i="726"/>
  <c r="M657" i="726"/>
  <c r="K657" i="726"/>
  <c r="L657" i="726" s="1"/>
  <c r="J657" i="726"/>
  <c r="I657" i="726"/>
  <c r="H657" i="726"/>
  <c r="G657" i="726"/>
  <c r="N656" i="726"/>
  <c r="M656" i="726"/>
  <c r="K656" i="726"/>
  <c r="J656" i="726"/>
  <c r="I656" i="726"/>
  <c r="L656" i="726" s="1"/>
  <c r="H656" i="726"/>
  <c r="G656" i="726"/>
  <c r="N655" i="726"/>
  <c r="M655" i="726"/>
  <c r="K655" i="726"/>
  <c r="L655" i="726" s="1"/>
  <c r="J655" i="726"/>
  <c r="I655" i="726"/>
  <c r="H655" i="726"/>
  <c r="G655" i="726"/>
  <c r="N654" i="726"/>
  <c r="M654" i="726"/>
  <c r="O654" i="726" s="1"/>
  <c r="K654" i="726"/>
  <c r="J654" i="726"/>
  <c r="I654" i="726"/>
  <c r="L654" i="726" s="1"/>
  <c r="H654" i="726"/>
  <c r="G654" i="726"/>
  <c r="N653" i="726"/>
  <c r="M653" i="726"/>
  <c r="O653" i="726" s="1"/>
  <c r="K653" i="726"/>
  <c r="L653" i="726" s="1"/>
  <c r="J653" i="726"/>
  <c r="I653" i="726"/>
  <c r="H653" i="726"/>
  <c r="G653" i="726"/>
  <c r="N652" i="726"/>
  <c r="M652" i="726"/>
  <c r="O652" i="726" s="1"/>
  <c r="K652" i="726"/>
  <c r="J652" i="726"/>
  <c r="I652" i="726"/>
  <c r="H652" i="726"/>
  <c r="G652" i="726"/>
  <c r="N651" i="726"/>
  <c r="M651" i="726"/>
  <c r="O651" i="726" s="1"/>
  <c r="K651" i="726"/>
  <c r="L651" i="726" s="1"/>
  <c r="J651" i="726"/>
  <c r="I651" i="726"/>
  <c r="H651" i="726"/>
  <c r="G651" i="726"/>
  <c r="N650" i="726"/>
  <c r="M650" i="726"/>
  <c r="O650" i="726" s="1"/>
  <c r="K650" i="726"/>
  <c r="J650" i="726"/>
  <c r="I650" i="726"/>
  <c r="L650" i="726" s="1"/>
  <c r="H650" i="726"/>
  <c r="G650" i="726"/>
  <c r="N649" i="726"/>
  <c r="M649" i="726"/>
  <c r="O649" i="726" s="1"/>
  <c r="K649" i="726"/>
  <c r="L649" i="726" s="1"/>
  <c r="J649" i="726"/>
  <c r="I649" i="726"/>
  <c r="H649" i="726"/>
  <c r="G649" i="726"/>
  <c r="N648" i="726"/>
  <c r="M648" i="726"/>
  <c r="O648" i="726" s="1"/>
  <c r="K648" i="726"/>
  <c r="J648" i="726"/>
  <c r="I648" i="726"/>
  <c r="L648" i="726" s="1"/>
  <c r="H648" i="726"/>
  <c r="G648" i="726"/>
  <c r="N647" i="726"/>
  <c r="M647" i="726"/>
  <c r="K647" i="726"/>
  <c r="L647" i="726" s="1"/>
  <c r="J647" i="726"/>
  <c r="I647" i="726"/>
  <c r="H647" i="726"/>
  <c r="G647" i="726"/>
  <c r="N646" i="726"/>
  <c r="M646" i="726"/>
  <c r="K646" i="726"/>
  <c r="J646" i="726"/>
  <c r="I646" i="726"/>
  <c r="H646" i="726"/>
  <c r="G646" i="726"/>
  <c r="N645" i="726"/>
  <c r="M645" i="726"/>
  <c r="K645" i="726"/>
  <c r="L645" i="726" s="1"/>
  <c r="J645" i="726"/>
  <c r="I645" i="726"/>
  <c r="H645" i="726"/>
  <c r="G645" i="726"/>
  <c r="N644" i="726"/>
  <c r="M644" i="726"/>
  <c r="K644" i="726"/>
  <c r="J644" i="726"/>
  <c r="I644" i="726"/>
  <c r="L644" i="726" s="1"/>
  <c r="H644" i="726"/>
  <c r="G644" i="726"/>
  <c r="N643" i="726"/>
  <c r="M643" i="726"/>
  <c r="K643" i="726"/>
  <c r="L643" i="726" s="1"/>
  <c r="J643" i="726"/>
  <c r="I643" i="726"/>
  <c r="H643" i="726"/>
  <c r="G643" i="726"/>
  <c r="N642" i="726"/>
  <c r="M642" i="726"/>
  <c r="O642" i="726" s="1"/>
  <c r="K642" i="726"/>
  <c r="J642" i="726"/>
  <c r="L642" i="726" s="1"/>
  <c r="I642" i="726"/>
  <c r="H642" i="726"/>
  <c r="G642" i="726"/>
  <c r="N641" i="726"/>
  <c r="O641" i="726" s="1"/>
  <c r="M641" i="726"/>
  <c r="K641" i="726"/>
  <c r="J641" i="726"/>
  <c r="I641" i="726"/>
  <c r="L641" i="726" s="1"/>
  <c r="H641" i="726"/>
  <c r="G641" i="726"/>
  <c r="N640" i="726"/>
  <c r="O640" i="726" s="1"/>
  <c r="M640" i="726"/>
  <c r="L640" i="726"/>
  <c r="K640" i="726"/>
  <c r="J640" i="726"/>
  <c r="I640" i="726"/>
  <c r="H640" i="726"/>
  <c r="G640" i="726"/>
  <c r="N639" i="726"/>
  <c r="M639" i="726"/>
  <c r="O639" i="726" s="1"/>
  <c r="K639" i="726"/>
  <c r="J639" i="726"/>
  <c r="I639" i="726"/>
  <c r="L639" i="726" s="1"/>
  <c r="H639" i="726"/>
  <c r="G639" i="726"/>
  <c r="N638" i="726"/>
  <c r="M638" i="726"/>
  <c r="O638" i="726" s="1"/>
  <c r="K638" i="726"/>
  <c r="J638" i="726"/>
  <c r="L638" i="726" s="1"/>
  <c r="I638" i="726"/>
  <c r="H638" i="726"/>
  <c r="G638" i="726"/>
  <c r="O637" i="726"/>
  <c r="N637" i="726"/>
  <c r="M637" i="726"/>
  <c r="K637" i="726"/>
  <c r="J637" i="726"/>
  <c r="I637" i="726"/>
  <c r="L637" i="726" s="1"/>
  <c r="H637" i="726"/>
  <c r="G637" i="726"/>
  <c r="N636" i="726"/>
  <c r="O636" i="726" s="1"/>
  <c r="M636" i="726"/>
  <c r="L636" i="726"/>
  <c r="K636" i="726"/>
  <c r="J636" i="726"/>
  <c r="I636" i="726"/>
  <c r="H636" i="726"/>
  <c r="G636" i="726"/>
  <c r="N635" i="726"/>
  <c r="M635" i="726"/>
  <c r="K635" i="726"/>
  <c r="J635" i="726"/>
  <c r="I635" i="726"/>
  <c r="L635" i="726" s="1"/>
  <c r="H635" i="726"/>
  <c r="G635" i="726"/>
  <c r="N634" i="726"/>
  <c r="M634" i="726"/>
  <c r="O634" i="726" s="1"/>
  <c r="K634" i="726"/>
  <c r="J634" i="726"/>
  <c r="L634" i="726" s="1"/>
  <c r="I634" i="726"/>
  <c r="H634" i="726"/>
  <c r="G634" i="726"/>
  <c r="N633" i="726"/>
  <c r="O633" i="726" s="1"/>
  <c r="M633" i="726"/>
  <c r="K633" i="726"/>
  <c r="J633" i="726"/>
  <c r="I633" i="726"/>
  <c r="L633" i="726" s="1"/>
  <c r="H633" i="726"/>
  <c r="G633" i="726"/>
  <c r="N632" i="726"/>
  <c r="O632" i="726" s="1"/>
  <c r="M632" i="726"/>
  <c r="L632" i="726"/>
  <c r="K632" i="726"/>
  <c r="J632" i="726"/>
  <c r="I632" i="726"/>
  <c r="H632" i="726"/>
  <c r="G632" i="726"/>
  <c r="N631" i="726"/>
  <c r="M631" i="726"/>
  <c r="O631" i="726" s="1"/>
  <c r="K631" i="726"/>
  <c r="J631" i="726"/>
  <c r="I631" i="726"/>
  <c r="L631" i="726" s="1"/>
  <c r="H631" i="726"/>
  <c r="G631" i="726"/>
  <c r="N630" i="726"/>
  <c r="M630" i="726"/>
  <c r="O630" i="726" s="1"/>
  <c r="K630" i="726"/>
  <c r="J630" i="726"/>
  <c r="L630" i="726" s="1"/>
  <c r="I630" i="726"/>
  <c r="H630" i="726"/>
  <c r="G630" i="726"/>
  <c r="O629" i="726"/>
  <c r="N629" i="726"/>
  <c r="M629" i="726"/>
  <c r="K629" i="726"/>
  <c r="J629" i="726"/>
  <c r="I629" i="726"/>
  <c r="L629" i="726" s="1"/>
  <c r="H629" i="726"/>
  <c r="G629" i="726"/>
  <c r="N628" i="726"/>
  <c r="O628" i="726" s="1"/>
  <c r="M628" i="726"/>
  <c r="L628" i="726"/>
  <c r="K628" i="726"/>
  <c r="J628" i="726"/>
  <c r="I628" i="726"/>
  <c r="H628" i="726"/>
  <c r="G628" i="726"/>
  <c r="N627" i="726"/>
  <c r="M627" i="726"/>
  <c r="K627" i="726"/>
  <c r="J627" i="726"/>
  <c r="I627" i="726"/>
  <c r="L627" i="726" s="1"/>
  <c r="H627" i="726"/>
  <c r="G627" i="726"/>
  <c r="N626" i="726"/>
  <c r="M626" i="726"/>
  <c r="O626" i="726" s="1"/>
  <c r="K626" i="726"/>
  <c r="J626" i="726"/>
  <c r="L626" i="726" s="1"/>
  <c r="I626" i="726"/>
  <c r="H626" i="726"/>
  <c r="G626" i="726"/>
  <c r="N625" i="726"/>
  <c r="O625" i="726" s="1"/>
  <c r="M625" i="726"/>
  <c r="K625" i="726"/>
  <c r="J625" i="726"/>
  <c r="I625" i="726"/>
  <c r="L625" i="726" s="1"/>
  <c r="H625" i="726"/>
  <c r="G625" i="726"/>
  <c r="N624" i="726"/>
  <c r="O624" i="726" s="1"/>
  <c r="M624" i="726"/>
  <c r="L624" i="726"/>
  <c r="K624" i="726"/>
  <c r="J624" i="726"/>
  <c r="I624" i="726"/>
  <c r="H624" i="726"/>
  <c r="G624" i="726"/>
  <c r="N623" i="726"/>
  <c r="M623" i="726"/>
  <c r="O623" i="726" s="1"/>
  <c r="K623" i="726"/>
  <c r="J623" i="726"/>
  <c r="I623" i="726"/>
  <c r="L623" i="726" s="1"/>
  <c r="H623" i="726"/>
  <c r="G623" i="726"/>
  <c r="N622" i="726"/>
  <c r="M622" i="726"/>
  <c r="O622" i="726" s="1"/>
  <c r="K622" i="726"/>
  <c r="J622" i="726"/>
  <c r="L622" i="726" s="1"/>
  <c r="I622" i="726"/>
  <c r="H622" i="726"/>
  <c r="G622" i="726"/>
  <c r="O621" i="726"/>
  <c r="N621" i="726"/>
  <c r="M621" i="726"/>
  <c r="K621" i="726"/>
  <c r="J621" i="726"/>
  <c r="I621" i="726"/>
  <c r="L621" i="726" s="1"/>
  <c r="H621" i="726"/>
  <c r="G621" i="726"/>
  <c r="N620" i="726"/>
  <c r="O620" i="726" s="1"/>
  <c r="M620" i="726"/>
  <c r="L620" i="726"/>
  <c r="K620" i="726"/>
  <c r="J620" i="726"/>
  <c r="I620" i="726"/>
  <c r="H620" i="726"/>
  <c r="G620" i="726"/>
  <c r="N619" i="726"/>
  <c r="M619" i="726"/>
  <c r="K619" i="726"/>
  <c r="J619" i="726"/>
  <c r="I619" i="726"/>
  <c r="L619" i="726" s="1"/>
  <c r="H619" i="726"/>
  <c r="G619" i="726"/>
  <c r="N618" i="726"/>
  <c r="M618" i="726"/>
  <c r="O618" i="726" s="1"/>
  <c r="K618" i="726"/>
  <c r="J618" i="726"/>
  <c r="L618" i="726" s="1"/>
  <c r="I618" i="726"/>
  <c r="H618" i="726"/>
  <c r="G618" i="726"/>
  <c r="N617" i="726"/>
  <c r="O617" i="726" s="1"/>
  <c r="M617" i="726"/>
  <c r="K617" i="726"/>
  <c r="J617" i="726"/>
  <c r="I617" i="726"/>
  <c r="L617" i="726" s="1"/>
  <c r="H617" i="726"/>
  <c r="G617" i="726"/>
  <c r="N616" i="726"/>
  <c r="O616" i="726" s="1"/>
  <c r="M616" i="726"/>
  <c r="L616" i="726"/>
  <c r="K616" i="726"/>
  <c r="J616" i="726"/>
  <c r="I616" i="726"/>
  <c r="H616" i="726"/>
  <c r="G616" i="726"/>
  <c r="N615" i="726"/>
  <c r="M615" i="726"/>
  <c r="O615" i="726" s="1"/>
  <c r="K615" i="726"/>
  <c r="J615" i="726"/>
  <c r="I615" i="726"/>
  <c r="L615" i="726" s="1"/>
  <c r="H615" i="726"/>
  <c r="G615" i="726"/>
  <c r="N614" i="726"/>
  <c r="M614" i="726"/>
  <c r="O614" i="726" s="1"/>
  <c r="K614" i="726"/>
  <c r="J614" i="726"/>
  <c r="L614" i="726" s="1"/>
  <c r="I614" i="726"/>
  <c r="H614" i="726"/>
  <c r="G614" i="726"/>
  <c r="O613" i="726"/>
  <c r="N613" i="726"/>
  <c r="M613" i="726"/>
  <c r="K613" i="726"/>
  <c r="J613" i="726"/>
  <c r="I613" i="726"/>
  <c r="L613" i="726" s="1"/>
  <c r="H613" i="726"/>
  <c r="G613" i="726"/>
  <c r="N612" i="726"/>
  <c r="O612" i="726" s="1"/>
  <c r="M612" i="726"/>
  <c r="L612" i="726"/>
  <c r="K612" i="726"/>
  <c r="J612" i="726"/>
  <c r="I612" i="726"/>
  <c r="H612" i="726"/>
  <c r="G612" i="726"/>
  <c r="N611" i="726"/>
  <c r="M611" i="726"/>
  <c r="K611" i="726"/>
  <c r="J611" i="726"/>
  <c r="I611" i="726"/>
  <c r="L611" i="726" s="1"/>
  <c r="H611" i="726"/>
  <c r="G611" i="726"/>
  <c r="N610" i="726"/>
  <c r="M610" i="726"/>
  <c r="O610" i="726" s="1"/>
  <c r="K610" i="726"/>
  <c r="J610" i="726"/>
  <c r="L610" i="726" s="1"/>
  <c r="I610" i="726"/>
  <c r="H610" i="726"/>
  <c r="G610" i="726"/>
  <c r="N609" i="726"/>
  <c r="O609" i="726" s="1"/>
  <c r="M609" i="726"/>
  <c r="K609" i="726"/>
  <c r="J609" i="726"/>
  <c r="I609" i="726"/>
  <c r="L609" i="726" s="1"/>
  <c r="H609" i="726"/>
  <c r="G609" i="726"/>
  <c r="N608" i="726"/>
  <c r="O608" i="726" s="1"/>
  <c r="M608" i="726"/>
  <c r="L608" i="726"/>
  <c r="K608" i="726"/>
  <c r="J608" i="726"/>
  <c r="I608" i="726"/>
  <c r="H608" i="726"/>
  <c r="G608" i="726"/>
  <c r="N607" i="726"/>
  <c r="M607" i="726"/>
  <c r="O607" i="726" s="1"/>
  <c r="K607" i="726"/>
  <c r="J607" i="726"/>
  <c r="I607" i="726"/>
  <c r="L607" i="726" s="1"/>
  <c r="H607" i="726"/>
  <c r="G607" i="726"/>
  <c r="N606" i="726"/>
  <c r="M606" i="726"/>
  <c r="O606" i="726" s="1"/>
  <c r="K606" i="726"/>
  <c r="J606" i="726"/>
  <c r="L606" i="726" s="1"/>
  <c r="I606" i="726"/>
  <c r="H606" i="726"/>
  <c r="G606" i="726"/>
  <c r="O605" i="726"/>
  <c r="N605" i="726"/>
  <c r="M605" i="726"/>
  <c r="K605" i="726"/>
  <c r="J605" i="726"/>
  <c r="I605" i="726"/>
  <c r="L605" i="726" s="1"/>
  <c r="H605" i="726"/>
  <c r="G605" i="726"/>
  <c r="N604" i="726"/>
  <c r="O604" i="726" s="1"/>
  <c r="M604" i="726"/>
  <c r="L604" i="726"/>
  <c r="K604" i="726"/>
  <c r="J604" i="726"/>
  <c r="I604" i="726"/>
  <c r="H604" i="726"/>
  <c r="G604" i="726"/>
  <c r="N603" i="726"/>
  <c r="M603" i="726"/>
  <c r="K603" i="726"/>
  <c r="J603" i="726"/>
  <c r="I603" i="726"/>
  <c r="L603" i="726" s="1"/>
  <c r="H603" i="726"/>
  <c r="G603" i="726"/>
  <c r="N602" i="726"/>
  <c r="M602" i="726"/>
  <c r="O602" i="726" s="1"/>
  <c r="K602" i="726"/>
  <c r="J602" i="726"/>
  <c r="L602" i="726" s="1"/>
  <c r="I602" i="726"/>
  <c r="H602" i="726"/>
  <c r="G602" i="726"/>
  <c r="N601" i="726"/>
  <c r="O601" i="726" s="1"/>
  <c r="M601" i="726"/>
  <c r="K601" i="726"/>
  <c r="J601" i="726"/>
  <c r="I601" i="726"/>
  <c r="L601" i="726" s="1"/>
  <c r="H601" i="726"/>
  <c r="G601" i="726"/>
  <c r="N600" i="726"/>
  <c r="O600" i="726" s="1"/>
  <c r="M600" i="726"/>
  <c r="L600" i="726"/>
  <c r="K600" i="726"/>
  <c r="J600" i="726"/>
  <c r="I600" i="726"/>
  <c r="H600" i="726"/>
  <c r="G600" i="726"/>
  <c r="N599" i="726"/>
  <c r="M599" i="726"/>
  <c r="O599" i="726" s="1"/>
  <c r="K599" i="726"/>
  <c r="J599" i="726"/>
  <c r="I599" i="726"/>
  <c r="L599" i="726" s="1"/>
  <c r="H599" i="726"/>
  <c r="G599" i="726"/>
  <c r="N598" i="726"/>
  <c r="M598" i="726"/>
  <c r="O598" i="726" s="1"/>
  <c r="K598" i="726"/>
  <c r="J598" i="726"/>
  <c r="L598" i="726" s="1"/>
  <c r="I598" i="726"/>
  <c r="H598" i="726"/>
  <c r="G598" i="726"/>
  <c r="O597" i="726"/>
  <c r="N597" i="726"/>
  <c r="M597" i="726"/>
  <c r="K597" i="726"/>
  <c r="J597" i="726"/>
  <c r="I597" i="726"/>
  <c r="L597" i="726" s="1"/>
  <c r="H597" i="726"/>
  <c r="G597" i="726"/>
  <c r="N596" i="726"/>
  <c r="O596" i="726" s="1"/>
  <c r="M596" i="726"/>
  <c r="L596" i="726"/>
  <c r="K596" i="726"/>
  <c r="J596" i="726"/>
  <c r="I596" i="726"/>
  <c r="H596" i="726"/>
  <c r="G596" i="726"/>
  <c r="N595" i="726"/>
  <c r="M595" i="726"/>
  <c r="K595" i="726"/>
  <c r="J595" i="726"/>
  <c r="I595" i="726"/>
  <c r="L595" i="726" s="1"/>
  <c r="H595" i="726"/>
  <c r="G595" i="726"/>
  <c r="N594" i="726"/>
  <c r="M594" i="726"/>
  <c r="O594" i="726" s="1"/>
  <c r="K594" i="726"/>
  <c r="J594" i="726"/>
  <c r="L594" i="726" s="1"/>
  <c r="I594" i="726"/>
  <c r="H594" i="726"/>
  <c r="G594" i="726"/>
  <c r="N593" i="726"/>
  <c r="O593" i="726" s="1"/>
  <c r="M593" i="726"/>
  <c r="K593" i="726"/>
  <c r="J593" i="726"/>
  <c r="I593" i="726"/>
  <c r="L593" i="726" s="1"/>
  <c r="H593" i="726"/>
  <c r="G593" i="726"/>
  <c r="N592" i="726"/>
  <c r="O592" i="726" s="1"/>
  <c r="M592" i="726"/>
  <c r="L592" i="726"/>
  <c r="K592" i="726"/>
  <c r="J592" i="726"/>
  <c r="I592" i="726"/>
  <c r="H592" i="726"/>
  <c r="G592" i="726"/>
  <c r="N591" i="726"/>
  <c r="M591" i="726"/>
  <c r="O591" i="726" s="1"/>
  <c r="K591" i="726"/>
  <c r="J591" i="726"/>
  <c r="I591" i="726"/>
  <c r="L591" i="726" s="1"/>
  <c r="H591" i="726"/>
  <c r="G591" i="726"/>
  <c r="N590" i="726"/>
  <c r="M590" i="726"/>
  <c r="K590" i="726"/>
  <c r="J590" i="726"/>
  <c r="L590" i="726" s="1"/>
  <c r="I590" i="726"/>
  <c r="H590" i="726"/>
  <c r="G590" i="726"/>
  <c r="O589" i="726"/>
  <c r="N589" i="726"/>
  <c r="M589" i="726"/>
  <c r="K589" i="726"/>
  <c r="J589" i="726"/>
  <c r="I589" i="726"/>
  <c r="L589" i="726" s="1"/>
  <c r="H589" i="726"/>
  <c r="G589" i="726"/>
  <c r="N588" i="726"/>
  <c r="O588" i="726" s="1"/>
  <c r="M588" i="726"/>
  <c r="L588" i="726"/>
  <c r="K588" i="726"/>
  <c r="J588" i="726"/>
  <c r="I588" i="726"/>
  <c r="H588" i="726"/>
  <c r="G588" i="726"/>
  <c r="N587" i="726"/>
  <c r="M587" i="726"/>
  <c r="K587" i="726"/>
  <c r="J587" i="726"/>
  <c r="I587" i="726"/>
  <c r="L587" i="726" s="1"/>
  <c r="H587" i="726"/>
  <c r="G587" i="726"/>
  <c r="N586" i="726"/>
  <c r="M586" i="726"/>
  <c r="K586" i="726"/>
  <c r="J586" i="726"/>
  <c r="L586" i="726" s="1"/>
  <c r="I586" i="726"/>
  <c r="H586" i="726"/>
  <c r="G586" i="726"/>
  <c r="N585" i="726"/>
  <c r="O585" i="726" s="1"/>
  <c r="M585" i="726"/>
  <c r="K585" i="726"/>
  <c r="J585" i="726"/>
  <c r="I585" i="726"/>
  <c r="L585" i="726" s="1"/>
  <c r="H585" i="726"/>
  <c r="G585" i="726"/>
  <c r="N584" i="726"/>
  <c r="O584" i="726" s="1"/>
  <c r="M584" i="726"/>
  <c r="L584" i="726"/>
  <c r="K584" i="726"/>
  <c r="J584" i="726"/>
  <c r="I584" i="726"/>
  <c r="H584" i="726"/>
  <c r="G584" i="726"/>
  <c r="N583" i="726"/>
  <c r="M583" i="726"/>
  <c r="O583" i="726" s="1"/>
  <c r="K583" i="726"/>
  <c r="J583" i="726"/>
  <c r="I583" i="726"/>
  <c r="L583" i="726" s="1"/>
  <c r="H583" i="726"/>
  <c r="G583" i="726"/>
  <c r="N582" i="726"/>
  <c r="M582" i="726"/>
  <c r="K582" i="726"/>
  <c r="J582" i="726"/>
  <c r="L582" i="726" s="1"/>
  <c r="I582" i="726"/>
  <c r="H582" i="726"/>
  <c r="G582" i="726"/>
  <c r="O581" i="726"/>
  <c r="N581" i="726"/>
  <c r="M581" i="726"/>
  <c r="K581" i="726"/>
  <c r="J581" i="726"/>
  <c r="I581" i="726"/>
  <c r="L581" i="726" s="1"/>
  <c r="H581" i="726"/>
  <c r="G581" i="726"/>
  <c r="N580" i="726"/>
  <c r="O580" i="726" s="1"/>
  <c r="M580" i="726"/>
  <c r="L580" i="726"/>
  <c r="K580" i="726"/>
  <c r="J580" i="726"/>
  <c r="I580" i="726"/>
  <c r="H580" i="726"/>
  <c r="G580" i="726"/>
  <c r="N579" i="726"/>
  <c r="M579" i="726"/>
  <c r="K579" i="726"/>
  <c r="J579" i="726"/>
  <c r="I579" i="726"/>
  <c r="L579" i="726" s="1"/>
  <c r="H579" i="726"/>
  <c r="G579" i="726"/>
  <c r="N578" i="726"/>
  <c r="M578" i="726"/>
  <c r="K578" i="726"/>
  <c r="J578" i="726"/>
  <c r="L578" i="726" s="1"/>
  <c r="I578" i="726"/>
  <c r="H578" i="726"/>
  <c r="G578" i="726"/>
  <c r="N577" i="726"/>
  <c r="O577" i="726" s="1"/>
  <c r="M577" i="726"/>
  <c r="K577" i="726"/>
  <c r="J577" i="726"/>
  <c r="I577" i="726"/>
  <c r="L577" i="726" s="1"/>
  <c r="H577" i="726"/>
  <c r="G577" i="726"/>
  <c r="N576" i="726"/>
  <c r="O576" i="726" s="1"/>
  <c r="M576" i="726"/>
  <c r="K576" i="726"/>
  <c r="J576" i="726"/>
  <c r="L576" i="726" s="1"/>
  <c r="I576" i="726"/>
  <c r="H576" i="726"/>
  <c r="G576" i="726"/>
  <c r="N575" i="726"/>
  <c r="M575" i="726"/>
  <c r="K575" i="726"/>
  <c r="J575" i="726"/>
  <c r="I575" i="726"/>
  <c r="L575" i="726" s="1"/>
  <c r="H575" i="726"/>
  <c r="G575" i="726"/>
  <c r="N574" i="726"/>
  <c r="M574" i="726"/>
  <c r="K574" i="726"/>
  <c r="J574" i="726"/>
  <c r="L574" i="726" s="1"/>
  <c r="I574" i="726"/>
  <c r="H574" i="726"/>
  <c r="G574" i="726"/>
  <c r="N573" i="726"/>
  <c r="M573" i="726"/>
  <c r="O573" i="726" s="1"/>
  <c r="K573" i="726"/>
  <c r="J573" i="726"/>
  <c r="I573" i="726"/>
  <c r="L573" i="726" s="1"/>
  <c r="H573" i="726"/>
  <c r="G573" i="726"/>
  <c r="N572" i="726"/>
  <c r="O572" i="726" s="1"/>
  <c r="M572" i="726"/>
  <c r="L572" i="726"/>
  <c r="K572" i="726"/>
  <c r="J572" i="726"/>
  <c r="I572" i="726"/>
  <c r="H572" i="726"/>
  <c r="G572" i="726"/>
  <c r="N571" i="726"/>
  <c r="M571" i="726"/>
  <c r="K571" i="726"/>
  <c r="J571" i="726"/>
  <c r="I571" i="726"/>
  <c r="H571" i="726"/>
  <c r="G571" i="726"/>
  <c r="N570" i="726"/>
  <c r="M570" i="726"/>
  <c r="L570" i="726"/>
  <c r="K570" i="726"/>
  <c r="J570" i="726"/>
  <c r="I570" i="726"/>
  <c r="H570" i="726"/>
  <c r="G570" i="726"/>
  <c r="N569" i="726"/>
  <c r="O569" i="726" s="1"/>
  <c r="M569" i="726"/>
  <c r="K569" i="726"/>
  <c r="J569" i="726"/>
  <c r="I569" i="726"/>
  <c r="H569" i="726"/>
  <c r="G569" i="726"/>
  <c r="N568" i="726"/>
  <c r="O568" i="726" s="1"/>
  <c r="M568" i="726"/>
  <c r="K568" i="726"/>
  <c r="J568" i="726"/>
  <c r="L568" i="726" s="1"/>
  <c r="I568" i="726"/>
  <c r="H568" i="726"/>
  <c r="G568" i="726"/>
  <c r="N567" i="726"/>
  <c r="M567" i="726"/>
  <c r="O567" i="726" s="1"/>
  <c r="K567" i="726"/>
  <c r="J567" i="726"/>
  <c r="I567" i="726"/>
  <c r="L567" i="726" s="1"/>
  <c r="H567" i="726"/>
  <c r="G567" i="726"/>
  <c r="N566" i="726"/>
  <c r="M566" i="726"/>
  <c r="K566" i="726"/>
  <c r="L566" i="726" s="1"/>
  <c r="J566" i="726"/>
  <c r="I566" i="726"/>
  <c r="H566" i="726"/>
  <c r="G566" i="726"/>
  <c r="N565" i="726"/>
  <c r="M565" i="726"/>
  <c r="O565" i="726" s="1"/>
  <c r="K565" i="726"/>
  <c r="J565" i="726"/>
  <c r="I565" i="726"/>
  <c r="H565" i="726"/>
  <c r="G565" i="726"/>
  <c r="N564" i="726"/>
  <c r="O564" i="726" s="1"/>
  <c r="M564" i="726"/>
  <c r="L564" i="726"/>
  <c r="K564" i="726"/>
  <c r="J564" i="726"/>
  <c r="I564" i="726"/>
  <c r="H564" i="726"/>
  <c r="G564" i="726"/>
  <c r="N563" i="726"/>
  <c r="O563" i="726" s="1"/>
  <c r="M563" i="726"/>
  <c r="K563" i="726"/>
  <c r="J563" i="726"/>
  <c r="I563" i="726"/>
  <c r="H563" i="726"/>
  <c r="G563" i="726"/>
  <c r="N562" i="726"/>
  <c r="M562" i="726"/>
  <c r="K562" i="726"/>
  <c r="J562" i="726"/>
  <c r="L562" i="726" s="1"/>
  <c r="I562" i="726"/>
  <c r="H562" i="726"/>
  <c r="G562" i="726"/>
  <c r="N561" i="726"/>
  <c r="M561" i="726"/>
  <c r="K561" i="726"/>
  <c r="J561" i="726"/>
  <c r="I561" i="726"/>
  <c r="L561" i="726" s="1"/>
  <c r="H561" i="726"/>
  <c r="G561" i="726"/>
  <c r="N560" i="726"/>
  <c r="O560" i="726" s="1"/>
  <c r="M560" i="726"/>
  <c r="L560" i="726"/>
  <c r="K560" i="726"/>
  <c r="J560" i="726"/>
  <c r="I560" i="726"/>
  <c r="H560" i="726"/>
  <c r="G560" i="726"/>
  <c r="N559" i="726"/>
  <c r="M559" i="726"/>
  <c r="K559" i="726"/>
  <c r="J559" i="726"/>
  <c r="I559" i="726"/>
  <c r="H559" i="726"/>
  <c r="G559" i="726"/>
  <c r="N558" i="726"/>
  <c r="M558" i="726"/>
  <c r="K558" i="726"/>
  <c r="J558" i="726"/>
  <c r="I558" i="726"/>
  <c r="L558" i="726" s="1"/>
  <c r="H558" i="726"/>
  <c r="G558" i="726"/>
  <c r="O557" i="726"/>
  <c r="N557" i="726"/>
  <c r="M557" i="726"/>
  <c r="K557" i="726"/>
  <c r="J557" i="726"/>
  <c r="I557" i="726"/>
  <c r="H557" i="726"/>
  <c r="G557" i="726"/>
  <c r="N556" i="726"/>
  <c r="O556" i="726" s="1"/>
  <c r="M556" i="726"/>
  <c r="L556" i="726"/>
  <c r="K556" i="726"/>
  <c r="J556" i="726"/>
  <c r="I556" i="726"/>
  <c r="H556" i="726"/>
  <c r="G556" i="726"/>
  <c r="N555" i="726"/>
  <c r="M555" i="726"/>
  <c r="O555" i="726" s="1"/>
  <c r="K555" i="726"/>
  <c r="J555" i="726"/>
  <c r="I555" i="726"/>
  <c r="L555" i="726" s="1"/>
  <c r="H555" i="726"/>
  <c r="G555" i="726"/>
  <c r="N554" i="726"/>
  <c r="M554" i="726"/>
  <c r="O554" i="726" s="1"/>
  <c r="K554" i="726"/>
  <c r="J554" i="726"/>
  <c r="L554" i="726" s="1"/>
  <c r="I554" i="726"/>
  <c r="H554" i="726"/>
  <c r="G554" i="726"/>
  <c r="N553" i="726"/>
  <c r="M553" i="726"/>
  <c r="O553" i="726" s="1"/>
  <c r="K553" i="726"/>
  <c r="J553" i="726"/>
  <c r="I553" i="726"/>
  <c r="L553" i="726" s="1"/>
  <c r="H553" i="726"/>
  <c r="G553" i="726"/>
  <c r="N552" i="726"/>
  <c r="O552" i="726" s="1"/>
  <c r="M552" i="726"/>
  <c r="K552" i="726"/>
  <c r="L552" i="726" s="1"/>
  <c r="J552" i="726"/>
  <c r="I552" i="726"/>
  <c r="H552" i="726"/>
  <c r="G552" i="726"/>
  <c r="N551" i="726"/>
  <c r="O551" i="726" s="1"/>
  <c r="M551" i="726"/>
  <c r="K551" i="726"/>
  <c r="J551" i="726"/>
  <c r="I551" i="726"/>
  <c r="L551" i="726" s="1"/>
  <c r="H551" i="726"/>
  <c r="G551" i="726"/>
  <c r="N550" i="726"/>
  <c r="M550" i="726"/>
  <c r="K550" i="726"/>
  <c r="L550" i="726" s="1"/>
  <c r="J550" i="726"/>
  <c r="I550" i="726"/>
  <c r="H550" i="726"/>
  <c r="G550" i="726"/>
  <c r="N549" i="726"/>
  <c r="M549" i="726"/>
  <c r="K549" i="726"/>
  <c r="J549" i="726"/>
  <c r="I549" i="726"/>
  <c r="H549" i="726"/>
  <c r="G549" i="726"/>
  <c r="O548" i="726"/>
  <c r="N548" i="726"/>
  <c r="M548" i="726"/>
  <c r="K548" i="726"/>
  <c r="J548" i="726"/>
  <c r="L548" i="726" s="1"/>
  <c r="I548" i="726"/>
  <c r="H548" i="726"/>
  <c r="G548" i="726"/>
  <c r="N547" i="726"/>
  <c r="M547" i="726"/>
  <c r="L547" i="726"/>
  <c r="K547" i="726"/>
  <c r="J547" i="726"/>
  <c r="I547" i="726"/>
  <c r="H547" i="726"/>
  <c r="G547" i="726"/>
  <c r="N546" i="726"/>
  <c r="M546" i="726"/>
  <c r="L546" i="726"/>
  <c r="K546" i="726"/>
  <c r="J546" i="726"/>
  <c r="I546" i="726"/>
  <c r="H546" i="726"/>
  <c r="G546" i="726"/>
  <c r="O545" i="726"/>
  <c r="N545" i="726"/>
  <c r="M545" i="726"/>
  <c r="K545" i="726"/>
  <c r="J545" i="726"/>
  <c r="I545" i="726"/>
  <c r="H545" i="726"/>
  <c r="G545" i="726"/>
  <c r="N544" i="726"/>
  <c r="O544" i="726" s="1"/>
  <c r="M544" i="726"/>
  <c r="K544" i="726"/>
  <c r="L544" i="726" s="1"/>
  <c r="J544" i="726"/>
  <c r="I544" i="726"/>
  <c r="H544" i="726"/>
  <c r="G544" i="726"/>
  <c r="N543" i="726"/>
  <c r="O543" i="726" s="1"/>
  <c r="M543" i="726"/>
  <c r="K543" i="726"/>
  <c r="L543" i="726" s="1"/>
  <c r="J543" i="726"/>
  <c r="I543" i="726"/>
  <c r="H543" i="726"/>
  <c r="G543" i="726"/>
  <c r="N542" i="726"/>
  <c r="M542" i="726"/>
  <c r="K542" i="726"/>
  <c r="J542" i="726"/>
  <c r="L542" i="726" s="1"/>
  <c r="I542" i="726"/>
  <c r="H542" i="726"/>
  <c r="G542" i="726"/>
  <c r="N541" i="726"/>
  <c r="M541" i="726"/>
  <c r="K541" i="726"/>
  <c r="J541" i="726"/>
  <c r="I541" i="726"/>
  <c r="L541" i="726" s="1"/>
  <c r="H541" i="726"/>
  <c r="G541" i="726"/>
  <c r="O540" i="726"/>
  <c r="N540" i="726"/>
  <c r="M540" i="726"/>
  <c r="L540" i="726"/>
  <c r="K540" i="726"/>
  <c r="J540" i="726"/>
  <c r="I540" i="726"/>
  <c r="H540" i="726"/>
  <c r="G540" i="726"/>
  <c r="N539" i="726"/>
  <c r="O539" i="726" s="1"/>
  <c r="M539" i="726"/>
  <c r="L539" i="726"/>
  <c r="K539" i="726"/>
  <c r="J539" i="726"/>
  <c r="I539" i="726"/>
  <c r="H539" i="726"/>
  <c r="G539" i="726"/>
  <c r="N538" i="726"/>
  <c r="M538" i="726"/>
  <c r="K538" i="726"/>
  <c r="J538" i="726"/>
  <c r="I538" i="726"/>
  <c r="L538" i="726" s="1"/>
  <c r="H538" i="726"/>
  <c r="G538" i="726"/>
  <c r="N537" i="726"/>
  <c r="O537" i="726" s="1"/>
  <c r="M537" i="726"/>
  <c r="K537" i="726"/>
  <c r="J537" i="726"/>
  <c r="I537" i="726"/>
  <c r="H537" i="726"/>
  <c r="G537" i="726"/>
  <c r="O536" i="726"/>
  <c r="N536" i="726"/>
  <c r="M536" i="726"/>
  <c r="K536" i="726"/>
  <c r="J536" i="726"/>
  <c r="L536" i="726" s="1"/>
  <c r="I536" i="726"/>
  <c r="H536" i="726"/>
  <c r="G536" i="726"/>
  <c r="N535" i="726"/>
  <c r="M535" i="726"/>
  <c r="O535" i="726" s="1"/>
  <c r="L535" i="726"/>
  <c r="K535" i="726"/>
  <c r="J535" i="726"/>
  <c r="I535" i="726"/>
  <c r="H535" i="726"/>
  <c r="G535" i="726"/>
  <c r="N534" i="726"/>
  <c r="M534" i="726"/>
  <c r="K534" i="726"/>
  <c r="J534" i="726"/>
  <c r="I534" i="726"/>
  <c r="L534" i="726" s="1"/>
  <c r="H534" i="726"/>
  <c r="G534" i="726"/>
  <c r="N533" i="726"/>
  <c r="O533" i="726" s="1"/>
  <c r="M533" i="726"/>
  <c r="K533" i="726"/>
  <c r="J533" i="726"/>
  <c r="I533" i="726"/>
  <c r="H533" i="726"/>
  <c r="G533" i="726"/>
  <c r="N532" i="726"/>
  <c r="O532" i="726" s="1"/>
  <c r="M532" i="726"/>
  <c r="K532" i="726"/>
  <c r="L532" i="726" s="1"/>
  <c r="J532" i="726"/>
  <c r="I532" i="726"/>
  <c r="H532" i="726"/>
  <c r="G532" i="726"/>
  <c r="N531" i="726"/>
  <c r="M531" i="726"/>
  <c r="K531" i="726"/>
  <c r="J531" i="726"/>
  <c r="I531" i="726"/>
  <c r="L531" i="726" s="1"/>
  <c r="H531" i="726"/>
  <c r="G531" i="726"/>
  <c r="N530" i="726"/>
  <c r="M530" i="726"/>
  <c r="K530" i="726"/>
  <c r="J530" i="726"/>
  <c r="L530" i="726" s="1"/>
  <c r="I530" i="726"/>
  <c r="H530" i="726"/>
  <c r="G530" i="726"/>
  <c r="N529" i="726"/>
  <c r="M529" i="726"/>
  <c r="K529" i="726"/>
  <c r="J529" i="726"/>
  <c r="I529" i="726"/>
  <c r="L529" i="726" s="1"/>
  <c r="H529" i="726"/>
  <c r="G529" i="726"/>
  <c r="N528" i="726"/>
  <c r="O528" i="726" s="1"/>
  <c r="M528" i="726"/>
  <c r="L528" i="726"/>
  <c r="K528" i="726"/>
  <c r="J528" i="726"/>
  <c r="I528" i="726"/>
  <c r="H528" i="726"/>
  <c r="G528" i="726"/>
  <c r="N527" i="726"/>
  <c r="O527" i="726" s="1"/>
  <c r="M527" i="726"/>
  <c r="K527" i="726"/>
  <c r="J527" i="726"/>
  <c r="I527" i="726"/>
  <c r="L527" i="726" s="1"/>
  <c r="H527" i="726"/>
  <c r="G527" i="726"/>
  <c r="N526" i="726"/>
  <c r="M526" i="726"/>
  <c r="K526" i="726"/>
  <c r="L526" i="726" s="1"/>
  <c r="J526" i="726"/>
  <c r="I526" i="726"/>
  <c r="H526" i="726"/>
  <c r="G526" i="726"/>
  <c r="N525" i="726"/>
  <c r="M525" i="726"/>
  <c r="O525" i="726" s="1"/>
  <c r="K525" i="726"/>
  <c r="J525" i="726"/>
  <c r="I525" i="726"/>
  <c r="H525" i="726"/>
  <c r="G525" i="726"/>
  <c r="N524" i="726"/>
  <c r="O524" i="726" s="1"/>
  <c r="M524" i="726"/>
  <c r="K524" i="726"/>
  <c r="J524" i="726"/>
  <c r="L524" i="726" s="1"/>
  <c r="I524" i="726"/>
  <c r="H524" i="726"/>
  <c r="G524" i="726"/>
  <c r="N523" i="726"/>
  <c r="M523" i="726"/>
  <c r="K523" i="726"/>
  <c r="J523" i="726"/>
  <c r="L523" i="726" s="1"/>
  <c r="I523" i="726"/>
  <c r="H523" i="726"/>
  <c r="G523" i="726"/>
  <c r="N522" i="726"/>
  <c r="M522" i="726"/>
  <c r="K522" i="726"/>
  <c r="J522" i="726"/>
  <c r="I522" i="726"/>
  <c r="L522" i="726" s="1"/>
  <c r="H522" i="726"/>
  <c r="G522" i="726"/>
  <c r="O521" i="726"/>
  <c r="N521" i="726"/>
  <c r="M521" i="726"/>
  <c r="K521" i="726"/>
  <c r="J521" i="726"/>
  <c r="I521" i="726"/>
  <c r="H521" i="726"/>
  <c r="G521" i="726"/>
  <c r="N520" i="726"/>
  <c r="O520" i="726" s="1"/>
  <c r="M520" i="726"/>
  <c r="K520" i="726"/>
  <c r="L520" i="726" s="1"/>
  <c r="J520" i="726"/>
  <c r="I520" i="726"/>
  <c r="H520" i="726"/>
  <c r="G520" i="726"/>
  <c r="N519" i="726"/>
  <c r="O519" i="726" s="1"/>
  <c r="M519" i="726"/>
  <c r="K519" i="726"/>
  <c r="L519" i="726" s="1"/>
  <c r="J519" i="726"/>
  <c r="I519" i="726"/>
  <c r="H519" i="726"/>
  <c r="G519" i="726"/>
  <c r="N518" i="726"/>
  <c r="M518" i="726"/>
  <c r="L518" i="726"/>
  <c r="K518" i="726"/>
  <c r="J518" i="726"/>
  <c r="I518" i="726"/>
  <c r="H518" i="726"/>
  <c r="G518" i="726"/>
  <c r="N517" i="726"/>
  <c r="M517" i="726"/>
  <c r="O517" i="726" s="1"/>
  <c r="K517" i="726"/>
  <c r="J517" i="726"/>
  <c r="I517" i="726"/>
  <c r="L517" i="726" s="1"/>
  <c r="H517" i="726"/>
  <c r="G517" i="726"/>
  <c r="N516" i="726"/>
  <c r="O516" i="726" s="1"/>
  <c r="M516" i="726"/>
  <c r="L516" i="726"/>
  <c r="K516" i="726"/>
  <c r="J516" i="726"/>
  <c r="I516" i="726"/>
  <c r="H516" i="726"/>
  <c r="G516" i="726"/>
  <c r="N515" i="726"/>
  <c r="O515" i="726" s="1"/>
  <c r="M515" i="726"/>
  <c r="L515" i="726"/>
  <c r="K515" i="726"/>
  <c r="J515" i="726"/>
  <c r="I515" i="726"/>
  <c r="H515" i="726"/>
  <c r="G515" i="726"/>
  <c r="N514" i="726"/>
  <c r="M514" i="726"/>
  <c r="K514" i="726"/>
  <c r="J514" i="726"/>
  <c r="I514" i="726"/>
  <c r="L514" i="726" s="1"/>
  <c r="H514" i="726"/>
  <c r="G514" i="726"/>
  <c r="N513" i="726"/>
  <c r="O513" i="726" s="1"/>
  <c r="M513" i="726"/>
  <c r="K513" i="726"/>
  <c r="J513" i="726"/>
  <c r="I513" i="726"/>
  <c r="H513" i="726"/>
  <c r="G513" i="726"/>
  <c r="N512" i="726"/>
  <c r="M512" i="726"/>
  <c r="K512" i="726"/>
  <c r="J512" i="726"/>
  <c r="L512" i="726" s="1"/>
  <c r="I512" i="726"/>
  <c r="H512" i="726"/>
  <c r="G512" i="726"/>
  <c r="N511" i="726"/>
  <c r="M511" i="726"/>
  <c r="L511" i="726"/>
  <c r="K511" i="726"/>
  <c r="J511" i="726"/>
  <c r="I511" i="726"/>
  <c r="H511" i="726"/>
  <c r="G511" i="726"/>
  <c r="N510" i="726"/>
  <c r="M510" i="726"/>
  <c r="K510" i="726"/>
  <c r="J510" i="726"/>
  <c r="I510" i="726"/>
  <c r="L510" i="726" s="1"/>
  <c r="H510" i="726"/>
  <c r="G510" i="726"/>
  <c r="N509" i="726"/>
  <c r="O509" i="726" s="1"/>
  <c r="M509" i="726"/>
  <c r="K509" i="726"/>
  <c r="J509" i="726"/>
  <c r="I509" i="726"/>
  <c r="H509" i="726"/>
  <c r="G509" i="726"/>
  <c r="N508" i="726"/>
  <c r="M508" i="726"/>
  <c r="O508" i="726" s="1"/>
  <c r="K508" i="726"/>
  <c r="L508" i="726" s="1"/>
  <c r="J508" i="726"/>
  <c r="I508" i="726"/>
  <c r="H508" i="726"/>
  <c r="G508" i="726"/>
  <c r="N507" i="726"/>
  <c r="M507" i="726"/>
  <c r="O507" i="726" s="1"/>
  <c r="K507" i="726"/>
  <c r="J507" i="726"/>
  <c r="I507" i="726"/>
  <c r="L507" i="726" s="1"/>
  <c r="H507" i="726"/>
  <c r="G507" i="726"/>
  <c r="N506" i="726"/>
  <c r="M506" i="726"/>
  <c r="O506" i="726" s="1"/>
  <c r="K506" i="726"/>
  <c r="J506" i="726"/>
  <c r="I506" i="726"/>
  <c r="L506" i="726" s="1"/>
  <c r="H506" i="726"/>
  <c r="G506" i="726"/>
  <c r="N505" i="726"/>
  <c r="M505" i="726"/>
  <c r="O505" i="726" s="1"/>
  <c r="K505" i="726"/>
  <c r="J505" i="726"/>
  <c r="I505" i="726"/>
  <c r="L505" i="726" s="1"/>
  <c r="H505" i="726"/>
  <c r="G505" i="726"/>
  <c r="N504" i="726"/>
  <c r="O504" i="726" s="1"/>
  <c r="M504" i="726"/>
  <c r="K504" i="726"/>
  <c r="L504" i="726" s="1"/>
  <c r="J504" i="726"/>
  <c r="I504" i="726"/>
  <c r="H504" i="726"/>
  <c r="G504" i="726"/>
  <c r="N503" i="726"/>
  <c r="O503" i="726" s="1"/>
  <c r="M503" i="726"/>
  <c r="K503" i="726"/>
  <c r="J503" i="726"/>
  <c r="I503" i="726"/>
  <c r="L503" i="726" s="1"/>
  <c r="H503" i="726"/>
  <c r="G503" i="726"/>
  <c r="N502" i="726"/>
  <c r="M502" i="726"/>
  <c r="K502" i="726"/>
  <c r="L502" i="726" s="1"/>
  <c r="J502" i="726"/>
  <c r="I502" i="726"/>
  <c r="H502" i="726"/>
  <c r="G502" i="726"/>
  <c r="N501" i="726"/>
  <c r="M501" i="726"/>
  <c r="K501" i="726"/>
  <c r="J501" i="726"/>
  <c r="I501" i="726"/>
  <c r="H501" i="726"/>
  <c r="G501" i="726"/>
  <c r="N500" i="726"/>
  <c r="M500" i="726"/>
  <c r="K500" i="726"/>
  <c r="J500" i="726"/>
  <c r="L500" i="726" s="1"/>
  <c r="I500" i="726"/>
  <c r="H500" i="726"/>
  <c r="G500" i="726"/>
  <c r="N499" i="726"/>
  <c r="M499" i="726"/>
  <c r="O499" i="726" s="1"/>
  <c r="K499" i="726"/>
  <c r="J499" i="726"/>
  <c r="I499" i="726"/>
  <c r="L499" i="726" s="1"/>
  <c r="H499" i="726"/>
  <c r="G499" i="726"/>
  <c r="N498" i="726"/>
  <c r="M498" i="726"/>
  <c r="K498" i="726"/>
  <c r="J498" i="726"/>
  <c r="I498" i="726"/>
  <c r="L498" i="726" s="1"/>
  <c r="H498" i="726"/>
  <c r="G498" i="726"/>
  <c r="N497" i="726"/>
  <c r="O497" i="726" s="1"/>
  <c r="M497" i="726"/>
  <c r="K497" i="726"/>
  <c r="J497" i="726"/>
  <c r="I497" i="726"/>
  <c r="H497" i="726"/>
  <c r="G497" i="726"/>
  <c r="N496" i="726"/>
  <c r="O496" i="726" s="1"/>
  <c r="M496" i="726"/>
  <c r="K496" i="726"/>
  <c r="J496" i="726"/>
  <c r="I496" i="726"/>
  <c r="L496" i="726" s="1"/>
  <c r="H496" i="726"/>
  <c r="G496" i="726"/>
  <c r="N495" i="726"/>
  <c r="O495" i="726" s="1"/>
  <c r="M495" i="726"/>
  <c r="K495" i="726"/>
  <c r="L495" i="726" s="1"/>
  <c r="J495" i="726"/>
  <c r="I495" i="726"/>
  <c r="H495" i="726"/>
  <c r="G495" i="726"/>
  <c r="N494" i="726"/>
  <c r="M494" i="726"/>
  <c r="O494" i="726" s="1"/>
  <c r="K494" i="726"/>
  <c r="J494" i="726"/>
  <c r="I494" i="726"/>
  <c r="H494" i="726"/>
  <c r="G494" i="726"/>
  <c r="N493" i="726"/>
  <c r="M493" i="726"/>
  <c r="O493" i="726" s="1"/>
  <c r="K493" i="726"/>
  <c r="J493" i="726"/>
  <c r="I493" i="726"/>
  <c r="L493" i="726" s="1"/>
  <c r="H493" i="726"/>
  <c r="G493" i="726"/>
  <c r="N492" i="726"/>
  <c r="O492" i="726" s="1"/>
  <c r="M492" i="726"/>
  <c r="K492" i="726"/>
  <c r="J492" i="726"/>
  <c r="I492" i="726"/>
  <c r="L492" i="726" s="1"/>
  <c r="H492" i="726"/>
  <c r="G492" i="726"/>
  <c r="N491" i="726"/>
  <c r="O491" i="726" s="1"/>
  <c r="M491" i="726"/>
  <c r="K491" i="726"/>
  <c r="L491" i="726" s="1"/>
  <c r="J491" i="726"/>
  <c r="I491" i="726"/>
  <c r="H491" i="726"/>
  <c r="G491" i="726"/>
  <c r="N490" i="726"/>
  <c r="M490" i="726"/>
  <c r="O490" i="726" s="1"/>
  <c r="K490" i="726"/>
  <c r="J490" i="726"/>
  <c r="I490" i="726"/>
  <c r="H490" i="726"/>
  <c r="G490" i="726"/>
  <c r="N489" i="726"/>
  <c r="M489" i="726"/>
  <c r="O489" i="726" s="1"/>
  <c r="K489" i="726"/>
  <c r="J489" i="726"/>
  <c r="I489" i="726"/>
  <c r="L489" i="726" s="1"/>
  <c r="H489" i="726"/>
  <c r="G489" i="726"/>
  <c r="N488" i="726"/>
  <c r="O488" i="726" s="1"/>
  <c r="M488" i="726"/>
  <c r="K488" i="726"/>
  <c r="J488" i="726"/>
  <c r="I488" i="726"/>
  <c r="L488" i="726" s="1"/>
  <c r="H488" i="726"/>
  <c r="G488" i="726"/>
  <c r="N487" i="726"/>
  <c r="O487" i="726" s="1"/>
  <c r="M487" i="726"/>
  <c r="K487" i="726"/>
  <c r="L487" i="726" s="1"/>
  <c r="J487" i="726"/>
  <c r="I487" i="726"/>
  <c r="H487" i="726"/>
  <c r="G487" i="726"/>
  <c r="N486" i="726"/>
  <c r="M486" i="726"/>
  <c r="K486" i="726"/>
  <c r="J486" i="726"/>
  <c r="I486" i="726"/>
  <c r="L486" i="726" s="1"/>
  <c r="H486" i="726"/>
  <c r="G486" i="726"/>
  <c r="N485" i="726"/>
  <c r="M485" i="726"/>
  <c r="K485" i="726"/>
  <c r="J485" i="726"/>
  <c r="I485" i="726"/>
  <c r="H485" i="726"/>
  <c r="G485" i="726"/>
  <c r="N484" i="726"/>
  <c r="O484" i="726" s="1"/>
  <c r="M484" i="726"/>
  <c r="K484" i="726"/>
  <c r="J484" i="726"/>
  <c r="L484" i="726" s="1"/>
  <c r="I484" i="726"/>
  <c r="H484" i="726"/>
  <c r="G484" i="726"/>
  <c r="N483" i="726"/>
  <c r="O483" i="726" s="1"/>
  <c r="M483" i="726"/>
  <c r="L483" i="726"/>
  <c r="K483" i="726"/>
  <c r="J483" i="726"/>
  <c r="I483" i="726"/>
  <c r="H483" i="726"/>
  <c r="G483" i="726"/>
  <c r="N482" i="726"/>
  <c r="M482" i="726"/>
  <c r="K482" i="726"/>
  <c r="J482" i="726"/>
  <c r="I482" i="726"/>
  <c r="L482" i="726" s="1"/>
  <c r="H482" i="726"/>
  <c r="G482" i="726"/>
  <c r="N481" i="726"/>
  <c r="M481" i="726"/>
  <c r="K481" i="726"/>
  <c r="J481" i="726"/>
  <c r="I481" i="726"/>
  <c r="L481" i="726" s="1"/>
  <c r="H481" i="726"/>
  <c r="G481" i="726"/>
  <c r="O480" i="726"/>
  <c r="N480" i="726"/>
  <c r="M480" i="726"/>
  <c r="K480" i="726"/>
  <c r="J480" i="726"/>
  <c r="L480" i="726" s="1"/>
  <c r="I480" i="726"/>
  <c r="H480" i="726"/>
  <c r="G480" i="726"/>
  <c r="N479" i="726"/>
  <c r="O479" i="726" s="1"/>
  <c r="M479" i="726"/>
  <c r="L479" i="726"/>
  <c r="K479" i="726"/>
  <c r="J479" i="726"/>
  <c r="I479" i="726"/>
  <c r="H479" i="726"/>
  <c r="G479" i="726"/>
  <c r="N478" i="726"/>
  <c r="M478" i="726"/>
  <c r="K478" i="726"/>
  <c r="J478" i="726"/>
  <c r="I478" i="726"/>
  <c r="L478" i="726" s="1"/>
  <c r="H478" i="726"/>
  <c r="G478" i="726"/>
  <c r="N477" i="726"/>
  <c r="M477" i="726"/>
  <c r="O477" i="726" s="1"/>
  <c r="K477" i="726"/>
  <c r="J477" i="726"/>
  <c r="I477" i="726"/>
  <c r="H477" i="726"/>
  <c r="G477" i="726"/>
  <c r="N476" i="726"/>
  <c r="O476" i="726" s="1"/>
  <c r="M476" i="726"/>
  <c r="K476" i="726"/>
  <c r="J476" i="726"/>
  <c r="L476" i="726" s="1"/>
  <c r="I476" i="726"/>
  <c r="H476" i="726"/>
  <c r="G476" i="726"/>
  <c r="N475" i="726"/>
  <c r="O475" i="726" s="1"/>
  <c r="M475" i="726"/>
  <c r="L475" i="726"/>
  <c r="K475" i="726"/>
  <c r="J475" i="726"/>
  <c r="I475" i="726"/>
  <c r="H475" i="726"/>
  <c r="G475" i="726"/>
  <c r="N474" i="726"/>
  <c r="M474" i="726"/>
  <c r="K474" i="726"/>
  <c r="J474" i="726"/>
  <c r="I474" i="726"/>
  <c r="L474" i="726" s="1"/>
  <c r="H474" i="726"/>
  <c r="G474" i="726"/>
  <c r="N473" i="726"/>
  <c r="M473" i="726"/>
  <c r="O473" i="726" s="1"/>
  <c r="K473" i="726"/>
  <c r="J473" i="726"/>
  <c r="I473" i="726"/>
  <c r="L473" i="726" s="1"/>
  <c r="H473" i="726"/>
  <c r="G473" i="726"/>
  <c r="N472" i="726"/>
  <c r="O472" i="726" s="1"/>
  <c r="M472" i="726"/>
  <c r="K472" i="726"/>
  <c r="J472" i="726"/>
  <c r="L472" i="726" s="1"/>
  <c r="I472" i="726"/>
  <c r="H472" i="726"/>
  <c r="G472" i="726"/>
  <c r="N471" i="726"/>
  <c r="O471" i="726" s="1"/>
  <c r="M471" i="726"/>
  <c r="L471" i="726"/>
  <c r="K471" i="726"/>
  <c r="J471" i="726"/>
  <c r="I471" i="726"/>
  <c r="H471" i="726"/>
  <c r="G471" i="726"/>
  <c r="N470" i="726"/>
  <c r="M470" i="726"/>
  <c r="K470" i="726"/>
  <c r="J470" i="726"/>
  <c r="I470" i="726"/>
  <c r="L470" i="726" s="1"/>
  <c r="H470" i="726"/>
  <c r="G470" i="726"/>
  <c r="N469" i="726"/>
  <c r="M469" i="726"/>
  <c r="K469" i="726"/>
  <c r="J469" i="726"/>
  <c r="I469" i="726"/>
  <c r="H469" i="726"/>
  <c r="G469" i="726"/>
  <c r="N468" i="726"/>
  <c r="O468" i="726" s="1"/>
  <c r="M468" i="726"/>
  <c r="K468" i="726"/>
  <c r="J468" i="726"/>
  <c r="L468" i="726" s="1"/>
  <c r="I468" i="726"/>
  <c r="H468" i="726"/>
  <c r="G468" i="726"/>
  <c r="N467" i="726"/>
  <c r="O467" i="726" s="1"/>
  <c r="M467" i="726"/>
  <c r="L467" i="726"/>
  <c r="K467" i="726"/>
  <c r="J467" i="726"/>
  <c r="I467" i="726"/>
  <c r="H467" i="726"/>
  <c r="G467" i="726"/>
  <c r="N466" i="726"/>
  <c r="M466" i="726"/>
  <c r="K466" i="726"/>
  <c r="J466" i="726"/>
  <c r="I466" i="726"/>
  <c r="H466" i="726"/>
  <c r="G466" i="726"/>
  <c r="N465" i="726"/>
  <c r="M465" i="726"/>
  <c r="O465" i="726" s="1"/>
  <c r="K465" i="726"/>
  <c r="J465" i="726"/>
  <c r="I465" i="726"/>
  <c r="L465" i="726" s="1"/>
  <c r="H465" i="726"/>
  <c r="G465" i="726"/>
  <c r="O464" i="726"/>
  <c r="N464" i="726"/>
  <c r="M464" i="726"/>
  <c r="K464" i="726"/>
  <c r="J464" i="726"/>
  <c r="L464" i="726" s="1"/>
  <c r="I464" i="726"/>
  <c r="H464" i="726"/>
  <c r="G464" i="726"/>
  <c r="N463" i="726"/>
  <c r="O463" i="726" s="1"/>
  <c r="M463" i="726"/>
  <c r="L463" i="726"/>
  <c r="K463" i="726"/>
  <c r="J463" i="726"/>
  <c r="I463" i="726"/>
  <c r="H463" i="726"/>
  <c r="G463" i="726"/>
  <c r="N462" i="726"/>
  <c r="M462" i="726"/>
  <c r="K462" i="726"/>
  <c r="J462" i="726"/>
  <c r="I462" i="726"/>
  <c r="L462" i="726" s="1"/>
  <c r="H462" i="726"/>
  <c r="G462" i="726"/>
  <c r="N461" i="726"/>
  <c r="M461" i="726"/>
  <c r="O461" i="726" s="1"/>
  <c r="K461" i="726"/>
  <c r="J461" i="726"/>
  <c r="I461" i="726"/>
  <c r="H461" i="726"/>
  <c r="G461" i="726"/>
  <c r="N460" i="726"/>
  <c r="O460" i="726" s="1"/>
  <c r="M460" i="726"/>
  <c r="K460" i="726"/>
  <c r="J460" i="726"/>
  <c r="L460" i="726" s="1"/>
  <c r="I460" i="726"/>
  <c r="H460" i="726"/>
  <c r="G460" i="726"/>
  <c r="N459" i="726"/>
  <c r="O459" i="726" s="1"/>
  <c r="M459" i="726"/>
  <c r="L459" i="726"/>
  <c r="K459" i="726"/>
  <c r="J459" i="726"/>
  <c r="I459" i="726"/>
  <c r="H459" i="726"/>
  <c r="G459" i="726"/>
  <c r="N458" i="726"/>
  <c r="M458" i="726"/>
  <c r="K458" i="726"/>
  <c r="J458" i="726"/>
  <c r="I458" i="726"/>
  <c r="H458" i="726"/>
  <c r="G458" i="726"/>
  <c r="N457" i="726"/>
  <c r="M457" i="726"/>
  <c r="O457" i="726" s="1"/>
  <c r="K457" i="726"/>
  <c r="J457" i="726"/>
  <c r="I457" i="726"/>
  <c r="L457" i="726" s="1"/>
  <c r="H457" i="726"/>
  <c r="G457" i="726"/>
  <c r="O456" i="726"/>
  <c r="N456" i="726"/>
  <c r="M456" i="726"/>
  <c r="K456" i="726"/>
  <c r="J456" i="726"/>
  <c r="L456" i="726" s="1"/>
  <c r="I456" i="726"/>
  <c r="H456" i="726"/>
  <c r="G456" i="726"/>
  <c r="N455" i="726"/>
  <c r="O455" i="726" s="1"/>
  <c r="M455" i="726"/>
  <c r="L455" i="726"/>
  <c r="K455" i="726"/>
  <c r="J455" i="726"/>
  <c r="I455" i="726"/>
  <c r="H455" i="726"/>
  <c r="G455" i="726"/>
  <c r="N454" i="726"/>
  <c r="M454" i="726"/>
  <c r="K454" i="726"/>
  <c r="J454" i="726"/>
  <c r="I454" i="726"/>
  <c r="L454" i="726" s="1"/>
  <c r="H454" i="726"/>
  <c r="G454" i="726"/>
  <c r="N453" i="726"/>
  <c r="M453" i="726"/>
  <c r="O453" i="726" s="1"/>
  <c r="K453" i="726"/>
  <c r="J453" i="726"/>
  <c r="I453" i="726"/>
  <c r="H453" i="726"/>
  <c r="G453" i="726"/>
  <c r="N452" i="726"/>
  <c r="O452" i="726" s="1"/>
  <c r="M452" i="726"/>
  <c r="K452" i="726"/>
  <c r="J452" i="726"/>
  <c r="L452" i="726" s="1"/>
  <c r="I452" i="726"/>
  <c r="H452" i="726"/>
  <c r="G452" i="726"/>
  <c r="N451" i="726"/>
  <c r="O451" i="726" s="1"/>
  <c r="M451" i="726"/>
  <c r="L451" i="726"/>
  <c r="K451" i="726"/>
  <c r="J451" i="726"/>
  <c r="I451" i="726"/>
  <c r="H451" i="726"/>
  <c r="G451" i="726"/>
  <c r="N450" i="726"/>
  <c r="M450" i="726"/>
  <c r="K450" i="726"/>
  <c r="J450" i="726"/>
  <c r="I450" i="726"/>
  <c r="H450" i="726"/>
  <c r="G450" i="726"/>
  <c r="N449" i="726"/>
  <c r="M449" i="726"/>
  <c r="O449" i="726" s="1"/>
  <c r="K449" i="726"/>
  <c r="J449" i="726"/>
  <c r="I449" i="726"/>
  <c r="L449" i="726" s="1"/>
  <c r="H449" i="726"/>
  <c r="G449" i="726"/>
  <c r="O448" i="726"/>
  <c r="N448" i="726"/>
  <c r="M448" i="726"/>
  <c r="K448" i="726"/>
  <c r="J448" i="726"/>
  <c r="L448" i="726" s="1"/>
  <c r="I448" i="726"/>
  <c r="H448" i="726"/>
  <c r="G448" i="726"/>
  <c r="N447" i="726"/>
  <c r="O447" i="726" s="1"/>
  <c r="M447" i="726"/>
  <c r="L447" i="726"/>
  <c r="K447" i="726"/>
  <c r="J447" i="726"/>
  <c r="I447" i="726"/>
  <c r="H447" i="726"/>
  <c r="G447" i="726"/>
  <c r="N446" i="726"/>
  <c r="M446" i="726"/>
  <c r="K446" i="726"/>
  <c r="J446" i="726"/>
  <c r="I446" i="726"/>
  <c r="L446" i="726" s="1"/>
  <c r="H446" i="726"/>
  <c r="G446" i="726"/>
  <c r="N445" i="726"/>
  <c r="M445" i="726"/>
  <c r="O445" i="726" s="1"/>
  <c r="K445" i="726"/>
  <c r="J445" i="726"/>
  <c r="I445" i="726"/>
  <c r="H445" i="726"/>
  <c r="G445" i="726"/>
  <c r="N444" i="726"/>
  <c r="O444" i="726" s="1"/>
  <c r="M444" i="726"/>
  <c r="K444" i="726"/>
  <c r="J444" i="726"/>
  <c r="L444" i="726" s="1"/>
  <c r="I444" i="726"/>
  <c r="H444" i="726"/>
  <c r="G444" i="726"/>
  <c r="N443" i="726"/>
  <c r="O443" i="726" s="1"/>
  <c r="M443" i="726"/>
  <c r="L443" i="726"/>
  <c r="K443" i="726"/>
  <c r="J443" i="726"/>
  <c r="I443" i="726"/>
  <c r="H443" i="726"/>
  <c r="G443" i="726"/>
  <c r="N442" i="726"/>
  <c r="M442" i="726"/>
  <c r="K442" i="726"/>
  <c r="J442" i="726"/>
  <c r="I442" i="726"/>
  <c r="H442" i="726"/>
  <c r="G442" i="726"/>
  <c r="N441" i="726"/>
  <c r="M441" i="726"/>
  <c r="O441" i="726" s="1"/>
  <c r="K441" i="726"/>
  <c r="J441" i="726"/>
  <c r="I441" i="726"/>
  <c r="L441" i="726" s="1"/>
  <c r="H441" i="726"/>
  <c r="G441" i="726"/>
  <c r="O440" i="726"/>
  <c r="N440" i="726"/>
  <c r="M440" i="726"/>
  <c r="K440" i="726"/>
  <c r="J440" i="726"/>
  <c r="L440" i="726" s="1"/>
  <c r="I440" i="726"/>
  <c r="H440" i="726"/>
  <c r="G440" i="726"/>
  <c r="N439" i="726"/>
  <c r="O439" i="726" s="1"/>
  <c r="M439" i="726"/>
  <c r="L439" i="726"/>
  <c r="K439" i="726"/>
  <c r="J439" i="726"/>
  <c r="I439" i="726"/>
  <c r="H439" i="726"/>
  <c r="G439" i="726"/>
  <c r="N438" i="726"/>
  <c r="M438" i="726"/>
  <c r="K438" i="726"/>
  <c r="J438" i="726"/>
  <c r="I438" i="726"/>
  <c r="L438" i="726" s="1"/>
  <c r="H438" i="726"/>
  <c r="G438" i="726"/>
  <c r="N437" i="726"/>
  <c r="M437" i="726"/>
  <c r="O437" i="726" s="1"/>
  <c r="K437" i="726"/>
  <c r="J437" i="726"/>
  <c r="I437" i="726"/>
  <c r="H437" i="726"/>
  <c r="G437" i="726"/>
  <c r="N436" i="726"/>
  <c r="O436" i="726" s="1"/>
  <c r="M436" i="726"/>
  <c r="K436" i="726"/>
  <c r="J436" i="726"/>
  <c r="L436" i="726" s="1"/>
  <c r="I436" i="726"/>
  <c r="H436" i="726"/>
  <c r="G436" i="726"/>
  <c r="N435" i="726"/>
  <c r="O435" i="726" s="1"/>
  <c r="M435" i="726"/>
  <c r="L435" i="726"/>
  <c r="K435" i="726"/>
  <c r="J435" i="726"/>
  <c r="I435" i="726"/>
  <c r="H435" i="726"/>
  <c r="G435" i="726"/>
  <c r="N434" i="726"/>
  <c r="M434" i="726"/>
  <c r="K434" i="726"/>
  <c r="J434" i="726"/>
  <c r="I434" i="726"/>
  <c r="H434" i="726"/>
  <c r="G434" i="726"/>
  <c r="N433" i="726"/>
  <c r="M433" i="726"/>
  <c r="O433" i="726" s="1"/>
  <c r="K433" i="726"/>
  <c r="J433" i="726"/>
  <c r="I433" i="726"/>
  <c r="L433" i="726" s="1"/>
  <c r="H433" i="726"/>
  <c r="G433" i="726"/>
  <c r="O432" i="726"/>
  <c r="N432" i="726"/>
  <c r="M432" i="726"/>
  <c r="K432" i="726"/>
  <c r="J432" i="726"/>
  <c r="L432" i="726" s="1"/>
  <c r="I432" i="726"/>
  <c r="H432" i="726"/>
  <c r="G432" i="726"/>
  <c r="N431" i="726"/>
  <c r="O431" i="726" s="1"/>
  <c r="M431" i="726"/>
  <c r="L431" i="726"/>
  <c r="K431" i="726"/>
  <c r="J431" i="726"/>
  <c r="I431" i="726"/>
  <c r="H431" i="726"/>
  <c r="G431" i="726"/>
  <c r="N430" i="726"/>
  <c r="M430" i="726"/>
  <c r="K430" i="726"/>
  <c r="J430" i="726"/>
  <c r="I430" i="726"/>
  <c r="L430" i="726" s="1"/>
  <c r="H430" i="726"/>
  <c r="G430" i="726"/>
  <c r="N429" i="726"/>
  <c r="M429" i="726"/>
  <c r="O429" i="726" s="1"/>
  <c r="K429" i="726"/>
  <c r="J429" i="726"/>
  <c r="I429" i="726"/>
  <c r="H429" i="726"/>
  <c r="G429" i="726"/>
  <c r="N428" i="726"/>
  <c r="O428" i="726" s="1"/>
  <c r="M428" i="726"/>
  <c r="K428" i="726"/>
  <c r="J428" i="726"/>
  <c r="L428" i="726" s="1"/>
  <c r="I428" i="726"/>
  <c r="H428" i="726"/>
  <c r="G428" i="726"/>
  <c r="N427" i="726"/>
  <c r="O427" i="726" s="1"/>
  <c r="M427" i="726"/>
  <c r="L427" i="726"/>
  <c r="K427" i="726"/>
  <c r="J427" i="726"/>
  <c r="I427" i="726"/>
  <c r="H427" i="726"/>
  <c r="G427" i="726"/>
  <c r="N426" i="726"/>
  <c r="M426" i="726"/>
  <c r="K426" i="726"/>
  <c r="J426" i="726"/>
  <c r="I426" i="726"/>
  <c r="H426" i="726"/>
  <c r="G426" i="726"/>
  <c r="N425" i="726"/>
  <c r="M425" i="726"/>
  <c r="O425" i="726" s="1"/>
  <c r="K425" i="726"/>
  <c r="J425" i="726"/>
  <c r="I425" i="726"/>
  <c r="L425" i="726" s="1"/>
  <c r="H425" i="726"/>
  <c r="G425" i="726"/>
  <c r="O424" i="726"/>
  <c r="N424" i="726"/>
  <c r="M424" i="726"/>
  <c r="K424" i="726"/>
  <c r="J424" i="726"/>
  <c r="L424" i="726" s="1"/>
  <c r="I424" i="726"/>
  <c r="H424" i="726"/>
  <c r="G424" i="726"/>
  <c r="N423" i="726"/>
  <c r="O423" i="726" s="1"/>
  <c r="M423" i="726"/>
  <c r="L423" i="726"/>
  <c r="K423" i="726"/>
  <c r="J423" i="726"/>
  <c r="I423" i="726"/>
  <c r="H423" i="726"/>
  <c r="G423" i="726"/>
  <c r="N422" i="726"/>
  <c r="M422" i="726"/>
  <c r="K422" i="726"/>
  <c r="J422" i="726"/>
  <c r="I422" i="726"/>
  <c r="L422" i="726" s="1"/>
  <c r="H422" i="726"/>
  <c r="G422" i="726"/>
  <c r="N421" i="726"/>
  <c r="M421" i="726"/>
  <c r="O421" i="726" s="1"/>
  <c r="K421" i="726"/>
  <c r="J421" i="726"/>
  <c r="I421" i="726"/>
  <c r="H421" i="726"/>
  <c r="G421" i="726"/>
  <c r="N420" i="726"/>
  <c r="O420" i="726" s="1"/>
  <c r="M420" i="726"/>
  <c r="K420" i="726"/>
  <c r="J420" i="726"/>
  <c r="L420" i="726" s="1"/>
  <c r="I420" i="726"/>
  <c r="H420" i="726"/>
  <c r="G420" i="726"/>
  <c r="N419" i="726"/>
  <c r="O419" i="726" s="1"/>
  <c r="M419" i="726"/>
  <c r="L419" i="726"/>
  <c r="K419" i="726"/>
  <c r="J419" i="726"/>
  <c r="I419" i="726"/>
  <c r="H419" i="726"/>
  <c r="G419" i="726"/>
  <c r="N418" i="726"/>
  <c r="M418" i="726"/>
  <c r="K418" i="726"/>
  <c r="J418" i="726"/>
  <c r="I418" i="726"/>
  <c r="H418" i="726"/>
  <c r="G418" i="726"/>
  <c r="N417" i="726"/>
  <c r="M417" i="726"/>
  <c r="O417" i="726" s="1"/>
  <c r="K417" i="726"/>
  <c r="J417" i="726"/>
  <c r="I417" i="726"/>
  <c r="L417" i="726" s="1"/>
  <c r="H417" i="726"/>
  <c r="G417" i="726"/>
  <c r="O416" i="726"/>
  <c r="N416" i="726"/>
  <c r="M416" i="726"/>
  <c r="K416" i="726"/>
  <c r="J416" i="726"/>
  <c r="L416" i="726" s="1"/>
  <c r="I416" i="726"/>
  <c r="H416" i="726"/>
  <c r="G416" i="726"/>
  <c r="N415" i="726"/>
  <c r="O415" i="726" s="1"/>
  <c r="M415" i="726"/>
  <c r="L415" i="726"/>
  <c r="K415" i="726"/>
  <c r="J415" i="726"/>
  <c r="I415" i="726"/>
  <c r="H415" i="726"/>
  <c r="G415" i="726"/>
  <c r="N414" i="726"/>
  <c r="M414" i="726"/>
  <c r="K414" i="726"/>
  <c r="J414" i="726"/>
  <c r="I414" i="726"/>
  <c r="H414" i="726"/>
  <c r="G414" i="726"/>
  <c r="N413" i="726"/>
  <c r="M413" i="726"/>
  <c r="O413" i="726" s="1"/>
  <c r="K413" i="726"/>
  <c r="J413" i="726"/>
  <c r="I413" i="726"/>
  <c r="H413" i="726"/>
  <c r="G413" i="726"/>
  <c r="N412" i="726"/>
  <c r="O412" i="726" s="1"/>
  <c r="M412" i="726"/>
  <c r="K412" i="726"/>
  <c r="J412" i="726"/>
  <c r="L412" i="726" s="1"/>
  <c r="I412" i="726"/>
  <c r="H412" i="726"/>
  <c r="G412" i="726"/>
  <c r="N411" i="726"/>
  <c r="O411" i="726" s="1"/>
  <c r="M411" i="726"/>
  <c r="L411" i="726"/>
  <c r="K411" i="726"/>
  <c r="J411" i="726"/>
  <c r="I411" i="726"/>
  <c r="H411" i="726"/>
  <c r="G411" i="726"/>
  <c r="N410" i="726"/>
  <c r="M410" i="726"/>
  <c r="K410" i="726"/>
  <c r="J410" i="726"/>
  <c r="I410" i="726"/>
  <c r="H410" i="726"/>
  <c r="G410" i="726"/>
  <c r="N409" i="726"/>
  <c r="M409" i="726"/>
  <c r="O409" i="726" s="1"/>
  <c r="K409" i="726"/>
  <c r="J409" i="726"/>
  <c r="I409" i="726"/>
  <c r="L409" i="726" s="1"/>
  <c r="H409" i="726"/>
  <c r="G409" i="726"/>
  <c r="O408" i="726"/>
  <c r="N408" i="726"/>
  <c r="M408" i="726"/>
  <c r="K408" i="726"/>
  <c r="J408" i="726"/>
  <c r="L408" i="726" s="1"/>
  <c r="I408" i="726"/>
  <c r="H408" i="726"/>
  <c r="G408" i="726"/>
  <c r="N407" i="726"/>
  <c r="O407" i="726" s="1"/>
  <c r="M407" i="726"/>
  <c r="L407" i="726"/>
  <c r="K407" i="726"/>
  <c r="J407" i="726"/>
  <c r="I407" i="726"/>
  <c r="H407" i="726"/>
  <c r="G407" i="726"/>
  <c r="N406" i="726"/>
  <c r="M406" i="726"/>
  <c r="K406" i="726"/>
  <c r="J406" i="726"/>
  <c r="I406" i="726"/>
  <c r="H406" i="726"/>
  <c r="G406" i="726"/>
  <c r="N405" i="726"/>
  <c r="M405" i="726"/>
  <c r="O405" i="726" s="1"/>
  <c r="K405" i="726"/>
  <c r="J405" i="726"/>
  <c r="I405" i="726"/>
  <c r="H405" i="726"/>
  <c r="G405" i="726"/>
  <c r="N404" i="726"/>
  <c r="O404" i="726" s="1"/>
  <c r="M404" i="726"/>
  <c r="K404" i="726"/>
  <c r="J404" i="726"/>
  <c r="L404" i="726" s="1"/>
  <c r="I404" i="726"/>
  <c r="H404" i="726"/>
  <c r="G404" i="726"/>
  <c r="N403" i="726"/>
  <c r="O403" i="726" s="1"/>
  <c r="M403" i="726"/>
  <c r="L403" i="726"/>
  <c r="K403" i="726"/>
  <c r="J403" i="726"/>
  <c r="I403" i="726"/>
  <c r="H403" i="726"/>
  <c r="G403" i="726"/>
  <c r="N402" i="726"/>
  <c r="M402" i="726"/>
  <c r="K402" i="726"/>
  <c r="J402" i="726"/>
  <c r="I402" i="726"/>
  <c r="H402" i="726"/>
  <c r="G402" i="726"/>
  <c r="N401" i="726"/>
  <c r="M401" i="726"/>
  <c r="O401" i="726" s="1"/>
  <c r="K401" i="726"/>
  <c r="J401" i="726"/>
  <c r="I401" i="726"/>
  <c r="L401" i="726" s="1"/>
  <c r="H401" i="726"/>
  <c r="G401" i="726"/>
  <c r="O400" i="726"/>
  <c r="N400" i="726"/>
  <c r="M400" i="726"/>
  <c r="K400" i="726"/>
  <c r="J400" i="726"/>
  <c r="L400" i="726" s="1"/>
  <c r="I400" i="726"/>
  <c r="H400" i="726"/>
  <c r="G400" i="726"/>
  <c r="N399" i="726"/>
  <c r="O399" i="726" s="1"/>
  <c r="M399" i="726"/>
  <c r="L399" i="726"/>
  <c r="K399" i="726"/>
  <c r="J399" i="726"/>
  <c r="I399" i="726"/>
  <c r="H399" i="726"/>
  <c r="G399" i="726"/>
  <c r="N398" i="726"/>
  <c r="M398" i="726"/>
  <c r="K398" i="726"/>
  <c r="J398" i="726"/>
  <c r="I398" i="726"/>
  <c r="L398" i="726" s="1"/>
  <c r="H398" i="726"/>
  <c r="G398" i="726"/>
  <c r="N397" i="726"/>
  <c r="M397" i="726"/>
  <c r="O397" i="726" s="1"/>
  <c r="K397" i="726"/>
  <c r="J397" i="726"/>
  <c r="I397" i="726"/>
  <c r="H397" i="726"/>
  <c r="G397" i="726"/>
  <c r="N396" i="726"/>
  <c r="O396" i="726" s="1"/>
  <c r="M396" i="726"/>
  <c r="K396" i="726"/>
  <c r="J396" i="726"/>
  <c r="L396" i="726" s="1"/>
  <c r="I396" i="726"/>
  <c r="H396" i="726"/>
  <c r="G396" i="726"/>
  <c r="N395" i="726"/>
  <c r="O395" i="726" s="1"/>
  <c r="M395" i="726"/>
  <c r="L395" i="726"/>
  <c r="K395" i="726"/>
  <c r="J395" i="726"/>
  <c r="I395" i="726"/>
  <c r="H395" i="726"/>
  <c r="G395" i="726"/>
  <c r="N394" i="726"/>
  <c r="M394" i="726"/>
  <c r="K394" i="726"/>
  <c r="J394" i="726"/>
  <c r="I394" i="726"/>
  <c r="H394" i="726"/>
  <c r="G394" i="726"/>
  <c r="N393" i="726"/>
  <c r="M393" i="726"/>
  <c r="O393" i="726" s="1"/>
  <c r="K393" i="726"/>
  <c r="J393" i="726"/>
  <c r="I393" i="726"/>
  <c r="L393" i="726" s="1"/>
  <c r="H393" i="726"/>
  <c r="G393" i="726"/>
  <c r="O392" i="726"/>
  <c r="N392" i="726"/>
  <c r="M392" i="726"/>
  <c r="K392" i="726"/>
  <c r="J392" i="726"/>
  <c r="L392" i="726" s="1"/>
  <c r="I392" i="726"/>
  <c r="H392" i="726"/>
  <c r="G392" i="726"/>
  <c r="N391" i="726"/>
  <c r="O391" i="726" s="1"/>
  <c r="M391" i="726"/>
  <c r="L391" i="726"/>
  <c r="K391" i="726"/>
  <c r="J391" i="726"/>
  <c r="I391" i="726"/>
  <c r="H391" i="726"/>
  <c r="G391" i="726"/>
  <c r="N390" i="726"/>
  <c r="M390" i="726"/>
  <c r="K390" i="726"/>
  <c r="J390" i="726"/>
  <c r="I390" i="726"/>
  <c r="L390" i="726" s="1"/>
  <c r="H390" i="726"/>
  <c r="G390" i="726"/>
  <c r="N389" i="726"/>
  <c r="M389" i="726"/>
  <c r="O389" i="726" s="1"/>
  <c r="K389" i="726"/>
  <c r="J389" i="726"/>
  <c r="I389" i="726"/>
  <c r="H389" i="726"/>
  <c r="G389" i="726"/>
  <c r="N388" i="726"/>
  <c r="O388" i="726" s="1"/>
  <c r="M388" i="726"/>
  <c r="K388" i="726"/>
  <c r="J388" i="726"/>
  <c r="L388" i="726" s="1"/>
  <c r="I388" i="726"/>
  <c r="H388" i="726"/>
  <c r="G388" i="726"/>
  <c r="O387" i="726"/>
  <c r="N387" i="726"/>
  <c r="M387" i="726"/>
  <c r="K387" i="726"/>
  <c r="L387" i="726" s="1"/>
  <c r="J387" i="726"/>
  <c r="I387" i="726"/>
  <c r="H387" i="726"/>
  <c r="G387" i="726"/>
  <c r="N386" i="726"/>
  <c r="M386" i="726"/>
  <c r="O386" i="726" s="1"/>
  <c r="K386" i="726"/>
  <c r="J386" i="726"/>
  <c r="I386" i="726"/>
  <c r="H386" i="726"/>
  <c r="G386" i="726"/>
  <c r="N385" i="726"/>
  <c r="M385" i="726"/>
  <c r="O385" i="726" s="1"/>
  <c r="K385" i="726"/>
  <c r="J385" i="726"/>
  <c r="I385" i="726"/>
  <c r="H385" i="726"/>
  <c r="G385" i="726"/>
  <c r="O384" i="726"/>
  <c r="N384" i="726"/>
  <c r="M384" i="726"/>
  <c r="K384" i="726"/>
  <c r="J384" i="726"/>
  <c r="L384" i="726" s="1"/>
  <c r="I384" i="726"/>
  <c r="H384" i="726"/>
  <c r="G384" i="726"/>
  <c r="N383" i="726"/>
  <c r="O383" i="726" s="1"/>
  <c r="M383" i="726"/>
  <c r="K383" i="726"/>
  <c r="L383" i="726" s="1"/>
  <c r="J383" i="726"/>
  <c r="I383" i="726"/>
  <c r="H383" i="726"/>
  <c r="G383" i="726"/>
  <c r="N382" i="726"/>
  <c r="M382" i="726"/>
  <c r="O382" i="726" s="1"/>
  <c r="K382" i="726"/>
  <c r="J382" i="726"/>
  <c r="I382" i="726"/>
  <c r="L382" i="726" s="1"/>
  <c r="H382" i="726"/>
  <c r="G382" i="726"/>
  <c r="N381" i="726"/>
  <c r="M381" i="726"/>
  <c r="O381" i="726" s="1"/>
  <c r="K381" i="726"/>
  <c r="J381" i="726"/>
  <c r="I381" i="726"/>
  <c r="H381" i="726"/>
  <c r="G381" i="726"/>
  <c r="N380" i="726"/>
  <c r="O380" i="726" s="1"/>
  <c r="M380" i="726"/>
  <c r="K380" i="726"/>
  <c r="J380" i="726"/>
  <c r="L380" i="726" s="1"/>
  <c r="I380" i="726"/>
  <c r="H380" i="726"/>
  <c r="G380" i="726"/>
  <c r="O379" i="726"/>
  <c r="N379" i="726"/>
  <c r="M379" i="726"/>
  <c r="K379" i="726"/>
  <c r="L379" i="726" s="1"/>
  <c r="J379" i="726"/>
  <c r="I379" i="726"/>
  <c r="H379" i="726"/>
  <c r="G379" i="726"/>
  <c r="N378" i="726"/>
  <c r="M378" i="726"/>
  <c r="O378" i="726" s="1"/>
  <c r="K378" i="726"/>
  <c r="J378" i="726"/>
  <c r="I378" i="726"/>
  <c r="L378" i="726" s="1"/>
  <c r="H378" i="726"/>
  <c r="G378" i="726"/>
  <c r="N377" i="726"/>
  <c r="M377" i="726"/>
  <c r="O377" i="726" s="1"/>
  <c r="K377" i="726"/>
  <c r="J377" i="726"/>
  <c r="I377" i="726"/>
  <c r="H377" i="726"/>
  <c r="G377" i="726"/>
  <c r="O376" i="726"/>
  <c r="N376" i="726"/>
  <c r="M376" i="726"/>
  <c r="K376" i="726"/>
  <c r="J376" i="726"/>
  <c r="L376" i="726" s="1"/>
  <c r="I376" i="726"/>
  <c r="H376" i="726"/>
  <c r="G376" i="726"/>
  <c r="N375" i="726"/>
  <c r="O375" i="726" s="1"/>
  <c r="M375" i="726"/>
  <c r="K375" i="726"/>
  <c r="L375" i="726" s="1"/>
  <c r="J375" i="726"/>
  <c r="I375" i="726"/>
  <c r="H375" i="726"/>
  <c r="G375" i="726"/>
  <c r="N374" i="726"/>
  <c r="M374" i="726"/>
  <c r="O374" i="726" s="1"/>
  <c r="K374" i="726"/>
  <c r="J374" i="726"/>
  <c r="I374" i="726"/>
  <c r="L374" i="726" s="1"/>
  <c r="H374" i="726"/>
  <c r="G374" i="726"/>
  <c r="N373" i="726"/>
  <c r="M373" i="726"/>
  <c r="O373" i="726" s="1"/>
  <c r="K373" i="726"/>
  <c r="J373" i="726"/>
  <c r="I373" i="726"/>
  <c r="H373" i="726"/>
  <c r="G373" i="726"/>
  <c r="N372" i="726"/>
  <c r="O372" i="726" s="1"/>
  <c r="M372" i="726"/>
  <c r="K372" i="726"/>
  <c r="J372" i="726"/>
  <c r="L372" i="726" s="1"/>
  <c r="I372" i="726"/>
  <c r="H372" i="726"/>
  <c r="G372" i="726"/>
  <c r="O371" i="726"/>
  <c r="N371" i="726"/>
  <c r="M371" i="726"/>
  <c r="K371" i="726"/>
  <c r="L371" i="726" s="1"/>
  <c r="J371" i="726"/>
  <c r="I371" i="726"/>
  <c r="H371" i="726"/>
  <c r="G371" i="726"/>
  <c r="N370" i="726"/>
  <c r="M370" i="726"/>
  <c r="O370" i="726" s="1"/>
  <c r="K370" i="726"/>
  <c r="J370" i="726"/>
  <c r="I370" i="726"/>
  <c r="L370" i="726" s="1"/>
  <c r="H370" i="726"/>
  <c r="G370" i="726"/>
  <c r="N369" i="726"/>
  <c r="M369" i="726"/>
  <c r="O369" i="726" s="1"/>
  <c r="K369" i="726"/>
  <c r="J369" i="726"/>
  <c r="I369" i="726"/>
  <c r="H369" i="726"/>
  <c r="G369" i="726"/>
  <c r="N368" i="726"/>
  <c r="M368" i="726"/>
  <c r="K368" i="726"/>
  <c r="J368" i="726"/>
  <c r="L368" i="726" s="1"/>
  <c r="I368" i="726"/>
  <c r="H368" i="726"/>
  <c r="G368" i="726"/>
  <c r="O367" i="726"/>
  <c r="N367" i="726"/>
  <c r="M367" i="726"/>
  <c r="K367" i="726"/>
  <c r="L367" i="726" s="1"/>
  <c r="J367" i="726"/>
  <c r="I367" i="726"/>
  <c r="H367" i="726"/>
  <c r="G367" i="726"/>
  <c r="N366" i="726"/>
  <c r="M366" i="726"/>
  <c r="O366" i="726" s="1"/>
  <c r="K366" i="726"/>
  <c r="J366" i="726"/>
  <c r="I366" i="726"/>
  <c r="L366" i="726" s="1"/>
  <c r="H366" i="726"/>
  <c r="G366" i="726"/>
  <c r="N365" i="726"/>
  <c r="M365" i="726"/>
  <c r="O365" i="726" s="1"/>
  <c r="K365" i="726"/>
  <c r="J365" i="726"/>
  <c r="I365" i="726"/>
  <c r="H365" i="726"/>
  <c r="G365" i="726"/>
  <c r="N364" i="726"/>
  <c r="O364" i="726" s="1"/>
  <c r="M364" i="726"/>
  <c r="K364" i="726"/>
  <c r="J364" i="726"/>
  <c r="L364" i="726" s="1"/>
  <c r="I364" i="726"/>
  <c r="H364" i="726"/>
  <c r="G364" i="726"/>
  <c r="N363" i="726"/>
  <c r="O363" i="726" s="1"/>
  <c r="M363" i="726"/>
  <c r="K363" i="726"/>
  <c r="L363" i="726" s="1"/>
  <c r="J363" i="726"/>
  <c r="I363" i="726"/>
  <c r="H363" i="726"/>
  <c r="G363" i="726"/>
  <c r="N362" i="726"/>
  <c r="M362" i="726"/>
  <c r="K362" i="726"/>
  <c r="J362" i="726"/>
  <c r="I362" i="726"/>
  <c r="H362" i="726"/>
  <c r="G362" i="726"/>
  <c r="N361" i="726"/>
  <c r="M361" i="726"/>
  <c r="O361" i="726" s="1"/>
  <c r="K361" i="726"/>
  <c r="J361" i="726"/>
  <c r="I361" i="726"/>
  <c r="H361" i="726"/>
  <c r="G361" i="726"/>
  <c r="N360" i="726"/>
  <c r="O360" i="726" s="1"/>
  <c r="M360" i="726"/>
  <c r="K360" i="726"/>
  <c r="J360" i="726"/>
  <c r="L360" i="726" s="1"/>
  <c r="I360" i="726"/>
  <c r="H360" i="726"/>
  <c r="G360" i="726"/>
  <c r="O359" i="726"/>
  <c r="N359" i="726"/>
  <c r="M359" i="726"/>
  <c r="K359" i="726"/>
  <c r="J359" i="726"/>
  <c r="I359" i="726"/>
  <c r="L359" i="726" s="1"/>
  <c r="H359" i="726"/>
  <c r="G359" i="726"/>
  <c r="N358" i="726"/>
  <c r="M358" i="726"/>
  <c r="O358" i="726" s="1"/>
  <c r="K358" i="726"/>
  <c r="J358" i="726"/>
  <c r="I358" i="726"/>
  <c r="H358" i="726"/>
  <c r="G358" i="726"/>
  <c r="N357" i="726"/>
  <c r="M357" i="726"/>
  <c r="O357" i="726" s="1"/>
  <c r="K357" i="726"/>
  <c r="J357" i="726"/>
  <c r="I357" i="726"/>
  <c r="H357" i="726"/>
  <c r="G357" i="726"/>
  <c r="N356" i="726"/>
  <c r="O356" i="726" s="1"/>
  <c r="M356" i="726"/>
  <c r="L356" i="726"/>
  <c r="K356" i="726"/>
  <c r="J356" i="726"/>
  <c r="I356" i="726"/>
  <c r="H356" i="726"/>
  <c r="G356" i="726"/>
  <c r="N355" i="726"/>
  <c r="O355" i="726" s="1"/>
  <c r="M355" i="726"/>
  <c r="K355" i="726"/>
  <c r="J355" i="726"/>
  <c r="I355" i="726"/>
  <c r="L355" i="726" s="1"/>
  <c r="H355" i="726"/>
  <c r="G355" i="726"/>
  <c r="N354" i="726"/>
  <c r="O354" i="726" s="1"/>
  <c r="M354" i="726"/>
  <c r="K354" i="726"/>
  <c r="L354" i="726" s="1"/>
  <c r="J354" i="726"/>
  <c r="I354" i="726"/>
  <c r="H354" i="726"/>
  <c r="G354" i="726"/>
  <c r="N353" i="726"/>
  <c r="O353" i="726" s="1"/>
  <c r="M353" i="726"/>
  <c r="K353" i="726"/>
  <c r="J353" i="726"/>
  <c r="I353" i="726"/>
  <c r="L353" i="726" s="1"/>
  <c r="H353" i="726"/>
  <c r="G353" i="726"/>
  <c r="N352" i="726"/>
  <c r="O352" i="726" s="1"/>
  <c r="M352" i="726"/>
  <c r="L352" i="726"/>
  <c r="K352" i="726"/>
  <c r="J352" i="726"/>
  <c r="I352" i="726"/>
  <c r="H352" i="726"/>
  <c r="G352" i="726"/>
  <c r="N351" i="726"/>
  <c r="O351" i="726" s="1"/>
  <c r="M351" i="726"/>
  <c r="K351" i="726"/>
  <c r="J351" i="726"/>
  <c r="I351" i="726"/>
  <c r="L351" i="726" s="1"/>
  <c r="H351" i="726"/>
  <c r="G351" i="726"/>
  <c r="N350" i="726"/>
  <c r="O350" i="726" s="1"/>
  <c r="M350" i="726"/>
  <c r="K350" i="726"/>
  <c r="L350" i="726" s="1"/>
  <c r="J350" i="726"/>
  <c r="I350" i="726"/>
  <c r="H350" i="726"/>
  <c r="G350" i="726"/>
  <c r="O349" i="726"/>
  <c r="N349" i="726"/>
  <c r="M349" i="726"/>
  <c r="K349" i="726"/>
  <c r="J349" i="726"/>
  <c r="I349" i="726"/>
  <c r="L349" i="726" s="1"/>
  <c r="H349" i="726"/>
  <c r="G349" i="726"/>
  <c r="N348" i="726"/>
  <c r="O348" i="726" s="1"/>
  <c r="M348" i="726"/>
  <c r="L348" i="726"/>
  <c r="K348" i="726"/>
  <c r="J348" i="726"/>
  <c r="I348" i="726"/>
  <c r="H348" i="726"/>
  <c r="G348" i="726"/>
  <c r="N347" i="726"/>
  <c r="O347" i="726" s="1"/>
  <c r="M347" i="726"/>
  <c r="K347" i="726"/>
  <c r="J347" i="726"/>
  <c r="I347" i="726"/>
  <c r="L347" i="726" s="1"/>
  <c r="H347" i="726"/>
  <c r="G347" i="726"/>
  <c r="N346" i="726"/>
  <c r="O346" i="726" s="1"/>
  <c r="M346" i="726"/>
  <c r="K346" i="726"/>
  <c r="L346" i="726" s="1"/>
  <c r="J346" i="726"/>
  <c r="I346" i="726"/>
  <c r="H346" i="726"/>
  <c r="G346" i="726"/>
  <c r="N345" i="726"/>
  <c r="O345" i="726" s="1"/>
  <c r="M345" i="726"/>
  <c r="K345" i="726"/>
  <c r="J345" i="726"/>
  <c r="I345" i="726"/>
  <c r="L345" i="726" s="1"/>
  <c r="H345" i="726"/>
  <c r="G345" i="726"/>
  <c r="N344" i="726"/>
  <c r="O344" i="726" s="1"/>
  <c r="M344" i="726"/>
  <c r="L344" i="726"/>
  <c r="K344" i="726"/>
  <c r="J344" i="726"/>
  <c r="I344" i="726"/>
  <c r="H344" i="726"/>
  <c r="G344" i="726"/>
  <c r="N343" i="726"/>
  <c r="O343" i="726" s="1"/>
  <c r="M343" i="726"/>
  <c r="K343" i="726"/>
  <c r="J343" i="726"/>
  <c r="I343" i="726"/>
  <c r="L343" i="726" s="1"/>
  <c r="H343" i="726"/>
  <c r="G343" i="726"/>
  <c r="N342" i="726"/>
  <c r="O342" i="726" s="1"/>
  <c r="M342" i="726"/>
  <c r="K342" i="726"/>
  <c r="L342" i="726" s="1"/>
  <c r="J342" i="726"/>
  <c r="I342" i="726"/>
  <c r="H342" i="726"/>
  <c r="G342" i="726"/>
  <c r="O341" i="726"/>
  <c r="N341" i="726"/>
  <c r="M341" i="726"/>
  <c r="K341" i="726"/>
  <c r="J341" i="726"/>
  <c r="I341" i="726"/>
  <c r="L341" i="726" s="1"/>
  <c r="H341" i="726"/>
  <c r="G341" i="726"/>
  <c r="N340" i="726"/>
  <c r="O340" i="726" s="1"/>
  <c r="M340" i="726"/>
  <c r="L340" i="726"/>
  <c r="K340" i="726"/>
  <c r="J340" i="726"/>
  <c r="I340" i="726"/>
  <c r="H340" i="726"/>
  <c r="G340" i="726"/>
  <c r="N339" i="726"/>
  <c r="O339" i="726" s="1"/>
  <c r="M339" i="726"/>
  <c r="K339" i="726"/>
  <c r="J339" i="726"/>
  <c r="I339" i="726"/>
  <c r="L339" i="726" s="1"/>
  <c r="H339" i="726"/>
  <c r="G339" i="726"/>
  <c r="N338" i="726"/>
  <c r="O338" i="726" s="1"/>
  <c r="M338" i="726"/>
  <c r="K338" i="726"/>
  <c r="L338" i="726" s="1"/>
  <c r="J338" i="726"/>
  <c r="I338" i="726"/>
  <c r="H338" i="726"/>
  <c r="G338" i="726"/>
  <c r="N337" i="726"/>
  <c r="O337" i="726" s="1"/>
  <c r="M337" i="726"/>
  <c r="K337" i="726"/>
  <c r="J337" i="726"/>
  <c r="I337" i="726"/>
  <c r="L337" i="726" s="1"/>
  <c r="H337" i="726"/>
  <c r="G337" i="726"/>
  <c r="N336" i="726"/>
  <c r="O336" i="726" s="1"/>
  <c r="M336" i="726"/>
  <c r="L336" i="726"/>
  <c r="K336" i="726"/>
  <c r="J336" i="726"/>
  <c r="I336" i="726"/>
  <c r="H336" i="726"/>
  <c r="G336" i="726"/>
  <c r="N335" i="726"/>
  <c r="O335" i="726" s="1"/>
  <c r="M335" i="726"/>
  <c r="K335" i="726"/>
  <c r="J335" i="726"/>
  <c r="I335" i="726"/>
  <c r="L335" i="726" s="1"/>
  <c r="H335" i="726"/>
  <c r="G335" i="726"/>
  <c r="N334" i="726"/>
  <c r="O334" i="726" s="1"/>
  <c r="M334" i="726"/>
  <c r="K334" i="726"/>
  <c r="L334" i="726" s="1"/>
  <c r="J334" i="726"/>
  <c r="I334" i="726"/>
  <c r="H334" i="726"/>
  <c r="G334" i="726"/>
  <c r="O333" i="726"/>
  <c r="N333" i="726"/>
  <c r="M333" i="726"/>
  <c r="K333" i="726"/>
  <c r="J333" i="726"/>
  <c r="I333" i="726"/>
  <c r="L333" i="726" s="1"/>
  <c r="H333" i="726"/>
  <c r="G333" i="726"/>
  <c r="N332" i="726"/>
  <c r="O332" i="726" s="1"/>
  <c r="M332" i="726"/>
  <c r="L332" i="726"/>
  <c r="K332" i="726"/>
  <c r="J332" i="726"/>
  <c r="I332" i="726"/>
  <c r="H332" i="726"/>
  <c r="G332" i="726"/>
  <c r="N331" i="726"/>
  <c r="O331" i="726" s="1"/>
  <c r="M331" i="726"/>
  <c r="K331" i="726"/>
  <c r="J331" i="726"/>
  <c r="I331" i="726"/>
  <c r="L331" i="726" s="1"/>
  <c r="H331" i="726"/>
  <c r="G331" i="726"/>
  <c r="N330" i="726"/>
  <c r="O330" i="726" s="1"/>
  <c r="M330" i="726"/>
  <c r="K330" i="726"/>
  <c r="L330" i="726" s="1"/>
  <c r="J330" i="726"/>
  <c r="I330" i="726"/>
  <c r="H330" i="726"/>
  <c r="G330" i="726"/>
  <c r="N329" i="726"/>
  <c r="O329" i="726" s="1"/>
  <c r="M329" i="726"/>
  <c r="K329" i="726"/>
  <c r="J329" i="726"/>
  <c r="I329" i="726"/>
  <c r="L329" i="726" s="1"/>
  <c r="H329" i="726"/>
  <c r="G329" i="726"/>
  <c r="N328" i="726"/>
  <c r="O328" i="726" s="1"/>
  <c r="M328" i="726"/>
  <c r="L328" i="726"/>
  <c r="K328" i="726"/>
  <c r="J328" i="726"/>
  <c r="I328" i="726"/>
  <c r="H328" i="726"/>
  <c r="G328" i="726"/>
  <c r="N327" i="726"/>
  <c r="O327" i="726" s="1"/>
  <c r="M327" i="726"/>
  <c r="K327" i="726"/>
  <c r="J327" i="726"/>
  <c r="I327" i="726"/>
  <c r="L327" i="726" s="1"/>
  <c r="H327" i="726"/>
  <c r="G327" i="726"/>
  <c r="N326" i="726"/>
  <c r="O326" i="726" s="1"/>
  <c r="M326" i="726"/>
  <c r="K326" i="726"/>
  <c r="L326" i="726" s="1"/>
  <c r="J326" i="726"/>
  <c r="I326" i="726"/>
  <c r="H326" i="726"/>
  <c r="G326" i="726"/>
  <c r="O325" i="726"/>
  <c r="N325" i="726"/>
  <c r="M325" i="726"/>
  <c r="K325" i="726"/>
  <c r="J325" i="726"/>
  <c r="I325" i="726"/>
  <c r="L325" i="726" s="1"/>
  <c r="H325" i="726"/>
  <c r="G325" i="726"/>
  <c r="N324" i="726"/>
  <c r="O324" i="726" s="1"/>
  <c r="M324" i="726"/>
  <c r="L324" i="726"/>
  <c r="K324" i="726"/>
  <c r="J324" i="726"/>
  <c r="I324" i="726"/>
  <c r="H324" i="726"/>
  <c r="G324" i="726"/>
  <c r="N323" i="726"/>
  <c r="O323" i="726" s="1"/>
  <c r="M323" i="726"/>
  <c r="K323" i="726"/>
  <c r="J323" i="726"/>
  <c r="I323" i="726"/>
  <c r="L323" i="726" s="1"/>
  <c r="H323" i="726"/>
  <c r="G323" i="726"/>
  <c r="N322" i="726"/>
  <c r="O322" i="726" s="1"/>
  <c r="M322" i="726"/>
  <c r="K322" i="726"/>
  <c r="L322" i="726" s="1"/>
  <c r="J322" i="726"/>
  <c r="I322" i="726"/>
  <c r="H322" i="726"/>
  <c r="G322" i="726"/>
  <c r="N321" i="726"/>
  <c r="O321" i="726" s="1"/>
  <c r="M321" i="726"/>
  <c r="K321" i="726"/>
  <c r="J321" i="726"/>
  <c r="I321" i="726"/>
  <c r="L321" i="726" s="1"/>
  <c r="H321" i="726"/>
  <c r="G321" i="726"/>
  <c r="N320" i="726"/>
  <c r="O320" i="726" s="1"/>
  <c r="M320" i="726"/>
  <c r="L320" i="726"/>
  <c r="K320" i="726"/>
  <c r="J320" i="726"/>
  <c r="I320" i="726"/>
  <c r="H320" i="726"/>
  <c r="G320" i="726"/>
  <c r="N319" i="726"/>
  <c r="O319" i="726" s="1"/>
  <c r="M319" i="726"/>
  <c r="K319" i="726"/>
  <c r="J319" i="726"/>
  <c r="I319" i="726"/>
  <c r="L319" i="726" s="1"/>
  <c r="H319" i="726"/>
  <c r="G319" i="726"/>
  <c r="N318" i="726"/>
  <c r="O318" i="726" s="1"/>
  <c r="M318" i="726"/>
  <c r="K318" i="726"/>
  <c r="J318" i="726"/>
  <c r="L318" i="726" s="1"/>
  <c r="I318" i="726"/>
  <c r="H318" i="726"/>
  <c r="G318" i="726"/>
  <c r="N317" i="726"/>
  <c r="M317" i="726"/>
  <c r="K317" i="726"/>
  <c r="J317" i="726"/>
  <c r="I317" i="726"/>
  <c r="L317" i="726" s="1"/>
  <c r="H317" i="726"/>
  <c r="G317" i="726"/>
  <c r="N316" i="726"/>
  <c r="O316" i="726" s="1"/>
  <c r="M316" i="726"/>
  <c r="L316" i="726"/>
  <c r="K316" i="726"/>
  <c r="J316" i="726"/>
  <c r="I316" i="726"/>
  <c r="H316" i="726"/>
  <c r="G316" i="726"/>
  <c r="N315" i="726"/>
  <c r="M315" i="726"/>
  <c r="K315" i="726"/>
  <c r="J315" i="726"/>
  <c r="I315" i="726"/>
  <c r="L315" i="726" s="1"/>
  <c r="H315" i="726"/>
  <c r="G315" i="726"/>
  <c r="N314" i="726"/>
  <c r="O314" i="726" s="1"/>
  <c r="M314" i="726"/>
  <c r="K314" i="726"/>
  <c r="J314" i="726"/>
  <c r="L314" i="726" s="1"/>
  <c r="I314" i="726"/>
  <c r="H314" i="726"/>
  <c r="G314" i="726"/>
  <c r="N313" i="726"/>
  <c r="M313" i="726"/>
  <c r="K313" i="726"/>
  <c r="J313" i="726"/>
  <c r="I313" i="726"/>
  <c r="L313" i="726" s="1"/>
  <c r="H313" i="726"/>
  <c r="G313" i="726"/>
  <c r="N312" i="726"/>
  <c r="O312" i="726" s="1"/>
  <c r="M312" i="726"/>
  <c r="K312" i="726"/>
  <c r="J312" i="726"/>
  <c r="L312" i="726" s="1"/>
  <c r="I312" i="726"/>
  <c r="H312" i="726"/>
  <c r="G312" i="726"/>
  <c r="N311" i="726"/>
  <c r="M311" i="726"/>
  <c r="O311" i="726" s="1"/>
  <c r="K311" i="726"/>
  <c r="J311" i="726"/>
  <c r="I311" i="726"/>
  <c r="L311" i="726" s="1"/>
  <c r="H311" i="726"/>
  <c r="G311" i="726"/>
  <c r="N310" i="726"/>
  <c r="O310" i="726" s="1"/>
  <c r="M310" i="726"/>
  <c r="K310" i="726"/>
  <c r="J310" i="726"/>
  <c r="L310" i="726" s="1"/>
  <c r="I310" i="726"/>
  <c r="H310" i="726"/>
  <c r="G310" i="726"/>
  <c r="N309" i="726"/>
  <c r="M309" i="726"/>
  <c r="O309" i="726" s="1"/>
  <c r="K309" i="726"/>
  <c r="J309" i="726"/>
  <c r="I309" i="726"/>
  <c r="L309" i="726" s="1"/>
  <c r="H309" i="726"/>
  <c r="G309" i="726"/>
  <c r="N308" i="726"/>
  <c r="O308" i="726" s="1"/>
  <c r="M308" i="726"/>
  <c r="L308" i="726"/>
  <c r="K308" i="726"/>
  <c r="J308" i="726"/>
  <c r="I308" i="726"/>
  <c r="H308" i="726"/>
  <c r="G308" i="726"/>
  <c r="N307" i="726"/>
  <c r="M307" i="726"/>
  <c r="K307" i="726"/>
  <c r="J307" i="726"/>
  <c r="I307" i="726"/>
  <c r="L307" i="726" s="1"/>
  <c r="H307" i="726"/>
  <c r="G307" i="726"/>
  <c r="N306" i="726"/>
  <c r="O306" i="726" s="1"/>
  <c r="M306" i="726"/>
  <c r="K306" i="726"/>
  <c r="J306" i="726"/>
  <c r="L306" i="726" s="1"/>
  <c r="I306" i="726"/>
  <c r="H306" i="726"/>
  <c r="G306" i="726"/>
  <c r="N305" i="726"/>
  <c r="M305" i="726"/>
  <c r="O305" i="726" s="1"/>
  <c r="K305" i="726"/>
  <c r="J305" i="726"/>
  <c r="I305" i="726"/>
  <c r="L305" i="726" s="1"/>
  <c r="H305" i="726"/>
  <c r="G305" i="726"/>
  <c r="N304" i="726"/>
  <c r="O304" i="726" s="1"/>
  <c r="M304" i="726"/>
  <c r="K304" i="726"/>
  <c r="J304" i="726"/>
  <c r="L304" i="726" s="1"/>
  <c r="I304" i="726"/>
  <c r="H304" i="726"/>
  <c r="G304" i="726"/>
  <c r="N303" i="726"/>
  <c r="M303" i="726"/>
  <c r="O303" i="726" s="1"/>
  <c r="K303" i="726"/>
  <c r="J303" i="726"/>
  <c r="I303" i="726"/>
  <c r="L303" i="726" s="1"/>
  <c r="H303" i="726"/>
  <c r="G303" i="726"/>
  <c r="N302" i="726"/>
  <c r="O302" i="726" s="1"/>
  <c r="M302" i="726"/>
  <c r="K302" i="726"/>
  <c r="J302" i="726"/>
  <c r="L302" i="726" s="1"/>
  <c r="I302" i="726"/>
  <c r="H302" i="726"/>
  <c r="G302" i="726"/>
  <c r="N301" i="726"/>
  <c r="M301" i="726"/>
  <c r="O301" i="726" s="1"/>
  <c r="K301" i="726"/>
  <c r="J301" i="726"/>
  <c r="I301" i="726"/>
  <c r="L301" i="726" s="1"/>
  <c r="H301" i="726"/>
  <c r="G301" i="726"/>
  <c r="N300" i="726"/>
  <c r="O300" i="726" s="1"/>
  <c r="M300" i="726"/>
  <c r="L300" i="726"/>
  <c r="K300" i="726"/>
  <c r="J300" i="726"/>
  <c r="I300" i="726"/>
  <c r="H300" i="726"/>
  <c r="G300" i="726"/>
  <c r="N299" i="726"/>
  <c r="M299" i="726"/>
  <c r="O299" i="726" s="1"/>
  <c r="K299" i="726"/>
  <c r="J299" i="726"/>
  <c r="I299" i="726"/>
  <c r="L299" i="726" s="1"/>
  <c r="H299" i="726"/>
  <c r="G299" i="726"/>
  <c r="N298" i="726"/>
  <c r="O298" i="726" s="1"/>
  <c r="M298" i="726"/>
  <c r="K298" i="726"/>
  <c r="J298" i="726"/>
  <c r="L298" i="726" s="1"/>
  <c r="I298" i="726"/>
  <c r="H298" i="726"/>
  <c r="G298" i="726"/>
  <c r="N297" i="726"/>
  <c r="M297" i="726"/>
  <c r="O297" i="726" s="1"/>
  <c r="K297" i="726"/>
  <c r="J297" i="726"/>
  <c r="I297" i="726"/>
  <c r="L297" i="726" s="1"/>
  <c r="H297" i="726"/>
  <c r="G297" i="726"/>
  <c r="N296" i="726"/>
  <c r="O296" i="726" s="1"/>
  <c r="M296" i="726"/>
  <c r="K296" i="726"/>
  <c r="J296" i="726"/>
  <c r="L296" i="726" s="1"/>
  <c r="I296" i="726"/>
  <c r="H296" i="726"/>
  <c r="G296" i="726"/>
  <c r="N295" i="726"/>
  <c r="M295" i="726"/>
  <c r="O295" i="726" s="1"/>
  <c r="K295" i="726"/>
  <c r="J295" i="726"/>
  <c r="I295" i="726"/>
  <c r="L295" i="726" s="1"/>
  <c r="H295" i="726"/>
  <c r="G295" i="726"/>
  <c r="N294" i="726"/>
  <c r="O294" i="726" s="1"/>
  <c r="M294" i="726"/>
  <c r="K294" i="726"/>
  <c r="J294" i="726"/>
  <c r="L294" i="726" s="1"/>
  <c r="I294" i="726"/>
  <c r="H294" i="726"/>
  <c r="G294" i="726"/>
  <c r="N293" i="726"/>
  <c r="M293" i="726"/>
  <c r="K293" i="726"/>
  <c r="J293" i="726"/>
  <c r="I293" i="726"/>
  <c r="L293" i="726" s="1"/>
  <c r="H293" i="726"/>
  <c r="G293" i="726"/>
  <c r="N292" i="726"/>
  <c r="O292" i="726" s="1"/>
  <c r="M292" i="726"/>
  <c r="L292" i="726"/>
  <c r="K292" i="726"/>
  <c r="J292" i="726"/>
  <c r="I292" i="726"/>
  <c r="H292" i="726"/>
  <c r="G292" i="726"/>
  <c r="N291" i="726"/>
  <c r="M291" i="726"/>
  <c r="O291" i="726" s="1"/>
  <c r="K291" i="726"/>
  <c r="J291" i="726"/>
  <c r="I291" i="726"/>
  <c r="L291" i="726" s="1"/>
  <c r="H291" i="726"/>
  <c r="G291" i="726"/>
  <c r="N290" i="726"/>
  <c r="O290" i="726" s="1"/>
  <c r="M290" i="726"/>
  <c r="K290" i="726"/>
  <c r="J290" i="726"/>
  <c r="L290" i="726" s="1"/>
  <c r="I290" i="726"/>
  <c r="H290" i="726"/>
  <c r="G290" i="726"/>
  <c r="N289" i="726"/>
  <c r="M289" i="726"/>
  <c r="O289" i="726" s="1"/>
  <c r="K289" i="726"/>
  <c r="J289" i="726"/>
  <c r="I289" i="726"/>
  <c r="L289" i="726" s="1"/>
  <c r="H289" i="726"/>
  <c r="G289" i="726"/>
  <c r="N288" i="726"/>
  <c r="O288" i="726" s="1"/>
  <c r="M288" i="726"/>
  <c r="K288" i="726"/>
  <c r="J288" i="726"/>
  <c r="L288" i="726" s="1"/>
  <c r="I288" i="726"/>
  <c r="H288" i="726"/>
  <c r="G288" i="726"/>
  <c r="N287" i="726"/>
  <c r="M287" i="726"/>
  <c r="K287" i="726"/>
  <c r="J287" i="726"/>
  <c r="I287" i="726"/>
  <c r="L287" i="726" s="1"/>
  <c r="H287" i="726"/>
  <c r="G287" i="726"/>
  <c r="N286" i="726"/>
  <c r="O286" i="726" s="1"/>
  <c r="M286" i="726"/>
  <c r="K286" i="726"/>
  <c r="J286" i="726"/>
  <c r="L286" i="726" s="1"/>
  <c r="I286" i="726"/>
  <c r="H286" i="726"/>
  <c r="G286" i="726"/>
  <c r="N285" i="726"/>
  <c r="M285" i="726"/>
  <c r="K285" i="726"/>
  <c r="J285" i="726"/>
  <c r="I285" i="726"/>
  <c r="L285" i="726" s="1"/>
  <c r="H285" i="726"/>
  <c r="G285" i="726"/>
  <c r="N284" i="726"/>
  <c r="O284" i="726" s="1"/>
  <c r="M284" i="726"/>
  <c r="L284" i="726"/>
  <c r="K284" i="726"/>
  <c r="J284" i="726"/>
  <c r="I284" i="726"/>
  <c r="H284" i="726"/>
  <c r="G284" i="726"/>
  <c r="N283" i="726"/>
  <c r="M283" i="726"/>
  <c r="K283" i="726"/>
  <c r="J283" i="726"/>
  <c r="I283" i="726"/>
  <c r="L283" i="726" s="1"/>
  <c r="H283" i="726"/>
  <c r="G283" i="726"/>
  <c r="N282" i="726"/>
  <c r="O282" i="726" s="1"/>
  <c r="M282" i="726"/>
  <c r="K282" i="726"/>
  <c r="J282" i="726"/>
  <c r="L282" i="726" s="1"/>
  <c r="I282" i="726"/>
  <c r="H282" i="726"/>
  <c r="G282" i="726"/>
  <c r="N281" i="726"/>
  <c r="M281" i="726"/>
  <c r="K281" i="726"/>
  <c r="J281" i="726"/>
  <c r="I281" i="726"/>
  <c r="L281" i="726" s="1"/>
  <c r="H281" i="726"/>
  <c r="G281" i="726"/>
  <c r="N280" i="726"/>
  <c r="O280" i="726" s="1"/>
  <c r="M280" i="726"/>
  <c r="K280" i="726"/>
  <c r="J280" i="726"/>
  <c r="L280" i="726" s="1"/>
  <c r="I280" i="726"/>
  <c r="H280" i="726"/>
  <c r="G280" i="726"/>
  <c r="N279" i="726"/>
  <c r="M279" i="726"/>
  <c r="O279" i="726" s="1"/>
  <c r="K279" i="726"/>
  <c r="J279" i="726"/>
  <c r="I279" i="726"/>
  <c r="L279" i="726" s="1"/>
  <c r="H279" i="726"/>
  <c r="G279" i="726"/>
  <c r="N278" i="726"/>
  <c r="O278" i="726" s="1"/>
  <c r="M278" i="726"/>
  <c r="K278" i="726"/>
  <c r="J278" i="726"/>
  <c r="L278" i="726" s="1"/>
  <c r="I278" i="726"/>
  <c r="H278" i="726"/>
  <c r="G278" i="726"/>
  <c r="N277" i="726"/>
  <c r="M277" i="726"/>
  <c r="O277" i="726" s="1"/>
  <c r="K277" i="726"/>
  <c r="J277" i="726"/>
  <c r="I277" i="726"/>
  <c r="L277" i="726" s="1"/>
  <c r="H277" i="726"/>
  <c r="G277" i="726"/>
  <c r="N276" i="726"/>
  <c r="O276" i="726" s="1"/>
  <c r="M276" i="726"/>
  <c r="L276" i="726"/>
  <c r="K276" i="726"/>
  <c r="J276" i="726"/>
  <c r="I276" i="726"/>
  <c r="H276" i="726"/>
  <c r="G276" i="726"/>
  <c r="N275" i="726"/>
  <c r="M275" i="726"/>
  <c r="K275" i="726"/>
  <c r="J275" i="726"/>
  <c r="I275" i="726"/>
  <c r="L275" i="726" s="1"/>
  <c r="H275" i="726"/>
  <c r="G275" i="726"/>
  <c r="N274" i="726"/>
  <c r="O274" i="726" s="1"/>
  <c r="M274" i="726"/>
  <c r="K274" i="726"/>
  <c r="J274" i="726"/>
  <c r="L274" i="726" s="1"/>
  <c r="I274" i="726"/>
  <c r="H274" i="726"/>
  <c r="G274" i="726"/>
  <c r="N273" i="726"/>
  <c r="M273" i="726"/>
  <c r="O273" i="726" s="1"/>
  <c r="K273" i="726"/>
  <c r="J273" i="726"/>
  <c r="I273" i="726"/>
  <c r="L273" i="726" s="1"/>
  <c r="H273" i="726"/>
  <c r="G273" i="726"/>
  <c r="N272" i="726"/>
  <c r="O272" i="726" s="1"/>
  <c r="M272" i="726"/>
  <c r="K272" i="726"/>
  <c r="J272" i="726"/>
  <c r="L272" i="726" s="1"/>
  <c r="I272" i="726"/>
  <c r="H272" i="726"/>
  <c r="G272" i="726"/>
  <c r="N271" i="726"/>
  <c r="M271" i="726"/>
  <c r="K271" i="726"/>
  <c r="J271" i="726"/>
  <c r="I271" i="726"/>
  <c r="L271" i="726" s="1"/>
  <c r="H271" i="726"/>
  <c r="G271" i="726"/>
  <c r="N270" i="726"/>
  <c r="O270" i="726" s="1"/>
  <c r="M270" i="726"/>
  <c r="K270" i="726"/>
  <c r="J270" i="726"/>
  <c r="L270" i="726" s="1"/>
  <c r="I270" i="726"/>
  <c r="H270" i="726"/>
  <c r="G270" i="726"/>
  <c r="N269" i="726"/>
  <c r="M269" i="726"/>
  <c r="O269" i="726" s="1"/>
  <c r="K269" i="726"/>
  <c r="J269" i="726"/>
  <c r="I269" i="726"/>
  <c r="H269" i="726"/>
  <c r="G269" i="726"/>
  <c r="N268" i="726"/>
  <c r="O268" i="726" s="1"/>
  <c r="M268" i="726"/>
  <c r="L268" i="726"/>
  <c r="K268" i="726"/>
  <c r="J268" i="726"/>
  <c r="I268" i="726"/>
  <c r="H268" i="726"/>
  <c r="G268" i="726"/>
  <c r="N267" i="726"/>
  <c r="M267" i="726"/>
  <c r="O267" i="726" s="1"/>
  <c r="K267" i="726"/>
  <c r="J267" i="726"/>
  <c r="I267" i="726"/>
  <c r="L267" i="726" s="1"/>
  <c r="H267" i="726"/>
  <c r="G267" i="726"/>
  <c r="N266" i="726"/>
  <c r="O266" i="726" s="1"/>
  <c r="M266" i="726"/>
  <c r="K266" i="726"/>
  <c r="J266" i="726"/>
  <c r="L266" i="726" s="1"/>
  <c r="I266" i="726"/>
  <c r="H266" i="726"/>
  <c r="G266" i="726"/>
  <c r="N265" i="726"/>
  <c r="M265" i="726"/>
  <c r="O265" i="726" s="1"/>
  <c r="K265" i="726"/>
  <c r="J265" i="726"/>
  <c r="I265" i="726"/>
  <c r="L265" i="726" s="1"/>
  <c r="H265" i="726"/>
  <c r="G265" i="726"/>
  <c r="N264" i="726"/>
  <c r="O264" i="726" s="1"/>
  <c r="M264" i="726"/>
  <c r="K264" i="726"/>
  <c r="J264" i="726"/>
  <c r="L264" i="726" s="1"/>
  <c r="I264" i="726"/>
  <c r="H264" i="726"/>
  <c r="G264" i="726"/>
  <c r="N263" i="726"/>
  <c r="M263" i="726"/>
  <c r="O263" i="726" s="1"/>
  <c r="K263" i="726"/>
  <c r="J263" i="726"/>
  <c r="I263" i="726"/>
  <c r="L263" i="726" s="1"/>
  <c r="H263" i="726"/>
  <c r="G263" i="726"/>
  <c r="N262" i="726"/>
  <c r="O262" i="726" s="1"/>
  <c r="M262" i="726"/>
  <c r="K262" i="726"/>
  <c r="J262" i="726"/>
  <c r="L262" i="726" s="1"/>
  <c r="I262" i="726"/>
  <c r="H262" i="726"/>
  <c r="G262" i="726"/>
  <c r="N261" i="726"/>
  <c r="M261" i="726"/>
  <c r="K261" i="726"/>
  <c r="J261" i="726"/>
  <c r="I261" i="726"/>
  <c r="H261" i="726"/>
  <c r="G261" i="726"/>
  <c r="N260" i="726"/>
  <c r="O260" i="726" s="1"/>
  <c r="M260" i="726"/>
  <c r="L260" i="726"/>
  <c r="K260" i="726"/>
  <c r="J260" i="726"/>
  <c r="I260" i="726"/>
  <c r="H260" i="726"/>
  <c r="G260" i="726"/>
  <c r="N259" i="726"/>
  <c r="M259" i="726"/>
  <c r="O259" i="726" s="1"/>
  <c r="K259" i="726"/>
  <c r="J259" i="726"/>
  <c r="I259" i="726"/>
  <c r="L259" i="726" s="1"/>
  <c r="H259" i="726"/>
  <c r="G259" i="726"/>
  <c r="N258" i="726"/>
  <c r="O258" i="726" s="1"/>
  <c r="M258" i="726"/>
  <c r="K258" i="726"/>
  <c r="J258" i="726"/>
  <c r="L258" i="726" s="1"/>
  <c r="I258" i="726"/>
  <c r="H258" i="726"/>
  <c r="G258" i="726"/>
  <c r="N257" i="726"/>
  <c r="M257" i="726"/>
  <c r="O257" i="726" s="1"/>
  <c r="K257" i="726"/>
  <c r="J257" i="726"/>
  <c r="I257" i="726"/>
  <c r="L257" i="726" s="1"/>
  <c r="H257" i="726"/>
  <c r="G257" i="726"/>
  <c r="N256" i="726"/>
  <c r="O256" i="726" s="1"/>
  <c r="M256" i="726"/>
  <c r="K256" i="726"/>
  <c r="J256" i="726"/>
  <c r="L256" i="726" s="1"/>
  <c r="I256" i="726"/>
  <c r="H256" i="726"/>
  <c r="G256" i="726"/>
  <c r="N255" i="726"/>
  <c r="M255" i="726"/>
  <c r="K255" i="726"/>
  <c r="J255" i="726"/>
  <c r="I255" i="726"/>
  <c r="L255" i="726" s="1"/>
  <c r="H255" i="726"/>
  <c r="G255" i="726"/>
  <c r="N254" i="726"/>
  <c r="O254" i="726" s="1"/>
  <c r="M254" i="726"/>
  <c r="K254" i="726"/>
  <c r="J254" i="726"/>
  <c r="L254" i="726" s="1"/>
  <c r="I254" i="726"/>
  <c r="H254" i="726"/>
  <c r="G254" i="726"/>
  <c r="N253" i="726"/>
  <c r="M253" i="726"/>
  <c r="K253" i="726"/>
  <c r="J253" i="726"/>
  <c r="I253" i="726"/>
  <c r="H253" i="726"/>
  <c r="G253" i="726"/>
  <c r="N252" i="726"/>
  <c r="O252" i="726" s="1"/>
  <c r="M252" i="726"/>
  <c r="L252" i="726"/>
  <c r="K252" i="726"/>
  <c r="J252" i="726"/>
  <c r="I252" i="726"/>
  <c r="H252" i="726"/>
  <c r="G252" i="726"/>
  <c r="N251" i="726"/>
  <c r="M251" i="726"/>
  <c r="K251" i="726"/>
  <c r="J251" i="726"/>
  <c r="I251" i="726"/>
  <c r="L251" i="726" s="1"/>
  <c r="H251" i="726"/>
  <c r="G251" i="726"/>
  <c r="N250" i="726"/>
  <c r="O250" i="726" s="1"/>
  <c r="M250" i="726"/>
  <c r="K250" i="726"/>
  <c r="J250" i="726"/>
  <c r="L250" i="726" s="1"/>
  <c r="I250" i="726"/>
  <c r="H250" i="726"/>
  <c r="G250" i="726"/>
  <c r="N249" i="726"/>
  <c r="M249" i="726"/>
  <c r="K249" i="726"/>
  <c r="J249" i="726"/>
  <c r="I249" i="726"/>
  <c r="H249" i="726"/>
  <c r="G249" i="726"/>
  <c r="N248" i="726"/>
  <c r="O248" i="726" s="1"/>
  <c r="M248" i="726"/>
  <c r="L248" i="726"/>
  <c r="K248" i="726"/>
  <c r="J248" i="726"/>
  <c r="I248" i="726"/>
  <c r="H248" i="726"/>
  <c r="G248" i="726"/>
  <c r="N247" i="726"/>
  <c r="O247" i="726" s="1"/>
  <c r="M247" i="726"/>
  <c r="K247" i="726"/>
  <c r="J247" i="726"/>
  <c r="I247" i="726"/>
  <c r="H247" i="726"/>
  <c r="G247" i="726"/>
  <c r="N246" i="726"/>
  <c r="O246" i="726" s="1"/>
  <c r="M246" i="726"/>
  <c r="K246" i="726"/>
  <c r="J246" i="726"/>
  <c r="L246" i="726" s="1"/>
  <c r="I246" i="726"/>
  <c r="H246" i="726"/>
  <c r="G246" i="726"/>
  <c r="N245" i="726"/>
  <c r="O245" i="726" s="1"/>
  <c r="M245" i="726"/>
  <c r="K245" i="726"/>
  <c r="J245" i="726"/>
  <c r="I245" i="726"/>
  <c r="L245" i="726" s="1"/>
  <c r="H245" i="726"/>
  <c r="G245" i="726"/>
  <c r="N244" i="726"/>
  <c r="O244" i="726" s="1"/>
  <c r="M244" i="726"/>
  <c r="K244" i="726"/>
  <c r="J244" i="726"/>
  <c r="L244" i="726" s="1"/>
  <c r="I244" i="726"/>
  <c r="H244" i="726"/>
  <c r="G244" i="726"/>
  <c r="N243" i="726"/>
  <c r="M243" i="726"/>
  <c r="O243" i="726" s="1"/>
  <c r="K243" i="726"/>
  <c r="J243" i="726"/>
  <c r="I243" i="726"/>
  <c r="H243" i="726"/>
  <c r="G243" i="726"/>
  <c r="N242" i="726"/>
  <c r="O242" i="726" s="1"/>
  <c r="M242" i="726"/>
  <c r="L242" i="726"/>
  <c r="K242" i="726"/>
  <c r="J242" i="726"/>
  <c r="I242" i="726"/>
  <c r="H242" i="726"/>
  <c r="G242" i="726"/>
  <c r="O241" i="726"/>
  <c r="N241" i="726"/>
  <c r="M241" i="726"/>
  <c r="K241" i="726"/>
  <c r="J241" i="726"/>
  <c r="I241" i="726"/>
  <c r="H241" i="726"/>
  <c r="G241" i="726"/>
  <c r="N240" i="726"/>
  <c r="O240" i="726" s="1"/>
  <c r="M240" i="726"/>
  <c r="K240" i="726"/>
  <c r="J240" i="726"/>
  <c r="L240" i="726" s="1"/>
  <c r="I240" i="726"/>
  <c r="H240" i="726"/>
  <c r="G240" i="726"/>
  <c r="N239" i="726"/>
  <c r="O239" i="726" s="1"/>
  <c r="M239" i="726"/>
  <c r="K239" i="726"/>
  <c r="J239" i="726"/>
  <c r="I239" i="726"/>
  <c r="L239" i="726" s="1"/>
  <c r="H239" i="726"/>
  <c r="G239" i="726"/>
  <c r="N238" i="726"/>
  <c r="O238" i="726" s="1"/>
  <c r="M238" i="726"/>
  <c r="K238" i="726"/>
  <c r="J238" i="726"/>
  <c r="L238" i="726" s="1"/>
  <c r="I238" i="726"/>
  <c r="H238" i="726"/>
  <c r="G238" i="726"/>
  <c r="N237" i="726"/>
  <c r="M237" i="726"/>
  <c r="O237" i="726" s="1"/>
  <c r="K237" i="726"/>
  <c r="J237" i="726"/>
  <c r="I237" i="726"/>
  <c r="H237" i="726"/>
  <c r="G237" i="726"/>
  <c r="N236" i="726"/>
  <c r="O236" i="726" s="1"/>
  <c r="M236" i="726"/>
  <c r="L236" i="726"/>
  <c r="K236" i="726"/>
  <c r="J236" i="726"/>
  <c r="I236" i="726"/>
  <c r="H236" i="726"/>
  <c r="G236" i="726"/>
  <c r="N235" i="726"/>
  <c r="O235" i="726" s="1"/>
  <c r="M235" i="726"/>
  <c r="K235" i="726"/>
  <c r="J235" i="726"/>
  <c r="I235" i="726"/>
  <c r="H235" i="726"/>
  <c r="G235" i="726"/>
  <c r="N234" i="726"/>
  <c r="O234" i="726" s="1"/>
  <c r="M234" i="726"/>
  <c r="K234" i="726"/>
  <c r="J234" i="726"/>
  <c r="L234" i="726" s="1"/>
  <c r="I234" i="726"/>
  <c r="H234" i="726"/>
  <c r="G234" i="726"/>
  <c r="O233" i="726"/>
  <c r="N233" i="726"/>
  <c r="M233" i="726"/>
  <c r="K233" i="726"/>
  <c r="J233" i="726"/>
  <c r="I233" i="726"/>
  <c r="L233" i="726" s="1"/>
  <c r="H233" i="726"/>
  <c r="G233" i="726"/>
  <c r="N232" i="726"/>
  <c r="O232" i="726" s="1"/>
  <c r="M232" i="726"/>
  <c r="K232" i="726"/>
  <c r="J232" i="726"/>
  <c r="L232" i="726" s="1"/>
  <c r="I232" i="726"/>
  <c r="H232" i="726"/>
  <c r="G232" i="726"/>
  <c r="N231" i="726"/>
  <c r="M231" i="726"/>
  <c r="O231" i="726" s="1"/>
  <c r="K231" i="726"/>
  <c r="J231" i="726"/>
  <c r="I231" i="726"/>
  <c r="H231" i="726"/>
  <c r="G231" i="726"/>
  <c r="N230" i="726"/>
  <c r="O230" i="726" s="1"/>
  <c r="M230" i="726"/>
  <c r="L230" i="726"/>
  <c r="K230" i="726"/>
  <c r="J230" i="726"/>
  <c r="I230" i="726"/>
  <c r="H230" i="726"/>
  <c r="G230" i="726"/>
  <c r="N229" i="726"/>
  <c r="O229" i="726" s="1"/>
  <c r="M229" i="726"/>
  <c r="K229" i="726"/>
  <c r="J229" i="726"/>
  <c r="I229" i="726"/>
  <c r="H229" i="726"/>
  <c r="G229" i="726"/>
  <c r="N228" i="726"/>
  <c r="O228" i="726" s="1"/>
  <c r="M228" i="726"/>
  <c r="K228" i="726"/>
  <c r="J228" i="726"/>
  <c r="L228" i="726" s="1"/>
  <c r="I228" i="726"/>
  <c r="H228" i="726"/>
  <c r="G228" i="726"/>
  <c r="N227" i="726"/>
  <c r="O227" i="726" s="1"/>
  <c r="M227" i="726"/>
  <c r="K227" i="726"/>
  <c r="J227" i="726"/>
  <c r="I227" i="726"/>
  <c r="L227" i="726" s="1"/>
  <c r="H227" i="726"/>
  <c r="G227" i="726"/>
  <c r="N226" i="726"/>
  <c r="O226" i="726" s="1"/>
  <c r="M226" i="726"/>
  <c r="K226" i="726"/>
  <c r="J226" i="726"/>
  <c r="L226" i="726" s="1"/>
  <c r="I226" i="726"/>
  <c r="H226" i="726"/>
  <c r="G226" i="726"/>
  <c r="N225" i="726"/>
  <c r="M225" i="726"/>
  <c r="K225" i="726"/>
  <c r="J225" i="726"/>
  <c r="I225" i="726"/>
  <c r="H225" i="726"/>
  <c r="G225" i="726"/>
  <c r="N224" i="726"/>
  <c r="O224" i="726" s="1"/>
  <c r="M224" i="726"/>
  <c r="L224" i="726"/>
  <c r="K224" i="726"/>
  <c r="J224" i="726"/>
  <c r="I224" i="726"/>
  <c r="H224" i="726"/>
  <c r="G224" i="726"/>
  <c r="N223" i="726"/>
  <c r="O223" i="726" s="1"/>
  <c r="M223" i="726"/>
  <c r="K223" i="726"/>
  <c r="J223" i="726"/>
  <c r="I223" i="726"/>
  <c r="H223" i="726"/>
  <c r="G223" i="726"/>
  <c r="N222" i="726"/>
  <c r="O222" i="726" s="1"/>
  <c r="M222" i="726"/>
  <c r="K222" i="726"/>
  <c r="J222" i="726"/>
  <c r="L222" i="726" s="1"/>
  <c r="I222" i="726"/>
  <c r="H222" i="726"/>
  <c r="G222" i="726"/>
  <c r="N221" i="726"/>
  <c r="O221" i="726" s="1"/>
  <c r="M221" i="726"/>
  <c r="K221" i="726"/>
  <c r="J221" i="726"/>
  <c r="I221" i="726"/>
  <c r="L221" i="726" s="1"/>
  <c r="H221" i="726"/>
  <c r="G221" i="726"/>
  <c r="N220" i="726"/>
  <c r="O220" i="726" s="1"/>
  <c r="M220" i="726"/>
  <c r="K220" i="726"/>
  <c r="J220" i="726"/>
  <c r="L220" i="726" s="1"/>
  <c r="I220" i="726"/>
  <c r="H220" i="726"/>
  <c r="G220" i="726"/>
  <c r="N219" i="726"/>
  <c r="M219" i="726"/>
  <c r="O219" i="726" s="1"/>
  <c r="K219" i="726"/>
  <c r="J219" i="726"/>
  <c r="I219" i="726"/>
  <c r="H219" i="726"/>
  <c r="G219" i="726"/>
  <c r="N218" i="726"/>
  <c r="O218" i="726" s="1"/>
  <c r="M218" i="726"/>
  <c r="K218" i="726"/>
  <c r="J218" i="726"/>
  <c r="I218" i="726"/>
  <c r="L218" i="726" s="1"/>
  <c r="H218" i="726"/>
  <c r="G218" i="726"/>
  <c r="O217" i="726"/>
  <c r="N217" i="726"/>
  <c r="M217" i="726"/>
  <c r="K217" i="726"/>
  <c r="J217" i="726"/>
  <c r="I217" i="726"/>
  <c r="H217" i="726"/>
  <c r="G217" i="726"/>
  <c r="N216" i="726"/>
  <c r="O216" i="726" s="1"/>
  <c r="M216" i="726"/>
  <c r="L216" i="726"/>
  <c r="K216" i="726"/>
  <c r="J216" i="726"/>
  <c r="I216" i="726"/>
  <c r="H216" i="726"/>
  <c r="G216" i="726"/>
  <c r="N215" i="726"/>
  <c r="M215" i="726"/>
  <c r="O215" i="726" s="1"/>
  <c r="K215" i="726"/>
  <c r="J215" i="726"/>
  <c r="I215" i="726"/>
  <c r="L215" i="726" s="1"/>
  <c r="H215" i="726"/>
  <c r="G215" i="726"/>
  <c r="N214" i="726"/>
  <c r="O214" i="726" s="1"/>
  <c r="M214" i="726"/>
  <c r="L214" i="726"/>
  <c r="K214" i="726"/>
  <c r="J214" i="726"/>
  <c r="I214" i="726"/>
  <c r="H214" i="726"/>
  <c r="G214" i="726"/>
  <c r="N213" i="726"/>
  <c r="M213" i="726"/>
  <c r="O213" i="726" s="1"/>
  <c r="K213" i="726"/>
  <c r="J213" i="726"/>
  <c r="I213" i="726"/>
  <c r="L213" i="726" s="1"/>
  <c r="H213" i="726"/>
  <c r="G213" i="726"/>
  <c r="N212" i="726"/>
  <c r="O212" i="726" s="1"/>
  <c r="M212" i="726"/>
  <c r="L212" i="726"/>
  <c r="K212" i="726"/>
  <c r="J212" i="726"/>
  <c r="I212" i="726"/>
  <c r="H212" i="726"/>
  <c r="G212" i="726"/>
  <c r="N211" i="726"/>
  <c r="O211" i="726" s="1"/>
  <c r="M211" i="726"/>
  <c r="K211" i="726"/>
  <c r="J211" i="726"/>
  <c r="I211" i="726"/>
  <c r="L211" i="726" s="1"/>
  <c r="H211" i="726"/>
  <c r="G211" i="726"/>
  <c r="N210" i="726"/>
  <c r="O210" i="726" s="1"/>
  <c r="M210" i="726"/>
  <c r="K210" i="726"/>
  <c r="J210" i="726"/>
  <c r="I210" i="726"/>
  <c r="L210" i="726" s="1"/>
  <c r="H210" i="726"/>
  <c r="G210" i="726"/>
  <c r="N209" i="726"/>
  <c r="M209" i="726"/>
  <c r="K209" i="726"/>
  <c r="J209" i="726"/>
  <c r="I209" i="726"/>
  <c r="H209" i="726"/>
  <c r="G209" i="726"/>
  <c r="O208" i="726"/>
  <c r="N208" i="726"/>
  <c r="M208" i="726"/>
  <c r="K208" i="726"/>
  <c r="J208" i="726"/>
  <c r="L208" i="726" s="1"/>
  <c r="I208" i="726"/>
  <c r="H208" i="726"/>
  <c r="G208" i="726"/>
  <c r="N207" i="726"/>
  <c r="M207" i="726"/>
  <c r="O207" i="726" s="1"/>
  <c r="L207" i="726"/>
  <c r="K207" i="726"/>
  <c r="J207" i="726"/>
  <c r="I207" i="726"/>
  <c r="H207" i="726"/>
  <c r="G207" i="726"/>
  <c r="N206" i="726"/>
  <c r="O206" i="726" s="1"/>
  <c r="M206" i="726"/>
  <c r="L206" i="726"/>
  <c r="K206" i="726"/>
  <c r="J206" i="726"/>
  <c r="I206" i="726"/>
  <c r="H206" i="726"/>
  <c r="G206" i="726"/>
  <c r="O205" i="726"/>
  <c r="N205" i="726"/>
  <c r="M205" i="726"/>
  <c r="K205" i="726"/>
  <c r="J205" i="726"/>
  <c r="I205" i="726"/>
  <c r="H205" i="726"/>
  <c r="G205" i="726"/>
  <c r="N204" i="726"/>
  <c r="O204" i="726" s="1"/>
  <c r="M204" i="726"/>
  <c r="K204" i="726"/>
  <c r="J204" i="726"/>
  <c r="I204" i="726"/>
  <c r="L204" i="726" s="1"/>
  <c r="H204" i="726"/>
  <c r="G204" i="726"/>
  <c r="N203" i="726"/>
  <c r="O203" i="726" s="1"/>
  <c r="M203" i="726"/>
  <c r="K203" i="726"/>
  <c r="J203" i="726"/>
  <c r="I203" i="726"/>
  <c r="L203" i="726" s="1"/>
  <c r="H203" i="726"/>
  <c r="G203" i="726"/>
  <c r="N202" i="726"/>
  <c r="O202" i="726" s="1"/>
  <c r="M202" i="726"/>
  <c r="K202" i="726"/>
  <c r="L202" i="726" s="1"/>
  <c r="J202" i="726"/>
  <c r="I202" i="726"/>
  <c r="H202" i="726"/>
  <c r="G202" i="726"/>
  <c r="N201" i="726"/>
  <c r="M201" i="726"/>
  <c r="O201" i="726" s="1"/>
  <c r="K201" i="726"/>
  <c r="J201" i="726"/>
  <c r="I201" i="726"/>
  <c r="L201" i="726" s="1"/>
  <c r="H201" i="726"/>
  <c r="G201" i="726"/>
  <c r="N200" i="726"/>
  <c r="O200" i="726" s="1"/>
  <c r="M200" i="726"/>
  <c r="K200" i="726"/>
  <c r="J200" i="726"/>
  <c r="I200" i="726"/>
  <c r="L200" i="726" s="1"/>
  <c r="H200" i="726"/>
  <c r="G200" i="726"/>
  <c r="N199" i="726"/>
  <c r="O199" i="726" s="1"/>
  <c r="M199" i="726"/>
  <c r="K199" i="726"/>
  <c r="J199" i="726"/>
  <c r="I199" i="726"/>
  <c r="L199" i="726" s="1"/>
  <c r="H199" i="726"/>
  <c r="G199" i="726"/>
  <c r="N198" i="726"/>
  <c r="O198" i="726" s="1"/>
  <c r="M198" i="726"/>
  <c r="K198" i="726"/>
  <c r="L198" i="726" s="1"/>
  <c r="J198" i="726"/>
  <c r="I198" i="726"/>
  <c r="H198" i="726"/>
  <c r="G198" i="726"/>
  <c r="N197" i="726"/>
  <c r="M197" i="726"/>
  <c r="O197" i="726" s="1"/>
  <c r="K197" i="726"/>
  <c r="J197" i="726"/>
  <c r="I197" i="726"/>
  <c r="L197" i="726" s="1"/>
  <c r="H197" i="726"/>
  <c r="G197" i="726"/>
  <c r="N196" i="726"/>
  <c r="O196" i="726" s="1"/>
  <c r="M196" i="726"/>
  <c r="K196" i="726"/>
  <c r="J196" i="726"/>
  <c r="I196" i="726"/>
  <c r="L196" i="726" s="1"/>
  <c r="H196" i="726"/>
  <c r="G196" i="726"/>
  <c r="N195" i="726"/>
  <c r="O195" i="726" s="1"/>
  <c r="M195" i="726"/>
  <c r="K195" i="726"/>
  <c r="J195" i="726"/>
  <c r="I195" i="726"/>
  <c r="L195" i="726" s="1"/>
  <c r="H195" i="726"/>
  <c r="G195" i="726"/>
  <c r="N194" i="726"/>
  <c r="M194" i="726"/>
  <c r="O194" i="726" s="1"/>
  <c r="K194" i="726"/>
  <c r="L194" i="726" s="1"/>
  <c r="J194" i="726"/>
  <c r="I194" i="726"/>
  <c r="H194" i="726"/>
  <c r="G194" i="726"/>
  <c r="N193" i="726"/>
  <c r="M193" i="726"/>
  <c r="O193" i="726" s="1"/>
  <c r="K193" i="726"/>
  <c r="J193" i="726"/>
  <c r="I193" i="726"/>
  <c r="L193" i="726" s="1"/>
  <c r="H193" i="726"/>
  <c r="G193" i="726"/>
  <c r="N192" i="726"/>
  <c r="O192" i="726" s="1"/>
  <c r="M192" i="726"/>
  <c r="K192" i="726"/>
  <c r="J192" i="726"/>
  <c r="I192" i="726"/>
  <c r="L192" i="726" s="1"/>
  <c r="H192" i="726"/>
  <c r="G192" i="726"/>
  <c r="N191" i="726"/>
  <c r="O191" i="726" s="1"/>
  <c r="M191" i="726"/>
  <c r="K191" i="726"/>
  <c r="J191" i="726"/>
  <c r="I191" i="726"/>
  <c r="L191" i="726" s="1"/>
  <c r="H191" i="726"/>
  <c r="G191" i="726"/>
  <c r="N190" i="726"/>
  <c r="M190" i="726"/>
  <c r="K190" i="726"/>
  <c r="L190" i="726" s="1"/>
  <c r="J190" i="726"/>
  <c r="I190" i="726"/>
  <c r="H190" i="726"/>
  <c r="G190" i="726"/>
  <c r="N189" i="726"/>
  <c r="M189" i="726"/>
  <c r="O189" i="726" s="1"/>
  <c r="K189" i="726"/>
  <c r="J189" i="726"/>
  <c r="I189" i="726"/>
  <c r="L189" i="726" s="1"/>
  <c r="H189" i="726"/>
  <c r="G189" i="726"/>
  <c r="N188" i="726"/>
  <c r="O188" i="726" s="1"/>
  <c r="M188" i="726"/>
  <c r="K188" i="726"/>
  <c r="J188" i="726"/>
  <c r="I188" i="726"/>
  <c r="L188" i="726" s="1"/>
  <c r="H188" i="726"/>
  <c r="G188" i="726"/>
  <c r="N187" i="726"/>
  <c r="O187" i="726" s="1"/>
  <c r="M187" i="726"/>
  <c r="K187" i="726"/>
  <c r="J187" i="726"/>
  <c r="I187" i="726"/>
  <c r="L187" i="726" s="1"/>
  <c r="H187" i="726"/>
  <c r="G187" i="726"/>
  <c r="N186" i="726"/>
  <c r="M186" i="726"/>
  <c r="O186" i="726" s="1"/>
  <c r="K186" i="726"/>
  <c r="L186" i="726" s="1"/>
  <c r="J186" i="726"/>
  <c r="I186" i="726"/>
  <c r="H186" i="726"/>
  <c r="G186" i="726"/>
  <c r="N185" i="726"/>
  <c r="M185" i="726"/>
  <c r="O185" i="726" s="1"/>
  <c r="K185" i="726"/>
  <c r="J185" i="726"/>
  <c r="I185" i="726"/>
  <c r="L185" i="726" s="1"/>
  <c r="H185" i="726"/>
  <c r="G185" i="726"/>
  <c r="N184" i="726"/>
  <c r="O184" i="726" s="1"/>
  <c r="M184" i="726"/>
  <c r="K184" i="726"/>
  <c r="J184" i="726"/>
  <c r="I184" i="726"/>
  <c r="L184" i="726" s="1"/>
  <c r="H184" i="726"/>
  <c r="G184" i="726"/>
  <c r="N183" i="726"/>
  <c r="O183" i="726" s="1"/>
  <c r="M183" i="726"/>
  <c r="K183" i="726"/>
  <c r="J183" i="726"/>
  <c r="I183" i="726"/>
  <c r="L183" i="726" s="1"/>
  <c r="H183" i="726"/>
  <c r="G183" i="726"/>
  <c r="N182" i="726"/>
  <c r="M182" i="726"/>
  <c r="O182" i="726" s="1"/>
  <c r="K182" i="726"/>
  <c r="L182" i="726" s="1"/>
  <c r="J182" i="726"/>
  <c r="I182" i="726"/>
  <c r="H182" i="726"/>
  <c r="G182" i="726"/>
  <c r="N181" i="726"/>
  <c r="M181" i="726"/>
  <c r="O181" i="726" s="1"/>
  <c r="K181" i="726"/>
  <c r="J181" i="726"/>
  <c r="I181" i="726"/>
  <c r="L181" i="726" s="1"/>
  <c r="H181" i="726"/>
  <c r="G181" i="726"/>
  <c r="N180" i="726"/>
  <c r="O180" i="726" s="1"/>
  <c r="M180" i="726"/>
  <c r="K180" i="726"/>
  <c r="J180" i="726"/>
  <c r="I180" i="726"/>
  <c r="L180" i="726" s="1"/>
  <c r="H180" i="726"/>
  <c r="G180" i="726"/>
  <c r="N179" i="726"/>
  <c r="O179" i="726" s="1"/>
  <c r="M179" i="726"/>
  <c r="K179" i="726"/>
  <c r="J179" i="726"/>
  <c r="I179" i="726"/>
  <c r="L179" i="726" s="1"/>
  <c r="H179" i="726"/>
  <c r="G179" i="726"/>
  <c r="N178" i="726"/>
  <c r="M178" i="726"/>
  <c r="K178" i="726"/>
  <c r="L178" i="726" s="1"/>
  <c r="J178" i="726"/>
  <c r="I178" i="726"/>
  <c r="H178" i="726"/>
  <c r="G178" i="726"/>
  <c r="N177" i="726"/>
  <c r="M177" i="726"/>
  <c r="O177" i="726" s="1"/>
  <c r="K177" i="726"/>
  <c r="J177" i="726"/>
  <c r="I177" i="726"/>
  <c r="L177" i="726" s="1"/>
  <c r="H177" i="726"/>
  <c r="G177" i="726"/>
  <c r="N176" i="726"/>
  <c r="O176" i="726" s="1"/>
  <c r="M176" i="726"/>
  <c r="K176" i="726"/>
  <c r="J176" i="726"/>
  <c r="I176" i="726"/>
  <c r="L176" i="726" s="1"/>
  <c r="H176" i="726"/>
  <c r="G176" i="726"/>
  <c r="N175" i="726"/>
  <c r="O175" i="726" s="1"/>
  <c r="M175" i="726"/>
  <c r="K175" i="726"/>
  <c r="J175" i="726"/>
  <c r="I175" i="726"/>
  <c r="L175" i="726" s="1"/>
  <c r="H175" i="726"/>
  <c r="G175" i="726"/>
  <c r="N174" i="726"/>
  <c r="M174" i="726"/>
  <c r="O174" i="726" s="1"/>
  <c r="K174" i="726"/>
  <c r="L174" i="726" s="1"/>
  <c r="J174" i="726"/>
  <c r="I174" i="726"/>
  <c r="H174" i="726"/>
  <c r="G174" i="726"/>
  <c r="N173" i="726"/>
  <c r="M173" i="726"/>
  <c r="O173" i="726" s="1"/>
  <c r="K173" i="726"/>
  <c r="J173" i="726"/>
  <c r="I173" i="726"/>
  <c r="L173" i="726" s="1"/>
  <c r="H173" i="726"/>
  <c r="G173" i="726"/>
  <c r="N172" i="726"/>
  <c r="M172" i="726"/>
  <c r="K172" i="726"/>
  <c r="J172" i="726"/>
  <c r="I172" i="726"/>
  <c r="L172" i="726" s="1"/>
  <c r="H172" i="726"/>
  <c r="G172" i="726"/>
  <c r="N171" i="726"/>
  <c r="O171" i="726" s="1"/>
  <c r="M171" i="726"/>
  <c r="K171" i="726"/>
  <c r="J171" i="726"/>
  <c r="I171" i="726"/>
  <c r="L171" i="726" s="1"/>
  <c r="H171" i="726"/>
  <c r="G171" i="726"/>
  <c r="N170" i="726"/>
  <c r="M170" i="726"/>
  <c r="O170" i="726" s="1"/>
  <c r="K170" i="726"/>
  <c r="L170" i="726" s="1"/>
  <c r="J170" i="726"/>
  <c r="I170" i="726"/>
  <c r="H170" i="726"/>
  <c r="G170" i="726"/>
  <c r="N169" i="726"/>
  <c r="M169" i="726"/>
  <c r="O169" i="726" s="1"/>
  <c r="K169" i="726"/>
  <c r="J169" i="726"/>
  <c r="I169" i="726"/>
  <c r="L169" i="726" s="1"/>
  <c r="H169" i="726"/>
  <c r="G169" i="726"/>
  <c r="N168" i="726"/>
  <c r="M168" i="726"/>
  <c r="O168" i="726" s="1"/>
  <c r="K168" i="726"/>
  <c r="J168" i="726"/>
  <c r="I168" i="726"/>
  <c r="L168" i="726" s="1"/>
  <c r="H168" i="726"/>
  <c r="G168" i="726"/>
  <c r="N167" i="726"/>
  <c r="O167" i="726" s="1"/>
  <c r="M167" i="726"/>
  <c r="K167" i="726"/>
  <c r="J167" i="726"/>
  <c r="I167" i="726"/>
  <c r="L167" i="726" s="1"/>
  <c r="H167" i="726"/>
  <c r="G167" i="726"/>
  <c r="N166" i="726"/>
  <c r="M166" i="726"/>
  <c r="K166" i="726"/>
  <c r="L166" i="726" s="1"/>
  <c r="J166" i="726"/>
  <c r="I166" i="726"/>
  <c r="H166" i="726"/>
  <c r="G166" i="726"/>
  <c r="N165" i="726"/>
  <c r="M165" i="726"/>
  <c r="O165" i="726" s="1"/>
  <c r="K165" i="726"/>
  <c r="J165" i="726"/>
  <c r="I165" i="726"/>
  <c r="L165" i="726" s="1"/>
  <c r="H165" i="726"/>
  <c r="G165" i="726"/>
  <c r="N164" i="726"/>
  <c r="M164" i="726"/>
  <c r="K164" i="726"/>
  <c r="J164" i="726"/>
  <c r="I164" i="726"/>
  <c r="L164" i="726" s="1"/>
  <c r="H164" i="726"/>
  <c r="G164" i="726"/>
  <c r="N163" i="726"/>
  <c r="O163" i="726" s="1"/>
  <c r="M163" i="726"/>
  <c r="K163" i="726"/>
  <c r="J163" i="726"/>
  <c r="I163" i="726"/>
  <c r="L163" i="726" s="1"/>
  <c r="H163" i="726"/>
  <c r="G163" i="726"/>
  <c r="N162" i="726"/>
  <c r="M162" i="726"/>
  <c r="O162" i="726" s="1"/>
  <c r="K162" i="726"/>
  <c r="L162" i="726" s="1"/>
  <c r="J162" i="726"/>
  <c r="I162" i="726"/>
  <c r="H162" i="726"/>
  <c r="G162" i="726"/>
  <c r="N161" i="726"/>
  <c r="M161" i="726"/>
  <c r="O161" i="726" s="1"/>
  <c r="K161" i="726"/>
  <c r="J161" i="726"/>
  <c r="I161" i="726"/>
  <c r="L161" i="726" s="1"/>
  <c r="H161" i="726"/>
  <c r="G161" i="726"/>
  <c r="N160" i="726"/>
  <c r="M160" i="726"/>
  <c r="K160" i="726"/>
  <c r="J160" i="726"/>
  <c r="I160" i="726"/>
  <c r="L160" i="726" s="1"/>
  <c r="H160" i="726"/>
  <c r="G160" i="726"/>
  <c r="N159" i="726"/>
  <c r="O159" i="726" s="1"/>
  <c r="M159" i="726"/>
  <c r="K159" i="726"/>
  <c r="J159" i="726"/>
  <c r="I159" i="726"/>
  <c r="L159" i="726" s="1"/>
  <c r="H159" i="726"/>
  <c r="G159" i="726"/>
  <c r="N158" i="726"/>
  <c r="M158" i="726"/>
  <c r="O158" i="726" s="1"/>
  <c r="K158" i="726"/>
  <c r="L158" i="726" s="1"/>
  <c r="J158" i="726"/>
  <c r="I158" i="726"/>
  <c r="H158" i="726"/>
  <c r="G158" i="726"/>
  <c r="N157" i="726"/>
  <c r="M157" i="726"/>
  <c r="O157" i="726" s="1"/>
  <c r="K157" i="726"/>
  <c r="J157" i="726"/>
  <c r="I157" i="726"/>
  <c r="L157" i="726" s="1"/>
  <c r="H157" i="726"/>
  <c r="G157" i="726"/>
  <c r="N156" i="726"/>
  <c r="M156" i="726"/>
  <c r="O156" i="726" s="1"/>
  <c r="K156" i="726"/>
  <c r="J156" i="726"/>
  <c r="I156" i="726"/>
  <c r="L156" i="726" s="1"/>
  <c r="H156" i="726"/>
  <c r="G156" i="726"/>
  <c r="N155" i="726"/>
  <c r="O155" i="726" s="1"/>
  <c r="M155" i="726"/>
  <c r="K155" i="726"/>
  <c r="J155" i="726"/>
  <c r="I155" i="726"/>
  <c r="L155" i="726" s="1"/>
  <c r="H155" i="726"/>
  <c r="G155" i="726"/>
  <c r="N154" i="726"/>
  <c r="M154" i="726"/>
  <c r="K154" i="726"/>
  <c r="L154" i="726" s="1"/>
  <c r="J154" i="726"/>
  <c r="I154" i="726"/>
  <c r="H154" i="726"/>
  <c r="G154" i="726"/>
  <c r="N153" i="726"/>
  <c r="M153" i="726"/>
  <c r="O153" i="726" s="1"/>
  <c r="K153" i="726"/>
  <c r="J153" i="726"/>
  <c r="I153" i="726"/>
  <c r="L153" i="726" s="1"/>
  <c r="H153" i="726"/>
  <c r="G153" i="726"/>
  <c r="N152" i="726"/>
  <c r="M152" i="726"/>
  <c r="K152" i="726"/>
  <c r="J152" i="726"/>
  <c r="I152" i="726"/>
  <c r="L152" i="726" s="1"/>
  <c r="H152" i="726"/>
  <c r="G152" i="726"/>
  <c r="N151" i="726"/>
  <c r="O151" i="726" s="1"/>
  <c r="M151" i="726"/>
  <c r="K151" i="726"/>
  <c r="J151" i="726"/>
  <c r="I151" i="726"/>
  <c r="L151" i="726" s="1"/>
  <c r="H151" i="726"/>
  <c r="G151" i="726"/>
  <c r="N150" i="726"/>
  <c r="M150" i="726"/>
  <c r="O150" i="726" s="1"/>
  <c r="K150" i="726"/>
  <c r="L150" i="726" s="1"/>
  <c r="J150" i="726"/>
  <c r="I150" i="726"/>
  <c r="H150" i="726"/>
  <c r="G150" i="726"/>
  <c r="N149" i="726"/>
  <c r="M149" i="726"/>
  <c r="O149" i="726" s="1"/>
  <c r="K149" i="726"/>
  <c r="J149" i="726"/>
  <c r="I149" i="726"/>
  <c r="L149" i="726" s="1"/>
  <c r="H149" i="726"/>
  <c r="G149" i="726"/>
  <c r="N148" i="726"/>
  <c r="M148" i="726"/>
  <c r="K148" i="726"/>
  <c r="J148" i="726"/>
  <c r="I148" i="726"/>
  <c r="L148" i="726" s="1"/>
  <c r="H148" i="726"/>
  <c r="G148" i="726"/>
  <c r="N147" i="726"/>
  <c r="O147" i="726" s="1"/>
  <c r="M147" i="726"/>
  <c r="K147" i="726"/>
  <c r="J147" i="726"/>
  <c r="I147" i="726"/>
  <c r="L147" i="726" s="1"/>
  <c r="H147" i="726"/>
  <c r="G147" i="726"/>
  <c r="N146" i="726"/>
  <c r="M146" i="726"/>
  <c r="O146" i="726" s="1"/>
  <c r="K146" i="726"/>
  <c r="L146" i="726" s="1"/>
  <c r="J146" i="726"/>
  <c r="I146" i="726"/>
  <c r="H146" i="726"/>
  <c r="G146" i="726"/>
  <c r="N145" i="726"/>
  <c r="M145" i="726"/>
  <c r="O145" i="726" s="1"/>
  <c r="K145" i="726"/>
  <c r="J145" i="726"/>
  <c r="I145" i="726"/>
  <c r="L145" i="726" s="1"/>
  <c r="H145" i="726"/>
  <c r="G145" i="726"/>
  <c r="N144" i="726"/>
  <c r="M144" i="726"/>
  <c r="O144" i="726" s="1"/>
  <c r="K144" i="726"/>
  <c r="J144" i="726"/>
  <c r="I144" i="726"/>
  <c r="L144" i="726" s="1"/>
  <c r="H144" i="726"/>
  <c r="G144" i="726"/>
  <c r="N143" i="726"/>
  <c r="O143" i="726" s="1"/>
  <c r="M143" i="726"/>
  <c r="K143" i="726"/>
  <c r="J143" i="726"/>
  <c r="I143" i="726"/>
  <c r="L143" i="726" s="1"/>
  <c r="H143" i="726"/>
  <c r="G143" i="726"/>
  <c r="N142" i="726"/>
  <c r="M142" i="726"/>
  <c r="K142" i="726"/>
  <c r="L142" i="726" s="1"/>
  <c r="J142" i="726"/>
  <c r="I142" i="726"/>
  <c r="H142" i="726"/>
  <c r="G142" i="726"/>
  <c r="N141" i="726"/>
  <c r="M141" i="726"/>
  <c r="O141" i="726" s="1"/>
  <c r="K141" i="726"/>
  <c r="J141" i="726"/>
  <c r="I141" i="726"/>
  <c r="L141" i="726" s="1"/>
  <c r="H141" i="726"/>
  <c r="G141" i="726"/>
  <c r="N140" i="726"/>
  <c r="M140" i="726"/>
  <c r="K140" i="726"/>
  <c r="J140" i="726"/>
  <c r="I140" i="726"/>
  <c r="L140" i="726" s="1"/>
  <c r="H140" i="726"/>
  <c r="G140" i="726"/>
  <c r="N139" i="726"/>
  <c r="O139" i="726" s="1"/>
  <c r="M139" i="726"/>
  <c r="K139" i="726"/>
  <c r="J139" i="726"/>
  <c r="I139" i="726"/>
  <c r="L139" i="726" s="1"/>
  <c r="H139" i="726"/>
  <c r="G139" i="726"/>
  <c r="N138" i="726"/>
  <c r="M138" i="726"/>
  <c r="O138" i="726" s="1"/>
  <c r="K138" i="726"/>
  <c r="L138" i="726" s="1"/>
  <c r="J138" i="726"/>
  <c r="I138" i="726"/>
  <c r="H138" i="726"/>
  <c r="G138" i="726"/>
  <c r="N137" i="726"/>
  <c r="M137" i="726"/>
  <c r="O137" i="726" s="1"/>
  <c r="K137" i="726"/>
  <c r="J137" i="726"/>
  <c r="I137" i="726"/>
  <c r="L137" i="726" s="1"/>
  <c r="H137" i="726"/>
  <c r="G137" i="726"/>
  <c r="N136" i="726"/>
  <c r="M136" i="726"/>
  <c r="K136" i="726"/>
  <c r="J136" i="726"/>
  <c r="I136" i="726"/>
  <c r="L136" i="726" s="1"/>
  <c r="H136" i="726"/>
  <c r="G136" i="726"/>
  <c r="N135" i="726"/>
  <c r="O135" i="726" s="1"/>
  <c r="M135" i="726"/>
  <c r="K135" i="726"/>
  <c r="J135" i="726"/>
  <c r="I135" i="726"/>
  <c r="L135" i="726" s="1"/>
  <c r="H135" i="726"/>
  <c r="G135" i="726"/>
  <c r="N134" i="726"/>
  <c r="M134" i="726"/>
  <c r="O134" i="726" s="1"/>
  <c r="K134" i="726"/>
  <c r="L134" i="726" s="1"/>
  <c r="J134" i="726"/>
  <c r="I134" i="726"/>
  <c r="H134" i="726"/>
  <c r="G134" i="726"/>
  <c r="N133" i="726"/>
  <c r="M133" i="726"/>
  <c r="O133" i="726" s="1"/>
  <c r="K133" i="726"/>
  <c r="J133" i="726"/>
  <c r="I133" i="726"/>
  <c r="L133" i="726" s="1"/>
  <c r="H133" i="726"/>
  <c r="G133" i="726"/>
  <c r="N132" i="726"/>
  <c r="M132" i="726"/>
  <c r="O132" i="726" s="1"/>
  <c r="K132" i="726"/>
  <c r="J132" i="726"/>
  <c r="I132" i="726"/>
  <c r="L132" i="726" s="1"/>
  <c r="H132" i="726"/>
  <c r="G132" i="726"/>
  <c r="N131" i="726"/>
  <c r="O131" i="726" s="1"/>
  <c r="M131" i="726"/>
  <c r="K131" i="726"/>
  <c r="J131" i="726"/>
  <c r="I131" i="726"/>
  <c r="L131" i="726" s="1"/>
  <c r="H131" i="726"/>
  <c r="G131" i="726"/>
  <c r="N130" i="726"/>
  <c r="M130" i="726"/>
  <c r="K130" i="726"/>
  <c r="L130" i="726" s="1"/>
  <c r="J130" i="726"/>
  <c r="I130" i="726"/>
  <c r="H130" i="726"/>
  <c r="G130" i="726"/>
  <c r="N129" i="726"/>
  <c r="M129" i="726"/>
  <c r="O129" i="726" s="1"/>
  <c r="K129" i="726"/>
  <c r="J129" i="726"/>
  <c r="I129" i="726"/>
  <c r="L129" i="726" s="1"/>
  <c r="H129" i="726"/>
  <c r="G129" i="726"/>
  <c r="N128" i="726"/>
  <c r="M128" i="726"/>
  <c r="K128" i="726"/>
  <c r="J128" i="726"/>
  <c r="I128" i="726"/>
  <c r="L128" i="726" s="1"/>
  <c r="H128" i="726"/>
  <c r="G128" i="726"/>
  <c r="N127" i="726"/>
  <c r="O127" i="726" s="1"/>
  <c r="M127" i="726"/>
  <c r="K127" i="726"/>
  <c r="J127" i="726"/>
  <c r="I127" i="726"/>
  <c r="L127" i="726" s="1"/>
  <c r="H127" i="726"/>
  <c r="G127" i="726"/>
  <c r="N126" i="726"/>
  <c r="M126" i="726"/>
  <c r="O126" i="726" s="1"/>
  <c r="K126" i="726"/>
  <c r="L126" i="726" s="1"/>
  <c r="J126" i="726"/>
  <c r="I126" i="726"/>
  <c r="H126" i="726"/>
  <c r="G126" i="726"/>
  <c r="N125" i="726"/>
  <c r="M125" i="726"/>
  <c r="O125" i="726" s="1"/>
  <c r="K125" i="726"/>
  <c r="J125" i="726"/>
  <c r="I125" i="726"/>
  <c r="L125" i="726" s="1"/>
  <c r="H125" i="726"/>
  <c r="G125" i="726"/>
  <c r="N124" i="726"/>
  <c r="M124" i="726"/>
  <c r="O124" i="726" s="1"/>
  <c r="K124" i="726"/>
  <c r="J124" i="726"/>
  <c r="I124" i="726"/>
  <c r="L124" i="726" s="1"/>
  <c r="H124" i="726"/>
  <c r="G124" i="726"/>
  <c r="N123" i="726"/>
  <c r="O123" i="726" s="1"/>
  <c r="M123" i="726"/>
  <c r="K123" i="726"/>
  <c r="J123" i="726"/>
  <c r="I123" i="726"/>
  <c r="L123" i="726" s="1"/>
  <c r="H123" i="726"/>
  <c r="G123" i="726"/>
  <c r="N122" i="726"/>
  <c r="M122" i="726"/>
  <c r="O122" i="726" s="1"/>
  <c r="K122" i="726"/>
  <c r="L122" i="726" s="1"/>
  <c r="J122" i="726"/>
  <c r="I122" i="726"/>
  <c r="H122" i="726"/>
  <c r="G122" i="726"/>
  <c r="N121" i="726"/>
  <c r="M121" i="726"/>
  <c r="O121" i="726" s="1"/>
  <c r="K121" i="726"/>
  <c r="J121" i="726"/>
  <c r="I121" i="726"/>
  <c r="L121" i="726" s="1"/>
  <c r="H121" i="726"/>
  <c r="G121" i="726"/>
  <c r="N120" i="726"/>
  <c r="M120" i="726"/>
  <c r="O120" i="726" s="1"/>
  <c r="K120" i="726"/>
  <c r="J120" i="726"/>
  <c r="I120" i="726"/>
  <c r="L120" i="726" s="1"/>
  <c r="H120" i="726"/>
  <c r="G120" i="726"/>
  <c r="N119" i="726"/>
  <c r="O119" i="726" s="1"/>
  <c r="M119" i="726"/>
  <c r="K119" i="726"/>
  <c r="J119" i="726"/>
  <c r="I119" i="726"/>
  <c r="L119" i="726" s="1"/>
  <c r="H119" i="726"/>
  <c r="G119" i="726"/>
  <c r="N118" i="726"/>
  <c r="M118" i="726"/>
  <c r="K118" i="726"/>
  <c r="L118" i="726" s="1"/>
  <c r="J118" i="726"/>
  <c r="I118" i="726"/>
  <c r="H118" i="726"/>
  <c r="G118" i="726"/>
  <c r="N117" i="726"/>
  <c r="M117" i="726"/>
  <c r="K117" i="726"/>
  <c r="J117" i="726"/>
  <c r="I117" i="726"/>
  <c r="L117" i="726" s="1"/>
  <c r="H117" i="726"/>
  <c r="G117" i="726"/>
  <c r="N116" i="726"/>
  <c r="M116" i="726"/>
  <c r="K116" i="726"/>
  <c r="J116" i="726"/>
  <c r="I116" i="726"/>
  <c r="L116" i="726" s="1"/>
  <c r="H116" i="726"/>
  <c r="G116" i="726"/>
  <c r="N115" i="726"/>
  <c r="O115" i="726" s="1"/>
  <c r="M115" i="726"/>
  <c r="K115" i="726"/>
  <c r="J115" i="726"/>
  <c r="I115" i="726"/>
  <c r="L115" i="726" s="1"/>
  <c r="H115" i="726"/>
  <c r="G115" i="726"/>
  <c r="N114" i="726"/>
  <c r="M114" i="726"/>
  <c r="O114" i="726" s="1"/>
  <c r="K114" i="726"/>
  <c r="L114" i="726" s="1"/>
  <c r="J114" i="726"/>
  <c r="I114" i="726"/>
  <c r="H114" i="726"/>
  <c r="G114" i="726"/>
  <c r="N113" i="726"/>
  <c r="M113" i="726"/>
  <c r="O113" i="726" s="1"/>
  <c r="K113" i="726"/>
  <c r="J113" i="726"/>
  <c r="I113" i="726"/>
  <c r="L113" i="726" s="1"/>
  <c r="H113" i="726"/>
  <c r="G113" i="726"/>
  <c r="N112" i="726"/>
  <c r="M112" i="726"/>
  <c r="O112" i="726" s="1"/>
  <c r="K112" i="726"/>
  <c r="J112" i="726"/>
  <c r="I112" i="726"/>
  <c r="L112" i="726" s="1"/>
  <c r="H112" i="726"/>
  <c r="G112" i="726"/>
  <c r="N111" i="726"/>
  <c r="O111" i="726" s="1"/>
  <c r="M111" i="726"/>
  <c r="K111" i="726"/>
  <c r="J111" i="726"/>
  <c r="I111" i="726"/>
  <c r="L111" i="726" s="1"/>
  <c r="H111" i="726"/>
  <c r="G111" i="726"/>
  <c r="N110" i="726"/>
  <c r="M110" i="726"/>
  <c r="O110" i="726" s="1"/>
  <c r="K110" i="726"/>
  <c r="L110" i="726" s="1"/>
  <c r="J110" i="726"/>
  <c r="I110" i="726"/>
  <c r="H110" i="726"/>
  <c r="G110" i="726"/>
  <c r="N109" i="726"/>
  <c r="M109" i="726"/>
  <c r="O109" i="726" s="1"/>
  <c r="K109" i="726"/>
  <c r="J109" i="726"/>
  <c r="I109" i="726"/>
  <c r="L109" i="726" s="1"/>
  <c r="H109" i="726"/>
  <c r="G109" i="726"/>
  <c r="N108" i="726"/>
  <c r="M108" i="726"/>
  <c r="O108" i="726" s="1"/>
  <c r="K108" i="726"/>
  <c r="J108" i="726"/>
  <c r="I108" i="726"/>
  <c r="L108" i="726" s="1"/>
  <c r="H108" i="726"/>
  <c r="G108" i="726"/>
  <c r="N107" i="726"/>
  <c r="O107" i="726" s="1"/>
  <c r="M107" i="726"/>
  <c r="K107" i="726"/>
  <c r="J107" i="726"/>
  <c r="I107" i="726"/>
  <c r="L107" i="726" s="1"/>
  <c r="H107" i="726"/>
  <c r="G107" i="726"/>
  <c r="N106" i="726"/>
  <c r="M106" i="726"/>
  <c r="K106" i="726"/>
  <c r="L106" i="726" s="1"/>
  <c r="J106" i="726"/>
  <c r="I106" i="726"/>
  <c r="H106" i="726"/>
  <c r="G106" i="726"/>
  <c r="N105" i="726"/>
  <c r="M105" i="726"/>
  <c r="O105" i="726" s="1"/>
  <c r="K105" i="726"/>
  <c r="J105" i="726"/>
  <c r="I105" i="726"/>
  <c r="L105" i="726" s="1"/>
  <c r="H105" i="726"/>
  <c r="G105" i="726"/>
  <c r="N104" i="726"/>
  <c r="M104" i="726"/>
  <c r="K104" i="726"/>
  <c r="J104" i="726"/>
  <c r="L104" i="726" s="1"/>
  <c r="I104" i="726"/>
  <c r="H104" i="726"/>
  <c r="G104" i="726"/>
  <c r="N103" i="726"/>
  <c r="O103" i="726" s="1"/>
  <c r="M103" i="726"/>
  <c r="K103" i="726"/>
  <c r="J103" i="726"/>
  <c r="I103" i="726"/>
  <c r="L103" i="726" s="1"/>
  <c r="H103" i="726"/>
  <c r="G103" i="726"/>
  <c r="N102" i="726"/>
  <c r="M102" i="726"/>
  <c r="O102" i="726" s="1"/>
  <c r="K102" i="726"/>
  <c r="L102" i="726" s="1"/>
  <c r="J102" i="726"/>
  <c r="I102" i="726"/>
  <c r="H102" i="726"/>
  <c r="G102" i="726"/>
  <c r="N101" i="726"/>
  <c r="M101" i="726"/>
  <c r="O101" i="726" s="1"/>
  <c r="K101" i="726"/>
  <c r="J101" i="726"/>
  <c r="I101" i="726"/>
  <c r="L101" i="726" s="1"/>
  <c r="H101" i="726"/>
  <c r="G101" i="726"/>
  <c r="N100" i="726"/>
  <c r="M100" i="726"/>
  <c r="O100" i="726" s="1"/>
  <c r="K100" i="726"/>
  <c r="J100" i="726"/>
  <c r="L100" i="726" s="1"/>
  <c r="I100" i="726"/>
  <c r="H100" i="726"/>
  <c r="G100" i="726"/>
  <c r="N99" i="726"/>
  <c r="O99" i="726" s="1"/>
  <c r="M99" i="726"/>
  <c r="K99" i="726"/>
  <c r="J99" i="726"/>
  <c r="I99" i="726"/>
  <c r="L99" i="726" s="1"/>
  <c r="H99" i="726"/>
  <c r="G99" i="726"/>
  <c r="N98" i="726"/>
  <c r="M98" i="726"/>
  <c r="O98" i="726" s="1"/>
  <c r="K98" i="726"/>
  <c r="L98" i="726" s="1"/>
  <c r="J98" i="726"/>
  <c r="I98" i="726"/>
  <c r="H98" i="726"/>
  <c r="G98" i="726"/>
  <c r="N97" i="726"/>
  <c r="M97" i="726"/>
  <c r="O97" i="726" s="1"/>
  <c r="K97" i="726"/>
  <c r="J97" i="726"/>
  <c r="I97" i="726"/>
  <c r="L97" i="726" s="1"/>
  <c r="H97" i="726"/>
  <c r="G97" i="726"/>
  <c r="N96" i="726"/>
  <c r="M96" i="726"/>
  <c r="O96" i="726" s="1"/>
  <c r="K96" i="726"/>
  <c r="J96" i="726"/>
  <c r="L96" i="726" s="1"/>
  <c r="I96" i="726"/>
  <c r="H96" i="726"/>
  <c r="G96" i="726"/>
  <c r="N95" i="726"/>
  <c r="O95" i="726" s="1"/>
  <c r="M95" i="726"/>
  <c r="K95" i="726"/>
  <c r="J95" i="726"/>
  <c r="I95" i="726"/>
  <c r="L95" i="726" s="1"/>
  <c r="H95" i="726"/>
  <c r="G95" i="726"/>
  <c r="N94" i="726"/>
  <c r="M94" i="726"/>
  <c r="K94" i="726"/>
  <c r="L94" i="726" s="1"/>
  <c r="J94" i="726"/>
  <c r="I94" i="726"/>
  <c r="H94" i="726"/>
  <c r="G94" i="726"/>
  <c r="N93" i="726"/>
  <c r="M93" i="726"/>
  <c r="O93" i="726" s="1"/>
  <c r="K93" i="726"/>
  <c r="J93" i="726"/>
  <c r="I93" i="726"/>
  <c r="L93" i="726" s="1"/>
  <c r="H93" i="726"/>
  <c r="G93" i="726"/>
  <c r="N92" i="726"/>
  <c r="M92" i="726"/>
  <c r="K92" i="726"/>
  <c r="J92" i="726"/>
  <c r="L92" i="726" s="1"/>
  <c r="I92" i="726"/>
  <c r="H92" i="726"/>
  <c r="G92" i="726"/>
  <c r="N91" i="726"/>
  <c r="O91" i="726" s="1"/>
  <c r="M91" i="726"/>
  <c r="K91" i="726"/>
  <c r="J91" i="726"/>
  <c r="I91" i="726"/>
  <c r="L91" i="726" s="1"/>
  <c r="H91" i="726"/>
  <c r="G91" i="726"/>
  <c r="N90" i="726"/>
  <c r="M90" i="726"/>
  <c r="O90" i="726" s="1"/>
  <c r="K90" i="726"/>
  <c r="L90" i="726" s="1"/>
  <c r="J90" i="726"/>
  <c r="I90" i="726"/>
  <c r="H90" i="726"/>
  <c r="G90" i="726"/>
  <c r="N89" i="726"/>
  <c r="M89" i="726"/>
  <c r="O89" i="726" s="1"/>
  <c r="K89" i="726"/>
  <c r="J89" i="726"/>
  <c r="I89" i="726"/>
  <c r="L89" i="726" s="1"/>
  <c r="H89" i="726"/>
  <c r="G89" i="726"/>
  <c r="N88" i="726"/>
  <c r="M88" i="726"/>
  <c r="O88" i="726" s="1"/>
  <c r="K88" i="726"/>
  <c r="J88" i="726"/>
  <c r="L88" i="726" s="1"/>
  <c r="I88" i="726"/>
  <c r="H88" i="726"/>
  <c r="G88" i="726"/>
  <c r="N87" i="726"/>
  <c r="O87" i="726" s="1"/>
  <c r="M87" i="726"/>
  <c r="K87" i="726"/>
  <c r="J87" i="726"/>
  <c r="I87" i="726"/>
  <c r="L87" i="726" s="1"/>
  <c r="H87" i="726"/>
  <c r="G87" i="726"/>
  <c r="N86" i="726"/>
  <c r="M86" i="726"/>
  <c r="O86" i="726" s="1"/>
  <c r="K86" i="726"/>
  <c r="L86" i="726" s="1"/>
  <c r="J86" i="726"/>
  <c r="I86" i="726"/>
  <c r="H86" i="726"/>
  <c r="G86" i="726"/>
  <c r="N85" i="726"/>
  <c r="M85" i="726"/>
  <c r="O85" i="726" s="1"/>
  <c r="K85" i="726"/>
  <c r="J85" i="726"/>
  <c r="I85" i="726"/>
  <c r="L85" i="726" s="1"/>
  <c r="H85" i="726"/>
  <c r="G85" i="726"/>
  <c r="N84" i="726"/>
  <c r="M84" i="726"/>
  <c r="O84" i="726" s="1"/>
  <c r="K84" i="726"/>
  <c r="J84" i="726"/>
  <c r="L84" i="726" s="1"/>
  <c r="I84" i="726"/>
  <c r="H84" i="726"/>
  <c r="G84" i="726"/>
  <c r="N83" i="726"/>
  <c r="O83" i="726" s="1"/>
  <c r="M83" i="726"/>
  <c r="K83" i="726"/>
  <c r="J83" i="726"/>
  <c r="I83" i="726"/>
  <c r="L83" i="726" s="1"/>
  <c r="H83" i="726"/>
  <c r="G83" i="726"/>
  <c r="N82" i="726"/>
  <c r="M82" i="726"/>
  <c r="K82" i="726"/>
  <c r="L82" i="726" s="1"/>
  <c r="J82" i="726"/>
  <c r="I82" i="726"/>
  <c r="H82" i="726"/>
  <c r="G82" i="726"/>
  <c r="N81" i="726"/>
  <c r="M81" i="726"/>
  <c r="O81" i="726" s="1"/>
  <c r="K81" i="726"/>
  <c r="J81" i="726"/>
  <c r="I81" i="726"/>
  <c r="L81" i="726" s="1"/>
  <c r="H81" i="726"/>
  <c r="G81" i="726"/>
  <c r="N80" i="726"/>
  <c r="M80" i="726"/>
  <c r="K80" i="726"/>
  <c r="J80" i="726"/>
  <c r="L80" i="726" s="1"/>
  <c r="I80" i="726"/>
  <c r="H80" i="726"/>
  <c r="G80" i="726"/>
  <c r="N79" i="726"/>
  <c r="O79" i="726" s="1"/>
  <c r="M79" i="726"/>
  <c r="K79" i="726"/>
  <c r="J79" i="726"/>
  <c r="I79" i="726"/>
  <c r="L79" i="726" s="1"/>
  <c r="H79" i="726"/>
  <c r="G79" i="726"/>
  <c r="N78" i="726"/>
  <c r="M78" i="726"/>
  <c r="O78" i="726" s="1"/>
  <c r="K78" i="726"/>
  <c r="L78" i="726" s="1"/>
  <c r="J78" i="726"/>
  <c r="I78" i="726"/>
  <c r="H78" i="726"/>
  <c r="G78" i="726"/>
  <c r="N77" i="726"/>
  <c r="M77" i="726"/>
  <c r="O77" i="726" s="1"/>
  <c r="K77" i="726"/>
  <c r="J77" i="726"/>
  <c r="I77" i="726"/>
  <c r="L77" i="726" s="1"/>
  <c r="H77" i="726"/>
  <c r="G77" i="726"/>
  <c r="N76" i="726"/>
  <c r="M76" i="726"/>
  <c r="O76" i="726" s="1"/>
  <c r="K76" i="726"/>
  <c r="J76" i="726"/>
  <c r="I76" i="726"/>
  <c r="L76" i="726" s="1"/>
  <c r="H76" i="726"/>
  <c r="G76" i="726"/>
  <c r="N75" i="726"/>
  <c r="O75" i="726" s="1"/>
  <c r="M75" i="726"/>
  <c r="K75" i="726"/>
  <c r="J75" i="726"/>
  <c r="I75" i="726"/>
  <c r="L75" i="726" s="1"/>
  <c r="H75" i="726"/>
  <c r="G75" i="726"/>
  <c r="N74" i="726"/>
  <c r="M74" i="726"/>
  <c r="O74" i="726" s="1"/>
  <c r="K74" i="726"/>
  <c r="L74" i="726" s="1"/>
  <c r="J74" i="726"/>
  <c r="I74" i="726"/>
  <c r="H74" i="726"/>
  <c r="G74" i="726"/>
  <c r="N73" i="726"/>
  <c r="M73" i="726"/>
  <c r="O73" i="726" s="1"/>
  <c r="K73" i="726"/>
  <c r="J73" i="726"/>
  <c r="I73" i="726"/>
  <c r="L73" i="726" s="1"/>
  <c r="H73" i="726"/>
  <c r="G73" i="726"/>
  <c r="N72" i="726"/>
  <c r="M72" i="726"/>
  <c r="O72" i="726" s="1"/>
  <c r="K72" i="726"/>
  <c r="J72" i="726"/>
  <c r="I72" i="726"/>
  <c r="L72" i="726" s="1"/>
  <c r="H72" i="726"/>
  <c r="G72" i="726"/>
  <c r="N71" i="726"/>
  <c r="M71" i="726"/>
  <c r="K71" i="726"/>
  <c r="J71" i="726"/>
  <c r="I71" i="726"/>
  <c r="L71" i="726" s="1"/>
  <c r="H71" i="726"/>
  <c r="G71" i="726"/>
  <c r="N70" i="726"/>
  <c r="M70" i="726"/>
  <c r="K70" i="726"/>
  <c r="J70" i="726"/>
  <c r="I70" i="726"/>
  <c r="H70" i="726"/>
  <c r="G70" i="726"/>
  <c r="N69" i="726"/>
  <c r="M69" i="726"/>
  <c r="O69" i="726" s="1"/>
  <c r="K69" i="726"/>
  <c r="J69" i="726"/>
  <c r="I69" i="726"/>
  <c r="L69" i="726" s="1"/>
  <c r="H69" i="726"/>
  <c r="G69" i="726"/>
  <c r="N68" i="726"/>
  <c r="K68" i="726"/>
  <c r="J68" i="726"/>
  <c r="I68" i="726"/>
  <c r="H68" i="726"/>
  <c r="G68" i="726"/>
  <c r="N67" i="726"/>
  <c r="K67" i="726"/>
  <c r="J67" i="726"/>
  <c r="I67" i="726"/>
  <c r="L67" i="726" s="1"/>
  <c r="H67" i="726"/>
  <c r="G67" i="726"/>
  <c r="M67" i="726"/>
  <c r="O67" i="726" s="1"/>
  <c r="N66" i="726"/>
  <c r="M66" i="726"/>
  <c r="K66" i="726"/>
  <c r="J66" i="726"/>
  <c r="I66" i="726"/>
  <c r="L66" i="726" s="1"/>
  <c r="H66" i="726"/>
  <c r="G66" i="726"/>
  <c r="N65" i="726"/>
  <c r="M65" i="726"/>
  <c r="K65" i="726"/>
  <c r="J65" i="726"/>
  <c r="I65" i="726"/>
  <c r="H65" i="726"/>
  <c r="G65" i="726"/>
  <c r="N64" i="726"/>
  <c r="K64" i="726"/>
  <c r="J64" i="726"/>
  <c r="I64" i="726"/>
  <c r="H64" i="726"/>
  <c r="G64" i="726"/>
  <c r="N63" i="726"/>
  <c r="K63" i="726"/>
  <c r="J63" i="726"/>
  <c r="I63" i="726"/>
  <c r="H63" i="726"/>
  <c r="G63" i="726"/>
  <c r="N62" i="726"/>
  <c r="K62" i="726"/>
  <c r="J62" i="726"/>
  <c r="I62" i="726"/>
  <c r="H62" i="726"/>
  <c r="G62" i="726"/>
  <c r="N61" i="726"/>
  <c r="K61" i="726"/>
  <c r="J61" i="726"/>
  <c r="I61" i="726"/>
  <c r="H61" i="726"/>
  <c r="G61" i="726"/>
  <c r="N60" i="726"/>
  <c r="M60" i="726"/>
  <c r="O60" i="726" s="1"/>
  <c r="K60" i="726"/>
  <c r="J60" i="726"/>
  <c r="I60" i="726"/>
  <c r="H60" i="726"/>
  <c r="G60" i="726"/>
  <c r="N59" i="726"/>
  <c r="K59" i="726"/>
  <c r="J59" i="726"/>
  <c r="I59" i="726"/>
  <c r="H59" i="726"/>
  <c r="G59" i="726"/>
  <c r="N58" i="726"/>
  <c r="K58" i="726"/>
  <c r="J58" i="726"/>
  <c r="I58" i="726"/>
  <c r="H58" i="726"/>
  <c r="G58" i="726"/>
  <c r="N57" i="726"/>
  <c r="K57" i="726"/>
  <c r="J57" i="726"/>
  <c r="I57" i="726"/>
  <c r="H57" i="726"/>
  <c r="G57" i="726"/>
  <c r="N56" i="726"/>
  <c r="K56" i="726"/>
  <c r="J56" i="726"/>
  <c r="L56" i="726" s="1"/>
  <c r="M56" i="726" s="1"/>
  <c r="O56" i="726" s="1"/>
  <c r="I56" i="726"/>
  <c r="H56" i="726"/>
  <c r="G56" i="726"/>
  <c r="N55" i="726"/>
  <c r="K55" i="726"/>
  <c r="J55" i="726"/>
  <c r="I55" i="726"/>
  <c r="H55" i="726"/>
  <c r="G55" i="726"/>
  <c r="N54" i="726"/>
  <c r="M54" i="726"/>
  <c r="K54" i="726"/>
  <c r="J54" i="726"/>
  <c r="I54" i="726"/>
  <c r="H54" i="726"/>
  <c r="G54" i="726"/>
  <c r="N53" i="726"/>
  <c r="K53" i="726"/>
  <c r="J53" i="726"/>
  <c r="I53" i="726"/>
  <c r="L53" i="726" s="1"/>
  <c r="M53" i="726" s="1"/>
  <c r="O53" i="726" s="1"/>
  <c r="H53" i="726"/>
  <c r="G53" i="726"/>
  <c r="N52" i="726"/>
  <c r="L52" i="726"/>
  <c r="M52" i="726" s="1"/>
  <c r="O52" i="726" s="1"/>
  <c r="K52" i="726"/>
  <c r="J52" i="726"/>
  <c r="I52" i="726"/>
  <c r="H52" i="726"/>
  <c r="G52" i="726"/>
  <c r="N51" i="726"/>
  <c r="K51" i="726"/>
  <c r="J51" i="726"/>
  <c r="I51" i="726"/>
  <c r="H51" i="726"/>
  <c r="G51" i="726"/>
  <c r="N50" i="726"/>
  <c r="K50" i="726"/>
  <c r="J50" i="726"/>
  <c r="L50" i="726" s="1"/>
  <c r="M50" i="726" s="1"/>
  <c r="O50" i="726" s="1"/>
  <c r="I50" i="726"/>
  <c r="H50" i="726"/>
  <c r="G50" i="726"/>
  <c r="N49" i="726"/>
  <c r="M49" i="726"/>
  <c r="K49" i="726"/>
  <c r="J49" i="726"/>
  <c r="I49" i="726"/>
  <c r="H49" i="726"/>
  <c r="G49" i="726"/>
  <c r="N48" i="726"/>
  <c r="K48" i="726"/>
  <c r="J48" i="726"/>
  <c r="I48" i="726"/>
  <c r="H48" i="726"/>
  <c r="G48" i="726"/>
  <c r="N47" i="726"/>
  <c r="K47" i="726"/>
  <c r="J47" i="726"/>
  <c r="L47" i="726" s="1"/>
  <c r="M47" i="726" s="1"/>
  <c r="I47" i="726"/>
  <c r="H47" i="726"/>
  <c r="G47" i="726"/>
  <c r="N46" i="726"/>
  <c r="K46" i="726"/>
  <c r="J46" i="726"/>
  <c r="I46" i="726"/>
  <c r="L46" i="726" s="1"/>
  <c r="M46" i="726" s="1"/>
  <c r="H46" i="726"/>
  <c r="G46" i="726"/>
  <c r="N45" i="726"/>
  <c r="K45" i="726"/>
  <c r="J45" i="726"/>
  <c r="I45" i="726"/>
  <c r="H45" i="726"/>
  <c r="G45" i="726"/>
  <c r="N44" i="726"/>
  <c r="K44" i="726"/>
  <c r="J44" i="726"/>
  <c r="I44" i="726"/>
  <c r="L44" i="726" s="1"/>
  <c r="M44" i="726" s="1"/>
  <c r="H44" i="726"/>
  <c r="G44" i="726"/>
  <c r="N43" i="726"/>
  <c r="K43" i="726"/>
  <c r="J43" i="726"/>
  <c r="L43" i="726" s="1"/>
  <c r="M43" i="726" s="1"/>
  <c r="I43" i="726"/>
  <c r="H43" i="726"/>
  <c r="G43" i="726"/>
  <c r="N42" i="726"/>
  <c r="M42" i="726"/>
  <c r="O42" i="726" s="1"/>
  <c r="K42" i="726"/>
  <c r="J42" i="726"/>
  <c r="I42" i="726"/>
  <c r="H42" i="726"/>
  <c r="G42" i="726"/>
  <c r="N41" i="726"/>
  <c r="K41" i="726"/>
  <c r="J41" i="726"/>
  <c r="I41" i="726"/>
  <c r="H41" i="726"/>
  <c r="G41" i="726"/>
  <c r="N40" i="726"/>
  <c r="M40" i="726"/>
  <c r="O40" i="726" s="1"/>
  <c r="K40" i="726"/>
  <c r="J40" i="726"/>
  <c r="L40" i="726" s="1"/>
  <c r="I40" i="726"/>
  <c r="H40" i="726"/>
  <c r="G40" i="726"/>
  <c r="N39" i="726"/>
  <c r="K39" i="726"/>
  <c r="J39" i="726"/>
  <c r="I39" i="726"/>
  <c r="L39" i="726" s="1"/>
  <c r="M39" i="726" s="1"/>
  <c r="O39" i="726" s="1"/>
  <c r="H39" i="726"/>
  <c r="G39" i="726"/>
  <c r="N38" i="726"/>
  <c r="K38" i="726"/>
  <c r="J38" i="726"/>
  <c r="I38" i="726"/>
  <c r="H38" i="726"/>
  <c r="G38" i="726"/>
  <c r="N37" i="726"/>
  <c r="K37" i="726"/>
  <c r="J37" i="726"/>
  <c r="I37" i="726"/>
  <c r="L37" i="726" s="1"/>
  <c r="M37" i="726" s="1"/>
  <c r="O37" i="726" s="1"/>
  <c r="H37" i="726"/>
  <c r="G37" i="726"/>
  <c r="N36" i="726"/>
  <c r="K36" i="726"/>
  <c r="J36" i="726"/>
  <c r="L36" i="726" s="1"/>
  <c r="M36" i="726" s="1"/>
  <c r="I36" i="726"/>
  <c r="H36" i="726"/>
  <c r="G36" i="726"/>
  <c r="N35" i="726"/>
  <c r="K35" i="726"/>
  <c r="J35" i="726"/>
  <c r="I35" i="726"/>
  <c r="H35" i="726"/>
  <c r="G35" i="726"/>
  <c r="N34" i="726"/>
  <c r="K34" i="726"/>
  <c r="J34" i="726"/>
  <c r="I34" i="726"/>
  <c r="H34" i="726"/>
  <c r="G34" i="726"/>
  <c r="N33" i="726"/>
  <c r="K33" i="726"/>
  <c r="J33" i="726"/>
  <c r="I33" i="726"/>
  <c r="H33" i="726"/>
  <c r="G33" i="726"/>
  <c r="N32" i="726"/>
  <c r="K32" i="726"/>
  <c r="J32" i="726"/>
  <c r="L32" i="726" s="1"/>
  <c r="M32" i="726" s="1"/>
  <c r="I32" i="726"/>
  <c r="H32" i="726"/>
  <c r="G32" i="726"/>
  <c r="N31" i="726"/>
  <c r="M31" i="726"/>
  <c r="O31" i="726" s="1"/>
  <c r="K31" i="726"/>
  <c r="J31" i="726"/>
  <c r="L31" i="726" s="1"/>
  <c r="I31" i="726"/>
  <c r="H31" i="726"/>
  <c r="G31" i="726"/>
  <c r="N30" i="726"/>
  <c r="K30" i="726"/>
  <c r="J30" i="726"/>
  <c r="I30" i="726"/>
  <c r="L30" i="726" s="1"/>
  <c r="M30" i="726" s="1"/>
  <c r="O30" i="726" s="1"/>
  <c r="H30" i="726"/>
  <c r="G30" i="726"/>
  <c r="N29" i="726"/>
  <c r="K29" i="726"/>
  <c r="J29" i="726"/>
  <c r="I29" i="726"/>
  <c r="H29" i="726"/>
  <c r="G29" i="726"/>
  <c r="N28" i="726"/>
  <c r="K28" i="726"/>
  <c r="J28" i="726"/>
  <c r="I28" i="726"/>
  <c r="L28" i="726" s="1"/>
  <c r="M28" i="726" s="1"/>
  <c r="O28" i="726" s="1"/>
  <c r="H28" i="726"/>
  <c r="G28" i="726"/>
  <c r="N27" i="726"/>
  <c r="K27" i="726"/>
  <c r="J27" i="726"/>
  <c r="L27" i="726" s="1"/>
  <c r="M27" i="726" s="1"/>
  <c r="O27" i="726" s="1"/>
  <c r="I27" i="726"/>
  <c r="H27" i="726"/>
  <c r="G27" i="726"/>
  <c r="N26" i="726"/>
  <c r="M26" i="726"/>
  <c r="K26" i="726"/>
  <c r="J26" i="726"/>
  <c r="I26" i="726"/>
  <c r="H26" i="726"/>
  <c r="G26" i="726"/>
  <c r="N25" i="726"/>
  <c r="K25" i="726"/>
  <c r="J25" i="726"/>
  <c r="I25" i="726"/>
  <c r="L25" i="726" s="1"/>
  <c r="M25" i="726" s="1"/>
  <c r="O25" i="726" s="1"/>
  <c r="H25" i="726"/>
  <c r="G25" i="726"/>
  <c r="N24" i="726"/>
  <c r="K24" i="726"/>
  <c r="J24" i="726"/>
  <c r="I24" i="726"/>
  <c r="H24" i="726"/>
  <c r="G24" i="726"/>
  <c r="N23" i="726"/>
  <c r="K23" i="726"/>
  <c r="J23" i="726"/>
  <c r="I23" i="726"/>
  <c r="H23" i="726"/>
  <c r="G23" i="726"/>
  <c r="N22" i="726"/>
  <c r="M22" i="726"/>
  <c r="K22" i="726"/>
  <c r="J22" i="726"/>
  <c r="I22" i="726"/>
  <c r="H22" i="726"/>
  <c r="G22" i="726"/>
  <c r="N21" i="726"/>
  <c r="K21" i="726"/>
  <c r="J21" i="726"/>
  <c r="I21" i="726"/>
  <c r="H21" i="726"/>
  <c r="G21" i="726"/>
  <c r="N20" i="726"/>
  <c r="K20" i="726"/>
  <c r="J20" i="726"/>
  <c r="I20" i="726"/>
  <c r="H20" i="726"/>
  <c r="G20" i="726"/>
  <c r="N19" i="726"/>
  <c r="K19" i="726"/>
  <c r="J19" i="726"/>
  <c r="L19" i="726" s="1"/>
  <c r="M19" i="726" s="1"/>
  <c r="O19" i="726" s="1"/>
  <c r="I19" i="726"/>
  <c r="H19" i="726"/>
  <c r="G19" i="726"/>
  <c r="N18" i="726"/>
  <c r="K18" i="726"/>
  <c r="J18" i="726"/>
  <c r="I18" i="726"/>
  <c r="H18" i="726"/>
  <c r="G18" i="726"/>
  <c r="N17" i="726"/>
  <c r="K17" i="726"/>
  <c r="J17" i="726"/>
  <c r="L17" i="726" s="1"/>
  <c r="M17" i="726" s="1"/>
  <c r="O17" i="726" s="1"/>
  <c r="I17" i="726"/>
  <c r="H17" i="726"/>
  <c r="G17" i="726"/>
  <c r="N16" i="726"/>
  <c r="M16" i="726"/>
  <c r="O16" i="726" s="1"/>
  <c r="K16" i="726"/>
  <c r="J16" i="726"/>
  <c r="I16" i="726"/>
  <c r="H16" i="726"/>
  <c r="G16" i="726"/>
  <c r="N15" i="726"/>
  <c r="K15" i="726"/>
  <c r="J15" i="726"/>
  <c r="L15" i="726" s="1"/>
  <c r="M15" i="726" s="1"/>
  <c r="O15" i="726" s="1"/>
  <c r="I15" i="726"/>
  <c r="H15" i="726"/>
  <c r="G15" i="726"/>
  <c r="N14" i="726"/>
  <c r="K14" i="726"/>
  <c r="J14" i="726"/>
  <c r="I14" i="726"/>
  <c r="H14" i="726"/>
  <c r="G14" i="726"/>
  <c r="N13" i="726"/>
  <c r="M13" i="726"/>
  <c r="O13" i="726" s="1"/>
  <c r="K13" i="726"/>
  <c r="J13" i="726"/>
  <c r="I13" i="726"/>
  <c r="H13" i="726"/>
  <c r="G13" i="726"/>
  <c r="N12" i="726"/>
  <c r="K12" i="726"/>
  <c r="J12" i="726"/>
  <c r="I12" i="726"/>
  <c r="L12" i="726" s="1"/>
  <c r="M12" i="726" s="1"/>
  <c r="H12" i="726"/>
  <c r="G12" i="726"/>
  <c r="N11" i="726"/>
  <c r="K11" i="726"/>
  <c r="J11" i="726"/>
  <c r="I11" i="726"/>
  <c r="L11" i="726" s="1"/>
  <c r="M11" i="726" s="1"/>
  <c r="H11" i="726"/>
  <c r="G11" i="726"/>
  <c r="N10" i="726"/>
  <c r="K10" i="726"/>
  <c r="J10" i="726"/>
  <c r="I10" i="726"/>
  <c r="L10" i="726" s="1"/>
  <c r="M10" i="726" s="1"/>
  <c r="H10" i="726"/>
  <c r="G10" i="726"/>
  <c r="N9" i="726"/>
  <c r="M9" i="726"/>
  <c r="K9" i="726"/>
  <c r="J9" i="726"/>
  <c r="L9" i="726" s="1"/>
  <c r="I9" i="726"/>
  <c r="H9" i="726"/>
  <c r="G9" i="726"/>
  <c r="E68" i="722"/>
  <c r="E67" i="722"/>
  <c r="C67" i="722"/>
  <c r="T10" i="5"/>
  <c r="T9" i="5"/>
  <c r="T8" i="5"/>
  <c r="AE17" i="482"/>
  <c r="AE16" i="482"/>
  <c r="AE15" i="482"/>
  <c r="AE14" i="482"/>
  <c r="AE13" i="482"/>
  <c r="AE12" i="482"/>
  <c r="AE11" i="482"/>
  <c r="AE10" i="482"/>
  <c r="C11" i="5" a="1"/>
  <c r="E12" i="5" a="1"/>
  <c r="E11" i="5" a="1"/>
  <c r="H12" i="5" a="1"/>
  <c r="H11" i="5" a="1"/>
  <c r="C12" i="5" a="1"/>
  <c r="C10" i="5" a="1"/>
  <c r="E8" i="5" a="1"/>
  <c r="E9" i="5" a="1"/>
  <c r="C8" i="5" a="1"/>
  <c r="E10" i="5" a="1"/>
  <c r="C9" i="5" a="1"/>
  <c r="C12" i="5" l="1"/>
  <c r="H11" i="5"/>
  <c r="H12" i="5"/>
  <c r="E11" i="5"/>
  <c r="E12" i="5"/>
  <c r="C11" i="5"/>
  <c r="L22" i="730"/>
  <c r="L18" i="730"/>
  <c r="M18" i="730" s="1"/>
  <c r="O18" i="730" s="1"/>
  <c r="L175" i="730"/>
  <c r="O176" i="730"/>
  <c r="L193" i="730"/>
  <c r="L201" i="730"/>
  <c r="L209" i="730"/>
  <c r="L217" i="730"/>
  <c r="L225" i="730"/>
  <c r="L233" i="730"/>
  <c r="L241" i="730"/>
  <c r="O185" i="730"/>
  <c r="O188" i="730"/>
  <c r="L171" i="730"/>
  <c r="O172" i="730"/>
  <c r="L184" i="730"/>
  <c r="L187" i="730"/>
  <c r="O196" i="730"/>
  <c r="O204" i="730"/>
  <c r="O212" i="730"/>
  <c r="O220" i="730"/>
  <c r="O228" i="730"/>
  <c r="O236" i="730"/>
  <c r="L167" i="730"/>
  <c r="O168" i="730"/>
  <c r="O164" i="730"/>
  <c r="L180" i="730"/>
  <c r="L183" i="730"/>
  <c r="L197" i="730"/>
  <c r="L205" i="730"/>
  <c r="L213" i="730"/>
  <c r="L221" i="730"/>
  <c r="L229" i="730"/>
  <c r="L237" i="730"/>
  <c r="O9" i="730"/>
  <c r="L159" i="730"/>
  <c r="O160" i="730"/>
  <c r="O192" i="730"/>
  <c r="O200" i="730"/>
  <c r="O208" i="730"/>
  <c r="O216" i="730"/>
  <c r="O224" i="730"/>
  <c r="O232" i="730"/>
  <c r="O240" i="730"/>
  <c r="L191" i="730"/>
  <c r="L199" i="730"/>
  <c r="L223" i="730"/>
  <c r="L231" i="730"/>
  <c r="L239" i="730"/>
  <c r="L249" i="730"/>
  <c r="L179" i="730"/>
  <c r="L188" i="730"/>
  <c r="O194" i="730"/>
  <c r="L196" i="730"/>
  <c r="O202" i="730"/>
  <c r="L204" i="730"/>
  <c r="O210" i="730"/>
  <c r="L212" i="730"/>
  <c r="O218" i="730"/>
  <c r="L220" i="730"/>
  <c r="O226" i="730"/>
  <c r="L228" i="730"/>
  <c r="O234" i="730"/>
  <c r="L236" i="730"/>
  <c r="O242" i="730"/>
  <c r="O254" i="730"/>
  <c r="L293" i="730"/>
  <c r="O294" i="730"/>
  <c r="L317" i="730"/>
  <c r="O318" i="730"/>
  <c r="L341" i="730"/>
  <c r="O342" i="730"/>
  <c r="L365" i="730"/>
  <c r="O366" i="730"/>
  <c r="L370" i="730"/>
  <c r="L305" i="730"/>
  <c r="O306" i="730"/>
  <c r="L329" i="730"/>
  <c r="O330" i="730"/>
  <c r="L353" i="730"/>
  <c r="O354" i="730"/>
  <c r="O370" i="730"/>
  <c r="O378" i="730"/>
  <c r="O386" i="730"/>
  <c r="L297" i="730"/>
  <c r="O298" i="730"/>
  <c r="L321" i="730"/>
  <c r="O322" i="730"/>
  <c r="L345" i="730"/>
  <c r="O346" i="730"/>
  <c r="O372" i="730"/>
  <c r="L374" i="730"/>
  <c r="L382" i="730"/>
  <c r="L546" i="730"/>
  <c r="L549" i="730"/>
  <c r="L597" i="730"/>
  <c r="O546" i="730"/>
  <c r="O555" i="730"/>
  <c r="L594" i="730"/>
  <c r="L606" i="730"/>
  <c r="L618" i="730"/>
  <c r="L630" i="730"/>
  <c r="L642" i="730"/>
  <c r="L654" i="730"/>
  <c r="L666" i="730"/>
  <c r="L678" i="730"/>
  <c r="L690" i="730"/>
  <c r="O551" i="730"/>
  <c r="O554" i="730"/>
  <c r="L598" i="730"/>
  <c r="L610" i="730"/>
  <c r="L622" i="730"/>
  <c r="L561" i="730"/>
  <c r="L569" i="730"/>
  <c r="L577" i="730"/>
  <c r="L585" i="730"/>
  <c r="O547" i="730"/>
  <c r="O550" i="730"/>
  <c r="L558" i="730"/>
  <c r="L566" i="730"/>
  <c r="L574" i="730"/>
  <c r="L582" i="730"/>
  <c r="L590" i="730"/>
  <c r="L602" i="730"/>
  <c r="L614" i="730"/>
  <c r="L626" i="730"/>
  <c r="L638" i="730"/>
  <c r="L650" i="730"/>
  <c r="L662" i="730"/>
  <c r="L674" i="730"/>
  <c r="L686" i="730"/>
  <c r="L734" i="730"/>
  <c r="L742" i="730"/>
  <c r="L747" i="730"/>
  <c r="L759" i="730"/>
  <c r="L771" i="730"/>
  <c r="L783" i="730"/>
  <c r="L795" i="730"/>
  <c r="L807" i="730"/>
  <c r="L819" i="730"/>
  <c r="L831" i="730"/>
  <c r="O872" i="730"/>
  <c r="L708" i="730"/>
  <c r="L736" i="730"/>
  <c r="L744" i="730"/>
  <c r="O864" i="730"/>
  <c r="L871" i="730"/>
  <c r="L751" i="730"/>
  <c r="L763" i="730"/>
  <c r="L775" i="730"/>
  <c r="L787" i="730"/>
  <c r="L700" i="730"/>
  <c r="L748" i="730"/>
  <c r="L847" i="730"/>
  <c r="L855" i="730"/>
  <c r="L755" i="730"/>
  <c r="L767" i="730"/>
  <c r="L779" i="730"/>
  <c r="L791" i="730"/>
  <c r="L803" i="730"/>
  <c r="L815" i="730"/>
  <c r="L716" i="730"/>
  <c r="O844" i="730"/>
  <c r="O852" i="730"/>
  <c r="O860" i="730"/>
  <c r="M7" i="729"/>
  <c r="L92" i="729"/>
  <c r="O93" i="729"/>
  <c r="L116" i="729"/>
  <c r="O117" i="729"/>
  <c r="L140" i="729"/>
  <c r="O141" i="729"/>
  <c r="O165" i="729"/>
  <c r="O189" i="729"/>
  <c r="O213" i="729"/>
  <c r="O237" i="729"/>
  <c r="O233" i="729"/>
  <c r="O81" i="729"/>
  <c r="L104" i="729"/>
  <c r="O105" i="729"/>
  <c r="L128" i="729"/>
  <c r="O129" i="729"/>
  <c r="O153" i="729"/>
  <c r="O177" i="729"/>
  <c r="O201" i="729"/>
  <c r="O225" i="729"/>
  <c r="O9" i="729"/>
  <c r="L100" i="729"/>
  <c r="L124" i="729"/>
  <c r="L148" i="729"/>
  <c r="L172" i="729"/>
  <c r="O173" i="729"/>
  <c r="L196" i="729"/>
  <c r="O197" i="729"/>
  <c r="L220" i="729"/>
  <c r="O221" i="729"/>
  <c r="L244" i="729"/>
  <c r="O245" i="729"/>
  <c r="L96" i="729"/>
  <c r="O97" i="729"/>
  <c r="L120" i="729"/>
  <c r="O121" i="729"/>
  <c r="L144" i="729"/>
  <c r="O145" i="729"/>
  <c r="L168" i="729"/>
  <c r="O169" i="729"/>
  <c r="L192" i="729"/>
  <c r="O193" i="729"/>
  <c r="L216" i="729"/>
  <c r="O217" i="729"/>
  <c r="L240" i="729"/>
  <c r="O241" i="729"/>
  <c r="O394" i="729"/>
  <c r="L399" i="729"/>
  <c r="O400" i="729"/>
  <c r="O408" i="729"/>
  <c r="O416" i="729"/>
  <c r="O519" i="729"/>
  <c r="O531" i="729"/>
  <c r="L402" i="729"/>
  <c r="L407" i="729"/>
  <c r="L410" i="729"/>
  <c r="L415" i="729"/>
  <c r="L418" i="729"/>
  <c r="L423" i="729"/>
  <c r="L426" i="729"/>
  <c r="L431" i="729"/>
  <c r="L434" i="729"/>
  <c r="L444" i="729"/>
  <c r="L456" i="729"/>
  <c r="L468" i="729"/>
  <c r="L480" i="729"/>
  <c r="L492" i="729"/>
  <c r="L504" i="729"/>
  <c r="L458" i="729"/>
  <c r="L470" i="729"/>
  <c r="L482" i="729"/>
  <c r="L494" i="729"/>
  <c r="L506" i="729"/>
  <c r="L518" i="729"/>
  <c r="L530" i="729"/>
  <c r="L395" i="729"/>
  <c r="O396" i="729"/>
  <c r="L401" i="729"/>
  <c r="O407" i="729"/>
  <c r="L409" i="729"/>
  <c r="O415" i="729"/>
  <c r="L417" i="729"/>
  <c r="O423" i="729"/>
  <c r="L425" i="729"/>
  <c r="O431" i="729"/>
  <c r="O439" i="729"/>
  <c r="O451" i="729"/>
  <c r="O463" i="729"/>
  <c r="O404" i="729"/>
  <c r="O412" i="729"/>
  <c r="L391" i="729"/>
  <c r="O392" i="729"/>
  <c r="L403" i="729"/>
  <c r="L406" i="729"/>
  <c r="L411" i="729"/>
  <c r="L414" i="729"/>
  <c r="L419" i="729"/>
  <c r="L422" i="729"/>
  <c r="L427" i="729"/>
  <c r="L430" i="729"/>
  <c r="L438" i="729"/>
  <c r="O448" i="729"/>
  <c r="L450" i="729"/>
  <c r="L462" i="729"/>
  <c r="L474" i="729"/>
  <c r="L486" i="729"/>
  <c r="L498" i="729"/>
  <c r="L510" i="729"/>
  <c r="L522" i="729"/>
  <c r="L534" i="729"/>
  <c r="L387" i="729"/>
  <c r="O388" i="729"/>
  <c r="L440" i="729"/>
  <c r="L452" i="729"/>
  <c r="L464" i="729"/>
  <c r="L476" i="729"/>
  <c r="L488" i="729"/>
  <c r="L500" i="729"/>
  <c r="L383" i="729"/>
  <c r="O384" i="729"/>
  <c r="O440" i="729"/>
  <c r="L442" i="729"/>
  <c r="O452" i="729"/>
  <c r="L454" i="729"/>
  <c r="L466" i="729"/>
  <c r="L478" i="729"/>
  <c r="L490" i="729"/>
  <c r="L502" i="729"/>
  <c r="L514" i="729"/>
  <c r="L526" i="729"/>
  <c r="L538" i="729"/>
  <c r="L546" i="729"/>
  <c r="L549" i="729"/>
  <c r="L558" i="729"/>
  <c r="L561" i="729"/>
  <c r="L570" i="729"/>
  <c r="L573" i="729"/>
  <c r="L545" i="729"/>
  <c r="O539" i="729"/>
  <c r="O542" i="729"/>
  <c r="O551" i="729"/>
  <c r="O554" i="729"/>
  <c r="O563" i="729"/>
  <c r="O566" i="729"/>
  <c r="O575" i="729"/>
  <c r="L582" i="729"/>
  <c r="L590" i="729"/>
  <c r="L598" i="729"/>
  <c r="O547" i="729"/>
  <c r="O550" i="729"/>
  <c r="O559" i="729"/>
  <c r="O562" i="729"/>
  <c r="O571" i="729"/>
  <c r="O574" i="729"/>
  <c r="L579" i="729"/>
  <c r="L587" i="729"/>
  <c r="L595" i="729"/>
  <c r="O729" i="729"/>
  <c r="O737" i="729"/>
  <c r="O745" i="729"/>
  <c r="L690" i="729"/>
  <c r="O691" i="729"/>
  <c r="O711" i="729"/>
  <c r="O723" i="729"/>
  <c r="O731" i="729"/>
  <c r="O739" i="729"/>
  <c r="O747" i="729"/>
  <c r="O755" i="729"/>
  <c r="L710" i="729"/>
  <c r="L722" i="729"/>
  <c r="L730" i="729"/>
  <c r="O687" i="729"/>
  <c r="L706" i="729"/>
  <c r="O707" i="729"/>
  <c r="O719" i="729"/>
  <c r="O703" i="729"/>
  <c r="O727" i="729"/>
  <c r="O735" i="729"/>
  <c r="O743" i="729"/>
  <c r="O751" i="729"/>
  <c r="O759" i="729"/>
  <c r="L726" i="729"/>
  <c r="L734" i="729"/>
  <c r="L742" i="729"/>
  <c r="L750" i="729"/>
  <c r="L758" i="729"/>
  <c r="L766" i="729"/>
  <c r="L774" i="729"/>
  <c r="L698" i="729"/>
  <c r="O699" i="729"/>
  <c r="O715" i="729"/>
  <c r="O859" i="729"/>
  <c r="O867" i="729"/>
  <c r="O875" i="729"/>
  <c r="O883" i="729"/>
  <c r="O891" i="729"/>
  <c r="O899" i="729"/>
  <c r="O907" i="729"/>
  <c r="L858" i="729"/>
  <c r="L866" i="729"/>
  <c r="L909" i="729"/>
  <c r="L925" i="729"/>
  <c r="L933" i="729"/>
  <c r="L941" i="729"/>
  <c r="L949" i="729"/>
  <c r="L957" i="729"/>
  <c r="L965" i="729"/>
  <c r="L973" i="729"/>
  <c r="L834" i="729"/>
  <c r="O835" i="729"/>
  <c r="L840" i="729"/>
  <c r="O841" i="729"/>
  <c r="L846" i="729"/>
  <c r="O847" i="729"/>
  <c r="L852" i="729"/>
  <c r="O853" i="729"/>
  <c r="O861" i="729"/>
  <c r="O869" i="729"/>
  <c r="O877" i="729"/>
  <c r="O885" i="729"/>
  <c r="O893" i="729"/>
  <c r="O901" i="729"/>
  <c r="L860" i="729"/>
  <c r="L868" i="729"/>
  <c r="L876" i="729"/>
  <c r="L884" i="729"/>
  <c r="L892" i="729"/>
  <c r="L900" i="729"/>
  <c r="O831" i="729"/>
  <c r="L905" i="729"/>
  <c r="L913" i="729"/>
  <c r="L921" i="729"/>
  <c r="L929" i="729"/>
  <c r="L937" i="729"/>
  <c r="L945" i="729"/>
  <c r="L953" i="729"/>
  <c r="L961" i="729"/>
  <c r="L969" i="729"/>
  <c r="O857" i="729"/>
  <c r="O865" i="729"/>
  <c r="O873" i="729"/>
  <c r="O881" i="729"/>
  <c r="O889" i="729"/>
  <c r="O897" i="729"/>
  <c r="O905" i="729"/>
  <c r="O833" i="729"/>
  <c r="L838" i="729"/>
  <c r="O839" i="729"/>
  <c r="L844" i="729"/>
  <c r="O845" i="729"/>
  <c r="L850" i="729"/>
  <c r="O851" i="729"/>
  <c r="L856" i="729"/>
  <c r="O862" i="729"/>
  <c r="L864" i="729"/>
  <c r="O870" i="729"/>
  <c r="L872" i="729"/>
  <c r="O878" i="729"/>
  <c r="L880" i="729"/>
  <c r="O886" i="729"/>
  <c r="L888" i="729"/>
  <c r="O894" i="729"/>
  <c r="L896" i="729"/>
  <c r="O902" i="729"/>
  <c r="L904" i="729"/>
  <c r="O910" i="729"/>
  <c r="O918" i="729"/>
  <c r="O926" i="729"/>
  <c r="O934" i="729"/>
  <c r="O942" i="729"/>
  <c r="O950" i="729"/>
  <c r="O958" i="729"/>
  <c r="O966" i="729"/>
  <c r="O974" i="729"/>
  <c r="O11" i="728"/>
  <c r="O15" i="728"/>
  <c r="O167" i="728"/>
  <c r="O179" i="728"/>
  <c r="O184" i="728"/>
  <c r="O189" i="728"/>
  <c r="O211" i="728"/>
  <c r="O216" i="728"/>
  <c r="O221" i="728"/>
  <c r="O231" i="728"/>
  <c r="O239" i="728"/>
  <c r="O247" i="728"/>
  <c r="O255" i="728"/>
  <c r="O263" i="728"/>
  <c r="O271" i="728"/>
  <c r="O279" i="728"/>
  <c r="O287" i="728"/>
  <c r="O295" i="728"/>
  <c r="O303" i="728"/>
  <c r="O316" i="728"/>
  <c r="O319" i="728"/>
  <c r="O359" i="728"/>
  <c r="O367" i="728"/>
  <c r="O375" i="728"/>
  <c r="O383" i="728"/>
  <c r="O391" i="728"/>
  <c r="O399" i="728"/>
  <c r="O407" i="728"/>
  <c r="O415" i="728"/>
  <c r="O423" i="728"/>
  <c r="O431" i="728"/>
  <c r="O439" i="728"/>
  <c r="O457" i="728"/>
  <c r="O462" i="728"/>
  <c r="O467" i="728"/>
  <c r="O472" i="728"/>
  <c r="O517" i="728"/>
  <c r="O522" i="728"/>
  <c r="O544" i="728"/>
  <c r="O556" i="728"/>
  <c r="O568" i="728"/>
  <c r="O580" i="728"/>
  <c r="O592" i="728"/>
  <c r="O604" i="728"/>
  <c r="O616" i="728"/>
  <c r="O628" i="728"/>
  <c r="O640" i="728"/>
  <c r="O652" i="728"/>
  <c r="O664" i="728"/>
  <c r="O699" i="728"/>
  <c r="O711" i="728"/>
  <c r="O723" i="728"/>
  <c r="O735" i="728"/>
  <c r="O853" i="728"/>
  <c r="O875" i="728"/>
  <c r="O897" i="728"/>
  <c r="O909" i="728"/>
  <c r="O921" i="728"/>
  <c r="O933" i="728"/>
  <c r="O945" i="728"/>
  <c r="O957" i="728"/>
  <c r="O969" i="728"/>
  <c r="O981" i="728"/>
  <c r="O993" i="728"/>
  <c r="O436" i="728"/>
  <c r="O444" i="728"/>
  <c r="O482" i="728"/>
  <c r="O870" i="728"/>
  <c r="O123" i="728"/>
  <c r="O139" i="728"/>
  <c r="O164" i="728"/>
  <c r="O186" i="728"/>
  <c r="O191" i="728"/>
  <c r="O218" i="728"/>
  <c r="O223" i="728"/>
  <c r="O454" i="728"/>
  <c r="O459" i="728"/>
  <c r="O474" i="728"/>
  <c r="O492" i="728"/>
  <c r="O17" i="728"/>
  <c r="O38" i="728"/>
  <c r="O46" i="728"/>
  <c r="O54" i="728"/>
  <c r="O62" i="728"/>
  <c r="O70" i="728"/>
  <c r="O78" i="728"/>
  <c r="O86" i="728"/>
  <c r="O94" i="728"/>
  <c r="O102" i="728"/>
  <c r="O110" i="728"/>
  <c r="O118" i="728"/>
  <c r="O136" i="728"/>
  <c r="O146" i="728"/>
  <c r="O176" i="728"/>
  <c r="O181" i="728"/>
  <c r="O203" i="728"/>
  <c r="O208" i="728"/>
  <c r="O213" i="728"/>
  <c r="O233" i="728"/>
  <c r="O241" i="728"/>
  <c r="O249" i="728"/>
  <c r="O257" i="728"/>
  <c r="O265" i="728"/>
  <c r="O273" i="728"/>
  <c r="O281" i="728"/>
  <c r="O289" i="728"/>
  <c r="O297" i="728"/>
  <c r="O305" i="728"/>
  <c r="O541" i="728"/>
  <c r="O553" i="728"/>
  <c r="O577" i="728"/>
  <c r="O589" i="728"/>
  <c r="O601" i="728"/>
  <c r="O613" i="728"/>
  <c r="O625" i="728"/>
  <c r="O637" i="728"/>
  <c r="O649" i="728"/>
  <c r="O661" i="728"/>
  <c r="O120" i="728"/>
  <c r="O125" i="728"/>
  <c r="O133" i="728"/>
  <c r="O178" i="728"/>
  <c r="O183" i="728"/>
  <c r="O210" i="728"/>
  <c r="O215" i="728"/>
  <c r="O315" i="728"/>
  <c r="O344" i="728"/>
  <c r="O461" i="728"/>
  <c r="O466" i="728"/>
  <c r="O471" i="728"/>
  <c r="O476" i="728"/>
  <c r="O511" i="728"/>
  <c r="O516" i="728"/>
  <c r="O543" i="728"/>
  <c r="O567" i="728"/>
  <c r="O579" i="728"/>
  <c r="O591" i="728"/>
  <c r="O603" i="728"/>
  <c r="O615" i="728"/>
  <c r="O627" i="728"/>
  <c r="O639" i="728"/>
  <c r="O651" i="728"/>
  <c r="O663" i="728"/>
  <c r="O749" i="728"/>
  <c r="O874" i="728"/>
  <c r="O879" i="728"/>
  <c r="O12" i="728"/>
  <c r="O16" i="728"/>
  <c r="O10" i="728"/>
  <c r="O416" i="728"/>
  <c r="O424" i="728"/>
  <c r="O432" i="728"/>
  <c r="O440" i="728"/>
  <c r="O458" i="728"/>
  <c r="O523" i="728"/>
  <c r="O18" i="728"/>
  <c r="O20" i="728"/>
  <c r="O22" i="728"/>
  <c r="O24" i="728"/>
  <c r="O127" i="728"/>
  <c r="O150" i="728"/>
  <c r="O175" i="728"/>
  <c r="O202" i="728"/>
  <c r="O207" i="728"/>
  <c r="O309" i="728"/>
  <c r="O317" i="728"/>
  <c r="O468" i="728"/>
  <c r="O478" i="728"/>
  <c r="O483" i="728"/>
  <c r="O503" i="728"/>
  <c r="O508" i="728"/>
  <c r="O552" i="728"/>
  <c r="O564" i="728"/>
  <c r="O707" i="728"/>
  <c r="O719" i="728"/>
  <c r="O731" i="728"/>
  <c r="O751" i="728"/>
  <c r="O846" i="728"/>
  <c r="O26" i="728"/>
  <c r="O28" i="728"/>
  <c r="O42" i="728"/>
  <c r="O50" i="728"/>
  <c r="O58" i="728"/>
  <c r="O66" i="728"/>
  <c r="O74" i="728"/>
  <c r="O82" i="728"/>
  <c r="O90" i="728"/>
  <c r="O98" i="728"/>
  <c r="O106" i="728"/>
  <c r="O114" i="728"/>
  <c r="O140" i="728"/>
  <c r="O155" i="728"/>
  <c r="O170" i="728"/>
  <c r="O187" i="728"/>
  <c r="O192" i="728"/>
  <c r="O197" i="728"/>
  <c r="O219" i="728"/>
  <c r="O224" i="728"/>
  <c r="O229" i="728"/>
  <c r="O237" i="728"/>
  <c r="O245" i="728"/>
  <c r="O253" i="728"/>
  <c r="O261" i="728"/>
  <c r="O269" i="728"/>
  <c r="O277" i="728"/>
  <c r="O285" i="728"/>
  <c r="O293" i="728"/>
  <c r="O301" i="728"/>
  <c r="O381" i="728"/>
  <c r="O389" i="728"/>
  <c r="O397" i="728"/>
  <c r="O405" i="728"/>
  <c r="O413" i="728"/>
  <c r="O421" i="728"/>
  <c r="O429" i="728"/>
  <c r="O437" i="728"/>
  <c r="O445" i="728"/>
  <c r="O475" i="728"/>
  <c r="O488" i="728"/>
  <c r="O493" i="728"/>
  <c r="O525" i="728"/>
  <c r="O530" i="728"/>
  <c r="O559" i="728"/>
  <c r="O571" i="728"/>
  <c r="O583" i="728"/>
  <c r="O595" i="728"/>
  <c r="O607" i="728"/>
  <c r="O619" i="728"/>
  <c r="O631" i="728"/>
  <c r="O643" i="728"/>
  <c r="O655" i="728"/>
  <c r="O677" i="728"/>
  <c r="O743" i="728"/>
  <c r="O851" i="728"/>
  <c r="O861" i="728"/>
  <c r="O883" i="728"/>
  <c r="O39" i="728"/>
  <c r="O47" i="728"/>
  <c r="O55" i="728"/>
  <c r="O63" i="728"/>
  <c r="O71" i="728"/>
  <c r="O79" i="728"/>
  <c r="O87" i="728"/>
  <c r="O95" i="728"/>
  <c r="O103" i="728"/>
  <c r="O111" i="728"/>
  <c r="O119" i="728"/>
  <c r="O132" i="728"/>
  <c r="O147" i="728"/>
  <c r="O177" i="728"/>
  <c r="O182" i="728"/>
  <c r="O209" i="728"/>
  <c r="O214" i="728"/>
  <c r="O234" i="728"/>
  <c r="O242" i="728"/>
  <c r="O250" i="728"/>
  <c r="O258" i="728"/>
  <c r="O266" i="728"/>
  <c r="O274" i="728"/>
  <c r="O282" i="728"/>
  <c r="O290" i="728"/>
  <c r="O298" i="728"/>
  <c r="O327" i="728"/>
  <c r="O340" i="728"/>
  <c r="O465" i="728"/>
  <c r="O515" i="728"/>
  <c r="O542" i="728"/>
  <c r="O554" i="728"/>
  <c r="O566" i="728"/>
  <c r="O578" i="728"/>
  <c r="O590" i="728"/>
  <c r="O602" i="728"/>
  <c r="O614" i="728"/>
  <c r="O626" i="728"/>
  <c r="O638" i="728"/>
  <c r="O650" i="728"/>
  <c r="O662" i="728"/>
  <c r="O697" i="728"/>
  <c r="O709" i="728"/>
  <c r="O721" i="728"/>
  <c r="O733" i="728"/>
  <c r="O753" i="728"/>
  <c r="O761" i="728"/>
  <c r="O769" i="728"/>
  <c r="O777" i="728"/>
  <c r="O785" i="728"/>
  <c r="O793" i="728"/>
  <c r="O801" i="728"/>
  <c r="O809" i="728"/>
  <c r="O817" i="728"/>
  <c r="O825" i="728"/>
  <c r="O843" i="728"/>
  <c r="O873" i="728"/>
  <c r="O878" i="728"/>
  <c r="O895" i="728"/>
  <c r="O907" i="728"/>
  <c r="O919" i="728"/>
  <c r="O931" i="728"/>
  <c r="O943" i="728"/>
  <c r="O955" i="728"/>
  <c r="O967" i="728"/>
  <c r="O979" i="728"/>
  <c r="O991" i="728"/>
  <c r="L13" i="728"/>
  <c r="M13" i="728" s="1"/>
  <c r="O13" i="728" s="1"/>
  <c r="L19" i="728"/>
  <c r="M19" i="728" s="1"/>
  <c r="O19" i="728" s="1"/>
  <c r="L21" i="728"/>
  <c r="M21" i="728" s="1"/>
  <c r="O21" i="728" s="1"/>
  <c r="L23" i="728"/>
  <c r="M23" i="728" s="1"/>
  <c r="O23" i="728" s="1"/>
  <c r="L25" i="728"/>
  <c r="L27" i="728"/>
  <c r="M27" i="728" s="1"/>
  <c r="O27" i="728" s="1"/>
  <c r="L29" i="728"/>
  <c r="M29" i="728" s="1"/>
  <c r="O29" i="728" s="1"/>
  <c r="L31" i="728"/>
  <c r="M31" i="728" s="1"/>
  <c r="O31" i="728" s="1"/>
  <c r="L33" i="728"/>
  <c r="M33" i="728" s="1"/>
  <c r="O33" i="728" s="1"/>
  <c r="L14" i="728"/>
  <c r="M14" i="728" s="1"/>
  <c r="O14" i="728" s="1"/>
  <c r="L34" i="728"/>
  <c r="L32" i="728"/>
  <c r="M32" i="728" s="1"/>
  <c r="O32" i="728" s="1"/>
  <c r="O9" i="728"/>
  <c r="L176" i="728"/>
  <c r="L132" i="728"/>
  <c r="O153" i="728"/>
  <c r="O162" i="728"/>
  <c r="O165" i="728"/>
  <c r="L152" i="728"/>
  <c r="L157" i="728"/>
  <c r="L160" i="728"/>
  <c r="L169" i="728"/>
  <c r="L172" i="728"/>
  <c r="L180" i="728"/>
  <c r="L120" i="728"/>
  <c r="O121" i="728"/>
  <c r="L144" i="728"/>
  <c r="O145" i="728"/>
  <c r="L177" i="728"/>
  <c r="L185" i="728"/>
  <c r="L193" i="728"/>
  <c r="L201" i="728"/>
  <c r="L209" i="728"/>
  <c r="L217" i="728"/>
  <c r="L225" i="728"/>
  <c r="L233" i="728"/>
  <c r="L241" i="728"/>
  <c r="L249" i="728"/>
  <c r="L257" i="728"/>
  <c r="L265" i="728"/>
  <c r="L140" i="728"/>
  <c r="O141" i="728"/>
  <c r="O154" i="728"/>
  <c r="O157" i="728"/>
  <c r="O166" i="728"/>
  <c r="O169" i="728"/>
  <c r="L174" i="728"/>
  <c r="L182" i="728"/>
  <c r="L190" i="728"/>
  <c r="L198" i="728"/>
  <c r="L206" i="728"/>
  <c r="L214" i="728"/>
  <c r="L222" i="728"/>
  <c r="L230" i="728"/>
  <c r="L238" i="728"/>
  <c r="L246" i="728"/>
  <c r="L254" i="728"/>
  <c r="L262" i="728"/>
  <c r="L270" i="728"/>
  <c r="L278" i="728"/>
  <c r="L286" i="728"/>
  <c r="L294" i="728"/>
  <c r="L302" i="728"/>
  <c r="O324" i="728"/>
  <c r="O353" i="728"/>
  <c r="L322" i="728"/>
  <c r="O323" i="728"/>
  <c r="O361" i="728"/>
  <c r="O369" i="728"/>
  <c r="O377" i="728"/>
  <c r="O343" i="728"/>
  <c r="L348" i="728"/>
  <c r="O349" i="728"/>
  <c r="O355" i="728"/>
  <c r="L310" i="728"/>
  <c r="O311" i="728"/>
  <c r="L334" i="728"/>
  <c r="O335" i="728"/>
  <c r="L344" i="728"/>
  <c r="O345" i="728"/>
  <c r="L350" i="728"/>
  <c r="O351" i="728"/>
  <c r="L356" i="728"/>
  <c r="O357" i="728"/>
  <c r="O365" i="728"/>
  <c r="O373" i="728"/>
  <c r="L364" i="728"/>
  <c r="L372" i="728"/>
  <c r="L380" i="728"/>
  <c r="L461" i="728"/>
  <c r="L485" i="728"/>
  <c r="L498" i="728"/>
  <c r="L506" i="728"/>
  <c r="O512" i="728"/>
  <c r="L514" i="728"/>
  <c r="O520" i="728"/>
  <c r="L522" i="728"/>
  <c r="O528" i="728"/>
  <c r="L530" i="728"/>
  <c r="O536" i="728"/>
  <c r="L538" i="728"/>
  <c r="O551" i="728"/>
  <c r="L503" i="728"/>
  <c r="L511" i="728"/>
  <c r="L519" i="728"/>
  <c r="L527" i="728"/>
  <c r="L535" i="728"/>
  <c r="L548" i="728"/>
  <c r="L560" i="728"/>
  <c r="L572" i="728"/>
  <c r="O498" i="728"/>
  <c r="O506" i="728"/>
  <c r="O555" i="728"/>
  <c r="L552" i="728"/>
  <c r="L564" i="728"/>
  <c r="L576" i="728"/>
  <c r="L499" i="728"/>
  <c r="L507" i="728"/>
  <c r="L515" i="728"/>
  <c r="L523" i="728"/>
  <c r="L531" i="728"/>
  <c r="L539" i="728"/>
  <c r="O446" i="728"/>
  <c r="L469" i="728"/>
  <c r="O470" i="728"/>
  <c r="L493" i="728"/>
  <c r="O494" i="728"/>
  <c r="O547" i="728"/>
  <c r="O502" i="728"/>
  <c r="O510" i="728"/>
  <c r="L544" i="728"/>
  <c r="L551" i="728"/>
  <c r="L556" i="728"/>
  <c r="L568" i="728"/>
  <c r="L666" i="728"/>
  <c r="O667" i="728"/>
  <c r="L672" i="728"/>
  <c r="L678" i="728"/>
  <c r="O679" i="728"/>
  <c r="L706" i="728"/>
  <c r="O894" i="728"/>
  <c r="L862" i="728"/>
  <c r="L870" i="728"/>
  <c r="L873" i="728"/>
  <c r="L878" i="728"/>
  <c r="L881" i="728"/>
  <c r="L838" i="728"/>
  <c r="L872" i="728"/>
  <c r="L880" i="728"/>
  <c r="O898" i="728"/>
  <c r="O859" i="728"/>
  <c r="O867" i="728"/>
  <c r="L858" i="728"/>
  <c r="L861" i="728"/>
  <c r="L866" i="728"/>
  <c r="L869" i="728"/>
  <c r="L874" i="728"/>
  <c r="L877" i="728"/>
  <c r="L882" i="728"/>
  <c r="L885" i="728"/>
  <c r="L897" i="728"/>
  <c r="L33" i="727"/>
  <c r="O32" i="727"/>
  <c r="L29" i="727"/>
  <c r="O28" i="727"/>
  <c r="L19" i="727"/>
  <c r="L20" i="727"/>
  <c r="M20" i="727" s="1"/>
  <c r="O20" i="727" s="1"/>
  <c r="L22" i="727"/>
  <c r="L24" i="727"/>
  <c r="M24" i="727" s="1"/>
  <c r="O24" i="727" s="1"/>
  <c r="L26" i="727"/>
  <c r="L11" i="727"/>
  <c r="M11" i="727" s="1"/>
  <c r="O11" i="727" s="1"/>
  <c r="L17" i="727"/>
  <c r="M17" i="727" s="1"/>
  <c r="O17" i="727" s="1"/>
  <c r="L23" i="727"/>
  <c r="M23" i="727" s="1"/>
  <c r="O23" i="727" s="1"/>
  <c r="L10" i="727"/>
  <c r="M10" i="727" s="1"/>
  <c r="L12" i="727"/>
  <c r="M12" i="727" s="1"/>
  <c r="O12" i="727" s="1"/>
  <c r="L14" i="727"/>
  <c r="M14" i="727" s="1"/>
  <c r="O14" i="727" s="1"/>
  <c r="L16" i="727"/>
  <c r="M16" i="727" s="1"/>
  <c r="O16" i="727" s="1"/>
  <c r="L18" i="727"/>
  <c r="M18" i="727" s="1"/>
  <c r="O18" i="727" s="1"/>
  <c r="L307" i="727"/>
  <c r="O195" i="727"/>
  <c r="L178" i="727"/>
  <c r="O179" i="727"/>
  <c r="L174" i="727"/>
  <c r="O175" i="727"/>
  <c r="L190" i="727"/>
  <c r="O199" i="727"/>
  <c r="L311" i="727"/>
  <c r="L166" i="727"/>
  <c r="O167" i="727"/>
  <c r="L198" i="727"/>
  <c r="L203" i="727"/>
  <c r="L211" i="727"/>
  <c r="L219" i="727"/>
  <c r="L227" i="727"/>
  <c r="L235" i="727"/>
  <c r="L243" i="727"/>
  <c r="L251" i="727"/>
  <c r="L259" i="727"/>
  <c r="L267" i="727"/>
  <c r="L275" i="727"/>
  <c r="L283" i="727"/>
  <c r="L291" i="727"/>
  <c r="L162" i="727"/>
  <c r="O163" i="727"/>
  <c r="L186" i="727"/>
  <c r="O187" i="727"/>
  <c r="L195" i="727"/>
  <c r="L299" i="727"/>
  <c r="L324" i="727"/>
  <c r="L333" i="727"/>
  <c r="L336" i="727"/>
  <c r="L345" i="727"/>
  <c r="L348" i="727"/>
  <c r="L329" i="727"/>
  <c r="L332" i="727"/>
  <c r="L341" i="727"/>
  <c r="L344" i="727"/>
  <c r="L356" i="727"/>
  <c r="O329" i="727"/>
  <c r="O341" i="727"/>
  <c r="O353" i="727"/>
  <c r="O671" i="727"/>
  <c r="L506" i="727"/>
  <c r="L518" i="727"/>
  <c r="L486" i="727"/>
  <c r="O487" i="727"/>
  <c r="L509" i="727"/>
  <c r="L646" i="727"/>
  <c r="L502" i="727"/>
  <c r="L514" i="727"/>
  <c r="L478" i="727"/>
  <c r="O479" i="727"/>
  <c r="L505" i="727"/>
  <c r="L663" i="727"/>
  <c r="L687" i="727"/>
  <c r="L763" i="727"/>
  <c r="L653" i="727"/>
  <c r="O654" i="727"/>
  <c r="L677" i="727"/>
  <c r="O678" i="727"/>
  <c r="L694" i="727"/>
  <c r="L697" i="727"/>
  <c r="L706" i="727"/>
  <c r="L709" i="727"/>
  <c r="L730" i="727"/>
  <c r="L742" i="727"/>
  <c r="L754" i="727"/>
  <c r="L766" i="727"/>
  <c r="O694" i="727"/>
  <c r="O703" i="727"/>
  <c r="O706" i="727"/>
  <c r="L693" i="727"/>
  <c r="O699" i="727"/>
  <c r="O702" i="727"/>
  <c r="L657" i="727"/>
  <c r="O658" i="727"/>
  <c r="L681" i="727"/>
  <c r="O682" i="727"/>
  <c r="L804" i="727"/>
  <c r="L810" i="727"/>
  <c r="L816" i="727"/>
  <c r="L800" i="727"/>
  <c r="L806" i="727"/>
  <c r="L812" i="727"/>
  <c r="L60" i="726"/>
  <c r="L62" i="726"/>
  <c r="M62" i="726" s="1"/>
  <c r="O62" i="726" s="1"/>
  <c r="L68" i="726"/>
  <c r="L61" i="726"/>
  <c r="M61" i="726" s="1"/>
  <c r="O61" i="726" s="1"/>
  <c r="L65" i="726"/>
  <c r="L14" i="726"/>
  <c r="M14" i="726" s="1"/>
  <c r="L16" i="726"/>
  <c r="L41" i="726"/>
  <c r="M41" i="726" s="1"/>
  <c r="L45" i="726"/>
  <c r="M45" i="726" s="1"/>
  <c r="L18" i="726"/>
  <c r="M18" i="726" s="1"/>
  <c r="O18" i="726" s="1"/>
  <c r="L20" i="726"/>
  <c r="M20" i="726" s="1"/>
  <c r="O20" i="726" s="1"/>
  <c r="L22" i="726"/>
  <c r="L51" i="726"/>
  <c r="M51" i="726" s="1"/>
  <c r="L24" i="726"/>
  <c r="M24" i="726" s="1"/>
  <c r="O24" i="726" s="1"/>
  <c r="L26" i="726"/>
  <c r="O71" i="726"/>
  <c r="O66" i="726"/>
  <c r="L35" i="726"/>
  <c r="M35" i="726" s="1"/>
  <c r="O35" i="726" s="1"/>
  <c r="L34" i="726"/>
  <c r="M34" i="726" s="1"/>
  <c r="L38" i="726"/>
  <c r="M38" i="726" s="1"/>
  <c r="O49" i="726"/>
  <c r="L63" i="726"/>
  <c r="M63" i="726" s="1"/>
  <c r="O63" i="726" s="1"/>
  <c r="L42" i="726"/>
  <c r="L70" i="726"/>
  <c r="L13" i="726"/>
  <c r="L33" i="726"/>
  <c r="M33" i="726" s="1"/>
  <c r="O33" i="726" s="1"/>
  <c r="L21" i="726"/>
  <c r="M21" i="726" s="1"/>
  <c r="O21" i="726" s="1"/>
  <c r="L48" i="726"/>
  <c r="M48" i="726" s="1"/>
  <c r="O48" i="726" s="1"/>
  <c r="L64" i="726"/>
  <c r="M64" i="726" s="1"/>
  <c r="O64" i="726" s="1"/>
  <c r="O65" i="726"/>
  <c r="L23" i="726"/>
  <c r="M23" i="726" s="1"/>
  <c r="O23" i="726" s="1"/>
  <c r="L29" i="726"/>
  <c r="M29" i="726" s="1"/>
  <c r="O29" i="726" s="1"/>
  <c r="L58" i="726"/>
  <c r="M58" i="726" s="1"/>
  <c r="O58" i="726" s="1"/>
  <c r="O44" i="726"/>
  <c r="O46" i="726"/>
  <c r="O70" i="726"/>
  <c r="O82" i="726"/>
  <c r="O94" i="726"/>
  <c r="O106" i="726"/>
  <c r="O118" i="726"/>
  <c r="O130" i="726"/>
  <c r="O142" i="726"/>
  <c r="O154" i="726"/>
  <c r="O166" i="726"/>
  <c r="O178" i="726"/>
  <c r="O190" i="726"/>
  <c r="O255" i="726"/>
  <c r="O287" i="726"/>
  <c r="O481" i="726"/>
  <c r="O486" i="726"/>
  <c r="O511" i="726"/>
  <c r="O559" i="726"/>
  <c r="O646" i="726"/>
  <c r="O658" i="726"/>
  <c r="O663" i="726"/>
  <c r="O675" i="726"/>
  <c r="O687" i="726"/>
  <c r="O699" i="726"/>
  <c r="O716" i="726"/>
  <c r="O738" i="726"/>
  <c r="O748" i="726"/>
  <c r="O770" i="726"/>
  <c r="O780" i="726"/>
  <c r="O807" i="726"/>
  <c r="O812" i="726"/>
  <c r="O829" i="726"/>
  <c r="O891" i="726"/>
  <c r="O901" i="726"/>
  <c r="O911" i="726"/>
  <c r="O963" i="726"/>
  <c r="O973" i="726"/>
  <c r="O993" i="726"/>
  <c r="O713" i="726"/>
  <c r="O787" i="726"/>
  <c r="O500" i="726"/>
  <c r="O529" i="726"/>
  <c r="O561" i="726"/>
  <c r="O574" i="726"/>
  <c r="O579" i="726"/>
  <c r="O587" i="726"/>
  <c r="O595" i="726"/>
  <c r="O603" i="726"/>
  <c r="O611" i="726"/>
  <c r="O619" i="726"/>
  <c r="O627" i="726"/>
  <c r="O635" i="726"/>
  <c r="O643" i="726"/>
  <c r="O655" i="726"/>
  <c r="O672" i="726"/>
  <c r="O684" i="726"/>
  <c r="O696" i="726"/>
  <c r="O708" i="726"/>
  <c r="O730" i="726"/>
  <c r="O740" i="726"/>
  <c r="O762" i="726"/>
  <c r="O772" i="726"/>
  <c r="O794" i="726"/>
  <c r="O799" i="726"/>
  <c r="O804" i="726"/>
  <c r="O826" i="726"/>
  <c r="O836" i="726"/>
  <c r="O841" i="726"/>
  <c r="O873" i="726"/>
  <c r="O883" i="726"/>
  <c r="O893" i="726"/>
  <c r="O945" i="726"/>
  <c r="O955" i="726"/>
  <c r="O965" i="726"/>
  <c r="O985" i="726"/>
  <c r="O10" i="726"/>
  <c r="O12" i="726"/>
  <c r="O117" i="726"/>
  <c r="O209" i="726"/>
  <c r="O225" i="726"/>
  <c r="O249" i="726"/>
  <c r="O281" i="726"/>
  <c r="O313" i="726"/>
  <c r="O485" i="726"/>
  <c r="O518" i="726"/>
  <c r="O523" i="726"/>
  <c r="O531" i="726"/>
  <c r="O542" i="726"/>
  <c r="O571" i="726"/>
  <c r="O645" i="726"/>
  <c r="O657" i="726"/>
  <c r="O674" i="726"/>
  <c r="O686" i="726"/>
  <c r="O698" i="726"/>
  <c r="O737" i="726"/>
  <c r="O769" i="726"/>
  <c r="O779" i="726"/>
  <c r="O801" i="726"/>
  <c r="O811" i="726"/>
  <c r="O828" i="726"/>
  <c r="O843" i="726"/>
  <c r="O885" i="726"/>
  <c r="O895" i="726"/>
  <c r="O905" i="726"/>
  <c r="O957" i="726"/>
  <c r="O967" i="726"/>
  <c r="O977" i="726"/>
  <c r="O987" i="726"/>
  <c r="O997" i="726"/>
  <c r="O14" i="726"/>
  <c r="O41" i="726"/>
  <c r="O45" i="726"/>
  <c r="O136" i="726"/>
  <c r="O148" i="726"/>
  <c r="O160" i="726"/>
  <c r="O172" i="726"/>
  <c r="O271" i="726"/>
  <c r="O43" i="726"/>
  <c r="O47" i="726"/>
  <c r="O51" i="726"/>
  <c r="O251" i="726"/>
  <c r="O261" i="726"/>
  <c r="O283" i="726"/>
  <c r="O293" i="726"/>
  <c r="O315" i="726"/>
  <c r="O368" i="726"/>
  <c r="O469" i="726"/>
  <c r="O512" i="726"/>
  <c r="O547" i="726"/>
  <c r="O647" i="726"/>
  <c r="O659" i="726"/>
  <c r="O664" i="726"/>
  <c r="O712" i="726"/>
  <c r="O717" i="726"/>
  <c r="O744" i="726"/>
  <c r="O749" i="726"/>
  <c r="O776" i="726"/>
  <c r="O781" i="726"/>
  <c r="O808" i="726"/>
  <c r="O813" i="726"/>
  <c r="O830" i="726"/>
  <c r="O845" i="726"/>
  <c r="O897" i="726"/>
  <c r="O907" i="726"/>
  <c r="O917" i="726"/>
  <c r="O969" i="726"/>
  <c r="O979" i="726"/>
  <c r="O989" i="726"/>
  <c r="O999" i="726"/>
  <c r="O22" i="726"/>
  <c r="O34" i="726"/>
  <c r="O38" i="726"/>
  <c r="O80" i="726"/>
  <c r="O92" i="726"/>
  <c r="O104" i="726"/>
  <c r="O116" i="726"/>
  <c r="O128" i="726"/>
  <c r="O140" i="726"/>
  <c r="O152" i="726"/>
  <c r="O164" i="726"/>
  <c r="O253" i="726"/>
  <c r="O275" i="726"/>
  <c r="O285" i="726"/>
  <c r="O307" i="726"/>
  <c r="O317" i="726"/>
  <c r="O362" i="726"/>
  <c r="O501" i="726"/>
  <c r="O530" i="726"/>
  <c r="O541" i="726"/>
  <c r="O549" i="726"/>
  <c r="O562" i="726"/>
  <c r="O575" i="726"/>
  <c r="O644" i="726"/>
  <c r="O656" i="726"/>
  <c r="O673" i="726"/>
  <c r="O685" i="726"/>
  <c r="O697" i="726"/>
  <c r="O709" i="726"/>
  <c r="O736" i="726"/>
  <c r="O741" i="726"/>
  <c r="O768" i="726"/>
  <c r="O773" i="726"/>
  <c r="O800" i="726"/>
  <c r="O805" i="726"/>
  <c r="O827" i="726"/>
  <c r="O837" i="726"/>
  <c r="O842" i="726"/>
  <c r="O981" i="726"/>
  <c r="O11" i="726"/>
  <c r="O26" i="726"/>
  <c r="O32" i="726"/>
  <c r="O36" i="726"/>
  <c r="O692" i="726"/>
  <c r="O704" i="726"/>
  <c r="O721" i="726"/>
  <c r="O753" i="726"/>
  <c r="O785" i="726"/>
  <c r="O795" i="726"/>
  <c r="O817" i="726"/>
  <c r="O822" i="726"/>
  <c r="O849" i="726"/>
  <c r="O854" i="726"/>
  <c r="O859" i="726"/>
  <c r="O864" i="726"/>
  <c r="O869" i="726"/>
  <c r="O921" i="726"/>
  <c r="O931" i="726"/>
  <c r="O941" i="726"/>
  <c r="O9" i="726"/>
  <c r="L55" i="726"/>
  <c r="M55" i="726" s="1"/>
  <c r="O55" i="726" s="1"/>
  <c r="L49" i="726"/>
  <c r="L57" i="726"/>
  <c r="M57" i="726" s="1"/>
  <c r="O57" i="726" s="1"/>
  <c r="L54" i="726"/>
  <c r="L59" i="726"/>
  <c r="M59" i="726" s="1"/>
  <c r="O59" i="726" s="1"/>
  <c r="O54" i="726"/>
  <c r="M68" i="726"/>
  <c r="O68" i="726" s="1"/>
  <c r="L205" i="726"/>
  <c r="L358" i="726"/>
  <c r="L253" i="726"/>
  <c r="L261" i="726"/>
  <c r="L269" i="726"/>
  <c r="L386" i="726"/>
  <c r="L394" i="726"/>
  <c r="L402" i="726"/>
  <c r="L410" i="726"/>
  <c r="L418" i="726"/>
  <c r="L426" i="726"/>
  <c r="L434" i="726"/>
  <c r="L442" i="726"/>
  <c r="L450" i="726"/>
  <c r="L458" i="726"/>
  <c r="L466" i="726"/>
  <c r="L217" i="726"/>
  <c r="L223" i="726"/>
  <c r="L229" i="726"/>
  <c r="L235" i="726"/>
  <c r="L241" i="726"/>
  <c r="L247" i="726"/>
  <c r="L362" i="726"/>
  <c r="L209" i="726"/>
  <c r="L219" i="726"/>
  <c r="L225" i="726"/>
  <c r="L231" i="726"/>
  <c r="L237" i="726"/>
  <c r="L243" i="726"/>
  <c r="L249" i="726"/>
  <c r="L361" i="726"/>
  <c r="L373" i="726"/>
  <c r="L385" i="726"/>
  <c r="O394" i="726"/>
  <c r="O402" i="726"/>
  <c r="O410" i="726"/>
  <c r="O418" i="726"/>
  <c r="O426" i="726"/>
  <c r="O434" i="726"/>
  <c r="O442" i="726"/>
  <c r="O450" i="726"/>
  <c r="O458" i="726"/>
  <c r="O466" i="726"/>
  <c r="O474" i="726"/>
  <c r="O482" i="726"/>
  <c r="L357" i="726"/>
  <c r="L406" i="726"/>
  <c r="L414" i="726"/>
  <c r="L369" i="726"/>
  <c r="L381" i="726"/>
  <c r="O390" i="726"/>
  <c r="O398" i="726"/>
  <c r="O406" i="726"/>
  <c r="O414" i="726"/>
  <c r="O422" i="726"/>
  <c r="O430" i="726"/>
  <c r="O438" i="726"/>
  <c r="O446" i="726"/>
  <c r="O454" i="726"/>
  <c r="O462" i="726"/>
  <c r="O470" i="726"/>
  <c r="O478" i="726"/>
  <c r="L490" i="726"/>
  <c r="L485" i="726"/>
  <c r="L365" i="726"/>
  <c r="L377" i="726"/>
  <c r="L389" i="726"/>
  <c r="L397" i="726"/>
  <c r="L405" i="726"/>
  <c r="L413" i="726"/>
  <c r="L421" i="726"/>
  <c r="L429" i="726"/>
  <c r="L437" i="726"/>
  <c r="L445" i="726"/>
  <c r="L453" i="726"/>
  <c r="L461" i="726"/>
  <c r="L469" i="726"/>
  <c r="L477" i="726"/>
  <c r="L494" i="726"/>
  <c r="L497" i="726"/>
  <c r="O498" i="726"/>
  <c r="L521" i="726"/>
  <c r="O522" i="726"/>
  <c r="L545" i="726"/>
  <c r="O546" i="726"/>
  <c r="O582" i="726"/>
  <c r="O590" i="726"/>
  <c r="L513" i="726"/>
  <c r="O514" i="726"/>
  <c r="L537" i="726"/>
  <c r="O538" i="726"/>
  <c r="L509" i="726"/>
  <c r="O510" i="726"/>
  <c r="L533" i="726"/>
  <c r="O534" i="726"/>
  <c r="L557" i="726"/>
  <c r="O558" i="726"/>
  <c r="L563" i="726"/>
  <c r="L569" i="726"/>
  <c r="O570" i="726"/>
  <c r="O578" i="726"/>
  <c r="O586" i="726"/>
  <c r="L501" i="726"/>
  <c r="O502" i="726"/>
  <c r="L525" i="726"/>
  <c r="O526" i="726"/>
  <c r="L549" i="726"/>
  <c r="O550" i="726"/>
  <c r="L559" i="726"/>
  <c r="L565" i="726"/>
  <c r="O566" i="726"/>
  <c r="L571" i="726"/>
  <c r="L841" i="726"/>
  <c r="L732" i="726"/>
  <c r="O802" i="726"/>
  <c r="L804" i="726"/>
  <c r="O810" i="726"/>
  <c r="L812" i="726"/>
  <c r="O711" i="726"/>
  <c r="O719" i="726"/>
  <c r="O727" i="726"/>
  <c r="O735" i="726"/>
  <c r="O743" i="726"/>
  <c r="O751" i="726"/>
  <c r="O759" i="726"/>
  <c r="O767" i="726"/>
  <c r="O775" i="726"/>
  <c r="O710" i="726"/>
  <c r="O718" i="726"/>
  <c r="O726" i="726"/>
  <c r="O734" i="726"/>
  <c r="L736" i="726"/>
  <c r="O742" i="726"/>
  <c r="L744" i="726"/>
  <c r="O750" i="726"/>
  <c r="L752" i="726"/>
  <c r="O758" i="726"/>
  <c r="L760" i="726"/>
  <c r="O766" i="726"/>
  <c r="L768" i="726"/>
  <c r="O774" i="726"/>
  <c r="L776" i="726"/>
  <c r="O782" i="726"/>
  <c r="L784" i="726"/>
  <c r="O790" i="726"/>
  <c r="L792" i="726"/>
  <c r="O798" i="726"/>
  <c r="L800" i="726"/>
  <c r="O806" i="726"/>
  <c r="L808" i="726"/>
  <c r="O814" i="726"/>
  <c r="L816" i="726"/>
  <c r="L824" i="726"/>
  <c r="L859" i="726"/>
  <c r="L646" i="726"/>
  <c r="L652" i="726"/>
  <c r="L658" i="726"/>
  <c r="L664" i="726"/>
  <c r="L670" i="726"/>
  <c r="L676" i="726"/>
  <c r="L682" i="726"/>
  <c r="L688" i="726"/>
  <c r="L694" i="726"/>
  <c r="L700" i="726"/>
  <c r="L706" i="726"/>
  <c r="O715" i="726"/>
  <c r="O723" i="726"/>
  <c r="O731" i="726"/>
  <c r="O739" i="726"/>
  <c r="O747" i="726"/>
  <c r="O755" i="726"/>
  <c r="O763" i="726"/>
  <c r="O771" i="726"/>
  <c r="O831" i="726"/>
  <c r="L836" i="726"/>
  <c r="L842" i="726"/>
  <c r="L848" i="726"/>
  <c r="L854" i="726"/>
  <c r="L860" i="726"/>
  <c r="L866" i="726"/>
  <c r="L872" i="726"/>
  <c r="L878" i="726"/>
  <c r="L884" i="726"/>
  <c r="L890" i="726"/>
  <c r="L896" i="726"/>
  <c r="L902" i="726"/>
  <c r="L908" i="726"/>
  <c r="L914" i="726"/>
  <c r="L932" i="726"/>
  <c r="L838" i="726"/>
  <c r="L844" i="726"/>
  <c r="L850" i="726"/>
  <c r="L856" i="726"/>
  <c r="L862" i="726"/>
  <c r="L868" i="726"/>
  <c r="L874" i="726"/>
  <c r="L880" i="726"/>
  <c r="L886" i="726"/>
  <c r="L892" i="726"/>
  <c r="L898" i="726"/>
  <c r="L904" i="726"/>
  <c r="L910" i="726"/>
  <c r="L916" i="726"/>
  <c r="L922" i="726"/>
  <c r="L928" i="726"/>
  <c r="L934" i="726"/>
  <c r="L940" i="726"/>
  <c r="L946" i="726"/>
  <c r="L952" i="726"/>
  <c r="L958" i="726"/>
  <c r="L964" i="726"/>
  <c r="L970" i="726"/>
  <c r="O971" i="726"/>
  <c r="C8" i="5"/>
  <c r="E9" i="5"/>
  <c r="E8" i="5"/>
  <c r="C10" i="5"/>
  <c r="C9" i="5"/>
  <c r="E10" i="5"/>
  <c r="I12" i="5" l="1"/>
  <c r="J12" i="5"/>
  <c r="I11" i="5"/>
  <c r="J11" i="5"/>
  <c r="M7" i="730"/>
  <c r="O7" i="730"/>
  <c r="P7" i="730" s="1"/>
  <c r="O7" i="729"/>
  <c r="P7" i="729" s="1"/>
  <c r="M7" i="728"/>
  <c r="O7" i="728"/>
  <c r="M7" i="727"/>
  <c r="O10" i="727"/>
  <c r="O7" i="727" s="1"/>
  <c r="O7" i="726"/>
  <c r="M7" i="726"/>
  <c r="H10" i="5" a="1"/>
  <c r="H9" i="5" a="1"/>
  <c r="H8" i="5" a="1"/>
  <c r="K11" i="5" l="1"/>
  <c r="L11" i="5"/>
  <c r="M11" i="5" s="1"/>
  <c r="O11" i="5"/>
  <c r="L12" i="5"/>
  <c r="M12" i="5" s="1"/>
  <c r="K12" i="5"/>
  <c r="O12" i="5"/>
  <c r="H10" i="5"/>
  <c r="P7" i="728"/>
  <c r="H9" i="5"/>
  <c r="P7" i="727"/>
  <c r="H8" i="5"/>
  <c r="P7" i="726"/>
  <c r="P11" i="5" l="1"/>
  <c r="Q11" i="5" s="1"/>
  <c r="R11" i="5"/>
  <c r="S11" i="5" s="1"/>
  <c r="U11" i="5"/>
  <c r="V11" i="5" s="1"/>
  <c r="W11" i="5" s="1"/>
  <c r="X11" i="5"/>
  <c r="Y11" i="5" s="1"/>
  <c r="R12" i="5"/>
  <c r="S12" i="5" s="1"/>
  <c r="U12" i="5"/>
  <c r="V12" i="5" s="1"/>
  <c r="W12" i="5" s="1"/>
  <c r="X12" i="5"/>
  <c r="Y12" i="5" s="1"/>
  <c r="P12" i="5"/>
  <c r="Q12" i="5" s="1"/>
  <c r="I10" i="5"/>
  <c r="J10" i="5"/>
  <c r="I9" i="5"/>
  <c r="J9" i="5"/>
  <c r="I8" i="5"/>
  <c r="J8" i="5"/>
  <c r="N1001" i="722"/>
  <c r="M1001" i="722"/>
  <c r="K1001" i="722"/>
  <c r="J1001" i="722"/>
  <c r="I1001" i="722"/>
  <c r="H1001" i="722"/>
  <c r="G1001" i="722"/>
  <c r="N1000" i="722"/>
  <c r="M1000" i="722"/>
  <c r="K1000" i="722"/>
  <c r="J1000" i="722"/>
  <c r="I1000" i="722"/>
  <c r="H1000" i="722"/>
  <c r="G1000" i="722"/>
  <c r="N999" i="722"/>
  <c r="M999" i="722"/>
  <c r="K999" i="722"/>
  <c r="J999" i="722"/>
  <c r="I999" i="722"/>
  <c r="H999" i="722"/>
  <c r="G999" i="722"/>
  <c r="N998" i="722"/>
  <c r="M998" i="722"/>
  <c r="K998" i="722"/>
  <c r="J998" i="722"/>
  <c r="I998" i="722"/>
  <c r="H998" i="722"/>
  <c r="G998" i="722"/>
  <c r="N997" i="722"/>
  <c r="M997" i="722"/>
  <c r="K997" i="722"/>
  <c r="J997" i="722"/>
  <c r="I997" i="722"/>
  <c r="H997" i="722"/>
  <c r="G997" i="722"/>
  <c r="N996" i="722"/>
  <c r="M996" i="722"/>
  <c r="K996" i="722"/>
  <c r="J996" i="722"/>
  <c r="I996" i="722"/>
  <c r="H996" i="722"/>
  <c r="G996" i="722"/>
  <c r="N995" i="722"/>
  <c r="M995" i="722"/>
  <c r="K995" i="722"/>
  <c r="J995" i="722"/>
  <c r="I995" i="722"/>
  <c r="H995" i="722"/>
  <c r="G995" i="722"/>
  <c r="N994" i="722"/>
  <c r="M994" i="722"/>
  <c r="K994" i="722"/>
  <c r="J994" i="722"/>
  <c r="I994" i="722"/>
  <c r="H994" i="722"/>
  <c r="G994" i="722"/>
  <c r="N993" i="722"/>
  <c r="M993" i="722"/>
  <c r="K993" i="722"/>
  <c r="J993" i="722"/>
  <c r="I993" i="722"/>
  <c r="H993" i="722"/>
  <c r="G993" i="722"/>
  <c r="N992" i="722"/>
  <c r="M992" i="722"/>
  <c r="K992" i="722"/>
  <c r="J992" i="722"/>
  <c r="I992" i="722"/>
  <c r="H992" i="722"/>
  <c r="G992" i="722"/>
  <c r="N991" i="722"/>
  <c r="M991" i="722"/>
  <c r="K991" i="722"/>
  <c r="J991" i="722"/>
  <c r="I991" i="722"/>
  <c r="H991" i="722"/>
  <c r="G991" i="722"/>
  <c r="N990" i="722"/>
  <c r="M990" i="722"/>
  <c r="K990" i="722"/>
  <c r="J990" i="722"/>
  <c r="I990" i="722"/>
  <c r="H990" i="722"/>
  <c r="G990" i="722"/>
  <c r="N989" i="722"/>
  <c r="M989" i="722"/>
  <c r="K989" i="722"/>
  <c r="J989" i="722"/>
  <c r="I989" i="722"/>
  <c r="H989" i="722"/>
  <c r="G989" i="722"/>
  <c r="N988" i="722"/>
  <c r="M988" i="722"/>
  <c r="K988" i="722"/>
  <c r="J988" i="722"/>
  <c r="I988" i="722"/>
  <c r="H988" i="722"/>
  <c r="G988" i="722"/>
  <c r="N987" i="722"/>
  <c r="M987" i="722"/>
  <c r="K987" i="722"/>
  <c r="J987" i="722"/>
  <c r="I987" i="722"/>
  <c r="H987" i="722"/>
  <c r="G987" i="722"/>
  <c r="N986" i="722"/>
  <c r="M986" i="722"/>
  <c r="K986" i="722"/>
  <c r="J986" i="722"/>
  <c r="I986" i="722"/>
  <c r="H986" i="722"/>
  <c r="G986" i="722"/>
  <c r="N985" i="722"/>
  <c r="M985" i="722"/>
  <c r="K985" i="722"/>
  <c r="J985" i="722"/>
  <c r="I985" i="722"/>
  <c r="H985" i="722"/>
  <c r="G985" i="722"/>
  <c r="N984" i="722"/>
  <c r="M984" i="722"/>
  <c r="K984" i="722"/>
  <c r="J984" i="722"/>
  <c r="I984" i="722"/>
  <c r="H984" i="722"/>
  <c r="G984" i="722"/>
  <c r="N983" i="722"/>
  <c r="M983" i="722"/>
  <c r="K983" i="722"/>
  <c r="J983" i="722"/>
  <c r="I983" i="722"/>
  <c r="H983" i="722"/>
  <c r="G983" i="722"/>
  <c r="N982" i="722"/>
  <c r="M982" i="722"/>
  <c r="K982" i="722"/>
  <c r="J982" i="722"/>
  <c r="I982" i="722"/>
  <c r="H982" i="722"/>
  <c r="G982" i="722"/>
  <c r="N981" i="722"/>
  <c r="M981" i="722"/>
  <c r="K981" i="722"/>
  <c r="J981" i="722"/>
  <c r="I981" i="722"/>
  <c r="H981" i="722"/>
  <c r="G981" i="722"/>
  <c r="N980" i="722"/>
  <c r="M980" i="722"/>
  <c r="K980" i="722"/>
  <c r="J980" i="722"/>
  <c r="I980" i="722"/>
  <c r="H980" i="722"/>
  <c r="G980" i="722"/>
  <c r="N979" i="722"/>
  <c r="M979" i="722"/>
  <c r="K979" i="722"/>
  <c r="J979" i="722"/>
  <c r="I979" i="722"/>
  <c r="H979" i="722"/>
  <c r="G979" i="722"/>
  <c r="N978" i="722"/>
  <c r="M978" i="722"/>
  <c r="K978" i="722"/>
  <c r="J978" i="722"/>
  <c r="I978" i="722"/>
  <c r="H978" i="722"/>
  <c r="G978" i="722"/>
  <c r="N977" i="722"/>
  <c r="M977" i="722"/>
  <c r="K977" i="722"/>
  <c r="J977" i="722"/>
  <c r="I977" i="722"/>
  <c r="H977" i="722"/>
  <c r="G977" i="722"/>
  <c r="N976" i="722"/>
  <c r="M976" i="722"/>
  <c r="K976" i="722"/>
  <c r="J976" i="722"/>
  <c r="I976" i="722"/>
  <c r="H976" i="722"/>
  <c r="G976" i="722"/>
  <c r="N975" i="722"/>
  <c r="M975" i="722"/>
  <c r="K975" i="722"/>
  <c r="J975" i="722"/>
  <c r="I975" i="722"/>
  <c r="H975" i="722"/>
  <c r="G975" i="722"/>
  <c r="N974" i="722"/>
  <c r="M974" i="722"/>
  <c r="K974" i="722"/>
  <c r="J974" i="722"/>
  <c r="I974" i="722"/>
  <c r="H974" i="722"/>
  <c r="G974" i="722"/>
  <c r="N973" i="722"/>
  <c r="M973" i="722"/>
  <c r="K973" i="722"/>
  <c r="J973" i="722"/>
  <c r="I973" i="722"/>
  <c r="H973" i="722"/>
  <c r="G973" i="722"/>
  <c r="N972" i="722"/>
  <c r="M972" i="722"/>
  <c r="K972" i="722"/>
  <c r="J972" i="722"/>
  <c r="I972" i="722"/>
  <c r="H972" i="722"/>
  <c r="G972" i="722"/>
  <c r="N971" i="722"/>
  <c r="M971" i="722"/>
  <c r="K971" i="722"/>
  <c r="J971" i="722"/>
  <c r="I971" i="722"/>
  <c r="H971" i="722"/>
  <c r="G971" i="722"/>
  <c r="N970" i="722"/>
  <c r="M970" i="722"/>
  <c r="K970" i="722"/>
  <c r="J970" i="722"/>
  <c r="I970" i="722"/>
  <c r="H970" i="722"/>
  <c r="G970" i="722"/>
  <c r="N969" i="722"/>
  <c r="M969" i="722"/>
  <c r="K969" i="722"/>
  <c r="J969" i="722"/>
  <c r="I969" i="722"/>
  <c r="H969" i="722"/>
  <c r="G969" i="722"/>
  <c r="N968" i="722"/>
  <c r="M968" i="722"/>
  <c r="K968" i="722"/>
  <c r="J968" i="722"/>
  <c r="I968" i="722"/>
  <c r="H968" i="722"/>
  <c r="G968" i="722"/>
  <c r="N967" i="722"/>
  <c r="M967" i="722"/>
  <c r="K967" i="722"/>
  <c r="J967" i="722"/>
  <c r="I967" i="722"/>
  <c r="H967" i="722"/>
  <c r="G967" i="722"/>
  <c r="N966" i="722"/>
  <c r="M966" i="722"/>
  <c r="K966" i="722"/>
  <c r="J966" i="722"/>
  <c r="I966" i="722"/>
  <c r="H966" i="722"/>
  <c r="G966" i="722"/>
  <c r="N965" i="722"/>
  <c r="M965" i="722"/>
  <c r="K965" i="722"/>
  <c r="J965" i="722"/>
  <c r="I965" i="722"/>
  <c r="H965" i="722"/>
  <c r="G965" i="722"/>
  <c r="N964" i="722"/>
  <c r="M964" i="722"/>
  <c r="K964" i="722"/>
  <c r="J964" i="722"/>
  <c r="I964" i="722"/>
  <c r="H964" i="722"/>
  <c r="G964" i="722"/>
  <c r="N963" i="722"/>
  <c r="M963" i="722"/>
  <c r="K963" i="722"/>
  <c r="J963" i="722"/>
  <c r="I963" i="722"/>
  <c r="H963" i="722"/>
  <c r="G963" i="722"/>
  <c r="N962" i="722"/>
  <c r="M962" i="722"/>
  <c r="K962" i="722"/>
  <c r="J962" i="722"/>
  <c r="I962" i="722"/>
  <c r="H962" i="722"/>
  <c r="G962" i="722"/>
  <c r="N961" i="722"/>
  <c r="M961" i="722"/>
  <c r="K961" i="722"/>
  <c r="J961" i="722"/>
  <c r="I961" i="722"/>
  <c r="H961" i="722"/>
  <c r="G961" i="722"/>
  <c r="N960" i="722"/>
  <c r="M960" i="722"/>
  <c r="K960" i="722"/>
  <c r="J960" i="722"/>
  <c r="I960" i="722"/>
  <c r="H960" i="722"/>
  <c r="G960" i="722"/>
  <c r="N959" i="722"/>
  <c r="M959" i="722"/>
  <c r="K959" i="722"/>
  <c r="J959" i="722"/>
  <c r="I959" i="722"/>
  <c r="H959" i="722"/>
  <c r="G959" i="722"/>
  <c r="N958" i="722"/>
  <c r="M958" i="722"/>
  <c r="K958" i="722"/>
  <c r="J958" i="722"/>
  <c r="I958" i="722"/>
  <c r="H958" i="722"/>
  <c r="G958" i="722"/>
  <c r="N957" i="722"/>
  <c r="M957" i="722"/>
  <c r="K957" i="722"/>
  <c r="J957" i="722"/>
  <c r="I957" i="722"/>
  <c r="H957" i="722"/>
  <c r="G957" i="722"/>
  <c r="N956" i="722"/>
  <c r="M956" i="722"/>
  <c r="K956" i="722"/>
  <c r="J956" i="722"/>
  <c r="I956" i="722"/>
  <c r="H956" i="722"/>
  <c r="G956" i="722"/>
  <c r="N955" i="722"/>
  <c r="M955" i="722"/>
  <c r="K955" i="722"/>
  <c r="J955" i="722"/>
  <c r="I955" i="722"/>
  <c r="H955" i="722"/>
  <c r="G955" i="722"/>
  <c r="N954" i="722"/>
  <c r="M954" i="722"/>
  <c r="K954" i="722"/>
  <c r="J954" i="722"/>
  <c r="I954" i="722"/>
  <c r="H954" i="722"/>
  <c r="G954" i="722"/>
  <c r="N953" i="722"/>
  <c r="M953" i="722"/>
  <c r="K953" i="722"/>
  <c r="J953" i="722"/>
  <c r="I953" i="722"/>
  <c r="H953" i="722"/>
  <c r="G953" i="722"/>
  <c r="N952" i="722"/>
  <c r="M952" i="722"/>
  <c r="K952" i="722"/>
  <c r="J952" i="722"/>
  <c r="I952" i="722"/>
  <c r="H952" i="722"/>
  <c r="G952" i="722"/>
  <c r="N951" i="722"/>
  <c r="M951" i="722"/>
  <c r="K951" i="722"/>
  <c r="J951" i="722"/>
  <c r="I951" i="722"/>
  <c r="H951" i="722"/>
  <c r="G951" i="722"/>
  <c r="N950" i="722"/>
  <c r="M950" i="722"/>
  <c r="K950" i="722"/>
  <c r="J950" i="722"/>
  <c r="I950" i="722"/>
  <c r="H950" i="722"/>
  <c r="G950" i="722"/>
  <c r="N949" i="722"/>
  <c r="M949" i="722"/>
  <c r="K949" i="722"/>
  <c r="J949" i="722"/>
  <c r="I949" i="722"/>
  <c r="H949" i="722"/>
  <c r="G949" i="722"/>
  <c r="N948" i="722"/>
  <c r="M948" i="722"/>
  <c r="K948" i="722"/>
  <c r="J948" i="722"/>
  <c r="I948" i="722"/>
  <c r="H948" i="722"/>
  <c r="G948" i="722"/>
  <c r="N947" i="722"/>
  <c r="M947" i="722"/>
  <c r="K947" i="722"/>
  <c r="J947" i="722"/>
  <c r="I947" i="722"/>
  <c r="H947" i="722"/>
  <c r="G947" i="722"/>
  <c r="N946" i="722"/>
  <c r="M946" i="722"/>
  <c r="K946" i="722"/>
  <c r="J946" i="722"/>
  <c r="I946" i="722"/>
  <c r="H946" i="722"/>
  <c r="G946" i="722"/>
  <c r="N945" i="722"/>
  <c r="M945" i="722"/>
  <c r="K945" i="722"/>
  <c r="J945" i="722"/>
  <c r="I945" i="722"/>
  <c r="H945" i="722"/>
  <c r="G945" i="722"/>
  <c r="N944" i="722"/>
  <c r="M944" i="722"/>
  <c r="K944" i="722"/>
  <c r="J944" i="722"/>
  <c r="I944" i="722"/>
  <c r="H944" i="722"/>
  <c r="G944" i="722"/>
  <c r="N943" i="722"/>
  <c r="M943" i="722"/>
  <c r="K943" i="722"/>
  <c r="J943" i="722"/>
  <c r="I943" i="722"/>
  <c r="H943" i="722"/>
  <c r="G943" i="722"/>
  <c r="N942" i="722"/>
  <c r="M942" i="722"/>
  <c r="K942" i="722"/>
  <c r="J942" i="722"/>
  <c r="I942" i="722"/>
  <c r="H942" i="722"/>
  <c r="G942" i="722"/>
  <c r="N941" i="722"/>
  <c r="M941" i="722"/>
  <c r="K941" i="722"/>
  <c r="J941" i="722"/>
  <c r="I941" i="722"/>
  <c r="H941" i="722"/>
  <c r="G941" i="722"/>
  <c r="N940" i="722"/>
  <c r="M940" i="722"/>
  <c r="K940" i="722"/>
  <c r="J940" i="722"/>
  <c r="I940" i="722"/>
  <c r="H940" i="722"/>
  <c r="G940" i="722"/>
  <c r="N939" i="722"/>
  <c r="M939" i="722"/>
  <c r="K939" i="722"/>
  <c r="J939" i="722"/>
  <c r="I939" i="722"/>
  <c r="H939" i="722"/>
  <c r="G939" i="722"/>
  <c r="N938" i="722"/>
  <c r="M938" i="722"/>
  <c r="K938" i="722"/>
  <c r="J938" i="722"/>
  <c r="I938" i="722"/>
  <c r="H938" i="722"/>
  <c r="G938" i="722"/>
  <c r="N937" i="722"/>
  <c r="M937" i="722"/>
  <c r="K937" i="722"/>
  <c r="J937" i="722"/>
  <c r="I937" i="722"/>
  <c r="H937" i="722"/>
  <c r="G937" i="722"/>
  <c r="N936" i="722"/>
  <c r="M936" i="722"/>
  <c r="K936" i="722"/>
  <c r="J936" i="722"/>
  <c r="I936" i="722"/>
  <c r="H936" i="722"/>
  <c r="G936" i="722"/>
  <c r="N935" i="722"/>
  <c r="M935" i="722"/>
  <c r="K935" i="722"/>
  <c r="J935" i="722"/>
  <c r="I935" i="722"/>
  <c r="H935" i="722"/>
  <c r="G935" i="722"/>
  <c r="N934" i="722"/>
  <c r="M934" i="722"/>
  <c r="K934" i="722"/>
  <c r="J934" i="722"/>
  <c r="I934" i="722"/>
  <c r="H934" i="722"/>
  <c r="G934" i="722"/>
  <c r="N933" i="722"/>
  <c r="M933" i="722"/>
  <c r="K933" i="722"/>
  <c r="J933" i="722"/>
  <c r="I933" i="722"/>
  <c r="H933" i="722"/>
  <c r="G933" i="722"/>
  <c r="N932" i="722"/>
  <c r="M932" i="722"/>
  <c r="K932" i="722"/>
  <c r="J932" i="722"/>
  <c r="I932" i="722"/>
  <c r="H932" i="722"/>
  <c r="G932" i="722"/>
  <c r="N931" i="722"/>
  <c r="M931" i="722"/>
  <c r="K931" i="722"/>
  <c r="J931" i="722"/>
  <c r="I931" i="722"/>
  <c r="H931" i="722"/>
  <c r="G931" i="722"/>
  <c r="N930" i="722"/>
  <c r="M930" i="722"/>
  <c r="K930" i="722"/>
  <c r="J930" i="722"/>
  <c r="I930" i="722"/>
  <c r="H930" i="722"/>
  <c r="G930" i="722"/>
  <c r="N929" i="722"/>
  <c r="M929" i="722"/>
  <c r="K929" i="722"/>
  <c r="J929" i="722"/>
  <c r="I929" i="722"/>
  <c r="H929" i="722"/>
  <c r="G929" i="722"/>
  <c r="N928" i="722"/>
  <c r="M928" i="722"/>
  <c r="K928" i="722"/>
  <c r="J928" i="722"/>
  <c r="I928" i="722"/>
  <c r="H928" i="722"/>
  <c r="G928" i="722"/>
  <c r="N927" i="722"/>
  <c r="M927" i="722"/>
  <c r="K927" i="722"/>
  <c r="J927" i="722"/>
  <c r="I927" i="722"/>
  <c r="H927" i="722"/>
  <c r="G927" i="722"/>
  <c r="N926" i="722"/>
  <c r="M926" i="722"/>
  <c r="K926" i="722"/>
  <c r="J926" i="722"/>
  <c r="I926" i="722"/>
  <c r="H926" i="722"/>
  <c r="G926" i="722"/>
  <c r="N925" i="722"/>
  <c r="M925" i="722"/>
  <c r="K925" i="722"/>
  <c r="J925" i="722"/>
  <c r="I925" i="722"/>
  <c r="H925" i="722"/>
  <c r="G925" i="722"/>
  <c r="N924" i="722"/>
  <c r="M924" i="722"/>
  <c r="K924" i="722"/>
  <c r="J924" i="722"/>
  <c r="I924" i="722"/>
  <c r="H924" i="722"/>
  <c r="G924" i="722"/>
  <c r="N923" i="722"/>
  <c r="M923" i="722"/>
  <c r="K923" i="722"/>
  <c r="J923" i="722"/>
  <c r="I923" i="722"/>
  <c r="H923" i="722"/>
  <c r="G923" i="722"/>
  <c r="N922" i="722"/>
  <c r="M922" i="722"/>
  <c r="K922" i="722"/>
  <c r="J922" i="722"/>
  <c r="I922" i="722"/>
  <c r="H922" i="722"/>
  <c r="G922" i="722"/>
  <c r="N921" i="722"/>
  <c r="M921" i="722"/>
  <c r="K921" i="722"/>
  <c r="J921" i="722"/>
  <c r="I921" i="722"/>
  <c r="H921" i="722"/>
  <c r="G921" i="722"/>
  <c r="N920" i="722"/>
  <c r="M920" i="722"/>
  <c r="K920" i="722"/>
  <c r="J920" i="722"/>
  <c r="I920" i="722"/>
  <c r="H920" i="722"/>
  <c r="G920" i="722"/>
  <c r="N919" i="722"/>
  <c r="M919" i="722"/>
  <c r="K919" i="722"/>
  <c r="J919" i="722"/>
  <c r="I919" i="722"/>
  <c r="H919" i="722"/>
  <c r="G919" i="722"/>
  <c r="N918" i="722"/>
  <c r="M918" i="722"/>
  <c r="K918" i="722"/>
  <c r="J918" i="722"/>
  <c r="I918" i="722"/>
  <c r="H918" i="722"/>
  <c r="G918" i="722"/>
  <c r="N917" i="722"/>
  <c r="M917" i="722"/>
  <c r="K917" i="722"/>
  <c r="J917" i="722"/>
  <c r="I917" i="722"/>
  <c r="H917" i="722"/>
  <c r="G917" i="722"/>
  <c r="N916" i="722"/>
  <c r="M916" i="722"/>
  <c r="K916" i="722"/>
  <c r="J916" i="722"/>
  <c r="I916" i="722"/>
  <c r="H916" i="722"/>
  <c r="G916" i="722"/>
  <c r="N915" i="722"/>
  <c r="M915" i="722"/>
  <c r="K915" i="722"/>
  <c r="J915" i="722"/>
  <c r="I915" i="722"/>
  <c r="H915" i="722"/>
  <c r="G915" i="722"/>
  <c r="N914" i="722"/>
  <c r="M914" i="722"/>
  <c r="K914" i="722"/>
  <c r="J914" i="722"/>
  <c r="I914" i="722"/>
  <c r="H914" i="722"/>
  <c r="G914" i="722"/>
  <c r="N913" i="722"/>
  <c r="M913" i="722"/>
  <c r="K913" i="722"/>
  <c r="J913" i="722"/>
  <c r="I913" i="722"/>
  <c r="H913" i="722"/>
  <c r="G913" i="722"/>
  <c r="N912" i="722"/>
  <c r="M912" i="722"/>
  <c r="K912" i="722"/>
  <c r="J912" i="722"/>
  <c r="I912" i="722"/>
  <c r="H912" i="722"/>
  <c r="G912" i="722"/>
  <c r="N911" i="722"/>
  <c r="M911" i="722"/>
  <c r="K911" i="722"/>
  <c r="J911" i="722"/>
  <c r="I911" i="722"/>
  <c r="H911" i="722"/>
  <c r="G911" i="722"/>
  <c r="N910" i="722"/>
  <c r="M910" i="722"/>
  <c r="K910" i="722"/>
  <c r="J910" i="722"/>
  <c r="I910" i="722"/>
  <c r="H910" i="722"/>
  <c r="G910" i="722"/>
  <c r="N909" i="722"/>
  <c r="M909" i="722"/>
  <c r="K909" i="722"/>
  <c r="J909" i="722"/>
  <c r="I909" i="722"/>
  <c r="H909" i="722"/>
  <c r="G909" i="722"/>
  <c r="N908" i="722"/>
  <c r="M908" i="722"/>
  <c r="K908" i="722"/>
  <c r="J908" i="722"/>
  <c r="I908" i="722"/>
  <c r="H908" i="722"/>
  <c r="G908" i="722"/>
  <c r="N907" i="722"/>
  <c r="M907" i="722"/>
  <c r="K907" i="722"/>
  <c r="J907" i="722"/>
  <c r="I907" i="722"/>
  <c r="H907" i="722"/>
  <c r="G907" i="722"/>
  <c r="N906" i="722"/>
  <c r="M906" i="722"/>
  <c r="K906" i="722"/>
  <c r="J906" i="722"/>
  <c r="I906" i="722"/>
  <c r="H906" i="722"/>
  <c r="G906" i="722"/>
  <c r="N905" i="722"/>
  <c r="M905" i="722"/>
  <c r="K905" i="722"/>
  <c r="J905" i="722"/>
  <c r="I905" i="722"/>
  <c r="H905" i="722"/>
  <c r="G905" i="722"/>
  <c r="N904" i="722"/>
  <c r="M904" i="722"/>
  <c r="K904" i="722"/>
  <c r="J904" i="722"/>
  <c r="I904" i="722"/>
  <c r="H904" i="722"/>
  <c r="G904" i="722"/>
  <c r="N903" i="722"/>
  <c r="M903" i="722"/>
  <c r="K903" i="722"/>
  <c r="J903" i="722"/>
  <c r="I903" i="722"/>
  <c r="H903" i="722"/>
  <c r="G903" i="722"/>
  <c r="N902" i="722"/>
  <c r="M902" i="722"/>
  <c r="K902" i="722"/>
  <c r="J902" i="722"/>
  <c r="I902" i="722"/>
  <c r="H902" i="722"/>
  <c r="G902" i="722"/>
  <c r="N901" i="722"/>
  <c r="M901" i="722"/>
  <c r="K901" i="722"/>
  <c r="J901" i="722"/>
  <c r="I901" i="722"/>
  <c r="H901" i="722"/>
  <c r="G901" i="722"/>
  <c r="N900" i="722"/>
  <c r="M900" i="722"/>
  <c r="K900" i="722"/>
  <c r="J900" i="722"/>
  <c r="I900" i="722"/>
  <c r="H900" i="722"/>
  <c r="G900" i="722"/>
  <c r="N899" i="722"/>
  <c r="M899" i="722"/>
  <c r="K899" i="722"/>
  <c r="J899" i="722"/>
  <c r="I899" i="722"/>
  <c r="H899" i="722"/>
  <c r="G899" i="722"/>
  <c r="N898" i="722"/>
  <c r="M898" i="722"/>
  <c r="K898" i="722"/>
  <c r="J898" i="722"/>
  <c r="I898" i="722"/>
  <c r="H898" i="722"/>
  <c r="G898" i="722"/>
  <c r="N897" i="722"/>
  <c r="M897" i="722"/>
  <c r="K897" i="722"/>
  <c r="J897" i="722"/>
  <c r="I897" i="722"/>
  <c r="H897" i="722"/>
  <c r="G897" i="722"/>
  <c r="N896" i="722"/>
  <c r="M896" i="722"/>
  <c r="K896" i="722"/>
  <c r="J896" i="722"/>
  <c r="I896" i="722"/>
  <c r="H896" i="722"/>
  <c r="G896" i="722"/>
  <c r="N895" i="722"/>
  <c r="M895" i="722"/>
  <c r="K895" i="722"/>
  <c r="J895" i="722"/>
  <c r="I895" i="722"/>
  <c r="H895" i="722"/>
  <c r="G895" i="722"/>
  <c r="N894" i="722"/>
  <c r="M894" i="722"/>
  <c r="K894" i="722"/>
  <c r="J894" i="722"/>
  <c r="I894" i="722"/>
  <c r="H894" i="722"/>
  <c r="G894" i="722"/>
  <c r="N893" i="722"/>
  <c r="M893" i="722"/>
  <c r="K893" i="722"/>
  <c r="J893" i="722"/>
  <c r="I893" i="722"/>
  <c r="H893" i="722"/>
  <c r="G893" i="722"/>
  <c r="N892" i="722"/>
  <c r="M892" i="722"/>
  <c r="K892" i="722"/>
  <c r="J892" i="722"/>
  <c r="I892" i="722"/>
  <c r="H892" i="722"/>
  <c r="G892" i="722"/>
  <c r="N891" i="722"/>
  <c r="M891" i="722"/>
  <c r="K891" i="722"/>
  <c r="J891" i="722"/>
  <c r="I891" i="722"/>
  <c r="H891" i="722"/>
  <c r="G891" i="722"/>
  <c r="N890" i="722"/>
  <c r="M890" i="722"/>
  <c r="K890" i="722"/>
  <c r="J890" i="722"/>
  <c r="I890" i="722"/>
  <c r="H890" i="722"/>
  <c r="G890" i="722"/>
  <c r="N889" i="722"/>
  <c r="M889" i="722"/>
  <c r="K889" i="722"/>
  <c r="J889" i="722"/>
  <c r="I889" i="722"/>
  <c r="H889" i="722"/>
  <c r="G889" i="722"/>
  <c r="N888" i="722"/>
  <c r="M888" i="722"/>
  <c r="K888" i="722"/>
  <c r="J888" i="722"/>
  <c r="I888" i="722"/>
  <c r="H888" i="722"/>
  <c r="G888" i="722"/>
  <c r="N887" i="722"/>
  <c r="M887" i="722"/>
  <c r="K887" i="722"/>
  <c r="J887" i="722"/>
  <c r="I887" i="722"/>
  <c r="H887" i="722"/>
  <c r="G887" i="722"/>
  <c r="N886" i="722"/>
  <c r="M886" i="722"/>
  <c r="K886" i="722"/>
  <c r="J886" i="722"/>
  <c r="I886" i="722"/>
  <c r="H886" i="722"/>
  <c r="G886" i="722"/>
  <c r="N885" i="722"/>
  <c r="M885" i="722"/>
  <c r="K885" i="722"/>
  <c r="J885" i="722"/>
  <c r="I885" i="722"/>
  <c r="H885" i="722"/>
  <c r="G885" i="722"/>
  <c r="N884" i="722"/>
  <c r="M884" i="722"/>
  <c r="K884" i="722"/>
  <c r="J884" i="722"/>
  <c r="I884" i="722"/>
  <c r="H884" i="722"/>
  <c r="G884" i="722"/>
  <c r="N883" i="722"/>
  <c r="M883" i="722"/>
  <c r="K883" i="722"/>
  <c r="J883" i="722"/>
  <c r="I883" i="722"/>
  <c r="H883" i="722"/>
  <c r="G883" i="722"/>
  <c r="N882" i="722"/>
  <c r="M882" i="722"/>
  <c r="K882" i="722"/>
  <c r="J882" i="722"/>
  <c r="I882" i="722"/>
  <c r="H882" i="722"/>
  <c r="G882" i="722"/>
  <c r="N881" i="722"/>
  <c r="M881" i="722"/>
  <c r="K881" i="722"/>
  <c r="J881" i="722"/>
  <c r="I881" i="722"/>
  <c r="H881" i="722"/>
  <c r="G881" i="722"/>
  <c r="N880" i="722"/>
  <c r="M880" i="722"/>
  <c r="K880" i="722"/>
  <c r="J880" i="722"/>
  <c r="I880" i="722"/>
  <c r="H880" i="722"/>
  <c r="G880" i="722"/>
  <c r="N879" i="722"/>
  <c r="M879" i="722"/>
  <c r="K879" i="722"/>
  <c r="J879" i="722"/>
  <c r="I879" i="722"/>
  <c r="H879" i="722"/>
  <c r="G879" i="722"/>
  <c r="N878" i="722"/>
  <c r="M878" i="722"/>
  <c r="K878" i="722"/>
  <c r="J878" i="722"/>
  <c r="I878" i="722"/>
  <c r="H878" i="722"/>
  <c r="G878" i="722"/>
  <c r="N877" i="722"/>
  <c r="M877" i="722"/>
  <c r="K877" i="722"/>
  <c r="J877" i="722"/>
  <c r="I877" i="722"/>
  <c r="H877" i="722"/>
  <c r="G877" i="722"/>
  <c r="N876" i="722"/>
  <c r="M876" i="722"/>
  <c r="K876" i="722"/>
  <c r="J876" i="722"/>
  <c r="I876" i="722"/>
  <c r="H876" i="722"/>
  <c r="G876" i="722"/>
  <c r="N875" i="722"/>
  <c r="M875" i="722"/>
  <c r="K875" i="722"/>
  <c r="J875" i="722"/>
  <c r="I875" i="722"/>
  <c r="H875" i="722"/>
  <c r="G875" i="722"/>
  <c r="N874" i="722"/>
  <c r="M874" i="722"/>
  <c r="K874" i="722"/>
  <c r="J874" i="722"/>
  <c r="I874" i="722"/>
  <c r="H874" i="722"/>
  <c r="G874" i="722"/>
  <c r="N873" i="722"/>
  <c r="M873" i="722"/>
  <c r="K873" i="722"/>
  <c r="J873" i="722"/>
  <c r="I873" i="722"/>
  <c r="H873" i="722"/>
  <c r="G873" i="722"/>
  <c r="N872" i="722"/>
  <c r="M872" i="722"/>
  <c r="K872" i="722"/>
  <c r="J872" i="722"/>
  <c r="I872" i="722"/>
  <c r="H872" i="722"/>
  <c r="G872" i="722"/>
  <c r="N871" i="722"/>
  <c r="M871" i="722"/>
  <c r="K871" i="722"/>
  <c r="J871" i="722"/>
  <c r="I871" i="722"/>
  <c r="H871" i="722"/>
  <c r="G871" i="722"/>
  <c r="N870" i="722"/>
  <c r="M870" i="722"/>
  <c r="K870" i="722"/>
  <c r="J870" i="722"/>
  <c r="I870" i="722"/>
  <c r="H870" i="722"/>
  <c r="G870" i="722"/>
  <c r="N869" i="722"/>
  <c r="M869" i="722"/>
  <c r="K869" i="722"/>
  <c r="J869" i="722"/>
  <c r="I869" i="722"/>
  <c r="H869" i="722"/>
  <c r="G869" i="722"/>
  <c r="N868" i="722"/>
  <c r="M868" i="722"/>
  <c r="K868" i="722"/>
  <c r="J868" i="722"/>
  <c r="I868" i="722"/>
  <c r="H868" i="722"/>
  <c r="G868" i="722"/>
  <c r="N867" i="722"/>
  <c r="M867" i="722"/>
  <c r="K867" i="722"/>
  <c r="J867" i="722"/>
  <c r="I867" i="722"/>
  <c r="H867" i="722"/>
  <c r="G867" i="722"/>
  <c r="N866" i="722"/>
  <c r="M866" i="722"/>
  <c r="K866" i="722"/>
  <c r="J866" i="722"/>
  <c r="I866" i="722"/>
  <c r="H866" i="722"/>
  <c r="G866" i="722"/>
  <c r="N865" i="722"/>
  <c r="M865" i="722"/>
  <c r="K865" i="722"/>
  <c r="J865" i="722"/>
  <c r="I865" i="722"/>
  <c r="H865" i="722"/>
  <c r="G865" i="722"/>
  <c r="N864" i="722"/>
  <c r="M864" i="722"/>
  <c r="K864" i="722"/>
  <c r="J864" i="722"/>
  <c r="I864" i="722"/>
  <c r="H864" i="722"/>
  <c r="G864" i="722"/>
  <c r="N863" i="722"/>
  <c r="M863" i="722"/>
  <c r="K863" i="722"/>
  <c r="J863" i="722"/>
  <c r="I863" i="722"/>
  <c r="H863" i="722"/>
  <c r="G863" i="722"/>
  <c r="N862" i="722"/>
  <c r="M862" i="722"/>
  <c r="K862" i="722"/>
  <c r="J862" i="722"/>
  <c r="I862" i="722"/>
  <c r="H862" i="722"/>
  <c r="G862" i="722"/>
  <c r="N861" i="722"/>
  <c r="M861" i="722"/>
  <c r="K861" i="722"/>
  <c r="J861" i="722"/>
  <c r="I861" i="722"/>
  <c r="H861" i="722"/>
  <c r="G861" i="722"/>
  <c r="N860" i="722"/>
  <c r="M860" i="722"/>
  <c r="K860" i="722"/>
  <c r="J860" i="722"/>
  <c r="I860" i="722"/>
  <c r="H860" i="722"/>
  <c r="G860" i="722"/>
  <c r="N859" i="722"/>
  <c r="M859" i="722"/>
  <c r="K859" i="722"/>
  <c r="J859" i="722"/>
  <c r="I859" i="722"/>
  <c r="H859" i="722"/>
  <c r="G859" i="722"/>
  <c r="N858" i="722"/>
  <c r="M858" i="722"/>
  <c r="K858" i="722"/>
  <c r="J858" i="722"/>
  <c r="I858" i="722"/>
  <c r="H858" i="722"/>
  <c r="G858" i="722"/>
  <c r="N857" i="722"/>
  <c r="M857" i="722"/>
  <c r="K857" i="722"/>
  <c r="J857" i="722"/>
  <c r="I857" i="722"/>
  <c r="H857" i="722"/>
  <c r="G857" i="722"/>
  <c r="N856" i="722"/>
  <c r="M856" i="722"/>
  <c r="K856" i="722"/>
  <c r="J856" i="722"/>
  <c r="I856" i="722"/>
  <c r="H856" i="722"/>
  <c r="G856" i="722"/>
  <c r="N855" i="722"/>
  <c r="M855" i="722"/>
  <c r="K855" i="722"/>
  <c r="J855" i="722"/>
  <c r="I855" i="722"/>
  <c r="H855" i="722"/>
  <c r="G855" i="722"/>
  <c r="N854" i="722"/>
  <c r="M854" i="722"/>
  <c r="K854" i="722"/>
  <c r="J854" i="722"/>
  <c r="I854" i="722"/>
  <c r="H854" i="722"/>
  <c r="G854" i="722"/>
  <c r="N853" i="722"/>
  <c r="M853" i="722"/>
  <c r="K853" i="722"/>
  <c r="J853" i="722"/>
  <c r="I853" i="722"/>
  <c r="H853" i="722"/>
  <c r="G853" i="722"/>
  <c r="N852" i="722"/>
  <c r="M852" i="722"/>
  <c r="K852" i="722"/>
  <c r="J852" i="722"/>
  <c r="I852" i="722"/>
  <c r="H852" i="722"/>
  <c r="G852" i="722"/>
  <c r="N851" i="722"/>
  <c r="M851" i="722"/>
  <c r="K851" i="722"/>
  <c r="J851" i="722"/>
  <c r="I851" i="722"/>
  <c r="H851" i="722"/>
  <c r="G851" i="722"/>
  <c r="N850" i="722"/>
  <c r="M850" i="722"/>
  <c r="K850" i="722"/>
  <c r="J850" i="722"/>
  <c r="I850" i="722"/>
  <c r="H850" i="722"/>
  <c r="G850" i="722"/>
  <c r="N849" i="722"/>
  <c r="M849" i="722"/>
  <c r="K849" i="722"/>
  <c r="J849" i="722"/>
  <c r="I849" i="722"/>
  <c r="H849" i="722"/>
  <c r="G849" i="722"/>
  <c r="N848" i="722"/>
  <c r="M848" i="722"/>
  <c r="K848" i="722"/>
  <c r="J848" i="722"/>
  <c r="I848" i="722"/>
  <c r="H848" i="722"/>
  <c r="G848" i="722"/>
  <c r="N847" i="722"/>
  <c r="M847" i="722"/>
  <c r="K847" i="722"/>
  <c r="J847" i="722"/>
  <c r="I847" i="722"/>
  <c r="H847" i="722"/>
  <c r="G847" i="722"/>
  <c r="N846" i="722"/>
  <c r="M846" i="722"/>
  <c r="K846" i="722"/>
  <c r="J846" i="722"/>
  <c r="I846" i="722"/>
  <c r="H846" i="722"/>
  <c r="G846" i="722"/>
  <c r="N845" i="722"/>
  <c r="M845" i="722"/>
  <c r="K845" i="722"/>
  <c r="J845" i="722"/>
  <c r="I845" i="722"/>
  <c r="H845" i="722"/>
  <c r="G845" i="722"/>
  <c r="N844" i="722"/>
  <c r="M844" i="722"/>
  <c r="K844" i="722"/>
  <c r="J844" i="722"/>
  <c r="I844" i="722"/>
  <c r="H844" i="722"/>
  <c r="G844" i="722"/>
  <c r="N843" i="722"/>
  <c r="M843" i="722"/>
  <c r="K843" i="722"/>
  <c r="J843" i="722"/>
  <c r="I843" i="722"/>
  <c r="H843" i="722"/>
  <c r="G843" i="722"/>
  <c r="N842" i="722"/>
  <c r="M842" i="722"/>
  <c r="K842" i="722"/>
  <c r="J842" i="722"/>
  <c r="I842" i="722"/>
  <c r="H842" i="722"/>
  <c r="G842" i="722"/>
  <c r="N841" i="722"/>
  <c r="M841" i="722"/>
  <c r="K841" i="722"/>
  <c r="J841" i="722"/>
  <c r="I841" i="722"/>
  <c r="H841" i="722"/>
  <c r="G841" i="722"/>
  <c r="N840" i="722"/>
  <c r="M840" i="722"/>
  <c r="K840" i="722"/>
  <c r="J840" i="722"/>
  <c r="I840" i="722"/>
  <c r="H840" i="722"/>
  <c r="G840" i="722"/>
  <c r="N839" i="722"/>
  <c r="M839" i="722"/>
  <c r="K839" i="722"/>
  <c r="J839" i="722"/>
  <c r="I839" i="722"/>
  <c r="H839" i="722"/>
  <c r="G839" i="722"/>
  <c r="N838" i="722"/>
  <c r="M838" i="722"/>
  <c r="K838" i="722"/>
  <c r="J838" i="722"/>
  <c r="I838" i="722"/>
  <c r="H838" i="722"/>
  <c r="G838" i="722"/>
  <c r="N837" i="722"/>
  <c r="M837" i="722"/>
  <c r="K837" i="722"/>
  <c r="J837" i="722"/>
  <c r="I837" i="722"/>
  <c r="H837" i="722"/>
  <c r="G837" i="722"/>
  <c r="N836" i="722"/>
  <c r="M836" i="722"/>
  <c r="K836" i="722"/>
  <c r="J836" i="722"/>
  <c r="I836" i="722"/>
  <c r="H836" i="722"/>
  <c r="G836" i="722"/>
  <c r="N835" i="722"/>
  <c r="M835" i="722"/>
  <c r="K835" i="722"/>
  <c r="J835" i="722"/>
  <c r="I835" i="722"/>
  <c r="H835" i="722"/>
  <c r="G835" i="722"/>
  <c r="N834" i="722"/>
  <c r="M834" i="722"/>
  <c r="K834" i="722"/>
  <c r="J834" i="722"/>
  <c r="I834" i="722"/>
  <c r="H834" i="722"/>
  <c r="G834" i="722"/>
  <c r="N833" i="722"/>
  <c r="M833" i="722"/>
  <c r="K833" i="722"/>
  <c r="J833" i="722"/>
  <c r="I833" i="722"/>
  <c r="H833" i="722"/>
  <c r="G833" i="722"/>
  <c r="N832" i="722"/>
  <c r="M832" i="722"/>
  <c r="K832" i="722"/>
  <c r="J832" i="722"/>
  <c r="I832" i="722"/>
  <c r="H832" i="722"/>
  <c r="G832" i="722"/>
  <c r="N831" i="722"/>
  <c r="M831" i="722"/>
  <c r="K831" i="722"/>
  <c r="J831" i="722"/>
  <c r="I831" i="722"/>
  <c r="H831" i="722"/>
  <c r="G831" i="722"/>
  <c r="N830" i="722"/>
  <c r="M830" i="722"/>
  <c r="K830" i="722"/>
  <c r="J830" i="722"/>
  <c r="I830" i="722"/>
  <c r="H830" i="722"/>
  <c r="G830" i="722"/>
  <c r="N829" i="722"/>
  <c r="M829" i="722"/>
  <c r="K829" i="722"/>
  <c r="J829" i="722"/>
  <c r="I829" i="722"/>
  <c r="H829" i="722"/>
  <c r="G829" i="722"/>
  <c r="N828" i="722"/>
  <c r="M828" i="722"/>
  <c r="K828" i="722"/>
  <c r="J828" i="722"/>
  <c r="I828" i="722"/>
  <c r="H828" i="722"/>
  <c r="G828" i="722"/>
  <c r="N827" i="722"/>
  <c r="M827" i="722"/>
  <c r="K827" i="722"/>
  <c r="J827" i="722"/>
  <c r="I827" i="722"/>
  <c r="H827" i="722"/>
  <c r="G827" i="722"/>
  <c r="N826" i="722"/>
  <c r="M826" i="722"/>
  <c r="K826" i="722"/>
  <c r="J826" i="722"/>
  <c r="I826" i="722"/>
  <c r="H826" i="722"/>
  <c r="G826" i="722"/>
  <c r="N825" i="722"/>
  <c r="M825" i="722"/>
  <c r="K825" i="722"/>
  <c r="J825" i="722"/>
  <c r="I825" i="722"/>
  <c r="H825" i="722"/>
  <c r="G825" i="722"/>
  <c r="N824" i="722"/>
  <c r="M824" i="722"/>
  <c r="K824" i="722"/>
  <c r="J824" i="722"/>
  <c r="I824" i="722"/>
  <c r="H824" i="722"/>
  <c r="G824" i="722"/>
  <c r="N823" i="722"/>
  <c r="M823" i="722"/>
  <c r="K823" i="722"/>
  <c r="J823" i="722"/>
  <c r="I823" i="722"/>
  <c r="H823" i="722"/>
  <c r="G823" i="722"/>
  <c r="N822" i="722"/>
  <c r="M822" i="722"/>
  <c r="K822" i="722"/>
  <c r="J822" i="722"/>
  <c r="I822" i="722"/>
  <c r="H822" i="722"/>
  <c r="G822" i="722"/>
  <c r="N821" i="722"/>
  <c r="M821" i="722"/>
  <c r="K821" i="722"/>
  <c r="J821" i="722"/>
  <c r="I821" i="722"/>
  <c r="H821" i="722"/>
  <c r="G821" i="722"/>
  <c r="N820" i="722"/>
  <c r="M820" i="722"/>
  <c r="K820" i="722"/>
  <c r="J820" i="722"/>
  <c r="I820" i="722"/>
  <c r="H820" i="722"/>
  <c r="G820" i="722"/>
  <c r="N819" i="722"/>
  <c r="M819" i="722"/>
  <c r="K819" i="722"/>
  <c r="J819" i="722"/>
  <c r="I819" i="722"/>
  <c r="H819" i="722"/>
  <c r="G819" i="722"/>
  <c r="N818" i="722"/>
  <c r="M818" i="722"/>
  <c r="K818" i="722"/>
  <c r="J818" i="722"/>
  <c r="I818" i="722"/>
  <c r="H818" i="722"/>
  <c r="G818" i="722"/>
  <c r="N817" i="722"/>
  <c r="M817" i="722"/>
  <c r="K817" i="722"/>
  <c r="J817" i="722"/>
  <c r="I817" i="722"/>
  <c r="H817" i="722"/>
  <c r="G817" i="722"/>
  <c r="N816" i="722"/>
  <c r="M816" i="722"/>
  <c r="K816" i="722"/>
  <c r="J816" i="722"/>
  <c r="I816" i="722"/>
  <c r="H816" i="722"/>
  <c r="G816" i="722"/>
  <c r="N815" i="722"/>
  <c r="M815" i="722"/>
  <c r="K815" i="722"/>
  <c r="J815" i="722"/>
  <c r="I815" i="722"/>
  <c r="H815" i="722"/>
  <c r="G815" i="722"/>
  <c r="N814" i="722"/>
  <c r="M814" i="722"/>
  <c r="K814" i="722"/>
  <c r="J814" i="722"/>
  <c r="I814" i="722"/>
  <c r="H814" i="722"/>
  <c r="G814" i="722"/>
  <c r="N813" i="722"/>
  <c r="M813" i="722"/>
  <c r="K813" i="722"/>
  <c r="J813" i="722"/>
  <c r="I813" i="722"/>
  <c r="H813" i="722"/>
  <c r="G813" i="722"/>
  <c r="N812" i="722"/>
  <c r="M812" i="722"/>
  <c r="K812" i="722"/>
  <c r="J812" i="722"/>
  <c r="I812" i="722"/>
  <c r="H812" i="722"/>
  <c r="G812" i="722"/>
  <c r="N811" i="722"/>
  <c r="M811" i="722"/>
  <c r="K811" i="722"/>
  <c r="J811" i="722"/>
  <c r="I811" i="722"/>
  <c r="H811" i="722"/>
  <c r="G811" i="722"/>
  <c r="N810" i="722"/>
  <c r="M810" i="722"/>
  <c r="K810" i="722"/>
  <c r="J810" i="722"/>
  <c r="I810" i="722"/>
  <c r="H810" i="722"/>
  <c r="G810" i="722"/>
  <c r="N809" i="722"/>
  <c r="M809" i="722"/>
  <c r="K809" i="722"/>
  <c r="J809" i="722"/>
  <c r="I809" i="722"/>
  <c r="H809" i="722"/>
  <c r="G809" i="722"/>
  <c r="N808" i="722"/>
  <c r="M808" i="722"/>
  <c r="K808" i="722"/>
  <c r="J808" i="722"/>
  <c r="I808" i="722"/>
  <c r="H808" i="722"/>
  <c r="G808" i="722"/>
  <c r="N807" i="722"/>
  <c r="M807" i="722"/>
  <c r="K807" i="722"/>
  <c r="J807" i="722"/>
  <c r="I807" i="722"/>
  <c r="H807" i="722"/>
  <c r="G807" i="722"/>
  <c r="N806" i="722"/>
  <c r="M806" i="722"/>
  <c r="K806" i="722"/>
  <c r="J806" i="722"/>
  <c r="I806" i="722"/>
  <c r="H806" i="722"/>
  <c r="G806" i="722"/>
  <c r="N805" i="722"/>
  <c r="M805" i="722"/>
  <c r="K805" i="722"/>
  <c r="J805" i="722"/>
  <c r="I805" i="722"/>
  <c r="H805" i="722"/>
  <c r="G805" i="722"/>
  <c r="N804" i="722"/>
  <c r="M804" i="722"/>
  <c r="K804" i="722"/>
  <c r="J804" i="722"/>
  <c r="I804" i="722"/>
  <c r="H804" i="722"/>
  <c r="G804" i="722"/>
  <c r="N803" i="722"/>
  <c r="M803" i="722"/>
  <c r="K803" i="722"/>
  <c r="J803" i="722"/>
  <c r="I803" i="722"/>
  <c r="H803" i="722"/>
  <c r="G803" i="722"/>
  <c r="N802" i="722"/>
  <c r="M802" i="722"/>
  <c r="K802" i="722"/>
  <c r="J802" i="722"/>
  <c r="I802" i="722"/>
  <c r="H802" i="722"/>
  <c r="G802" i="722"/>
  <c r="N801" i="722"/>
  <c r="M801" i="722"/>
  <c r="K801" i="722"/>
  <c r="J801" i="722"/>
  <c r="I801" i="722"/>
  <c r="H801" i="722"/>
  <c r="G801" i="722"/>
  <c r="N800" i="722"/>
  <c r="M800" i="722"/>
  <c r="K800" i="722"/>
  <c r="J800" i="722"/>
  <c r="I800" i="722"/>
  <c r="H800" i="722"/>
  <c r="G800" i="722"/>
  <c r="N799" i="722"/>
  <c r="M799" i="722"/>
  <c r="K799" i="722"/>
  <c r="J799" i="722"/>
  <c r="I799" i="722"/>
  <c r="H799" i="722"/>
  <c r="G799" i="722"/>
  <c r="N798" i="722"/>
  <c r="M798" i="722"/>
  <c r="K798" i="722"/>
  <c r="J798" i="722"/>
  <c r="I798" i="722"/>
  <c r="H798" i="722"/>
  <c r="G798" i="722"/>
  <c r="N797" i="722"/>
  <c r="M797" i="722"/>
  <c r="K797" i="722"/>
  <c r="J797" i="722"/>
  <c r="I797" i="722"/>
  <c r="H797" i="722"/>
  <c r="G797" i="722"/>
  <c r="N796" i="722"/>
  <c r="M796" i="722"/>
  <c r="K796" i="722"/>
  <c r="J796" i="722"/>
  <c r="I796" i="722"/>
  <c r="H796" i="722"/>
  <c r="G796" i="722"/>
  <c r="N795" i="722"/>
  <c r="M795" i="722"/>
  <c r="K795" i="722"/>
  <c r="J795" i="722"/>
  <c r="I795" i="722"/>
  <c r="H795" i="722"/>
  <c r="G795" i="722"/>
  <c r="N794" i="722"/>
  <c r="M794" i="722"/>
  <c r="K794" i="722"/>
  <c r="J794" i="722"/>
  <c r="I794" i="722"/>
  <c r="H794" i="722"/>
  <c r="G794" i="722"/>
  <c r="N793" i="722"/>
  <c r="M793" i="722"/>
  <c r="K793" i="722"/>
  <c r="J793" i="722"/>
  <c r="I793" i="722"/>
  <c r="H793" i="722"/>
  <c r="G793" i="722"/>
  <c r="N792" i="722"/>
  <c r="M792" i="722"/>
  <c r="K792" i="722"/>
  <c r="J792" i="722"/>
  <c r="I792" i="722"/>
  <c r="H792" i="722"/>
  <c r="G792" i="722"/>
  <c r="N791" i="722"/>
  <c r="M791" i="722"/>
  <c r="K791" i="722"/>
  <c r="J791" i="722"/>
  <c r="I791" i="722"/>
  <c r="H791" i="722"/>
  <c r="G791" i="722"/>
  <c r="N790" i="722"/>
  <c r="M790" i="722"/>
  <c r="K790" i="722"/>
  <c r="J790" i="722"/>
  <c r="I790" i="722"/>
  <c r="H790" i="722"/>
  <c r="G790" i="722"/>
  <c r="N789" i="722"/>
  <c r="M789" i="722"/>
  <c r="K789" i="722"/>
  <c r="J789" i="722"/>
  <c r="I789" i="722"/>
  <c r="H789" i="722"/>
  <c r="G789" i="722"/>
  <c r="N788" i="722"/>
  <c r="M788" i="722"/>
  <c r="K788" i="722"/>
  <c r="J788" i="722"/>
  <c r="I788" i="722"/>
  <c r="H788" i="722"/>
  <c r="G788" i="722"/>
  <c r="N787" i="722"/>
  <c r="M787" i="722"/>
  <c r="K787" i="722"/>
  <c r="J787" i="722"/>
  <c r="I787" i="722"/>
  <c r="H787" i="722"/>
  <c r="G787" i="722"/>
  <c r="N786" i="722"/>
  <c r="M786" i="722"/>
  <c r="K786" i="722"/>
  <c r="J786" i="722"/>
  <c r="I786" i="722"/>
  <c r="H786" i="722"/>
  <c r="G786" i="722"/>
  <c r="N785" i="722"/>
  <c r="M785" i="722"/>
  <c r="K785" i="722"/>
  <c r="J785" i="722"/>
  <c r="I785" i="722"/>
  <c r="H785" i="722"/>
  <c r="G785" i="722"/>
  <c r="N784" i="722"/>
  <c r="M784" i="722"/>
  <c r="K784" i="722"/>
  <c r="J784" i="722"/>
  <c r="I784" i="722"/>
  <c r="H784" i="722"/>
  <c r="G784" i="722"/>
  <c r="N783" i="722"/>
  <c r="M783" i="722"/>
  <c r="K783" i="722"/>
  <c r="J783" i="722"/>
  <c r="I783" i="722"/>
  <c r="H783" i="722"/>
  <c r="G783" i="722"/>
  <c r="N782" i="722"/>
  <c r="M782" i="722"/>
  <c r="K782" i="722"/>
  <c r="J782" i="722"/>
  <c r="I782" i="722"/>
  <c r="H782" i="722"/>
  <c r="G782" i="722"/>
  <c r="N781" i="722"/>
  <c r="M781" i="722"/>
  <c r="K781" i="722"/>
  <c r="J781" i="722"/>
  <c r="I781" i="722"/>
  <c r="H781" i="722"/>
  <c r="G781" i="722"/>
  <c r="N780" i="722"/>
  <c r="M780" i="722"/>
  <c r="K780" i="722"/>
  <c r="J780" i="722"/>
  <c r="I780" i="722"/>
  <c r="H780" i="722"/>
  <c r="G780" i="722"/>
  <c r="N779" i="722"/>
  <c r="M779" i="722"/>
  <c r="K779" i="722"/>
  <c r="J779" i="722"/>
  <c r="I779" i="722"/>
  <c r="H779" i="722"/>
  <c r="G779" i="722"/>
  <c r="N778" i="722"/>
  <c r="M778" i="722"/>
  <c r="K778" i="722"/>
  <c r="J778" i="722"/>
  <c r="I778" i="722"/>
  <c r="H778" i="722"/>
  <c r="G778" i="722"/>
  <c r="N777" i="722"/>
  <c r="M777" i="722"/>
  <c r="K777" i="722"/>
  <c r="J777" i="722"/>
  <c r="I777" i="722"/>
  <c r="H777" i="722"/>
  <c r="G777" i="722"/>
  <c r="N776" i="722"/>
  <c r="M776" i="722"/>
  <c r="K776" i="722"/>
  <c r="J776" i="722"/>
  <c r="I776" i="722"/>
  <c r="H776" i="722"/>
  <c r="G776" i="722"/>
  <c r="N775" i="722"/>
  <c r="M775" i="722"/>
  <c r="K775" i="722"/>
  <c r="J775" i="722"/>
  <c r="I775" i="722"/>
  <c r="H775" i="722"/>
  <c r="G775" i="722"/>
  <c r="N774" i="722"/>
  <c r="M774" i="722"/>
  <c r="K774" i="722"/>
  <c r="J774" i="722"/>
  <c r="I774" i="722"/>
  <c r="H774" i="722"/>
  <c r="G774" i="722"/>
  <c r="N773" i="722"/>
  <c r="M773" i="722"/>
  <c r="K773" i="722"/>
  <c r="J773" i="722"/>
  <c r="I773" i="722"/>
  <c r="H773" i="722"/>
  <c r="G773" i="722"/>
  <c r="N772" i="722"/>
  <c r="M772" i="722"/>
  <c r="K772" i="722"/>
  <c r="J772" i="722"/>
  <c r="I772" i="722"/>
  <c r="H772" i="722"/>
  <c r="G772" i="722"/>
  <c r="N771" i="722"/>
  <c r="M771" i="722"/>
  <c r="K771" i="722"/>
  <c r="J771" i="722"/>
  <c r="I771" i="722"/>
  <c r="H771" i="722"/>
  <c r="G771" i="722"/>
  <c r="N770" i="722"/>
  <c r="M770" i="722"/>
  <c r="K770" i="722"/>
  <c r="J770" i="722"/>
  <c r="I770" i="722"/>
  <c r="H770" i="722"/>
  <c r="G770" i="722"/>
  <c r="N769" i="722"/>
  <c r="M769" i="722"/>
  <c r="K769" i="722"/>
  <c r="J769" i="722"/>
  <c r="I769" i="722"/>
  <c r="H769" i="722"/>
  <c r="G769" i="722"/>
  <c r="N768" i="722"/>
  <c r="M768" i="722"/>
  <c r="K768" i="722"/>
  <c r="J768" i="722"/>
  <c r="I768" i="722"/>
  <c r="H768" i="722"/>
  <c r="G768" i="722"/>
  <c r="N767" i="722"/>
  <c r="M767" i="722"/>
  <c r="K767" i="722"/>
  <c r="J767" i="722"/>
  <c r="I767" i="722"/>
  <c r="H767" i="722"/>
  <c r="G767" i="722"/>
  <c r="N766" i="722"/>
  <c r="M766" i="722"/>
  <c r="K766" i="722"/>
  <c r="J766" i="722"/>
  <c r="I766" i="722"/>
  <c r="H766" i="722"/>
  <c r="G766" i="722"/>
  <c r="N765" i="722"/>
  <c r="M765" i="722"/>
  <c r="K765" i="722"/>
  <c r="J765" i="722"/>
  <c r="I765" i="722"/>
  <c r="H765" i="722"/>
  <c r="G765" i="722"/>
  <c r="N764" i="722"/>
  <c r="M764" i="722"/>
  <c r="K764" i="722"/>
  <c r="J764" i="722"/>
  <c r="I764" i="722"/>
  <c r="H764" i="722"/>
  <c r="G764" i="722"/>
  <c r="N763" i="722"/>
  <c r="M763" i="722"/>
  <c r="K763" i="722"/>
  <c r="J763" i="722"/>
  <c r="I763" i="722"/>
  <c r="H763" i="722"/>
  <c r="G763" i="722"/>
  <c r="N762" i="722"/>
  <c r="M762" i="722"/>
  <c r="K762" i="722"/>
  <c r="J762" i="722"/>
  <c r="I762" i="722"/>
  <c r="H762" i="722"/>
  <c r="G762" i="722"/>
  <c r="N761" i="722"/>
  <c r="M761" i="722"/>
  <c r="K761" i="722"/>
  <c r="J761" i="722"/>
  <c r="I761" i="722"/>
  <c r="H761" i="722"/>
  <c r="G761" i="722"/>
  <c r="N760" i="722"/>
  <c r="M760" i="722"/>
  <c r="K760" i="722"/>
  <c r="J760" i="722"/>
  <c r="I760" i="722"/>
  <c r="H760" i="722"/>
  <c r="G760" i="722"/>
  <c r="N759" i="722"/>
  <c r="M759" i="722"/>
  <c r="K759" i="722"/>
  <c r="J759" i="722"/>
  <c r="I759" i="722"/>
  <c r="H759" i="722"/>
  <c r="G759" i="722"/>
  <c r="N758" i="722"/>
  <c r="M758" i="722"/>
  <c r="K758" i="722"/>
  <c r="J758" i="722"/>
  <c r="I758" i="722"/>
  <c r="H758" i="722"/>
  <c r="G758" i="722"/>
  <c r="N757" i="722"/>
  <c r="M757" i="722"/>
  <c r="K757" i="722"/>
  <c r="J757" i="722"/>
  <c r="I757" i="722"/>
  <c r="H757" i="722"/>
  <c r="G757" i="722"/>
  <c r="N756" i="722"/>
  <c r="M756" i="722"/>
  <c r="K756" i="722"/>
  <c r="J756" i="722"/>
  <c r="I756" i="722"/>
  <c r="H756" i="722"/>
  <c r="G756" i="722"/>
  <c r="N755" i="722"/>
  <c r="M755" i="722"/>
  <c r="K755" i="722"/>
  <c r="J755" i="722"/>
  <c r="I755" i="722"/>
  <c r="H755" i="722"/>
  <c r="G755" i="722"/>
  <c r="N754" i="722"/>
  <c r="M754" i="722"/>
  <c r="K754" i="722"/>
  <c r="J754" i="722"/>
  <c r="I754" i="722"/>
  <c r="H754" i="722"/>
  <c r="G754" i="722"/>
  <c r="N753" i="722"/>
  <c r="M753" i="722"/>
  <c r="K753" i="722"/>
  <c r="J753" i="722"/>
  <c r="I753" i="722"/>
  <c r="H753" i="722"/>
  <c r="G753" i="722"/>
  <c r="N752" i="722"/>
  <c r="M752" i="722"/>
  <c r="K752" i="722"/>
  <c r="J752" i="722"/>
  <c r="I752" i="722"/>
  <c r="H752" i="722"/>
  <c r="G752" i="722"/>
  <c r="N751" i="722"/>
  <c r="M751" i="722"/>
  <c r="K751" i="722"/>
  <c r="J751" i="722"/>
  <c r="I751" i="722"/>
  <c r="H751" i="722"/>
  <c r="G751" i="722"/>
  <c r="N750" i="722"/>
  <c r="M750" i="722"/>
  <c r="K750" i="722"/>
  <c r="J750" i="722"/>
  <c r="I750" i="722"/>
  <c r="H750" i="722"/>
  <c r="G750" i="722"/>
  <c r="N749" i="722"/>
  <c r="M749" i="722"/>
  <c r="K749" i="722"/>
  <c r="J749" i="722"/>
  <c r="I749" i="722"/>
  <c r="H749" i="722"/>
  <c r="G749" i="722"/>
  <c r="N748" i="722"/>
  <c r="M748" i="722"/>
  <c r="K748" i="722"/>
  <c r="J748" i="722"/>
  <c r="I748" i="722"/>
  <c r="H748" i="722"/>
  <c r="G748" i="722"/>
  <c r="N747" i="722"/>
  <c r="M747" i="722"/>
  <c r="K747" i="722"/>
  <c r="J747" i="722"/>
  <c r="I747" i="722"/>
  <c r="H747" i="722"/>
  <c r="G747" i="722"/>
  <c r="N746" i="722"/>
  <c r="M746" i="722"/>
  <c r="K746" i="722"/>
  <c r="J746" i="722"/>
  <c r="I746" i="722"/>
  <c r="H746" i="722"/>
  <c r="G746" i="722"/>
  <c r="N745" i="722"/>
  <c r="M745" i="722"/>
  <c r="K745" i="722"/>
  <c r="J745" i="722"/>
  <c r="I745" i="722"/>
  <c r="H745" i="722"/>
  <c r="G745" i="722"/>
  <c r="N744" i="722"/>
  <c r="M744" i="722"/>
  <c r="K744" i="722"/>
  <c r="J744" i="722"/>
  <c r="I744" i="722"/>
  <c r="H744" i="722"/>
  <c r="G744" i="722"/>
  <c r="N743" i="722"/>
  <c r="M743" i="722"/>
  <c r="K743" i="722"/>
  <c r="J743" i="722"/>
  <c r="I743" i="722"/>
  <c r="H743" i="722"/>
  <c r="G743" i="722"/>
  <c r="N742" i="722"/>
  <c r="M742" i="722"/>
  <c r="K742" i="722"/>
  <c r="J742" i="722"/>
  <c r="I742" i="722"/>
  <c r="H742" i="722"/>
  <c r="G742" i="722"/>
  <c r="N741" i="722"/>
  <c r="M741" i="722"/>
  <c r="K741" i="722"/>
  <c r="J741" i="722"/>
  <c r="I741" i="722"/>
  <c r="H741" i="722"/>
  <c r="G741" i="722"/>
  <c r="N740" i="722"/>
  <c r="M740" i="722"/>
  <c r="K740" i="722"/>
  <c r="J740" i="722"/>
  <c r="I740" i="722"/>
  <c r="H740" i="722"/>
  <c r="G740" i="722"/>
  <c r="N739" i="722"/>
  <c r="M739" i="722"/>
  <c r="K739" i="722"/>
  <c r="J739" i="722"/>
  <c r="I739" i="722"/>
  <c r="H739" i="722"/>
  <c r="G739" i="722"/>
  <c r="N738" i="722"/>
  <c r="M738" i="722"/>
  <c r="K738" i="722"/>
  <c r="J738" i="722"/>
  <c r="I738" i="722"/>
  <c r="H738" i="722"/>
  <c r="G738" i="722"/>
  <c r="N737" i="722"/>
  <c r="M737" i="722"/>
  <c r="K737" i="722"/>
  <c r="J737" i="722"/>
  <c r="I737" i="722"/>
  <c r="H737" i="722"/>
  <c r="G737" i="722"/>
  <c r="N736" i="722"/>
  <c r="M736" i="722"/>
  <c r="K736" i="722"/>
  <c r="J736" i="722"/>
  <c r="I736" i="722"/>
  <c r="H736" i="722"/>
  <c r="G736" i="722"/>
  <c r="N735" i="722"/>
  <c r="M735" i="722"/>
  <c r="K735" i="722"/>
  <c r="J735" i="722"/>
  <c r="I735" i="722"/>
  <c r="H735" i="722"/>
  <c r="G735" i="722"/>
  <c r="N734" i="722"/>
  <c r="M734" i="722"/>
  <c r="K734" i="722"/>
  <c r="J734" i="722"/>
  <c r="I734" i="722"/>
  <c r="H734" i="722"/>
  <c r="G734" i="722"/>
  <c r="N733" i="722"/>
  <c r="M733" i="722"/>
  <c r="K733" i="722"/>
  <c r="J733" i="722"/>
  <c r="I733" i="722"/>
  <c r="H733" i="722"/>
  <c r="G733" i="722"/>
  <c r="N732" i="722"/>
  <c r="M732" i="722"/>
  <c r="K732" i="722"/>
  <c r="J732" i="722"/>
  <c r="I732" i="722"/>
  <c r="H732" i="722"/>
  <c r="G732" i="722"/>
  <c r="N731" i="722"/>
  <c r="M731" i="722"/>
  <c r="K731" i="722"/>
  <c r="J731" i="722"/>
  <c r="I731" i="722"/>
  <c r="H731" i="722"/>
  <c r="G731" i="722"/>
  <c r="N730" i="722"/>
  <c r="M730" i="722"/>
  <c r="K730" i="722"/>
  <c r="J730" i="722"/>
  <c r="I730" i="722"/>
  <c r="H730" i="722"/>
  <c r="G730" i="722"/>
  <c r="N729" i="722"/>
  <c r="M729" i="722"/>
  <c r="K729" i="722"/>
  <c r="J729" i="722"/>
  <c r="I729" i="722"/>
  <c r="H729" i="722"/>
  <c r="G729" i="722"/>
  <c r="N728" i="722"/>
  <c r="M728" i="722"/>
  <c r="K728" i="722"/>
  <c r="J728" i="722"/>
  <c r="I728" i="722"/>
  <c r="H728" i="722"/>
  <c r="G728" i="722"/>
  <c r="N727" i="722"/>
  <c r="M727" i="722"/>
  <c r="K727" i="722"/>
  <c r="J727" i="722"/>
  <c r="I727" i="722"/>
  <c r="H727" i="722"/>
  <c r="G727" i="722"/>
  <c r="N726" i="722"/>
  <c r="M726" i="722"/>
  <c r="K726" i="722"/>
  <c r="J726" i="722"/>
  <c r="I726" i="722"/>
  <c r="H726" i="722"/>
  <c r="G726" i="722"/>
  <c r="N725" i="722"/>
  <c r="M725" i="722"/>
  <c r="K725" i="722"/>
  <c r="J725" i="722"/>
  <c r="I725" i="722"/>
  <c r="H725" i="722"/>
  <c r="G725" i="722"/>
  <c r="N724" i="722"/>
  <c r="M724" i="722"/>
  <c r="K724" i="722"/>
  <c r="J724" i="722"/>
  <c r="I724" i="722"/>
  <c r="H724" i="722"/>
  <c r="G724" i="722"/>
  <c r="N723" i="722"/>
  <c r="M723" i="722"/>
  <c r="K723" i="722"/>
  <c r="J723" i="722"/>
  <c r="I723" i="722"/>
  <c r="H723" i="722"/>
  <c r="G723" i="722"/>
  <c r="N722" i="722"/>
  <c r="M722" i="722"/>
  <c r="K722" i="722"/>
  <c r="J722" i="722"/>
  <c r="I722" i="722"/>
  <c r="H722" i="722"/>
  <c r="G722" i="722"/>
  <c r="N721" i="722"/>
  <c r="M721" i="722"/>
  <c r="K721" i="722"/>
  <c r="J721" i="722"/>
  <c r="I721" i="722"/>
  <c r="H721" i="722"/>
  <c r="G721" i="722"/>
  <c r="N720" i="722"/>
  <c r="M720" i="722"/>
  <c r="K720" i="722"/>
  <c r="J720" i="722"/>
  <c r="I720" i="722"/>
  <c r="H720" i="722"/>
  <c r="G720" i="722"/>
  <c r="N719" i="722"/>
  <c r="M719" i="722"/>
  <c r="K719" i="722"/>
  <c r="J719" i="722"/>
  <c r="I719" i="722"/>
  <c r="H719" i="722"/>
  <c r="G719" i="722"/>
  <c r="N718" i="722"/>
  <c r="M718" i="722"/>
  <c r="K718" i="722"/>
  <c r="J718" i="722"/>
  <c r="I718" i="722"/>
  <c r="H718" i="722"/>
  <c r="G718" i="722"/>
  <c r="N717" i="722"/>
  <c r="M717" i="722"/>
  <c r="K717" i="722"/>
  <c r="J717" i="722"/>
  <c r="I717" i="722"/>
  <c r="H717" i="722"/>
  <c r="G717" i="722"/>
  <c r="N716" i="722"/>
  <c r="M716" i="722"/>
  <c r="K716" i="722"/>
  <c r="J716" i="722"/>
  <c r="I716" i="722"/>
  <c r="H716" i="722"/>
  <c r="G716" i="722"/>
  <c r="N715" i="722"/>
  <c r="M715" i="722"/>
  <c r="K715" i="722"/>
  <c r="J715" i="722"/>
  <c r="I715" i="722"/>
  <c r="H715" i="722"/>
  <c r="G715" i="722"/>
  <c r="N714" i="722"/>
  <c r="M714" i="722"/>
  <c r="K714" i="722"/>
  <c r="J714" i="722"/>
  <c r="I714" i="722"/>
  <c r="H714" i="722"/>
  <c r="G714" i="722"/>
  <c r="N713" i="722"/>
  <c r="M713" i="722"/>
  <c r="K713" i="722"/>
  <c r="J713" i="722"/>
  <c r="I713" i="722"/>
  <c r="H713" i="722"/>
  <c r="G713" i="722"/>
  <c r="N712" i="722"/>
  <c r="M712" i="722"/>
  <c r="K712" i="722"/>
  <c r="J712" i="722"/>
  <c r="I712" i="722"/>
  <c r="H712" i="722"/>
  <c r="G712" i="722"/>
  <c r="N711" i="722"/>
  <c r="M711" i="722"/>
  <c r="K711" i="722"/>
  <c r="J711" i="722"/>
  <c r="I711" i="722"/>
  <c r="H711" i="722"/>
  <c r="G711" i="722"/>
  <c r="N710" i="722"/>
  <c r="M710" i="722"/>
  <c r="K710" i="722"/>
  <c r="J710" i="722"/>
  <c r="I710" i="722"/>
  <c r="H710" i="722"/>
  <c r="G710" i="722"/>
  <c r="N709" i="722"/>
  <c r="M709" i="722"/>
  <c r="K709" i="722"/>
  <c r="J709" i="722"/>
  <c r="I709" i="722"/>
  <c r="H709" i="722"/>
  <c r="G709" i="722"/>
  <c r="N708" i="722"/>
  <c r="M708" i="722"/>
  <c r="K708" i="722"/>
  <c r="J708" i="722"/>
  <c r="I708" i="722"/>
  <c r="H708" i="722"/>
  <c r="G708" i="722"/>
  <c r="N707" i="722"/>
  <c r="M707" i="722"/>
  <c r="K707" i="722"/>
  <c r="J707" i="722"/>
  <c r="I707" i="722"/>
  <c r="H707" i="722"/>
  <c r="G707" i="722"/>
  <c r="N706" i="722"/>
  <c r="M706" i="722"/>
  <c r="K706" i="722"/>
  <c r="J706" i="722"/>
  <c r="I706" i="722"/>
  <c r="H706" i="722"/>
  <c r="G706" i="722"/>
  <c r="N705" i="722"/>
  <c r="M705" i="722"/>
  <c r="K705" i="722"/>
  <c r="J705" i="722"/>
  <c r="I705" i="722"/>
  <c r="H705" i="722"/>
  <c r="G705" i="722"/>
  <c r="N704" i="722"/>
  <c r="M704" i="722"/>
  <c r="K704" i="722"/>
  <c r="J704" i="722"/>
  <c r="I704" i="722"/>
  <c r="H704" i="722"/>
  <c r="G704" i="722"/>
  <c r="N703" i="722"/>
  <c r="M703" i="722"/>
  <c r="K703" i="722"/>
  <c r="J703" i="722"/>
  <c r="I703" i="722"/>
  <c r="H703" i="722"/>
  <c r="G703" i="722"/>
  <c r="N702" i="722"/>
  <c r="M702" i="722"/>
  <c r="K702" i="722"/>
  <c r="J702" i="722"/>
  <c r="I702" i="722"/>
  <c r="H702" i="722"/>
  <c r="G702" i="722"/>
  <c r="N701" i="722"/>
  <c r="M701" i="722"/>
  <c r="K701" i="722"/>
  <c r="J701" i="722"/>
  <c r="I701" i="722"/>
  <c r="H701" i="722"/>
  <c r="G701" i="722"/>
  <c r="N700" i="722"/>
  <c r="M700" i="722"/>
  <c r="K700" i="722"/>
  <c r="J700" i="722"/>
  <c r="I700" i="722"/>
  <c r="H700" i="722"/>
  <c r="G700" i="722"/>
  <c r="N699" i="722"/>
  <c r="M699" i="722"/>
  <c r="K699" i="722"/>
  <c r="J699" i="722"/>
  <c r="I699" i="722"/>
  <c r="H699" i="722"/>
  <c r="G699" i="722"/>
  <c r="N698" i="722"/>
  <c r="M698" i="722"/>
  <c r="K698" i="722"/>
  <c r="J698" i="722"/>
  <c r="I698" i="722"/>
  <c r="H698" i="722"/>
  <c r="G698" i="722"/>
  <c r="N697" i="722"/>
  <c r="M697" i="722"/>
  <c r="K697" i="722"/>
  <c r="J697" i="722"/>
  <c r="I697" i="722"/>
  <c r="H697" i="722"/>
  <c r="G697" i="722"/>
  <c r="N696" i="722"/>
  <c r="M696" i="722"/>
  <c r="K696" i="722"/>
  <c r="J696" i="722"/>
  <c r="I696" i="722"/>
  <c r="H696" i="722"/>
  <c r="G696" i="722"/>
  <c r="N695" i="722"/>
  <c r="M695" i="722"/>
  <c r="K695" i="722"/>
  <c r="J695" i="722"/>
  <c r="I695" i="722"/>
  <c r="H695" i="722"/>
  <c r="G695" i="722"/>
  <c r="N694" i="722"/>
  <c r="M694" i="722"/>
  <c r="K694" i="722"/>
  <c r="J694" i="722"/>
  <c r="I694" i="722"/>
  <c r="H694" i="722"/>
  <c r="G694" i="722"/>
  <c r="N693" i="722"/>
  <c r="M693" i="722"/>
  <c r="K693" i="722"/>
  <c r="J693" i="722"/>
  <c r="I693" i="722"/>
  <c r="H693" i="722"/>
  <c r="G693" i="722"/>
  <c r="N692" i="722"/>
  <c r="M692" i="722"/>
  <c r="K692" i="722"/>
  <c r="J692" i="722"/>
  <c r="I692" i="722"/>
  <c r="H692" i="722"/>
  <c r="G692" i="722"/>
  <c r="N691" i="722"/>
  <c r="M691" i="722"/>
  <c r="K691" i="722"/>
  <c r="J691" i="722"/>
  <c r="I691" i="722"/>
  <c r="H691" i="722"/>
  <c r="G691" i="722"/>
  <c r="N690" i="722"/>
  <c r="M690" i="722"/>
  <c r="K690" i="722"/>
  <c r="J690" i="722"/>
  <c r="I690" i="722"/>
  <c r="H690" i="722"/>
  <c r="G690" i="722"/>
  <c r="N689" i="722"/>
  <c r="M689" i="722"/>
  <c r="K689" i="722"/>
  <c r="J689" i="722"/>
  <c r="I689" i="722"/>
  <c r="H689" i="722"/>
  <c r="G689" i="722"/>
  <c r="N688" i="722"/>
  <c r="M688" i="722"/>
  <c r="K688" i="722"/>
  <c r="J688" i="722"/>
  <c r="I688" i="722"/>
  <c r="H688" i="722"/>
  <c r="G688" i="722"/>
  <c r="N687" i="722"/>
  <c r="M687" i="722"/>
  <c r="K687" i="722"/>
  <c r="J687" i="722"/>
  <c r="I687" i="722"/>
  <c r="H687" i="722"/>
  <c r="G687" i="722"/>
  <c r="N686" i="722"/>
  <c r="M686" i="722"/>
  <c r="K686" i="722"/>
  <c r="J686" i="722"/>
  <c r="I686" i="722"/>
  <c r="H686" i="722"/>
  <c r="G686" i="722"/>
  <c r="N685" i="722"/>
  <c r="M685" i="722"/>
  <c r="K685" i="722"/>
  <c r="J685" i="722"/>
  <c r="I685" i="722"/>
  <c r="H685" i="722"/>
  <c r="G685" i="722"/>
  <c r="N684" i="722"/>
  <c r="M684" i="722"/>
  <c r="K684" i="722"/>
  <c r="J684" i="722"/>
  <c r="I684" i="722"/>
  <c r="H684" i="722"/>
  <c r="G684" i="722"/>
  <c r="N683" i="722"/>
  <c r="M683" i="722"/>
  <c r="K683" i="722"/>
  <c r="J683" i="722"/>
  <c r="I683" i="722"/>
  <c r="H683" i="722"/>
  <c r="G683" i="722"/>
  <c r="N682" i="722"/>
  <c r="M682" i="722"/>
  <c r="K682" i="722"/>
  <c r="J682" i="722"/>
  <c r="I682" i="722"/>
  <c r="H682" i="722"/>
  <c r="G682" i="722"/>
  <c r="N681" i="722"/>
  <c r="M681" i="722"/>
  <c r="K681" i="722"/>
  <c r="J681" i="722"/>
  <c r="I681" i="722"/>
  <c r="H681" i="722"/>
  <c r="G681" i="722"/>
  <c r="N680" i="722"/>
  <c r="M680" i="722"/>
  <c r="K680" i="722"/>
  <c r="J680" i="722"/>
  <c r="I680" i="722"/>
  <c r="H680" i="722"/>
  <c r="G680" i="722"/>
  <c r="N679" i="722"/>
  <c r="M679" i="722"/>
  <c r="K679" i="722"/>
  <c r="J679" i="722"/>
  <c r="I679" i="722"/>
  <c r="H679" i="722"/>
  <c r="G679" i="722"/>
  <c r="N678" i="722"/>
  <c r="M678" i="722"/>
  <c r="K678" i="722"/>
  <c r="J678" i="722"/>
  <c r="I678" i="722"/>
  <c r="H678" i="722"/>
  <c r="G678" i="722"/>
  <c r="N677" i="722"/>
  <c r="M677" i="722"/>
  <c r="K677" i="722"/>
  <c r="J677" i="722"/>
  <c r="I677" i="722"/>
  <c r="H677" i="722"/>
  <c r="G677" i="722"/>
  <c r="N676" i="722"/>
  <c r="M676" i="722"/>
  <c r="K676" i="722"/>
  <c r="J676" i="722"/>
  <c r="I676" i="722"/>
  <c r="H676" i="722"/>
  <c r="G676" i="722"/>
  <c r="N675" i="722"/>
  <c r="M675" i="722"/>
  <c r="K675" i="722"/>
  <c r="J675" i="722"/>
  <c r="I675" i="722"/>
  <c r="H675" i="722"/>
  <c r="G675" i="722"/>
  <c r="N674" i="722"/>
  <c r="M674" i="722"/>
  <c r="K674" i="722"/>
  <c r="J674" i="722"/>
  <c r="I674" i="722"/>
  <c r="H674" i="722"/>
  <c r="G674" i="722"/>
  <c r="N673" i="722"/>
  <c r="M673" i="722"/>
  <c r="K673" i="722"/>
  <c r="J673" i="722"/>
  <c r="I673" i="722"/>
  <c r="H673" i="722"/>
  <c r="G673" i="722"/>
  <c r="N672" i="722"/>
  <c r="M672" i="722"/>
  <c r="K672" i="722"/>
  <c r="J672" i="722"/>
  <c r="I672" i="722"/>
  <c r="H672" i="722"/>
  <c r="G672" i="722"/>
  <c r="N671" i="722"/>
  <c r="M671" i="722"/>
  <c r="K671" i="722"/>
  <c r="J671" i="722"/>
  <c r="I671" i="722"/>
  <c r="H671" i="722"/>
  <c r="G671" i="722"/>
  <c r="N670" i="722"/>
  <c r="M670" i="722"/>
  <c r="K670" i="722"/>
  <c r="J670" i="722"/>
  <c r="I670" i="722"/>
  <c r="H670" i="722"/>
  <c r="G670" i="722"/>
  <c r="N669" i="722"/>
  <c r="M669" i="722"/>
  <c r="K669" i="722"/>
  <c r="J669" i="722"/>
  <c r="I669" i="722"/>
  <c r="H669" i="722"/>
  <c r="G669" i="722"/>
  <c r="N668" i="722"/>
  <c r="M668" i="722"/>
  <c r="K668" i="722"/>
  <c r="J668" i="722"/>
  <c r="I668" i="722"/>
  <c r="H668" i="722"/>
  <c r="G668" i="722"/>
  <c r="N667" i="722"/>
  <c r="M667" i="722"/>
  <c r="K667" i="722"/>
  <c r="J667" i="722"/>
  <c r="I667" i="722"/>
  <c r="H667" i="722"/>
  <c r="G667" i="722"/>
  <c r="N666" i="722"/>
  <c r="M666" i="722"/>
  <c r="K666" i="722"/>
  <c r="J666" i="722"/>
  <c r="I666" i="722"/>
  <c r="H666" i="722"/>
  <c r="G666" i="722"/>
  <c r="N665" i="722"/>
  <c r="M665" i="722"/>
  <c r="K665" i="722"/>
  <c r="J665" i="722"/>
  <c r="I665" i="722"/>
  <c r="H665" i="722"/>
  <c r="G665" i="722"/>
  <c r="N664" i="722"/>
  <c r="M664" i="722"/>
  <c r="K664" i="722"/>
  <c r="J664" i="722"/>
  <c r="I664" i="722"/>
  <c r="H664" i="722"/>
  <c r="G664" i="722"/>
  <c r="N663" i="722"/>
  <c r="M663" i="722"/>
  <c r="K663" i="722"/>
  <c r="J663" i="722"/>
  <c r="I663" i="722"/>
  <c r="H663" i="722"/>
  <c r="G663" i="722"/>
  <c r="N662" i="722"/>
  <c r="M662" i="722"/>
  <c r="K662" i="722"/>
  <c r="J662" i="722"/>
  <c r="I662" i="722"/>
  <c r="H662" i="722"/>
  <c r="G662" i="722"/>
  <c r="N661" i="722"/>
  <c r="M661" i="722"/>
  <c r="K661" i="722"/>
  <c r="J661" i="722"/>
  <c r="I661" i="722"/>
  <c r="H661" i="722"/>
  <c r="G661" i="722"/>
  <c r="N660" i="722"/>
  <c r="M660" i="722"/>
  <c r="K660" i="722"/>
  <c r="J660" i="722"/>
  <c r="I660" i="722"/>
  <c r="H660" i="722"/>
  <c r="G660" i="722"/>
  <c r="N659" i="722"/>
  <c r="M659" i="722"/>
  <c r="K659" i="722"/>
  <c r="J659" i="722"/>
  <c r="I659" i="722"/>
  <c r="H659" i="722"/>
  <c r="G659" i="722"/>
  <c r="N658" i="722"/>
  <c r="M658" i="722"/>
  <c r="K658" i="722"/>
  <c r="J658" i="722"/>
  <c r="I658" i="722"/>
  <c r="H658" i="722"/>
  <c r="G658" i="722"/>
  <c r="N657" i="722"/>
  <c r="M657" i="722"/>
  <c r="K657" i="722"/>
  <c r="J657" i="722"/>
  <c r="I657" i="722"/>
  <c r="H657" i="722"/>
  <c r="G657" i="722"/>
  <c r="N656" i="722"/>
  <c r="M656" i="722"/>
  <c r="K656" i="722"/>
  <c r="J656" i="722"/>
  <c r="I656" i="722"/>
  <c r="H656" i="722"/>
  <c r="G656" i="722"/>
  <c r="N655" i="722"/>
  <c r="M655" i="722"/>
  <c r="K655" i="722"/>
  <c r="J655" i="722"/>
  <c r="I655" i="722"/>
  <c r="H655" i="722"/>
  <c r="G655" i="722"/>
  <c r="N654" i="722"/>
  <c r="M654" i="722"/>
  <c r="K654" i="722"/>
  <c r="J654" i="722"/>
  <c r="I654" i="722"/>
  <c r="H654" i="722"/>
  <c r="G654" i="722"/>
  <c r="N653" i="722"/>
  <c r="M653" i="722"/>
  <c r="K653" i="722"/>
  <c r="J653" i="722"/>
  <c r="I653" i="722"/>
  <c r="H653" i="722"/>
  <c r="G653" i="722"/>
  <c r="N652" i="722"/>
  <c r="M652" i="722"/>
  <c r="K652" i="722"/>
  <c r="J652" i="722"/>
  <c r="I652" i="722"/>
  <c r="H652" i="722"/>
  <c r="G652" i="722"/>
  <c r="N651" i="722"/>
  <c r="M651" i="722"/>
  <c r="K651" i="722"/>
  <c r="J651" i="722"/>
  <c r="I651" i="722"/>
  <c r="H651" i="722"/>
  <c r="G651" i="722"/>
  <c r="N650" i="722"/>
  <c r="M650" i="722"/>
  <c r="K650" i="722"/>
  <c r="J650" i="722"/>
  <c r="I650" i="722"/>
  <c r="H650" i="722"/>
  <c r="G650" i="722"/>
  <c r="N649" i="722"/>
  <c r="M649" i="722"/>
  <c r="K649" i="722"/>
  <c r="J649" i="722"/>
  <c r="I649" i="722"/>
  <c r="H649" i="722"/>
  <c r="G649" i="722"/>
  <c r="N648" i="722"/>
  <c r="M648" i="722"/>
  <c r="K648" i="722"/>
  <c r="J648" i="722"/>
  <c r="I648" i="722"/>
  <c r="H648" i="722"/>
  <c r="G648" i="722"/>
  <c r="N647" i="722"/>
  <c r="M647" i="722"/>
  <c r="K647" i="722"/>
  <c r="J647" i="722"/>
  <c r="I647" i="722"/>
  <c r="H647" i="722"/>
  <c r="G647" i="722"/>
  <c r="N646" i="722"/>
  <c r="M646" i="722"/>
  <c r="K646" i="722"/>
  <c r="J646" i="722"/>
  <c r="I646" i="722"/>
  <c r="H646" i="722"/>
  <c r="G646" i="722"/>
  <c r="N645" i="722"/>
  <c r="M645" i="722"/>
  <c r="K645" i="722"/>
  <c r="J645" i="722"/>
  <c r="I645" i="722"/>
  <c r="H645" i="722"/>
  <c r="G645" i="722"/>
  <c r="N644" i="722"/>
  <c r="M644" i="722"/>
  <c r="K644" i="722"/>
  <c r="J644" i="722"/>
  <c r="I644" i="722"/>
  <c r="H644" i="722"/>
  <c r="G644" i="722"/>
  <c r="N643" i="722"/>
  <c r="M643" i="722"/>
  <c r="K643" i="722"/>
  <c r="J643" i="722"/>
  <c r="I643" i="722"/>
  <c r="H643" i="722"/>
  <c r="G643" i="722"/>
  <c r="N642" i="722"/>
  <c r="M642" i="722"/>
  <c r="K642" i="722"/>
  <c r="J642" i="722"/>
  <c r="I642" i="722"/>
  <c r="H642" i="722"/>
  <c r="G642" i="722"/>
  <c r="N641" i="722"/>
  <c r="M641" i="722"/>
  <c r="K641" i="722"/>
  <c r="J641" i="722"/>
  <c r="I641" i="722"/>
  <c r="H641" i="722"/>
  <c r="G641" i="722"/>
  <c r="N640" i="722"/>
  <c r="M640" i="722"/>
  <c r="K640" i="722"/>
  <c r="J640" i="722"/>
  <c r="I640" i="722"/>
  <c r="H640" i="722"/>
  <c r="G640" i="722"/>
  <c r="N639" i="722"/>
  <c r="M639" i="722"/>
  <c r="K639" i="722"/>
  <c r="J639" i="722"/>
  <c r="I639" i="722"/>
  <c r="H639" i="722"/>
  <c r="G639" i="722"/>
  <c r="N638" i="722"/>
  <c r="M638" i="722"/>
  <c r="K638" i="722"/>
  <c r="J638" i="722"/>
  <c r="I638" i="722"/>
  <c r="H638" i="722"/>
  <c r="G638" i="722"/>
  <c r="N637" i="722"/>
  <c r="M637" i="722"/>
  <c r="K637" i="722"/>
  <c r="J637" i="722"/>
  <c r="I637" i="722"/>
  <c r="H637" i="722"/>
  <c r="G637" i="722"/>
  <c r="N636" i="722"/>
  <c r="M636" i="722"/>
  <c r="K636" i="722"/>
  <c r="J636" i="722"/>
  <c r="I636" i="722"/>
  <c r="H636" i="722"/>
  <c r="G636" i="722"/>
  <c r="N635" i="722"/>
  <c r="M635" i="722"/>
  <c r="K635" i="722"/>
  <c r="J635" i="722"/>
  <c r="I635" i="722"/>
  <c r="H635" i="722"/>
  <c r="G635" i="722"/>
  <c r="N634" i="722"/>
  <c r="M634" i="722"/>
  <c r="K634" i="722"/>
  <c r="J634" i="722"/>
  <c r="I634" i="722"/>
  <c r="H634" i="722"/>
  <c r="G634" i="722"/>
  <c r="N633" i="722"/>
  <c r="M633" i="722"/>
  <c r="K633" i="722"/>
  <c r="J633" i="722"/>
  <c r="I633" i="722"/>
  <c r="H633" i="722"/>
  <c r="G633" i="722"/>
  <c r="N632" i="722"/>
  <c r="M632" i="722"/>
  <c r="K632" i="722"/>
  <c r="J632" i="722"/>
  <c r="I632" i="722"/>
  <c r="H632" i="722"/>
  <c r="G632" i="722"/>
  <c r="N631" i="722"/>
  <c r="M631" i="722"/>
  <c r="K631" i="722"/>
  <c r="J631" i="722"/>
  <c r="I631" i="722"/>
  <c r="H631" i="722"/>
  <c r="G631" i="722"/>
  <c r="N630" i="722"/>
  <c r="M630" i="722"/>
  <c r="K630" i="722"/>
  <c r="J630" i="722"/>
  <c r="I630" i="722"/>
  <c r="H630" i="722"/>
  <c r="G630" i="722"/>
  <c r="N629" i="722"/>
  <c r="M629" i="722"/>
  <c r="K629" i="722"/>
  <c r="J629" i="722"/>
  <c r="I629" i="722"/>
  <c r="H629" i="722"/>
  <c r="G629" i="722"/>
  <c r="N628" i="722"/>
  <c r="M628" i="722"/>
  <c r="K628" i="722"/>
  <c r="J628" i="722"/>
  <c r="I628" i="722"/>
  <c r="H628" i="722"/>
  <c r="G628" i="722"/>
  <c r="N627" i="722"/>
  <c r="M627" i="722"/>
  <c r="K627" i="722"/>
  <c r="J627" i="722"/>
  <c r="I627" i="722"/>
  <c r="H627" i="722"/>
  <c r="G627" i="722"/>
  <c r="N626" i="722"/>
  <c r="M626" i="722"/>
  <c r="K626" i="722"/>
  <c r="J626" i="722"/>
  <c r="I626" i="722"/>
  <c r="H626" i="722"/>
  <c r="G626" i="722"/>
  <c r="N625" i="722"/>
  <c r="M625" i="722"/>
  <c r="K625" i="722"/>
  <c r="J625" i="722"/>
  <c r="I625" i="722"/>
  <c r="H625" i="722"/>
  <c r="G625" i="722"/>
  <c r="N624" i="722"/>
  <c r="M624" i="722"/>
  <c r="K624" i="722"/>
  <c r="J624" i="722"/>
  <c r="I624" i="722"/>
  <c r="H624" i="722"/>
  <c r="G624" i="722"/>
  <c r="N623" i="722"/>
  <c r="M623" i="722"/>
  <c r="K623" i="722"/>
  <c r="J623" i="722"/>
  <c r="I623" i="722"/>
  <c r="H623" i="722"/>
  <c r="G623" i="722"/>
  <c r="N622" i="722"/>
  <c r="M622" i="722"/>
  <c r="K622" i="722"/>
  <c r="J622" i="722"/>
  <c r="I622" i="722"/>
  <c r="H622" i="722"/>
  <c r="G622" i="722"/>
  <c r="N621" i="722"/>
  <c r="M621" i="722"/>
  <c r="K621" i="722"/>
  <c r="J621" i="722"/>
  <c r="I621" i="722"/>
  <c r="H621" i="722"/>
  <c r="G621" i="722"/>
  <c r="N620" i="722"/>
  <c r="M620" i="722"/>
  <c r="K620" i="722"/>
  <c r="J620" i="722"/>
  <c r="I620" i="722"/>
  <c r="H620" i="722"/>
  <c r="G620" i="722"/>
  <c r="N619" i="722"/>
  <c r="M619" i="722"/>
  <c r="K619" i="722"/>
  <c r="J619" i="722"/>
  <c r="I619" i="722"/>
  <c r="H619" i="722"/>
  <c r="G619" i="722"/>
  <c r="N618" i="722"/>
  <c r="M618" i="722"/>
  <c r="K618" i="722"/>
  <c r="J618" i="722"/>
  <c r="I618" i="722"/>
  <c r="H618" i="722"/>
  <c r="G618" i="722"/>
  <c r="N617" i="722"/>
  <c r="M617" i="722"/>
  <c r="K617" i="722"/>
  <c r="J617" i="722"/>
  <c r="I617" i="722"/>
  <c r="H617" i="722"/>
  <c r="G617" i="722"/>
  <c r="N616" i="722"/>
  <c r="M616" i="722"/>
  <c r="K616" i="722"/>
  <c r="J616" i="722"/>
  <c r="I616" i="722"/>
  <c r="H616" i="722"/>
  <c r="G616" i="722"/>
  <c r="N615" i="722"/>
  <c r="M615" i="722"/>
  <c r="K615" i="722"/>
  <c r="J615" i="722"/>
  <c r="I615" i="722"/>
  <c r="H615" i="722"/>
  <c r="G615" i="722"/>
  <c r="N614" i="722"/>
  <c r="M614" i="722"/>
  <c r="K614" i="722"/>
  <c r="J614" i="722"/>
  <c r="I614" i="722"/>
  <c r="H614" i="722"/>
  <c r="G614" i="722"/>
  <c r="N613" i="722"/>
  <c r="M613" i="722"/>
  <c r="K613" i="722"/>
  <c r="J613" i="722"/>
  <c r="I613" i="722"/>
  <c r="H613" i="722"/>
  <c r="G613" i="722"/>
  <c r="N612" i="722"/>
  <c r="M612" i="722"/>
  <c r="K612" i="722"/>
  <c r="J612" i="722"/>
  <c r="I612" i="722"/>
  <c r="H612" i="722"/>
  <c r="G612" i="722"/>
  <c r="N611" i="722"/>
  <c r="M611" i="722"/>
  <c r="K611" i="722"/>
  <c r="J611" i="722"/>
  <c r="I611" i="722"/>
  <c r="H611" i="722"/>
  <c r="G611" i="722"/>
  <c r="N610" i="722"/>
  <c r="M610" i="722"/>
  <c r="K610" i="722"/>
  <c r="J610" i="722"/>
  <c r="I610" i="722"/>
  <c r="H610" i="722"/>
  <c r="G610" i="722"/>
  <c r="N609" i="722"/>
  <c r="M609" i="722"/>
  <c r="K609" i="722"/>
  <c r="J609" i="722"/>
  <c r="I609" i="722"/>
  <c r="H609" i="722"/>
  <c r="G609" i="722"/>
  <c r="N608" i="722"/>
  <c r="M608" i="722"/>
  <c r="K608" i="722"/>
  <c r="J608" i="722"/>
  <c r="I608" i="722"/>
  <c r="H608" i="722"/>
  <c r="G608" i="722"/>
  <c r="N607" i="722"/>
  <c r="M607" i="722"/>
  <c r="K607" i="722"/>
  <c r="J607" i="722"/>
  <c r="I607" i="722"/>
  <c r="H607" i="722"/>
  <c r="G607" i="722"/>
  <c r="N606" i="722"/>
  <c r="M606" i="722"/>
  <c r="K606" i="722"/>
  <c r="J606" i="722"/>
  <c r="I606" i="722"/>
  <c r="H606" i="722"/>
  <c r="G606" i="722"/>
  <c r="N605" i="722"/>
  <c r="M605" i="722"/>
  <c r="K605" i="722"/>
  <c r="J605" i="722"/>
  <c r="I605" i="722"/>
  <c r="H605" i="722"/>
  <c r="G605" i="722"/>
  <c r="N604" i="722"/>
  <c r="M604" i="722"/>
  <c r="K604" i="722"/>
  <c r="J604" i="722"/>
  <c r="I604" i="722"/>
  <c r="H604" i="722"/>
  <c r="G604" i="722"/>
  <c r="N603" i="722"/>
  <c r="M603" i="722"/>
  <c r="K603" i="722"/>
  <c r="J603" i="722"/>
  <c r="I603" i="722"/>
  <c r="H603" i="722"/>
  <c r="G603" i="722"/>
  <c r="N602" i="722"/>
  <c r="M602" i="722"/>
  <c r="K602" i="722"/>
  <c r="J602" i="722"/>
  <c r="I602" i="722"/>
  <c r="H602" i="722"/>
  <c r="G602" i="722"/>
  <c r="N601" i="722"/>
  <c r="M601" i="722"/>
  <c r="K601" i="722"/>
  <c r="J601" i="722"/>
  <c r="I601" i="722"/>
  <c r="H601" i="722"/>
  <c r="G601" i="722"/>
  <c r="N600" i="722"/>
  <c r="M600" i="722"/>
  <c r="K600" i="722"/>
  <c r="J600" i="722"/>
  <c r="I600" i="722"/>
  <c r="H600" i="722"/>
  <c r="G600" i="722"/>
  <c r="N599" i="722"/>
  <c r="M599" i="722"/>
  <c r="K599" i="722"/>
  <c r="J599" i="722"/>
  <c r="I599" i="722"/>
  <c r="H599" i="722"/>
  <c r="G599" i="722"/>
  <c r="N598" i="722"/>
  <c r="M598" i="722"/>
  <c r="K598" i="722"/>
  <c r="J598" i="722"/>
  <c r="I598" i="722"/>
  <c r="H598" i="722"/>
  <c r="G598" i="722"/>
  <c r="N597" i="722"/>
  <c r="M597" i="722"/>
  <c r="K597" i="722"/>
  <c r="J597" i="722"/>
  <c r="I597" i="722"/>
  <c r="H597" i="722"/>
  <c r="G597" i="722"/>
  <c r="N596" i="722"/>
  <c r="M596" i="722"/>
  <c r="K596" i="722"/>
  <c r="J596" i="722"/>
  <c r="I596" i="722"/>
  <c r="H596" i="722"/>
  <c r="G596" i="722"/>
  <c r="N595" i="722"/>
  <c r="M595" i="722"/>
  <c r="K595" i="722"/>
  <c r="J595" i="722"/>
  <c r="I595" i="722"/>
  <c r="H595" i="722"/>
  <c r="G595" i="722"/>
  <c r="N594" i="722"/>
  <c r="M594" i="722"/>
  <c r="K594" i="722"/>
  <c r="J594" i="722"/>
  <c r="I594" i="722"/>
  <c r="H594" i="722"/>
  <c r="G594" i="722"/>
  <c r="N593" i="722"/>
  <c r="M593" i="722"/>
  <c r="K593" i="722"/>
  <c r="J593" i="722"/>
  <c r="I593" i="722"/>
  <c r="H593" i="722"/>
  <c r="G593" i="722"/>
  <c r="N592" i="722"/>
  <c r="M592" i="722"/>
  <c r="K592" i="722"/>
  <c r="J592" i="722"/>
  <c r="I592" i="722"/>
  <c r="H592" i="722"/>
  <c r="G592" i="722"/>
  <c r="N591" i="722"/>
  <c r="M591" i="722"/>
  <c r="K591" i="722"/>
  <c r="J591" i="722"/>
  <c r="I591" i="722"/>
  <c r="H591" i="722"/>
  <c r="G591" i="722"/>
  <c r="N590" i="722"/>
  <c r="M590" i="722"/>
  <c r="K590" i="722"/>
  <c r="J590" i="722"/>
  <c r="I590" i="722"/>
  <c r="H590" i="722"/>
  <c r="G590" i="722"/>
  <c r="N589" i="722"/>
  <c r="M589" i="722"/>
  <c r="K589" i="722"/>
  <c r="J589" i="722"/>
  <c r="I589" i="722"/>
  <c r="H589" i="722"/>
  <c r="G589" i="722"/>
  <c r="N588" i="722"/>
  <c r="M588" i="722"/>
  <c r="K588" i="722"/>
  <c r="J588" i="722"/>
  <c r="I588" i="722"/>
  <c r="H588" i="722"/>
  <c r="G588" i="722"/>
  <c r="N587" i="722"/>
  <c r="M587" i="722"/>
  <c r="K587" i="722"/>
  <c r="J587" i="722"/>
  <c r="I587" i="722"/>
  <c r="H587" i="722"/>
  <c r="G587" i="722"/>
  <c r="N586" i="722"/>
  <c r="M586" i="722"/>
  <c r="K586" i="722"/>
  <c r="J586" i="722"/>
  <c r="I586" i="722"/>
  <c r="H586" i="722"/>
  <c r="G586" i="722"/>
  <c r="N585" i="722"/>
  <c r="M585" i="722"/>
  <c r="K585" i="722"/>
  <c r="J585" i="722"/>
  <c r="I585" i="722"/>
  <c r="H585" i="722"/>
  <c r="G585" i="722"/>
  <c r="N584" i="722"/>
  <c r="M584" i="722"/>
  <c r="K584" i="722"/>
  <c r="J584" i="722"/>
  <c r="I584" i="722"/>
  <c r="H584" i="722"/>
  <c r="G584" i="722"/>
  <c r="N583" i="722"/>
  <c r="M583" i="722"/>
  <c r="K583" i="722"/>
  <c r="J583" i="722"/>
  <c r="I583" i="722"/>
  <c r="H583" i="722"/>
  <c r="G583" i="722"/>
  <c r="N582" i="722"/>
  <c r="M582" i="722"/>
  <c r="K582" i="722"/>
  <c r="J582" i="722"/>
  <c r="I582" i="722"/>
  <c r="H582" i="722"/>
  <c r="G582" i="722"/>
  <c r="N581" i="722"/>
  <c r="M581" i="722"/>
  <c r="K581" i="722"/>
  <c r="J581" i="722"/>
  <c r="I581" i="722"/>
  <c r="H581" i="722"/>
  <c r="G581" i="722"/>
  <c r="N580" i="722"/>
  <c r="M580" i="722"/>
  <c r="K580" i="722"/>
  <c r="J580" i="722"/>
  <c r="I580" i="722"/>
  <c r="H580" i="722"/>
  <c r="G580" i="722"/>
  <c r="N579" i="722"/>
  <c r="M579" i="722"/>
  <c r="K579" i="722"/>
  <c r="J579" i="722"/>
  <c r="I579" i="722"/>
  <c r="H579" i="722"/>
  <c r="G579" i="722"/>
  <c r="N578" i="722"/>
  <c r="M578" i="722"/>
  <c r="K578" i="722"/>
  <c r="J578" i="722"/>
  <c r="I578" i="722"/>
  <c r="H578" i="722"/>
  <c r="G578" i="722"/>
  <c r="N577" i="722"/>
  <c r="M577" i="722"/>
  <c r="K577" i="722"/>
  <c r="J577" i="722"/>
  <c r="I577" i="722"/>
  <c r="H577" i="722"/>
  <c r="G577" i="722"/>
  <c r="N576" i="722"/>
  <c r="M576" i="722"/>
  <c r="K576" i="722"/>
  <c r="J576" i="722"/>
  <c r="I576" i="722"/>
  <c r="H576" i="722"/>
  <c r="G576" i="722"/>
  <c r="N575" i="722"/>
  <c r="M575" i="722"/>
  <c r="K575" i="722"/>
  <c r="J575" i="722"/>
  <c r="I575" i="722"/>
  <c r="H575" i="722"/>
  <c r="G575" i="722"/>
  <c r="N574" i="722"/>
  <c r="M574" i="722"/>
  <c r="K574" i="722"/>
  <c r="J574" i="722"/>
  <c r="I574" i="722"/>
  <c r="H574" i="722"/>
  <c r="G574" i="722"/>
  <c r="N573" i="722"/>
  <c r="M573" i="722"/>
  <c r="K573" i="722"/>
  <c r="J573" i="722"/>
  <c r="I573" i="722"/>
  <c r="H573" i="722"/>
  <c r="G573" i="722"/>
  <c r="N572" i="722"/>
  <c r="M572" i="722"/>
  <c r="K572" i="722"/>
  <c r="J572" i="722"/>
  <c r="I572" i="722"/>
  <c r="H572" i="722"/>
  <c r="G572" i="722"/>
  <c r="N571" i="722"/>
  <c r="M571" i="722"/>
  <c r="K571" i="722"/>
  <c r="J571" i="722"/>
  <c r="I571" i="722"/>
  <c r="H571" i="722"/>
  <c r="G571" i="722"/>
  <c r="N570" i="722"/>
  <c r="M570" i="722"/>
  <c r="K570" i="722"/>
  <c r="J570" i="722"/>
  <c r="I570" i="722"/>
  <c r="H570" i="722"/>
  <c r="G570" i="722"/>
  <c r="N569" i="722"/>
  <c r="M569" i="722"/>
  <c r="K569" i="722"/>
  <c r="J569" i="722"/>
  <c r="I569" i="722"/>
  <c r="H569" i="722"/>
  <c r="G569" i="722"/>
  <c r="N568" i="722"/>
  <c r="M568" i="722"/>
  <c r="K568" i="722"/>
  <c r="J568" i="722"/>
  <c r="I568" i="722"/>
  <c r="H568" i="722"/>
  <c r="G568" i="722"/>
  <c r="N567" i="722"/>
  <c r="M567" i="722"/>
  <c r="K567" i="722"/>
  <c r="J567" i="722"/>
  <c r="I567" i="722"/>
  <c r="H567" i="722"/>
  <c r="G567" i="722"/>
  <c r="N566" i="722"/>
  <c r="M566" i="722"/>
  <c r="K566" i="722"/>
  <c r="J566" i="722"/>
  <c r="I566" i="722"/>
  <c r="H566" i="722"/>
  <c r="G566" i="722"/>
  <c r="N565" i="722"/>
  <c r="M565" i="722"/>
  <c r="K565" i="722"/>
  <c r="J565" i="722"/>
  <c r="I565" i="722"/>
  <c r="H565" i="722"/>
  <c r="G565" i="722"/>
  <c r="N564" i="722"/>
  <c r="M564" i="722"/>
  <c r="K564" i="722"/>
  <c r="J564" i="722"/>
  <c r="I564" i="722"/>
  <c r="H564" i="722"/>
  <c r="G564" i="722"/>
  <c r="N563" i="722"/>
  <c r="M563" i="722"/>
  <c r="K563" i="722"/>
  <c r="J563" i="722"/>
  <c r="I563" i="722"/>
  <c r="H563" i="722"/>
  <c r="G563" i="722"/>
  <c r="N562" i="722"/>
  <c r="M562" i="722"/>
  <c r="K562" i="722"/>
  <c r="J562" i="722"/>
  <c r="I562" i="722"/>
  <c r="H562" i="722"/>
  <c r="G562" i="722"/>
  <c r="N561" i="722"/>
  <c r="M561" i="722"/>
  <c r="K561" i="722"/>
  <c r="J561" i="722"/>
  <c r="I561" i="722"/>
  <c r="H561" i="722"/>
  <c r="G561" i="722"/>
  <c r="N560" i="722"/>
  <c r="M560" i="722"/>
  <c r="K560" i="722"/>
  <c r="J560" i="722"/>
  <c r="I560" i="722"/>
  <c r="H560" i="722"/>
  <c r="G560" i="722"/>
  <c r="N559" i="722"/>
  <c r="M559" i="722"/>
  <c r="K559" i="722"/>
  <c r="J559" i="722"/>
  <c r="I559" i="722"/>
  <c r="H559" i="722"/>
  <c r="G559" i="722"/>
  <c r="N558" i="722"/>
  <c r="M558" i="722"/>
  <c r="K558" i="722"/>
  <c r="J558" i="722"/>
  <c r="I558" i="722"/>
  <c r="H558" i="722"/>
  <c r="G558" i="722"/>
  <c r="N557" i="722"/>
  <c r="M557" i="722"/>
  <c r="K557" i="722"/>
  <c r="J557" i="722"/>
  <c r="I557" i="722"/>
  <c r="H557" i="722"/>
  <c r="G557" i="722"/>
  <c r="N556" i="722"/>
  <c r="M556" i="722"/>
  <c r="K556" i="722"/>
  <c r="J556" i="722"/>
  <c r="I556" i="722"/>
  <c r="H556" i="722"/>
  <c r="G556" i="722"/>
  <c r="N555" i="722"/>
  <c r="M555" i="722"/>
  <c r="K555" i="722"/>
  <c r="J555" i="722"/>
  <c r="I555" i="722"/>
  <c r="H555" i="722"/>
  <c r="G555" i="722"/>
  <c r="N554" i="722"/>
  <c r="M554" i="722"/>
  <c r="K554" i="722"/>
  <c r="J554" i="722"/>
  <c r="I554" i="722"/>
  <c r="H554" i="722"/>
  <c r="G554" i="722"/>
  <c r="N553" i="722"/>
  <c r="M553" i="722"/>
  <c r="K553" i="722"/>
  <c r="J553" i="722"/>
  <c r="I553" i="722"/>
  <c r="H553" i="722"/>
  <c r="G553" i="722"/>
  <c r="N552" i="722"/>
  <c r="M552" i="722"/>
  <c r="K552" i="722"/>
  <c r="J552" i="722"/>
  <c r="I552" i="722"/>
  <c r="H552" i="722"/>
  <c r="G552" i="722"/>
  <c r="N551" i="722"/>
  <c r="M551" i="722"/>
  <c r="K551" i="722"/>
  <c r="J551" i="722"/>
  <c r="I551" i="722"/>
  <c r="H551" i="722"/>
  <c r="G551" i="722"/>
  <c r="N550" i="722"/>
  <c r="M550" i="722"/>
  <c r="K550" i="722"/>
  <c r="J550" i="722"/>
  <c r="I550" i="722"/>
  <c r="H550" i="722"/>
  <c r="G550" i="722"/>
  <c r="N549" i="722"/>
  <c r="M549" i="722"/>
  <c r="K549" i="722"/>
  <c r="J549" i="722"/>
  <c r="I549" i="722"/>
  <c r="H549" i="722"/>
  <c r="G549" i="722"/>
  <c r="N548" i="722"/>
  <c r="M548" i="722"/>
  <c r="K548" i="722"/>
  <c r="J548" i="722"/>
  <c r="I548" i="722"/>
  <c r="H548" i="722"/>
  <c r="G548" i="722"/>
  <c r="N547" i="722"/>
  <c r="M547" i="722"/>
  <c r="K547" i="722"/>
  <c r="J547" i="722"/>
  <c r="I547" i="722"/>
  <c r="H547" i="722"/>
  <c r="G547" i="722"/>
  <c r="N546" i="722"/>
  <c r="M546" i="722"/>
  <c r="K546" i="722"/>
  <c r="J546" i="722"/>
  <c r="I546" i="722"/>
  <c r="H546" i="722"/>
  <c r="G546" i="722"/>
  <c r="N545" i="722"/>
  <c r="M545" i="722"/>
  <c r="K545" i="722"/>
  <c r="J545" i="722"/>
  <c r="I545" i="722"/>
  <c r="H545" i="722"/>
  <c r="G545" i="722"/>
  <c r="N544" i="722"/>
  <c r="M544" i="722"/>
  <c r="K544" i="722"/>
  <c r="J544" i="722"/>
  <c r="I544" i="722"/>
  <c r="H544" i="722"/>
  <c r="G544" i="722"/>
  <c r="N543" i="722"/>
  <c r="M543" i="722"/>
  <c r="K543" i="722"/>
  <c r="J543" i="722"/>
  <c r="I543" i="722"/>
  <c r="H543" i="722"/>
  <c r="G543" i="722"/>
  <c r="N542" i="722"/>
  <c r="M542" i="722"/>
  <c r="K542" i="722"/>
  <c r="J542" i="722"/>
  <c r="I542" i="722"/>
  <c r="H542" i="722"/>
  <c r="G542" i="722"/>
  <c r="N541" i="722"/>
  <c r="M541" i="722"/>
  <c r="K541" i="722"/>
  <c r="J541" i="722"/>
  <c r="I541" i="722"/>
  <c r="H541" i="722"/>
  <c r="G541" i="722"/>
  <c r="N540" i="722"/>
  <c r="M540" i="722"/>
  <c r="K540" i="722"/>
  <c r="J540" i="722"/>
  <c r="I540" i="722"/>
  <c r="H540" i="722"/>
  <c r="G540" i="722"/>
  <c r="N539" i="722"/>
  <c r="M539" i="722"/>
  <c r="K539" i="722"/>
  <c r="J539" i="722"/>
  <c r="I539" i="722"/>
  <c r="H539" i="722"/>
  <c r="G539" i="722"/>
  <c r="N538" i="722"/>
  <c r="M538" i="722"/>
  <c r="K538" i="722"/>
  <c r="J538" i="722"/>
  <c r="I538" i="722"/>
  <c r="H538" i="722"/>
  <c r="G538" i="722"/>
  <c r="N537" i="722"/>
  <c r="M537" i="722"/>
  <c r="K537" i="722"/>
  <c r="J537" i="722"/>
  <c r="I537" i="722"/>
  <c r="H537" i="722"/>
  <c r="G537" i="722"/>
  <c r="N536" i="722"/>
  <c r="M536" i="722"/>
  <c r="K536" i="722"/>
  <c r="J536" i="722"/>
  <c r="I536" i="722"/>
  <c r="H536" i="722"/>
  <c r="G536" i="722"/>
  <c r="N535" i="722"/>
  <c r="M535" i="722"/>
  <c r="K535" i="722"/>
  <c r="J535" i="722"/>
  <c r="I535" i="722"/>
  <c r="H535" i="722"/>
  <c r="G535" i="722"/>
  <c r="N534" i="722"/>
  <c r="M534" i="722"/>
  <c r="K534" i="722"/>
  <c r="J534" i="722"/>
  <c r="I534" i="722"/>
  <c r="H534" i="722"/>
  <c r="G534" i="722"/>
  <c r="N533" i="722"/>
  <c r="M533" i="722"/>
  <c r="K533" i="722"/>
  <c r="J533" i="722"/>
  <c r="I533" i="722"/>
  <c r="H533" i="722"/>
  <c r="G533" i="722"/>
  <c r="N532" i="722"/>
  <c r="M532" i="722"/>
  <c r="K532" i="722"/>
  <c r="J532" i="722"/>
  <c r="I532" i="722"/>
  <c r="H532" i="722"/>
  <c r="G532" i="722"/>
  <c r="N531" i="722"/>
  <c r="M531" i="722"/>
  <c r="K531" i="722"/>
  <c r="J531" i="722"/>
  <c r="I531" i="722"/>
  <c r="H531" i="722"/>
  <c r="G531" i="722"/>
  <c r="N530" i="722"/>
  <c r="M530" i="722"/>
  <c r="K530" i="722"/>
  <c r="J530" i="722"/>
  <c r="I530" i="722"/>
  <c r="H530" i="722"/>
  <c r="G530" i="722"/>
  <c r="N529" i="722"/>
  <c r="M529" i="722"/>
  <c r="K529" i="722"/>
  <c r="J529" i="722"/>
  <c r="I529" i="722"/>
  <c r="H529" i="722"/>
  <c r="G529" i="722"/>
  <c r="N528" i="722"/>
  <c r="M528" i="722"/>
  <c r="K528" i="722"/>
  <c r="J528" i="722"/>
  <c r="I528" i="722"/>
  <c r="H528" i="722"/>
  <c r="G528" i="722"/>
  <c r="N527" i="722"/>
  <c r="M527" i="722"/>
  <c r="K527" i="722"/>
  <c r="J527" i="722"/>
  <c r="I527" i="722"/>
  <c r="H527" i="722"/>
  <c r="G527" i="722"/>
  <c r="N526" i="722"/>
  <c r="M526" i="722"/>
  <c r="K526" i="722"/>
  <c r="J526" i="722"/>
  <c r="I526" i="722"/>
  <c r="H526" i="722"/>
  <c r="G526" i="722"/>
  <c r="N525" i="722"/>
  <c r="M525" i="722"/>
  <c r="K525" i="722"/>
  <c r="J525" i="722"/>
  <c r="I525" i="722"/>
  <c r="H525" i="722"/>
  <c r="G525" i="722"/>
  <c r="N524" i="722"/>
  <c r="M524" i="722"/>
  <c r="K524" i="722"/>
  <c r="J524" i="722"/>
  <c r="I524" i="722"/>
  <c r="H524" i="722"/>
  <c r="G524" i="722"/>
  <c r="N523" i="722"/>
  <c r="M523" i="722"/>
  <c r="K523" i="722"/>
  <c r="J523" i="722"/>
  <c r="I523" i="722"/>
  <c r="H523" i="722"/>
  <c r="G523" i="722"/>
  <c r="N522" i="722"/>
  <c r="M522" i="722"/>
  <c r="K522" i="722"/>
  <c r="J522" i="722"/>
  <c r="I522" i="722"/>
  <c r="H522" i="722"/>
  <c r="G522" i="722"/>
  <c r="N521" i="722"/>
  <c r="M521" i="722"/>
  <c r="K521" i="722"/>
  <c r="J521" i="722"/>
  <c r="I521" i="722"/>
  <c r="H521" i="722"/>
  <c r="G521" i="722"/>
  <c r="N520" i="722"/>
  <c r="M520" i="722"/>
  <c r="K520" i="722"/>
  <c r="J520" i="722"/>
  <c r="I520" i="722"/>
  <c r="H520" i="722"/>
  <c r="G520" i="722"/>
  <c r="N519" i="722"/>
  <c r="M519" i="722"/>
  <c r="K519" i="722"/>
  <c r="J519" i="722"/>
  <c r="I519" i="722"/>
  <c r="H519" i="722"/>
  <c r="G519" i="722"/>
  <c r="N518" i="722"/>
  <c r="M518" i="722"/>
  <c r="K518" i="722"/>
  <c r="J518" i="722"/>
  <c r="I518" i="722"/>
  <c r="H518" i="722"/>
  <c r="G518" i="722"/>
  <c r="N517" i="722"/>
  <c r="M517" i="722"/>
  <c r="K517" i="722"/>
  <c r="J517" i="722"/>
  <c r="I517" i="722"/>
  <c r="H517" i="722"/>
  <c r="G517" i="722"/>
  <c r="N516" i="722"/>
  <c r="M516" i="722"/>
  <c r="K516" i="722"/>
  <c r="J516" i="722"/>
  <c r="I516" i="722"/>
  <c r="H516" i="722"/>
  <c r="G516" i="722"/>
  <c r="N515" i="722"/>
  <c r="M515" i="722"/>
  <c r="K515" i="722"/>
  <c r="J515" i="722"/>
  <c r="I515" i="722"/>
  <c r="H515" i="722"/>
  <c r="G515" i="722"/>
  <c r="N514" i="722"/>
  <c r="M514" i="722"/>
  <c r="K514" i="722"/>
  <c r="J514" i="722"/>
  <c r="I514" i="722"/>
  <c r="H514" i="722"/>
  <c r="G514" i="722"/>
  <c r="N513" i="722"/>
  <c r="M513" i="722"/>
  <c r="K513" i="722"/>
  <c r="J513" i="722"/>
  <c r="I513" i="722"/>
  <c r="H513" i="722"/>
  <c r="G513" i="722"/>
  <c r="N512" i="722"/>
  <c r="M512" i="722"/>
  <c r="K512" i="722"/>
  <c r="J512" i="722"/>
  <c r="I512" i="722"/>
  <c r="H512" i="722"/>
  <c r="G512" i="722"/>
  <c r="N511" i="722"/>
  <c r="M511" i="722"/>
  <c r="K511" i="722"/>
  <c r="J511" i="722"/>
  <c r="I511" i="722"/>
  <c r="H511" i="722"/>
  <c r="G511" i="722"/>
  <c r="N510" i="722"/>
  <c r="M510" i="722"/>
  <c r="K510" i="722"/>
  <c r="J510" i="722"/>
  <c r="I510" i="722"/>
  <c r="H510" i="722"/>
  <c r="G510" i="722"/>
  <c r="N509" i="722"/>
  <c r="M509" i="722"/>
  <c r="K509" i="722"/>
  <c r="J509" i="722"/>
  <c r="I509" i="722"/>
  <c r="H509" i="722"/>
  <c r="G509" i="722"/>
  <c r="N508" i="722"/>
  <c r="M508" i="722"/>
  <c r="K508" i="722"/>
  <c r="J508" i="722"/>
  <c r="I508" i="722"/>
  <c r="H508" i="722"/>
  <c r="G508" i="722"/>
  <c r="N507" i="722"/>
  <c r="M507" i="722"/>
  <c r="K507" i="722"/>
  <c r="J507" i="722"/>
  <c r="I507" i="722"/>
  <c r="H507" i="722"/>
  <c r="G507" i="722"/>
  <c r="N506" i="722"/>
  <c r="M506" i="722"/>
  <c r="K506" i="722"/>
  <c r="J506" i="722"/>
  <c r="I506" i="722"/>
  <c r="H506" i="722"/>
  <c r="G506" i="722"/>
  <c r="N505" i="722"/>
  <c r="M505" i="722"/>
  <c r="K505" i="722"/>
  <c r="J505" i="722"/>
  <c r="I505" i="722"/>
  <c r="H505" i="722"/>
  <c r="G505" i="722"/>
  <c r="N504" i="722"/>
  <c r="M504" i="722"/>
  <c r="K504" i="722"/>
  <c r="J504" i="722"/>
  <c r="I504" i="722"/>
  <c r="H504" i="722"/>
  <c r="G504" i="722"/>
  <c r="N503" i="722"/>
  <c r="M503" i="722"/>
  <c r="K503" i="722"/>
  <c r="J503" i="722"/>
  <c r="I503" i="722"/>
  <c r="H503" i="722"/>
  <c r="G503" i="722"/>
  <c r="N502" i="722"/>
  <c r="M502" i="722"/>
  <c r="K502" i="722"/>
  <c r="J502" i="722"/>
  <c r="I502" i="722"/>
  <c r="H502" i="722"/>
  <c r="G502" i="722"/>
  <c r="N501" i="722"/>
  <c r="M501" i="722"/>
  <c r="K501" i="722"/>
  <c r="J501" i="722"/>
  <c r="I501" i="722"/>
  <c r="H501" i="722"/>
  <c r="G501" i="722"/>
  <c r="N500" i="722"/>
  <c r="M500" i="722"/>
  <c r="K500" i="722"/>
  <c r="J500" i="722"/>
  <c r="I500" i="722"/>
  <c r="H500" i="722"/>
  <c r="G500" i="722"/>
  <c r="N499" i="722"/>
  <c r="M499" i="722"/>
  <c r="K499" i="722"/>
  <c r="J499" i="722"/>
  <c r="I499" i="722"/>
  <c r="H499" i="722"/>
  <c r="G499" i="722"/>
  <c r="N498" i="722"/>
  <c r="M498" i="722"/>
  <c r="K498" i="722"/>
  <c r="J498" i="722"/>
  <c r="I498" i="722"/>
  <c r="H498" i="722"/>
  <c r="G498" i="722"/>
  <c r="N497" i="722"/>
  <c r="M497" i="722"/>
  <c r="K497" i="722"/>
  <c r="J497" i="722"/>
  <c r="I497" i="722"/>
  <c r="H497" i="722"/>
  <c r="G497" i="722"/>
  <c r="N496" i="722"/>
  <c r="M496" i="722"/>
  <c r="K496" i="722"/>
  <c r="J496" i="722"/>
  <c r="I496" i="722"/>
  <c r="H496" i="722"/>
  <c r="G496" i="722"/>
  <c r="N495" i="722"/>
  <c r="M495" i="722"/>
  <c r="K495" i="722"/>
  <c r="J495" i="722"/>
  <c r="I495" i="722"/>
  <c r="H495" i="722"/>
  <c r="G495" i="722"/>
  <c r="N494" i="722"/>
  <c r="M494" i="722"/>
  <c r="K494" i="722"/>
  <c r="J494" i="722"/>
  <c r="I494" i="722"/>
  <c r="H494" i="722"/>
  <c r="G494" i="722"/>
  <c r="N493" i="722"/>
  <c r="M493" i="722"/>
  <c r="K493" i="722"/>
  <c r="J493" i="722"/>
  <c r="I493" i="722"/>
  <c r="H493" i="722"/>
  <c r="G493" i="722"/>
  <c r="N492" i="722"/>
  <c r="M492" i="722"/>
  <c r="K492" i="722"/>
  <c r="J492" i="722"/>
  <c r="I492" i="722"/>
  <c r="H492" i="722"/>
  <c r="G492" i="722"/>
  <c r="N491" i="722"/>
  <c r="M491" i="722"/>
  <c r="K491" i="722"/>
  <c r="J491" i="722"/>
  <c r="I491" i="722"/>
  <c r="H491" i="722"/>
  <c r="G491" i="722"/>
  <c r="N490" i="722"/>
  <c r="M490" i="722"/>
  <c r="K490" i="722"/>
  <c r="J490" i="722"/>
  <c r="I490" i="722"/>
  <c r="H490" i="722"/>
  <c r="G490" i="722"/>
  <c r="N489" i="722"/>
  <c r="M489" i="722"/>
  <c r="K489" i="722"/>
  <c r="J489" i="722"/>
  <c r="I489" i="722"/>
  <c r="H489" i="722"/>
  <c r="G489" i="722"/>
  <c r="N488" i="722"/>
  <c r="M488" i="722"/>
  <c r="K488" i="722"/>
  <c r="J488" i="722"/>
  <c r="I488" i="722"/>
  <c r="H488" i="722"/>
  <c r="G488" i="722"/>
  <c r="N487" i="722"/>
  <c r="M487" i="722"/>
  <c r="K487" i="722"/>
  <c r="J487" i="722"/>
  <c r="I487" i="722"/>
  <c r="H487" i="722"/>
  <c r="G487" i="722"/>
  <c r="N486" i="722"/>
  <c r="M486" i="722"/>
  <c r="K486" i="722"/>
  <c r="J486" i="722"/>
  <c r="I486" i="722"/>
  <c r="H486" i="722"/>
  <c r="G486" i="722"/>
  <c r="N485" i="722"/>
  <c r="M485" i="722"/>
  <c r="K485" i="722"/>
  <c r="J485" i="722"/>
  <c r="I485" i="722"/>
  <c r="H485" i="722"/>
  <c r="G485" i="722"/>
  <c r="N484" i="722"/>
  <c r="M484" i="722"/>
  <c r="K484" i="722"/>
  <c r="J484" i="722"/>
  <c r="I484" i="722"/>
  <c r="H484" i="722"/>
  <c r="G484" i="722"/>
  <c r="N483" i="722"/>
  <c r="M483" i="722"/>
  <c r="K483" i="722"/>
  <c r="J483" i="722"/>
  <c r="I483" i="722"/>
  <c r="H483" i="722"/>
  <c r="G483" i="722"/>
  <c r="N482" i="722"/>
  <c r="M482" i="722"/>
  <c r="K482" i="722"/>
  <c r="J482" i="722"/>
  <c r="I482" i="722"/>
  <c r="H482" i="722"/>
  <c r="G482" i="722"/>
  <c r="N481" i="722"/>
  <c r="M481" i="722"/>
  <c r="K481" i="722"/>
  <c r="J481" i="722"/>
  <c r="I481" i="722"/>
  <c r="H481" i="722"/>
  <c r="G481" i="722"/>
  <c r="N480" i="722"/>
  <c r="M480" i="722"/>
  <c r="K480" i="722"/>
  <c r="J480" i="722"/>
  <c r="I480" i="722"/>
  <c r="H480" i="722"/>
  <c r="G480" i="722"/>
  <c r="N479" i="722"/>
  <c r="M479" i="722"/>
  <c r="K479" i="722"/>
  <c r="J479" i="722"/>
  <c r="I479" i="722"/>
  <c r="H479" i="722"/>
  <c r="G479" i="722"/>
  <c r="N478" i="722"/>
  <c r="M478" i="722"/>
  <c r="K478" i="722"/>
  <c r="J478" i="722"/>
  <c r="I478" i="722"/>
  <c r="H478" i="722"/>
  <c r="G478" i="722"/>
  <c r="N477" i="722"/>
  <c r="M477" i="722"/>
  <c r="K477" i="722"/>
  <c r="J477" i="722"/>
  <c r="I477" i="722"/>
  <c r="H477" i="722"/>
  <c r="G477" i="722"/>
  <c r="N476" i="722"/>
  <c r="M476" i="722"/>
  <c r="K476" i="722"/>
  <c r="J476" i="722"/>
  <c r="I476" i="722"/>
  <c r="H476" i="722"/>
  <c r="G476" i="722"/>
  <c r="N475" i="722"/>
  <c r="M475" i="722"/>
  <c r="K475" i="722"/>
  <c r="J475" i="722"/>
  <c r="I475" i="722"/>
  <c r="H475" i="722"/>
  <c r="G475" i="722"/>
  <c r="N474" i="722"/>
  <c r="M474" i="722"/>
  <c r="K474" i="722"/>
  <c r="J474" i="722"/>
  <c r="I474" i="722"/>
  <c r="H474" i="722"/>
  <c r="G474" i="722"/>
  <c r="N473" i="722"/>
  <c r="M473" i="722"/>
  <c r="K473" i="722"/>
  <c r="J473" i="722"/>
  <c r="I473" i="722"/>
  <c r="H473" i="722"/>
  <c r="G473" i="722"/>
  <c r="N472" i="722"/>
  <c r="M472" i="722"/>
  <c r="K472" i="722"/>
  <c r="J472" i="722"/>
  <c r="I472" i="722"/>
  <c r="H472" i="722"/>
  <c r="G472" i="722"/>
  <c r="N471" i="722"/>
  <c r="M471" i="722"/>
  <c r="K471" i="722"/>
  <c r="J471" i="722"/>
  <c r="I471" i="722"/>
  <c r="H471" i="722"/>
  <c r="G471" i="722"/>
  <c r="N470" i="722"/>
  <c r="M470" i="722"/>
  <c r="K470" i="722"/>
  <c r="J470" i="722"/>
  <c r="I470" i="722"/>
  <c r="H470" i="722"/>
  <c r="G470" i="722"/>
  <c r="N469" i="722"/>
  <c r="M469" i="722"/>
  <c r="K469" i="722"/>
  <c r="J469" i="722"/>
  <c r="I469" i="722"/>
  <c r="H469" i="722"/>
  <c r="G469" i="722"/>
  <c r="N468" i="722"/>
  <c r="M468" i="722"/>
  <c r="K468" i="722"/>
  <c r="J468" i="722"/>
  <c r="I468" i="722"/>
  <c r="H468" i="722"/>
  <c r="G468" i="722"/>
  <c r="N467" i="722"/>
  <c r="M467" i="722"/>
  <c r="K467" i="722"/>
  <c r="J467" i="722"/>
  <c r="I467" i="722"/>
  <c r="H467" i="722"/>
  <c r="G467" i="722"/>
  <c r="N466" i="722"/>
  <c r="M466" i="722"/>
  <c r="K466" i="722"/>
  <c r="J466" i="722"/>
  <c r="I466" i="722"/>
  <c r="H466" i="722"/>
  <c r="G466" i="722"/>
  <c r="N465" i="722"/>
  <c r="M465" i="722"/>
  <c r="K465" i="722"/>
  <c r="J465" i="722"/>
  <c r="I465" i="722"/>
  <c r="H465" i="722"/>
  <c r="G465" i="722"/>
  <c r="N464" i="722"/>
  <c r="M464" i="722"/>
  <c r="K464" i="722"/>
  <c r="J464" i="722"/>
  <c r="I464" i="722"/>
  <c r="H464" i="722"/>
  <c r="G464" i="722"/>
  <c r="N463" i="722"/>
  <c r="M463" i="722"/>
  <c r="K463" i="722"/>
  <c r="J463" i="722"/>
  <c r="I463" i="722"/>
  <c r="H463" i="722"/>
  <c r="G463" i="722"/>
  <c r="N462" i="722"/>
  <c r="M462" i="722"/>
  <c r="K462" i="722"/>
  <c r="J462" i="722"/>
  <c r="I462" i="722"/>
  <c r="H462" i="722"/>
  <c r="G462" i="722"/>
  <c r="N461" i="722"/>
  <c r="M461" i="722"/>
  <c r="K461" i="722"/>
  <c r="J461" i="722"/>
  <c r="I461" i="722"/>
  <c r="H461" i="722"/>
  <c r="G461" i="722"/>
  <c r="N460" i="722"/>
  <c r="M460" i="722"/>
  <c r="K460" i="722"/>
  <c r="J460" i="722"/>
  <c r="I460" i="722"/>
  <c r="H460" i="722"/>
  <c r="G460" i="722"/>
  <c r="N459" i="722"/>
  <c r="M459" i="722"/>
  <c r="K459" i="722"/>
  <c r="J459" i="722"/>
  <c r="I459" i="722"/>
  <c r="H459" i="722"/>
  <c r="G459" i="722"/>
  <c r="N458" i="722"/>
  <c r="M458" i="722"/>
  <c r="K458" i="722"/>
  <c r="J458" i="722"/>
  <c r="I458" i="722"/>
  <c r="H458" i="722"/>
  <c r="G458" i="722"/>
  <c r="N457" i="722"/>
  <c r="M457" i="722"/>
  <c r="K457" i="722"/>
  <c r="J457" i="722"/>
  <c r="I457" i="722"/>
  <c r="H457" i="722"/>
  <c r="G457" i="722"/>
  <c r="N456" i="722"/>
  <c r="M456" i="722"/>
  <c r="K456" i="722"/>
  <c r="J456" i="722"/>
  <c r="I456" i="722"/>
  <c r="H456" i="722"/>
  <c r="G456" i="722"/>
  <c r="N455" i="722"/>
  <c r="M455" i="722"/>
  <c r="K455" i="722"/>
  <c r="J455" i="722"/>
  <c r="I455" i="722"/>
  <c r="H455" i="722"/>
  <c r="G455" i="722"/>
  <c r="N454" i="722"/>
  <c r="M454" i="722"/>
  <c r="K454" i="722"/>
  <c r="J454" i="722"/>
  <c r="I454" i="722"/>
  <c r="H454" i="722"/>
  <c r="G454" i="722"/>
  <c r="N453" i="722"/>
  <c r="M453" i="722"/>
  <c r="K453" i="722"/>
  <c r="J453" i="722"/>
  <c r="I453" i="722"/>
  <c r="H453" i="722"/>
  <c r="G453" i="722"/>
  <c r="N452" i="722"/>
  <c r="M452" i="722"/>
  <c r="K452" i="722"/>
  <c r="J452" i="722"/>
  <c r="I452" i="722"/>
  <c r="H452" i="722"/>
  <c r="G452" i="722"/>
  <c r="N451" i="722"/>
  <c r="M451" i="722"/>
  <c r="K451" i="722"/>
  <c r="J451" i="722"/>
  <c r="I451" i="722"/>
  <c r="H451" i="722"/>
  <c r="G451" i="722"/>
  <c r="N450" i="722"/>
  <c r="M450" i="722"/>
  <c r="K450" i="722"/>
  <c r="J450" i="722"/>
  <c r="I450" i="722"/>
  <c r="H450" i="722"/>
  <c r="G450" i="722"/>
  <c r="N449" i="722"/>
  <c r="M449" i="722"/>
  <c r="K449" i="722"/>
  <c r="J449" i="722"/>
  <c r="I449" i="722"/>
  <c r="H449" i="722"/>
  <c r="G449" i="722"/>
  <c r="N448" i="722"/>
  <c r="M448" i="722"/>
  <c r="K448" i="722"/>
  <c r="J448" i="722"/>
  <c r="I448" i="722"/>
  <c r="H448" i="722"/>
  <c r="G448" i="722"/>
  <c r="N447" i="722"/>
  <c r="M447" i="722"/>
  <c r="K447" i="722"/>
  <c r="J447" i="722"/>
  <c r="I447" i="722"/>
  <c r="H447" i="722"/>
  <c r="G447" i="722"/>
  <c r="N446" i="722"/>
  <c r="M446" i="722"/>
  <c r="K446" i="722"/>
  <c r="J446" i="722"/>
  <c r="I446" i="722"/>
  <c r="H446" i="722"/>
  <c r="G446" i="722"/>
  <c r="N445" i="722"/>
  <c r="M445" i="722"/>
  <c r="K445" i="722"/>
  <c r="J445" i="722"/>
  <c r="I445" i="722"/>
  <c r="H445" i="722"/>
  <c r="G445" i="722"/>
  <c r="N444" i="722"/>
  <c r="M444" i="722"/>
  <c r="K444" i="722"/>
  <c r="J444" i="722"/>
  <c r="I444" i="722"/>
  <c r="H444" i="722"/>
  <c r="G444" i="722"/>
  <c r="N443" i="722"/>
  <c r="M443" i="722"/>
  <c r="K443" i="722"/>
  <c r="J443" i="722"/>
  <c r="I443" i="722"/>
  <c r="H443" i="722"/>
  <c r="G443" i="722"/>
  <c r="N442" i="722"/>
  <c r="M442" i="722"/>
  <c r="K442" i="722"/>
  <c r="J442" i="722"/>
  <c r="I442" i="722"/>
  <c r="H442" i="722"/>
  <c r="G442" i="722"/>
  <c r="N441" i="722"/>
  <c r="M441" i="722"/>
  <c r="K441" i="722"/>
  <c r="J441" i="722"/>
  <c r="I441" i="722"/>
  <c r="H441" i="722"/>
  <c r="G441" i="722"/>
  <c r="N440" i="722"/>
  <c r="M440" i="722"/>
  <c r="K440" i="722"/>
  <c r="J440" i="722"/>
  <c r="I440" i="722"/>
  <c r="H440" i="722"/>
  <c r="G440" i="722"/>
  <c r="N439" i="722"/>
  <c r="M439" i="722"/>
  <c r="K439" i="722"/>
  <c r="J439" i="722"/>
  <c r="I439" i="722"/>
  <c r="H439" i="722"/>
  <c r="G439" i="722"/>
  <c r="N438" i="722"/>
  <c r="M438" i="722"/>
  <c r="K438" i="722"/>
  <c r="J438" i="722"/>
  <c r="I438" i="722"/>
  <c r="H438" i="722"/>
  <c r="G438" i="722"/>
  <c r="N437" i="722"/>
  <c r="M437" i="722"/>
  <c r="K437" i="722"/>
  <c r="J437" i="722"/>
  <c r="I437" i="722"/>
  <c r="H437" i="722"/>
  <c r="G437" i="722"/>
  <c r="N436" i="722"/>
  <c r="M436" i="722"/>
  <c r="K436" i="722"/>
  <c r="J436" i="722"/>
  <c r="I436" i="722"/>
  <c r="H436" i="722"/>
  <c r="G436" i="722"/>
  <c r="N435" i="722"/>
  <c r="M435" i="722"/>
  <c r="K435" i="722"/>
  <c r="J435" i="722"/>
  <c r="I435" i="722"/>
  <c r="H435" i="722"/>
  <c r="G435" i="722"/>
  <c r="N434" i="722"/>
  <c r="M434" i="722"/>
  <c r="K434" i="722"/>
  <c r="J434" i="722"/>
  <c r="I434" i="722"/>
  <c r="H434" i="722"/>
  <c r="G434" i="722"/>
  <c r="N433" i="722"/>
  <c r="M433" i="722"/>
  <c r="K433" i="722"/>
  <c r="J433" i="722"/>
  <c r="I433" i="722"/>
  <c r="H433" i="722"/>
  <c r="G433" i="722"/>
  <c r="N432" i="722"/>
  <c r="M432" i="722"/>
  <c r="K432" i="722"/>
  <c r="J432" i="722"/>
  <c r="I432" i="722"/>
  <c r="H432" i="722"/>
  <c r="G432" i="722"/>
  <c r="N431" i="722"/>
  <c r="M431" i="722"/>
  <c r="K431" i="722"/>
  <c r="J431" i="722"/>
  <c r="I431" i="722"/>
  <c r="H431" i="722"/>
  <c r="G431" i="722"/>
  <c r="N430" i="722"/>
  <c r="M430" i="722"/>
  <c r="K430" i="722"/>
  <c r="J430" i="722"/>
  <c r="I430" i="722"/>
  <c r="H430" i="722"/>
  <c r="G430" i="722"/>
  <c r="N429" i="722"/>
  <c r="M429" i="722"/>
  <c r="K429" i="722"/>
  <c r="J429" i="722"/>
  <c r="I429" i="722"/>
  <c r="H429" i="722"/>
  <c r="G429" i="722"/>
  <c r="N428" i="722"/>
  <c r="M428" i="722"/>
  <c r="K428" i="722"/>
  <c r="J428" i="722"/>
  <c r="I428" i="722"/>
  <c r="H428" i="722"/>
  <c r="G428" i="722"/>
  <c r="N427" i="722"/>
  <c r="M427" i="722"/>
  <c r="K427" i="722"/>
  <c r="J427" i="722"/>
  <c r="I427" i="722"/>
  <c r="H427" i="722"/>
  <c r="G427" i="722"/>
  <c r="N426" i="722"/>
  <c r="M426" i="722"/>
  <c r="K426" i="722"/>
  <c r="J426" i="722"/>
  <c r="I426" i="722"/>
  <c r="H426" i="722"/>
  <c r="G426" i="722"/>
  <c r="N425" i="722"/>
  <c r="M425" i="722"/>
  <c r="K425" i="722"/>
  <c r="J425" i="722"/>
  <c r="I425" i="722"/>
  <c r="H425" i="722"/>
  <c r="G425" i="722"/>
  <c r="N424" i="722"/>
  <c r="M424" i="722"/>
  <c r="K424" i="722"/>
  <c r="J424" i="722"/>
  <c r="I424" i="722"/>
  <c r="H424" i="722"/>
  <c r="G424" i="722"/>
  <c r="N423" i="722"/>
  <c r="M423" i="722"/>
  <c r="K423" i="722"/>
  <c r="J423" i="722"/>
  <c r="I423" i="722"/>
  <c r="H423" i="722"/>
  <c r="G423" i="722"/>
  <c r="N422" i="722"/>
  <c r="M422" i="722"/>
  <c r="K422" i="722"/>
  <c r="J422" i="722"/>
  <c r="I422" i="722"/>
  <c r="H422" i="722"/>
  <c r="G422" i="722"/>
  <c r="N421" i="722"/>
  <c r="M421" i="722"/>
  <c r="K421" i="722"/>
  <c r="J421" i="722"/>
  <c r="I421" i="722"/>
  <c r="H421" i="722"/>
  <c r="G421" i="722"/>
  <c r="N420" i="722"/>
  <c r="M420" i="722"/>
  <c r="K420" i="722"/>
  <c r="J420" i="722"/>
  <c r="I420" i="722"/>
  <c r="H420" i="722"/>
  <c r="G420" i="722"/>
  <c r="N419" i="722"/>
  <c r="M419" i="722"/>
  <c r="K419" i="722"/>
  <c r="J419" i="722"/>
  <c r="I419" i="722"/>
  <c r="H419" i="722"/>
  <c r="G419" i="722"/>
  <c r="N418" i="722"/>
  <c r="M418" i="722"/>
  <c r="K418" i="722"/>
  <c r="J418" i="722"/>
  <c r="I418" i="722"/>
  <c r="H418" i="722"/>
  <c r="G418" i="722"/>
  <c r="N417" i="722"/>
  <c r="M417" i="722"/>
  <c r="K417" i="722"/>
  <c r="J417" i="722"/>
  <c r="I417" i="722"/>
  <c r="H417" i="722"/>
  <c r="G417" i="722"/>
  <c r="N416" i="722"/>
  <c r="M416" i="722"/>
  <c r="K416" i="722"/>
  <c r="J416" i="722"/>
  <c r="I416" i="722"/>
  <c r="H416" i="722"/>
  <c r="G416" i="722"/>
  <c r="N415" i="722"/>
  <c r="M415" i="722"/>
  <c r="K415" i="722"/>
  <c r="J415" i="722"/>
  <c r="I415" i="722"/>
  <c r="H415" i="722"/>
  <c r="G415" i="722"/>
  <c r="N414" i="722"/>
  <c r="M414" i="722"/>
  <c r="K414" i="722"/>
  <c r="J414" i="722"/>
  <c r="I414" i="722"/>
  <c r="H414" i="722"/>
  <c r="G414" i="722"/>
  <c r="N413" i="722"/>
  <c r="M413" i="722"/>
  <c r="K413" i="722"/>
  <c r="J413" i="722"/>
  <c r="I413" i="722"/>
  <c r="H413" i="722"/>
  <c r="G413" i="722"/>
  <c r="N412" i="722"/>
  <c r="M412" i="722"/>
  <c r="K412" i="722"/>
  <c r="J412" i="722"/>
  <c r="I412" i="722"/>
  <c r="H412" i="722"/>
  <c r="G412" i="722"/>
  <c r="N411" i="722"/>
  <c r="M411" i="722"/>
  <c r="K411" i="722"/>
  <c r="J411" i="722"/>
  <c r="I411" i="722"/>
  <c r="H411" i="722"/>
  <c r="G411" i="722"/>
  <c r="N410" i="722"/>
  <c r="M410" i="722"/>
  <c r="K410" i="722"/>
  <c r="J410" i="722"/>
  <c r="I410" i="722"/>
  <c r="H410" i="722"/>
  <c r="G410" i="722"/>
  <c r="N409" i="722"/>
  <c r="M409" i="722"/>
  <c r="K409" i="722"/>
  <c r="J409" i="722"/>
  <c r="I409" i="722"/>
  <c r="H409" i="722"/>
  <c r="G409" i="722"/>
  <c r="N408" i="722"/>
  <c r="M408" i="722"/>
  <c r="K408" i="722"/>
  <c r="J408" i="722"/>
  <c r="I408" i="722"/>
  <c r="H408" i="722"/>
  <c r="G408" i="722"/>
  <c r="N407" i="722"/>
  <c r="M407" i="722"/>
  <c r="K407" i="722"/>
  <c r="J407" i="722"/>
  <c r="I407" i="722"/>
  <c r="H407" i="722"/>
  <c r="G407" i="722"/>
  <c r="N406" i="722"/>
  <c r="M406" i="722"/>
  <c r="K406" i="722"/>
  <c r="J406" i="722"/>
  <c r="I406" i="722"/>
  <c r="H406" i="722"/>
  <c r="G406" i="722"/>
  <c r="N405" i="722"/>
  <c r="M405" i="722"/>
  <c r="K405" i="722"/>
  <c r="J405" i="722"/>
  <c r="I405" i="722"/>
  <c r="H405" i="722"/>
  <c r="G405" i="722"/>
  <c r="N404" i="722"/>
  <c r="M404" i="722"/>
  <c r="K404" i="722"/>
  <c r="J404" i="722"/>
  <c r="I404" i="722"/>
  <c r="H404" i="722"/>
  <c r="G404" i="722"/>
  <c r="N403" i="722"/>
  <c r="M403" i="722"/>
  <c r="K403" i="722"/>
  <c r="J403" i="722"/>
  <c r="I403" i="722"/>
  <c r="H403" i="722"/>
  <c r="G403" i="722"/>
  <c r="N402" i="722"/>
  <c r="M402" i="722"/>
  <c r="K402" i="722"/>
  <c r="J402" i="722"/>
  <c r="I402" i="722"/>
  <c r="H402" i="722"/>
  <c r="G402" i="722"/>
  <c r="N401" i="722"/>
  <c r="M401" i="722"/>
  <c r="K401" i="722"/>
  <c r="J401" i="722"/>
  <c r="I401" i="722"/>
  <c r="H401" i="722"/>
  <c r="G401" i="722"/>
  <c r="N400" i="722"/>
  <c r="M400" i="722"/>
  <c r="K400" i="722"/>
  <c r="J400" i="722"/>
  <c r="I400" i="722"/>
  <c r="H400" i="722"/>
  <c r="G400" i="722"/>
  <c r="N399" i="722"/>
  <c r="M399" i="722"/>
  <c r="K399" i="722"/>
  <c r="J399" i="722"/>
  <c r="I399" i="722"/>
  <c r="H399" i="722"/>
  <c r="G399" i="722"/>
  <c r="N398" i="722"/>
  <c r="M398" i="722"/>
  <c r="K398" i="722"/>
  <c r="J398" i="722"/>
  <c r="I398" i="722"/>
  <c r="H398" i="722"/>
  <c r="G398" i="722"/>
  <c r="N397" i="722"/>
  <c r="M397" i="722"/>
  <c r="K397" i="722"/>
  <c r="J397" i="722"/>
  <c r="I397" i="722"/>
  <c r="H397" i="722"/>
  <c r="G397" i="722"/>
  <c r="N396" i="722"/>
  <c r="M396" i="722"/>
  <c r="K396" i="722"/>
  <c r="J396" i="722"/>
  <c r="I396" i="722"/>
  <c r="H396" i="722"/>
  <c r="G396" i="722"/>
  <c r="N395" i="722"/>
  <c r="M395" i="722"/>
  <c r="K395" i="722"/>
  <c r="J395" i="722"/>
  <c r="I395" i="722"/>
  <c r="H395" i="722"/>
  <c r="G395" i="722"/>
  <c r="N394" i="722"/>
  <c r="M394" i="722"/>
  <c r="K394" i="722"/>
  <c r="J394" i="722"/>
  <c r="I394" i="722"/>
  <c r="H394" i="722"/>
  <c r="G394" i="722"/>
  <c r="N393" i="722"/>
  <c r="M393" i="722"/>
  <c r="K393" i="722"/>
  <c r="J393" i="722"/>
  <c r="I393" i="722"/>
  <c r="H393" i="722"/>
  <c r="G393" i="722"/>
  <c r="N392" i="722"/>
  <c r="M392" i="722"/>
  <c r="K392" i="722"/>
  <c r="J392" i="722"/>
  <c r="I392" i="722"/>
  <c r="H392" i="722"/>
  <c r="G392" i="722"/>
  <c r="N391" i="722"/>
  <c r="M391" i="722"/>
  <c r="K391" i="722"/>
  <c r="J391" i="722"/>
  <c r="I391" i="722"/>
  <c r="H391" i="722"/>
  <c r="G391" i="722"/>
  <c r="N390" i="722"/>
  <c r="M390" i="722"/>
  <c r="K390" i="722"/>
  <c r="J390" i="722"/>
  <c r="I390" i="722"/>
  <c r="H390" i="722"/>
  <c r="G390" i="722"/>
  <c r="N389" i="722"/>
  <c r="M389" i="722"/>
  <c r="K389" i="722"/>
  <c r="J389" i="722"/>
  <c r="I389" i="722"/>
  <c r="H389" i="722"/>
  <c r="G389" i="722"/>
  <c r="N388" i="722"/>
  <c r="M388" i="722"/>
  <c r="K388" i="722"/>
  <c r="J388" i="722"/>
  <c r="I388" i="722"/>
  <c r="H388" i="722"/>
  <c r="G388" i="722"/>
  <c r="N387" i="722"/>
  <c r="M387" i="722"/>
  <c r="K387" i="722"/>
  <c r="J387" i="722"/>
  <c r="I387" i="722"/>
  <c r="H387" i="722"/>
  <c r="G387" i="722"/>
  <c r="N386" i="722"/>
  <c r="M386" i="722"/>
  <c r="K386" i="722"/>
  <c r="J386" i="722"/>
  <c r="I386" i="722"/>
  <c r="H386" i="722"/>
  <c r="G386" i="722"/>
  <c r="N385" i="722"/>
  <c r="M385" i="722"/>
  <c r="K385" i="722"/>
  <c r="J385" i="722"/>
  <c r="I385" i="722"/>
  <c r="H385" i="722"/>
  <c r="G385" i="722"/>
  <c r="N384" i="722"/>
  <c r="M384" i="722"/>
  <c r="K384" i="722"/>
  <c r="J384" i="722"/>
  <c r="I384" i="722"/>
  <c r="H384" i="722"/>
  <c r="G384" i="722"/>
  <c r="N383" i="722"/>
  <c r="M383" i="722"/>
  <c r="K383" i="722"/>
  <c r="J383" i="722"/>
  <c r="I383" i="722"/>
  <c r="H383" i="722"/>
  <c r="G383" i="722"/>
  <c r="N382" i="722"/>
  <c r="M382" i="722"/>
  <c r="K382" i="722"/>
  <c r="J382" i="722"/>
  <c r="I382" i="722"/>
  <c r="H382" i="722"/>
  <c r="G382" i="722"/>
  <c r="N381" i="722"/>
  <c r="M381" i="722"/>
  <c r="K381" i="722"/>
  <c r="J381" i="722"/>
  <c r="I381" i="722"/>
  <c r="H381" i="722"/>
  <c r="G381" i="722"/>
  <c r="N380" i="722"/>
  <c r="M380" i="722"/>
  <c r="K380" i="722"/>
  <c r="J380" i="722"/>
  <c r="I380" i="722"/>
  <c r="H380" i="722"/>
  <c r="G380" i="722"/>
  <c r="N379" i="722"/>
  <c r="M379" i="722"/>
  <c r="K379" i="722"/>
  <c r="J379" i="722"/>
  <c r="I379" i="722"/>
  <c r="H379" i="722"/>
  <c r="G379" i="722"/>
  <c r="N378" i="722"/>
  <c r="M378" i="722"/>
  <c r="K378" i="722"/>
  <c r="J378" i="722"/>
  <c r="I378" i="722"/>
  <c r="H378" i="722"/>
  <c r="G378" i="722"/>
  <c r="N377" i="722"/>
  <c r="M377" i="722"/>
  <c r="K377" i="722"/>
  <c r="J377" i="722"/>
  <c r="I377" i="722"/>
  <c r="H377" i="722"/>
  <c r="G377" i="722"/>
  <c r="N376" i="722"/>
  <c r="M376" i="722"/>
  <c r="K376" i="722"/>
  <c r="J376" i="722"/>
  <c r="I376" i="722"/>
  <c r="H376" i="722"/>
  <c r="G376" i="722"/>
  <c r="N375" i="722"/>
  <c r="M375" i="722"/>
  <c r="K375" i="722"/>
  <c r="J375" i="722"/>
  <c r="I375" i="722"/>
  <c r="H375" i="722"/>
  <c r="G375" i="722"/>
  <c r="N374" i="722"/>
  <c r="M374" i="722"/>
  <c r="K374" i="722"/>
  <c r="J374" i="722"/>
  <c r="I374" i="722"/>
  <c r="H374" i="722"/>
  <c r="G374" i="722"/>
  <c r="N373" i="722"/>
  <c r="M373" i="722"/>
  <c r="K373" i="722"/>
  <c r="J373" i="722"/>
  <c r="I373" i="722"/>
  <c r="H373" i="722"/>
  <c r="G373" i="722"/>
  <c r="N372" i="722"/>
  <c r="M372" i="722"/>
  <c r="K372" i="722"/>
  <c r="J372" i="722"/>
  <c r="I372" i="722"/>
  <c r="H372" i="722"/>
  <c r="G372" i="722"/>
  <c r="N371" i="722"/>
  <c r="M371" i="722"/>
  <c r="K371" i="722"/>
  <c r="J371" i="722"/>
  <c r="I371" i="722"/>
  <c r="H371" i="722"/>
  <c r="G371" i="722"/>
  <c r="N370" i="722"/>
  <c r="M370" i="722"/>
  <c r="K370" i="722"/>
  <c r="J370" i="722"/>
  <c r="I370" i="722"/>
  <c r="H370" i="722"/>
  <c r="G370" i="722"/>
  <c r="N369" i="722"/>
  <c r="M369" i="722"/>
  <c r="K369" i="722"/>
  <c r="J369" i="722"/>
  <c r="I369" i="722"/>
  <c r="H369" i="722"/>
  <c r="G369" i="722"/>
  <c r="N368" i="722"/>
  <c r="M368" i="722"/>
  <c r="K368" i="722"/>
  <c r="J368" i="722"/>
  <c r="I368" i="722"/>
  <c r="H368" i="722"/>
  <c r="G368" i="722"/>
  <c r="N367" i="722"/>
  <c r="M367" i="722"/>
  <c r="K367" i="722"/>
  <c r="J367" i="722"/>
  <c r="I367" i="722"/>
  <c r="H367" i="722"/>
  <c r="G367" i="722"/>
  <c r="N366" i="722"/>
  <c r="M366" i="722"/>
  <c r="K366" i="722"/>
  <c r="J366" i="722"/>
  <c r="I366" i="722"/>
  <c r="H366" i="722"/>
  <c r="G366" i="722"/>
  <c r="N365" i="722"/>
  <c r="M365" i="722"/>
  <c r="K365" i="722"/>
  <c r="J365" i="722"/>
  <c r="I365" i="722"/>
  <c r="H365" i="722"/>
  <c r="G365" i="722"/>
  <c r="N364" i="722"/>
  <c r="M364" i="722"/>
  <c r="K364" i="722"/>
  <c r="J364" i="722"/>
  <c r="I364" i="722"/>
  <c r="H364" i="722"/>
  <c r="G364" i="722"/>
  <c r="N363" i="722"/>
  <c r="M363" i="722"/>
  <c r="K363" i="722"/>
  <c r="J363" i="722"/>
  <c r="I363" i="722"/>
  <c r="H363" i="722"/>
  <c r="G363" i="722"/>
  <c r="N362" i="722"/>
  <c r="M362" i="722"/>
  <c r="K362" i="722"/>
  <c r="J362" i="722"/>
  <c r="I362" i="722"/>
  <c r="H362" i="722"/>
  <c r="G362" i="722"/>
  <c r="N361" i="722"/>
  <c r="M361" i="722"/>
  <c r="K361" i="722"/>
  <c r="J361" i="722"/>
  <c r="I361" i="722"/>
  <c r="H361" i="722"/>
  <c r="G361" i="722"/>
  <c r="N360" i="722"/>
  <c r="M360" i="722"/>
  <c r="K360" i="722"/>
  <c r="J360" i="722"/>
  <c r="I360" i="722"/>
  <c r="H360" i="722"/>
  <c r="G360" i="722"/>
  <c r="N359" i="722"/>
  <c r="M359" i="722"/>
  <c r="K359" i="722"/>
  <c r="J359" i="722"/>
  <c r="I359" i="722"/>
  <c r="H359" i="722"/>
  <c r="G359" i="722"/>
  <c r="N358" i="722"/>
  <c r="M358" i="722"/>
  <c r="K358" i="722"/>
  <c r="J358" i="722"/>
  <c r="I358" i="722"/>
  <c r="H358" i="722"/>
  <c r="G358" i="722"/>
  <c r="N357" i="722"/>
  <c r="M357" i="722"/>
  <c r="K357" i="722"/>
  <c r="J357" i="722"/>
  <c r="I357" i="722"/>
  <c r="H357" i="722"/>
  <c r="G357" i="722"/>
  <c r="N356" i="722"/>
  <c r="M356" i="722"/>
  <c r="K356" i="722"/>
  <c r="J356" i="722"/>
  <c r="I356" i="722"/>
  <c r="H356" i="722"/>
  <c r="G356" i="722"/>
  <c r="N355" i="722"/>
  <c r="M355" i="722"/>
  <c r="K355" i="722"/>
  <c r="J355" i="722"/>
  <c r="I355" i="722"/>
  <c r="H355" i="722"/>
  <c r="G355" i="722"/>
  <c r="N354" i="722"/>
  <c r="M354" i="722"/>
  <c r="K354" i="722"/>
  <c r="J354" i="722"/>
  <c r="I354" i="722"/>
  <c r="H354" i="722"/>
  <c r="G354" i="722"/>
  <c r="N353" i="722"/>
  <c r="M353" i="722"/>
  <c r="K353" i="722"/>
  <c r="J353" i="722"/>
  <c r="I353" i="722"/>
  <c r="H353" i="722"/>
  <c r="G353" i="722"/>
  <c r="N352" i="722"/>
  <c r="M352" i="722"/>
  <c r="K352" i="722"/>
  <c r="J352" i="722"/>
  <c r="I352" i="722"/>
  <c r="H352" i="722"/>
  <c r="G352" i="722"/>
  <c r="N351" i="722"/>
  <c r="M351" i="722"/>
  <c r="K351" i="722"/>
  <c r="J351" i="722"/>
  <c r="I351" i="722"/>
  <c r="H351" i="722"/>
  <c r="G351" i="722"/>
  <c r="N350" i="722"/>
  <c r="M350" i="722"/>
  <c r="K350" i="722"/>
  <c r="J350" i="722"/>
  <c r="I350" i="722"/>
  <c r="H350" i="722"/>
  <c r="G350" i="722"/>
  <c r="N349" i="722"/>
  <c r="M349" i="722"/>
  <c r="K349" i="722"/>
  <c r="J349" i="722"/>
  <c r="I349" i="722"/>
  <c r="H349" i="722"/>
  <c r="G349" i="722"/>
  <c r="N348" i="722"/>
  <c r="M348" i="722"/>
  <c r="K348" i="722"/>
  <c r="J348" i="722"/>
  <c r="I348" i="722"/>
  <c r="H348" i="722"/>
  <c r="G348" i="722"/>
  <c r="N347" i="722"/>
  <c r="M347" i="722"/>
  <c r="K347" i="722"/>
  <c r="J347" i="722"/>
  <c r="I347" i="722"/>
  <c r="H347" i="722"/>
  <c r="G347" i="722"/>
  <c r="N346" i="722"/>
  <c r="M346" i="722"/>
  <c r="K346" i="722"/>
  <c r="J346" i="722"/>
  <c r="I346" i="722"/>
  <c r="H346" i="722"/>
  <c r="G346" i="722"/>
  <c r="N345" i="722"/>
  <c r="M345" i="722"/>
  <c r="K345" i="722"/>
  <c r="J345" i="722"/>
  <c r="I345" i="722"/>
  <c r="H345" i="722"/>
  <c r="G345" i="722"/>
  <c r="N344" i="722"/>
  <c r="M344" i="722"/>
  <c r="K344" i="722"/>
  <c r="J344" i="722"/>
  <c r="I344" i="722"/>
  <c r="H344" i="722"/>
  <c r="G344" i="722"/>
  <c r="N343" i="722"/>
  <c r="M343" i="722"/>
  <c r="K343" i="722"/>
  <c r="J343" i="722"/>
  <c r="I343" i="722"/>
  <c r="H343" i="722"/>
  <c r="G343" i="722"/>
  <c r="N342" i="722"/>
  <c r="M342" i="722"/>
  <c r="K342" i="722"/>
  <c r="J342" i="722"/>
  <c r="I342" i="722"/>
  <c r="H342" i="722"/>
  <c r="G342" i="722"/>
  <c r="N341" i="722"/>
  <c r="M341" i="722"/>
  <c r="K341" i="722"/>
  <c r="J341" i="722"/>
  <c r="I341" i="722"/>
  <c r="H341" i="722"/>
  <c r="G341" i="722"/>
  <c r="N340" i="722"/>
  <c r="M340" i="722"/>
  <c r="K340" i="722"/>
  <c r="J340" i="722"/>
  <c r="I340" i="722"/>
  <c r="H340" i="722"/>
  <c r="G340" i="722"/>
  <c r="N339" i="722"/>
  <c r="M339" i="722"/>
  <c r="K339" i="722"/>
  <c r="J339" i="722"/>
  <c r="I339" i="722"/>
  <c r="H339" i="722"/>
  <c r="G339" i="722"/>
  <c r="N338" i="722"/>
  <c r="M338" i="722"/>
  <c r="K338" i="722"/>
  <c r="J338" i="722"/>
  <c r="I338" i="722"/>
  <c r="H338" i="722"/>
  <c r="G338" i="722"/>
  <c r="N337" i="722"/>
  <c r="M337" i="722"/>
  <c r="K337" i="722"/>
  <c r="J337" i="722"/>
  <c r="I337" i="722"/>
  <c r="H337" i="722"/>
  <c r="G337" i="722"/>
  <c r="N336" i="722"/>
  <c r="M336" i="722"/>
  <c r="K336" i="722"/>
  <c r="J336" i="722"/>
  <c r="I336" i="722"/>
  <c r="H336" i="722"/>
  <c r="G336" i="722"/>
  <c r="N335" i="722"/>
  <c r="M335" i="722"/>
  <c r="K335" i="722"/>
  <c r="J335" i="722"/>
  <c r="I335" i="722"/>
  <c r="H335" i="722"/>
  <c r="G335" i="722"/>
  <c r="N334" i="722"/>
  <c r="M334" i="722"/>
  <c r="K334" i="722"/>
  <c r="J334" i="722"/>
  <c r="I334" i="722"/>
  <c r="H334" i="722"/>
  <c r="G334" i="722"/>
  <c r="N333" i="722"/>
  <c r="M333" i="722"/>
  <c r="K333" i="722"/>
  <c r="J333" i="722"/>
  <c r="I333" i="722"/>
  <c r="H333" i="722"/>
  <c r="G333" i="722"/>
  <c r="N332" i="722"/>
  <c r="M332" i="722"/>
  <c r="K332" i="722"/>
  <c r="J332" i="722"/>
  <c r="I332" i="722"/>
  <c r="H332" i="722"/>
  <c r="G332" i="722"/>
  <c r="N331" i="722"/>
  <c r="M331" i="722"/>
  <c r="K331" i="722"/>
  <c r="J331" i="722"/>
  <c r="I331" i="722"/>
  <c r="H331" i="722"/>
  <c r="G331" i="722"/>
  <c r="N330" i="722"/>
  <c r="M330" i="722"/>
  <c r="K330" i="722"/>
  <c r="J330" i="722"/>
  <c r="I330" i="722"/>
  <c r="H330" i="722"/>
  <c r="G330" i="722"/>
  <c r="N329" i="722"/>
  <c r="M329" i="722"/>
  <c r="K329" i="722"/>
  <c r="J329" i="722"/>
  <c r="I329" i="722"/>
  <c r="H329" i="722"/>
  <c r="G329" i="722"/>
  <c r="N328" i="722"/>
  <c r="M328" i="722"/>
  <c r="K328" i="722"/>
  <c r="J328" i="722"/>
  <c r="I328" i="722"/>
  <c r="H328" i="722"/>
  <c r="G328" i="722"/>
  <c r="N327" i="722"/>
  <c r="M327" i="722"/>
  <c r="K327" i="722"/>
  <c r="J327" i="722"/>
  <c r="I327" i="722"/>
  <c r="H327" i="722"/>
  <c r="G327" i="722"/>
  <c r="N326" i="722"/>
  <c r="M326" i="722"/>
  <c r="K326" i="722"/>
  <c r="J326" i="722"/>
  <c r="I326" i="722"/>
  <c r="H326" i="722"/>
  <c r="G326" i="722"/>
  <c r="N325" i="722"/>
  <c r="M325" i="722"/>
  <c r="K325" i="722"/>
  <c r="J325" i="722"/>
  <c r="I325" i="722"/>
  <c r="H325" i="722"/>
  <c r="G325" i="722"/>
  <c r="N324" i="722"/>
  <c r="M324" i="722"/>
  <c r="K324" i="722"/>
  <c r="J324" i="722"/>
  <c r="I324" i="722"/>
  <c r="H324" i="722"/>
  <c r="G324" i="722"/>
  <c r="N323" i="722"/>
  <c r="M323" i="722"/>
  <c r="K323" i="722"/>
  <c r="J323" i="722"/>
  <c r="I323" i="722"/>
  <c r="H323" i="722"/>
  <c r="G323" i="722"/>
  <c r="N322" i="722"/>
  <c r="M322" i="722"/>
  <c r="K322" i="722"/>
  <c r="J322" i="722"/>
  <c r="I322" i="722"/>
  <c r="H322" i="722"/>
  <c r="G322" i="722"/>
  <c r="N321" i="722"/>
  <c r="M321" i="722"/>
  <c r="K321" i="722"/>
  <c r="J321" i="722"/>
  <c r="I321" i="722"/>
  <c r="H321" i="722"/>
  <c r="G321" i="722"/>
  <c r="N320" i="722"/>
  <c r="M320" i="722"/>
  <c r="K320" i="722"/>
  <c r="J320" i="722"/>
  <c r="I320" i="722"/>
  <c r="H320" i="722"/>
  <c r="G320" i="722"/>
  <c r="N319" i="722"/>
  <c r="M319" i="722"/>
  <c r="K319" i="722"/>
  <c r="J319" i="722"/>
  <c r="I319" i="722"/>
  <c r="H319" i="722"/>
  <c r="G319" i="722"/>
  <c r="N318" i="722"/>
  <c r="M318" i="722"/>
  <c r="K318" i="722"/>
  <c r="J318" i="722"/>
  <c r="I318" i="722"/>
  <c r="H318" i="722"/>
  <c r="G318" i="722"/>
  <c r="N317" i="722"/>
  <c r="M317" i="722"/>
  <c r="K317" i="722"/>
  <c r="J317" i="722"/>
  <c r="I317" i="722"/>
  <c r="H317" i="722"/>
  <c r="G317" i="722"/>
  <c r="N316" i="722"/>
  <c r="M316" i="722"/>
  <c r="K316" i="722"/>
  <c r="J316" i="722"/>
  <c r="I316" i="722"/>
  <c r="H316" i="722"/>
  <c r="G316" i="722"/>
  <c r="N315" i="722"/>
  <c r="M315" i="722"/>
  <c r="K315" i="722"/>
  <c r="J315" i="722"/>
  <c r="I315" i="722"/>
  <c r="H315" i="722"/>
  <c r="G315" i="722"/>
  <c r="N314" i="722"/>
  <c r="M314" i="722"/>
  <c r="K314" i="722"/>
  <c r="J314" i="722"/>
  <c r="I314" i="722"/>
  <c r="H314" i="722"/>
  <c r="G314" i="722"/>
  <c r="N313" i="722"/>
  <c r="M313" i="722"/>
  <c r="K313" i="722"/>
  <c r="J313" i="722"/>
  <c r="I313" i="722"/>
  <c r="H313" i="722"/>
  <c r="G313" i="722"/>
  <c r="N312" i="722"/>
  <c r="M312" i="722"/>
  <c r="K312" i="722"/>
  <c r="J312" i="722"/>
  <c r="I312" i="722"/>
  <c r="H312" i="722"/>
  <c r="G312" i="722"/>
  <c r="N311" i="722"/>
  <c r="M311" i="722"/>
  <c r="K311" i="722"/>
  <c r="J311" i="722"/>
  <c r="I311" i="722"/>
  <c r="H311" i="722"/>
  <c r="G311" i="722"/>
  <c r="N310" i="722"/>
  <c r="M310" i="722"/>
  <c r="K310" i="722"/>
  <c r="J310" i="722"/>
  <c r="I310" i="722"/>
  <c r="H310" i="722"/>
  <c r="G310" i="722"/>
  <c r="N309" i="722"/>
  <c r="M309" i="722"/>
  <c r="K309" i="722"/>
  <c r="J309" i="722"/>
  <c r="I309" i="722"/>
  <c r="H309" i="722"/>
  <c r="G309" i="722"/>
  <c r="N308" i="722"/>
  <c r="M308" i="722"/>
  <c r="K308" i="722"/>
  <c r="J308" i="722"/>
  <c r="I308" i="722"/>
  <c r="H308" i="722"/>
  <c r="G308" i="722"/>
  <c r="N307" i="722"/>
  <c r="M307" i="722"/>
  <c r="K307" i="722"/>
  <c r="J307" i="722"/>
  <c r="I307" i="722"/>
  <c r="H307" i="722"/>
  <c r="G307" i="722"/>
  <c r="N306" i="722"/>
  <c r="M306" i="722"/>
  <c r="K306" i="722"/>
  <c r="J306" i="722"/>
  <c r="I306" i="722"/>
  <c r="H306" i="722"/>
  <c r="G306" i="722"/>
  <c r="N305" i="722"/>
  <c r="M305" i="722"/>
  <c r="K305" i="722"/>
  <c r="J305" i="722"/>
  <c r="I305" i="722"/>
  <c r="H305" i="722"/>
  <c r="G305" i="722"/>
  <c r="N304" i="722"/>
  <c r="M304" i="722"/>
  <c r="K304" i="722"/>
  <c r="J304" i="722"/>
  <c r="I304" i="722"/>
  <c r="H304" i="722"/>
  <c r="G304" i="722"/>
  <c r="N303" i="722"/>
  <c r="M303" i="722"/>
  <c r="K303" i="722"/>
  <c r="J303" i="722"/>
  <c r="I303" i="722"/>
  <c r="H303" i="722"/>
  <c r="G303" i="722"/>
  <c r="N302" i="722"/>
  <c r="M302" i="722"/>
  <c r="K302" i="722"/>
  <c r="J302" i="722"/>
  <c r="I302" i="722"/>
  <c r="H302" i="722"/>
  <c r="G302" i="722"/>
  <c r="N301" i="722"/>
  <c r="M301" i="722"/>
  <c r="K301" i="722"/>
  <c r="J301" i="722"/>
  <c r="I301" i="722"/>
  <c r="H301" i="722"/>
  <c r="G301" i="722"/>
  <c r="N300" i="722"/>
  <c r="M300" i="722"/>
  <c r="K300" i="722"/>
  <c r="J300" i="722"/>
  <c r="I300" i="722"/>
  <c r="H300" i="722"/>
  <c r="G300" i="722"/>
  <c r="N299" i="722"/>
  <c r="M299" i="722"/>
  <c r="K299" i="722"/>
  <c r="J299" i="722"/>
  <c r="I299" i="722"/>
  <c r="H299" i="722"/>
  <c r="G299" i="722"/>
  <c r="N298" i="722"/>
  <c r="M298" i="722"/>
  <c r="K298" i="722"/>
  <c r="J298" i="722"/>
  <c r="I298" i="722"/>
  <c r="H298" i="722"/>
  <c r="G298" i="722"/>
  <c r="N297" i="722"/>
  <c r="M297" i="722"/>
  <c r="K297" i="722"/>
  <c r="J297" i="722"/>
  <c r="I297" i="722"/>
  <c r="H297" i="722"/>
  <c r="G297" i="722"/>
  <c r="N296" i="722"/>
  <c r="M296" i="722"/>
  <c r="K296" i="722"/>
  <c r="J296" i="722"/>
  <c r="I296" i="722"/>
  <c r="H296" i="722"/>
  <c r="G296" i="722"/>
  <c r="N295" i="722"/>
  <c r="M295" i="722"/>
  <c r="K295" i="722"/>
  <c r="J295" i="722"/>
  <c r="I295" i="722"/>
  <c r="H295" i="722"/>
  <c r="G295" i="722"/>
  <c r="N294" i="722"/>
  <c r="M294" i="722"/>
  <c r="K294" i="722"/>
  <c r="J294" i="722"/>
  <c r="I294" i="722"/>
  <c r="H294" i="722"/>
  <c r="G294" i="722"/>
  <c r="N293" i="722"/>
  <c r="M293" i="722"/>
  <c r="K293" i="722"/>
  <c r="J293" i="722"/>
  <c r="I293" i="722"/>
  <c r="H293" i="722"/>
  <c r="G293" i="722"/>
  <c r="N292" i="722"/>
  <c r="M292" i="722"/>
  <c r="K292" i="722"/>
  <c r="J292" i="722"/>
  <c r="I292" i="722"/>
  <c r="H292" i="722"/>
  <c r="G292" i="722"/>
  <c r="N291" i="722"/>
  <c r="M291" i="722"/>
  <c r="K291" i="722"/>
  <c r="J291" i="722"/>
  <c r="I291" i="722"/>
  <c r="H291" i="722"/>
  <c r="G291" i="722"/>
  <c r="N290" i="722"/>
  <c r="M290" i="722"/>
  <c r="K290" i="722"/>
  <c r="J290" i="722"/>
  <c r="I290" i="722"/>
  <c r="H290" i="722"/>
  <c r="G290" i="722"/>
  <c r="N289" i="722"/>
  <c r="M289" i="722"/>
  <c r="K289" i="722"/>
  <c r="J289" i="722"/>
  <c r="I289" i="722"/>
  <c r="H289" i="722"/>
  <c r="G289" i="722"/>
  <c r="N288" i="722"/>
  <c r="M288" i="722"/>
  <c r="K288" i="722"/>
  <c r="J288" i="722"/>
  <c r="I288" i="722"/>
  <c r="H288" i="722"/>
  <c r="G288" i="722"/>
  <c r="N287" i="722"/>
  <c r="M287" i="722"/>
  <c r="K287" i="722"/>
  <c r="J287" i="722"/>
  <c r="I287" i="722"/>
  <c r="H287" i="722"/>
  <c r="G287" i="722"/>
  <c r="N286" i="722"/>
  <c r="M286" i="722"/>
  <c r="K286" i="722"/>
  <c r="J286" i="722"/>
  <c r="I286" i="722"/>
  <c r="H286" i="722"/>
  <c r="G286" i="722"/>
  <c r="N285" i="722"/>
  <c r="M285" i="722"/>
  <c r="K285" i="722"/>
  <c r="J285" i="722"/>
  <c r="I285" i="722"/>
  <c r="H285" i="722"/>
  <c r="G285" i="722"/>
  <c r="N284" i="722"/>
  <c r="M284" i="722"/>
  <c r="K284" i="722"/>
  <c r="J284" i="722"/>
  <c r="I284" i="722"/>
  <c r="H284" i="722"/>
  <c r="G284" i="722"/>
  <c r="N283" i="722"/>
  <c r="M283" i="722"/>
  <c r="K283" i="722"/>
  <c r="J283" i="722"/>
  <c r="I283" i="722"/>
  <c r="H283" i="722"/>
  <c r="G283" i="722"/>
  <c r="N282" i="722"/>
  <c r="M282" i="722"/>
  <c r="K282" i="722"/>
  <c r="J282" i="722"/>
  <c r="I282" i="722"/>
  <c r="H282" i="722"/>
  <c r="G282" i="722"/>
  <c r="N281" i="722"/>
  <c r="M281" i="722"/>
  <c r="K281" i="722"/>
  <c r="J281" i="722"/>
  <c r="I281" i="722"/>
  <c r="H281" i="722"/>
  <c r="G281" i="722"/>
  <c r="N280" i="722"/>
  <c r="M280" i="722"/>
  <c r="K280" i="722"/>
  <c r="J280" i="722"/>
  <c r="I280" i="722"/>
  <c r="H280" i="722"/>
  <c r="G280" i="722"/>
  <c r="N279" i="722"/>
  <c r="M279" i="722"/>
  <c r="K279" i="722"/>
  <c r="J279" i="722"/>
  <c r="I279" i="722"/>
  <c r="H279" i="722"/>
  <c r="G279" i="722"/>
  <c r="N278" i="722"/>
  <c r="M278" i="722"/>
  <c r="K278" i="722"/>
  <c r="J278" i="722"/>
  <c r="I278" i="722"/>
  <c r="H278" i="722"/>
  <c r="G278" i="722"/>
  <c r="N277" i="722"/>
  <c r="M277" i="722"/>
  <c r="K277" i="722"/>
  <c r="J277" i="722"/>
  <c r="I277" i="722"/>
  <c r="H277" i="722"/>
  <c r="G277" i="722"/>
  <c r="N276" i="722"/>
  <c r="M276" i="722"/>
  <c r="K276" i="722"/>
  <c r="J276" i="722"/>
  <c r="I276" i="722"/>
  <c r="H276" i="722"/>
  <c r="G276" i="722"/>
  <c r="N275" i="722"/>
  <c r="M275" i="722"/>
  <c r="K275" i="722"/>
  <c r="J275" i="722"/>
  <c r="I275" i="722"/>
  <c r="H275" i="722"/>
  <c r="G275" i="722"/>
  <c r="N274" i="722"/>
  <c r="M274" i="722"/>
  <c r="K274" i="722"/>
  <c r="J274" i="722"/>
  <c r="I274" i="722"/>
  <c r="H274" i="722"/>
  <c r="G274" i="722"/>
  <c r="N273" i="722"/>
  <c r="M273" i="722"/>
  <c r="K273" i="722"/>
  <c r="J273" i="722"/>
  <c r="I273" i="722"/>
  <c r="H273" i="722"/>
  <c r="G273" i="722"/>
  <c r="N272" i="722"/>
  <c r="M272" i="722"/>
  <c r="K272" i="722"/>
  <c r="J272" i="722"/>
  <c r="I272" i="722"/>
  <c r="H272" i="722"/>
  <c r="G272" i="722"/>
  <c r="N271" i="722"/>
  <c r="M271" i="722"/>
  <c r="K271" i="722"/>
  <c r="J271" i="722"/>
  <c r="I271" i="722"/>
  <c r="H271" i="722"/>
  <c r="G271" i="722"/>
  <c r="N270" i="722"/>
  <c r="M270" i="722"/>
  <c r="K270" i="722"/>
  <c r="J270" i="722"/>
  <c r="I270" i="722"/>
  <c r="H270" i="722"/>
  <c r="G270" i="722"/>
  <c r="N269" i="722"/>
  <c r="M269" i="722"/>
  <c r="K269" i="722"/>
  <c r="J269" i="722"/>
  <c r="I269" i="722"/>
  <c r="H269" i="722"/>
  <c r="G269" i="722"/>
  <c r="N268" i="722"/>
  <c r="M268" i="722"/>
  <c r="K268" i="722"/>
  <c r="J268" i="722"/>
  <c r="I268" i="722"/>
  <c r="H268" i="722"/>
  <c r="G268" i="722"/>
  <c r="N267" i="722"/>
  <c r="M267" i="722"/>
  <c r="K267" i="722"/>
  <c r="J267" i="722"/>
  <c r="I267" i="722"/>
  <c r="H267" i="722"/>
  <c r="G267" i="722"/>
  <c r="N266" i="722"/>
  <c r="M266" i="722"/>
  <c r="K266" i="722"/>
  <c r="J266" i="722"/>
  <c r="I266" i="722"/>
  <c r="H266" i="722"/>
  <c r="G266" i="722"/>
  <c r="N265" i="722"/>
  <c r="M265" i="722"/>
  <c r="K265" i="722"/>
  <c r="J265" i="722"/>
  <c r="I265" i="722"/>
  <c r="H265" i="722"/>
  <c r="G265" i="722"/>
  <c r="N264" i="722"/>
  <c r="M264" i="722"/>
  <c r="K264" i="722"/>
  <c r="J264" i="722"/>
  <c r="I264" i="722"/>
  <c r="H264" i="722"/>
  <c r="G264" i="722"/>
  <c r="N263" i="722"/>
  <c r="M263" i="722"/>
  <c r="K263" i="722"/>
  <c r="J263" i="722"/>
  <c r="I263" i="722"/>
  <c r="H263" i="722"/>
  <c r="G263" i="722"/>
  <c r="N262" i="722"/>
  <c r="M262" i="722"/>
  <c r="K262" i="722"/>
  <c r="J262" i="722"/>
  <c r="I262" i="722"/>
  <c r="H262" i="722"/>
  <c r="G262" i="722"/>
  <c r="N261" i="722"/>
  <c r="M261" i="722"/>
  <c r="K261" i="722"/>
  <c r="J261" i="722"/>
  <c r="I261" i="722"/>
  <c r="H261" i="722"/>
  <c r="G261" i="722"/>
  <c r="N260" i="722"/>
  <c r="M260" i="722"/>
  <c r="K260" i="722"/>
  <c r="J260" i="722"/>
  <c r="I260" i="722"/>
  <c r="H260" i="722"/>
  <c r="G260" i="722"/>
  <c r="N259" i="722"/>
  <c r="M259" i="722"/>
  <c r="K259" i="722"/>
  <c r="J259" i="722"/>
  <c r="I259" i="722"/>
  <c r="H259" i="722"/>
  <c r="G259" i="722"/>
  <c r="N258" i="722"/>
  <c r="M258" i="722"/>
  <c r="K258" i="722"/>
  <c r="J258" i="722"/>
  <c r="I258" i="722"/>
  <c r="H258" i="722"/>
  <c r="G258" i="722"/>
  <c r="N257" i="722"/>
  <c r="M257" i="722"/>
  <c r="K257" i="722"/>
  <c r="J257" i="722"/>
  <c r="I257" i="722"/>
  <c r="H257" i="722"/>
  <c r="G257" i="722"/>
  <c r="N256" i="722"/>
  <c r="M256" i="722"/>
  <c r="K256" i="722"/>
  <c r="J256" i="722"/>
  <c r="I256" i="722"/>
  <c r="H256" i="722"/>
  <c r="G256" i="722"/>
  <c r="N255" i="722"/>
  <c r="M255" i="722"/>
  <c r="K255" i="722"/>
  <c r="J255" i="722"/>
  <c r="I255" i="722"/>
  <c r="H255" i="722"/>
  <c r="G255" i="722"/>
  <c r="N254" i="722"/>
  <c r="M254" i="722"/>
  <c r="K254" i="722"/>
  <c r="J254" i="722"/>
  <c r="I254" i="722"/>
  <c r="H254" i="722"/>
  <c r="G254" i="722"/>
  <c r="N253" i="722"/>
  <c r="M253" i="722"/>
  <c r="K253" i="722"/>
  <c r="J253" i="722"/>
  <c r="I253" i="722"/>
  <c r="H253" i="722"/>
  <c r="G253" i="722"/>
  <c r="N252" i="722"/>
  <c r="M252" i="722"/>
  <c r="K252" i="722"/>
  <c r="J252" i="722"/>
  <c r="I252" i="722"/>
  <c r="H252" i="722"/>
  <c r="G252" i="722"/>
  <c r="N251" i="722"/>
  <c r="M251" i="722"/>
  <c r="K251" i="722"/>
  <c r="J251" i="722"/>
  <c r="I251" i="722"/>
  <c r="H251" i="722"/>
  <c r="G251" i="722"/>
  <c r="N250" i="722"/>
  <c r="M250" i="722"/>
  <c r="K250" i="722"/>
  <c r="J250" i="722"/>
  <c r="I250" i="722"/>
  <c r="H250" i="722"/>
  <c r="G250" i="722"/>
  <c r="N249" i="722"/>
  <c r="M249" i="722"/>
  <c r="K249" i="722"/>
  <c r="J249" i="722"/>
  <c r="I249" i="722"/>
  <c r="H249" i="722"/>
  <c r="G249" i="722"/>
  <c r="N248" i="722"/>
  <c r="M248" i="722"/>
  <c r="K248" i="722"/>
  <c r="J248" i="722"/>
  <c r="I248" i="722"/>
  <c r="H248" i="722"/>
  <c r="G248" i="722"/>
  <c r="N247" i="722"/>
  <c r="M247" i="722"/>
  <c r="K247" i="722"/>
  <c r="J247" i="722"/>
  <c r="I247" i="722"/>
  <c r="H247" i="722"/>
  <c r="G247" i="722"/>
  <c r="N246" i="722"/>
  <c r="M246" i="722"/>
  <c r="K246" i="722"/>
  <c r="J246" i="722"/>
  <c r="I246" i="722"/>
  <c r="H246" i="722"/>
  <c r="G246" i="722"/>
  <c r="N245" i="722"/>
  <c r="M245" i="722"/>
  <c r="K245" i="722"/>
  <c r="J245" i="722"/>
  <c r="I245" i="722"/>
  <c r="H245" i="722"/>
  <c r="G245" i="722"/>
  <c r="N244" i="722"/>
  <c r="M244" i="722"/>
  <c r="K244" i="722"/>
  <c r="J244" i="722"/>
  <c r="I244" i="722"/>
  <c r="H244" i="722"/>
  <c r="G244" i="722"/>
  <c r="N243" i="722"/>
  <c r="M243" i="722"/>
  <c r="K243" i="722"/>
  <c r="J243" i="722"/>
  <c r="I243" i="722"/>
  <c r="H243" i="722"/>
  <c r="G243" i="722"/>
  <c r="N242" i="722"/>
  <c r="M242" i="722"/>
  <c r="K242" i="722"/>
  <c r="J242" i="722"/>
  <c r="I242" i="722"/>
  <c r="H242" i="722"/>
  <c r="G242" i="722"/>
  <c r="N241" i="722"/>
  <c r="M241" i="722"/>
  <c r="K241" i="722"/>
  <c r="J241" i="722"/>
  <c r="I241" i="722"/>
  <c r="H241" i="722"/>
  <c r="G241" i="722"/>
  <c r="N240" i="722"/>
  <c r="M240" i="722"/>
  <c r="K240" i="722"/>
  <c r="J240" i="722"/>
  <c r="I240" i="722"/>
  <c r="H240" i="722"/>
  <c r="G240" i="722"/>
  <c r="N239" i="722"/>
  <c r="M239" i="722"/>
  <c r="K239" i="722"/>
  <c r="J239" i="722"/>
  <c r="I239" i="722"/>
  <c r="H239" i="722"/>
  <c r="G239" i="722"/>
  <c r="N238" i="722"/>
  <c r="M238" i="722"/>
  <c r="K238" i="722"/>
  <c r="J238" i="722"/>
  <c r="I238" i="722"/>
  <c r="H238" i="722"/>
  <c r="G238" i="722"/>
  <c r="N237" i="722"/>
  <c r="M237" i="722"/>
  <c r="K237" i="722"/>
  <c r="J237" i="722"/>
  <c r="I237" i="722"/>
  <c r="H237" i="722"/>
  <c r="G237" i="722"/>
  <c r="N236" i="722"/>
  <c r="M236" i="722"/>
  <c r="K236" i="722"/>
  <c r="J236" i="722"/>
  <c r="I236" i="722"/>
  <c r="H236" i="722"/>
  <c r="G236" i="722"/>
  <c r="N235" i="722"/>
  <c r="M235" i="722"/>
  <c r="K235" i="722"/>
  <c r="J235" i="722"/>
  <c r="I235" i="722"/>
  <c r="H235" i="722"/>
  <c r="G235" i="722"/>
  <c r="N234" i="722"/>
  <c r="M234" i="722"/>
  <c r="K234" i="722"/>
  <c r="J234" i="722"/>
  <c r="I234" i="722"/>
  <c r="H234" i="722"/>
  <c r="G234" i="722"/>
  <c r="N233" i="722"/>
  <c r="M233" i="722"/>
  <c r="K233" i="722"/>
  <c r="J233" i="722"/>
  <c r="I233" i="722"/>
  <c r="H233" i="722"/>
  <c r="G233" i="722"/>
  <c r="N232" i="722"/>
  <c r="M232" i="722"/>
  <c r="K232" i="722"/>
  <c r="J232" i="722"/>
  <c r="I232" i="722"/>
  <c r="H232" i="722"/>
  <c r="G232" i="722"/>
  <c r="N231" i="722"/>
  <c r="M231" i="722"/>
  <c r="K231" i="722"/>
  <c r="J231" i="722"/>
  <c r="I231" i="722"/>
  <c r="H231" i="722"/>
  <c r="G231" i="722"/>
  <c r="N230" i="722"/>
  <c r="M230" i="722"/>
  <c r="K230" i="722"/>
  <c r="J230" i="722"/>
  <c r="I230" i="722"/>
  <c r="H230" i="722"/>
  <c r="G230" i="722"/>
  <c r="N229" i="722"/>
  <c r="M229" i="722"/>
  <c r="K229" i="722"/>
  <c r="J229" i="722"/>
  <c r="I229" i="722"/>
  <c r="H229" i="722"/>
  <c r="G229" i="722"/>
  <c r="N228" i="722"/>
  <c r="M228" i="722"/>
  <c r="K228" i="722"/>
  <c r="J228" i="722"/>
  <c r="I228" i="722"/>
  <c r="H228" i="722"/>
  <c r="G228" i="722"/>
  <c r="N227" i="722"/>
  <c r="M227" i="722"/>
  <c r="K227" i="722"/>
  <c r="J227" i="722"/>
  <c r="I227" i="722"/>
  <c r="H227" i="722"/>
  <c r="G227" i="722"/>
  <c r="N226" i="722"/>
  <c r="M226" i="722"/>
  <c r="K226" i="722"/>
  <c r="J226" i="722"/>
  <c r="I226" i="722"/>
  <c r="H226" i="722"/>
  <c r="G226" i="722"/>
  <c r="N225" i="722"/>
  <c r="M225" i="722"/>
  <c r="K225" i="722"/>
  <c r="J225" i="722"/>
  <c r="I225" i="722"/>
  <c r="H225" i="722"/>
  <c r="G225" i="722"/>
  <c r="N224" i="722"/>
  <c r="M224" i="722"/>
  <c r="K224" i="722"/>
  <c r="J224" i="722"/>
  <c r="I224" i="722"/>
  <c r="H224" i="722"/>
  <c r="G224" i="722"/>
  <c r="N223" i="722"/>
  <c r="M223" i="722"/>
  <c r="K223" i="722"/>
  <c r="J223" i="722"/>
  <c r="I223" i="722"/>
  <c r="H223" i="722"/>
  <c r="G223" i="722"/>
  <c r="N222" i="722"/>
  <c r="M222" i="722"/>
  <c r="K222" i="722"/>
  <c r="J222" i="722"/>
  <c r="I222" i="722"/>
  <c r="H222" i="722"/>
  <c r="G222" i="722"/>
  <c r="N221" i="722"/>
  <c r="M221" i="722"/>
  <c r="K221" i="722"/>
  <c r="J221" i="722"/>
  <c r="I221" i="722"/>
  <c r="H221" i="722"/>
  <c r="G221" i="722"/>
  <c r="N220" i="722"/>
  <c r="M220" i="722"/>
  <c r="K220" i="722"/>
  <c r="J220" i="722"/>
  <c r="I220" i="722"/>
  <c r="H220" i="722"/>
  <c r="G220" i="722"/>
  <c r="N219" i="722"/>
  <c r="M219" i="722"/>
  <c r="K219" i="722"/>
  <c r="J219" i="722"/>
  <c r="I219" i="722"/>
  <c r="H219" i="722"/>
  <c r="G219" i="722"/>
  <c r="N218" i="722"/>
  <c r="M218" i="722"/>
  <c r="K218" i="722"/>
  <c r="J218" i="722"/>
  <c r="I218" i="722"/>
  <c r="H218" i="722"/>
  <c r="G218" i="722"/>
  <c r="N217" i="722"/>
  <c r="M217" i="722"/>
  <c r="K217" i="722"/>
  <c r="J217" i="722"/>
  <c r="I217" i="722"/>
  <c r="H217" i="722"/>
  <c r="G217" i="722"/>
  <c r="N216" i="722"/>
  <c r="M216" i="722"/>
  <c r="K216" i="722"/>
  <c r="J216" i="722"/>
  <c r="I216" i="722"/>
  <c r="H216" i="722"/>
  <c r="G216" i="722"/>
  <c r="N215" i="722"/>
  <c r="M215" i="722"/>
  <c r="K215" i="722"/>
  <c r="J215" i="722"/>
  <c r="I215" i="722"/>
  <c r="H215" i="722"/>
  <c r="G215" i="722"/>
  <c r="N214" i="722"/>
  <c r="M214" i="722"/>
  <c r="K214" i="722"/>
  <c r="J214" i="722"/>
  <c r="I214" i="722"/>
  <c r="H214" i="722"/>
  <c r="G214" i="722"/>
  <c r="N213" i="722"/>
  <c r="M213" i="722"/>
  <c r="K213" i="722"/>
  <c r="J213" i="722"/>
  <c r="I213" i="722"/>
  <c r="H213" i="722"/>
  <c r="G213" i="722"/>
  <c r="N212" i="722"/>
  <c r="M212" i="722"/>
  <c r="K212" i="722"/>
  <c r="J212" i="722"/>
  <c r="I212" i="722"/>
  <c r="H212" i="722"/>
  <c r="G212" i="722"/>
  <c r="N211" i="722"/>
  <c r="M211" i="722"/>
  <c r="K211" i="722"/>
  <c r="J211" i="722"/>
  <c r="I211" i="722"/>
  <c r="H211" i="722"/>
  <c r="G211" i="722"/>
  <c r="N210" i="722"/>
  <c r="M210" i="722"/>
  <c r="K210" i="722"/>
  <c r="J210" i="722"/>
  <c r="I210" i="722"/>
  <c r="H210" i="722"/>
  <c r="G210" i="722"/>
  <c r="N209" i="722"/>
  <c r="M209" i="722"/>
  <c r="K209" i="722"/>
  <c r="J209" i="722"/>
  <c r="I209" i="722"/>
  <c r="H209" i="722"/>
  <c r="G209" i="722"/>
  <c r="N208" i="722"/>
  <c r="M208" i="722"/>
  <c r="K208" i="722"/>
  <c r="J208" i="722"/>
  <c r="I208" i="722"/>
  <c r="H208" i="722"/>
  <c r="G208" i="722"/>
  <c r="N207" i="722"/>
  <c r="M207" i="722"/>
  <c r="K207" i="722"/>
  <c r="J207" i="722"/>
  <c r="I207" i="722"/>
  <c r="H207" i="722"/>
  <c r="G207" i="722"/>
  <c r="N206" i="722"/>
  <c r="M206" i="722"/>
  <c r="K206" i="722"/>
  <c r="J206" i="722"/>
  <c r="I206" i="722"/>
  <c r="H206" i="722"/>
  <c r="G206" i="722"/>
  <c r="N205" i="722"/>
  <c r="M205" i="722"/>
  <c r="K205" i="722"/>
  <c r="J205" i="722"/>
  <c r="I205" i="722"/>
  <c r="H205" i="722"/>
  <c r="G205" i="722"/>
  <c r="N204" i="722"/>
  <c r="M204" i="722"/>
  <c r="K204" i="722"/>
  <c r="J204" i="722"/>
  <c r="I204" i="722"/>
  <c r="H204" i="722"/>
  <c r="G204" i="722"/>
  <c r="N203" i="722"/>
  <c r="M203" i="722"/>
  <c r="K203" i="722"/>
  <c r="J203" i="722"/>
  <c r="I203" i="722"/>
  <c r="H203" i="722"/>
  <c r="G203" i="722"/>
  <c r="N202" i="722"/>
  <c r="M202" i="722"/>
  <c r="K202" i="722"/>
  <c r="J202" i="722"/>
  <c r="I202" i="722"/>
  <c r="H202" i="722"/>
  <c r="G202" i="722"/>
  <c r="N201" i="722"/>
  <c r="M201" i="722"/>
  <c r="K201" i="722"/>
  <c r="J201" i="722"/>
  <c r="I201" i="722"/>
  <c r="H201" i="722"/>
  <c r="G201" i="722"/>
  <c r="N200" i="722"/>
  <c r="M200" i="722"/>
  <c r="K200" i="722"/>
  <c r="J200" i="722"/>
  <c r="I200" i="722"/>
  <c r="H200" i="722"/>
  <c r="G200" i="722"/>
  <c r="N199" i="722"/>
  <c r="M199" i="722"/>
  <c r="K199" i="722"/>
  <c r="J199" i="722"/>
  <c r="I199" i="722"/>
  <c r="H199" i="722"/>
  <c r="G199" i="722"/>
  <c r="N198" i="722"/>
  <c r="M198" i="722"/>
  <c r="K198" i="722"/>
  <c r="J198" i="722"/>
  <c r="I198" i="722"/>
  <c r="H198" i="722"/>
  <c r="G198" i="722"/>
  <c r="N197" i="722"/>
  <c r="M197" i="722"/>
  <c r="K197" i="722"/>
  <c r="J197" i="722"/>
  <c r="I197" i="722"/>
  <c r="H197" i="722"/>
  <c r="G197" i="722"/>
  <c r="N196" i="722"/>
  <c r="M196" i="722"/>
  <c r="K196" i="722"/>
  <c r="J196" i="722"/>
  <c r="I196" i="722"/>
  <c r="H196" i="722"/>
  <c r="G196" i="722"/>
  <c r="N195" i="722"/>
  <c r="M195" i="722"/>
  <c r="K195" i="722"/>
  <c r="J195" i="722"/>
  <c r="I195" i="722"/>
  <c r="H195" i="722"/>
  <c r="G195" i="722"/>
  <c r="N194" i="722"/>
  <c r="M194" i="722"/>
  <c r="K194" i="722"/>
  <c r="J194" i="722"/>
  <c r="I194" i="722"/>
  <c r="H194" i="722"/>
  <c r="G194" i="722"/>
  <c r="N193" i="722"/>
  <c r="M193" i="722"/>
  <c r="K193" i="722"/>
  <c r="J193" i="722"/>
  <c r="I193" i="722"/>
  <c r="H193" i="722"/>
  <c r="G193" i="722"/>
  <c r="N192" i="722"/>
  <c r="M192" i="722"/>
  <c r="K192" i="722"/>
  <c r="J192" i="722"/>
  <c r="I192" i="722"/>
  <c r="H192" i="722"/>
  <c r="G192" i="722"/>
  <c r="N191" i="722"/>
  <c r="M191" i="722"/>
  <c r="K191" i="722"/>
  <c r="J191" i="722"/>
  <c r="I191" i="722"/>
  <c r="H191" i="722"/>
  <c r="G191" i="722"/>
  <c r="N190" i="722"/>
  <c r="M190" i="722"/>
  <c r="K190" i="722"/>
  <c r="J190" i="722"/>
  <c r="I190" i="722"/>
  <c r="H190" i="722"/>
  <c r="G190" i="722"/>
  <c r="N189" i="722"/>
  <c r="M189" i="722"/>
  <c r="K189" i="722"/>
  <c r="J189" i="722"/>
  <c r="I189" i="722"/>
  <c r="H189" i="722"/>
  <c r="G189" i="722"/>
  <c r="N188" i="722"/>
  <c r="M188" i="722"/>
  <c r="K188" i="722"/>
  <c r="J188" i="722"/>
  <c r="I188" i="722"/>
  <c r="H188" i="722"/>
  <c r="G188" i="722"/>
  <c r="N187" i="722"/>
  <c r="M187" i="722"/>
  <c r="K187" i="722"/>
  <c r="J187" i="722"/>
  <c r="I187" i="722"/>
  <c r="H187" i="722"/>
  <c r="G187" i="722"/>
  <c r="N186" i="722"/>
  <c r="M186" i="722"/>
  <c r="K186" i="722"/>
  <c r="J186" i="722"/>
  <c r="I186" i="722"/>
  <c r="H186" i="722"/>
  <c r="G186" i="722"/>
  <c r="N185" i="722"/>
  <c r="M185" i="722"/>
  <c r="K185" i="722"/>
  <c r="J185" i="722"/>
  <c r="I185" i="722"/>
  <c r="H185" i="722"/>
  <c r="G185" i="722"/>
  <c r="N184" i="722"/>
  <c r="M184" i="722"/>
  <c r="K184" i="722"/>
  <c r="J184" i="722"/>
  <c r="I184" i="722"/>
  <c r="H184" i="722"/>
  <c r="G184" i="722"/>
  <c r="N183" i="722"/>
  <c r="M183" i="722"/>
  <c r="K183" i="722"/>
  <c r="J183" i="722"/>
  <c r="I183" i="722"/>
  <c r="H183" i="722"/>
  <c r="G183" i="722"/>
  <c r="N182" i="722"/>
  <c r="M182" i="722"/>
  <c r="K182" i="722"/>
  <c r="J182" i="722"/>
  <c r="I182" i="722"/>
  <c r="H182" i="722"/>
  <c r="G182" i="722"/>
  <c r="N181" i="722"/>
  <c r="M181" i="722"/>
  <c r="K181" i="722"/>
  <c r="J181" i="722"/>
  <c r="I181" i="722"/>
  <c r="H181" i="722"/>
  <c r="G181" i="722"/>
  <c r="N180" i="722"/>
  <c r="M180" i="722"/>
  <c r="K180" i="722"/>
  <c r="J180" i="722"/>
  <c r="I180" i="722"/>
  <c r="H180" i="722"/>
  <c r="G180" i="722"/>
  <c r="N179" i="722"/>
  <c r="M179" i="722"/>
  <c r="K179" i="722"/>
  <c r="J179" i="722"/>
  <c r="I179" i="722"/>
  <c r="H179" i="722"/>
  <c r="G179" i="722"/>
  <c r="N178" i="722"/>
  <c r="M178" i="722"/>
  <c r="K178" i="722"/>
  <c r="J178" i="722"/>
  <c r="I178" i="722"/>
  <c r="H178" i="722"/>
  <c r="G178" i="722"/>
  <c r="N177" i="722"/>
  <c r="M177" i="722"/>
  <c r="K177" i="722"/>
  <c r="J177" i="722"/>
  <c r="I177" i="722"/>
  <c r="H177" i="722"/>
  <c r="G177" i="722"/>
  <c r="N176" i="722"/>
  <c r="M176" i="722"/>
  <c r="K176" i="722"/>
  <c r="J176" i="722"/>
  <c r="I176" i="722"/>
  <c r="H176" i="722"/>
  <c r="G176" i="722"/>
  <c r="N175" i="722"/>
  <c r="M175" i="722"/>
  <c r="K175" i="722"/>
  <c r="J175" i="722"/>
  <c r="I175" i="722"/>
  <c r="H175" i="722"/>
  <c r="G175" i="722"/>
  <c r="N174" i="722"/>
  <c r="M174" i="722"/>
  <c r="K174" i="722"/>
  <c r="J174" i="722"/>
  <c r="I174" i="722"/>
  <c r="H174" i="722"/>
  <c r="G174" i="722"/>
  <c r="N173" i="722"/>
  <c r="M173" i="722"/>
  <c r="K173" i="722"/>
  <c r="J173" i="722"/>
  <c r="I173" i="722"/>
  <c r="H173" i="722"/>
  <c r="G173" i="722"/>
  <c r="N172" i="722"/>
  <c r="M172" i="722"/>
  <c r="K172" i="722"/>
  <c r="J172" i="722"/>
  <c r="I172" i="722"/>
  <c r="H172" i="722"/>
  <c r="G172" i="722"/>
  <c r="N171" i="722"/>
  <c r="M171" i="722"/>
  <c r="K171" i="722"/>
  <c r="J171" i="722"/>
  <c r="I171" i="722"/>
  <c r="H171" i="722"/>
  <c r="G171" i="722"/>
  <c r="N170" i="722"/>
  <c r="M170" i="722"/>
  <c r="K170" i="722"/>
  <c r="J170" i="722"/>
  <c r="I170" i="722"/>
  <c r="H170" i="722"/>
  <c r="G170" i="722"/>
  <c r="N169" i="722"/>
  <c r="M169" i="722"/>
  <c r="K169" i="722"/>
  <c r="J169" i="722"/>
  <c r="I169" i="722"/>
  <c r="H169" i="722"/>
  <c r="G169" i="722"/>
  <c r="N168" i="722"/>
  <c r="M168" i="722"/>
  <c r="K168" i="722"/>
  <c r="J168" i="722"/>
  <c r="I168" i="722"/>
  <c r="H168" i="722"/>
  <c r="G168" i="722"/>
  <c r="N167" i="722"/>
  <c r="M167" i="722"/>
  <c r="K167" i="722"/>
  <c r="J167" i="722"/>
  <c r="I167" i="722"/>
  <c r="H167" i="722"/>
  <c r="G167" i="722"/>
  <c r="N166" i="722"/>
  <c r="M166" i="722"/>
  <c r="K166" i="722"/>
  <c r="J166" i="722"/>
  <c r="I166" i="722"/>
  <c r="H166" i="722"/>
  <c r="G166" i="722"/>
  <c r="N165" i="722"/>
  <c r="M165" i="722"/>
  <c r="K165" i="722"/>
  <c r="J165" i="722"/>
  <c r="I165" i="722"/>
  <c r="H165" i="722"/>
  <c r="G165" i="722"/>
  <c r="N164" i="722"/>
  <c r="M164" i="722"/>
  <c r="K164" i="722"/>
  <c r="J164" i="722"/>
  <c r="I164" i="722"/>
  <c r="H164" i="722"/>
  <c r="G164" i="722"/>
  <c r="N163" i="722"/>
  <c r="M163" i="722"/>
  <c r="K163" i="722"/>
  <c r="J163" i="722"/>
  <c r="I163" i="722"/>
  <c r="H163" i="722"/>
  <c r="G163" i="722"/>
  <c r="N162" i="722"/>
  <c r="M162" i="722"/>
  <c r="K162" i="722"/>
  <c r="J162" i="722"/>
  <c r="I162" i="722"/>
  <c r="H162" i="722"/>
  <c r="G162" i="722"/>
  <c r="N161" i="722"/>
  <c r="M161" i="722"/>
  <c r="K161" i="722"/>
  <c r="J161" i="722"/>
  <c r="I161" i="722"/>
  <c r="H161" i="722"/>
  <c r="G161" i="722"/>
  <c r="N160" i="722"/>
  <c r="M160" i="722"/>
  <c r="K160" i="722"/>
  <c r="J160" i="722"/>
  <c r="I160" i="722"/>
  <c r="H160" i="722"/>
  <c r="G160" i="722"/>
  <c r="N159" i="722"/>
  <c r="M159" i="722"/>
  <c r="K159" i="722"/>
  <c r="J159" i="722"/>
  <c r="I159" i="722"/>
  <c r="H159" i="722"/>
  <c r="G159" i="722"/>
  <c r="N158" i="722"/>
  <c r="M158" i="722"/>
  <c r="K158" i="722"/>
  <c r="J158" i="722"/>
  <c r="I158" i="722"/>
  <c r="H158" i="722"/>
  <c r="G158" i="722"/>
  <c r="N157" i="722"/>
  <c r="M157" i="722"/>
  <c r="K157" i="722"/>
  <c r="J157" i="722"/>
  <c r="I157" i="722"/>
  <c r="H157" i="722"/>
  <c r="G157" i="722"/>
  <c r="N156" i="722"/>
  <c r="M156" i="722"/>
  <c r="K156" i="722"/>
  <c r="J156" i="722"/>
  <c r="I156" i="722"/>
  <c r="H156" i="722"/>
  <c r="G156" i="722"/>
  <c r="N155" i="722"/>
  <c r="M155" i="722"/>
  <c r="K155" i="722"/>
  <c r="J155" i="722"/>
  <c r="I155" i="722"/>
  <c r="H155" i="722"/>
  <c r="G155" i="722"/>
  <c r="N154" i="722"/>
  <c r="M154" i="722"/>
  <c r="K154" i="722"/>
  <c r="J154" i="722"/>
  <c r="I154" i="722"/>
  <c r="H154" i="722"/>
  <c r="G154" i="722"/>
  <c r="N153" i="722"/>
  <c r="M153" i="722"/>
  <c r="K153" i="722"/>
  <c r="J153" i="722"/>
  <c r="I153" i="722"/>
  <c r="H153" i="722"/>
  <c r="G153" i="722"/>
  <c r="N152" i="722"/>
  <c r="M152" i="722"/>
  <c r="K152" i="722"/>
  <c r="J152" i="722"/>
  <c r="I152" i="722"/>
  <c r="H152" i="722"/>
  <c r="G152" i="722"/>
  <c r="N151" i="722"/>
  <c r="M151" i="722"/>
  <c r="K151" i="722"/>
  <c r="J151" i="722"/>
  <c r="I151" i="722"/>
  <c r="H151" i="722"/>
  <c r="G151" i="722"/>
  <c r="N150" i="722"/>
  <c r="M150" i="722"/>
  <c r="K150" i="722"/>
  <c r="J150" i="722"/>
  <c r="I150" i="722"/>
  <c r="H150" i="722"/>
  <c r="G150" i="722"/>
  <c r="N149" i="722"/>
  <c r="M149" i="722"/>
  <c r="K149" i="722"/>
  <c r="J149" i="722"/>
  <c r="I149" i="722"/>
  <c r="H149" i="722"/>
  <c r="G149" i="722"/>
  <c r="N148" i="722"/>
  <c r="M148" i="722"/>
  <c r="K148" i="722"/>
  <c r="J148" i="722"/>
  <c r="I148" i="722"/>
  <c r="H148" i="722"/>
  <c r="G148" i="722"/>
  <c r="N147" i="722"/>
  <c r="M147" i="722"/>
  <c r="K147" i="722"/>
  <c r="J147" i="722"/>
  <c r="I147" i="722"/>
  <c r="H147" i="722"/>
  <c r="G147" i="722"/>
  <c r="N146" i="722"/>
  <c r="M146" i="722"/>
  <c r="K146" i="722"/>
  <c r="J146" i="722"/>
  <c r="I146" i="722"/>
  <c r="H146" i="722"/>
  <c r="G146" i="722"/>
  <c r="N145" i="722"/>
  <c r="M145" i="722"/>
  <c r="K145" i="722"/>
  <c r="J145" i="722"/>
  <c r="I145" i="722"/>
  <c r="H145" i="722"/>
  <c r="G145" i="722"/>
  <c r="N144" i="722"/>
  <c r="M144" i="722"/>
  <c r="K144" i="722"/>
  <c r="J144" i="722"/>
  <c r="I144" i="722"/>
  <c r="H144" i="722"/>
  <c r="G144" i="722"/>
  <c r="N143" i="722"/>
  <c r="M143" i="722"/>
  <c r="K143" i="722"/>
  <c r="J143" i="722"/>
  <c r="I143" i="722"/>
  <c r="H143" i="722"/>
  <c r="G143" i="722"/>
  <c r="N142" i="722"/>
  <c r="M142" i="722"/>
  <c r="K142" i="722"/>
  <c r="J142" i="722"/>
  <c r="I142" i="722"/>
  <c r="H142" i="722"/>
  <c r="G142" i="722"/>
  <c r="N141" i="722"/>
  <c r="M141" i="722"/>
  <c r="K141" i="722"/>
  <c r="J141" i="722"/>
  <c r="I141" i="722"/>
  <c r="H141" i="722"/>
  <c r="G141" i="722"/>
  <c r="N140" i="722"/>
  <c r="M140" i="722"/>
  <c r="K140" i="722"/>
  <c r="J140" i="722"/>
  <c r="I140" i="722"/>
  <c r="H140" i="722"/>
  <c r="G140" i="722"/>
  <c r="N139" i="722"/>
  <c r="M139" i="722"/>
  <c r="K139" i="722"/>
  <c r="J139" i="722"/>
  <c r="I139" i="722"/>
  <c r="H139" i="722"/>
  <c r="G139" i="722"/>
  <c r="N138" i="722"/>
  <c r="M138" i="722"/>
  <c r="K138" i="722"/>
  <c r="J138" i="722"/>
  <c r="I138" i="722"/>
  <c r="H138" i="722"/>
  <c r="G138" i="722"/>
  <c r="N137" i="722"/>
  <c r="M137" i="722"/>
  <c r="K137" i="722"/>
  <c r="J137" i="722"/>
  <c r="I137" i="722"/>
  <c r="H137" i="722"/>
  <c r="G137" i="722"/>
  <c r="N136" i="722"/>
  <c r="M136" i="722"/>
  <c r="K136" i="722"/>
  <c r="J136" i="722"/>
  <c r="I136" i="722"/>
  <c r="H136" i="722"/>
  <c r="G136" i="722"/>
  <c r="N135" i="722"/>
  <c r="M135" i="722"/>
  <c r="K135" i="722"/>
  <c r="J135" i="722"/>
  <c r="I135" i="722"/>
  <c r="H135" i="722"/>
  <c r="G135" i="722"/>
  <c r="N134" i="722"/>
  <c r="M134" i="722"/>
  <c r="K134" i="722"/>
  <c r="J134" i="722"/>
  <c r="I134" i="722"/>
  <c r="H134" i="722"/>
  <c r="G134" i="722"/>
  <c r="N133" i="722"/>
  <c r="M133" i="722"/>
  <c r="K133" i="722"/>
  <c r="J133" i="722"/>
  <c r="I133" i="722"/>
  <c r="H133" i="722"/>
  <c r="G133" i="722"/>
  <c r="N132" i="722"/>
  <c r="M132" i="722"/>
  <c r="K132" i="722"/>
  <c r="J132" i="722"/>
  <c r="I132" i="722"/>
  <c r="H132" i="722"/>
  <c r="G132" i="722"/>
  <c r="N131" i="722"/>
  <c r="M131" i="722"/>
  <c r="K131" i="722"/>
  <c r="J131" i="722"/>
  <c r="I131" i="722"/>
  <c r="H131" i="722"/>
  <c r="G131" i="722"/>
  <c r="N130" i="722"/>
  <c r="M130" i="722"/>
  <c r="K130" i="722"/>
  <c r="J130" i="722"/>
  <c r="I130" i="722"/>
  <c r="H130" i="722"/>
  <c r="G130" i="722"/>
  <c r="N129" i="722"/>
  <c r="M129" i="722"/>
  <c r="K129" i="722"/>
  <c r="J129" i="722"/>
  <c r="I129" i="722"/>
  <c r="H129" i="722"/>
  <c r="G129" i="722"/>
  <c r="N128" i="722"/>
  <c r="M128" i="722"/>
  <c r="K128" i="722"/>
  <c r="J128" i="722"/>
  <c r="I128" i="722"/>
  <c r="H128" i="722"/>
  <c r="G128" i="722"/>
  <c r="N127" i="722"/>
  <c r="M127" i="722"/>
  <c r="K127" i="722"/>
  <c r="J127" i="722"/>
  <c r="I127" i="722"/>
  <c r="H127" i="722"/>
  <c r="G127" i="722"/>
  <c r="N126" i="722"/>
  <c r="M126" i="722"/>
  <c r="K126" i="722"/>
  <c r="J126" i="722"/>
  <c r="I126" i="722"/>
  <c r="H126" i="722"/>
  <c r="G126" i="722"/>
  <c r="N125" i="722"/>
  <c r="M125" i="722"/>
  <c r="K125" i="722"/>
  <c r="J125" i="722"/>
  <c r="I125" i="722"/>
  <c r="H125" i="722"/>
  <c r="G125" i="722"/>
  <c r="N124" i="722"/>
  <c r="M124" i="722"/>
  <c r="K124" i="722"/>
  <c r="J124" i="722"/>
  <c r="I124" i="722"/>
  <c r="H124" i="722"/>
  <c r="G124" i="722"/>
  <c r="N123" i="722"/>
  <c r="M123" i="722"/>
  <c r="K123" i="722"/>
  <c r="J123" i="722"/>
  <c r="I123" i="722"/>
  <c r="H123" i="722"/>
  <c r="G123" i="722"/>
  <c r="N122" i="722"/>
  <c r="M122" i="722"/>
  <c r="K122" i="722"/>
  <c r="J122" i="722"/>
  <c r="I122" i="722"/>
  <c r="H122" i="722"/>
  <c r="G122" i="722"/>
  <c r="N121" i="722"/>
  <c r="M121" i="722"/>
  <c r="K121" i="722"/>
  <c r="J121" i="722"/>
  <c r="I121" i="722"/>
  <c r="H121" i="722"/>
  <c r="G121" i="722"/>
  <c r="N120" i="722"/>
  <c r="M120" i="722"/>
  <c r="K120" i="722"/>
  <c r="J120" i="722"/>
  <c r="I120" i="722"/>
  <c r="H120" i="722"/>
  <c r="G120" i="722"/>
  <c r="N119" i="722"/>
  <c r="M119" i="722"/>
  <c r="K119" i="722"/>
  <c r="J119" i="722"/>
  <c r="I119" i="722"/>
  <c r="H119" i="722"/>
  <c r="G119" i="722"/>
  <c r="N118" i="722"/>
  <c r="M118" i="722"/>
  <c r="K118" i="722"/>
  <c r="J118" i="722"/>
  <c r="I118" i="722"/>
  <c r="H118" i="722"/>
  <c r="G118" i="722"/>
  <c r="N117" i="722"/>
  <c r="M117" i="722"/>
  <c r="K117" i="722"/>
  <c r="J117" i="722"/>
  <c r="I117" i="722"/>
  <c r="H117" i="722"/>
  <c r="G117" i="722"/>
  <c r="N116" i="722"/>
  <c r="M116" i="722"/>
  <c r="K116" i="722"/>
  <c r="J116" i="722"/>
  <c r="I116" i="722"/>
  <c r="H116" i="722"/>
  <c r="G116" i="722"/>
  <c r="N115" i="722"/>
  <c r="M115" i="722"/>
  <c r="K115" i="722"/>
  <c r="J115" i="722"/>
  <c r="I115" i="722"/>
  <c r="H115" i="722"/>
  <c r="G115" i="722"/>
  <c r="N114" i="722"/>
  <c r="M114" i="722"/>
  <c r="K114" i="722"/>
  <c r="J114" i="722"/>
  <c r="I114" i="722"/>
  <c r="H114" i="722"/>
  <c r="G114" i="722"/>
  <c r="N113" i="722"/>
  <c r="M113" i="722"/>
  <c r="K113" i="722"/>
  <c r="J113" i="722"/>
  <c r="I113" i="722"/>
  <c r="H113" i="722"/>
  <c r="G113" i="722"/>
  <c r="N112" i="722"/>
  <c r="M112" i="722"/>
  <c r="K112" i="722"/>
  <c r="J112" i="722"/>
  <c r="I112" i="722"/>
  <c r="H112" i="722"/>
  <c r="G112" i="722"/>
  <c r="N111" i="722"/>
  <c r="M111" i="722"/>
  <c r="K111" i="722"/>
  <c r="J111" i="722"/>
  <c r="I111" i="722"/>
  <c r="H111" i="722"/>
  <c r="G111" i="722"/>
  <c r="N110" i="722"/>
  <c r="M110" i="722"/>
  <c r="K110" i="722"/>
  <c r="J110" i="722"/>
  <c r="I110" i="722"/>
  <c r="H110" i="722"/>
  <c r="G110" i="722"/>
  <c r="N109" i="722"/>
  <c r="M109" i="722"/>
  <c r="K109" i="722"/>
  <c r="J109" i="722"/>
  <c r="I109" i="722"/>
  <c r="H109" i="722"/>
  <c r="G109" i="722"/>
  <c r="N108" i="722"/>
  <c r="M108" i="722"/>
  <c r="K108" i="722"/>
  <c r="J108" i="722"/>
  <c r="I108" i="722"/>
  <c r="H108" i="722"/>
  <c r="G108" i="722"/>
  <c r="N107" i="722"/>
  <c r="M107" i="722"/>
  <c r="K107" i="722"/>
  <c r="J107" i="722"/>
  <c r="I107" i="722"/>
  <c r="H107" i="722"/>
  <c r="G107" i="722"/>
  <c r="N106" i="722"/>
  <c r="M106" i="722"/>
  <c r="K106" i="722"/>
  <c r="J106" i="722"/>
  <c r="I106" i="722"/>
  <c r="H106" i="722"/>
  <c r="G106" i="722"/>
  <c r="N105" i="722"/>
  <c r="M105" i="722"/>
  <c r="K105" i="722"/>
  <c r="J105" i="722"/>
  <c r="I105" i="722"/>
  <c r="H105" i="722"/>
  <c r="G105" i="722"/>
  <c r="N104" i="722"/>
  <c r="M104" i="722"/>
  <c r="K104" i="722"/>
  <c r="J104" i="722"/>
  <c r="I104" i="722"/>
  <c r="H104" i="722"/>
  <c r="G104" i="722"/>
  <c r="N103" i="722"/>
  <c r="M103" i="722"/>
  <c r="K103" i="722"/>
  <c r="J103" i="722"/>
  <c r="I103" i="722"/>
  <c r="H103" i="722"/>
  <c r="G103" i="722"/>
  <c r="N102" i="722"/>
  <c r="M102" i="722"/>
  <c r="K102" i="722"/>
  <c r="J102" i="722"/>
  <c r="I102" i="722"/>
  <c r="H102" i="722"/>
  <c r="G102" i="722"/>
  <c r="N101" i="722"/>
  <c r="M101" i="722"/>
  <c r="K101" i="722"/>
  <c r="J101" i="722"/>
  <c r="I101" i="722"/>
  <c r="H101" i="722"/>
  <c r="G101" i="722"/>
  <c r="N100" i="722"/>
  <c r="M100" i="722"/>
  <c r="K100" i="722"/>
  <c r="J100" i="722"/>
  <c r="I100" i="722"/>
  <c r="H100" i="722"/>
  <c r="G100" i="722"/>
  <c r="N99" i="722"/>
  <c r="M99" i="722"/>
  <c r="K99" i="722"/>
  <c r="J99" i="722"/>
  <c r="I99" i="722"/>
  <c r="H99" i="722"/>
  <c r="G99" i="722"/>
  <c r="N98" i="722"/>
  <c r="M98" i="722"/>
  <c r="K98" i="722"/>
  <c r="J98" i="722"/>
  <c r="I98" i="722"/>
  <c r="H98" i="722"/>
  <c r="G98" i="722"/>
  <c r="N97" i="722"/>
  <c r="M97" i="722"/>
  <c r="K97" i="722"/>
  <c r="J97" i="722"/>
  <c r="I97" i="722"/>
  <c r="H97" i="722"/>
  <c r="G97" i="722"/>
  <c r="N96" i="722"/>
  <c r="M96" i="722"/>
  <c r="K96" i="722"/>
  <c r="J96" i="722"/>
  <c r="I96" i="722"/>
  <c r="H96" i="722"/>
  <c r="G96" i="722"/>
  <c r="N95" i="722"/>
  <c r="M95" i="722"/>
  <c r="K95" i="722"/>
  <c r="J95" i="722"/>
  <c r="I95" i="722"/>
  <c r="H95" i="722"/>
  <c r="G95" i="722"/>
  <c r="N94" i="722"/>
  <c r="K94" i="722"/>
  <c r="J94" i="722"/>
  <c r="I94" i="722"/>
  <c r="H94" i="722"/>
  <c r="G94" i="722"/>
  <c r="N93" i="722"/>
  <c r="K93" i="722"/>
  <c r="J93" i="722"/>
  <c r="I93" i="722"/>
  <c r="H93" i="722"/>
  <c r="G93" i="722"/>
  <c r="N92" i="722"/>
  <c r="K92" i="722"/>
  <c r="J92" i="722"/>
  <c r="I92" i="722"/>
  <c r="H92" i="722"/>
  <c r="G92" i="722"/>
  <c r="N91" i="722"/>
  <c r="K91" i="722"/>
  <c r="J91" i="722"/>
  <c r="I91" i="722"/>
  <c r="H91" i="722"/>
  <c r="G91" i="722"/>
  <c r="N90" i="722"/>
  <c r="K90" i="722"/>
  <c r="J90" i="722"/>
  <c r="I90" i="722"/>
  <c r="H90" i="722"/>
  <c r="G90" i="722"/>
  <c r="N89" i="722"/>
  <c r="K89" i="722"/>
  <c r="J89" i="722"/>
  <c r="I89" i="722"/>
  <c r="H89" i="722"/>
  <c r="G89" i="722"/>
  <c r="N88" i="722"/>
  <c r="K88" i="722"/>
  <c r="J88" i="722"/>
  <c r="I88" i="722"/>
  <c r="H88" i="722"/>
  <c r="G88" i="722"/>
  <c r="N87" i="722"/>
  <c r="K87" i="722"/>
  <c r="J87" i="722"/>
  <c r="I87" i="722"/>
  <c r="H87" i="722"/>
  <c r="G87" i="722"/>
  <c r="N86" i="722"/>
  <c r="K86" i="722"/>
  <c r="J86" i="722"/>
  <c r="I86" i="722"/>
  <c r="H86" i="722"/>
  <c r="G86" i="722"/>
  <c r="N85" i="722"/>
  <c r="K85" i="722"/>
  <c r="J85" i="722"/>
  <c r="I85" i="722"/>
  <c r="H85" i="722"/>
  <c r="G85" i="722"/>
  <c r="N84" i="722"/>
  <c r="K84" i="722"/>
  <c r="J84" i="722"/>
  <c r="I84" i="722"/>
  <c r="H84" i="722"/>
  <c r="G84" i="722"/>
  <c r="N83" i="722"/>
  <c r="K83" i="722"/>
  <c r="J83" i="722"/>
  <c r="I83" i="722"/>
  <c r="H83" i="722"/>
  <c r="G83" i="722"/>
  <c r="N82" i="722"/>
  <c r="K82" i="722"/>
  <c r="J82" i="722"/>
  <c r="I82" i="722"/>
  <c r="H82" i="722"/>
  <c r="G82" i="722"/>
  <c r="N81" i="722"/>
  <c r="K81" i="722"/>
  <c r="J81" i="722"/>
  <c r="I81" i="722"/>
  <c r="H81" i="722"/>
  <c r="G81" i="722"/>
  <c r="N80" i="722"/>
  <c r="K80" i="722"/>
  <c r="J80" i="722"/>
  <c r="I80" i="722"/>
  <c r="H80" i="722"/>
  <c r="G80" i="722"/>
  <c r="N79" i="722"/>
  <c r="K79" i="722"/>
  <c r="J79" i="722"/>
  <c r="I79" i="722"/>
  <c r="H79" i="722"/>
  <c r="G79" i="722"/>
  <c r="N78" i="722"/>
  <c r="K78" i="722"/>
  <c r="J78" i="722"/>
  <c r="I78" i="722"/>
  <c r="H78" i="722"/>
  <c r="G78" i="722"/>
  <c r="N77" i="722"/>
  <c r="K77" i="722"/>
  <c r="J77" i="722"/>
  <c r="I77" i="722"/>
  <c r="H77" i="722"/>
  <c r="G77" i="722"/>
  <c r="N76" i="722"/>
  <c r="K76" i="722"/>
  <c r="J76" i="722"/>
  <c r="I76" i="722"/>
  <c r="H76" i="722"/>
  <c r="G76" i="722"/>
  <c r="N75" i="722"/>
  <c r="K75" i="722"/>
  <c r="J75" i="722"/>
  <c r="I75" i="722"/>
  <c r="H75" i="722"/>
  <c r="G75" i="722"/>
  <c r="N74" i="722"/>
  <c r="K74" i="722"/>
  <c r="J74" i="722"/>
  <c r="I74" i="722"/>
  <c r="H74" i="722"/>
  <c r="G74" i="722"/>
  <c r="N73" i="722"/>
  <c r="K73" i="722"/>
  <c r="J73" i="722"/>
  <c r="I73" i="722"/>
  <c r="H73" i="722"/>
  <c r="G73" i="722"/>
  <c r="N72" i="722"/>
  <c r="K72" i="722"/>
  <c r="J72" i="722"/>
  <c r="I72" i="722"/>
  <c r="H72" i="722"/>
  <c r="G72" i="722"/>
  <c r="N71" i="722"/>
  <c r="K71" i="722"/>
  <c r="J71" i="722"/>
  <c r="I71" i="722"/>
  <c r="H71" i="722"/>
  <c r="G71" i="722"/>
  <c r="N70" i="722"/>
  <c r="K70" i="722"/>
  <c r="J70" i="722"/>
  <c r="I70" i="722"/>
  <c r="H70" i="722"/>
  <c r="G70" i="722"/>
  <c r="N69" i="722"/>
  <c r="K69" i="722"/>
  <c r="J69" i="722"/>
  <c r="I69" i="722"/>
  <c r="H69" i="722"/>
  <c r="G69" i="722"/>
  <c r="N68" i="722"/>
  <c r="K68" i="722"/>
  <c r="J68" i="722"/>
  <c r="I68" i="722"/>
  <c r="H68" i="722"/>
  <c r="G68" i="722"/>
  <c r="N67" i="722"/>
  <c r="K67" i="722"/>
  <c r="J67" i="722"/>
  <c r="I67" i="722"/>
  <c r="H67" i="722"/>
  <c r="G67" i="722"/>
  <c r="N66" i="722"/>
  <c r="K66" i="722"/>
  <c r="J66" i="722"/>
  <c r="I66" i="722"/>
  <c r="H66" i="722"/>
  <c r="G66" i="722"/>
  <c r="N65" i="722"/>
  <c r="K65" i="722"/>
  <c r="J65" i="722"/>
  <c r="I65" i="722"/>
  <c r="H65" i="722"/>
  <c r="G65" i="722"/>
  <c r="N64" i="722"/>
  <c r="K64" i="722"/>
  <c r="J64" i="722"/>
  <c r="I64" i="722"/>
  <c r="H64" i="722"/>
  <c r="G64" i="722"/>
  <c r="N63" i="722"/>
  <c r="K63" i="722"/>
  <c r="J63" i="722"/>
  <c r="I63" i="722"/>
  <c r="H63" i="722"/>
  <c r="G63" i="722"/>
  <c r="N62" i="722"/>
  <c r="K62" i="722"/>
  <c r="J62" i="722"/>
  <c r="I62" i="722"/>
  <c r="H62" i="722"/>
  <c r="G62" i="722"/>
  <c r="N61" i="722"/>
  <c r="K61" i="722"/>
  <c r="J61" i="722"/>
  <c r="I61" i="722"/>
  <c r="H61" i="722"/>
  <c r="G61" i="722"/>
  <c r="N60" i="722"/>
  <c r="K60" i="722"/>
  <c r="J60" i="722"/>
  <c r="I60" i="722"/>
  <c r="H60" i="722"/>
  <c r="G60" i="722"/>
  <c r="N59" i="722"/>
  <c r="K59" i="722"/>
  <c r="J59" i="722"/>
  <c r="I59" i="722"/>
  <c r="H59" i="722"/>
  <c r="G59" i="722"/>
  <c r="N58" i="722"/>
  <c r="K58" i="722"/>
  <c r="J58" i="722"/>
  <c r="I58" i="722"/>
  <c r="H58" i="722"/>
  <c r="G58" i="722"/>
  <c r="N57" i="722"/>
  <c r="K57" i="722"/>
  <c r="J57" i="722"/>
  <c r="I57" i="722"/>
  <c r="H57" i="722"/>
  <c r="G57" i="722"/>
  <c r="N56" i="722"/>
  <c r="K56" i="722"/>
  <c r="J56" i="722"/>
  <c r="I56" i="722"/>
  <c r="H56" i="722"/>
  <c r="G56" i="722"/>
  <c r="N55" i="722"/>
  <c r="K55" i="722"/>
  <c r="J55" i="722"/>
  <c r="I55" i="722"/>
  <c r="H55" i="722"/>
  <c r="G55" i="722"/>
  <c r="N54" i="722"/>
  <c r="K54" i="722"/>
  <c r="J54" i="722"/>
  <c r="I54" i="722"/>
  <c r="H54" i="722"/>
  <c r="G54" i="722"/>
  <c r="N53" i="722"/>
  <c r="K53" i="722"/>
  <c r="J53" i="722"/>
  <c r="I53" i="722"/>
  <c r="H53" i="722"/>
  <c r="G53" i="722"/>
  <c r="N52" i="722"/>
  <c r="K52" i="722"/>
  <c r="J52" i="722"/>
  <c r="I52" i="722"/>
  <c r="H52" i="722"/>
  <c r="G52" i="722"/>
  <c r="N51" i="722"/>
  <c r="K51" i="722"/>
  <c r="J51" i="722"/>
  <c r="I51" i="722"/>
  <c r="H51" i="722"/>
  <c r="G51" i="722"/>
  <c r="N50" i="722"/>
  <c r="K50" i="722"/>
  <c r="J50" i="722"/>
  <c r="I50" i="722"/>
  <c r="H50" i="722"/>
  <c r="G50" i="722"/>
  <c r="N49" i="722"/>
  <c r="K49" i="722"/>
  <c r="J49" i="722"/>
  <c r="I49" i="722"/>
  <c r="H49" i="722"/>
  <c r="G49" i="722"/>
  <c r="N48" i="722"/>
  <c r="K48" i="722"/>
  <c r="J48" i="722"/>
  <c r="I48" i="722"/>
  <c r="H48" i="722"/>
  <c r="G48" i="722"/>
  <c r="N47" i="722"/>
  <c r="K47" i="722"/>
  <c r="J47" i="722"/>
  <c r="I47" i="722"/>
  <c r="H47" i="722"/>
  <c r="G47" i="722"/>
  <c r="N46" i="722"/>
  <c r="K46" i="722"/>
  <c r="J46" i="722"/>
  <c r="I46" i="722"/>
  <c r="H46" i="722"/>
  <c r="G46" i="722"/>
  <c r="N45" i="722"/>
  <c r="K45" i="722"/>
  <c r="J45" i="722"/>
  <c r="I45" i="722"/>
  <c r="H45" i="722"/>
  <c r="G45" i="722"/>
  <c r="N44" i="722"/>
  <c r="K44" i="722"/>
  <c r="J44" i="722"/>
  <c r="I44" i="722"/>
  <c r="H44" i="722"/>
  <c r="G44" i="722"/>
  <c r="N43" i="722"/>
  <c r="K43" i="722"/>
  <c r="J43" i="722"/>
  <c r="I43" i="722"/>
  <c r="H43" i="722"/>
  <c r="G43" i="722"/>
  <c r="N42" i="722"/>
  <c r="K42" i="722"/>
  <c r="J42" i="722"/>
  <c r="I42" i="722"/>
  <c r="H42" i="722"/>
  <c r="G42" i="722"/>
  <c r="N41" i="722"/>
  <c r="K41" i="722"/>
  <c r="J41" i="722"/>
  <c r="I41" i="722"/>
  <c r="H41" i="722"/>
  <c r="G41" i="722"/>
  <c r="N40" i="722"/>
  <c r="K40" i="722"/>
  <c r="J40" i="722"/>
  <c r="I40" i="722"/>
  <c r="H40" i="722"/>
  <c r="G40" i="722"/>
  <c r="N39" i="722"/>
  <c r="K39" i="722"/>
  <c r="J39" i="722"/>
  <c r="I39" i="722"/>
  <c r="H39" i="722"/>
  <c r="G39" i="722"/>
  <c r="N38" i="722"/>
  <c r="K38" i="722"/>
  <c r="J38" i="722"/>
  <c r="I38" i="722"/>
  <c r="H38" i="722"/>
  <c r="G38" i="722"/>
  <c r="N37" i="722"/>
  <c r="K37" i="722"/>
  <c r="J37" i="722"/>
  <c r="I37" i="722"/>
  <c r="H37" i="722"/>
  <c r="G37" i="722"/>
  <c r="N36" i="722"/>
  <c r="K36" i="722"/>
  <c r="J36" i="722"/>
  <c r="I36" i="722"/>
  <c r="H36" i="722"/>
  <c r="G36" i="722"/>
  <c r="N35" i="722"/>
  <c r="K35" i="722"/>
  <c r="J35" i="722"/>
  <c r="I35" i="722"/>
  <c r="H35" i="722"/>
  <c r="G35" i="722"/>
  <c r="N34" i="722"/>
  <c r="K34" i="722"/>
  <c r="J34" i="722"/>
  <c r="I34" i="722"/>
  <c r="H34" i="722"/>
  <c r="G34" i="722"/>
  <c r="N33" i="722"/>
  <c r="K33" i="722"/>
  <c r="J33" i="722"/>
  <c r="I33" i="722"/>
  <c r="H33" i="722"/>
  <c r="G33" i="722"/>
  <c r="N32" i="722"/>
  <c r="K32" i="722"/>
  <c r="J32" i="722"/>
  <c r="I32" i="722"/>
  <c r="H32" i="722"/>
  <c r="G32" i="722"/>
  <c r="N31" i="722"/>
  <c r="K31" i="722"/>
  <c r="J31" i="722"/>
  <c r="I31" i="722"/>
  <c r="H31" i="722"/>
  <c r="G31" i="722"/>
  <c r="N30" i="722"/>
  <c r="K30" i="722"/>
  <c r="J30" i="722"/>
  <c r="I30" i="722"/>
  <c r="H30" i="722"/>
  <c r="G30" i="722"/>
  <c r="N29" i="722"/>
  <c r="K29" i="722"/>
  <c r="J29" i="722"/>
  <c r="I29" i="722"/>
  <c r="H29" i="722"/>
  <c r="G29" i="722"/>
  <c r="N28" i="722"/>
  <c r="K28" i="722"/>
  <c r="J28" i="722"/>
  <c r="I28" i="722"/>
  <c r="H28" i="722"/>
  <c r="G28" i="722"/>
  <c r="N27" i="722"/>
  <c r="K27" i="722"/>
  <c r="J27" i="722"/>
  <c r="I27" i="722"/>
  <c r="H27" i="722"/>
  <c r="G27" i="722"/>
  <c r="N26" i="722"/>
  <c r="K26" i="722"/>
  <c r="J26" i="722"/>
  <c r="I26" i="722"/>
  <c r="H26" i="722"/>
  <c r="G26" i="722"/>
  <c r="N25" i="722"/>
  <c r="K25" i="722"/>
  <c r="J25" i="722"/>
  <c r="I25" i="722"/>
  <c r="H25" i="722"/>
  <c r="G25" i="722"/>
  <c r="N24" i="722"/>
  <c r="K24" i="722"/>
  <c r="J24" i="722"/>
  <c r="I24" i="722"/>
  <c r="H24" i="722"/>
  <c r="G24" i="722"/>
  <c r="N23" i="722"/>
  <c r="K23" i="722"/>
  <c r="J23" i="722"/>
  <c r="I23" i="722"/>
  <c r="H23" i="722"/>
  <c r="G23" i="722"/>
  <c r="N22" i="722"/>
  <c r="K22" i="722"/>
  <c r="J22" i="722"/>
  <c r="I22" i="722"/>
  <c r="H22" i="722"/>
  <c r="G22" i="722"/>
  <c r="N21" i="722"/>
  <c r="K21" i="722"/>
  <c r="J21" i="722"/>
  <c r="I21" i="722"/>
  <c r="H21" i="722"/>
  <c r="G21" i="722"/>
  <c r="N20" i="722"/>
  <c r="K20" i="722"/>
  <c r="J20" i="722"/>
  <c r="I20" i="722"/>
  <c r="H20" i="722"/>
  <c r="G20" i="722"/>
  <c r="N19" i="722"/>
  <c r="K19" i="722"/>
  <c r="J19" i="722"/>
  <c r="I19" i="722"/>
  <c r="H19" i="722"/>
  <c r="G19" i="722"/>
  <c r="N18" i="722"/>
  <c r="K18" i="722"/>
  <c r="J18" i="722"/>
  <c r="I18" i="722"/>
  <c r="H18" i="722"/>
  <c r="G18" i="722"/>
  <c r="N17" i="722"/>
  <c r="K17" i="722"/>
  <c r="J17" i="722"/>
  <c r="I17" i="722"/>
  <c r="H17" i="722"/>
  <c r="G17" i="722"/>
  <c r="N16" i="722"/>
  <c r="K16" i="722"/>
  <c r="J16" i="722"/>
  <c r="I16" i="722"/>
  <c r="H16" i="722"/>
  <c r="G16" i="722"/>
  <c r="N15" i="722"/>
  <c r="K15" i="722"/>
  <c r="J15" i="722"/>
  <c r="I15" i="722"/>
  <c r="H15" i="722"/>
  <c r="G15" i="722"/>
  <c r="N14" i="722"/>
  <c r="K14" i="722"/>
  <c r="J14" i="722"/>
  <c r="I14" i="722"/>
  <c r="H14" i="722"/>
  <c r="G14" i="722"/>
  <c r="N13" i="722"/>
  <c r="K13" i="722"/>
  <c r="J13" i="722"/>
  <c r="I13" i="722"/>
  <c r="H13" i="722"/>
  <c r="G13" i="722"/>
  <c r="N12" i="722"/>
  <c r="K12" i="722"/>
  <c r="J12" i="722"/>
  <c r="I12" i="722"/>
  <c r="H12" i="722"/>
  <c r="G12" i="722"/>
  <c r="N11" i="722"/>
  <c r="K11" i="722"/>
  <c r="J11" i="722"/>
  <c r="I11" i="722"/>
  <c r="H11" i="722"/>
  <c r="G11" i="722"/>
  <c r="N10" i="722"/>
  <c r="K10" i="722"/>
  <c r="J10" i="722"/>
  <c r="I10" i="722"/>
  <c r="H10" i="722"/>
  <c r="G10" i="722"/>
  <c r="N9" i="722"/>
  <c r="K9" i="722"/>
  <c r="J9" i="722"/>
  <c r="I9" i="722"/>
  <c r="H9" i="722"/>
  <c r="G9" i="722"/>
  <c r="O10" i="5" l="1"/>
  <c r="K10" i="5"/>
  <c r="L10" i="5"/>
  <c r="M10" i="5" s="1"/>
  <c r="L9" i="5"/>
  <c r="M9" i="5" s="1"/>
  <c r="O9" i="5"/>
  <c r="K9" i="5"/>
  <c r="L8" i="5"/>
  <c r="M8" i="5" s="1"/>
  <c r="O8" i="5"/>
  <c r="K8" i="5"/>
  <c r="O528" i="722"/>
  <c r="O534" i="722"/>
  <c r="O540" i="722"/>
  <c r="O546" i="722"/>
  <c r="O552" i="722"/>
  <c r="O558" i="722"/>
  <c r="O564" i="722"/>
  <c r="O570" i="722"/>
  <c r="O576" i="722"/>
  <c r="O672" i="722"/>
  <c r="O678" i="722"/>
  <c r="O684" i="722"/>
  <c r="O690" i="722"/>
  <c r="O696" i="722"/>
  <c r="O702" i="722"/>
  <c r="O708" i="722"/>
  <c r="O714" i="722"/>
  <c r="O732" i="722"/>
  <c r="O750" i="722"/>
  <c r="O756" i="722"/>
  <c r="O762" i="722"/>
  <c r="O768" i="722"/>
  <c r="O780" i="722"/>
  <c r="O786" i="722"/>
  <c r="O792" i="722"/>
  <c r="O798" i="722"/>
  <c r="O804" i="722"/>
  <c r="O810" i="722"/>
  <c r="O816" i="722"/>
  <c r="O822" i="722"/>
  <c r="O828" i="722"/>
  <c r="O834" i="722"/>
  <c r="O840" i="722"/>
  <c r="O846" i="722"/>
  <c r="O852" i="722"/>
  <c r="O95" i="722"/>
  <c r="O101" i="722"/>
  <c r="O107" i="722"/>
  <c r="O113" i="722"/>
  <c r="O119" i="722"/>
  <c r="O125" i="722"/>
  <c r="O131" i="722"/>
  <c r="O137" i="722"/>
  <c r="O149" i="722"/>
  <c r="O155" i="722"/>
  <c r="O161" i="722"/>
  <c r="O167" i="722"/>
  <c r="O173" i="722"/>
  <c r="O179" i="722"/>
  <c r="O185" i="722"/>
  <c r="O941" i="722"/>
  <c r="O947" i="722"/>
  <c r="O953" i="722"/>
  <c r="O959" i="722"/>
  <c r="O965" i="722"/>
  <c r="O971" i="722"/>
  <c r="O977" i="722"/>
  <c r="O983" i="722"/>
  <c r="O989" i="722"/>
  <c r="O995" i="722"/>
  <c r="O1001" i="722"/>
  <c r="O191" i="722"/>
  <c r="O143" i="722"/>
  <c r="O197" i="722"/>
  <c r="O251" i="722"/>
  <c r="O257" i="722"/>
  <c r="O263" i="722"/>
  <c r="O269" i="722"/>
  <c r="O275" i="722"/>
  <c r="O287" i="722"/>
  <c r="O299" i="722"/>
  <c r="O305" i="722"/>
  <c r="O311" i="722"/>
  <c r="O317" i="722"/>
  <c r="O323" i="722"/>
  <c r="O329" i="722"/>
  <c r="O335" i="722"/>
  <c r="O341" i="722"/>
  <c r="O347" i="722"/>
  <c r="O592" i="722"/>
  <c r="O598" i="722"/>
  <c r="O604" i="722"/>
  <c r="O610" i="722"/>
  <c r="O616" i="722"/>
  <c r="O622" i="722"/>
  <c r="O628" i="722"/>
  <c r="O634" i="722"/>
  <c r="O670" i="722"/>
  <c r="O676" i="722"/>
  <c r="O682" i="722"/>
  <c r="O688" i="722"/>
  <c r="O694" i="722"/>
  <c r="O700" i="722"/>
  <c r="O706" i="722"/>
  <c r="O712" i="722"/>
  <c r="O724" i="722"/>
  <c r="O730" i="722"/>
  <c r="O736" i="722"/>
  <c r="O742" i="722"/>
  <c r="O748" i="722"/>
  <c r="O754" i="722"/>
  <c r="O760" i="722"/>
  <c r="O766" i="722"/>
  <c r="O772" i="722"/>
  <c r="O778" i="722"/>
  <c r="O784" i="722"/>
  <c r="O790" i="722"/>
  <c r="O796" i="722"/>
  <c r="O802" i="722"/>
  <c r="O808" i="722"/>
  <c r="O814" i="722"/>
  <c r="O820" i="722"/>
  <c r="O826" i="722"/>
  <c r="O832" i="722"/>
  <c r="O838" i="722"/>
  <c r="O844" i="722"/>
  <c r="O850" i="722"/>
  <c r="O856" i="722"/>
  <c r="O862" i="722"/>
  <c r="O868" i="722"/>
  <c r="O874" i="722"/>
  <c r="O880" i="722"/>
  <c r="O886" i="722"/>
  <c r="O892" i="722"/>
  <c r="O898" i="722"/>
  <c r="O904" i="722"/>
  <c r="O910" i="722"/>
  <c r="O916" i="722"/>
  <c r="O353" i="722"/>
  <c r="O359" i="722"/>
  <c r="O365" i="722"/>
  <c r="O371" i="722"/>
  <c r="O377" i="722"/>
  <c r="O383" i="722"/>
  <c r="O389" i="722"/>
  <c r="O395" i="722"/>
  <c r="O401" i="722"/>
  <c r="O407" i="722"/>
  <c r="O413" i="722"/>
  <c r="O419" i="722"/>
  <c r="O425" i="722"/>
  <c r="O431" i="722"/>
  <c r="O437" i="722"/>
  <c r="O443" i="722"/>
  <c r="O449" i="722"/>
  <c r="O455" i="722"/>
  <c r="O461" i="722"/>
  <c r="O99" i="722"/>
  <c r="O105" i="722"/>
  <c r="O111" i="722"/>
  <c r="O117" i="722"/>
  <c r="O123" i="722"/>
  <c r="O129" i="722"/>
  <c r="O135" i="722"/>
  <c r="O141" i="722"/>
  <c r="O147" i="722"/>
  <c r="O153" i="722"/>
  <c r="O159" i="722"/>
  <c r="O165" i="722"/>
  <c r="O171" i="722"/>
  <c r="O177" i="722"/>
  <c r="O183" i="722"/>
  <c r="O189" i="722"/>
  <c r="O195" i="722"/>
  <c r="O201" i="722"/>
  <c r="O249" i="722"/>
  <c r="O255" i="722"/>
  <c r="O97" i="722"/>
  <c r="O103" i="722"/>
  <c r="O109" i="722"/>
  <c r="O115" i="722"/>
  <c r="O121" i="722"/>
  <c r="O127" i="722"/>
  <c r="O133" i="722"/>
  <c r="O139" i="722"/>
  <c r="O261" i="722"/>
  <c r="O267" i="722"/>
  <c r="O273" i="722"/>
  <c r="O285" i="722"/>
  <c r="O297" i="722"/>
  <c r="O303" i="722"/>
  <c r="O309" i="722"/>
  <c r="O315" i="722"/>
  <c r="O321" i="722"/>
  <c r="O339" i="722"/>
  <c r="O345" i="722"/>
  <c r="O351" i="722"/>
  <c r="O357" i="722"/>
  <c r="O363" i="722"/>
  <c r="O369" i="722"/>
  <c r="O375" i="722"/>
  <c r="O381" i="722"/>
  <c r="O387" i="722"/>
  <c r="O393" i="722"/>
  <c r="O399" i="722"/>
  <c r="O405" i="722"/>
  <c r="O411" i="722"/>
  <c r="O417" i="722"/>
  <c r="O423" i="722"/>
  <c r="O429" i="722"/>
  <c r="O435" i="722"/>
  <c r="O441" i="722"/>
  <c r="O447" i="722"/>
  <c r="O453" i="722"/>
  <c r="O459" i="722"/>
  <c r="O465" i="722"/>
  <c r="O471" i="722"/>
  <c r="O477" i="722"/>
  <c r="O483" i="722"/>
  <c r="O489" i="722"/>
  <c r="O495" i="722"/>
  <c r="O501" i="722"/>
  <c r="O507" i="722"/>
  <c r="O513" i="722"/>
  <c r="O519" i="722"/>
  <c r="O525" i="722"/>
  <c r="O537" i="722"/>
  <c r="O591" i="722"/>
  <c r="O597" i="722"/>
  <c r="O603" i="722"/>
  <c r="O609" i="722"/>
  <c r="O615" i="722"/>
  <c r="O621" i="722"/>
  <c r="O627" i="722"/>
  <c r="O633" i="722"/>
  <c r="O639" i="722"/>
  <c r="O645" i="722"/>
  <c r="O651" i="722"/>
  <c r="O657" i="722"/>
  <c r="O663" i="722"/>
  <c r="O669" i="722"/>
  <c r="O675" i="722"/>
  <c r="O681" i="722"/>
  <c r="O687" i="722"/>
  <c r="O693" i="722"/>
  <c r="O699" i="722"/>
  <c r="O705" i="722"/>
  <c r="O711" i="722"/>
  <c r="O717" i="722"/>
  <c r="O723" i="722"/>
  <c r="O729" i="722"/>
  <c r="O735" i="722"/>
  <c r="O741" i="722"/>
  <c r="O747" i="722"/>
  <c r="O777" i="722"/>
  <c r="O783" i="722"/>
  <c r="O921" i="722"/>
  <c r="O927" i="722"/>
  <c r="O933" i="722"/>
  <c r="O939" i="722"/>
  <c r="O945" i="722"/>
  <c r="O951" i="722"/>
  <c r="O957" i="722"/>
  <c r="O963" i="722"/>
  <c r="O969" i="722"/>
  <c r="O975" i="722"/>
  <c r="O981" i="722"/>
  <c r="O987" i="722"/>
  <c r="O993" i="722"/>
  <c r="O999" i="722"/>
  <c r="O467" i="722"/>
  <c r="O473" i="722"/>
  <c r="O479" i="722"/>
  <c r="O485" i="722"/>
  <c r="O491" i="722"/>
  <c r="O497" i="722"/>
  <c r="O503" i="722"/>
  <c r="O509" i="722"/>
  <c r="O515" i="722"/>
  <c r="O647" i="722"/>
  <c r="O653" i="722"/>
  <c r="O858" i="722"/>
  <c r="O864" i="722"/>
  <c r="O870" i="722"/>
  <c r="O876" i="722"/>
  <c r="O882" i="722"/>
  <c r="O888" i="722"/>
  <c r="O145" i="722"/>
  <c r="O151" i="722"/>
  <c r="O157" i="722"/>
  <c r="O163" i="722"/>
  <c r="O169" i="722"/>
  <c r="O175" i="722"/>
  <c r="O181" i="722"/>
  <c r="O187" i="722"/>
  <c r="O193" i="722"/>
  <c r="O247" i="722"/>
  <c r="O253" i="722"/>
  <c r="O259" i="722"/>
  <c r="O265" i="722"/>
  <c r="O271" i="722"/>
  <c r="O277" i="722"/>
  <c r="O283" i="722"/>
  <c r="O289" i="722"/>
  <c r="O295" i="722"/>
  <c r="O301" i="722"/>
  <c r="O307" i="722"/>
  <c r="O313" i="722"/>
  <c r="O319" i="722"/>
  <c r="O325" i="722"/>
  <c r="O337" i="722"/>
  <c r="O343" i="722"/>
  <c r="O349" i="722"/>
  <c r="O355" i="722"/>
  <c r="O361" i="722"/>
  <c r="O367" i="722"/>
  <c r="O373" i="722"/>
  <c r="O379" i="722"/>
  <c r="O385" i="722"/>
  <c r="O391" i="722"/>
  <c r="O907" i="722"/>
  <c r="O919" i="722"/>
  <c r="O925" i="722"/>
  <c r="O931" i="722"/>
  <c r="O937" i="722"/>
  <c r="O967" i="722"/>
  <c r="O973" i="722"/>
  <c r="O979" i="722"/>
  <c r="O985" i="722"/>
  <c r="O991" i="722"/>
  <c r="O98" i="722"/>
  <c r="O104" i="722"/>
  <c r="O110" i="722"/>
  <c r="O116" i="722"/>
  <c r="O122" i="722"/>
  <c r="O128" i="722"/>
  <c r="O134" i="722"/>
  <c r="O140" i="722"/>
  <c r="O146" i="722"/>
  <c r="O152" i="722"/>
  <c r="O158" i="722"/>
  <c r="O164" i="722"/>
  <c r="O170" i="722"/>
  <c r="O176" i="722"/>
  <c r="O182" i="722"/>
  <c r="O188" i="722"/>
  <c r="O194" i="722"/>
  <c r="O200" i="722"/>
  <c r="O206" i="722"/>
  <c r="O212" i="722"/>
  <c r="O218" i="722"/>
  <c r="O224" i="722"/>
  <c r="O230" i="722"/>
  <c r="O236" i="722"/>
  <c r="O242" i="722"/>
  <c r="O248" i="722"/>
  <c r="O100" i="722"/>
  <c r="O106" i="722"/>
  <c r="O112" i="722"/>
  <c r="O118" i="722"/>
  <c r="O124" i="722"/>
  <c r="O130" i="722"/>
  <c r="O136" i="722"/>
  <c r="O142" i="722"/>
  <c r="O148" i="722"/>
  <c r="O154" i="722"/>
  <c r="O160" i="722"/>
  <c r="O166" i="722"/>
  <c r="O172" i="722"/>
  <c r="O178" i="722"/>
  <c r="O184" i="722"/>
  <c r="O190" i="722"/>
  <c r="O196" i="722"/>
  <c r="O96" i="722"/>
  <c r="O102" i="722"/>
  <c r="O108" i="722"/>
  <c r="O114" i="722"/>
  <c r="O120" i="722"/>
  <c r="O126" i="722"/>
  <c r="O132" i="722"/>
  <c r="O138" i="722"/>
  <c r="O144" i="722"/>
  <c r="O150" i="722"/>
  <c r="O156" i="722"/>
  <c r="O162" i="722"/>
  <c r="O168" i="722"/>
  <c r="O174" i="722"/>
  <c r="O180" i="722"/>
  <c r="O186" i="722"/>
  <c r="O192" i="722"/>
  <c r="O198" i="722"/>
  <c r="O204" i="722"/>
  <c r="O210" i="722"/>
  <c r="O216" i="722"/>
  <c r="O222" i="722"/>
  <c r="O254" i="722"/>
  <c r="O260" i="722"/>
  <c r="O266" i="722"/>
  <c r="O272" i="722"/>
  <c r="O278" i="722"/>
  <c r="O284" i="722"/>
  <c r="O290" i="722"/>
  <c r="O296" i="722"/>
  <c r="O302" i="722"/>
  <c r="O308" i="722"/>
  <c r="O314" i="722"/>
  <c r="O320" i="722"/>
  <c r="O326" i="722"/>
  <c r="O332" i="722"/>
  <c r="O338" i="722"/>
  <c r="O344" i="722"/>
  <c r="O350" i="722"/>
  <c r="O356" i="722"/>
  <c r="O530" i="722"/>
  <c r="O536" i="722"/>
  <c r="O542" i="722"/>
  <c r="O548" i="722"/>
  <c r="O554" i="722"/>
  <c r="O560" i="722"/>
  <c r="O566" i="722"/>
  <c r="O572" i="722"/>
  <c r="O578" i="722"/>
  <c r="O584" i="722"/>
  <c r="O590" i="722"/>
  <c r="O596" i="722"/>
  <c r="O602" i="722"/>
  <c r="O608" i="722"/>
  <c r="O614" i="722"/>
  <c r="O620" i="722"/>
  <c r="O626" i="722"/>
  <c r="O632" i="722"/>
  <c r="O638" i="722"/>
  <c r="O644" i="722"/>
  <c r="O650" i="722"/>
  <c r="O656" i="722"/>
  <c r="O662" i="722"/>
  <c r="O668" i="722"/>
  <c r="O674" i="722"/>
  <c r="O680" i="722"/>
  <c r="O686" i="722"/>
  <c r="O692" i="722"/>
  <c r="O698" i="722"/>
  <c r="O704" i="722"/>
  <c r="O710" i="722"/>
  <c r="O716" i="722"/>
  <c r="O722" i="722"/>
  <c r="O728" i="722"/>
  <c r="O734" i="722"/>
  <c r="O740" i="722"/>
  <c r="O746" i="722"/>
  <c r="O752" i="722"/>
  <c r="O758" i="722"/>
  <c r="O764" i="722"/>
  <c r="O782" i="722"/>
  <c r="O788" i="722"/>
  <c r="O794" i="722"/>
  <c r="O800" i="722"/>
  <c r="O806" i="722"/>
  <c r="O812" i="722"/>
  <c r="O818" i="722"/>
  <c r="O824" i="722"/>
  <c r="O830" i="722"/>
  <c r="O836" i="722"/>
  <c r="O842" i="722"/>
  <c r="O848" i="722"/>
  <c r="O854" i="722"/>
  <c r="O860" i="722"/>
  <c r="O866" i="722"/>
  <c r="O872" i="722"/>
  <c r="O878" i="722"/>
  <c r="O884" i="722"/>
  <c r="O890" i="722"/>
  <c r="O896" i="722"/>
  <c r="O902" i="722"/>
  <c r="O908" i="722"/>
  <c r="O914" i="722"/>
  <c r="O920" i="722"/>
  <c r="O926" i="722"/>
  <c r="O932" i="722"/>
  <c r="O938" i="722"/>
  <c r="O202" i="722"/>
  <c r="O208" i="722"/>
  <c r="O214" i="722"/>
  <c r="O220" i="722"/>
  <c r="O226" i="722"/>
  <c r="O232" i="722"/>
  <c r="O238" i="722"/>
  <c r="O244" i="722"/>
  <c r="O521" i="722"/>
  <c r="O527" i="722"/>
  <c r="O533" i="722"/>
  <c r="O539" i="722"/>
  <c r="O659" i="722"/>
  <c r="O665" i="722"/>
  <c r="O671" i="722"/>
  <c r="O677" i="722"/>
  <c r="O683" i="722"/>
  <c r="O689" i="722"/>
  <c r="O695" i="722"/>
  <c r="O701" i="722"/>
  <c r="O707" i="722"/>
  <c r="O713" i="722"/>
  <c r="O773" i="722"/>
  <c r="O779" i="722"/>
  <c r="O785" i="722"/>
  <c r="O228" i="722"/>
  <c r="O234" i="722"/>
  <c r="O240" i="722"/>
  <c r="O246" i="722"/>
  <c r="O252" i="722"/>
  <c r="O258" i="722"/>
  <c r="O264" i="722"/>
  <c r="O270" i="722"/>
  <c r="O276" i="722"/>
  <c r="O282" i="722"/>
  <c r="O288" i="722"/>
  <c r="O294" i="722"/>
  <c r="O300" i="722"/>
  <c r="O306" i="722"/>
  <c r="O312" i="722"/>
  <c r="O318" i="722"/>
  <c r="O324" i="722"/>
  <c r="O330" i="722"/>
  <c r="O336" i="722"/>
  <c r="O342" i="722"/>
  <c r="O348" i="722"/>
  <c r="O354" i="722"/>
  <c r="O582" i="722"/>
  <c r="O894" i="722"/>
  <c r="O900" i="722"/>
  <c r="O906" i="722"/>
  <c r="O912" i="722"/>
  <c r="O397" i="722"/>
  <c r="O403" i="722"/>
  <c r="O409" i="722"/>
  <c r="O415" i="722"/>
  <c r="O421" i="722"/>
  <c r="O427" i="722"/>
  <c r="O433" i="722"/>
  <c r="O439" i="722"/>
  <c r="O445" i="722"/>
  <c r="O451" i="722"/>
  <c r="O457" i="722"/>
  <c r="O463" i="722"/>
  <c r="O469" i="722"/>
  <c r="O475" i="722"/>
  <c r="O481" i="722"/>
  <c r="O487" i="722"/>
  <c r="O493" i="722"/>
  <c r="O499" i="722"/>
  <c r="O505" i="722"/>
  <c r="O511" i="722"/>
  <c r="O517" i="722"/>
  <c r="O523" i="722"/>
  <c r="O589" i="722"/>
  <c r="O595" i="722"/>
  <c r="O601" i="722"/>
  <c r="O607" i="722"/>
  <c r="O613" i="722"/>
  <c r="O619" i="722"/>
  <c r="O625" i="722"/>
  <c r="O631" i="722"/>
  <c r="O637" i="722"/>
  <c r="O643" i="722"/>
  <c r="O775" i="722"/>
  <c r="O781" i="722"/>
  <c r="O799" i="722"/>
  <c r="O817" i="722"/>
  <c r="O853" i="722"/>
  <c r="O871" i="722"/>
  <c r="O997" i="722"/>
  <c r="L12" i="722"/>
  <c r="M12" i="722" s="1"/>
  <c r="O12" i="722" s="1"/>
  <c r="L14" i="722"/>
  <c r="M14" i="722" s="1"/>
  <c r="O14" i="722" s="1"/>
  <c r="L44" i="722"/>
  <c r="M44" i="722" s="1"/>
  <c r="O44" i="722" s="1"/>
  <c r="L50" i="722"/>
  <c r="M50" i="722" s="1"/>
  <c r="O50" i="722" s="1"/>
  <c r="L56" i="722"/>
  <c r="M56" i="722" s="1"/>
  <c r="O56" i="722" s="1"/>
  <c r="L122" i="722"/>
  <c r="O298" i="722"/>
  <c r="L301" i="722"/>
  <c r="O310" i="722"/>
  <c r="O316" i="722"/>
  <c r="L319" i="722"/>
  <c r="O334" i="722"/>
  <c r="L194" i="722"/>
  <c r="O203" i="722"/>
  <c r="O209" i="722"/>
  <c r="O215" i="722"/>
  <c r="O221" i="722"/>
  <c r="L729" i="722"/>
  <c r="O791" i="722"/>
  <c r="O797" i="722"/>
  <c r="L801" i="722"/>
  <c r="O803" i="722"/>
  <c r="L807" i="722"/>
  <c r="O809" i="722"/>
  <c r="L813" i="722"/>
  <c r="O815" i="722"/>
  <c r="L819" i="722"/>
  <c r="L825" i="722"/>
  <c r="L831" i="722"/>
  <c r="L837" i="722"/>
  <c r="L843" i="722"/>
  <c r="L938" i="722"/>
  <c r="O227" i="722"/>
  <c r="O233" i="722"/>
  <c r="O239" i="722"/>
  <c r="L267" i="722"/>
  <c r="O541" i="722"/>
  <c r="O547" i="722"/>
  <c r="O553" i="722"/>
  <c r="O559" i="722"/>
  <c r="O565" i="722"/>
  <c r="O571" i="722"/>
  <c r="L646" i="722"/>
  <c r="L652" i="722"/>
  <c r="L31" i="722"/>
  <c r="M31" i="722" s="1"/>
  <c r="O31" i="722" s="1"/>
  <c r="L37" i="722"/>
  <c r="M37" i="722" s="1"/>
  <c r="O37" i="722" s="1"/>
  <c r="L43" i="722"/>
  <c r="M43" i="722" s="1"/>
  <c r="O43" i="722" s="1"/>
  <c r="L49" i="722"/>
  <c r="M49" i="722" s="1"/>
  <c r="O49" i="722" s="1"/>
  <c r="L55" i="722"/>
  <c r="M55" i="722" s="1"/>
  <c r="O55" i="722" s="1"/>
  <c r="L61" i="722"/>
  <c r="M61" i="722" s="1"/>
  <c r="O61" i="722" s="1"/>
  <c r="L67" i="722"/>
  <c r="M67" i="722" s="1"/>
  <c r="O67" i="722" s="1"/>
  <c r="L73" i="722"/>
  <c r="M73" i="722" s="1"/>
  <c r="O73" i="722" s="1"/>
  <c r="L79" i="722"/>
  <c r="M79" i="722" s="1"/>
  <c r="O79" i="722" s="1"/>
  <c r="L85" i="722"/>
  <c r="M85" i="722" s="1"/>
  <c r="O85" i="722" s="1"/>
  <c r="L91" i="722"/>
  <c r="M91" i="722" s="1"/>
  <c r="O91" i="722" s="1"/>
  <c r="L97" i="722"/>
  <c r="L103" i="722"/>
  <c r="L109" i="722"/>
  <c r="L115" i="722"/>
  <c r="L121" i="722"/>
  <c r="L127" i="722"/>
  <c r="L139" i="722"/>
  <c r="L151" i="722"/>
  <c r="L157" i="722"/>
  <c r="L163" i="722"/>
  <c r="L169" i="722"/>
  <c r="L175" i="722"/>
  <c r="L181" i="722"/>
  <c r="L193" i="722"/>
  <c r="L199" i="722"/>
  <c r="L205" i="722"/>
  <c r="O751" i="722"/>
  <c r="O787" i="722"/>
  <c r="O793" i="722"/>
  <c r="O823" i="722"/>
  <c r="O829" i="722"/>
  <c r="O924" i="722"/>
  <c r="L927" i="722"/>
  <c r="L820" i="722"/>
  <c r="L826" i="722"/>
  <c r="L832" i="722"/>
  <c r="L838" i="722"/>
  <c r="L844" i="722"/>
  <c r="L19" i="722"/>
  <c r="M19" i="722" s="1"/>
  <c r="O19" i="722" s="1"/>
  <c r="L21" i="722"/>
  <c r="M21" i="722" s="1"/>
  <c r="O21" i="722" s="1"/>
  <c r="L34" i="722"/>
  <c r="M34" i="722" s="1"/>
  <c r="O34" i="722" s="1"/>
  <c r="L58" i="722"/>
  <c r="M58" i="722" s="1"/>
  <c r="O58" i="722" s="1"/>
  <c r="L64" i="722"/>
  <c r="M64" i="722" s="1"/>
  <c r="O64" i="722" s="1"/>
  <c r="L70" i="722"/>
  <c r="M70" i="722" s="1"/>
  <c r="O70" i="722" s="1"/>
  <c r="L76" i="722"/>
  <c r="M76" i="722" s="1"/>
  <c r="O76" i="722" s="1"/>
  <c r="L88" i="722"/>
  <c r="M88" i="722" s="1"/>
  <c r="O88" i="722" s="1"/>
  <c r="L94" i="722"/>
  <c r="M94" i="722" s="1"/>
  <c r="O94" i="722" s="1"/>
  <c r="L285" i="722"/>
  <c r="L602" i="722"/>
  <c r="O605" i="722"/>
  <c r="L608" i="722"/>
  <c r="L9" i="722"/>
  <c r="M9" i="722" s="1"/>
  <c r="O9" i="722" s="1"/>
  <c r="L11" i="722"/>
  <c r="M11" i="722" s="1"/>
  <c r="O11" i="722" s="1"/>
  <c r="L247" i="722"/>
  <c r="O362" i="722"/>
  <c r="L725" i="722"/>
  <c r="L338" i="722"/>
  <c r="O352" i="722"/>
  <c r="L355" i="722"/>
  <c r="L356" i="722"/>
  <c r="O531" i="722"/>
  <c r="L743" i="722"/>
  <c r="L23" i="722"/>
  <c r="M23" i="722" s="1"/>
  <c r="O23" i="722" s="1"/>
  <c r="L25" i="722"/>
  <c r="M25" i="722" s="1"/>
  <c r="O25" i="722" s="1"/>
  <c r="L27" i="722"/>
  <c r="M27" i="722" s="1"/>
  <c r="O27" i="722" s="1"/>
  <c r="L35" i="722"/>
  <c r="M35" i="722" s="1"/>
  <c r="O35" i="722" s="1"/>
  <c r="L41" i="722"/>
  <c r="M41" i="722" s="1"/>
  <c r="O41" i="722" s="1"/>
  <c r="L47" i="722"/>
  <c r="M47" i="722" s="1"/>
  <c r="O47" i="722" s="1"/>
  <c r="L53" i="722"/>
  <c r="M53" i="722" s="1"/>
  <c r="O53" i="722" s="1"/>
  <c r="L65" i="722"/>
  <c r="M65" i="722" s="1"/>
  <c r="O65" i="722" s="1"/>
  <c r="L71" i="722"/>
  <c r="M71" i="722" s="1"/>
  <c r="O71" i="722" s="1"/>
  <c r="L77" i="722"/>
  <c r="M77" i="722" s="1"/>
  <c r="O77" i="722" s="1"/>
  <c r="L83" i="722"/>
  <c r="M83" i="722" s="1"/>
  <c r="O83" i="722" s="1"/>
  <c r="L89" i="722"/>
  <c r="M89" i="722" s="1"/>
  <c r="O89" i="722" s="1"/>
  <c r="L95" i="722"/>
  <c r="L101" i="722"/>
  <c r="L107" i="722"/>
  <c r="L119" i="722"/>
  <c r="L125" i="722"/>
  <c r="L131" i="722"/>
  <c r="L137" i="722"/>
  <c r="L143" i="722"/>
  <c r="L155" i="722"/>
  <c r="L161" i="722"/>
  <c r="L167" i="722"/>
  <c r="L173" i="722"/>
  <c r="L179" i="722"/>
  <c r="L185" i="722"/>
  <c r="L191" i="722"/>
  <c r="L197" i="722"/>
  <c r="L203" i="722"/>
  <c r="L209" i="722"/>
  <c r="L215" i="722"/>
  <c r="L221" i="722"/>
  <c r="L227" i="722"/>
  <c r="L233" i="722"/>
  <c r="L239" i="722"/>
  <c r="L249" i="722"/>
  <c r="L255" i="722"/>
  <c r="L261" i="722"/>
  <c r="L288" i="722"/>
  <c r="L417" i="722"/>
  <c r="L423" i="722"/>
  <c r="L429" i="722"/>
  <c r="L435" i="722"/>
  <c r="L441" i="722"/>
  <c r="L447" i="722"/>
  <c r="L453" i="722"/>
  <c r="L459" i="722"/>
  <c r="L246" i="722"/>
  <c r="L271" i="722"/>
  <c r="L277" i="722"/>
  <c r="L872" i="722"/>
  <c r="L303" i="722"/>
  <c r="L321" i="722"/>
  <c r="L333" i="722"/>
  <c r="L339" i="722"/>
  <c r="L16" i="722"/>
  <c r="M16" i="722" s="1"/>
  <c r="O16" i="722" s="1"/>
  <c r="L33" i="722"/>
  <c r="M33" i="722" s="1"/>
  <c r="O33" i="722" s="1"/>
  <c r="L93" i="722"/>
  <c r="M93" i="722" s="1"/>
  <c r="O93" i="722" s="1"/>
  <c r="L465" i="722"/>
  <c r="L471" i="722"/>
  <c r="L477" i="722"/>
  <c r="L483" i="722"/>
  <c r="L489" i="722"/>
  <c r="L495" i="722"/>
  <c r="L501" i="722"/>
  <c r="L507" i="722"/>
  <c r="L513" i="722"/>
  <c r="L519" i="722"/>
  <c r="L525" i="722"/>
  <c r="L533" i="722"/>
  <c r="L539" i="722"/>
  <c r="L545" i="722"/>
  <c r="L551" i="722"/>
  <c r="L557" i="722"/>
  <c r="L563" i="722"/>
  <c r="L569" i="722"/>
  <c r="L575" i="722"/>
  <c r="O543" i="722"/>
  <c r="O549" i="722"/>
  <c r="O555" i="722"/>
  <c r="O561" i="722"/>
  <c r="O567" i="722"/>
  <c r="O573" i="722"/>
  <c r="L607" i="722"/>
  <c r="L747" i="722"/>
  <c r="O755" i="722"/>
  <c r="O761" i="722"/>
  <c r="O767" i="722"/>
  <c r="L776" i="722"/>
  <c r="L782" i="722"/>
  <c r="L787" i="722"/>
  <c r="L793" i="722"/>
  <c r="L799" i="722"/>
  <c r="L913" i="722"/>
  <c r="L100" i="722"/>
  <c r="L106" i="722"/>
  <c r="L112" i="722"/>
  <c r="L118" i="722"/>
  <c r="L124" i="722"/>
  <c r="L129" i="722"/>
  <c r="L130" i="722"/>
  <c r="L136" i="722"/>
  <c r="L142" i="722"/>
  <c r="L147" i="722"/>
  <c r="L148" i="722"/>
  <c r="L154" i="722"/>
  <c r="L160" i="722"/>
  <c r="L166" i="722"/>
  <c r="L172" i="722"/>
  <c r="L178" i="722"/>
  <c r="L184" i="722"/>
  <c r="L190" i="722"/>
  <c r="L200" i="722"/>
  <c r="L206" i="722"/>
  <c r="L212" i="722"/>
  <c r="L218" i="722"/>
  <c r="L224" i="722"/>
  <c r="L230" i="722"/>
  <c r="L236" i="722"/>
  <c r="L242" i="722"/>
  <c r="L248" i="722"/>
  <c r="L253" i="722"/>
  <c r="O256" i="722"/>
  <c r="O262" i="722"/>
  <c r="O360" i="722"/>
  <c r="O366" i="722"/>
  <c r="O372" i="722"/>
  <c r="O378" i="722"/>
  <c r="O384" i="722"/>
  <c r="O390" i="722"/>
  <c r="O396" i="722"/>
  <c r="O402" i="722"/>
  <c r="O408" i="722"/>
  <c r="O414" i="722"/>
  <c r="O420" i="722"/>
  <c r="O426" i="722"/>
  <c r="O432" i="722"/>
  <c r="O438" i="722"/>
  <c r="O444" i="722"/>
  <c r="O450" i="722"/>
  <c r="O456" i="722"/>
  <c r="O462" i="722"/>
  <c r="O468" i="722"/>
  <c r="O474" i="722"/>
  <c r="O480" i="722"/>
  <c r="O486" i="722"/>
  <c r="L592" i="722"/>
  <c r="L604" i="722"/>
  <c r="L616" i="722"/>
  <c r="L622" i="722"/>
  <c r="L628" i="722"/>
  <c r="O776" i="722"/>
  <c r="L939" i="722"/>
  <c r="L280" i="722"/>
  <c r="L297" i="722"/>
  <c r="L298" i="722"/>
  <c r="O641" i="722"/>
  <c r="L644" i="722"/>
  <c r="L640" i="722"/>
  <c r="L723" i="722"/>
  <c r="O857" i="722"/>
  <c r="O863" i="722"/>
  <c r="O869" i="722"/>
  <c r="L342" i="722"/>
  <c r="O577" i="722"/>
  <c r="L581" i="722"/>
  <c r="O583" i="722"/>
  <c r="L587" i="722"/>
  <c r="L658" i="722"/>
  <c r="L664" i="722"/>
  <c r="L670" i="722"/>
  <c r="L676" i="722"/>
  <c r="L682" i="722"/>
  <c r="L688" i="722"/>
  <c r="L694" i="722"/>
  <c r="L700" i="722"/>
  <c r="L706" i="722"/>
  <c r="L712" i="722"/>
  <c r="O753" i="722"/>
  <c r="L757" i="722"/>
  <c r="O759" i="722"/>
  <c r="O765" i="722"/>
  <c r="O771" i="722"/>
  <c r="L774" i="722"/>
  <c r="L780" i="722"/>
  <c r="L29" i="722"/>
  <c r="M29" i="722" s="1"/>
  <c r="O29" i="722" s="1"/>
  <c r="L307" i="722"/>
  <c r="L325" i="722"/>
  <c r="L337" i="722"/>
  <c r="L343" i="722"/>
  <c r="L360" i="722"/>
  <c r="L366" i="722"/>
  <c r="L372" i="722"/>
  <c r="L378" i="722"/>
  <c r="L384" i="722"/>
  <c r="L390" i="722"/>
  <c r="L396" i="722"/>
  <c r="L402" i="722"/>
  <c r="L408" i="722"/>
  <c r="L414" i="722"/>
  <c r="L420" i="722"/>
  <c r="L426" i="722"/>
  <c r="L432" i="722"/>
  <c r="L438" i="722"/>
  <c r="L444" i="722"/>
  <c r="L450" i="722"/>
  <c r="L456" i="722"/>
  <c r="L462" i="722"/>
  <c r="L468" i="722"/>
  <c r="L474" i="722"/>
  <c r="L480" i="722"/>
  <c r="L486" i="722"/>
  <c r="L492" i="722"/>
  <c r="L791" i="722"/>
  <c r="L797" i="722"/>
  <c r="L803" i="722"/>
  <c r="L279" i="722"/>
  <c r="O873" i="722"/>
  <c r="O879" i="722"/>
  <c r="O885" i="722"/>
  <c r="O891" i="722"/>
  <c r="O897" i="722"/>
  <c r="O903" i="722"/>
  <c r="O909" i="722"/>
  <c r="O915" i="722"/>
  <c r="L942" i="722"/>
  <c r="O944" i="722"/>
  <c r="L948" i="722"/>
  <c r="O950" i="722"/>
  <c r="L954" i="722"/>
  <c r="O956" i="722"/>
  <c r="L960" i="722"/>
  <c r="O962" i="722"/>
  <c r="L966" i="722"/>
  <c r="O968" i="722"/>
  <c r="L972" i="722"/>
  <c r="O974" i="722"/>
  <c r="L978" i="722"/>
  <c r="O980" i="722"/>
  <c r="L984" i="722"/>
  <c r="O986" i="722"/>
  <c r="L990" i="722"/>
  <c r="O992" i="722"/>
  <c r="L996" i="722"/>
  <c r="O998" i="722"/>
  <c r="L850" i="722"/>
  <c r="O859" i="722"/>
  <c r="O865" i="722"/>
  <c r="O875" i="722"/>
  <c r="O881" i="722"/>
  <c r="O887" i="722"/>
  <c r="O893" i="722"/>
  <c r="O899" i="722"/>
  <c r="O905" i="722"/>
  <c r="O911" i="722"/>
  <c r="O928" i="722"/>
  <c r="O934" i="722"/>
  <c r="O279" i="722"/>
  <c r="L283" i="722"/>
  <c r="L289" i="722"/>
  <c r="O291" i="722"/>
  <c r="L293" i="722"/>
  <c r="O774" i="722"/>
  <c r="O801" i="722"/>
  <c r="O807" i="722"/>
  <c r="O813" i="722"/>
  <c r="O819" i="722"/>
  <c r="O825" i="722"/>
  <c r="O831" i="722"/>
  <c r="O837" i="722"/>
  <c r="O843" i="722"/>
  <c r="O849" i="722"/>
  <c r="L921" i="722"/>
  <c r="L211" i="722"/>
  <c r="L217" i="722"/>
  <c r="L223" i="722"/>
  <c r="L229" i="722"/>
  <c r="L235" i="722"/>
  <c r="L241" i="722"/>
  <c r="O280" i="722"/>
  <c r="L284" i="722"/>
  <c r="L302" i="722"/>
  <c r="L306" i="722"/>
  <c r="L315" i="722"/>
  <c r="L334" i="722"/>
  <c r="L351" i="722"/>
  <c r="L352" i="722"/>
  <c r="L357" i="722"/>
  <c r="L643" i="722"/>
  <c r="L749" i="722"/>
  <c r="L755" i="722"/>
  <c r="O757" i="722"/>
  <c r="L761" i="722"/>
  <c r="O763" i="722"/>
  <c r="L767" i="722"/>
  <c r="O769" i="722"/>
  <c r="L800" i="722"/>
  <c r="L859" i="722"/>
  <c r="L865" i="722"/>
  <c r="L871" i="722"/>
  <c r="L875" i="722"/>
  <c r="L881" i="722"/>
  <c r="L887" i="722"/>
  <c r="L893" i="722"/>
  <c r="L899" i="722"/>
  <c r="L30" i="722"/>
  <c r="M30" i="722" s="1"/>
  <c r="O30" i="722" s="1"/>
  <c r="L36" i="722"/>
  <c r="M36" i="722" s="1"/>
  <c r="O36" i="722" s="1"/>
  <c r="L60" i="722"/>
  <c r="M60" i="722" s="1"/>
  <c r="O60" i="722" s="1"/>
  <c r="L66" i="722"/>
  <c r="M66" i="722" s="1"/>
  <c r="O66" i="722" s="1"/>
  <c r="L72" i="722"/>
  <c r="M72" i="722" s="1"/>
  <c r="O72" i="722" s="1"/>
  <c r="L78" i="722"/>
  <c r="M78" i="722" s="1"/>
  <c r="O78" i="722" s="1"/>
  <c r="L84" i="722"/>
  <c r="M84" i="722" s="1"/>
  <c r="O84" i="722" s="1"/>
  <c r="L90" i="722"/>
  <c r="M90" i="722" s="1"/>
  <c r="O90" i="722" s="1"/>
  <c r="L96" i="722"/>
  <c r="L102" i="722"/>
  <c r="L108" i="722"/>
  <c r="L114" i="722"/>
  <c r="L120" i="722"/>
  <c r="L126" i="722"/>
  <c r="L132" i="722"/>
  <c r="L138" i="722"/>
  <c r="L144" i="722"/>
  <c r="L150" i="722"/>
  <c r="L156" i="722"/>
  <c r="L162" i="722"/>
  <c r="L168" i="722"/>
  <c r="L174" i="722"/>
  <c r="L180" i="722"/>
  <c r="L186" i="722"/>
  <c r="L192" i="722"/>
  <c r="L276" i="722"/>
  <c r="O599" i="722"/>
  <c r="L613" i="722"/>
  <c r="O635" i="722"/>
  <c r="L638" i="722"/>
  <c r="L719" i="722"/>
  <c r="O821" i="722"/>
  <c r="O827" i="722"/>
  <c r="O833" i="722"/>
  <c r="O839" i="722"/>
  <c r="O845" i="722"/>
  <c r="L849" i="722"/>
  <c r="O851" i="722"/>
  <c r="L854" i="722"/>
  <c r="L910" i="722"/>
  <c r="L916" i="722"/>
  <c r="L311" i="722"/>
  <c r="L327" i="722"/>
  <c r="O333" i="722"/>
  <c r="L347" i="722"/>
  <c r="L349" i="722"/>
  <c r="L363" i="722"/>
  <c r="L369" i="722"/>
  <c r="L375" i="722"/>
  <c r="L381" i="722"/>
  <c r="L387" i="722"/>
  <c r="L393" i="722"/>
  <c r="L399" i="722"/>
  <c r="L405" i="722"/>
  <c r="L411" i="722"/>
  <c r="L598" i="722"/>
  <c r="L619" i="722"/>
  <c r="L634" i="722"/>
  <c r="L758" i="722"/>
  <c r="L764" i="722"/>
  <c r="L770" i="722"/>
  <c r="L786" i="722"/>
  <c r="L252" i="722"/>
  <c r="L268" i="722"/>
  <c r="L272" i="722"/>
  <c r="L498" i="722"/>
  <c r="L504" i="722"/>
  <c r="L510" i="722"/>
  <c r="L516" i="722"/>
  <c r="O611" i="722"/>
  <c r="L614" i="722"/>
  <c r="L809" i="722"/>
  <c r="L815" i="722"/>
  <c r="O835" i="722"/>
  <c r="O841" i="722"/>
  <c r="O847" i="722"/>
  <c r="L860" i="722"/>
  <c r="L866" i="722"/>
  <c r="L876" i="722"/>
  <c r="L882" i="722"/>
  <c r="L888" i="722"/>
  <c r="L894" i="722"/>
  <c r="L900" i="722"/>
  <c r="L906" i="722"/>
  <c r="O942" i="722"/>
  <c r="O948" i="722"/>
  <c r="O954" i="722"/>
  <c r="O960" i="722"/>
  <c r="O966" i="722"/>
  <c r="O972" i="722"/>
  <c r="O978" i="722"/>
  <c r="O984" i="722"/>
  <c r="O990" i="722"/>
  <c r="O996" i="722"/>
  <c r="L265" i="722"/>
  <c r="L273" i="722"/>
  <c r="L295" i="722"/>
  <c r="L309" i="722"/>
  <c r="O331" i="722"/>
  <c r="L529" i="722"/>
  <c r="L541" i="722"/>
  <c r="L547" i="722"/>
  <c r="L553" i="722"/>
  <c r="L559" i="722"/>
  <c r="L565" i="722"/>
  <c r="L571" i="722"/>
  <c r="L577" i="722"/>
  <c r="L583" i="722"/>
  <c r="L589" i="722"/>
  <c r="L595" i="722"/>
  <c r="L625" i="722"/>
  <c r="L631" i="722"/>
  <c r="L741" i="722"/>
  <c r="L746" i="722"/>
  <c r="L857" i="722"/>
  <c r="L863" i="722"/>
  <c r="L869" i="722"/>
  <c r="L873" i="722"/>
  <c r="L879" i="722"/>
  <c r="L885" i="722"/>
  <c r="L891" i="722"/>
  <c r="L897" i="722"/>
  <c r="L903" i="722"/>
  <c r="L909" i="722"/>
  <c r="L915" i="722"/>
  <c r="L935" i="722"/>
  <c r="L945" i="722"/>
  <c r="L951" i="722"/>
  <c r="L957" i="722"/>
  <c r="L963" i="722"/>
  <c r="L969" i="722"/>
  <c r="L975" i="722"/>
  <c r="L981" i="722"/>
  <c r="L987" i="722"/>
  <c r="L993" i="722"/>
  <c r="L999" i="722"/>
  <c r="O281" i="722"/>
  <c r="O293" i="722"/>
  <c r="O327" i="722"/>
  <c r="L329" i="722"/>
  <c r="L331" i="722"/>
  <c r="O545" i="722"/>
  <c r="O551" i="722"/>
  <c r="O557" i="722"/>
  <c r="O563" i="722"/>
  <c r="O569" i="722"/>
  <c r="O575" i="722"/>
  <c r="O581" i="722"/>
  <c r="O587" i="722"/>
  <c r="L590" i="722"/>
  <c r="O593" i="722"/>
  <c r="L596" i="722"/>
  <c r="L600" i="722"/>
  <c r="O623" i="722"/>
  <c r="L626" i="722"/>
  <c r="O629" i="722"/>
  <c r="L632" i="722"/>
  <c r="L636" i="722"/>
  <c r="L727" i="722"/>
  <c r="L737" i="722"/>
  <c r="L738" i="722"/>
  <c r="L762" i="722"/>
  <c r="L768" i="722"/>
  <c r="L781" i="722"/>
  <c r="L788" i="722"/>
  <c r="L794" i="722"/>
  <c r="L804" i="722"/>
  <c r="L810" i="722"/>
  <c r="L816" i="722"/>
  <c r="L822" i="722"/>
  <c r="L828" i="722"/>
  <c r="L834" i="722"/>
  <c r="L840" i="722"/>
  <c r="L846" i="722"/>
  <c r="L852" i="722"/>
  <c r="O855" i="722"/>
  <c r="O861" i="722"/>
  <c r="O867" i="722"/>
  <c r="O877" i="722"/>
  <c r="O883" i="722"/>
  <c r="O889" i="722"/>
  <c r="O895" i="722"/>
  <c r="O901" i="722"/>
  <c r="L905" i="722"/>
  <c r="O913" i="722"/>
  <c r="L931" i="722"/>
  <c r="L933" i="722"/>
  <c r="L15" i="722"/>
  <c r="M15" i="722" s="1"/>
  <c r="O15" i="722" s="1"/>
  <c r="L17" i="722"/>
  <c r="M17" i="722" s="1"/>
  <c r="O17" i="722" s="1"/>
  <c r="L39" i="722"/>
  <c r="M39" i="722" s="1"/>
  <c r="O39" i="722" s="1"/>
  <c r="L45" i="722"/>
  <c r="M45" i="722" s="1"/>
  <c r="O45" i="722" s="1"/>
  <c r="L51" i="722"/>
  <c r="M51" i="722" s="1"/>
  <c r="O51" i="722" s="1"/>
  <c r="L57" i="722"/>
  <c r="M57" i="722" s="1"/>
  <c r="O57" i="722" s="1"/>
  <c r="L63" i="722"/>
  <c r="M63" i="722" s="1"/>
  <c r="O63" i="722" s="1"/>
  <c r="L69" i="722"/>
  <c r="M69" i="722" s="1"/>
  <c r="O69" i="722" s="1"/>
  <c r="L75" i="722"/>
  <c r="M75" i="722" s="1"/>
  <c r="O75" i="722" s="1"/>
  <c r="L81" i="722"/>
  <c r="M81" i="722" s="1"/>
  <c r="O81" i="722" s="1"/>
  <c r="L87" i="722"/>
  <c r="M87" i="722" s="1"/>
  <c r="O87" i="722" s="1"/>
  <c r="L99" i="722"/>
  <c r="L105" i="722"/>
  <c r="L111" i="722"/>
  <c r="L117" i="722"/>
  <c r="L123" i="722"/>
  <c r="L135" i="722"/>
  <c r="L141" i="722"/>
  <c r="L153" i="722"/>
  <c r="L159" i="722"/>
  <c r="L165" i="722"/>
  <c r="L171" i="722"/>
  <c r="L177" i="722"/>
  <c r="L183" i="722"/>
  <c r="L189" i="722"/>
  <c r="L195" i="722"/>
  <c r="L201" i="722"/>
  <c r="L207" i="722"/>
  <c r="L213" i="722"/>
  <c r="L219" i="722"/>
  <c r="L225" i="722"/>
  <c r="L231" i="722"/>
  <c r="L237" i="722"/>
  <c r="L243" i="722"/>
  <c r="L257" i="722"/>
  <c r="L259" i="722"/>
  <c r="L269" i="722"/>
  <c r="L291" i="722"/>
  <c r="L313" i="722"/>
  <c r="L323" i="722"/>
  <c r="L345" i="722"/>
  <c r="L720" i="722"/>
  <c r="L728" i="722"/>
  <c r="L775" i="722"/>
  <c r="L818" i="722"/>
  <c r="L18" i="722"/>
  <c r="M18" i="722" s="1"/>
  <c r="O18" i="722" s="1"/>
  <c r="L20" i="722"/>
  <c r="M20" i="722" s="1"/>
  <c r="O20" i="722" s="1"/>
  <c r="L22" i="722"/>
  <c r="M22" i="722" s="1"/>
  <c r="O22" i="722" s="1"/>
  <c r="L40" i="722"/>
  <c r="M40" i="722" s="1"/>
  <c r="O40" i="722" s="1"/>
  <c r="L46" i="722"/>
  <c r="M46" i="722" s="1"/>
  <c r="O46" i="722" s="1"/>
  <c r="L52" i="722"/>
  <c r="M52" i="722" s="1"/>
  <c r="O52" i="722" s="1"/>
  <c r="L82" i="722"/>
  <c r="M82" i="722" s="1"/>
  <c r="O82" i="722" s="1"/>
  <c r="L196" i="722"/>
  <c r="O199" i="722"/>
  <c r="L202" i="722"/>
  <c r="O205" i="722"/>
  <c r="O211" i="722"/>
  <c r="O217" i="722"/>
  <c r="O223" i="722"/>
  <c r="O229" i="722"/>
  <c r="O235" i="722"/>
  <c r="O241" i="722"/>
  <c r="L251" i="722"/>
  <c r="L275" i="722"/>
  <c r="L287" i="722"/>
  <c r="L341" i="722"/>
  <c r="L745" i="722"/>
  <c r="L790" i="722"/>
  <c r="L796" i="722"/>
  <c r="L806" i="722"/>
  <c r="L812" i="722"/>
  <c r="L937" i="722"/>
  <c r="L941" i="722"/>
  <c r="L947" i="722"/>
  <c r="L953" i="722"/>
  <c r="L959" i="722"/>
  <c r="L965" i="722"/>
  <c r="L971" i="722"/>
  <c r="L977" i="722"/>
  <c r="L983" i="722"/>
  <c r="L989" i="722"/>
  <c r="L995" i="722"/>
  <c r="L1001" i="722"/>
  <c r="L24" i="722"/>
  <c r="M24" i="722" s="1"/>
  <c r="O24" i="722" s="1"/>
  <c r="L26" i="722"/>
  <c r="M26" i="722" s="1"/>
  <c r="O26" i="722" s="1"/>
  <c r="L28" i="722"/>
  <c r="M28" i="722" s="1"/>
  <c r="O28" i="722" s="1"/>
  <c r="L59" i="722"/>
  <c r="M59" i="722" s="1"/>
  <c r="O59" i="722" s="1"/>
  <c r="L113" i="722"/>
  <c r="L149" i="722"/>
  <c r="L208" i="722"/>
  <c r="L214" i="722"/>
  <c r="L220" i="722"/>
  <c r="L226" i="722"/>
  <c r="L232" i="722"/>
  <c r="L238" i="722"/>
  <c r="L244" i="722"/>
  <c r="O274" i="722"/>
  <c r="O328" i="722"/>
  <c r="O368" i="722"/>
  <c r="O374" i="722"/>
  <c r="O380" i="722"/>
  <c r="O386" i="722"/>
  <c r="O392" i="722"/>
  <c r="O398" i="722"/>
  <c r="O404" i="722"/>
  <c r="O410" i="722"/>
  <c r="O416" i="722"/>
  <c r="O422" i="722"/>
  <c r="O428" i="722"/>
  <c r="O434" i="722"/>
  <c r="O440" i="722"/>
  <c r="O446" i="722"/>
  <c r="O452" i="722"/>
  <c r="O458" i="722"/>
  <c r="O464" i="722"/>
  <c r="O470" i="722"/>
  <c r="O476" i="722"/>
  <c r="O482" i="722"/>
  <c r="O488" i="722"/>
  <c r="O494" i="722"/>
  <c r="O500" i="722"/>
  <c r="O506" i="722"/>
  <c r="O512" i="722"/>
  <c r="O518" i="722"/>
  <c r="L522" i="722"/>
  <c r="O524" i="722"/>
  <c r="L528" i="722"/>
  <c r="L534" i="722"/>
  <c r="L540" i="722"/>
  <c r="L544" i="722"/>
  <c r="L550" i="722"/>
  <c r="L556" i="722"/>
  <c r="L562" i="722"/>
  <c r="L568" i="722"/>
  <c r="L574" i="722"/>
  <c r="L580" i="722"/>
  <c r="L586" i="722"/>
  <c r="L618" i="722"/>
  <c r="L735" i="722"/>
  <c r="L784" i="722"/>
  <c r="O789" i="722"/>
  <c r="O795" i="722"/>
  <c r="O805" i="722"/>
  <c r="O811" i="722"/>
  <c r="L908" i="722"/>
  <c r="L912" i="722"/>
  <c r="L920" i="722"/>
  <c r="L924" i="722"/>
  <c r="O930" i="722"/>
  <c r="L42" i="722"/>
  <c r="M42" i="722" s="1"/>
  <c r="O42" i="722" s="1"/>
  <c r="L48" i="722"/>
  <c r="M48" i="722" s="1"/>
  <c r="O48" i="722" s="1"/>
  <c r="L54" i="722"/>
  <c r="M54" i="722" s="1"/>
  <c r="O54" i="722" s="1"/>
  <c r="O207" i="722"/>
  <c r="O213" i="722"/>
  <c r="O219" i="722"/>
  <c r="O225" i="722"/>
  <c r="O231" i="722"/>
  <c r="O237" i="722"/>
  <c r="O243" i="722"/>
  <c r="L245" i="722"/>
  <c r="L305" i="722"/>
  <c r="L359" i="722"/>
  <c r="L365" i="722"/>
  <c r="L371" i="722"/>
  <c r="L377" i="722"/>
  <c r="L383" i="722"/>
  <c r="L389" i="722"/>
  <c r="L395" i="722"/>
  <c r="L401" i="722"/>
  <c r="L407" i="722"/>
  <c r="L413" i="722"/>
  <c r="L419" i="722"/>
  <c r="L425" i="722"/>
  <c r="L431" i="722"/>
  <c r="L437" i="722"/>
  <c r="L443" i="722"/>
  <c r="L449" i="722"/>
  <c r="L455" i="722"/>
  <c r="L461" i="722"/>
  <c r="L467" i="722"/>
  <c r="L473" i="722"/>
  <c r="L479" i="722"/>
  <c r="L485" i="722"/>
  <c r="L491" i="722"/>
  <c r="L497" i="722"/>
  <c r="L503" i="722"/>
  <c r="L509" i="722"/>
  <c r="L515" i="722"/>
  <c r="L521" i="722"/>
  <c r="L527" i="722"/>
  <c r="O579" i="722"/>
  <c r="O585" i="722"/>
  <c r="L610" i="722"/>
  <c r="O617" i="722"/>
  <c r="L620" i="722"/>
  <c r="L919" i="722"/>
  <c r="L923" i="722"/>
  <c r="L10" i="722"/>
  <c r="M10" i="722" s="1"/>
  <c r="O10" i="722" s="1"/>
  <c r="L13" i="722"/>
  <c r="M13" i="722" s="1"/>
  <c r="O13" i="722" s="1"/>
  <c r="L32" i="722"/>
  <c r="M32" i="722" s="1"/>
  <c r="O32" i="722" s="1"/>
  <c r="L38" i="722"/>
  <c r="M38" i="722" s="1"/>
  <c r="O38" i="722" s="1"/>
  <c r="L62" i="722"/>
  <c r="M62" i="722" s="1"/>
  <c r="O62" i="722" s="1"/>
  <c r="L68" i="722"/>
  <c r="M68" i="722" s="1"/>
  <c r="O68" i="722" s="1"/>
  <c r="L74" i="722"/>
  <c r="M74" i="722" s="1"/>
  <c r="O74" i="722" s="1"/>
  <c r="L80" i="722"/>
  <c r="M80" i="722" s="1"/>
  <c r="O80" i="722" s="1"/>
  <c r="L86" i="722"/>
  <c r="M86" i="722" s="1"/>
  <c r="O86" i="722" s="1"/>
  <c r="L92" i="722"/>
  <c r="M92" i="722" s="1"/>
  <c r="O92" i="722" s="1"/>
  <c r="L98" i="722"/>
  <c r="L104" i="722"/>
  <c r="L110" i="722"/>
  <c r="L116" i="722"/>
  <c r="L128" i="722"/>
  <c r="L133" i="722"/>
  <c r="L134" i="722"/>
  <c r="L140" i="722"/>
  <c r="L145" i="722"/>
  <c r="L146" i="722"/>
  <c r="L152" i="722"/>
  <c r="L158" i="722"/>
  <c r="L164" i="722"/>
  <c r="L170" i="722"/>
  <c r="L176" i="722"/>
  <c r="L182" i="722"/>
  <c r="L187" i="722"/>
  <c r="L188" i="722"/>
  <c r="L198" i="722"/>
  <c r="L204" i="722"/>
  <c r="L210" i="722"/>
  <c r="L216" i="722"/>
  <c r="L222" i="722"/>
  <c r="L228" i="722"/>
  <c r="L234" i="722"/>
  <c r="L240" i="722"/>
  <c r="L250" i="722"/>
  <c r="L254" i="722"/>
  <c r="L258" i="722"/>
  <c r="L262" i="722"/>
  <c r="L266" i="722"/>
  <c r="L270" i="722"/>
  <c r="O292" i="722"/>
  <c r="L316" i="722"/>
  <c r="L320" i="722"/>
  <c r="L324" i="722"/>
  <c r="O346" i="722"/>
  <c r="L601" i="722"/>
  <c r="L637" i="722"/>
  <c r="L647" i="722"/>
  <c r="L653" i="722"/>
  <c r="L659" i="722"/>
  <c r="L665" i="722"/>
  <c r="L671" i="722"/>
  <c r="L677" i="722"/>
  <c r="L683" i="722"/>
  <c r="L689" i="722"/>
  <c r="L695" i="722"/>
  <c r="L701" i="722"/>
  <c r="L707" i="722"/>
  <c r="L713" i="722"/>
  <c r="L731" i="722"/>
  <c r="L753" i="722"/>
  <c r="L759" i="722"/>
  <c r="L765" i="722"/>
  <c r="L771" i="722"/>
  <c r="L778" i="722"/>
  <c r="L823" i="722"/>
  <c r="L829" i="722"/>
  <c r="L835" i="722"/>
  <c r="L841" i="722"/>
  <c r="L847" i="722"/>
  <c r="L853" i="722"/>
  <c r="L856" i="722"/>
  <c r="L862" i="722"/>
  <c r="L868" i="722"/>
  <c r="L878" i="722"/>
  <c r="L884" i="722"/>
  <c r="L890" i="722"/>
  <c r="L896" i="722"/>
  <c r="L902" i="722"/>
  <c r="L286" i="722"/>
  <c r="L290" i="722"/>
  <c r="L294" i="722"/>
  <c r="L304" i="722"/>
  <c r="L308" i="722"/>
  <c r="L312" i="722"/>
  <c r="L322" i="722"/>
  <c r="L326" i="722"/>
  <c r="L330" i="722"/>
  <c r="L340" i="722"/>
  <c r="L344" i="722"/>
  <c r="L348" i="722"/>
  <c r="L358" i="722"/>
  <c r="L364" i="722"/>
  <c r="L370" i="722"/>
  <c r="L376" i="722"/>
  <c r="L382" i="722"/>
  <c r="L388" i="722"/>
  <c r="L394" i="722"/>
  <c r="L400" i="722"/>
  <c r="L406" i="722"/>
  <c r="L412" i="722"/>
  <c r="L418" i="722"/>
  <c r="L424" i="722"/>
  <c r="L430" i="722"/>
  <c r="L436" i="722"/>
  <c r="L442" i="722"/>
  <c r="L448" i="722"/>
  <c r="L454" i="722"/>
  <c r="L460" i="722"/>
  <c r="L466" i="722"/>
  <c r="L472" i="722"/>
  <c r="L478" i="722"/>
  <c r="L484" i="722"/>
  <c r="L490" i="722"/>
  <c r="O492" i="722"/>
  <c r="L496" i="722"/>
  <c r="O498" i="722"/>
  <c r="L502" i="722"/>
  <c r="O504" i="722"/>
  <c r="L508" i="722"/>
  <c r="O510" i="722"/>
  <c r="L514" i="722"/>
  <c r="O516" i="722"/>
  <c r="L520" i="722"/>
  <c r="O522" i="722"/>
  <c r="L526" i="722"/>
  <c r="L542" i="722"/>
  <c r="L548" i="722"/>
  <c r="L554" i="722"/>
  <c r="L560" i="722"/>
  <c r="L566" i="722"/>
  <c r="L572" i="722"/>
  <c r="L578" i="722"/>
  <c r="L584" i="722"/>
  <c r="L594" i="722"/>
  <c r="L612" i="722"/>
  <c r="L630" i="722"/>
  <c r="L726" i="722"/>
  <c r="L734" i="722"/>
  <c r="L744" i="722"/>
  <c r="L752" i="722"/>
  <c r="L756" i="722"/>
  <c r="L777" i="722"/>
  <c r="L783" i="722"/>
  <c r="L918" i="722"/>
  <c r="L932" i="722"/>
  <c r="L936" i="722"/>
  <c r="L964" i="722"/>
  <c r="L970" i="722"/>
  <c r="L976" i="722"/>
  <c r="L982" i="722"/>
  <c r="L988" i="722"/>
  <c r="L994" i="722"/>
  <c r="L1000" i="722"/>
  <c r="O250" i="722"/>
  <c r="L256" i="722"/>
  <c r="L260" i="722"/>
  <c r="L264" i="722"/>
  <c r="O268" i="722"/>
  <c r="L274" i="722"/>
  <c r="L278" i="722"/>
  <c r="L282" i="722"/>
  <c r="O286" i="722"/>
  <c r="L292" i="722"/>
  <c r="L296" i="722"/>
  <c r="L300" i="722"/>
  <c r="O304" i="722"/>
  <c r="L310" i="722"/>
  <c r="L314" i="722"/>
  <c r="L318" i="722"/>
  <c r="O322" i="722"/>
  <c r="L328" i="722"/>
  <c r="L332" i="722"/>
  <c r="L336" i="722"/>
  <c r="O340" i="722"/>
  <c r="L346" i="722"/>
  <c r="L350" i="722"/>
  <c r="L354" i="722"/>
  <c r="O358" i="722"/>
  <c r="L362" i="722"/>
  <c r="O364" i="722"/>
  <c r="L368" i="722"/>
  <c r="O370" i="722"/>
  <c r="L374" i="722"/>
  <c r="O376" i="722"/>
  <c r="L380" i="722"/>
  <c r="O382" i="722"/>
  <c r="L386" i="722"/>
  <c r="O388" i="722"/>
  <c r="L392" i="722"/>
  <c r="O394" i="722"/>
  <c r="L398" i="722"/>
  <c r="O400" i="722"/>
  <c r="L404" i="722"/>
  <c r="O406" i="722"/>
  <c r="L410" i="722"/>
  <c r="O412" i="722"/>
  <c r="L416" i="722"/>
  <c r="O418" i="722"/>
  <c r="L422" i="722"/>
  <c r="O424" i="722"/>
  <c r="L428" i="722"/>
  <c r="O430" i="722"/>
  <c r="L434" i="722"/>
  <c r="O436" i="722"/>
  <c r="L440" i="722"/>
  <c r="O442" i="722"/>
  <c r="L446" i="722"/>
  <c r="O448" i="722"/>
  <c r="L452" i="722"/>
  <c r="O454" i="722"/>
  <c r="L458" i="722"/>
  <c r="O460" i="722"/>
  <c r="L464" i="722"/>
  <c r="O466" i="722"/>
  <c r="L470" i="722"/>
  <c r="O472" i="722"/>
  <c r="L476" i="722"/>
  <c r="O478" i="722"/>
  <c r="L482" i="722"/>
  <c r="O484" i="722"/>
  <c r="L488" i="722"/>
  <c r="O490" i="722"/>
  <c r="L494" i="722"/>
  <c r="O496" i="722"/>
  <c r="L500" i="722"/>
  <c r="O502" i="722"/>
  <c r="L506" i="722"/>
  <c r="O508" i="722"/>
  <c r="L512" i="722"/>
  <c r="O514" i="722"/>
  <c r="L518" i="722"/>
  <c r="O520" i="722"/>
  <c r="L524" i="722"/>
  <c r="O526" i="722"/>
  <c r="L530" i="722"/>
  <c r="L535" i="722"/>
  <c r="L536" i="722"/>
  <c r="L546" i="722"/>
  <c r="L552" i="722"/>
  <c r="L558" i="722"/>
  <c r="L564" i="722"/>
  <c r="L570" i="722"/>
  <c r="L576" i="722"/>
  <c r="L582" i="722"/>
  <c r="L588" i="722"/>
  <c r="L606" i="722"/>
  <c r="L624" i="722"/>
  <c r="L642" i="722"/>
  <c r="O718" i="722"/>
  <c r="L721" i="722"/>
  <c r="L722" i="722"/>
  <c r="L732" i="722"/>
  <c r="L739" i="722"/>
  <c r="L740" i="722"/>
  <c r="L750" i="722"/>
  <c r="L754" i="722"/>
  <c r="L760" i="722"/>
  <c r="L766" i="722"/>
  <c r="O770" i="722"/>
  <c r="L772" i="722"/>
  <c r="L773" i="722"/>
  <c r="L779" i="722"/>
  <c r="L785" i="722"/>
  <c r="L792" i="722"/>
  <c r="L798" i="722"/>
  <c r="L802" i="722"/>
  <c r="L808" i="722"/>
  <c r="L814" i="722"/>
  <c r="L824" i="722"/>
  <c r="L830" i="722"/>
  <c r="L836" i="722"/>
  <c r="L842" i="722"/>
  <c r="L848" i="722"/>
  <c r="L858" i="722"/>
  <c r="L864" i="722"/>
  <c r="L870" i="722"/>
  <c r="L874" i="722"/>
  <c r="L880" i="722"/>
  <c r="L886" i="722"/>
  <c r="L892" i="722"/>
  <c r="L898" i="722"/>
  <c r="L904" i="722"/>
  <c r="L914" i="722"/>
  <c r="O918" i="722"/>
  <c r="O922" i="722"/>
  <c r="L926" i="722"/>
  <c r="L930" i="722"/>
  <c r="O936" i="722"/>
  <c r="O940" i="722"/>
  <c r="L944" i="722"/>
  <c r="O946" i="722"/>
  <c r="L950" i="722"/>
  <c r="O952" i="722"/>
  <c r="L956" i="722"/>
  <c r="O958" i="722"/>
  <c r="L962" i="722"/>
  <c r="O964" i="722"/>
  <c r="L968" i="722"/>
  <c r="O970" i="722"/>
  <c r="L974" i="722"/>
  <c r="O976" i="722"/>
  <c r="L980" i="722"/>
  <c r="O982" i="722"/>
  <c r="L986" i="722"/>
  <c r="O988" i="722"/>
  <c r="L992" i="722"/>
  <c r="O994" i="722"/>
  <c r="L998" i="722"/>
  <c r="O1000" i="722"/>
  <c r="L263" i="722"/>
  <c r="L281" i="722"/>
  <c r="L299" i="722"/>
  <c r="L317" i="722"/>
  <c r="L335" i="722"/>
  <c r="L353" i="722"/>
  <c r="L361" i="722"/>
  <c r="L367" i="722"/>
  <c r="L373" i="722"/>
  <c r="L379" i="722"/>
  <c r="L385" i="722"/>
  <c r="L391" i="722"/>
  <c r="L397" i="722"/>
  <c r="L403" i="722"/>
  <c r="L409" i="722"/>
  <c r="L415" i="722"/>
  <c r="L421" i="722"/>
  <c r="L427" i="722"/>
  <c r="L433" i="722"/>
  <c r="L439" i="722"/>
  <c r="L445" i="722"/>
  <c r="L451" i="722"/>
  <c r="L457" i="722"/>
  <c r="L463" i="722"/>
  <c r="L469" i="722"/>
  <c r="L475" i="722"/>
  <c r="L481" i="722"/>
  <c r="L487" i="722"/>
  <c r="L493" i="722"/>
  <c r="L499" i="722"/>
  <c r="L505" i="722"/>
  <c r="L511" i="722"/>
  <c r="L517" i="722"/>
  <c r="L523" i="722"/>
  <c r="L763" i="722"/>
  <c r="L769" i="722"/>
  <c r="L789" i="722"/>
  <c r="L795" i="722"/>
  <c r="L805" i="722"/>
  <c r="L811" i="722"/>
  <c r="L817" i="722"/>
  <c r="L821" i="722"/>
  <c r="L827" i="722"/>
  <c r="L833" i="722"/>
  <c r="L839" i="722"/>
  <c r="L845" i="722"/>
  <c r="L851" i="722"/>
  <c r="L855" i="722"/>
  <c r="L861" i="722"/>
  <c r="L867" i="722"/>
  <c r="L877" i="722"/>
  <c r="L883" i="722"/>
  <c r="L889" i="722"/>
  <c r="L895" i="722"/>
  <c r="L901" i="722"/>
  <c r="L907" i="722"/>
  <c r="L911" i="722"/>
  <c r="L917" i="722"/>
  <c r="L925" i="722"/>
  <c r="L929" i="722"/>
  <c r="L943" i="722"/>
  <c r="L949" i="722"/>
  <c r="L955" i="722"/>
  <c r="L961" i="722"/>
  <c r="L967" i="722"/>
  <c r="L973" i="722"/>
  <c r="L979" i="722"/>
  <c r="L985" i="722"/>
  <c r="L991" i="722"/>
  <c r="L997" i="722"/>
  <c r="O245" i="722"/>
  <c r="O529" i="722"/>
  <c r="L532" i="722"/>
  <c r="O535" i="722"/>
  <c r="L537" i="722"/>
  <c r="L538" i="722"/>
  <c r="O532" i="722"/>
  <c r="O538" i="722"/>
  <c r="O544" i="722"/>
  <c r="O550" i="722"/>
  <c r="O556" i="722"/>
  <c r="O562" i="722"/>
  <c r="O568" i="722"/>
  <c r="O574" i="722"/>
  <c r="O580" i="722"/>
  <c r="O586" i="722"/>
  <c r="L531" i="722"/>
  <c r="L543" i="722"/>
  <c r="L549" i="722"/>
  <c r="L555" i="722"/>
  <c r="L561" i="722"/>
  <c r="L567" i="722"/>
  <c r="L573" i="722"/>
  <c r="L579" i="722"/>
  <c r="L585" i="722"/>
  <c r="O649" i="722"/>
  <c r="O655" i="722"/>
  <c r="O661" i="722"/>
  <c r="O667" i="722"/>
  <c r="O673" i="722"/>
  <c r="O679" i="722"/>
  <c r="O685" i="722"/>
  <c r="O691" i="722"/>
  <c r="O697" i="722"/>
  <c r="O703" i="722"/>
  <c r="O709" i="722"/>
  <c r="O715" i="722"/>
  <c r="L733" i="722"/>
  <c r="L751" i="722"/>
  <c r="O588" i="722"/>
  <c r="L593" i="722"/>
  <c r="O594" i="722"/>
  <c r="L599" i="722"/>
  <c r="O600" i="722"/>
  <c r="L605" i="722"/>
  <c r="O606" i="722"/>
  <c r="L611" i="722"/>
  <c r="O612" i="722"/>
  <c r="L617" i="722"/>
  <c r="O618" i="722"/>
  <c r="L623" i="722"/>
  <c r="O624" i="722"/>
  <c r="L629" i="722"/>
  <c r="O630" i="722"/>
  <c r="L635" i="722"/>
  <c r="O636" i="722"/>
  <c r="L641" i="722"/>
  <c r="O642" i="722"/>
  <c r="O646" i="722"/>
  <c r="L648" i="722"/>
  <c r="L649" i="722"/>
  <c r="O652" i="722"/>
  <c r="L654" i="722"/>
  <c r="L655" i="722"/>
  <c r="O658" i="722"/>
  <c r="L660" i="722"/>
  <c r="L661" i="722"/>
  <c r="O664" i="722"/>
  <c r="L666" i="722"/>
  <c r="L667" i="722"/>
  <c r="L672" i="722"/>
  <c r="L673" i="722"/>
  <c r="L678" i="722"/>
  <c r="L679" i="722"/>
  <c r="L684" i="722"/>
  <c r="L685" i="722"/>
  <c r="L690" i="722"/>
  <c r="L691" i="722"/>
  <c r="L696" i="722"/>
  <c r="L697" i="722"/>
  <c r="L702" i="722"/>
  <c r="L703" i="722"/>
  <c r="L708" i="722"/>
  <c r="L709" i="722"/>
  <c r="L714" i="722"/>
  <c r="L715" i="722"/>
  <c r="O726" i="722"/>
  <c r="O744" i="722"/>
  <c r="L591" i="722"/>
  <c r="L597" i="722"/>
  <c r="L603" i="722"/>
  <c r="L609" i="722"/>
  <c r="L615" i="722"/>
  <c r="L621" i="722"/>
  <c r="L627" i="722"/>
  <c r="L633" i="722"/>
  <c r="L639" i="722"/>
  <c r="O640" i="722"/>
  <c r="L645" i="722"/>
  <c r="O648" i="722"/>
  <c r="L650" i="722"/>
  <c r="L651" i="722"/>
  <c r="O654" i="722"/>
  <c r="L656" i="722"/>
  <c r="L657" i="722"/>
  <c r="O660" i="722"/>
  <c r="L662" i="722"/>
  <c r="L663" i="722"/>
  <c r="O666" i="722"/>
  <c r="L668" i="722"/>
  <c r="L669" i="722"/>
  <c r="L674" i="722"/>
  <c r="L675" i="722"/>
  <c r="L680" i="722"/>
  <c r="L681" i="722"/>
  <c r="L686" i="722"/>
  <c r="L687" i="722"/>
  <c r="L692" i="722"/>
  <c r="L693" i="722"/>
  <c r="L698" i="722"/>
  <c r="L699" i="722"/>
  <c r="L704" i="722"/>
  <c r="L705" i="722"/>
  <c r="L710" i="722"/>
  <c r="L711" i="722"/>
  <c r="L716" i="722"/>
  <c r="L717" i="722"/>
  <c r="O720" i="722"/>
  <c r="O738" i="722"/>
  <c r="L718" i="722"/>
  <c r="O719" i="722"/>
  <c r="L724" i="722"/>
  <c r="O725" i="722"/>
  <c r="L730" i="722"/>
  <c r="O731" i="722"/>
  <c r="L736" i="722"/>
  <c r="O737" i="722"/>
  <c r="L742" i="722"/>
  <c r="O743" i="722"/>
  <c r="L748" i="722"/>
  <c r="O749" i="722"/>
  <c r="O721" i="722"/>
  <c r="O727" i="722"/>
  <c r="O733" i="722"/>
  <c r="O739" i="722"/>
  <c r="O745" i="722"/>
  <c r="O917" i="722"/>
  <c r="L922" i="722"/>
  <c r="O923" i="722"/>
  <c r="L928" i="722"/>
  <c r="O929" i="722"/>
  <c r="L934" i="722"/>
  <c r="O935" i="722"/>
  <c r="L940" i="722"/>
  <c r="O943" i="722"/>
  <c r="L946" i="722"/>
  <c r="O949" i="722"/>
  <c r="L952" i="722"/>
  <c r="O955" i="722"/>
  <c r="L958" i="722"/>
  <c r="O961" i="722"/>
  <c r="X10" i="5" l="1"/>
  <c r="Y10" i="5" s="1"/>
  <c r="R10" i="5"/>
  <c r="S10" i="5" s="1"/>
  <c r="P10" i="5"/>
  <c r="Q10" i="5" s="1"/>
  <c r="U10" i="5"/>
  <c r="V10" i="5" s="1"/>
  <c r="W10" i="5" s="1"/>
  <c r="P9" i="5"/>
  <c r="Q9" i="5" s="1"/>
  <c r="U9" i="5"/>
  <c r="V9" i="5" s="1"/>
  <c r="W9" i="5" s="1"/>
  <c r="X9" i="5"/>
  <c r="Y9" i="5" s="1"/>
  <c r="R9" i="5"/>
  <c r="S9" i="5" s="1"/>
  <c r="U8" i="5"/>
  <c r="V8" i="5" s="1"/>
  <c r="W8" i="5" s="1"/>
  <c r="X8" i="5"/>
  <c r="Y8" i="5" s="1"/>
  <c r="R8" i="5"/>
  <c r="S8" i="5" s="1"/>
  <c r="P8" i="5"/>
  <c r="Q8" i="5" s="1"/>
  <c r="M7" i="722"/>
  <c r="O7" i="722"/>
  <c r="P7" i="722" l="1"/>
  <c r="H3274" i="479" l="1"/>
  <c r="H3272" i="479"/>
  <c r="H3271" i="479"/>
  <c r="H3270" i="479"/>
  <c r="H3269" i="479"/>
  <c r="H3268" i="479"/>
  <c r="H3267" i="479"/>
  <c r="H3266" i="479"/>
  <c r="H3265" i="479"/>
  <c r="H3264" i="479"/>
  <c r="I3644" i="479" l="1"/>
  <c r="I3647" i="479"/>
  <c r="I3648" i="479"/>
  <c r="I3651" i="479"/>
  <c r="I3652" i="479"/>
  <c r="I3655" i="479"/>
  <c r="I3656" i="479"/>
  <c r="I3659" i="479"/>
  <c r="I3660" i="479"/>
  <c r="I3663" i="479"/>
  <c r="I3664" i="479"/>
  <c r="I3667" i="479"/>
  <c r="I3668" i="479"/>
  <c r="I3671" i="479"/>
  <c r="I3672" i="479"/>
  <c r="I3675" i="479"/>
  <c r="I3676" i="479"/>
  <c r="I3679" i="479"/>
  <c r="I3680" i="479"/>
  <c r="I3683" i="479"/>
  <c r="I3684" i="479"/>
  <c r="I3687" i="479"/>
  <c r="I3688" i="479"/>
  <c r="I3691" i="479"/>
  <c r="I3692" i="479"/>
  <c r="I3695" i="479"/>
  <c r="I3696" i="479"/>
  <c r="I3699" i="479"/>
  <c r="I3700" i="479"/>
  <c r="I3704" i="479"/>
  <c r="I3703" i="479"/>
  <c r="I3643" i="479"/>
  <c r="G953" i="479" l="1"/>
  <c r="I1231" i="479" l="1"/>
  <c r="I1230" i="479"/>
  <c r="I1229" i="479"/>
  <c r="I1236" i="479"/>
  <c r="I1235" i="479"/>
  <c r="I1234" i="479"/>
  <c r="I1233" i="479"/>
  <c r="I1232" i="479"/>
  <c r="I3639" i="479" l="1"/>
  <c r="I3640" i="479"/>
  <c r="I3638" i="479"/>
  <c r="I3637" i="479"/>
  <c r="I3636" i="479"/>
  <c r="I3635" i="479"/>
  <c r="B7" i="481" l="1"/>
  <c r="G1963" i="479"/>
  <c r="G1962" i="479"/>
  <c r="G1961" i="479"/>
  <c r="G1960" i="479"/>
  <c r="G1959" i="479"/>
  <c r="G1958" i="479"/>
  <c r="G1957" i="479"/>
  <c r="G1956" i="479"/>
  <c r="G1955" i="479"/>
  <c r="G1954" i="479"/>
  <c r="G1953" i="479"/>
  <c r="G1952" i="479"/>
  <c r="G1951" i="479"/>
  <c r="G1950" i="479"/>
  <c r="G1949" i="479"/>
  <c r="G1948" i="479"/>
  <c r="G1947" i="479"/>
  <c r="G1946" i="479"/>
  <c r="G1945" i="479"/>
  <c r="I2783" i="479" l="1"/>
  <c r="I2788" i="479"/>
  <c r="I2787" i="479"/>
  <c r="I2786" i="479"/>
  <c r="I2785" i="479"/>
  <c r="I2784" i="479"/>
  <c r="I1960" i="479" l="1"/>
  <c r="H2899" i="479" l="1"/>
  <c r="I2899" i="479" s="1"/>
  <c r="H2898" i="479"/>
  <c r="I2898" i="479" s="1"/>
  <c r="H3428" i="479"/>
  <c r="I3428" i="479" s="1"/>
  <c r="H3427" i="479"/>
  <c r="I3427" i="479" s="1"/>
  <c r="I2307" i="479" l="1"/>
  <c r="I2300" i="479"/>
  <c r="I2719" i="479" l="1"/>
  <c r="H3584" i="479"/>
  <c r="I3584" i="479" s="1"/>
  <c r="I2722" i="479"/>
  <c r="H3326" i="479"/>
  <c r="I3326" i="479" s="1"/>
  <c r="I3272" i="479"/>
  <c r="I3274" i="479"/>
  <c r="I3269" i="479"/>
  <c r="I3270" i="479"/>
  <c r="I3271" i="479"/>
  <c r="I3264" i="479"/>
  <c r="H3008" i="479"/>
  <c r="I3008" i="479" s="1"/>
  <c r="I3268" i="479"/>
  <c r="I3267" i="479"/>
  <c r="I2772" i="479" l="1"/>
  <c r="I2773" i="479"/>
  <c r="I3720" i="479" l="1"/>
  <c r="I3719" i="479"/>
  <c r="I3717" i="479"/>
  <c r="I3716" i="479"/>
  <c r="E113" i="482" l="1"/>
  <c r="E112" i="482"/>
  <c r="E111" i="482"/>
  <c r="E110" i="482"/>
  <c r="E109" i="482"/>
  <c r="E108" i="482"/>
  <c r="E107" i="482"/>
  <c r="E106" i="482"/>
  <c r="E105" i="482"/>
  <c r="E104" i="482"/>
  <c r="E103" i="482"/>
  <c r="E102" i="482"/>
  <c r="E101" i="482"/>
  <c r="E100" i="482"/>
  <c r="E99" i="482"/>
  <c r="E98" i="482"/>
  <c r="E97" i="482"/>
  <c r="E96" i="482"/>
  <c r="E95" i="482"/>
  <c r="E94" i="482"/>
  <c r="E93" i="482"/>
  <c r="E92" i="482"/>
  <c r="E91" i="482"/>
  <c r="E90" i="482"/>
  <c r="E89" i="482"/>
  <c r="E88" i="482"/>
  <c r="E87" i="482"/>
  <c r="E86" i="482"/>
  <c r="E85" i="482"/>
  <c r="E84" i="482"/>
  <c r="E83" i="482"/>
  <c r="E82" i="482"/>
  <c r="E81" i="482"/>
  <c r="E80" i="482"/>
  <c r="E79" i="482"/>
  <c r="E78" i="482"/>
  <c r="E77" i="482"/>
  <c r="E76" i="482"/>
  <c r="E75" i="482"/>
  <c r="E74" i="482"/>
  <c r="E73" i="482"/>
  <c r="E72" i="482"/>
  <c r="E71" i="482"/>
  <c r="E70" i="482"/>
  <c r="E69" i="482"/>
  <c r="E68" i="482"/>
  <c r="E67" i="482"/>
  <c r="E66" i="482"/>
  <c r="E65" i="482"/>
  <c r="E64" i="482"/>
  <c r="E63" i="482"/>
  <c r="E62" i="482"/>
  <c r="E61" i="482"/>
  <c r="E60" i="482"/>
  <c r="E59" i="482"/>
  <c r="E58" i="482"/>
  <c r="E57" i="482"/>
  <c r="E56" i="482"/>
  <c r="E55" i="482"/>
  <c r="E54" i="482"/>
  <c r="E53" i="482"/>
  <c r="E52" i="482"/>
  <c r="E51" i="482"/>
  <c r="E50" i="482"/>
  <c r="E49" i="482"/>
  <c r="E48" i="482"/>
  <c r="E47" i="482"/>
  <c r="E46" i="482"/>
  <c r="E45" i="482"/>
  <c r="E44" i="482"/>
  <c r="E43" i="482"/>
  <c r="E42" i="482"/>
  <c r="E41" i="482"/>
  <c r="E40" i="482"/>
  <c r="E39" i="482"/>
  <c r="E38" i="482"/>
  <c r="E37" i="482"/>
  <c r="E36" i="482"/>
  <c r="E35" i="482"/>
  <c r="E34" i="482"/>
  <c r="E33" i="482"/>
  <c r="E32" i="482"/>
  <c r="E31" i="482"/>
  <c r="E30" i="482"/>
  <c r="E29" i="482"/>
  <c r="E28" i="482"/>
  <c r="E27" i="482"/>
  <c r="E26" i="482"/>
  <c r="E25" i="482"/>
  <c r="E24" i="482"/>
  <c r="E23" i="482"/>
  <c r="E22" i="482"/>
  <c r="E21" i="482"/>
  <c r="E20" i="482"/>
  <c r="E19" i="482"/>
  <c r="E18" i="482"/>
  <c r="E17" i="482"/>
  <c r="E16" i="482"/>
  <c r="E15" i="482"/>
  <c r="E14" i="482"/>
  <c r="E13" i="482"/>
  <c r="E12" i="482"/>
  <c r="E11" i="482"/>
  <c r="C7" i="5" a="1"/>
  <c r="C7" i="5" l="1"/>
  <c r="H2155" i="479"/>
  <c r="I2155" i="479" s="1"/>
  <c r="H2151" i="479"/>
  <c r="I2151" i="479" s="1"/>
  <c r="H2150" i="479"/>
  <c r="I2150" i="479" s="1"/>
  <c r="H2146" i="479"/>
  <c r="I2146" i="479" s="1"/>
  <c r="H2142" i="479"/>
  <c r="I2142" i="479" s="1"/>
  <c r="H2139" i="479"/>
  <c r="I2139" i="479" s="1"/>
  <c r="H2167" i="479"/>
  <c r="I2167" i="479" s="1"/>
  <c r="H2165" i="479"/>
  <c r="I2165" i="479" s="1"/>
  <c r="H2162" i="479"/>
  <c r="I2162" i="479" s="1"/>
  <c r="H2161" i="479"/>
  <c r="I2161" i="479" s="1"/>
  <c r="H2159" i="479"/>
  <c r="I2159" i="479" s="1"/>
  <c r="H2153" i="479"/>
  <c r="I2153" i="479" s="1"/>
  <c r="H2148" i="479"/>
  <c r="I2148" i="479" s="1"/>
  <c r="H2144" i="479"/>
  <c r="I2144" i="479" s="1"/>
  <c r="H2137" i="479"/>
  <c r="I2137" i="479" s="1"/>
  <c r="H2154" i="479"/>
  <c r="I2154" i="479" s="1"/>
  <c r="H2149" i="479"/>
  <c r="I2149" i="479" s="1"/>
  <c r="H2145" i="479"/>
  <c r="I2145" i="479" s="1"/>
  <c r="H2141" i="479"/>
  <c r="I2141" i="479" s="1"/>
  <c r="H2138" i="479"/>
  <c r="I2138" i="479" s="1"/>
  <c r="H2166" i="479"/>
  <c r="I2166" i="479" s="1"/>
  <c r="H2164" i="479"/>
  <c r="I2164" i="479" s="1"/>
  <c r="H2160" i="479"/>
  <c r="I2160" i="479" s="1"/>
  <c r="H2158" i="479"/>
  <c r="I2158" i="479" s="1"/>
  <c r="H2152" i="479"/>
  <c r="I2152" i="479" s="1"/>
  <c r="H2147" i="479"/>
  <c r="I2147" i="479" s="1"/>
  <c r="H2143" i="479"/>
  <c r="I2143" i="479" s="1"/>
  <c r="H2140" i="479"/>
  <c r="I2140" i="479" s="1"/>
  <c r="H2136" i="479"/>
  <c r="I2136" i="479" s="1"/>
  <c r="H2163" i="479"/>
  <c r="I2163" i="479" s="1"/>
  <c r="H2156" i="479"/>
  <c r="I2156" i="479" s="1"/>
  <c r="H2157" i="479"/>
  <c r="I2157" i="479" s="1"/>
  <c r="I1384" i="479"/>
  <c r="I1385" i="479"/>
  <c r="I1382" i="479"/>
  <c r="I1383" i="479"/>
  <c r="I1380" i="479"/>
  <c r="I1381" i="479"/>
  <c r="I1377" i="479"/>
  <c r="I1379" i="479"/>
  <c r="I1378" i="479"/>
  <c r="I1376" i="479"/>
  <c r="I1375" i="479"/>
  <c r="B6" i="481" l="1"/>
  <c r="H3325" i="479"/>
  <c r="G3325" i="479"/>
  <c r="G3324" i="479"/>
  <c r="G3323" i="479"/>
  <c r="G3322" i="479"/>
  <c r="G3321" i="479"/>
  <c r="H3324" i="479"/>
  <c r="H3323" i="479"/>
  <c r="H3322" i="479"/>
  <c r="H3321" i="479"/>
  <c r="H3387" i="479"/>
  <c r="I3387" i="479" s="1"/>
  <c r="H3386" i="479"/>
  <c r="I3386" i="479" s="1"/>
  <c r="I3325" i="479" l="1"/>
  <c r="I3324" i="479"/>
  <c r="I3323" i="479"/>
  <c r="I3322" i="479"/>
  <c r="I3321" i="479"/>
  <c r="H1800" i="479" l="1"/>
  <c r="I1800" i="479" s="1"/>
  <c r="H1787" i="479"/>
  <c r="I1787" i="479" s="1"/>
  <c r="H1786" i="479"/>
  <c r="I1786" i="479" s="1"/>
  <c r="H1783" i="479"/>
  <c r="I1783" i="479" s="1"/>
  <c r="H1794" i="479"/>
  <c r="I1794" i="479" s="1"/>
  <c r="H1792" i="479"/>
  <c r="I1792" i="479" s="1"/>
  <c r="H1798" i="479"/>
  <c r="I1798" i="479" s="1"/>
  <c r="H1796" i="479"/>
  <c r="I1796" i="479" s="1"/>
  <c r="H1799" i="479"/>
  <c r="I1799" i="479" s="1"/>
  <c r="H1785" i="479"/>
  <c r="I1785" i="479" s="1"/>
  <c r="H1784" i="479"/>
  <c r="I1784" i="479" s="1"/>
  <c r="H1782" i="479"/>
  <c r="I1782" i="479" s="1"/>
  <c r="H1793" i="479"/>
  <c r="I1793" i="479" s="1"/>
  <c r="H1791" i="479"/>
  <c r="I1791" i="479" s="1"/>
  <c r="H1797" i="479"/>
  <c r="I1797" i="479" s="1"/>
  <c r="H1795" i="479"/>
  <c r="I1795" i="479" s="1"/>
  <c r="H3058" i="479" l="1"/>
  <c r="I3058" i="479" s="1"/>
  <c r="H3057" i="479"/>
  <c r="I3057" i="479" s="1"/>
  <c r="H3056" i="479"/>
  <c r="I3056" i="479" s="1"/>
  <c r="H3055" i="479"/>
  <c r="I3055" i="479" s="1"/>
  <c r="H3054" i="479"/>
  <c r="I3054" i="479" s="1"/>
  <c r="H3053" i="479"/>
  <c r="I3053" i="479" s="1"/>
  <c r="H3052" i="479"/>
  <c r="I3052" i="479" s="1"/>
  <c r="H3051" i="479"/>
  <c r="I3051" i="479" s="1"/>
  <c r="H3050" i="479"/>
  <c r="I3050" i="479" s="1"/>
  <c r="H3049" i="479"/>
  <c r="I3049" i="479" s="1"/>
  <c r="H3048" i="479"/>
  <c r="I3048" i="479" s="1"/>
  <c r="H3047" i="479"/>
  <c r="I3047" i="479" s="1"/>
  <c r="H3046" i="479"/>
  <c r="I3046" i="479" s="1"/>
  <c r="H3045" i="479"/>
  <c r="I3045" i="479" s="1"/>
  <c r="H3044" i="479"/>
  <c r="I3044" i="479" s="1"/>
  <c r="H3042" i="479"/>
  <c r="I3042" i="479" s="1"/>
  <c r="H3041" i="479"/>
  <c r="I3041" i="479" s="1"/>
  <c r="H3040" i="479"/>
  <c r="I3040" i="479" s="1"/>
  <c r="H3039" i="479"/>
  <c r="I3039" i="479" s="1"/>
  <c r="H3038" i="479"/>
  <c r="I3038" i="479" s="1"/>
  <c r="L1958" i="479" l="1"/>
  <c r="T7" i="5"/>
  <c r="I1152" i="479"/>
  <c r="I1151" i="479"/>
  <c r="I1162" i="479"/>
  <c r="I1095" i="479"/>
  <c r="I1096" i="479"/>
  <c r="I1110" i="479"/>
  <c r="I1149" i="479"/>
  <c r="I1142" i="479"/>
  <c r="I1143" i="479"/>
  <c r="I1140" i="479"/>
  <c r="I1129" i="479"/>
  <c r="I1130" i="479"/>
  <c r="I1127" i="479"/>
  <c r="I1112" i="479"/>
  <c r="I1113" i="479"/>
  <c r="I1093" i="479"/>
  <c r="I1057" i="479"/>
  <c r="I1058" i="479"/>
  <c r="E7" i="5" a="1"/>
  <c r="E7" i="5" l="1"/>
  <c r="I2732" i="479"/>
  <c r="S13" i="5"/>
  <c r="I1097" i="479" l="1"/>
  <c r="I1153" i="479"/>
  <c r="I1144" i="479"/>
  <c r="I1131" i="479"/>
  <c r="I1114" i="479"/>
  <c r="I1059" i="479"/>
  <c r="D13" i="5" l="1"/>
  <c r="I1679" i="479" l="1"/>
  <c r="I1677" i="479" l="1"/>
  <c r="I1696" i="479"/>
  <c r="I1678" i="479"/>
  <c r="I3748" i="479" l="1"/>
  <c r="I3746" i="479"/>
  <c r="I3743" i="479"/>
  <c r="I3739" i="479"/>
  <c r="I3737" i="479"/>
  <c r="I3733" i="479"/>
  <c r="I3730" i="479"/>
  <c r="I3745" i="479"/>
  <c r="I3742" i="479"/>
  <c r="I3736" i="479"/>
  <c r="I3727" i="479"/>
  <c r="H3617" i="479" l="1"/>
  <c r="I3617" i="479" s="1"/>
  <c r="I3275" i="479" l="1"/>
  <c r="I2231" i="479" l="1"/>
  <c r="I3623" i="479" l="1"/>
  <c r="H2234" i="479" l="1"/>
  <c r="I2234" i="479" s="1"/>
  <c r="H2239" i="479"/>
  <c r="I2239" i="479" s="1"/>
  <c r="I1260" i="479"/>
  <c r="I1300" i="479"/>
  <c r="I1297" i="479"/>
  <c r="I1292" i="479"/>
  <c r="I1285" i="479"/>
  <c r="I1271" i="479"/>
  <c r="I1244" i="479"/>
  <c r="I1298" i="479"/>
  <c r="H2218" i="479" l="1"/>
  <c r="I2218" i="479" s="1"/>
  <c r="H2217" i="479"/>
  <c r="I2217" i="479" s="1"/>
  <c r="H2219" i="479"/>
  <c r="I2219" i="479" s="1"/>
  <c r="H2222" i="479"/>
  <c r="I2222" i="479" s="1"/>
  <c r="H2221" i="479"/>
  <c r="I2221" i="479" s="1"/>
  <c r="H2220" i="479"/>
  <c r="I2220" i="479" s="1"/>
  <c r="H2210" i="479"/>
  <c r="I2210" i="479" s="1"/>
  <c r="H2211" i="479"/>
  <c r="I2211" i="479" s="1"/>
  <c r="H2216" i="479"/>
  <c r="H2215" i="479"/>
  <c r="H2214" i="479"/>
  <c r="H2213" i="479"/>
  <c r="H2212" i="479"/>
  <c r="H2209" i="479"/>
  <c r="I3705" i="479" l="1"/>
  <c r="I3711" i="479"/>
  <c r="I2240" i="479"/>
  <c r="I3790" i="479"/>
  <c r="I2237" i="479"/>
  <c r="I2241" i="479"/>
  <c r="I2299" i="479"/>
  <c r="I2298" i="479"/>
  <c r="H3418" i="479"/>
  <c r="I3418" i="479" s="1"/>
  <c r="H3417" i="479"/>
  <c r="I3417" i="479" s="1"/>
  <c r="H3416" i="479"/>
  <c r="I3416" i="479" s="1"/>
  <c r="H3415" i="479"/>
  <c r="I3415" i="479" s="1"/>
  <c r="H3414" i="479"/>
  <c r="I3414" i="479" s="1"/>
  <c r="H3413" i="479"/>
  <c r="I3413" i="479" s="1"/>
  <c r="H3412" i="479"/>
  <c r="I3412" i="479" s="1"/>
  <c r="H3410" i="479"/>
  <c r="I3410" i="479" s="1"/>
  <c r="H3411" i="479"/>
  <c r="I3411" i="479" s="1"/>
  <c r="H3409" i="479"/>
  <c r="I3409" i="479" s="1"/>
  <c r="H3408" i="479"/>
  <c r="I3408" i="479" s="1"/>
  <c r="H3407" i="479"/>
  <c r="I3407" i="479" s="1"/>
  <c r="H3406" i="479"/>
  <c r="I3406" i="479" s="1"/>
  <c r="H3405" i="479"/>
  <c r="I3405" i="479" s="1"/>
  <c r="H3404" i="479"/>
  <c r="I3404" i="479" s="1"/>
  <c r="H3403" i="479"/>
  <c r="I3403" i="479" s="1"/>
  <c r="H3402" i="479"/>
  <c r="I3402" i="479" s="1"/>
  <c r="H3401" i="479"/>
  <c r="I3401" i="479" s="1"/>
  <c r="H3400" i="479"/>
  <c r="I3400" i="479" s="1"/>
  <c r="H3399" i="479"/>
  <c r="I3399" i="479" s="1"/>
  <c r="H3398" i="479"/>
  <c r="I3398" i="479" s="1"/>
  <c r="H3397" i="479"/>
  <c r="I3397" i="479" s="1"/>
  <c r="H3396" i="479"/>
  <c r="I3396" i="479" s="1"/>
  <c r="H3395" i="479"/>
  <c r="I3395" i="479" s="1"/>
  <c r="H2659" i="479"/>
  <c r="I2659" i="479" s="1"/>
  <c r="H2658" i="479"/>
  <c r="I2658" i="479" s="1"/>
  <c r="H2657" i="479"/>
  <c r="I2657" i="479" s="1"/>
  <c r="H2656" i="479"/>
  <c r="I2656" i="479" s="1"/>
  <c r="H2655" i="479"/>
  <c r="I2655" i="479" s="1"/>
  <c r="H2654" i="479"/>
  <c r="I2654" i="479" s="1"/>
  <c r="H2653" i="479"/>
  <c r="I2653" i="479" s="1"/>
  <c r="H2652" i="479"/>
  <c r="I2652" i="479" s="1"/>
  <c r="H2651" i="479"/>
  <c r="I2651" i="479" s="1"/>
  <c r="H2650" i="479"/>
  <c r="I2650" i="479" s="1"/>
  <c r="H2649" i="479"/>
  <c r="I2649" i="479" s="1"/>
  <c r="H2648" i="479"/>
  <c r="I2648" i="479" s="1"/>
  <c r="H2647" i="479"/>
  <c r="I2647" i="479" s="1"/>
  <c r="H2646" i="479"/>
  <c r="I2646" i="479" s="1"/>
  <c r="H2645" i="479"/>
  <c r="I2645" i="479" s="1"/>
  <c r="H2644" i="479"/>
  <c r="I2644" i="479" s="1"/>
  <c r="H2643" i="479"/>
  <c r="I2643" i="479" s="1"/>
  <c r="H2642" i="479"/>
  <c r="I2642" i="479" s="1"/>
  <c r="H2641" i="479"/>
  <c r="I2641" i="479" s="1"/>
  <c r="H2640" i="479"/>
  <c r="I2640" i="479" s="1"/>
  <c r="H2639" i="479"/>
  <c r="I2639" i="479" s="1"/>
  <c r="H2638" i="479"/>
  <c r="I2638" i="479" s="1"/>
  <c r="H2637" i="479"/>
  <c r="I2637" i="479" s="1"/>
  <c r="H2636" i="479"/>
  <c r="I2636" i="479" s="1"/>
  <c r="H2635" i="479"/>
  <c r="I2635" i="479" s="1"/>
  <c r="H2634" i="479"/>
  <c r="I2634" i="479" s="1"/>
  <c r="H2633" i="479"/>
  <c r="I2633" i="479" s="1"/>
  <c r="H2632" i="479"/>
  <c r="I2632" i="479" s="1"/>
  <c r="H2631" i="479"/>
  <c r="I2631" i="479" s="1"/>
  <c r="H2630" i="479"/>
  <c r="I2630" i="479" s="1"/>
  <c r="H2629" i="479"/>
  <c r="I2629" i="479" s="1"/>
  <c r="H2628" i="479"/>
  <c r="I2628" i="479" s="1"/>
  <c r="H2627" i="479"/>
  <c r="I2627" i="479" s="1"/>
  <c r="H2626" i="479"/>
  <c r="I2626" i="479" s="1"/>
  <c r="H2625" i="479"/>
  <c r="I2625" i="479" s="1"/>
  <c r="I1670" i="479" l="1"/>
  <c r="I3707" i="479"/>
  <c r="I3706" i="479"/>
  <c r="I2130" i="479" l="1"/>
  <c r="I1327" i="479"/>
  <c r="I1326" i="479"/>
  <c r="I926" i="479"/>
  <c r="H3593" i="479" l="1"/>
  <c r="I3593" i="479" s="1"/>
  <c r="H2353" i="479"/>
  <c r="I317" i="479"/>
  <c r="I316" i="479"/>
  <c r="I315" i="479"/>
  <c r="I314" i="479"/>
  <c r="I607" i="479"/>
  <c r="I601" i="479"/>
  <c r="I609" i="479"/>
  <c r="I602" i="479"/>
  <c r="I603" i="479"/>
  <c r="I604" i="479"/>
  <c r="I605" i="479"/>
  <c r="I606" i="479"/>
  <c r="I608" i="479"/>
  <c r="I590" i="479"/>
  <c r="I583" i="479"/>
  <c r="I584" i="479"/>
  <c r="I585" i="479"/>
  <c r="I586" i="479"/>
  <c r="I587" i="479"/>
  <c r="I588" i="479"/>
  <c r="I589" i="479"/>
  <c r="I591" i="479"/>
  <c r="I563" i="479"/>
  <c r="I556" i="479"/>
  <c r="I557" i="479"/>
  <c r="I558" i="479"/>
  <c r="I559" i="479"/>
  <c r="I560" i="479"/>
  <c r="I561" i="479"/>
  <c r="I562" i="479"/>
  <c r="I564" i="479"/>
  <c r="I536" i="479"/>
  <c r="I529" i="479"/>
  <c r="I530" i="479"/>
  <c r="I531" i="479"/>
  <c r="I532" i="479"/>
  <c r="I533" i="479"/>
  <c r="I534" i="479"/>
  <c r="I535" i="479"/>
  <c r="I537" i="479"/>
  <c r="I509" i="479"/>
  <c r="I502" i="479"/>
  <c r="I503" i="479"/>
  <c r="I504" i="479"/>
  <c r="I505" i="479"/>
  <c r="I506" i="479"/>
  <c r="I507" i="479"/>
  <c r="I508" i="479"/>
  <c r="I510" i="479"/>
  <c r="I681" i="479"/>
  <c r="I674" i="479"/>
  <c r="I675" i="479"/>
  <c r="I676" i="479"/>
  <c r="I677" i="479"/>
  <c r="I678" i="479"/>
  <c r="I679" i="479"/>
  <c r="I680" i="479"/>
  <c r="I682" i="479"/>
  <c r="I650" i="479"/>
  <c r="I649" i="479"/>
  <c r="I642" i="479"/>
  <c r="I643" i="479"/>
  <c r="I644" i="479"/>
  <c r="I645" i="479"/>
  <c r="I646" i="479"/>
  <c r="I647" i="479"/>
  <c r="I648" i="479"/>
  <c r="I618" i="479"/>
  <c r="I616" i="479"/>
  <c r="I617" i="479"/>
  <c r="I610" i="479"/>
  <c r="I611" i="479"/>
  <c r="I612" i="479"/>
  <c r="I613" i="479"/>
  <c r="I614" i="479"/>
  <c r="I615" i="479"/>
  <c r="I698" i="479"/>
  <c r="I692" i="479"/>
  <c r="I693" i="479"/>
  <c r="I694" i="479"/>
  <c r="I695" i="479"/>
  <c r="I696" i="479"/>
  <c r="I697" i="479"/>
  <c r="I666" i="479"/>
  <c r="I660" i="479"/>
  <c r="I661" i="479"/>
  <c r="I662" i="479"/>
  <c r="I663" i="479"/>
  <c r="I664" i="479"/>
  <c r="I665" i="479"/>
  <c r="I633" i="479"/>
  <c r="I632" i="479"/>
  <c r="I631" i="479"/>
  <c r="I630" i="479"/>
  <c r="I629" i="479"/>
  <c r="I628" i="479"/>
  <c r="I634" i="479"/>
  <c r="I1668" i="479" l="1"/>
  <c r="I1669" i="479"/>
  <c r="I1103" i="479" l="1"/>
  <c r="I1100" i="479"/>
  <c r="I1102" i="479"/>
  <c r="I1101" i="479"/>
  <c r="I1157" i="479"/>
  <c r="I1156" i="479"/>
  <c r="I1146" i="479"/>
  <c r="I1135" i="479"/>
  <c r="I1134" i="479"/>
  <c r="I1099" i="479"/>
  <c r="I1098" i="479"/>
  <c r="I1155" i="479"/>
  <c r="I1154" i="479"/>
  <c r="I1145" i="479"/>
  <c r="I1133" i="479"/>
  <c r="I1132" i="479"/>
  <c r="I1118" i="479"/>
  <c r="I1119" i="479"/>
  <c r="I1120" i="479"/>
  <c r="I1117" i="479"/>
  <c r="I1116" i="479"/>
  <c r="I1115" i="479"/>
  <c r="I1069" i="479"/>
  <c r="I1070" i="479"/>
  <c r="I1071" i="479"/>
  <c r="I1072" i="479"/>
  <c r="I1073" i="479"/>
  <c r="I1074" i="479"/>
  <c r="I1068" i="479"/>
  <c r="I1075" i="479"/>
  <c r="I1061" i="479"/>
  <c r="I1060" i="479"/>
  <c r="I1067" i="479"/>
  <c r="I1066" i="479"/>
  <c r="I1065" i="479"/>
  <c r="I1064" i="479"/>
  <c r="I1063" i="479"/>
  <c r="I1062" i="479"/>
  <c r="G2343" i="479" l="1"/>
  <c r="I2343" i="479" s="1"/>
  <c r="G2338" i="479"/>
  <c r="I2338" i="479" s="1"/>
  <c r="G2339" i="479"/>
  <c r="I2339" i="479" s="1"/>
  <c r="G2341" i="479"/>
  <c r="I2341" i="479" s="1"/>
  <c r="G2342" i="479"/>
  <c r="I2342" i="479" s="1"/>
  <c r="G2344" i="479"/>
  <c r="G2345" i="479"/>
  <c r="I2345" i="479" s="1"/>
  <c r="G2340" i="479"/>
  <c r="I2340" i="479" s="1"/>
  <c r="G2346" i="479"/>
  <c r="I2346" i="479" s="1"/>
  <c r="I2344" i="479" l="1"/>
  <c r="I3435" i="479"/>
  <c r="I1014" i="479"/>
  <c r="I3718" i="479" l="1"/>
  <c r="I3723" i="479" l="1"/>
  <c r="I3724" i="479"/>
  <c r="I3721" i="479"/>
  <c r="I3722" i="479" l="1"/>
  <c r="I1022" i="479" l="1"/>
  <c r="I1021" i="479"/>
  <c r="I1019" i="479"/>
  <c r="I1047" i="479"/>
  <c r="I1043" i="479"/>
  <c r="I1045" i="479"/>
  <c r="I1041" i="479"/>
  <c r="I1037" i="479"/>
  <c r="I1039" i="479"/>
  <c r="I1018" i="479"/>
  <c r="I1020" i="479"/>
  <c r="I1046" i="479"/>
  <c r="I1042" i="479"/>
  <c r="I1044" i="479"/>
  <c r="I1038" i="479"/>
  <c r="I1036" i="479"/>
  <c r="I1040" i="479"/>
  <c r="H2363" i="479" l="1"/>
  <c r="I2363" i="479" s="1"/>
  <c r="H2361" i="479"/>
  <c r="I2361" i="479" s="1"/>
  <c r="H2362" i="479"/>
  <c r="I2362" i="479" s="1"/>
  <c r="H2360" i="479"/>
  <c r="I2360" i="479" s="1"/>
  <c r="G1984" i="479" l="1"/>
  <c r="G2258" i="479" l="1"/>
  <c r="I2258" i="479" l="1"/>
  <c r="I1948" i="479"/>
  <c r="F241" i="482" a="1"/>
  <c r="F241" i="482" s="1"/>
  <c r="F239" i="482" a="1"/>
  <c r="F239" i="482" s="1"/>
  <c r="F236" i="482" a="1"/>
  <c r="F236" i="482" s="1"/>
  <c r="F233" i="482" a="1"/>
  <c r="F233" i="482" s="1"/>
  <c r="F232" i="482" a="1"/>
  <c r="F232" i="482" s="1"/>
  <c r="F230" i="482" a="1"/>
  <c r="F230" i="482" s="1"/>
  <c r="F229" i="482" a="1"/>
  <c r="F229" i="482" s="1"/>
  <c r="F226" i="482" a="1"/>
  <c r="F226" i="482" s="1"/>
  <c r="F223" i="482" a="1"/>
  <c r="F223" i="482" s="1"/>
  <c r="F222" i="482" a="1"/>
  <c r="F222" i="482" s="1"/>
  <c r="F221" i="482" a="1"/>
  <c r="F221" i="482" s="1"/>
  <c r="F220" i="482" a="1"/>
  <c r="F220" i="482" s="1"/>
  <c r="F218" i="482" a="1"/>
  <c r="F218" i="482" s="1"/>
  <c r="F217" i="482" a="1"/>
  <c r="F217" i="482" s="1"/>
  <c r="F216" i="482" a="1"/>
  <c r="F216" i="482" s="1"/>
  <c r="F215" i="482" a="1"/>
  <c r="F215" i="482" s="1"/>
  <c r="F212" i="482" a="1"/>
  <c r="F212" i="482" s="1"/>
  <c r="F249" i="482" a="1"/>
  <c r="F249" i="482" s="1"/>
  <c r="E249" i="482"/>
  <c r="F248" i="482" a="1"/>
  <c r="F248" i="482" s="1"/>
  <c r="E248" i="482"/>
  <c r="F247" i="482" a="1"/>
  <c r="F247" i="482" s="1"/>
  <c r="E247" i="482"/>
  <c r="F246" i="482" a="1"/>
  <c r="F246" i="482" s="1"/>
  <c r="E246" i="482"/>
  <c r="F245" i="482" a="1"/>
  <c r="F245" i="482" s="1"/>
  <c r="E245" i="482"/>
  <c r="F244" i="482" a="1"/>
  <c r="F244" i="482" s="1"/>
  <c r="E244" i="482"/>
  <c r="F243" i="482" a="1"/>
  <c r="F243" i="482" s="1"/>
  <c r="E243" i="482"/>
  <c r="F242" i="482" a="1"/>
  <c r="F242" i="482" s="1"/>
  <c r="E242" i="482"/>
  <c r="E241" i="482"/>
  <c r="F240" i="482" a="1"/>
  <c r="F240" i="482" s="1"/>
  <c r="E240" i="482"/>
  <c r="E239" i="482"/>
  <c r="F238" i="482" a="1"/>
  <c r="F238" i="482" s="1"/>
  <c r="E238" i="482"/>
  <c r="F237" i="482" a="1"/>
  <c r="F237" i="482" s="1"/>
  <c r="E237" i="482"/>
  <c r="E236" i="482"/>
  <c r="F235" i="482" a="1"/>
  <c r="F235" i="482" s="1"/>
  <c r="E235" i="482"/>
  <c r="F234" i="482" a="1"/>
  <c r="F234" i="482" s="1"/>
  <c r="E234" i="482"/>
  <c r="E233" i="482"/>
  <c r="E232" i="482"/>
  <c r="F231" i="482" a="1"/>
  <c r="F231" i="482" s="1"/>
  <c r="E231" i="482"/>
  <c r="E230" i="482"/>
  <c r="E229" i="482"/>
  <c r="F228" i="482" a="1"/>
  <c r="F228" i="482" s="1"/>
  <c r="D228" i="482" s="1"/>
  <c r="E228" i="482"/>
  <c r="F227" i="482" a="1"/>
  <c r="F227" i="482" s="1"/>
  <c r="E227" i="482"/>
  <c r="E226" i="482"/>
  <c r="F225" i="482" a="1"/>
  <c r="F225" i="482" s="1"/>
  <c r="E225" i="482"/>
  <c r="F224" i="482" a="1"/>
  <c r="F224" i="482" s="1"/>
  <c r="E224" i="482"/>
  <c r="E223" i="482"/>
  <c r="E222" i="482"/>
  <c r="E221" i="482"/>
  <c r="E220" i="482"/>
  <c r="F219" i="482" a="1"/>
  <c r="F219" i="482" s="1"/>
  <c r="E219" i="482"/>
  <c r="E218" i="482"/>
  <c r="E217" i="482"/>
  <c r="E216" i="482"/>
  <c r="E215" i="482"/>
  <c r="F214" i="482" a="1"/>
  <c r="F214" i="482" s="1"/>
  <c r="D214" i="482" s="1"/>
  <c r="E214" i="482"/>
  <c r="F213" i="482" a="1"/>
  <c r="F213" i="482" s="1"/>
  <c r="E213" i="482"/>
  <c r="E212" i="482"/>
  <c r="F211" i="482" a="1"/>
  <c r="F211" i="482" s="1"/>
  <c r="E211" i="482"/>
  <c r="I1353" i="479"/>
  <c r="D233" i="482" l="1"/>
  <c r="D223" i="482"/>
  <c r="D236" i="482"/>
  <c r="D246" i="482"/>
  <c r="D211" i="482"/>
  <c r="D212" i="482"/>
  <c r="D242" i="482"/>
  <c r="D245" i="482"/>
  <c r="D248" i="482"/>
  <c r="D239" i="482"/>
  <c r="D225" i="482"/>
  <c r="D227" i="482"/>
  <c r="D231" i="482"/>
  <c r="D218" i="482"/>
  <c r="D237" i="482"/>
  <c r="D224" i="482"/>
  <c r="D249" i="482"/>
  <c r="D230" i="482"/>
  <c r="D238" i="482"/>
  <c r="D235" i="482"/>
  <c r="D229" i="482"/>
  <c r="D217" i="482"/>
  <c r="D220" i="482"/>
  <c r="D232" i="482"/>
  <c r="D234" i="482"/>
  <c r="D215" i="482"/>
  <c r="D221" i="482"/>
  <c r="D240" i="482"/>
  <c r="D241" i="482"/>
  <c r="D243" i="482"/>
  <c r="D226" i="482"/>
  <c r="D244" i="482"/>
  <c r="D219" i="482"/>
  <c r="D213" i="482"/>
  <c r="D247" i="482"/>
  <c r="D216" i="482"/>
  <c r="D222" i="482"/>
  <c r="I3794" i="479" l="1"/>
  <c r="F10" i="482" l="1" a="1"/>
  <c r="F10" i="482" s="1"/>
  <c r="I1289" i="479"/>
  <c r="I1288" i="479"/>
  <c r="I1287" i="479"/>
  <c r="I1280" i="479"/>
  <c r="I1253" i="479"/>
  <c r="I1259" i="479"/>
  <c r="I1258" i="479"/>
  <c r="I1257" i="479"/>
  <c r="I1256" i="479"/>
  <c r="I1255" i="479"/>
  <c r="I1254" i="479"/>
  <c r="I1055" i="479"/>
  <c r="I1054" i="479"/>
  <c r="I1053" i="479"/>
  <c r="I1052" i="479"/>
  <c r="I1051" i="479"/>
  <c r="I1050" i="479"/>
  <c r="I933" i="479"/>
  <c r="F210" i="482" l="1" a="1"/>
  <c r="F210" i="482" s="1"/>
  <c r="F209" i="482" a="1"/>
  <c r="F209" i="482" s="1"/>
  <c r="F208" i="482" a="1"/>
  <c r="F208" i="482" s="1"/>
  <c r="F207" i="482" a="1"/>
  <c r="F207" i="482" s="1"/>
  <c r="F206" i="482" a="1"/>
  <c r="F206" i="482" s="1"/>
  <c r="F205" i="482" a="1"/>
  <c r="F205" i="482" s="1"/>
  <c r="F204" i="482" a="1"/>
  <c r="F204" i="482" s="1"/>
  <c r="F203" i="482" a="1"/>
  <c r="F203" i="482" s="1"/>
  <c r="F202" i="482" a="1"/>
  <c r="F202" i="482" s="1"/>
  <c r="F201" i="482" a="1"/>
  <c r="F201" i="482" s="1"/>
  <c r="F200" i="482" a="1"/>
  <c r="F200" i="482" s="1"/>
  <c r="F199" i="482" a="1"/>
  <c r="F199" i="482" s="1"/>
  <c r="F198" i="482" a="1"/>
  <c r="F198" i="482" s="1"/>
  <c r="F197" i="482" a="1"/>
  <c r="F197" i="482" s="1"/>
  <c r="F196" i="482" a="1"/>
  <c r="F196" i="482" s="1"/>
  <c r="F195" i="482" a="1"/>
  <c r="F195" i="482" s="1"/>
  <c r="F194" i="482" a="1"/>
  <c r="F194" i="482" s="1"/>
  <c r="F193" i="482" a="1"/>
  <c r="F193" i="482" s="1"/>
  <c r="F192" i="482" a="1"/>
  <c r="F192" i="482" s="1"/>
  <c r="F191" i="482" a="1"/>
  <c r="F191" i="482" s="1"/>
  <c r="F190" i="482" a="1"/>
  <c r="F190" i="482" s="1"/>
  <c r="F189" i="482" a="1"/>
  <c r="F189" i="482" s="1"/>
  <c r="F188" i="482" a="1"/>
  <c r="F188" i="482" s="1"/>
  <c r="F187" i="482" a="1"/>
  <c r="F187" i="482" s="1"/>
  <c r="F186" i="482" a="1"/>
  <c r="F186" i="482" s="1"/>
  <c r="F185" i="482" a="1"/>
  <c r="F185" i="482" s="1"/>
  <c r="F184" i="482" a="1"/>
  <c r="F184" i="482" s="1"/>
  <c r="F183" i="482" a="1"/>
  <c r="F183" i="482" s="1"/>
  <c r="F182" i="482" a="1"/>
  <c r="F182" i="482" s="1"/>
  <c r="F181" i="482" a="1"/>
  <c r="F181" i="482" s="1"/>
  <c r="F180" i="482" a="1"/>
  <c r="F180" i="482" s="1"/>
  <c r="F179" i="482" a="1"/>
  <c r="F179" i="482" s="1"/>
  <c r="F178" i="482" a="1"/>
  <c r="F178" i="482" s="1"/>
  <c r="F177" i="482" a="1"/>
  <c r="F177" i="482" s="1"/>
  <c r="F176" i="482" a="1"/>
  <c r="F176" i="482" s="1"/>
  <c r="F175" i="482" a="1"/>
  <c r="F175" i="482" s="1"/>
  <c r="F174" i="482" a="1"/>
  <c r="F174" i="482" s="1"/>
  <c r="F173" i="482" a="1"/>
  <c r="F173" i="482" s="1"/>
  <c r="F172" i="482" a="1"/>
  <c r="F172" i="482" s="1"/>
  <c r="F171" i="482" a="1"/>
  <c r="F171" i="482" s="1"/>
  <c r="F170" i="482" a="1"/>
  <c r="F170" i="482" s="1"/>
  <c r="F169" i="482" a="1"/>
  <c r="F169" i="482" s="1"/>
  <c r="F168" i="482" a="1"/>
  <c r="F168" i="482" s="1"/>
  <c r="F167" i="482" a="1"/>
  <c r="F167" i="482" s="1"/>
  <c r="F166" i="482" a="1"/>
  <c r="F166" i="482" s="1"/>
  <c r="F165" i="482" a="1"/>
  <c r="F165" i="482" s="1"/>
  <c r="F164" i="482" a="1"/>
  <c r="F164" i="482" s="1"/>
  <c r="F163" i="482" a="1"/>
  <c r="F163" i="482" s="1"/>
  <c r="F162" i="482" a="1"/>
  <c r="F162" i="482" s="1"/>
  <c r="F161" i="482" a="1"/>
  <c r="F161" i="482" s="1"/>
  <c r="F160" i="482" a="1"/>
  <c r="F160" i="482" s="1"/>
  <c r="F159" i="482" a="1"/>
  <c r="F159" i="482" s="1"/>
  <c r="F158" i="482" a="1"/>
  <c r="F158" i="482" s="1"/>
  <c r="F157" i="482" a="1"/>
  <c r="F157" i="482" s="1"/>
  <c r="F156" i="482" a="1"/>
  <c r="F156" i="482" s="1"/>
  <c r="F155" i="482" a="1"/>
  <c r="F155" i="482" s="1"/>
  <c r="F154" i="482" a="1"/>
  <c r="F154" i="482" s="1"/>
  <c r="F153" i="482" a="1"/>
  <c r="F153" i="482" s="1"/>
  <c r="F152" i="482" a="1"/>
  <c r="F152" i="482" s="1"/>
  <c r="F151" i="482" a="1"/>
  <c r="F151" i="482" s="1"/>
  <c r="F150" i="482" a="1"/>
  <c r="F150" i="482" s="1"/>
  <c r="F149" i="482" a="1"/>
  <c r="F149" i="482" s="1"/>
  <c r="F148" i="482" a="1"/>
  <c r="F148" i="482" s="1"/>
  <c r="F147" i="482" a="1"/>
  <c r="F147" i="482" s="1"/>
  <c r="F146" i="482" a="1"/>
  <c r="F146" i="482" s="1"/>
  <c r="F145" i="482" a="1"/>
  <c r="F145" i="482" s="1"/>
  <c r="F144" i="482" a="1"/>
  <c r="F144" i="482" s="1"/>
  <c r="F143" i="482" a="1"/>
  <c r="F143" i="482" s="1"/>
  <c r="F142" i="482" a="1"/>
  <c r="F142" i="482" s="1"/>
  <c r="F141" i="482" a="1"/>
  <c r="F141" i="482" s="1"/>
  <c r="F140" i="482" a="1"/>
  <c r="F140" i="482" s="1"/>
  <c r="F139" i="482" a="1"/>
  <c r="F139" i="482" s="1"/>
  <c r="F138" i="482" a="1"/>
  <c r="F138" i="482" s="1"/>
  <c r="F137" i="482" a="1"/>
  <c r="F137" i="482" s="1"/>
  <c r="F136" i="482" a="1"/>
  <c r="F136" i="482" s="1"/>
  <c r="F135" i="482" a="1"/>
  <c r="F135" i="482" s="1"/>
  <c r="F134" i="482" a="1"/>
  <c r="F134" i="482" s="1"/>
  <c r="F133" i="482" a="1"/>
  <c r="F133" i="482" s="1"/>
  <c r="F132" i="482" a="1"/>
  <c r="F132" i="482" s="1"/>
  <c r="F131" i="482" a="1"/>
  <c r="F131" i="482" s="1"/>
  <c r="F130" i="482" a="1"/>
  <c r="F130" i="482" s="1"/>
  <c r="F129" i="482" a="1"/>
  <c r="F129" i="482" s="1"/>
  <c r="F128" i="482" a="1"/>
  <c r="F128" i="482" s="1"/>
  <c r="F127" i="482" a="1"/>
  <c r="F127" i="482" s="1"/>
  <c r="F126" i="482" a="1"/>
  <c r="F126" i="482" s="1"/>
  <c r="F125" i="482" a="1"/>
  <c r="F125" i="482" s="1"/>
  <c r="F124" i="482" a="1"/>
  <c r="F124" i="482" s="1"/>
  <c r="F123" i="482" a="1"/>
  <c r="F123" i="482" s="1"/>
  <c r="F122" i="482" a="1"/>
  <c r="F122" i="482" s="1"/>
  <c r="F121" i="482" a="1"/>
  <c r="F121" i="482" s="1"/>
  <c r="F120" i="482" a="1"/>
  <c r="F120" i="482" s="1"/>
  <c r="F119" i="482" a="1"/>
  <c r="F119" i="482" s="1"/>
  <c r="F118" i="482" a="1"/>
  <c r="F118" i="482" s="1"/>
  <c r="F117" i="482" a="1"/>
  <c r="F117" i="482" s="1"/>
  <c r="F116" i="482" a="1"/>
  <c r="F116" i="482" s="1"/>
  <c r="F115" i="482" a="1"/>
  <c r="F115" i="482" s="1"/>
  <c r="F114" i="482" a="1"/>
  <c r="F114" i="482" s="1"/>
  <c r="F113" i="482" a="1"/>
  <c r="F113" i="482" s="1"/>
  <c r="F112" i="482" a="1"/>
  <c r="F112" i="482" s="1"/>
  <c r="F111" i="482" a="1"/>
  <c r="F111" i="482" s="1"/>
  <c r="F110" i="482" a="1"/>
  <c r="F110" i="482" s="1"/>
  <c r="F109" i="482" a="1"/>
  <c r="F109" i="482" s="1"/>
  <c r="F108" i="482" a="1"/>
  <c r="F108" i="482" s="1"/>
  <c r="F107" i="482" a="1"/>
  <c r="F107" i="482" s="1"/>
  <c r="F106" i="482" a="1"/>
  <c r="F106" i="482" s="1"/>
  <c r="F105" i="482" a="1"/>
  <c r="F105" i="482" s="1"/>
  <c r="F104" i="482" a="1"/>
  <c r="F104" i="482" s="1"/>
  <c r="F103" i="482" a="1"/>
  <c r="F103" i="482" s="1"/>
  <c r="F102" i="482" a="1"/>
  <c r="F102" i="482" s="1"/>
  <c r="F101" i="482" a="1"/>
  <c r="F101" i="482" s="1"/>
  <c r="F100" i="482" a="1"/>
  <c r="F100" i="482" s="1"/>
  <c r="F99" i="482" a="1"/>
  <c r="F99" i="482" s="1"/>
  <c r="F98" i="482" a="1"/>
  <c r="F98" i="482" s="1"/>
  <c r="F97" i="482" a="1"/>
  <c r="F97" i="482" s="1"/>
  <c r="F96" i="482" a="1"/>
  <c r="F96" i="482" s="1"/>
  <c r="F95" i="482" a="1"/>
  <c r="F95" i="482" s="1"/>
  <c r="F94" i="482" a="1"/>
  <c r="F94" i="482" s="1"/>
  <c r="F93" i="482" a="1"/>
  <c r="F93" i="482" s="1"/>
  <c r="F92" i="482" a="1"/>
  <c r="F92" i="482" s="1"/>
  <c r="F91" i="482" a="1"/>
  <c r="F91" i="482" s="1"/>
  <c r="F90" i="482" a="1"/>
  <c r="F90" i="482" s="1"/>
  <c r="F89" i="482" a="1"/>
  <c r="F89" i="482" s="1"/>
  <c r="F88" i="482" a="1"/>
  <c r="F88" i="482" s="1"/>
  <c r="F87" i="482" a="1"/>
  <c r="F87" i="482" s="1"/>
  <c r="F86" i="482" a="1"/>
  <c r="F86" i="482" s="1"/>
  <c r="F85" i="482" a="1"/>
  <c r="F85" i="482" s="1"/>
  <c r="F84" i="482" a="1"/>
  <c r="F84" i="482" s="1"/>
  <c r="F83" i="482" a="1"/>
  <c r="F83" i="482" s="1"/>
  <c r="F82" i="482" a="1"/>
  <c r="F82" i="482" s="1"/>
  <c r="F81" i="482" a="1"/>
  <c r="F81" i="482" s="1"/>
  <c r="F80" i="482" a="1"/>
  <c r="F80" i="482" s="1"/>
  <c r="F79" i="482" a="1"/>
  <c r="F79" i="482" s="1"/>
  <c r="F78" i="482" a="1"/>
  <c r="F78" i="482" s="1"/>
  <c r="F77" i="482" a="1"/>
  <c r="F77" i="482" s="1"/>
  <c r="F76" i="482" a="1"/>
  <c r="F76" i="482" s="1"/>
  <c r="F75" i="482" a="1"/>
  <c r="F75" i="482" s="1"/>
  <c r="F74" i="482" a="1"/>
  <c r="F74" i="482" s="1"/>
  <c r="F73" i="482" a="1"/>
  <c r="F73" i="482" s="1"/>
  <c r="F72" i="482" a="1"/>
  <c r="F72" i="482" s="1"/>
  <c r="F71" i="482" a="1"/>
  <c r="F71" i="482" s="1"/>
  <c r="F70" i="482" a="1"/>
  <c r="F70" i="482" s="1"/>
  <c r="F69" i="482" a="1"/>
  <c r="F69" i="482" s="1"/>
  <c r="F68" i="482" a="1"/>
  <c r="F68" i="482" s="1"/>
  <c r="F67" i="482" a="1"/>
  <c r="F67" i="482" s="1"/>
  <c r="F66" i="482" a="1"/>
  <c r="F66" i="482" s="1"/>
  <c r="F65" i="482" a="1"/>
  <c r="F65" i="482" s="1"/>
  <c r="F64" i="482" a="1"/>
  <c r="F64" i="482" s="1"/>
  <c r="F63" i="482" a="1"/>
  <c r="F63" i="482" s="1"/>
  <c r="F62" i="482" a="1"/>
  <c r="F62" i="482" s="1"/>
  <c r="F61" i="482" a="1"/>
  <c r="F61" i="482" s="1"/>
  <c r="F60" i="482" a="1"/>
  <c r="F60" i="482" s="1"/>
  <c r="F59" i="482" a="1"/>
  <c r="F59" i="482" s="1"/>
  <c r="F58" i="482" a="1"/>
  <c r="F58" i="482" s="1"/>
  <c r="F57" i="482" a="1"/>
  <c r="F57" i="482" s="1"/>
  <c r="F56" i="482" a="1"/>
  <c r="F56" i="482" s="1"/>
  <c r="F55" i="482" a="1"/>
  <c r="F55" i="482" s="1"/>
  <c r="F54" i="482" a="1"/>
  <c r="F54" i="482" s="1"/>
  <c r="F53" i="482" a="1"/>
  <c r="F53" i="482" s="1"/>
  <c r="F52" i="482" a="1"/>
  <c r="F52" i="482" s="1"/>
  <c r="F51" i="482" a="1"/>
  <c r="F51" i="482" s="1"/>
  <c r="F50" i="482" a="1"/>
  <c r="F50" i="482" s="1"/>
  <c r="F49" i="482" a="1"/>
  <c r="F49" i="482" s="1"/>
  <c r="F48" i="482" a="1"/>
  <c r="F48" i="482" s="1"/>
  <c r="F47" i="482" a="1"/>
  <c r="F47" i="482" s="1"/>
  <c r="F46" i="482" a="1"/>
  <c r="F46" i="482" s="1"/>
  <c r="F45" i="482" a="1"/>
  <c r="F45" i="482" s="1"/>
  <c r="F44" i="482" a="1"/>
  <c r="F44" i="482" s="1"/>
  <c r="F43" i="482" a="1"/>
  <c r="F43" i="482" s="1"/>
  <c r="F42" i="482" a="1"/>
  <c r="F42" i="482" s="1"/>
  <c r="F41" i="482" a="1"/>
  <c r="F41" i="482" s="1"/>
  <c r="F40" i="482" a="1"/>
  <c r="F40" i="482" s="1"/>
  <c r="F39" i="482" a="1"/>
  <c r="F39" i="482" s="1"/>
  <c r="F38" i="482" a="1"/>
  <c r="F38" i="482" s="1"/>
  <c r="F37" i="482" a="1"/>
  <c r="F37" i="482" s="1"/>
  <c r="F36" i="482" a="1"/>
  <c r="F36" i="482" s="1"/>
  <c r="F35" i="482" a="1"/>
  <c r="F35" i="482" s="1"/>
  <c r="F34" i="482" a="1"/>
  <c r="F34" i="482" s="1"/>
  <c r="F33" i="482" a="1"/>
  <c r="F33" i="482" s="1"/>
  <c r="F32" i="482" a="1"/>
  <c r="F32" i="482" s="1"/>
  <c r="F31" i="482" a="1"/>
  <c r="F31" i="482" s="1"/>
  <c r="F30" i="482" a="1"/>
  <c r="F30" i="482" s="1"/>
  <c r="F29" i="482" a="1"/>
  <c r="F29" i="482" s="1"/>
  <c r="F28" i="482" a="1"/>
  <c r="F28" i="482" s="1"/>
  <c r="F27" i="482" a="1"/>
  <c r="F27" i="482" s="1"/>
  <c r="F26" i="482" a="1"/>
  <c r="F26" i="482" s="1"/>
  <c r="F25" i="482" a="1"/>
  <c r="F25" i="482" s="1"/>
  <c r="F24" i="482" a="1"/>
  <c r="F24" i="482" s="1"/>
  <c r="F23" i="482" a="1"/>
  <c r="F23" i="482" s="1"/>
  <c r="F22" i="482" a="1"/>
  <c r="F22" i="482" s="1"/>
  <c r="F21" i="482" a="1"/>
  <c r="F21" i="482" s="1"/>
  <c r="F20" i="482" a="1"/>
  <c r="F20" i="482" s="1"/>
  <c r="F19" i="482" a="1"/>
  <c r="F19" i="482" s="1"/>
  <c r="F18" i="482" a="1"/>
  <c r="F18" i="482" s="1"/>
  <c r="F17" i="482" a="1"/>
  <c r="F17" i="482" s="1"/>
  <c r="F16" i="482" a="1"/>
  <c r="F16" i="482" s="1"/>
  <c r="F15" i="482" a="1"/>
  <c r="F15" i="482" s="1"/>
  <c r="F14" i="482" a="1"/>
  <c r="F14" i="482" s="1"/>
  <c r="F13" i="482" a="1"/>
  <c r="F13" i="482" s="1"/>
  <c r="F12" i="482" a="1"/>
  <c r="F12" i="482" s="1"/>
  <c r="F11" i="482" a="1"/>
  <c r="F11" i="482" s="1"/>
  <c r="E210" i="482"/>
  <c r="E209" i="482"/>
  <c r="E208" i="482"/>
  <c r="E207" i="482"/>
  <c r="E206" i="482"/>
  <c r="E205" i="482"/>
  <c r="E204" i="482"/>
  <c r="E203" i="482"/>
  <c r="E202" i="482"/>
  <c r="E201" i="482"/>
  <c r="E200" i="482"/>
  <c r="E199" i="482"/>
  <c r="E198" i="482"/>
  <c r="E197" i="482"/>
  <c r="E196" i="482"/>
  <c r="E195" i="482"/>
  <c r="E194" i="482"/>
  <c r="E193" i="482"/>
  <c r="E192" i="482"/>
  <c r="E191" i="482"/>
  <c r="E190" i="482"/>
  <c r="E189" i="482"/>
  <c r="E188" i="482"/>
  <c r="E187" i="482"/>
  <c r="E186" i="482"/>
  <c r="E185" i="482"/>
  <c r="E184" i="482"/>
  <c r="E183" i="482"/>
  <c r="E182" i="482"/>
  <c r="E181" i="482"/>
  <c r="E180" i="482"/>
  <c r="E179" i="482"/>
  <c r="E178" i="482"/>
  <c r="E177" i="482"/>
  <c r="E176" i="482"/>
  <c r="E175" i="482"/>
  <c r="E174" i="482"/>
  <c r="E173" i="482"/>
  <c r="E172" i="482"/>
  <c r="E171" i="482"/>
  <c r="E170" i="482"/>
  <c r="E169" i="482"/>
  <c r="E168" i="482"/>
  <c r="E167" i="482"/>
  <c r="E166" i="482"/>
  <c r="E165" i="482"/>
  <c r="E164" i="482"/>
  <c r="E163" i="482"/>
  <c r="E162" i="482"/>
  <c r="E161" i="482"/>
  <c r="E160" i="482"/>
  <c r="E159" i="482"/>
  <c r="E158" i="482"/>
  <c r="E157" i="482"/>
  <c r="E156" i="482"/>
  <c r="E155" i="482"/>
  <c r="E154" i="482"/>
  <c r="E153" i="482"/>
  <c r="E152" i="482"/>
  <c r="E151" i="482"/>
  <c r="E150" i="482"/>
  <c r="E149" i="482"/>
  <c r="E148" i="482"/>
  <c r="E147" i="482"/>
  <c r="E146" i="482"/>
  <c r="E145" i="482"/>
  <c r="E144" i="482"/>
  <c r="E143" i="482"/>
  <c r="E142" i="482"/>
  <c r="E141" i="482"/>
  <c r="E140" i="482"/>
  <c r="E139" i="482"/>
  <c r="E138" i="482"/>
  <c r="E137" i="482"/>
  <c r="E136" i="482"/>
  <c r="E135" i="482"/>
  <c r="E134" i="482"/>
  <c r="E133" i="482"/>
  <c r="E132" i="482"/>
  <c r="E131" i="482"/>
  <c r="E130" i="482"/>
  <c r="E129" i="482"/>
  <c r="E128" i="482"/>
  <c r="E127" i="482"/>
  <c r="E126" i="482"/>
  <c r="E125" i="482"/>
  <c r="E124" i="482"/>
  <c r="E123" i="482"/>
  <c r="E122" i="482"/>
  <c r="E121" i="482"/>
  <c r="E120" i="482"/>
  <c r="E119" i="482"/>
  <c r="E118" i="482"/>
  <c r="E117" i="482"/>
  <c r="E116" i="482"/>
  <c r="E115" i="482"/>
  <c r="E114" i="482"/>
  <c r="E10" i="482"/>
  <c r="K3" i="311"/>
  <c r="K4" i="311"/>
  <c r="K5" i="311"/>
  <c r="K6" i="311"/>
  <c r="K7" i="311"/>
  <c r="K8" i="311"/>
  <c r="K9" i="311"/>
  <c r="K10" i="311"/>
  <c r="K11" i="311"/>
  <c r="K12" i="311"/>
  <c r="K13" i="311"/>
  <c r="K14" i="311"/>
  <c r="K15" i="311"/>
  <c r="K16" i="311"/>
  <c r="K17" i="311"/>
  <c r="K18" i="311"/>
  <c r="K19" i="311"/>
  <c r="K20" i="311"/>
  <c r="K21" i="311"/>
  <c r="K22" i="311"/>
  <c r="K23" i="311"/>
  <c r="K24" i="311"/>
  <c r="K25" i="311"/>
  <c r="K26" i="311"/>
  <c r="K27" i="311"/>
  <c r="K28" i="311"/>
  <c r="K29" i="311"/>
  <c r="K30" i="311"/>
  <c r="K31" i="311"/>
  <c r="K32" i="311"/>
  <c r="K33" i="311"/>
  <c r="K34" i="311"/>
  <c r="K35" i="311"/>
  <c r="K36" i="311"/>
  <c r="K37" i="311"/>
  <c r="K38" i="311"/>
  <c r="K39" i="311"/>
  <c r="K40" i="311"/>
  <c r="K41" i="311"/>
  <c r="K42" i="311"/>
  <c r="K43" i="311"/>
  <c r="K44" i="311"/>
  <c r="K45" i="311"/>
  <c r="K46" i="311"/>
  <c r="K47" i="311"/>
  <c r="K48" i="311"/>
  <c r="K49" i="311"/>
  <c r="K50" i="311"/>
  <c r="K51" i="311"/>
  <c r="K52" i="311"/>
  <c r="K53" i="311"/>
  <c r="K54" i="311"/>
  <c r="K55" i="311"/>
  <c r="K56" i="311"/>
  <c r="K57" i="311"/>
  <c r="K58" i="311"/>
  <c r="K59" i="311"/>
  <c r="K60" i="311"/>
  <c r="K61" i="311"/>
  <c r="K62" i="311"/>
  <c r="K63" i="311"/>
  <c r="K64" i="311"/>
  <c r="K65" i="311"/>
  <c r="K66" i="311"/>
  <c r="K67" i="311"/>
  <c r="K68" i="311"/>
  <c r="K69" i="311"/>
  <c r="K70" i="311"/>
  <c r="K71" i="311"/>
  <c r="K72" i="311"/>
  <c r="K73" i="311"/>
  <c r="K74" i="311"/>
  <c r="K75" i="311"/>
  <c r="K76" i="311"/>
  <c r="K77" i="311"/>
  <c r="K78" i="311"/>
  <c r="K79" i="311"/>
  <c r="K80" i="311"/>
  <c r="K81" i="311"/>
  <c r="K82" i="311"/>
  <c r="K83" i="311"/>
  <c r="K84" i="311"/>
  <c r="K85" i="311"/>
  <c r="K86" i="311"/>
  <c r="K87" i="311"/>
  <c r="K88" i="311"/>
  <c r="K89" i="311"/>
  <c r="K90" i="311"/>
  <c r="K91" i="311"/>
  <c r="K92" i="311"/>
  <c r="K93" i="311"/>
  <c r="K94" i="311"/>
  <c r="K95" i="311"/>
  <c r="K96" i="311"/>
  <c r="K97" i="311"/>
  <c r="K98" i="311"/>
  <c r="K99" i="311"/>
  <c r="K100" i="311"/>
  <c r="K101" i="311"/>
  <c r="K102" i="311"/>
  <c r="K103" i="311"/>
  <c r="K104" i="311"/>
  <c r="K105" i="311"/>
  <c r="K106" i="311"/>
  <c r="K107" i="311"/>
  <c r="K108" i="311"/>
  <c r="K109" i="311"/>
  <c r="K110" i="311"/>
  <c r="K111" i="311"/>
  <c r="K112" i="311"/>
  <c r="K113" i="311"/>
  <c r="K114" i="311"/>
  <c r="K115" i="311"/>
  <c r="K116" i="311"/>
  <c r="K117" i="311"/>
  <c r="K118" i="311"/>
  <c r="K119" i="311"/>
  <c r="K120" i="311"/>
  <c r="K121" i="311"/>
  <c r="K122" i="311"/>
  <c r="K123" i="311"/>
  <c r="K124" i="311"/>
  <c r="K125" i="311"/>
  <c r="K126" i="311"/>
  <c r="K127" i="311"/>
  <c r="K128" i="311"/>
  <c r="K129" i="311"/>
  <c r="K130" i="311"/>
  <c r="K131" i="311"/>
  <c r="K132" i="311"/>
  <c r="K133" i="311"/>
  <c r="K134" i="311"/>
  <c r="K135" i="311"/>
  <c r="K136" i="311"/>
  <c r="K137" i="311"/>
  <c r="K138" i="311"/>
  <c r="K139" i="311"/>
  <c r="K140" i="311"/>
  <c r="K141" i="311"/>
  <c r="K142" i="311"/>
  <c r="K143" i="311"/>
  <c r="K144" i="311"/>
  <c r="K145" i="311"/>
  <c r="K146" i="311"/>
  <c r="K147" i="311"/>
  <c r="K148" i="311"/>
  <c r="K149" i="311"/>
  <c r="K150" i="311"/>
  <c r="K151" i="311"/>
  <c r="K152" i="311"/>
  <c r="K153" i="311"/>
  <c r="K154" i="311"/>
  <c r="K155" i="311"/>
  <c r="K156" i="311"/>
  <c r="K157" i="311"/>
  <c r="K158" i="311"/>
  <c r="K159" i="311"/>
  <c r="K160" i="311"/>
  <c r="K161" i="311"/>
  <c r="K162" i="311"/>
  <c r="K163" i="311"/>
  <c r="K164" i="311"/>
  <c r="K165" i="311"/>
  <c r="K166" i="311"/>
  <c r="K167" i="311"/>
  <c r="K168" i="311"/>
  <c r="K169" i="311"/>
  <c r="K170" i="311"/>
  <c r="K171" i="311"/>
  <c r="K172" i="311"/>
  <c r="K173" i="311"/>
  <c r="K174" i="311"/>
  <c r="K175" i="311"/>
  <c r="K176" i="311"/>
  <c r="K177" i="311"/>
  <c r="K178" i="311"/>
  <c r="K179" i="311"/>
  <c r="K180" i="311"/>
  <c r="K181" i="311"/>
  <c r="K182" i="311"/>
  <c r="K183" i="311"/>
  <c r="K184" i="311"/>
  <c r="K185" i="311"/>
  <c r="K186" i="311"/>
  <c r="K187" i="311"/>
  <c r="K188" i="311"/>
  <c r="K189" i="311"/>
  <c r="K190" i="311"/>
  <c r="K191" i="311"/>
  <c r="K192" i="311"/>
  <c r="K193" i="311"/>
  <c r="K194" i="311"/>
  <c r="K195" i="311"/>
  <c r="K196" i="311"/>
  <c r="K197" i="311"/>
  <c r="K198" i="311"/>
  <c r="K199" i="311"/>
  <c r="K200" i="311"/>
  <c r="K201" i="311"/>
  <c r="K202" i="311"/>
  <c r="K203" i="311"/>
  <c r="K204" i="311"/>
  <c r="K205" i="311"/>
  <c r="K206" i="311"/>
  <c r="K207" i="311"/>
  <c r="K208" i="311"/>
  <c r="K209" i="311"/>
  <c r="K210" i="311"/>
  <c r="K211" i="311"/>
  <c r="K212" i="311"/>
  <c r="K213" i="311"/>
  <c r="K214" i="311"/>
  <c r="K215" i="311"/>
  <c r="K216" i="311"/>
  <c r="K217" i="311"/>
  <c r="K218" i="311"/>
  <c r="K219" i="311"/>
  <c r="K220" i="311"/>
  <c r="K221" i="311"/>
  <c r="K222" i="311"/>
  <c r="K223" i="311"/>
  <c r="K224" i="311"/>
  <c r="K225" i="311"/>
  <c r="K226" i="311"/>
  <c r="K227" i="311"/>
  <c r="K228" i="311"/>
  <c r="K229" i="311"/>
  <c r="K230" i="311"/>
  <c r="K231" i="311"/>
  <c r="K232" i="311"/>
  <c r="K233" i="311"/>
  <c r="K234" i="311"/>
  <c r="K235" i="311"/>
  <c r="K236" i="311"/>
  <c r="K237" i="311"/>
  <c r="K238" i="311"/>
  <c r="K239" i="311"/>
  <c r="K240" i="311"/>
  <c r="K241" i="311"/>
  <c r="K242" i="311"/>
  <c r="K243" i="311"/>
  <c r="K244" i="311"/>
  <c r="K245" i="311"/>
  <c r="K246" i="311"/>
  <c r="K247" i="311"/>
  <c r="K248" i="311"/>
  <c r="K249" i="311"/>
  <c r="K250" i="311"/>
  <c r="K251" i="311"/>
  <c r="K252" i="311"/>
  <c r="K253" i="311"/>
  <c r="K254" i="311"/>
  <c r="K255" i="311"/>
  <c r="K256" i="311"/>
  <c r="K257" i="311"/>
  <c r="K258" i="311"/>
  <c r="K259" i="311"/>
  <c r="K260" i="311"/>
  <c r="K261" i="311"/>
  <c r="K262" i="311"/>
  <c r="K263" i="311"/>
  <c r="K264" i="311"/>
  <c r="K265" i="311"/>
  <c r="K266" i="311"/>
  <c r="K267" i="311"/>
  <c r="K268" i="311"/>
  <c r="K269" i="311"/>
  <c r="K270" i="311"/>
  <c r="K271" i="311"/>
  <c r="K272" i="311"/>
  <c r="K273" i="311"/>
  <c r="K274" i="311"/>
  <c r="K275" i="311"/>
  <c r="K276" i="311"/>
  <c r="K277" i="311"/>
  <c r="K278" i="311"/>
  <c r="K279" i="311"/>
  <c r="K280" i="311"/>
  <c r="K281" i="311"/>
  <c r="K282" i="311"/>
  <c r="K283" i="311"/>
  <c r="K284" i="311"/>
  <c r="K285" i="311"/>
  <c r="K286" i="311"/>
  <c r="K287" i="311"/>
  <c r="K288" i="311"/>
  <c r="K289" i="311"/>
  <c r="K290" i="311"/>
  <c r="K291" i="311"/>
  <c r="K292" i="311"/>
  <c r="K293" i="311"/>
  <c r="K294" i="311"/>
  <c r="K295" i="311"/>
  <c r="K296" i="311"/>
  <c r="K297" i="311"/>
  <c r="K298" i="311"/>
  <c r="K299" i="311"/>
  <c r="K300" i="311"/>
  <c r="K301" i="311"/>
  <c r="K302" i="311"/>
  <c r="K303" i="311"/>
  <c r="K304" i="311"/>
  <c r="K305" i="311"/>
  <c r="K306" i="311"/>
  <c r="K307" i="311"/>
  <c r="K308" i="311"/>
  <c r="K309" i="311"/>
  <c r="K310" i="311"/>
  <c r="K311" i="311"/>
  <c r="K312" i="311"/>
  <c r="K313" i="311"/>
  <c r="K314" i="311"/>
  <c r="K315" i="311"/>
  <c r="K316" i="311"/>
  <c r="K317" i="311"/>
  <c r="K318" i="311"/>
  <c r="K319" i="311"/>
  <c r="K320" i="311"/>
  <c r="K321" i="311"/>
  <c r="K322" i="311"/>
  <c r="K323" i="311"/>
  <c r="K324" i="311"/>
  <c r="K325" i="311"/>
  <c r="K326" i="311"/>
  <c r="K327" i="311"/>
  <c r="K328" i="311"/>
  <c r="K329" i="311"/>
  <c r="K330" i="311"/>
  <c r="K331" i="311"/>
  <c r="K332" i="311"/>
  <c r="K333" i="311"/>
  <c r="K334" i="311"/>
  <c r="K335" i="311"/>
  <c r="K336" i="311"/>
  <c r="K337" i="311"/>
  <c r="K338" i="311"/>
  <c r="K339" i="311"/>
  <c r="K340" i="311"/>
  <c r="K341" i="311"/>
  <c r="K342" i="311"/>
  <c r="K343" i="311"/>
  <c r="K344" i="311"/>
  <c r="K345" i="311"/>
  <c r="K346" i="311"/>
  <c r="K347" i="311"/>
  <c r="K348" i="311"/>
  <c r="K349" i="311"/>
  <c r="K350" i="311"/>
  <c r="K351" i="311"/>
  <c r="K352" i="311"/>
  <c r="K353" i="311"/>
  <c r="K354" i="311"/>
  <c r="K355" i="311"/>
  <c r="K356" i="311"/>
  <c r="K357" i="311"/>
  <c r="K358" i="311"/>
  <c r="K359" i="311"/>
  <c r="K360" i="311"/>
  <c r="K361" i="311"/>
  <c r="K362" i="311"/>
  <c r="K363" i="311"/>
  <c r="K364" i="311"/>
  <c r="K365" i="311"/>
  <c r="K366" i="311"/>
  <c r="K367" i="311"/>
  <c r="K368" i="311"/>
  <c r="K369" i="311"/>
  <c r="K370" i="311"/>
  <c r="K371" i="311"/>
  <c r="K372" i="311"/>
  <c r="K373" i="311"/>
  <c r="K374" i="311"/>
  <c r="K375" i="311"/>
  <c r="K376" i="311"/>
  <c r="K377" i="311"/>
  <c r="K378" i="311"/>
  <c r="K379" i="311"/>
  <c r="K380" i="311"/>
  <c r="K381" i="311"/>
  <c r="K382" i="311"/>
  <c r="K383" i="311"/>
  <c r="K384" i="311"/>
  <c r="K385" i="311"/>
  <c r="K386" i="311"/>
  <c r="K387" i="311"/>
  <c r="K388" i="311"/>
  <c r="K389" i="311"/>
  <c r="K390" i="311"/>
  <c r="K391" i="311"/>
  <c r="K392" i="311"/>
  <c r="K393" i="311"/>
  <c r="K394" i="311"/>
  <c r="K395" i="311"/>
  <c r="K396" i="311"/>
  <c r="K397" i="311"/>
  <c r="K398" i="311"/>
  <c r="K399" i="311"/>
  <c r="K400" i="311"/>
  <c r="K401" i="311"/>
  <c r="K402" i="311"/>
  <c r="K403" i="311"/>
  <c r="K404" i="311"/>
  <c r="K405" i="311"/>
  <c r="K406" i="311"/>
  <c r="K407" i="311"/>
  <c r="K408" i="311"/>
  <c r="K409" i="311"/>
  <c r="K410" i="311"/>
  <c r="K411" i="311"/>
  <c r="K412" i="311"/>
  <c r="K413" i="311"/>
  <c r="K414" i="311"/>
  <c r="K415" i="311"/>
  <c r="K416" i="311"/>
  <c r="K417" i="311"/>
  <c r="K418" i="311"/>
  <c r="K419" i="311"/>
  <c r="K420" i="311"/>
  <c r="K421" i="311"/>
  <c r="K422" i="311"/>
  <c r="K423" i="311"/>
  <c r="K424" i="311"/>
  <c r="K425" i="311"/>
  <c r="K426" i="311"/>
  <c r="K427" i="311"/>
  <c r="K428" i="311"/>
  <c r="K429" i="311"/>
  <c r="K430" i="311"/>
  <c r="K431" i="311"/>
  <c r="K432" i="311"/>
  <c r="K433" i="311"/>
  <c r="K434" i="311"/>
  <c r="K435" i="311"/>
  <c r="K436" i="311"/>
  <c r="K437" i="311"/>
  <c r="K438" i="311"/>
  <c r="K439" i="311"/>
  <c r="K440" i="311"/>
  <c r="K441" i="311"/>
  <c r="K442" i="311"/>
  <c r="K443" i="311"/>
  <c r="K444" i="311"/>
  <c r="K445" i="311"/>
  <c r="K446" i="311"/>
  <c r="K447" i="311"/>
  <c r="K448" i="311"/>
  <c r="K449" i="311"/>
  <c r="K450" i="311"/>
  <c r="K451" i="311"/>
  <c r="K452" i="311"/>
  <c r="K453" i="311"/>
  <c r="K454" i="311"/>
  <c r="K455" i="311"/>
  <c r="K456" i="311"/>
  <c r="K457" i="311"/>
  <c r="K458" i="311"/>
  <c r="K459" i="311"/>
  <c r="K460" i="311"/>
  <c r="K461" i="311"/>
  <c r="K462" i="311"/>
  <c r="K463" i="311"/>
  <c r="K464" i="311"/>
  <c r="K465" i="311"/>
  <c r="K466" i="311"/>
  <c r="K467" i="311"/>
  <c r="K468" i="311"/>
  <c r="K469" i="311"/>
  <c r="K470" i="311"/>
  <c r="K471" i="311"/>
  <c r="K472" i="311"/>
  <c r="K473" i="311"/>
  <c r="K474" i="311"/>
  <c r="K475" i="311"/>
  <c r="K476" i="311"/>
  <c r="K477" i="311"/>
  <c r="K478" i="311"/>
  <c r="K479" i="311"/>
  <c r="K480" i="311"/>
  <c r="K481" i="311"/>
  <c r="K482" i="311"/>
  <c r="K483" i="311"/>
  <c r="K484" i="311"/>
  <c r="K485" i="311"/>
  <c r="K486" i="311"/>
  <c r="K487" i="311"/>
  <c r="K488" i="311"/>
  <c r="K489" i="311"/>
  <c r="K490" i="311"/>
  <c r="K491" i="311"/>
  <c r="K492" i="311"/>
  <c r="K493" i="311"/>
  <c r="K494" i="311"/>
  <c r="K495" i="311"/>
  <c r="K496" i="311"/>
  <c r="K497" i="311"/>
  <c r="K498" i="311"/>
  <c r="K499" i="311"/>
  <c r="K500" i="311"/>
  <c r="K501" i="311"/>
  <c r="K502" i="311"/>
  <c r="K503" i="311"/>
  <c r="K504" i="311"/>
  <c r="K505" i="311"/>
  <c r="K506" i="311"/>
  <c r="K507" i="311"/>
  <c r="K508" i="311"/>
  <c r="K509" i="311"/>
  <c r="K510" i="311"/>
  <c r="K511" i="311"/>
  <c r="K512" i="311"/>
  <c r="K513" i="311"/>
  <c r="K514" i="311"/>
  <c r="K515" i="311"/>
  <c r="K516" i="311"/>
  <c r="K517" i="311"/>
  <c r="K518" i="311"/>
  <c r="K519" i="311"/>
  <c r="K520" i="311"/>
  <c r="K521" i="311"/>
  <c r="K522" i="311"/>
  <c r="K523" i="311"/>
  <c r="K524" i="311"/>
  <c r="K525" i="311"/>
  <c r="K526" i="311"/>
  <c r="K527" i="311"/>
  <c r="K528" i="311"/>
  <c r="K529" i="311"/>
  <c r="K530" i="311"/>
  <c r="K531" i="311"/>
  <c r="K532" i="311"/>
  <c r="K533" i="311"/>
  <c r="K534" i="311"/>
  <c r="K535" i="311"/>
  <c r="K536" i="311"/>
  <c r="K537" i="311"/>
  <c r="K538" i="311"/>
  <c r="K539" i="311"/>
  <c r="K540" i="311"/>
  <c r="K541" i="311"/>
  <c r="K542" i="311"/>
  <c r="K543" i="311"/>
  <c r="K544" i="311"/>
  <c r="K545" i="311"/>
  <c r="K546" i="311"/>
  <c r="K547" i="311"/>
  <c r="K548" i="311"/>
  <c r="K549" i="311"/>
  <c r="K550" i="311"/>
  <c r="K551" i="311"/>
  <c r="K552" i="311"/>
  <c r="K553" i="311"/>
  <c r="K554" i="311"/>
  <c r="K555" i="311"/>
  <c r="K556" i="311"/>
  <c r="K557" i="311"/>
  <c r="K558" i="311"/>
  <c r="K559" i="311"/>
  <c r="K560" i="311"/>
  <c r="K561" i="311"/>
  <c r="K562" i="311"/>
  <c r="K563" i="311"/>
  <c r="K564" i="311"/>
  <c r="K565" i="311"/>
  <c r="K566" i="311"/>
  <c r="K567" i="311"/>
  <c r="K568" i="311"/>
  <c r="K569" i="311"/>
  <c r="K570" i="311"/>
  <c r="K571" i="311"/>
  <c r="K572" i="311"/>
  <c r="K573" i="311"/>
  <c r="K574" i="311"/>
  <c r="K575" i="311"/>
  <c r="K576" i="311"/>
  <c r="K577" i="311"/>
  <c r="K578" i="311"/>
  <c r="K579" i="311"/>
  <c r="K580" i="311"/>
  <c r="K581" i="311"/>
  <c r="K582" i="311"/>
  <c r="K583" i="311"/>
  <c r="K584" i="311"/>
  <c r="K585" i="311"/>
  <c r="K586" i="311"/>
  <c r="K587" i="311"/>
  <c r="K588" i="311"/>
  <c r="K589" i="311"/>
  <c r="K590" i="311"/>
  <c r="K591" i="311"/>
  <c r="K592" i="311"/>
  <c r="K593" i="311"/>
  <c r="K594" i="311"/>
  <c r="K595" i="311"/>
  <c r="K596" i="311"/>
  <c r="K597" i="311"/>
  <c r="K598" i="311"/>
  <c r="K599" i="311"/>
  <c r="K600" i="311"/>
  <c r="K601" i="311"/>
  <c r="K602" i="311"/>
  <c r="K603" i="311"/>
  <c r="K604" i="311"/>
  <c r="K605" i="311"/>
  <c r="K606" i="311"/>
  <c r="K607" i="311"/>
  <c r="K608" i="311"/>
  <c r="K609" i="311"/>
  <c r="K610" i="311"/>
  <c r="K611" i="311"/>
  <c r="K612" i="311"/>
  <c r="K613" i="311"/>
  <c r="K614" i="311"/>
  <c r="K615" i="311"/>
  <c r="K616" i="311"/>
  <c r="K617" i="311"/>
  <c r="K618" i="311"/>
  <c r="K619" i="311"/>
  <c r="K620" i="311"/>
  <c r="K621" i="311"/>
  <c r="K622" i="311"/>
  <c r="K623" i="311"/>
  <c r="K624" i="311"/>
  <c r="K625" i="311"/>
  <c r="K626" i="311"/>
  <c r="K627" i="311"/>
  <c r="K628" i="311"/>
  <c r="K629" i="311"/>
  <c r="K630" i="311"/>
  <c r="K631" i="311"/>
  <c r="K632" i="311"/>
  <c r="K633" i="311"/>
  <c r="K634" i="311"/>
  <c r="K635" i="311"/>
  <c r="K636" i="311"/>
  <c r="K637" i="311"/>
  <c r="K638" i="311"/>
  <c r="K639" i="311"/>
  <c r="K640" i="311"/>
  <c r="K641" i="311"/>
  <c r="K642" i="311"/>
  <c r="K643" i="311"/>
  <c r="K644" i="311"/>
  <c r="K645" i="311"/>
  <c r="K646" i="311"/>
  <c r="K647" i="311"/>
  <c r="K648" i="311"/>
  <c r="K649" i="311"/>
  <c r="K650" i="311"/>
  <c r="K651" i="311"/>
  <c r="K652" i="311"/>
  <c r="K653" i="311"/>
  <c r="K654" i="311"/>
  <c r="K655" i="311"/>
  <c r="K656" i="311"/>
  <c r="K657" i="311"/>
  <c r="K658" i="311"/>
  <c r="K659" i="311"/>
  <c r="K660" i="311"/>
  <c r="K661" i="311"/>
  <c r="K662" i="311"/>
  <c r="K663" i="311"/>
  <c r="K664" i="311"/>
  <c r="K665" i="311"/>
  <c r="K666" i="311"/>
  <c r="K667" i="311"/>
  <c r="K668" i="311"/>
  <c r="K669" i="311"/>
  <c r="K670" i="311"/>
  <c r="K671" i="311"/>
  <c r="K672" i="311"/>
  <c r="K673" i="311"/>
  <c r="K674" i="311"/>
  <c r="K675" i="311"/>
  <c r="K676" i="311"/>
  <c r="K677" i="311"/>
  <c r="K678" i="311"/>
  <c r="K679" i="311"/>
  <c r="K680" i="311"/>
  <c r="K681" i="311"/>
  <c r="K682" i="311"/>
  <c r="K683" i="311"/>
  <c r="K684" i="311"/>
  <c r="K685" i="311"/>
  <c r="K686" i="311"/>
  <c r="K687" i="311"/>
  <c r="K688" i="311"/>
  <c r="K689" i="311"/>
  <c r="K690" i="311"/>
  <c r="K691" i="311"/>
  <c r="K692" i="311"/>
  <c r="K693" i="311"/>
  <c r="K694" i="311"/>
  <c r="K695" i="311"/>
  <c r="K696" i="311"/>
  <c r="K697" i="311"/>
  <c r="K698" i="311"/>
  <c r="K699" i="311"/>
  <c r="K700" i="311"/>
  <c r="K701" i="311"/>
  <c r="K702" i="311"/>
  <c r="K703" i="311"/>
  <c r="K704" i="311"/>
  <c r="K705" i="311"/>
  <c r="K706" i="311"/>
  <c r="K707" i="311"/>
  <c r="K708" i="311"/>
  <c r="K709" i="311"/>
  <c r="K710" i="311"/>
  <c r="K711" i="311"/>
  <c r="K712" i="311"/>
  <c r="K713" i="311"/>
  <c r="K714" i="311"/>
  <c r="K715" i="311"/>
  <c r="K716" i="311"/>
  <c r="K717" i="311"/>
  <c r="K718" i="311"/>
  <c r="K719" i="311"/>
  <c r="K720" i="311"/>
  <c r="K721" i="311"/>
  <c r="K722" i="311"/>
  <c r="K723" i="311"/>
  <c r="K724" i="311"/>
  <c r="K725" i="311"/>
  <c r="K726" i="311"/>
  <c r="K727" i="311"/>
  <c r="K728" i="311"/>
  <c r="K729" i="311"/>
  <c r="K730" i="311"/>
  <c r="K731" i="311"/>
  <c r="K732" i="311"/>
  <c r="K733" i="311"/>
  <c r="K734" i="311"/>
  <c r="K735" i="311"/>
  <c r="K736" i="311"/>
  <c r="K737" i="311"/>
  <c r="K738" i="311"/>
  <c r="K739" i="311"/>
  <c r="K740" i="311"/>
  <c r="K741" i="311"/>
  <c r="K742" i="311"/>
  <c r="K743" i="311"/>
  <c r="K744" i="311"/>
  <c r="K745" i="311"/>
  <c r="K746" i="311"/>
  <c r="K747" i="311"/>
  <c r="K748" i="311"/>
  <c r="K749" i="311"/>
  <c r="K750" i="311"/>
  <c r="K751" i="311"/>
  <c r="K752" i="311"/>
  <c r="K753" i="311"/>
  <c r="K754" i="311"/>
  <c r="K755" i="311"/>
  <c r="K756" i="311"/>
  <c r="K757" i="311"/>
  <c r="K758" i="311"/>
  <c r="K759" i="311"/>
  <c r="K760" i="311"/>
  <c r="K761" i="311"/>
  <c r="K762" i="311"/>
  <c r="K763" i="311"/>
  <c r="K764" i="311"/>
  <c r="K765" i="311"/>
  <c r="K766" i="311"/>
  <c r="K767" i="311"/>
  <c r="K768" i="311"/>
  <c r="K769" i="311"/>
  <c r="K770" i="311"/>
  <c r="K771" i="311"/>
  <c r="K772" i="311"/>
  <c r="K773" i="311"/>
  <c r="K774" i="311"/>
  <c r="K775" i="311"/>
  <c r="K776" i="311"/>
  <c r="K777" i="311"/>
  <c r="K778" i="311"/>
  <c r="K779" i="311"/>
  <c r="K780" i="311"/>
  <c r="K781" i="311"/>
  <c r="K782" i="311"/>
  <c r="K783" i="311"/>
  <c r="K784" i="311"/>
  <c r="K785" i="311"/>
  <c r="K786" i="311"/>
  <c r="K787" i="311"/>
  <c r="K788" i="311"/>
  <c r="K789" i="311"/>
  <c r="K790" i="311"/>
  <c r="K791" i="311"/>
  <c r="K792" i="311"/>
  <c r="K793" i="311"/>
  <c r="K794" i="311"/>
  <c r="K795" i="311"/>
  <c r="K796" i="311"/>
  <c r="K797" i="311"/>
  <c r="K798" i="311"/>
  <c r="K799" i="311"/>
  <c r="K800" i="311"/>
  <c r="K801" i="311"/>
  <c r="K802" i="311"/>
  <c r="K803" i="311"/>
  <c r="K804" i="311"/>
  <c r="K805" i="311"/>
  <c r="K806" i="311"/>
  <c r="K807" i="311"/>
  <c r="K808" i="311"/>
  <c r="K809" i="311"/>
  <c r="K810" i="311"/>
  <c r="K811" i="311"/>
  <c r="K812" i="311"/>
  <c r="K813" i="311"/>
  <c r="K814" i="311"/>
  <c r="K815" i="311"/>
  <c r="K816" i="311"/>
  <c r="K817" i="311"/>
  <c r="K818" i="311"/>
  <c r="K819" i="311"/>
  <c r="K820" i="311"/>
  <c r="K821" i="311"/>
  <c r="K822" i="311"/>
  <c r="K823" i="311"/>
  <c r="K824" i="311"/>
  <c r="K825" i="311"/>
  <c r="K826" i="311"/>
  <c r="K827" i="311"/>
  <c r="K828" i="311"/>
  <c r="K829" i="311"/>
  <c r="K830" i="311"/>
  <c r="K831" i="311"/>
  <c r="K832" i="311"/>
  <c r="K833" i="311"/>
  <c r="K834" i="311"/>
  <c r="K835" i="311"/>
  <c r="K836" i="311"/>
  <c r="K837" i="311"/>
  <c r="K838" i="311"/>
  <c r="K839" i="311"/>
  <c r="K840" i="311"/>
  <c r="K841" i="311"/>
  <c r="K842" i="311"/>
  <c r="K843" i="311"/>
  <c r="K844" i="311"/>
  <c r="K845" i="311"/>
  <c r="K846" i="311"/>
  <c r="K847" i="311"/>
  <c r="K848" i="311"/>
  <c r="K849" i="311"/>
  <c r="K850" i="311"/>
  <c r="K851" i="311"/>
  <c r="K852" i="311"/>
  <c r="K853" i="311"/>
  <c r="K854" i="311"/>
  <c r="K855" i="311"/>
  <c r="K856" i="311"/>
  <c r="K857" i="311"/>
  <c r="J3" i="311"/>
  <c r="J4" i="311"/>
  <c r="J5" i="311"/>
  <c r="J6" i="311"/>
  <c r="J7" i="311"/>
  <c r="J8" i="311"/>
  <c r="J9" i="311"/>
  <c r="J10" i="311"/>
  <c r="J11" i="311"/>
  <c r="J12" i="311"/>
  <c r="J13" i="311"/>
  <c r="J14" i="311"/>
  <c r="J15" i="311"/>
  <c r="J16" i="311"/>
  <c r="J17" i="311"/>
  <c r="J18" i="311"/>
  <c r="J19" i="311"/>
  <c r="J20" i="311"/>
  <c r="J21" i="311"/>
  <c r="J22" i="311"/>
  <c r="J23" i="311"/>
  <c r="J24" i="311"/>
  <c r="J25" i="311"/>
  <c r="J26" i="311"/>
  <c r="J27" i="311"/>
  <c r="J28" i="311"/>
  <c r="J29" i="311"/>
  <c r="J30" i="311"/>
  <c r="J31" i="311"/>
  <c r="J32" i="311"/>
  <c r="J33" i="311"/>
  <c r="J34" i="311"/>
  <c r="J35" i="311"/>
  <c r="J36" i="311"/>
  <c r="J37" i="311"/>
  <c r="J38" i="311"/>
  <c r="J39" i="311"/>
  <c r="J40" i="311"/>
  <c r="J41" i="311"/>
  <c r="J42" i="311"/>
  <c r="J43" i="311"/>
  <c r="J44" i="311"/>
  <c r="J45" i="311"/>
  <c r="J46" i="311"/>
  <c r="J47" i="311"/>
  <c r="J48" i="311"/>
  <c r="J49" i="311"/>
  <c r="J50" i="311"/>
  <c r="J51" i="311"/>
  <c r="J52" i="311"/>
  <c r="J53" i="311"/>
  <c r="J54" i="311"/>
  <c r="J55" i="311"/>
  <c r="J56" i="311"/>
  <c r="J57" i="311"/>
  <c r="J58" i="311"/>
  <c r="J59" i="311"/>
  <c r="J60" i="311"/>
  <c r="J61" i="311"/>
  <c r="J62" i="311"/>
  <c r="J63" i="311"/>
  <c r="J64" i="311"/>
  <c r="J65" i="311"/>
  <c r="J66" i="311"/>
  <c r="J67" i="311"/>
  <c r="J68" i="311"/>
  <c r="J69" i="311"/>
  <c r="J70" i="311"/>
  <c r="J71" i="311"/>
  <c r="J72" i="311"/>
  <c r="J73" i="311"/>
  <c r="J74" i="311"/>
  <c r="J75" i="311"/>
  <c r="J76" i="311"/>
  <c r="J77" i="311"/>
  <c r="J78" i="311"/>
  <c r="J79" i="311"/>
  <c r="J80" i="311"/>
  <c r="J81" i="311"/>
  <c r="J82" i="311"/>
  <c r="J83" i="311"/>
  <c r="J84" i="311"/>
  <c r="J85" i="311"/>
  <c r="J86" i="311"/>
  <c r="J87" i="311"/>
  <c r="J88" i="311"/>
  <c r="J89" i="311"/>
  <c r="J90" i="311"/>
  <c r="J91" i="311"/>
  <c r="J92" i="311"/>
  <c r="J98" i="311"/>
  <c r="J99" i="311"/>
  <c r="J100" i="311"/>
  <c r="J101" i="311"/>
  <c r="J102" i="311"/>
  <c r="J103" i="311"/>
  <c r="J104" i="311"/>
  <c r="J105" i="311"/>
  <c r="J106" i="311"/>
  <c r="J107" i="311"/>
  <c r="J108" i="311"/>
  <c r="J109" i="311"/>
  <c r="J110" i="311"/>
  <c r="J111" i="311"/>
  <c r="J112" i="311"/>
  <c r="J113" i="311"/>
  <c r="J114" i="311"/>
  <c r="J115" i="311"/>
  <c r="J116" i="311"/>
  <c r="J117" i="311"/>
  <c r="J118" i="311"/>
  <c r="J119" i="311"/>
  <c r="J120" i="311"/>
  <c r="J121" i="311"/>
  <c r="J122" i="311"/>
  <c r="J123" i="311"/>
  <c r="J124" i="311"/>
  <c r="J125" i="311"/>
  <c r="J126" i="311"/>
  <c r="J127" i="311"/>
  <c r="J128" i="311"/>
  <c r="J129" i="311"/>
  <c r="J130" i="311"/>
  <c r="J131" i="311"/>
  <c r="J132" i="311"/>
  <c r="J133" i="311"/>
  <c r="J134" i="311"/>
  <c r="J135" i="311"/>
  <c r="J136" i="311"/>
  <c r="J137" i="311"/>
  <c r="J138" i="311"/>
  <c r="J139" i="311"/>
  <c r="J140" i="311"/>
  <c r="J141" i="311"/>
  <c r="J142" i="311"/>
  <c r="J143" i="311"/>
  <c r="J144" i="311"/>
  <c r="J145" i="311"/>
  <c r="J146" i="311"/>
  <c r="J147" i="311"/>
  <c r="J148" i="311"/>
  <c r="J149" i="311"/>
  <c r="J150" i="311"/>
  <c r="J151" i="311"/>
  <c r="J152" i="311"/>
  <c r="J153" i="311"/>
  <c r="J154" i="311"/>
  <c r="J155" i="311"/>
  <c r="J156" i="311"/>
  <c r="J157" i="311"/>
  <c r="J158" i="311"/>
  <c r="J159" i="311"/>
  <c r="J160" i="311"/>
  <c r="J161" i="311"/>
  <c r="J162" i="311"/>
  <c r="J163" i="311"/>
  <c r="J164" i="311"/>
  <c r="J165" i="311"/>
  <c r="J166" i="311"/>
  <c r="J167" i="311"/>
  <c r="J168" i="311"/>
  <c r="J169" i="311"/>
  <c r="J170" i="311"/>
  <c r="J171" i="311"/>
  <c r="J172" i="311"/>
  <c r="J173" i="311"/>
  <c r="J174" i="311"/>
  <c r="J175" i="311"/>
  <c r="J176" i="311"/>
  <c r="J177" i="311"/>
  <c r="J178" i="311"/>
  <c r="J179" i="311"/>
  <c r="J180" i="311"/>
  <c r="J181" i="311"/>
  <c r="J182" i="311"/>
  <c r="J183" i="311"/>
  <c r="J184" i="311"/>
  <c r="J185" i="311"/>
  <c r="J186" i="311"/>
  <c r="J187" i="311"/>
  <c r="J188" i="311"/>
  <c r="J189" i="311"/>
  <c r="J190" i="311"/>
  <c r="J191" i="311"/>
  <c r="J192" i="311"/>
  <c r="J193" i="311"/>
  <c r="J194" i="311"/>
  <c r="J195" i="311"/>
  <c r="J196" i="311"/>
  <c r="J197" i="311"/>
  <c r="J198" i="311"/>
  <c r="J199" i="311"/>
  <c r="J200" i="311"/>
  <c r="J201" i="311"/>
  <c r="J202" i="311"/>
  <c r="J203" i="311"/>
  <c r="J204" i="311"/>
  <c r="J205" i="311"/>
  <c r="J206" i="311"/>
  <c r="J207" i="311"/>
  <c r="J208" i="311"/>
  <c r="J209" i="311"/>
  <c r="J210" i="311"/>
  <c r="J211" i="311"/>
  <c r="J212" i="311"/>
  <c r="J213" i="311"/>
  <c r="J214" i="311"/>
  <c r="J215" i="311"/>
  <c r="J216" i="311"/>
  <c r="J217" i="311"/>
  <c r="J218" i="311"/>
  <c r="J219" i="311"/>
  <c r="J220" i="311"/>
  <c r="J221" i="311"/>
  <c r="J222" i="311"/>
  <c r="J223" i="311"/>
  <c r="J224" i="311"/>
  <c r="J225" i="311"/>
  <c r="J226" i="311"/>
  <c r="J227" i="311"/>
  <c r="J228" i="311"/>
  <c r="J229" i="311"/>
  <c r="J230" i="311"/>
  <c r="J231" i="311"/>
  <c r="J232" i="311"/>
  <c r="J233" i="311"/>
  <c r="J234" i="311"/>
  <c r="J235" i="311"/>
  <c r="J236" i="311"/>
  <c r="J237" i="311"/>
  <c r="J238" i="311"/>
  <c r="J239" i="311"/>
  <c r="J240" i="311"/>
  <c r="J241" i="311"/>
  <c r="J242" i="311"/>
  <c r="J243" i="311"/>
  <c r="J244" i="311"/>
  <c r="J245" i="311"/>
  <c r="J246" i="311"/>
  <c r="J247" i="311"/>
  <c r="J248" i="311"/>
  <c r="J249" i="311"/>
  <c r="J250" i="311"/>
  <c r="J251" i="311"/>
  <c r="J252" i="311"/>
  <c r="J253" i="311"/>
  <c r="J254" i="311"/>
  <c r="J255" i="311"/>
  <c r="J256" i="311"/>
  <c r="J257" i="311"/>
  <c r="J258" i="311"/>
  <c r="J259" i="311"/>
  <c r="J260" i="311"/>
  <c r="J261" i="311"/>
  <c r="J262" i="311"/>
  <c r="J263" i="311"/>
  <c r="J264" i="311"/>
  <c r="J265" i="311"/>
  <c r="J266" i="311"/>
  <c r="J267" i="311"/>
  <c r="J268" i="311"/>
  <c r="J269" i="311"/>
  <c r="J270" i="311"/>
  <c r="J271" i="311"/>
  <c r="J272" i="311"/>
  <c r="J273" i="311"/>
  <c r="J274" i="311"/>
  <c r="J275" i="311"/>
  <c r="J276" i="311"/>
  <c r="J277" i="311"/>
  <c r="J278" i="311"/>
  <c r="J279" i="311"/>
  <c r="J280" i="311"/>
  <c r="J281" i="311"/>
  <c r="J282" i="311"/>
  <c r="J283" i="311"/>
  <c r="J284" i="311"/>
  <c r="J285" i="311"/>
  <c r="J286" i="311"/>
  <c r="J287" i="311"/>
  <c r="J288" i="311"/>
  <c r="J289" i="311"/>
  <c r="J290" i="311"/>
  <c r="J291" i="311"/>
  <c r="J292" i="311"/>
  <c r="J293" i="311"/>
  <c r="J294" i="311"/>
  <c r="J295" i="311"/>
  <c r="J296" i="311"/>
  <c r="J297" i="311"/>
  <c r="J298" i="311"/>
  <c r="J299" i="311"/>
  <c r="J300" i="311"/>
  <c r="J301" i="311"/>
  <c r="J302" i="311"/>
  <c r="J303" i="311"/>
  <c r="J304" i="311"/>
  <c r="J305" i="311"/>
  <c r="J306" i="311"/>
  <c r="J307" i="311"/>
  <c r="J308" i="311"/>
  <c r="J309" i="311"/>
  <c r="J310" i="311"/>
  <c r="J311" i="311"/>
  <c r="J312" i="311"/>
  <c r="J313" i="311"/>
  <c r="J314" i="311"/>
  <c r="J315" i="311"/>
  <c r="J316" i="311"/>
  <c r="J317" i="311"/>
  <c r="J318" i="311"/>
  <c r="J319" i="311"/>
  <c r="J320" i="311"/>
  <c r="J321" i="311"/>
  <c r="J322" i="311"/>
  <c r="J323" i="311"/>
  <c r="J324" i="311"/>
  <c r="J325" i="311"/>
  <c r="J326" i="311"/>
  <c r="J327" i="311"/>
  <c r="J328" i="311"/>
  <c r="J329" i="311"/>
  <c r="J330" i="311"/>
  <c r="J331" i="311"/>
  <c r="J332" i="311"/>
  <c r="J333" i="311"/>
  <c r="J334" i="311"/>
  <c r="J335" i="311"/>
  <c r="J336" i="311"/>
  <c r="J337" i="311"/>
  <c r="J338" i="311"/>
  <c r="J339" i="311"/>
  <c r="J340" i="311"/>
  <c r="J341" i="311"/>
  <c r="J342" i="311"/>
  <c r="J343" i="311"/>
  <c r="J344" i="311"/>
  <c r="J345" i="311"/>
  <c r="J346" i="311"/>
  <c r="J347" i="311"/>
  <c r="J348" i="311"/>
  <c r="J349" i="311"/>
  <c r="J350" i="311"/>
  <c r="J351" i="311"/>
  <c r="J352" i="311"/>
  <c r="J353" i="311"/>
  <c r="J354" i="311"/>
  <c r="J355" i="311"/>
  <c r="J356" i="311"/>
  <c r="J357" i="311"/>
  <c r="J358" i="311"/>
  <c r="J359" i="311"/>
  <c r="J360" i="311"/>
  <c r="J361" i="311"/>
  <c r="J362" i="311"/>
  <c r="J363" i="311"/>
  <c r="J364" i="311"/>
  <c r="J365" i="311"/>
  <c r="J366" i="311"/>
  <c r="J367" i="311"/>
  <c r="J368" i="311"/>
  <c r="J369" i="311"/>
  <c r="J370" i="311"/>
  <c r="J371" i="311"/>
  <c r="J372" i="311"/>
  <c r="J373" i="311"/>
  <c r="J374" i="311"/>
  <c r="J375" i="311"/>
  <c r="J376" i="311"/>
  <c r="J377" i="311"/>
  <c r="J378" i="311"/>
  <c r="J379" i="311"/>
  <c r="J380" i="311"/>
  <c r="J381" i="311"/>
  <c r="J382" i="311"/>
  <c r="J383" i="311"/>
  <c r="J384" i="311"/>
  <c r="J385" i="311"/>
  <c r="J386" i="311"/>
  <c r="J387" i="311"/>
  <c r="J388" i="311"/>
  <c r="J389" i="311"/>
  <c r="J390" i="311"/>
  <c r="J391" i="311"/>
  <c r="J392" i="311"/>
  <c r="J393" i="311"/>
  <c r="J394" i="311"/>
  <c r="J395" i="311"/>
  <c r="J396" i="311"/>
  <c r="J397" i="311"/>
  <c r="J398" i="311"/>
  <c r="J399" i="311"/>
  <c r="J400" i="311"/>
  <c r="J401" i="311"/>
  <c r="J402" i="311"/>
  <c r="J403" i="311"/>
  <c r="J404" i="311"/>
  <c r="J405" i="311"/>
  <c r="J406" i="311"/>
  <c r="J407" i="311"/>
  <c r="J408" i="311"/>
  <c r="J409" i="311"/>
  <c r="J410" i="311"/>
  <c r="J411" i="311"/>
  <c r="J412" i="311"/>
  <c r="J413" i="311"/>
  <c r="J414" i="311"/>
  <c r="J415" i="311"/>
  <c r="J416" i="311"/>
  <c r="J417" i="311"/>
  <c r="J418" i="311"/>
  <c r="J419" i="311"/>
  <c r="J420" i="311"/>
  <c r="J421" i="311"/>
  <c r="J422" i="311"/>
  <c r="J423" i="311"/>
  <c r="J424" i="311"/>
  <c r="J425" i="311"/>
  <c r="J426" i="311"/>
  <c r="J427" i="311"/>
  <c r="J428" i="311"/>
  <c r="J429" i="311"/>
  <c r="J430" i="311"/>
  <c r="J431" i="311"/>
  <c r="J432" i="311"/>
  <c r="J433" i="311"/>
  <c r="J434" i="311"/>
  <c r="J435" i="311"/>
  <c r="J436" i="311"/>
  <c r="J437" i="311"/>
  <c r="J438" i="311"/>
  <c r="J439" i="311"/>
  <c r="J440" i="311"/>
  <c r="J441" i="311"/>
  <c r="J442" i="311"/>
  <c r="J443" i="311"/>
  <c r="J444" i="311"/>
  <c r="J445" i="311"/>
  <c r="J446" i="311"/>
  <c r="J447" i="311"/>
  <c r="J448" i="311"/>
  <c r="J449" i="311"/>
  <c r="J450" i="311"/>
  <c r="J451" i="311"/>
  <c r="J452" i="311"/>
  <c r="J453" i="311"/>
  <c r="J454" i="311"/>
  <c r="J455" i="311"/>
  <c r="J456" i="311"/>
  <c r="J457" i="311"/>
  <c r="J458" i="311"/>
  <c r="J459" i="311"/>
  <c r="J460" i="311"/>
  <c r="J461" i="311"/>
  <c r="J462" i="311"/>
  <c r="J463" i="311"/>
  <c r="J464" i="311"/>
  <c r="J465" i="311"/>
  <c r="J466" i="311"/>
  <c r="J467" i="311"/>
  <c r="J468" i="311"/>
  <c r="J469" i="311"/>
  <c r="J470" i="311"/>
  <c r="J471" i="311"/>
  <c r="J472" i="311"/>
  <c r="J473" i="311"/>
  <c r="J474" i="311"/>
  <c r="J475" i="311"/>
  <c r="J476" i="311"/>
  <c r="J477" i="311"/>
  <c r="J478" i="311"/>
  <c r="J479" i="311"/>
  <c r="J480" i="311"/>
  <c r="J481" i="311"/>
  <c r="J482" i="311"/>
  <c r="J483" i="311"/>
  <c r="J484" i="311"/>
  <c r="J485" i="311"/>
  <c r="J486" i="311"/>
  <c r="J487" i="311"/>
  <c r="J488" i="311"/>
  <c r="J489" i="311"/>
  <c r="J490" i="311"/>
  <c r="J491" i="311"/>
  <c r="J492" i="311"/>
  <c r="J493" i="311"/>
  <c r="J494" i="311"/>
  <c r="J495" i="311"/>
  <c r="J496" i="311"/>
  <c r="J497" i="311"/>
  <c r="J498" i="311"/>
  <c r="J499" i="311"/>
  <c r="J500" i="311"/>
  <c r="J501" i="311"/>
  <c r="J502" i="311"/>
  <c r="J503" i="311"/>
  <c r="J504" i="311"/>
  <c r="J505" i="311"/>
  <c r="J506" i="311"/>
  <c r="J507" i="311"/>
  <c r="J508" i="311"/>
  <c r="J509" i="311"/>
  <c r="J510" i="311"/>
  <c r="J511" i="311"/>
  <c r="J512" i="311"/>
  <c r="J513" i="311"/>
  <c r="J514" i="311"/>
  <c r="J515" i="311"/>
  <c r="J516" i="311"/>
  <c r="J517" i="311"/>
  <c r="J518" i="311"/>
  <c r="J519" i="311"/>
  <c r="J520" i="311"/>
  <c r="J521" i="311"/>
  <c r="J522" i="311"/>
  <c r="J523" i="311"/>
  <c r="J524" i="311"/>
  <c r="J525" i="311"/>
  <c r="J526" i="311"/>
  <c r="J527" i="311"/>
  <c r="J528" i="311"/>
  <c r="J529" i="311"/>
  <c r="J530" i="311"/>
  <c r="J531" i="311"/>
  <c r="J532" i="311"/>
  <c r="J533" i="311"/>
  <c r="J534" i="311"/>
  <c r="J535" i="311"/>
  <c r="J536" i="311"/>
  <c r="J537" i="311"/>
  <c r="J538" i="311"/>
  <c r="J539" i="311"/>
  <c r="J540" i="311"/>
  <c r="J541" i="311"/>
  <c r="J542" i="311"/>
  <c r="J543" i="311"/>
  <c r="J544" i="311"/>
  <c r="J545" i="311"/>
  <c r="J546" i="311"/>
  <c r="J547" i="311"/>
  <c r="J548" i="311"/>
  <c r="J549" i="311"/>
  <c r="J550" i="311"/>
  <c r="J551" i="311"/>
  <c r="J552" i="311"/>
  <c r="J553" i="311"/>
  <c r="J554" i="311"/>
  <c r="J555" i="311"/>
  <c r="J556" i="311"/>
  <c r="J557" i="311"/>
  <c r="J558" i="311"/>
  <c r="J559" i="311"/>
  <c r="J560" i="311"/>
  <c r="J561" i="311"/>
  <c r="J562" i="311"/>
  <c r="J563" i="311"/>
  <c r="J564" i="311"/>
  <c r="J565" i="311"/>
  <c r="J566" i="311"/>
  <c r="J567" i="311"/>
  <c r="J568" i="311"/>
  <c r="J569" i="311"/>
  <c r="J570" i="311"/>
  <c r="J571" i="311"/>
  <c r="J572" i="311"/>
  <c r="J573" i="311"/>
  <c r="J574" i="311"/>
  <c r="J575" i="311"/>
  <c r="J576" i="311"/>
  <c r="J577" i="311"/>
  <c r="J578" i="311"/>
  <c r="J579" i="311"/>
  <c r="J580" i="311"/>
  <c r="J581" i="311"/>
  <c r="J582" i="311"/>
  <c r="J583" i="311"/>
  <c r="J584" i="311"/>
  <c r="J585" i="311"/>
  <c r="J586" i="311"/>
  <c r="J587" i="311"/>
  <c r="J588" i="311"/>
  <c r="J589" i="311"/>
  <c r="J590" i="311"/>
  <c r="J591" i="311"/>
  <c r="J592" i="311"/>
  <c r="J593" i="311"/>
  <c r="J594" i="311"/>
  <c r="J595" i="311"/>
  <c r="J596" i="311"/>
  <c r="J597" i="311"/>
  <c r="J598" i="311"/>
  <c r="J599" i="311"/>
  <c r="J600" i="311"/>
  <c r="J601" i="311"/>
  <c r="J602" i="311"/>
  <c r="J603" i="311"/>
  <c r="J604" i="311"/>
  <c r="J605" i="311"/>
  <c r="J606" i="311"/>
  <c r="J607" i="311"/>
  <c r="J608" i="311"/>
  <c r="J609" i="311"/>
  <c r="J610" i="311"/>
  <c r="J611" i="311"/>
  <c r="J612" i="311"/>
  <c r="J613" i="311"/>
  <c r="J614" i="311"/>
  <c r="J615" i="311"/>
  <c r="J616" i="311"/>
  <c r="J617" i="311"/>
  <c r="J618" i="311"/>
  <c r="J619" i="311"/>
  <c r="J620" i="311"/>
  <c r="J621" i="311"/>
  <c r="J622" i="311"/>
  <c r="J623" i="311"/>
  <c r="J624" i="311"/>
  <c r="J625" i="311"/>
  <c r="J626" i="311"/>
  <c r="J627" i="311"/>
  <c r="J628" i="311"/>
  <c r="J629" i="311"/>
  <c r="J630" i="311"/>
  <c r="J631" i="311"/>
  <c r="J632" i="311"/>
  <c r="J633" i="311"/>
  <c r="J634" i="311"/>
  <c r="J635" i="311"/>
  <c r="J636" i="311"/>
  <c r="J637" i="311"/>
  <c r="J638" i="311"/>
  <c r="J639" i="311"/>
  <c r="J640" i="311"/>
  <c r="J641" i="311"/>
  <c r="J642" i="311"/>
  <c r="J643" i="311"/>
  <c r="J644" i="311"/>
  <c r="J645" i="311"/>
  <c r="J646" i="311"/>
  <c r="J647" i="311"/>
  <c r="J648" i="311"/>
  <c r="J649" i="311"/>
  <c r="J650" i="311"/>
  <c r="J651" i="311"/>
  <c r="J652" i="311"/>
  <c r="J653" i="311"/>
  <c r="J654" i="311"/>
  <c r="J655" i="311"/>
  <c r="J656" i="311"/>
  <c r="J657" i="311"/>
  <c r="J658" i="311"/>
  <c r="J659" i="311"/>
  <c r="J660" i="311"/>
  <c r="J661" i="311"/>
  <c r="J662" i="311"/>
  <c r="J663" i="311"/>
  <c r="J664" i="311"/>
  <c r="J665" i="311"/>
  <c r="J666" i="311"/>
  <c r="J667" i="311"/>
  <c r="J668" i="311"/>
  <c r="J669" i="311"/>
  <c r="J670" i="311"/>
  <c r="J671" i="311"/>
  <c r="J672" i="311"/>
  <c r="J673" i="311"/>
  <c r="J674" i="311"/>
  <c r="J675" i="311"/>
  <c r="J676" i="311"/>
  <c r="J677" i="311"/>
  <c r="J678" i="311"/>
  <c r="J679" i="311"/>
  <c r="J680" i="311"/>
  <c r="J681" i="311"/>
  <c r="J682" i="311"/>
  <c r="J683" i="311"/>
  <c r="J684" i="311"/>
  <c r="J685" i="311"/>
  <c r="J686" i="311"/>
  <c r="J687" i="311"/>
  <c r="J688" i="311"/>
  <c r="J689" i="311"/>
  <c r="J690" i="311"/>
  <c r="J691" i="311"/>
  <c r="J692" i="311"/>
  <c r="J693" i="311"/>
  <c r="J694" i="311"/>
  <c r="J695" i="311"/>
  <c r="J696" i="311"/>
  <c r="J697" i="311"/>
  <c r="J698" i="311"/>
  <c r="J699" i="311"/>
  <c r="J700" i="311"/>
  <c r="J701" i="311"/>
  <c r="J702" i="311"/>
  <c r="J703" i="311"/>
  <c r="J704" i="311"/>
  <c r="J705" i="311"/>
  <c r="J706" i="311"/>
  <c r="J707" i="311"/>
  <c r="J708" i="311"/>
  <c r="J709" i="311"/>
  <c r="J710" i="311"/>
  <c r="J711" i="311"/>
  <c r="J712" i="311"/>
  <c r="J713" i="311"/>
  <c r="J714" i="311"/>
  <c r="J715" i="311"/>
  <c r="J716" i="311"/>
  <c r="J717" i="311"/>
  <c r="J718" i="311"/>
  <c r="J719" i="311"/>
  <c r="J720" i="311"/>
  <c r="J721" i="311"/>
  <c r="J722" i="311"/>
  <c r="J723" i="311"/>
  <c r="J724" i="311"/>
  <c r="J725" i="311"/>
  <c r="J726" i="311"/>
  <c r="J727" i="311"/>
  <c r="J728" i="311"/>
  <c r="J729" i="311"/>
  <c r="J730" i="311"/>
  <c r="J731" i="311"/>
  <c r="J732" i="311"/>
  <c r="J733" i="311"/>
  <c r="J734" i="311"/>
  <c r="J735" i="311"/>
  <c r="J736" i="311"/>
  <c r="J737" i="311"/>
  <c r="J738" i="311"/>
  <c r="J739" i="311"/>
  <c r="J740" i="311"/>
  <c r="J741" i="311"/>
  <c r="J742" i="311"/>
  <c r="J743" i="311"/>
  <c r="J744" i="311"/>
  <c r="J745" i="311"/>
  <c r="J746" i="311"/>
  <c r="J747" i="311"/>
  <c r="J748" i="311"/>
  <c r="J749" i="311"/>
  <c r="J750" i="311"/>
  <c r="J751" i="311"/>
  <c r="J752" i="311"/>
  <c r="J753" i="311"/>
  <c r="J754" i="311"/>
  <c r="J755" i="311"/>
  <c r="J756" i="311"/>
  <c r="J757" i="311"/>
  <c r="J758" i="311"/>
  <c r="J759" i="311"/>
  <c r="J760" i="311"/>
  <c r="J761" i="311"/>
  <c r="J762" i="311"/>
  <c r="J763" i="311"/>
  <c r="J764" i="311"/>
  <c r="J765" i="311"/>
  <c r="J766" i="311"/>
  <c r="J767" i="311"/>
  <c r="J768" i="311"/>
  <c r="J769" i="311"/>
  <c r="J770" i="311"/>
  <c r="J771" i="311"/>
  <c r="J772" i="311"/>
  <c r="J773" i="311"/>
  <c r="J774" i="311"/>
  <c r="J775" i="311"/>
  <c r="J776" i="311"/>
  <c r="J777" i="311"/>
  <c r="J778" i="311"/>
  <c r="J779" i="311"/>
  <c r="J780" i="311"/>
  <c r="J781" i="311"/>
  <c r="J782" i="311"/>
  <c r="J783" i="311"/>
  <c r="J784" i="311"/>
  <c r="J785" i="311"/>
  <c r="J786" i="311"/>
  <c r="J787" i="311"/>
  <c r="J788" i="311"/>
  <c r="J789" i="311"/>
  <c r="J790" i="311"/>
  <c r="J791" i="311"/>
  <c r="J792" i="311"/>
  <c r="J793" i="311"/>
  <c r="J794" i="311"/>
  <c r="J795" i="311"/>
  <c r="J796" i="311"/>
  <c r="J797" i="311"/>
  <c r="J798" i="311"/>
  <c r="J799" i="311"/>
  <c r="J800" i="311"/>
  <c r="J801" i="311"/>
  <c r="J802" i="311"/>
  <c r="J803" i="311"/>
  <c r="J804" i="311"/>
  <c r="J805" i="311"/>
  <c r="J806" i="311"/>
  <c r="J807" i="311"/>
  <c r="J808" i="311"/>
  <c r="J809" i="311"/>
  <c r="J810" i="311"/>
  <c r="J811" i="311"/>
  <c r="J812" i="311"/>
  <c r="J813" i="311"/>
  <c r="J814" i="311"/>
  <c r="J815" i="311"/>
  <c r="J816" i="311"/>
  <c r="J817" i="311"/>
  <c r="J818" i="311"/>
  <c r="J819" i="311"/>
  <c r="J820" i="311"/>
  <c r="J821" i="311"/>
  <c r="J822" i="311"/>
  <c r="J823" i="311"/>
  <c r="J824" i="311"/>
  <c r="J825" i="311"/>
  <c r="J826" i="311"/>
  <c r="J827" i="311"/>
  <c r="J828" i="311"/>
  <c r="J829" i="311"/>
  <c r="J830" i="311"/>
  <c r="J831" i="311"/>
  <c r="J832" i="311"/>
  <c r="J833" i="311"/>
  <c r="J834" i="311"/>
  <c r="J835" i="311"/>
  <c r="J836" i="311"/>
  <c r="J837" i="311"/>
  <c r="J838" i="311"/>
  <c r="J839" i="311"/>
  <c r="J840" i="311"/>
  <c r="J841" i="311"/>
  <c r="J842" i="311"/>
  <c r="J843" i="311"/>
  <c r="J844" i="311"/>
  <c r="J845" i="311"/>
  <c r="J846" i="311"/>
  <c r="J847" i="311"/>
  <c r="J848" i="311"/>
  <c r="J849" i="311"/>
  <c r="J850" i="311"/>
  <c r="J851" i="311"/>
  <c r="J852" i="311"/>
  <c r="J853" i="311"/>
  <c r="J854" i="311"/>
  <c r="J855" i="311"/>
  <c r="J856" i="311"/>
  <c r="J857" i="311"/>
  <c r="I3" i="311"/>
  <c r="I4" i="311"/>
  <c r="I5" i="311"/>
  <c r="I9" i="311"/>
  <c r="I10" i="311"/>
  <c r="I13" i="311"/>
  <c r="I14" i="311"/>
  <c r="I15" i="311"/>
  <c r="I16" i="311"/>
  <c r="I18" i="311"/>
  <c r="I19" i="311"/>
  <c r="I20" i="311"/>
  <c r="I21" i="311"/>
  <c r="I22" i="311"/>
  <c r="I23" i="311"/>
  <c r="I24" i="311"/>
  <c r="I26" i="311"/>
  <c r="I30" i="311"/>
  <c r="I31" i="311"/>
  <c r="I32" i="311"/>
  <c r="I33" i="311"/>
  <c r="I34" i="311"/>
  <c r="I35" i="311"/>
  <c r="I36" i="311"/>
  <c r="I37" i="311"/>
  <c r="I38" i="311"/>
  <c r="I39" i="311"/>
  <c r="I40" i="311"/>
  <c r="I41" i="311"/>
  <c r="I42" i="311"/>
  <c r="I43" i="311"/>
  <c r="I44" i="311"/>
  <c r="I45" i="311"/>
  <c r="I46" i="311"/>
  <c r="I47" i="311"/>
  <c r="I48" i="311"/>
  <c r="I49" i="311"/>
  <c r="I50" i="311"/>
  <c r="I51" i="311"/>
  <c r="I52" i="311"/>
  <c r="I53" i="311"/>
  <c r="I54" i="311"/>
  <c r="I55" i="311"/>
  <c r="I56" i="311"/>
  <c r="I57" i="311"/>
  <c r="I58" i="311"/>
  <c r="I59" i="311"/>
  <c r="I60" i="311"/>
  <c r="I61" i="311"/>
  <c r="I62" i="311"/>
  <c r="I63" i="311"/>
  <c r="I64" i="311"/>
  <c r="I65" i="311"/>
  <c r="I66" i="311"/>
  <c r="I67" i="311"/>
  <c r="I68" i="311"/>
  <c r="I69" i="311"/>
  <c r="I70" i="311"/>
  <c r="I71" i="311"/>
  <c r="I72" i="311"/>
  <c r="I74" i="311"/>
  <c r="I75" i="311"/>
  <c r="I76" i="311"/>
  <c r="I77" i="311"/>
  <c r="I78" i="311"/>
  <c r="I79" i="311"/>
  <c r="I80" i="311"/>
  <c r="I81" i="311"/>
  <c r="I82" i="311"/>
  <c r="I83" i="311"/>
  <c r="I84" i="311"/>
  <c r="I85" i="311"/>
  <c r="I86" i="311"/>
  <c r="I87" i="311"/>
  <c r="I88" i="311"/>
  <c r="I89" i="311"/>
  <c r="I90" i="311"/>
  <c r="I91" i="311"/>
  <c r="I92" i="311"/>
  <c r="I93" i="311"/>
  <c r="I94" i="311"/>
  <c r="I95" i="311"/>
  <c r="I96" i="311"/>
  <c r="I97" i="311"/>
  <c r="I98" i="311"/>
  <c r="I99" i="311"/>
  <c r="I100" i="311"/>
  <c r="I101" i="311"/>
  <c r="I102" i="311"/>
  <c r="I103" i="311"/>
  <c r="I104" i="311"/>
  <c r="I105" i="311"/>
  <c r="I106" i="311"/>
  <c r="I107" i="311"/>
  <c r="I108" i="311"/>
  <c r="I109" i="311"/>
  <c r="I110" i="311"/>
  <c r="I111" i="311"/>
  <c r="I112" i="311"/>
  <c r="I113" i="311"/>
  <c r="I114" i="311"/>
  <c r="I115" i="311"/>
  <c r="I116" i="311"/>
  <c r="I117" i="311"/>
  <c r="I118" i="311"/>
  <c r="I119" i="311"/>
  <c r="I120" i="311"/>
  <c r="I121" i="311"/>
  <c r="I122" i="311"/>
  <c r="I123" i="311"/>
  <c r="I124" i="311"/>
  <c r="I125" i="311"/>
  <c r="I126" i="311"/>
  <c r="I127" i="311"/>
  <c r="I128" i="311"/>
  <c r="I129" i="311"/>
  <c r="I130" i="311"/>
  <c r="I131" i="311"/>
  <c r="I132" i="311"/>
  <c r="I133" i="311"/>
  <c r="I134" i="311"/>
  <c r="I135" i="311"/>
  <c r="I136" i="311"/>
  <c r="I137" i="311"/>
  <c r="I138" i="311"/>
  <c r="I139" i="311"/>
  <c r="I140" i="311"/>
  <c r="I141" i="311"/>
  <c r="I142" i="311"/>
  <c r="I143" i="311"/>
  <c r="I144" i="311"/>
  <c r="I145" i="311"/>
  <c r="I146" i="311"/>
  <c r="I147" i="311"/>
  <c r="I148" i="311"/>
  <c r="I149" i="311"/>
  <c r="I150" i="311"/>
  <c r="I151" i="311"/>
  <c r="I152" i="311"/>
  <c r="I153" i="311"/>
  <c r="I154" i="311"/>
  <c r="I155" i="311"/>
  <c r="I156" i="311"/>
  <c r="I157" i="311"/>
  <c r="I158" i="311"/>
  <c r="I159" i="311"/>
  <c r="I160" i="311"/>
  <c r="I161" i="311"/>
  <c r="I162" i="311"/>
  <c r="I163" i="311"/>
  <c r="I164" i="311"/>
  <c r="I165" i="311"/>
  <c r="I166" i="311"/>
  <c r="I167" i="311"/>
  <c r="I168" i="311"/>
  <c r="I169" i="311"/>
  <c r="I170" i="311"/>
  <c r="I171" i="311"/>
  <c r="I172" i="311"/>
  <c r="I173" i="311"/>
  <c r="I174" i="311"/>
  <c r="I175" i="311"/>
  <c r="I176" i="311"/>
  <c r="I177" i="311"/>
  <c r="I178" i="311"/>
  <c r="I179" i="311"/>
  <c r="I180" i="311"/>
  <c r="I181" i="311"/>
  <c r="I182" i="311"/>
  <c r="I183" i="311"/>
  <c r="I184" i="311"/>
  <c r="I185" i="311"/>
  <c r="I186" i="311"/>
  <c r="I187" i="311"/>
  <c r="I188" i="311"/>
  <c r="I189" i="311"/>
  <c r="I190" i="311"/>
  <c r="I191" i="311"/>
  <c r="I192" i="311"/>
  <c r="I193" i="311"/>
  <c r="I194" i="311"/>
  <c r="I195" i="311"/>
  <c r="I196" i="311"/>
  <c r="I197" i="311"/>
  <c r="I198" i="311"/>
  <c r="I199" i="311"/>
  <c r="I200" i="311"/>
  <c r="I201" i="311"/>
  <c r="I202" i="311"/>
  <c r="I203" i="311"/>
  <c r="I204" i="311"/>
  <c r="I205" i="311"/>
  <c r="I206" i="311"/>
  <c r="I207" i="311"/>
  <c r="I208" i="311"/>
  <c r="I209" i="311"/>
  <c r="I210" i="311"/>
  <c r="I211" i="311"/>
  <c r="I212" i="311"/>
  <c r="I213" i="311"/>
  <c r="I214" i="311"/>
  <c r="I215" i="311"/>
  <c r="I216" i="311"/>
  <c r="I217" i="311"/>
  <c r="I218" i="311"/>
  <c r="I219" i="311"/>
  <c r="I220" i="311"/>
  <c r="I221" i="311"/>
  <c r="I222" i="311"/>
  <c r="I223" i="311"/>
  <c r="I224" i="311"/>
  <c r="I225" i="311"/>
  <c r="I226" i="311"/>
  <c r="I227" i="311"/>
  <c r="I228" i="311"/>
  <c r="I229" i="311"/>
  <c r="I230" i="311"/>
  <c r="I231" i="311"/>
  <c r="I232" i="311"/>
  <c r="I233" i="311"/>
  <c r="I234" i="311"/>
  <c r="I235" i="311"/>
  <c r="I236" i="311"/>
  <c r="I237" i="311"/>
  <c r="I238" i="311"/>
  <c r="I239" i="311"/>
  <c r="I240" i="311"/>
  <c r="I241" i="311"/>
  <c r="I242" i="311"/>
  <c r="I243" i="311"/>
  <c r="I244" i="311"/>
  <c r="I245" i="311"/>
  <c r="I246" i="311"/>
  <c r="I247" i="311"/>
  <c r="I248" i="311"/>
  <c r="I249" i="311"/>
  <c r="I250" i="311"/>
  <c r="I251" i="311"/>
  <c r="I252" i="311"/>
  <c r="I253" i="311"/>
  <c r="I254" i="311"/>
  <c r="I255" i="311"/>
  <c r="I256" i="311"/>
  <c r="I257" i="311"/>
  <c r="I258" i="311"/>
  <c r="I259" i="311"/>
  <c r="I260" i="311"/>
  <c r="I261" i="311"/>
  <c r="I262" i="311"/>
  <c r="I263" i="311"/>
  <c r="I264" i="311"/>
  <c r="I265" i="311"/>
  <c r="I266" i="311"/>
  <c r="I267" i="311"/>
  <c r="I268" i="311"/>
  <c r="I269" i="311"/>
  <c r="I270" i="311"/>
  <c r="I271" i="311"/>
  <c r="I272" i="311"/>
  <c r="I273" i="311"/>
  <c r="I274" i="311"/>
  <c r="I275" i="311"/>
  <c r="I276" i="311"/>
  <c r="I277" i="311"/>
  <c r="I278" i="311"/>
  <c r="I279" i="311"/>
  <c r="I280" i="311"/>
  <c r="I281" i="311"/>
  <c r="I282" i="311"/>
  <c r="I283" i="311"/>
  <c r="I284" i="311"/>
  <c r="I285" i="311"/>
  <c r="I286" i="311"/>
  <c r="I287" i="311"/>
  <c r="I288" i="311"/>
  <c r="I289" i="311"/>
  <c r="I290" i="311"/>
  <c r="I291" i="311"/>
  <c r="I292" i="311"/>
  <c r="I293" i="311"/>
  <c r="I294" i="311"/>
  <c r="I295" i="311"/>
  <c r="I296" i="311"/>
  <c r="I297" i="311"/>
  <c r="I298" i="311"/>
  <c r="I299" i="311"/>
  <c r="I300" i="311"/>
  <c r="I301" i="311"/>
  <c r="I302" i="311"/>
  <c r="I303" i="311"/>
  <c r="I304" i="311"/>
  <c r="I305" i="311"/>
  <c r="I306" i="311"/>
  <c r="I307" i="311"/>
  <c r="I308" i="311"/>
  <c r="I309" i="311"/>
  <c r="I310" i="311"/>
  <c r="I311" i="311"/>
  <c r="I312" i="311"/>
  <c r="I313" i="311"/>
  <c r="I314" i="311"/>
  <c r="I315" i="311"/>
  <c r="I316" i="311"/>
  <c r="I317" i="311"/>
  <c r="I318" i="311"/>
  <c r="I319" i="311"/>
  <c r="I320" i="311"/>
  <c r="I321" i="311"/>
  <c r="I322" i="311"/>
  <c r="I323" i="311"/>
  <c r="I324" i="311"/>
  <c r="I325" i="311"/>
  <c r="I326" i="311"/>
  <c r="I327" i="311"/>
  <c r="I328" i="311"/>
  <c r="I329" i="311"/>
  <c r="I330" i="311"/>
  <c r="I331" i="311"/>
  <c r="I332" i="311"/>
  <c r="I333" i="311"/>
  <c r="I334" i="311"/>
  <c r="I335" i="311"/>
  <c r="I336" i="311"/>
  <c r="I337" i="311"/>
  <c r="I338" i="311"/>
  <c r="I339" i="311"/>
  <c r="I340" i="311"/>
  <c r="I341" i="311"/>
  <c r="I342" i="311"/>
  <c r="I343" i="311"/>
  <c r="I344" i="311"/>
  <c r="I345" i="311"/>
  <c r="I346" i="311"/>
  <c r="I347" i="311"/>
  <c r="I348" i="311"/>
  <c r="I349" i="311"/>
  <c r="I350" i="311"/>
  <c r="I351" i="311"/>
  <c r="I352" i="311"/>
  <c r="I353" i="311"/>
  <c r="I354" i="311"/>
  <c r="I355" i="311"/>
  <c r="I356" i="311"/>
  <c r="I357" i="311"/>
  <c r="I358" i="311"/>
  <c r="I359" i="311"/>
  <c r="I360" i="311"/>
  <c r="I361" i="311"/>
  <c r="I362" i="311"/>
  <c r="I363" i="311"/>
  <c r="I364" i="311"/>
  <c r="I365" i="311"/>
  <c r="I366" i="311"/>
  <c r="I367" i="311"/>
  <c r="I368" i="311"/>
  <c r="I369" i="311"/>
  <c r="I370" i="311"/>
  <c r="I371" i="311"/>
  <c r="I372" i="311"/>
  <c r="I373" i="311"/>
  <c r="I374" i="311"/>
  <c r="I375" i="311"/>
  <c r="I376" i="311"/>
  <c r="I377" i="311"/>
  <c r="I378" i="311"/>
  <c r="I379" i="311"/>
  <c r="I380" i="311"/>
  <c r="I381" i="311"/>
  <c r="I382" i="311"/>
  <c r="I383" i="311"/>
  <c r="I384" i="311"/>
  <c r="I385" i="311"/>
  <c r="I386" i="311"/>
  <c r="I387" i="311"/>
  <c r="I388" i="311"/>
  <c r="I389" i="311"/>
  <c r="I390" i="311"/>
  <c r="I391" i="311"/>
  <c r="I392" i="311"/>
  <c r="I393" i="311"/>
  <c r="I394" i="311"/>
  <c r="I395" i="311"/>
  <c r="I396" i="311"/>
  <c r="I397" i="311"/>
  <c r="I398" i="311"/>
  <c r="I399" i="311"/>
  <c r="I400" i="311"/>
  <c r="I401" i="311"/>
  <c r="I402" i="311"/>
  <c r="I403" i="311"/>
  <c r="I404" i="311"/>
  <c r="I405" i="311"/>
  <c r="I406" i="311"/>
  <c r="I407" i="311"/>
  <c r="I408" i="311"/>
  <c r="I409" i="311"/>
  <c r="I410" i="311"/>
  <c r="I411" i="311"/>
  <c r="I412" i="311"/>
  <c r="I413" i="311"/>
  <c r="I414" i="311"/>
  <c r="I415" i="311"/>
  <c r="I416" i="311"/>
  <c r="I417" i="311"/>
  <c r="I418" i="311"/>
  <c r="I419" i="311"/>
  <c r="I420" i="311"/>
  <c r="I421" i="311"/>
  <c r="I422" i="311"/>
  <c r="I423" i="311"/>
  <c r="I424" i="311"/>
  <c r="I425" i="311"/>
  <c r="I426" i="311"/>
  <c r="I427" i="311"/>
  <c r="I428" i="311"/>
  <c r="I429" i="311"/>
  <c r="I430" i="311"/>
  <c r="I431" i="311"/>
  <c r="I432" i="311"/>
  <c r="I433" i="311"/>
  <c r="I434" i="311"/>
  <c r="I435" i="311"/>
  <c r="I436" i="311"/>
  <c r="I437" i="311"/>
  <c r="I438" i="311"/>
  <c r="I439" i="311"/>
  <c r="I440" i="311"/>
  <c r="I441" i="311"/>
  <c r="I442" i="311"/>
  <c r="I443" i="311"/>
  <c r="I444" i="311"/>
  <c r="I445" i="311"/>
  <c r="I446" i="311"/>
  <c r="I447" i="311"/>
  <c r="I448" i="311"/>
  <c r="I449" i="311"/>
  <c r="I450" i="311"/>
  <c r="I451" i="311"/>
  <c r="I452" i="311"/>
  <c r="I453" i="311"/>
  <c r="I454" i="311"/>
  <c r="I455" i="311"/>
  <c r="I456" i="311"/>
  <c r="I457" i="311"/>
  <c r="I458" i="311"/>
  <c r="I459" i="311"/>
  <c r="I460" i="311"/>
  <c r="I461" i="311"/>
  <c r="I462" i="311"/>
  <c r="I463" i="311"/>
  <c r="I464" i="311"/>
  <c r="I465" i="311"/>
  <c r="I466" i="311"/>
  <c r="I467" i="311"/>
  <c r="I468" i="311"/>
  <c r="I469" i="311"/>
  <c r="I470" i="311"/>
  <c r="I471" i="311"/>
  <c r="I472" i="311"/>
  <c r="I473" i="311"/>
  <c r="I474" i="311"/>
  <c r="I475" i="311"/>
  <c r="I476" i="311"/>
  <c r="I477" i="311"/>
  <c r="I478" i="311"/>
  <c r="I479" i="311"/>
  <c r="I480" i="311"/>
  <c r="I481" i="311"/>
  <c r="I482" i="311"/>
  <c r="I483" i="311"/>
  <c r="I484" i="311"/>
  <c r="I485" i="311"/>
  <c r="I486" i="311"/>
  <c r="I487" i="311"/>
  <c r="I488" i="311"/>
  <c r="I489" i="311"/>
  <c r="I490" i="311"/>
  <c r="I491" i="311"/>
  <c r="I492" i="311"/>
  <c r="I493" i="311"/>
  <c r="I494" i="311"/>
  <c r="I495" i="311"/>
  <c r="I496" i="311"/>
  <c r="I497" i="311"/>
  <c r="I498" i="311"/>
  <c r="I499" i="311"/>
  <c r="I500" i="311"/>
  <c r="I501" i="311"/>
  <c r="I502" i="311"/>
  <c r="I503" i="311"/>
  <c r="I504" i="311"/>
  <c r="I505" i="311"/>
  <c r="I506" i="311"/>
  <c r="I507" i="311"/>
  <c r="I508" i="311"/>
  <c r="I509" i="311"/>
  <c r="I510" i="311"/>
  <c r="I511" i="311"/>
  <c r="I512" i="311"/>
  <c r="I513" i="311"/>
  <c r="I514" i="311"/>
  <c r="I515" i="311"/>
  <c r="I516" i="311"/>
  <c r="I517" i="311"/>
  <c r="I518" i="311"/>
  <c r="I519" i="311"/>
  <c r="I520" i="311"/>
  <c r="I521" i="311"/>
  <c r="I522" i="311"/>
  <c r="I523" i="311"/>
  <c r="I524" i="311"/>
  <c r="I525" i="311"/>
  <c r="I526" i="311"/>
  <c r="I527" i="311"/>
  <c r="I528" i="311"/>
  <c r="I529" i="311"/>
  <c r="I530" i="311"/>
  <c r="I531" i="311"/>
  <c r="I532" i="311"/>
  <c r="I533" i="311"/>
  <c r="I534" i="311"/>
  <c r="I535" i="311"/>
  <c r="I536" i="311"/>
  <c r="I537" i="311"/>
  <c r="I538" i="311"/>
  <c r="I539" i="311"/>
  <c r="I540" i="311"/>
  <c r="I541" i="311"/>
  <c r="I542" i="311"/>
  <c r="I543" i="311"/>
  <c r="I544" i="311"/>
  <c r="I545" i="311"/>
  <c r="I546" i="311"/>
  <c r="I547" i="311"/>
  <c r="I548" i="311"/>
  <c r="I549" i="311"/>
  <c r="I550" i="311"/>
  <c r="I551" i="311"/>
  <c r="I552" i="311"/>
  <c r="I553" i="311"/>
  <c r="I554" i="311"/>
  <c r="I555" i="311"/>
  <c r="I556" i="311"/>
  <c r="I557" i="311"/>
  <c r="I558" i="311"/>
  <c r="I559" i="311"/>
  <c r="I560" i="311"/>
  <c r="I561" i="311"/>
  <c r="I562" i="311"/>
  <c r="I563" i="311"/>
  <c r="I564" i="311"/>
  <c r="I565" i="311"/>
  <c r="I566" i="311"/>
  <c r="I567" i="311"/>
  <c r="I568" i="311"/>
  <c r="I569" i="311"/>
  <c r="I570" i="311"/>
  <c r="I571" i="311"/>
  <c r="I572" i="311"/>
  <c r="I573" i="311"/>
  <c r="I574" i="311"/>
  <c r="I575" i="311"/>
  <c r="I576" i="311"/>
  <c r="I577" i="311"/>
  <c r="I578" i="311"/>
  <c r="I579" i="311"/>
  <c r="I580" i="311"/>
  <c r="I581" i="311"/>
  <c r="I582" i="311"/>
  <c r="I583" i="311"/>
  <c r="I584" i="311"/>
  <c r="I585" i="311"/>
  <c r="I586" i="311"/>
  <c r="I587" i="311"/>
  <c r="I588" i="311"/>
  <c r="I589" i="311"/>
  <c r="I590" i="311"/>
  <c r="I591" i="311"/>
  <c r="I592" i="311"/>
  <c r="I593" i="311"/>
  <c r="I594" i="311"/>
  <c r="I595" i="311"/>
  <c r="I596" i="311"/>
  <c r="I597" i="311"/>
  <c r="I598" i="311"/>
  <c r="I599" i="311"/>
  <c r="I600" i="311"/>
  <c r="I601" i="311"/>
  <c r="I602" i="311"/>
  <c r="I603" i="311"/>
  <c r="I604" i="311"/>
  <c r="I605" i="311"/>
  <c r="I606" i="311"/>
  <c r="I607" i="311"/>
  <c r="I608" i="311"/>
  <c r="I609" i="311"/>
  <c r="I610" i="311"/>
  <c r="I611" i="311"/>
  <c r="I612" i="311"/>
  <c r="I613" i="311"/>
  <c r="I614" i="311"/>
  <c r="I615" i="311"/>
  <c r="I616" i="311"/>
  <c r="I617" i="311"/>
  <c r="I618" i="311"/>
  <c r="I619" i="311"/>
  <c r="I620" i="311"/>
  <c r="I621" i="311"/>
  <c r="I622" i="311"/>
  <c r="I623" i="311"/>
  <c r="I624" i="311"/>
  <c r="I625" i="311"/>
  <c r="I626" i="311"/>
  <c r="I627" i="311"/>
  <c r="I628" i="311"/>
  <c r="I629" i="311"/>
  <c r="I630" i="311"/>
  <c r="I631" i="311"/>
  <c r="I632" i="311"/>
  <c r="I633" i="311"/>
  <c r="I634" i="311"/>
  <c r="I635" i="311"/>
  <c r="I636" i="311"/>
  <c r="I637" i="311"/>
  <c r="I638" i="311"/>
  <c r="I639" i="311"/>
  <c r="I640" i="311"/>
  <c r="I641" i="311"/>
  <c r="I642" i="311"/>
  <c r="I643" i="311"/>
  <c r="I644" i="311"/>
  <c r="I645" i="311"/>
  <c r="I646" i="311"/>
  <c r="I647" i="311"/>
  <c r="I648" i="311"/>
  <c r="I649" i="311"/>
  <c r="I650" i="311"/>
  <c r="I651" i="311"/>
  <c r="I652" i="311"/>
  <c r="I653" i="311"/>
  <c r="I654" i="311"/>
  <c r="I655" i="311"/>
  <c r="I656" i="311"/>
  <c r="I657" i="311"/>
  <c r="I658" i="311"/>
  <c r="I659" i="311"/>
  <c r="I660" i="311"/>
  <c r="I661" i="311"/>
  <c r="I662" i="311"/>
  <c r="I663" i="311"/>
  <c r="I664" i="311"/>
  <c r="I665" i="311"/>
  <c r="I666" i="311"/>
  <c r="I667" i="311"/>
  <c r="I668" i="311"/>
  <c r="I669" i="311"/>
  <c r="I670" i="311"/>
  <c r="I671" i="311"/>
  <c r="I672" i="311"/>
  <c r="I673" i="311"/>
  <c r="I674" i="311"/>
  <c r="I675" i="311"/>
  <c r="I676" i="311"/>
  <c r="I677" i="311"/>
  <c r="I678" i="311"/>
  <c r="I679" i="311"/>
  <c r="I680" i="311"/>
  <c r="I681" i="311"/>
  <c r="I682" i="311"/>
  <c r="I683" i="311"/>
  <c r="I684" i="311"/>
  <c r="I685" i="311"/>
  <c r="I686" i="311"/>
  <c r="I687" i="311"/>
  <c r="I688" i="311"/>
  <c r="I689" i="311"/>
  <c r="I690" i="311"/>
  <c r="I691" i="311"/>
  <c r="I692" i="311"/>
  <c r="I693" i="311"/>
  <c r="I694" i="311"/>
  <c r="I695" i="311"/>
  <c r="I696" i="311"/>
  <c r="I697" i="311"/>
  <c r="I698" i="311"/>
  <c r="I699" i="311"/>
  <c r="I700" i="311"/>
  <c r="I701" i="311"/>
  <c r="I702" i="311"/>
  <c r="I703" i="311"/>
  <c r="I704" i="311"/>
  <c r="I705" i="311"/>
  <c r="I706" i="311"/>
  <c r="I707" i="311"/>
  <c r="I708" i="311"/>
  <c r="I709" i="311"/>
  <c r="I710" i="311"/>
  <c r="I711" i="311"/>
  <c r="I712" i="311"/>
  <c r="I713" i="311"/>
  <c r="I714" i="311"/>
  <c r="I715" i="311"/>
  <c r="I716" i="311"/>
  <c r="I717" i="311"/>
  <c r="I718" i="311"/>
  <c r="I719" i="311"/>
  <c r="I720" i="311"/>
  <c r="I721" i="311"/>
  <c r="I722" i="311"/>
  <c r="I723" i="311"/>
  <c r="I724" i="311"/>
  <c r="I725" i="311"/>
  <c r="I726" i="311"/>
  <c r="I727" i="311"/>
  <c r="I728" i="311"/>
  <c r="I729" i="311"/>
  <c r="I730" i="311"/>
  <c r="I731" i="311"/>
  <c r="I732" i="311"/>
  <c r="I733" i="311"/>
  <c r="I734" i="311"/>
  <c r="I735" i="311"/>
  <c r="I736" i="311"/>
  <c r="I737" i="311"/>
  <c r="I738" i="311"/>
  <c r="I739" i="311"/>
  <c r="I740" i="311"/>
  <c r="I741" i="311"/>
  <c r="I742" i="311"/>
  <c r="I743" i="311"/>
  <c r="I744" i="311"/>
  <c r="I745" i="311"/>
  <c r="I746" i="311"/>
  <c r="I747" i="311"/>
  <c r="I748" i="311"/>
  <c r="I749" i="311"/>
  <c r="I750" i="311"/>
  <c r="I751" i="311"/>
  <c r="I752" i="311"/>
  <c r="I753" i="311"/>
  <c r="I754" i="311"/>
  <c r="I755" i="311"/>
  <c r="I756" i="311"/>
  <c r="I757" i="311"/>
  <c r="I758" i="311"/>
  <c r="I759" i="311"/>
  <c r="I760" i="311"/>
  <c r="I761" i="311"/>
  <c r="I762" i="311"/>
  <c r="I763" i="311"/>
  <c r="I764" i="311"/>
  <c r="I765" i="311"/>
  <c r="I766" i="311"/>
  <c r="I767" i="311"/>
  <c r="I768" i="311"/>
  <c r="I769" i="311"/>
  <c r="I770" i="311"/>
  <c r="I771" i="311"/>
  <c r="I772" i="311"/>
  <c r="I773" i="311"/>
  <c r="I774" i="311"/>
  <c r="I775" i="311"/>
  <c r="I776" i="311"/>
  <c r="I777" i="311"/>
  <c r="I778" i="311"/>
  <c r="I779" i="311"/>
  <c r="I780" i="311"/>
  <c r="I781" i="311"/>
  <c r="I782" i="311"/>
  <c r="I783" i="311"/>
  <c r="I784" i="311"/>
  <c r="I785" i="311"/>
  <c r="I786" i="311"/>
  <c r="I787" i="311"/>
  <c r="I788" i="311"/>
  <c r="I789" i="311"/>
  <c r="I790" i="311"/>
  <c r="I791" i="311"/>
  <c r="I792" i="311"/>
  <c r="I793" i="311"/>
  <c r="I794" i="311"/>
  <c r="I795" i="311"/>
  <c r="I796" i="311"/>
  <c r="I797" i="311"/>
  <c r="I798" i="311"/>
  <c r="I799" i="311"/>
  <c r="I800" i="311"/>
  <c r="I801" i="311"/>
  <c r="I802" i="311"/>
  <c r="I803" i="311"/>
  <c r="I804" i="311"/>
  <c r="I805" i="311"/>
  <c r="I806" i="311"/>
  <c r="I807" i="311"/>
  <c r="I808" i="311"/>
  <c r="I809" i="311"/>
  <c r="I810" i="311"/>
  <c r="I811" i="311"/>
  <c r="I812" i="311"/>
  <c r="I813" i="311"/>
  <c r="I814" i="311"/>
  <c r="I815" i="311"/>
  <c r="I816" i="311"/>
  <c r="I817" i="311"/>
  <c r="I818" i="311"/>
  <c r="I819" i="311"/>
  <c r="I820" i="311"/>
  <c r="I821" i="311"/>
  <c r="I822" i="311"/>
  <c r="I823" i="311"/>
  <c r="I824" i="311"/>
  <c r="I825" i="311"/>
  <c r="I826" i="311"/>
  <c r="I827" i="311"/>
  <c r="I828" i="311"/>
  <c r="I829" i="311"/>
  <c r="I830" i="311"/>
  <c r="I831" i="311"/>
  <c r="I832" i="311"/>
  <c r="I833" i="311"/>
  <c r="I834" i="311"/>
  <c r="I835" i="311"/>
  <c r="I836" i="311"/>
  <c r="I837" i="311"/>
  <c r="I838" i="311"/>
  <c r="I839" i="311"/>
  <c r="I840" i="311"/>
  <c r="I841" i="311"/>
  <c r="I842" i="311"/>
  <c r="I843" i="311"/>
  <c r="I844" i="311"/>
  <c r="I845" i="311"/>
  <c r="I846" i="311"/>
  <c r="I847" i="311"/>
  <c r="I848" i="311"/>
  <c r="I849" i="311"/>
  <c r="I850" i="311"/>
  <c r="I851" i="311"/>
  <c r="I852" i="311"/>
  <c r="I853" i="311"/>
  <c r="I854" i="311"/>
  <c r="I855" i="311"/>
  <c r="I856" i="311"/>
  <c r="I857" i="311"/>
  <c r="H3" i="311"/>
  <c r="H4" i="311"/>
  <c r="H5" i="311"/>
  <c r="H6" i="311"/>
  <c r="H7" i="311"/>
  <c r="H8" i="311"/>
  <c r="H9" i="311"/>
  <c r="H10" i="311"/>
  <c r="H11" i="311"/>
  <c r="H12" i="311"/>
  <c r="H13" i="311"/>
  <c r="H14" i="311"/>
  <c r="H15" i="311"/>
  <c r="H16" i="311"/>
  <c r="H17" i="311"/>
  <c r="H18" i="311"/>
  <c r="H19" i="311"/>
  <c r="H20" i="311"/>
  <c r="H21" i="311"/>
  <c r="H22" i="311"/>
  <c r="H23" i="311"/>
  <c r="H24" i="311"/>
  <c r="H25" i="311"/>
  <c r="H26" i="311"/>
  <c r="H27" i="311"/>
  <c r="H28" i="311"/>
  <c r="H29" i="311"/>
  <c r="H30" i="311"/>
  <c r="H31" i="311"/>
  <c r="H32" i="311"/>
  <c r="H33" i="311"/>
  <c r="H34" i="311"/>
  <c r="H35" i="311"/>
  <c r="H36" i="311"/>
  <c r="H37" i="311"/>
  <c r="H38" i="311"/>
  <c r="H39" i="311"/>
  <c r="H40" i="311"/>
  <c r="H41" i="311"/>
  <c r="H42" i="311"/>
  <c r="H43" i="311"/>
  <c r="H44" i="311"/>
  <c r="H45" i="311"/>
  <c r="H46" i="311"/>
  <c r="H47" i="311"/>
  <c r="H48" i="311"/>
  <c r="H49" i="311"/>
  <c r="H50" i="311"/>
  <c r="H51" i="311"/>
  <c r="H52" i="311"/>
  <c r="H53" i="311"/>
  <c r="H54" i="311"/>
  <c r="H55" i="311"/>
  <c r="H56" i="311"/>
  <c r="H57" i="311"/>
  <c r="H58" i="311"/>
  <c r="H59" i="311"/>
  <c r="H60" i="311"/>
  <c r="H61" i="311"/>
  <c r="H62" i="311"/>
  <c r="H63" i="311"/>
  <c r="H64" i="311"/>
  <c r="H65" i="311"/>
  <c r="H66" i="311"/>
  <c r="H67" i="311"/>
  <c r="H68" i="311"/>
  <c r="H69" i="311"/>
  <c r="H70" i="311"/>
  <c r="H71" i="311"/>
  <c r="H72" i="311"/>
  <c r="H73" i="311"/>
  <c r="H74" i="311"/>
  <c r="H75" i="311"/>
  <c r="H76" i="311"/>
  <c r="H77" i="311"/>
  <c r="H78" i="311"/>
  <c r="H79" i="311"/>
  <c r="H80" i="311"/>
  <c r="H81" i="311"/>
  <c r="H82" i="311"/>
  <c r="H83" i="311"/>
  <c r="H84" i="311"/>
  <c r="H85" i="311"/>
  <c r="H86" i="311"/>
  <c r="H87" i="311"/>
  <c r="H88" i="311"/>
  <c r="H89" i="311"/>
  <c r="H90" i="311"/>
  <c r="H91" i="311"/>
  <c r="H92" i="311"/>
  <c r="H93" i="311"/>
  <c r="H94" i="311"/>
  <c r="H95" i="311"/>
  <c r="H96" i="311"/>
  <c r="H97" i="311"/>
  <c r="H98" i="311"/>
  <c r="H99" i="311"/>
  <c r="H100" i="311"/>
  <c r="H101" i="311"/>
  <c r="H102" i="311"/>
  <c r="H103" i="311"/>
  <c r="H104" i="311"/>
  <c r="H105" i="311"/>
  <c r="H106" i="311"/>
  <c r="H107" i="311"/>
  <c r="H108" i="311"/>
  <c r="H109" i="311"/>
  <c r="H110" i="311"/>
  <c r="H111" i="311"/>
  <c r="H112" i="311"/>
  <c r="H113" i="311"/>
  <c r="H114" i="311"/>
  <c r="H115" i="311"/>
  <c r="H116" i="311"/>
  <c r="H117" i="311"/>
  <c r="H118" i="311"/>
  <c r="H119" i="311"/>
  <c r="H120" i="311"/>
  <c r="H121" i="311"/>
  <c r="H122" i="311"/>
  <c r="H123" i="311"/>
  <c r="H124" i="311"/>
  <c r="H125" i="311"/>
  <c r="H126" i="311"/>
  <c r="H127" i="311"/>
  <c r="H128" i="311"/>
  <c r="H129" i="311"/>
  <c r="H130" i="311"/>
  <c r="H131" i="311"/>
  <c r="H132" i="311"/>
  <c r="H133" i="311"/>
  <c r="H134" i="311"/>
  <c r="H135" i="311"/>
  <c r="H136" i="311"/>
  <c r="H137" i="311"/>
  <c r="H138" i="311"/>
  <c r="H139" i="311"/>
  <c r="H140" i="311"/>
  <c r="H141" i="311"/>
  <c r="H142" i="311"/>
  <c r="H143" i="311"/>
  <c r="H144" i="311"/>
  <c r="H145" i="311"/>
  <c r="H146" i="311"/>
  <c r="H147" i="311"/>
  <c r="H148" i="311"/>
  <c r="H149" i="311"/>
  <c r="H150" i="311"/>
  <c r="H151" i="311"/>
  <c r="H152" i="311"/>
  <c r="H153" i="311"/>
  <c r="H154" i="311"/>
  <c r="H155" i="311"/>
  <c r="H156" i="311"/>
  <c r="H157" i="311"/>
  <c r="H158" i="311"/>
  <c r="H159" i="311"/>
  <c r="H160" i="311"/>
  <c r="H161" i="311"/>
  <c r="H162" i="311"/>
  <c r="H163" i="311"/>
  <c r="H164" i="311"/>
  <c r="H165" i="311"/>
  <c r="H166" i="311"/>
  <c r="H167" i="311"/>
  <c r="H168" i="311"/>
  <c r="H169" i="311"/>
  <c r="H170" i="311"/>
  <c r="H171" i="311"/>
  <c r="H172" i="311"/>
  <c r="H173" i="311"/>
  <c r="H174" i="311"/>
  <c r="H175" i="311"/>
  <c r="H176" i="311"/>
  <c r="H177" i="311"/>
  <c r="H178" i="311"/>
  <c r="H179" i="311"/>
  <c r="H180" i="311"/>
  <c r="H181" i="311"/>
  <c r="H182" i="311"/>
  <c r="H183" i="311"/>
  <c r="H184" i="311"/>
  <c r="H185" i="311"/>
  <c r="H186" i="311"/>
  <c r="H187" i="311"/>
  <c r="H188" i="311"/>
  <c r="H189" i="311"/>
  <c r="H190" i="311"/>
  <c r="H191" i="311"/>
  <c r="H192" i="311"/>
  <c r="H193" i="311"/>
  <c r="H194" i="311"/>
  <c r="H195" i="311"/>
  <c r="H196" i="311"/>
  <c r="H197" i="311"/>
  <c r="H198" i="311"/>
  <c r="H199" i="311"/>
  <c r="H200" i="311"/>
  <c r="H201" i="311"/>
  <c r="H202" i="311"/>
  <c r="H203" i="311"/>
  <c r="H204" i="311"/>
  <c r="H205" i="311"/>
  <c r="H206" i="311"/>
  <c r="H207" i="311"/>
  <c r="H208" i="311"/>
  <c r="H209" i="311"/>
  <c r="H210" i="311"/>
  <c r="H211" i="311"/>
  <c r="H212" i="311"/>
  <c r="H213" i="311"/>
  <c r="H214" i="311"/>
  <c r="H215" i="311"/>
  <c r="H216" i="311"/>
  <c r="H217" i="311"/>
  <c r="H218" i="311"/>
  <c r="H219" i="311"/>
  <c r="H220" i="311"/>
  <c r="H221" i="311"/>
  <c r="H222" i="311"/>
  <c r="H223" i="311"/>
  <c r="H224" i="311"/>
  <c r="H225" i="311"/>
  <c r="H226" i="311"/>
  <c r="H227" i="311"/>
  <c r="H228" i="311"/>
  <c r="H229" i="311"/>
  <c r="H230" i="311"/>
  <c r="H231" i="311"/>
  <c r="H232" i="311"/>
  <c r="H233" i="311"/>
  <c r="H234" i="311"/>
  <c r="H235" i="311"/>
  <c r="H236" i="311"/>
  <c r="H237" i="311"/>
  <c r="H238" i="311"/>
  <c r="H239" i="311"/>
  <c r="H240" i="311"/>
  <c r="H241" i="311"/>
  <c r="H242" i="311"/>
  <c r="H243" i="311"/>
  <c r="H244" i="311"/>
  <c r="H245" i="311"/>
  <c r="H246" i="311"/>
  <c r="H247" i="311"/>
  <c r="H248" i="311"/>
  <c r="H249" i="311"/>
  <c r="H250" i="311"/>
  <c r="H251" i="311"/>
  <c r="H252" i="311"/>
  <c r="H253" i="311"/>
  <c r="H254" i="311"/>
  <c r="H255" i="311"/>
  <c r="H256" i="311"/>
  <c r="H257" i="311"/>
  <c r="H258" i="311"/>
  <c r="H259" i="311"/>
  <c r="H260" i="311"/>
  <c r="H261" i="311"/>
  <c r="H262" i="311"/>
  <c r="H263" i="311"/>
  <c r="H264" i="311"/>
  <c r="H265" i="311"/>
  <c r="H266" i="311"/>
  <c r="H267" i="311"/>
  <c r="H268" i="311"/>
  <c r="H269" i="311"/>
  <c r="H270" i="311"/>
  <c r="H271" i="311"/>
  <c r="H272" i="311"/>
  <c r="H273" i="311"/>
  <c r="H274" i="311"/>
  <c r="H275" i="311"/>
  <c r="H276" i="311"/>
  <c r="H277" i="311"/>
  <c r="H278" i="311"/>
  <c r="H279" i="311"/>
  <c r="H280" i="311"/>
  <c r="H281" i="311"/>
  <c r="H282" i="311"/>
  <c r="H283" i="311"/>
  <c r="H284" i="311"/>
  <c r="H285" i="311"/>
  <c r="H286" i="311"/>
  <c r="H287" i="311"/>
  <c r="H288" i="311"/>
  <c r="H289" i="311"/>
  <c r="H290" i="311"/>
  <c r="H291" i="311"/>
  <c r="H292" i="311"/>
  <c r="H293" i="311"/>
  <c r="H294" i="311"/>
  <c r="H295" i="311"/>
  <c r="H296" i="311"/>
  <c r="H297" i="311"/>
  <c r="H298" i="311"/>
  <c r="H299" i="311"/>
  <c r="H300" i="311"/>
  <c r="H301" i="311"/>
  <c r="H302" i="311"/>
  <c r="H303" i="311"/>
  <c r="H304" i="311"/>
  <c r="H305" i="311"/>
  <c r="H306" i="311"/>
  <c r="H307" i="311"/>
  <c r="H308" i="311"/>
  <c r="H309" i="311"/>
  <c r="H310" i="311"/>
  <c r="H311" i="311"/>
  <c r="H312" i="311"/>
  <c r="H313" i="311"/>
  <c r="H314" i="311"/>
  <c r="H315" i="311"/>
  <c r="H316" i="311"/>
  <c r="H317" i="311"/>
  <c r="H318" i="311"/>
  <c r="H319" i="311"/>
  <c r="H320" i="311"/>
  <c r="H321" i="311"/>
  <c r="H322" i="311"/>
  <c r="H323" i="311"/>
  <c r="H324" i="311"/>
  <c r="H325" i="311"/>
  <c r="H326" i="311"/>
  <c r="H327" i="311"/>
  <c r="H328" i="311"/>
  <c r="H329" i="311"/>
  <c r="H330" i="311"/>
  <c r="H331" i="311"/>
  <c r="H332" i="311"/>
  <c r="H333" i="311"/>
  <c r="H334" i="311"/>
  <c r="H335" i="311"/>
  <c r="H336" i="311"/>
  <c r="H337" i="311"/>
  <c r="H338" i="311"/>
  <c r="H339" i="311"/>
  <c r="H340" i="311"/>
  <c r="H341" i="311"/>
  <c r="H342" i="311"/>
  <c r="H343" i="311"/>
  <c r="H344" i="311"/>
  <c r="H345" i="311"/>
  <c r="H346" i="311"/>
  <c r="H347" i="311"/>
  <c r="H348" i="311"/>
  <c r="H349" i="311"/>
  <c r="H350" i="311"/>
  <c r="H351" i="311"/>
  <c r="H352" i="311"/>
  <c r="H353" i="311"/>
  <c r="H354" i="311"/>
  <c r="H355" i="311"/>
  <c r="H356" i="311"/>
  <c r="H357" i="311"/>
  <c r="H358" i="311"/>
  <c r="H359" i="311"/>
  <c r="H360" i="311"/>
  <c r="H361" i="311"/>
  <c r="H362" i="311"/>
  <c r="H363" i="311"/>
  <c r="H364" i="311"/>
  <c r="H365" i="311"/>
  <c r="H366" i="311"/>
  <c r="H367" i="311"/>
  <c r="H368" i="311"/>
  <c r="H369" i="311"/>
  <c r="H370" i="311"/>
  <c r="H371" i="311"/>
  <c r="H372" i="311"/>
  <c r="H373" i="311"/>
  <c r="H374" i="311"/>
  <c r="H375" i="311"/>
  <c r="H376" i="311"/>
  <c r="H377" i="311"/>
  <c r="H378" i="311"/>
  <c r="H379" i="311"/>
  <c r="H380" i="311"/>
  <c r="H381" i="311"/>
  <c r="H382" i="311"/>
  <c r="H383" i="311"/>
  <c r="H384" i="311"/>
  <c r="H385" i="311"/>
  <c r="H386" i="311"/>
  <c r="H387" i="311"/>
  <c r="H388" i="311"/>
  <c r="H389" i="311"/>
  <c r="H390" i="311"/>
  <c r="H391" i="311"/>
  <c r="H392" i="311"/>
  <c r="H393" i="311"/>
  <c r="H394" i="311"/>
  <c r="H395" i="311"/>
  <c r="H396" i="311"/>
  <c r="H397" i="311"/>
  <c r="H398" i="311"/>
  <c r="H399" i="311"/>
  <c r="H400" i="311"/>
  <c r="H401" i="311"/>
  <c r="H402" i="311"/>
  <c r="H403" i="311"/>
  <c r="H404" i="311"/>
  <c r="H405" i="311"/>
  <c r="H406" i="311"/>
  <c r="H407" i="311"/>
  <c r="H408" i="311"/>
  <c r="H409" i="311"/>
  <c r="H410" i="311"/>
  <c r="H411" i="311"/>
  <c r="H412" i="311"/>
  <c r="H413" i="311"/>
  <c r="H414" i="311"/>
  <c r="H415" i="311"/>
  <c r="H416" i="311"/>
  <c r="H417" i="311"/>
  <c r="H418" i="311"/>
  <c r="H419" i="311"/>
  <c r="H420" i="311"/>
  <c r="H421" i="311"/>
  <c r="H422" i="311"/>
  <c r="H423" i="311"/>
  <c r="H424" i="311"/>
  <c r="H425" i="311"/>
  <c r="H426" i="311"/>
  <c r="H427" i="311"/>
  <c r="H428" i="311"/>
  <c r="H429" i="311"/>
  <c r="H430" i="311"/>
  <c r="H431" i="311"/>
  <c r="H432" i="311"/>
  <c r="H433" i="311"/>
  <c r="H434" i="311"/>
  <c r="H435" i="311"/>
  <c r="H436" i="311"/>
  <c r="H437" i="311"/>
  <c r="H438" i="311"/>
  <c r="H439" i="311"/>
  <c r="H440" i="311"/>
  <c r="H441" i="311"/>
  <c r="H442" i="311"/>
  <c r="H443" i="311"/>
  <c r="H444" i="311"/>
  <c r="H445" i="311"/>
  <c r="H446" i="311"/>
  <c r="H447" i="311"/>
  <c r="H448" i="311"/>
  <c r="H449" i="311"/>
  <c r="H450" i="311"/>
  <c r="H451" i="311"/>
  <c r="H452" i="311"/>
  <c r="H453" i="311"/>
  <c r="H454" i="311"/>
  <c r="H455" i="311"/>
  <c r="H456" i="311"/>
  <c r="H457" i="311"/>
  <c r="H458" i="311"/>
  <c r="H459" i="311"/>
  <c r="H460" i="311"/>
  <c r="H461" i="311"/>
  <c r="H462" i="311"/>
  <c r="H463" i="311"/>
  <c r="H464" i="311"/>
  <c r="H465" i="311"/>
  <c r="H466" i="311"/>
  <c r="H467" i="311"/>
  <c r="H468" i="311"/>
  <c r="H469" i="311"/>
  <c r="H470" i="311"/>
  <c r="H471" i="311"/>
  <c r="H472" i="311"/>
  <c r="H473" i="311"/>
  <c r="H474" i="311"/>
  <c r="H475" i="311"/>
  <c r="H476" i="311"/>
  <c r="H477" i="311"/>
  <c r="H478" i="311"/>
  <c r="H479" i="311"/>
  <c r="H480" i="311"/>
  <c r="H481" i="311"/>
  <c r="H482" i="311"/>
  <c r="H483" i="311"/>
  <c r="H484" i="311"/>
  <c r="H485" i="311"/>
  <c r="H486" i="311"/>
  <c r="H487" i="311"/>
  <c r="H488" i="311"/>
  <c r="H489" i="311"/>
  <c r="H490" i="311"/>
  <c r="H491" i="311"/>
  <c r="H492" i="311"/>
  <c r="H493" i="311"/>
  <c r="H494" i="311"/>
  <c r="H495" i="311"/>
  <c r="H496" i="311"/>
  <c r="H497" i="311"/>
  <c r="H498" i="311"/>
  <c r="H499" i="311"/>
  <c r="H500" i="311"/>
  <c r="H501" i="311"/>
  <c r="H502" i="311"/>
  <c r="H503" i="311"/>
  <c r="H504" i="311"/>
  <c r="H505" i="311"/>
  <c r="H506" i="311"/>
  <c r="H507" i="311"/>
  <c r="H508" i="311"/>
  <c r="H509" i="311"/>
  <c r="H510" i="311"/>
  <c r="H511" i="311"/>
  <c r="H512" i="311"/>
  <c r="H513" i="311"/>
  <c r="H514" i="311"/>
  <c r="H515" i="311"/>
  <c r="H516" i="311"/>
  <c r="H517" i="311"/>
  <c r="H518" i="311"/>
  <c r="H519" i="311"/>
  <c r="H520" i="311"/>
  <c r="H521" i="311"/>
  <c r="H522" i="311"/>
  <c r="H523" i="311"/>
  <c r="H524" i="311"/>
  <c r="H525" i="311"/>
  <c r="H526" i="311"/>
  <c r="H527" i="311"/>
  <c r="H528" i="311"/>
  <c r="H529" i="311"/>
  <c r="H530" i="311"/>
  <c r="H531" i="311"/>
  <c r="H532" i="311"/>
  <c r="H533" i="311"/>
  <c r="H534" i="311"/>
  <c r="H535" i="311"/>
  <c r="H536" i="311"/>
  <c r="H537" i="311"/>
  <c r="H538" i="311"/>
  <c r="H539" i="311"/>
  <c r="H540" i="311"/>
  <c r="H541" i="311"/>
  <c r="H542" i="311"/>
  <c r="H543" i="311"/>
  <c r="H544" i="311"/>
  <c r="H545" i="311"/>
  <c r="H546" i="311"/>
  <c r="H547" i="311"/>
  <c r="H548" i="311"/>
  <c r="H549" i="311"/>
  <c r="H550" i="311"/>
  <c r="H551" i="311"/>
  <c r="H552" i="311"/>
  <c r="H553" i="311"/>
  <c r="H554" i="311"/>
  <c r="H555" i="311"/>
  <c r="H556" i="311"/>
  <c r="H557" i="311"/>
  <c r="H558" i="311"/>
  <c r="H559" i="311"/>
  <c r="H560" i="311"/>
  <c r="H561" i="311"/>
  <c r="H562" i="311"/>
  <c r="H563" i="311"/>
  <c r="H564" i="311"/>
  <c r="H565" i="311"/>
  <c r="H566" i="311"/>
  <c r="H567" i="311"/>
  <c r="H568" i="311"/>
  <c r="H569" i="311"/>
  <c r="H570" i="311"/>
  <c r="H571" i="311"/>
  <c r="H572" i="311"/>
  <c r="H573" i="311"/>
  <c r="H574" i="311"/>
  <c r="H575" i="311"/>
  <c r="H576" i="311"/>
  <c r="H577" i="311"/>
  <c r="H578" i="311"/>
  <c r="H579" i="311"/>
  <c r="H580" i="311"/>
  <c r="H581" i="311"/>
  <c r="H582" i="311"/>
  <c r="H583" i="311"/>
  <c r="H584" i="311"/>
  <c r="H585" i="311"/>
  <c r="H586" i="311"/>
  <c r="H587" i="311"/>
  <c r="H588" i="311"/>
  <c r="H589" i="311"/>
  <c r="H590" i="311"/>
  <c r="H591" i="311"/>
  <c r="H592" i="311"/>
  <c r="H593" i="311"/>
  <c r="H594" i="311"/>
  <c r="H595" i="311"/>
  <c r="H596" i="311"/>
  <c r="H597" i="311"/>
  <c r="H598" i="311"/>
  <c r="H599" i="311"/>
  <c r="H600" i="311"/>
  <c r="H601" i="311"/>
  <c r="H602" i="311"/>
  <c r="H603" i="311"/>
  <c r="H604" i="311"/>
  <c r="H605" i="311"/>
  <c r="H606" i="311"/>
  <c r="H607" i="311"/>
  <c r="H608" i="311"/>
  <c r="H609" i="311"/>
  <c r="H610" i="311"/>
  <c r="H611" i="311"/>
  <c r="H612" i="311"/>
  <c r="H613" i="311"/>
  <c r="H614" i="311"/>
  <c r="H615" i="311"/>
  <c r="H616" i="311"/>
  <c r="H617" i="311"/>
  <c r="H618" i="311"/>
  <c r="H619" i="311"/>
  <c r="H620" i="311"/>
  <c r="H621" i="311"/>
  <c r="H622" i="311"/>
  <c r="H623" i="311"/>
  <c r="H624" i="311"/>
  <c r="H625" i="311"/>
  <c r="H626" i="311"/>
  <c r="H627" i="311"/>
  <c r="H628" i="311"/>
  <c r="H629" i="311"/>
  <c r="H630" i="311"/>
  <c r="H631" i="311"/>
  <c r="H632" i="311"/>
  <c r="H633" i="311"/>
  <c r="H634" i="311"/>
  <c r="H635" i="311"/>
  <c r="H636" i="311"/>
  <c r="H637" i="311"/>
  <c r="H638" i="311"/>
  <c r="H639" i="311"/>
  <c r="H640" i="311"/>
  <c r="H641" i="311"/>
  <c r="H642" i="311"/>
  <c r="H643" i="311"/>
  <c r="H644" i="311"/>
  <c r="H645" i="311"/>
  <c r="H646" i="311"/>
  <c r="H647" i="311"/>
  <c r="H648" i="311"/>
  <c r="H649" i="311"/>
  <c r="H650" i="311"/>
  <c r="H651" i="311"/>
  <c r="H652" i="311"/>
  <c r="H653" i="311"/>
  <c r="H654" i="311"/>
  <c r="H655" i="311"/>
  <c r="H656" i="311"/>
  <c r="H657" i="311"/>
  <c r="H658" i="311"/>
  <c r="H659" i="311"/>
  <c r="H660" i="311"/>
  <c r="H661" i="311"/>
  <c r="H662" i="311"/>
  <c r="H663" i="311"/>
  <c r="H664" i="311"/>
  <c r="H665" i="311"/>
  <c r="H666" i="311"/>
  <c r="H667" i="311"/>
  <c r="H668" i="311"/>
  <c r="H669" i="311"/>
  <c r="H670" i="311"/>
  <c r="H671" i="311"/>
  <c r="H672" i="311"/>
  <c r="H673" i="311"/>
  <c r="H674" i="311"/>
  <c r="H675" i="311"/>
  <c r="H676" i="311"/>
  <c r="H677" i="311"/>
  <c r="H678" i="311"/>
  <c r="H679" i="311"/>
  <c r="H680" i="311"/>
  <c r="H681" i="311"/>
  <c r="H682" i="311"/>
  <c r="H683" i="311"/>
  <c r="H684" i="311"/>
  <c r="H685" i="311"/>
  <c r="H686" i="311"/>
  <c r="H687" i="311"/>
  <c r="H688" i="311"/>
  <c r="H689" i="311"/>
  <c r="H690" i="311"/>
  <c r="H691" i="311"/>
  <c r="H692" i="311"/>
  <c r="H693" i="311"/>
  <c r="H694" i="311"/>
  <c r="H695" i="311"/>
  <c r="H696" i="311"/>
  <c r="H697" i="311"/>
  <c r="H698" i="311"/>
  <c r="H699" i="311"/>
  <c r="H700" i="311"/>
  <c r="H701" i="311"/>
  <c r="H702" i="311"/>
  <c r="H703" i="311"/>
  <c r="H704" i="311"/>
  <c r="H705" i="311"/>
  <c r="H706" i="311"/>
  <c r="H707" i="311"/>
  <c r="H708" i="311"/>
  <c r="H709" i="311"/>
  <c r="H710" i="311"/>
  <c r="H711" i="311"/>
  <c r="H712" i="311"/>
  <c r="H713" i="311"/>
  <c r="H714" i="311"/>
  <c r="H715" i="311"/>
  <c r="H716" i="311"/>
  <c r="H717" i="311"/>
  <c r="H718" i="311"/>
  <c r="H719" i="311"/>
  <c r="H720" i="311"/>
  <c r="H721" i="311"/>
  <c r="H722" i="311"/>
  <c r="H723" i="311"/>
  <c r="H724" i="311"/>
  <c r="H725" i="311"/>
  <c r="H726" i="311"/>
  <c r="H727" i="311"/>
  <c r="H728" i="311"/>
  <c r="H729" i="311"/>
  <c r="H730" i="311"/>
  <c r="H731" i="311"/>
  <c r="H732" i="311"/>
  <c r="H733" i="311"/>
  <c r="H734" i="311"/>
  <c r="H735" i="311"/>
  <c r="H736" i="311"/>
  <c r="H737" i="311"/>
  <c r="H738" i="311"/>
  <c r="H739" i="311"/>
  <c r="H740" i="311"/>
  <c r="H741" i="311"/>
  <c r="H742" i="311"/>
  <c r="H743" i="311"/>
  <c r="H744" i="311"/>
  <c r="H745" i="311"/>
  <c r="H746" i="311"/>
  <c r="H747" i="311"/>
  <c r="H748" i="311"/>
  <c r="H749" i="311"/>
  <c r="H750" i="311"/>
  <c r="H751" i="311"/>
  <c r="H752" i="311"/>
  <c r="H753" i="311"/>
  <c r="H754" i="311"/>
  <c r="H755" i="311"/>
  <c r="H756" i="311"/>
  <c r="H757" i="311"/>
  <c r="H758" i="311"/>
  <c r="H759" i="311"/>
  <c r="H760" i="311"/>
  <c r="H761" i="311"/>
  <c r="H762" i="311"/>
  <c r="H763" i="311"/>
  <c r="H764" i="311"/>
  <c r="H765" i="311"/>
  <c r="H766" i="311"/>
  <c r="H767" i="311"/>
  <c r="H768" i="311"/>
  <c r="H769" i="311"/>
  <c r="H770" i="311"/>
  <c r="H771" i="311"/>
  <c r="H772" i="311"/>
  <c r="H773" i="311"/>
  <c r="H774" i="311"/>
  <c r="H775" i="311"/>
  <c r="H776" i="311"/>
  <c r="H777" i="311"/>
  <c r="H778" i="311"/>
  <c r="H779" i="311"/>
  <c r="H780" i="311"/>
  <c r="H781" i="311"/>
  <c r="H782" i="311"/>
  <c r="H783" i="311"/>
  <c r="H784" i="311"/>
  <c r="H785" i="311"/>
  <c r="H786" i="311"/>
  <c r="H787" i="311"/>
  <c r="H788" i="311"/>
  <c r="H789" i="311"/>
  <c r="H790" i="311"/>
  <c r="H791" i="311"/>
  <c r="H792" i="311"/>
  <c r="H793" i="311"/>
  <c r="H794" i="311"/>
  <c r="H795" i="311"/>
  <c r="H796" i="311"/>
  <c r="H797" i="311"/>
  <c r="H798" i="311"/>
  <c r="H799" i="311"/>
  <c r="H800" i="311"/>
  <c r="H801" i="311"/>
  <c r="H802" i="311"/>
  <c r="H803" i="311"/>
  <c r="H804" i="311"/>
  <c r="H805" i="311"/>
  <c r="H806" i="311"/>
  <c r="H807" i="311"/>
  <c r="H808" i="311"/>
  <c r="H809" i="311"/>
  <c r="H810" i="311"/>
  <c r="H811" i="311"/>
  <c r="H812" i="311"/>
  <c r="H813" i="311"/>
  <c r="H814" i="311"/>
  <c r="H815" i="311"/>
  <c r="H816" i="311"/>
  <c r="H817" i="311"/>
  <c r="H818" i="311"/>
  <c r="H819" i="311"/>
  <c r="H820" i="311"/>
  <c r="H821" i="311"/>
  <c r="H822" i="311"/>
  <c r="H823" i="311"/>
  <c r="H824" i="311"/>
  <c r="H825" i="311"/>
  <c r="H826" i="311"/>
  <c r="H827" i="311"/>
  <c r="H828" i="311"/>
  <c r="H829" i="311"/>
  <c r="H830" i="311"/>
  <c r="H831" i="311"/>
  <c r="H832" i="311"/>
  <c r="H833" i="311"/>
  <c r="H834" i="311"/>
  <c r="H835" i="311"/>
  <c r="H836" i="311"/>
  <c r="H837" i="311"/>
  <c r="H838" i="311"/>
  <c r="H839" i="311"/>
  <c r="H840" i="311"/>
  <c r="H841" i="311"/>
  <c r="H842" i="311"/>
  <c r="H843" i="311"/>
  <c r="H844" i="311"/>
  <c r="H845" i="311"/>
  <c r="H846" i="311"/>
  <c r="H847" i="311"/>
  <c r="H848" i="311"/>
  <c r="H849" i="311"/>
  <c r="H850" i="311"/>
  <c r="H851" i="311"/>
  <c r="H852" i="311"/>
  <c r="H853" i="311"/>
  <c r="H854" i="311"/>
  <c r="H855" i="311"/>
  <c r="H856" i="311"/>
  <c r="H857" i="311"/>
  <c r="G3" i="311"/>
  <c r="G4" i="311"/>
  <c r="G5" i="311"/>
  <c r="G6" i="311"/>
  <c r="G7" i="311"/>
  <c r="G8" i="311"/>
  <c r="G9" i="311"/>
  <c r="G10" i="311"/>
  <c r="G11" i="311"/>
  <c r="G12" i="311"/>
  <c r="G13" i="311"/>
  <c r="G14" i="311"/>
  <c r="G15" i="311"/>
  <c r="G16" i="311"/>
  <c r="G17" i="311"/>
  <c r="G18" i="311"/>
  <c r="G19" i="311"/>
  <c r="G20" i="311"/>
  <c r="G21" i="311"/>
  <c r="G22" i="311"/>
  <c r="G23" i="311"/>
  <c r="G24" i="311"/>
  <c r="G25" i="311"/>
  <c r="G26" i="311"/>
  <c r="G27" i="311"/>
  <c r="G28" i="311"/>
  <c r="G29" i="311"/>
  <c r="G30" i="311"/>
  <c r="G31" i="311"/>
  <c r="G32" i="311"/>
  <c r="G33" i="311"/>
  <c r="G34" i="311"/>
  <c r="G35" i="311"/>
  <c r="G36" i="311"/>
  <c r="G37" i="311"/>
  <c r="G38" i="311"/>
  <c r="G39" i="311"/>
  <c r="G40" i="311"/>
  <c r="G41" i="311"/>
  <c r="G42" i="311"/>
  <c r="G43" i="311"/>
  <c r="G44" i="311"/>
  <c r="G45" i="311"/>
  <c r="G46" i="311"/>
  <c r="G47" i="311"/>
  <c r="G48" i="311"/>
  <c r="G49" i="311"/>
  <c r="G50" i="311"/>
  <c r="G51" i="311"/>
  <c r="G52" i="311"/>
  <c r="G53" i="311"/>
  <c r="G54" i="311"/>
  <c r="G55" i="311"/>
  <c r="G56" i="311"/>
  <c r="G57" i="311"/>
  <c r="G58" i="311"/>
  <c r="G59" i="311"/>
  <c r="G60" i="311"/>
  <c r="G61" i="311"/>
  <c r="G62" i="311"/>
  <c r="G63" i="311"/>
  <c r="G64" i="311"/>
  <c r="G65" i="311"/>
  <c r="G66" i="311"/>
  <c r="G67" i="311"/>
  <c r="G68" i="311"/>
  <c r="G69" i="311"/>
  <c r="G70" i="311"/>
  <c r="G71" i="311"/>
  <c r="G72" i="311"/>
  <c r="G73" i="311"/>
  <c r="G74" i="311"/>
  <c r="G75" i="311"/>
  <c r="G76" i="311"/>
  <c r="G77" i="311"/>
  <c r="G78" i="311"/>
  <c r="G79" i="311"/>
  <c r="G80" i="311"/>
  <c r="G81" i="311"/>
  <c r="G82" i="311"/>
  <c r="G83" i="311"/>
  <c r="G84" i="311"/>
  <c r="G85" i="311"/>
  <c r="G86" i="311"/>
  <c r="G87" i="311"/>
  <c r="G88" i="311"/>
  <c r="G89" i="311"/>
  <c r="G90" i="311"/>
  <c r="G91" i="311"/>
  <c r="G92" i="311"/>
  <c r="G93" i="311"/>
  <c r="G94" i="311"/>
  <c r="G95" i="311"/>
  <c r="G96" i="311"/>
  <c r="G97" i="311"/>
  <c r="G98" i="311"/>
  <c r="G99" i="311"/>
  <c r="G100" i="311"/>
  <c r="G101" i="311"/>
  <c r="G102" i="311"/>
  <c r="G103" i="311"/>
  <c r="G104" i="311"/>
  <c r="G105" i="311"/>
  <c r="G106" i="311"/>
  <c r="G107" i="311"/>
  <c r="G108" i="311"/>
  <c r="G109" i="311"/>
  <c r="G110" i="311"/>
  <c r="G111" i="311"/>
  <c r="G112" i="311"/>
  <c r="G113" i="311"/>
  <c r="G114" i="311"/>
  <c r="G115" i="311"/>
  <c r="G116" i="311"/>
  <c r="G117" i="311"/>
  <c r="G118" i="311"/>
  <c r="G119" i="311"/>
  <c r="G120" i="311"/>
  <c r="G121" i="311"/>
  <c r="G122" i="311"/>
  <c r="G123" i="311"/>
  <c r="G124" i="311"/>
  <c r="G125" i="311"/>
  <c r="G126" i="311"/>
  <c r="G127" i="311"/>
  <c r="G128" i="311"/>
  <c r="G129" i="311"/>
  <c r="G130" i="311"/>
  <c r="G131" i="311"/>
  <c r="G132" i="311"/>
  <c r="G133" i="311"/>
  <c r="G134" i="311"/>
  <c r="G135" i="311"/>
  <c r="G136" i="311"/>
  <c r="G137" i="311"/>
  <c r="G138" i="311"/>
  <c r="G139" i="311"/>
  <c r="G140" i="311"/>
  <c r="G141" i="311"/>
  <c r="G142" i="311"/>
  <c r="G143" i="311"/>
  <c r="G144" i="311"/>
  <c r="G145" i="311"/>
  <c r="G146" i="311"/>
  <c r="G147" i="311"/>
  <c r="G148" i="311"/>
  <c r="G149" i="311"/>
  <c r="G150" i="311"/>
  <c r="G151" i="311"/>
  <c r="G152" i="311"/>
  <c r="G153" i="311"/>
  <c r="G154" i="311"/>
  <c r="G155" i="311"/>
  <c r="G156" i="311"/>
  <c r="G157" i="311"/>
  <c r="G158" i="311"/>
  <c r="G159" i="311"/>
  <c r="G160" i="311"/>
  <c r="G161" i="311"/>
  <c r="G162" i="311"/>
  <c r="G163" i="311"/>
  <c r="G164" i="311"/>
  <c r="G165" i="311"/>
  <c r="G166" i="311"/>
  <c r="G167" i="311"/>
  <c r="G168" i="311"/>
  <c r="G169" i="311"/>
  <c r="G170" i="311"/>
  <c r="G171" i="311"/>
  <c r="G172" i="311"/>
  <c r="G173" i="311"/>
  <c r="G174" i="311"/>
  <c r="G175" i="311"/>
  <c r="G176" i="311"/>
  <c r="G177" i="311"/>
  <c r="G178" i="311"/>
  <c r="G179" i="311"/>
  <c r="G180" i="311"/>
  <c r="G181" i="311"/>
  <c r="G182" i="311"/>
  <c r="G183" i="311"/>
  <c r="G184" i="311"/>
  <c r="G185" i="311"/>
  <c r="G186" i="311"/>
  <c r="G187" i="311"/>
  <c r="G188" i="311"/>
  <c r="G189" i="311"/>
  <c r="G190" i="311"/>
  <c r="G191" i="311"/>
  <c r="G192" i="311"/>
  <c r="G193" i="311"/>
  <c r="G194" i="311"/>
  <c r="G195" i="311"/>
  <c r="G196" i="311"/>
  <c r="G197" i="311"/>
  <c r="G198" i="311"/>
  <c r="G199" i="311"/>
  <c r="G200" i="311"/>
  <c r="G201" i="311"/>
  <c r="G202" i="311"/>
  <c r="G203" i="311"/>
  <c r="G204" i="311"/>
  <c r="G205" i="311"/>
  <c r="G206" i="311"/>
  <c r="G207" i="311"/>
  <c r="G208" i="311"/>
  <c r="G209" i="311"/>
  <c r="G210" i="311"/>
  <c r="G211" i="311"/>
  <c r="G212" i="311"/>
  <c r="G213" i="311"/>
  <c r="G214" i="311"/>
  <c r="G215" i="311"/>
  <c r="G216" i="311"/>
  <c r="G217" i="311"/>
  <c r="G218" i="311"/>
  <c r="G219" i="311"/>
  <c r="G220" i="311"/>
  <c r="G221" i="311"/>
  <c r="G222" i="311"/>
  <c r="G223" i="311"/>
  <c r="G224" i="311"/>
  <c r="G225" i="311"/>
  <c r="G226" i="311"/>
  <c r="G227" i="311"/>
  <c r="G228" i="311"/>
  <c r="G229" i="311"/>
  <c r="G230" i="311"/>
  <c r="G231" i="311"/>
  <c r="G232" i="311"/>
  <c r="G233" i="311"/>
  <c r="G234" i="311"/>
  <c r="G235" i="311"/>
  <c r="G236" i="311"/>
  <c r="G237" i="311"/>
  <c r="G238" i="311"/>
  <c r="G239" i="311"/>
  <c r="G240" i="311"/>
  <c r="G241" i="311"/>
  <c r="G242" i="311"/>
  <c r="G243" i="311"/>
  <c r="G244" i="311"/>
  <c r="G245" i="311"/>
  <c r="G246" i="311"/>
  <c r="G247" i="311"/>
  <c r="G248" i="311"/>
  <c r="G249" i="311"/>
  <c r="G250" i="311"/>
  <c r="G251" i="311"/>
  <c r="G252" i="311"/>
  <c r="G253" i="311"/>
  <c r="G254" i="311"/>
  <c r="G255" i="311"/>
  <c r="G256" i="311"/>
  <c r="G257" i="311"/>
  <c r="G258" i="311"/>
  <c r="G259" i="311"/>
  <c r="G260" i="311"/>
  <c r="G261" i="311"/>
  <c r="G262" i="311"/>
  <c r="G263" i="311"/>
  <c r="G264" i="311"/>
  <c r="G265" i="311"/>
  <c r="G266" i="311"/>
  <c r="G267" i="311"/>
  <c r="G268" i="311"/>
  <c r="G269" i="311"/>
  <c r="G270" i="311"/>
  <c r="G271" i="311"/>
  <c r="G272" i="311"/>
  <c r="G273" i="311"/>
  <c r="G274" i="311"/>
  <c r="G275" i="311"/>
  <c r="G276" i="311"/>
  <c r="G277" i="311"/>
  <c r="G278" i="311"/>
  <c r="G279" i="311"/>
  <c r="G280" i="311"/>
  <c r="G281" i="311"/>
  <c r="G282" i="311"/>
  <c r="G283" i="311"/>
  <c r="G284" i="311"/>
  <c r="G285" i="311"/>
  <c r="G286" i="311"/>
  <c r="G287" i="311"/>
  <c r="G288" i="311"/>
  <c r="G289" i="311"/>
  <c r="G290" i="311"/>
  <c r="G291" i="311"/>
  <c r="G292" i="311"/>
  <c r="G293" i="311"/>
  <c r="G294" i="311"/>
  <c r="G295" i="311"/>
  <c r="G296" i="311"/>
  <c r="G297" i="311"/>
  <c r="G298" i="311"/>
  <c r="G299" i="311"/>
  <c r="G300" i="311"/>
  <c r="G301" i="311"/>
  <c r="G302" i="311"/>
  <c r="G303" i="311"/>
  <c r="G304" i="311"/>
  <c r="G305" i="311"/>
  <c r="G306" i="311"/>
  <c r="G307" i="311"/>
  <c r="G308" i="311"/>
  <c r="G309" i="311"/>
  <c r="G310" i="311"/>
  <c r="G311" i="311"/>
  <c r="G312" i="311"/>
  <c r="G313" i="311"/>
  <c r="G314" i="311"/>
  <c r="G315" i="311"/>
  <c r="G316" i="311"/>
  <c r="G317" i="311"/>
  <c r="G318" i="311"/>
  <c r="G319" i="311"/>
  <c r="G320" i="311"/>
  <c r="G321" i="311"/>
  <c r="G322" i="311"/>
  <c r="G323" i="311"/>
  <c r="G324" i="311"/>
  <c r="G325" i="311"/>
  <c r="G326" i="311"/>
  <c r="G327" i="311"/>
  <c r="G328" i="311"/>
  <c r="G329" i="311"/>
  <c r="G330" i="311"/>
  <c r="G331" i="311"/>
  <c r="G332" i="311"/>
  <c r="G333" i="311"/>
  <c r="G334" i="311"/>
  <c r="G335" i="311"/>
  <c r="G336" i="311"/>
  <c r="G337" i="311"/>
  <c r="G338" i="311"/>
  <c r="G339" i="311"/>
  <c r="G340" i="311"/>
  <c r="G341" i="311"/>
  <c r="G342" i="311"/>
  <c r="G343" i="311"/>
  <c r="G344" i="311"/>
  <c r="G345" i="311"/>
  <c r="G346" i="311"/>
  <c r="G347" i="311"/>
  <c r="G348" i="311"/>
  <c r="G349" i="311"/>
  <c r="G350" i="311"/>
  <c r="G351" i="311"/>
  <c r="G352" i="311"/>
  <c r="G353" i="311"/>
  <c r="G354" i="311"/>
  <c r="G355" i="311"/>
  <c r="G356" i="311"/>
  <c r="G357" i="311"/>
  <c r="G358" i="311"/>
  <c r="G359" i="311"/>
  <c r="G360" i="311"/>
  <c r="G361" i="311"/>
  <c r="G362" i="311"/>
  <c r="G363" i="311"/>
  <c r="G364" i="311"/>
  <c r="G365" i="311"/>
  <c r="G366" i="311"/>
  <c r="G367" i="311"/>
  <c r="G368" i="311"/>
  <c r="G369" i="311"/>
  <c r="G370" i="311"/>
  <c r="G371" i="311"/>
  <c r="G372" i="311"/>
  <c r="G373" i="311"/>
  <c r="G374" i="311"/>
  <c r="G375" i="311"/>
  <c r="G376" i="311"/>
  <c r="G377" i="311"/>
  <c r="G378" i="311"/>
  <c r="G379" i="311"/>
  <c r="G380" i="311"/>
  <c r="G381" i="311"/>
  <c r="G382" i="311"/>
  <c r="G383" i="311"/>
  <c r="G384" i="311"/>
  <c r="G385" i="311"/>
  <c r="G386" i="311"/>
  <c r="G387" i="311"/>
  <c r="G388" i="311"/>
  <c r="G389" i="311"/>
  <c r="G390" i="311"/>
  <c r="G391" i="311"/>
  <c r="G392" i="311"/>
  <c r="G393" i="311"/>
  <c r="G394" i="311"/>
  <c r="G395" i="311"/>
  <c r="G396" i="311"/>
  <c r="G397" i="311"/>
  <c r="G398" i="311"/>
  <c r="G399" i="311"/>
  <c r="G400" i="311"/>
  <c r="G401" i="311"/>
  <c r="G402" i="311"/>
  <c r="G403" i="311"/>
  <c r="G404" i="311"/>
  <c r="G405" i="311"/>
  <c r="G406" i="311"/>
  <c r="G407" i="311"/>
  <c r="G408" i="311"/>
  <c r="G409" i="311"/>
  <c r="G410" i="311"/>
  <c r="G411" i="311"/>
  <c r="G412" i="311"/>
  <c r="G413" i="311"/>
  <c r="G414" i="311"/>
  <c r="G415" i="311"/>
  <c r="G416" i="311"/>
  <c r="G417" i="311"/>
  <c r="G418" i="311"/>
  <c r="G419" i="311"/>
  <c r="G420" i="311"/>
  <c r="G421" i="311"/>
  <c r="G422" i="311"/>
  <c r="G423" i="311"/>
  <c r="G424" i="311"/>
  <c r="G425" i="311"/>
  <c r="G426" i="311"/>
  <c r="G427" i="311"/>
  <c r="G428" i="311"/>
  <c r="G429" i="311"/>
  <c r="G430" i="311"/>
  <c r="G431" i="311"/>
  <c r="G432" i="311"/>
  <c r="G433" i="311"/>
  <c r="G434" i="311"/>
  <c r="G435" i="311"/>
  <c r="G436" i="311"/>
  <c r="G437" i="311"/>
  <c r="G438" i="311"/>
  <c r="G439" i="311"/>
  <c r="G440" i="311"/>
  <c r="G441" i="311"/>
  <c r="G442" i="311"/>
  <c r="G443" i="311"/>
  <c r="G444" i="311"/>
  <c r="G445" i="311"/>
  <c r="G446" i="311"/>
  <c r="G447" i="311"/>
  <c r="G448" i="311"/>
  <c r="G449" i="311"/>
  <c r="G450" i="311"/>
  <c r="G451" i="311"/>
  <c r="G452" i="311"/>
  <c r="G453" i="311"/>
  <c r="G454" i="311"/>
  <c r="G455" i="311"/>
  <c r="G456" i="311"/>
  <c r="G457" i="311"/>
  <c r="G458" i="311"/>
  <c r="G459" i="311"/>
  <c r="G460" i="311"/>
  <c r="G461" i="311"/>
  <c r="G462" i="311"/>
  <c r="G463" i="311"/>
  <c r="G464" i="311"/>
  <c r="G465" i="311"/>
  <c r="G466" i="311"/>
  <c r="G467" i="311"/>
  <c r="G468" i="311"/>
  <c r="G469" i="311"/>
  <c r="G470" i="311"/>
  <c r="G471" i="311"/>
  <c r="G472" i="311"/>
  <c r="G473" i="311"/>
  <c r="G474" i="311"/>
  <c r="G475" i="311"/>
  <c r="G476" i="311"/>
  <c r="G477" i="311"/>
  <c r="G478" i="311"/>
  <c r="G479" i="311"/>
  <c r="G480" i="311"/>
  <c r="G481" i="311"/>
  <c r="G482" i="311"/>
  <c r="G483" i="311"/>
  <c r="G484" i="311"/>
  <c r="G485" i="311"/>
  <c r="G486" i="311"/>
  <c r="G487" i="311"/>
  <c r="G488" i="311"/>
  <c r="G489" i="311"/>
  <c r="G490" i="311"/>
  <c r="G491" i="311"/>
  <c r="G492" i="311"/>
  <c r="G493" i="311"/>
  <c r="G494" i="311"/>
  <c r="G495" i="311"/>
  <c r="G496" i="311"/>
  <c r="G497" i="311"/>
  <c r="G498" i="311"/>
  <c r="G499" i="311"/>
  <c r="G500" i="311"/>
  <c r="G501" i="311"/>
  <c r="G502" i="311"/>
  <c r="G503" i="311"/>
  <c r="G504" i="311"/>
  <c r="G505" i="311"/>
  <c r="G506" i="311"/>
  <c r="G507" i="311"/>
  <c r="G508" i="311"/>
  <c r="G509" i="311"/>
  <c r="G510" i="311"/>
  <c r="G511" i="311"/>
  <c r="G512" i="311"/>
  <c r="G513" i="311"/>
  <c r="G514" i="311"/>
  <c r="G515" i="311"/>
  <c r="G516" i="311"/>
  <c r="G517" i="311"/>
  <c r="G518" i="311"/>
  <c r="G519" i="311"/>
  <c r="G520" i="311"/>
  <c r="G521" i="311"/>
  <c r="G522" i="311"/>
  <c r="G523" i="311"/>
  <c r="G524" i="311"/>
  <c r="G525" i="311"/>
  <c r="G526" i="311"/>
  <c r="G527" i="311"/>
  <c r="G528" i="311"/>
  <c r="G529" i="311"/>
  <c r="G530" i="311"/>
  <c r="G531" i="311"/>
  <c r="G532" i="311"/>
  <c r="G533" i="311"/>
  <c r="G534" i="311"/>
  <c r="G535" i="311"/>
  <c r="G536" i="311"/>
  <c r="G537" i="311"/>
  <c r="G538" i="311"/>
  <c r="G539" i="311"/>
  <c r="G540" i="311"/>
  <c r="G541" i="311"/>
  <c r="G542" i="311"/>
  <c r="G543" i="311"/>
  <c r="G544" i="311"/>
  <c r="G545" i="311"/>
  <c r="G546" i="311"/>
  <c r="G547" i="311"/>
  <c r="G548" i="311"/>
  <c r="G549" i="311"/>
  <c r="G550" i="311"/>
  <c r="G551" i="311"/>
  <c r="G552" i="311"/>
  <c r="G553" i="311"/>
  <c r="G554" i="311"/>
  <c r="G555" i="311"/>
  <c r="G556" i="311"/>
  <c r="G557" i="311"/>
  <c r="G558" i="311"/>
  <c r="G559" i="311"/>
  <c r="G560" i="311"/>
  <c r="G561" i="311"/>
  <c r="G562" i="311"/>
  <c r="G563" i="311"/>
  <c r="G564" i="311"/>
  <c r="G565" i="311"/>
  <c r="G566" i="311"/>
  <c r="G567" i="311"/>
  <c r="G568" i="311"/>
  <c r="G569" i="311"/>
  <c r="G570" i="311"/>
  <c r="G571" i="311"/>
  <c r="G572" i="311"/>
  <c r="G573" i="311"/>
  <c r="G574" i="311"/>
  <c r="G575" i="311"/>
  <c r="G576" i="311"/>
  <c r="G577" i="311"/>
  <c r="G578" i="311"/>
  <c r="G579" i="311"/>
  <c r="G580" i="311"/>
  <c r="G581" i="311"/>
  <c r="G582" i="311"/>
  <c r="G583" i="311"/>
  <c r="G584" i="311"/>
  <c r="G585" i="311"/>
  <c r="G586" i="311"/>
  <c r="G587" i="311"/>
  <c r="G588" i="311"/>
  <c r="G589" i="311"/>
  <c r="G590" i="311"/>
  <c r="G591" i="311"/>
  <c r="G592" i="311"/>
  <c r="G593" i="311"/>
  <c r="G594" i="311"/>
  <c r="G595" i="311"/>
  <c r="G596" i="311"/>
  <c r="G597" i="311"/>
  <c r="G598" i="311"/>
  <c r="G599" i="311"/>
  <c r="G600" i="311"/>
  <c r="G601" i="311"/>
  <c r="G602" i="311"/>
  <c r="G603" i="311"/>
  <c r="G604" i="311"/>
  <c r="G605" i="311"/>
  <c r="G606" i="311"/>
  <c r="G607" i="311"/>
  <c r="G608" i="311"/>
  <c r="G609" i="311"/>
  <c r="G610" i="311"/>
  <c r="G611" i="311"/>
  <c r="G612" i="311"/>
  <c r="G613" i="311"/>
  <c r="G614" i="311"/>
  <c r="G615" i="311"/>
  <c r="G616" i="311"/>
  <c r="G617" i="311"/>
  <c r="G618" i="311"/>
  <c r="G619" i="311"/>
  <c r="G620" i="311"/>
  <c r="G621" i="311"/>
  <c r="G622" i="311"/>
  <c r="G623" i="311"/>
  <c r="G624" i="311"/>
  <c r="G625" i="311"/>
  <c r="G626" i="311"/>
  <c r="G627" i="311"/>
  <c r="G628" i="311"/>
  <c r="G629" i="311"/>
  <c r="G630" i="311"/>
  <c r="G631" i="311"/>
  <c r="G632" i="311"/>
  <c r="G633" i="311"/>
  <c r="G634" i="311"/>
  <c r="G635" i="311"/>
  <c r="G636" i="311"/>
  <c r="G637" i="311"/>
  <c r="G638" i="311"/>
  <c r="G639" i="311"/>
  <c r="G640" i="311"/>
  <c r="G641" i="311"/>
  <c r="G642" i="311"/>
  <c r="G643" i="311"/>
  <c r="G644" i="311"/>
  <c r="G645" i="311"/>
  <c r="G646" i="311"/>
  <c r="G647" i="311"/>
  <c r="G648" i="311"/>
  <c r="G649" i="311"/>
  <c r="G650" i="311"/>
  <c r="G651" i="311"/>
  <c r="G652" i="311"/>
  <c r="G653" i="311"/>
  <c r="G654" i="311"/>
  <c r="G655" i="311"/>
  <c r="G656" i="311"/>
  <c r="G657" i="311"/>
  <c r="G658" i="311"/>
  <c r="G659" i="311"/>
  <c r="G660" i="311"/>
  <c r="G661" i="311"/>
  <c r="G662" i="311"/>
  <c r="G663" i="311"/>
  <c r="G664" i="311"/>
  <c r="G665" i="311"/>
  <c r="G666" i="311"/>
  <c r="G667" i="311"/>
  <c r="G668" i="311"/>
  <c r="G669" i="311"/>
  <c r="G670" i="311"/>
  <c r="G671" i="311"/>
  <c r="G672" i="311"/>
  <c r="G673" i="311"/>
  <c r="G674" i="311"/>
  <c r="G675" i="311"/>
  <c r="G676" i="311"/>
  <c r="G677" i="311"/>
  <c r="G678" i="311"/>
  <c r="G679" i="311"/>
  <c r="G680" i="311"/>
  <c r="G681" i="311"/>
  <c r="G682" i="311"/>
  <c r="G683" i="311"/>
  <c r="G684" i="311"/>
  <c r="G685" i="311"/>
  <c r="G686" i="311"/>
  <c r="G687" i="311"/>
  <c r="G688" i="311"/>
  <c r="G689" i="311"/>
  <c r="G690" i="311"/>
  <c r="G691" i="311"/>
  <c r="G692" i="311"/>
  <c r="G693" i="311"/>
  <c r="G694" i="311"/>
  <c r="G695" i="311"/>
  <c r="G696" i="311"/>
  <c r="G697" i="311"/>
  <c r="G698" i="311"/>
  <c r="G699" i="311"/>
  <c r="G700" i="311"/>
  <c r="G701" i="311"/>
  <c r="G702" i="311"/>
  <c r="G703" i="311"/>
  <c r="G704" i="311"/>
  <c r="G705" i="311"/>
  <c r="G706" i="311"/>
  <c r="G707" i="311"/>
  <c r="G708" i="311"/>
  <c r="G709" i="311"/>
  <c r="G710" i="311"/>
  <c r="G711" i="311"/>
  <c r="G712" i="311"/>
  <c r="G713" i="311"/>
  <c r="G714" i="311"/>
  <c r="G715" i="311"/>
  <c r="G716" i="311"/>
  <c r="G717" i="311"/>
  <c r="G718" i="311"/>
  <c r="G719" i="311"/>
  <c r="G720" i="311"/>
  <c r="G721" i="311"/>
  <c r="G722" i="311"/>
  <c r="G723" i="311"/>
  <c r="G724" i="311"/>
  <c r="G725" i="311"/>
  <c r="G726" i="311"/>
  <c r="G727" i="311"/>
  <c r="G728" i="311"/>
  <c r="G729" i="311"/>
  <c r="G730" i="311"/>
  <c r="G731" i="311"/>
  <c r="G732" i="311"/>
  <c r="G733" i="311"/>
  <c r="G734" i="311"/>
  <c r="G735" i="311"/>
  <c r="G736" i="311"/>
  <c r="G737" i="311"/>
  <c r="G738" i="311"/>
  <c r="G739" i="311"/>
  <c r="G740" i="311"/>
  <c r="G741" i="311"/>
  <c r="G742" i="311"/>
  <c r="G743" i="311"/>
  <c r="G744" i="311"/>
  <c r="G745" i="311"/>
  <c r="G746" i="311"/>
  <c r="G747" i="311"/>
  <c r="G748" i="311"/>
  <c r="G749" i="311"/>
  <c r="G750" i="311"/>
  <c r="G751" i="311"/>
  <c r="G752" i="311"/>
  <c r="G753" i="311"/>
  <c r="G754" i="311"/>
  <c r="G755" i="311"/>
  <c r="G756" i="311"/>
  <c r="G757" i="311"/>
  <c r="G758" i="311"/>
  <c r="G759" i="311"/>
  <c r="G760" i="311"/>
  <c r="G761" i="311"/>
  <c r="G762" i="311"/>
  <c r="G763" i="311"/>
  <c r="G764" i="311"/>
  <c r="G765" i="311"/>
  <c r="G766" i="311"/>
  <c r="G767" i="311"/>
  <c r="G768" i="311"/>
  <c r="G769" i="311"/>
  <c r="G770" i="311"/>
  <c r="G771" i="311"/>
  <c r="G772" i="311"/>
  <c r="G773" i="311"/>
  <c r="G774" i="311"/>
  <c r="G775" i="311"/>
  <c r="G776" i="311"/>
  <c r="G777" i="311"/>
  <c r="G778" i="311"/>
  <c r="G779" i="311"/>
  <c r="G780" i="311"/>
  <c r="G781" i="311"/>
  <c r="G782" i="311"/>
  <c r="G783" i="311"/>
  <c r="G784" i="311"/>
  <c r="G785" i="311"/>
  <c r="G786" i="311"/>
  <c r="G787" i="311"/>
  <c r="G788" i="311"/>
  <c r="G789" i="311"/>
  <c r="G790" i="311"/>
  <c r="G791" i="311"/>
  <c r="G792" i="311"/>
  <c r="G793" i="311"/>
  <c r="G794" i="311"/>
  <c r="G795" i="311"/>
  <c r="G796" i="311"/>
  <c r="G797" i="311"/>
  <c r="G798" i="311"/>
  <c r="G799" i="311"/>
  <c r="G800" i="311"/>
  <c r="G801" i="311"/>
  <c r="G802" i="311"/>
  <c r="G803" i="311"/>
  <c r="G804" i="311"/>
  <c r="G805" i="311"/>
  <c r="G806" i="311"/>
  <c r="G807" i="311"/>
  <c r="G808" i="311"/>
  <c r="G809" i="311"/>
  <c r="G810" i="311"/>
  <c r="G811" i="311"/>
  <c r="G812" i="311"/>
  <c r="G813" i="311"/>
  <c r="G814" i="311"/>
  <c r="G815" i="311"/>
  <c r="G816" i="311"/>
  <c r="G817" i="311"/>
  <c r="G818" i="311"/>
  <c r="G819" i="311"/>
  <c r="G820" i="311"/>
  <c r="G821" i="311"/>
  <c r="G822" i="311"/>
  <c r="G823" i="311"/>
  <c r="G824" i="311"/>
  <c r="G825" i="311"/>
  <c r="G826" i="311"/>
  <c r="G827" i="311"/>
  <c r="G828" i="311"/>
  <c r="G829" i="311"/>
  <c r="G830" i="311"/>
  <c r="G831" i="311"/>
  <c r="G832" i="311"/>
  <c r="G833" i="311"/>
  <c r="G834" i="311"/>
  <c r="G835" i="311"/>
  <c r="G836" i="311"/>
  <c r="G837" i="311"/>
  <c r="G838" i="311"/>
  <c r="G839" i="311"/>
  <c r="G840" i="311"/>
  <c r="G841" i="311"/>
  <c r="G842" i="311"/>
  <c r="G843" i="311"/>
  <c r="G844" i="311"/>
  <c r="G845" i="311"/>
  <c r="G846" i="311"/>
  <c r="G847" i="311"/>
  <c r="G848" i="311"/>
  <c r="G849" i="311"/>
  <c r="G850" i="311"/>
  <c r="G851" i="311"/>
  <c r="G852" i="311"/>
  <c r="G853" i="311"/>
  <c r="G854" i="311"/>
  <c r="G855" i="311"/>
  <c r="G856" i="311"/>
  <c r="G857" i="311"/>
  <c r="B5" i="481"/>
  <c r="B4" i="481"/>
  <c r="B3" i="481"/>
  <c r="I1963" i="479"/>
  <c r="I3791" i="479"/>
  <c r="I3796" i="479"/>
  <c r="I3795" i="479"/>
  <c r="I2229" i="479"/>
  <c r="I3793" i="479"/>
  <c r="I3792" i="479"/>
  <c r="H3789" i="479"/>
  <c r="I3789" i="479" s="1"/>
  <c r="H3788" i="479"/>
  <c r="I3788" i="479" s="1"/>
  <c r="H3787" i="479"/>
  <c r="I3787" i="479" s="1"/>
  <c r="H3786" i="479"/>
  <c r="I3786" i="479" s="1"/>
  <c r="H3785" i="479"/>
  <c r="I3785" i="479" s="1"/>
  <c r="H3784" i="479"/>
  <c r="I3784" i="479" s="1"/>
  <c r="H3783" i="479"/>
  <c r="I3783" i="479" s="1"/>
  <c r="H3782" i="479"/>
  <c r="I3782" i="479" s="1"/>
  <c r="H3781" i="479"/>
  <c r="I3781" i="479" s="1"/>
  <c r="H3780" i="479"/>
  <c r="I3780" i="479" s="1"/>
  <c r="H3779" i="479"/>
  <c r="I3779" i="479" s="1"/>
  <c r="H3778" i="479"/>
  <c r="I3778" i="479" s="1"/>
  <c r="H3777" i="479"/>
  <c r="I3777" i="479" s="1"/>
  <c r="H3776" i="479"/>
  <c r="I3776" i="479" s="1"/>
  <c r="H3775" i="479"/>
  <c r="I3775" i="479" s="1"/>
  <c r="H3774" i="479"/>
  <c r="I3774" i="479" s="1"/>
  <c r="H3773" i="479"/>
  <c r="I3773" i="479" s="1"/>
  <c r="H3772" i="479"/>
  <c r="I3772" i="479" s="1"/>
  <c r="H3771" i="479"/>
  <c r="I3771" i="479" s="1"/>
  <c r="H3770" i="479"/>
  <c r="I3770" i="479" s="1"/>
  <c r="H3769" i="479"/>
  <c r="I3769" i="479" s="1"/>
  <c r="H3768" i="479"/>
  <c r="I3768" i="479" s="1"/>
  <c r="H3767" i="479"/>
  <c r="I3767" i="479" s="1"/>
  <c r="H3766" i="479"/>
  <c r="I3766" i="479" s="1"/>
  <c r="H3765" i="479"/>
  <c r="I3765" i="479" s="1"/>
  <c r="H3764" i="479"/>
  <c r="I3764" i="479" s="1"/>
  <c r="H3763" i="479"/>
  <c r="I3763" i="479" s="1"/>
  <c r="H3762" i="479"/>
  <c r="I3762" i="479" s="1"/>
  <c r="H3761" i="479"/>
  <c r="I3761" i="479" s="1"/>
  <c r="H3760" i="479"/>
  <c r="I3760" i="479" s="1"/>
  <c r="H3759" i="479"/>
  <c r="I3759" i="479" s="1"/>
  <c r="H3758" i="479"/>
  <c r="I3758" i="479" s="1"/>
  <c r="H3757" i="479"/>
  <c r="I3757" i="479" s="1"/>
  <c r="H3756" i="479"/>
  <c r="I3756" i="479" s="1"/>
  <c r="H3755" i="479"/>
  <c r="I3755" i="479" s="1"/>
  <c r="H3754" i="479"/>
  <c r="I3754" i="479" s="1"/>
  <c r="H3753" i="479"/>
  <c r="I3753" i="479" s="1"/>
  <c r="H3752" i="479"/>
  <c r="I3752" i="479" s="1"/>
  <c r="H3751" i="479"/>
  <c r="I3751" i="479" s="1"/>
  <c r="H3750" i="479"/>
  <c r="I3750" i="479" s="1"/>
  <c r="G3749" i="479"/>
  <c r="G3747" i="479"/>
  <c r="G3744" i="479"/>
  <c r="G3740" i="479"/>
  <c r="I3738" i="479"/>
  <c r="G3734" i="479"/>
  <c r="G3731" i="479"/>
  <c r="G3729" i="479"/>
  <c r="I3729" i="479" s="1"/>
  <c r="G3728" i="479"/>
  <c r="I3726" i="479"/>
  <c r="I3725" i="479"/>
  <c r="G3715" i="479"/>
  <c r="I3715" i="479" s="1"/>
  <c r="G3714" i="479"/>
  <c r="I3714" i="479" s="1"/>
  <c r="I3713" i="479"/>
  <c r="I3712" i="479"/>
  <c r="I3710" i="479"/>
  <c r="I3709" i="479"/>
  <c r="I3708" i="479"/>
  <c r="I3702" i="479"/>
  <c r="I3701" i="479"/>
  <c r="I3698" i="479"/>
  <c r="I3697" i="479"/>
  <c r="I3694" i="479"/>
  <c r="I3693" i="479"/>
  <c r="I3690" i="479"/>
  <c r="I3689" i="479"/>
  <c r="I3686" i="479"/>
  <c r="I3685" i="479"/>
  <c r="I3682" i="479"/>
  <c r="I3681" i="479"/>
  <c r="I3678" i="479"/>
  <c r="I3677" i="479"/>
  <c r="I3674" i="479"/>
  <c r="I3673" i="479"/>
  <c r="I3670" i="479"/>
  <c r="I3669" i="479"/>
  <c r="I3666" i="479"/>
  <c r="I3665" i="479"/>
  <c r="I3662" i="479"/>
  <c r="I3661" i="479"/>
  <c r="I3658" i="479"/>
  <c r="I3657" i="479"/>
  <c r="I3654" i="479"/>
  <c r="I3653" i="479"/>
  <c r="I3650" i="479"/>
  <c r="I3649" i="479"/>
  <c r="I3646" i="479"/>
  <c r="I3645" i="479"/>
  <c r="I3642" i="479"/>
  <c r="I3641" i="479"/>
  <c r="I1964" i="479"/>
  <c r="H3634" i="479"/>
  <c r="I3634" i="479" s="1"/>
  <c r="H3633" i="479"/>
  <c r="I3633" i="479" s="1"/>
  <c r="H3632" i="479"/>
  <c r="I3632" i="479" s="1"/>
  <c r="H3631" i="479"/>
  <c r="I3631" i="479" s="1"/>
  <c r="I3630" i="479"/>
  <c r="I3629" i="479"/>
  <c r="I3628" i="479"/>
  <c r="I3627" i="479"/>
  <c r="I3626" i="479"/>
  <c r="I3625" i="479"/>
  <c r="I3624" i="479"/>
  <c r="H3622" i="479"/>
  <c r="I3622" i="479" s="1"/>
  <c r="H3621" i="479"/>
  <c r="I3621" i="479" s="1"/>
  <c r="H3620" i="479"/>
  <c r="I3620" i="479" s="1"/>
  <c r="H3619" i="479"/>
  <c r="I3619" i="479" s="1"/>
  <c r="H3618" i="479"/>
  <c r="I3618" i="479" s="1"/>
  <c r="H3616" i="479"/>
  <c r="I3616" i="479" s="1"/>
  <c r="H3615" i="479"/>
  <c r="I3615" i="479" s="1"/>
  <c r="H3614" i="479"/>
  <c r="I3614" i="479" s="1"/>
  <c r="H3613" i="479"/>
  <c r="I3613" i="479" s="1"/>
  <c r="H3612" i="479"/>
  <c r="I3612" i="479" s="1"/>
  <c r="H3611" i="479"/>
  <c r="I3611" i="479" s="1"/>
  <c r="H3610" i="479"/>
  <c r="I3610" i="479" s="1"/>
  <c r="H3609" i="479"/>
  <c r="I3609" i="479" s="1"/>
  <c r="H3608" i="479"/>
  <c r="I3608" i="479" s="1"/>
  <c r="H3607" i="479"/>
  <c r="I3607" i="479" s="1"/>
  <c r="H3606" i="479"/>
  <c r="I3606" i="479" s="1"/>
  <c r="H3605" i="479"/>
  <c r="I3605" i="479" s="1"/>
  <c r="H3604" i="479"/>
  <c r="I3604" i="479" s="1"/>
  <c r="H3603" i="479"/>
  <c r="I3603" i="479" s="1"/>
  <c r="H3602" i="479"/>
  <c r="I3602" i="479" s="1"/>
  <c r="H3601" i="479"/>
  <c r="I3601" i="479" s="1"/>
  <c r="H3600" i="479"/>
  <c r="I3600" i="479" s="1"/>
  <c r="H3599" i="479"/>
  <c r="I3599" i="479" s="1"/>
  <c r="H3598" i="479"/>
  <c r="I3598" i="479" s="1"/>
  <c r="H3597" i="479"/>
  <c r="I3597" i="479" s="1"/>
  <c r="H3596" i="479"/>
  <c r="I3596" i="479" s="1"/>
  <c r="H3595" i="479"/>
  <c r="I3595" i="479" s="1"/>
  <c r="H3594" i="479"/>
  <c r="I3594" i="479" s="1"/>
  <c r="H3592" i="479"/>
  <c r="I3592" i="479" s="1"/>
  <c r="H3591" i="479"/>
  <c r="I3591" i="479" s="1"/>
  <c r="H3590" i="479"/>
  <c r="I3590" i="479" s="1"/>
  <c r="H3589" i="479"/>
  <c r="I3589" i="479" s="1"/>
  <c r="H3588" i="479"/>
  <c r="I3588" i="479" s="1"/>
  <c r="H3587" i="479"/>
  <c r="I3587" i="479" s="1"/>
  <c r="H3586" i="479"/>
  <c r="I3586" i="479" s="1"/>
  <c r="I3585" i="479"/>
  <c r="I3583" i="479"/>
  <c r="I3582" i="479"/>
  <c r="I3581" i="479"/>
  <c r="I3580" i="479"/>
  <c r="I3579" i="479"/>
  <c r="I3578" i="479"/>
  <c r="I3577" i="479"/>
  <c r="I3576" i="479"/>
  <c r="I3575" i="479"/>
  <c r="I3574" i="479"/>
  <c r="I3573" i="479"/>
  <c r="I3572" i="479"/>
  <c r="I3571" i="479"/>
  <c r="I3570" i="479"/>
  <c r="I3569" i="479"/>
  <c r="I3568" i="479"/>
  <c r="I3567" i="479"/>
  <c r="I3566" i="479"/>
  <c r="I3565" i="479"/>
  <c r="H3564" i="479"/>
  <c r="I3564" i="479" s="1"/>
  <c r="H3563" i="479"/>
  <c r="I3563" i="479" s="1"/>
  <c r="H3562" i="479"/>
  <c r="I3562" i="479" s="1"/>
  <c r="H3561" i="479"/>
  <c r="I3561" i="479" s="1"/>
  <c r="H3560" i="479"/>
  <c r="I3560" i="479" s="1"/>
  <c r="H3559" i="479"/>
  <c r="I3559" i="479" s="1"/>
  <c r="H3558" i="479"/>
  <c r="I3558" i="479" s="1"/>
  <c r="I3557" i="479"/>
  <c r="H3556" i="479"/>
  <c r="I3556" i="479" s="1"/>
  <c r="H3555" i="479"/>
  <c r="I3555" i="479" s="1"/>
  <c r="H3554" i="479"/>
  <c r="I3554" i="479" s="1"/>
  <c r="H3553" i="479"/>
  <c r="I3553" i="479" s="1"/>
  <c r="H3552" i="479"/>
  <c r="I3552" i="479" s="1"/>
  <c r="I3551" i="479"/>
  <c r="I3550" i="479"/>
  <c r="H3549" i="479"/>
  <c r="I3549" i="479" s="1"/>
  <c r="H3548" i="479"/>
  <c r="I3548" i="479" s="1"/>
  <c r="H3547" i="479"/>
  <c r="I3547" i="479" s="1"/>
  <c r="H3546" i="479"/>
  <c r="I3546" i="479" s="1"/>
  <c r="H3545" i="479"/>
  <c r="I3545" i="479" s="1"/>
  <c r="H3544" i="479"/>
  <c r="I3544" i="479" s="1"/>
  <c r="H3543" i="479"/>
  <c r="I3543" i="479" s="1"/>
  <c r="H3542" i="479"/>
  <c r="I3542" i="479" s="1"/>
  <c r="H3541" i="479"/>
  <c r="I3541" i="479" s="1"/>
  <c r="H3540" i="479"/>
  <c r="I3540" i="479" s="1"/>
  <c r="H3539" i="479"/>
  <c r="I3539" i="479" s="1"/>
  <c r="H3538" i="479"/>
  <c r="I3538" i="479" s="1"/>
  <c r="H3537" i="479"/>
  <c r="I3537" i="479" s="1"/>
  <c r="H3536" i="479"/>
  <c r="I3536" i="479" s="1"/>
  <c r="H3535" i="479"/>
  <c r="I3535" i="479" s="1"/>
  <c r="H3534" i="479"/>
  <c r="I3534" i="479" s="1"/>
  <c r="H3533" i="479"/>
  <c r="I3533" i="479" s="1"/>
  <c r="H3532" i="479"/>
  <c r="I3532" i="479" s="1"/>
  <c r="H3531" i="479"/>
  <c r="I3531" i="479" s="1"/>
  <c r="H3530" i="479"/>
  <c r="I3530" i="479" s="1"/>
  <c r="H3529" i="479"/>
  <c r="I3529" i="479" s="1"/>
  <c r="H3528" i="479"/>
  <c r="I3528" i="479" s="1"/>
  <c r="H3527" i="479"/>
  <c r="H3526" i="479"/>
  <c r="I3526" i="479" s="1"/>
  <c r="H3525" i="479"/>
  <c r="I3525" i="479" s="1"/>
  <c r="H3524" i="479"/>
  <c r="I3524" i="479" s="1"/>
  <c r="H3523" i="479"/>
  <c r="I3523" i="479" s="1"/>
  <c r="H3522" i="479"/>
  <c r="H3521" i="479"/>
  <c r="I3521" i="479" s="1"/>
  <c r="H3520" i="479"/>
  <c r="I3520" i="479" s="1"/>
  <c r="H3519" i="479"/>
  <c r="I3519" i="479" s="1"/>
  <c r="H3518" i="479"/>
  <c r="I3518" i="479" s="1"/>
  <c r="H3517" i="479"/>
  <c r="I3517" i="479" s="1"/>
  <c r="H3516" i="479"/>
  <c r="I3516" i="479" s="1"/>
  <c r="H3515" i="479"/>
  <c r="I3515" i="479" s="1"/>
  <c r="H3514" i="479"/>
  <c r="I3514" i="479" s="1"/>
  <c r="H3513" i="479"/>
  <c r="I3513" i="479" s="1"/>
  <c r="H3512" i="479"/>
  <c r="I3512" i="479" s="1"/>
  <c r="H3511" i="479"/>
  <c r="I3511" i="479" s="1"/>
  <c r="H3510" i="479"/>
  <c r="I3510" i="479" s="1"/>
  <c r="H3509" i="479"/>
  <c r="I3509" i="479" s="1"/>
  <c r="H3508" i="479"/>
  <c r="I3508" i="479" s="1"/>
  <c r="H3507" i="479"/>
  <c r="I3507" i="479" s="1"/>
  <c r="H3506" i="479"/>
  <c r="I3506" i="479" s="1"/>
  <c r="H3505" i="479"/>
  <c r="I3505" i="479" s="1"/>
  <c r="H3504" i="479"/>
  <c r="I3504" i="479" s="1"/>
  <c r="H3503" i="479"/>
  <c r="I3503" i="479" s="1"/>
  <c r="H3502" i="479"/>
  <c r="I3502" i="479" s="1"/>
  <c r="H3501" i="479"/>
  <c r="I3501" i="479" s="1"/>
  <c r="H3500" i="479"/>
  <c r="I3500" i="479" s="1"/>
  <c r="H3499" i="479"/>
  <c r="I3499" i="479" s="1"/>
  <c r="H3498" i="479"/>
  <c r="I3498" i="479" s="1"/>
  <c r="H3497" i="479"/>
  <c r="I3497" i="479" s="1"/>
  <c r="H3496" i="479"/>
  <c r="I3496" i="479" s="1"/>
  <c r="H3495" i="479"/>
  <c r="I3495" i="479" s="1"/>
  <c r="H3494" i="479"/>
  <c r="I3494" i="479" s="1"/>
  <c r="H3493" i="479"/>
  <c r="I3493" i="479" s="1"/>
  <c r="H3492" i="479"/>
  <c r="I3492" i="479" s="1"/>
  <c r="H3491" i="479"/>
  <c r="I3491" i="479" s="1"/>
  <c r="H3490" i="479"/>
  <c r="I3490" i="479" s="1"/>
  <c r="H3489" i="479"/>
  <c r="I3489" i="479" s="1"/>
  <c r="H3488" i="479"/>
  <c r="I3488" i="479" s="1"/>
  <c r="H3487" i="479"/>
  <c r="I3487" i="479" s="1"/>
  <c r="H3486" i="479"/>
  <c r="I3486" i="479" s="1"/>
  <c r="H3485" i="479"/>
  <c r="I3485" i="479" s="1"/>
  <c r="H3484" i="479"/>
  <c r="I3484" i="479" s="1"/>
  <c r="H3483" i="479"/>
  <c r="I3483" i="479" s="1"/>
  <c r="H3482" i="479"/>
  <c r="I3482" i="479" s="1"/>
  <c r="H3481" i="479"/>
  <c r="I3481" i="479" s="1"/>
  <c r="H3480" i="479"/>
  <c r="I3480" i="479" s="1"/>
  <c r="H3479" i="479"/>
  <c r="I3479" i="479" s="1"/>
  <c r="H3478" i="479"/>
  <c r="I3478" i="479" s="1"/>
  <c r="H3477" i="479"/>
  <c r="I3477" i="479" s="1"/>
  <c r="H3476" i="479"/>
  <c r="I3476" i="479" s="1"/>
  <c r="H3475" i="479"/>
  <c r="I3475" i="479" s="1"/>
  <c r="H3474" i="479"/>
  <c r="I3474" i="479" s="1"/>
  <c r="H3473" i="479"/>
  <c r="I3473" i="479" s="1"/>
  <c r="H3472" i="479"/>
  <c r="I3472" i="479" s="1"/>
  <c r="H3471" i="479"/>
  <c r="I3471" i="479" s="1"/>
  <c r="H3470" i="479"/>
  <c r="I3470" i="479" s="1"/>
  <c r="H3469" i="479"/>
  <c r="I3469" i="479" s="1"/>
  <c r="H3468" i="479"/>
  <c r="I3468" i="479" s="1"/>
  <c r="H3467" i="479"/>
  <c r="I3467" i="479" s="1"/>
  <c r="H3466" i="479"/>
  <c r="I3466" i="479" s="1"/>
  <c r="H3465" i="479"/>
  <c r="I3465" i="479" s="1"/>
  <c r="H3464" i="479"/>
  <c r="I3464" i="479" s="1"/>
  <c r="H3463" i="479"/>
  <c r="I3463" i="479" s="1"/>
  <c r="H3462" i="479"/>
  <c r="I3462" i="479" s="1"/>
  <c r="H3461" i="479"/>
  <c r="I3461" i="479" s="1"/>
  <c r="H3460" i="479"/>
  <c r="I3460" i="479" s="1"/>
  <c r="H3459" i="479"/>
  <c r="I3459" i="479" s="1"/>
  <c r="H3458" i="479"/>
  <c r="I3458" i="479" s="1"/>
  <c r="H3457" i="479"/>
  <c r="I3457" i="479" s="1"/>
  <c r="H3456" i="479"/>
  <c r="I3456" i="479" s="1"/>
  <c r="H3455" i="479"/>
  <c r="I3455" i="479" s="1"/>
  <c r="H3454" i="479"/>
  <c r="I3454" i="479" s="1"/>
  <c r="H3453" i="479"/>
  <c r="I3453" i="479" s="1"/>
  <c r="H3452" i="479"/>
  <c r="I3452" i="479" s="1"/>
  <c r="H3451" i="479"/>
  <c r="I3451" i="479" s="1"/>
  <c r="H3450" i="479"/>
  <c r="I3450" i="479" s="1"/>
  <c r="H3449" i="479"/>
  <c r="I3449" i="479" s="1"/>
  <c r="H3448" i="479"/>
  <c r="I3448" i="479" s="1"/>
  <c r="H3447" i="479"/>
  <c r="I3447" i="479" s="1"/>
  <c r="H3446" i="479"/>
  <c r="I3446" i="479" s="1"/>
  <c r="H3445" i="479"/>
  <c r="I3445" i="479" s="1"/>
  <c r="H3444" i="479"/>
  <c r="I3444" i="479" s="1"/>
  <c r="H3443" i="479"/>
  <c r="I3443" i="479" s="1"/>
  <c r="H3442" i="479"/>
  <c r="I3442" i="479" s="1"/>
  <c r="H3441" i="479"/>
  <c r="I3441" i="479" s="1"/>
  <c r="H3440" i="479"/>
  <c r="I3440" i="479" s="1"/>
  <c r="H3439" i="479"/>
  <c r="I3439" i="479" s="1"/>
  <c r="H3438" i="479"/>
  <c r="I3438" i="479" s="1"/>
  <c r="H3437" i="479"/>
  <c r="I3437" i="479" s="1"/>
  <c r="I3436" i="479"/>
  <c r="I3434" i="479"/>
  <c r="I3433" i="479"/>
  <c r="I3432" i="479"/>
  <c r="H3431" i="479"/>
  <c r="I3431" i="479" s="1"/>
  <c r="H3430" i="479"/>
  <c r="I3430" i="479" s="1"/>
  <c r="H3429" i="479"/>
  <c r="I3429" i="479" s="1"/>
  <c r="H3426" i="479"/>
  <c r="I3426" i="479" s="1"/>
  <c r="H3425" i="479"/>
  <c r="I3425" i="479" s="1"/>
  <c r="H3424" i="479"/>
  <c r="I3424" i="479" s="1"/>
  <c r="H3423" i="479"/>
  <c r="I3423" i="479" s="1"/>
  <c r="H3422" i="479"/>
  <c r="I3422" i="479" s="1"/>
  <c r="H3421" i="479"/>
  <c r="I3421" i="479" s="1"/>
  <c r="H3420" i="479"/>
  <c r="I3420" i="479" s="1"/>
  <c r="H3419" i="479"/>
  <c r="I3419" i="479" s="1"/>
  <c r="H3394" i="479"/>
  <c r="I3394" i="479" s="1"/>
  <c r="H3393" i="479"/>
  <c r="I3393" i="479" s="1"/>
  <c r="H3392" i="479"/>
  <c r="I3392" i="479" s="1"/>
  <c r="H3391" i="479"/>
  <c r="I3391" i="479" s="1"/>
  <c r="H3390" i="479"/>
  <c r="I3390" i="479" s="1"/>
  <c r="H3389" i="479"/>
  <c r="I3389" i="479" s="1"/>
  <c r="H3388" i="479"/>
  <c r="I3388" i="479" s="1"/>
  <c r="H3385" i="479"/>
  <c r="I3385" i="479" s="1"/>
  <c r="H3384" i="479"/>
  <c r="I3384" i="479" s="1"/>
  <c r="H3383" i="479"/>
  <c r="I3383" i="479" s="1"/>
  <c r="H3382" i="479"/>
  <c r="I3382" i="479" s="1"/>
  <c r="H3381" i="479"/>
  <c r="I3381" i="479" s="1"/>
  <c r="H3380" i="479"/>
  <c r="I3380" i="479" s="1"/>
  <c r="H3379" i="479"/>
  <c r="I3379" i="479" s="1"/>
  <c r="H3378" i="479"/>
  <c r="I3378" i="479" s="1"/>
  <c r="H3377" i="479"/>
  <c r="I3377" i="479" s="1"/>
  <c r="H3376" i="479"/>
  <c r="I3376" i="479" s="1"/>
  <c r="H3375" i="479"/>
  <c r="I3375" i="479" s="1"/>
  <c r="H3374" i="479"/>
  <c r="I3374" i="479" s="1"/>
  <c r="H3373" i="479"/>
  <c r="I3373" i="479" s="1"/>
  <c r="H3372" i="479"/>
  <c r="I3372" i="479" s="1"/>
  <c r="H3371" i="479"/>
  <c r="I3371" i="479" s="1"/>
  <c r="H3370" i="479"/>
  <c r="I3370" i="479" s="1"/>
  <c r="H3369" i="479"/>
  <c r="I3369" i="479" s="1"/>
  <c r="H3368" i="479"/>
  <c r="I3368" i="479" s="1"/>
  <c r="H3367" i="479"/>
  <c r="I3367" i="479" s="1"/>
  <c r="H3366" i="479"/>
  <c r="I3366" i="479" s="1"/>
  <c r="H3365" i="479"/>
  <c r="I3365" i="479" s="1"/>
  <c r="H3364" i="479"/>
  <c r="I3364" i="479" s="1"/>
  <c r="H3363" i="479"/>
  <c r="I3363" i="479" s="1"/>
  <c r="H3362" i="479"/>
  <c r="I3362" i="479" s="1"/>
  <c r="H3361" i="479"/>
  <c r="I3361" i="479" s="1"/>
  <c r="H3360" i="479"/>
  <c r="I3360" i="479" s="1"/>
  <c r="H3359" i="479"/>
  <c r="H3358" i="479"/>
  <c r="I3358" i="479" s="1"/>
  <c r="H3357" i="479"/>
  <c r="H3356" i="479"/>
  <c r="I3356" i="479" s="1"/>
  <c r="H3355" i="479"/>
  <c r="I3355" i="479" s="1"/>
  <c r="H3354" i="479"/>
  <c r="I3354" i="479" s="1"/>
  <c r="H3353" i="479"/>
  <c r="I3353" i="479" s="1"/>
  <c r="H3352" i="479"/>
  <c r="I3352" i="479" s="1"/>
  <c r="H3351" i="479"/>
  <c r="I3351" i="479" s="1"/>
  <c r="H3350" i="479"/>
  <c r="I3350" i="479" s="1"/>
  <c r="H3349" i="479"/>
  <c r="I3349" i="479" s="1"/>
  <c r="H3348" i="479"/>
  <c r="I3348" i="479" s="1"/>
  <c r="H3347" i="479"/>
  <c r="I3347" i="479" s="1"/>
  <c r="H3346" i="479"/>
  <c r="I3346" i="479" s="1"/>
  <c r="H3345" i="479"/>
  <c r="I3345" i="479" s="1"/>
  <c r="H3344" i="479"/>
  <c r="I3344" i="479" s="1"/>
  <c r="H3343" i="479"/>
  <c r="H3342" i="479"/>
  <c r="I3342" i="479" s="1"/>
  <c r="H3341" i="479"/>
  <c r="H3340" i="479"/>
  <c r="I3340" i="479" s="1"/>
  <c r="H3339" i="479"/>
  <c r="I3339" i="479" s="1"/>
  <c r="H3338" i="479"/>
  <c r="I3338" i="479" s="1"/>
  <c r="H3337" i="479"/>
  <c r="I3337" i="479" s="1"/>
  <c r="H3336" i="479"/>
  <c r="I3336" i="479" s="1"/>
  <c r="H3335" i="479"/>
  <c r="I3335" i="479" s="1"/>
  <c r="H3334" i="479"/>
  <c r="I3334" i="479" s="1"/>
  <c r="H3333" i="479"/>
  <c r="I3333" i="479" s="1"/>
  <c r="H3332" i="479"/>
  <c r="I3332" i="479" s="1"/>
  <c r="H3331" i="479"/>
  <c r="I3331" i="479" s="1"/>
  <c r="H3330" i="479"/>
  <c r="I3330" i="479" s="1"/>
  <c r="H3329" i="479"/>
  <c r="I3329" i="479" s="1"/>
  <c r="H3328" i="479"/>
  <c r="I3328" i="479" s="1"/>
  <c r="H3327" i="479"/>
  <c r="I3327" i="479" s="1"/>
  <c r="H3320" i="479"/>
  <c r="I3320" i="479" s="1"/>
  <c r="H3317" i="479"/>
  <c r="I3317" i="479" s="1"/>
  <c r="H3316" i="479"/>
  <c r="I3316" i="479" s="1"/>
  <c r="I3315" i="479"/>
  <c r="H3313" i="479"/>
  <c r="I3313" i="479" s="1"/>
  <c r="H3312" i="479"/>
  <c r="I3312" i="479" s="1"/>
  <c r="H3311" i="479"/>
  <c r="I3311" i="479" s="1"/>
  <c r="I3310" i="479"/>
  <c r="I3307" i="479"/>
  <c r="H3305" i="479"/>
  <c r="I3305" i="479" s="1"/>
  <c r="H3304" i="479"/>
  <c r="I3304" i="479" s="1"/>
  <c r="H3303" i="479"/>
  <c r="I3303" i="479" s="1"/>
  <c r="H3302" i="479"/>
  <c r="I3302" i="479" s="1"/>
  <c r="H3297" i="479"/>
  <c r="I3297" i="479" s="1"/>
  <c r="H3296" i="479"/>
  <c r="I3296" i="479" s="1"/>
  <c r="H3295" i="479"/>
  <c r="I3295" i="479" s="1"/>
  <c r="H3294" i="479"/>
  <c r="I3294" i="479" s="1"/>
  <c r="H3293" i="479"/>
  <c r="I3293" i="479" s="1"/>
  <c r="H3288" i="479"/>
  <c r="I3288" i="479" s="1"/>
  <c r="H3287" i="479"/>
  <c r="I3287" i="479" s="1"/>
  <c r="H3284" i="479"/>
  <c r="I3284" i="479" s="1"/>
  <c r="H3283" i="479"/>
  <c r="I3283" i="479" s="1"/>
  <c r="H3280" i="479"/>
  <c r="I3280" i="479" s="1"/>
  <c r="H3279" i="479"/>
  <c r="I3279" i="479" s="1"/>
  <c r="I3278" i="479"/>
  <c r="I3277" i="479"/>
  <c r="I3276" i="479"/>
  <c r="H3273" i="479"/>
  <c r="I3273" i="479" s="1"/>
  <c r="I3266" i="479"/>
  <c r="I3265" i="479"/>
  <c r="H3263" i="479"/>
  <c r="I3263" i="479" s="1"/>
  <c r="H3262" i="479"/>
  <c r="I3262" i="479" s="1"/>
  <c r="H3261" i="479"/>
  <c r="I3261" i="479" s="1"/>
  <c r="H3260" i="479"/>
  <c r="I3260" i="479" s="1"/>
  <c r="H3259" i="479"/>
  <c r="I3259" i="479" s="1"/>
  <c r="H3258" i="479"/>
  <c r="I3258" i="479" s="1"/>
  <c r="H3257" i="479"/>
  <c r="I3257" i="479" s="1"/>
  <c r="H3256" i="479"/>
  <c r="I3256" i="479" s="1"/>
  <c r="H3255" i="479"/>
  <c r="I3255" i="479" s="1"/>
  <c r="H3254" i="479"/>
  <c r="I3254" i="479" s="1"/>
  <c r="H3253" i="479"/>
  <c r="I3253" i="479" s="1"/>
  <c r="H3252" i="479"/>
  <c r="I3252" i="479" s="1"/>
  <c r="H3251" i="479"/>
  <c r="I3251" i="479" s="1"/>
  <c r="H3250" i="479"/>
  <c r="I3250" i="479" s="1"/>
  <c r="H3249" i="479"/>
  <c r="I3249" i="479" s="1"/>
  <c r="H3248" i="479"/>
  <c r="I3248" i="479" s="1"/>
  <c r="H3247" i="479"/>
  <c r="I3247" i="479" s="1"/>
  <c r="H3246" i="479"/>
  <c r="I3246" i="479" s="1"/>
  <c r="H3245" i="479"/>
  <c r="I3245" i="479" s="1"/>
  <c r="H3244" i="479"/>
  <c r="I3244" i="479" s="1"/>
  <c r="H3243" i="479"/>
  <c r="I3243" i="479" s="1"/>
  <c r="H3242" i="479"/>
  <c r="I3242" i="479" s="1"/>
  <c r="H3241" i="479"/>
  <c r="I3241" i="479" s="1"/>
  <c r="I3240" i="479"/>
  <c r="I3239" i="479"/>
  <c r="I3238" i="479"/>
  <c r="I3237" i="479"/>
  <c r="I3236" i="479"/>
  <c r="I3235" i="479"/>
  <c r="I3234" i="479"/>
  <c r="I3233" i="479"/>
  <c r="I3232" i="479"/>
  <c r="I3231" i="479"/>
  <c r="I3230" i="479"/>
  <c r="I3229" i="479"/>
  <c r="I3228" i="479"/>
  <c r="I3227" i="479"/>
  <c r="I3226" i="479"/>
  <c r="H3225" i="479"/>
  <c r="I3225" i="479" s="1"/>
  <c r="H3224" i="479"/>
  <c r="I3224" i="479" s="1"/>
  <c r="H3223" i="479"/>
  <c r="I3223" i="479" s="1"/>
  <c r="H3222" i="479"/>
  <c r="I3222" i="479" s="1"/>
  <c r="H3221" i="479"/>
  <c r="I3221" i="479" s="1"/>
  <c r="H3220" i="479"/>
  <c r="I3220" i="479" s="1"/>
  <c r="H3219" i="479"/>
  <c r="I3219" i="479" s="1"/>
  <c r="H3218" i="479"/>
  <c r="I3218" i="479" s="1"/>
  <c r="H3217" i="479"/>
  <c r="I3217" i="479" s="1"/>
  <c r="H3216" i="479"/>
  <c r="I3216" i="479" s="1"/>
  <c r="H3215" i="479"/>
  <c r="I3215" i="479" s="1"/>
  <c r="H3214" i="479"/>
  <c r="I3214" i="479" s="1"/>
  <c r="H3213" i="479"/>
  <c r="I3213" i="479" s="1"/>
  <c r="H3212" i="479"/>
  <c r="I3212" i="479" s="1"/>
  <c r="H3211" i="479"/>
  <c r="I3211" i="479" s="1"/>
  <c r="H3210" i="479"/>
  <c r="I3210" i="479" s="1"/>
  <c r="H3209" i="479"/>
  <c r="I3209" i="479" s="1"/>
  <c r="H3208" i="479"/>
  <c r="I3208" i="479" s="1"/>
  <c r="H3207" i="479"/>
  <c r="I3207" i="479" s="1"/>
  <c r="H3206" i="479"/>
  <c r="I3206" i="479" s="1"/>
  <c r="H3205" i="479"/>
  <c r="I3205" i="479" s="1"/>
  <c r="H3204" i="479"/>
  <c r="I3204" i="479" s="1"/>
  <c r="H3203" i="479"/>
  <c r="I3203" i="479" s="1"/>
  <c r="H3202" i="479"/>
  <c r="I3202" i="479" s="1"/>
  <c r="H3201" i="479"/>
  <c r="I3201" i="479" s="1"/>
  <c r="H3200" i="479"/>
  <c r="I3200" i="479" s="1"/>
  <c r="H3199" i="479"/>
  <c r="I3199" i="479" s="1"/>
  <c r="H3198" i="479"/>
  <c r="I3198" i="479" s="1"/>
  <c r="H3197" i="479"/>
  <c r="I3197" i="479" s="1"/>
  <c r="H3196" i="479"/>
  <c r="I3196" i="479" s="1"/>
  <c r="H3195" i="479"/>
  <c r="I3195" i="479" s="1"/>
  <c r="H3194" i="479"/>
  <c r="I3194" i="479" s="1"/>
  <c r="H3193" i="479"/>
  <c r="I3193" i="479" s="1"/>
  <c r="H3192" i="479"/>
  <c r="I3192" i="479" s="1"/>
  <c r="H3191" i="479"/>
  <c r="I3191" i="479" s="1"/>
  <c r="H3190" i="479"/>
  <c r="I3190" i="479" s="1"/>
  <c r="H3189" i="479"/>
  <c r="I3189" i="479" s="1"/>
  <c r="H3188" i="479"/>
  <c r="I3188" i="479" s="1"/>
  <c r="H3187" i="479"/>
  <c r="I3187" i="479" s="1"/>
  <c r="H3186" i="479"/>
  <c r="I3186" i="479" s="1"/>
  <c r="H3185" i="479"/>
  <c r="I3185" i="479" s="1"/>
  <c r="H3184" i="479"/>
  <c r="I3184" i="479" s="1"/>
  <c r="H3183" i="479"/>
  <c r="I3183" i="479" s="1"/>
  <c r="H3182" i="479"/>
  <c r="I3182" i="479" s="1"/>
  <c r="H3181" i="479"/>
  <c r="I3181" i="479" s="1"/>
  <c r="H3180" i="479"/>
  <c r="I3180" i="479" s="1"/>
  <c r="H3179" i="479"/>
  <c r="I3179" i="479" s="1"/>
  <c r="H3178" i="479"/>
  <c r="I3178" i="479" s="1"/>
  <c r="H3177" i="479"/>
  <c r="I3177" i="479" s="1"/>
  <c r="H3176" i="479"/>
  <c r="I3176" i="479" s="1"/>
  <c r="H3175" i="479"/>
  <c r="I3175" i="479" s="1"/>
  <c r="H3174" i="479"/>
  <c r="I3174" i="479" s="1"/>
  <c r="H3173" i="479"/>
  <c r="I3173" i="479" s="1"/>
  <c r="H3172" i="479"/>
  <c r="I3172" i="479" s="1"/>
  <c r="H3171" i="479"/>
  <c r="I3171" i="479" s="1"/>
  <c r="H3170" i="479"/>
  <c r="I3170" i="479" s="1"/>
  <c r="H3169" i="479"/>
  <c r="I3169" i="479" s="1"/>
  <c r="H3168" i="479"/>
  <c r="I3168" i="479" s="1"/>
  <c r="H3167" i="479"/>
  <c r="I3167" i="479" s="1"/>
  <c r="H3166" i="479"/>
  <c r="I3166" i="479" s="1"/>
  <c r="H3165" i="479"/>
  <c r="I3165" i="479" s="1"/>
  <c r="H3164" i="479"/>
  <c r="I3164" i="479" s="1"/>
  <c r="H3163" i="479"/>
  <c r="I3163" i="479" s="1"/>
  <c r="H3162" i="479"/>
  <c r="I3162" i="479" s="1"/>
  <c r="H3161" i="479"/>
  <c r="I3161" i="479" s="1"/>
  <c r="H3160" i="479"/>
  <c r="I3160" i="479" s="1"/>
  <c r="H3159" i="479"/>
  <c r="I3159" i="479" s="1"/>
  <c r="H3158" i="479"/>
  <c r="I3158" i="479" s="1"/>
  <c r="H3157" i="479"/>
  <c r="I3157" i="479" s="1"/>
  <c r="H3156" i="479"/>
  <c r="I3156" i="479" s="1"/>
  <c r="H3155" i="479"/>
  <c r="I3155" i="479" s="1"/>
  <c r="H3154" i="479"/>
  <c r="I3154" i="479" s="1"/>
  <c r="H3153" i="479"/>
  <c r="I3153" i="479" s="1"/>
  <c r="H3152" i="479"/>
  <c r="I3152" i="479" s="1"/>
  <c r="H3151" i="479"/>
  <c r="I3151" i="479" s="1"/>
  <c r="H3150" i="479"/>
  <c r="I3150" i="479" s="1"/>
  <c r="H3149" i="479"/>
  <c r="I3149" i="479" s="1"/>
  <c r="H3148" i="479"/>
  <c r="I3148" i="479" s="1"/>
  <c r="H3147" i="479"/>
  <c r="I3147" i="479" s="1"/>
  <c r="H3146" i="479"/>
  <c r="I3146" i="479" s="1"/>
  <c r="H3145" i="479"/>
  <c r="I3145" i="479" s="1"/>
  <c r="H3144" i="479"/>
  <c r="I3144" i="479" s="1"/>
  <c r="H3143" i="479"/>
  <c r="I3143" i="479" s="1"/>
  <c r="H3142" i="479"/>
  <c r="I3142" i="479" s="1"/>
  <c r="H3141" i="479"/>
  <c r="I3141" i="479" s="1"/>
  <c r="H3140" i="479"/>
  <c r="I3140" i="479" s="1"/>
  <c r="H3139" i="479"/>
  <c r="I3139" i="479" s="1"/>
  <c r="H3138" i="479"/>
  <c r="I3138" i="479" s="1"/>
  <c r="H3137" i="479"/>
  <c r="I3137" i="479" s="1"/>
  <c r="H3136" i="479"/>
  <c r="I3136" i="479" s="1"/>
  <c r="H3135" i="479"/>
  <c r="I3135" i="479" s="1"/>
  <c r="H3134" i="479"/>
  <c r="I3134" i="479" s="1"/>
  <c r="H3133" i="479"/>
  <c r="I3133" i="479" s="1"/>
  <c r="H3132" i="479"/>
  <c r="I3132" i="479" s="1"/>
  <c r="H3131" i="479"/>
  <c r="I3131" i="479" s="1"/>
  <c r="H3130" i="479"/>
  <c r="I3130" i="479" s="1"/>
  <c r="H3129" i="479"/>
  <c r="I3129" i="479" s="1"/>
  <c r="H3128" i="479"/>
  <c r="I3128" i="479" s="1"/>
  <c r="H3127" i="479"/>
  <c r="I3127" i="479" s="1"/>
  <c r="H3126" i="479"/>
  <c r="I3126" i="479" s="1"/>
  <c r="H3125" i="479"/>
  <c r="I3125" i="479" s="1"/>
  <c r="H3124" i="479"/>
  <c r="I3124" i="479" s="1"/>
  <c r="H3123" i="479"/>
  <c r="I3123" i="479" s="1"/>
  <c r="H3122" i="479"/>
  <c r="I3122" i="479" s="1"/>
  <c r="H3121" i="479"/>
  <c r="I3121" i="479" s="1"/>
  <c r="H3120" i="479"/>
  <c r="I3120" i="479" s="1"/>
  <c r="H3119" i="479"/>
  <c r="I3119" i="479" s="1"/>
  <c r="H3118" i="479"/>
  <c r="I3118" i="479" s="1"/>
  <c r="H3117" i="479"/>
  <c r="I3117" i="479" s="1"/>
  <c r="H3116" i="479"/>
  <c r="I3116" i="479" s="1"/>
  <c r="H3115" i="479"/>
  <c r="I3115" i="479" s="1"/>
  <c r="H3114" i="479"/>
  <c r="I3114" i="479" s="1"/>
  <c r="H3113" i="479"/>
  <c r="I3113" i="479" s="1"/>
  <c r="H3112" i="479"/>
  <c r="I3112" i="479" s="1"/>
  <c r="H3111" i="479"/>
  <c r="I3111" i="479" s="1"/>
  <c r="H3110" i="479"/>
  <c r="I3110" i="479" s="1"/>
  <c r="H3109" i="479"/>
  <c r="I3109" i="479" s="1"/>
  <c r="H3108" i="479"/>
  <c r="I3108" i="479" s="1"/>
  <c r="H3107" i="479"/>
  <c r="I3107" i="479" s="1"/>
  <c r="H3106" i="479"/>
  <c r="I3106" i="479" s="1"/>
  <c r="H3105" i="479"/>
  <c r="I3105" i="479" s="1"/>
  <c r="H3104" i="479"/>
  <c r="I3104" i="479" s="1"/>
  <c r="H3103" i="479"/>
  <c r="I3103" i="479" s="1"/>
  <c r="H3102" i="479"/>
  <c r="I3102" i="479" s="1"/>
  <c r="H3101" i="479"/>
  <c r="I3101" i="479" s="1"/>
  <c r="H3100" i="479"/>
  <c r="I3100" i="479" s="1"/>
  <c r="H3099" i="479"/>
  <c r="I3099" i="479" s="1"/>
  <c r="H3098" i="479"/>
  <c r="I3098" i="479" s="1"/>
  <c r="H3097" i="479"/>
  <c r="I3097" i="479" s="1"/>
  <c r="H3096" i="479"/>
  <c r="I3096" i="479" s="1"/>
  <c r="H3095" i="479"/>
  <c r="I3095" i="479" s="1"/>
  <c r="H3094" i="479"/>
  <c r="I3094" i="479" s="1"/>
  <c r="H3093" i="479"/>
  <c r="I3093" i="479" s="1"/>
  <c r="H3092" i="479"/>
  <c r="I3092" i="479" s="1"/>
  <c r="H3091" i="479"/>
  <c r="I3091" i="479" s="1"/>
  <c r="H3090" i="479"/>
  <c r="I3090" i="479" s="1"/>
  <c r="H3089" i="479"/>
  <c r="I3089" i="479" s="1"/>
  <c r="H3088" i="479"/>
  <c r="I3088" i="479" s="1"/>
  <c r="H3087" i="479"/>
  <c r="I3087" i="479" s="1"/>
  <c r="H3086" i="479"/>
  <c r="I3086" i="479" s="1"/>
  <c r="H3085" i="479"/>
  <c r="I3085" i="479" s="1"/>
  <c r="H3084" i="479"/>
  <c r="I3084" i="479" s="1"/>
  <c r="H3083" i="479"/>
  <c r="I3083" i="479" s="1"/>
  <c r="H3082" i="479"/>
  <c r="I3082" i="479" s="1"/>
  <c r="H3081" i="479"/>
  <c r="I3081" i="479" s="1"/>
  <c r="H3080" i="479"/>
  <c r="I3080" i="479" s="1"/>
  <c r="H3079" i="479"/>
  <c r="I3079" i="479" s="1"/>
  <c r="H3078" i="479"/>
  <c r="I3078" i="479" s="1"/>
  <c r="H3077" i="479"/>
  <c r="I3077" i="479" s="1"/>
  <c r="H3076" i="479"/>
  <c r="I3076" i="479" s="1"/>
  <c r="H3075" i="479"/>
  <c r="I3075" i="479" s="1"/>
  <c r="H3074" i="479"/>
  <c r="I3074" i="479" s="1"/>
  <c r="H3073" i="479"/>
  <c r="I3073" i="479" s="1"/>
  <c r="H3072" i="479"/>
  <c r="I3072" i="479" s="1"/>
  <c r="H3071" i="479"/>
  <c r="I3071" i="479" s="1"/>
  <c r="H3070" i="479"/>
  <c r="I3070" i="479" s="1"/>
  <c r="H3069" i="479"/>
  <c r="I3069" i="479" s="1"/>
  <c r="H3068" i="479"/>
  <c r="I3068" i="479" s="1"/>
  <c r="H3067" i="479"/>
  <c r="I3067" i="479" s="1"/>
  <c r="H3066" i="479"/>
  <c r="I3066" i="479" s="1"/>
  <c r="H3065" i="479"/>
  <c r="I3065" i="479" s="1"/>
  <c r="H3064" i="479"/>
  <c r="I3064" i="479" s="1"/>
  <c r="H3063" i="479"/>
  <c r="I3063" i="479" s="1"/>
  <c r="H3062" i="479"/>
  <c r="I3062" i="479" s="1"/>
  <c r="H3061" i="479"/>
  <c r="I3061" i="479" s="1"/>
  <c r="H3060" i="479"/>
  <c r="I3060" i="479" s="1"/>
  <c r="H3059" i="479"/>
  <c r="H3043" i="479"/>
  <c r="I3043" i="479" s="1"/>
  <c r="H3037" i="479"/>
  <c r="I3037" i="479" s="1"/>
  <c r="H3036" i="479"/>
  <c r="I3036" i="479" s="1"/>
  <c r="H3035" i="479"/>
  <c r="I3035" i="479" s="1"/>
  <c r="H3034" i="479"/>
  <c r="I3034" i="479" s="1"/>
  <c r="H3033" i="479"/>
  <c r="I3033" i="479" s="1"/>
  <c r="H3032" i="479"/>
  <c r="I3032" i="479" s="1"/>
  <c r="H3031" i="479"/>
  <c r="I3031" i="479" s="1"/>
  <c r="H3030" i="479"/>
  <c r="I3030" i="479" s="1"/>
  <c r="H3029" i="479"/>
  <c r="I3029" i="479" s="1"/>
  <c r="H3028" i="479"/>
  <c r="I3028" i="479" s="1"/>
  <c r="H3027" i="479"/>
  <c r="I3027" i="479" s="1"/>
  <c r="H3026" i="479"/>
  <c r="I3026" i="479" s="1"/>
  <c r="H3025" i="479"/>
  <c r="I3025" i="479" s="1"/>
  <c r="H3024" i="479"/>
  <c r="I3024" i="479" s="1"/>
  <c r="H3023" i="479"/>
  <c r="I3023" i="479" s="1"/>
  <c r="H3022" i="479"/>
  <c r="I3022" i="479" s="1"/>
  <c r="H3021" i="479"/>
  <c r="I3021" i="479" s="1"/>
  <c r="H3020" i="479"/>
  <c r="I3020" i="479" s="1"/>
  <c r="H3019" i="479"/>
  <c r="I3019" i="479" s="1"/>
  <c r="H3018" i="479"/>
  <c r="I3018" i="479" s="1"/>
  <c r="H3017" i="479"/>
  <c r="I3017" i="479" s="1"/>
  <c r="H3016" i="479"/>
  <c r="I3016" i="479" s="1"/>
  <c r="H3015" i="479"/>
  <c r="I3015" i="479" s="1"/>
  <c r="H3014" i="479"/>
  <c r="I3014" i="479" s="1"/>
  <c r="H3013" i="479"/>
  <c r="I3013" i="479" s="1"/>
  <c r="H3012" i="479"/>
  <c r="I3012" i="479" s="1"/>
  <c r="H3011" i="479"/>
  <c r="I3011" i="479" s="1"/>
  <c r="H3010" i="479"/>
  <c r="I3010" i="479" s="1"/>
  <c r="H3009" i="479"/>
  <c r="I3009" i="479" s="1"/>
  <c r="H3007" i="479"/>
  <c r="I3007" i="479" s="1"/>
  <c r="H3006" i="479"/>
  <c r="I3006" i="479" s="1"/>
  <c r="H3005" i="479"/>
  <c r="I3005" i="479" s="1"/>
  <c r="H3004" i="479"/>
  <c r="I3004" i="479" s="1"/>
  <c r="H3003" i="479"/>
  <c r="I3003" i="479" s="1"/>
  <c r="H3002" i="479"/>
  <c r="I3002" i="479" s="1"/>
  <c r="H3001" i="479"/>
  <c r="I3001" i="479" s="1"/>
  <c r="H3000" i="479"/>
  <c r="I3000" i="479" s="1"/>
  <c r="H2999" i="479"/>
  <c r="I2999" i="479" s="1"/>
  <c r="H2998" i="479"/>
  <c r="I2998" i="479" s="1"/>
  <c r="H2997" i="479"/>
  <c r="I2997" i="479" s="1"/>
  <c r="H2996" i="479"/>
  <c r="I2996" i="479" s="1"/>
  <c r="H2995" i="479"/>
  <c r="I2995" i="479" s="1"/>
  <c r="H2994" i="479"/>
  <c r="I2994" i="479" s="1"/>
  <c r="H2993" i="479"/>
  <c r="H2992" i="479"/>
  <c r="H2991" i="479"/>
  <c r="I2991" i="479" s="1"/>
  <c r="H2990" i="479"/>
  <c r="I2990" i="479" s="1"/>
  <c r="H2989" i="479"/>
  <c r="I2989" i="479" s="1"/>
  <c r="H2988" i="479"/>
  <c r="I2988" i="479" s="1"/>
  <c r="H2987" i="479"/>
  <c r="I2987" i="479" s="1"/>
  <c r="H2986" i="479"/>
  <c r="I2986" i="479" s="1"/>
  <c r="H2985" i="479"/>
  <c r="I2985" i="479" s="1"/>
  <c r="H2984" i="479"/>
  <c r="I2984" i="479" s="1"/>
  <c r="H2983" i="479"/>
  <c r="I2983" i="479" s="1"/>
  <c r="H2982" i="479"/>
  <c r="I2982" i="479" s="1"/>
  <c r="H2981" i="479"/>
  <c r="I2981" i="479" s="1"/>
  <c r="H2980" i="479"/>
  <c r="I2980" i="479" s="1"/>
  <c r="H2979" i="479"/>
  <c r="I2979" i="479" s="1"/>
  <c r="H2978" i="479"/>
  <c r="I2978" i="479" s="1"/>
  <c r="H2977" i="479"/>
  <c r="I2977" i="479" s="1"/>
  <c r="H2976" i="479"/>
  <c r="I2976" i="479" s="1"/>
  <c r="H2975" i="479"/>
  <c r="I2975" i="479" s="1"/>
  <c r="H2974" i="479"/>
  <c r="I2974" i="479" s="1"/>
  <c r="H2973" i="479"/>
  <c r="I2973" i="479" s="1"/>
  <c r="H2972" i="479"/>
  <c r="I2972" i="479" s="1"/>
  <c r="H2971" i="479"/>
  <c r="I2971" i="479" s="1"/>
  <c r="H2970" i="479"/>
  <c r="I2970" i="479" s="1"/>
  <c r="H2969" i="479"/>
  <c r="H2968" i="479"/>
  <c r="I2968" i="479" s="1"/>
  <c r="H2967" i="479"/>
  <c r="I2967" i="479" s="1"/>
  <c r="H2966" i="479"/>
  <c r="I2966" i="479" s="1"/>
  <c r="H2965" i="479"/>
  <c r="I2965" i="479" s="1"/>
  <c r="H2964" i="479"/>
  <c r="I2964" i="479" s="1"/>
  <c r="H2963" i="479"/>
  <c r="I2963" i="479" s="1"/>
  <c r="H2962" i="479"/>
  <c r="I2962" i="479" s="1"/>
  <c r="H2961" i="479"/>
  <c r="I2961" i="479" s="1"/>
  <c r="H2960" i="479"/>
  <c r="I2960" i="479" s="1"/>
  <c r="H2959" i="479"/>
  <c r="I2959" i="479" s="1"/>
  <c r="H2958" i="479"/>
  <c r="I2958" i="479" s="1"/>
  <c r="H2957" i="479"/>
  <c r="I2957" i="479" s="1"/>
  <c r="H2956" i="479"/>
  <c r="I2956" i="479" s="1"/>
  <c r="H2955" i="479"/>
  <c r="I2955" i="479" s="1"/>
  <c r="H2954" i="479"/>
  <c r="I2954" i="479" s="1"/>
  <c r="H2953" i="479"/>
  <c r="I2953" i="479" s="1"/>
  <c r="H2952" i="479"/>
  <c r="I2952" i="479" s="1"/>
  <c r="H2951" i="479"/>
  <c r="I2951" i="479" s="1"/>
  <c r="H2950" i="479"/>
  <c r="I2950" i="479" s="1"/>
  <c r="H2949" i="479"/>
  <c r="I2949" i="479" s="1"/>
  <c r="H2948" i="479"/>
  <c r="I2948" i="479" s="1"/>
  <c r="H2947" i="479"/>
  <c r="I2947" i="479" s="1"/>
  <c r="H2946" i="479"/>
  <c r="I2946" i="479" s="1"/>
  <c r="H2945" i="479"/>
  <c r="I2945" i="479" s="1"/>
  <c r="H2944" i="479"/>
  <c r="I2944" i="479" s="1"/>
  <c r="H2943" i="479"/>
  <c r="I2943" i="479" s="1"/>
  <c r="H2942" i="479"/>
  <c r="I2942" i="479" s="1"/>
  <c r="H2941" i="479"/>
  <c r="I2941" i="479" s="1"/>
  <c r="H2940" i="479"/>
  <c r="I2940" i="479" s="1"/>
  <c r="H2939" i="479"/>
  <c r="I2939" i="479" s="1"/>
  <c r="H2938" i="479"/>
  <c r="I2938" i="479" s="1"/>
  <c r="H2937" i="479"/>
  <c r="I2937" i="479" s="1"/>
  <c r="H2936" i="479"/>
  <c r="I2936" i="479" s="1"/>
  <c r="H2935" i="479"/>
  <c r="I2935" i="479" s="1"/>
  <c r="H2934" i="479"/>
  <c r="I2934" i="479" s="1"/>
  <c r="H2933" i="479"/>
  <c r="I2933" i="479" s="1"/>
  <c r="H2932" i="479"/>
  <c r="H2931" i="479"/>
  <c r="I2931" i="479" s="1"/>
  <c r="H2930" i="479"/>
  <c r="I2930" i="479" s="1"/>
  <c r="H2929" i="479"/>
  <c r="I2929" i="479" s="1"/>
  <c r="H2928" i="479"/>
  <c r="I2928" i="479" s="1"/>
  <c r="H2927" i="479"/>
  <c r="I2927" i="479" s="1"/>
  <c r="H2926" i="479"/>
  <c r="I2926" i="479" s="1"/>
  <c r="H2925" i="479"/>
  <c r="I2925" i="479" s="1"/>
  <c r="H2924" i="479"/>
  <c r="I2924" i="479" s="1"/>
  <c r="H2923" i="479"/>
  <c r="I2923" i="479" s="1"/>
  <c r="H2922" i="479"/>
  <c r="I2922" i="479" s="1"/>
  <c r="H2921" i="479"/>
  <c r="I2921" i="479" s="1"/>
  <c r="H2920" i="479"/>
  <c r="I2920" i="479" s="1"/>
  <c r="H2919" i="479"/>
  <c r="I2919" i="479" s="1"/>
  <c r="H2918" i="479"/>
  <c r="I2918" i="479" s="1"/>
  <c r="H2917" i="479"/>
  <c r="I2917" i="479" s="1"/>
  <c r="H2916" i="479"/>
  <c r="I2916" i="479" s="1"/>
  <c r="H2915" i="479"/>
  <c r="I2915" i="479" s="1"/>
  <c r="H2914" i="479"/>
  <c r="I2914" i="479" s="1"/>
  <c r="H2913" i="479"/>
  <c r="I2913" i="479" s="1"/>
  <c r="H2912" i="479"/>
  <c r="I2912" i="479" s="1"/>
  <c r="H2911" i="479"/>
  <c r="I2911" i="479" s="1"/>
  <c r="H2910" i="479"/>
  <c r="I2910" i="479" s="1"/>
  <c r="H2909" i="479"/>
  <c r="I2909" i="479" s="1"/>
  <c r="H2908" i="479"/>
  <c r="I2908" i="479" s="1"/>
  <c r="H2907" i="479"/>
  <c r="I2907" i="479" s="1"/>
  <c r="H2906" i="479"/>
  <c r="I2906" i="479" s="1"/>
  <c r="H2905" i="479"/>
  <c r="I2905" i="479" s="1"/>
  <c r="H2904" i="479"/>
  <c r="I2904" i="479" s="1"/>
  <c r="I2903" i="479"/>
  <c r="I2902" i="479"/>
  <c r="H2901" i="479"/>
  <c r="I2901" i="479" s="1"/>
  <c r="H2900" i="479"/>
  <c r="I2900" i="479" s="1"/>
  <c r="H2897" i="479"/>
  <c r="I2897" i="479" s="1"/>
  <c r="H2896" i="479"/>
  <c r="I2896" i="479" s="1"/>
  <c r="H2895" i="479"/>
  <c r="I2895" i="479" s="1"/>
  <c r="H2894" i="479"/>
  <c r="I2894" i="479" s="1"/>
  <c r="H2893" i="479"/>
  <c r="I2893" i="479" s="1"/>
  <c r="H2892" i="479"/>
  <c r="I2892" i="479" s="1"/>
  <c r="H2891" i="479"/>
  <c r="I2891" i="479" s="1"/>
  <c r="H2890" i="479"/>
  <c r="I2890" i="479" s="1"/>
  <c r="H2889" i="479"/>
  <c r="I2889" i="479" s="1"/>
  <c r="H2888" i="479"/>
  <c r="I2888" i="479" s="1"/>
  <c r="H2887" i="479"/>
  <c r="I2887" i="479" s="1"/>
  <c r="H2886" i="479"/>
  <c r="I2886" i="479" s="1"/>
  <c r="H2885" i="479"/>
  <c r="I2885" i="479" s="1"/>
  <c r="H2884" i="479"/>
  <c r="I2884" i="479" s="1"/>
  <c r="H2883" i="479"/>
  <c r="I2883" i="479" s="1"/>
  <c r="H2882" i="479"/>
  <c r="I2882" i="479" s="1"/>
  <c r="H2881" i="479"/>
  <c r="I2881" i="479" s="1"/>
  <c r="H2880" i="479"/>
  <c r="I2880" i="479" s="1"/>
  <c r="H2879" i="479"/>
  <c r="I2879" i="479" s="1"/>
  <c r="H2878" i="479"/>
  <c r="I2878" i="479" s="1"/>
  <c r="H2877" i="479"/>
  <c r="I2877" i="479" s="1"/>
  <c r="H2876" i="479"/>
  <c r="I2876" i="479" s="1"/>
  <c r="H2875" i="479"/>
  <c r="I2875" i="479" s="1"/>
  <c r="H2874" i="479"/>
  <c r="I2874" i="479" s="1"/>
  <c r="H2873" i="479"/>
  <c r="I2873" i="479" s="1"/>
  <c r="H2872" i="479"/>
  <c r="I2872" i="479" s="1"/>
  <c r="H2871" i="479"/>
  <c r="I2871" i="479" s="1"/>
  <c r="H2870" i="479"/>
  <c r="I2870" i="479" s="1"/>
  <c r="H2869" i="479"/>
  <c r="I2869" i="479" s="1"/>
  <c r="H2868" i="479"/>
  <c r="I2868" i="479" s="1"/>
  <c r="H2867" i="479"/>
  <c r="I2867" i="479" s="1"/>
  <c r="H2866" i="479"/>
  <c r="I2866" i="479" s="1"/>
  <c r="H2865" i="479"/>
  <c r="I2865" i="479" s="1"/>
  <c r="H2864" i="479"/>
  <c r="I2864" i="479" s="1"/>
  <c r="H2863" i="479"/>
  <c r="I2863" i="479" s="1"/>
  <c r="H2862" i="479"/>
  <c r="I2862" i="479" s="1"/>
  <c r="H2861" i="479"/>
  <c r="I2861" i="479" s="1"/>
  <c r="H2860" i="479"/>
  <c r="I2860" i="479" s="1"/>
  <c r="H2859" i="479"/>
  <c r="I2859" i="479" s="1"/>
  <c r="H2858" i="479"/>
  <c r="I2858" i="479" s="1"/>
  <c r="H2857" i="479"/>
  <c r="I2857" i="479" s="1"/>
  <c r="H2856" i="479"/>
  <c r="I2856" i="479" s="1"/>
  <c r="H2855" i="479"/>
  <c r="I2855" i="479" s="1"/>
  <c r="H2854" i="479"/>
  <c r="I2854" i="479" s="1"/>
  <c r="H2853" i="479"/>
  <c r="I2853" i="479" s="1"/>
  <c r="H2852" i="479"/>
  <c r="I2852" i="479" s="1"/>
  <c r="H2851" i="479"/>
  <c r="I2851" i="479" s="1"/>
  <c r="H2850" i="479"/>
  <c r="I2850" i="479" s="1"/>
  <c r="H2849" i="479"/>
  <c r="I2849" i="479" s="1"/>
  <c r="H2848" i="479"/>
  <c r="I2848" i="479" s="1"/>
  <c r="H2847" i="479"/>
  <c r="I2847" i="479" s="1"/>
  <c r="H2846" i="479"/>
  <c r="I2846" i="479" s="1"/>
  <c r="H2845" i="479"/>
  <c r="I2845" i="479" s="1"/>
  <c r="H2844" i="479"/>
  <c r="I2844" i="479" s="1"/>
  <c r="H2843" i="479"/>
  <c r="I2843" i="479" s="1"/>
  <c r="H2842" i="479"/>
  <c r="I2842" i="479" s="1"/>
  <c r="H2841" i="479"/>
  <c r="I2841" i="479" s="1"/>
  <c r="H2840" i="479"/>
  <c r="I2840" i="479" s="1"/>
  <c r="H2839" i="479"/>
  <c r="I2839" i="479" s="1"/>
  <c r="H2838" i="479"/>
  <c r="I2838" i="479" s="1"/>
  <c r="H2837" i="479"/>
  <c r="I2837" i="479" s="1"/>
  <c r="H2836" i="479"/>
  <c r="I2836" i="479" s="1"/>
  <c r="H2835" i="479"/>
  <c r="I2835" i="479" s="1"/>
  <c r="H2834" i="479"/>
  <c r="I2834" i="479" s="1"/>
  <c r="H2833" i="479"/>
  <c r="I2833" i="479" s="1"/>
  <c r="H2832" i="479"/>
  <c r="I2832" i="479" s="1"/>
  <c r="H2831" i="479"/>
  <c r="I2831" i="479" s="1"/>
  <c r="H2830" i="479"/>
  <c r="I2830" i="479" s="1"/>
  <c r="H2829" i="479"/>
  <c r="I2829" i="479" s="1"/>
  <c r="H2828" i="479"/>
  <c r="I2828" i="479" s="1"/>
  <c r="H2827" i="479"/>
  <c r="I2827" i="479" s="1"/>
  <c r="H2826" i="479"/>
  <c r="I2826" i="479" s="1"/>
  <c r="H2825" i="479"/>
  <c r="I2825" i="479" s="1"/>
  <c r="H2824" i="479"/>
  <c r="I2824" i="479" s="1"/>
  <c r="H2823" i="479"/>
  <c r="I2823" i="479" s="1"/>
  <c r="H2822" i="479"/>
  <c r="I2822" i="479" s="1"/>
  <c r="H2821" i="479"/>
  <c r="I2821" i="479" s="1"/>
  <c r="H2820" i="479"/>
  <c r="I2820" i="479" s="1"/>
  <c r="H2819" i="479"/>
  <c r="I2819" i="479" s="1"/>
  <c r="H2818" i="479"/>
  <c r="I2818" i="479" s="1"/>
  <c r="H2817" i="479"/>
  <c r="I2817" i="479" s="1"/>
  <c r="H2816" i="479"/>
  <c r="I2816" i="479" s="1"/>
  <c r="H2815" i="479"/>
  <c r="I2815" i="479" s="1"/>
  <c r="H2814" i="479"/>
  <c r="I2814" i="479" s="1"/>
  <c r="H2813" i="479"/>
  <c r="I2813" i="479" s="1"/>
  <c r="H2812" i="479"/>
  <c r="I2812" i="479" s="1"/>
  <c r="H2811" i="479"/>
  <c r="I2811" i="479" s="1"/>
  <c r="H2810" i="479"/>
  <c r="I2810" i="479" s="1"/>
  <c r="H2809" i="479"/>
  <c r="I2809" i="479" s="1"/>
  <c r="H2808" i="479"/>
  <c r="I2808" i="479" s="1"/>
  <c r="H2807" i="479"/>
  <c r="I2807" i="479" s="1"/>
  <c r="H2806" i="479"/>
  <c r="I2806" i="479" s="1"/>
  <c r="H2805" i="479"/>
  <c r="I2805" i="479" s="1"/>
  <c r="H2804" i="479"/>
  <c r="I2804" i="479" s="1"/>
  <c r="H2803" i="479"/>
  <c r="I2803" i="479" s="1"/>
  <c r="H2802" i="479"/>
  <c r="I2802" i="479" s="1"/>
  <c r="H2801" i="479"/>
  <c r="I2801" i="479" s="1"/>
  <c r="H2800" i="479"/>
  <c r="I2800" i="479" s="1"/>
  <c r="H2799" i="479"/>
  <c r="I2799" i="479" s="1"/>
  <c r="H2798" i="479"/>
  <c r="I2798" i="479" s="1"/>
  <c r="H2797" i="479"/>
  <c r="I2797" i="479" s="1"/>
  <c r="H2796" i="479"/>
  <c r="I2796" i="479" s="1"/>
  <c r="H2795" i="479"/>
  <c r="I2795" i="479" s="1"/>
  <c r="H2794" i="479"/>
  <c r="I2794" i="479" s="1"/>
  <c r="H2793" i="479"/>
  <c r="I2793" i="479" s="1"/>
  <c r="H2792" i="479"/>
  <c r="I2792" i="479" s="1"/>
  <c r="I2791" i="479"/>
  <c r="I2790" i="479"/>
  <c r="I2789" i="479"/>
  <c r="I2782" i="479"/>
  <c r="I2781" i="479"/>
  <c r="I2780" i="479"/>
  <c r="I2779" i="479"/>
  <c r="I2778" i="479"/>
  <c r="I2777" i="479"/>
  <c r="I2776" i="479"/>
  <c r="I2775" i="479"/>
  <c r="I2774" i="479"/>
  <c r="I2771" i="479"/>
  <c r="I2770" i="479"/>
  <c r="I2769" i="479"/>
  <c r="I2768" i="479"/>
  <c r="I2767" i="479"/>
  <c r="I2766" i="479"/>
  <c r="I2765" i="479"/>
  <c r="I2764" i="479"/>
  <c r="G2763" i="479"/>
  <c r="I2763" i="479" s="1"/>
  <c r="G2762" i="479"/>
  <c r="I2762" i="479" s="1"/>
  <c r="I2761" i="479"/>
  <c r="I2760" i="479"/>
  <c r="G2759" i="479"/>
  <c r="G2758" i="479"/>
  <c r="I2758" i="479" s="1"/>
  <c r="G2757" i="479"/>
  <c r="I2757" i="479" s="1"/>
  <c r="G2755" i="479"/>
  <c r="I2755" i="479" s="1"/>
  <c r="G2754" i="479"/>
  <c r="I2753" i="479"/>
  <c r="G2752" i="479"/>
  <c r="I2751" i="479"/>
  <c r="G2750" i="479"/>
  <c r="I2750" i="479" s="1"/>
  <c r="G2748" i="479"/>
  <c r="I2748" i="479" s="1"/>
  <c r="G2747" i="479"/>
  <c r="I2747" i="479" s="1"/>
  <c r="G2746" i="479"/>
  <c r="G2745" i="479"/>
  <c r="I2745" i="479" s="1"/>
  <c r="I2744" i="479"/>
  <c r="I2743" i="479"/>
  <c r="I2742" i="479"/>
  <c r="I2741" i="479"/>
  <c r="I2740" i="479"/>
  <c r="I2739" i="479"/>
  <c r="I2738" i="479"/>
  <c r="I2737" i="479"/>
  <c r="I2736" i="479"/>
  <c r="I2735" i="479"/>
  <c r="I2734" i="479"/>
  <c r="I2733" i="479"/>
  <c r="I2731" i="479"/>
  <c r="I2730" i="479"/>
  <c r="I2729" i="479"/>
  <c r="I2728" i="479"/>
  <c r="I2727" i="479"/>
  <c r="I2726" i="479"/>
  <c r="I2725" i="479"/>
  <c r="I2724" i="479"/>
  <c r="I2723" i="479"/>
  <c r="I2721" i="479"/>
  <c r="I2720" i="479"/>
  <c r="I2718" i="479"/>
  <c r="I2717" i="479"/>
  <c r="I2716" i="479"/>
  <c r="I2715" i="479"/>
  <c r="I2714" i="479"/>
  <c r="I2713" i="479"/>
  <c r="H2710" i="479"/>
  <c r="I2710" i="479" s="1"/>
  <c r="H2709" i="479"/>
  <c r="I2709" i="479" s="1"/>
  <c r="H2705" i="479"/>
  <c r="I2705" i="479" s="1"/>
  <c r="H2702" i="479"/>
  <c r="I2702" i="479" s="1"/>
  <c r="H2696" i="479"/>
  <c r="I2696" i="479" s="1"/>
  <c r="H2690" i="479"/>
  <c r="I2690" i="479" s="1"/>
  <c r="H2689" i="479"/>
  <c r="I2689" i="479" s="1"/>
  <c r="H2688" i="479"/>
  <c r="I2688" i="479" s="1"/>
  <c r="H2687" i="479"/>
  <c r="I2687" i="479" s="1"/>
  <c r="H2686" i="479"/>
  <c r="I2686" i="479" s="1"/>
  <c r="H2685" i="479"/>
  <c r="I2685" i="479" s="1"/>
  <c r="H2684" i="479"/>
  <c r="I2684" i="479" s="1"/>
  <c r="H2683" i="479"/>
  <c r="I2683" i="479" s="1"/>
  <c r="H2682" i="479"/>
  <c r="I2682" i="479" s="1"/>
  <c r="H2681" i="479"/>
  <c r="I2681" i="479" s="1"/>
  <c r="H2680" i="479"/>
  <c r="I2680" i="479" s="1"/>
  <c r="H2679" i="479"/>
  <c r="I2679" i="479" s="1"/>
  <c r="H2678" i="479"/>
  <c r="I2678" i="479" s="1"/>
  <c r="H2677" i="479"/>
  <c r="I2677" i="479" s="1"/>
  <c r="H2676" i="479"/>
  <c r="I2676" i="479" s="1"/>
  <c r="H2675" i="479"/>
  <c r="I2675" i="479" s="1"/>
  <c r="H2674" i="479"/>
  <c r="I2674" i="479" s="1"/>
  <c r="H2673" i="479"/>
  <c r="I2673" i="479" s="1"/>
  <c r="H2672" i="479"/>
  <c r="I2672" i="479" s="1"/>
  <c r="H2671" i="479"/>
  <c r="I2671" i="479" s="1"/>
  <c r="H2670" i="479"/>
  <c r="I2670" i="479" s="1"/>
  <c r="H2669" i="479"/>
  <c r="I2669" i="479" s="1"/>
  <c r="H2668" i="479"/>
  <c r="I2668" i="479" s="1"/>
  <c r="H2667" i="479"/>
  <c r="I2667" i="479" s="1"/>
  <c r="H2666" i="479"/>
  <c r="I2666" i="479" s="1"/>
  <c r="H2665" i="479"/>
  <c r="I2665" i="479" s="1"/>
  <c r="H2664" i="479"/>
  <c r="I2664" i="479" s="1"/>
  <c r="H2663" i="479"/>
  <c r="I2663" i="479" s="1"/>
  <c r="H2662" i="479"/>
  <c r="I2662" i="479" s="1"/>
  <c r="H2661" i="479"/>
  <c r="I2661" i="479" s="1"/>
  <c r="H2660" i="479"/>
  <c r="I2660" i="479" s="1"/>
  <c r="H2624" i="479"/>
  <c r="I2624" i="479" s="1"/>
  <c r="H2623" i="479"/>
  <c r="I2623" i="479" s="1"/>
  <c r="H2622" i="479"/>
  <c r="I2622" i="479" s="1"/>
  <c r="H2621" i="479"/>
  <c r="I2621" i="479" s="1"/>
  <c r="H2620" i="479"/>
  <c r="I2620" i="479" s="1"/>
  <c r="H2619" i="479"/>
  <c r="I2619" i="479" s="1"/>
  <c r="H2618" i="479"/>
  <c r="I2618" i="479" s="1"/>
  <c r="H2617" i="479"/>
  <c r="I2617" i="479" s="1"/>
  <c r="H2616" i="479"/>
  <c r="I2616" i="479" s="1"/>
  <c r="H2615" i="479"/>
  <c r="I2615" i="479" s="1"/>
  <c r="H2614" i="479"/>
  <c r="I2614" i="479" s="1"/>
  <c r="H2613" i="479"/>
  <c r="I2613" i="479" s="1"/>
  <c r="H2612" i="479"/>
  <c r="I2612" i="479" s="1"/>
  <c r="H2611" i="479"/>
  <c r="I2611" i="479" s="1"/>
  <c r="H2610" i="479"/>
  <c r="I2610" i="479" s="1"/>
  <c r="H2609" i="479"/>
  <c r="I2609" i="479" s="1"/>
  <c r="H2608" i="479"/>
  <c r="I2608" i="479" s="1"/>
  <c r="H2607" i="479"/>
  <c r="I2607" i="479" s="1"/>
  <c r="H2606" i="479"/>
  <c r="I2606" i="479" s="1"/>
  <c r="H2605" i="479"/>
  <c r="I2605" i="479" s="1"/>
  <c r="H2604" i="479"/>
  <c r="I2604" i="479" s="1"/>
  <c r="H2603" i="479"/>
  <c r="I2603" i="479" s="1"/>
  <c r="H2602" i="479"/>
  <c r="I2602" i="479" s="1"/>
  <c r="H2601" i="479"/>
  <c r="I2601" i="479" s="1"/>
  <c r="H2600" i="479"/>
  <c r="I2600" i="479" s="1"/>
  <c r="H2599" i="479"/>
  <c r="I2599" i="479" s="1"/>
  <c r="H2598" i="479"/>
  <c r="I2598" i="479" s="1"/>
  <c r="H2597" i="479"/>
  <c r="I2597" i="479" s="1"/>
  <c r="H2596" i="479"/>
  <c r="I2596" i="479" s="1"/>
  <c r="H2595" i="479"/>
  <c r="I2595" i="479" s="1"/>
  <c r="H2594" i="479"/>
  <c r="I2594" i="479" s="1"/>
  <c r="H2593" i="479"/>
  <c r="I2593" i="479" s="1"/>
  <c r="H2592" i="479"/>
  <c r="I2592" i="479" s="1"/>
  <c r="H2591" i="479"/>
  <c r="I2591" i="479" s="1"/>
  <c r="H2590" i="479"/>
  <c r="I2590" i="479" s="1"/>
  <c r="H2589" i="479"/>
  <c r="I2589" i="479" s="1"/>
  <c r="H2588" i="479"/>
  <c r="I2588" i="479" s="1"/>
  <c r="H2587" i="479"/>
  <c r="I2587" i="479" s="1"/>
  <c r="H2586" i="479"/>
  <c r="I2586" i="479" s="1"/>
  <c r="H2585" i="479"/>
  <c r="I2585" i="479" s="1"/>
  <c r="H2584" i="479"/>
  <c r="I2584" i="479" s="1"/>
  <c r="H2583" i="479"/>
  <c r="I2583" i="479" s="1"/>
  <c r="H2582" i="479"/>
  <c r="I2582" i="479" s="1"/>
  <c r="H2581" i="479"/>
  <c r="I2581" i="479" s="1"/>
  <c r="H2580" i="479"/>
  <c r="I2580" i="479" s="1"/>
  <c r="H2579" i="479"/>
  <c r="I2579" i="479" s="1"/>
  <c r="H2578" i="479"/>
  <c r="I2578" i="479" s="1"/>
  <c r="H2577" i="479"/>
  <c r="I2577" i="479" s="1"/>
  <c r="H2576" i="479"/>
  <c r="I2576" i="479" s="1"/>
  <c r="H2575" i="479"/>
  <c r="I2575" i="479" s="1"/>
  <c r="H2574" i="479"/>
  <c r="I2574" i="479" s="1"/>
  <c r="H2573" i="479"/>
  <c r="I2573" i="479" s="1"/>
  <c r="H2572" i="479"/>
  <c r="I2572" i="479" s="1"/>
  <c r="H2571" i="479"/>
  <c r="I2571" i="479" s="1"/>
  <c r="H2570" i="479"/>
  <c r="I2570" i="479" s="1"/>
  <c r="H2569" i="479"/>
  <c r="I2569" i="479" s="1"/>
  <c r="H2568" i="479"/>
  <c r="I2568" i="479" s="1"/>
  <c r="H2567" i="479"/>
  <c r="I2567" i="479" s="1"/>
  <c r="H2566" i="479"/>
  <c r="I2566" i="479" s="1"/>
  <c r="H2565" i="479"/>
  <c r="I2565" i="479" s="1"/>
  <c r="H2564" i="479"/>
  <c r="I2564" i="479" s="1"/>
  <c r="H2563" i="479"/>
  <c r="I2563" i="479" s="1"/>
  <c r="H2562" i="479"/>
  <c r="I2562" i="479" s="1"/>
  <c r="H2561" i="479"/>
  <c r="I2561" i="479" s="1"/>
  <c r="H2560" i="479"/>
  <c r="I2560" i="479" s="1"/>
  <c r="H2559" i="479"/>
  <c r="I2559" i="479" s="1"/>
  <c r="H2558" i="479"/>
  <c r="I2558" i="479" s="1"/>
  <c r="H2557" i="479"/>
  <c r="I2557" i="479" s="1"/>
  <c r="H2556" i="479"/>
  <c r="I2556" i="479" s="1"/>
  <c r="H2555" i="479"/>
  <c r="I2555" i="479" s="1"/>
  <c r="H2554" i="479"/>
  <c r="I2554" i="479" s="1"/>
  <c r="H2553" i="479"/>
  <c r="I2553" i="479" s="1"/>
  <c r="H2552" i="479"/>
  <c r="I2552" i="479" s="1"/>
  <c r="H2551" i="479"/>
  <c r="I2551" i="479" s="1"/>
  <c r="H2550" i="479"/>
  <c r="I2550" i="479" s="1"/>
  <c r="H2549" i="479"/>
  <c r="I2549" i="479" s="1"/>
  <c r="H2548" i="479"/>
  <c r="I2548" i="479" s="1"/>
  <c r="H2547" i="479"/>
  <c r="I2547" i="479" s="1"/>
  <c r="H2546" i="479"/>
  <c r="I2546" i="479" s="1"/>
  <c r="H2545" i="479"/>
  <c r="I2545" i="479" s="1"/>
  <c r="H2544" i="479"/>
  <c r="I2544" i="479" s="1"/>
  <c r="H2543" i="479"/>
  <c r="I2543" i="479" s="1"/>
  <c r="H2542" i="479"/>
  <c r="I2542" i="479" s="1"/>
  <c r="H2541" i="479"/>
  <c r="I2541" i="479" s="1"/>
  <c r="H2540" i="479"/>
  <c r="I2540" i="479" s="1"/>
  <c r="H2539" i="479"/>
  <c r="I2539" i="479" s="1"/>
  <c r="H2538" i="479"/>
  <c r="I2538" i="479" s="1"/>
  <c r="H2537" i="479"/>
  <c r="I2537" i="479" s="1"/>
  <c r="H2536" i="479"/>
  <c r="I2536" i="479" s="1"/>
  <c r="H2535" i="479"/>
  <c r="I2535" i="479" s="1"/>
  <c r="H2534" i="479"/>
  <c r="I2534" i="479" s="1"/>
  <c r="H2533" i="479"/>
  <c r="I2533" i="479" s="1"/>
  <c r="H2532" i="479"/>
  <c r="I2532" i="479" s="1"/>
  <c r="H2531" i="479"/>
  <c r="I2531" i="479" s="1"/>
  <c r="H2530" i="479"/>
  <c r="I2530" i="479" s="1"/>
  <c r="H2529" i="479"/>
  <c r="I2529" i="479" s="1"/>
  <c r="H2528" i="479"/>
  <c r="I2528" i="479" s="1"/>
  <c r="H2527" i="479"/>
  <c r="I2527" i="479" s="1"/>
  <c r="H2526" i="479"/>
  <c r="I2526" i="479" s="1"/>
  <c r="H2525" i="479"/>
  <c r="I2525" i="479" s="1"/>
  <c r="H2524" i="479"/>
  <c r="I2524" i="479" s="1"/>
  <c r="H2523" i="479"/>
  <c r="I2523" i="479" s="1"/>
  <c r="H2522" i="479"/>
  <c r="I2522" i="479" s="1"/>
  <c r="H2521" i="479"/>
  <c r="I2521" i="479" s="1"/>
  <c r="H2520" i="479"/>
  <c r="I2520" i="479" s="1"/>
  <c r="H2519" i="479"/>
  <c r="I2519" i="479" s="1"/>
  <c r="H2518" i="479"/>
  <c r="I2518" i="479" s="1"/>
  <c r="H2517" i="479"/>
  <c r="I2517" i="479" s="1"/>
  <c r="H2516" i="479"/>
  <c r="I2516" i="479" s="1"/>
  <c r="H2515" i="479"/>
  <c r="I2515" i="479" s="1"/>
  <c r="H2514" i="479"/>
  <c r="I2514" i="479" s="1"/>
  <c r="H2513" i="479"/>
  <c r="I2513" i="479" s="1"/>
  <c r="H2512" i="479"/>
  <c r="I2512" i="479" s="1"/>
  <c r="H2511" i="479"/>
  <c r="I2511" i="479" s="1"/>
  <c r="H2510" i="479"/>
  <c r="I2510" i="479" s="1"/>
  <c r="H2509" i="479"/>
  <c r="I2509" i="479" s="1"/>
  <c r="H2508" i="479"/>
  <c r="I2508" i="479" s="1"/>
  <c r="H2507" i="479"/>
  <c r="I2507" i="479" s="1"/>
  <c r="H2506" i="479"/>
  <c r="I2506" i="479" s="1"/>
  <c r="H2505" i="479"/>
  <c r="I2505" i="479" s="1"/>
  <c r="H2504" i="479"/>
  <c r="I2504" i="479" s="1"/>
  <c r="H2503" i="479"/>
  <c r="I2503" i="479" s="1"/>
  <c r="H2502" i="479"/>
  <c r="I2502" i="479" s="1"/>
  <c r="H2501" i="479"/>
  <c r="I2501" i="479" s="1"/>
  <c r="H2500" i="479"/>
  <c r="I2500" i="479" s="1"/>
  <c r="H2499" i="479"/>
  <c r="I2499" i="479" s="1"/>
  <c r="H2498" i="479"/>
  <c r="I2498" i="479" s="1"/>
  <c r="H2497" i="479"/>
  <c r="I2497" i="479" s="1"/>
  <c r="H2496" i="479"/>
  <c r="I2496" i="479" s="1"/>
  <c r="H2495" i="479"/>
  <c r="I2495" i="479" s="1"/>
  <c r="H2494" i="479"/>
  <c r="I2494" i="479" s="1"/>
  <c r="H2493" i="479"/>
  <c r="I2493" i="479" s="1"/>
  <c r="H2492" i="479"/>
  <c r="I2492" i="479" s="1"/>
  <c r="H2491" i="479"/>
  <c r="I2491" i="479" s="1"/>
  <c r="H2490" i="479"/>
  <c r="I2490" i="479" s="1"/>
  <c r="H2489" i="479"/>
  <c r="I2489" i="479" s="1"/>
  <c r="H2488" i="479"/>
  <c r="I2488" i="479" s="1"/>
  <c r="H2487" i="479"/>
  <c r="I2487" i="479" s="1"/>
  <c r="H2486" i="479"/>
  <c r="I2486" i="479" s="1"/>
  <c r="H2485" i="479"/>
  <c r="I2485" i="479" s="1"/>
  <c r="H2484" i="479"/>
  <c r="I2484" i="479" s="1"/>
  <c r="H2483" i="479"/>
  <c r="I2483" i="479" s="1"/>
  <c r="H2482" i="479"/>
  <c r="I2482" i="479" s="1"/>
  <c r="H2481" i="479"/>
  <c r="I2481" i="479" s="1"/>
  <c r="H2480" i="479"/>
  <c r="I2480" i="479" s="1"/>
  <c r="H2479" i="479"/>
  <c r="I2479" i="479" s="1"/>
  <c r="H2478" i="479"/>
  <c r="I2478" i="479" s="1"/>
  <c r="H2477" i="479"/>
  <c r="I2477" i="479" s="1"/>
  <c r="H2476" i="479"/>
  <c r="I2476" i="479" s="1"/>
  <c r="H2475" i="479"/>
  <c r="I2475" i="479" s="1"/>
  <c r="H2474" i="479"/>
  <c r="I2474" i="479" s="1"/>
  <c r="H2473" i="479"/>
  <c r="I2473" i="479" s="1"/>
  <c r="H2472" i="479"/>
  <c r="I2472" i="479" s="1"/>
  <c r="H2471" i="479"/>
  <c r="I2471" i="479" s="1"/>
  <c r="H2470" i="479"/>
  <c r="I2470" i="479" s="1"/>
  <c r="H2469" i="479"/>
  <c r="I2469" i="479" s="1"/>
  <c r="H2468" i="479"/>
  <c r="I2468" i="479" s="1"/>
  <c r="H2467" i="479"/>
  <c r="I2467" i="479" s="1"/>
  <c r="H2466" i="479"/>
  <c r="I2466" i="479" s="1"/>
  <c r="H2465" i="479"/>
  <c r="I2465" i="479" s="1"/>
  <c r="H2464" i="479"/>
  <c r="I2464" i="479" s="1"/>
  <c r="H2463" i="479"/>
  <c r="I2463" i="479" s="1"/>
  <c r="H2462" i="479"/>
  <c r="I2462" i="479" s="1"/>
  <c r="H2461" i="479"/>
  <c r="I2461" i="479" s="1"/>
  <c r="H2460" i="479"/>
  <c r="I2460" i="479" s="1"/>
  <c r="H2459" i="479"/>
  <c r="I2459" i="479" s="1"/>
  <c r="H2458" i="479"/>
  <c r="I2458" i="479" s="1"/>
  <c r="H2457" i="479"/>
  <c r="I2457" i="479" s="1"/>
  <c r="H2456" i="479"/>
  <c r="I2456" i="479" s="1"/>
  <c r="H2455" i="479"/>
  <c r="I2455" i="479" s="1"/>
  <c r="H2454" i="479"/>
  <c r="I2454" i="479" s="1"/>
  <c r="H2453" i="479"/>
  <c r="I2453" i="479" s="1"/>
  <c r="H2452" i="479"/>
  <c r="I2452" i="479" s="1"/>
  <c r="H2451" i="479"/>
  <c r="I2451" i="479" s="1"/>
  <c r="H2450" i="479"/>
  <c r="I2450" i="479" s="1"/>
  <c r="H2449" i="479"/>
  <c r="I2449" i="479" s="1"/>
  <c r="H2448" i="479"/>
  <c r="I2448" i="479" s="1"/>
  <c r="H2447" i="479"/>
  <c r="I2447" i="479" s="1"/>
  <c r="H2446" i="479"/>
  <c r="I2446" i="479" s="1"/>
  <c r="H2445" i="479"/>
  <c r="I2445" i="479" s="1"/>
  <c r="H2444" i="479"/>
  <c r="I2444" i="479" s="1"/>
  <c r="H2443" i="479"/>
  <c r="I2443" i="479" s="1"/>
  <c r="H2442" i="479"/>
  <c r="I2442" i="479" s="1"/>
  <c r="H2441" i="479"/>
  <c r="I2441" i="479" s="1"/>
  <c r="H2440" i="479"/>
  <c r="I2440" i="479" s="1"/>
  <c r="H2439" i="479"/>
  <c r="I2439" i="479" s="1"/>
  <c r="H2438" i="479"/>
  <c r="I2438" i="479" s="1"/>
  <c r="H2437" i="479"/>
  <c r="I2437" i="479" s="1"/>
  <c r="H2436" i="479"/>
  <c r="I2436" i="479" s="1"/>
  <c r="H2435" i="479"/>
  <c r="I2435" i="479" s="1"/>
  <c r="H2434" i="479"/>
  <c r="I2434" i="479" s="1"/>
  <c r="H2433" i="479"/>
  <c r="I2433" i="479" s="1"/>
  <c r="H2432" i="479"/>
  <c r="I2432" i="479" s="1"/>
  <c r="H2431" i="479"/>
  <c r="I2431" i="479" s="1"/>
  <c r="H2430" i="479"/>
  <c r="I2430" i="479" s="1"/>
  <c r="H2429" i="479"/>
  <c r="I2429" i="479" s="1"/>
  <c r="H2428" i="479"/>
  <c r="I2428" i="479" s="1"/>
  <c r="H2427" i="479"/>
  <c r="I2427" i="479" s="1"/>
  <c r="H2426" i="479"/>
  <c r="I2426" i="479" s="1"/>
  <c r="H2425" i="479"/>
  <c r="I2425" i="479" s="1"/>
  <c r="H2424" i="479"/>
  <c r="I2424" i="479" s="1"/>
  <c r="H2423" i="479"/>
  <c r="I2423" i="479" s="1"/>
  <c r="H2422" i="479"/>
  <c r="I2422" i="479" s="1"/>
  <c r="H2421" i="479"/>
  <c r="I2421" i="479" s="1"/>
  <c r="H2420" i="479"/>
  <c r="I2420" i="479" s="1"/>
  <c r="H2419" i="479"/>
  <c r="I2419" i="479" s="1"/>
  <c r="H2418" i="479"/>
  <c r="I2418" i="479" s="1"/>
  <c r="H2417" i="479"/>
  <c r="I2417" i="479" s="1"/>
  <c r="H2416" i="479"/>
  <c r="I2416" i="479" s="1"/>
  <c r="H2415" i="479"/>
  <c r="I2415" i="479" s="1"/>
  <c r="H2414" i="479"/>
  <c r="I2414" i="479" s="1"/>
  <c r="H2413" i="479"/>
  <c r="I2413" i="479" s="1"/>
  <c r="H2412" i="479"/>
  <c r="I2412" i="479" s="1"/>
  <c r="H2411" i="479"/>
  <c r="I2411" i="479" s="1"/>
  <c r="H2410" i="479"/>
  <c r="I2410" i="479" s="1"/>
  <c r="H2409" i="479"/>
  <c r="I2409" i="479" s="1"/>
  <c r="H2408" i="479"/>
  <c r="I2408" i="479" s="1"/>
  <c r="H2407" i="479"/>
  <c r="I2407" i="479" s="1"/>
  <c r="H2406" i="479"/>
  <c r="I2406" i="479" s="1"/>
  <c r="H2405" i="479"/>
  <c r="I2405" i="479" s="1"/>
  <c r="H2404" i="479"/>
  <c r="I2404" i="479" s="1"/>
  <c r="H2403" i="479"/>
  <c r="I2403" i="479" s="1"/>
  <c r="H2402" i="479"/>
  <c r="I2402" i="479" s="1"/>
  <c r="H2401" i="479"/>
  <c r="I2401" i="479" s="1"/>
  <c r="H2400" i="479"/>
  <c r="I2400" i="479" s="1"/>
  <c r="H2399" i="479"/>
  <c r="I2399" i="479" s="1"/>
  <c r="H2398" i="479"/>
  <c r="I2398" i="479" s="1"/>
  <c r="H2397" i="479"/>
  <c r="I2397" i="479" s="1"/>
  <c r="H2396" i="479"/>
  <c r="I2396" i="479" s="1"/>
  <c r="H2395" i="479"/>
  <c r="I2395" i="479" s="1"/>
  <c r="H2394" i="479"/>
  <c r="I2394" i="479" s="1"/>
  <c r="H2393" i="479"/>
  <c r="I2393" i="479" s="1"/>
  <c r="H2392" i="479"/>
  <c r="I2392" i="479" s="1"/>
  <c r="H2391" i="479"/>
  <c r="I2391" i="479" s="1"/>
  <c r="H2390" i="479"/>
  <c r="I2390" i="479" s="1"/>
  <c r="H2389" i="479"/>
  <c r="I2389" i="479" s="1"/>
  <c r="H2388" i="479"/>
  <c r="I2388" i="479" s="1"/>
  <c r="H2387" i="479"/>
  <c r="I2387" i="479" s="1"/>
  <c r="H2386" i="479"/>
  <c r="I2386" i="479" s="1"/>
  <c r="H2385" i="479"/>
  <c r="I2385" i="479" s="1"/>
  <c r="H2384" i="479"/>
  <c r="I2384" i="479" s="1"/>
  <c r="H2383" i="479"/>
  <c r="I2383" i="479" s="1"/>
  <c r="H2382" i="479"/>
  <c r="I2382" i="479" s="1"/>
  <c r="H2381" i="479"/>
  <c r="I2381" i="479" s="1"/>
  <c r="H2380" i="479"/>
  <c r="I2380" i="479" s="1"/>
  <c r="H2379" i="479"/>
  <c r="I2379" i="479" s="1"/>
  <c r="H2378" i="479"/>
  <c r="I2378" i="479" s="1"/>
  <c r="H2377" i="479"/>
  <c r="I2377" i="479" s="1"/>
  <c r="H2376" i="479"/>
  <c r="I2376" i="479" s="1"/>
  <c r="H2375" i="479"/>
  <c r="I2375" i="479" s="1"/>
  <c r="H2374" i="479"/>
  <c r="I2374" i="479" s="1"/>
  <c r="H2373" i="479"/>
  <c r="I2373" i="479" s="1"/>
  <c r="H2372" i="479"/>
  <c r="I2372" i="479" s="1"/>
  <c r="H2371" i="479"/>
  <c r="I2371" i="479" s="1"/>
  <c r="H2370" i="479"/>
  <c r="I2370" i="479" s="1"/>
  <c r="H2369" i="479"/>
  <c r="I2369" i="479" s="1"/>
  <c r="H2368" i="479"/>
  <c r="I2368" i="479" s="1"/>
  <c r="H2367" i="479"/>
  <c r="I2367" i="479" s="1"/>
  <c r="H2366" i="479"/>
  <c r="I2366" i="479" s="1"/>
  <c r="H2365" i="479"/>
  <c r="I2365" i="479" s="1"/>
  <c r="H2364" i="479"/>
  <c r="I2364" i="479" s="1"/>
  <c r="H2359" i="479"/>
  <c r="I2359" i="479" s="1"/>
  <c r="H2358" i="479"/>
  <c r="I2358" i="479" s="1"/>
  <c r="H2357" i="479"/>
  <c r="G2357" i="479"/>
  <c r="H2356" i="479"/>
  <c r="G2356" i="479"/>
  <c r="H2355" i="479"/>
  <c r="G2355" i="479"/>
  <c r="H2354" i="479"/>
  <c r="I2354" i="479" s="1"/>
  <c r="I2353" i="479"/>
  <c r="H2352" i="479"/>
  <c r="I2352" i="479" s="1"/>
  <c r="H2351" i="479"/>
  <c r="H2350" i="479"/>
  <c r="I2350" i="479" s="1"/>
  <c r="H2349" i="479"/>
  <c r="H2348" i="479"/>
  <c r="I2348" i="479" s="1"/>
  <c r="H2347" i="479"/>
  <c r="I2347" i="479" s="1"/>
  <c r="I2337" i="479"/>
  <c r="I2336" i="479"/>
  <c r="I2335" i="479"/>
  <c r="I2334" i="479"/>
  <c r="I2333" i="479"/>
  <c r="I2332" i="479"/>
  <c r="H2331" i="479"/>
  <c r="I2331" i="479" s="1"/>
  <c r="H2330" i="479"/>
  <c r="I2330" i="479" s="1"/>
  <c r="H2329" i="479"/>
  <c r="I2329" i="479" s="1"/>
  <c r="H2328" i="479"/>
  <c r="I2328" i="479" s="1"/>
  <c r="H2327" i="479"/>
  <c r="I2327" i="479" s="1"/>
  <c r="H2326" i="479"/>
  <c r="I2326" i="479" s="1"/>
  <c r="H2325" i="479"/>
  <c r="I2325" i="479" s="1"/>
  <c r="H2324" i="479"/>
  <c r="I2324" i="479" s="1"/>
  <c r="H2323" i="479"/>
  <c r="I2323" i="479" s="1"/>
  <c r="H2322" i="479"/>
  <c r="I2322" i="479" s="1"/>
  <c r="I2321" i="479"/>
  <c r="I2320" i="479"/>
  <c r="I2319" i="479"/>
  <c r="I2318" i="479"/>
  <c r="I2317" i="479"/>
  <c r="I2316" i="479"/>
  <c r="I2315" i="479"/>
  <c r="I2314" i="479"/>
  <c r="I2313" i="479"/>
  <c r="I2312" i="479"/>
  <c r="I2311" i="479"/>
  <c r="I2310" i="479"/>
  <c r="I2309" i="479"/>
  <c r="I2308" i="479"/>
  <c r="I2306" i="479"/>
  <c r="I2305" i="479"/>
  <c r="I2304" i="479"/>
  <c r="I2303" i="479"/>
  <c r="I2302" i="479"/>
  <c r="I2301" i="479"/>
  <c r="I2297" i="479"/>
  <c r="I2296" i="479"/>
  <c r="I2295" i="479"/>
  <c r="I2294" i="479"/>
  <c r="I2293" i="479"/>
  <c r="I2292" i="479"/>
  <c r="I2291" i="479"/>
  <c r="I2290" i="479"/>
  <c r="I2289" i="479"/>
  <c r="I2288" i="479"/>
  <c r="I2287" i="479"/>
  <c r="I2286" i="479"/>
  <c r="I2285" i="479"/>
  <c r="I2284" i="479"/>
  <c r="I2283" i="479"/>
  <c r="I2282" i="479"/>
  <c r="I2281" i="479"/>
  <c r="I2280" i="479"/>
  <c r="I2279" i="479"/>
  <c r="I2278" i="479"/>
  <c r="I2277" i="479"/>
  <c r="I2276" i="479"/>
  <c r="I2275" i="479"/>
  <c r="I2274" i="479"/>
  <c r="I2273" i="479"/>
  <c r="I2272" i="479"/>
  <c r="I2271" i="479"/>
  <c r="I2270" i="479"/>
  <c r="I2269" i="479"/>
  <c r="I2268" i="479"/>
  <c r="I2267" i="479"/>
  <c r="I2266" i="479"/>
  <c r="I2265" i="479"/>
  <c r="I2264" i="479"/>
  <c r="I2263" i="479"/>
  <c r="I2262" i="479"/>
  <c r="I2261" i="479"/>
  <c r="I2260" i="479"/>
  <c r="I2259" i="479"/>
  <c r="I2257" i="479"/>
  <c r="I2256" i="479"/>
  <c r="I2255" i="479"/>
  <c r="H2254" i="479"/>
  <c r="I2254" i="479" s="1"/>
  <c r="I2253" i="479"/>
  <c r="I2252" i="479"/>
  <c r="I2251" i="479"/>
  <c r="I2250" i="479"/>
  <c r="I2249" i="479"/>
  <c r="I2248" i="479"/>
  <c r="I2247" i="479"/>
  <c r="I2246" i="479"/>
  <c r="I2245" i="479"/>
  <c r="I2244" i="479"/>
  <c r="I2243" i="479"/>
  <c r="I2242" i="479"/>
  <c r="I2238" i="479"/>
  <c r="G2236" i="479"/>
  <c r="I2236" i="479" s="1"/>
  <c r="I2235" i="479"/>
  <c r="I2233" i="479"/>
  <c r="G2232" i="479"/>
  <c r="I2232" i="479" s="1"/>
  <c r="I2230" i="479"/>
  <c r="I2228" i="479"/>
  <c r="I2227" i="479"/>
  <c r="I2226" i="479"/>
  <c r="I2225" i="479"/>
  <c r="I2224" i="479"/>
  <c r="I2223" i="479"/>
  <c r="I2215" i="479"/>
  <c r="I2214" i="479"/>
  <c r="I2213" i="479"/>
  <c r="I2212" i="479"/>
  <c r="I2209" i="479"/>
  <c r="H2208" i="479"/>
  <c r="I2208" i="479" s="1"/>
  <c r="H2135" i="479"/>
  <c r="I2135" i="479" s="1"/>
  <c r="H2134" i="479"/>
  <c r="I2134" i="479" s="1"/>
  <c r="H2133" i="479"/>
  <c r="I2133" i="479" s="1"/>
  <c r="H2132" i="479"/>
  <c r="I2132" i="479" s="1"/>
  <c r="H2131" i="479"/>
  <c r="I2131" i="479" s="1"/>
  <c r="H2129" i="479"/>
  <c r="I2129" i="479" s="1"/>
  <c r="H2128" i="479"/>
  <c r="I2128" i="479" s="1"/>
  <c r="H2127" i="479"/>
  <c r="I2127" i="479" s="1"/>
  <c r="H2126" i="479"/>
  <c r="I2126" i="479" s="1"/>
  <c r="H2125" i="479"/>
  <c r="I2125" i="479" s="1"/>
  <c r="H2124" i="479"/>
  <c r="I2124" i="479" s="1"/>
  <c r="H2123" i="479"/>
  <c r="I2123" i="479" s="1"/>
  <c r="H2122" i="479"/>
  <c r="I2122" i="479" s="1"/>
  <c r="H2121" i="479"/>
  <c r="I2121" i="479" s="1"/>
  <c r="H2120" i="479"/>
  <c r="I2120" i="479" s="1"/>
  <c r="H2119" i="479"/>
  <c r="I2119" i="479" s="1"/>
  <c r="H2118" i="479"/>
  <c r="I2118" i="479" s="1"/>
  <c r="H2117" i="479"/>
  <c r="I2117" i="479" s="1"/>
  <c r="H2116" i="479"/>
  <c r="I2116" i="479" s="1"/>
  <c r="H2115" i="479"/>
  <c r="I2115" i="479" s="1"/>
  <c r="H2114" i="479"/>
  <c r="I2114" i="479" s="1"/>
  <c r="H2113" i="479"/>
  <c r="I2113" i="479" s="1"/>
  <c r="H2112" i="479"/>
  <c r="I2112" i="479" s="1"/>
  <c r="H2111" i="479"/>
  <c r="I2111" i="479" s="1"/>
  <c r="H2110" i="479"/>
  <c r="I2110" i="479" s="1"/>
  <c r="H2109" i="479"/>
  <c r="I2109" i="479" s="1"/>
  <c r="H2108" i="479"/>
  <c r="I2108" i="479" s="1"/>
  <c r="H2107" i="479"/>
  <c r="I2107" i="479" s="1"/>
  <c r="H2106" i="479"/>
  <c r="I2106" i="479" s="1"/>
  <c r="H2105" i="479"/>
  <c r="I2105" i="479" s="1"/>
  <c r="H2104" i="479"/>
  <c r="I2104" i="479" s="1"/>
  <c r="H2103" i="479"/>
  <c r="I2103" i="479" s="1"/>
  <c r="H2102" i="479"/>
  <c r="I2102" i="479" s="1"/>
  <c r="H2101" i="479"/>
  <c r="I2101" i="479" s="1"/>
  <c r="H2100" i="479"/>
  <c r="I2100" i="479" s="1"/>
  <c r="H2099" i="479"/>
  <c r="I2099" i="479" s="1"/>
  <c r="H2098" i="479"/>
  <c r="I2098" i="479" s="1"/>
  <c r="H2097" i="479"/>
  <c r="I2097" i="479" s="1"/>
  <c r="H2096" i="479"/>
  <c r="I2096" i="479" s="1"/>
  <c r="H2095" i="479"/>
  <c r="I2095" i="479" s="1"/>
  <c r="H2094" i="479"/>
  <c r="I2094" i="479" s="1"/>
  <c r="H2093" i="479"/>
  <c r="I2093" i="479" s="1"/>
  <c r="H2092" i="479"/>
  <c r="I2092" i="479" s="1"/>
  <c r="H2091" i="479"/>
  <c r="I2091" i="479" s="1"/>
  <c r="H2090" i="479"/>
  <c r="I2090" i="479" s="1"/>
  <c r="H2089" i="479"/>
  <c r="I2089" i="479" s="1"/>
  <c r="H2088" i="479"/>
  <c r="I2088" i="479" s="1"/>
  <c r="H2087" i="479"/>
  <c r="I2087" i="479" s="1"/>
  <c r="H2086" i="479"/>
  <c r="I2086" i="479" s="1"/>
  <c r="H2085" i="479"/>
  <c r="I2085" i="479" s="1"/>
  <c r="H2084" i="479"/>
  <c r="I2084" i="479" s="1"/>
  <c r="H2083" i="479"/>
  <c r="I2083" i="479" s="1"/>
  <c r="H2082" i="479"/>
  <c r="I2082" i="479" s="1"/>
  <c r="H2081" i="479"/>
  <c r="I2081" i="479" s="1"/>
  <c r="H2080" i="479"/>
  <c r="I2080" i="479" s="1"/>
  <c r="H2079" i="479"/>
  <c r="I2079" i="479" s="1"/>
  <c r="H2078" i="479"/>
  <c r="I2078" i="479" s="1"/>
  <c r="H2077" i="479"/>
  <c r="I2077" i="479" s="1"/>
  <c r="H2076" i="479"/>
  <c r="I2076" i="479" s="1"/>
  <c r="H2075" i="479"/>
  <c r="I2075" i="479" s="1"/>
  <c r="H2074" i="479"/>
  <c r="I2074" i="479" s="1"/>
  <c r="H2073" i="479"/>
  <c r="I2073" i="479" s="1"/>
  <c r="H2072" i="479"/>
  <c r="I2072" i="479" s="1"/>
  <c r="H2071" i="479"/>
  <c r="I2071" i="479" s="1"/>
  <c r="H2070" i="479"/>
  <c r="I2070" i="479" s="1"/>
  <c r="H2069" i="479"/>
  <c r="I2069" i="479" s="1"/>
  <c r="H2068" i="479"/>
  <c r="I2068" i="479" s="1"/>
  <c r="H2067" i="479"/>
  <c r="I2067" i="479" s="1"/>
  <c r="H2066" i="479"/>
  <c r="I2066" i="479" s="1"/>
  <c r="H2065" i="479"/>
  <c r="I2065" i="479" s="1"/>
  <c r="H2064" i="479"/>
  <c r="I2064" i="479" s="1"/>
  <c r="H2063" i="479"/>
  <c r="I2063" i="479" s="1"/>
  <c r="H2062" i="479"/>
  <c r="I2062" i="479" s="1"/>
  <c r="H2061" i="479"/>
  <c r="I2061" i="479" s="1"/>
  <c r="H2060" i="479"/>
  <c r="I2060" i="479" s="1"/>
  <c r="H2059" i="479"/>
  <c r="I2059" i="479" s="1"/>
  <c r="H2058" i="479"/>
  <c r="I2058" i="479" s="1"/>
  <c r="H2057" i="479"/>
  <c r="I2057" i="479" s="1"/>
  <c r="H2056" i="479"/>
  <c r="I2056" i="479" s="1"/>
  <c r="H2055" i="479"/>
  <c r="I2055" i="479" s="1"/>
  <c r="H2054" i="479"/>
  <c r="I2054" i="479" s="1"/>
  <c r="H2053" i="479"/>
  <c r="I2053" i="479" s="1"/>
  <c r="H2052" i="479"/>
  <c r="I2052" i="479" s="1"/>
  <c r="H2051" i="479"/>
  <c r="I2051" i="479" s="1"/>
  <c r="H2050" i="479"/>
  <c r="I2050" i="479" s="1"/>
  <c r="H2049" i="479"/>
  <c r="I2049" i="479" s="1"/>
  <c r="H2048" i="479"/>
  <c r="I2048" i="479" s="1"/>
  <c r="H2047" i="479"/>
  <c r="I2047" i="479" s="1"/>
  <c r="H2046" i="479"/>
  <c r="I2046" i="479" s="1"/>
  <c r="H2045" i="479"/>
  <c r="I2045" i="479" s="1"/>
  <c r="H2044" i="479"/>
  <c r="I2044" i="479" s="1"/>
  <c r="H2043" i="479"/>
  <c r="I2043" i="479" s="1"/>
  <c r="H2042" i="479"/>
  <c r="I2042" i="479" s="1"/>
  <c r="H2041" i="479"/>
  <c r="I2041" i="479" s="1"/>
  <c r="H2040" i="479"/>
  <c r="I2040" i="479" s="1"/>
  <c r="H2039" i="479"/>
  <c r="I2039" i="479" s="1"/>
  <c r="H2038" i="479"/>
  <c r="I2038" i="479" s="1"/>
  <c r="H2037" i="479"/>
  <c r="I2037" i="479" s="1"/>
  <c r="H2036" i="479"/>
  <c r="I2036" i="479" s="1"/>
  <c r="H2035" i="479"/>
  <c r="I2035" i="479" s="1"/>
  <c r="H2034" i="479"/>
  <c r="I2034" i="479" s="1"/>
  <c r="H2033" i="479"/>
  <c r="I2033" i="479" s="1"/>
  <c r="H2032" i="479"/>
  <c r="I2032" i="479" s="1"/>
  <c r="H2031" i="479"/>
  <c r="I2031" i="479" s="1"/>
  <c r="H2030" i="479"/>
  <c r="I2030" i="479" s="1"/>
  <c r="H2029" i="479"/>
  <c r="I2029" i="479" s="1"/>
  <c r="H2028" i="479"/>
  <c r="I2028" i="479" s="1"/>
  <c r="H2027" i="479"/>
  <c r="I2027" i="479" s="1"/>
  <c r="H2026" i="479"/>
  <c r="I2026" i="479" s="1"/>
  <c r="H2025" i="479"/>
  <c r="I2025" i="479" s="1"/>
  <c r="H2024" i="479"/>
  <c r="I2024" i="479" s="1"/>
  <c r="H2023" i="479"/>
  <c r="I2023" i="479" s="1"/>
  <c r="H2022" i="479"/>
  <c r="I2022" i="479" s="1"/>
  <c r="H2021" i="479"/>
  <c r="I2021" i="479" s="1"/>
  <c r="H2020" i="479"/>
  <c r="I2020" i="479" s="1"/>
  <c r="H2019" i="479"/>
  <c r="I2019" i="479" s="1"/>
  <c r="H2018" i="479"/>
  <c r="I2018" i="479" s="1"/>
  <c r="H2017" i="479"/>
  <c r="I2017" i="479" s="1"/>
  <c r="H2016" i="479"/>
  <c r="I2016" i="479" s="1"/>
  <c r="H2015" i="479"/>
  <c r="I2015" i="479" s="1"/>
  <c r="H2014" i="479"/>
  <c r="I2014" i="479" s="1"/>
  <c r="H2013" i="479"/>
  <c r="I2013" i="479" s="1"/>
  <c r="H2012" i="479"/>
  <c r="I2012" i="479" s="1"/>
  <c r="H2011" i="479"/>
  <c r="I2011" i="479" s="1"/>
  <c r="H2010" i="479"/>
  <c r="I2010" i="479" s="1"/>
  <c r="H2009" i="479"/>
  <c r="I2009" i="479" s="1"/>
  <c r="H2008" i="479"/>
  <c r="I2008" i="479" s="1"/>
  <c r="H2007" i="479"/>
  <c r="I2007" i="479" s="1"/>
  <c r="H2006" i="479"/>
  <c r="I2006" i="479" s="1"/>
  <c r="H2005" i="479"/>
  <c r="I2005" i="479" s="1"/>
  <c r="H2004" i="479"/>
  <c r="I2004" i="479" s="1"/>
  <c r="H2003" i="479"/>
  <c r="I2003" i="479" s="1"/>
  <c r="H2002" i="479"/>
  <c r="I2002" i="479" s="1"/>
  <c r="H2001" i="479"/>
  <c r="I2001" i="479" s="1"/>
  <c r="H2000" i="479"/>
  <c r="I2000" i="479" s="1"/>
  <c r="H1999" i="479"/>
  <c r="I1999" i="479" s="1"/>
  <c r="H1998" i="479"/>
  <c r="I1998" i="479" s="1"/>
  <c r="H1997" i="479"/>
  <c r="I1997" i="479" s="1"/>
  <c r="H1996" i="479"/>
  <c r="I1996" i="479" s="1"/>
  <c r="H1995" i="479"/>
  <c r="I1995" i="479" s="1"/>
  <c r="H1994" i="479"/>
  <c r="I1994" i="479" s="1"/>
  <c r="H1993" i="479"/>
  <c r="I1993" i="479" s="1"/>
  <c r="H1992" i="479"/>
  <c r="I1992" i="479" s="1"/>
  <c r="I1974" i="479"/>
  <c r="I1973" i="479"/>
  <c r="I1972" i="479"/>
  <c r="I1971" i="479"/>
  <c r="I1970" i="479"/>
  <c r="I1991" i="479"/>
  <c r="I1990" i="479"/>
  <c r="H1989" i="479"/>
  <c r="I1989" i="479" s="1"/>
  <c r="H1988" i="479"/>
  <c r="I1988" i="479" s="1"/>
  <c r="H1987" i="479"/>
  <c r="I1987" i="479" s="1"/>
  <c r="H1986" i="479"/>
  <c r="I1985" i="479"/>
  <c r="I1983" i="479"/>
  <c r="I1982" i="479"/>
  <c r="I1981" i="479"/>
  <c r="I1980" i="479"/>
  <c r="I1979" i="479"/>
  <c r="I1978" i="479"/>
  <c r="I1977" i="479"/>
  <c r="I1976" i="479"/>
  <c r="I1975" i="479"/>
  <c r="I1969" i="479"/>
  <c r="I1968" i="479"/>
  <c r="I1967" i="479"/>
  <c r="I1966" i="479"/>
  <c r="I1965" i="479"/>
  <c r="H2207" i="479"/>
  <c r="I2206" i="479"/>
  <c r="H2205" i="479"/>
  <c r="H2204" i="479"/>
  <c r="I2204" i="479" s="1"/>
  <c r="I2203" i="479"/>
  <c r="H2202" i="479"/>
  <c r="I2202" i="479" s="1"/>
  <c r="H2201" i="479"/>
  <c r="I2201" i="479" s="1"/>
  <c r="H2200" i="479"/>
  <c r="H2199" i="479"/>
  <c r="I2199" i="479" s="1"/>
  <c r="H2198" i="479"/>
  <c r="H2197" i="479"/>
  <c r="I2197" i="479" s="1"/>
  <c r="H2196" i="479"/>
  <c r="H2195" i="479"/>
  <c r="I2195" i="479" s="1"/>
  <c r="H2194" i="479"/>
  <c r="H2193" i="479"/>
  <c r="H2192" i="479"/>
  <c r="I2191" i="479"/>
  <c r="H2190" i="479"/>
  <c r="I2190" i="479" s="1"/>
  <c r="H2189" i="479"/>
  <c r="H2188" i="479"/>
  <c r="I2187" i="479"/>
  <c r="H2186" i="479"/>
  <c r="I2185" i="479"/>
  <c r="H2184" i="479"/>
  <c r="I2183" i="479"/>
  <c r="H2182" i="479"/>
  <c r="I2182" i="479" s="1"/>
  <c r="I2181" i="479"/>
  <c r="I2180" i="479"/>
  <c r="I2179" i="479"/>
  <c r="I2178" i="479"/>
  <c r="H2177" i="479"/>
  <c r="H2176" i="479"/>
  <c r="I2176" i="479" s="1"/>
  <c r="H2175" i="479"/>
  <c r="H2174" i="479"/>
  <c r="I2174" i="479" s="1"/>
  <c r="H2173" i="479"/>
  <c r="H2172" i="479"/>
  <c r="H2171" i="479"/>
  <c r="I2170" i="479"/>
  <c r="I2169" i="479"/>
  <c r="H2168" i="479"/>
  <c r="I1961" i="479"/>
  <c r="I1959" i="479"/>
  <c r="I1958" i="479"/>
  <c r="I1957" i="479"/>
  <c r="I1956" i="479"/>
  <c r="I1944" i="479"/>
  <c r="I1943" i="479"/>
  <c r="I1942" i="479"/>
  <c r="H1941" i="479"/>
  <c r="G1941" i="479"/>
  <c r="H1940" i="479"/>
  <c r="G1940" i="479"/>
  <c r="H1939" i="479"/>
  <c r="G1939" i="479"/>
  <c r="H1938" i="479"/>
  <c r="G1938" i="479"/>
  <c r="H1937" i="479"/>
  <c r="G1937" i="479"/>
  <c r="H1936" i="479"/>
  <c r="G1936" i="479"/>
  <c r="H1935" i="479"/>
  <c r="G1935" i="479"/>
  <c r="H1934" i="479"/>
  <c r="G1934" i="479"/>
  <c r="H1933" i="479"/>
  <c r="G1933" i="479"/>
  <c r="H1932" i="479"/>
  <c r="I1932" i="479" s="1"/>
  <c r="H1931" i="479"/>
  <c r="G1931" i="479"/>
  <c r="H1930" i="479"/>
  <c r="G1930" i="479"/>
  <c r="H1929" i="479"/>
  <c r="G1929" i="479"/>
  <c r="I1928" i="479"/>
  <c r="H1927" i="479"/>
  <c r="G1927" i="479"/>
  <c r="H1926" i="479"/>
  <c r="G1926" i="479"/>
  <c r="H1925" i="479"/>
  <c r="G1925" i="479"/>
  <c r="H1924" i="479"/>
  <c r="G1924" i="479"/>
  <c r="H1923" i="479"/>
  <c r="G1923" i="479"/>
  <c r="H1922" i="479"/>
  <c r="G1922" i="479"/>
  <c r="H1921" i="479"/>
  <c r="G1921" i="479"/>
  <c r="H1920" i="479"/>
  <c r="G1920" i="479"/>
  <c r="H1919" i="479"/>
  <c r="G1919" i="479"/>
  <c r="H1918" i="479"/>
  <c r="G1918" i="479"/>
  <c r="H1917" i="479"/>
  <c r="G1917" i="479"/>
  <c r="H1916" i="479"/>
  <c r="G1916" i="479"/>
  <c r="H1915" i="479"/>
  <c r="G1915" i="479"/>
  <c r="H1914" i="479"/>
  <c r="G1914" i="479"/>
  <c r="H1913" i="479"/>
  <c r="G1913" i="479"/>
  <c r="H1912" i="479"/>
  <c r="G1912" i="479"/>
  <c r="H1911" i="479"/>
  <c r="G1911" i="479"/>
  <c r="H1910" i="479"/>
  <c r="G1910" i="479"/>
  <c r="H1909" i="479"/>
  <c r="G1909" i="479"/>
  <c r="H1908" i="479"/>
  <c r="G1908" i="479"/>
  <c r="H1907" i="479"/>
  <c r="G1907" i="479"/>
  <c r="H1906" i="479"/>
  <c r="G1906" i="479"/>
  <c r="H1905" i="479"/>
  <c r="G1905" i="479"/>
  <c r="H1904" i="479"/>
  <c r="G1904" i="479"/>
  <c r="H1903" i="479"/>
  <c r="G1903" i="479"/>
  <c r="H1902" i="479"/>
  <c r="G1902" i="479"/>
  <c r="H1901" i="479"/>
  <c r="G1901" i="479"/>
  <c r="H1900" i="479"/>
  <c r="G1900" i="479"/>
  <c r="H1899" i="479"/>
  <c r="G1899" i="479"/>
  <c r="H1898" i="479"/>
  <c r="G1898" i="479"/>
  <c r="H1897" i="479"/>
  <c r="G1897" i="479"/>
  <c r="H1896" i="479"/>
  <c r="G1896" i="479"/>
  <c r="H1895" i="479"/>
  <c r="G1895" i="479"/>
  <c r="G1894" i="479"/>
  <c r="I1894" i="479" s="1"/>
  <c r="G1893" i="479"/>
  <c r="I1893" i="479" s="1"/>
  <c r="G1892" i="479"/>
  <c r="I1892" i="479" s="1"/>
  <c r="G1891" i="479"/>
  <c r="I1891" i="479" s="1"/>
  <c r="G1890" i="479"/>
  <c r="I1890" i="479" s="1"/>
  <c r="G1889" i="479"/>
  <c r="I1889" i="479" s="1"/>
  <c r="G1888" i="479"/>
  <c r="I1888" i="479" s="1"/>
  <c r="G1887" i="479"/>
  <c r="I1887" i="479" s="1"/>
  <c r="G1886" i="479"/>
  <c r="I1886" i="479" s="1"/>
  <c r="G1885" i="479"/>
  <c r="I1885" i="479" s="1"/>
  <c r="G1884" i="479"/>
  <c r="I1884" i="479" s="1"/>
  <c r="G1883" i="479"/>
  <c r="I1883" i="479" s="1"/>
  <c r="H1882" i="479"/>
  <c r="G1882" i="479"/>
  <c r="H1881" i="479"/>
  <c r="G1881" i="479"/>
  <c r="H1880" i="479"/>
  <c r="G1880" i="479"/>
  <c r="H1879" i="479"/>
  <c r="G1879" i="479"/>
  <c r="H1878" i="479"/>
  <c r="G1878" i="479"/>
  <c r="H1877" i="479"/>
  <c r="G1877" i="479"/>
  <c r="H1876" i="479"/>
  <c r="G1876" i="479"/>
  <c r="H1875" i="479"/>
  <c r="G1875" i="479"/>
  <c r="H1874" i="479"/>
  <c r="G1874" i="479"/>
  <c r="H1873" i="479"/>
  <c r="G1873" i="479"/>
  <c r="H1872" i="479"/>
  <c r="G1872" i="479"/>
  <c r="H1871" i="479"/>
  <c r="G1871" i="479"/>
  <c r="H1870" i="479"/>
  <c r="G1870" i="479"/>
  <c r="H1869" i="479"/>
  <c r="G1869" i="479"/>
  <c r="H1868" i="479"/>
  <c r="G1868" i="479"/>
  <c r="H1867" i="479"/>
  <c r="G1867" i="479"/>
  <c r="H1866" i="479"/>
  <c r="G1866" i="479"/>
  <c r="H1865" i="479"/>
  <c r="G1865" i="479"/>
  <c r="H1864" i="479"/>
  <c r="G1864" i="479"/>
  <c r="H1863" i="479"/>
  <c r="G1863" i="479"/>
  <c r="H1862" i="479"/>
  <c r="G1862" i="479"/>
  <c r="H1861" i="479"/>
  <c r="G1861" i="479"/>
  <c r="H1860" i="479"/>
  <c r="G1860" i="479"/>
  <c r="H1859" i="479"/>
  <c r="G1859" i="479"/>
  <c r="H1858" i="479"/>
  <c r="G1858" i="479"/>
  <c r="H1857" i="479"/>
  <c r="G1857" i="479"/>
  <c r="G1856" i="479"/>
  <c r="I1856" i="479" s="1"/>
  <c r="H1855" i="479"/>
  <c r="G1855" i="479"/>
  <c r="H1854" i="479"/>
  <c r="G1854" i="479"/>
  <c r="H1853" i="479"/>
  <c r="G1853" i="479"/>
  <c r="H1852" i="479"/>
  <c r="G1852" i="479"/>
  <c r="H1851" i="479"/>
  <c r="G1851" i="479"/>
  <c r="H1850" i="479"/>
  <c r="G1850" i="479"/>
  <c r="H1849" i="479"/>
  <c r="G1849" i="479"/>
  <c r="H1848" i="479"/>
  <c r="G1848" i="479"/>
  <c r="H1847" i="479"/>
  <c r="G1847" i="479"/>
  <c r="H1846" i="479"/>
  <c r="G1846" i="479"/>
  <c r="H1845" i="479"/>
  <c r="G1845" i="479"/>
  <c r="H1844" i="479"/>
  <c r="G1844" i="479"/>
  <c r="H1843" i="479"/>
  <c r="G1843" i="479"/>
  <c r="H1842" i="479"/>
  <c r="G1842" i="479"/>
  <c r="H1841" i="479"/>
  <c r="G1841" i="479"/>
  <c r="H1840" i="479"/>
  <c r="G1840" i="479"/>
  <c r="H1839" i="479"/>
  <c r="G1839" i="479"/>
  <c r="H1838" i="479"/>
  <c r="G1838" i="479"/>
  <c r="H1837" i="479"/>
  <c r="G1837" i="479"/>
  <c r="H1836" i="479"/>
  <c r="G1836" i="479"/>
  <c r="H1835" i="479"/>
  <c r="G1835" i="479"/>
  <c r="H1834" i="479"/>
  <c r="G1834" i="479"/>
  <c r="H1833" i="479"/>
  <c r="G1833" i="479"/>
  <c r="H1832" i="479"/>
  <c r="G1832" i="479"/>
  <c r="H1831" i="479"/>
  <c r="G1831" i="479"/>
  <c r="H1830" i="479"/>
  <c r="G1830" i="479"/>
  <c r="H1829" i="479"/>
  <c r="G1829" i="479"/>
  <c r="H1828" i="479"/>
  <c r="G1828" i="479"/>
  <c r="H1827" i="479"/>
  <c r="G1827" i="479"/>
  <c r="H1826" i="479"/>
  <c r="G1826" i="479"/>
  <c r="H1825" i="479"/>
  <c r="G1825" i="479"/>
  <c r="H1824" i="479"/>
  <c r="G1824" i="479"/>
  <c r="H1823" i="479"/>
  <c r="G1823" i="479"/>
  <c r="H1822" i="479"/>
  <c r="G1822" i="479"/>
  <c r="H1821" i="479"/>
  <c r="G1821" i="479"/>
  <c r="H1820" i="479"/>
  <c r="G1820" i="479"/>
  <c r="H1819" i="479"/>
  <c r="G1819" i="479"/>
  <c r="H1818" i="479"/>
  <c r="G1818" i="479"/>
  <c r="H1817" i="479"/>
  <c r="G1817" i="479"/>
  <c r="H1816" i="479"/>
  <c r="G1816" i="479"/>
  <c r="H1815" i="479"/>
  <c r="G1815" i="479"/>
  <c r="H1814" i="479"/>
  <c r="G1814" i="479"/>
  <c r="G1813" i="479"/>
  <c r="I1813" i="479" s="1"/>
  <c r="G1812" i="479"/>
  <c r="I1812" i="479" s="1"/>
  <c r="G1811" i="479"/>
  <c r="I1811" i="479" s="1"/>
  <c r="G1810" i="479"/>
  <c r="I1810" i="479" s="1"/>
  <c r="H1809" i="479"/>
  <c r="G1809" i="479"/>
  <c r="H1808" i="479"/>
  <c r="G1808" i="479"/>
  <c r="H1807" i="479"/>
  <c r="G1807" i="479"/>
  <c r="H1806" i="479"/>
  <c r="G1806" i="479"/>
  <c r="H1805" i="479"/>
  <c r="G1805" i="479"/>
  <c r="H1804" i="479"/>
  <c r="G1804" i="479"/>
  <c r="H1803" i="479"/>
  <c r="G1803" i="479"/>
  <c r="H1802" i="479"/>
  <c r="G1802" i="479"/>
  <c r="H1801" i="479"/>
  <c r="G1801" i="479"/>
  <c r="H1790" i="479"/>
  <c r="G1790" i="479"/>
  <c r="H1789" i="479"/>
  <c r="G1789" i="479"/>
  <c r="H1788" i="479"/>
  <c r="G1788" i="479"/>
  <c r="H1781" i="479"/>
  <c r="G1781" i="479"/>
  <c r="H1780" i="479"/>
  <c r="G1780" i="479"/>
  <c r="H1779" i="479"/>
  <c r="G1779" i="479"/>
  <c r="H1778" i="479"/>
  <c r="G1778" i="479"/>
  <c r="H1777" i="479"/>
  <c r="G1777" i="479"/>
  <c r="H1776" i="479"/>
  <c r="G1776" i="479"/>
  <c r="H1775" i="479"/>
  <c r="G1775" i="479"/>
  <c r="H1774" i="479"/>
  <c r="G1774" i="479"/>
  <c r="H1773" i="479"/>
  <c r="G1773" i="479"/>
  <c r="H1772" i="479"/>
  <c r="G1772" i="479"/>
  <c r="H1771" i="479"/>
  <c r="G1771" i="479"/>
  <c r="H1770" i="479"/>
  <c r="G1770" i="479"/>
  <c r="H1769" i="479"/>
  <c r="G1769" i="479"/>
  <c r="H1768" i="479"/>
  <c r="G1768" i="479"/>
  <c r="H1767" i="479"/>
  <c r="G1767" i="479"/>
  <c r="H1766" i="479"/>
  <c r="G1766" i="479"/>
  <c r="H1765" i="479"/>
  <c r="G1765" i="479"/>
  <c r="G1764" i="479"/>
  <c r="I1764" i="479" s="1"/>
  <c r="G1763" i="479"/>
  <c r="I1763" i="479" s="1"/>
  <c r="G1762" i="479"/>
  <c r="I1762" i="479" s="1"/>
  <c r="G1761" i="479"/>
  <c r="I1761" i="479" s="1"/>
  <c r="G1760" i="479"/>
  <c r="I1760" i="479" s="1"/>
  <c r="G1759" i="479"/>
  <c r="I1759" i="479" s="1"/>
  <c r="H1758" i="479"/>
  <c r="G1758" i="479"/>
  <c r="H1757" i="479"/>
  <c r="G1757" i="479"/>
  <c r="H1756" i="479"/>
  <c r="G1756" i="479"/>
  <c r="H1755" i="479"/>
  <c r="G1755" i="479"/>
  <c r="H1754" i="479"/>
  <c r="G1754" i="479"/>
  <c r="H1753" i="479"/>
  <c r="G1753" i="479"/>
  <c r="H1752" i="479"/>
  <c r="G1752" i="479"/>
  <c r="H1751" i="479"/>
  <c r="G1751" i="479"/>
  <c r="H1750" i="479"/>
  <c r="G1750" i="479"/>
  <c r="H1749" i="479"/>
  <c r="G1749" i="479"/>
  <c r="H1748" i="479"/>
  <c r="G1748" i="479"/>
  <c r="H1747" i="479"/>
  <c r="G1747" i="479"/>
  <c r="H1746" i="479"/>
  <c r="G1746" i="479"/>
  <c r="H1745" i="479"/>
  <c r="G1745" i="479"/>
  <c r="H1744" i="479"/>
  <c r="G1744" i="479"/>
  <c r="H1743" i="479"/>
  <c r="G1743" i="479"/>
  <c r="H1742" i="479"/>
  <c r="G1742" i="479"/>
  <c r="H1741" i="479"/>
  <c r="G1741" i="479"/>
  <c r="H1740" i="479"/>
  <c r="G1740" i="479"/>
  <c r="H1739" i="479"/>
  <c r="G1739" i="479"/>
  <c r="H1738" i="479"/>
  <c r="G1738" i="479"/>
  <c r="H1737" i="479"/>
  <c r="G1737" i="479"/>
  <c r="H1736" i="479"/>
  <c r="G1736" i="479"/>
  <c r="H1735" i="479"/>
  <c r="G1735" i="479"/>
  <c r="H1734" i="479"/>
  <c r="G1734" i="479"/>
  <c r="H1733" i="479"/>
  <c r="G1733" i="479"/>
  <c r="H1732" i="479"/>
  <c r="G1732" i="479"/>
  <c r="H1731" i="479"/>
  <c r="G1731" i="479"/>
  <c r="H1730" i="479"/>
  <c r="G1730" i="479"/>
  <c r="H1729" i="479"/>
  <c r="G1729" i="479"/>
  <c r="H1728" i="479"/>
  <c r="G1728" i="479"/>
  <c r="H1727" i="479"/>
  <c r="G1727" i="479"/>
  <c r="H1726" i="479"/>
  <c r="G1726" i="479"/>
  <c r="H1725" i="479"/>
  <c r="G1725" i="479"/>
  <c r="H1724" i="479"/>
  <c r="G1724" i="479"/>
  <c r="H1723" i="479"/>
  <c r="G1723" i="479"/>
  <c r="H1722" i="479"/>
  <c r="G1722" i="479"/>
  <c r="H1721" i="479"/>
  <c r="G1721" i="479"/>
  <c r="H1720" i="479"/>
  <c r="G1720" i="479"/>
  <c r="H1719" i="479"/>
  <c r="G1719" i="479"/>
  <c r="H1718" i="479"/>
  <c r="G1718" i="479"/>
  <c r="H1717" i="479"/>
  <c r="G1717" i="479"/>
  <c r="H1716" i="479"/>
  <c r="G1716" i="479"/>
  <c r="H1715" i="479"/>
  <c r="G1715" i="479"/>
  <c r="H1714" i="479"/>
  <c r="G1714" i="479"/>
  <c r="H1713" i="479"/>
  <c r="G1713" i="479"/>
  <c r="H1712" i="479"/>
  <c r="G1712" i="479"/>
  <c r="H1711" i="479"/>
  <c r="G1711" i="479"/>
  <c r="H1710" i="479"/>
  <c r="G1710" i="479"/>
  <c r="H1709" i="479"/>
  <c r="G1709" i="479"/>
  <c r="H1708" i="479"/>
  <c r="G1708" i="479"/>
  <c r="H1707" i="479"/>
  <c r="G1707" i="479"/>
  <c r="H1706" i="479"/>
  <c r="G1706" i="479"/>
  <c r="H1705" i="479"/>
  <c r="G1705" i="479"/>
  <c r="H1704" i="479"/>
  <c r="G1704" i="479"/>
  <c r="H1703" i="479"/>
  <c r="G1703" i="479"/>
  <c r="H1702" i="479"/>
  <c r="G1702" i="479"/>
  <c r="H1701" i="479"/>
  <c r="G1701" i="479"/>
  <c r="H1700" i="479"/>
  <c r="G1700" i="479"/>
  <c r="H1699" i="479"/>
  <c r="G1699" i="479"/>
  <c r="H1698" i="479"/>
  <c r="G1698" i="479"/>
  <c r="H1697" i="479"/>
  <c r="G1697" i="479"/>
  <c r="I1962" i="479"/>
  <c r="I1695" i="479"/>
  <c r="I1694" i="479"/>
  <c r="I1693" i="479"/>
  <c r="I1692" i="479"/>
  <c r="I1691" i="479"/>
  <c r="I1690" i="479"/>
  <c r="I1689" i="479"/>
  <c r="I1688" i="479"/>
  <c r="I1687" i="479"/>
  <c r="I1686" i="479"/>
  <c r="I1685" i="479"/>
  <c r="I1684" i="479"/>
  <c r="I1683" i="479"/>
  <c r="I1682" i="479"/>
  <c r="I1681" i="479"/>
  <c r="I1680" i="479"/>
  <c r="I1676" i="479"/>
  <c r="H1675" i="479"/>
  <c r="I1675" i="479" s="1"/>
  <c r="H1674" i="479"/>
  <c r="I1674" i="479" s="1"/>
  <c r="H1673" i="479"/>
  <c r="I1673" i="479" s="1"/>
  <c r="H1672" i="479"/>
  <c r="I1672" i="479" s="1"/>
  <c r="H1671" i="479"/>
  <c r="I1671" i="479" s="1"/>
  <c r="H1667" i="479"/>
  <c r="I1667" i="479" s="1"/>
  <c r="H1666" i="479"/>
  <c r="I1666" i="479" s="1"/>
  <c r="H1665" i="479"/>
  <c r="I1665" i="479" s="1"/>
  <c r="H1664" i="479"/>
  <c r="I1664" i="479" s="1"/>
  <c r="H1663" i="479"/>
  <c r="I1663" i="479" s="1"/>
  <c r="H1662" i="479"/>
  <c r="I1662" i="479" s="1"/>
  <c r="H1661" i="479"/>
  <c r="I1661" i="479" s="1"/>
  <c r="H1660" i="479"/>
  <c r="I1660" i="479" s="1"/>
  <c r="H1659" i="479"/>
  <c r="I1659" i="479" s="1"/>
  <c r="H1658" i="479"/>
  <c r="I1658" i="479" s="1"/>
  <c r="H1657" i="479"/>
  <c r="I1657" i="479" s="1"/>
  <c r="H1656" i="479"/>
  <c r="I1656" i="479" s="1"/>
  <c r="H1655" i="479"/>
  <c r="I1655" i="479" s="1"/>
  <c r="H1654" i="479"/>
  <c r="I1654" i="479" s="1"/>
  <c r="H1653" i="479"/>
  <c r="I1653" i="479" s="1"/>
  <c r="H1652" i="479"/>
  <c r="I1652" i="479" s="1"/>
  <c r="H1651" i="479"/>
  <c r="I1651" i="479" s="1"/>
  <c r="H1650" i="479"/>
  <c r="I1650" i="479" s="1"/>
  <c r="G1649" i="479"/>
  <c r="I1649" i="479" s="1"/>
  <c r="G1648" i="479"/>
  <c r="I1648" i="479" s="1"/>
  <c r="G1647" i="479"/>
  <c r="I1647" i="479" s="1"/>
  <c r="G1646" i="479"/>
  <c r="I1646" i="479" s="1"/>
  <c r="G1645" i="479"/>
  <c r="I1645" i="479" s="1"/>
  <c r="G1644" i="479"/>
  <c r="I1644" i="479" s="1"/>
  <c r="G1643" i="479"/>
  <c r="I1643" i="479" s="1"/>
  <c r="G1642" i="479"/>
  <c r="I1642" i="479" s="1"/>
  <c r="G1641" i="479"/>
  <c r="I1641" i="479" s="1"/>
  <c r="G1640" i="479"/>
  <c r="I1640" i="479" s="1"/>
  <c r="G1639" i="479"/>
  <c r="I1639" i="479" s="1"/>
  <c r="G1638" i="479"/>
  <c r="I1638" i="479" s="1"/>
  <c r="G1637" i="479"/>
  <c r="I1637" i="479" s="1"/>
  <c r="G1636" i="479"/>
  <c r="I1636" i="479" s="1"/>
  <c r="G1635" i="479"/>
  <c r="I1635" i="479" s="1"/>
  <c r="G1634" i="479"/>
  <c r="I1634" i="479" s="1"/>
  <c r="G1633" i="479"/>
  <c r="I1633" i="479" s="1"/>
  <c r="G1632" i="479"/>
  <c r="I1632" i="479" s="1"/>
  <c r="G1631" i="479"/>
  <c r="I1631" i="479" s="1"/>
  <c r="G1630" i="479"/>
  <c r="I1630" i="479" s="1"/>
  <c r="G1629" i="479"/>
  <c r="I1629" i="479" s="1"/>
  <c r="G1628" i="479"/>
  <c r="I1628" i="479" s="1"/>
  <c r="G1627" i="479"/>
  <c r="I1627" i="479" s="1"/>
  <c r="G1626" i="479"/>
  <c r="I1626" i="479" s="1"/>
  <c r="G1625" i="479"/>
  <c r="I1625" i="479" s="1"/>
  <c r="G1624" i="479"/>
  <c r="I1624" i="479" s="1"/>
  <c r="G1623" i="479"/>
  <c r="I1623" i="479" s="1"/>
  <c r="G1622" i="479"/>
  <c r="I1622" i="479" s="1"/>
  <c r="G1621" i="479"/>
  <c r="I1621" i="479" s="1"/>
  <c r="G1620" i="479"/>
  <c r="I1620" i="479" s="1"/>
  <c r="G1619" i="479"/>
  <c r="I1619" i="479" s="1"/>
  <c r="G1618" i="479"/>
  <c r="I1618" i="479" s="1"/>
  <c r="G1617" i="479"/>
  <c r="I1617" i="479" s="1"/>
  <c r="G1616" i="479"/>
  <c r="I1616" i="479" s="1"/>
  <c r="G1615" i="479"/>
  <c r="I1615" i="479" s="1"/>
  <c r="G1614" i="479"/>
  <c r="I1614" i="479" s="1"/>
  <c r="G1613" i="479"/>
  <c r="I1613" i="479" s="1"/>
  <c r="G1612" i="479"/>
  <c r="I1612" i="479" s="1"/>
  <c r="G1611" i="479"/>
  <c r="I1611" i="479" s="1"/>
  <c r="G1610" i="479"/>
  <c r="I1610" i="479" s="1"/>
  <c r="G1609" i="479"/>
  <c r="I1609" i="479" s="1"/>
  <c r="G1608" i="479"/>
  <c r="I1608" i="479" s="1"/>
  <c r="G1607" i="479"/>
  <c r="I1607" i="479" s="1"/>
  <c r="G1606" i="479"/>
  <c r="I1606" i="479" s="1"/>
  <c r="G1605" i="479"/>
  <c r="I1605" i="479" s="1"/>
  <c r="G1604" i="479"/>
  <c r="I1604" i="479" s="1"/>
  <c r="G1603" i="479"/>
  <c r="I1603" i="479" s="1"/>
  <c r="G1602" i="479"/>
  <c r="I1602" i="479" s="1"/>
  <c r="G1601" i="479"/>
  <c r="I1601" i="479" s="1"/>
  <c r="G1600" i="479"/>
  <c r="I1600" i="479" s="1"/>
  <c r="G1599" i="479"/>
  <c r="I1599" i="479" s="1"/>
  <c r="G1598" i="479"/>
  <c r="I1598" i="479" s="1"/>
  <c r="G1597" i="479"/>
  <c r="I1597" i="479" s="1"/>
  <c r="G1596" i="479"/>
  <c r="I1596" i="479" s="1"/>
  <c r="G1595" i="479"/>
  <c r="I1595" i="479" s="1"/>
  <c r="G1594" i="479"/>
  <c r="I1594" i="479" s="1"/>
  <c r="G1593" i="479"/>
  <c r="I1593" i="479" s="1"/>
  <c r="G1592" i="479"/>
  <c r="I1592" i="479" s="1"/>
  <c r="G1591" i="479"/>
  <c r="I1591" i="479" s="1"/>
  <c r="G1590" i="479"/>
  <c r="I1590" i="479" s="1"/>
  <c r="G1589" i="479"/>
  <c r="I1589" i="479" s="1"/>
  <c r="G1588" i="479"/>
  <c r="I1588" i="479" s="1"/>
  <c r="G1587" i="479"/>
  <c r="I1587" i="479" s="1"/>
  <c r="G1586" i="479"/>
  <c r="I1586" i="479" s="1"/>
  <c r="G1585" i="479"/>
  <c r="I1585" i="479" s="1"/>
  <c r="G1584" i="479"/>
  <c r="I1584" i="479" s="1"/>
  <c r="G1583" i="479"/>
  <c r="I1583" i="479" s="1"/>
  <c r="G1582" i="479"/>
  <c r="I1582" i="479" s="1"/>
  <c r="G1581" i="479"/>
  <c r="I1581" i="479" s="1"/>
  <c r="G1580" i="479"/>
  <c r="I1580" i="479" s="1"/>
  <c r="G1579" i="479"/>
  <c r="I1579" i="479" s="1"/>
  <c r="G1578" i="479"/>
  <c r="I1578" i="479" s="1"/>
  <c r="G1577" i="479"/>
  <c r="I1577" i="479" s="1"/>
  <c r="G1576" i="479"/>
  <c r="I1576" i="479" s="1"/>
  <c r="G1575" i="479"/>
  <c r="I1575" i="479" s="1"/>
  <c r="G1574" i="479"/>
  <c r="I1574" i="479" s="1"/>
  <c r="G1573" i="479"/>
  <c r="I1573" i="479" s="1"/>
  <c r="G1572" i="479"/>
  <c r="I1572" i="479" s="1"/>
  <c r="G1571" i="479"/>
  <c r="I1571" i="479" s="1"/>
  <c r="G1570" i="479"/>
  <c r="I1570" i="479" s="1"/>
  <c r="G1569" i="479"/>
  <c r="I1569" i="479" s="1"/>
  <c r="G1568" i="479"/>
  <c r="I1568" i="479" s="1"/>
  <c r="G1567" i="479"/>
  <c r="I1567" i="479" s="1"/>
  <c r="G1566" i="479"/>
  <c r="I1566" i="479" s="1"/>
  <c r="G1565" i="479"/>
  <c r="I1565" i="479" s="1"/>
  <c r="G1564" i="479"/>
  <c r="I1564" i="479" s="1"/>
  <c r="G1563" i="479"/>
  <c r="I1563" i="479" s="1"/>
  <c r="G1562" i="479"/>
  <c r="I1562" i="479" s="1"/>
  <c r="G1561" i="479"/>
  <c r="I1561" i="479" s="1"/>
  <c r="G1560" i="479"/>
  <c r="I1560" i="479" s="1"/>
  <c r="G1559" i="479"/>
  <c r="I1559" i="479" s="1"/>
  <c r="G1558" i="479"/>
  <c r="I1558" i="479" s="1"/>
  <c r="G1557" i="479"/>
  <c r="I1557" i="479" s="1"/>
  <c r="G1556" i="479"/>
  <c r="I1556" i="479" s="1"/>
  <c r="G1555" i="479"/>
  <c r="I1555" i="479" s="1"/>
  <c r="G1554" i="479"/>
  <c r="I1554" i="479" s="1"/>
  <c r="G1553" i="479"/>
  <c r="I1553" i="479" s="1"/>
  <c r="G1552" i="479"/>
  <c r="I1552" i="479" s="1"/>
  <c r="G1551" i="479"/>
  <c r="I1551" i="479" s="1"/>
  <c r="G1550" i="479"/>
  <c r="I1550" i="479" s="1"/>
  <c r="G1549" i="479"/>
  <c r="I1549" i="479" s="1"/>
  <c r="G1548" i="479"/>
  <c r="I1548" i="479" s="1"/>
  <c r="G1547" i="479"/>
  <c r="I1547" i="479" s="1"/>
  <c r="G1546" i="479"/>
  <c r="I1546" i="479" s="1"/>
  <c r="G1545" i="479"/>
  <c r="I1545" i="479" s="1"/>
  <c r="G1544" i="479"/>
  <c r="I1544" i="479" s="1"/>
  <c r="G1543" i="479"/>
  <c r="I1543" i="479" s="1"/>
  <c r="G1542" i="479"/>
  <c r="I1542" i="479" s="1"/>
  <c r="G1541" i="479"/>
  <c r="I1541" i="479" s="1"/>
  <c r="G1540" i="479"/>
  <c r="I1540" i="479" s="1"/>
  <c r="G1539" i="479"/>
  <c r="I1539" i="479" s="1"/>
  <c r="G1538" i="479"/>
  <c r="I1538" i="479" s="1"/>
  <c r="G1537" i="479"/>
  <c r="I1537" i="479" s="1"/>
  <c r="G1536" i="479"/>
  <c r="I1536" i="479" s="1"/>
  <c r="G1535" i="479"/>
  <c r="I1535" i="479" s="1"/>
  <c r="G1534" i="479"/>
  <c r="I1534" i="479" s="1"/>
  <c r="G1533" i="479"/>
  <c r="I1533" i="479" s="1"/>
  <c r="G1532" i="479"/>
  <c r="I1532" i="479" s="1"/>
  <c r="G1531" i="479"/>
  <c r="I1531" i="479" s="1"/>
  <c r="G1530" i="479"/>
  <c r="I1530" i="479" s="1"/>
  <c r="G1529" i="479"/>
  <c r="I1529" i="479" s="1"/>
  <c r="G1528" i="479"/>
  <c r="I1528" i="479" s="1"/>
  <c r="G1527" i="479"/>
  <c r="I1527" i="479" s="1"/>
  <c r="G1526" i="479"/>
  <c r="I1526" i="479" s="1"/>
  <c r="G1525" i="479"/>
  <c r="I1525" i="479" s="1"/>
  <c r="G1524" i="479"/>
  <c r="I1524" i="479" s="1"/>
  <c r="G1523" i="479"/>
  <c r="I1523" i="479" s="1"/>
  <c r="G1522" i="479"/>
  <c r="I1522" i="479" s="1"/>
  <c r="G1521" i="479"/>
  <c r="I1521" i="479" s="1"/>
  <c r="G1520" i="479"/>
  <c r="I1520" i="479" s="1"/>
  <c r="G1519" i="479"/>
  <c r="I1519" i="479" s="1"/>
  <c r="I1518" i="479"/>
  <c r="I1517" i="479"/>
  <c r="I1516" i="479"/>
  <c r="I1515" i="479"/>
  <c r="I1514" i="479"/>
  <c r="I1513" i="479"/>
  <c r="I1512" i="479"/>
  <c r="I1511" i="479"/>
  <c r="I1510" i="479"/>
  <c r="I1509" i="479"/>
  <c r="I1508" i="479"/>
  <c r="I1507" i="479"/>
  <c r="I1506" i="479"/>
  <c r="I1505" i="479"/>
  <c r="I1504" i="479"/>
  <c r="I1503" i="479"/>
  <c r="I1502" i="479"/>
  <c r="I1501" i="479"/>
  <c r="I1500" i="479"/>
  <c r="I1499" i="479"/>
  <c r="I1498" i="479"/>
  <c r="I1497" i="479"/>
  <c r="I1496" i="479"/>
  <c r="I1495" i="479"/>
  <c r="I1494" i="479"/>
  <c r="I1493" i="479"/>
  <c r="I1492" i="479"/>
  <c r="I1491" i="479"/>
  <c r="I1490" i="479"/>
  <c r="I1489" i="479"/>
  <c r="I1488" i="479"/>
  <c r="I1487" i="479"/>
  <c r="I1486" i="479"/>
  <c r="I1485" i="479"/>
  <c r="I1484" i="479"/>
  <c r="I1483" i="479"/>
  <c r="I1482" i="479"/>
  <c r="I1481" i="479"/>
  <c r="I1480" i="479"/>
  <c r="I1479" i="479"/>
  <c r="I1478" i="479"/>
  <c r="I1477" i="479"/>
  <c r="I1476" i="479"/>
  <c r="I1475" i="479"/>
  <c r="I1474" i="479"/>
  <c r="I1473" i="479"/>
  <c r="I1472" i="479"/>
  <c r="I1471" i="479"/>
  <c r="I1470" i="479"/>
  <c r="I1469" i="479"/>
  <c r="I1468" i="479"/>
  <c r="I1467" i="479"/>
  <c r="I1466" i="479"/>
  <c r="I1465" i="479"/>
  <c r="I1464" i="479"/>
  <c r="I1463" i="479"/>
  <c r="I1462" i="479"/>
  <c r="I1461" i="479"/>
  <c r="I1460" i="479"/>
  <c r="G1459" i="479"/>
  <c r="I1459" i="479" s="1"/>
  <c r="G1458" i="479"/>
  <c r="I1458" i="479" s="1"/>
  <c r="G1457" i="479"/>
  <c r="I1457" i="479" s="1"/>
  <c r="G1456" i="479"/>
  <c r="I1456" i="479" s="1"/>
  <c r="I1455" i="479"/>
  <c r="I1454" i="479"/>
  <c r="I1453" i="479"/>
  <c r="G1452" i="479"/>
  <c r="I1452" i="479" s="1"/>
  <c r="G1451" i="479"/>
  <c r="I1451" i="479" s="1"/>
  <c r="G1450" i="479"/>
  <c r="I1450" i="479" s="1"/>
  <c r="G1449" i="479"/>
  <c r="I1449" i="479" s="1"/>
  <c r="I1448" i="479"/>
  <c r="G1447" i="479"/>
  <c r="I1447" i="479" s="1"/>
  <c r="G1446" i="479"/>
  <c r="I1446" i="479" s="1"/>
  <c r="G1445" i="479"/>
  <c r="I1445" i="479" s="1"/>
  <c r="H1444" i="479"/>
  <c r="I1444" i="479" s="1"/>
  <c r="G1443" i="479"/>
  <c r="I1443" i="479" s="1"/>
  <c r="G1442" i="479"/>
  <c r="I1442" i="479" s="1"/>
  <c r="G1441" i="479"/>
  <c r="I1441" i="479" s="1"/>
  <c r="G1440" i="479"/>
  <c r="I1440" i="479" s="1"/>
  <c r="G1439" i="479"/>
  <c r="I1439" i="479" s="1"/>
  <c r="G1438" i="479"/>
  <c r="I1438" i="479" s="1"/>
  <c r="H1437" i="479"/>
  <c r="I1437" i="479" s="1"/>
  <c r="G1436" i="479"/>
  <c r="I1436" i="479" s="1"/>
  <c r="H1435" i="479"/>
  <c r="I1435" i="479" s="1"/>
  <c r="G1434" i="479"/>
  <c r="I1434" i="479" s="1"/>
  <c r="G1433" i="479"/>
  <c r="I1433" i="479" s="1"/>
  <c r="H1432" i="479"/>
  <c r="I1432" i="479" s="1"/>
  <c r="H1431" i="479"/>
  <c r="I1431" i="479" s="1"/>
  <c r="G1430" i="479"/>
  <c r="I1430" i="479" s="1"/>
  <c r="G1429" i="479"/>
  <c r="I1429" i="479" s="1"/>
  <c r="G1428" i="479"/>
  <c r="I1428" i="479" s="1"/>
  <c r="G1427" i="479"/>
  <c r="I1427" i="479" s="1"/>
  <c r="H1426" i="479"/>
  <c r="I1426" i="479" s="1"/>
  <c r="G1425" i="479"/>
  <c r="I1425" i="479" s="1"/>
  <c r="G1424" i="479"/>
  <c r="I1424" i="479" s="1"/>
  <c r="G1423" i="479"/>
  <c r="I1423" i="479" s="1"/>
  <c r="G1422" i="479"/>
  <c r="I1422" i="479" s="1"/>
  <c r="G1421" i="479"/>
  <c r="I1421" i="479" s="1"/>
  <c r="G1420" i="479"/>
  <c r="I1420" i="479" s="1"/>
  <c r="H1419" i="479"/>
  <c r="I1419" i="479" s="1"/>
  <c r="G1418" i="479"/>
  <c r="I1418" i="479" s="1"/>
  <c r="H1417" i="479"/>
  <c r="I1417" i="479" s="1"/>
  <c r="G1416" i="479"/>
  <c r="I1416" i="479" s="1"/>
  <c r="G1415" i="479"/>
  <c r="I1415" i="479" s="1"/>
  <c r="H1414" i="479"/>
  <c r="I1414" i="479" s="1"/>
  <c r="H1413" i="479"/>
  <c r="I1413" i="479" s="1"/>
  <c r="G1412" i="479"/>
  <c r="I1412" i="479" s="1"/>
  <c r="H1411" i="479"/>
  <c r="I1411" i="479" s="1"/>
  <c r="H1410" i="479"/>
  <c r="I1410" i="479" s="1"/>
  <c r="H1409" i="479"/>
  <c r="H1408" i="479"/>
  <c r="H1407" i="479"/>
  <c r="I1407" i="479" s="1"/>
  <c r="H1406" i="479"/>
  <c r="I1406" i="479" s="1"/>
  <c r="H1405" i="479"/>
  <c r="H1404" i="479"/>
  <c r="I1404" i="479" s="1"/>
  <c r="H1403" i="479"/>
  <c r="I1403" i="479" s="1"/>
  <c r="H1402" i="479"/>
  <c r="I1402" i="479" s="1"/>
  <c r="H1401" i="479"/>
  <c r="I1401" i="479" s="1"/>
  <c r="H1400" i="479"/>
  <c r="H1399" i="479"/>
  <c r="I1399" i="479" s="1"/>
  <c r="H1398" i="479"/>
  <c r="I1398" i="479" s="1"/>
  <c r="H1397" i="479"/>
  <c r="I1397" i="479" s="1"/>
  <c r="H1396" i="479"/>
  <c r="I1396" i="479" s="1"/>
  <c r="H1395" i="479"/>
  <c r="H1394" i="479"/>
  <c r="I1394" i="479" s="1"/>
  <c r="H1393" i="479"/>
  <c r="H1392" i="479"/>
  <c r="I1392" i="479" s="1"/>
  <c r="H1391" i="479"/>
  <c r="H1390" i="479"/>
  <c r="H1389" i="479"/>
  <c r="H1388" i="479"/>
  <c r="I1388" i="479" s="1"/>
  <c r="H1387" i="479"/>
  <c r="H1386" i="479"/>
  <c r="I1386" i="479" s="1"/>
  <c r="I1374" i="479"/>
  <c r="I1373" i="479"/>
  <c r="I1372" i="479"/>
  <c r="I1371" i="479"/>
  <c r="I1370" i="479"/>
  <c r="I1369" i="479"/>
  <c r="I1368" i="479"/>
  <c r="I1367" i="479"/>
  <c r="I1366" i="479"/>
  <c r="I1365" i="479"/>
  <c r="I1364" i="479"/>
  <c r="I1363" i="479"/>
  <c r="I1362" i="479"/>
  <c r="I1361" i="479"/>
  <c r="I1360" i="479"/>
  <c r="I1359" i="479"/>
  <c r="I1358" i="479"/>
  <c r="I1357" i="479"/>
  <c r="I1356" i="479"/>
  <c r="I1355" i="479"/>
  <c r="I1354" i="479"/>
  <c r="H1341" i="479"/>
  <c r="I1341" i="479" s="1"/>
  <c r="H1340" i="479"/>
  <c r="H1339" i="479"/>
  <c r="I1339" i="479" s="1"/>
  <c r="H1338" i="479"/>
  <c r="I1338" i="479" s="1"/>
  <c r="H1337" i="479"/>
  <c r="I1337" i="479" s="1"/>
  <c r="H1336" i="479"/>
  <c r="I1336" i="479" s="1"/>
  <c r="H1335" i="479"/>
  <c r="I1335" i="479" s="1"/>
  <c r="H1352" i="479"/>
  <c r="I1352" i="479" s="1"/>
  <c r="H1351" i="479"/>
  <c r="I1351" i="479" s="1"/>
  <c r="H1350" i="479"/>
  <c r="I1350" i="479" s="1"/>
  <c r="H1349" i="479"/>
  <c r="H1348" i="479"/>
  <c r="H1347" i="479"/>
  <c r="H1346" i="479"/>
  <c r="H1345" i="479"/>
  <c r="I1345" i="479" s="1"/>
  <c r="H1344" i="479"/>
  <c r="H1343" i="479"/>
  <c r="H1342" i="479"/>
  <c r="I1334" i="479"/>
  <c r="I1333" i="479"/>
  <c r="I1332" i="479"/>
  <c r="I1331" i="479"/>
  <c r="I1330" i="479"/>
  <c r="I1329" i="479"/>
  <c r="I1328" i="479"/>
  <c r="I1325" i="479"/>
  <c r="I1324" i="479"/>
  <c r="I1323" i="479"/>
  <c r="I1322" i="479"/>
  <c r="I1321" i="479"/>
  <c r="I1320" i="479"/>
  <c r="I1319" i="479"/>
  <c r="I1318" i="479"/>
  <c r="I1317" i="479"/>
  <c r="I1316" i="479"/>
  <c r="I1315" i="479"/>
  <c r="I1314" i="479"/>
  <c r="I1313" i="479"/>
  <c r="I1312" i="479"/>
  <c r="I1311" i="479"/>
  <c r="I1310" i="479"/>
  <c r="I1309" i="479"/>
  <c r="I1308" i="479"/>
  <c r="I1307" i="479"/>
  <c r="I1306" i="479"/>
  <c r="I1305" i="479"/>
  <c r="I1304" i="479"/>
  <c r="I1303" i="479"/>
  <c r="I1302" i="479"/>
  <c r="I1301" i="479"/>
  <c r="I1299" i="479"/>
  <c r="I1296" i="479"/>
  <c r="I1295" i="479"/>
  <c r="I1294" i="479"/>
  <c r="I1293" i="479"/>
  <c r="I1291" i="479"/>
  <c r="I1290" i="479"/>
  <c r="I1286" i="479"/>
  <c r="I1284" i="479"/>
  <c r="I1283" i="479"/>
  <c r="I1282" i="479"/>
  <c r="I1281" i="479"/>
  <c r="I1279" i="479"/>
  <c r="I1278" i="479"/>
  <c r="I1277" i="479"/>
  <c r="I1276" i="479"/>
  <c r="I1275" i="479"/>
  <c r="I1274" i="479"/>
  <c r="I1273" i="479"/>
  <c r="I1272" i="479"/>
  <c r="I1270" i="479"/>
  <c r="I1269" i="479"/>
  <c r="I1268" i="479"/>
  <c r="I1267" i="479"/>
  <c r="I1266" i="479"/>
  <c r="I1265" i="479"/>
  <c r="I1264" i="479"/>
  <c r="I1263" i="479"/>
  <c r="I1262" i="479"/>
  <c r="I1261" i="479"/>
  <c r="I1252" i="479"/>
  <c r="I1251" i="479"/>
  <c r="I1250" i="479"/>
  <c r="I1249" i="479"/>
  <c r="I1248" i="479"/>
  <c r="I1247" i="479"/>
  <c r="I1246" i="479"/>
  <c r="I1245" i="479"/>
  <c r="I1243" i="479"/>
  <c r="I1242" i="479"/>
  <c r="I1241" i="479"/>
  <c r="I1240" i="479"/>
  <c r="I1239" i="479"/>
  <c r="I1238" i="479"/>
  <c r="I1237" i="479"/>
  <c r="I1228" i="479"/>
  <c r="I1227" i="479"/>
  <c r="I1226" i="479"/>
  <c r="I1225" i="479"/>
  <c r="I1224" i="479"/>
  <c r="I1223" i="479"/>
  <c r="I1222" i="479"/>
  <c r="I1221" i="479"/>
  <c r="I1220" i="479"/>
  <c r="I1219" i="479"/>
  <c r="I1218" i="479"/>
  <c r="I1217" i="479"/>
  <c r="I1216" i="479"/>
  <c r="I1215" i="479"/>
  <c r="I1214" i="479"/>
  <c r="I1213" i="479"/>
  <c r="I1212" i="479"/>
  <c r="I1211" i="479"/>
  <c r="I1210" i="479"/>
  <c r="I1209" i="479"/>
  <c r="I1208" i="479"/>
  <c r="I1207" i="479"/>
  <c r="I1206" i="479"/>
  <c r="I1205" i="479"/>
  <c r="I1204" i="479"/>
  <c r="I1203" i="479"/>
  <c r="I1202" i="479"/>
  <c r="I1201" i="479"/>
  <c r="I1200" i="479"/>
  <c r="I1199" i="479"/>
  <c r="I1198" i="479"/>
  <c r="I1197" i="479"/>
  <c r="I1196" i="479"/>
  <c r="I1195" i="479"/>
  <c r="I1194" i="479"/>
  <c r="I1193" i="479"/>
  <c r="I1192" i="479"/>
  <c r="I1191" i="479"/>
  <c r="I1190" i="479"/>
  <c r="I1189" i="479"/>
  <c r="I1188" i="479"/>
  <c r="I1187" i="479"/>
  <c r="I1186" i="479"/>
  <c r="I1185" i="479"/>
  <c r="I1184" i="479"/>
  <c r="I1183" i="479"/>
  <c r="I1182" i="479"/>
  <c r="I1181" i="479"/>
  <c r="I1180" i="479"/>
  <c r="I1179" i="479"/>
  <c r="I1178" i="479"/>
  <c r="I1177" i="479"/>
  <c r="I1176" i="479"/>
  <c r="I1175" i="479"/>
  <c r="I1174" i="479"/>
  <c r="I1173" i="479"/>
  <c r="I1172" i="479"/>
  <c r="I1171" i="479"/>
  <c r="I1170" i="479"/>
  <c r="I1169" i="479"/>
  <c r="I1168" i="479"/>
  <c r="I1167" i="479"/>
  <c r="I1166" i="479"/>
  <c r="I1165" i="479"/>
  <c r="I1164" i="479"/>
  <c r="I1163" i="479"/>
  <c r="I1161" i="479"/>
  <c r="I1160" i="479"/>
  <c r="I1159" i="479"/>
  <c r="I1158" i="479"/>
  <c r="I1148" i="479"/>
  <c r="I1147" i="479"/>
  <c r="I1139" i="479"/>
  <c r="I1138" i="479"/>
  <c r="I1137" i="479"/>
  <c r="I1136" i="479"/>
  <c r="I1126" i="479"/>
  <c r="I1125" i="479"/>
  <c r="I1124" i="479"/>
  <c r="I1123" i="479"/>
  <c r="I1122" i="479"/>
  <c r="I1121" i="479"/>
  <c r="I1109" i="479"/>
  <c r="I1108" i="479"/>
  <c r="I1107" i="479"/>
  <c r="I1106" i="479"/>
  <c r="I1105" i="479"/>
  <c r="I1104" i="479"/>
  <c r="I1092" i="479"/>
  <c r="I1091" i="479"/>
  <c r="I1090" i="479"/>
  <c r="I1089" i="479"/>
  <c r="I1088" i="479"/>
  <c r="I1087" i="479"/>
  <c r="I1086" i="479"/>
  <c r="I1085" i="479"/>
  <c r="I1084" i="479"/>
  <c r="I1083" i="479"/>
  <c r="I1082" i="479"/>
  <c r="I1081" i="479"/>
  <c r="I1080" i="479"/>
  <c r="I1079" i="479"/>
  <c r="I1078" i="479"/>
  <c r="I1077" i="479"/>
  <c r="I1076" i="479"/>
  <c r="I1150" i="479"/>
  <c r="I1141" i="479"/>
  <c r="I1128" i="479"/>
  <c r="I1111" i="479"/>
  <c r="I1094" i="479"/>
  <c r="I1056" i="479"/>
  <c r="I1049" i="479"/>
  <c r="I1048" i="479"/>
  <c r="I1035" i="479"/>
  <c r="I1034" i="479"/>
  <c r="I1033" i="479"/>
  <c r="I1032" i="479"/>
  <c r="I1031" i="479"/>
  <c r="I1030" i="479"/>
  <c r="I1029" i="479"/>
  <c r="I1028" i="479"/>
  <c r="I1027" i="479"/>
  <c r="I1026" i="479"/>
  <c r="I1025" i="479"/>
  <c r="I1024" i="479"/>
  <c r="I1023" i="479"/>
  <c r="I1017" i="479"/>
  <c r="I1016" i="479"/>
  <c r="I1015" i="479"/>
  <c r="I1013" i="479"/>
  <c r="I1012" i="479"/>
  <c r="I1011" i="479"/>
  <c r="I1010" i="479"/>
  <c r="I1009" i="479"/>
  <c r="I1008" i="479"/>
  <c r="I1007" i="479"/>
  <c r="I1006" i="479"/>
  <c r="I1005" i="479"/>
  <c r="I1004" i="479"/>
  <c r="I1003" i="479"/>
  <c r="I1002" i="479"/>
  <c r="I1001" i="479"/>
  <c r="I1000" i="479"/>
  <c r="I999" i="479"/>
  <c r="I998" i="479"/>
  <c r="I997" i="479"/>
  <c r="I996" i="479"/>
  <c r="I995" i="479"/>
  <c r="I994" i="479"/>
  <c r="I993" i="479"/>
  <c r="I992" i="479"/>
  <c r="I991" i="479"/>
  <c r="I990" i="479"/>
  <c r="I989" i="479"/>
  <c r="I988" i="479"/>
  <c r="I987" i="479"/>
  <c r="I986" i="479"/>
  <c r="I985" i="479"/>
  <c r="I984" i="479"/>
  <c r="I983" i="479"/>
  <c r="I982" i="479"/>
  <c r="I981" i="479"/>
  <c r="I980" i="479"/>
  <c r="I979" i="479"/>
  <c r="I978" i="479"/>
  <c r="I977" i="479"/>
  <c r="I976" i="479"/>
  <c r="I975" i="479"/>
  <c r="I974" i="479"/>
  <c r="I973" i="479"/>
  <c r="I972" i="479"/>
  <c r="I971" i="479"/>
  <c r="I970" i="479"/>
  <c r="I969" i="479"/>
  <c r="I968" i="479"/>
  <c r="I967" i="479"/>
  <c r="I966" i="479"/>
  <c r="I965" i="479"/>
  <c r="I964" i="479"/>
  <c r="I963" i="479"/>
  <c r="I962" i="479"/>
  <c r="I961" i="479"/>
  <c r="I960" i="479"/>
  <c r="I959" i="479"/>
  <c r="I958" i="479"/>
  <c r="I957" i="479"/>
  <c r="I956" i="479"/>
  <c r="I955" i="479"/>
  <c r="I954" i="479"/>
  <c r="I953" i="479"/>
  <c r="I952" i="479"/>
  <c r="I951" i="479"/>
  <c r="I950" i="479"/>
  <c r="I949" i="479"/>
  <c r="I948" i="479"/>
  <c r="I947" i="479"/>
  <c r="I946" i="479"/>
  <c r="I945" i="479"/>
  <c r="I944" i="479"/>
  <c r="I943" i="479"/>
  <c r="G942" i="479"/>
  <c r="I942" i="479" s="1"/>
  <c r="G941" i="479"/>
  <c r="I941" i="479" s="1"/>
  <c r="G940" i="479"/>
  <c r="I940" i="479" s="1"/>
  <c r="G939" i="479"/>
  <c r="I939" i="479" s="1"/>
  <c r="G938" i="479"/>
  <c r="I938" i="479" s="1"/>
  <c r="G937" i="479"/>
  <c r="I937" i="479" s="1"/>
  <c r="G936" i="479"/>
  <c r="I936" i="479" s="1"/>
  <c r="G935" i="479"/>
  <c r="I935" i="479" s="1"/>
  <c r="I934" i="479"/>
  <c r="I932" i="479"/>
  <c r="I931" i="479"/>
  <c r="I930" i="479"/>
  <c r="I929" i="479"/>
  <c r="I928" i="479"/>
  <c r="G927" i="479"/>
  <c r="I927" i="479" s="1"/>
  <c r="I925" i="479"/>
  <c r="I924" i="479"/>
  <c r="I923" i="479"/>
  <c r="I922" i="479"/>
  <c r="I921" i="479"/>
  <c r="I920" i="479"/>
  <c r="I919" i="479"/>
  <c r="I918" i="479"/>
  <c r="I917" i="479"/>
  <c r="I916" i="479"/>
  <c r="I915" i="479"/>
  <c r="I914" i="479"/>
  <c r="I913" i="479"/>
  <c r="I912" i="479"/>
  <c r="I911" i="479"/>
  <c r="I910" i="479"/>
  <c r="I909" i="479"/>
  <c r="I908" i="479"/>
  <c r="I907" i="479"/>
  <c r="I906" i="479"/>
  <c r="I905" i="479"/>
  <c r="I904" i="479"/>
  <c r="I903" i="479"/>
  <c r="I902" i="479"/>
  <c r="I900" i="479"/>
  <c r="I901" i="479"/>
  <c r="I899" i="479"/>
  <c r="I898" i="479"/>
  <c r="I896" i="479"/>
  <c r="I894" i="479"/>
  <c r="I892" i="479"/>
  <c r="I893" i="479"/>
  <c r="I891" i="479"/>
  <c r="I890" i="479"/>
  <c r="I888" i="479"/>
  <c r="I886" i="479"/>
  <c r="I884" i="479"/>
  <c r="I885" i="479"/>
  <c r="I883" i="479"/>
  <c r="I882" i="479"/>
  <c r="I880" i="479"/>
  <c r="I897" i="479"/>
  <c r="I895" i="479"/>
  <c r="I878" i="479"/>
  <c r="I876" i="479"/>
  <c r="I877" i="479"/>
  <c r="I875" i="479"/>
  <c r="I889" i="479"/>
  <c r="I887" i="479"/>
  <c r="I874" i="479"/>
  <c r="I872" i="479"/>
  <c r="I873" i="479"/>
  <c r="I871" i="479"/>
  <c r="I881" i="479"/>
  <c r="I879" i="479"/>
  <c r="I870" i="479"/>
  <c r="I868" i="479"/>
  <c r="I869" i="479"/>
  <c r="I867" i="479"/>
  <c r="I866" i="479"/>
  <c r="I855" i="479"/>
  <c r="I865" i="479"/>
  <c r="I854" i="479"/>
  <c r="I864" i="479"/>
  <c r="I853" i="479"/>
  <c r="I863" i="479"/>
  <c r="I852" i="479"/>
  <c r="I862" i="479"/>
  <c r="I851" i="479"/>
  <c r="I861" i="479"/>
  <c r="I850" i="479"/>
  <c r="I860" i="479"/>
  <c r="I849" i="479"/>
  <c r="I859" i="479"/>
  <c r="I848" i="479"/>
  <c r="I858" i="479"/>
  <c r="I847" i="479"/>
  <c r="I857" i="479"/>
  <c r="I846" i="479"/>
  <c r="I856" i="479"/>
  <c r="I845" i="479"/>
  <c r="I844" i="479"/>
  <c r="I833" i="479"/>
  <c r="I843" i="479"/>
  <c r="I832" i="479"/>
  <c r="I842" i="479"/>
  <c r="I831" i="479"/>
  <c r="I841" i="479"/>
  <c r="I830" i="479"/>
  <c r="I840" i="479"/>
  <c r="I829" i="479"/>
  <c r="I839" i="479"/>
  <c r="I828" i="479"/>
  <c r="I838" i="479"/>
  <c r="I827" i="479"/>
  <c r="I837" i="479"/>
  <c r="I826" i="479"/>
  <c r="I836" i="479"/>
  <c r="I825" i="479"/>
  <c r="I835" i="479"/>
  <c r="I824" i="479"/>
  <c r="I834" i="479"/>
  <c r="I823" i="479"/>
  <c r="I822" i="479"/>
  <c r="I811" i="479"/>
  <c r="I821" i="479"/>
  <c r="I810" i="479"/>
  <c r="I820" i="479"/>
  <c r="I809" i="479"/>
  <c r="I819" i="479"/>
  <c r="I808" i="479"/>
  <c r="I818" i="479"/>
  <c r="I807" i="479"/>
  <c r="I817" i="479"/>
  <c r="I806" i="479"/>
  <c r="I816" i="479"/>
  <c r="I805" i="479"/>
  <c r="I815" i="479"/>
  <c r="I804" i="479"/>
  <c r="I814" i="479"/>
  <c r="I803" i="479"/>
  <c r="I813" i="479"/>
  <c r="I802" i="479"/>
  <c r="I812" i="479"/>
  <c r="I801" i="479"/>
  <c r="I800" i="479"/>
  <c r="I789" i="479"/>
  <c r="I799" i="479"/>
  <c r="I788" i="479"/>
  <c r="I798" i="479"/>
  <c r="I787" i="479"/>
  <c r="I797" i="479"/>
  <c r="I786" i="479"/>
  <c r="I796" i="479"/>
  <c r="I785" i="479"/>
  <c r="I795" i="479"/>
  <c r="I784" i="479"/>
  <c r="I794" i="479"/>
  <c r="I783" i="479"/>
  <c r="I793" i="479"/>
  <c r="I782" i="479"/>
  <c r="I792" i="479"/>
  <c r="I781" i="479"/>
  <c r="I791" i="479"/>
  <c r="I780" i="479"/>
  <c r="I790" i="479"/>
  <c r="I779" i="479"/>
  <c r="I778" i="479"/>
  <c r="I767" i="479"/>
  <c r="I777" i="479"/>
  <c r="I766" i="479"/>
  <c r="I776" i="479"/>
  <c r="I765" i="479"/>
  <c r="I775" i="479"/>
  <c r="I764" i="479"/>
  <c r="I774" i="479"/>
  <c r="I763" i="479"/>
  <c r="I773" i="479"/>
  <c r="I762" i="479"/>
  <c r="I772" i="479"/>
  <c r="I761" i="479"/>
  <c r="I771" i="479"/>
  <c r="I760" i="479"/>
  <c r="I770" i="479"/>
  <c r="I759" i="479"/>
  <c r="I769" i="479"/>
  <c r="I758" i="479"/>
  <c r="I768" i="479"/>
  <c r="I757" i="479"/>
  <c r="I756" i="479"/>
  <c r="I755" i="479"/>
  <c r="I754" i="479"/>
  <c r="I753" i="479"/>
  <c r="I752" i="479"/>
  <c r="I751" i="479"/>
  <c r="I750" i="479"/>
  <c r="I749" i="479"/>
  <c r="I748" i="479"/>
  <c r="I747" i="479"/>
  <c r="I746" i="479"/>
  <c r="I745" i="479"/>
  <c r="I744" i="479"/>
  <c r="I743" i="479"/>
  <c r="I742" i="479"/>
  <c r="I741" i="479"/>
  <c r="I740" i="479"/>
  <c r="I739" i="479"/>
  <c r="I738" i="479"/>
  <c r="I737" i="479"/>
  <c r="I736" i="479"/>
  <c r="I735" i="479"/>
  <c r="I734" i="479"/>
  <c r="I733" i="479"/>
  <c r="I732" i="479"/>
  <c r="I731" i="479"/>
  <c r="I730" i="479"/>
  <c r="I729" i="479"/>
  <c r="I728" i="479"/>
  <c r="I727" i="479"/>
  <c r="I726" i="479"/>
  <c r="I725" i="479"/>
  <c r="I724" i="479"/>
  <c r="I723" i="479"/>
  <c r="I722" i="479"/>
  <c r="I721" i="479"/>
  <c r="I720" i="479"/>
  <c r="I719" i="479"/>
  <c r="I718" i="479"/>
  <c r="I717" i="479"/>
  <c r="I716" i="479"/>
  <c r="I715" i="479"/>
  <c r="I714" i="479"/>
  <c r="I713" i="479"/>
  <c r="I712" i="479"/>
  <c r="I711" i="479"/>
  <c r="I710" i="479"/>
  <c r="I709" i="479"/>
  <c r="I708" i="479"/>
  <c r="I707" i="479"/>
  <c r="I706" i="479"/>
  <c r="I705" i="479"/>
  <c r="I704" i="479"/>
  <c r="I703" i="479"/>
  <c r="I702" i="479"/>
  <c r="I701" i="479"/>
  <c r="I700" i="479"/>
  <c r="I699" i="479"/>
  <c r="I691" i="479"/>
  <c r="I690" i="479"/>
  <c r="I689" i="479"/>
  <c r="I688" i="479"/>
  <c r="I687" i="479"/>
  <c r="I686" i="479"/>
  <c r="I685" i="479"/>
  <c r="I684" i="479"/>
  <c r="I683" i="479"/>
  <c r="I673" i="479"/>
  <c r="I672" i="479"/>
  <c r="I671" i="479"/>
  <c r="I670" i="479"/>
  <c r="I669" i="479"/>
  <c r="I668" i="479"/>
  <c r="I667" i="479"/>
  <c r="I659" i="479"/>
  <c r="I658" i="479"/>
  <c r="I657" i="479"/>
  <c r="I656" i="479"/>
  <c r="I655" i="479"/>
  <c r="I654" i="479"/>
  <c r="I653" i="479"/>
  <c r="I652" i="479"/>
  <c r="I651" i="479"/>
  <c r="I641" i="479"/>
  <c r="I640" i="479"/>
  <c r="I639" i="479"/>
  <c r="I638" i="479"/>
  <c r="I637" i="479"/>
  <c r="I636" i="479"/>
  <c r="I635" i="479"/>
  <c r="I627" i="479"/>
  <c r="I626" i="479"/>
  <c r="I625" i="479"/>
  <c r="I624" i="479"/>
  <c r="I623" i="479"/>
  <c r="I622" i="479"/>
  <c r="I621" i="479"/>
  <c r="I620" i="479"/>
  <c r="I619" i="479"/>
  <c r="I600" i="479"/>
  <c r="I599" i="479"/>
  <c r="I598" i="479"/>
  <c r="I597" i="479"/>
  <c r="I596" i="479"/>
  <c r="I595" i="479"/>
  <c r="I594" i="479"/>
  <c r="I593" i="479"/>
  <c r="I592" i="479"/>
  <c r="I582" i="479"/>
  <c r="I581" i="479"/>
  <c r="I580" i="479"/>
  <c r="I579" i="479"/>
  <c r="I578" i="479"/>
  <c r="I577" i="479"/>
  <c r="I576" i="479"/>
  <c r="I575" i="479"/>
  <c r="I574" i="479"/>
  <c r="I573" i="479"/>
  <c r="I572" i="479"/>
  <c r="I571" i="479"/>
  <c r="I570" i="479"/>
  <c r="I569" i="479"/>
  <c r="I568" i="479"/>
  <c r="I567" i="479"/>
  <c r="I566" i="479"/>
  <c r="I565" i="479"/>
  <c r="I555" i="479"/>
  <c r="I554" i="479"/>
  <c r="I553" i="479"/>
  <c r="I552" i="479"/>
  <c r="I551" i="479"/>
  <c r="I550" i="479"/>
  <c r="I549" i="479"/>
  <c r="I548" i="479"/>
  <c r="I547" i="479"/>
  <c r="I546" i="479"/>
  <c r="I545" i="479"/>
  <c r="I544" i="479"/>
  <c r="I543" i="479"/>
  <c r="I542" i="479"/>
  <c r="I541" i="479"/>
  <c r="I540" i="479"/>
  <c r="I539" i="479"/>
  <c r="I538" i="479"/>
  <c r="I528" i="479"/>
  <c r="I527" i="479"/>
  <c r="I526" i="479"/>
  <c r="I525" i="479"/>
  <c r="I524" i="479"/>
  <c r="I523" i="479"/>
  <c r="I522" i="479"/>
  <c r="I521" i="479"/>
  <c r="I520" i="479"/>
  <c r="I519" i="479"/>
  <c r="I518" i="479"/>
  <c r="I517" i="479"/>
  <c r="I515" i="479"/>
  <c r="I514" i="479"/>
  <c r="I513" i="479"/>
  <c r="I512" i="479"/>
  <c r="I511" i="479"/>
  <c r="I516" i="479"/>
  <c r="I501" i="479"/>
  <c r="I500" i="479"/>
  <c r="I499" i="479"/>
  <c r="I498" i="479"/>
  <c r="I497" i="479"/>
  <c r="I490" i="479"/>
  <c r="I489" i="479"/>
  <c r="I488" i="479"/>
  <c r="I487" i="479"/>
  <c r="I486" i="479"/>
  <c r="I485" i="479"/>
  <c r="I480" i="479"/>
  <c r="I479" i="479"/>
  <c r="I478" i="479"/>
  <c r="I477" i="479"/>
  <c r="I496" i="479"/>
  <c r="I495" i="479"/>
  <c r="I494" i="479"/>
  <c r="I493" i="479"/>
  <c r="I492" i="479"/>
  <c r="I491" i="479"/>
  <c r="I484" i="479"/>
  <c r="I483" i="479"/>
  <c r="I482" i="479"/>
  <c r="I481" i="479"/>
  <c r="I476" i="479"/>
  <c r="I475" i="479"/>
  <c r="I474" i="479"/>
  <c r="I473" i="479"/>
  <c r="I472" i="479"/>
  <c r="I471" i="479"/>
  <c r="I470" i="479"/>
  <c r="I469" i="479"/>
  <c r="I468" i="479"/>
  <c r="I467" i="479"/>
  <c r="I466" i="479"/>
  <c r="I465" i="479"/>
  <c r="I464" i="479"/>
  <c r="I463" i="479"/>
  <c r="I462" i="479"/>
  <c r="I461" i="479"/>
  <c r="I460" i="479"/>
  <c r="I459" i="479"/>
  <c r="I458" i="479"/>
  <c r="I457" i="479"/>
  <c r="I456" i="479"/>
  <c r="I455" i="479"/>
  <c r="I454" i="479"/>
  <c r="I453" i="479"/>
  <c r="I452" i="479"/>
  <c r="I451" i="479"/>
  <c r="I450" i="479"/>
  <c r="I449" i="479"/>
  <c r="I448" i="479"/>
  <c r="I447" i="479"/>
  <c r="I446" i="479"/>
  <c r="I445" i="479"/>
  <c r="I444" i="479"/>
  <c r="I443" i="479"/>
  <c r="I442" i="479"/>
  <c r="I441" i="479"/>
  <c r="I440" i="479"/>
  <c r="I439" i="479"/>
  <c r="I438" i="479"/>
  <c r="I437" i="479"/>
  <c r="I436" i="479"/>
  <c r="I435" i="479"/>
  <c r="I434" i="479"/>
  <c r="I433" i="479"/>
  <c r="I432" i="479"/>
  <c r="I431" i="479"/>
  <c r="I430" i="479"/>
  <c r="I429" i="479"/>
  <c r="I428" i="479"/>
  <c r="I427" i="479"/>
  <c r="I426" i="479"/>
  <c r="I425" i="479"/>
  <c r="I424" i="479"/>
  <c r="I423" i="479"/>
  <c r="I422" i="479"/>
  <c r="I421" i="479"/>
  <c r="I420" i="479"/>
  <c r="I419" i="479"/>
  <c r="I418" i="479"/>
  <c r="I417" i="479"/>
  <c r="I416" i="479"/>
  <c r="I415" i="479"/>
  <c r="I414" i="479"/>
  <c r="I413" i="479"/>
  <c r="I412" i="479"/>
  <c r="I411" i="479"/>
  <c r="I410" i="479"/>
  <c r="I409" i="479"/>
  <c r="I408" i="479"/>
  <c r="I407" i="479"/>
  <c r="I406" i="479"/>
  <c r="I405" i="479"/>
  <c r="I404" i="479"/>
  <c r="I403" i="479"/>
  <c r="I402" i="479"/>
  <c r="I401" i="479"/>
  <c r="I400" i="479"/>
  <c r="I399" i="479"/>
  <c r="I398" i="479"/>
  <c r="I397" i="479"/>
  <c r="I396" i="479"/>
  <c r="I395" i="479"/>
  <c r="I394" i="479"/>
  <c r="I393" i="479"/>
  <c r="I392" i="479"/>
  <c r="I391" i="479"/>
  <c r="I390" i="479"/>
  <c r="I389" i="479"/>
  <c r="I388" i="479"/>
  <c r="I387" i="479"/>
  <c r="I386" i="479"/>
  <c r="I385" i="479"/>
  <c r="I384" i="479"/>
  <c r="I382" i="479"/>
  <c r="I381" i="479"/>
  <c r="I380" i="479"/>
  <c r="I379" i="479"/>
  <c r="I378" i="479"/>
  <c r="I377" i="479"/>
  <c r="I376" i="479"/>
  <c r="I375" i="479"/>
  <c r="I374" i="479"/>
  <c r="I373" i="479"/>
  <c r="I372" i="479"/>
  <c r="I371" i="479"/>
  <c r="I370" i="479"/>
  <c r="I369" i="479"/>
  <c r="I368" i="479"/>
  <c r="I367" i="479"/>
  <c r="I366" i="479"/>
  <c r="I365" i="479"/>
  <c r="I364" i="479"/>
  <c r="I363" i="479"/>
  <c r="I362" i="479"/>
  <c r="I361" i="479"/>
  <c r="I360" i="479"/>
  <c r="I359" i="479"/>
  <c r="I358" i="479"/>
  <c r="I357" i="479"/>
  <c r="I356" i="479"/>
  <c r="I355" i="479"/>
  <c r="I354" i="479"/>
  <c r="I353" i="479"/>
  <c r="I352" i="479"/>
  <c r="I351" i="479"/>
  <c r="I350" i="479"/>
  <c r="I349" i="479"/>
  <c r="I348" i="479"/>
  <c r="I347" i="479"/>
  <c r="I346" i="479"/>
  <c r="I345" i="479"/>
  <c r="I344" i="479"/>
  <c r="I343" i="479"/>
  <c r="I342" i="479"/>
  <c r="I341" i="479"/>
  <c r="I340" i="479"/>
  <c r="I339" i="479"/>
  <c r="I338" i="479"/>
  <c r="I337" i="479"/>
  <c r="I336" i="479"/>
  <c r="I335" i="479"/>
  <c r="I334" i="479"/>
  <c r="I333" i="479"/>
  <c r="I332" i="479"/>
  <c r="I331" i="479"/>
  <c r="I330" i="479"/>
  <c r="I329" i="479"/>
  <c r="I328" i="479"/>
  <c r="I327" i="479"/>
  <c r="I326" i="479"/>
  <c r="I325" i="479"/>
  <c r="I324" i="479"/>
  <c r="I323" i="479"/>
  <c r="I322" i="479"/>
  <c r="I321" i="479"/>
  <c r="I320" i="479"/>
  <c r="I319" i="479"/>
  <c r="I318" i="479"/>
  <c r="I313" i="479"/>
  <c r="I312" i="479"/>
  <c r="I311" i="479"/>
  <c r="I310" i="479"/>
  <c r="I309" i="479"/>
  <c r="I308" i="479"/>
  <c r="I307" i="479"/>
  <c r="I306" i="479"/>
  <c r="I305" i="479"/>
  <c r="I304" i="479"/>
  <c r="I303" i="479"/>
  <c r="I302" i="479"/>
  <c r="I301" i="479"/>
  <c r="I300" i="479"/>
  <c r="I299" i="479"/>
  <c r="I298" i="479"/>
  <c r="I297" i="479"/>
  <c r="I296" i="479"/>
  <c r="I295" i="479"/>
  <c r="I294" i="479"/>
  <c r="I293" i="479"/>
  <c r="I292" i="479"/>
  <c r="I291" i="479"/>
  <c r="I290" i="479"/>
  <c r="I289" i="479"/>
  <c r="I288" i="479"/>
  <c r="I287" i="479"/>
  <c r="I286" i="479"/>
  <c r="I285" i="479"/>
  <c r="I284" i="479"/>
  <c r="I283" i="479"/>
  <c r="I282" i="479"/>
  <c r="I281" i="479"/>
  <c r="I280" i="479"/>
  <c r="I279" i="479"/>
  <c r="I278" i="479"/>
  <c r="I277" i="479"/>
  <c r="I276" i="479"/>
  <c r="I275" i="479"/>
  <c r="I274" i="479"/>
  <c r="I273" i="479"/>
  <c r="I272" i="479"/>
  <c r="I271" i="479"/>
  <c r="I270" i="479"/>
  <c r="I269" i="479"/>
  <c r="I268" i="479"/>
  <c r="I267" i="479"/>
  <c r="I266" i="479"/>
  <c r="I265" i="479"/>
  <c r="I264" i="479"/>
  <c r="I263" i="479"/>
  <c r="I262" i="479"/>
  <c r="I261" i="479"/>
  <c r="I260" i="479"/>
  <c r="I259" i="479"/>
  <c r="I258" i="479"/>
  <c r="I257" i="479"/>
  <c r="I256" i="479"/>
  <c r="I255" i="479"/>
  <c r="I254" i="479"/>
  <c r="I253" i="479"/>
  <c r="I252" i="479"/>
  <c r="I251" i="479"/>
  <c r="I250" i="479"/>
  <c r="I249" i="479"/>
  <c r="I248" i="479"/>
  <c r="I247" i="479"/>
  <c r="I246" i="479"/>
  <c r="I245" i="479"/>
  <c r="I244" i="479"/>
  <c r="I243" i="479"/>
  <c r="I242" i="479"/>
  <c r="I241" i="479"/>
  <c r="I240" i="479"/>
  <c r="I239" i="479"/>
  <c r="I137" i="479"/>
  <c r="I135" i="479"/>
  <c r="I136" i="479"/>
  <c r="I134" i="479"/>
  <c r="I133" i="479"/>
  <c r="I131" i="479"/>
  <c r="I132" i="479"/>
  <c r="I130" i="479"/>
  <c r="I127" i="479"/>
  <c r="I126" i="479"/>
  <c r="I123" i="479"/>
  <c r="I122" i="479"/>
  <c r="I117" i="479"/>
  <c r="I113" i="479"/>
  <c r="I116" i="479"/>
  <c r="I112" i="479"/>
  <c r="I115" i="479"/>
  <c r="I111" i="479"/>
  <c r="I114" i="479"/>
  <c r="I109" i="479"/>
  <c r="I105" i="479"/>
  <c r="I108" i="479"/>
  <c r="I104" i="479"/>
  <c r="I107" i="479"/>
  <c r="I103" i="479"/>
  <c r="I106" i="479"/>
  <c r="I102" i="479"/>
  <c r="I101" i="479"/>
  <c r="I97" i="479"/>
  <c r="I100" i="479"/>
  <c r="I96" i="479"/>
  <c r="I99" i="479"/>
  <c r="I95" i="479"/>
  <c r="I98" i="479"/>
  <c r="I94" i="479"/>
  <c r="I129" i="479"/>
  <c r="I128" i="479"/>
  <c r="I125" i="479"/>
  <c r="I124" i="479"/>
  <c r="I121" i="479"/>
  <c r="I120" i="479"/>
  <c r="I119" i="479"/>
  <c r="I118" i="479"/>
  <c r="I110" i="479"/>
  <c r="I93" i="479"/>
  <c r="I84" i="479"/>
  <c r="I66" i="479"/>
  <c r="I75" i="479"/>
  <c r="I92" i="479"/>
  <c r="I83" i="479"/>
  <c r="I65" i="479"/>
  <c r="I74" i="479"/>
  <c r="I91" i="479"/>
  <c r="I82" i="479"/>
  <c r="I73" i="479"/>
  <c r="I64" i="479"/>
  <c r="I90" i="479"/>
  <c r="I81" i="479"/>
  <c r="I63" i="479"/>
  <c r="I72" i="479"/>
  <c r="I89" i="479"/>
  <c r="I80" i="479"/>
  <c r="I62" i="479"/>
  <c r="I71" i="479"/>
  <c r="I88" i="479"/>
  <c r="I79" i="479"/>
  <c r="I70" i="479"/>
  <c r="I61" i="479"/>
  <c r="I87" i="479"/>
  <c r="I78" i="479"/>
  <c r="I60" i="479"/>
  <c r="I69" i="479"/>
  <c r="I86" i="479"/>
  <c r="I77" i="479"/>
  <c r="I59" i="479"/>
  <c r="I68" i="479"/>
  <c r="I67" i="479"/>
  <c r="I85" i="479"/>
  <c r="I76" i="479"/>
  <c r="I58" i="479"/>
  <c r="I49" i="479"/>
  <c r="I57" i="479"/>
  <c r="I48" i="479"/>
  <c r="I56" i="479"/>
  <c r="I47" i="479"/>
  <c r="I55" i="479"/>
  <c r="I46" i="479"/>
  <c r="I54" i="479"/>
  <c r="I45" i="479"/>
  <c r="I53" i="479"/>
  <c r="I44" i="479"/>
  <c r="I52" i="479"/>
  <c r="I43" i="479"/>
  <c r="I51" i="479"/>
  <c r="I42" i="479"/>
  <c r="I50" i="479"/>
  <c r="I41" i="479"/>
  <c r="I40" i="479"/>
  <c r="I31" i="479"/>
  <c r="I39" i="479"/>
  <c r="I30" i="479"/>
  <c r="I29" i="479"/>
  <c r="I38" i="479"/>
  <c r="I37" i="479"/>
  <c r="I28" i="479"/>
  <c r="I36" i="479"/>
  <c r="I27" i="479"/>
  <c r="I35" i="479"/>
  <c r="I26" i="479"/>
  <c r="I34" i="479"/>
  <c r="I25" i="479"/>
  <c r="I33" i="479"/>
  <c r="I24" i="479"/>
  <c r="I32" i="479"/>
  <c r="I23" i="479"/>
  <c r="I22" i="479"/>
  <c r="I13" i="479"/>
  <c r="I21" i="479"/>
  <c r="I12" i="479"/>
  <c r="I20" i="479"/>
  <c r="I11" i="479"/>
  <c r="I19" i="479"/>
  <c r="I10" i="479"/>
  <c r="I18" i="479"/>
  <c r="I9" i="479"/>
  <c r="I17" i="479"/>
  <c r="I8" i="479"/>
  <c r="I16" i="479"/>
  <c r="I7" i="479"/>
  <c r="I15" i="479"/>
  <c r="I6" i="479"/>
  <c r="I14" i="479"/>
  <c r="I5" i="479"/>
  <c r="I4" i="479"/>
  <c r="I192" i="479"/>
  <c r="I238" i="479"/>
  <c r="I237" i="479"/>
  <c r="I191" i="479"/>
  <c r="I236" i="479"/>
  <c r="I235" i="479"/>
  <c r="I190" i="479"/>
  <c r="I189" i="479"/>
  <c r="I234" i="479"/>
  <c r="I233" i="479"/>
  <c r="I232" i="479"/>
  <c r="I188" i="479"/>
  <c r="I231" i="479"/>
  <c r="I187" i="479"/>
  <c r="I230" i="479"/>
  <c r="I186" i="479"/>
  <c r="I229" i="479"/>
  <c r="I185" i="479"/>
  <c r="I228" i="479"/>
  <c r="I184" i="479"/>
  <c r="I227" i="479"/>
  <c r="I183" i="479"/>
  <c r="I226" i="479"/>
  <c r="I182" i="479"/>
  <c r="I225" i="479"/>
  <c r="I181" i="479"/>
  <c r="I224" i="479"/>
  <c r="I180" i="479"/>
  <c r="I223" i="479"/>
  <c r="I179" i="479"/>
  <c r="I222" i="479"/>
  <c r="I178" i="479"/>
  <c r="I221" i="479"/>
  <c r="I177" i="479"/>
  <c r="I220" i="479"/>
  <c r="I176" i="479"/>
  <c r="I219" i="479"/>
  <c r="I175" i="479"/>
  <c r="I218" i="479"/>
  <c r="I174" i="479"/>
  <c r="I217" i="479"/>
  <c r="I173" i="479"/>
  <c r="I216" i="479"/>
  <c r="I172" i="479"/>
  <c r="I215" i="479"/>
  <c r="I171" i="479"/>
  <c r="I214" i="479"/>
  <c r="I170" i="479"/>
  <c r="I169" i="479"/>
  <c r="I213" i="479"/>
  <c r="I212" i="479"/>
  <c r="I168" i="479"/>
  <c r="I3" i="479"/>
  <c r="I148" i="479"/>
  <c r="I147" i="479"/>
  <c r="I146" i="479"/>
  <c r="I145" i="479"/>
  <c r="I144" i="479"/>
  <c r="I143" i="479"/>
  <c r="I142" i="479"/>
  <c r="I141" i="479"/>
  <c r="I140" i="479"/>
  <c r="I139" i="479"/>
  <c r="I138" i="479"/>
  <c r="I211" i="479"/>
  <c r="I167" i="479"/>
  <c r="I210" i="479"/>
  <c r="I166" i="479"/>
  <c r="I209" i="479"/>
  <c r="I165" i="479"/>
  <c r="I208" i="479"/>
  <c r="I164" i="479"/>
  <c r="I207" i="479"/>
  <c r="I163" i="479"/>
  <c r="I206" i="479"/>
  <c r="I162" i="479"/>
  <c r="I205" i="479"/>
  <c r="I161" i="479"/>
  <c r="I204" i="479"/>
  <c r="I160" i="479"/>
  <c r="I203" i="479"/>
  <c r="I159" i="479"/>
  <c r="I202" i="479"/>
  <c r="I158" i="479"/>
  <c r="I201" i="479"/>
  <c r="I157" i="479"/>
  <c r="I200" i="479"/>
  <c r="I156" i="479"/>
  <c r="I199" i="479"/>
  <c r="I155" i="479"/>
  <c r="I198" i="479"/>
  <c r="I154" i="479"/>
  <c r="G197" i="479"/>
  <c r="I197" i="479" s="1"/>
  <c r="G153" i="479"/>
  <c r="I153" i="479" s="1"/>
  <c r="G196" i="479"/>
  <c r="I196" i="479" s="1"/>
  <c r="I152" i="479"/>
  <c r="G195" i="479"/>
  <c r="I195" i="479" s="1"/>
  <c r="I151" i="479"/>
  <c r="G194" i="479"/>
  <c r="I194" i="479" s="1"/>
  <c r="I150" i="479"/>
  <c r="G193" i="479"/>
  <c r="I193" i="479" s="1"/>
  <c r="I149" i="479"/>
  <c r="I2752" i="479" l="1"/>
  <c r="I2754" i="479"/>
  <c r="I7" i="311"/>
  <c r="L7" i="311" s="1"/>
  <c r="I8" i="311"/>
  <c r="L8" i="311" s="1"/>
  <c r="I2932" i="479"/>
  <c r="I2992" i="479"/>
  <c r="I1346" i="479"/>
  <c r="I2969" i="479"/>
  <c r="I2993" i="479"/>
  <c r="I3527" i="479"/>
  <c r="I1954" i="479"/>
  <c r="I2351" i="479"/>
  <c r="I3522" i="479"/>
  <c r="I25" i="311"/>
  <c r="L25" i="311" s="1"/>
  <c r="I1389" i="479"/>
  <c r="I12" i="311"/>
  <c r="L12" i="311" s="1"/>
  <c r="I2173" i="479"/>
  <c r="I11" i="311"/>
  <c r="L11" i="311" s="1"/>
  <c r="I1391" i="479"/>
  <c r="I1387" i="479"/>
  <c r="I3341" i="479"/>
  <c r="I3359" i="479"/>
  <c r="I1347" i="479"/>
  <c r="I1348" i="479"/>
  <c r="I1395" i="479"/>
  <c r="I3343" i="479"/>
  <c r="I1390" i="479"/>
  <c r="I3059" i="479"/>
  <c r="I2192" i="479"/>
  <c r="I3357" i="479"/>
  <c r="I2759" i="479"/>
  <c r="I2749" i="479"/>
  <c r="I2756" i="479"/>
  <c r="I2200" i="479"/>
  <c r="I2746" i="479"/>
  <c r="I3747" i="479"/>
  <c r="D174" i="482"/>
  <c r="I1400" i="479"/>
  <c r="I2194" i="479"/>
  <c r="I1951" i="479"/>
  <c r="I2189" i="479"/>
  <c r="I3744" i="479"/>
  <c r="I1343" i="479"/>
  <c r="I1349" i="479"/>
  <c r="I1408" i="479"/>
  <c r="I1945" i="479"/>
  <c r="I2184" i="479"/>
  <c r="I17" i="311"/>
  <c r="L17" i="311" s="1"/>
  <c r="I1342" i="479"/>
  <c r="I1344" i="479"/>
  <c r="I1409" i="479"/>
  <c r="I1947" i="479"/>
  <c r="I2168" i="479"/>
  <c r="I2186" i="479"/>
  <c r="I1340" i="479"/>
  <c r="I1405" i="479"/>
  <c r="I2205" i="479"/>
  <c r="I6" i="311"/>
  <c r="L6" i="311" s="1"/>
  <c r="F5" i="482"/>
  <c r="I2171" i="479"/>
  <c r="I2177" i="479"/>
  <c r="I2207" i="479"/>
  <c r="I27" i="311"/>
  <c r="L27" i="311" s="1"/>
  <c r="I1955" i="479"/>
  <c r="I1952" i="479"/>
  <c r="I2172" i="479"/>
  <c r="I2196" i="479"/>
  <c r="I3728" i="479"/>
  <c r="I383" i="479"/>
  <c r="I1953" i="479"/>
  <c r="I1393" i="479"/>
  <c r="I2198" i="479"/>
  <c r="I1984" i="479"/>
  <c r="I29" i="311"/>
  <c r="L29" i="311" s="1"/>
  <c r="I3749" i="479"/>
  <c r="I1946" i="479"/>
  <c r="I1949" i="479"/>
  <c r="I2175" i="479"/>
  <c r="I2193" i="479"/>
  <c r="I3734" i="479"/>
  <c r="I1950" i="479"/>
  <c r="I2188" i="479"/>
  <c r="I1986" i="479"/>
  <c r="I1860" i="479"/>
  <c r="I1875" i="479"/>
  <c r="I1833" i="479"/>
  <c r="I1836" i="479"/>
  <c r="I1851" i="479"/>
  <c r="I1697" i="479"/>
  <c r="I1700" i="479"/>
  <c r="I1703" i="479"/>
  <c r="I1706" i="479"/>
  <c r="I1709" i="479"/>
  <c r="I1712" i="479"/>
  <c r="I1715" i="479"/>
  <c r="I1718" i="479"/>
  <c r="I1721" i="479"/>
  <c r="I1724" i="479"/>
  <c r="I1727" i="479"/>
  <c r="I1754" i="479"/>
  <c r="I1757" i="479"/>
  <c r="I1766" i="479"/>
  <c r="L5" i="311"/>
  <c r="I28" i="311"/>
  <c r="L28" i="311" s="1"/>
  <c r="J97" i="311"/>
  <c r="L97" i="311" s="1"/>
  <c r="I1804" i="479"/>
  <c r="I1827" i="479"/>
  <c r="I2357" i="479"/>
  <c r="J96" i="311"/>
  <c r="L96" i="311" s="1"/>
  <c r="J95" i="311"/>
  <c r="L95" i="311" s="1"/>
  <c r="I1915" i="479"/>
  <c r="I73" i="311"/>
  <c r="L73" i="311" s="1"/>
  <c r="J94" i="311"/>
  <c r="L94" i="311" s="1"/>
  <c r="J93" i="311"/>
  <c r="L93" i="311" s="1"/>
  <c r="L26" i="311"/>
  <c r="L20" i="311"/>
  <c r="L14" i="311"/>
  <c r="L24" i="311"/>
  <c r="L18" i="311"/>
  <c r="L48" i="311"/>
  <c r="L42" i="311"/>
  <c r="L36" i="311"/>
  <c r="L62" i="311"/>
  <c r="L56" i="311"/>
  <c r="L50" i="311"/>
  <c r="L44" i="311"/>
  <c r="L38" i="311"/>
  <c r="L32" i="311"/>
  <c r="L23" i="311"/>
  <c r="L65" i="311"/>
  <c r="L59" i="311"/>
  <c r="L53" i="311"/>
  <c r="L47" i="311"/>
  <c r="L41" i="311"/>
  <c r="L35" i="311"/>
  <c r="L30" i="311"/>
  <c r="L67" i="311"/>
  <c r="L61" i="311"/>
  <c r="L49" i="311"/>
  <c r="L37" i="311"/>
  <c r="L13" i="311"/>
  <c r="L55" i="311"/>
  <c r="L43" i="311"/>
  <c r="L31" i="311"/>
  <c r="L19" i="311"/>
  <c r="L60" i="311"/>
  <c r="L54" i="311"/>
  <c r="L86" i="311"/>
  <c r="L80" i="311"/>
  <c r="L74" i="311"/>
  <c r="L68" i="311"/>
  <c r="L83" i="311"/>
  <c r="L77" i="311"/>
  <c r="L71" i="311"/>
  <c r="L85" i="311"/>
  <c r="L79" i="311"/>
  <c r="L84" i="311"/>
  <c r="L78" i="311"/>
  <c r="L72" i="311"/>
  <c r="L66" i="311"/>
  <c r="L91" i="311"/>
  <c r="L852" i="311"/>
  <c r="L846" i="311"/>
  <c r="L840" i="311"/>
  <c r="L834" i="311"/>
  <c r="L828" i="311"/>
  <c r="L822" i="311"/>
  <c r="L816" i="311"/>
  <c r="L810" i="311"/>
  <c r="L804" i="311"/>
  <c r="L798" i="311"/>
  <c r="L792" i="311"/>
  <c r="L786" i="311"/>
  <c r="L780" i="311"/>
  <c r="L774" i="311"/>
  <c r="L768" i="311"/>
  <c r="L762" i="311"/>
  <c r="L756" i="311"/>
  <c r="L750" i="311"/>
  <c r="L744" i="311"/>
  <c r="L738" i="311"/>
  <c r="L732" i="311"/>
  <c r="L726" i="311"/>
  <c r="L720" i="311"/>
  <c r="L714" i="311"/>
  <c r="L708" i="311"/>
  <c r="L702" i="311"/>
  <c r="L696" i="311"/>
  <c r="L690" i="311"/>
  <c r="L684" i="311"/>
  <c r="L678" i="311"/>
  <c r="L672" i="311"/>
  <c r="L666" i="311"/>
  <c r="L660" i="311"/>
  <c r="L654" i="311"/>
  <c r="L648" i="311"/>
  <c r="L642" i="311"/>
  <c r="L636" i="311"/>
  <c r="L630" i="311"/>
  <c r="L624" i="311"/>
  <c r="L618" i="311"/>
  <c r="L612" i="311"/>
  <c r="L606" i="311"/>
  <c r="L600" i="311"/>
  <c r="L594" i="311"/>
  <c r="L588" i="311"/>
  <c r="L853" i="311"/>
  <c r="L847" i="311"/>
  <c r="L841" i="311"/>
  <c r="L835" i="311"/>
  <c r="L829" i="311"/>
  <c r="L823" i="311"/>
  <c r="L817" i="311"/>
  <c r="L811" i="311"/>
  <c r="L805" i="311"/>
  <c r="L799" i="311"/>
  <c r="L793" i="311"/>
  <c r="L787" i="311"/>
  <c r="L781" i="311"/>
  <c r="L775" i="311"/>
  <c r="L769" i="311"/>
  <c r="L763" i="311"/>
  <c r="L757" i="311"/>
  <c r="L751" i="311"/>
  <c r="L745" i="311"/>
  <c r="L739" i="311"/>
  <c r="L733" i="311"/>
  <c r="L727" i="311"/>
  <c r="L721" i="311"/>
  <c r="L715" i="311"/>
  <c r="L709" i="311"/>
  <c r="L703" i="311"/>
  <c r="L697" i="311"/>
  <c r="L691" i="311"/>
  <c r="L685" i="311"/>
  <c r="L679" i="311"/>
  <c r="L673" i="311"/>
  <c r="L667" i="311"/>
  <c r="L661" i="311"/>
  <c r="L582" i="311"/>
  <c r="L576" i="311"/>
  <c r="L570" i="311"/>
  <c r="L564" i="311"/>
  <c r="L558" i="311"/>
  <c r="L552" i="311"/>
  <c r="L546" i="311"/>
  <c r="L540" i="311"/>
  <c r="L534" i="311"/>
  <c r="L528" i="311"/>
  <c r="L522" i="311"/>
  <c r="L516" i="311"/>
  <c r="L510" i="311"/>
  <c r="L504" i="311"/>
  <c r="L498" i="311"/>
  <c r="L492" i="311"/>
  <c r="L486" i="311"/>
  <c r="L480" i="311"/>
  <c r="L474" i="311"/>
  <c r="L468" i="311"/>
  <c r="L462" i="311"/>
  <c r="L456" i="311"/>
  <c r="L450" i="311"/>
  <c r="L444" i="311"/>
  <c r="L438" i="311"/>
  <c r="L432" i="311"/>
  <c r="L426" i="311"/>
  <c r="L420" i="311"/>
  <c r="L414" i="311"/>
  <c r="L408" i="311"/>
  <c r="L402" i="311"/>
  <c r="L396" i="311"/>
  <c r="L390" i="311"/>
  <c r="L384" i="311"/>
  <c r="L378" i="311"/>
  <c r="L372" i="311"/>
  <c r="L366" i="311"/>
  <c r="L360" i="311"/>
  <c r="L354" i="311"/>
  <c r="L348" i="311"/>
  <c r="L342" i="311"/>
  <c r="L336" i="311"/>
  <c r="L330" i="311"/>
  <c r="L324" i="311"/>
  <c r="L318" i="311"/>
  <c r="L312" i="311"/>
  <c r="L306" i="311"/>
  <c r="L300" i="311"/>
  <c r="L294" i="311"/>
  <c r="L288" i="311"/>
  <c r="L282" i="311"/>
  <c r="L276" i="311"/>
  <c r="L270" i="311"/>
  <c r="L264" i="311"/>
  <c r="L258" i="311"/>
  <c r="L252" i="311"/>
  <c r="L246" i="311"/>
  <c r="L240" i="311"/>
  <c r="L234" i="311"/>
  <c r="L228" i="311"/>
  <c r="L222" i="311"/>
  <c r="L216" i="311"/>
  <c r="L210" i="311"/>
  <c r="L204" i="311"/>
  <c r="L198" i="311"/>
  <c r="L192" i="311"/>
  <c r="L186" i="311"/>
  <c r="L180" i="311"/>
  <c r="L174" i="311"/>
  <c r="L168" i="311"/>
  <c r="L162" i="311"/>
  <c r="L156" i="311"/>
  <c r="L150" i="311"/>
  <c r="L144" i="311"/>
  <c r="L138" i="311"/>
  <c r="L132" i="311"/>
  <c r="L126" i="311"/>
  <c r="L120" i="311"/>
  <c r="L114" i="311"/>
  <c r="L108" i="311"/>
  <c r="L102" i="311"/>
  <c r="L90" i="311"/>
  <c r="L857" i="311"/>
  <c r="L851" i="311"/>
  <c r="L845" i="311"/>
  <c r="L839" i="311"/>
  <c r="L833" i="311"/>
  <c r="L827" i="311"/>
  <c r="L821" i="311"/>
  <c r="L815" i="311"/>
  <c r="L809" i="311"/>
  <c r="L803" i="311"/>
  <c r="L797" i="311"/>
  <c r="L791" i="311"/>
  <c r="L785" i="311"/>
  <c r="L779" i="311"/>
  <c r="L773" i="311"/>
  <c r="L767" i="311"/>
  <c r="L761" i="311"/>
  <c r="L755" i="311"/>
  <c r="L749" i="311"/>
  <c r="L743" i="311"/>
  <c r="L737" i="311"/>
  <c r="L731" i="311"/>
  <c r="L725" i="311"/>
  <c r="L719" i="311"/>
  <c r="L713" i="311"/>
  <c r="L707" i="311"/>
  <c r="L701" i="311"/>
  <c r="L695" i="311"/>
  <c r="L689" i="311"/>
  <c r="L683" i="311"/>
  <c r="L677" i="311"/>
  <c r="L671" i="311"/>
  <c r="L665" i="311"/>
  <c r="L659" i="311"/>
  <c r="L653" i="311"/>
  <c r="L647" i="311"/>
  <c r="L641" i="311"/>
  <c r="L635" i="311"/>
  <c r="L629" i="311"/>
  <c r="L623" i="311"/>
  <c r="L617" i="311"/>
  <c r="L611" i="311"/>
  <c r="L605" i="311"/>
  <c r="L89" i="311"/>
  <c r="L655" i="311"/>
  <c r="L649" i="311"/>
  <c r="L643" i="311"/>
  <c r="L637" i="311"/>
  <c r="L631" i="311"/>
  <c r="L625" i="311"/>
  <c r="L619" i="311"/>
  <c r="L613" i="311"/>
  <c r="L607" i="311"/>
  <c r="L601" i="311"/>
  <c r="L595" i="311"/>
  <c r="L589" i="311"/>
  <c r="L583" i="311"/>
  <c r="L577" i="311"/>
  <c r="L571" i="311"/>
  <c r="L565" i="311"/>
  <c r="L559" i="311"/>
  <c r="L553" i="311"/>
  <c r="L547" i="311"/>
  <c r="L541" i="311"/>
  <c r="L535" i="311"/>
  <c r="L529" i="311"/>
  <c r="L523" i="311"/>
  <c r="L517" i="311"/>
  <c r="L511" i="311"/>
  <c r="L505" i="311"/>
  <c r="L499" i="311"/>
  <c r="L493" i="311"/>
  <c r="L487" i="311"/>
  <c r="L481" i="311"/>
  <c r="L475" i="311"/>
  <c r="L469" i="311"/>
  <c r="L463" i="311"/>
  <c r="L457" i="311"/>
  <c r="L451" i="311"/>
  <c r="L445" i="311"/>
  <c r="L439" i="311"/>
  <c r="L433" i="311"/>
  <c r="L427" i="311"/>
  <c r="L421" i="311"/>
  <c r="L415" i="311"/>
  <c r="L409" i="311"/>
  <c r="L403" i="311"/>
  <c r="L397" i="311"/>
  <c r="L391" i="311"/>
  <c r="L385" i="311"/>
  <c r="L379" i="311"/>
  <c r="L373" i="311"/>
  <c r="L367" i="311"/>
  <c r="L361" i="311"/>
  <c r="L355" i="311"/>
  <c r="L349" i="311"/>
  <c r="L343" i="311"/>
  <c r="L337" i="311"/>
  <c r="L331" i="311"/>
  <c r="L325" i="311"/>
  <c r="L319" i="311"/>
  <c r="L313" i="311"/>
  <c r="L307" i="311"/>
  <c r="L301" i="311"/>
  <c r="L295" i="311"/>
  <c r="L289" i="311"/>
  <c r="L283" i="311"/>
  <c r="L277" i="311"/>
  <c r="L271" i="311"/>
  <c r="L265" i="311"/>
  <c r="L259" i="311"/>
  <c r="L253" i="311"/>
  <c r="L247" i="311"/>
  <c r="L241" i="311"/>
  <c r="L235" i="311"/>
  <c r="L229" i="311"/>
  <c r="L223" i="311"/>
  <c r="L217" i="311"/>
  <c r="L211" i="311"/>
  <c r="L205" i="311"/>
  <c r="L199" i="311"/>
  <c r="L193" i="311"/>
  <c r="L187" i="311"/>
  <c r="L181" i="311"/>
  <c r="L175" i="311"/>
  <c r="L169" i="311"/>
  <c r="L92" i="311"/>
  <c r="L163" i="311"/>
  <c r="L157" i="311"/>
  <c r="L151" i="311"/>
  <c r="L145" i="311"/>
  <c r="L139" i="311"/>
  <c r="L133" i="311"/>
  <c r="L127" i="311"/>
  <c r="L121" i="311"/>
  <c r="L115" i="311"/>
  <c r="L109" i="311"/>
  <c r="L103" i="311"/>
  <c r="L87" i="311"/>
  <c r="L81" i="311"/>
  <c r="L75" i="311"/>
  <c r="L69" i="311"/>
  <c r="L63" i="311"/>
  <c r="L57" i="311"/>
  <c r="L51" i="311"/>
  <c r="L45" i="311"/>
  <c r="L39" i="311"/>
  <c r="L33" i="311"/>
  <c r="L21" i="311"/>
  <c r="L15" i="311"/>
  <c r="L9" i="311"/>
  <c r="D196" i="482"/>
  <c r="D34" i="482"/>
  <c r="D100" i="482"/>
  <c r="D136" i="482"/>
  <c r="D160" i="482"/>
  <c r="D166" i="482"/>
  <c r="D172" i="482"/>
  <c r="D178" i="482"/>
  <c r="D184" i="482"/>
  <c r="D190" i="482"/>
  <c r="D12" i="482"/>
  <c r="D84" i="482"/>
  <c r="D192" i="482"/>
  <c r="D103" i="482"/>
  <c r="D139" i="482"/>
  <c r="D163" i="482"/>
  <c r="D175" i="482"/>
  <c r="D187" i="482"/>
  <c r="D191" i="482"/>
  <c r="D30" i="482"/>
  <c r="D60" i="482"/>
  <c r="D66" i="482"/>
  <c r="D90" i="482"/>
  <c r="D182" i="482"/>
  <c r="D188" i="482"/>
  <c r="D96" i="482"/>
  <c r="D132" i="482"/>
  <c r="D144" i="482"/>
  <c r="D56" i="482"/>
  <c r="D59" i="482"/>
  <c r="D22" i="482"/>
  <c r="D28" i="482"/>
  <c r="D120" i="482"/>
  <c r="D126" i="482"/>
  <c r="D40" i="482"/>
  <c r="D43" i="482"/>
  <c r="D198" i="482"/>
  <c r="D210" i="482"/>
  <c r="D18" i="482"/>
  <c r="D48" i="482"/>
  <c r="D54" i="482"/>
  <c r="D110" i="482"/>
  <c r="D113" i="482"/>
  <c r="D116" i="482"/>
  <c r="D119" i="482"/>
  <c r="D10" i="482"/>
  <c r="D14" i="482"/>
  <c r="D20" i="482"/>
  <c r="D26" i="482"/>
  <c r="D32" i="482"/>
  <c r="D108" i="482"/>
  <c r="D168" i="482"/>
  <c r="D180" i="482"/>
  <c r="D186" i="482"/>
  <c r="D204" i="482"/>
  <c r="D35" i="482"/>
  <c r="D38" i="482"/>
  <c r="D41" i="482"/>
  <c r="D44" i="482"/>
  <c r="D47" i="482"/>
  <c r="D64" i="482"/>
  <c r="D67" i="482"/>
  <c r="D79" i="482"/>
  <c r="D88" i="482"/>
  <c r="D91" i="482"/>
  <c r="D114" i="482"/>
  <c r="D134" i="482"/>
  <c r="D137" i="482"/>
  <c r="D140" i="482"/>
  <c r="D143" i="482"/>
  <c r="D146" i="482"/>
  <c r="D149" i="482"/>
  <c r="D152" i="482"/>
  <c r="D155" i="482"/>
  <c r="D158" i="482"/>
  <c r="D164" i="482"/>
  <c r="D167" i="482"/>
  <c r="D27" i="482"/>
  <c r="D36" i="482"/>
  <c r="D42" i="482"/>
  <c r="D62" i="482"/>
  <c r="D65" i="482"/>
  <c r="D68" i="482"/>
  <c r="D71" i="482"/>
  <c r="D74" i="482"/>
  <c r="D77" i="482"/>
  <c r="D80" i="482"/>
  <c r="D83" i="482"/>
  <c r="D86" i="482"/>
  <c r="D89" i="482"/>
  <c r="D92" i="482"/>
  <c r="D95" i="482"/>
  <c r="D112" i="482"/>
  <c r="D115" i="482"/>
  <c r="D138" i="482"/>
  <c r="D156" i="482"/>
  <c r="D162" i="482"/>
  <c r="D72" i="482"/>
  <c r="D16" i="482"/>
  <c r="D24" i="482"/>
  <c r="D52" i="482"/>
  <c r="D55" i="482"/>
  <c r="D58" i="482"/>
  <c r="D78" i="482"/>
  <c r="D98" i="482"/>
  <c r="D101" i="482"/>
  <c r="D104" i="482"/>
  <c r="D107" i="482"/>
  <c r="D124" i="482"/>
  <c r="D127" i="482"/>
  <c r="D150" i="482"/>
  <c r="D170" i="482"/>
  <c r="D176" i="482"/>
  <c r="D179" i="482"/>
  <c r="D199" i="482"/>
  <c r="D202" i="482"/>
  <c r="D208" i="482"/>
  <c r="D11" i="482"/>
  <c r="D19" i="482"/>
  <c r="D50" i="482"/>
  <c r="D53" i="482"/>
  <c r="D76" i="482"/>
  <c r="D102" i="482"/>
  <c r="D122" i="482"/>
  <c r="D125" i="482"/>
  <c r="D128" i="482"/>
  <c r="D131" i="482"/>
  <c r="D148" i="482"/>
  <c r="D151" i="482"/>
  <c r="D154" i="482"/>
  <c r="D194" i="482"/>
  <c r="D200" i="482"/>
  <c r="D203" i="482"/>
  <c r="D206" i="482"/>
  <c r="D31" i="482"/>
  <c r="D39" i="482"/>
  <c r="D15" i="482"/>
  <c r="D23" i="482"/>
  <c r="D17" i="482"/>
  <c r="D29" i="482"/>
  <c r="D94" i="482"/>
  <c r="D130" i="482"/>
  <c r="D13" i="482"/>
  <c r="D25" i="482"/>
  <c r="D37" i="482"/>
  <c r="D70" i="482"/>
  <c r="D106" i="482"/>
  <c r="D142" i="482"/>
  <c r="D21" i="482"/>
  <c r="D33" i="482"/>
  <c r="D46" i="482"/>
  <c r="D82" i="482"/>
  <c r="D118" i="482"/>
  <c r="D161" i="482"/>
  <c r="D173" i="482"/>
  <c r="D185" i="482"/>
  <c r="D197" i="482"/>
  <c r="D209" i="482"/>
  <c r="D51" i="482"/>
  <c r="D63" i="482"/>
  <c r="D75" i="482"/>
  <c r="D87" i="482"/>
  <c r="D99" i="482"/>
  <c r="D111" i="482"/>
  <c r="D123" i="482"/>
  <c r="D135" i="482"/>
  <c r="D147" i="482"/>
  <c r="D159" i="482"/>
  <c r="D171" i="482"/>
  <c r="D183" i="482"/>
  <c r="D195" i="482"/>
  <c r="D207" i="482"/>
  <c r="D49" i="482"/>
  <c r="D61" i="482"/>
  <c r="D73" i="482"/>
  <c r="D85" i="482"/>
  <c r="D97" i="482"/>
  <c r="D109" i="482"/>
  <c r="D121" i="482"/>
  <c r="D133" i="482"/>
  <c r="D145" i="482"/>
  <c r="D157" i="482"/>
  <c r="D169" i="482"/>
  <c r="D181" i="482"/>
  <c r="D193" i="482"/>
  <c r="D205" i="482"/>
  <c r="D45" i="482"/>
  <c r="D57" i="482"/>
  <c r="D69" i="482"/>
  <c r="D81" i="482"/>
  <c r="D93" i="482"/>
  <c r="D105" i="482"/>
  <c r="D117" i="482"/>
  <c r="D129" i="482"/>
  <c r="D141" i="482"/>
  <c r="D153" i="482"/>
  <c r="D165" i="482"/>
  <c r="D177" i="482"/>
  <c r="D189" i="482"/>
  <c r="D201" i="482"/>
  <c r="L599" i="311"/>
  <c r="L593" i="311"/>
  <c r="L587" i="311"/>
  <c r="L581" i="311"/>
  <c r="L575" i="311"/>
  <c r="L569" i="311"/>
  <c r="L563" i="311"/>
  <c r="L557" i="311"/>
  <c r="L551" i="311"/>
  <c r="L545" i="311"/>
  <c r="L539" i="311"/>
  <c r="L533" i="311"/>
  <c r="L527" i="311"/>
  <c r="L521" i="311"/>
  <c r="L515" i="311"/>
  <c r="L509" i="311"/>
  <c r="L503" i="311"/>
  <c r="L497" i="311"/>
  <c r="L491" i="311"/>
  <c r="L485" i="311"/>
  <c r="L479" i="311"/>
  <c r="L473" i="311"/>
  <c r="L467" i="311"/>
  <c r="L461" i="311"/>
  <c r="L455" i="311"/>
  <c r="L449" i="311"/>
  <c r="L443" i="311"/>
  <c r="L437" i="311"/>
  <c r="L431" i="311"/>
  <c r="L425" i="311"/>
  <c r="L419" i="311"/>
  <c r="L413" i="311"/>
  <c r="L407" i="311"/>
  <c r="L401" i="311"/>
  <c r="L395" i="311"/>
  <c r="L389" i="311"/>
  <c r="L383" i="311"/>
  <c r="L377" i="311"/>
  <c r="L371" i="311"/>
  <c r="L365" i="311"/>
  <c r="L359" i="311"/>
  <c r="L353" i="311"/>
  <c r="L347" i="311"/>
  <c r="L341" i="311"/>
  <c r="L335" i="311"/>
  <c r="L329" i="311"/>
  <c r="L323" i="311"/>
  <c r="L317" i="311"/>
  <c r="L311" i="311"/>
  <c r="L305" i="311"/>
  <c r="L299" i="311"/>
  <c r="L293" i="311"/>
  <c r="L287" i="311"/>
  <c r="L281" i="311"/>
  <c r="L275" i="311"/>
  <c r="L269" i="311"/>
  <c r="L263" i="311"/>
  <c r="L257" i="311"/>
  <c r="L251" i="311"/>
  <c r="L245" i="311"/>
  <c r="L239" i="311"/>
  <c r="L233" i="311"/>
  <c r="L227" i="311"/>
  <c r="L221" i="311"/>
  <c r="L215" i="311"/>
  <c r="L209" i="311"/>
  <c r="L203" i="311"/>
  <c r="L197" i="311"/>
  <c r="L191" i="311"/>
  <c r="L185" i="311"/>
  <c r="L179" i="311"/>
  <c r="L173" i="311"/>
  <c r="L167" i="311"/>
  <c r="L161" i="311"/>
  <c r="L155" i="311"/>
  <c r="L149" i="311"/>
  <c r="L143" i="311"/>
  <c r="L137" i="311"/>
  <c r="L131" i="311"/>
  <c r="L125" i="311"/>
  <c r="L119" i="311"/>
  <c r="L113" i="311"/>
  <c r="L107" i="311"/>
  <c r="L101" i="311"/>
  <c r="L796" i="311"/>
  <c r="L856" i="311"/>
  <c r="L844" i="311"/>
  <c r="L832" i="311"/>
  <c r="L820" i="311"/>
  <c r="L802" i="311"/>
  <c r="L778" i="311"/>
  <c r="L850" i="311"/>
  <c r="L838" i="311"/>
  <c r="L826" i="311"/>
  <c r="L814" i="311"/>
  <c r="L808" i="311"/>
  <c r="L790" i="311"/>
  <c r="L784" i="311"/>
  <c r="L766" i="311"/>
  <c r="L754" i="311"/>
  <c r="L742" i="311"/>
  <c r="L730" i="311"/>
  <c r="L712" i="311"/>
  <c r="L694" i="311"/>
  <c r="L682" i="311"/>
  <c r="L664" i="311"/>
  <c r="L652" i="311"/>
  <c r="L634" i="311"/>
  <c r="L616" i="311"/>
  <c r="L598" i="311"/>
  <c r="L580" i="311"/>
  <c r="L568" i="311"/>
  <c r="L550" i="311"/>
  <c r="L532" i="311"/>
  <c r="L514" i="311"/>
  <c r="L496" i="311"/>
  <c r="L478" i="311"/>
  <c r="L466" i="311"/>
  <c r="L442" i="311"/>
  <c r="L424" i="311"/>
  <c r="L346" i="311"/>
  <c r="L328" i="311"/>
  <c r="L310" i="311"/>
  <c r="L292" i="311"/>
  <c r="L274" i="311"/>
  <c r="L256" i="311"/>
  <c r="L244" i="311"/>
  <c r="L226" i="311"/>
  <c r="L208" i="311"/>
  <c r="L190" i="311"/>
  <c r="L184" i="311"/>
  <c r="L166" i="311"/>
  <c r="L148" i="311"/>
  <c r="L130" i="311"/>
  <c r="L118" i="311"/>
  <c r="L76" i="311"/>
  <c r="L46" i="311"/>
  <c r="L98" i="311"/>
  <c r="L724" i="311"/>
  <c r="L706" i="311"/>
  <c r="L676" i="311"/>
  <c r="L658" i="311"/>
  <c r="L640" i="311"/>
  <c r="L622" i="311"/>
  <c r="L604" i="311"/>
  <c r="L586" i="311"/>
  <c r="L562" i="311"/>
  <c r="L538" i="311"/>
  <c r="L520" i="311"/>
  <c r="L502" i="311"/>
  <c r="L484" i="311"/>
  <c r="L460" i="311"/>
  <c r="L448" i="311"/>
  <c r="L430" i="311"/>
  <c r="L340" i="311"/>
  <c r="L316" i="311"/>
  <c r="L298" i="311"/>
  <c r="L280" i="311"/>
  <c r="L262" i="311"/>
  <c r="L238" i="311"/>
  <c r="L220" i="311"/>
  <c r="L202" i="311"/>
  <c r="L172" i="311"/>
  <c r="L154" i="311"/>
  <c r="L136" i="311"/>
  <c r="L124" i="311"/>
  <c r="L112" i="311"/>
  <c r="L106" i="311"/>
  <c r="L88" i="311"/>
  <c r="L64" i="311"/>
  <c r="L52" i="311"/>
  <c r="L34" i="311"/>
  <c r="L22" i="311"/>
  <c r="L772" i="311"/>
  <c r="L760" i="311"/>
  <c r="L748" i="311"/>
  <c r="L736" i="311"/>
  <c r="L718" i="311"/>
  <c r="L700" i="311"/>
  <c r="L688" i="311"/>
  <c r="L670" i="311"/>
  <c r="L646" i="311"/>
  <c r="L628" i="311"/>
  <c r="L610" i="311"/>
  <c r="L592" i="311"/>
  <c r="L574" i="311"/>
  <c r="L556" i="311"/>
  <c r="L544" i="311"/>
  <c r="L526" i="311"/>
  <c r="L508" i="311"/>
  <c r="L490" i="311"/>
  <c r="L472" i="311"/>
  <c r="L454" i="311"/>
  <c r="L436" i="311"/>
  <c r="L418" i="311"/>
  <c r="L334" i="311"/>
  <c r="L322" i="311"/>
  <c r="L304" i="311"/>
  <c r="L286" i="311"/>
  <c r="L268" i="311"/>
  <c r="L250" i="311"/>
  <c r="L232" i="311"/>
  <c r="L214" i="311"/>
  <c r="L196" i="311"/>
  <c r="L178" i="311"/>
  <c r="L160" i="311"/>
  <c r="L142" i="311"/>
  <c r="L100" i="311"/>
  <c r="L82" i="311"/>
  <c r="L70" i="311"/>
  <c r="L58" i="311"/>
  <c r="L40" i="311"/>
  <c r="L16" i="311"/>
  <c r="L10" i="311"/>
  <c r="L345" i="311"/>
  <c r="L339" i="311"/>
  <c r="L333" i="311"/>
  <c r="L327" i="311"/>
  <c r="L321" i="311"/>
  <c r="L315" i="311"/>
  <c r="L309" i="311"/>
  <c r="L303" i="311"/>
  <c r="L297" i="311"/>
  <c r="L291" i="311"/>
  <c r="L285" i="311"/>
  <c r="L279" i="311"/>
  <c r="L273" i="311"/>
  <c r="L267" i="311"/>
  <c r="L261" i="311"/>
  <c r="L255" i="311"/>
  <c r="L249" i="311"/>
  <c r="L243" i="311"/>
  <c r="L237" i="311"/>
  <c r="L231" i="311"/>
  <c r="L225" i="311"/>
  <c r="L219" i="311"/>
  <c r="L213" i="311"/>
  <c r="L207" i="311"/>
  <c r="L201" i="311"/>
  <c r="L195" i="311"/>
  <c r="L189" i="311"/>
  <c r="L183" i="311"/>
  <c r="L177" i="311"/>
  <c r="L171" i="311"/>
  <c r="L165" i="311"/>
  <c r="L159" i="311"/>
  <c r="L153" i="311"/>
  <c r="L147" i="311"/>
  <c r="L141" i="311"/>
  <c r="L135" i="311"/>
  <c r="L129" i="311"/>
  <c r="L123" i="311"/>
  <c r="L117" i="311"/>
  <c r="L111" i="311"/>
  <c r="L105" i="311"/>
  <c r="L99" i="311"/>
  <c r="L410" i="311"/>
  <c r="L404" i="311"/>
  <c r="L398" i="311"/>
  <c r="L392" i="311"/>
  <c r="L386" i="311"/>
  <c r="L380" i="311"/>
  <c r="L374" i="311"/>
  <c r="L368" i="311"/>
  <c r="L362" i="311"/>
  <c r="L356" i="311"/>
  <c r="L350" i="311"/>
  <c r="L344" i="311"/>
  <c r="L338" i="311"/>
  <c r="L332" i="311"/>
  <c r="L326" i="311"/>
  <c r="L320" i="311"/>
  <c r="L314" i="311"/>
  <c r="L308" i="311"/>
  <c r="L302" i="311"/>
  <c r="L296" i="311"/>
  <c r="L290" i="311"/>
  <c r="L284" i="311"/>
  <c r="L278" i="311"/>
  <c r="L272" i="311"/>
  <c r="L266" i="311"/>
  <c r="L260" i="311"/>
  <c r="L254" i="311"/>
  <c r="L248" i="311"/>
  <c r="L242" i="311"/>
  <c r="L236" i="311"/>
  <c r="L230" i="311"/>
  <c r="L224" i="311"/>
  <c r="L218" i="311"/>
  <c r="L212" i="311"/>
  <c r="L206" i="311"/>
  <c r="L200" i="311"/>
  <c r="L194" i="311"/>
  <c r="L188" i="311"/>
  <c r="L182" i="311"/>
  <c r="L176" i="311"/>
  <c r="L170" i="311"/>
  <c r="L164" i="311"/>
  <c r="L158" i="311"/>
  <c r="L152" i="311"/>
  <c r="L146" i="311"/>
  <c r="L140" i="311"/>
  <c r="L134" i="311"/>
  <c r="L128" i="311"/>
  <c r="L122" i="311"/>
  <c r="L116" i="311"/>
  <c r="L110" i="311"/>
  <c r="L104" i="311"/>
  <c r="L412" i="311"/>
  <c r="L406" i="311"/>
  <c r="L400" i="311"/>
  <c r="L394" i="311"/>
  <c r="L388" i="311"/>
  <c r="L382" i="311"/>
  <c r="L376" i="311"/>
  <c r="L370" i="311"/>
  <c r="L364" i="311"/>
  <c r="L358" i="311"/>
  <c r="L352" i="311"/>
  <c r="L855" i="311"/>
  <c r="L849" i="311"/>
  <c r="L843" i="311"/>
  <c r="L837" i="311"/>
  <c r="L831" i="311"/>
  <c r="L825" i="311"/>
  <c r="L819" i="311"/>
  <c r="L813" i="311"/>
  <c r="L807" i="311"/>
  <c r="L801" i="311"/>
  <c r="L795" i="311"/>
  <c r="L789" i="311"/>
  <c r="L783" i="311"/>
  <c r="L777" i="311"/>
  <c r="L771" i="311"/>
  <c r="L765" i="311"/>
  <c r="L759" i="311"/>
  <c r="L753" i="311"/>
  <c r="L747" i="311"/>
  <c r="L741" i="311"/>
  <c r="L735" i="311"/>
  <c r="L729" i="311"/>
  <c r="L723" i="311"/>
  <c r="L717" i="311"/>
  <c r="L711" i="311"/>
  <c r="L705" i="311"/>
  <c r="L699" i="311"/>
  <c r="L693" i="311"/>
  <c r="L687" i="311"/>
  <c r="L681" i="311"/>
  <c r="L675" i="311"/>
  <c r="L669" i="311"/>
  <c r="L663" i="311"/>
  <c r="L657" i="311"/>
  <c r="L651" i="311"/>
  <c r="L645" i="311"/>
  <c r="L639" i="311"/>
  <c r="L633" i="311"/>
  <c r="L627" i="311"/>
  <c r="L621" i="311"/>
  <c r="L615" i="311"/>
  <c r="L609" i="311"/>
  <c r="L603" i="311"/>
  <c r="L597" i="311"/>
  <c r="L591" i="311"/>
  <c r="L585" i="311"/>
  <c r="L579" i="311"/>
  <c r="L573" i="311"/>
  <c r="L567" i="311"/>
  <c r="L561" i="311"/>
  <c r="L555" i="311"/>
  <c r="L549" i="311"/>
  <c r="L543" i="311"/>
  <c r="L537" i="311"/>
  <c r="L531" i="311"/>
  <c r="L525" i="311"/>
  <c r="L519" i="311"/>
  <c r="L513" i="311"/>
  <c r="L507" i="311"/>
  <c r="L501" i="311"/>
  <c r="L495" i="311"/>
  <c r="L489" i="311"/>
  <c r="L483" i="311"/>
  <c r="L477" i="311"/>
  <c r="L471" i="311"/>
  <c r="L465" i="311"/>
  <c r="L459" i="311"/>
  <c r="L453" i="311"/>
  <c r="L447" i="311"/>
  <c r="L441" i="311"/>
  <c r="L435" i="311"/>
  <c r="L429" i="311"/>
  <c r="L423" i="311"/>
  <c r="L417" i="311"/>
  <c r="L411" i="311"/>
  <c r="L405" i="311"/>
  <c r="L399" i="311"/>
  <c r="L393" i="311"/>
  <c r="L387" i="311"/>
  <c r="L381" i="311"/>
  <c r="L375" i="311"/>
  <c r="L369" i="311"/>
  <c r="L363" i="311"/>
  <c r="L357" i="311"/>
  <c r="L351" i="311"/>
  <c r="L854" i="311"/>
  <c r="L848" i="311"/>
  <c r="L842" i="311"/>
  <c r="L836" i="311"/>
  <c r="L830" i="311"/>
  <c r="L824" i="311"/>
  <c r="L818" i="311"/>
  <c r="L812" i="311"/>
  <c r="L806" i="311"/>
  <c r="L800" i="311"/>
  <c r="L794" i="311"/>
  <c r="L788" i="311"/>
  <c r="L782" i="311"/>
  <c r="L776" i="311"/>
  <c r="L770" i="311"/>
  <c r="L764" i="311"/>
  <c r="L758" i="311"/>
  <c r="L752" i="311"/>
  <c r="L746" i="311"/>
  <c r="L740" i="311"/>
  <c r="L734" i="311"/>
  <c r="L728" i="311"/>
  <c r="L722" i="311"/>
  <c r="L716" i="311"/>
  <c r="L710" i="311"/>
  <c r="L704" i="311"/>
  <c r="L698" i="311"/>
  <c r="L692" i="311"/>
  <c r="L686" i="311"/>
  <c r="L680" i="311"/>
  <c r="L674" i="311"/>
  <c r="L668" i="311"/>
  <c r="L662" i="311"/>
  <c r="L656" i="311"/>
  <c r="L650" i="311"/>
  <c r="L644" i="311"/>
  <c r="L638" i="311"/>
  <c r="L632" i="311"/>
  <c r="L626" i="311"/>
  <c r="L620" i="311"/>
  <c r="L614" i="311"/>
  <c r="L608" i="311"/>
  <c r="L602" i="311"/>
  <c r="L596" i="311"/>
  <c r="L590" i="311"/>
  <c r="L584" i="311"/>
  <c r="L578" i="311"/>
  <c r="L572" i="311"/>
  <c r="L566" i="311"/>
  <c r="L560" i="311"/>
  <c r="L554" i="311"/>
  <c r="L548" i="311"/>
  <c r="L542" i="311"/>
  <c r="L536" i="311"/>
  <c r="L530" i="311"/>
  <c r="L524" i="311"/>
  <c r="L518" i="311"/>
  <c r="L512" i="311"/>
  <c r="L506" i="311"/>
  <c r="L500" i="311"/>
  <c r="L494" i="311"/>
  <c r="L488" i="311"/>
  <c r="L482" i="311"/>
  <c r="L476" i="311"/>
  <c r="L470" i="311"/>
  <c r="L464" i="311"/>
  <c r="L458" i="311"/>
  <c r="L452" i="311"/>
  <c r="L446" i="311"/>
  <c r="L440" i="311"/>
  <c r="L434" i="311"/>
  <c r="L428" i="311"/>
  <c r="L422" i="311"/>
  <c r="L416" i="311"/>
  <c r="L4" i="311"/>
  <c r="L3" i="311"/>
  <c r="I1862" i="479"/>
  <c r="I1868" i="479"/>
  <c r="I1929" i="479"/>
  <c r="I1861" i="479"/>
  <c r="I1864" i="479"/>
  <c r="I1873" i="479"/>
  <c r="I1876" i="479"/>
  <c r="I1905" i="479"/>
  <c r="I1908" i="479"/>
  <c r="I1828" i="479"/>
  <c r="I1912" i="479"/>
  <c r="I1874" i="479"/>
  <c r="I1931" i="479"/>
  <c r="I1934" i="479"/>
  <c r="I1780" i="479"/>
  <c r="I1789" i="479"/>
  <c r="I1802" i="479"/>
  <c r="I1808" i="479"/>
  <c r="I1822" i="479"/>
  <c r="I1859" i="479"/>
  <c r="I1933" i="479"/>
  <c r="I1772" i="479"/>
  <c r="I1775" i="479"/>
  <c r="I1778" i="479"/>
  <c r="I1806" i="479"/>
  <c r="I1826" i="479"/>
  <c r="I1829" i="479"/>
  <c r="I1832" i="479"/>
  <c r="I1838" i="479"/>
  <c r="I1841" i="479"/>
  <c r="I1898" i="479"/>
  <c r="I1904" i="479"/>
  <c r="I1752" i="479"/>
  <c r="I1824" i="479"/>
  <c r="I1872" i="479"/>
  <c r="I1916" i="479"/>
  <c r="I1699" i="479"/>
  <c r="I1702" i="479"/>
  <c r="I1705" i="479"/>
  <c r="I1708" i="479"/>
  <c r="I1756" i="479"/>
  <c r="I1858" i="479"/>
  <c r="I1870" i="479"/>
  <c r="I1882" i="479"/>
  <c r="I1746" i="479"/>
  <c r="I1863" i="479"/>
  <c r="I1922" i="479"/>
  <c r="I1938" i="479"/>
  <c r="I2216" i="479"/>
  <c r="I1758" i="479"/>
  <c r="I1790" i="479"/>
  <c r="I1803" i="479"/>
  <c r="I1834" i="479"/>
  <c r="I1846" i="479"/>
  <c r="I1866" i="479"/>
  <c r="I1880" i="479"/>
  <c r="I1900" i="479"/>
  <c r="I1917" i="479"/>
  <c r="I1920" i="479"/>
  <c r="I1750" i="479"/>
  <c r="I1770" i="479"/>
  <c r="I1776" i="479"/>
  <c r="I1788" i="479"/>
  <c r="I1878" i="479"/>
  <c r="I1939" i="479"/>
  <c r="G3735" i="479"/>
  <c r="I1844" i="479"/>
  <c r="I1924" i="479"/>
  <c r="I1940" i="479"/>
  <c r="I1730" i="479"/>
  <c r="I1733" i="479"/>
  <c r="I1736" i="479"/>
  <c r="I1739" i="479"/>
  <c r="I1742" i="479"/>
  <c r="I1745" i="479"/>
  <c r="I1748" i="479"/>
  <c r="I1751" i="479"/>
  <c r="I1768" i="479"/>
  <c r="I1771" i="479"/>
  <c r="I1774" i="479"/>
  <c r="I1815" i="479"/>
  <c r="I1821" i="479"/>
  <c r="I1848" i="479"/>
  <c r="I1879" i="479"/>
  <c r="I1910" i="479"/>
  <c r="I1747" i="479"/>
  <c r="I1773" i="479"/>
  <c r="I1801" i="479"/>
  <c r="I1816" i="479"/>
  <c r="I1852" i="479"/>
  <c r="I1865" i="479"/>
  <c r="I1877" i="479"/>
  <c r="I1897" i="479"/>
  <c r="I1902" i="479"/>
  <c r="I1918" i="479"/>
  <c r="I1921" i="479"/>
  <c r="I1926" i="479"/>
  <c r="I1936" i="479"/>
  <c r="I1755" i="479"/>
  <c r="I1769" i="479"/>
  <c r="I1781" i="479"/>
  <c r="I1809" i="479"/>
  <c r="I1903" i="479"/>
  <c r="I1927" i="479"/>
  <c r="I1698" i="479"/>
  <c r="I1701" i="479"/>
  <c r="I1704" i="479"/>
  <c r="I1707" i="479"/>
  <c r="I1710" i="479"/>
  <c r="I1713" i="479"/>
  <c r="I1716" i="479"/>
  <c r="I1719" i="479"/>
  <c r="I1722" i="479"/>
  <c r="I1725" i="479"/>
  <c r="I1728" i="479"/>
  <c r="I1731" i="479"/>
  <c r="I1734" i="479"/>
  <c r="I1737" i="479"/>
  <c r="I1740" i="479"/>
  <c r="I1743" i="479"/>
  <c r="I1753" i="479"/>
  <c r="I1767" i="479"/>
  <c r="I1779" i="479"/>
  <c r="I1807" i="479"/>
  <c r="I1814" i="479"/>
  <c r="I1817" i="479"/>
  <c r="I1820" i="479"/>
  <c r="I1839" i="479"/>
  <c r="I1845" i="479"/>
  <c r="I1850" i="479"/>
  <c r="I1853" i="479"/>
  <c r="I1871" i="479"/>
  <c r="I1906" i="479"/>
  <c r="I1909" i="479"/>
  <c r="I1914" i="479"/>
  <c r="I1937" i="479"/>
  <c r="I1765" i="479"/>
  <c r="I1777" i="479"/>
  <c r="I1805" i="479"/>
  <c r="I1840" i="479"/>
  <c r="I1857" i="479"/>
  <c r="I1869" i="479"/>
  <c r="I1881" i="479"/>
  <c r="I1896" i="479"/>
  <c r="I1711" i="479"/>
  <c r="I1714" i="479"/>
  <c r="I1717" i="479"/>
  <c r="I1720" i="479"/>
  <c r="I1723" i="479"/>
  <c r="I1726" i="479"/>
  <c r="I1729" i="479"/>
  <c r="I1732" i="479"/>
  <c r="I1735" i="479"/>
  <c r="I1738" i="479"/>
  <c r="I1741" i="479"/>
  <c r="I1744" i="479"/>
  <c r="I1749" i="479"/>
  <c r="I1867" i="479"/>
  <c r="I1935" i="479"/>
  <c r="I1941" i="479"/>
  <c r="G3741" i="479"/>
  <c r="I3740" i="479"/>
  <c r="I2356" i="479"/>
  <c r="I2355" i="479"/>
  <c r="I1842" i="479"/>
  <c r="I1830" i="479"/>
  <c r="I1818" i="479"/>
  <c r="I1854" i="479"/>
  <c r="I1823" i="479"/>
  <c r="I1835" i="479"/>
  <c r="I1847" i="479"/>
  <c r="I1899" i="479"/>
  <c r="I1911" i="479"/>
  <c r="I1923" i="479"/>
  <c r="I1849" i="479"/>
  <c r="I1901" i="479"/>
  <c r="G3732" i="479"/>
  <c r="I3731" i="479"/>
  <c r="I1913" i="479"/>
  <c r="I1819" i="479"/>
  <c r="I1831" i="479"/>
  <c r="I1843" i="479"/>
  <c r="I1855" i="479"/>
  <c r="I1895" i="479"/>
  <c r="I1907" i="479"/>
  <c r="I1919" i="479"/>
  <c r="I1825" i="479"/>
  <c r="I1837" i="479"/>
  <c r="I1925" i="479"/>
  <c r="I1930" i="479"/>
  <c r="I3741" i="479" l="1"/>
  <c r="I3732" i="479"/>
  <c r="I3735" i="479"/>
  <c r="H7" i="5" a="1"/>
  <c r="H7" i="5" l="1"/>
  <c r="I7" i="5" s="1"/>
  <c r="J7" i="5" l="1"/>
  <c r="B15" i="278"/>
  <c r="E8" i="278"/>
  <c r="B3" i="278"/>
  <c r="L7" i="5" l="1"/>
  <c r="M7" i="5" s="1"/>
  <c r="K7" i="5"/>
  <c r="O7" i="5"/>
  <c r="P7" i="5" s="1"/>
  <c r="I14" i="5"/>
  <c r="I16" i="5" s="1"/>
  <c r="F14" i="5"/>
  <c r="M14" i="5" l="1"/>
  <c r="K14" i="5"/>
  <c r="K16" i="5" s="1"/>
  <c r="X7" i="5"/>
  <c r="Y7" i="5" s="1"/>
  <c r="U7" i="5"/>
  <c r="V7" i="5" s="1"/>
  <c r="W7" i="5" s="1"/>
  <c r="R7" i="5"/>
  <c r="S7" i="5" s="1"/>
  <c r="Q7" i="5"/>
  <c r="K15" i="5" l="1"/>
  <c r="W14" i="5"/>
  <c r="Y14" i="5"/>
  <c r="S14" i="5"/>
  <c r="V14" i="5"/>
  <c r="Q14" i="5"/>
  <c r="Q15" i="5" s="1"/>
  <c r="Z14"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<sst xmlns="http://schemas.openxmlformats.org/spreadsheetml/2006/main" count="31061" uniqueCount="7847">
  <si>
    <t>CURRENCY</t>
  </si>
  <si>
    <t>Date:</t>
  </si>
  <si>
    <t>Rev 0.0</t>
  </si>
  <si>
    <t>Init 
ROUND UP</t>
  </si>
  <si>
    <t>Project:</t>
  </si>
  <si>
    <t>Panel</t>
  </si>
  <si>
    <t>Panel Remark</t>
  </si>
  <si>
    <t>Quatity</t>
  </si>
  <si>
    <t>Unit</t>
  </si>
  <si>
    <t>Stand. Price</t>
  </si>
  <si>
    <t>T. Stand.</t>
  </si>
  <si>
    <t>Comm 3</t>
  </si>
  <si>
    <t>Unit Price (USD)</t>
  </si>
  <si>
    <t>Total (USD)</t>
  </si>
  <si>
    <t>Unit Price (RM)</t>
  </si>
  <si>
    <t>NOS</t>
  </si>
  <si>
    <t>End</t>
  </si>
  <si>
    <t>Total, RM =</t>
  </si>
  <si>
    <t>Total =</t>
  </si>
  <si>
    <t>Total, USD =</t>
  </si>
  <si>
    <t>Material offer</t>
  </si>
  <si>
    <t>MCCB - Chint</t>
  </si>
  <si>
    <t>MCB - Chint</t>
  </si>
  <si>
    <t>RCCB - Chint</t>
  </si>
  <si>
    <t>Quotation</t>
  </si>
  <si>
    <t>Validity</t>
  </si>
  <si>
    <t>30days</t>
  </si>
  <si>
    <t>Delivery</t>
  </si>
  <si>
    <t>4 to 6 weeks upon approval of drawings</t>
  </si>
  <si>
    <t>Remark</t>
  </si>
  <si>
    <t>Protection Relay Verification Test Excluded</t>
  </si>
  <si>
    <t>SESCO kWH Meter &amp; Cut-out Unit Excluded</t>
  </si>
  <si>
    <t>Switchboard made</t>
  </si>
  <si>
    <t>IEC 61439-1, ASTA TYPE TESTED, SESCO</t>
  </si>
  <si>
    <t>1.2mm E.G SHEET, IP41(INDOOR), WALL MOUNTED PANEL (DB)</t>
  </si>
  <si>
    <t>Payment term</t>
  </si>
  <si>
    <t>30% Downpayment</t>
  </si>
  <si>
    <t>70% Upon Completion and before delivery to site</t>
  </si>
  <si>
    <t>V2.00</t>
  </si>
  <si>
    <t>Quotation checklist</t>
  </si>
  <si>
    <t>References Number</t>
  </si>
  <si>
    <t>Quotation Number</t>
  </si>
  <si>
    <t>Q</t>
  </si>
  <si>
    <t>Awarded Client</t>
  </si>
  <si>
    <t>Date</t>
  </si>
  <si>
    <t>Consultant</t>
  </si>
  <si>
    <t>Client</t>
  </si>
  <si>
    <t>Project Title</t>
  </si>
  <si>
    <t>Project Remark</t>
  </si>
  <si>
    <t>TK/ TKM</t>
  </si>
  <si>
    <t>TK</t>
  </si>
  <si>
    <t>TKM</t>
  </si>
  <si>
    <t>Currency</t>
  </si>
  <si>
    <t>RM</t>
  </si>
  <si>
    <t>USD</t>
  </si>
  <si>
    <t>others</t>
  </si>
  <si>
    <t>Ex-Kuching, RM</t>
  </si>
  <si>
    <t>Other</t>
  </si>
  <si>
    <t>30 days</t>
  </si>
  <si>
    <t>Others</t>
  </si>
  <si>
    <t>30% Downpayment
70% Upon Completion and before delivery to site</t>
  </si>
  <si>
    <t>50% Downpayment
Balance 50% LC</t>
  </si>
  <si>
    <t>100% COD</t>
  </si>
  <si>
    <t>Protection Relay Verificatio n Test Excluded</t>
  </si>
  <si>
    <t>No.</t>
  </si>
  <si>
    <t>24hr Timer - ABB</t>
  </si>
  <si>
    <t>24hr Timer - Camsco</t>
  </si>
  <si>
    <t>24hr Timer - Schneider Electric</t>
  </si>
  <si>
    <t xml:space="preserve"> </t>
  </si>
  <si>
    <t>240VAC/24VDC Power supply - Schneider Electric</t>
  </si>
  <si>
    <t>A</t>
  </si>
  <si>
    <t>A/T - QPS</t>
  </si>
  <si>
    <t>ACB - ABB</t>
  </si>
  <si>
    <t>ACB - LS</t>
  </si>
  <si>
    <t>ACB - Schneider Electric</t>
  </si>
  <si>
    <t>ACB - Chint</t>
  </si>
  <si>
    <t>ATS - ABB</t>
  </si>
  <si>
    <t>ATS - Schneider Electric</t>
  </si>
  <si>
    <t>ATS - VITZRO TECH</t>
  </si>
  <si>
    <t>Ammeter - Imetec</t>
  </si>
  <si>
    <t>B</t>
  </si>
  <si>
    <t>C</t>
  </si>
  <si>
    <t>Cap. Bank - Frako</t>
  </si>
  <si>
    <t>Cap. Bank - Epcos</t>
  </si>
  <si>
    <t>Cap. Bank - Elco</t>
  </si>
  <si>
    <t>Cap. Bank - Electronicon</t>
  </si>
  <si>
    <t>Combined EF/OC - ABB</t>
  </si>
  <si>
    <t>Control relay - Schneider Electric</t>
  </si>
  <si>
    <t>D</t>
  </si>
  <si>
    <t>DPM - Schneider Electric</t>
  </si>
  <si>
    <t>DPM - Delab</t>
  </si>
  <si>
    <t>DPM - Cewe</t>
  </si>
  <si>
    <t>DPM - Mikro</t>
  </si>
  <si>
    <t>E</t>
  </si>
  <si>
    <t>ELR - Mun Hean</t>
  </si>
  <si>
    <t>ELR - Mikro</t>
  </si>
  <si>
    <t>ELR - Delab</t>
  </si>
  <si>
    <t>F</t>
  </si>
  <si>
    <t>Floatless Relay - CKc</t>
  </si>
  <si>
    <t>Fuse Switch - LS</t>
  </si>
  <si>
    <t>Fuse Switch - ABB</t>
  </si>
  <si>
    <t>Fuse Switch - Jean Muller</t>
  </si>
  <si>
    <t>Fuse Link - ABB</t>
  </si>
  <si>
    <t>G</t>
  </si>
  <si>
    <t>H</t>
  </si>
  <si>
    <t>HMI - Schneider Electric</t>
  </si>
  <si>
    <t>I</t>
  </si>
  <si>
    <t>I/L - F.D</t>
  </si>
  <si>
    <t>Impulse relay - Schneider Electric</t>
  </si>
  <si>
    <t>ISOLATOR - ABB</t>
  </si>
  <si>
    <t>ISOLATOR - LS</t>
  </si>
  <si>
    <t>ISOLATOR - Chint</t>
  </si>
  <si>
    <t>ISOLATOR - Schneider Electric</t>
  </si>
  <si>
    <t>J</t>
  </si>
  <si>
    <t>K</t>
  </si>
  <si>
    <t>M</t>
  </si>
  <si>
    <t>MCB - ABB</t>
  </si>
  <si>
    <t>MCB - LS</t>
  </si>
  <si>
    <t>MCB - Taian</t>
  </si>
  <si>
    <t>MCB - Schneider Electric</t>
  </si>
  <si>
    <t>MCB - Siemens</t>
  </si>
  <si>
    <t>MCB - Mitsubishi</t>
  </si>
  <si>
    <t>MCCB - ABB</t>
  </si>
  <si>
    <t>MCCB - LS</t>
  </si>
  <si>
    <t>MCCB - Taian</t>
  </si>
  <si>
    <t>MCCB - Schneider Electric</t>
  </si>
  <si>
    <t>MCCB - Siemens</t>
  </si>
  <si>
    <t>MCCB - Mitsubishi</t>
  </si>
  <si>
    <t>MPCB - Schneider Electric</t>
  </si>
  <si>
    <t>MTS - ABB</t>
  </si>
  <si>
    <t>MCU - Schneider Electric</t>
  </si>
  <si>
    <t>N</t>
  </si>
  <si>
    <t>O</t>
  </si>
  <si>
    <t>P</t>
  </si>
  <si>
    <t>Passive Filter, PF - Schneider</t>
  </si>
  <si>
    <t>Passive Filter, PF - Scaffner</t>
  </si>
  <si>
    <t>Phase Sequence Relay - Schneider</t>
  </si>
  <si>
    <t>Phase Sequence Relay - Mikro</t>
  </si>
  <si>
    <t>PLC - Schenider Electric</t>
  </si>
  <si>
    <t>Potential Transformer - QPS</t>
  </si>
  <si>
    <t>Power factor regulator - Mikro</t>
  </si>
  <si>
    <t>Push Button - AMICO</t>
  </si>
  <si>
    <t>Push Button - Schneider Electric</t>
  </si>
  <si>
    <t>Protection relay - Schneider Electric</t>
  </si>
  <si>
    <t>R</t>
  </si>
  <si>
    <t>RCBO - Schneider Electric</t>
  </si>
  <si>
    <t>RCBO - LS</t>
  </si>
  <si>
    <t>RCBO - Chint</t>
  </si>
  <si>
    <t>RCCB - ABB</t>
  </si>
  <si>
    <t>RCCB - LS</t>
  </si>
  <si>
    <t>RCCB - Schneider Electric</t>
  </si>
  <si>
    <t>RCCB - Mitsubishi</t>
  </si>
  <si>
    <t>Reactor - QPS</t>
  </si>
  <si>
    <t>S</t>
  </si>
  <si>
    <t>Selector Switch - Amico</t>
  </si>
  <si>
    <t>Selector Switch - Salzer</t>
  </si>
  <si>
    <t>Step Down Transformer - QPS</t>
  </si>
  <si>
    <t>Socket - CEE</t>
  </si>
  <si>
    <t>Soft Starter - ABB</t>
  </si>
  <si>
    <t>Soft Starter - Fairford</t>
  </si>
  <si>
    <t>Surge Arrestor - ABB</t>
  </si>
  <si>
    <t>Surge Arrestor - Schneider</t>
  </si>
  <si>
    <t>T</t>
  </si>
  <si>
    <t>Temperature Controller - Omron/ Autonics</t>
  </si>
  <si>
    <t>Test terminal block - Rudoff</t>
  </si>
  <si>
    <t>U</t>
  </si>
  <si>
    <t>V</t>
  </si>
  <si>
    <t>Voltmeter - Imetec</t>
  </si>
  <si>
    <t>VSD - Allen Bradley</t>
  </si>
  <si>
    <t>VSD - Schneider Electric</t>
  </si>
  <si>
    <t>W</t>
  </si>
  <si>
    <t>X</t>
  </si>
  <si>
    <t>Y</t>
  </si>
  <si>
    <t>Z</t>
  </si>
  <si>
    <t>EX KCH - RM</t>
  </si>
  <si>
    <t>CIF MANILA PORT - RM</t>
  </si>
  <si>
    <t>Export</t>
  </si>
  <si>
    <t>CIF MANILA PORT - USD</t>
  </si>
  <si>
    <t>CIF DAVAO - RM</t>
  </si>
  <si>
    <t>CIF DAVAO - USD</t>
  </si>
  <si>
    <t>2 to 4 weeks upon approval of drawings</t>
  </si>
  <si>
    <t>Iljin</t>
  </si>
  <si>
    <t>standard</t>
  </si>
  <si>
    <t>6 to 8 weeks upon approval of drawings</t>
  </si>
  <si>
    <t>10 to 12 weeks upon approval of drawings</t>
  </si>
  <si>
    <t>export</t>
  </si>
  <si>
    <t>12 weeks upon approval of drawings</t>
  </si>
  <si>
    <t>9 to 11 weeks after Purchase Order has been received</t>
  </si>
  <si>
    <t>Siemens</t>
  </si>
  <si>
    <t>11 to 13 weeks after Purchase Order has been received</t>
  </si>
  <si>
    <t>Siwrchboard made</t>
  </si>
  <si>
    <t>Floor, Outdoor</t>
  </si>
  <si>
    <t>1.5mm E.G SHEET, IP43(INDOOR), FLOOR STANDING PANEL</t>
  </si>
  <si>
    <t>Form 2B</t>
  </si>
  <si>
    <t>2.5mm E.G SHEET, IP65(OUTDOOR), FLOOR STANDING PANEL(PILLAR)</t>
  </si>
  <si>
    <t>2.0mm E.G SHEET, IP65(OUTDOOR),FORM 2B, FLOOR STANDING PANEL</t>
  </si>
  <si>
    <t>2.0mm E.G SHEET, IP54(OUTDOOR),FORM 2B, FLOOR STANDING PANEL</t>
  </si>
  <si>
    <t>2.0mm E.G SHEET, IP54(INDOOR),FORM 2B, FLOOR STANDING PANEL</t>
  </si>
  <si>
    <t>2.0mm E.G SHEET, IP41(INDOOR), FLOOR STANDING PANEL(CP)</t>
  </si>
  <si>
    <t>1.5mm E.G SHEET, IP65(OUTDOOR), FLOOR STANDING PANEL(PILLAR)</t>
  </si>
  <si>
    <t>1.5mm E.G SHEET, IP65(OUTDOOR), FLOOR STANDING PANEL(CP)</t>
  </si>
  <si>
    <t>1.5mm E.G SHEET, IP56(OUTDOOR), FLOOR STANDING PANEL(CP)</t>
  </si>
  <si>
    <t>1.5mm E.G SHEET, IP54(OUTDOOR), FLOOR STANDING PANEL(PILLAR)</t>
  </si>
  <si>
    <t>1.5mm E.G SHEET, IP54(OUTDOOR), FLOOR STANDING PANEL(CP)</t>
  </si>
  <si>
    <t>1.5mm E.G SHEET, IP41(INDOOR), FLOOR STANDING PANEL</t>
  </si>
  <si>
    <t>1.5mm E.G SHEET, IP41(INDOOR), FLOOR STANDING PANEL(CP)</t>
  </si>
  <si>
    <t>1.5mm E.G SHEET, IP41(INDOOR), FLOOR STANDING PANEL (SSB)</t>
  </si>
  <si>
    <t>1.5mm SUS304, IP54(OUTDOOR), FLOOR MOUNTED PANEL (CP)</t>
  </si>
  <si>
    <t>1.5mm SUS304, IP54(INDOOR), FLOOR MOUNTED PANEL (CP)</t>
  </si>
  <si>
    <t>Form 3B</t>
  </si>
  <si>
    <t>2.0mm E.G SHEET, IP41(INDOOR),FORM 3B,  FLOOR STANDING PANEL</t>
  </si>
  <si>
    <t>2.0mm E.G SHEET, IP42(INDOOR),FORM 3B,  FLOOR STANDING PANEL</t>
  </si>
  <si>
    <t>2.0mm E.G SHEET, IP43(INDOOR),FORM 3B,  FLOOR STANDING PANEL</t>
  </si>
  <si>
    <t>Form 4</t>
  </si>
  <si>
    <t>2.0mm E.G SHEET, IP54(INDOOR),FORM 4,  FLOOR STANDING PANEL</t>
  </si>
  <si>
    <t>2.0mm E.G SHEET, IP42(INDOOR),FORM 4,  FLOOR STANDING PANEL</t>
  </si>
  <si>
    <t>2.0mm E.G SHEET, IP41(INDOOR),FORM 4,  FLOOR STANDING PANEL</t>
  </si>
  <si>
    <t>Hot Dip Galvanized - Floor</t>
  </si>
  <si>
    <t>2.0mm HOT DIP GALVANIZED E.G SHEET, IP54(OUTDOOR), FLOOR STANDING PANEL</t>
  </si>
  <si>
    <t>SUS304 - Floor</t>
  </si>
  <si>
    <t>1.5mm SUS304, IP54(OUTDOOR), FLOOR STANDING PANEL</t>
  </si>
  <si>
    <t>1.5mm SUS304, IP54(INDOOR), FLOOR STANDING PANEL</t>
  </si>
  <si>
    <t>SUS304 - Wall</t>
  </si>
  <si>
    <t>1.5mm SUS304, IP56(OUTDOOR), WALL MOUNTED PANEL</t>
  </si>
  <si>
    <t>1.5mm SUS304, IP54(OUTDOOR), WALL MOUNTED PANEL</t>
  </si>
  <si>
    <t>1.5mm SUS304, IP41(INDOOR), WALL MOUNTED PANEL</t>
  </si>
  <si>
    <t>Wall</t>
  </si>
  <si>
    <t>2.0mm E.G SHEET, IP42(INDOOR), WALL MOUNTED PANEL (MSB)</t>
  </si>
  <si>
    <t>2.0mm E.G SHEET, IP42(INDOOR), WALL MOUNTED PANEL (SSB)</t>
  </si>
  <si>
    <t>2.0mm E.G SHEET, IP42(INDOOR), WALL MOUNTED PANEL (MP)</t>
  </si>
  <si>
    <t>2.0mm E.G SHEET, IP42(INDOOR), WALL MOUNTED PANEL (DB)</t>
  </si>
  <si>
    <t>2.0mm E.G SHEET, IP41(INDOOR), WALL MOUNTED PANEL (CP)</t>
  </si>
  <si>
    <t>1.5mm E.G SHEET, IP65(OUTDOOR), WALL MOUNTED PANEL (MSB)</t>
  </si>
  <si>
    <t>1.5mm E.G SHEET, IP65(OUTDOOR), WALL MOUNTED PANEL (DB)</t>
  </si>
  <si>
    <t>1.5mm E.G SHEET, IP56(OUTDOOR), WALL MOUNTED PANEL (SSB)</t>
  </si>
  <si>
    <t>1.5mm E.G SHEET, IP56(OUTDOOR), WALL MOUNTED PANEL (DB)</t>
  </si>
  <si>
    <t>1.5mm E.G SHEET, IP56(OUTDOOR), WALL MOUNTED PANEL (CP)</t>
  </si>
  <si>
    <t>1.5mm E.G SHEET, IP42(INDOOR), WALL MOUNTED PANEL (DB)</t>
  </si>
  <si>
    <t>1.5mm E.G SHEET, IP41(INDOOR), WALL MOUNTED PANEL (MSB)</t>
  </si>
  <si>
    <t>1.5mm E.G SHEET, IP41(INDOOR), WALL MOUNTED PANEL (SSB)</t>
  </si>
  <si>
    <t>1.5mm E.G SHEET, IP41(INDOOR), WALL MOUNTED PANEL (MDB)</t>
  </si>
  <si>
    <t>1.5mm E.G SHEET, IP41(INDOOR), WALL MOUNTED PANEL (MP)</t>
  </si>
  <si>
    <t>1.5mm E.G SHEET, IP41(INDOOR), WALL MOUNTED PANEL (DB)</t>
  </si>
  <si>
    <t>1.5mm E.G SHEET, IP41(INDOOR), WALL MOUNTED PANEL (CP)</t>
  </si>
  <si>
    <t>1.5mm E.G SHEET, IP41(INDOOR), WALL MOUNTED PANEL(SSB &amp; CP)</t>
  </si>
  <si>
    <t>1.2mm E.G SHEET, IP65(OUTDOOR), WALL MOUNTED PANEL (DB)</t>
  </si>
  <si>
    <t>1.2mm E.G SHEET, IP54(OUTDOOR), WALL MOUNTED PANEL (DB)</t>
  </si>
  <si>
    <t>1.2mm E.G SHEET, IP42(INDOOR), WALL MOUNTED PANEL (DB)</t>
  </si>
  <si>
    <t>Protection: As per respective requirement for each panel</t>
  </si>
  <si>
    <t>Color code - RAL 7032</t>
  </si>
  <si>
    <t>Paymnet term</t>
  </si>
  <si>
    <t>100% Upon delivery of item</t>
  </si>
  <si>
    <t>50% Downpayment</t>
  </si>
  <si>
    <t>Balance 50% LC at sight</t>
  </si>
  <si>
    <t>100% Upon completion</t>
  </si>
  <si>
    <t>Temperature rise for Indoor Type Step Down Transformer at 125 deg.cel.</t>
  </si>
  <si>
    <t>QPS/ Shihlin</t>
  </si>
  <si>
    <t>Testing and commisioning exclude accomodation and transport charges</t>
  </si>
  <si>
    <t>Panels packing by wrapping with plastic wrap and mounted on pallet.</t>
  </si>
  <si>
    <t>Panels packing by shrink wrap with carton paper wrap and with wooden case.</t>
  </si>
  <si>
    <t>All wooden materials to be fumigated for delivery</t>
  </si>
  <si>
    <t>18 months warranty after date of delivery.</t>
  </si>
  <si>
    <t>24 months warranty after date of delivery.</t>
  </si>
  <si>
    <t>By accepting this offer, customers are directly accepting the other term and condition stipulated in APPENDIX 1 attached</t>
  </si>
  <si>
    <t>Complete schematic drawings and operation manual will be prepare.</t>
  </si>
  <si>
    <t>This offer is for transformer only. LBS, breaker and/or fuse and its cubicle, etc are not included</t>
  </si>
  <si>
    <t>Schneider transformer</t>
  </si>
  <si>
    <t xml:space="preserve">Terms and conditions are as stated under attachment "Siemens Terms and Conditions" </t>
  </si>
  <si>
    <t>240Vac supply is needed for the swtiching between tank level electrodes</t>
  </si>
  <si>
    <t>WET Special</t>
  </si>
  <si>
    <t>All item include SST</t>
  </si>
  <si>
    <r>
      <rPr>
        <sz val="11"/>
        <color theme="1"/>
        <rFont val="Arial"/>
        <family val="2"/>
      </rPr>
      <t xml:space="preserve">The quotation item is based on comidities price of EG steel plate and Copper on </t>
    </r>
    <r>
      <rPr>
        <b/>
        <sz val="12"/>
        <color rgb="FFFF0000"/>
        <rFont val="Arial"/>
        <family val="2"/>
      </rPr>
      <t>MAY 2021,</t>
    </r>
  </si>
  <si>
    <t>EG steel plate @RM7000/mT, copper@ RM49/kg. We reserve the right to revise our offer shall there be  more than 5% variation in the prices of any of those commodities</t>
  </si>
  <si>
    <t>Excluded electrochorination MCC</t>
  </si>
  <si>
    <t>WTP</t>
  </si>
  <si>
    <t>Excluded supply of UPS</t>
  </si>
  <si>
    <t>Shin Sung</t>
  </si>
  <si>
    <t>Excluded supply of Battery Charger</t>
  </si>
  <si>
    <t>Description</t>
  </si>
  <si>
    <t>Overall Cost</t>
  </si>
  <si>
    <t>Overall Quote</t>
  </si>
  <si>
    <t>Profit</t>
  </si>
  <si>
    <t>Maker</t>
  </si>
  <si>
    <t>Type</t>
  </si>
  <si>
    <t>UNIT</t>
  </si>
  <si>
    <t>LIST $</t>
  </si>
  <si>
    <t>DISCOUNT</t>
  </si>
  <si>
    <t>DISCOUNT 2</t>
  </si>
  <si>
    <t>COST</t>
  </si>
  <si>
    <t>TOTAL</t>
  </si>
  <si>
    <t>MARGIN</t>
  </si>
  <si>
    <t>QUOTE</t>
  </si>
  <si>
    <t>6A ~ 40A 2P 6kA MCB</t>
  </si>
  <si>
    <t>CHINT</t>
  </si>
  <si>
    <t>NB1-63 2P 40A</t>
  </si>
  <si>
    <t>40A 2P 100mA ELCB</t>
  </si>
  <si>
    <t>NL1-63 40A 0.1(100mA) 2P ELCB</t>
  </si>
  <si>
    <t>10MM SQ PVC CABLE (40A)</t>
  </si>
  <si>
    <t>UC</t>
  </si>
  <si>
    <t>10mm2 PVC</t>
  </si>
  <si>
    <t>HRC FUSE</t>
  </si>
  <si>
    <t>RT18M-32</t>
  </si>
  <si>
    <t>SELECTOR SWITCH (3 Way, Ctrl)</t>
  </si>
  <si>
    <t>AMICO</t>
  </si>
  <si>
    <t>AB2-MD33</t>
  </si>
  <si>
    <t>24 Hour Timer</t>
  </si>
  <si>
    <t>SCHNEIDER</t>
  </si>
  <si>
    <t>CCT15101</t>
  </si>
  <si>
    <t>40A 3P CONTACTOR</t>
  </si>
  <si>
    <t>NXC-40</t>
  </si>
  <si>
    <t>CONTROL CABLE</t>
  </si>
  <si>
    <t>1.5mm2 PVC</t>
  </si>
  <si>
    <t>6A ~ 40A 1P 6kA MCB</t>
  </si>
  <si>
    <t>NB1-63 1P 40A</t>
  </si>
  <si>
    <t>63A 2P ISOLATOR</t>
  </si>
  <si>
    <t>NH2-2-63</t>
  </si>
  <si>
    <t>16MM SQ PVC CABLE (60A)</t>
  </si>
  <si>
    <t>16mm2 PVC</t>
  </si>
  <si>
    <t>63A 2P 30mA ELCB</t>
  </si>
  <si>
    <t>NL1-63 63A 0.03(30mA) 2P ELCB</t>
  </si>
  <si>
    <t>25A 2P 10mA ELCB</t>
  </si>
  <si>
    <t>NL1-63 25A 0.01(10mA) 2P ELCB</t>
  </si>
  <si>
    <t>40A 2P 36kA MCCB</t>
  </si>
  <si>
    <t>NXM-125S 2P 40A</t>
  </si>
  <si>
    <t>Control Relay c/w Based</t>
  </si>
  <si>
    <t>RXM4AB/2AB</t>
  </si>
  <si>
    <t>9A 3P CONTACTOR</t>
  </si>
  <si>
    <t>NXC-09</t>
  </si>
  <si>
    <t>40A 3P 36kA MCCB</t>
  </si>
  <si>
    <t>NXM-125F 3P 40A</t>
  </si>
  <si>
    <t>40A 4P 100mA ELCB</t>
  </si>
  <si>
    <t>NL1-63 40A 0.1(100mA) 4P ELCB</t>
  </si>
  <si>
    <t>40A 4P 300mA ELCB</t>
  </si>
  <si>
    <t>NL1-63 40A 0.3(300mA) 4P ELCB</t>
  </si>
  <si>
    <t>6A ~ 40A 3P 6kA MCB</t>
  </si>
  <si>
    <t>NB1-63 3P 40A</t>
  </si>
  <si>
    <t>DB</t>
  </si>
  <si>
    <t>100A 3P 36kA MCCB</t>
  </si>
  <si>
    <t>NXM-125F 3P 100A</t>
  </si>
  <si>
    <t>100A 4P 300mA ELCB</t>
  </si>
  <si>
    <t>NL1-100 100A 0.3(300mA) 4P ELCB</t>
  </si>
  <si>
    <t>35MM SQ PVC CABLE (100A)</t>
  </si>
  <si>
    <t>35mm2 PVC</t>
  </si>
  <si>
    <t>63A 3P ISOLATOR</t>
  </si>
  <si>
    <t>NH2-3-63</t>
  </si>
  <si>
    <t>63A 4P 300mA ELCB</t>
  </si>
  <si>
    <t>NL1-63 63A 0.3(300mA) 4P ELCB</t>
  </si>
  <si>
    <t>NXB 3P 40A</t>
  </si>
  <si>
    <t>DESCRIPTION</t>
  </si>
  <si>
    <t>MAKER</t>
  </si>
  <si>
    <t>TYPE</t>
  </si>
  <si>
    <t>Family</t>
  </si>
  <si>
    <t>Series</t>
  </si>
  <si>
    <t>800A 3P 50kA ACB C/W S.T, drawout</t>
  </si>
  <si>
    <t>ABB</t>
  </si>
  <si>
    <t>ACB</t>
  </si>
  <si>
    <t>Formula</t>
  </si>
  <si>
    <t>PC</t>
  </si>
  <si>
    <t>N/A</t>
  </si>
  <si>
    <t>800A 4P 50kA ACB C/W S.T, drawout</t>
  </si>
  <si>
    <t>800A 3P 65kA ACB C/W S.T, drawout</t>
  </si>
  <si>
    <t>800A 4P 65kA ACB C/W S.T, drawout</t>
  </si>
  <si>
    <t>800A 3P 66kA ACB C/W S.T with Electronic Protection Unit, drawout</t>
  </si>
  <si>
    <t>Emax</t>
  </si>
  <si>
    <t>800A 4P 66kA ACB C/W S.T with Electronic Protection Unit, drawout</t>
  </si>
  <si>
    <t>800A 3P 66kA ACB C/W S.T, drawout</t>
  </si>
  <si>
    <t>800A 4P 66KA ACB C/W S.T, drawout</t>
  </si>
  <si>
    <t>1000A 3P 50kA ACB C/W S.T, drawout</t>
  </si>
  <si>
    <t>1000A 4P 50kA ACB C/W S.T, drawout</t>
  </si>
  <si>
    <t>1000A 3P 65kA ACB C/W S.T, drawout</t>
  </si>
  <si>
    <t>1000A 4P 65kA ACB C/W S.T, drawout</t>
  </si>
  <si>
    <t>1000A 3P 66kA ACB C/W S.T with Electronic Protection Unit, drawout</t>
  </si>
  <si>
    <t>1000A 4P 66kA ACB C/W S.T with Electronic Protection Unit, drawout</t>
  </si>
  <si>
    <t>1000A 3P 66kA ACB C/W S.T, drawout</t>
  </si>
  <si>
    <t>1000A 4P 66KA ACB C/W S.T, drawout</t>
  </si>
  <si>
    <t>1000A 3P 66kA ACB C/W S.T, fixed
- with Electronic Protection Unit</t>
  </si>
  <si>
    <t>1000A 4P 66kA ACB C/W S.T, fixed
- with Electronic Protection Unit</t>
  </si>
  <si>
    <t>1250A 3P 50kA ACB C/W S.T, drawout</t>
  </si>
  <si>
    <t>1250A 4P 50kA ACB C/W S.T, drawout</t>
  </si>
  <si>
    <t>1250A 3P 65kA ACB C/W S.T, drawout</t>
  </si>
  <si>
    <t>1250A 4P 65kA ACB C/W S.T, drawout</t>
  </si>
  <si>
    <t>1250A 3P 66kA ACB C/W S.T with Electronic Protection Unit, drawout</t>
  </si>
  <si>
    <t>1250A 4P 66kA ACB C/W S.T with Electronic Protection Unit, drawout</t>
  </si>
  <si>
    <t>1250A 3P 66kA ACB C/W S.T, drawout</t>
  </si>
  <si>
    <t>1250A 4P 66kA ACB C/W S.T, drawout</t>
  </si>
  <si>
    <t>1250A 3P 66kA ACB C/W S.T, fixed
- with Electronic Protection Unit</t>
  </si>
  <si>
    <t>1250A 4P 66kA ACB C/W S.T, fixed
- with Electronic Protection Unit</t>
  </si>
  <si>
    <t>1600A 3P 50kA ACB C/W S.T, drawout</t>
  </si>
  <si>
    <t>1600A 4P 50kA ACB C/W S.T, drawout</t>
  </si>
  <si>
    <t>1600A 3P 65kA ACB C/W S.T, drawout</t>
  </si>
  <si>
    <t>1600A 4P 65kA ACB C/W S.T, drawout</t>
  </si>
  <si>
    <t>1600A 3P 66kA ACB C/W S.T with Electronic Protection Unit, drawout</t>
  </si>
  <si>
    <t>1600A 4P 66kA ACB C/W S.T with Electronic Protection Unit, drawout</t>
  </si>
  <si>
    <t>1600A 3P 66kA ACB C/W S.T, drawout</t>
  </si>
  <si>
    <t>1600A 4P 66kA ACB C/W S.T, drawout</t>
  </si>
  <si>
    <t>1600A 3P 66kA ACB C/W S.T, fixed
- with Electronic Protection Unit</t>
  </si>
  <si>
    <t>1600A 4P 66kA ACB C/W S.T, fixed
- with Electronic Protection Unit</t>
  </si>
  <si>
    <t>Opening release (Shunt Tripping Device)
240…250V 50Hz AC/DC, E-MAX ACB</t>
  </si>
  <si>
    <t>Closing release (Shunt Closing Device)
240…250V 50Hz AC/DC, E-MAX ACB</t>
  </si>
  <si>
    <t>Undervoltage Release 
415…440V 50Hz AC/DC, E-MAX ACB</t>
  </si>
  <si>
    <t>Gearmotor for Automatic Loading of Closing Spring
(E-MAX ACB)</t>
  </si>
  <si>
    <t>Open/ closed auxiliary contacts
- AUX 4Q E2.2…E6.2</t>
  </si>
  <si>
    <t>Cables for mechanical interlock
- E2.2 … E6.2 Type A horizontal</t>
  </si>
  <si>
    <t>Lever for mechanical interlock of fixed circuit-breaker or mobile part
- E2.2 Level for mechanical interlock, 3/4 poles</t>
  </si>
  <si>
    <t>Lever for mechanical interlock of fixed circuit-breaker or mobile part
- E4.2 Level for mechanical interlock, 3/4 poles</t>
  </si>
  <si>
    <t>Lever for mechanical interlock of fixed circuit-breaker or mobile part
- E6.2 Level for mechanical interlock, 3 poles</t>
  </si>
  <si>
    <t>Lever for mechanical interlock of fixed circuit-breaker or mobile part
- E6.2 Level for mechanical interlock, 4 poles</t>
  </si>
  <si>
    <t>Support for mechanical interlock of fixed circuit-breaker
- E2.2 … E6.2 Type A/B/D</t>
  </si>
  <si>
    <t>Single Phase Monitor Relay, 2 c/o contacts, 0-30s</t>
  </si>
  <si>
    <t>1SVR730840R0500</t>
  </si>
  <si>
    <t>Relay</t>
  </si>
  <si>
    <t>None</t>
  </si>
  <si>
    <t>2000A 3P 50kA ACB C/W S.T, drawout</t>
  </si>
  <si>
    <t>2000A 4P 50kA ACB C/W S.T, drawout</t>
  </si>
  <si>
    <t>2000A 4P 65kA ACB C/W S.T, drawout</t>
  </si>
  <si>
    <t>2000A 3P 65kA ACB C/W S.T, drawout</t>
  </si>
  <si>
    <t>2000A 3P 66kA ACB C/W S.T with Electronic Protection Unit, drawout</t>
  </si>
  <si>
    <t>2000A 4P 66kA ACB C/W S.T with Electronic Protection Unit, drawout</t>
  </si>
  <si>
    <t>2000A 3P 66kA ACB C/W S.T, drawout</t>
  </si>
  <si>
    <t>2000A 4P 66kA ACB C/W S.T, drawout</t>
  </si>
  <si>
    <t>2000A 3P 66kA ACB C/W S.T, fixed
- with Electronic Protection Unit</t>
  </si>
  <si>
    <t>2000A 4P 66Ka ACB C/W S.T, fixed
- with Electronic Protection Unit</t>
  </si>
  <si>
    <t>2500A 3P 50kA ACB C/W S.T, drawout</t>
  </si>
  <si>
    <t>2500A 4P 50kA ACB C/W S.T, drawout</t>
  </si>
  <si>
    <t>2500A 3P 65kA ACB C/W S.T, drawout</t>
  </si>
  <si>
    <t>2500A 4P 65kA ACB C/W S.T, drawout</t>
  </si>
  <si>
    <t>2500A 3P 66kA ACB C/W S.T  with Electronic Protection Unit, drawout</t>
  </si>
  <si>
    <t>2500A 4P 66kA ACB C/W S.T with Electronic Protection Unit, drawout</t>
  </si>
  <si>
    <t>2500A 3P 66kA ACB C/W S.T, drawout</t>
  </si>
  <si>
    <t>2500A 4P 66kA ACB C/W S.T, drawout</t>
  </si>
  <si>
    <t>2500A 3P 66kA ACB C/W S.T, fixed
- with Electronic Protection Unit</t>
  </si>
  <si>
    <t>2500A 4P 66kA ACB C/W S.T, fixed
- with Electronic Protection Unit</t>
  </si>
  <si>
    <t>3200A 3P 50kA ACB C/W S.T, drawout</t>
  </si>
  <si>
    <t>3200A 4P 50kA ACB C/W S.T, drawout</t>
  </si>
  <si>
    <t>3200A 3P 65kA ACB C/W S.T, drawout</t>
  </si>
  <si>
    <t>3200A 4P 65kA ACB C/W S.T, drawout</t>
  </si>
  <si>
    <t>3200A 3P 66kA ACB C/W S.T with Electronic Protection Unit, drawout</t>
  </si>
  <si>
    <t>3200A 4P 66kA ACB C/W S.T with Electronic Protection Unit, drawout</t>
  </si>
  <si>
    <t>3200A 3P 66kA ACB C/W S.T, drawout</t>
  </si>
  <si>
    <t>3200A 4P 66kA ACB C/W S.T, drawout</t>
  </si>
  <si>
    <t>3200A 3P 66kA ACB C/W S.T, fixed
- with Electronic Protection Unit</t>
  </si>
  <si>
    <t>3200A 4P 66kA ACB C/W S.T, fixed
- with Electronic Protection Unit</t>
  </si>
  <si>
    <t>4000A 3P 50kA ACB C/W S.T, drawout</t>
  </si>
  <si>
    <t>4000A 4P 50kA ACB C/W S.T, drawout</t>
  </si>
  <si>
    <t>4000A 3P 65kA ACB C/W S.T, drawout</t>
  </si>
  <si>
    <t>4000A 4P 65kA ACB C/W S.T, drawout</t>
  </si>
  <si>
    <t>4000A 3P 66kA ACB C/W S.T, with electronic protection unit, drawout</t>
  </si>
  <si>
    <t>4000A 4P 66kA ACB C/W S.T with Electronic Protection Unit, drawout</t>
  </si>
  <si>
    <t>4000A 3P 66kA ACB C/W S.T, drawout</t>
  </si>
  <si>
    <t>4000A 4P 66kA ACB C/W S.T, drawout</t>
  </si>
  <si>
    <t>4000A 3P 66kA ACB C/W S.T, fixed
- with Electronic Protection Unit</t>
  </si>
  <si>
    <t>4000A 4P 66kA ACB C/W S.T, fixed
- with Electronic Protection Unit</t>
  </si>
  <si>
    <t>5000A 3P 100kA ACB C/W S.T with Electronic Protection Unit, drawout</t>
  </si>
  <si>
    <t>5000A 4P 100kA ACB C/W S.T with Electronic Protection Unit, drawout</t>
  </si>
  <si>
    <t>5000A 4P 100kA ACB C/W S.T, drawout</t>
  </si>
  <si>
    <t>5000A 4P 100kA ACB C/W S.T, fixed
- with Electronic Protection Unit</t>
  </si>
  <si>
    <t>5000A 3P 100kA ACB C/W S.T, fixed
- with Electronic Protection Unit</t>
  </si>
  <si>
    <t>6300A 3P 100kA ACB C/W S.T with Electronic Protection Unit, drawout</t>
  </si>
  <si>
    <t>6300A 4P 100kA ACB C/W S.T with Electronic Protection Unit, drawout</t>
  </si>
  <si>
    <t>6300A 4P 100kA ACB C/W S.T, drawout</t>
  </si>
  <si>
    <t>6300A 3P 100kA ACB C/W S.T, fixed
- with Electronic Protection Unit</t>
  </si>
  <si>
    <t>6300A 4P 100kA ACB C/W S.T, fixed
- with Electronic Protection Unit</t>
  </si>
  <si>
    <t>800A 4P 66kA ACB C/W S.T, fixed
- with Electronic Protection Unit</t>
  </si>
  <si>
    <t>800A 3P 66kA ACB C/W S.T, fixed
- with Electronic Protection Unit</t>
  </si>
  <si>
    <t>800A Direct Connection Kit 4 pole</t>
  </si>
  <si>
    <t>800DC4P</t>
  </si>
  <si>
    <t>MCCB</t>
  </si>
  <si>
    <t>Tmax</t>
  </si>
  <si>
    <t>16A 3P 10kA MCCB</t>
  </si>
  <si>
    <t>16A 4P 10kA MCCB</t>
  </si>
  <si>
    <t>20A 3P 10kA MCCB</t>
  </si>
  <si>
    <t>20A 4P 10kA MCCB</t>
  </si>
  <si>
    <t>25A 3P 10kA MCCB</t>
  </si>
  <si>
    <t>25A 4P 10kA MCCB</t>
  </si>
  <si>
    <t>32A 3P 10kA MCCB</t>
  </si>
  <si>
    <t>32A 4P 10kA MCCB</t>
  </si>
  <si>
    <t>40A 3P 10kA MCCB</t>
  </si>
  <si>
    <t>40A 4P 10kA MCCB</t>
  </si>
  <si>
    <t>50A 3P 10kA MCCB</t>
  </si>
  <si>
    <t>50A 4P 10kA MCCB</t>
  </si>
  <si>
    <t>63A 3P 10kA MCCB</t>
  </si>
  <si>
    <t>63A 4P 10kA MCCB</t>
  </si>
  <si>
    <t>80A 3P 10kA MCCB</t>
  </si>
  <si>
    <t>80A 4P 10kA MCCB</t>
  </si>
  <si>
    <t>100A 3P 10kA MCCB</t>
  </si>
  <si>
    <t>100A 4P 10kA MCCB</t>
  </si>
  <si>
    <t>16A 3P 18kA MCCB</t>
  </si>
  <si>
    <t>16A 4P 18kA MCCB</t>
  </si>
  <si>
    <t>20A 3P 18kA MCCB</t>
  </si>
  <si>
    <t>20A 4P 18kA MCCB</t>
  </si>
  <si>
    <t>25A 3P 18kA MCCB</t>
  </si>
  <si>
    <t>25A 4P 18kA MCCB</t>
  </si>
  <si>
    <t>32A 3P 18kA MCCB</t>
  </si>
  <si>
    <t>32A 4P 18kA MCCB</t>
  </si>
  <si>
    <t>40A 3P 18kA MCCB</t>
  </si>
  <si>
    <t>40A 4P 18kA MCCB</t>
  </si>
  <si>
    <t>50A 3P 18kA MCCB</t>
  </si>
  <si>
    <t>50A 4P 18kA MCCB</t>
  </si>
  <si>
    <t>63A 4P 18kA MCCB</t>
  </si>
  <si>
    <t>63A 3P 18kA MCCB</t>
  </si>
  <si>
    <t>80A 3P 18kA MCCB</t>
  </si>
  <si>
    <t>80A 4P 18kA MCCB</t>
  </si>
  <si>
    <t>100A 3P 18kA MCCB</t>
  </si>
  <si>
    <t>100A 4P 18kA MCCB</t>
  </si>
  <si>
    <t>16A 3P 25KA MCCB</t>
  </si>
  <si>
    <t>16A 4P 25kA MCCB</t>
  </si>
  <si>
    <t>20A 3P 25kA MCCB</t>
  </si>
  <si>
    <t>20A 4P 25kA MCCB</t>
  </si>
  <si>
    <t>25A 3P 25kA MCCB</t>
  </si>
  <si>
    <t>25A 4P 25kA MCCB</t>
  </si>
  <si>
    <t>32A 3P 25kA MCCB</t>
  </si>
  <si>
    <t>32A 4P 25kA MCCB</t>
  </si>
  <si>
    <t>pc</t>
  </si>
  <si>
    <t>40A 3P 25kA MCCB</t>
  </si>
  <si>
    <t>40A 4P 25kA MCCB</t>
  </si>
  <si>
    <t>50A 3P 25kA MCCB</t>
  </si>
  <si>
    <t>50A 4P 25kA MCCB</t>
  </si>
  <si>
    <t>63A 3P 25kA MCCB</t>
  </si>
  <si>
    <t>63A 4P 25kA MCCB</t>
  </si>
  <si>
    <t>80A 3P 25kA MCCB</t>
  </si>
  <si>
    <t>80A 4P 25kA MCCB</t>
  </si>
  <si>
    <t>100A 3P 25kA MCCB</t>
  </si>
  <si>
    <t>100A 4P 25kA MCCB</t>
  </si>
  <si>
    <t>16A 3P 36kA MCCB</t>
  </si>
  <si>
    <t>16A 4P 36kA MCCB</t>
  </si>
  <si>
    <t>16A 2P 50kA MCCB</t>
  </si>
  <si>
    <t>20A 2P 50kA MCCB</t>
  </si>
  <si>
    <t>20A 1P 25kA MCCB</t>
  </si>
  <si>
    <t>20A 3P 36kA MCCB</t>
  </si>
  <si>
    <t>20A 4P 36kA MCCB</t>
  </si>
  <si>
    <t>25A 2P 50kA MCCB</t>
  </si>
  <si>
    <t>25A 1P 25kA MCCB</t>
  </si>
  <si>
    <t>25A 3P 36kA MCCB</t>
  </si>
  <si>
    <t>25A 4P 36kA MCCB</t>
  </si>
  <si>
    <t>32A 1P 25kA MCCB</t>
  </si>
  <si>
    <t>32A 2P 50kA MCCB</t>
  </si>
  <si>
    <t>32A 3P 36kA MCCB</t>
  </si>
  <si>
    <t>32A 4P 36kA MCCB</t>
  </si>
  <si>
    <t>40A 2P 50kA MCCB</t>
  </si>
  <si>
    <t>40A 1P 25kA MCCB</t>
  </si>
  <si>
    <t>40A 4P 36kA MCCB</t>
  </si>
  <si>
    <t>50A 2P 50kA MCCB</t>
  </si>
  <si>
    <t>50A 1P 25kA MCCB</t>
  </si>
  <si>
    <t>50A 3P 36kA MCCB</t>
  </si>
  <si>
    <t>50A 4P 36kA MCCB</t>
  </si>
  <si>
    <t>63A 1P 25kA MCCB</t>
  </si>
  <si>
    <t>63A 2P 50kA MCCB</t>
  </si>
  <si>
    <t>63A 3P 36kA MCCB</t>
  </si>
  <si>
    <t>63A 4P 36kA MCCB</t>
  </si>
  <si>
    <t>80A 2P 50kA MCCB</t>
  </si>
  <si>
    <t>80A 1P 25kA MCCB</t>
  </si>
  <si>
    <t>80A 3P 36kA MCCB</t>
  </si>
  <si>
    <t>80A 4P 36kA MCCB</t>
  </si>
  <si>
    <t>100A 2P 50kA MCCB</t>
  </si>
  <si>
    <t>100A 1P 25kA MCCB</t>
  </si>
  <si>
    <t>100A 4P 36kA MCCB</t>
  </si>
  <si>
    <t>125A 2P 50kA MCCB</t>
  </si>
  <si>
    <t>125A 4P 36kA MCCB</t>
  </si>
  <si>
    <t>160A 4P 36kA MCCB</t>
  </si>
  <si>
    <t>200A 4P 36kA MCCB</t>
  </si>
  <si>
    <t>250A 4P 36kA MCCB</t>
  </si>
  <si>
    <t>320A 4P 36kA MCCB</t>
  </si>
  <si>
    <t>400A 4P 36kA MCCB</t>
  </si>
  <si>
    <t>500A 4P 36kA MCCB</t>
  </si>
  <si>
    <t>630A 4P 36kA MCCB</t>
  </si>
  <si>
    <t>125A 3P 18kA MCCB</t>
  </si>
  <si>
    <t>125A 4P 18kA MCCB</t>
  </si>
  <si>
    <t>160A 3P 18kA MCCB</t>
  </si>
  <si>
    <t>160A 4P 18kA MCCB</t>
  </si>
  <si>
    <t>200A 3P 18kA MCCB</t>
  </si>
  <si>
    <t>200A 4P 18kA MCCB</t>
  </si>
  <si>
    <t>250A 3P 18kA MCCB</t>
  </si>
  <si>
    <t>250A 4P 18kA MCCB</t>
  </si>
  <si>
    <t>125A 3P 25kA MCCB</t>
  </si>
  <si>
    <t>125A 4P 25kA MCCB</t>
  </si>
  <si>
    <t>160A 3P 25kA MCCB</t>
  </si>
  <si>
    <t>160A 4P 25kA MCCB</t>
  </si>
  <si>
    <t>200A 3P 25kA MCCB</t>
  </si>
  <si>
    <t>200A 4P 25kA MCCB</t>
  </si>
  <si>
    <t>250A 3P 25kA MCCB</t>
  </si>
  <si>
    <t>250A 4P 25kA MCCB</t>
  </si>
  <si>
    <t>125A 3P 36kA MCCB</t>
  </si>
  <si>
    <t>160A 2P 50kA MCCB</t>
  </si>
  <si>
    <t>160A 3P 36kA MCCB</t>
  </si>
  <si>
    <t>200A 2P 50kA MCCB</t>
  </si>
  <si>
    <t>200A 3P 36kA MCCB</t>
  </si>
  <si>
    <t>250A 2P 50kA MCCB</t>
  </si>
  <si>
    <t>250A 3P 36kA MCCB</t>
  </si>
  <si>
    <t>320A 3P 36kA MCCB</t>
  </si>
  <si>
    <t>400A 3P 36kA MCCB</t>
  </si>
  <si>
    <t>500A 3P 36kA MCCB</t>
  </si>
  <si>
    <t>630A 3P 36kA MCCB</t>
  </si>
  <si>
    <t>320A 3P 50kA MCCB</t>
  </si>
  <si>
    <t>320A 4P 50kA MCCB</t>
  </si>
  <si>
    <t>400A 3P 50kA MCCB</t>
  </si>
  <si>
    <t>400A 4P 50kA MCCB</t>
  </si>
  <si>
    <t>500A 3P 50kA MCCB</t>
  </si>
  <si>
    <t>500A 4P 50kA MCCB</t>
  </si>
  <si>
    <t>630A 3P 50kA MCCB</t>
  </si>
  <si>
    <t>630A 4P 50kA MCCB</t>
  </si>
  <si>
    <t>25A 4P CONTACTOR, AC-1</t>
  </si>
  <si>
    <t>AF09-40-00-13</t>
  </si>
  <si>
    <t>Contactor</t>
  </si>
  <si>
    <t>AF</t>
  </si>
  <si>
    <t>30A 4P CONTACTOR, AC-1</t>
  </si>
  <si>
    <t>AF16-40-00-13</t>
  </si>
  <si>
    <t>275A 4P CONTACTOR</t>
  </si>
  <si>
    <t>AF190-40-00-13</t>
  </si>
  <si>
    <t>45A 4P CONTACTOR, AC-1</t>
  </si>
  <si>
    <t>AF26-40-00-13</t>
  </si>
  <si>
    <t>55A 4P CONTACTOR, AC-1</t>
  </si>
  <si>
    <t>AF38-40-00-13</t>
  </si>
  <si>
    <t>AT2e-R</t>
  </si>
  <si>
    <t>pro M</t>
  </si>
  <si>
    <t>9A 3P CONTACTOR, 240VAC COIL</t>
  </si>
  <si>
    <t>AX09-30-10</t>
  </si>
  <si>
    <t>AX</t>
  </si>
  <si>
    <t>115A 3P CONTACTOR, 240VAC COIL</t>
  </si>
  <si>
    <t>AX115-30-11</t>
  </si>
  <si>
    <t>12A 3P CONTACTOR, 240VAC COIL</t>
  </si>
  <si>
    <t>AX12-30-10</t>
  </si>
  <si>
    <t>150A 3P CONTACTOR, 240VAC COIL</t>
  </si>
  <si>
    <t>AX150-30-11</t>
  </si>
  <si>
    <t>18A 3P CONTACTOR, 240VAC COIL</t>
  </si>
  <si>
    <t>AX18-30-10</t>
  </si>
  <si>
    <t>185A 3P CONTACTOR, 240VAC COIL</t>
  </si>
  <si>
    <t>AX185-30-11</t>
  </si>
  <si>
    <t>205A 3P CONTACTOR, 240VAC COIL</t>
  </si>
  <si>
    <t>AX205-30-11</t>
  </si>
  <si>
    <t>25A 3P CONTACTOR, 240VAC COIL</t>
  </si>
  <si>
    <t>AX25-30-10</t>
  </si>
  <si>
    <t>260A 3P CONTACTOR, 240VAC COIL</t>
  </si>
  <si>
    <t>AX260-30-11</t>
  </si>
  <si>
    <t>300A 3P CONTACTOR, 240VAC COIL</t>
  </si>
  <si>
    <t>AX300-30-11</t>
  </si>
  <si>
    <t>32A 3P CONTACTOR, 240VAC COIL</t>
  </si>
  <si>
    <t>AX32-30-10</t>
  </si>
  <si>
    <t>370A 3P CONTACTOR, 240VAC COIL</t>
  </si>
  <si>
    <t>AX370-30-11</t>
  </si>
  <si>
    <t>40A 3P CONTACTOR, 240VAC COIL</t>
  </si>
  <si>
    <t>AX40-30-10</t>
  </si>
  <si>
    <t>50A 3P CONTACTOR, 240VAC COIL</t>
  </si>
  <si>
    <t>AX50-30-11</t>
  </si>
  <si>
    <t>65A 3P CONTACTOR, 240VAC COIL</t>
  </si>
  <si>
    <t>AX65-30-11</t>
  </si>
  <si>
    <t>80A 3P CONTACTOR, 240VAC COIL</t>
  </si>
  <si>
    <t>AX80-30-11</t>
  </si>
  <si>
    <t>95A 3P CONTACTOR, 240VAC COIL</t>
  </si>
  <si>
    <t>AX95-30-11</t>
  </si>
  <si>
    <t>12 WAY 4 POLE (800A BUSBAR)</t>
  </si>
  <si>
    <t>CU128PA4</t>
  </si>
  <si>
    <t>6 WAY 4 POLE (800A BUSBAR)</t>
  </si>
  <si>
    <t>CU680PA4</t>
  </si>
  <si>
    <t>10A 1P+N 100mA RCBO</t>
  </si>
  <si>
    <t>RCBO</t>
  </si>
  <si>
    <t>Mcompact</t>
  </si>
  <si>
    <t>10A 1P+N 30mA RCBO</t>
  </si>
  <si>
    <t>10A 1P+N 300mA RCBO</t>
  </si>
  <si>
    <t>13A 1P+N 100mA RCBO</t>
  </si>
  <si>
    <t>13A 1P+N 30mA RCBO</t>
  </si>
  <si>
    <t>13A 1P+N 300mA RCBO</t>
  </si>
  <si>
    <t>16A 1P+N 100mA RCBO</t>
  </si>
  <si>
    <t>16A 1P+N 30mA RCBO</t>
  </si>
  <si>
    <t>16A 1P+N 300mA RCBO</t>
  </si>
  <si>
    <t>20A 1P+N 100mA RCBO</t>
  </si>
  <si>
    <t>20A 1P+N 30mA RCBO</t>
  </si>
  <si>
    <t>20A 1P+N 300mA RCBO</t>
  </si>
  <si>
    <t>25A 1P+N 100mA RCBO</t>
  </si>
  <si>
    <t>25A 1P+N 30mA RCBO</t>
  </si>
  <si>
    <t>25A 1P+N 300mA RCBO</t>
  </si>
  <si>
    <t>32A 1P+N 100mA RCBO</t>
  </si>
  <si>
    <t>32A 1P+N 30mA RCBO</t>
  </si>
  <si>
    <t>32A 1P+N 300mA RCBO</t>
  </si>
  <si>
    <t>40A 1P+N 100mA RCBO</t>
  </si>
  <si>
    <t>40A 1P+N 30mA RCBO</t>
  </si>
  <si>
    <t>40A 1P+N 300mA RCBO</t>
  </si>
  <si>
    <t>6A 1P+N 100mA RCBO</t>
  </si>
  <si>
    <t>6A 1P+N 30mA RCBO</t>
  </si>
  <si>
    <t>6A 1P+N 300mA RCBO</t>
  </si>
  <si>
    <t>AUP 5 contacts 400Vac SX E2.2…E6.2</t>
  </si>
  <si>
    <t>Emax 1SDA073764R1</t>
  </si>
  <si>
    <t xml:space="preserve">2.5mm2 Terminal Block </t>
  </si>
  <si>
    <t>ENTRELEC</t>
  </si>
  <si>
    <t>Terminal</t>
  </si>
  <si>
    <t>40A 2P 30mA Type A RCCB</t>
  </si>
  <si>
    <t>RCCB</t>
  </si>
  <si>
    <t>none</t>
  </si>
  <si>
    <t>40A 2P 100mA Type A RCCB</t>
  </si>
  <si>
    <t>100A 2P 30mA ELCB</t>
  </si>
  <si>
    <t>100A 2P 100mA ELCB</t>
  </si>
  <si>
    <t>100A 2P 300mA ELCB</t>
  </si>
  <si>
    <t>100A 2P 500mA ELCB</t>
  </si>
  <si>
    <t>25A 2P 30mA ELCB</t>
  </si>
  <si>
    <t>25A 2P 100mA ELCB</t>
  </si>
  <si>
    <t>25A 2P 300mA ELCB</t>
  </si>
  <si>
    <t>40A 2P 30mA ELCB</t>
  </si>
  <si>
    <t>40A 2P 300mA ELCB</t>
  </si>
  <si>
    <t>63A 2P 100mA ELCB</t>
  </si>
  <si>
    <t>63A 2P 300mA ELCB</t>
  </si>
  <si>
    <t>80A 2P 30mA ELCB</t>
  </si>
  <si>
    <t>80A 2P 100mA ELCB</t>
  </si>
  <si>
    <t>80A 2P 300mA ELCB</t>
  </si>
  <si>
    <t>80A 2P 500mA ELCB</t>
  </si>
  <si>
    <t>100A 4P 30mA ELCB</t>
  </si>
  <si>
    <t>100A 4P 100mA ELCB</t>
  </si>
  <si>
    <t>100A 4P 500mA ELCB</t>
  </si>
  <si>
    <t>25A 4P 30mA ELCB</t>
  </si>
  <si>
    <t>25A 4P 100mA ELCB</t>
  </si>
  <si>
    <t>25A 4P 300mA ELCB</t>
  </si>
  <si>
    <t>40A 4P 30mA ELCB</t>
  </si>
  <si>
    <t>63A 4P 30mA ELCB</t>
  </si>
  <si>
    <t>63A 4P 100mA ELCB</t>
  </si>
  <si>
    <t>80A 4P 30mA ELCB</t>
  </si>
  <si>
    <t>80A 4P 100mA ELCB</t>
  </si>
  <si>
    <t>80A 4P 300mA ELCB</t>
  </si>
  <si>
    <t>80A 4P 500mA ELCB</t>
  </si>
  <si>
    <t>Shunt Opening Release (Formula)</t>
  </si>
  <si>
    <t>Formula A1 1SDA066137R1</t>
  </si>
  <si>
    <t>Auxiliary Contacts, 3P &amp; 4P (Formula)</t>
  </si>
  <si>
    <t>Formula A1 1SDA066150R1</t>
  </si>
  <si>
    <t>Rotary Handle - Transmitted Type RHE</t>
  </si>
  <si>
    <t>Formula A1 1SDA066158R1</t>
  </si>
  <si>
    <t>1.6…2.5A 3P 50kA MPCB</t>
  </si>
  <si>
    <t>MS116 - 2.50 1SAM250000R1007</t>
  </si>
  <si>
    <t>MPCB</t>
  </si>
  <si>
    <t>MS116</t>
  </si>
  <si>
    <t>4…6.3A 3P 50kA MPCB</t>
  </si>
  <si>
    <t>MS116 - 6.30 1SAM250000R1009</t>
  </si>
  <si>
    <t>000size Fuselinks, 100A gG fuse</t>
  </si>
  <si>
    <t>OFAF000H100</t>
  </si>
  <si>
    <t>Fuse Switch</t>
  </si>
  <si>
    <t>gG fuse</t>
  </si>
  <si>
    <t>000size Fuselinks, 40A gG fuse</t>
  </si>
  <si>
    <t>OFAF000H40</t>
  </si>
  <si>
    <t>000size Fuselinks, 63A gG fuse</t>
  </si>
  <si>
    <t>OFAF000H63</t>
  </si>
  <si>
    <t>63A 3P SWITCH FUSE - OS Series</t>
  </si>
  <si>
    <t>OS63GD12P</t>
  </si>
  <si>
    <t>100A 4P Manual Change-Over Switch</t>
  </si>
  <si>
    <t>OT100F4C + 
OHBS2AJE011 + 
OXS6X130</t>
  </si>
  <si>
    <t>MTS</t>
  </si>
  <si>
    <t>OT_c</t>
  </si>
  <si>
    <t>125A 4P Manual Change-Over Switch</t>
  </si>
  <si>
    <t>OT125F4C +
OHBS2AJE011 +
OXS6X130</t>
  </si>
  <si>
    <t>160A 4P Manual Change-Over Switch</t>
  </si>
  <si>
    <t>OT160E04CP</t>
  </si>
  <si>
    <t>16A 4P Manual Change-Over Switch</t>
  </si>
  <si>
    <t>OT16F4C +
OHBS2AJE011 +
OXS6X130</t>
  </si>
  <si>
    <t>200A 4P Manual Change-Over Switch</t>
  </si>
  <si>
    <t>OT200E04CP</t>
  </si>
  <si>
    <t>250A 4P Manual Change-Over Switch</t>
  </si>
  <si>
    <t>OT250E04CP</t>
  </si>
  <si>
    <t>25A 4P Manual Change-Over Switch</t>
  </si>
  <si>
    <t>OT25F4C +
OHBS2AJE011 +
OXS6X130</t>
  </si>
  <si>
    <t>40A 4P Manual Change-Over Switch</t>
  </si>
  <si>
    <t>OT40F4C +
OHBS2AJE011 +
OXS6X130</t>
  </si>
  <si>
    <t>63A 4P Manual Change-Over Switch</t>
  </si>
  <si>
    <t>OT63F4C +
OHBS2AJE011 +
OXS6X130</t>
  </si>
  <si>
    <t>80A 4P Manual Change-Over Switch</t>
  </si>
  <si>
    <t>OT80F4C +
OHBS2AJE011 +
OXS6X130</t>
  </si>
  <si>
    <t>1000A 4P AC31 ATS</t>
  </si>
  <si>
    <t>OTM1000E4CM230C
OA1G10
OA3G01</t>
  </si>
  <si>
    <t>ATS</t>
  </si>
  <si>
    <t>OTM</t>
  </si>
  <si>
    <t>100A 4P AC31 ATS</t>
  </si>
  <si>
    <t>OTM100F4CMA230V
OA1G10
OA1G01</t>
  </si>
  <si>
    <t>1250A 4P AC31 ATS</t>
  </si>
  <si>
    <t>OTM1250E4CM230C
OA1G10
OA3G01</t>
  </si>
  <si>
    <t>125A 4P AC31 ATS</t>
  </si>
  <si>
    <t>OTM125F4CMA230V
OA1G10
OA1G01</t>
  </si>
  <si>
    <t>1600A 4P AC31 ATS</t>
  </si>
  <si>
    <t>OTM1600E4CM230C
OA1G10
OA3G01</t>
  </si>
  <si>
    <t>160A 4P AC31 ATS</t>
  </si>
  <si>
    <t>OTM160E4CM230C
OA1G10
QA1G01</t>
  </si>
  <si>
    <t>2000A 4P AC31 ATS</t>
  </si>
  <si>
    <t>OTM2000E4CM230C
OA1G10
OA3G01</t>
  </si>
  <si>
    <t>200A 4P AC31 ATS</t>
  </si>
  <si>
    <t>OTM200E4CM230C
OA1G10
OA3G01</t>
  </si>
  <si>
    <t>2500A 4P AC31 ATS</t>
  </si>
  <si>
    <t>OTM2500E4CM230C
OA1G10
OA3G01</t>
  </si>
  <si>
    <t>250A 4P AC31 ATS</t>
  </si>
  <si>
    <t>OTM250E4CM230C
OA1G10
OA3G01</t>
  </si>
  <si>
    <t>315A 4P AC31 ATS</t>
  </si>
  <si>
    <t>OTM315E4CM230C
OA1G10
OA3G01</t>
  </si>
  <si>
    <t>400A 4P AC31 ATS</t>
  </si>
  <si>
    <t>OTM400E4CM230C
OA1G10
OA3G01</t>
  </si>
  <si>
    <t>40A 4P AC31 ATS</t>
  </si>
  <si>
    <t>OTM40F4CMA230V
OA1G10
OA1G01</t>
  </si>
  <si>
    <t>630A 4P AC31 ATS</t>
  </si>
  <si>
    <t>OTM630E4CM230C
0A1G10
0A3G01</t>
  </si>
  <si>
    <t>63A 4P AC31 ATS</t>
  </si>
  <si>
    <t>OTM63F4CMA230V
OA1G10
OA1G01</t>
  </si>
  <si>
    <t>800A 4P AC31 ATS</t>
  </si>
  <si>
    <t>OTM800E4CM230C
0A1G10
0A3G01</t>
  </si>
  <si>
    <t>80A 4P AC31 ATS</t>
  </si>
  <si>
    <t>OTM80F4CMA230V
OA1G10
OA1G01</t>
  </si>
  <si>
    <t>16A 3P 18kA MCCB - ADJUSTABLE</t>
  </si>
  <si>
    <t>P1B160 - 1SDA116203R1</t>
  </si>
  <si>
    <t>DSP</t>
  </si>
  <si>
    <t>20A 3P 18kA MCCB - ADJUSTABLE</t>
  </si>
  <si>
    <t>P1B160 - 1SDA116204R1</t>
  </si>
  <si>
    <t>25A 3P 18kA MCCB - ADJUSTABLE</t>
  </si>
  <si>
    <t>P1B160 - 1SDA116205R1</t>
  </si>
  <si>
    <t>32A 3P 18kA MCCB - ADJUSTABLE</t>
  </si>
  <si>
    <t>P1B160 - 1SDA116206R1</t>
  </si>
  <si>
    <t>40A 3P 18kA MCCB - ADJUSTABLE</t>
  </si>
  <si>
    <t>P1B160 - 1SDA116207R1</t>
  </si>
  <si>
    <t>50A 3P 18kA MCCB - ADJUSTABLE</t>
  </si>
  <si>
    <t>P1B160 - 1SDA116208R1</t>
  </si>
  <si>
    <t>63A 3P 18kA MCCB - ADJUSTABLE</t>
  </si>
  <si>
    <t>P1B160 - 1SDA116209R1</t>
  </si>
  <si>
    <t>80A 3P 18kA MCCB - ADJUSTABLE</t>
  </si>
  <si>
    <t>P1B160 - 1SDA116210R1</t>
  </si>
  <si>
    <t>100A 3P 18kA MCCB - ADJUSTABLE</t>
  </si>
  <si>
    <t>P1B160 - 1SDA116211R1</t>
  </si>
  <si>
    <t>125A 3P 18kA MCCB - ADJUSTABLE</t>
  </si>
  <si>
    <t>P1B160 - 1SDA116212R1</t>
  </si>
  <si>
    <t>160A 3P 18kA MCCB - ADJUSTABLE</t>
  </si>
  <si>
    <t>P1B160 - 1SDA116213R1</t>
  </si>
  <si>
    <t>16A 4P 18kA MCCB - ADJUSTABLE</t>
  </si>
  <si>
    <t>P1B160 - 1SDA116214R1</t>
  </si>
  <si>
    <t>20A 4P 18kA MCCB - ADJUSTABLE</t>
  </si>
  <si>
    <t>P1B160 - 1SDA116215R1</t>
  </si>
  <si>
    <t>25A 4P 18kA MCCB - ADJUSTABLE</t>
  </si>
  <si>
    <t>P1B160 - 1SDA116216R1</t>
  </si>
  <si>
    <t>32A 4P 18kA MCCB - ADJUSTABLE</t>
  </si>
  <si>
    <t>P1B160 - 1SDA116217R1</t>
  </si>
  <si>
    <t>40A 4P 18kA MCCB - ADJUSTABLE</t>
  </si>
  <si>
    <t>P1B160 - 1SDA116218R1</t>
  </si>
  <si>
    <t>50A 4P 18kA MCCB - ADJUSTABLE</t>
  </si>
  <si>
    <t>P1B160 - 1SDA116219R1</t>
  </si>
  <si>
    <t>63A 4P 18kA MCCB - ADJUSTABLE</t>
  </si>
  <si>
    <t>P1B160 - 1SDA116220R1</t>
  </si>
  <si>
    <t>80A 4P 18kA MCCB - ADJUSTABLE</t>
  </si>
  <si>
    <t>P1B160 - 1SDA116221R1</t>
  </si>
  <si>
    <t>100A 4P 18kA MCCB - ADJUSTABLE</t>
  </si>
  <si>
    <t>P1B160 - 1SDA116222R1</t>
  </si>
  <si>
    <t>125A 4P 18kA MCCB - ADJUSTABLE</t>
  </si>
  <si>
    <t>P1B160 - 1SDA116225R1</t>
  </si>
  <si>
    <t>160A 4P 18kA MCCB - ADJUSTABLE</t>
  </si>
  <si>
    <t>P1B160 - 1SDA116226R1</t>
  </si>
  <si>
    <t>16A 3P 25kA MCCB - ADJUSTABLE</t>
  </si>
  <si>
    <t>P1C160 - 1SDA116227R1</t>
  </si>
  <si>
    <t>20A 3P 25kA MCCB - ADJUSTABLE</t>
  </si>
  <si>
    <t>P1C160 - 1SDA116228R1</t>
  </si>
  <si>
    <t>25A 3P 25kA MCCB - ADJUSTABLE</t>
  </si>
  <si>
    <t>P1C160 - 1SDA116229R1</t>
  </si>
  <si>
    <t>32A 3P 25kA MCCB - ADJUSTABLE</t>
  </si>
  <si>
    <t>P1C160 - 1SDA116230R1</t>
  </si>
  <si>
    <t>40A 3P 25kA MCCB - ADJUSTABLE</t>
  </si>
  <si>
    <t>P1C160 - 1SDA116231R1</t>
  </si>
  <si>
    <t>50A 3P 25kA MCCB - ADJUSTABLE</t>
  </si>
  <si>
    <t>P1C160 - 1SDA116232R1</t>
  </si>
  <si>
    <t>63A 3P 25kA MCCB - ADJUSTABLE</t>
  </si>
  <si>
    <t>P1C160 - 1SDA116233R1</t>
  </si>
  <si>
    <t>80A 3P 25kA MCCB - ADJUSTABLE</t>
  </si>
  <si>
    <t>P1C160 - 1SDA116234R1</t>
  </si>
  <si>
    <t>100A 3P 25kA MCCB - ADJUSTABLE</t>
  </si>
  <si>
    <t>P1C160 - 1SDA116235R1</t>
  </si>
  <si>
    <t>125A 3P 25kA MCCB - ADJUSTABLE</t>
  </si>
  <si>
    <t>P1C160 - 1SDA116236R1</t>
  </si>
  <si>
    <t>160A 3P 25kA MCCB - ADJUSTABLE</t>
  </si>
  <si>
    <t>P1C160 - 1SDA116237R1</t>
  </si>
  <si>
    <t>16A 4P 25kA MCCB - ADJUSTABLE</t>
  </si>
  <si>
    <t>P1C160 - 1SDA116238R1</t>
  </si>
  <si>
    <t>20A 4P 25kA MCCB - ADJUSTABLE</t>
  </si>
  <si>
    <t>P1C160 - 1SDA116239R1</t>
  </si>
  <si>
    <t>25A 4P 25kA MCCB - ADJUSTABLE</t>
  </si>
  <si>
    <t>P1C160 - 1SDA116240R1</t>
  </si>
  <si>
    <t>32A 4P 25kA MCCB - ADJUSTABLE</t>
  </si>
  <si>
    <t>P1C160 - 1SDA116241R1</t>
  </si>
  <si>
    <t>40A 4P 25kA MCCB - ADJUSTABLE</t>
  </si>
  <si>
    <t>P1C160 - 1SDA116242R1</t>
  </si>
  <si>
    <t>50A 4P 25kA MCCB - ADJUSTABLE</t>
  </si>
  <si>
    <t>P1C160 - 1SDA116243R1</t>
  </si>
  <si>
    <t>63A 4P 25kA MCCB - ADJUSTABLE</t>
  </si>
  <si>
    <t>P1C160 - 1SDA116244R1</t>
  </si>
  <si>
    <t>80A 4P 25kA MCCB - ADJUSTABLE</t>
  </si>
  <si>
    <t>P1C160 - 1SDA116245R1</t>
  </si>
  <si>
    <t>100A 4P 25kA MCCB - ADJUSTABLE</t>
  </si>
  <si>
    <t>P1C160 - 1SDA116246R1</t>
  </si>
  <si>
    <t>125A 4P 25kA MCCB - ADJUSTABLE</t>
  </si>
  <si>
    <t>P1C160 - 1SDA116249R1</t>
  </si>
  <si>
    <t>160A 4P 25kA MCCB - ADJUSTABLE</t>
  </si>
  <si>
    <t>P1C160 - 1SDA116250R1</t>
  </si>
  <si>
    <t>200A 3P 25kA MCCB - ADJUSTABLE</t>
  </si>
  <si>
    <t>P1C160 - 1SDA116325R1</t>
  </si>
  <si>
    <t>250A 3P 25kA MCCB - ADJUSTABLE</t>
  </si>
  <si>
    <t>P1C160 - 1SDA116326R1</t>
  </si>
  <si>
    <t>200A 4P 25kA MCCB - ADJUSTABLE</t>
  </si>
  <si>
    <t>P1C160 - 1SDA116333R1</t>
  </si>
  <si>
    <t>250A 4P 25kA MCCB - ADJUSTABLE</t>
  </si>
  <si>
    <t>P1C160 - 1SDA116334R1</t>
  </si>
  <si>
    <t>16A 3P 36kA MCCB - FIXED</t>
  </si>
  <si>
    <t>P1N160 - 1SDA116251R1</t>
  </si>
  <si>
    <t>20A 3P 36kA MCCB - FIXED</t>
  </si>
  <si>
    <t>P1N160 - 1SDA116252R1</t>
  </si>
  <si>
    <t>25A 3P 36kA MCCB - ADJUSTABLE</t>
  </si>
  <si>
    <t>P1N160 - 1SDA116253R1</t>
  </si>
  <si>
    <t>32A 3P 36kA MCCB - ADJUSTABLE</t>
  </si>
  <si>
    <t>P1N160 - 1SDA116254R1</t>
  </si>
  <si>
    <t>40A 3P 36kA MCCB - ADJUSTABLE</t>
  </si>
  <si>
    <t>P1N160 - 1SDA116255R1</t>
  </si>
  <si>
    <t>50A 3P 36kA MCCB - ADJUSTABLE</t>
  </si>
  <si>
    <t>P1N160 - 1SDA116256R1</t>
  </si>
  <si>
    <t>63A 3P 36kA MCCB - ADJUSTABLE</t>
  </si>
  <si>
    <t>P1N160 - 1SDA116257R1</t>
  </si>
  <si>
    <t>80A 3P 36kA MCCB - ADJUSTABLE</t>
  </si>
  <si>
    <t>P1N160 - 1SDA116258R1</t>
  </si>
  <si>
    <t>100A 3P 36kA MCCB - ADJUSTABLE</t>
  </si>
  <si>
    <t>P1N160 - 1SDA116259R1</t>
  </si>
  <si>
    <t>125A 3P 36kA MCCB - ADJUSTABLE</t>
  </si>
  <si>
    <t>P1N160 - 1SDA116260R1</t>
  </si>
  <si>
    <t>160A 3P 36kA MCCB - ADJUSTABLE</t>
  </si>
  <si>
    <t>P1N160 - 1SDA116261R1</t>
  </si>
  <si>
    <t>16A 4P 36kA MCCB - FIXED</t>
  </si>
  <si>
    <t>P1N160 - 1SDA116262R1</t>
  </si>
  <si>
    <t>20A 4P 36kA MCCB - FIXED</t>
  </si>
  <si>
    <t>P1N160 - 1SDA116263R1</t>
  </si>
  <si>
    <t>25A 4P 36kA MCCB - ADJUSTABLE</t>
  </si>
  <si>
    <t>P1N160 - 1SDA116264R1</t>
  </si>
  <si>
    <t>32A 4P 36kA MCCB - ADJUSTABLE</t>
  </si>
  <si>
    <t>P1N160 - 1SDA116265R1</t>
  </si>
  <si>
    <t>40A 4P 36kA MCCB - ADJUSTABLE</t>
  </si>
  <si>
    <t>P1N160 - 1SDA116266R1</t>
  </si>
  <si>
    <t>50A 4P 36kA MCCB - ADJUSTABLE</t>
  </si>
  <si>
    <t>P1N160 - 1SDA116267R1</t>
  </si>
  <si>
    <t>63A 4P 36kA MCCB - ADJUSTABLE</t>
  </si>
  <si>
    <t>P1N160 - 1SDA116268R1</t>
  </si>
  <si>
    <t>80A 4P 36kA MCCB - ADJUSTABLE</t>
  </si>
  <si>
    <t>P1N160 - 1SDA116269R1</t>
  </si>
  <si>
    <t>100A 4P 36kA MCCB - ADJUSTABLE</t>
  </si>
  <si>
    <t>P1N160 - 1SDA116270R1</t>
  </si>
  <si>
    <t>125A 4P 36kA MCCB - ADJUSTABLE</t>
  </si>
  <si>
    <t>P1N160 - 1SDA116273R1</t>
  </si>
  <si>
    <t>160A 4P 36kA MCCB - ADJUSTABLE</t>
  </si>
  <si>
    <t>P1N160 - 1SDA116274R1</t>
  </si>
  <si>
    <t>16A 3P 50kA MCCB - FIXED</t>
  </si>
  <si>
    <t>P1S160 - 1SDA116275R1</t>
  </si>
  <si>
    <t>20A 3P 50kA MCCB - FIXED</t>
  </si>
  <si>
    <t>P1S160 - 1SDA116276R1</t>
  </si>
  <si>
    <t>25A 3P 50kA MCCB - ADJUSTABLE</t>
  </si>
  <si>
    <t>P1S160 - 1SDA116277R1</t>
  </si>
  <si>
    <t>32A 3P 50kA MCCB - ADJUSTABLE</t>
  </si>
  <si>
    <t>P1S160 - 1SDA116278R1</t>
  </si>
  <si>
    <t>40A 3P 50kA MCCB - ADJUSTABLE</t>
  </si>
  <si>
    <t>P1S160 - 1SDA116279R1</t>
  </si>
  <si>
    <t>50A 3P 50kA MCCB - ADJUSTABLE</t>
  </si>
  <si>
    <t>P1S160 - 1SDA116280R1</t>
  </si>
  <si>
    <t>63A 3P 50kA MCCB - ADJUSTABLE</t>
  </si>
  <si>
    <t>P1S160 - 1SDA116281R1</t>
  </si>
  <si>
    <t>80A 3P 50kA MCCB - ADJUSTABLE</t>
  </si>
  <si>
    <t>P1S160 - 1SDA116282R1</t>
  </si>
  <si>
    <t>100A 3P 50kA MCCB - ADJUSTABLE</t>
  </si>
  <si>
    <t>P1S160 - 1SDA116283R1</t>
  </si>
  <si>
    <t>125A 3P 50kA MCCB - ADJUSTABLE</t>
  </si>
  <si>
    <t>P1S160 - 1SDA116284R1</t>
  </si>
  <si>
    <t>160A 3P 50kA MCCB - ADJUSTABLE</t>
  </si>
  <si>
    <t>P1S160 - 1SDA116285R1</t>
  </si>
  <si>
    <t>16A 4P 50kA MCCB - FIXED</t>
  </si>
  <si>
    <t>P1S160 - 1SDA116286R1</t>
  </si>
  <si>
    <t>20A 4P 50kA MCCB - FIXED</t>
  </si>
  <si>
    <t>P1S160 - 1SDA116287R1</t>
  </si>
  <si>
    <t>25A 4P 50kA MCCB - ADJUSTABLE</t>
  </si>
  <si>
    <t>P1S160 - 1SDA116288R1</t>
  </si>
  <si>
    <t>32A 4P 50kA MCCB - ADJUSTABLE</t>
  </si>
  <si>
    <t>P1S160 - 1SDA116289R1</t>
  </si>
  <si>
    <t>40A 4P 50kA MCCB - ADJUSTABLE</t>
  </si>
  <si>
    <t>P1S160 - 1SDA116290R1</t>
  </si>
  <si>
    <t>50A 4P 50kA MCCB - ADJUSTABLE</t>
  </si>
  <si>
    <t>P1S160 - 1SDA116291R1</t>
  </si>
  <si>
    <t>63A 4P 50kA MCCB - ADJUSTABLE</t>
  </si>
  <si>
    <t>P1S160 - 1SDA116292R1</t>
  </si>
  <si>
    <t>80A 4P 50kA MCCB - ADJUSTABLE</t>
  </si>
  <si>
    <t>P1S160 - 1SDA116293R1</t>
  </si>
  <si>
    <t>100A 4P 50kA MCCB - ADJUSTABLE</t>
  </si>
  <si>
    <t>P1S160 - 1SDA116294R1</t>
  </si>
  <si>
    <t>125A 4P 50kA MCCB - ADJUSTABLE</t>
  </si>
  <si>
    <t>P1S160 - 1SDA116297R1</t>
  </si>
  <si>
    <t>160A 4P 50kA MCCB - ADJUSTABLE</t>
  </si>
  <si>
    <t>P1S160 - 1SDA116298R1</t>
  </si>
  <si>
    <t>200A 3P 50kA MCCB - ADJUSTABLE</t>
  </si>
  <si>
    <t>250A 3P 50kA MCCB - ADJUSTABLE</t>
  </si>
  <si>
    <t>200A 4P 50kA MCCB - ADJUSTABLE</t>
  </si>
  <si>
    <t>250A 4P 50kA MCCB - ADJUSTABLE</t>
  </si>
  <si>
    <t>320A 3P 50kA MCCB - ADJUSTABLE</t>
  </si>
  <si>
    <t>400A 3P 50kA MCCB - ADJUSTABLE</t>
  </si>
  <si>
    <t>320A 4P 50kA MCCB - ADJUSTABLE</t>
  </si>
  <si>
    <t>400A 4P 50kA MCCB - ADJUSTABLE</t>
  </si>
  <si>
    <t>630A 3P 50kA MCCB - ADJUSTABLE</t>
  </si>
  <si>
    <t>630A 4P 50kA MCCB - ADJUSTABLE</t>
  </si>
  <si>
    <t>200A 3P 36kA MCCB - ADJUSTABLE</t>
  </si>
  <si>
    <t>P2N250 - 1SDA116337R1</t>
  </si>
  <si>
    <t>250A 3P 36kA MCCB - ADJUSTABLE</t>
  </si>
  <si>
    <t>P2N250 - 1SDA116338R1</t>
  </si>
  <si>
    <t>200A 4P 36kA MCCB - ADJUSTABLE</t>
  </si>
  <si>
    <t>P2N250 - 1SDA116345R1</t>
  </si>
  <si>
    <t>250A 4P 36kA MCCB - ADJUSTABLE</t>
  </si>
  <si>
    <t>P2N250 - 1SDA116346R1</t>
  </si>
  <si>
    <t>320A 3P 36kA MCCB - ADJUSTABLE</t>
  </si>
  <si>
    <t>P3N400 - 1SDA116371R1</t>
  </si>
  <si>
    <t>400A 3P 36kA MCCB - ADJUSTABLE</t>
  </si>
  <si>
    <t>P3N400 - 1SDA116372R1</t>
  </si>
  <si>
    <t>320A 4P 36kA MCCB - ADJUSTABLE</t>
  </si>
  <si>
    <t>P3N400 - 1SDA116377R1</t>
  </si>
  <si>
    <t>400A 4P 36kA MCCB - ADJUSTABLE</t>
  </si>
  <si>
    <t>P3N400 - 1SDA116378R1</t>
  </si>
  <si>
    <t>630A 3P 36kA MCCB - ADJUSTABLE</t>
  </si>
  <si>
    <t>P3N630 - 1SDA116373R1</t>
  </si>
  <si>
    <t>630A 4P 36kA MCCB - ADJUSTABLE</t>
  </si>
  <si>
    <t>P3N630 - 1SDA116379R1</t>
  </si>
  <si>
    <t>Soft Starter 55kW 400V</t>
  </si>
  <si>
    <t>PSE105-600-70</t>
  </si>
  <si>
    <t>SS</t>
  </si>
  <si>
    <t>PSE</t>
  </si>
  <si>
    <t>Soft Starter 11kW 400V</t>
  </si>
  <si>
    <t>PSE18-600-70</t>
  </si>
  <si>
    <t>Soft Starter 15kW 400V</t>
  </si>
  <si>
    <t>PSE30-600-70</t>
  </si>
  <si>
    <t>Soft Starter 22kW 400V</t>
  </si>
  <si>
    <t>PSE45-600-70</t>
  </si>
  <si>
    <t>Soft Starter 45kW 400V</t>
  </si>
  <si>
    <t>PSE85-600-70</t>
  </si>
  <si>
    <t>40A 1P 6kA(IEC 60898) 10kA (IEC 60947-2) MCB</t>
  </si>
  <si>
    <t>MCB</t>
  </si>
  <si>
    <t>10A 1P 6kA(IEC 60898) 10kA (IEC 60947-2) MCB</t>
  </si>
  <si>
    <t>S201-C10 2CDS251001R0104</t>
  </si>
  <si>
    <t>16A 1P 6kA(IEC 60898) 10kA (IEC 60947-2) MCB</t>
  </si>
  <si>
    <t>S201-C16 2CDS251001R0164</t>
  </si>
  <si>
    <t>20A 1P 6kA(IEC 60898) 10kA (IEC 60947-2) MCB</t>
  </si>
  <si>
    <t>S201-C20 2CDS251001R0204</t>
  </si>
  <si>
    <t>25A 1P 6kA(IEC 60898) 10kA (IEC 60947-2) MCB</t>
  </si>
  <si>
    <t>S201-C25 2CDS251001R0254</t>
  </si>
  <si>
    <t>32A 1P 6kA(IEC 60898) 10kA (IEC 60947-2) MCB</t>
  </si>
  <si>
    <t>S201-C32 2CDS251001R0324</t>
  </si>
  <si>
    <t>50A 1P 6kA(IEC 60898) 10kA (IEC 60947-2) MCB</t>
  </si>
  <si>
    <t>S201-C50 2CDS251001R0504</t>
  </si>
  <si>
    <t>6A 1P 6kA(IEC 60898) 10kA (IEC 60947-2) MCB</t>
  </si>
  <si>
    <t>S201-C6 2CDS251001R0064</t>
  </si>
  <si>
    <t>63A 1P 6kA(IEC 60898) 10kA (IEC 60947-2) MCB</t>
  </si>
  <si>
    <t>S201-C63 2CDS251001R0634</t>
  </si>
  <si>
    <t>10A 1P 10kA(IEC 60898) 15kA (IEC 60947-2) MCB</t>
  </si>
  <si>
    <t>S201M-C10 2CDS271001R0104</t>
  </si>
  <si>
    <t>16A 1P 10kA(IEC 60898) 15kA (IEC 60947-2) MCB</t>
  </si>
  <si>
    <t>S201M-C16 2CDS5271001R0164</t>
  </si>
  <si>
    <t>20A 1P 10kA(IEC 60898) 15kA (IEC 60947-2) MCB</t>
  </si>
  <si>
    <t>S201M-C20 2CDS5271001R0204</t>
  </si>
  <si>
    <t>25A 1P 10kA(IEC 60898) 15kA (IEC 60947-2) MCB</t>
  </si>
  <si>
    <t>S201M-C25 2CDS5271001R0254</t>
  </si>
  <si>
    <t>32A 1P 10kA(IEC 60898) 15kA (IEC 60947-2) MCB</t>
  </si>
  <si>
    <t>S201M-C32 2CDS5271001R0324</t>
  </si>
  <si>
    <t>40A 1P 10kA(IEC 60898) 15kA (IEC 60947-2) MCB</t>
  </si>
  <si>
    <t>S201M-C40 2CDS5271001R0404</t>
  </si>
  <si>
    <t>50A 1P 10kA(IEC 60898) 15kA (IEC 60947-2) MCB</t>
  </si>
  <si>
    <t>S201M-C50 2CDS5271001R0504</t>
  </si>
  <si>
    <t>6A 1P 10kA(IEC 60898) 15kA (IEC 60947-2) MCB</t>
  </si>
  <si>
    <t>S201M-C6 2CDS271001R0064</t>
  </si>
  <si>
    <t>63A 1P 10kA(IEC 60898) 15kA (IEC 60947-2) MCB</t>
  </si>
  <si>
    <t>S201M-C63 2CDS5271001R0634</t>
  </si>
  <si>
    <t>10A 2P 6kA(IEC 60898) 10kA (IEC 60947-2) MCB</t>
  </si>
  <si>
    <t>S202-C10 2CDS252001R0104</t>
  </si>
  <si>
    <t>16A 2P 6kA(IEC 60898) 10kA (IEC 60947-2) MCB</t>
  </si>
  <si>
    <t>S202-C16 2CDS252001R0164</t>
  </si>
  <si>
    <t>20A 2P 6kA(IEC 60898) 10kA (IEC 60947-2) MCB</t>
  </si>
  <si>
    <t>S202-C20 2CDS252001R0204</t>
  </si>
  <si>
    <t>25A 2P 6kA(IEC 60898) 10kA (IEC 60947-2) MCB</t>
  </si>
  <si>
    <t>S202-C25 2CDS252001R0254</t>
  </si>
  <si>
    <t>32A 2P 6kA(IEC 60898) 10kA (IEC 60947-2) MCB</t>
  </si>
  <si>
    <t>S202-C32 2CDS252001R0324</t>
  </si>
  <si>
    <t>40A 2P 6kA(IEC 60898) 10kA (IEC 60947-2) MCB</t>
  </si>
  <si>
    <t>S202-C40 2CDS252001R0404</t>
  </si>
  <si>
    <t>50A 2P 6kA(IEC 60898) 10kA (IEC 60947-2) MCB</t>
  </si>
  <si>
    <t>S202-C50 2CDS252001R0504</t>
  </si>
  <si>
    <t>6A 2P 6kA(IEC 60898) 10kA (IEC 60947-2) MCB</t>
  </si>
  <si>
    <t>S202-C6 2CDS252001R0064</t>
  </si>
  <si>
    <t>63A 2P 6kA(IEC 60898) 10kA (IEC 60947-2) MCB</t>
  </si>
  <si>
    <t>S202-C63 2CDS252001R0634</t>
  </si>
  <si>
    <t>10A 2P 10kA(IEC 60898) 15kA (IEC 60947-2) MCB</t>
  </si>
  <si>
    <t>S202M-C10 2CDS272001R0104</t>
  </si>
  <si>
    <t>16A 2P 10kA(IEC 60898) 15kA (IEC 60947-2) MCB</t>
  </si>
  <si>
    <t>S202M-C16 2CDS5272001R0164</t>
  </si>
  <si>
    <t>20A 2P 10kA(IEC 60898) 15kA (IEC 60947-2) MCB</t>
  </si>
  <si>
    <t>S202M-C20 2CDS5272001R0204</t>
  </si>
  <si>
    <t>25A 2P 10kA(IEC 60898) 15kA (IEC 60947-2) MCB</t>
  </si>
  <si>
    <t>S202M-C25 2CDS5272001R0254</t>
  </si>
  <si>
    <t>32A 2P 10kA(IEC 60898) 15kA (IEC 60947-2) MCB</t>
  </si>
  <si>
    <t>S202M-C32 2CDS5272001R0324</t>
  </si>
  <si>
    <t>40A 2P 10kA(IEC 60898) 15kA (IEC 60947-2) MCB</t>
  </si>
  <si>
    <t>S202M-C40 2CDS5272001R0404</t>
  </si>
  <si>
    <t>50A 2P 10kA(IEC 60898) 15kA (IEC 60947-2) MCB</t>
  </si>
  <si>
    <t>S202M-C50 2CDS5272001R0504</t>
  </si>
  <si>
    <t>6A 2P 10kA(IEC 60898) 15kA (IEC 60947-2) MCB</t>
  </si>
  <si>
    <t>S202M-C6 2CDS272001R0064</t>
  </si>
  <si>
    <t>63A 2P 10kA(IEC 60898) 15kA (IEC 60947-2) MCB</t>
  </si>
  <si>
    <t>S202M-C63 2CDS5272001R0634</t>
  </si>
  <si>
    <t>10A 3P 6kA(IEC 60898) 10kA (IEC 60947-2) MCB</t>
  </si>
  <si>
    <t>S203-C10 2CDS253001R0104</t>
  </si>
  <si>
    <t>16A 3P 6kA(IEC 60898) 10kA (IEC 60947-2) MCB</t>
  </si>
  <si>
    <t>S203-C16 2CDS253001R0164</t>
  </si>
  <si>
    <t>20A 3P 6kA(IEC 60898) 10kA (IEC 60947-2) MCB</t>
  </si>
  <si>
    <t>S203-C20 2CDS253001R0204</t>
  </si>
  <si>
    <t>25A 3P 6kA(IEC 60898) 10kA (IEC 60947-2) MCB</t>
  </si>
  <si>
    <t>S203-C25 2CDS253001R0254</t>
  </si>
  <si>
    <t>32A 3P 6kA(IEC 60898) 10kA (IEC 60947-2) MCB</t>
  </si>
  <si>
    <t>S203-C32 2CDS253001R0324</t>
  </si>
  <si>
    <t>40A 3P 6kA(IEC 60898) 10kA (IEC 60947-2) MCB</t>
  </si>
  <si>
    <t>S203-C40 2CDS253001R0404</t>
  </si>
  <si>
    <t>50A 3P 6kA(IEC 60898) 10kA (IEC 60947-2) MCB</t>
  </si>
  <si>
    <t>S203-C50 2CDS253001R0504</t>
  </si>
  <si>
    <t>6A 3P 6kA(IEC 60898) 10kA (IEC 60947-2) MCB</t>
  </si>
  <si>
    <t>S203-C6 2CDS253001R0064</t>
  </si>
  <si>
    <t>63A 3P 6kA(IEC 60898) 10kA (IEC 60947-2) MCB</t>
  </si>
  <si>
    <t>S203-C63 2CDS253001R0634</t>
  </si>
  <si>
    <t>10A 3P 10kA(IEC 60898) 15kA (IEC 60947-2) MCB</t>
  </si>
  <si>
    <t>S203M-C10 2CDS273001R0104</t>
  </si>
  <si>
    <t>16A 3P 10kA(IEC 60898) 15kA (IEC 60947-2) MCB</t>
  </si>
  <si>
    <t>S203M-C16 2CDS5273001R0164</t>
  </si>
  <si>
    <t>20A 3P 10kA(IEC 60898) 15kA (IEC 60947-2) MCB</t>
  </si>
  <si>
    <t>S203M-C20 2CDS5273001R0204</t>
  </si>
  <si>
    <t>25A 3P 10kA(IEC 60898) 15kA (IEC 60947-2) MCB</t>
  </si>
  <si>
    <t>S203M-C25 2CDS5273001R0254</t>
  </si>
  <si>
    <t>32A 3P 10kA(IEC 60898) 15kA (IEC 60947-2) MCB</t>
  </si>
  <si>
    <t>S203M-C32 2CDS5273001R0324</t>
  </si>
  <si>
    <t>40A 3P 10kA(IEC 60898) 15kA (IEC 60947-2) MCB</t>
  </si>
  <si>
    <t>S203M-C40 2CDS5273001R0404</t>
  </si>
  <si>
    <t>50A 3P 10kA(IEC 60898) 15kA (IEC 60947-2) MCB</t>
  </si>
  <si>
    <t>S203M-C50 2CDS5273001R0504</t>
  </si>
  <si>
    <t>6A 3P 10kA(IEC 60898) 15kA (IEC 60947-2) MCB</t>
  </si>
  <si>
    <t>S203M-C6 2CDS273001R0064</t>
  </si>
  <si>
    <t>63A 3P 10kA(IEC 60898) 15kA (IEC 60947-2) MCB</t>
  </si>
  <si>
    <t>S203M-C63 2CDS5273001R0634</t>
  </si>
  <si>
    <t>10A 4P 6kA(IEC 60898) 10kA (IEC 60947-2) MCB</t>
  </si>
  <si>
    <t>S204-C10 2CDS254001R0104</t>
  </si>
  <si>
    <t>16A 4P 6kA(IEC 60898) 10kA (IEC 60947-2) MCB</t>
  </si>
  <si>
    <t>S204-C16 2CDS254001R0164</t>
  </si>
  <si>
    <t>20A 4P 6kA(IEC 60898) 10kA (IEC 60947-2) MCB</t>
  </si>
  <si>
    <t>S204-C20 2CDS254001R0204</t>
  </si>
  <si>
    <t>25A 4P 6kA(IEC 60898) 10kA (IEC 60947-2) MCB</t>
  </si>
  <si>
    <t>S204-C25 2CDS254001R0254</t>
  </si>
  <si>
    <t>32A 4P 6kA(IEC 60898) 10kA (IEC 60947-2) MCB</t>
  </si>
  <si>
    <t>S204-C32 2CDS254001R0324</t>
  </si>
  <si>
    <t>40A 4P 6kA(IEC 60898) 10kA (IEC 60947-2) MCB</t>
  </si>
  <si>
    <t>S204-C40 2CDS254001R0404</t>
  </si>
  <si>
    <t>50A 4P 6kA(IEC 60898) 10kA (IEC 60947-2) MCB</t>
  </si>
  <si>
    <t>S204-C50 2CDS254001R0504</t>
  </si>
  <si>
    <t>6A 4P 6kA(IEC 60898) 10kA (IEC 60947-2) MCB</t>
  </si>
  <si>
    <t>S204-C6 2CDS254001R0064</t>
  </si>
  <si>
    <t>63A 4P 6kA(IEC 60898) 10kA (IEC 60947-2) MCB</t>
  </si>
  <si>
    <t>S204-C63 2CDS254001R0634</t>
  </si>
  <si>
    <t>10A SP 6kA(IEC 60898) MCB</t>
  </si>
  <si>
    <t>SH201-C10 2CDS211001R0104</t>
  </si>
  <si>
    <t>16A SP 6kA(IEC 60898) MCB</t>
  </si>
  <si>
    <t>SH201-C16 2CDS211001R0164</t>
  </si>
  <si>
    <t>20A SP 6kA(IEC 60898) MCB</t>
  </si>
  <si>
    <t>SH201-C20 2CDS211001R0204</t>
  </si>
  <si>
    <t>25A SP 6kA(IEC 60898) MCB</t>
  </si>
  <si>
    <t>SH201-C25 2CDS211001R0254</t>
  </si>
  <si>
    <t>32A SP 6kA(IEC 60898) MCB</t>
  </si>
  <si>
    <t>SH201-C32 2CDS211001R0324</t>
  </si>
  <si>
    <t>40A SP 6kA(IEC 60898) MCB</t>
  </si>
  <si>
    <t>SH201-C40 2CDS211001R0404</t>
  </si>
  <si>
    <t>50A SP 6kA(IEC 60898) MCB</t>
  </si>
  <si>
    <t>SH201-C50 2CDS211001R0504</t>
  </si>
  <si>
    <t>6A SP 6kA(IEC 60898) MCB</t>
  </si>
  <si>
    <t>SH201-C6 2CDS211001R0064</t>
  </si>
  <si>
    <t>63A SP 6kA(IEC 60898) MCB</t>
  </si>
  <si>
    <t>SH201-C63 2CDS211001R0634</t>
  </si>
  <si>
    <t>10A 1P 4.5kA(IEC 60898) MCB</t>
  </si>
  <si>
    <t>SH201L-C10 2CDS241001R0104</t>
  </si>
  <si>
    <t>16A 1P 4.5kA(IEC 60898) MCB</t>
  </si>
  <si>
    <t>SH201L-C16 2CDS241001R0164</t>
  </si>
  <si>
    <t>20A 1P 4.5kA(IEC 60898) MCB</t>
  </si>
  <si>
    <t>SH201L-C20 2CDS241001R0204</t>
  </si>
  <si>
    <t>25A 1P 4.5kA(IEC 60898) MCB</t>
  </si>
  <si>
    <t>SH201L-C25 2CDS241001R0254</t>
  </si>
  <si>
    <t>32A 1P 4.5kA(IEC 60898) MCB</t>
  </si>
  <si>
    <t>SH201L-C32 2CDS241001R0324</t>
  </si>
  <si>
    <t>40A 1P 4.5kA(IEC 60898) MCB</t>
  </si>
  <si>
    <t>SH201L-C40 2CDS241001R0404</t>
  </si>
  <si>
    <t>6A 1P 4.5kA(IEC 60898) MCB</t>
  </si>
  <si>
    <t>SH201L-C6 2CDS241001R0064</t>
  </si>
  <si>
    <t>10A 2P 6kA(IEC 60898) MCB</t>
  </si>
  <si>
    <t>SH202-C10 2CDS212001R0104</t>
  </si>
  <si>
    <t>16A 2P 6kA(IEC 60898) MCB</t>
  </si>
  <si>
    <t>SH202-C16 2CDS212001R0164</t>
  </si>
  <si>
    <t>20A 2P 6kA(IEC 60898) MCB</t>
  </si>
  <si>
    <t>SH202-C20 2CDS212001R0204</t>
  </si>
  <si>
    <t>25A 2P 6kA(IEC 60898) MCB</t>
  </si>
  <si>
    <t>SH202-C25 2CDS212001R0254</t>
  </si>
  <si>
    <t>32A 2P 6kA(IEC 60898) MCB</t>
  </si>
  <si>
    <t>SH202-C32 2CDS212001R0324</t>
  </si>
  <si>
    <t>40A 2P 6kA(IEC 60898) MCB</t>
  </si>
  <si>
    <t>SH202-C40 2CDS212001R0404</t>
  </si>
  <si>
    <t>50A 2P 6kA(IEC 60898) MCB</t>
  </si>
  <si>
    <t>SH202-C50 2CDS212001R0504</t>
  </si>
  <si>
    <t>6A 2P 6kA(IEC 60898) MCB</t>
  </si>
  <si>
    <t>SH202-C6 2CDS212001R0064</t>
  </si>
  <si>
    <t>63A 2P 6kA(IEC 60898) MCB</t>
  </si>
  <si>
    <t>SH202-C63 2CDS212001R0634</t>
  </si>
  <si>
    <t>10A 2P 4.5kA(IEC 60898) MCB</t>
  </si>
  <si>
    <t>SH202L-C10 2CDS242001R0104</t>
  </si>
  <si>
    <t>16A 2P 4.5kA(IEC 60898) MCB</t>
  </si>
  <si>
    <t>SH202L-C16 2CDS242001R0164</t>
  </si>
  <si>
    <t>20A 2P 4.5kA(IEC 60898) MCB</t>
  </si>
  <si>
    <t>SH202L-C20 2CDS242001R0204</t>
  </si>
  <si>
    <t>25A 2P 4.5kA(IEC 60898) MCB</t>
  </si>
  <si>
    <t>SH202L-C25 2CDS242001R0254</t>
  </si>
  <si>
    <t>32A 2P 4.5kA(IEC 60898) MCB</t>
  </si>
  <si>
    <t>SH202L-C32 2CDS242001R0324</t>
  </si>
  <si>
    <t>40A 2P 4.5kA(IEC 60898) MCB</t>
  </si>
  <si>
    <t>SH202L-C40 2CDS242001R0404</t>
  </si>
  <si>
    <t>6A 2P 4.5kA(IEC 60898) MCB</t>
  </si>
  <si>
    <t>SH202L-C6 2CDS242001R0064</t>
  </si>
  <si>
    <t>10A 3P 6kA(IEC 60898) MCB</t>
  </si>
  <si>
    <t>SH203-C10 2CDS213001R0104</t>
  </si>
  <si>
    <t>16A 3P 6kA(IEC 60898) MCB</t>
  </si>
  <si>
    <t>SH203-C16 2CDS213001R0164</t>
  </si>
  <si>
    <t>20A 3P 6kA(IEC 60898) MCB</t>
  </si>
  <si>
    <t>SH203-C20 2CDS213001R0204</t>
  </si>
  <si>
    <t>25A 3P 6kA(IEC 60898) MCB</t>
  </si>
  <si>
    <t>SH203-C25 2CDS213001R0254</t>
  </si>
  <si>
    <t>32A 3P 6kA(IEC 60898) MCB</t>
  </si>
  <si>
    <t>SH203-C32 2CDS213001R0324</t>
  </si>
  <si>
    <t>40A 3P 6kA(IEC 60898) MCB</t>
  </si>
  <si>
    <t>SH203-C40 2CDS213001R0404</t>
  </si>
  <si>
    <t>50A 3P 6kA(IEC 60898) MCB</t>
  </si>
  <si>
    <t>SH203-C50 2CDS213001R0504</t>
  </si>
  <si>
    <t>6A 3P 6kA(IEC 60898) MCB</t>
  </si>
  <si>
    <t>SH203-C6 2CDS213001R0064</t>
  </si>
  <si>
    <t>63A 3P 6kA(IEC 60898) MCB</t>
  </si>
  <si>
    <t>SH203-C63 2CDS213001R0634</t>
  </si>
  <si>
    <t>10A 3P 4.5kA(IEC 60898) MCB</t>
  </si>
  <si>
    <t>SH203L-C10 2CDS243001R0104</t>
  </si>
  <si>
    <t>16A 3P 4.5kA(IEC 60898) MCB</t>
  </si>
  <si>
    <t>SH203L-C16 2CDS243001R0164</t>
  </si>
  <si>
    <t>20A 3P 4.5kA(IEC 60898) MCB</t>
  </si>
  <si>
    <t>SH203L-C20 2CDS243001R0204</t>
  </si>
  <si>
    <t>25A 3P 4.5kA(IEC 60898) MCB</t>
  </si>
  <si>
    <t>SH203L-C25 2CDS243001R0254</t>
  </si>
  <si>
    <t>32A 3P 4.5kA(IEC 60898) MCB</t>
  </si>
  <si>
    <t>SH203L-C32 2CDS243001R0324</t>
  </si>
  <si>
    <t>40A 3P 4.5kA(IEC 60898) MCB</t>
  </si>
  <si>
    <t>SH203L-C40 2CDS243001R0404</t>
  </si>
  <si>
    <t>6A 3P 4.5kA(IEC 60898) MCB</t>
  </si>
  <si>
    <t>SH203L-C6 2CDS243001R0064</t>
  </si>
  <si>
    <t>THERMOL OVERLOAD RELAY 0.1 … 0.16A</t>
  </si>
  <si>
    <t>TA25DU-0.16M</t>
  </si>
  <si>
    <t>TOR</t>
  </si>
  <si>
    <t>THERMOL OVERLOAD RELAY 0.16 … 0.25A</t>
  </si>
  <si>
    <t>TA25DU-0.25M</t>
  </si>
  <si>
    <t>THERMOL OVERLOAD RELAY 0.25 … 0.4A</t>
  </si>
  <si>
    <t>TA25DU-0.4M</t>
  </si>
  <si>
    <t>THERMOL OVERLOAD RELAY 0.4 … 0.63A</t>
  </si>
  <si>
    <t>TA25DU-0.63M</t>
  </si>
  <si>
    <t>THERMOL OVERLOAD RELAY 0.63 … 1.0A</t>
  </si>
  <si>
    <t>TA25DU-1.0M</t>
  </si>
  <si>
    <t>THERMOL OVERLOAD RELAY 1.0 … 1.4A</t>
  </si>
  <si>
    <t>TA25DU-1.4M</t>
  </si>
  <si>
    <t>THERMOL OVERLOAD RELAY 1.3 … 1.8A</t>
  </si>
  <si>
    <t>TA25DU-1.8M</t>
  </si>
  <si>
    <t>THERMOL OVERLOAD RELAY 7.5 … 11A</t>
  </si>
  <si>
    <t>TA25DU-11M</t>
  </si>
  <si>
    <t>THERMOL OVERLOAD RELAY 10 … 14A</t>
  </si>
  <si>
    <t>TA25DU-14M</t>
  </si>
  <si>
    <t>THERMOL OVERLOAD RELAY 13 … 19A</t>
  </si>
  <si>
    <t>TA25DU-19M</t>
  </si>
  <si>
    <t>THERMOL OVERLOAD RELAY 1.7 … 2.4A</t>
  </si>
  <si>
    <t>TA25DU-2.4M</t>
  </si>
  <si>
    <t>THERMOL OVERLOAD RELAY 18 … 25A</t>
  </si>
  <si>
    <t>TA25DU-25M</t>
  </si>
  <si>
    <t>THERMOL OVERLOAD RELAY 2.2 … 3.1A</t>
  </si>
  <si>
    <t>TA25DU-3.1M</t>
  </si>
  <si>
    <t>THERMOL OVERLOAD RELAY 24 … 32A</t>
  </si>
  <si>
    <t>TA25DU-32M</t>
  </si>
  <si>
    <t>THERMOL OVERLOAD RELAY 2.8 … 4.0A</t>
  </si>
  <si>
    <t>TA25DU-4.0M</t>
  </si>
  <si>
    <t>THERMOL OVERLOAD RELAY 3.5 … 5.0A</t>
  </si>
  <si>
    <t>TA25DU-5.0M</t>
  </si>
  <si>
    <t>THERMOL OVERLOAD RELAY 4.5 … 6.5A</t>
  </si>
  <si>
    <t>TA25DU-6.5M</t>
  </si>
  <si>
    <t>THERMOL OVERLOAD RELAY 6.0 … 8.5A</t>
  </si>
  <si>
    <t>TA25DU-8.5M</t>
  </si>
  <si>
    <t>THERMOL OVERLOAD RELAY 29 … 42A</t>
  </si>
  <si>
    <t>TA75DU-42M</t>
  </si>
  <si>
    <t>THERMOL OVERLOAD RELAY 36 … 52A</t>
  </si>
  <si>
    <t>TA75DU-52-M</t>
  </si>
  <si>
    <t>THERMOL OVERLOAD RELAY 45 … 63A</t>
  </si>
  <si>
    <t>TA75DU-63-M</t>
  </si>
  <si>
    <t>THERMOL OVERLOAD RELAY 60 … 80A</t>
  </si>
  <si>
    <t>TA75DU-80-M</t>
  </si>
  <si>
    <t>Compulsory add-on terminals for Tmax MCCB, 3P</t>
  </si>
  <si>
    <t>Tmax KIT EF XT1 1SDA066867R1</t>
  </si>
  <si>
    <t>Tmax KIT EF XT2 1SDA066871R1</t>
  </si>
  <si>
    <t>Tmax KIT EF XT5 1SDA104734R1</t>
  </si>
  <si>
    <t>Tmax KIT EF XT6 1SDA107473R1</t>
  </si>
  <si>
    <t>Tmax KIT EF XT7 1SDA073967R1</t>
  </si>
  <si>
    <t>Tmax KIT ES XT4 1SDA066903R1</t>
  </si>
  <si>
    <t>Rotary Handle - Tansmitted Type - RHE (Tmax)</t>
  </si>
  <si>
    <t>Tmax XT1 1SDA066479R1</t>
  </si>
  <si>
    <t>Undervoltage Release(Tmax)</t>
  </si>
  <si>
    <t>Tmax XT1, XT2, XT4 1SDA066400R1</t>
  </si>
  <si>
    <t>Auxiliary Contact - AUX C, XT1, XT2, XT4
- 2Q+1SY 250V AC/DC</t>
  </si>
  <si>
    <t>Tmax XT1, XT2, XT4 1SDA066433R1</t>
  </si>
  <si>
    <t>IP54 Protection for transmitted rotary handle - RHE (Tmax)</t>
  </si>
  <si>
    <t>Tmax XT1, XT2, XT4 1SDA066587R1</t>
  </si>
  <si>
    <t>Shunt Opening Release (Tmax)</t>
  </si>
  <si>
    <t>Tmax XT1,XT2, XT4 1SDA066326R1</t>
  </si>
  <si>
    <t>Conversion kit of circuit-breaker from fixed into moving part of plug-in - XT2
P MP KIT - 4 poles</t>
  </si>
  <si>
    <t>Tmax XT2 1SDA066282R1</t>
  </si>
  <si>
    <t>Fixed Part of Plug-in (P) - XT2
KIT P PF EF - 4 poles</t>
  </si>
  <si>
    <t>Tmax XT2 1SDA068190R1</t>
  </si>
  <si>
    <t>Motor  Operator XT2 &amp; XT4
Stored Energy Motor Operator - MOE (Tmax)</t>
  </si>
  <si>
    <t>Tmax XT2, XT4 1SDA066466R1</t>
  </si>
  <si>
    <t>Tmax XT2, XT4 1SDA069055R1</t>
  </si>
  <si>
    <t>Tmax XT5 1SDA104843R1</t>
  </si>
  <si>
    <t>Shunt Opening Release - YO-C (Tmax)</t>
  </si>
  <si>
    <t>Tmax XT5, XT6 1SDA104934R1</t>
  </si>
  <si>
    <t>Undervoltage Release - YU-C (Tmax)</t>
  </si>
  <si>
    <t>Tmax XT5, XT6 1SDA104958R1</t>
  </si>
  <si>
    <t>Rotary Handle - Transmitted Type - RHE(Tmax)</t>
  </si>
  <si>
    <t>Tmax XT6 1SDA104853R1</t>
  </si>
  <si>
    <t>Stored Energy Motor Operator - MOE (Tmax)</t>
  </si>
  <si>
    <t>Tmax XT6 1SDA104895R1</t>
  </si>
  <si>
    <t>80kVar 400V AC-6b Contactor</t>
  </si>
  <si>
    <t>UA110-30-00 RA88</t>
  </si>
  <si>
    <t>UA</t>
  </si>
  <si>
    <t>12.5kVar 400V AC-6b Contactor</t>
  </si>
  <si>
    <t>UA16-30-10 RA88</t>
  </si>
  <si>
    <t>22kVar 400V AC-6b Contactor</t>
  </si>
  <si>
    <t>UA26-30-10 RA88</t>
  </si>
  <si>
    <t>30kVar 400V AC-6b Contactor</t>
  </si>
  <si>
    <t>UA30-30-10 RA88</t>
  </si>
  <si>
    <t>40kVar 400V AC-6b Contactor</t>
  </si>
  <si>
    <t>UA50-30-00 RA88</t>
  </si>
  <si>
    <t>50kVar 400V AC-6b Contactor</t>
  </si>
  <si>
    <t>UA63-30-00 RA88</t>
  </si>
  <si>
    <t>60kVar 400V AC-6b Contactor</t>
  </si>
  <si>
    <t>UA75-30-00 RA88</t>
  </si>
  <si>
    <t>70kVar 400V AC-6b Contactor</t>
  </si>
  <si>
    <t>UA95-30-00 RA88</t>
  </si>
  <si>
    <t>100A 3P Fuse Switch - XLP Series</t>
  </si>
  <si>
    <t>XLP000 1SEP201428R0001</t>
  </si>
  <si>
    <t>XLP</t>
  </si>
  <si>
    <t>16A 3P 25kA MCCB</t>
  </si>
  <si>
    <t>16A 3P 70kA MCCB</t>
  </si>
  <si>
    <t>16A 4P 70kA MCCB</t>
  </si>
  <si>
    <t>20A 3P 70kA MCCB</t>
  </si>
  <si>
    <t>20A 4P 70kA MCCB</t>
  </si>
  <si>
    <t>25A 3P 70kA MCCB</t>
  </si>
  <si>
    <t>25A 4P 70kA MCCB</t>
  </si>
  <si>
    <t>32A 3P 70kA MCCB</t>
  </si>
  <si>
    <t>32A 4P 70kA MCCB</t>
  </si>
  <si>
    <t>40A 3P 70kA MCCB</t>
  </si>
  <si>
    <t>40A 4P 70kA MCCB</t>
  </si>
  <si>
    <t>50A 3P 70kA MCCB</t>
  </si>
  <si>
    <t>50A 4P 70kA MCCB</t>
  </si>
  <si>
    <t>63A 3P 70kA MCCB</t>
  </si>
  <si>
    <t>63A 4P 70kA MCCB</t>
  </si>
  <si>
    <t>80A 3P 70kA MCCB</t>
  </si>
  <si>
    <t>80A 4P 70kA MCCB</t>
  </si>
  <si>
    <t>100A 3P 70kA MCCB</t>
  </si>
  <si>
    <t>100A 4P 70kA MCCB</t>
  </si>
  <si>
    <t>125A 3P 70kA MCCB</t>
  </si>
  <si>
    <t>125A 4P 70kA MCCB</t>
  </si>
  <si>
    <t>160A 3P 70kA MCCB</t>
  </si>
  <si>
    <t>160A 4P 70kA MCCB</t>
  </si>
  <si>
    <t>16A 3P 50kA MCCB</t>
  </si>
  <si>
    <t>16A 4P 50kA MCCB</t>
  </si>
  <si>
    <t>20A 3P 50kA MCCB</t>
  </si>
  <si>
    <t>20A 4P 50kA MCCB</t>
  </si>
  <si>
    <t>25A 3P 50kA MCCB</t>
  </si>
  <si>
    <t>25A 4P 50kA MCCB</t>
  </si>
  <si>
    <t>32A 3P 50kA MCCB</t>
  </si>
  <si>
    <t>32A 4P 50kA MCCB</t>
  </si>
  <si>
    <t>40A 3P 50kA MCCB</t>
  </si>
  <si>
    <t>40A 4P 50kA MCCB</t>
  </si>
  <si>
    <t>50A 3P 50kA MCCB</t>
  </si>
  <si>
    <t>50A 4P 50kA MCCB</t>
  </si>
  <si>
    <t>63A 3P 50kA MCCB</t>
  </si>
  <si>
    <t>63A 4P 50kA MCCB</t>
  </si>
  <si>
    <t>80A 3P 50kA MCCB</t>
  </si>
  <si>
    <t>80A 4P 50kA MCCB</t>
  </si>
  <si>
    <t>100A 3P 50kA MCCB</t>
  </si>
  <si>
    <t>100A 4P 50kA MCCB</t>
  </si>
  <si>
    <t>125A 3P 50kA MCCB</t>
  </si>
  <si>
    <t>125A 4P 50kA MCCB</t>
  </si>
  <si>
    <t>160A 3P 50kA MCCB</t>
  </si>
  <si>
    <t>160A 4P 50kA MCCB</t>
  </si>
  <si>
    <t>200A 3P 70kA MCCB</t>
  </si>
  <si>
    <t>200A 4P 70kA MCCB</t>
  </si>
  <si>
    <t>250A 3P 70kA MCCB</t>
  </si>
  <si>
    <t>250A 4P 70kA MCCB</t>
  </si>
  <si>
    <t>320A 3P 70kA MCCB</t>
  </si>
  <si>
    <t>320A 4P 70kA MCCB</t>
  </si>
  <si>
    <t>200A 3P 50kA MCCB</t>
  </si>
  <si>
    <t>200A 4P 50kA MCCB</t>
  </si>
  <si>
    <t>250A 3P 50kA MCCB</t>
  </si>
  <si>
    <t>250A 4P 50kA MCCB</t>
  </si>
  <si>
    <t>400A 3P 70kA MCCB</t>
  </si>
  <si>
    <t>400A 4P 70kA MCCB</t>
  </si>
  <si>
    <t>500A 3P 70kA MCCB</t>
  </si>
  <si>
    <t>500A 4P 70kA MCCB</t>
  </si>
  <si>
    <t>630A 3P 70kA MCCB</t>
  </si>
  <si>
    <t>630A 4P 70kA MCCB</t>
  </si>
  <si>
    <t>1000A 3P 70kA MCCB</t>
  </si>
  <si>
    <t>1000A 4P 70kA MCCB</t>
  </si>
  <si>
    <t>800A 3P 70kA MCCB</t>
  </si>
  <si>
    <t>800A 4P 70kA MCCB</t>
  </si>
  <si>
    <t>800A 3P 36kA MCCB</t>
  </si>
  <si>
    <t>800A 4P 36kA MCCB</t>
  </si>
  <si>
    <t>1000A 3P 50kA MCCB</t>
  </si>
  <si>
    <t>1000A 4P 50kA MCCB</t>
  </si>
  <si>
    <t>800A 3P 50kA MCCB</t>
  </si>
  <si>
    <t>800A 4P 50kA MCCB</t>
  </si>
  <si>
    <t>1250A 3P 70kA MCCB</t>
  </si>
  <si>
    <t>1250A 4P 70kA MCCB</t>
  </si>
  <si>
    <t>1600A 3P 70kA MCCB</t>
  </si>
  <si>
    <t>1600A 4P 70kA MCCB</t>
  </si>
  <si>
    <t>1250A 3P 50kA MCCB</t>
  </si>
  <si>
    <t>1250A 4P 50kA MCCB</t>
  </si>
  <si>
    <t>1600A 3P 50kA MCCB</t>
  </si>
  <si>
    <t>1600A 4P 50kA MCCB</t>
  </si>
  <si>
    <t>N/O PUSH BUTTON</t>
  </si>
  <si>
    <t>AB2-MA31</t>
  </si>
  <si>
    <t>Push Button</t>
  </si>
  <si>
    <t>Switch</t>
  </si>
  <si>
    <t>N/C PUSH BUTTON</t>
  </si>
  <si>
    <t>AB2-MD42</t>
  </si>
  <si>
    <t>E-Stop Push Button</t>
  </si>
  <si>
    <t>AB2-MS542</t>
  </si>
  <si>
    <t>LED Illuminated Push Button</t>
  </si>
  <si>
    <t>AB2-PW3361</t>
  </si>
  <si>
    <t>AC Insulation Monitor c/w Alarm Contact</t>
  </si>
  <si>
    <t>AMPTRON</t>
  </si>
  <si>
    <t>DRM96-N</t>
  </si>
  <si>
    <t>Meter</t>
  </si>
  <si>
    <t>Delay off timer</t>
  </si>
  <si>
    <t>Anly</t>
  </si>
  <si>
    <t>AH5F</t>
  </si>
  <si>
    <t>Delay On Timer</t>
  </si>
  <si>
    <t>AMY-N2</t>
  </si>
  <si>
    <t>Digital display,
- Multi Indicator, W96x48H
- Multi input
- 2 Alarm
- 4-20mA output</t>
  </si>
  <si>
    <t>AUTONICS</t>
  </si>
  <si>
    <t>KN-2210W</t>
  </si>
  <si>
    <t>KN</t>
  </si>
  <si>
    <t>Digital Temperature Controller, TCN Series (Basic)</t>
  </si>
  <si>
    <t>TCN4S-24R</t>
  </si>
  <si>
    <t>TCN</t>
  </si>
  <si>
    <t>Digital Temperature Controller,TK Series (With analog output, 4-20mA)</t>
  </si>
  <si>
    <t>TK4S-14CN</t>
  </si>
  <si>
    <t>HOUR RUN METER</t>
  </si>
  <si>
    <t>CAMSCO</t>
  </si>
  <si>
    <t>HM-1</t>
  </si>
  <si>
    <t>16A W/P 3pin Plug</t>
  </si>
  <si>
    <t>CEE</t>
  </si>
  <si>
    <t>CEE 16A x 3 PIN PLUG(013)</t>
  </si>
  <si>
    <t>Socket</t>
  </si>
  <si>
    <t>16A W/P 3pin Socket Connector Type</t>
  </si>
  <si>
    <t>CEE 16A x 3 PIN SOCKET CONNECTOR TYPE(213)</t>
  </si>
  <si>
    <t>16A W/P 3pin Socket</t>
  </si>
  <si>
    <t>CEE 16A x 3 PIN SOCKET(113)</t>
  </si>
  <si>
    <t>32A W/P 3pin Plug</t>
  </si>
  <si>
    <t>CEE 32A x 3 PIN PLUG(023)</t>
  </si>
  <si>
    <t>32A W/P 3pin Socket Connector Type</t>
  </si>
  <si>
    <t>CEE 32A x 3 PIN SOCKET CONNECTOR TYPE (223)</t>
  </si>
  <si>
    <t>32A W/P 3pin Socket</t>
  </si>
  <si>
    <t>CEE 32A x 3 PIN SOCKET(123)</t>
  </si>
  <si>
    <t>63A W/P 3pin Plug</t>
  </si>
  <si>
    <t>CEE 63A x 3 PIN PLUG(033)</t>
  </si>
  <si>
    <t>63A W/P 3pin Socket</t>
  </si>
  <si>
    <t>CEE 63A x 3 PIN SOCKET(133)</t>
  </si>
  <si>
    <t>DIGITAL POWER METER</t>
  </si>
  <si>
    <t>CEWE</t>
  </si>
  <si>
    <t>ELITE</t>
  </si>
  <si>
    <t>Castell key lock</t>
  </si>
  <si>
    <t>Castell Lock NXA, NA1, NA8</t>
  </si>
  <si>
    <t>NX</t>
  </si>
  <si>
    <t>87A 3P CONTACTOR, AC6B, 60kVAR</t>
  </si>
  <si>
    <t>CJ19-115/10</t>
  </si>
  <si>
    <t>CJ19</t>
  </si>
  <si>
    <t>115A 3P CONTACTOR, AC6B, 70,80kVAR</t>
  </si>
  <si>
    <t>CJ19-150/10</t>
  </si>
  <si>
    <t>130A 3P CONTACTOR, AC6B, 90kVAR</t>
  </si>
  <si>
    <t>CJ19-170/10</t>
  </si>
  <si>
    <t>17A 3P CONTACTOR, AC6B, 10kVAR</t>
  </si>
  <si>
    <t>CJ19-25/11</t>
  </si>
  <si>
    <t>23A 3P CONTACTOR, AC6B, 15kVAR</t>
  </si>
  <si>
    <t>CJ19-32/11</t>
  </si>
  <si>
    <t>29A 3P CONTACTOR, AC6B, 20kVAR</t>
  </si>
  <si>
    <t>CJ19-43/11</t>
  </si>
  <si>
    <t>43A 3P CONTACTOR, AC6B, 25,30KVAR</t>
  </si>
  <si>
    <t>CJ19-63/21</t>
  </si>
  <si>
    <t>72.2 3P CONTACTOR, AC6B, 40,50kVAR</t>
  </si>
  <si>
    <t>CJ19-95/12</t>
  </si>
  <si>
    <t>Motor charging device (MD) + Closing Coil (CC)</t>
  </si>
  <si>
    <t>MD + CC NXA, NA8</t>
  </si>
  <si>
    <t>Mechanical Interlock for 2 ACBs</t>
  </si>
  <si>
    <t>Mech Lock for 2 ACB, NXA, NA8</t>
  </si>
  <si>
    <t>Mechanical Interlock for 3 ACBs</t>
  </si>
  <si>
    <t>Mech Lock for 3 ACB, NXA, NA8</t>
  </si>
  <si>
    <t>4000A 4P 100kA ACB</t>
  </si>
  <si>
    <t>NA8-4000 4000A</t>
  </si>
  <si>
    <t>4000A 4P 135kA ACB</t>
  </si>
  <si>
    <t>NA8-7500 4000A</t>
  </si>
  <si>
    <t>5000A 4P 135kA ACB</t>
  </si>
  <si>
    <t>NA8-7500 5000A</t>
  </si>
  <si>
    <t>6300A 4P 135kA ACB</t>
  </si>
  <si>
    <t>NA8-7500 6300A</t>
  </si>
  <si>
    <t>NB1</t>
  </si>
  <si>
    <t>50 ~ 63A 1P 6kA MCB</t>
  </si>
  <si>
    <t>NB1-63 1P 63A</t>
  </si>
  <si>
    <t>50 ~ 63A 2P 6kA MCB</t>
  </si>
  <si>
    <t>NB1-63 2P 63A</t>
  </si>
  <si>
    <t>50 ~ 63A 3P 6kA MCB</t>
  </si>
  <si>
    <t>NB1-63 3P 63A</t>
  </si>
  <si>
    <t>6A ~ 40A 4P 6kA MCB</t>
  </si>
  <si>
    <t>NB1-63 4P 40A</t>
  </si>
  <si>
    <t>NXB</t>
  </si>
  <si>
    <t>50 ~ 63A 4P 6kA MCB</t>
  </si>
  <si>
    <t>NB1-63 4P 63A</t>
  </si>
  <si>
    <t>6A ~ 40A 1P 10kA MCB</t>
  </si>
  <si>
    <t>NB1-63H 1P 40A</t>
  </si>
  <si>
    <t>50 ~ 63A 1P 10kA MCB</t>
  </si>
  <si>
    <t>NB1-63H 1P 63A</t>
  </si>
  <si>
    <t>6A ~ 40A 2P 10KA MCB</t>
  </si>
  <si>
    <t>NB1-63H 2P 40A</t>
  </si>
  <si>
    <t>50 ~ 63A 2P 10kA MCB</t>
  </si>
  <si>
    <t>NB1-63H 2P 63A</t>
  </si>
  <si>
    <t>6A ~ 40A 3P 10kA MCB</t>
  </si>
  <si>
    <t xml:space="preserve">NB1-63H 3P 40A </t>
  </si>
  <si>
    <t>50 ~ 63A 3P 10kA MCB</t>
  </si>
  <si>
    <t>NB1-63H 3P 63A</t>
  </si>
  <si>
    <t>6A ~ 40A 4P 10kA MCB</t>
  </si>
  <si>
    <t>NB1-63H 4P 40A</t>
  </si>
  <si>
    <t>50 ~ 63A 4P 10kA MCB</t>
  </si>
  <si>
    <t>NB1-63H 4P 63A</t>
  </si>
  <si>
    <t>25A, 40A 1P+N 10mA RCBO</t>
  </si>
  <si>
    <t>NBH8LE</t>
  </si>
  <si>
    <t>NBH</t>
  </si>
  <si>
    <t>32A 2P ISOLATOR</t>
  </si>
  <si>
    <t>NH2-2-32</t>
  </si>
  <si>
    <t>ISOLATOR</t>
  </si>
  <si>
    <t>NH2</t>
  </si>
  <si>
    <t>100A 3P ISOLATOR</t>
  </si>
  <si>
    <t>NH2-3-100</t>
  </si>
  <si>
    <t>32A 3P ISOLATOR</t>
  </si>
  <si>
    <t>NH2-3-32</t>
  </si>
  <si>
    <t>NL1-100 100A 0.03(30mA) 2P ELCB</t>
  </si>
  <si>
    <t>NL1</t>
  </si>
  <si>
    <t>NL1-100 100A 0.1(100mA) 2P ELCB</t>
  </si>
  <si>
    <t>NL1-100 100A 0.1(100mA) 4P ELCB</t>
  </si>
  <si>
    <t>NL1-63 40A 0.03(30mA) 2P ELCB</t>
  </si>
  <si>
    <t>NL1-63 40A 0.03(30mA) 4P ELCB</t>
  </si>
  <si>
    <t>NL1-63 40A 0.3(300mA) 2P ELCB</t>
  </si>
  <si>
    <t>NL1-63 63A 0.03(30mA) 4P ELCB</t>
  </si>
  <si>
    <t>NL1-63 63A 0.1(100mA) 2P ELCB</t>
  </si>
  <si>
    <t>NL1-63 63A 0.1(100mA) 4P ELCB</t>
  </si>
  <si>
    <t>NL1-63 63A 0.3(300mA) 2P ELCB</t>
  </si>
  <si>
    <t>Shunt Trip 230VAC - NM8-125</t>
  </si>
  <si>
    <t>Shunt Trip 230VAC - NM8-1600</t>
  </si>
  <si>
    <t>Shunt Trip 230VAC - NM8-250</t>
  </si>
  <si>
    <t>Shunt Trip 230VAC - NM8-400</t>
  </si>
  <si>
    <t>Shunt Trip 230VAC - NM8-630</t>
  </si>
  <si>
    <t>Shunt Trip 230VAC - NM8-800</t>
  </si>
  <si>
    <t>NM8N-125S 100A</t>
  </si>
  <si>
    <t>NM8N-125S 125A</t>
  </si>
  <si>
    <t>NM8N-125S 20A</t>
  </si>
  <si>
    <t>NM8N-125S 25A</t>
  </si>
  <si>
    <t>NM8N-125S 32A</t>
  </si>
  <si>
    <t>NM8N-125S 40A</t>
  </si>
  <si>
    <t>NM8N-125S 63A</t>
  </si>
  <si>
    <t>NM8N-125S 80A</t>
  </si>
  <si>
    <t>NM8N-125S/4C 100A</t>
  </si>
  <si>
    <t>NM8N-125S/4C 125A</t>
  </si>
  <si>
    <t>NM8N-125S/4C 20A</t>
  </si>
  <si>
    <t>NM8N-125S/4C 25A</t>
  </si>
  <si>
    <t>NM8N-125S/4C 32A</t>
  </si>
  <si>
    <t>NM8N-125S/4C 40A</t>
  </si>
  <si>
    <t>NM8N-125S/4C 50A</t>
  </si>
  <si>
    <t>NM8N-125S/4C 63A</t>
  </si>
  <si>
    <t>NM8N-125S/4C 80A</t>
  </si>
  <si>
    <t>NM8N-1600S 1000A</t>
  </si>
  <si>
    <t>NM8N-1600S 1250A</t>
  </si>
  <si>
    <t>NM8N-1600S 1600A</t>
  </si>
  <si>
    <t>NM8N-1600S/4C 1000A</t>
  </si>
  <si>
    <t>NM8N-1600S/4C 1250A</t>
  </si>
  <si>
    <t>NM8N-1600S/4C 1600A</t>
  </si>
  <si>
    <t>NM8N-250S 160A</t>
  </si>
  <si>
    <t>NM8N-250S 200A</t>
  </si>
  <si>
    <t>NM8N-250S 250A</t>
  </si>
  <si>
    <t>NM8N-250S/4C 160A</t>
  </si>
  <si>
    <t>NM8N-250S/4C 200A</t>
  </si>
  <si>
    <t>NM8N-250S/4C 250A</t>
  </si>
  <si>
    <t>315A 3P 50kA MCCB</t>
  </si>
  <si>
    <t>NM8N-400S 315A</t>
  </si>
  <si>
    <t>NM8N-400S 400A</t>
  </si>
  <si>
    <t>315A 4P 50kA MCCB</t>
  </si>
  <si>
    <t>NM8N-400S/4C 315A</t>
  </si>
  <si>
    <t>NM8N-400S/4C 400A</t>
  </si>
  <si>
    <t>NM8N-630S 500A</t>
  </si>
  <si>
    <t>NM8N-630S/4C 500A</t>
  </si>
  <si>
    <t>NM8N-800S 630A</t>
  </si>
  <si>
    <t>NM8N-800S 800A</t>
  </si>
  <si>
    <t>NM8N-800S/4C 630A</t>
  </si>
  <si>
    <t>NM8N-800S/4C 800A</t>
  </si>
  <si>
    <t>630A 3P 50kA ACB</t>
  </si>
  <si>
    <t>NXA16H06 3P</t>
  </si>
  <si>
    <t>630A 4P 50kA ACB</t>
  </si>
  <si>
    <t>NXA16H06 4P</t>
  </si>
  <si>
    <t>800A 3P 50kA ACB</t>
  </si>
  <si>
    <t>NXA16H08 3P</t>
  </si>
  <si>
    <t>800A 4P 50kA ACB</t>
  </si>
  <si>
    <t>NXA16H08 4P</t>
  </si>
  <si>
    <t>1000A 3P 50kA ACB</t>
  </si>
  <si>
    <t>NXA16H10 3P</t>
  </si>
  <si>
    <t>1000A 4P 50kA ACB</t>
  </si>
  <si>
    <t>NXA16H10 4P</t>
  </si>
  <si>
    <t>1250A 3P 50kA ACB</t>
  </si>
  <si>
    <t>NXA16H12 3P</t>
  </si>
  <si>
    <t>1250A 4P 50kA ACB</t>
  </si>
  <si>
    <t>NXA16H12 4P</t>
  </si>
  <si>
    <t>1600A 3P 50kA ACB</t>
  </si>
  <si>
    <t>NXA16H16 3P</t>
  </si>
  <si>
    <t>1600A 4P 50kA ACB</t>
  </si>
  <si>
    <t>NXA16H16 4P</t>
  </si>
  <si>
    <t>630A 3P 65kA ACB</t>
  </si>
  <si>
    <t>NXA20S06 3P</t>
  </si>
  <si>
    <t>630A 4P 65kA ACB</t>
  </si>
  <si>
    <t>NXA20S06 4P</t>
  </si>
  <si>
    <t>800A 3P 65kA ACB</t>
  </si>
  <si>
    <t>NXA20S08 3P</t>
  </si>
  <si>
    <t>800A 4P 65kA ACB</t>
  </si>
  <si>
    <t>NXA20S08 4P</t>
  </si>
  <si>
    <t>1000A 3P 65kA ACB</t>
  </si>
  <si>
    <t>NXA20S10 3P</t>
  </si>
  <si>
    <t>1000A 4P 65kA ACB</t>
  </si>
  <si>
    <t>NXA20S10 4P</t>
  </si>
  <si>
    <t>1250A 3P 65kA ACB</t>
  </si>
  <si>
    <t>NXA20S12 3P</t>
  </si>
  <si>
    <t>1250A 4P 65kA ACB</t>
  </si>
  <si>
    <t>NXA20S12 4P</t>
  </si>
  <si>
    <t>1600A 3P 65kA ACB</t>
  </si>
  <si>
    <t>NXA20S16 3P</t>
  </si>
  <si>
    <t>1600A 4P 65kA ACB</t>
  </si>
  <si>
    <t>NXA20S16 4P</t>
  </si>
  <si>
    <t>2000A 3P 65kA ACB</t>
  </si>
  <si>
    <t>NXA20S20 3P</t>
  </si>
  <si>
    <t>2000A 4P 65kA ACB</t>
  </si>
  <si>
    <t>NXA20S20 4P</t>
  </si>
  <si>
    <t>2500A 3P 80kA ACB</t>
  </si>
  <si>
    <t>NXA32S25 3P</t>
  </si>
  <si>
    <t>2500A 4P 80kA ACB</t>
  </si>
  <si>
    <t>NXA32S25 4P</t>
  </si>
  <si>
    <t>3200A 3P 80kA ACB</t>
  </si>
  <si>
    <t>NXA32S32 3P</t>
  </si>
  <si>
    <t>3200A 4P 80kA ACB</t>
  </si>
  <si>
    <t>NXA32S32 4P</t>
  </si>
  <si>
    <t>4000A 3P 85kA ACB</t>
  </si>
  <si>
    <t>NXA40S40 3P</t>
  </si>
  <si>
    <t>4000A 4P 85kA ACB</t>
  </si>
  <si>
    <t>NXA40S40 4P</t>
  </si>
  <si>
    <t>5000A 3P 120kA ACB</t>
  </si>
  <si>
    <t>NXA63H50</t>
  </si>
  <si>
    <t>6300A 3P 120kA ACB</t>
  </si>
  <si>
    <t>NXA63H63</t>
  </si>
  <si>
    <t>NXB 1P 40A</t>
  </si>
  <si>
    <t>50, 63A 1P 6kA MCB</t>
  </si>
  <si>
    <t>NXB 1P 63A</t>
  </si>
  <si>
    <t>NXB 2P 40A</t>
  </si>
  <si>
    <t>50, 63A 2P 6kA MCB</t>
  </si>
  <si>
    <t>NXB 2P 63A</t>
  </si>
  <si>
    <t>50, 63A 3P 6kA MCB</t>
  </si>
  <si>
    <t>NXB 3P 63A</t>
  </si>
  <si>
    <t>100A 1P 10kA MCB</t>
  </si>
  <si>
    <t>NXB-125 1P 100A</t>
  </si>
  <si>
    <t>125A 1P 10kA MCB</t>
  </si>
  <si>
    <t>NXB-125 1P 125A</t>
  </si>
  <si>
    <t>80A 1P 10kA MCB</t>
  </si>
  <si>
    <t>NXB-125 1P 80A</t>
  </si>
  <si>
    <t>100A 2P 10kA MCB</t>
  </si>
  <si>
    <t>NXB-125 2P 100A</t>
  </si>
  <si>
    <t>125A 2P 10kA MCB</t>
  </si>
  <si>
    <t>NXB-125 2P 125A</t>
  </si>
  <si>
    <t>80A 2P 10kA MCB</t>
  </si>
  <si>
    <t>NXB-125 2P 80A</t>
  </si>
  <si>
    <t>100A 3P 10kA MCB</t>
  </si>
  <si>
    <t>NXB-125 3P 100A</t>
  </si>
  <si>
    <t>125A 3P 10kA MCB</t>
  </si>
  <si>
    <t>NXB-125 3P 125A</t>
  </si>
  <si>
    <t>80A 3P 10kA MCB</t>
  </si>
  <si>
    <t>NXB-125 3P 80A</t>
  </si>
  <si>
    <t>NXC</t>
  </si>
  <si>
    <t>100A 3P CONTACTOR</t>
  </si>
  <si>
    <t>NXC-100</t>
  </si>
  <si>
    <t>12A 3P CONTACTOR</t>
  </si>
  <si>
    <t>NXC-12</t>
  </si>
  <si>
    <t>120A 3P CONTACTOR</t>
  </si>
  <si>
    <t>NXC-120</t>
  </si>
  <si>
    <t>160A 3P CONTACTOR</t>
  </si>
  <si>
    <t>NXC-160</t>
  </si>
  <si>
    <t>18A 3P CONTACTOR</t>
  </si>
  <si>
    <t>NXC-18</t>
  </si>
  <si>
    <t>185A 3P CONTACTOR</t>
  </si>
  <si>
    <t>NXC-185</t>
  </si>
  <si>
    <t>225A 3P CONTACTOR</t>
  </si>
  <si>
    <t>NXC-225</t>
  </si>
  <si>
    <t>25A 3P CONTACTOR</t>
  </si>
  <si>
    <t>NXC-25</t>
  </si>
  <si>
    <t>265A 3P CONTACTOR</t>
  </si>
  <si>
    <t>NXC-265</t>
  </si>
  <si>
    <t>32A 3P CONTACTOR</t>
  </si>
  <si>
    <t>NXC-32</t>
  </si>
  <si>
    <t>330A 3P CONTACTOR</t>
  </si>
  <si>
    <t>NXC-330</t>
  </si>
  <si>
    <t>400A 3P CONTACTOR</t>
  </si>
  <si>
    <t>NXC-400</t>
  </si>
  <si>
    <t>50A 3P CONTACTOR</t>
  </si>
  <si>
    <t>NXC-50</t>
  </si>
  <si>
    <t>500A 3P CONTACTOR</t>
  </si>
  <si>
    <t>NXC-500</t>
  </si>
  <si>
    <t>630A 3P CONTACTOR</t>
  </si>
  <si>
    <t>NXC-630</t>
  </si>
  <si>
    <t>65A 3P CONTACTOR</t>
  </si>
  <si>
    <t>NXC-65</t>
  </si>
  <si>
    <t>85A 3P CONTACTOR</t>
  </si>
  <si>
    <t>NXC-85</t>
  </si>
  <si>
    <t>NXM</t>
  </si>
  <si>
    <t>NXM-125F 3P 25A</t>
  </si>
  <si>
    <t>NXM-125F 3P 32A</t>
  </si>
  <si>
    <t>NXM-125F 3P 50A</t>
  </si>
  <si>
    <t>NXM-125F 3P 63A</t>
  </si>
  <si>
    <t>NXM-125F 3P 80A</t>
  </si>
  <si>
    <t>Shunt Trip 230V AC, NXM-125-M1</t>
  </si>
  <si>
    <t>NXM-125-M1 SHT</t>
  </si>
  <si>
    <t>100A 2P 36kA MCCB</t>
  </si>
  <si>
    <t>NXM-125S 2P 100A</t>
  </si>
  <si>
    <t>25A 2P 36kA MCCB</t>
  </si>
  <si>
    <t>NXM-125S 2P 25A</t>
  </si>
  <si>
    <t>32A 2P 36kA MCCB</t>
  </si>
  <si>
    <t>NXM-125S 2P 32A</t>
  </si>
  <si>
    <t>50A 2P 36kA MCCB</t>
  </si>
  <si>
    <t>NXM-125S 2P 50A</t>
  </si>
  <si>
    <t>63A 2P 36kA MCCB</t>
  </si>
  <si>
    <t>NXM-125S 2P 63A</t>
  </si>
  <si>
    <t>80A 2P 36kA MCCB</t>
  </si>
  <si>
    <t>NXM-125S 2P 80A</t>
  </si>
  <si>
    <t>Shunt Trip 230V AC, NXM-1600-M7</t>
  </si>
  <si>
    <t>NXM-1600-M7 SHT</t>
  </si>
  <si>
    <t xml:space="preserve">MCCB </t>
  </si>
  <si>
    <t>NXM-160E 3P 100A</t>
  </si>
  <si>
    <t>NXM-160E 3P 125A</t>
  </si>
  <si>
    <t>NXM-160E 3P 25A</t>
  </si>
  <si>
    <t>NXM-160E 3P 32A</t>
  </si>
  <si>
    <t>NXM-160E 3P 40A</t>
  </si>
  <si>
    <t>NXM-160E 3P 50A</t>
  </si>
  <si>
    <t>NXM-160E 3P 63A</t>
  </si>
  <si>
    <t>NXM-160E 3P 80A</t>
  </si>
  <si>
    <t>NXM-160F 3P 125A</t>
  </si>
  <si>
    <t>Shunt Trip 230V AC, NXM-160-M2</t>
  </si>
  <si>
    <t>NXM-160-M2 SHT</t>
  </si>
  <si>
    <t>NXM-160S 2P 100A</t>
  </si>
  <si>
    <t>NXM-160S 2P 25A</t>
  </si>
  <si>
    <t>NXM-160S 2P 32A</t>
  </si>
  <si>
    <t>NXM-160S 2P 40A</t>
  </si>
  <si>
    <t>NXM-160S 2P 50A</t>
  </si>
  <si>
    <t>NXM-160S 2P 63A</t>
  </si>
  <si>
    <t>NXM-160S 2P 80A</t>
  </si>
  <si>
    <t>NXM-250F 3P 160A</t>
  </si>
  <si>
    <t>NXM-250F 3P 200A</t>
  </si>
  <si>
    <t>NXM-250F 3P 250A</t>
  </si>
  <si>
    <t>Auxiliary + Alarm, NXM-250-M1</t>
  </si>
  <si>
    <t>NXM-250-M3 AUX+ALRM</t>
  </si>
  <si>
    <t>Shunt Trip 230V AC, NXM-250-M3</t>
  </si>
  <si>
    <t>NXM-250-M3 SHT</t>
  </si>
  <si>
    <t>Shunt Trip 230V AC, NXM-400/630-M4</t>
  </si>
  <si>
    <t>NXM-400/630-M4 SHT</t>
  </si>
  <si>
    <t>NXM-400F 3P 320A</t>
  </si>
  <si>
    <t>Auxiliary + Alarm, NXM-63-M1, NXM-125-M1, NXM-160-M2</t>
  </si>
  <si>
    <t>NXM-63/125/160-M1/M2 AUX+ALRM</t>
  </si>
  <si>
    <t>NXM-630F 3P 400A</t>
  </si>
  <si>
    <t>NXM-630F 3P 500A</t>
  </si>
  <si>
    <t>NXM-630F 3P 630A</t>
  </si>
  <si>
    <t>NXM-800F 3P 800A</t>
  </si>
  <si>
    <t>Shunt Trip 230V AC, NXM-800-M5</t>
  </si>
  <si>
    <t>NXM-800-M5 SHT</t>
  </si>
  <si>
    <t>THERMOL OVERLOAD RELAY 0.1… 0.16A</t>
  </si>
  <si>
    <t>NXR-25 0.1…0.16A</t>
  </si>
  <si>
    <t>THERMOL OVERLOAD RELAY 0.16…0.25A</t>
  </si>
  <si>
    <t>NXR-25 0.16…0.25A</t>
  </si>
  <si>
    <t>THERMOL OVERLOAD RELAY 0.25…0.4A</t>
  </si>
  <si>
    <t>NXR-25 0.25…0.4A</t>
  </si>
  <si>
    <t>THERMOL OVERLOAD RELAY 0.4…0.63A</t>
  </si>
  <si>
    <t>NXR-25 0.4…0.63A</t>
  </si>
  <si>
    <t>THERMOL OVERLOAD RELAY 0.63…1A</t>
  </si>
  <si>
    <t>NXR-25 0.63…1A</t>
  </si>
  <si>
    <t>THERMOL OVERLOAD RELAY 1.6…2.5A</t>
  </si>
  <si>
    <t>NXR-25 1.6…2.5A</t>
  </si>
  <si>
    <t>THERMOL OVERLOAD RELAY 1…1.6A</t>
  </si>
  <si>
    <t>NXR-25 1…1.6A</t>
  </si>
  <si>
    <t>THERMOL OVERLOAD RELAY 12…18A</t>
  </si>
  <si>
    <t>NXR-25 12…18A</t>
  </si>
  <si>
    <t>THERMOL OVERLOAD RELAY 17…25A</t>
  </si>
  <si>
    <t>NXR-25 17…25A</t>
  </si>
  <si>
    <t>THERMOL OVERLOAD RELAY 2.5…4A</t>
  </si>
  <si>
    <t>NXR-25 2.5…4A</t>
  </si>
  <si>
    <t>THERMOL OVERLOAD RELAY 4…6A</t>
  </si>
  <si>
    <t>NXR-25 4…6A</t>
  </si>
  <si>
    <t>THERMOL OVERLOAD RELAY 5.5…8A</t>
  </si>
  <si>
    <t>NXR-25 5.5…8A</t>
  </si>
  <si>
    <t>THERMOL OVERLOAD RELAY 7…10A</t>
  </si>
  <si>
    <t>NXR-25 7…10A</t>
  </si>
  <si>
    <t>THERMOL OVERLOAD RELAY 9…13A</t>
  </si>
  <si>
    <t>NXR-25 9…13A</t>
  </si>
  <si>
    <t>THERMOL OVERLOAD RELAY 23…32A</t>
  </si>
  <si>
    <t>NXR-36 23…32A</t>
  </si>
  <si>
    <t>THERMOL OVERLOAD RELAY 30…38A</t>
  </si>
  <si>
    <t>NXR-36 30…38A</t>
  </si>
  <si>
    <t>THERMOL OVERLOAD RELAY 30…40A</t>
  </si>
  <si>
    <t>NXR-93 30…40A</t>
  </si>
  <si>
    <t>THERMOL OVERLOAD RELAY 37…50A</t>
  </si>
  <si>
    <t>NXR-93 37…50A</t>
  </si>
  <si>
    <t>THERMOL OVERLOAD RELAY 48…65A</t>
  </si>
  <si>
    <t>NXR-93 48…65A</t>
  </si>
  <si>
    <t>THERMOL OVERLOAD RELAY 55…70A</t>
  </si>
  <si>
    <t>NXR-93 55…70A</t>
  </si>
  <si>
    <t>THERMOL OVERLOAD RELAY 63…80A</t>
  </si>
  <si>
    <t>NXR-93 63…80A</t>
  </si>
  <si>
    <t>THERMOL OVERLOAD RELAY 80…100A</t>
  </si>
  <si>
    <t>NXR-93 80…100A</t>
  </si>
  <si>
    <t>Under voltage trip device (UVT)</t>
  </si>
  <si>
    <t>UVT NXA, NA1, NA8</t>
  </si>
  <si>
    <t>Floatless relay</t>
  </si>
  <si>
    <t>CKc</t>
  </si>
  <si>
    <t>C61F-GP AC240</t>
  </si>
  <si>
    <t>Danfoss VLT HVAC Drive FC102 Series, 11kW</t>
  </si>
  <si>
    <t>Danfoss</t>
  </si>
  <si>
    <t>FC102 11kW</t>
  </si>
  <si>
    <t>VSD</t>
  </si>
  <si>
    <t>VLT HVAC</t>
  </si>
  <si>
    <t>Danfoss LCP Mounting Kit</t>
  </si>
  <si>
    <t>FC102 13081117</t>
  </si>
  <si>
    <t>VSd</t>
  </si>
  <si>
    <t>Danfoss VLT HVAC Drive FC102 Series, 15kW</t>
  </si>
  <si>
    <t>FC102 15kW</t>
  </si>
  <si>
    <t>Danfoss VLT HVAC Drive FC102 Series, 18.5kW</t>
  </si>
  <si>
    <t>FC102 18.5kW</t>
  </si>
  <si>
    <t>Danfoss VLT HVAC Drive FC102 Series, 22kW</t>
  </si>
  <si>
    <t>FC102 22kW</t>
  </si>
  <si>
    <t>Danfoss VLT HVAC Drive FC102 Series, 30kW</t>
  </si>
  <si>
    <t>FC102 30kW</t>
  </si>
  <si>
    <t>DEIF Compact Genset Controller, CGC 413</t>
  </si>
  <si>
    <t>DEIF</t>
  </si>
  <si>
    <t>CGC413</t>
  </si>
  <si>
    <t>Controller</t>
  </si>
  <si>
    <t>Earth Leakage Relay (Flush Mount)</t>
  </si>
  <si>
    <t>Delab</t>
  </si>
  <si>
    <t>DP-10</t>
  </si>
  <si>
    <t>Earth Fault Relay DTL</t>
  </si>
  <si>
    <t>DP-21</t>
  </si>
  <si>
    <t>Overcurrent Relay DTL &amp; LTI (Long Time Inverse)</t>
  </si>
  <si>
    <t>DP-23</t>
  </si>
  <si>
    <t>Earth Fault Relay IDMT</t>
  </si>
  <si>
    <t>DP-31</t>
  </si>
  <si>
    <t>Overcurrent Relay IDMT</t>
  </si>
  <si>
    <t>DP-33</t>
  </si>
  <si>
    <t>Combined Over Current &amp; Earth Fault Relay IDMT</t>
  </si>
  <si>
    <t>DP-34</t>
  </si>
  <si>
    <t>DELAB</t>
  </si>
  <si>
    <t>PQM-1000s</t>
  </si>
  <si>
    <t>PQM-1000s-RS485</t>
  </si>
  <si>
    <t>Normal Core ZCT - 100mm</t>
  </si>
  <si>
    <t>ZCT</t>
  </si>
  <si>
    <t>Normal Core ZCT - 150mm</t>
  </si>
  <si>
    <t>Normal Core ZCT - 200mm</t>
  </si>
  <si>
    <t>Normal Core ZCT - 30mm</t>
  </si>
  <si>
    <t>Normal Core ZCT - 45mm</t>
  </si>
  <si>
    <t>Normal Core ZCT - 65mm</t>
  </si>
  <si>
    <t>Normal Core ZCT - 80mm</t>
  </si>
  <si>
    <t>100KA 3P+N SURGE ARRESTOR, CLASS 2</t>
  </si>
  <si>
    <t>DUVAL</t>
  </si>
  <si>
    <t>D100B-385/3T+NPE</t>
  </si>
  <si>
    <t>SPD</t>
  </si>
  <si>
    <t>100KA 3P FULL MODE SURGE ARRESTOR, CLASS 2</t>
  </si>
  <si>
    <t>D100B-385/7T</t>
  </si>
  <si>
    <t>150KA 3P+N SURGE ARRESTOR, CLASS 1</t>
  </si>
  <si>
    <t>D150B-385/3T+NPE</t>
  </si>
  <si>
    <t>150KA 3P FULL MODE SURGE ARRESTOR, CLASS 1</t>
  </si>
  <si>
    <t>D150B-385/7T</t>
  </si>
  <si>
    <t>25KA 3P FULL MODE SURGE ARRESTOR, CLASS 3</t>
  </si>
  <si>
    <t>D25C-275/7T</t>
  </si>
  <si>
    <t>25KA 1+1 SURGE ARRESTOR, CLASS 3</t>
  </si>
  <si>
    <t>D25D-275/1+NPE</t>
  </si>
  <si>
    <t>D25D-275/1T+NPE</t>
  </si>
  <si>
    <t>25KA 3P+N SURGE ARRESTOR, CLASS 3</t>
  </si>
  <si>
    <t>25KA 1P FULL MODE SURGE ARRESTOR, CLASS 3</t>
  </si>
  <si>
    <t>D25D-275/3T</t>
  </si>
  <si>
    <t>D25D-275/3T+NPE</t>
  </si>
  <si>
    <t>40kA 1+1 SURGE ARRESTOR, CLASS 2</t>
  </si>
  <si>
    <t>D40C-275/1+NPE</t>
  </si>
  <si>
    <t>D40C-275/1T+NPE</t>
  </si>
  <si>
    <t>40KA 3P+N SURGE ARRESTOR, CLASS 2</t>
  </si>
  <si>
    <t>40KA 1P FULL MODE SURGE ARRESTOR, CLASS 2</t>
  </si>
  <si>
    <t>D40C-275/3T</t>
  </si>
  <si>
    <t>40KA 3P FULL MODE SURGE ARRESTOR, CLASS 2</t>
  </si>
  <si>
    <t>D40C-275/7T</t>
  </si>
  <si>
    <t>65KA 1+1 SURGE ARRESTOR, CLASS 2</t>
  </si>
  <si>
    <t>65KA 3P+N SURGE ARRESTOR, CLASS 2</t>
  </si>
  <si>
    <t>65KA 3P FULL MODE SURGE ARRESTOR, CLASS 2</t>
  </si>
  <si>
    <t>D80B-275/7T</t>
  </si>
  <si>
    <t>100kVAR (4x25) 525V CAP BANK</t>
  </si>
  <si>
    <t>ELCO</t>
  </si>
  <si>
    <t>205 series 100kVAR</t>
  </si>
  <si>
    <t>Cap. Bank</t>
  </si>
  <si>
    <t>10kVAR 525V CAP BANK</t>
  </si>
  <si>
    <t>205 series 10kVAR</t>
  </si>
  <si>
    <t>120kVAR (4x30) 525V CAP BANK</t>
  </si>
  <si>
    <t>205 series 120kVAR</t>
  </si>
  <si>
    <t>15kVAR 525V CAP BANK</t>
  </si>
  <si>
    <t>205 series 15kVAR</t>
  </si>
  <si>
    <t>20kVAR 525V CAP BANK</t>
  </si>
  <si>
    <t>205 series 20kVAR</t>
  </si>
  <si>
    <t>25kVAR 525V CAP BANK</t>
  </si>
  <si>
    <t>205 series 25kVAR</t>
  </si>
  <si>
    <t>30KVAR 525V CAP BANK</t>
  </si>
  <si>
    <t>205 series 30kVAR</t>
  </si>
  <si>
    <t>40kVAR (2x20) 525V CAP BANK</t>
  </si>
  <si>
    <t>205 series 40kVAR</t>
  </si>
  <si>
    <t>50kVAR (2x25) 525V CAP BANK</t>
  </si>
  <si>
    <t>205 series 50kVAR</t>
  </si>
  <si>
    <t>5kVAR 525V CAP BANK</t>
  </si>
  <si>
    <t>205 series 5kVAR</t>
  </si>
  <si>
    <t>60kVAR (2x30) 525V CAP BANK</t>
  </si>
  <si>
    <t>205 series 60kVAR</t>
  </si>
  <si>
    <t>75kVAR (3x25) 525V CAP BANK</t>
  </si>
  <si>
    <t>205 series 75kVAR</t>
  </si>
  <si>
    <t>80kVAR (4x20) 525V CAP BANK</t>
  </si>
  <si>
    <t>205 series 80kVAR</t>
  </si>
  <si>
    <t>100kVAR (4x25) 440V CAP BANK</t>
  </si>
  <si>
    <t>700 series 100kVAR</t>
  </si>
  <si>
    <t>10kVAR 440V CAP BANK</t>
  </si>
  <si>
    <t>700 series 10kVAR</t>
  </si>
  <si>
    <t>120kVAR (4x30) 440V CAP BANK</t>
  </si>
  <si>
    <t>700 series 120kVAR</t>
  </si>
  <si>
    <t>15kVAR 440V CAP BANK</t>
  </si>
  <si>
    <t>700 series 15kVAR</t>
  </si>
  <si>
    <t>20kVAR 440V CAP BANK</t>
  </si>
  <si>
    <t>700 series 20kVAR</t>
  </si>
  <si>
    <t>25kVAR 440V CAP BANK</t>
  </si>
  <si>
    <t>700 series 25kVAR</t>
  </si>
  <si>
    <t>30KVAR 440V CAP BANK</t>
  </si>
  <si>
    <t>700 series 30kVAR</t>
  </si>
  <si>
    <t>40kVAR (2x20) 440V CAP BANK</t>
  </si>
  <si>
    <t>700 series 40kVAR</t>
  </si>
  <si>
    <t>50kVAR (2x25) 440V CAP BANK</t>
  </si>
  <si>
    <t>700 series 50kVAR</t>
  </si>
  <si>
    <t>5kVAR 440V CAP BANK</t>
  </si>
  <si>
    <t>700 series 5kVAR</t>
  </si>
  <si>
    <t>60kVAR (2x30) 440V CAP BANK</t>
  </si>
  <si>
    <t>700 series 60kVAR</t>
  </si>
  <si>
    <t>75kVAR (3x25) 440V CAP BANK</t>
  </si>
  <si>
    <t>700 series 75kVAR</t>
  </si>
  <si>
    <t>80kVAR (4x20) 440V CAP BANK</t>
  </si>
  <si>
    <t>700 series 80kVAR</t>
  </si>
  <si>
    <t>100kVAR 440V CAP BANK</t>
  </si>
  <si>
    <t>ELECTRONICON</t>
  </si>
  <si>
    <t>mkp 440V 100kVAR</t>
  </si>
  <si>
    <t>10KVAR 440V CAP BANK</t>
  </si>
  <si>
    <t>mkp 440V 10kVAR</t>
  </si>
  <si>
    <t>12.5kVAR 440V CAP BANK</t>
  </si>
  <si>
    <t>mkp 440V 12.5kVAR</t>
  </si>
  <si>
    <t>120kVAR 440V CAP BANK</t>
  </si>
  <si>
    <t>mkp 440V 120kVAR</t>
  </si>
  <si>
    <t>150kVAR 440V CAP BANK</t>
  </si>
  <si>
    <t>mkp 440V 150kVAR</t>
  </si>
  <si>
    <t>mkp 440V 15kVAR</t>
  </si>
  <si>
    <t>160kVAR 440V CAP BANK</t>
  </si>
  <si>
    <t>mkp 440V 160kVAR</t>
  </si>
  <si>
    <t>2.5kAR 440V CAP BANK</t>
  </si>
  <si>
    <t>mkp 440V 2.5kVAR</t>
  </si>
  <si>
    <t>200kVAR 440V CAP BANK</t>
  </si>
  <si>
    <t>mkp 440V 200kVAR</t>
  </si>
  <si>
    <t>20KVAR 440V CAP BANK</t>
  </si>
  <si>
    <t>mkp 440V 20kVAR</t>
  </si>
  <si>
    <t>mkp 440V 25kVAR</t>
  </si>
  <si>
    <t>mkp 440V 30kVAR</t>
  </si>
  <si>
    <t>40kVAR 440V CAP BANK</t>
  </si>
  <si>
    <t>mkp 440V 40kVAR</t>
  </si>
  <si>
    <t>50KVAR 440V CAP BANK</t>
  </si>
  <si>
    <t>mkp 440V 50kVAR</t>
  </si>
  <si>
    <t>5KVAR 440V CAP BANK</t>
  </si>
  <si>
    <t>mkp 440V 5kVAR</t>
  </si>
  <si>
    <t>60kVAR 440V CAP BANK</t>
  </si>
  <si>
    <t>mkp 440V 60kVAR</t>
  </si>
  <si>
    <t>75kVAR 440V CAP BANK</t>
  </si>
  <si>
    <t>mkp 440V 75kVAR</t>
  </si>
  <si>
    <t>80kVAR 440V CAP BANK</t>
  </si>
  <si>
    <t>mkp 440V 80kVAR</t>
  </si>
  <si>
    <t>100kVAR 525V CAP BANK</t>
  </si>
  <si>
    <t>mkpg 525V 100kVAR</t>
  </si>
  <si>
    <t>mkpg 525V 10kVAR</t>
  </si>
  <si>
    <t>12.5kVAR 525V CAP BANK</t>
  </si>
  <si>
    <t>mkpg 525V 12.5kVAR</t>
  </si>
  <si>
    <t>120kVAR 525V CAP BANK</t>
  </si>
  <si>
    <t>mkpg 525V 120kVAR</t>
  </si>
  <si>
    <t>150kVAR 525V CAP BANK</t>
  </si>
  <si>
    <t>mkpg 525V 150kVAR</t>
  </si>
  <si>
    <t>mkpg 525V 15kVAR</t>
  </si>
  <si>
    <t>160kVAR 525V CAP BANK</t>
  </si>
  <si>
    <t>mkpg 525V 160kVAR</t>
  </si>
  <si>
    <t>2.5kVAR 525V CAP BANK</t>
  </si>
  <si>
    <t>mkpg 525V 2.5kVAR</t>
  </si>
  <si>
    <t>200kVAR 525V CAP BANK</t>
  </si>
  <si>
    <t>mkpg 525V 200kVAR</t>
  </si>
  <si>
    <t>mkpg 525V 20kVAR</t>
  </si>
  <si>
    <t>mkpg 525V 25kVAR</t>
  </si>
  <si>
    <t>mkpg 525V 30kVAR</t>
  </si>
  <si>
    <t>40kVAR 525V CAP BANK</t>
  </si>
  <si>
    <t>mkpg 525V 40kVAR</t>
  </si>
  <si>
    <t>50KVAR 525V CAP BANK</t>
  </si>
  <si>
    <t>mkpg 525V 50kVAR</t>
  </si>
  <si>
    <t>mkpg 525V 5kVAR</t>
  </si>
  <si>
    <t>60kVAR 525V CAP BANK</t>
  </si>
  <si>
    <t>mkpg 525V 60kVAR</t>
  </si>
  <si>
    <t>75kVAR 525V CAP BANK</t>
  </si>
  <si>
    <t>mkpg 525V 75kVAR</t>
  </si>
  <si>
    <t>80kVAR 525V CAP BANK</t>
  </si>
  <si>
    <t>mkpg 525V 80kVAR</t>
  </si>
  <si>
    <t>440V DeltaCap MKD 10.4kVAR</t>
  </si>
  <si>
    <t>EPCOS</t>
  </si>
  <si>
    <t>440V DeltaCap MKD 15kVAR</t>
  </si>
  <si>
    <t>440V DeltaCap MKD 20.8kVAR</t>
  </si>
  <si>
    <t>440V DeltaCap MKD 25kVAR</t>
  </si>
  <si>
    <t>440V DeltaCap MKD 30kVAR</t>
  </si>
  <si>
    <t>440V PhiCap MKP 2.5kVAR</t>
  </si>
  <si>
    <t>440V PhiCap MKP 5kVAR</t>
  </si>
  <si>
    <t>525V DeltaCap MKD 10.4kVAR</t>
  </si>
  <si>
    <t>525V DeltaCap MKD 16.7kVAR</t>
  </si>
  <si>
    <t>525V DeltaCap MKD 15kVAR</t>
  </si>
  <si>
    <t>525V DeltaCap MKD 20.8kVAR</t>
  </si>
  <si>
    <t>525V DeltaCap MKD 25kVAR</t>
  </si>
  <si>
    <t>525V DeltaCap MKD 30kVAR</t>
  </si>
  <si>
    <t>525V PhiCap MKP 5kVAR</t>
  </si>
  <si>
    <t>100kVAR 7% Reactor, Aluminium Winding</t>
  </si>
  <si>
    <t>ESTA</t>
  </si>
  <si>
    <t>100kVAR 7% Reactor, ALU</t>
  </si>
  <si>
    <t>Reactor</t>
  </si>
  <si>
    <t>100kVAR 7% Reactor, Copper Winding</t>
  </si>
  <si>
    <t>100kVAR 7% Reactor, CU</t>
  </si>
  <si>
    <t>10kVAR 7% Reactor, Aluminium Winding</t>
  </si>
  <si>
    <t>10kVAR 7% Reactor, ALU</t>
  </si>
  <si>
    <t>10kVAR 7% Reactor, Copper Winding</t>
  </si>
  <si>
    <t>10kVAR 7% Reactor, CU</t>
  </si>
  <si>
    <t>120kVAR 7% Reactor, Aluminium Winding</t>
  </si>
  <si>
    <t>120kVAR 7% Reactor, ALU</t>
  </si>
  <si>
    <t>120kVAR 7% Reactor, Copper Winding</t>
  </si>
  <si>
    <t>120kVAR 7% Reactor, CU</t>
  </si>
  <si>
    <t>150kVAR 7% Reactor, Aluminium Winding</t>
  </si>
  <si>
    <t>150kVAR 7% Reactor, ALU</t>
  </si>
  <si>
    <t>150kVAR 7% Reactor, Copper Winding</t>
  </si>
  <si>
    <t>150kVAR 7% Reactor, CU</t>
  </si>
  <si>
    <t>15kVAR 7% Reactor, Aluminium Winding</t>
  </si>
  <si>
    <t>15kVAR 7% Reactor, ALU</t>
  </si>
  <si>
    <t>15kVAR 7% Reactor, Copper Winding</t>
  </si>
  <si>
    <t>15kVAR 7% Reactor, CU</t>
  </si>
  <si>
    <t>160kVAR 7% Reactor, Aluminium Winding</t>
  </si>
  <si>
    <t>160kVAR 7% Reactor, ALU</t>
  </si>
  <si>
    <t>160kVAR 7% Reactor, Copper Winding</t>
  </si>
  <si>
    <t>160kVAR 7% Reactor, CU</t>
  </si>
  <si>
    <t>2.5kVAR 7% Reactor, Aluminium Winding</t>
  </si>
  <si>
    <t>2.5kVAR 7% Reactor, ALU</t>
  </si>
  <si>
    <t>2.5KVAR 7% Reactor, Copper Winding</t>
  </si>
  <si>
    <t>2.5kVAR 7% Reactor, CU</t>
  </si>
  <si>
    <t>200kVAR 7% Reactor, Aluminium Winding</t>
  </si>
  <si>
    <t>200kVAR 7% Reactor, ALU</t>
  </si>
  <si>
    <t>200kVAR 7% Reactor, Copper Winding</t>
  </si>
  <si>
    <t>200kVAR 7% Reactor, CU</t>
  </si>
  <si>
    <t>20kVAR 7% Reactor, Aluminium Winding</t>
  </si>
  <si>
    <t>20kVAR 7% Reactor, ALU</t>
  </si>
  <si>
    <t>20kVAR 7% Reactor, Copper Winding</t>
  </si>
  <si>
    <t>20kVAR 7% Reactor, CU</t>
  </si>
  <si>
    <t>25kVAR 7% Reactor, Aluminium Winding</t>
  </si>
  <si>
    <t>25kVAR 7% Reactor, ALU</t>
  </si>
  <si>
    <t>25KVAR 7% Reactor, Copper Winding</t>
  </si>
  <si>
    <t>25kVAR 7% Reactor, CU</t>
  </si>
  <si>
    <t>30kVAR 7% Reactor, Aluminium Winding</t>
  </si>
  <si>
    <t>30kVAR 7% Reactor, ALU</t>
  </si>
  <si>
    <t>30kVAR 7% Reactor, Copper Winding</t>
  </si>
  <si>
    <t>30kVAR 7% Reactor, CU</t>
  </si>
  <si>
    <t>40kVAR 7% Reactor, Aluminium Winding</t>
  </si>
  <si>
    <t>40kVAR 7% Reactor, ALU</t>
  </si>
  <si>
    <t>40kVAR 7% Reactor, Copper Winding</t>
  </si>
  <si>
    <t>40kVAR 7% Reactor, CU</t>
  </si>
  <si>
    <t>50kVAR 7% Reactor, Aluminium Winding</t>
  </si>
  <si>
    <t>50kVAR 7% Reactor, ALU</t>
  </si>
  <si>
    <t>50kVAR 7% Reactor, Copper Winding</t>
  </si>
  <si>
    <t>50kVAR 7% Reactor, CU</t>
  </si>
  <si>
    <t>5kVAR 7% Reactor , Aluminium Winding</t>
  </si>
  <si>
    <t>5kVAR 7% Reactor, ALU</t>
  </si>
  <si>
    <t>5kVAR 7% Reactor, Copper Winding</t>
  </si>
  <si>
    <t>5kVAR 7% Reactor, CU</t>
  </si>
  <si>
    <t>60kVAR 7% Reactor, Aluminium Winding</t>
  </si>
  <si>
    <t>60kVAR 7% Reactor, ALU</t>
  </si>
  <si>
    <t>60kVAR 7% Reactor, Copper Winding</t>
  </si>
  <si>
    <t>60kVAR 7% Reactor, CU</t>
  </si>
  <si>
    <t xml:space="preserve">70kVAR 7% Reactor, Aluminium Winding </t>
  </si>
  <si>
    <t>70kVAR 7% Reactor, ALU</t>
  </si>
  <si>
    <t>70kVAR 7% Reactor, Copper Winding</t>
  </si>
  <si>
    <t>70kVAR 7% Reactor, CU</t>
  </si>
  <si>
    <t>75kVAR 7% Reactor, Aluminium Winding</t>
  </si>
  <si>
    <t>75kVAR 7% Reactor, ALU</t>
  </si>
  <si>
    <t>75kVAR 7% Reactor, Copper Winding</t>
  </si>
  <si>
    <t>75kVAR 7% Reactor, CU</t>
  </si>
  <si>
    <t>80kVAR 7% Reactor, Aluminium Winding</t>
  </si>
  <si>
    <t>80kVAR 7% Reactor, ALU</t>
  </si>
  <si>
    <t>80kVAR 7% Reactor, Copper Winding</t>
  </si>
  <si>
    <t>80kVAR 7% Reactor, CU</t>
  </si>
  <si>
    <t>Compact Com Modbus TCP 2 Port (For SGY)</t>
  </si>
  <si>
    <t>FAIRFORD</t>
  </si>
  <si>
    <t>AB6223</t>
  </si>
  <si>
    <t>SGY</t>
  </si>
  <si>
    <t>S/S DFE-TYPE 11kW</t>
  </si>
  <si>
    <t>DFE-02</t>
  </si>
  <si>
    <t>DFE</t>
  </si>
  <si>
    <t>S/S DFE-TYPE 15kW</t>
  </si>
  <si>
    <t>DFE-04</t>
  </si>
  <si>
    <t>S/S DFE-TYPE 22kW</t>
  </si>
  <si>
    <t>DFE-06</t>
  </si>
  <si>
    <t>S/S DFE-TYPE 30kW</t>
  </si>
  <si>
    <t>DFE-08</t>
  </si>
  <si>
    <t>S/S DFE-TYPE 37kW</t>
  </si>
  <si>
    <t>DFE-12</t>
  </si>
  <si>
    <t>S/S DFE-TYPE 45kW</t>
  </si>
  <si>
    <t>DFE-14</t>
  </si>
  <si>
    <t>S/S PFE-Type 5.5kW</t>
  </si>
  <si>
    <t>PFE-08</t>
  </si>
  <si>
    <t>PFE</t>
  </si>
  <si>
    <t>S/S PFE-Type 7.5kW</t>
  </si>
  <si>
    <t>PFE-10</t>
  </si>
  <si>
    <t>S/S PFE-TYPE 11kW</t>
  </si>
  <si>
    <t>PFE-12</t>
  </si>
  <si>
    <t>S/S PFE-TYPE 15kW</t>
  </si>
  <si>
    <t>PFE-14</t>
  </si>
  <si>
    <t>S/S PFE-TYPE 18kW</t>
  </si>
  <si>
    <t>PFE-16</t>
  </si>
  <si>
    <t>S/S PFE-Type 22kW</t>
  </si>
  <si>
    <t>PFE-18</t>
  </si>
  <si>
    <t>S/S SGY - Type 22kW, 41A</t>
  </si>
  <si>
    <t>SGY109</t>
  </si>
  <si>
    <t>S/S SGY-Type 45kW, 80A</t>
  </si>
  <si>
    <t>SGY115</t>
  </si>
  <si>
    <t>S/S SGY - Type 55kkW, 100A</t>
  </si>
  <si>
    <t>SGY117</t>
  </si>
  <si>
    <t>S/S SGY-Type 90kW, 160A</t>
  </si>
  <si>
    <t>SGY203</t>
  </si>
  <si>
    <t>S/S SGY - Type 110kW, 195A</t>
  </si>
  <si>
    <t>SGY205</t>
  </si>
  <si>
    <t xml:space="preserve">S/S SGY-Type 160kW, 302A </t>
  </si>
  <si>
    <t>SGY303</t>
  </si>
  <si>
    <t>S/S SGY-Type 200kW, 361A</t>
  </si>
  <si>
    <t>SGY305</t>
  </si>
  <si>
    <t>PILOT LAMP,240VAC</t>
  </si>
  <si>
    <t>FD</t>
  </si>
  <si>
    <t>AD22-22D</t>
  </si>
  <si>
    <t>I/L</t>
  </si>
  <si>
    <t>PILOT LAMP,24VDC</t>
  </si>
  <si>
    <t>AD58-22D</t>
  </si>
  <si>
    <t>Frako</t>
  </si>
  <si>
    <t>440V 30kVAR Frako</t>
  </si>
  <si>
    <t>FUJI</t>
  </si>
  <si>
    <t>BT3-1600X/30630E</t>
  </si>
  <si>
    <t>BT3</t>
  </si>
  <si>
    <t>BT3-1600X/30800E</t>
  </si>
  <si>
    <t>BT3-1600X/31000E</t>
  </si>
  <si>
    <t>BT3-1600X/31250E</t>
  </si>
  <si>
    <t>BT3-1600X/31600E</t>
  </si>
  <si>
    <t>BT3-1600X/40630E</t>
  </si>
  <si>
    <t>BT3-1600X/40800E</t>
  </si>
  <si>
    <t>BT3-1600X/41000E</t>
  </si>
  <si>
    <t>BT3-1600X/41250E</t>
  </si>
  <si>
    <t>BT3-1600X/41600E</t>
  </si>
  <si>
    <t>BT3-2500X/32000E</t>
  </si>
  <si>
    <t>2500A 3P 65kA ACB</t>
  </si>
  <si>
    <t>BT3-2500X/32500E</t>
  </si>
  <si>
    <t>BT3-2500X/42000E</t>
  </si>
  <si>
    <t>2500A 4P 65kA ACB</t>
  </si>
  <si>
    <t>BT3-2500X/42500E</t>
  </si>
  <si>
    <t>3200A 3P 85kA ACB</t>
  </si>
  <si>
    <t>BT3-4000X/33200E</t>
  </si>
  <si>
    <t>BT3-4000X/34000E</t>
  </si>
  <si>
    <t>3200A 4P 85kA ACB</t>
  </si>
  <si>
    <t>BT3-4000X/43200E</t>
  </si>
  <si>
    <t>BT3-4000X/44000E</t>
  </si>
  <si>
    <t>5000A 3P 100kA ACB</t>
  </si>
  <si>
    <t>BT3-6300X/35000E</t>
  </si>
  <si>
    <t>6300A 3P 100kA ACB</t>
  </si>
  <si>
    <t>BT3-6300X/36300E</t>
  </si>
  <si>
    <t>5000A 4P 100kA ACB</t>
  </si>
  <si>
    <t>BT3-6300X/45000E</t>
  </si>
  <si>
    <t>6000A 4P 100kA ACB</t>
  </si>
  <si>
    <t>BT3-6300X/46300E</t>
  </si>
  <si>
    <t>Motor 240V for electrical charging, 800 - 1600A</t>
  </si>
  <si>
    <t>BT3A-FDC/W316</t>
  </si>
  <si>
    <t>Motor 240V for electrical charging, 2000 - 2500A</t>
  </si>
  <si>
    <t>BT3A-FDC/W325</t>
  </si>
  <si>
    <t>Motor 240V for electrical charging, 3200 - 4000A</t>
  </si>
  <si>
    <t>BT3A-FDC/W340</t>
  </si>
  <si>
    <t>Motor 240V for electrical charging, 5000 - 6300A</t>
  </si>
  <si>
    <t>BT3A-FDC/W363</t>
  </si>
  <si>
    <t>UVT 415V Instantanneous, 800 - 1600A</t>
  </si>
  <si>
    <t>BT3A-FQT/W316</t>
  </si>
  <si>
    <t>UVT 415V Time Delay 0.5, 1, 3 sec, 800 - 1600A</t>
  </si>
  <si>
    <t>BT3A-FQT/W316+FQY/W2163</t>
  </si>
  <si>
    <t>UVT 415V Instantanneous, 2000 - 6300A</t>
  </si>
  <si>
    <t>BT3A-FQT/W325</t>
  </si>
  <si>
    <t>UVT 415V Time Delay 0.5, 1, 3 sec, 2000 - 6300A</t>
  </si>
  <si>
    <t>BT3A-FQT/W325+FQY/W3253</t>
  </si>
  <si>
    <t>Interphase Barrier, 2000 - 4000A 3P</t>
  </si>
  <si>
    <t>BT3A-FXG/W1203C</t>
  </si>
  <si>
    <t>Interphase Barrier, 800 - 1600A 3P</t>
  </si>
  <si>
    <t>BT3A-FXG/W2163C</t>
  </si>
  <si>
    <t>Interphase Barrier, 800 - 2500A 4P</t>
  </si>
  <si>
    <t>BT3A-FXG/W2164C</t>
  </si>
  <si>
    <t>Interphase Barrier, 3200 - 4000A 4P</t>
  </si>
  <si>
    <t>BT3A-FXG/W2404C</t>
  </si>
  <si>
    <t>Key Lock (1key+1lock), 800 - 1600A</t>
  </si>
  <si>
    <t>BT3-FFS/W11-1</t>
  </si>
  <si>
    <t>Key Lock (1key+1lock), 2000 - 6300A</t>
  </si>
  <si>
    <t>BT3-FFS/W11-2</t>
  </si>
  <si>
    <t>Key Lock (1key+2lock), 800 - 1600A</t>
  </si>
  <si>
    <t>BT3-FFS/W21-1</t>
  </si>
  <si>
    <t>Key Lock (1key+2lock), 2000 - 6300A</t>
  </si>
  <si>
    <t>BT3-FFS/W21-2</t>
  </si>
  <si>
    <t>Key Lock (2key+3lock), 800 - 1600A</t>
  </si>
  <si>
    <t>BT3-FFS/W32-1</t>
  </si>
  <si>
    <t>Key Lock (2key+3lock), 2000 - 6300A</t>
  </si>
  <si>
    <t>BT3-FFS/W32-2</t>
  </si>
  <si>
    <t>SHUNT TRIP, 
BW400EAG, BW400SAG, BW400RAG, BW403SO
BW630RAG, BW800RAG</t>
  </si>
  <si>
    <t>BW9FHA-A</t>
  </si>
  <si>
    <t>BW</t>
  </si>
  <si>
    <t>SHUNT TRIP, 
BW103EO, BW102SO, BW103SO</t>
  </si>
  <si>
    <t>BW9FKBO</t>
  </si>
  <si>
    <t>SHUNT TRIP, 
BW125JAG, BW125RAG
BW163JO, BW163SO, BW253JO, BW253SO
BW160JAG, BW160RAG
BW250JAG, BW250RAG</t>
  </si>
  <si>
    <t>BW9FKGO</t>
  </si>
  <si>
    <t>ALARM SWITCH, 
BW103EO, BW102SO, BW103SO</t>
  </si>
  <si>
    <t>BW9K1SBO</t>
  </si>
  <si>
    <t>ALARM SWITCH, 
BW125JAG, BW125RAG
BW163JO, BW163SO, BW253JO, BW253SO
BW160JAG, BW160RAG
BW250JAG, BW250RAG</t>
  </si>
  <si>
    <t>BW9K1SGO</t>
  </si>
  <si>
    <t>ALARM SWITCH, 
BW400EAG, BW400SAG, BW400RAG, BW403SO
BW630RAG, BW800RAG</t>
  </si>
  <si>
    <t>BW9K1SHA</t>
  </si>
  <si>
    <t>EXT HANDLE, 
BW103EO, BW102SO, BW103SO</t>
  </si>
  <si>
    <t>BW9NOBO</t>
  </si>
  <si>
    <t>EXT HANDLE, 
BW125JAG, BW125RAG</t>
  </si>
  <si>
    <t>BW9NOCA</t>
  </si>
  <si>
    <t>EXT HANDLE, 
BW160JAG, BW160RAG
BW250JAG, BW250RAG</t>
  </si>
  <si>
    <t>BW9NOGA</t>
  </si>
  <si>
    <t>EXT HANDLE, 
BW400EAG, BW400SAG, BW400RAG, BW403SO</t>
  </si>
  <si>
    <t>BW9NOHA</t>
  </si>
  <si>
    <t>EXT HANDLE, 
BW630RAG, BW800RAG</t>
  </si>
  <si>
    <t>BW9NOJA</t>
  </si>
  <si>
    <t>EXT HANDLE, 
BW1000RAE</t>
  </si>
  <si>
    <t>BW9NOME</t>
  </si>
  <si>
    <t>EXT HANDLE, 
BW1250RAE, BW1600RAE</t>
  </si>
  <si>
    <t>BW9NOQE</t>
  </si>
  <si>
    <t>UVT, 
BW125JAG, BW125RAG
BW160JAG, BW160RAG
BW250JAG, BW250RAG</t>
  </si>
  <si>
    <t>BW9RGAK</t>
  </si>
  <si>
    <t>UVT, 
BW400EAG, BW400SAG, BW400RAG, BW403SO
BW630RAG, BW800RAG</t>
  </si>
  <si>
    <t>BW9RHAK</t>
  </si>
  <si>
    <t>UVT, 
BW103EO, BW102SO, BW103SO</t>
  </si>
  <si>
    <t>BW9RKBO</t>
  </si>
  <si>
    <t>UVT, 
BW163JO, BW163SO, BW253JO, BW253SO</t>
  </si>
  <si>
    <t>BW9RKGO</t>
  </si>
  <si>
    <t>AUX SWITCH, 
BW103EO, BW102SO, BW103SO</t>
  </si>
  <si>
    <t>BW9W1SBO</t>
  </si>
  <si>
    <t>AUX SWITCH, 
BW125JAG, BW125RAG
BW163JO, BW163SO, BW253JO, BW253SO
BW160JAG, BW160RAG
BW250JAG, BW250RAG</t>
  </si>
  <si>
    <t>BW9W1SGO</t>
  </si>
  <si>
    <t>AUX SWITCH, 
BW400EAG, BW400SAG, BW400RAG, BW403SO
BW630RAG, BW800RAG</t>
  </si>
  <si>
    <t>BW9W1SHA</t>
  </si>
  <si>
    <t>ALARM/ AUX SWITCH, 
BW103EO, BW102SO, BW103SO</t>
  </si>
  <si>
    <t>BW9WKSBO</t>
  </si>
  <si>
    <t>ALARM/ AUX SWITCH, 
BW125JAG, BW125RAG
BW163JO, BW163SO, BW253JO, BW253SO
BW160JAG, BW160RAG
BW250JAG, BW250RAG</t>
  </si>
  <si>
    <t>BW9WKSGO</t>
  </si>
  <si>
    <t>ALARM/ AUX SWITCH, 
BW400EAG, BW400SAG, BW400RAG, BW403SO
BW630RAG, BW800RAG</t>
  </si>
  <si>
    <t>BW9WKSHA</t>
  </si>
  <si>
    <t>SHUNT TRIP, 
BW1000RAE
BW1250RAE, BW1600RAE</t>
  </si>
  <si>
    <t>BZ6F120F9RAE</t>
  </si>
  <si>
    <t>SHUNT TRIP, 
BW32, BW50, BW63, BW100</t>
  </si>
  <si>
    <t>BZ6FK10C</t>
  </si>
  <si>
    <t>ALARM SWITCH, 
BW1000RAE
BW1250RAE, BW1600RAE</t>
  </si>
  <si>
    <t>BZ6K120RAE</t>
  </si>
  <si>
    <t>ALARM SWITCH, 
BW32, BW50, BW63, BW100</t>
  </si>
  <si>
    <t>BZ6KR10C, BZ6KL10C</t>
  </si>
  <si>
    <t>EXT HANDLE, 
BW32, BW50, BW63, BW100</t>
  </si>
  <si>
    <t>BZ6N10D</t>
  </si>
  <si>
    <t>UVT, 
BW1000RAE
BW1250RAE, BW1600RAE</t>
  </si>
  <si>
    <t>BZ6R120R6RAE</t>
  </si>
  <si>
    <t>UVT, 
BW32, BW50M BW63, BW100</t>
  </si>
  <si>
    <t>BZ6R810C</t>
  </si>
  <si>
    <t>AUX SWITCH, 
BW1000RAE
BW1250RAE, BW1600RAE</t>
  </si>
  <si>
    <t>BZ6W120RAE</t>
  </si>
  <si>
    <t>ALARM/ AUX SWITCH, 
BW1000RAE
BW1250RAE, BW1600RAE</t>
  </si>
  <si>
    <t>BZ6WK120RAE</t>
  </si>
  <si>
    <t>ALARM/ AUX SWITCH, 
BW32, BW50, BW63, BW100</t>
  </si>
  <si>
    <t>BZ6WKR10C, BZ6WKL10C</t>
  </si>
  <si>
    <t>AUX SWITCH, 
BW32, BW50, BW63, BW100</t>
  </si>
  <si>
    <t>BZ6WR10C, BZWL10C</t>
  </si>
  <si>
    <t>EXT HANDLE, 
BW163JO, BW163SO, BW253JO, BW253SO</t>
  </si>
  <si>
    <t>BZ-N40C</t>
  </si>
  <si>
    <t>Intelligent Control (OCR), LSI</t>
  </si>
  <si>
    <t>EN35LSI*</t>
  </si>
  <si>
    <t>Intelligent Control (OCR), LSIG</t>
  </si>
  <si>
    <t>EN36LSIG*</t>
  </si>
  <si>
    <t>Setting range 5, 10, 15, 20, 32A
2P 1.5kA MCCB</t>
  </si>
  <si>
    <t>FJ 032 01.5kA BW32AAG-2P</t>
  </si>
  <si>
    <t>Setting range 3, 5, 10, 15, 20, 32A
3P 1.5kA MCCB</t>
  </si>
  <si>
    <t>FJ 032 01.5kA BW32AAG-3P</t>
  </si>
  <si>
    <t>Setting range 3, 5, 10, 20, 32A
2P 2.5kA MCCB</t>
  </si>
  <si>
    <t>FJ 032 02.5kA BW32SAG-2P</t>
  </si>
  <si>
    <t>Setting range 3, 5, 10, 15, 20, 32A
3P 2.5kA MCCB</t>
  </si>
  <si>
    <t>FJ 032 02.5kA BW32SAG-3P</t>
  </si>
  <si>
    <t>Setting range 5, 10, 15, 20, 32, 40, 50A
3P 1.5kA MCCB</t>
  </si>
  <si>
    <t>FJ 050 01.5kA BW50AAG-3P</t>
  </si>
  <si>
    <t>Setting range 5, 10, 15, 20, 32, 40, 50A
3P 2.5kA MCCB</t>
  </si>
  <si>
    <t>FJ 050 02.5kA BW50EAG-3P</t>
  </si>
  <si>
    <t>Setting range 63A
3P 2.5kA MCCB</t>
  </si>
  <si>
    <t>FJ 050 02.5kA BW63EAG-3P</t>
  </si>
  <si>
    <t>Setting range 5, 10, 15, 20, 32, 40, 50A
3P 7.5kA MCCB</t>
  </si>
  <si>
    <t>FJ 050 07.5kA BW50SAG-3P</t>
  </si>
  <si>
    <t>Setting range 5, 10, 15, 20, 32, 40, 50A
2P 10kA MCCB</t>
  </si>
  <si>
    <t>FJ 050 10kA BW50RAG-2P</t>
  </si>
  <si>
    <t>Setting range 10, 15, 20, 32, 40, 50A
3P 10kA MCCB</t>
  </si>
  <si>
    <t>FJ 050 10kA BW50RAG-3P</t>
  </si>
  <si>
    <t>Setting range 5, 10, 15, 20, 32, 40, 50A
2P 2.5kA MCCB</t>
  </si>
  <si>
    <t>FJ 050 2.5kA BW50EAG-2P</t>
  </si>
  <si>
    <t>Setting range 5, 10, 15, 20, 32, 40, 50A
2P 7.5kA MCCB</t>
  </si>
  <si>
    <t>FJ 050 7.5kA BW50SAG-2P</t>
  </si>
  <si>
    <t>Setting range 63A
3P 7.5kA MCCB</t>
  </si>
  <si>
    <t>FJ 063 07.5kA BW63SAG-3P</t>
  </si>
  <si>
    <t>Setting range 63A
2P 10kA MCCB</t>
  </si>
  <si>
    <t>FJ 063 10kA BW63RAG-2P</t>
  </si>
  <si>
    <t>Setting range 63A
3P 10kA MCCB</t>
  </si>
  <si>
    <t>FJ 063 10kA BW63RAG-3P</t>
  </si>
  <si>
    <t>Setting range 63A
2P 2.5kA MCCB</t>
  </si>
  <si>
    <t>FJ 063 2.5kA BW63EAG-2P</t>
  </si>
  <si>
    <t>Setting range 63A
2P 7.5kA MCCB</t>
  </si>
  <si>
    <t>FJ 063 7.5kA BW63SAG-2P</t>
  </si>
  <si>
    <t>Setting range 75, 100A
2P 10kA MCCB</t>
  </si>
  <si>
    <t>FJ 100 10kA BW100EAG-2P</t>
  </si>
  <si>
    <t>Setting range 75, 100A
3P 10kA MCCB</t>
  </si>
  <si>
    <t>FJ 100 15kA BW100EAG-3P</t>
  </si>
  <si>
    <t>Setting range 15, 20, 30, 40, 50, 60, 75, 100A
3P 15kA MCCB</t>
  </si>
  <si>
    <t>FJ 100 15kA BW103EO</t>
  </si>
  <si>
    <t>Setting range 15, 20, 30, 40, 50, 60, 75, 100A
2P 30kA MCCB</t>
  </si>
  <si>
    <t>FJ 100 30kA BW10250</t>
  </si>
  <si>
    <t>Setting range 15, 20, 30, 40, 50, 60, 75, 100A
3P 30kA MCCB</t>
  </si>
  <si>
    <t>FJ 100 30kA BW103SO</t>
  </si>
  <si>
    <t>FJ 100 30kA BW125JAG-2P</t>
  </si>
  <si>
    <t>FJ 100 30kA BW125JAG-3P</t>
  </si>
  <si>
    <t>Setting range 15, 20, 30, 40, 50, 60, 75, 100A
2P 50kA MCCB</t>
  </si>
  <si>
    <t>FJ 100 50kA BW125RAG-2P</t>
  </si>
  <si>
    <t>Setting range 15, 20, 30, 40, 50, 60, 75, 100A
3P 50kA MCCB</t>
  </si>
  <si>
    <t>FJ 100 50kA BW125RAG-3P</t>
  </si>
  <si>
    <t>Setting range 1000A (400-1000A Ajustable)
3P 70kA MCCB</t>
  </si>
  <si>
    <t>FJ 1000 70kA BW1000RAE-3P</t>
  </si>
  <si>
    <t>Setting range 1200A (500-1250A Ajustable)
3P 70kA MCCB</t>
  </si>
  <si>
    <t>FJ 1200 70kA BW1250RAE-3P</t>
  </si>
  <si>
    <t>Setting range 1200A (700-1600A Ajustable)
3P 85kA MCCB</t>
  </si>
  <si>
    <t>FJ 1200 85kA BW1600RAE-3P</t>
  </si>
  <si>
    <t>Setting range 125A
2P 30kA MCCB</t>
  </si>
  <si>
    <t>FJ 125 30kA BW125JAG-2P 125A</t>
  </si>
  <si>
    <t>Setting range 125A
3P 30kA MCCB</t>
  </si>
  <si>
    <t>FJ 125 30kA BW125JAG-3P 125A</t>
  </si>
  <si>
    <t>Setting range 125A
2P 50kA MCCB</t>
  </si>
  <si>
    <t>FJ 125 50kA BW125RAG-2P 125A</t>
  </si>
  <si>
    <t>Setting range 125A
3P 50kA MCCB</t>
  </si>
  <si>
    <t>FJ 125 50kA BW125RAG-3P 125A</t>
  </si>
  <si>
    <t>Setting range 150A
3P 25kA MCCB</t>
  </si>
  <si>
    <t>FJ 150 25kA BW163JO</t>
  </si>
  <si>
    <t>Setting range 150A
3P 30kA MCCB</t>
  </si>
  <si>
    <t>FJ 150 30kA BW160JAG-3P</t>
  </si>
  <si>
    <t>Setting range 150A
3P 50kA MCCB</t>
  </si>
  <si>
    <t>FJ 150 50kA BW160RAG-3P</t>
  </si>
  <si>
    <t>Setting range 160A
3P 36kA MCCB</t>
  </si>
  <si>
    <t>FJ 160 36kA BW163SO</t>
  </si>
  <si>
    <t>Setting range 175, 200, 225A
3P 25kA MCCB</t>
  </si>
  <si>
    <t>FJ 225 25kA BW253JO</t>
  </si>
  <si>
    <t>Setting range 175, 200, 225A
3P 30kA MCCB</t>
  </si>
  <si>
    <t>FJ 225 30kA BW250JAG-3P</t>
  </si>
  <si>
    <t>Setting range 175, 200, 225A
3P 36kA MCCB</t>
  </si>
  <si>
    <t>FJ 225 36kA BW253SO</t>
  </si>
  <si>
    <t>Setting range 175, 200, 225A
3P 50kA MCCB</t>
  </si>
  <si>
    <t>FJ 225 50kA BW250RAG-3P</t>
  </si>
  <si>
    <t>Setting range 250A
3P 25kA MCCB</t>
  </si>
  <si>
    <t>FJ 250 25kA BW253JO 250A</t>
  </si>
  <si>
    <t>Setting range 250A
3P 30kA MCCB</t>
  </si>
  <si>
    <t>FJ 250 30kA BW250JAG-3P 250A</t>
  </si>
  <si>
    <t>Setting range 250A
3P 36kA MCCB</t>
  </si>
  <si>
    <t>FJ 250 36kA BW253SO 250A</t>
  </si>
  <si>
    <t>Setting range 250A
3P 50kA MCCB</t>
  </si>
  <si>
    <t>FJ 250 50kA BW250RAG-3P 250A</t>
  </si>
  <si>
    <t>Setting range 300, 350, 400A
3P 30kA MCCB</t>
  </si>
  <si>
    <t>FJ 400 30kA BW400EAG-3P</t>
  </si>
  <si>
    <t>Setting range 300, 350, 400A
3P 36kA MCCB</t>
  </si>
  <si>
    <t>FJ 400 36kA BW400SAG-3P</t>
  </si>
  <si>
    <t>Setting range 300, 350, 400A, No terminal bar
3P 36kA MCCB</t>
  </si>
  <si>
    <t>FJ 400 36kA BW403SO</t>
  </si>
  <si>
    <t>Setting range 300, 350, 400A
3P 50kA MCCB</t>
  </si>
  <si>
    <t>FJ 400 50kA BW400RAG-3P</t>
  </si>
  <si>
    <t>Setting range 500, 630A
3P 50kA MCCB</t>
  </si>
  <si>
    <t>FJ 630 50kA BW630RAG-3P</t>
  </si>
  <si>
    <t>Setting range 700, 800A
3P 50kA MCCB</t>
  </si>
  <si>
    <t>FJ 800 50kA BW800RAG-3P</t>
  </si>
  <si>
    <t>Mechanical Interlock for 2ACBs (wire)</t>
  </si>
  <si>
    <t>MW1*</t>
  </si>
  <si>
    <t>Mechanical Interlock for 3ACBs (wire)</t>
  </si>
  <si>
    <t>MW2*</t>
  </si>
  <si>
    <t>SC-03</t>
  </si>
  <si>
    <t>SC-05</t>
  </si>
  <si>
    <t>16A 3P CONTACTOR</t>
  </si>
  <si>
    <t>SC-4-0</t>
  </si>
  <si>
    <t>22A 3P CONTACTOR</t>
  </si>
  <si>
    <t>SC-5-1</t>
  </si>
  <si>
    <t>SC-N1</t>
  </si>
  <si>
    <t>220A 3P CONTACTOR</t>
  </si>
  <si>
    <t>SC-N10</t>
  </si>
  <si>
    <t>300A 3P CONTACTOR</t>
  </si>
  <si>
    <t>SC-N11</t>
  </si>
  <si>
    <t>SC-N12</t>
  </si>
  <si>
    <t>660A 3P CONTACTOR</t>
  </si>
  <si>
    <t>SC-N14</t>
  </si>
  <si>
    <t>800A 3P CONTACTOR</t>
  </si>
  <si>
    <t>SC-N16</t>
  </si>
  <si>
    <t>SC-N2</t>
  </si>
  <si>
    <t>SC-N2S</t>
  </si>
  <si>
    <t>SC-N3</t>
  </si>
  <si>
    <t>80A 3P CONTACTOR</t>
  </si>
  <si>
    <t>SC-N4</t>
  </si>
  <si>
    <t>105A 3P CONTACTOR</t>
  </si>
  <si>
    <t>SC-N5A</t>
  </si>
  <si>
    <t>125A 3P CONTACTOR</t>
  </si>
  <si>
    <t>SC-N6</t>
  </si>
  <si>
    <t>150A 3P CONTACTOR</t>
  </si>
  <si>
    <t>SC-N7</t>
  </si>
  <si>
    <t>180A 3P CONTACTOR</t>
  </si>
  <si>
    <t>SC-N8</t>
  </si>
  <si>
    <t>HAMA</t>
  </si>
  <si>
    <t>Fuse</t>
  </si>
  <si>
    <t>DC AMMETER(Round Back)</t>
  </si>
  <si>
    <t>IMETEC</t>
  </si>
  <si>
    <t>CQ670DA</t>
  </si>
  <si>
    <t>DC VOLTMETER</t>
  </si>
  <si>
    <t>CQ72VDC</t>
  </si>
  <si>
    <t>ANALOGUE AMMETER, 90 Deg Cls 1.5, 96x96mm</t>
  </si>
  <si>
    <t>CQ96A</t>
  </si>
  <si>
    <t>Frequency Meter, 220VAC/415VAC, 90 Deg, 96x96mm</t>
  </si>
  <si>
    <t>CQ96F</t>
  </si>
  <si>
    <t>kW Meter, 90 Deg, 96x96mm</t>
  </si>
  <si>
    <t>CQ96KW1</t>
  </si>
  <si>
    <t>Max Demand Ammeter 2 pointer, 90 Deg, 96x96mm</t>
  </si>
  <si>
    <t>CQ96MD</t>
  </si>
  <si>
    <t>ANALOGUE POWER FACTOR METER, 90 Deg, 96x96mm</t>
  </si>
  <si>
    <t>CQ96PF</t>
  </si>
  <si>
    <t>ANALOGUE VOLTMETER, 90 Deg Cls 1.5, 96x96mm</t>
  </si>
  <si>
    <t>CQ96V</t>
  </si>
  <si>
    <t>ANALOGUE AMMETER, 240 Deg Cls 1.5, 96x96mm</t>
  </si>
  <si>
    <t>DQ96A</t>
  </si>
  <si>
    <t>Frequency Meter, 240 Deg Cls 1.5, 24-55Hz, 96x96mm</t>
  </si>
  <si>
    <t>DQ96F</t>
  </si>
  <si>
    <t>kW Meter, 240 Deg, 3 Phase 3 wires, 90 Deg, 96x96mm</t>
  </si>
  <si>
    <t>DQ96KW1</t>
  </si>
  <si>
    <t>kW Meter, 240 Deg, 3 Phase 4 wires, 90 Deg, 96x96mm</t>
  </si>
  <si>
    <t>DQ96kW3</t>
  </si>
  <si>
    <t>ANALOGUE POWER FACTOR METER, 240 Deg, 96x96mm</t>
  </si>
  <si>
    <t>DQ96PF</t>
  </si>
  <si>
    <t>ANALOGUE VOLTMETER, 240 Deg Cls 1.5, 96x96mm</t>
  </si>
  <si>
    <t>DQ96V</t>
  </si>
  <si>
    <t>Tema U - AC single-phase voltage transducer, 250Vac, 0-20mA</t>
  </si>
  <si>
    <t>Imetec</t>
  </si>
  <si>
    <t>TM2UA74</t>
  </si>
  <si>
    <t>HEATER &amp; THERMOSTAT</t>
  </si>
  <si>
    <t>JAEGER/ VITAR</t>
  </si>
  <si>
    <t>FK/FST</t>
  </si>
  <si>
    <t>Heater</t>
  </si>
  <si>
    <t>BUSBAR, 2558, 100kA
165mm x 10mm</t>
  </si>
  <si>
    <t>Busbar</t>
  </si>
  <si>
    <t>MTR</t>
  </si>
  <si>
    <t>60A ~ 125A 3P 50KA MCCB</t>
  </si>
  <si>
    <t>LS</t>
  </si>
  <si>
    <t>ABH 103c</t>
  </si>
  <si>
    <t>METASOL</t>
  </si>
  <si>
    <t>60A ~ 125A 4P 50KA MCCB</t>
  </si>
  <si>
    <t>ABH 104C</t>
  </si>
  <si>
    <t>150A, 175A 3P 50KA MCCB</t>
  </si>
  <si>
    <t>ABH 203c 150A</t>
  </si>
  <si>
    <t>200A, 225A 3P 50KA MCCB</t>
  </si>
  <si>
    <t>ABH 203c 200A</t>
  </si>
  <si>
    <t>ABH 203c 250A</t>
  </si>
  <si>
    <t>150A, 175A 4P 50kA MCCB</t>
  </si>
  <si>
    <t>ABH 204c 150A</t>
  </si>
  <si>
    <t>200A, 225A 4P 50kA MCCB</t>
  </si>
  <si>
    <t>ABH 204c 200A</t>
  </si>
  <si>
    <t>250A 4P 50KA MCCB</t>
  </si>
  <si>
    <t>ABH 204C 250A</t>
  </si>
  <si>
    <t>300A, 400A 3P 65KA MCCB</t>
  </si>
  <si>
    <t>ABH 403C</t>
  </si>
  <si>
    <t>300A,350A, 400A 4P 50KA MCCB</t>
  </si>
  <si>
    <t>ABH 404C</t>
  </si>
  <si>
    <t>15A ~ 50A 3P 50KA MCCB</t>
  </si>
  <si>
    <t>ABH 53c</t>
  </si>
  <si>
    <t>15A ~ 50A 4P 50KA MCCB</t>
  </si>
  <si>
    <t>ABH 54C</t>
  </si>
  <si>
    <t>75A ~ 100A 2P 35kA MCCB</t>
  </si>
  <si>
    <t>ABN 102c</t>
  </si>
  <si>
    <t>75A ~ 100A 3P 18kA MCCB</t>
  </si>
  <si>
    <t>ABN 103C</t>
  </si>
  <si>
    <t>300A, 350A, 400A 3P 37KA MCCB</t>
  </si>
  <si>
    <t>ABN 403C</t>
  </si>
  <si>
    <t>300A, 350A, 400A 4P 37kA MCCB</t>
  </si>
  <si>
    <t>ABN 404c</t>
  </si>
  <si>
    <t>15A ~ 50A 2P 30kA MCCB</t>
  </si>
  <si>
    <t>ABN 52C</t>
  </si>
  <si>
    <t>&lt;= 50A 3P 14KA MCCB</t>
  </si>
  <si>
    <t>ABN 53C 40A</t>
  </si>
  <si>
    <t>60A 2P 30kA MCCB</t>
  </si>
  <si>
    <t>ABN 62c</t>
  </si>
  <si>
    <t>60A 3P 14KA MCCB</t>
  </si>
  <si>
    <t>ABN 63C</t>
  </si>
  <si>
    <t>1000A 3P 65KA MCCB</t>
  </si>
  <si>
    <t>ABS 1003</t>
  </si>
  <si>
    <t>1000A 4P 65KA MCCB</t>
  </si>
  <si>
    <t>ABS 1004</t>
  </si>
  <si>
    <t>15A ~ 100A 2P 85kA MCCB</t>
  </si>
  <si>
    <t>ABS 102c</t>
  </si>
  <si>
    <t>16A ~ 125A 3P 37KA MCCB</t>
  </si>
  <si>
    <t>ABS 103C</t>
  </si>
  <si>
    <t>16A ~ 125A 4P 37KA MCCB</t>
  </si>
  <si>
    <t>ABS 104C</t>
  </si>
  <si>
    <t>1200A 3P 65kA MCCB</t>
  </si>
  <si>
    <t>ABS 1203</t>
  </si>
  <si>
    <t>1200A 4P 65KA MCCB</t>
  </si>
  <si>
    <t>ABS 1204</t>
  </si>
  <si>
    <t>150A 3P 37KA MCCB</t>
  </si>
  <si>
    <t>ABS 203C 150A</t>
  </si>
  <si>
    <t>175A, 200A, 225A 3P 37KA MCCB</t>
  </si>
  <si>
    <t>ABS 203C 200A</t>
  </si>
  <si>
    <t>250A 3P 37KA MCCB</t>
  </si>
  <si>
    <t>ABS 203C 250A</t>
  </si>
  <si>
    <t>150A 4P 37KA MCCB</t>
  </si>
  <si>
    <t>ABS 204C 150A</t>
  </si>
  <si>
    <t>175A, 200A, 225A 4P 37KA MCCB</t>
  </si>
  <si>
    <t>ABS 204C 200A</t>
  </si>
  <si>
    <t>250A 4P 37kA MCCB</t>
  </si>
  <si>
    <t xml:space="preserve">ABS 204C 250A </t>
  </si>
  <si>
    <t>500A ~ 630A 3P 65KA MCCB</t>
  </si>
  <si>
    <t>ABS 803C 500A</t>
  </si>
  <si>
    <t>700A ~ 800A 3P 65KA MCCB</t>
  </si>
  <si>
    <t>ABS 803C 700A</t>
  </si>
  <si>
    <t>500A ~ 630A 4P 65KA MCCB</t>
  </si>
  <si>
    <t>ABS 804C 500A</t>
  </si>
  <si>
    <t>700A ~ 800A 4P 65KA MCCB</t>
  </si>
  <si>
    <t>ABS 804C 700A</t>
  </si>
  <si>
    <t>ALARM SWITCH</t>
  </si>
  <si>
    <t>AL</t>
  </si>
  <si>
    <t>SUSOL</t>
  </si>
  <si>
    <t>630A 3P 65kA ACB C/W S.T</t>
  </si>
  <si>
    <t>AN-06D 3P</t>
  </si>
  <si>
    <t>630A 4P 65kA ACB C/W S.T</t>
  </si>
  <si>
    <t>AN-06D 4P</t>
  </si>
  <si>
    <t>800A 3P 65kA ACB C/W S.T</t>
  </si>
  <si>
    <t>AN-08D 3P</t>
  </si>
  <si>
    <t>800A 4P 65kA ACB C/W S.T</t>
  </si>
  <si>
    <t>AN-08D 4P</t>
  </si>
  <si>
    <t>1000A 3P 65kA ACB C/W S.T</t>
  </si>
  <si>
    <t>AN-10D 3P</t>
  </si>
  <si>
    <t>1000A 4P 65kA ACB C/W S.T</t>
  </si>
  <si>
    <t>AN-10D 4P</t>
  </si>
  <si>
    <t>1250A 3P 65KA ACB C/W S.T</t>
  </si>
  <si>
    <t>AN-13D 3P</t>
  </si>
  <si>
    <t>1250A 4P 65kA ACB C/W S.T</t>
  </si>
  <si>
    <t>AN-13D 4P</t>
  </si>
  <si>
    <t>1600A 3P 65kA ACB C/W S.T</t>
  </si>
  <si>
    <t>AN-16D 3P</t>
  </si>
  <si>
    <t>1600A 4P 65kA ACB C/W S.T</t>
  </si>
  <si>
    <t>AN-16D 4P</t>
  </si>
  <si>
    <t>2000A 3P 70KA ACB C/W S.T</t>
  </si>
  <si>
    <t>AS-20D 3P</t>
  </si>
  <si>
    <t>2000A 4P 70kA ACB C/W S.T</t>
  </si>
  <si>
    <t>AS-20D 4P</t>
  </si>
  <si>
    <t>2500A 3P 70kA ACB C/W S.T</t>
  </si>
  <si>
    <t>AS-25E 3P</t>
  </si>
  <si>
    <t>2500A 4P 85kA ACB C/W S.T</t>
  </si>
  <si>
    <t>AS-25E 4P</t>
  </si>
  <si>
    <t>3200A 3P 85kA ACB C/W S.T</t>
  </si>
  <si>
    <t>AS-32E 3P</t>
  </si>
  <si>
    <t>3200A 4P 85kA ACB C/W S.T</t>
  </si>
  <si>
    <t>AS-32E 4P</t>
  </si>
  <si>
    <t>4000A 3P 85kA ACB C/W S.T</t>
  </si>
  <si>
    <t>AS-40E 3P</t>
  </si>
  <si>
    <t>4000A 4P 85KA ACB C/W S.T</t>
  </si>
  <si>
    <t>AS-40E 4P</t>
  </si>
  <si>
    <t>5000A 3P 100kA ACB C/W S.T</t>
  </si>
  <si>
    <t>AS-50F 3P</t>
  </si>
  <si>
    <t>5000A 4P 100kA ACB C/W S.T</t>
  </si>
  <si>
    <t>AS-50F 4P</t>
  </si>
  <si>
    <t>Contactor Accessories, MC185 to MC800
Side Mount, 2P, 1NO+1NC</t>
  </si>
  <si>
    <t>AU100-11</t>
  </si>
  <si>
    <t>AUX SWITCH</t>
  </si>
  <si>
    <t>AUX + Alarm Switch - FROM 300A TO 800A</t>
  </si>
  <si>
    <t>AX3b + AL3b</t>
  </si>
  <si>
    <t>AUX + Alarm Switch - FROM 1000A TO 1200A</t>
  </si>
  <si>
    <t>AX4b + AL4b</t>
  </si>
  <si>
    <t>40A ~ 63A 2P 6KA MCB</t>
  </si>
  <si>
    <t>BK63N 2P 40-63</t>
  </si>
  <si>
    <t>BKN</t>
  </si>
  <si>
    <t>6A ~ 32A 2P 6KA MCB</t>
  </si>
  <si>
    <t>BK63N 2P 6-32</t>
  </si>
  <si>
    <t>40A ~ 63A 3P 6KA MCB</t>
  </si>
  <si>
    <t>BK63N 3P 40-63</t>
  </si>
  <si>
    <t>6A ~ 32A 3P 6KA MCB</t>
  </si>
  <si>
    <t>BK63N 3P 6-32</t>
  </si>
  <si>
    <t>40A ~ 63A SP 6KA MCB</t>
  </si>
  <si>
    <t>BK63N SP 40-63</t>
  </si>
  <si>
    <t>6A ~ 32A SP 6KA MCB</t>
  </si>
  <si>
    <t>BK63N SP 6-32</t>
  </si>
  <si>
    <t>BKD-100-3</t>
  </si>
  <si>
    <t>BKD</t>
  </si>
  <si>
    <t>125A 3P ISOLATOR</t>
  </si>
  <si>
    <t>BKD-125-3</t>
  </si>
  <si>
    <t>40A 2P ISOLATOR</t>
  </si>
  <si>
    <t>BKD-40-2</t>
  </si>
  <si>
    <t>40A 3P ISOLATOR</t>
  </si>
  <si>
    <t>BKD-40-3</t>
  </si>
  <si>
    <t>50A 2P ISOLATOR</t>
  </si>
  <si>
    <t>BKD-50-2</t>
  </si>
  <si>
    <t>50A 3P ISOLATOR</t>
  </si>
  <si>
    <t>BKD-50-3</t>
  </si>
  <si>
    <t>BKD-63-2</t>
  </si>
  <si>
    <t>80A 2P ISOLATOR</t>
  </si>
  <si>
    <t>BKD-80-2</t>
  </si>
  <si>
    <t>80A 3P ISOLATOR</t>
  </si>
  <si>
    <t>BKD-80-3</t>
  </si>
  <si>
    <t>Direct Rotary Handle - FROM 16A TO 160A</t>
  </si>
  <si>
    <t>DH1</t>
  </si>
  <si>
    <t>DIRECT ROTARY HANDLE - FROM 15A TO 125A</t>
  </si>
  <si>
    <t>DH-125</t>
  </si>
  <si>
    <t>Direct Rotary Handle - FROM 200A TO 250A</t>
  </si>
  <si>
    <t>DH2</t>
  </si>
  <si>
    <t>DIRECT ROTARY HANDLE - FROM 150A TO 250A</t>
  </si>
  <si>
    <t>DH-250</t>
  </si>
  <si>
    <t>Direct Rotary Handle - FROM 300A TO 630A</t>
  </si>
  <si>
    <t>DH3</t>
  </si>
  <si>
    <t>Direct Rotary Handle - FROM 700A TO 800A</t>
  </si>
  <si>
    <t>DH4</t>
  </si>
  <si>
    <t>Extended Handle - FROM 300A TO 400A</t>
  </si>
  <si>
    <t>E-70U</t>
  </si>
  <si>
    <t>Extended Handle - FROM 500A TO 800A</t>
  </si>
  <si>
    <t>E-80U</t>
  </si>
  <si>
    <t>60A ~ 125A 3P 50kA MCCB c/w Built-In ELR&amp;ZCT</t>
  </si>
  <si>
    <t>EBH103c</t>
  </si>
  <si>
    <t>60A ~ 125A 4P 50kA MCCB c/w Built-In ELR&amp;ZCT</t>
  </si>
  <si>
    <t>EBH104c</t>
  </si>
  <si>
    <t>150A ~ 225A 3P 50kA MCCB c/w Built-In ELR&amp;ZCT</t>
  </si>
  <si>
    <t>EBH204c</t>
  </si>
  <si>
    <t>Extended Rotary Handle - FROM 16A TO 160A</t>
  </si>
  <si>
    <t>EH1</t>
  </si>
  <si>
    <t>Extended Handle - FROM 15A TO 125A</t>
  </si>
  <si>
    <t>EH-125</t>
  </si>
  <si>
    <t>Extended Rotary Handle - FROM 200A TO 250A</t>
  </si>
  <si>
    <t>EH2</t>
  </si>
  <si>
    <t>Extended Handle - FROM 150A TO 250A</t>
  </si>
  <si>
    <t>EH-250</t>
  </si>
  <si>
    <t>Extended Rotary Handle - FROM 300A TO 630A</t>
  </si>
  <si>
    <t>EH3</t>
  </si>
  <si>
    <t>Extended Rotary Handle - FROM 700A TO 800A</t>
  </si>
  <si>
    <t>EH4</t>
  </si>
  <si>
    <t>CASTOR KEY (1SET = 3PCS)</t>
  </si>
  <si>
    <t>K2</t>
  </si>
  <si>
    <t>25A 1P+N 10mA RCBO</t>
  </si>
  <si>
    <t>KNBL1-32</t>
  </si>
  <si>
    <t>KNL</t>
  </si>
  <si>
    <t>KNL5-63</t>
  </si>
  <si>
    <t>32A 2P FUSE SWITCH</t>
  </si>
  <si>
    <t>LS-SF322</t>
  </si>
  <si>
    <t>32A 3P FUSE SWITCH</t>
  </si>
  <si>
    <t>LS-SF323</t>
  </si>
  <si>
    <t>63A 2P FUSE SWITCH</t>
  </si>
  <si>
    <t>LS-SF632</t>
  </si>
  <si>
    <t>63A 3P FUSE SWITCH</t>
  </si>
  <si>
    <t>LS-SF633</t>
  </si>
  <si>
    <t>89A 3P CONTACTOR FOR CAPACITOR (AC 6b)(50kVAR Cap. Bank c/w 7% reactor)</t>
  </si>
  <si>
    <t>MC-100a with AC-75</t>
  </si>
  <si>
    <t>178A 3P CONTACTOR (AC 6b)(100kVAR Cap. Bank c/w 7% reactor)</t>
  </si>
  <si>
    <t>MC-100a with AC75 x 2sets</t>
  </si>
  <si>
    <t>100A 4P CONTACTOR</t>
  </si>
  <si>
    <t>MC-100a/4</t>
  </si>
  <si>
    <t>MC100a-11</t>
  </si>
  <si>
    <t>12A 4P CONTACTOR</t>
  </si>
  <si>
    <t>MC-12a/4</t>
  </si>
  <si>
    <t>18A 3P CONTACTOR FOR CAPACITOR (AC 6b)(5kVAR Cap. Bank c/w 7%)</t>
  </si>
  <si>
    <t>MC-12b with AC-9</t>
  </si>
  <si>
    <t>MC-12b-11</t>
  </si>
  <si>
    <t>120A 4P CONTACTOR</t>
  </si>
  <si>
    <t>MC-130a/4</t>
  </si>
  <si>
    <t>130A 3P CONTACTOR</t>
  </si>
  <si>
    <t>MC-130a-11</t>
  </si>
  <si>
    <t>150A 4P CONTACTOR</t>
  </si>
  <si>
    <t>MC-150a/4</t>
  </si>
  <si>
    <t>MC-150a-11</t>
  </si>
  <si>
    <t>185A 4P CONTACTOR</t>
  </si>
  <si>
    <t>MC-185a/4</t>
  </si>
  <si>
    <t>MC-185a-22</t>
  </si>
  <si>
    <t>18A 4P CONTACTOR</t>
  </si>
  <si>
    <t>MC-18a/4</t>
  </si>
  <si>
    <t>MC-18b-11</t>
  </si>
  <si>
    <t>225A 4P CONTACTOR</t>
  </si>
  <si>
    <t>MC-225a/4</t>
  </si>
  <si>
    <t>MC-225a-22</t>
  </si>
  <si>
    <t>22A 4P CONTACTOR</t>
  </si>
  <si>
    <t>MC-22a/4</t>
  </si>
  <si>
    <t>26A 3P CONTACTOR FOR CAPACITOR (AC 6b)(10kVAR Cap. Bank c/w 7% reactor)</t>
  </si>
  <si>
    <t>MC-22b with AC-9</t>
  </si>
  <si>
    <t>MC-22B-11</t>
  </si>
  <si>
    <t>265A 4P CONTACTOR</t>
  </si>
  <si>
    <t>MC-265a/4</t>
  </si>
  <si>
    <t>MC-265a-22</t>
  </si>
  <si>
    <t>36A 3P CONTACTOR FOR CAPACITOR (AC 6b)(15kVAR Cap. Bank c/w 7% reactor)</t>
  </si>
  <si>
    <t>MC-32a with AC-9</t>
  </si>
  <si>
    <t>32A 4P CONTACTOR</t>
  </si>
  <si>
    <t>MC-32a/4</t>
  </si>
  <si>
    <t>MC-32a-11</t>
  </si>
  <si>
    <t>330A 4P CONTACTOR</t>
  </si>
  <si>
    <t>MC-330a/4</t>
  </si>
  <si>
    <t>MC-330a-22</t>
  </si>
  <si>
    <t>400A 4P CONTACTOR</t>
  </si>
  <si>
    <t>MC-400a/4</t>
  </si>
  <si>
    <t>MC-400a-22</t>
  </si>
  <si>
    <t>48A 3P CONTACTOR FOR CAPACITOR (AC 6b)(20kVAR Cap. Bank c/w 7% reactor)</t>
  </si>
  <si>
    <t>MC-40a with AC-9</t>
  </si>
  <si>
    <t>40A 4P CONTACTOR</t>
  </si>
  <si>
    <t>MC-40a/4</t>
  </si>
  <si>
    <t>MC-40a-11</t>
  </si>
  <si>
    <t>500A 4P CONTACTOR</t>
  </si>
  <si>
    <t>MC-500a/4</t>
  </si>
  <si>
    <t>MC-500a-22</t>
  </si>
  <si>
    <t>58A 3P CONTACTOR FOR CAPACITOR (AC 6b)(25kVAR Cap. Bank c/w 7% reactor)</t>
  </si>
  <si>
    <t>MC-50a with AC-9</t>
  </si>
  <si>
    <t>50A 4P CONTACTOR</t>
  </si>
  <si>
    <t>MC-50a/4</t>
  </si>
  <si>
    <t>MC-50a-11</t>
  </si>
  <si>
    <t>600A 4P CONTACTOR</t>
  </si>
  <si>
    <t>MC-600a/4</t>
  </si>
  <si>
    <t>MC-630a-22</t>
  </si>
  <si>
    <t>132A 3P CONTACTOR (AC 6b)(60kVAR Cap. Bank c/w 7% reactor)</t>
  </si>
  <si>
    <t>MC-65a with AC-50 x 2sets</t>
  </si>
  <si>
    <t>66A 3P CONTACTOR (AC6b)(30kVAR Cap. Bank c/w 7% reactor)</t>
  </si>
  <si>
    <t>MC-65a with AC-75</t>
  </si>
  <si>
    <t>65A 4P CONTACTOR</t>
  </si>
  <si>
    <t>MC-65a/4</t>
  </si>
  <si>
    <t>MC-65a-11</t>
  </si>
  <si>
    <t>75A 4P CONTACTOR</t>
  </si>
  <si>
    <t>MC-75a/4</t>
  </si>
  <si>
    <t>75A 3P CONTACTOR</t>
  </si>
  <si>
    <t>MC-75a-11</t>
  </si>
  <si>
    <t>800A 4P CONTACTOR</t>
  </si>
  <si>
    <t>MC-800a/4</t>
  </si>
  <si>
    <t>MC-800a-22</t>
  </si>
  <si>
    <t>87A 3P CONTACTOR (AC 6b)(40kVAR Cap. Bank c/w 7% reactor)</t>
  </si>
  <si>
    <t>MC-85a with AC-75</t>
  </si>
  <si>
    <t>174A 3P CONTACTOR (AC 6b)(80kVAR Cap. Bank c/w 7% reactor)</t>
  </si>
  <si>
    <t>MC-85a with AC-75 x 2sets</t>
  </si>
  <si>
    <t>85A 4P CONTACTOR</t>
  </si>
  <si>
    <t>MC-85a/4</t>
  </si>
  <si>
    <t>MC-85a-11</t>
  </si>
  <si>
    <t>9A 4P CONTACTOR</t>
  </si>
  <si>
    <t>MC-9a/4</t>
  </si>
  <si>
    <t>MC-9b-11</t>
  </si>
  <si>
    <t>M&amp;E INTERLOCK (3WAY 3 ACB)</t>
  </si>
  <si>
    <t>MI-3</t>
  </si>
  <si>
    <t>Motorised - FROM 16A TO 160A</t>
  </si>
  <si>
    <t>MOP1</t>
  </si>
  <si>
    <t>Motorised - FROM 200A TO 250A</t>
  </si>
  <si>
    <t>MOP2</t>
  </si>
  <si>
    <t>Motorised - FROM 300A TO 630A</t>
  </si>
  <si>
    <t>MOP3</t>
  </si>
  <si>
    <t>Motor Charging Device(AC/DC 200V-250V)
&amp; Closing Coil (200V-250V)</t>
  </si>
  <si>
    <t>MT/CC</t>
  </si>
  <si>
    <t>THERMOL OVERLOAD RELAY 54&lt;I&lt;150A</t>
  </si>
  <si>
    <t>MT-150</t>
  </si>
  <si>
    <t>THERMOL OVERLOAD RELAY 85&lt;I&lt;240A</t>
  </si>
  <si>
    <t>MT-225</t>
  </si>
  <si>
    <t>THERMOL OVERLOAD RELAY 9&lt;I&lt;22A</t>
  </si>
  <si>
    <t>MT-32/3H19</t>
  </si>
  <si>
    <t>THERMOL OVERLOAD RELAY 18&lt;I&lt;40A</t>
  </si>
  <si>
    <t>MT-32/3H34</t>
  </si>
  <si>
    <t>THERMOL OVERLOAD RELAY &lt;9A</t>
  </si>
  <si>
    <t>MT-32/3H7.5</t>
  </si>
  <si>
    <t>THERMOL OVERLOAD RELAY 100&lt;I&lt;400A</t>
  </si>
  <si>
    <t>MT-400</t>
  </si>
  <si>
    <t>THERMOL OVERLOAD RELAY 18&lt;I&lt;65A</t>
  </si>
  <si>
    <t>MT-63</t>
  </si>
  <si>
    <t>THERMOL OVERLOAD RELAY 260&lt;I&lt;800</t>
  </si>
  <si>
    <t>MT-800</t>
  </si>
  <si>
    <t>THERMOL OVERLOAD RELAY 18&lt;I&lt;100A</t>
  </si>
  <si>
    <t>MT-95</t>
  </si>
  <si>
    <t>DIRECT ROTARY HANDLE - FROM 300A TO 400A</t>
  </si>
  <si>
    <t>N70S</t>
  </si>
  <si>
    <t>DIRECT ROTARY HANDLE - FROM 500A TO 800A</t>
  </si>
  <si>
    <t>N80S</t>
  </si>
  <si>
    <t>RKN 6240100</t>
  </si>
  <si>
    <t>RKN</t>
  </si>
  <si>
    <t>RKN 624030</t>
  </si>
  <si>
    <t>RKN 6240300</t>
  </si>
  <si>
    <t>RKN 6263100</t>
  </si>
  <si>
    <t>RKN 626330</t>
  </si>
  <si>
    <t>RKN 6263300</t>
  </si>
  <si>
    <t>RKN 6440100</t>
  </si>
  <si>
    <t>RKN 644030</t>
  </si>
  <si>
    <t>RKN 6440300</t>
  </si>
  <si>
    <t>RKN 6463100</t>
  </si>
  <si>
    <t>RKN 646330</t>
  </si>
  <si>
    <t>RKN 6463300</t>
  </si>
  <si>
    <t>RKP-C10+N/100mA</t>
  </si>
  <si>
    <t>RKP</t>
  </si>
  <si>
    <t>RKP-C10-1+N/30mA</t>
  </si>
  <si>
    <t>RKP-C16-1+N/100mA</t>
  </si>
  <si>
    <t>RKP-C16-1+N/30mA</t>
  </si>
  <si>
    <t>RKP-C20-1+N/100mA</t>
  </si>
  <si>
    <t>RKP-C20-1+N/30mA</t>
  </si>
  <si>
    <t>RKP-C25-1+N/100mA</t>
  </si>
  <si>
    <t>RKP-C25-1+N/30mA</t>
  </si>
  <si>
    <t>RKP-C32-1+N/100mA</t>
  </si>
  <si>
    <t>RKP-C32-1+N/30mA</t>
  </si>
  <si>
    <t>RKP-C6-1+N/100mA</t>
  </si>
  <si>
    <t>RKP-C6-1+N/30mA</t>
  </si>
  <si>
    <t>SHUNT TRIP (110/240VAC)</t>
  </si>
  <si>
    <t>SHT</t>
  </si>
  <si>
    <t>SHUNT TRIP - FROM 15A TO 250A</t>
  </si>
  <si>
    <t>SHT-C</t>
  </si>
  <si>
    <t>SHUNT TRIP - FROM 300A TO 800A</t>
  </si>
  <si>
    <t>ST-3</t>
  </si>
  <si>
    <t>SHUNT TRIP - FROM 1000A TO 1200A</t>
  </si>
  <si>
    <t>ST-4</t>
  </si>
  <si>
    <t>16A ~ 100A 3P 50kA MCCB</t>
  </si>
  <si>
    <t>TD100N FMU(3P)</t>
  </si>
  <si>
    <t>16A ~ 100A 4P 50kA MCCB</t>
  </si>
  <si>
    <t>TD100N FMU(4P)</t>
  </si>
  <si>
    <t>125A ~ 160A 3P 50kA MCCB</t>
  </si>
  <si>
    <t>TD160N FTU(3P)</t>
  </si>
  <si>
    <t>125A ~ 160A 4P 50kA MCCB</t>
  </si>
  <si>
    <t>TD160N FTU(4P)</t>
  </si>
  <si>
    <t>TS250N FTU(200A)(3P)</t>
  </si>
  <si>
    <t>TS250N FTU(200A)(4P)</t>
  </si>
  <si>
    <t>TS250N FTU(250A)(3P)</t>
  </si>
  <si>
    <t>TS250N FTU(250A)(4P)</t>
  </si>
  <si>
    <t>300A, 400A 3P 65kA MCCB</t>
  </si>
  <si>
    <t>TS400N FTU(3P)</t>
  </si>
  <si>
    <t>300A, 400A 4P 65kA MCCB</t>
  </si>
  <si>
    <t>TS400N FTU(4P)</t>
  </si>
  <si>
    <t>500A, 630A 3P 65kA MCCB</t>
  </si>
  <si>
    <t>TS630N FTU(3P)</t>
  </si>
  <si>
    <t>500A, 630A 4P 65kA MCCB</t>
  </si>
  <si>
    <t>TS630N FTU(4P)</t>
  </si>
  <si>
    <t>700A, 800A 3P 65kA MCCB</t>
  </si>
  <si>
    <t>TS800N FTU</t>
  </si>
  <si>
    <t>700A, 800A 4P 65kA MCCB</t>
  </si>
  <si>
    <t>TS800N FTU(4P)</t>
  </si>
  <si>
    <t>Contactor Accessories, MC9 to MC150
Side Mount, 2P, 1NO+1NC</t>
  </si>
  <si>
    <t>UA1-11</t>
  </si>
  <si>
    <t>Contactor Accessories, MC9 to MC150
Front Mount, 2P, 2NO/2NC/1NO+1NC</t>
  </si>
  <si>
    <t>UA2</t>
  </si>
  <si>
    <t>Contactor Accessories, MC9 to MC150
Front Mount, 4P, 4NO/3NO+1NC/2NO+2NC/1NO+3NC/4NC</t>
  </si>
  <si>
    <t>UA4</t>
  </si>
  <si>
    <t>U.V.T Delay Timer Relay</t>
  </si>
  <si>
    <t>UDC</t>
  </si>
  <si>
    <t>U.V.T Coil (380VAC - 480VAC)</t>
  </si>
  <si>
    <t>UVT</t>
  </si>
  <si>
    <t>UNDER VOLTAGE (415VAC)</t>
  </si>
  <si>
    <t>UVT, SUSOL</t>
  </si>
  <si>
    <t>U.V.T (AC.415V) - FROM 300A TO 800A</t>
  </si>
  <si>
    <t>UVT3</t>
  </si>
  <si>
    <t>U.V.T (AC.415V) - FROM 1000A TO 1200A</t>
  </si>
  <si>
    <t>UVT4</t>
  </si>
  <si>
    <t>TBA</t>
  </si>
  <si>
    <t>U.V.T (AC.415V) - FROM 15A TO 250A</t>
  </si>
  <si>
    <t>UVT-C</t>
  </si>
  <si>
    <t>AUX + Alarm Switch - FROM 15A TO 250A</t>
  </si>
  <si>
    <t>XL-C</t>
  </si>
  <si>
    <t xml:space="preserve">LS </t>
  </si>
  <si>
    <t>BKD-63-3</t>
  </si>
  <si>
    <t>6A ~ 32A SP 10KA MCB</t>
  </si>
  <si>
    <t>BKN-b C1011</t>
  </si>
  <si>
    <t>40A ~ 63A SP 10KA MCB</t>
  </si>
  <si>
    <t>BKN-b C10140</t>
  </si>
  <si>
    <t>6A ~ 32A 2P 10KA MCB</t>
  </si>
  <si>
    <t>BKN-b C1021</t>
  </si>
  <si>
    <t>40A ~ 63A 2P 10KA MCB</t>
  </si>
  <si>
    <t>BKN-b C10240</t>
  </si>
  <si>
    <t>6A ~ 32A 3P 10KA MCB</t>
  </si>
  <si>
    <t>BKN-b C1031</t>
  </si>
  <si>
    <t>40A ~ 63A 3P 10KA MCB</t>
  </si>
  <si>
    <t>BKN-b C10340</t>
  </si>
  <si>
    <t>100A 4P 100MA ELCB</t>
  </si>
  <si>
    <t>RKN-b 100mA</t>
  </si>
  <si>
    <t>100A 4P 300MA ELCB</t>
  </si>
  <si>
    <t>RKN-b 300mA</t>
  </si>
  <si>
    <t>BUSBAR By Weight</t>
  </si>
  <si>
    <t>LUVATA</t>
  </si>
  <si>
    <t>BUSBAR- kG</t>
  </si>
  <si>
    <t>kG</t>
  </si>
  <si>
    <t>BUSBAR, 1007A, 120kA
65mm x 10mm</t>
  </si>
  <si>
    <t>BUSBAR, 116A, 15kA
25mm x 3mm</t>
  </si>
  <si>
    <t>BUSBAR, 1317A, 150kA
85mm x 10mm</t>
  </si>
  <si>
    <t>BUSBAR, 1550A, 150kA
100mm x 10mm</t>
  </si>
  <si>
    <t>BUSBAR, 1705A, 150kA
110mm x 10mm</t>
  </si>
  <si>
    <t>BUSBAR, 186A, 20kA
20mm x 6mm</t>
  </si>
  <si>
    <t>BUSBAR, 1860A, 150kA
120mm x 10mm</t>
  </si>
  <si>
    <t>BUSBAR , 2015A, 150kA
130mm x 10mm</t>
  </si>
  <si>
    <t>BUSBAR, 232A, 30kA
25mm x 6mm</t>
  </si>
  <si>
    <t>BUSBAR, 2480A, 100kA
160mm x 10mm</t>
  </si>
  <si>
    <t>BUSBAR, 387A, 50kA
25mm x 10mm</t>
  </si>
  <si>
    <t>BUSBAR, 620A, 80kA
40mm x 10mm</t>
  </si>
  <si>
    <t>BUSBAR, 775A, 100kA
50mm x 10mm</t>
  </si>
  <si>
    <t>BUSBAR, 852A, 100kA
55mm x 10mm</t>
  </si>
  <si>
    <t>100/5A CL1 MCT</t>
  </si>
  <si>
    <t>RING M 100/5A</t>
  </si>
  <si>
    <t>CT</t>
  </si>
  <si>
    <t>MCT</t>
  </si>
  <si>
    <t>1000/5A CL1 MCT</t>
  </si>
  <si>
    <t>RING M 1000/5A</t>
  </si>
  <si>
    <t>1250/5A CL1 MCT</t>
  </si>
  <si>
    <t>RING M 1250/5A</t>
  </si>
  <si>
    <t>150/5A CL1 MCT</t>
  </si>
  <si>
    <t>RING M 150/5A</t>
  </si>
  <si>
    <t>1600/5A CL1 MCT</t>
  </si>
  <si>
    <t>RING M 1600/5A</t>
  </si>
  <si>
    <t>200/5A CL1 MCT</t>
  </si>
  <si>
    <t>RING M 200/5A</t>
  </si>
  <si>
    <t>2000/5A CL1 MCT</t>
  </si>
  <si>
    <t>RING M 2000/5A</t>
  </si>
  <si>
    <t>250/5A CL1 MCT</t>
  </si>
  <si>
    <t>RING M 250/5A</t>
  </si>
  <si>
    <t>2500/5A CL1 MCT</t>
  </si>
  <si>
    <t>RING M 2500/5A</t>
  </si>
  <si>
    <t>300/5A CL1 MCT</t>
  </si>
  <si>
    <t>RING M 300/5A</t>
  </si>
  <si>
    <t>3200/5A CL1 MCT</t>
  </si>
  <si>
    <t>RING M 3200/5A</t>
  </si>
  <si>
    <t>3500/5A CL1 MCT</t>
  </si>
  <si>
    <t>RING M 3500/5A</t>
  </si>
  <si>
    <t>400/5A CL1 MCT</t>
  </si>
  <si>
    <t>RING M 400/5A</t>
  </si>
  <si>
    <t>4000/5A CL1 MCT</t>
  </si>
  <si>
    <t>RING M 4000/5A</t>
  </si>
  <si>
    <t>500/5A CL1 MCT</t>
  </si>
  <si>
    <t>RING M 500/5A</t>
  </si>
  <si>
    <t>5000/5A CL1 MCT</t>
  </si>
  <si>
    <t>RING M 5000/5A</t>
  </si>
  <si>
    <t>60/5A CL1 MCT</t>
  </si>
  <si>
    <t>RING M 60/5A</t>
  </si>
  <si>
    <t>60/5A CL3 MCT</t>
  </si>
  <si>
    <t>RING M 60/5A CL3</t>
  </si>
  <si>
    <t>600/5A CL1 MCT</t>
  </si>
  <si>
    <t>RING M 600/5A</t>
  </si>
  <si>
    <t>6000/5A CL1 MCT</t>
  </si>
  <si>
    <t>RING M 6000/5A</t>
  </si>
  <si>
    <t>800/5A CL1 MCT</t>
  </si>
  <si>
    <t>RING M 800/5A</t>
  </si>
  <si>
    <t>100/5A 10P10 PCT</t>
  </si>
  <si>
    <t>RING P 100/5A</t>
  </si>
  <si>
    <t>PCT</t>
  </si>
  <si>
    <t>1000/5A 10P10 PCT</t>
  </si>
  <si>
    <t>RING P 1000/5A</t>
  </si>
  <si>
    <t>1250/5A 10P10 PCT</t>
  </si>
  <si>
    <t>RING P 1250/5A</t>
  </si>
  <si>
    <t>150/5A 10P10 PCT</t>
  </si>
  <si>
    <t>RING P 150/5A</t>
  </si>
  <si>
    <t>1600/5A 10P10 PCT</t>
  </si>
  <si>
    <t>RING P 1600/5A</t>
  </si>
  <si>
    <t>200/5A 10P10 PCT</t>
  </si>
  <si>
    <t>RING P 200/5A</t>
  </si>
  <si>
    <t>2000/5A 10P10 PCT</t>
  </si>
  <si>
    <t>RING P 2000/5A</t>
  </si>
  <si>
    <t>250/5A 10P10 PCT</t>
  </si>
  <si>
    <t>RING P 250/5A</t>
  </si>
  <si>
    <t>2500/5A 10P10 PCT</t>
  </si>
  <si>
    <t>RING P 2500/5A</t>
  </si>
  <si>
    <t>300/5A 10P10 PCT</t>
  </si>
  <si>
    <t>RING P 300/5A</t>
  </si>
  <si>
    <t>3200/5A 10P10 PCT</t>
  </si>
  <si>
    <t>RING P 3200/5A 5P10</t>
  </si>
  <si>
    <t>400/5A 10P10 PCT</t>
  </si>
  <si>
    <t>RING P 400/5A</t>
  </si>
  <si>
    <t>4000/5A 10P10 PCT</t>
  </si>
  <si>
    <t>RING P 4000/5A</t>
  </si>
  <si>
    <t>500/5A 10P10 PCT</t>
  </si>
  <si>
    <t>RING P 500/5A</t>
  </si>
  <si>
    <t>5000/5A 5P10 PCT</t>
  </si>
  <si>
    <t>RING P 5000/5A 5P10</t>
  </si>
  <si>
    <t>60/5A 5P10 PCT</t>
  </si>
  <si>
    <t>RING P 60/5A</t>
  </si>
  <si>
    <t>600/5A 10P10 PCT</t>
  </si>
  <si>
    <t>RING P 600/5A</t>
  </si>
  <si>
    <t>6000/5A 5P10 PCT</t>
  </si>
  <si>
    <t>RING P 6000/5A 5P10</t>
  </si>
  <si>
    <t>800/5A 10P10 PCT</t>
  </si>
  <si>
    <t>RING P 800/5A</t>
  </si>
  <si>
    <t>Alarm Relay with 24VDC</t>
  </si>
  <si>
    <t>Mikro</t>
  </si>
  <si>
    <t>AL 24</t>
  </si>
  <si>
    <t>DIGITAL POWER METER, with RS485</t>
  </si>
  <si>
    <t>DPM380-415AD</t>
  </si>
  <si>
    <t>DPM380B-415AD</t>
  </si>
  <si>
    <t>DIGITAL POWER METER, with Modbus TCP/IP and Modbus RS485</t>
  </si>
  <si>
    <t>DPM680_415AD</t>
  </si>
  <si>
    <t>DIGITAL POWER METER with Modbus RS485</t>
  </si>
  <si>
    <t>DPM680B_415AD</t>
  </si>
  <si>
    <t>Combined OC &amp; EF RELAY, Supply: 100-240 VAC or 140-340 VDC</t>
  </si>
  <si>
    <t>MIKRO</t>
  </si>
  <si>
    <t>MK2200L</t>
  </si>
  <si>
    <t>MK</t>
  </si>
  <si>
    <t>3-Phase Sequence Voltage Relay</t>
  </si>
  <si>
    <t>MX100-400</t>
  </si>
  <si>
    <t>MX</t>
  </si>
  <si>
    <t>Phase Loss Monitoring Relay</t>
  </si>
  <si>
    <t>MX50-400</t>
  </si>
  <si>
    <t>Combined OC &amp; EF RELAY, Supply: 24-150 VDC</t>
  </si>
  <si>
    <t>NX1000A-150D</t>
  </si>
  <si>
    <t>Combined O/C &amp; E/F RELAY, Supply:198-265 VAC</t>
  </si>
  <si>
    <t>NX1000A-240A</t>
  </si>
  <si>
    <t>Combined OC &amp; EF RELAY, Supply: 85-265 VAC or 110-370 VDC</t>
  </si>
  <si>
    <t>NX1000A-240VAD</t>
  </si>
  <si>
    <t>INST E/F RELAY</t>
  </si>
  <si>
    <t>NX201A</t>
  </si>
  <si>
    <t>IDMT O/C RELAY</t>
  </si>
  <si>
    <t>NX203A</t>
  </si>
  <si>
    <t>DIGITAL INST E/F RELAY</t>
  </si>
  <si>
    <t>NX231A</t>
  </si>
  <si>
    <t>NX301A</t>
  </si>
  <si>
    <t>EARTH LEAKAGE RELAY</t>
  </si>
  <si>
    <t>NX301A-240A</t>
  </si>
  <si>
    <t>12-STEPS POWER FACTOR REGULATOR</t>
  </si>
  <si>
    <t>PFR120-415-50</t>
  </si>
  <si>
    <t>PF Regulator</t>
  </si>
  <si>
    <t>PFR</t>
  </si>
  <si>
    <t>14-STEPS POWER FACTOR REGULATOR</t>
  </si>
  <si>
    <t>PFR140-415-50</t>
  </si>
  <si>
    <t>6-STEPS POWER FACTOR REGULATOR</t>
  </si>
  <si>
    <t>PFR60-415-50</t>
  </si>
  <si>
    <t>8-STEPS POWER FACTOR REGULATOR</t>
  </si>
  <si>
    <t>PFR80-415-50</t>
  </si>
  <si>
    <t>Special core ZCT - 120mm</t>
  </si>
  <si>
    <t>Special core ZCT - 210mm</t>
  </si>
  <si>
    <t>Special core ZCT - 40mm</t>
  </si>
  <si>
    <t>Special core ZCT - 60mm</t>
  </si>
  <si>
    <t>Special core ZCT - 80mm</t>
  </si>
  <si>
    <t>40A 3P 10kA MCB</t>
  </si>
  <si>
    <t>MITSUBISHI</t>
  </si>
  <si>
    <t>BH2-T10 3P C40</t>
  </si>
  <si>
    <t>10A 1P 10kA MCB</t>
  </si>
  <si>
    <t>BHW-T10 1P C10</t>
  </si>
  <si>
    <t>16A 1P 10kA MCB</t>
  </si>
  <si>
    <t>BHW-T10 1P C16</t>
  </si>
  <si>
    <t>20A 1P 10kA MCB</t>
  </si>
  <si>
    <t>BHW-T10 1P C20</t>
  </si>
  <si>
    <t>25A 1P 10kA MCB</t>
  </si>
  <si>
    <t>BHW-T10 1P C25</t>
  </si>
  <si>
    <t>32A 1P 10kA MCB</t>
  </si>
  <si>
    <t>BHW-T10 1P C32</t>
  </si>
  <si>
    <t>40A 1P 10kA MCB</t>
  </si>
  <si>
    <t>BHW-T10 1P C40</t>
  </si>
  <si>
    <t>6A 1P 10kA MCB</t>
  </si>
  <si>
    <t>BHW-T10 1P C6</t>
  </si>
  <si>
    <t>10A 2P 10kA MCB</t>
  </si>
  <si>
    <t>BHW-T10 2P C10</t>
  </si>
  <si>
    <t>16A 2P 10kA MCB</t>
  </si>
  <si>
    <t>BHW-T10 2P C16</t>
  </si>
  <si>
    <t>20A 2P 10kA MCB</t>
  </si>
  <si>
    <t>BHW-T10 2P C20</t>
  </si>
  <si>
    <t>25A 2P 10kA MCB</t>
  </si>
  <si>
    <t>BHW-T10 2P C25</t>
  </si>
  <si>
    <t>32A 2P 10kA MCB</t>
  </si>
  <si>
    <t>BHW-T10 2P C32</t>
  </si>
  <si>
    <t>40A 2P 10kA MCB</t>
  </si>
  <si>
    <t>BHW-T10 2P C40</t>
  </si>
  <si>
    <t>6A 2P 10kA MCB</t>
  </si>
  <si>
    <t>BHW-T10 2P C6</t>
  </si>
  <si>
    <t>10A 3P 10kA MCB</t>
  </si>
  <si>
    <t>BHW-T10 3P C10</t>
  </si>
  <si>
    <t>16A 3P 10kA MCB</t>
  </si>
  <si>
    <t>BHW-T10 3P C16</t>
  </si>
  <si>
    <t>20A 3P 10kA MCB</t>
  </si>
  <si>
    <t>BHW-T10 3P C20</t>
  </si>
  <si>
    <t>25A 3P 10kA MCB</t>
  </si>
  <si>
    <t>BHW-T10 3P C25</t>
  </si>
  <si>
    <t>32A 3P 10kA MCB</t>
  </si>
  <si>
    <t>BHW-T10 3P C32</t>
  </si>
  <si>
    <t>6A 3P 10kA MCB</t>
  </si>
  <si>
    <t>BHW-T10 3P C6</t>
  </si>
  <si>
    <t>100A 2P 100mA RCCB</t>
  </si>
  <si>
    <t>BVW-T 2P 100A 100M</t>
  </si>
  <si>
    <t>100A 2P 30mA RCCB</t>
  </si>
  <si>
    <t>BVW-T 2P 100A 30M</t>
  </si>
  <si>
    <t>40A 2P 100mA RCCB</t>
  </si>
  <si>
    <t>BVW-T 2P 40A 100M</t>
  </si>
  <si>
    <t>40A 2P 300mA RCCB</t>
  </si>
  <si>
    <t>BVW-T 2P 40A 300M</t>
  </si>
  <si>
    <t>40A 2P 30mA RCCB</t>
  </si>
  <si>
    <t>BVW-T 2P 40A 30M</t>
  </si>
  <si>
    <t>63A 2P 100mA RCCB</t>
  </si>
  <si>
    <t>BVW-T 2P 63A 100M</t>
  </si>
  <si>
    <t>63A 2P 300mA RCCB</t>
  </si>
  <si>
    <t>BVW-T 2P 63A 300M</t>
  </si>
  <si>
    <t>63A 2P 30mA RCCB</t>
  </si>
  <si>
    <t>BVW-T 2P 63A 30M</t>
  </si>
  <si>
    <t>100A 4P 100mA RCCB</t>
  </si>
  <si>
    <t>BVW-T 4P 100A 100M</t>
  </si>
  <si>
    <t>100A 4P 300mA RCCB</t>
  </si>
  <si>
    <t>BVW-T 4P 100A 300M</t>
  </si>
  <si>
    <t>100A 4P 30mA RCCB</t>
  </si>
  <si>
    <t>BVW-T 4P 100A 30M</t>
  </si>
  <si>
    <t>40A 4P 100mA RCCB</t>
  </si>
  <si>
    <t>BVW-T 4P 40A 100M</t>
  </si>
  <si>
    <t>40A 4P 300mA RCCB</t>
  </si>
  <si>
    <t>BVW-T 4P 40A 300M</t>
  </si>
  <si>
    <t>40A 4P 30mA RCCB</t>
  </si>
  <si>
    <t>BVW-T 4P 40A 30M</t>
  </si>
  <si>
    <t>63A 4P 100mA RCCB</t>
  </si>
  <si>
    <t>BVW-T 4P 63A 100M</t>
  </si>
  <si>
    <t>63A 4P 300mA RCCB</t>
  </si>
  <si>
    <t>BVW-T 4P 63A 300M</t>
  </si>
  <si>
    <t>63A 4P 30mA RCCB</t>
  </si>
  <si>
    <t>BVW-T 4P 63A 30M</t>
  </si>
  <si>
    <t>80A 4P 100mA RCCB</t>
  </si>
  <si>
    <t>BVW-T 4P 80A 100M</t>
  </si>
  <si>
    <t>100A 2P 30kA MCCB, ICS = 50%ICU, FIXED RATING</t>
  </si>
  <si>
    <t>NF125-CV 100A 2P</t>
  </si>
  <si>
    <t>WS-V</t>
  </si>
  <si>
    <t>125A 2P 30kA MCCB, ICS = 50%ICU, FIXED RATING</t>
  </si>
  <si>
    <t>NF125-CV 125A 2P</t>
  </si>
  <si>
    <t>75A 2P 30kA MCCB, ICS = 50%ICU, FIXED RATING</t>
  </si>
  <si>
    <t>NF125-CV 75A 2P</t>
  </si>
  <si>
    <t>80A 2P 30kA MCCB, ICS = 50%ICU, FIXED RATING</t>
  </si>
  <si>
    <t>NF125-CV 80A 2P</t>
  </si>
  <si>
    <t>100A 2P 50kA MCCB, ICS=100%ICU, FIXED RATING</t>
  </si>
  <si>
    <t>NF125-SV 100A 2P</t>
  </si>
  <si>
    <t>100A 3P 30kA MCCB, ICS=100%ICU, FIXED RATING</t>
  </si>
  <si>
    <t>NF125-SV 100A 3P</t>
  </si>
  <si>
    <t>125A 2P 50kA MCCB, ICS=100%ICU, FIXED RATING</t>
  </si>
  <si>
    <t>NF125-SV 125A 2P</t>
  </si>
  <si>
    <t>16A 2P 50kA MCCB, ICS=100%ICU, FIXED RATING</t>
  </si>
  <si>
    <t>NF125-SV 16A 2P</t>
  </si>
  <si>
    <t>16A 3P 30kA MCCB, ICS=100%ICU, FIXED RATING</t>
  </si>
  <si>
    <t>NF125-SV 16A 3P</t>
  </si>
  <si>
    <t>20A 2P 50kA MCCB, ICS=100%ICU, FIXED RATING</t>
  </si>
  <si>
    <t>NF125-SV 20A 2P</t>
  </si>
  <si>
    <t>20A 3P 30kA MCCB, ICS=100%ICU, FIXED RATING</t>
  </si>
  <si>
    <t>NF125-SV 20A 3P</t>
  </si>
  <si>
    <t>32A 2P 50kA MCCB, ICS=100%ICU, FIXED RATING</t>
  </si>
  <si>
    <t>NF125-SV 32A 2P</t>
  </si>
  <si>
    <t>32A 3P 30kA MCCB, ICS=100%ICU, FIXED RATING</t>
  </si>
  <si>
    <t>NF125-SV 32A 3P</t>
  </si>
  <si>
    <t>40A 2P 50kA MCCB, ICS=100%ICU, FIXED RATING</t>
  </si>
  <si>
    <t>NF125-SV 40A 2P</t>
  </si>
  <si>
    <t>40A 3P 30kA MCCB, ICS=100%ICU, FIXED RATING</t>
  </si>
  <si>
    <t>NF125-SV 40A 3P</t>
  </si>
  <si>
    <t>50A 2P 50kA MCCB, ICS=100%ICU, FIXED RATING</t>
  </si>
  <si>
    <t>NF125-SV 50A 2P</t>
  </si>
  <si>
    <t>50A 3P 30kA MCCB, ICS=100%ICU, FIXED RATING</t>
  </si>
  <si>
    <t>NF125-SV 50A 3P</t>
  </si>
  <si>
    <t>63A 2P 50kA MCCB, ICS=100%ICU, FIXED RATING</t>
  </si>
  <si>
    <t>NF125-SV 63A 2P</t>
  </si>
  <si>
    <t>63A 3P 30kA MCCB, ICS=100%ICU, FIXED RATING</t>
  </si>
  <si>
    <t>NF125-SV 63A 3P</t>
  </si>
  <si>
    <t>75A 2P 50kA MCCB, ICS=100%ICU, FIXED RATING</t>
  </si>
  <si>
    <t>NF125-SV 75A 2P</t>
  </si>
  <si>
    <t>75A 3P 30kA MCCB, ICS=100%ICU, FIXED RATING</t>
  </si>
  <si>
    <t>NF125-SV 75A 3P</t>
  </si>
  <si>
    <t>80A 2P 50kA MCCB, ICS=100%ICU, FIXED RATING</t>
  </si>
  <si>
    <t>NF125-SV 80A 2P</t>
  </si>
  <si>
    <t>80A 3P 30kA MCCB, ICS=100%ICU, FIXED RATING</t>
  </si>
  <si>
    <t>NF125-SV 80A 3P</t>
  </si>
  <si>
    <t>10A 2P 5kA MCCB, ICS = 100%ICU, FIXED RATING</t>
  </si>
  <si>
    <t>NF32-SV 10A 2P</t>
  </si>
  <si>
    <t>10A 3P 7.5kA MCCB, ICS=100%ICU, FIXED RATING</t>
  </si>
  <si>
    <t>NF32-SV 10A 3P</t>
  </si>
  <si>
    <t>16A 2P 5kA MCCB, ICS = 100%ICU, FIXED RATING</t>
  </si>
  <si>
    <t>NF32-SV 16A 2P</t>
  </si>
  <si>
    <t>16A 3P 7.5kA MCCB, ICS=100%ICU, FIXED RATING</t>
  </si>
  <si>
    <t>NF32-SV 16A 3P</t>
  </si>
  <si>
    <t>20A 2P 5kA MCCB, ICS = 100%ICU, FIXED RATING</t>
  </si>
  <si>
    <t>NF32-SV 20A 2P</t>
  </si>
  <si>
    <t>20A 3P 7.5kA MCCB, ICS=100%ICU, FIXED RATING</t>
  </si>
  <si>
    <t>NF32-SV 20A 3P</t>
  </si>
  <si>
    <t>32A 2P 5kA MCCB, ICS = 100%ICU, FIXED RATING</t>
  </si>
  <si>
    <t>NF32-SV 32A 2P</t>
  </si>
  <si>
    <t>32A 3P 7.5kA MCCB, ICS=100%ICU, FIXED RATING</t>
  </si>
  <si>
    <t>NF32-SV 32A 3P</t>
  </si>
  <si>
    <t>3A 2P 5kA MCCB, ICS = 100%ICU, FIXED RATING</t>
  </si>
  <si>
    <t>NF32-SV 3A 2P</t>
  </si>
  <si>
    <t>3A 3P 7.5kA MCCB, ICS=100%ICU, FIXED RATING</t>
  </si>
  <si>
    <t>NF32-SV 3A 3P</t>
  </si>
  <si>
    <t>6A 2P 5kA MCCB, ICS = 100%ICU, FIXED RATING</t>
  </si>
  <si>
    <t>NF32-SV 6A 2P</t>
  </si>
  <si>
    <t>6A 3P 7.5kA MCCB, ICS=100%ICU, FIXED RATING</t>
  </si>
  <si>
    <t>NF32-SV 6A 3P</t>
  </si>
  <si>
    <t>10A 2P 15kA MCCB, ICS = 100%ICU, FIXED RATING</t>
  </si>
  <si>
    <t>NF63-SV 10A 2P</t>
  </si>
  <si>
    <t>16A 2P 15kA MCCB, ICS = 100%ICU, FIXED RATING</t>
  </si>
  <si>
    <t>NF63-SV 16A 2P</t>
  </si>
  <si>
    <t>20A 2P 15kA MCCB, ICS = 100%ICU, FIXED RATING</t>
  </si>
  <si>
    <t>NF63-SV 20A 2P</t>
  </si>
  <si>
    <t>25A 2P 15kA MCCB, ICS = 100%ICU, FIXED RATING</t>
  </si>
  <si>
    <t>NF63-SV 25A 2P</t>
  </si>
  <si>
    <t>32A 2P 15kA MCCB, ICS = 100%ICU, FIXED RATING</t>
  </si>
  <si>
    <t>NF63-SV 32A 2P</t>
  </si>
  <si>
    <t>40A 2P 15kA MCCB, ICS = 100%ICU, FIXED RATING</t>
  </si>
  <si>
    <t>NF63-SV 40A 2P</t>
  </si>
  <si>
    <t>50A 2P 15kA MCCB, ICS = 100%ICU, FIXED RATING</t>
  </si>
  <si>
    <t>NF63-SV 50A 2P</t>
  </si>
  <si>
    <t>63A 2P 15kA MCCB, ICS = 100%ICU, FIXED RATING</t>
  </si>
  <si>
    <t>NF63-SV 63A 2P</t>
  </si>
  <si>
    <t>NF32-250 CV/SV/HV, SHUNT TRIP 100 - 200VAC</t>
  </si>
  <si>
    <t>SHT-240-05SVR</t>
  </si>
  <si>
    <t>9A 3P CONTACTOR, AC3</t>
  </si>
  <si>
    <t>S-T10</t>
  </si>
  <si>
    <t>12A 3P CONTACTOR, AC3</t>
  </si>
  <si>
    <t>S-T12</t>
  </si>
  <si>
    <t>18A 3P CONTACTOR, AC3</t>
  </si>
  <si>
    <t>S-T20</t>
  </si>
  <si>
    <t>20A 3P CONTACTOR, AC3</t>
  </si>
  <si>
    <t>S-T21</t>
  </si>
  <si>
    <t>25A 3P CONTACTOR, AC3</t>
  </si>
  <si>
    <t>S-T25</t>
  </si>
  <si>
    <t>30A 3P CONTACTOR, AC3</t>
  </si>
  <si>
    <t>S-T35</t>
  </si>
  <si>
    <t>40A 3P CONTACTOR, AC3</t>
  </si>
  <si>
    <t>S-T50</t>
  </si>
  <si>
    <t>60A 3P CONTACTOR, AC3</t>
  </si>
  <si>
    <t>S-T60</t>
  </si>
  <si>
    <t>THERMAL OVERLOAD RELAY 0.1 ~ 0.16A</t>
  </si>
  <si>
    <t>TH-T18KP/0.12A</t>
  </si>
  <si>
    <t>S-T</t>
  </si>
  <si>
    <t>THERMAL OVERLOAD RELAY 0.14 ~ 0.22A</t>
  </si>
  <si>
    <t>TH-T18KP/0.17A</t>
  </si>
  <si>
    <t>THERMAL OVERLOAD RELAY 0.2 ~ 0.32A</t>
  </si>
  <si>
    <t>TH-T18KP/0.24A</t>
  </si>
  <si>
    <t>THERMAL OVERLOAD RELAY 0.28 ~ 0.42A</t>
  </si>
  <si>
    <t>TH-T18KP/0.35A</t>
  </si>
  <si>
    <t>THERMAL OVERLOAD RELAY 0.4 ~ 0.6A</t>
  </si>
  <si>
    <t>TH-T18KP/0.5A</t>
  </si>
  <si>
    <t>THERMAL OVERLOAD RELAY 0.55 ~ 0.85A</t>
  </si>
  <si>
    <t>TH-T18KP/0.7A</t>
  </si>
  <si>
    <t>THERMAL OVERLOAD RELAY 0. 7~ 1.1A</t>
  </si>
  <si>
    <t>TH-T18KP/0.9A</t>
  </si>
  <si>
    <t>THERMAL OVERLOAD RELAY 1.0 ~ 1.6A</t>
  </si>
  <si>
    <t>TH-T18KP/1.3A</t>
  </si>
  <si>
    <t>THERMAL OVERLOAD RELAY 1.4 ~ 2.0A</t>
  </si>
  <si>
    <t>TH-T18KP/1.7A</t>
  </si>
  <si>
    <t>THERMAL OVERLOAD RELAY 9.0 ~ 13A</t>
  </si>
  <si>
    <t>TH-T18KP/11A</t>
  </si>
  <si>
    <t>THERMAL OVERLOAD RELAY 12 ~ 18A</t>
  </si>
  <si>
    <t>TH-T18KP/15A</t>
  </si>
  <si>
    <t>THERMAL OVERLOAD RELAY 1.7 ~ 2.5A</t>
  </si>
  <si>
    <t>TH-T18KP/2.1A</t>
  </si>
  <si>
    <t>THERMAL OVERLOAD RELAY 2.0 ~ 3.0A</t>
  </si>
  <si>
    <t>TH-T18KP/2.5A</t>
  </si>
  <si>
    <t>THERMAL OVERLOAD RELAY 2.8 ~ 4.4A</t>
  </si>
  <si>
    <t>TH-T18KP/3.6A</t>
  </si>
  <si>
    <t>THERMAL OVERLOAD RELAY 4.0 ~ 6.0A</t>
  </si>
  <si>
    <t>TH-T18KP/5A</t>
  </si>
  <si>
    <t>THERMAL OVERLOAD RELAY 5.2 ~ 8.0A</t>
  </si>
  <si>
    <t>TH-T18KP/6.6A</t>
  </si>
  <si>
    <t>THERMAL OVERLOAD RELAY 7.0 ~ 11A</t>
  </si>
  <si>
    <t>TH-T18KP/9A</t>
  </si>
  <si>
    <t>100kvar 7% Reactor, Aluminium Winding</t>
  </si>
  <si>
    <t>Mun Hean</t>
  </si>
  <si>
    <t>100kvar 7% Reactor, ALU-MH</t>
  </si>
  <si>
    <t>100kvar 7% Reactor, Copper Winding</t>
  </si>
  <si>
    <t>100kvar 7% Reactor, CU-MH</t>
  </si>
  <si>
    <t>10kvar 7% Reactor, Aluminium Winding</t>
  </si>
  <si>
    <t>10kvar 7% Reactor, ALU-MH</t>
  </si>
  <si>
    <t>10kvar 7% Reactor, Copper Winding</t>
  </si>
  <si>
    <t>10kvar 7% Reactor, CU-MH</t>
  </si>
  <si>
    <t>120kvar 7% Reactor, Aluminium Winding</t>
  </si>
  <si>
    <t>120kvar 7% Reactor, ALU-MH</t>
  </si>
  <si>
    <t>120kvar 7% Reactor, Copper Winding</t>
  </si>
  <si>
    <t>120kvar 7% Reactor, CU-MH</t>
  </si>
  <si>
    <t>15kvar 7% Reactor, Aluminium Winding</t>
  </si>
  <si>
    <t>15kvar 7% Reactor, ALU-MH</t>
  </si>
  <si>
    <t>15kvar 7% Reactor, Copper Winding</t>
  </si>
  <si>
    <t>15kvar 7% Reactor, CU-MH</t>
  </si>
  <si>
    <t>20kvar 7% Reactor, Aluminium Winding</t>
  </si>
  <si>
    <t>20kvar 7% Reactor, ALU-MH</t>
  </si>
  <si>
    <t>25kvar 7% Reactor, Copper Winding</t>
  </si>
  <si>
    <t>20kvar 7% Reactor, CU-MH</t>
  </si>
  <si>
    <t>25kvar 7% Reactor, Aluminium Winding</t>
  </si>
  <si>
    <t>25kvar 7% Reactor, ALU-MH</t>
  </si>
  <si>
    <t>20kvar 7% Reactor, Copper Winding</t>
  </si>
  <si>
    <t>25kvar 7% Reactor, CU-MH</t>
  </si>
  <si>
    <t>30kvar 7% Reactor, Aluminium Winding</t>
  </si>
  <si>
    <t>30kvar 7% Reactor, ALU-MH</t>
  </si>
  <si>
    <t>30kvar 7% Reactor, Copper Winding</t>
  </si>
  <si>
    <t>30kvar 7% Reactor, CU-MH</t>
  </si>
  <si>
    <t>40kvar 7% Reactor, Aluminium Winding</t>
  </si>
  <si>
    <t>40kvar 7% Reactor, ALU-MH</t>
  </si>
  <si>
    <t>40kvar 7% Reactor, Copper Winding</t>
  </si>
  <si>
    <t>40kvar 7% Reactor, CU-MH</t>
  </si>
  <si>
    <t>50kvar 7% Reactor, Aluminium Winding</t>
  </si>
  <si>
    <t>50kvar 7% Reactor, ALU-MH</t>
  </si>
  <si>
    <t>50kvar 7% Reactor, Copper Winding</t>
  </si>
  <si>
    <t>50kvar 7% Reactor, CU-MH</t>
  </si>
  <si>
    <t>5kvar 7% Reactor, Aluminium Winding</t>
  </si>
  <si>
    <t>5kvar 7% Reactor, ALU-MH</t>
  </si>
  <si>
    <t>5kvar 7% Reactor, Copper Winding</t>
  </si>
  <si>
    <t>5kvar 7% Reactor, CU-MH</t>
  </si>
  <si>
    <t>60kvar 7% Reactor, Aluminium Winding</t>
  </si>
  <si>
    <t>60kvar 7% Reactor, ALU-MH</t>
  </si>
  <si>
    <t>60kvar 7% Reactor, Copper Winding</t>
  </si>
  <si>
    <t>60kvar 7% Reactor, CU-MH</t>
  </si>
  <si>
    <t>70kvar 7% Reactor, Aluminium Winding</t>
  </si>
  <si>
    <t>70kvar 7% Reactor, ALU-MH</t>
  </si>
  <si>
    <t>70kvar 7% Reactor, Copper Winding</t>
  </si>
  <si>
    <t>70kvar 7% Reactor, CU-MH</t>
  </si>
  <si>
    <t>75kvar 7% Reactor, Aluminium Winding</t>
  </si>
  <si>
    <t>75kvar 7% Reactor, ALU-MH</t>
  </si>
  <si>
    <t>75kvar 7% Reactor, Copper Winding</t>
  </si>
  <si>
    <t>75kvar 7% Reactor, CU-MH</t>
  </si>
  <si>
    <t>80kvar 7% Reactor, Aluminium Winding</t>
  </si>
  <si>
    <t>80kvar 7% Reactor, ALU-MH</t>
  </si>
  <si>
    <t>80kvar 7% Reactor, Copper Winding</t>
  </si>
  <si>
    <t>80kvar 7% Reactor, CU-MH</t>
  </si>
  <si>
    <t>ZCT 35mm</t>
  </si>
  <si>
    <t>CBCT 35mm 150A</t>
  </si>
  <si>
    <t>ZCT 50mm</t>
  </si>
  <si>
    <t>CBCT 50mm 250A</t>
  </si>
  <si>
    <t>12-STEPS POWER FACTOR REGULATOR, ECONOMICAL MODEL</t>
  </si>
  <si>
    <t>MH MSC 12N</t>
  </si>
  <si>
    <t>6-STEPS POWER FACTOR REGULATOR, ECONOMICAL MODEL</t>
  </si>
  <si>
    <t>MUN HEAN</t>
  </si>
  <si>
    <t>MH MSC 6N</t>
  </si>
  <si>
    <t>DTL E/F Type without mechanical trip button</t>
  </si>
  <si>
    <t>REF 18e</t>
  </si>
  <si>
    <t>E series</t>
  </si>
  <si>
    <t>IDMT E/F Type without mechanical trip button</t>
  </si>
  <si>
    <t>REF052e</t>
  </si>
  <si>
    <t>E Series</t>
  </si>
  <si>
    <t>REL10</t>
  </si>
  <si>
    <t>IDMT O/C Type without mechanical trip button</t>
  </si>
  <si>
    <t>ROA 207e</t>
  </si>
  <si>
    <t>25kA, 63A Fuse, L-L, L-N, Surge Arrestor</t>
  </si>
  <si>
    <t>Novaris</t>
  </si>
  <si>
    <t>SD3-100-275</t>
  </si>
  <si>
    <t>SD</t>
  </si>
  <si>
    <t>25kA, 63A Fuse, L-L, L-N, N-PE, Surge Arrestor</t>
  </si>
  <si>
    <t>SD3-100-275-N</t>
  </si>
  <si>
    <t>25kA, 80A Fuse, L-L, L-N, Surge Arrestor</t>
  </si>
  <si>
    <t>SD3-150-275</t>
  </si>
  <si>
    <t>25kA, 80A Fuse, L-L, L-N, N-PE, Surge Arrestor</t>
  </si>
  <si>
    <t>SD3-150-275-N</t>
  </si>
  <si>
    <t>50kA, 100A Fuse, L-L, L-N, Surge Arrestor</t>
  </si>
  <si>
    <t>SD3-200-275</t>
  </si>
  <si>
    <t>50kA, 100A Fuse, L-L, L-N, N-PE, Surge Arrestor</t>
  </si>
  <si>
    <t>SD3-200-275-N</t>
  </si>
  <si>
    <t>Floatless relay c/w 11 Pin Socket</t>
  </si>
  <si>
    <t>Omron</t>
  </si>
  <si>
    <t>61F-GP-N AC200</t>
  </si>
  <si>
    <t>Ratchet Relay, 5A at AC220V + Base Socket</t>
  </si>
  <si>
    <t>G4q-212S AC220</t>
  </si>
  <si>
    <t>Solid State Analog Timer Relay c/w base</t>
  </si>
  <si>
    <t>H3CR-A8 + PF083A-E</t>
  </si>
  <si>
    <t>Power Relay, MM4P</t>
  </si>
  <si>
    <t>MM4P AC240</t>
  </si>
  <si>
    <t>Latching Relay, Omron with based</t>
  </si>
  <si>
    <t>MY2K DC24 + PYF14A-N BY OMZ</t>
  </si>
  <si>
    <t>Ommura special DC power supply
IN: 240VAC
Out: 110VDC
Rating: 10A</t>
  </si>
  <si>
    <t>OM-S8VK-G480(2each)</t>
  </si>
  <si>
    <t>Supply</t>
  </si>
  <si>
    <t>Limit switch, 1NO+1NC</t>
  </si>
  <si>
    <t>WLCA2-2</t>
  </si>
  <si>
    <t>Blow Out Filter Fan</t>
  </si>
  <si>
    <t>PFANNENBERG</t>
  </si>
  <si>
    <t>PFB43000 "A" EEPFFF10019XX</t>
  </si>
  <si>
    <t>Fan</t>
  </si>
  <si>
    <t>PFB</t>
  </si>
  <si>
    <t>Phoenix End cover for TB4</t>
  </si>
  <si>
    <t>Phoenix</t>
  </si>
  <si>
    <t>D-TB 4/10 3059919</t>
  </si>
  <si>
    <t>Phoenix 4mm terminal block</t>
  </si>
  <si>
    <t>TB 4 I 3246314</t>
  </si>
  <si>
    <t>Signal Conditioner, Signal Isolator - 4~20mA</t>
  </si>
  <si>
    <t>Phoenix Contact</t>
  </si>
  <si>
    <t>MINI MCR-2-I-I-PT</t>
  </si>
  <si>
    <t>5kvar 7%, Class H Reactor, Aluminium Winding</t>
  </si>
  <si>
    <t>QPS</t>
  </si>
  <si>
    <t>005kvar 7% Reactor, ALU-QPS</t>
  </si>
  <si>
    <t>5kvar 7%, Class H Reactor, Copper Winding</t>
  </si>
  <si>
    <t>005kvar 7% Reactor, CU-QPS</t>
  </si>
  <si>
    <t>10kvar 7%, Class H Reactor, Aluminium Winding</t>
  </si>
  <si>
    <t>010kvar 7% Reactor, ALU-QPS</t>
  </si>
  <si>
    <t>10kvar 7%, Class H Reactor, Copper Winding</t>
  </si>
  <si>
    <t>010kvar 7% Reactor, CU-QPS</t>
  </si>
  <si>
    <t>15kvar 7%, Class H Reactor, Aluminium Winding</t>
  </si>
  <si>
    <t>015kvar 7% Reactor, ALU-QPS</t>
  </si>
  <si>
    <t>15kvar 7%, Class H Reactor, Copper Winding</t>
  </si>
  <si>
    <t>015kvar 7% Reactor, CU-QPS</t>
  </si>
  <si>
    <t>20kvar 7%, Class H Reactor, Aluminium Winding</t>
  </si>
  <si>
    <t>020kvar 7% Reactor, ALU-QPS</t>
  </si>
  <si>
    <t>20kvar 7%, Class H Reactor, Copper Winding</t>
  </si>
  <si>
    <t>020kvar 7% Reactor, CU-QPS</t>
  </si>
  <si>
    <t>25kvar 7%, Class H Reactor, Aluminium Winding</t>
  </si>
  <si>
    <t>025kvar 7% Reactor, ALU-QPS</t>
  </si>
  <si>
    <t>25kvar 7%, Class H Reactor, Copper Winding</t>
  </si>
  <si>
    <t>025kvar 7% Reactor, CU-QPS</t>
  </si>
  <si>
    <t>30kvar 7%, Class H Reactor, Aluminium Winding</t>
  </si>
  <si>
    <t>030kvar 7% Reactor, ALU-QPS</t>
  </si>
  <si>
    <t>30kvar 7%, Class H Reactor, Copper Winding</t>
  </si>
  <si>
    <t>030kvar 7% Reactor, CU-QPS</t>
  </si>
  <si>
    <t>40kvar 7%, Class H Reactor, Aluminium Winding</t>
  </si>
  <si>
    <t>040kvar 7% Reactor, ALU-QPS</t>
  </si>
  <si>
    <t>40kvar 7%, Class H Reactor, Copper Winding</t>
  </si>
  <si>
    <t>040kvar 7% Reactor, CU-QPS</t>
  </si>
  <si>
    <t>50kvar 7%, Class H Reactor, Aluminium Winding</t>
  </si>
  <si>
    <t>050kvar 7% Reactor, ALU-QPS</t>
  </si>
  <si>
    <t>50kvar 7%, Class H Reactor, Copper Winding</t>
  </si>
  <si>
    <t>050kvar 7% Reactor, CU-QPS</t>
  </si>
  <si>
    <t>60kvar 7%, Class H Reactor, Aluminium Winding</t>
  </si>
  <si>
    <t>060kvar 7% Reactor, ALU-QPS</t>
  </si>
  <si>
    <t>60kvar 7%, Class H Reactor, Copper Winding</t>
  </si>
  <si>
    <t>060kvar 7% Reactor, CU-QPS</t>
  </si>
  <si>
    <t>70kvar 7%, Class H Reactor, Aluminium Winding</t>
  </si>
  <si>
    <t>070kvar 7% Reactor, ALU-QPS</t>
  </si>
  <si>
    <t>70kvar 7%, Class H Reactor, Copper Winding</t>
  </si>
  <si>
    <t>070kvar 7% Reactor, CU-QPS</t>
  </si>
  <si>
    <t>75kvar 7%, Class H Reactor, Aluminium Winding</t>
  </si>
  <si>
    <t>075kvar 7% Reactor, ALU-QPS</t>
  </si>
  <si>
    <t>75kvar 7%, Class H Reactor, Copper Winding</t>
  </si>
  <si>
    <t>075kvar 7% Reactor, CU-QPS</t>
  </si>
  <si>
    <t>80kvar 7%, Class H Reactor, Aluminium Winding</t>
  </si>
  <si>
    <t>080kvar 7% Reactor, ALU-QPS</t>
  </si>
  <si>
    <t>80kvar 7%, Class H Reactor, Copper Winding</t>
  </si>
  <si>
    <t>080kvar 7% Reactor, CU-QPS</t>
  </si>
  <si>
    <t>100kvar 7%, Class H Reactor, Aluminium Winding</t>
  </si>
  <si>
    <t>100kvar 7% Reactor, ALU-QPS</t>
  </si>
  <si>
    <t>100kvar 7%, Class H Reactor, Copper Winding</t>
  </si>
  <si>
    <t>100kvar 7% Reactor, CU-QPS</t>
  </si>
  <si>
    <t>A/T</t>
  </si>
  <si>
    <t>110kW A/T (Three Tapping)</t>
  </si>
  <si>
    <t>110kW A/T 3T</t>
  </si>
  <si>
    <t>11kW A/T (Three Tapping)</t>
  </si>
  <si>
    <t>11kW A/T 3T</t>
  </si>
  <si>
    <t>120kvar 7%, Class H Reactor, Aluminium Winding</t>
  </si>
  <si>
    <t>120kvar 7% Reactor, ALU-QPS</t>
  </si>
  <si>
    <t>120kvar 7%, Class H Reactor, Copper Winding</t>
  </si>
  <si>
    <t>120kvar 7% Reactor, CU-QPS</t>
  </si>
  <si>
    <t>125kW A/T (Three Tapping), Aluminium</t>
  </si>
  <si>
    <t>125kW A/T 3T</t>
  </si>
  <si>
    <t>140kW A/T (Three Tapping)</t>
  </si>
  <si>
    <t>140kW A/T 3T</t>
  </si>
  <si>
    <t>150kvar 7%, Class H Reactor, Aluminium Winding</t>
  </si>
  <si>
    <t>150kvar 7% Reactor, ALU-QPS</t>
  </si>
  <si>
    <t>150kvar 7%, Class H Reactor, Copper Winding</t>
  </si>
  <si>
    <t>150kvar 7% Reactor, CU-QPS</t>
  </si>
  <si>
    <t>15kW A/T (Single Tapping)</t>
  </si>
  <si>
    <t>15kW A/T 1T</t>
  </si>
  <si>
    <t>170kW A/T (Three Tapping)</t>
  </si>
  <si>
    <t>170kW A/T 3T</t>
  </si>
  <si>
    <t xml:space="preserve"> 19kW A/T (Three Tapping)</t>
  </si>
  <si>
    <t>19kW A/T 3T</t>
  </si>
  <si>
    <t>22kW A/T (Three Tapping)</t>
  </si>
  <si>
    <t>22kW A/T 3T</t>
  </si>
  <si>
    <t>261kW A/T (Three Tapping)</t>
  </si>
  <si>
    <t>261kW A/T 3T</t>
  </si>
  <si>
    <t>30kW A/T (Three Tapping)</t>
  </si>
  <si>
    <t>30kW A/T 3T</t>
  </si>
  <si>
    <t>35kW A/T (Three Tapping)</t>
  </si>
  <si>
    <t>35kW A/T 3T</t>
  </si>
  <si>
    <t>37kW A/T (Three Tapping)</t>
  </si>
  <si>
    <t>37kW A/T 3T</t>
  </si>
  <si>
    <t>40kW A/T (Three Tapping)</t>
  </si>
  <si>
    <t>40kW A/T 3T</t>
  </si>
  <si>
    <t>5.5kW A/T (Single Tapping)</t>
  </si>
  <si>
    <t>5.5kW A/T 1T</t>
  </si>
  <si>
    <t>7.5kW A/T (Single Tapping)</t>
  </si>
  <si>
    <t>7.5kW A/T 1T</t>
  </si>
  <si>
    <t>90kW A/T (Three Tapping)</t>
  </si>
  <si>
    <t>90kW A/T 3T</t>
  </si>
  <si>
    <t>QPS Thee phase isolation transformer complete with IP20 Metal Enclosure only
Input: 400 (Delta)
Output: 380V(star+neutral, phase to phase)
                :220V(phase to neutral)
Capacity:50KVA</t>
  </si>
  <si>
    <t>QPS 3P Iso. Trans. c/w IP20 Enclosure 380/220 - YND - 50KVA</t>
  </si>
  <si>
    <t>Transformer</t>
  </si>
  <si>
    <t>QPS 3Phase Isolation transformer complete with IP20 Metal Enclosure only
Input: 400V(Delta) + earth
Output: 400V (Star+neutral, phase to phase)+earth
               :230V(phase to neutral)
Capacity: 800KVA</t>
  </si>
  <si>
    <t>QPS 3P Iso. Trans. c/w IP20 Enclosure 400/400 - YND - 800KVA</t>
  </si>
  <si>
    <t>QPS 3Phase Isolator Transformer c/w IP20 Metal Enclosure
Input: 460V(Delta)
Output: 220V (Star +N, Phase to phase), 127V (Phase to Neutral)
Capacity:350kVA
Vector Group: DYN11, 60Hz
Class H: 125 temp. rise
H1400 x W1300 x D1240</t>
  </si>
  <si>
    <t>QPS 3P Iso. Trans. c/w IP20 Enclosure
460/220 - dyn11 - 350kVA</t>
  </si>
  <si>
    <t>QPS Three phase isolation transformer c/w IP20 metal casing only
Input:460V(Delta)
Output: 240V(Delta)
Capacity 150kVA</t>
  </si>
  <si>
    <t>QPS 3P Iso.Trans. c/w IP20 Enclosure 460/240 DD - 150kVA</t>
  </si>
  <si>
    <t>Step down transformer In:440V 220V Out:220V 110V 2kVA 3P</t>
  </si>
  <si>
    <t>StepDown 3P 440-220 2kVA</t>
  </si>
  <si>
    <t>Step down transformer In:440V 220V Out:220V 110V 50VA 3P</t>
  </si>
  <si>
    <t>StepDown 3P 440-220 50VA</t>
  </si>
  <si>
    <t>Step down transformer In:230V Out:230V 50VA SP</t>
  </si>
  <si>
    <t>StepDown SP 230-230 50VA</t>
  </si>
  <si>
    <t>Step down transformer In:380V Out:190V 50VA 1P</t>
  </si>
  <si>
    <t>StepDown SP 380-190 50VA</t>
  </si>
  <si>
    <t>Step down transformer In:440V 220V Out:220V 110V 2kVA SP</t>
  </si>
  <si>
    <t>StepDown SP 440-220 2kVA</t>
  </si>
  <si>
    <t>Step down transformer In:440V 220V Out:220V 110V 50VA SP</t>
  </si>
  <si>
    <t>StepDown SP 440-220 50VA</t>
  </si>
  <si>
    <t>Automatic Battery Charger</t>
  </si>
  <si>
    <t>Relco</t>
  </si>
  <si>
    <t>ABC</t>
  </si>
  <si>
    <t>Charger</t>
  </si>
  <si>
    <t>Test Terminal Block, PTT, CTT</t>
  </si>
  <si>
    <t>Rudolf</t>
  </si>
  <si>
    <t>TTB13</t>
  </si>
  <si>
    <t>Test Terminal Block</t>
  </si>
  <si>
    <t>ANALOGUE AMMETER, 90 Deg Cls 1.5, 144x144mm</t>
  </si>
  <si>
    <t>SACI</t>
  </si>
  <si>
    <t>EC2V Ammeter CT …/5A 144x144mm</t>
  </si>
  <si>
    <t>EC2V Ammeter CT …/5A 96x96mm</t>
  </si>
  <si>
    <t>ANALOGUE VOLTMETER, 90 Deg Cls 1.5, 144x144mm</t>
  </si>
  <si>
    <t>EC2V Voltmeter 0-500V 144x144mm</t>
  </si>
  <si>
    <t>Double Voltmeter, 0-500V, 144x144mm</t>
  </si>
  <si>
    <t>EC2VII Double Voltmeter 144x144mm</t>
  </si>
  <si>
    <t>FREQUENCY METER, 144x144mm</t>
  </si>
  <si>
    <t>FC2A Freq Meter 144x144mm</t>
  </si>
  <si>
    <t>Double Frequency Meter, 144x144mm</t>
  </si>
  <si>
    <t>FC2VII Double Freq Meter 144x144mm</t>
  </si>
  <si>
    <t>Synchronoscope Meter c/w Resistor Box</t>
  </si>
  <si>
    <t>SC2VI SYNC Meter 144x144mm</t>
  </si>
  <si>
    <t>Power Factor Meter, 144x144mm</t>
  </si>
  <si>
    <t>SC2VIE Power Meter 144x144mm</t>
  </si>
  <si>
    <t>kW Meter Unbalanced (3CT), 144x144mm</t>
  </si>
  <si>
    <t>WC2V3E Kilowatt Meter 144x144mm</t>
  </si>
  <si>
    <t>kW Meter Balanced, 144x144mm</t>
  </si>
  <si>
    <t>WC2VInE Kilowatt Meter 144x144mm</t>
  </si>
  <si>
    <t>Indicating Light With Buzzer</t>
  </si>
  <si>
    <t>Salzer</t>
  </si>
  <si>
    <t>IL with Buzzer</t>
  </si>
  <si>
    <t>SELECTOR SWITCH, VOLMETER</t>
  </si>
  <si>
    <t>SALZER</t>
  </si>
  <si>
    <t>S10-61313-B13</t>
  </si>
  <si>
    <t>SELECTOR SWITCH, AMMETER</t>
  </si>
  <si>
    <t>S10-61325-B13</t>
  </si>
  <si>
    <t>SELECTOR SWITCH, ON/OFF</t>
  </si>
  <si>
    <t>S16-61002-B13</t>
  </si>
  <si>
    <t>SELECTOR SWITCH, 0-1-2-3-4</t>
  </si>
  <si>
    <t>S16-61060</t>
  </si>
  <si>
    <t>EXHAUST FAN</t>
  </si>
  <si>
    <t>Vent fan</t>
  </si>
  <si>
    <t>Auxiliary contacts, OF or CAM (early-make or break)</t>
  </si>
  <si>
    <t>Compact</t>
  </si>
  <si>
    <t>Key only, keylock adapter not included</t>
  </si>
  <si>
    <t>CVS</t>
  </si>
  <si>
    <t>Mechanical Interlocking for source changeover (MVS ACB)</t>
  </si>
  <si>
    <t>MVS</t>
  </si>
  <si>
    <t>Undervoltage Release, MN (Drawout)
- 380-480 V AC</t>
  </si>
  <si>
    <t>Gear Motor, MCH (Drawout)
200-240V</t>
  </si>
  <si>
    <t>OFF position locking,
By Ronis keylocks
- 1 lock with 1 key + adaption kit</t>
  </si>
  <si>
    <t>OFF position locking,
By Ronis keylocks
- 2 lock with 1 key + adaption kit</t>
  </si>
  <si>
    <t>Mechanical Interlocking for 3 units of fixed/ drawout type ACB
- By flexible link
- 2 Normal source + 1 coupler</t>
  </si>
  <si>
    <t>Automatic Changeover (Motorised with Controller) (2 ACBs)
- IVE electrical interlocking
- UA, Advanced Automatic Controller</t>
  </si>
  <si>
    <t>29352
54655
29473</t>
  </si>
  <si>
    <t>Automatic Changeover (Motorised with Controller) (3 ACBs)
- IVE electrical interlocking
- UA, Advanced Automatic Controller</t>
  </si>
  <si>
    <t>29352(2nos)
54655(2nos)
29473</t>
  </si>
  <si>
    <t>Mechanical Interlocking for 2 units of fixed/ drawout type ACB
- By flexible link
- ACB less than 5000A</t>
  </si>
  <si>
    <t>47926(2nos)
33209</t>
  </si>
  <si>
    <t>Shunt release, iMSU, 100 … 415Vac, 110 … 130Vdc</t>
  </si>
  <si>
    <t>A9A26476</t>
  </si>
  <si>
    <t>Acti 9</t>
  </si>
  <si>
    <t>Open/ close auxiliary contact</t>
  </si>
  <si>
    <t>A9A26924</t>
  </si>
  <si>
    <t>Automatic Reclosers for iLD RCCB, 2P</t>
  </si>
  <si>
    <t>A9C70342</t>
  </si>
  <si>
    <t>Automatic Reclosers for iLD RCCB, 4P</t>
  </si>
  <si>
    <t>A9C70344</t>
  </si>
  <si>
    <t>A9D11820</t>
  </si>
  <si>
    <t>A9D31606</t>
  </si>
  <si>
    <t>A9D31610</t>
  </si>
  <si>
    <t>A9D31616</t>
  </si>
  <si>
    <t>A9D31620</t>
  </si>
  <si>
    <t>A9D31625</t>
  </si>
  <si>
    <t>A9D31632</t>
  </si>
  <si>
    <t>A9D31640</t>
  </si>
  <si>
    <t>A9D41606</t>
  </si>
  <si>
    <t>A9D41610</t>
  </si>
  <si>
    <t>A9D41616</t>
  </si>
  <si>
    <t>A9D41620</t>
  </si>
  <si>
    <t>A9D41625</t>
  </si>
  <si>
    <t>A9D41632</t>
  </si>
  <si>
    <t>A9D41640</t>
  </si>
  <si>
    <t>1A 1P 10kA MCB, C CURVE</t>
  </si>
  <si>
    <t>A9F74101</t>
  </si>
  <si>
    <t>2A 1P 10kA MCB, C CURVE</t>
  </si>
  <si>
    <t>A9F74102</t>
  </si>
  <si>
    <t>3A 1P 10kA MCB, C CURVE</t>
  </si>
  <si>
    <t>A9F74103</t>
  </si>
  <si>
    <t>4A 1P 10kA MCB, C CURVE</t>
  </si>
  <si>
    <t>A9F74104</t>
  </si>
  <si>
    <t>6A 1P 10kA MCB, C CURVE</t>
  </si>
  <si>
    <t>A9F74106</t>
  </si>
  <si>
    <t>10A 1P 10kA MCB, C CURVE</t>
  </si>
  <si>
    <t>A9F74110</t>
  </si>
  <si>
    <t>16A 1P 10kA MCB, C CURVE</t>
  </si>
  <si>
    <t>A9F74116</t>
  </si>
  <si>
    <t>20A 1P 10kA MCB, C CURVE</t>
  </si>
  <si>
    <t>A9F74120</t>
  </si>
  <si>
    <t>25A 1P 10kA MCB, C CURVE</t>
  </si>
  <si>
    <t>A9F74125</t>
  </si>
  <si>
    <t>32A 1P 10KA MCB, C CURVE</t>
  </si>
  <si>
    <t>A9F74132</t>
  </si>
  <si>
    <t>40A 1P 10kA MCB, C CURVE</t>
  </si>
  <si>
    <t>A9F74140</t>
  </si>
  <si>
    <t>50A 1P 10kA MCB, C CURVE</t>
  </si>
  <si>
    <t>A9F74150</t>
  </si>
  <si>
    <t>63A 1P 10kA MCB, C CURVE</t>
  </si>
  <si>
    <t>A9F74163</t>
  </si>
  <si>
    <t>1A 2P 10kA MCB, C CURVE</t>
  </si>
  <si>
    <t>A9F74201</t>
  </si>
  <si>
    <t>2A 2P 10kA MCB, C CURVE</t>
  </si>
  <si>
    <t>A9F74202</t>
  </si>
  <si>
    <t>3A 2P 10kA MCB, C CURVE</t>
  </si>
  <si>
    <t>A9F74203</t>
  </si>
  <si>
    <t>4A 2P 10kA MCB, C CURVE</t>
  </si>
  <si>
    <t>A9F74204</t>
  </si>
  <si>
    <t>6A 2P 10kA MCB, C CURVE</t>
  </si>
  <si>
    <t>A9F74206</t>
  </si>
  <si>
    <t>10A 2P 10kA MCB, C CURVE</t>
  </si>
  <si>
    <t>A9F74210</t>
  </si>
  <si>
    <t>16A 2P 10kA MCB, C CURVE</t>
  </si>
  <si>
    <t>A9F74216</t>
  </si>
  <si>
    <t>20A 2P 10kA MCB, C CURVE</t>
  </si>
  <si>
    <t>A9F74220</t>
  </si>
  <si>
    <t>25A 2P 10kA MCB, C CURVE</t>
  </si>
  <si>
    <t>A9F74225</t>
  </si>
  <si>
    <t>32A 2P 10kA MCB, C CURVE</t>
  </si>
  <si>
    <t>A9F74232</t>
  </si>
  <si>
    <t>40A 2P 10kA MCB, C CURVE</t>
  </si>
  <si>
    <t>A9F74240</t>
  </si>
  <si>
    <t>50A 2P 10kA MCB, C CURVE</t>
  </si>
  <si>
    <t>A9F74250</t>
  </si>
  <si>
    <t>63A 2P 10kA MCB, C CURVE</t>
  </si>
  <si>
    <t>A9F74263</t>
  </si>
  <si>
    <t>1A 3P 10kA MCB, C CURVE</t>
  </si>
  <si>
    <t>A9F74301</t>
  </si>
  <si>
    <t>2A 3P 10kA MCB, C CURVE</t>
  </si>
  <si>
    <t>A9F74302</t>
  </si>
  <si>
    <t>3A 3P 10kA MCB, C CURVE</t>
  </si>
  <si>
    <t>A9F74303</t>
  </si>
  <si>
    <t>4A 3P 10kA MCB, C CURVE</t>
  </si>
  <si>
    <t>A9F74304</t>
  </si>
  <si>
    <t>6A 3P 10kA MCB, C CURVE</t>
  </si>
  <si>
    <t>A9F74306</t>
  </si>
  <si>
    <t>10A 3P 10kA MCB, C CURVE</t>
  </si>
  <si>
    <t>A9F74310</t>
  </si>
  <si>
    <t>16A 3P 10KA MCB, C CURVE</t>
  </si>
  <si>
    <t>A9F74316</t>
  </si>
  <si>
    <t>20A 3P 10kA MCB, C CURVE</t>
  </si>
  <si>
    <t>A9F74320</t>
  </si>
  <si>
    <t>25A 3P 10kA MCB, C CURVE</t>
  </si>
  <si>
    <t>A9F74325</t>
  </si>
  <si>
    <t>32A 3P 10kA MCB, C CURVE</t>
  </si>
  <si>
    <t>A9F74332</t>
  </si>
  <si>
    <t>40A 3P 10kA MCB, C CURVE</t>
  </si>
  <si>
    <t>A9F74340</t>
  </si>
  <si>
    <t>50A 3P 10kA MCB, C CURVE</t>
  </si>
  <si>
    <t>A9F74350</t>
  </si>
  <si>
    <t>63A 3P 10kA MCB, C CURVE</t>
  </si>
  <si>
    <t>A9F74363</t>
  </si>
  <si>
    <t>1A 4P 10kA MCB, C CURVE</t>
  </si>
  <si>
    <t>A9F74401</t>
  </si>
  <si>
    <t>2A 4P 10kA MCB, C CURVE</t>
  </si>
  <si>
    <t>A9F74402</t>
  </si>
  <si>
    <t>3A 4P 10kA MCB, C CURVE</t>
  </si>
  <si>
    <t>A9F74403</t>
  </si>
  <si>
    <t>4A 4P 10kA MCB, C CURVE</t>
  </si>
  <si>
    <t>A9F74404</t>
  </si>
  <si>
    <t>6A 4P 10kA MCB, C CURVE</t>
  </si>
  <si>
    <t>A9F74406</t>
  </si>
  <si>
    <t>10A 4P 10kA MCB, C CURVE</t>
  </si>
  <si>
    <t>A9F74410</t>
  </si>
  <si>
    <t>16A 4P 10kA MCB, C CURVE</t>
  </si>
  <si>
    <t>A9F74416</t>
  </si>
  <si>
    <t>20A 4P 10kA MCB, C CURVE</t>
  </si>
  <si>
    <t>A9F74420</t>
  </si>
  <si>
    <t>25A 4P 10kA MCB, C CURVE</t>
  </si>
  <si>
    <t>A9F74425</t>
  </si>
  <si>
    <t>32A 4P 10kA MCB, C CURVE</t>
  </si>
  <si>
    <t>A9F74432</t>
  </si>
  <si>
    <t>40A 4P 10kA MCB, C CURVE</t>
  </si>
  <si>
    <t>A9F74440</t>
  </si>
  <si>
    <t>50A 4P 10kA MCB, C CURVE</t>
  </si>
  <si>
    <t>A9F74450</t>
  </si>
  <si>
    <t>63A 4P 10kA MCB, C CURVE</t>
  </si>
  <si>
    <t>A9F74463</t>
  </si>
  <si>
    <t>1A 1P 10kA MCB, D CURVE</t>
  </si>
  <si>
    <t>A9F75101</t>
  </si>
  <si>
    <t>2A 1P 10kA MCB, D CURVE</t>
  </si>
  <si>
    <t>A9F75102</t>
  </si>
  <si>
    <t>3A 1P 10kA MCB, D CURVE</t>
  </si>
  <si>
    <t>A9F75103</t>
  </si>
  <si>
    <t>4A 1P 10kA MCB, D CURVE</t>
  </si>
  <si>
    <t>A9F75104</t>
  </si>
  <si>
    <t>6A 1P 10kA MCB, D CURVE</t>
  </si>
  <si>
    <t>A9F75106</t>
  </si>
  <si>
    <t>10A 1P 10kA MCB, D CURVE</t>
  </si>
  <si>
    <t>A9F75110</t>
  </si>
  <si>
    <t>16A 1P 10kA MCB, D CURVE</t>
  </si>
  <si>
    <t>A9F75116</t>
  </si>
  <si>
    <t>20A 1P 10kA MCB, D CURVE</t>
  </si>
  <si>
    <t>A9F75120</t>
  </si>
  <si>
    <t>25A 1P 10kA MCB, D CURVE</t>
  </si>
  <si>
    <t>A9F75125</t>
  </si>
  <si>
    <t>32A 1P 10kA MCB, D CURVE</t>
  </si>
  <si>
    <t>A9F75132</t>
  </si>
  <si>
    <t>40A 1P 10kA MCB, D CURVE</t>
  </si>
  <si>
    <t>A9F75140</t>
  </si>
  <si>
    <t>50A 1P 10kA MCB, D CURVE</t>
  </si>
  <si>
    <t>A9F75150</t>
  </si>
  <si>
    <t>63A 1P 10kA MCB, D CURVE</t>
  </si>
  <si>
    <t>A9F75163</t>
  </si>
  <si>
    <t>1A 2P 10kA MCB, D CURVE</t>
  </si>
  <si>
    <t>A9F75201</t>
  </si>
  <si>
    <t>2A 2P 10kA MCB, D CURVE</t>
  </si>
  <si>
    <t>A9F75202</t>
  </si>
  <si>
    <t>3A 2P 10kA MCB, D CURVE</t>
  </si>
  <si>
    <t>A9F75203</t>
  </si>
  <si>
    <t>4A 2P 10kA MCB, D CURVE</t>
  </si>
  <si>
    <t>A9F75204</t>
  </si>
  <si>
    <t>6A 2P 10kA MCB, D CURVE</t>
  </si>
  <si>
    <t>A9F75206</t>
  </si>
  <si>
    <t>10A 2P 10kA MCB, D CURVE</t>
  </si>
  <si>
    <t>A9F75210</t>
  </si>
  <si>
    <t>16A 2P 10kA MCB, D CURVE</t>
  </si>
  <si>
    <t>A9F75216</t>
  </si>
  <si>
    <t>20A 2P 10kA MCB, D CURVE</t>
  </si>
  <si>
    <t>A9F75220</t>
  </si>
  <si>
    <t>25A 2P 10kA MCB, D CURVE</t>
  </si>
  <si>
    <t>A9F75225</t>
  </si>
  <si>
    <t>32A 2P 10kA MCB, D CURVE</t>
  </si>
  <si>
    <t>A9F75232</t>
  </si>
  <si>
    <t>40A 2P 10kA MCB, D CURVE</t>
  </si>
  <si>
    <t>A9F75240</t>
  </si>
  <si>
    <t>50A 2P 10kA MCB, D CURVE</t>
  </si>
  <si>
    <t>A9F75250</t>
  </si>
  <si>
    <t>63A 2P 10kA MCB, D CURVE</t>
  </si>
  <si>
    <t>A9F75263</t>
  </si>
  <si>
    <t>1A 3P 10kA MCB, D CURVE</t>
  </si>
  <si>
    <t>A9F75301</t>
  </si>
  <si>
    <t>2A 3P 10kA MCB, D CURVE</t>
  </si>
  <si>
    <t>A9F75302</t>
  </si>
  <si>
    <t>3A 3P 10kA MCB, D CURVE</t>
  </si>
  <si>
    <t>A9F75303</t>
  </si>
  <si>
    <t>4A 3P 10kA MCB, D CURVE</t>
  </si>
  <si>
    <t>A9F75304</t>
  </si>
  <si>
    <t>6A 3P 10kA MCB, D CURVE</t>
  </si>
  <si>
    <t>A9F75306</t>
  </si>
  <si>
    <t>10A 3P 10kA MCB, D CURVE</t>
  </si>
  <si>
    <t>A9F75310</t>
  </si>
  <si>
    <t>16A 3P 10kA MCB, D CURVE</t>
  </si>
  <si>
    <t>A9F75316</t>
  </si>
  <si>
    <t>20A 3P 10kA MCB, D CURVE</t>
  </si>
  <si>
    <t>A9F75320</t>
  </si>
  <si>
    <t>25A 3P 10kA MCB, D CURVE</t>
  </si>
  <si>
    <t>A9F75325</t>
  </si>
  <si>
    <t>32A 3P 10kA MCB, D CURVE</t>
  </si>
  <si>
    <t>A9F75332</t>
  </si>
  <si>
    <t>40A 3P 10kA MCB, D CURVE</t>
  </si>
  <si>
    <t>A9F75340</t>
  </si>
  <si>
    <t>50A 3P 10kA MCB, D CURVE</t>
  </si>
  <si>
    <t>A9F75350</t>
  </si>
  <si>
    <t>63A 3P 10kA MCB, D CURVE</t>
  </si>
  <si>
    <t>A9F75363</t>
  </si>
  <si>
    <t>1A 4P 10kA MCB, D CURVE</t>
  </si>
  <si>
    <t>A9F75401</t>
  </si>
  <si>
    <t>2A 4P 10kA MCB, D CURVE</t>
  </si>
  <si>
    <t>A9F75402</t>
  </si>
  <si>
    <t>3A 4P 10kA MCB, D CURVE</t>
  </si>
  <si>
    <t>A9F75403</t>
  </si>
  <si>
    <t>4A 4P 10kA MCB, D CURVE</t>
  </si>
  <si>
    <t>A9F75404</t>
  </si>
  <si>
    <t>6A 4P 10kA MCB, D CURVE</t>
  </si>
  <si>
    <t>A9F75406</t>
  </si>
  <si>
    <t>10A 4P 10kA MCB, D CURVE</t>
  </si>
  <si>
    <t>A9F75410</t>
  </si>
  <si>
    <t>16A 4P 10kA MCB, D CURVE</t>
  </si>
  <si>
    <t>A9F75416</t>
  </si>
  <si>
    <t>20A 4P 10kA MCB, D CURVE</t>
  </si>
  <si>
    <t>A9F75420</t>
  </si>
  <si>
    <t>25A 4P 10kA MCB, D CURVE</t>
  </si>
  <si>
    <t>A9F75425</t>
  </si>
  <si>
    <t>32A 4P 10kA MCB, D CURVE</t>
  </si>
  <si>
    <t>A9F75432</t>
  </si>
  <si>
    <t>40A 4P 10kA MCB, D CURVE</t>
  </si>
  <si>
    <t>A9F75440</t>
  </si>
  <si>
    <t>50A 4P 10kA MCB, D CURVE</t>
  </si>
  <si>
    <t>A9F75450</t>
  </si>
  <si>
    <t>63A 4P 10kA MCB, D CURVE</t>
  </si>
  <si>
    <t>A9F75463</t>
  </si>
  <si>
    <t>1A 1P 15kA MCB, C CURVE</t>
  </si>
  <si>
    <t>A9F84101</t>
  </si>
  <si>
    <t>2A 1P 15kA MCB, C CURVE</t>
  </si>
  <si>
    <t>A9F84102</t>
  </si>
  <si>
    <t>3A 1P 15kA MCB, C CURVE</t>
  </si>
  <si>
    <t>A9F84103</t>
  </si>
  <si>
    <t>4A 1P 15kA MCB, C CURVE</t>
  </si>
  <si>
    <t>A9F84104</t>
  </si>
  <si>
    <t>6A 1P 15KA MCB, C CURVE</t>
  </si>
  <si>
    <t>A9F84106</t>
  </si>
  <si>
    <t>10A 1P 15kA MCB, C CURVE</t>
  </si>
  <si>
    <t>A9F84110</t>
  </si>
  <si>
    <t>16A 1P 15kA MCB, C CURVE</t>
  </si>
  <si>
    <t>A9F84116</t>
  </si>
  <si>
    <t>20A 1P 15kA MCB, C CURVE</t>
  </si>
  <si>
    <t>A9F84120</t>
  </si>
  <si>
    <t>25A 1P 15kA MCB, C CURVE</t>
  </si>
  <si>
    <t>A9F84125</t>
  </si>
  <si>
    <t>32A 1P 15kA MCB, C CURVE</t>
  </si>
  <si>
    <t>A9F84132</t>
  </si>
  <si>
    <t>40A 1P 15kA MCB, C CURVE</t>
  </si>
  <si>
    <t>A9F84140</t>
  </si>
  <si>
    <t>50A 1P 15kA MCB, C CURVE</t>
  </si>
  <si>
    <t>A9F84150</t>
  </si>
  <si>
    <t>63A 1P 15kA MCB, C CURVE</t>
  </si>
  <si>
    <t>A9F84163</t>
  </si>
  <si>
    <t>1A 2P 15kA MCB, C CURVE</t>
  </si>
  <si>
    <t>A9F84201</t>
  </si>
  <si>
    <t>2A 2P 15kA MCB, C CURVE</t>
  </si>
  <si>
    <t>A9F84202</t>
  </si>
  <si>
    <t>3A 2P 15kA MCB, C CURVE</t>
  </si>
  <si>
    <t>A9F84203</t>
  </si>
  <si>
    <t>4A 2P 15kA MCB, C CURVE</t>
  </si>
  <si>
    <t>A9F84204</t>
  </si>
  <si>
    <t>6A 2P 15kA MCB, C CURVE</t>
  </si>
  <si>
    <t>A9F84206</t>
  </si>
  <si>
    <t>10A 2P 15kA MCB, C CURVE</t>
  </si>
  <si>
    <t>A9F84210</t>
  </si>
  <si>
    <t>16A 2P 15kA MCB, C CURVE</t>
  </si>
  <si>
    <t>A9F84216</t>
  </si>
  <si>
    <t>20A 2P 15kA MCB, C CURVE</t>
  </si>
  <si>
    <t>A9F84220</t>
  </si>
  <si>
    <t>25A 2P 15kA MCB, C CURVE</t>
  </si>
  <si>
    <t>A9F84225</t>
  </si>
  <si>
    <t>32A 2P 15kA MCB, C CURVE</t>
  </si>
  <si>
    <t>A9F84232</t>
  </si>
  <si>
    <t>40A 2P 15kA MCB, C CURVE</t>
  </si>
  <si>
    <t>A9F84240</t>
  </si>
  <si>
    <t>50A 2P 15kA MCB, C CURVE</t>
  </si>
  <si>
    <t>A9F84250</t>
  </si>
  <si>
    <t>63A 2P 15kA MCB, C CURVE</t>
  </si>
  <si>
    <t>A9F84263</t>
  </si>
  <si>
    <t>1A 3P 15kA MCB, C CURVE</t>
  </si>
  <si>
    <t>A9F84301</t>
  </si>
  <si>
    <t>2A 3P 15kA MCB, C CURVE</t>
  </si>
  <si>
    <t>A9F84302</t>
  </si>
  <si>
    <t>3A 3P 15kA MCB, C CURVE</t>
  </si>
  <si>
    <t>A9F84303</t>
  </si>
  <si>
    <t>4A 3P 15kA MCB, C CURVE</t>
  </si>
  <si>
    <t>A9F84304</t>
  </si>
  <si>
    <t>6A 3P 15kA MCB, C CURVE</t>
  </si>
  <si>
    <t>A9F84306</t>
  </si>
  <si>
    <t>10A 3P 15kA MCB, C CURVE</t>
  </si>
  <si>
    <t>A9F84310</t>
  </si>
  <si>
    <t>16A 3P 15kA MCB, C CURVE</t>
  </si>
  <si>
    <t>A9F84316</t>
  </si>
  <si>
    <t>20A 3P 15kA MCB, C CURVE</t>
  </si>
  <si>
    <t>A9F84320</t>
  </si>
  <si>
    <t>25A 3P 15kA MCB, C CURVE</t>
  </si>
  <si>
    <t>A9F84325</t>
  </si>
  <si>
    <t>32A 3P 15kA MCB, C CURVE</t>
  </si>
  <si>
    <t>A9F84332</t>
  </si>
  <si>
    <t>40A 3P 15kA MCB, C CURVE</t>
  </si>
  <si>
    <t>A9F84340</t>
  </si>
  <si>
    <t>50A 3P 15kA MCB, C CURVE</t>
  </si>
  <si>
    <t>A9F84350</t>
  </si>
  <si>
    <t>63A 3P 15kA MCB, C CURVE</t>
  </si>
  <si>
    <t>A9F84363</t>
  </si>
  <si>
    <t>1A 4P 15kA MCB, C CURVE</t>
  </si>
  <si>
    <t>A9F84401</t>
  </si>
  <si>
    <t>2A 4P 15kA MCB, C CURVE</t>
  </si>
  <si>
    <t>A9F84402</t>
  </si>
  <si>
    <t>3A 4P 15kA MCB, C CURVE</t>
  </si>
  <si>
    <t>A9F84403</t>
  </si>
  <si>
    <t>4A 4P 15kA MCB, C CURVE</t>
  </si>
  <si>
    <t>A9F84404</t>
  </si>
  <si>
    <t>6A 4P 15kA MCB, C CURVE</t>
  </si>
  <si>
    <t>A9F84406</t>
  </si>
  <si>
    <t>10A 4P 15kA MCB, C CURVE</t>
  </si>
  <si>
    <t>A9F84410</t>
  </si>
  <si>
    <t>16A 4P 15kA MCB, C CURVE</t>
  </si>
  <si>
    <t>A9F84416</t>
  </si>
  <si>
    <t>20A 4P 15kA MCB, C CURVE</t>
  </si>
  <si>
    <t>A9F84420</t>
  </si>
  <si>
    <t>25A 4P 15kA MCB, C CURVE</t>
  </si>
  <si>
    <t>A9F84425</t>
  </si>
  <si>
    <t>32A 4P 15kA MCB, C CURVE</t>
  </si>
  <si>
    <t>A9F84432</t>
  </si>
  <si>
    <t>40A 4P 15kA MCB, C CURVE</t>
  </si>
  <si>
    <t>A9F84440</t>
  </si>
  <si>
    <t>50A 4P 15kA MCB, C CURVE</t>
  </si>
  <si>
    <t>A9F84450</t>
  </si>
  <si>
    <t>63A 4P 15kA MCB, C CURVE</t>
  </si>
  <si>
    <t>A9F84463</t>
  </si>
  <si>
    <t>1A 1P 20kA MCB, C CURVE</t>
  </si>
  <si>
    <t>A9F94101</t>
  </si>
  <si>
    <t>2A 1P 20kA MCB, C CURVE</t>
  </si>
  <si>
    <t>A9F94102</t>
  </si>
  <si>
    <t>3A 1P 20kA MCB, C CURVE</t>
  </si>
  <si>
    <t>A9F94103</t>
  </si>
  <si>
    <t>4A 1P 20kA MCB, C CURVE</t>
  </si>
  <si>
    <t>A9F94104</t>
  </si>
  <si>
    <t>6A 1P 20kA MCB, C CURVE</t>
  </si>
  <si>
    <t>A9F94106</t>
  </si>
  <si>
    <t>10A 1P 20kA MCB, C CURVE</t>
  </si>
  <si>
    <t>A9F94110</t>
  </si>
  <si>
    <t>16A 1P 20kA MCB, C CURVE</t>
  </si>
  <si>
    <t>A9F94116</t>
  </si>
  <si>
    <t>20A 1P 20kA MCB, C CURVE</t>
  </si>
  <si>
    <t>A9F94120</t>
  </si>
  <si>
    <t>25A 1P 20kA MCB, C CURVE</t>
  </si>
  <si>
    <t>A9F94125</t>
  </si>
  <si>
    <t>32A 1P 20kA MCB, C CURVE</t>
  </si>
  <si>
    <t>A9F94132</t>
  </si>
  <si>
    <t>40A 1P 20kA MCB, C CURVE</t>
  </si>
  <si>
    <t>A9F94140</t>
  </si>
  <si>
    <t>50A 1P 20kA MCB, C CURVE</t>
  </si>
  <si>
    <t>A9F94150</t>
  </si>
  <si>
    <t>63A 1P 20kA MCB, C CURVE</t>
  </si>
  <si>
    <t>A9F94163</t>
  </si>
  <si>
    <t>1A 2P 20kA MCB, C CURVE</t>
  </si>
  <si>
    <t>A9F94201</t>
  </si>
  <si>
    <t>2A 2P 20kA MCB, C CURVE</t>
  </si>
  <si>
    <t>A9F94202</t>
  </si>
  <si>
    <t>3A 2P 20kA MCB, C CURVE</t>
  </si>
  <si>
    <t>A9F94203</t>
  </si>
  <si>
    <t>4A 2P 20kA MCB, C CURVE</t>
  </si>
  <si>
    <t>A9F94204</t>
  </si>
  <si>
    <t>6A 2P 20kA MCB, C CURVE</t>
  </si>
  <si>
    <t>A9F94206</t>
  </si>
  <si>
    <t>10A 2P 20kA MCB, C CURVE</t>
  </si>
  <si>
    <t>A9F94210</t>
  </si>
  <si>
    <t>16A 2P 20kA MCB, C CURVE</t>
  </si>
  <si>
    <t>A9F94216</t>
  </si>
  <si>
    <t>20A 2P 20kA MCB, C CURVE</t>
  </si>
  <si>
    <t>A9F94220</t>
  </si>
  <si>
    <t>25A 2P 20kA MCB, C CURVE</t>
  </si>
  <si>
    <t>A9F94225</t>
  </si>
  <si>
    <t>32A 2P 20kA MCB, C CURVE</t>
  </si>
  <si>
    <t>A9F94232</t>
  </si>
  <si>
    <t>40A 2P 20kA MCB, C CURVE</t>
  </si>
  <si>
    <t>A9F94240</t>
  </si>
  <si>
    <t>50A 2P 20kA MCB, C CURVE</t>
  </si>
  <si>
    <t>A9F94250</t>
  </si>
  <si>
    <t>63A 2P 20kA MCB, C CURVE</t>
  </si>
  <si>
    <t>A9F94263</t>
  </si>
  <si>
    <t>1A 3P 20kA MCB, C CURVE</t>
  </si>
  <si>
    <t>A9F94301</t>
  </si>
  <si>
    <t>2A 3P 20kA MCB, C CURVE</t>
  </si>
  <si>
    <t>A9F94302</t>
  </si>
  <si>
    <t>3A 3P 20kA MCB, C CURVE</t>
  </si>
  <si>
    <t>A9F94303</t>
  </si>
  <si>
    <t>4A 3P 20kA MCB, C CURVE</t>
  </si>
  <si>
    <t>A9F94304</t>
  </si>
  <si>
    <t>6A 3P 20kA MCB, C CURVE</t>
  </si>
  <si>
    <t>A9F94306</t>
  </si>
  <si>
    <t>10A 3P 20kA MCB, C CURVE</t>
  </si>
  <si>
    <t>A9F94310</t>
  </si>
  <si>
    <t>16A 3P 20kA MCB, C CURVE</t>
  </si>
  <si>
    <t>A9F94316</t>
  </si>
  <si>
    <t>20A 3P 20kA MCB, C CURVE</t>
  </si>
  <si>
    <t>A9F94320</t>
  </si>
  <si>
    <t>25A 3P 20kA MCB, C CURVE</t>
  </si>
  <si>
    <t>A9F94325</t>
  </si>
  <si>
    <t>32A 3P 20kA MCB, C CURVE</t>
  </si>
  <si>
    <t>A9F94332</t>
  </si>
  <si>
    <t>40A 3P 20kA MCB, C CURVE</t>
  </si>
  <si>
    <t>A9F94340</t>
  </si>
  <si>
    <t>50A 3P 20kA MCB, C CURVE</t>
  </si>
  <si>
    <t>A9F94350</t>
  </si>
  <si>
    <t>63A 3P 20kA MCB, C CURVE</t>
  </si>
  <si>
    <t>A9F94363</t>
  </si>
  <si>
    <t>1A 4P 20kA MCB, C CURVE</t>
  </si>
  <si>
    <t>A9F94401</t>
  </si>
  <si>
    <t>2A 4P 20kA MCB, C CURVE</t>
  </si>
  <si>
    <t>A9F94402</t>
  </si>
  <si>
    <t>3A 4P 20kA MCB, C CURVE</t>
  </si>
  <si>
    <t>A9F94403</t>
  </si>
  <si>
    <t>4A 4P 20kA MCB, C CURVE</t>
  </si>
  <si>
    <t>A9F94404</t>
  </si>
  <si>
    <t>6A 4P 20kA MCB, C CURVE</t>
  </si>
  <si>
    <t>A9F94406</t>
  </si>
  <si>
    <t>10A 4P 20kA MCB, C CURVE</t>
  </si>
  <si>
    <t>A9F94410</t>
  </si>
  <si>
    <t>16A 4P 20kA MCB, C CURVE</t>
  </si>
  <si>
    <t>A9F94416</t>
  </si>
  <si>
    <t>20A 4P 20kA MCB, C CURVE</t>
  </si>
  <si>
    <t>A9F94420</t>
  </si>
  <si>
    <t>25A 4P 20kA MCB, C CURVE</t>
  </si>
  <si>
    <t>A9F94425</t>
  </si>
  <si>
    <t>32A 4P 20kA MCB, C CURVE</t>
  </si>
  <si>
    <t>A9F94432</t>
  </si>
  <si>
    <t>40A 4P 20kA MCB, C CURVE</t>
  </si>
  <si>
    <t>A9F94440</t>
  </si>
  <si>
    <t>50A 4P 20kA MCB, C CURVE</t>
  </si>
  <si>
    <t>A9F94450</t>
  </si>
  <si>
    <t>63A 4P 20kA MCB, C CURVE</t>
  </si>
  <si>
    <t>A9F94463</t>
  </si>
  <si>
    <t>Type 2, iPFK (Monoblock) Surge Arrestor, 3P+N</t>
  </si>
  <si>
    <t>A9L15688</t>
  </si>
  <si>
    <t>Type 2, iPRD 40-350 (Withdrawable) Surge Arrestor, 65KA, 3P+N
with remote Indicator</t>
  </si>
  <si>
    <t>A9L40601</t>
  </si>
  <si>
    <t>Type 2, iPRD 65-350 (Withdrawable) Surge Arrestor, 65KA, 3P+N
No remote Indicator</t>
  </si>
  <si>
    <t>A9L65601</t>
  </si>
  <si>
    <t>A9N18356</t>
  </si>
  <si>
    <t>80A 1P 10kA MCB, C CURVE</t>
  </si>
  <si>
    <t>A9N18357</t>
  </si>
  <si>
    <t>100A 1P 10kA MCB, C CURVE</t>
  </si>
  <si>
    <t>A9N18358</t>
  </si>
  <si>
    <t>125A 1P 10kA MCB, C CURVE</t>
  </si>
  <si>
    <t>A9N18359</t>
  </si>
  <si>
    <t>A9N18360</t>
  </si>
  <si>
    <t>80A 2P 10kA MCB, C CURVE</t>
  </si>
  <si>
    <t>A9N18361</t>
  </si>
  <si>
    <t>100A 2P 10kA MCB, C CURVE</t>
  </si>
  <si>
    <t>A9N18362</t>
  </si>
  <si>
    <t>125A 2P 10kA MCB, C CURVE</t>
  </si>
  <si>
    <t>A9N18363</t>
  </si>
  <si>
    <t>A9N18364</t>
  </si>
  <si>
    <t>80A 3P 10kA MCB, C CURVE</t>
  </si>
  <si>
    <t>A9N18365</t>
  </si>
  <si>
    <t>100A 3P 10kA MCB, C CURVE</t>
  </si>
  <si>
    <t>A9N18367</t>
  </si>
  <si>
    <t>125A 3P 10kA MCB, C CURVE</t>
  </si>
  <si>
    <t>A9N18369</t>
  </si>
  <si>
    <t>A9N18371</t>
  </si>
  <si>
    <t>80A 4P 10kA MCB, C CURVE</t>
  </si>
  <si>
    <t>A9N18372</t>
  </si>
  <si>
    <t>100A 4P 10kA MCB, C CURVE</t>
  </si>
  <si>
    <t>A9N18374</t>
  </si>
  <si>
    <t>125A 4P 10kA MCB, C CURVE</t>
  </si>
  <si>
    <t>A9N18376</t>
  </si>
  <si>
    <t>A9N18386</t>
  </si>
  <si>
    <t>80A 3P 10kA MCB, D CURVE</t>
  </si>
  <si>
    <t>A9N18387</t>
  </si>
  <si>
    <t>100A 3P 10kA MCB, D CURVE</t>
  </si>
  <si>
    <t>A9N18388</t>
  </si>
  <si>
    <t>100A 4P 10kA MCB, D CURVE</t>
  </si>
  <si>
    <t>A9N18392</t>
  </si>
  <si>
    <t>63A 1P 15KA MCB, C CURVE</t>
  </si>
  <si>
    <t>A9N18445</t>
  </si>
  <si>
    <t>80A 1P 15KA MCB, C CURVE</t>
  </si>
  <si>
    <t>A9N18446</t>
  </si>
  <si>
    <t>100A 1P 15KA MCB, C CURVE</t>
  </si>
  <si>
    <t>A9N18447</t>
  </si>
  <si>
    <t>80A 2P 15KA MCB, C CURVE</t>
  </si>
  <si>
    <t>A9N18457</t>
  </si>
  <si>
    <t>100A 2P 15KA MCB, C CURVE</t>
  </si>
  <si>
    <t>A9N18458</t>
  </si>
  <si>
    <t>125A 2P 15KA MCB, C CURVE</t>
  </si>
  <si>
    <t>A9N18459</t>
  </si>
  <si>
    <t>63A 3P 15KA MCB, C CURVE</t>
  </si>
  <si>
    <t>A9N18467</t>
  </si>
  <si>
    <t>80A 3P 15kA MCB, C CURVE</t>
  </si>
  <si>
    <t>A9N18468</t>
  </si>
  <si>
    <t>100A 3P 15kA MCB, C CURVE</t>
  </si>
  <si>
    <t>A9N18469</t>
  </si>
  <si>
    <t>125A 3P 15KA MCB, C CURVE</t>
  </si>
  <si>
    <t>A9N18470</t>
  </si>
  <si>
    <t>80A 4P 15kA MCB, C CURVE</t>
  </si>
  <si>
    <t>A9N18479</t>
  </si>
  <si>
    <t>100A 4P 15KA MCB, C CURVE</t>
  </si>
  <si>
    <t>A9N18480</t>
  </si>
  <si>
    <t>125A 4P 15KA MCB, C CURVE</t>
  </si>
  <si>
    <t>A9N18481</t>
  </si>
  <si>
    <t>A9R10225</t>
  </si>
  <si>
    <t>A9R11280</t>
  </si>
  <si>
    <t>A9R11291</t>
  </si>
  <si>
    <t>A9R11480</t>
  </si>
  <si>
    <t>A9R11491</t>
  </si>
  <si>
    <t>A9R12240</t>
  </si>
  <si>
    <t>A9R12263</t>
  </si>
  <si>
    <t>A9R12280</t>
  </si>
  <si>
    <t>A9R12291</t>
  </si>
  <si>
    <t>A9R12440</t>
  </si>
  <si>
    <t>A9R12463</t>
  </si>
  <si>
    <t>A9R12480</t>
  </si>
  <si>
    <t>A9R12491</t>
  </si>
  <si>
    <t>A9R14280</t>
  </si>
  <si>
    <t>A9R14291</t>
  </si>
  <si>
    <t>A9R14480</t>
  </si>
  <si>
    <t>A9R14491</t>
  </si>
  <si>
    <t>A9R71225</t>
  </si>
  <si>
    <t>A9R71240</t>
  </si>
  <si>
    <t>A9R71263</t>
  </si>
  <si>
    <t>A9R71425</t>
  </si>
  <si>
    <t>A9R71440</t>
  </si>
  <si>
    <t>A9R71463</t>
  </si>
  <si>
    <t>A9R74225</t>
  </si>
  <si>
    <t>A9R74240</t>
  </si>
  <si>
    <t>A9R74263</t>
  </si>
  <si>
    <t>A9R74425</t>
  </si>
  <si>
    <t>A9R74440</t>
  </si>
  <si>
    <t>A9R74463</t>
  </si>
  <si>
    <t>20A 1P ISOLATOR</t>
  </si>
  <si>
    <t>A9S60120</t>
  </si>
  <si>
    <t>32A 1P ISOLATOR</t>
  </si>
  <si>
    <t>A9S60132</t>
  </si>
  <si>
    <t>20A 2P ISOLATOR</t>
  </si>
  <si>
    <t>A9S60220</t>
  </si>
  <si>
    <t>A9S60232</t>
  </si>
  <si>
    <t>20A 3P ISOLATOR</t>
  </si>
  <si>
    <t>A9S60320</t>
  </si>
  <si>
    <t>A9S60332</t>
  </si>
  <si>
    <t>20A 4P ISOLATOR</t>
  </si>
  <si>
    <t>A9S60420</t>
  </si>
  <si>
    <t>32A 4P ISOLATOR</t>
  </si>
  <si>
    <t>A9S60432</t>
  </si>
  <si>
    <t>40A 1P ISOLATOR</t>
  </si>
  <si>
    <t>A9S65140</t>
  </si>
  <si>
    <t>63A 1P ISOLATOR</t>
  </si>
  <si>
    <t>A9S65163</t>
  </si>
  <si>
    <t>100A 1P ISOLATOR</t>
  </si>
  <si>
    <t>A9S65191</t>
  </si>
  <si>
    <t>A9S65240</t>
  </si>
  <si>
    <t>A9S65263</t>
  </si>
  <si>
    <t>100A 2P ISOLATOR</t>
  </si>
  <si>
    <t>A9S65291</t>
  </si>
  <si>
    <t>A9S65340</t>
  </si>
  <si>
    <t>A9S65363</t>
  </si>
  <si>
    <t>A9S65391</t>
  </si>
  <si>
    <t>A9S65392</t>
  </si>
  <si>
    <t>40A 4P ISOLATOR</t>
  </si>
  <si>
    <t>A9S65440</t>
  </si>
  <si>
    <t>63A 4P ISOLATOR</t>
  </si>
  <si>
    <t>A9S65463</t>
  </si>
  <si>
    <t>100A 4P ISOLATOR</t>
  </si>
  <si>
    <t>A9S65491</t>
  </si>
  <si>
    <t>125A 4P ISOLATOR</t>
  </si>
  <si>
    <t>A9S65492</t>
  </si>
  <si>
    <t>24VDC Power Supply 351W, 14.6A</t>
  </si>
  <si>
    <t>ABL2REM24150K</t>
  </si>
  <si>
    <t>DC Supply</t>
  </si>
  <si>
    <t>APM</t>
  </si>
  <si>
    <t>SET</t>
  </si>
  <si>
    <t>Soft-Start Stop 9A 380 415V (for 4.0kW)</t>
  </si>
  <si>
    <t>ATS01N209QN</t>
  </si>
  <si>
    <t>Soft-Start Stop 12A 380 415V (for 5.5kW)</t>
  </si>
  <si>
    <t>ATS01N212QN</t>
  </si>
  <si>
    <t>Soft-Start Stop 22A 380 415V (for 11kW)</t>
  </si>
  <si>
    <t>ATS01N222QN</t>
  </si>
  <si>
    <t>Soft-start Stop 32A 380 415V (for 15kW)</t>
  </si>
  <si>
    <t>ATS01N232QN</t>
  </si>
  <si>
    <t>Electronic Soft Starter Control 220V POW (for 70kW)</t>
  </si>
  <si>
    <t>ATS22C14Q</t>
  </si>
  <si>
    <t>Electronic Soft Starter Control 220V POW (for 90kW)</t>
  </si>
  <si>
    <t>ATS22C17Q</t>
  </si>
  <si>
    <t>Soft Starter 320A 440V 230V CTRL (for 160kW)</t>
  </si>
  <si>
    <t>ATS22C32Q</t>
  </si>
  <si>
    <t>Soft-start Stop 480A 440V (for 250kW)</t>
  </si>
  <si>
    <t>ATS22C48Q</t>
  </si>
  <si>
    <t>Soft Starter 410A 440V 230V CTRL (for 200kW)</t>
  </si>
  <si>
    <t>ATS22D41Q</t>
  </si>
  <si>
    <t>Soft Starter 47A 440V 230V CTRL (for 22kW)</t>
  </si>
  <si>
    <t>ATS22D47Q</t>
  </si>
  <si>
    <t>Soft Starter 62A 440V 230V CTRL (for 30kW)</t>
  </si>
  <si>
    <t>ATS22D62Q</t>
  </si>
  <si>
    <t>Electronic Soft Starter Control 220V POW 75A (for 37kW)</t>
  </si>
  <si>
    <t>ATS22D75Q</t>
  </si>
  <si>
    <t>Electronic Soft Starter Control 220V POW 88A (for 45kW)</t>
  </si>
  <si>
    <t>ATS22D88Q</t>
  </si>
  <si>
    <t>AT12 1.5kW VSD, 240V 1PH</t>
  </si>
  <si>
    <t>ATV12HU15M2</t>
  </si>
  <si>
    <t>ATV210</t>
  </si>
  <si>
    <t>ATV310 11kW VSD</t>
  </si>
  <si>
    <t>ATV310HD11N4E</t>
  </si>
  <si>
    <t>ATV310</t>
  </si>
  <si>
    <t>ATV310 15kW VSD</t>
  </si>
  <si>
    <t>ATV310HD15N4E</t>
  </si>
  <si>
    <t>ATV310 0.37kW VSD</t>
  </si>
  <si>
    <t>ATV310HU037N4E</t>
  </si>
  <si>
    <t>ATV310 0.75kW VSD</t>
  </si>
  <si>
    <t>ATV310HU075N4E</t>
  </si>
  <si>
    <t>ATV310 1.5kW VSD</t>
  </si>
  <si>
    <t>ATV310HU15N4E</t>
  </si>
  <si>
    <t>ATV310 2.2kW VSD</t>
  </si>
  <si>
    <t>ATV310HU22N4E</t>
  </si>
  <si>
    <t>ATV310 3kW VSD</t>
  </si>
  <si>
    <t>ATV310HU30N4E</t>
  </si>
  <si>
    <t>ATV310 4kW VSD</t>
  </si>
  <si>
    <t>ATV310HU40N4E</t>
  </si>
  <si>
    <t>ATV310 5.5kW VSD</t>
  </si>
  <si>
    <t>ATV310HU55N4E</t>
  </si>
  <si>
    <t>ATV310 7.5kW VSD</t>
  </si>
  <si>
    <t>ATV310HU75N4E</t>
  </si>
  <si>
    <t>ATV320 15kW VSD</t>
  </si>
  <si>
    <t>ATV320HD15N4B</t>
  </si>
  <si>
    <t>ATV320</t>
  </si>
  <si>
    <t>ATV610 110kW VSD</t>
  </si>
  <si>
    <t>ATV610C11N4</t>
  </si>
  <si>
    <t>ATV610</t>
  </si>
  <si>
    <t>ATV610 132kW VSD</t>
  </si>
  <si>
    <t>ATV610C13N4</t>
  </si>
  <si>
    <t>ATV610 160kW VSD</t>
  </si>
  <si>
    <t>ATV610C16N4</t>
  </si>
  <si>
    <t>ATV610 11kW VSD</t>
  </si>
  <si>
    <t>ATV610D11N4</t>
  </si>
  <si>
    <t>ATV610 15kW VSD</t>
  </si>
  <si>
    <t>ATV610D15N4</t>
  </si>
  <si>
    <t>ATV610 18.5kW VSD</t>
  </si>
  <si>
    <t>ATV610D18N4</t>
  </si>
  <si>
    <t>ATV610 22kW VSD</t>
  </si>
  <si>
    <t>ATV610D22N4</t>
  </si>
  <si>
    <t>ATV610 30kW VSD</t>
  </si>
  <si>
    <t>ATV610D30N4</t>
  </si>
  <si>
    <t>ATV610 37KW VSD</t>
  </si>
  <si>
    <t>ATV610D37N4</t>
  </si>
  <si>
    <t>ATV610 45kW VSD</t>
  </si>
  <si>
    <t>ATV610D45N4</t>
  </si>
  <si>
    <t>ATV610 55kW VSD</t>
  </si>
  <si>
    <t>ATV610D55N4</t>
  </si>
  <si>
    <t>ATV610 75kW VSD</t>
  </si>
  <si>
    <t>ATV610D75N4</t>
  </si>
  <si>
    <t>ATV610 90kW VSD</t>
  </si>
  <si>
    <t>ATV610D90N4</t>
  </si>
  <si>
    <t>ATV610 0.75kW VSD</t>
  </si>
  <si>
    <t>ATV610U07N4</t>
  </si>
  <si>
    <t>ATV610 2.2kW VSD</t>
  </si>
  <si>
    <t>ATV610U22N4</t>
  </si>
  <si>
    <t>ATV610 3kW VSD</t>
  </si>
  <si>
    <t>ATV610U30N4</t>
  </si>
  <si>
    <t>ATV610 4kW VSD</t>
  </si>
  <si>
    <t>ATV610U40N4</t>
  </si>
  <si>
    <t>ATV610 5.5kW VSD</t>
  </si>
  <si>
    <t>ATV610U55N4</t>
  </si>
  <si>
    <t>ATV610 7.5kW VSD</t>
  </si>
  <si>
    <t>ATV610U75N4</t>
  </si>
  <si>
    <t>ATV630 110kW VSD</t>
  </si>
  <si>
    <t>ATV630C11N4</t>
  </si>
  <si>
    <t>ATV630</t>
  </si>
  <si>
    <t>ATV630 160kW VSD</t>
  </si>
  <si>
    <t>ATV630C16N4</t>
  </si>
  <si>
    <t>ATV630 220kW VSD</t>
  </si>
  <si>
    <t>ATV630C22N4</t>
  </si>
  <si>
    <t>ATV630 250kW VSD</t>
  </si>
  <si>
    <t>ATV630C25N4</t>
  </si>
  <si>
    <t>ATV630 315kW VSD</t>
  </si>
  <si>
    <t>ATV630C31N4</t>
  </si>
  <si>
    <t>ATV630 15kW VSD</t>
  </si>
  <si>
    <t>ATV630D15N4</t>
  </si>
  <si>
    <t>ATV630 18.5kW VSD</t>
  </si>
  <si>
    <t>ATV630D18N4</t>
  </si>
  <si>
    <t>ATV630 22kW VSD</t>
  </si>
  <si>
    <t>ATV630D22N4</t>
  </si>
  <si>
    <t>ATV630 45kW VSD</t>
  </si>
  <si>
    <t>ATV630D45N4</t>
  </si>
  <si>
    <t>ATV630 75kW VSD</t>
  </si>
  <si>
    <t>ATV630D75N4</t>
  </si>
  <si>
    <t>ATV630 90kW VSD</t>
  </si>
  <si>
    <t>ATV630D90N4</t>
  </si>
  <si>
    <t>ATV630 1.5kW VSD</t>
  </si>
  <si>
    <t>ATV630U15N4</t>
  </si>
  <si>
    <t>ATV630 2.2kW VSD</t>
  </si>
  <si>
    <t>ATV630U22N4</t>
  </si>
  <si>
    <t>ATV630 3kW VSD</t>
  </si>
  <si>
    <t>ATV630U30N4</t>
  </si>
  <si>
    <t>ATV630 4kW VSD</t>
  </si>
  <si>
    <t>ATV630U40N4</t>
  </si>
  <si>
    <t>ATV630 5.5kW VSD</t>
  </si>
  <si>
    <t>ATV630U55N4</t>
  </si>
  <si>
    <t>ATV630 7.5kW VSD</t>
  </si>
  <si>
    <t>ATV630U75N4</t>
  </si>
  <si>
    <t>ATV930 220KW VSD</t>
  </si>
  <si>
    <t>ATV930C22N4</t>
  </si>
  <si>
    <t>ATV930</t>
  </si>
  <si>
    <t>ATV930 250KW VSD</t>
  </si>
  <si>
    <t>ATV930C25N4C</t>
  </si>
  <si>
    <t>CAPACITOR BANK 480V 67.9 KVAR</t>
  </si>
  <si>
    <t>BLRCS339A407B48</t>
  </si>
  <si>
    <t>EASYCAN</t>
  </si>
  <si>
    <t>16A 3P 25kA MCCB, thermal-magnetic trip unit TM-D</t>
  </si>
  <si>
    <t>C10B3TM016</t>
  </si>
  <si>
    <t>NSX</t>
  </si>
  <si>
    <t>25A 3P 25kA MCCB, thermal-magnetic trip unit TM-D</t>
  </si>
  <si>
    <t>C10B3TM025</t>
  </si>
  <si>
    <t>32A 3P 25kA MCCB, thermal-magnetic trip unit TM-D</t>
  </si>
  <si>
    <t>C10B3TM032</t>
  </si>
  <si>
    <t>40A 3P 25kA MCCB, thermal-magnetic trip unit TM-D</t>
  </si>
  <si>
    <t>C10B3TM040</t>
  </si>
  <si>
    <t>50A 3P 25kA MCCB, thermal-magnetic trip unit TM-D</t>
  </si>
  <si>
    <t>C10B3TM050</t>
  </si>
  <si>
    <t>63A 3P 25kA MCCB, thermal-magnetic trip unit TM-D</t>
  </si>
  <si>
    <t>C10B3TM063</t>
  </si>
  <si>
    <t>80A 3P 25kA MCCB, thermal-magnetic trip unit TM-D</t>
  </si>
  <si>
    <t>C10B3TM080</t>
  </si>
  <si>
    <t>100A 3P 25kA MCCB, thermal-magnetic trip unit TM-D</t>
  </si>
  <si>
    <t>C10B3TM100</t>
  </si>
  <si>
    <t>16A 4P 25kA MCCB, thermal-magnetic trip unit TM-D</t>
  </si>
  <si>
    <t>C10B6TM016</t>
  </si>
  <si>
    <t>25A 4P 25kA MCCB, thermal-magnetic trip unit TM-D</t>
  </si>
  <si>
    <t>C10B6TM025</t>
  </si>
  <si>
    <t>32A 4P 25kA MCCB, thermal-magnetic trip unit TM-D</t>
  </si>
  <si>
    <t>C10B6TM032</t>
  </si>
  <si>
    <t>40A 4P 25kA MCCB, thermal-magnetic trip unit TM-D</t>
  </si>
  <si>
    <t>C10B6TM040</t>
  </si>
  <si>
    <t>50A 4P 25kA MCCB, thermal-magnetic trip unit TM-D</t>
  </si>
  <si>
    <t>C10B6TM050</t>
  </si>
  <si>
    <t>63A 4P 25kA MCCB, thermal-magnetic trip unit TM-D</t>
  </si>
  <si>
    <t>C10B6TM063</t>
  </si>
  <si>
    <t>80A 4P 25kA MCCB, thermal-magnetic trip unit TM-D</t>
  </si>
  <si>
    <t>C10B6TM080</t>
  </si>
  <si>
    <t>100A 4P 25kA MCCB, thermal-magnetic trip unit TM-D</t>
  </si>
  <si>
    <t>C10B6TM100</t>
  </si>
  <si>
    <t>16A 3P 36kA MCCB, thermal-magnetic trip unit TM-D</t>
  </si>
  <si>
    <t>C10F3TM016</t>
  </si>
  <si>
    <t>25A 3P 36kA MCCB, thermal-magnetic trip unit TM-D</t>
  </si>
  <si>
    <t>C10F3TM025</t>
  </si>
  <si>
    <t>32A 3P 36kA MCCB, thermal-magnetic trip unit TM-D</t>
  </si>
  <si>
    <t>C10F3TM032</t>
  </si>
  <si>
    <t>40A 3P 36kA MCCB, thermal-magnetic trip unit TM-D</t>
  </si>
  <si>
    <t>C10F3TM040</t>
  </si>
  <si>
    <t>50A 3P 36kA MCCB, thermal-magnetic trip unit TM-D</t>
  </si>
  <si>
    <t>C10F3TM050</t>
  </si>
  <si>
    <t>63A 3P 36kA MCCB, thermal-magnetic trip unit TM-D</t>
  </si>
  <si>
    <t>C10F3TM063</t>
  </si>
  <si>
    <t>80A 3P 36kA MCCB, thermal-magnetic trip unit TM-D</t>
  </si>
  <si>
    <t>C10F3TM080</t>
  </si>
  <si>
    <t>100A 3P 36kA MCCB, thermal-magnetic trip unit TM-D</t>
  </si>
  <si>
    <t>C10F3TM100</t>
  </si>
  <si>
    <t>16A 4P 36kA MCCB, thermal-magnetic trip unit TM-D</t>
  </si>
  <si>
    <t>C10F6TM016</t>
  </si>
  <si>
    <t>25A 4P 36kA MCCB, thermal-magnetic trip unit TM-D</t>
  </si>
  <si>
    <t>C10F6TM025</t>
  </si>
  <si>
    <t>32A 4P 36kA MCCB, thermal-magnetic trip unit TM-D</t>
  </si>
  <si>
    <t>C10F6TM032</t>
  </si>
  <si>
    <t>40A 4P 36kA MCCB, thermal-magnetic trip unit TM-D</t>
  </si>
  <si>
    <t>C10F6TM040</t>
  </si>
  <si>
    <t>50A 4P 36kA MCCB, thermal-magnetic trip unit TM-D</t>
  </si>
  <si>
    <t>C10F6TM050</t>
  </si>
  <si>
    <t>63A 4P 36kA MCCB, thermal-magnetic trip unit TM-D</t>
  </si>
  <si>
    <t>C10F6TM063</t>
  </si>
  <si>
    <t>80A 4P 36kA MCCB, thermal-magnetic trip unit TM-D</t>
  </si>
  <si>
    <t>C10F6TM080</t>
  </si>
  <si>
    <t>100A 4P 36kA MCCB, thermal-magnetic trip unit TM-D</t>
  </si>
  <si>
    <t>C10F6TM100</t>
  </si>
  <si>
    <t>16A 3P 70kA MCCB, thermal-magnetic trip unit TM-D</t>
  </si>
  <si>
    <t>C10H3TM016</t>
  </si>
  <si>
    <t>25A 3P 70kA MCCB, thermal-magnetic trip unit TM-D</t>
  </si>
  <si>
    <t>C10H3TM025</t>
  </si>
  <si>
    <t>32A 3P 70kA MCCB, thermal-magnetic trip unit TM-D</t>
  </si>
  <si>
    <t>C10H3TM032</t>
  </si>
  <si>
    <t>40A 3P 70kA MCCB, thermal-magnetic trip unit TM-D</t>
  </si>
  <si>
    <t>C10H3TM040</t>
  </si>
  <si>
    <t>50A 3P 70kA MCCB, thermal-magnetic trip unit TM-D</t>
  </si>
  <si>
    <t>C10H3TM050</t>
  </si>
  <si>
    <t>63A 3P 70kA MCCB, thermal-magnetic trip unit TM-D</t>
  </si>
  <si>
    <t>C10H3TM063</t>
  </si>
  <si>
    <t>80A 3P 70kA MCCB, thermal-magnetic trip unit TM-D</t>
  </si>
  <si>
    <t>C10H3TM080</t>
  </si>
  <si>
    <t>100A 3P 70kA MCCB, thermal-magnetic trip unit TM-D</t>
  </si>
  <si>
    <t>C10H3TM100</t>
  </si>
  <si>
    <t>16A 4P 70kA MCCB, thermal-magnetic trip unit TM-D</t>
  </si>
  <si>
    <t>C10H6TM016</t>
  </si>
  <si>
    <t>25A 4P 70kA MCCB, thermal-magnetic trip unit TM-D</t>
  </si>
  <si>
    <t>C10H6TM025</t>
  </si>
  <si>
    <t>32A 4P 70kA MCCB, thermal-magnetic trip unit TM-D</t>
  </si>
  <si>
    <t>C10H6TM032</t>
  </si>
  <si>
    <t>40A 4P 70kA MCCB, thermal-magnetic trip unit TM-D</t>
  </si>
  <si>
    <t>C10H6TM040</t>
  </si>
  <si>
    <t>50A 4P 70kA MCCB, thermal-magnetic trip unit TM-D</t>
  </si>
  <si>
    <t>C10H6TM050</t>
  </si>
  <si>
    <t>63A 4P 70kA MCCB, thermal-magnetic trip unit TM-D</t>
  </si>
  <si>
    <t>C10H6TM063</t>
  </si>
  <si>
    <t>80A 4P 70kA MCCB, thermal-magnetic trip unit TM-D</t>
  </si>
  <si>
    <t>C10H6TM080</t>
  </si>
  <si>
    <t>100A 4P 70kA MCCB, thermal-magnetic trip unit TM-D</t>
  </si>
  <si>
    <t>C10H6TM100</t>
  </si>
  <si>
    <t>40A 3P 50kA MCCB, Micrologic 5.2 E</t>
  </si>
  <si>
    <t>C10N3 + C1035E040</t>
  </si>
  <si>
    <t>100A 3P 50kA MCCB, Micrologic 5.2 E</t>
  </si>
  <si>
    <t>C10N3 + C1035E100</t>
  </si>
  <si>
    <t>40A 3P 50kA MCCB, Micrologic 2.2</t>
  </si>
  <si>
    <t>C10N32D040</t>
  </si>
  <si>
    <t>100A 3P 50KA MCCB, Micrologic 2.2</t>
  </si>
  <si>
    <t>C10N32D100</t>
  </si>
  <si>
    <t>16A 3P 50kA MCCB, thermal-magnetic trip unit TM-D</t>
  </si>
  <si>
    <t>C10N3TM016</t>
  </si>
  <si>
    <t>25A 3P 50kA MCCB, thermal-magnetic trip unit TM-D</t>
  </si>
  <si>
    <t>C10N3TM025</t>
  </si>
  <si>
    <t>32A 3P 50kA MCCB, thermal-magnetic trip unit TM-D</t>
  </si>
  <si>
    <t>C10N3TM032</t>
  </si>
  <si>
    <t>40A 3P 50kA MCCB, thermal-magnetic trip unit TM-D</t>
  </si>
  <si>
    <t>C10N3TM040</t>
  </si>
  <si>
    <t>50A 3P 50kA MCCB, thermal-magnetic trip unit TM-D</t>
  </si>
  <si>
    <t>C10N3TM050</t>
  </si>
  <si>
    <t>63A 3P 50kA MCCB, thermal-magnetic trip unit TM-D</t>
  </si>
  <si>
    <t>C10N3TM063</t>
  </si>
  <si>
    <t>80A 3P 50kA MCCB, thermal-magnetic trip unit TM-D</t>
  </si>
  <si>
    <t>C10N3TM080</t>
  </si>
  <si>
    <t>100A 3P 50kA MCCB, thermal-magnetic trip unit TM-D</t>
  </si>
  <si>
    <t>C10N3TM100</t>
  </si>
  <si>
    <t>40A 4P 50kA MCCB, Micrologic 5.2 E</t>
  </si>
  <si>
    <t>C10N4 + C1045E040</t>
  </si>
  <si>
    <t>P.O.R</t>
  </si>
  <si>
    <t>100A 4P 50kA MCCB, Micrologic 5.2 E</t>
  </si>
  <si>
    <t>C10N4 + C1045E100</t>
  </si>
  <si>
    <t>40A 4P 50kA MCCB, Micrologic 2.2</t>
  </si>
  <si>
    <t>C10N42D040</t>
  </si>
  <si>
    <t>100A 4P 50kA MCCB, Micrologic 2.2</t>
  </si>
  <si>
    <t>C10N42D100</t>
  </si>
  <si>
    <t>16A 4P 50kA MCCB, thermal-magnetic trip unit TM-D</t>
  </si>
  <si>
    <t>C10N6TM016</t>
  </si>
  <si>
    <t>25A 4P 50kA MCCB, thermal-magnetic trip unit TM-D</t>
  </si>
  <si>
    <t>C10N6TM025</t>
  </si>
  <si>
    <t>32A 4P 50kA MCCB, thermal-magnetic trip unit TM-D</t>
  </si>
  <si>
    <t>C10N6TM032</t>
  </si>
  <si>
    <t>40A 4P 50kA MCCB, thermal-magnetic trip unit TM-D</t>
  </si>
  <si>
    <t>C10N6TM040</t>
  </si>
  <si>
    <t>50A 4P 50kA MCCB, thermal-magnetic trip unit TM-D</t>
  </si>
  <si>
    <t>C10N6TM050</t>
  </si>
  <si>
    <t>63A 4P 50kA MCCB, thermal-magnetic trip unit TM-D</t>
  </si>
  <si>
    <t>C10N6TM063</t>
  </si>
  <si>
    <t>80A 4P 50kA MCCB, thermal-magnetic trip unit TM-D</t>
  </si>
  <si>
    <t>C10N6TM080</t>
  </si>
  <si>
    <t>100A 4P 50kA MCCB, thermal-magnetic trip unit TM-D</t>
  </si>
  <si>
    <t>C10N6TM100</t>
  </si>
  <si>
    <t>125A 3P 36kA MCCB, thermal-magnetic trip unit TM-D</t>
  </si>
  <si>
    <t>C16F3TM125</t>
  </si>
  <si>
    <t>160A 3P 36kA MCCB, thermal-magnetic trip unit TM-D</t>
  </si>
  <si>
    <t>C16F3TM160</t>
  </si>
  <si>
    <t>125A 4P 36kA MCCB, thermal-magnetic trip unit TM-D</t>
  </si>
  <si>
    <t>C16F6TM125</t>
  </si>
  <si>
    <t>160A 4P 36kA MCCB, thermal-magnetic trip unit TM-D</t>
  </si>
  <si>
    <t>C16F6TM160</t>
  </si>
  <si>
    <t>125A 3P 70kA MCCB, thermal-magnetic trip unit TM-D</t>
  </si>
  <si>
    <t>C16H3TM125</t>
  </si>
  <si>
    <t>160A 3P 70kA MCCB, thermal-magnetic trip unit TM-D</t>
  </si>
  <si>
    <t>C16H3TM160</t>
  </si>
  <si>
    <t>125A 4P 70kA MCCB, thermal-magnetic trip unit TM-D</t>
  </si>
  <si>
    <t>C16H6TM125</t>
  </si>
  <si>
    <t>160A 4P 70kA MCCB, thermal-magnetic trip unit TM-D</t>
  </si>
  <si>
    <t>C16H6TM160</t>
  </si>
  <si>
    <t>160A 3P 50kA MCCB, Micrologic 5.2 E</t>
  </si>
  <si>
    <t>C16N3 + C1635E160</t>
  </si>
  <si>
    <t>160A 3P 50kA MCCB, Micrologic 2.2</t>
  </si>
  <si>
    <t>C16N32D160</t>
  </si>
  <si>
    <t>125A 3P 50kA MCCB, thermal-magnetic trip unit TM-D</t>
  </si>
  <si>
    <t>C16N3TM125</t>
  </si>
  <si>
    <t>160A 3P 50kA MCCB, thermal-magnetic trip unit TM-D</t>
  </si>
  <si>
    <t>C16N3TM160</t>
  </si>
  <si>
    <t>160A 4P 50kA MCCB, Micrologic 5.2 E</t>
  </si>
  <si>
    <t>C16N4 + C1645E160</t>
  </si>
  <si>
    <t>160A 4P 50kA MCCB, Micrologic 2.2</t>
  </si>
  <si>
    <t>C16N42D160</t>
  </si>
  <si>
    <t>125A 4P 50kA MCCB, thermal-magnetic trip unit TM-D</t>
  </si>
  <si>
    <t>C16N6TM125</t>
  </si>
  <si>
    <t>160A 4P 50kA MCCB, thermal-magnetic trip unit TM-D</t>
  </si>
  <si>
    <t>C16N6TM160</t>
  </si>
  <si>
    <t>200A 3P 36kA MCCB, thermal-magnetic trip unit TM-D</t>
  </si>
  <si>
    <t>C25F3TM200</t>
  </si>
  <si>
    <t>250A 3P 36kA MCCB, thermal-magnetic trip unit TM-D</t>
  </si>
  <si>
    <t>C25F3TM250</t>
  </si>
  <si>
    <t>250A 4P 50kA MCCB, Micrologic 2.2</t>
  </si>
  <si>
    <t>C25F42D250</t>
  </si>
  <si>
    <t>200A 4P 36kA MCCB, thermal-magnetic trip unit TM-D</t>
  </si>
  <si>
    <t>C25F6TM200</t>
  </si>
  <si>
    <t>250A 4P 36kA MCCB, thermal-magnetic trip unit TM-D</t>
  </si>
  <si>
    <t>C25F6TM250</t>
  </si>
  <si>
    <t>200A 3P 70kA MCCB, thermal-magnetic trip unit TM-D</t>
  </si>
  <si>
    <t>C25H3TM200</t>
  </si>
  <si>
    <t>250A 3P 70kA MCCB, thermal-magnetic trip unit TM-D</t>
  </si>
  <si>
    <t>C25H3TM250</t>
  </si>
  <si>
    <t>200A 4P 70kA MCCB, thermal-magnetic trip unit TM-D</t>
  </si>
  <si>
    <t>C25H6TM200</t>
  </si>
  <si>
    <t>250A 4P 70kA MCCB, thermal-magnetic trip unit TM-D</t>
  </si>
  <si>
    <t>C25H6TM250</t>
  </si>
  <si>
    <t>250A 3P 50kA MCCB, Micrologic 5.2 E</t>
  </si>
  <si>
    <t>C25N3 + C2535E250</t>
  </si>
  <si>
    <t>250A 3P 50kA MCCB, Micrologic 2.2</t>
  </si>
  <si>
    <t>C25N32D250</t>
  </si>
  <si>
    <t>200A 3P 50kA MCCB, thermal-magnetic trip unit TM-D</t>
  </si>
  <si>
    <t>C25N3TM200</t>
  </si>
  <si>
    <t>250A 3P 50kA MCCB, thermal-magnetic trip unit TM-D</t>
  </si>
  <si>
    <t>C25N3TM250</t>
  </si>
  <si>
    <t>250A 4P 50kA MCCB, Micrologic 5.2 E</t>
  </si>
  <si>
    <t>C25N4 + C2545E250</t>
  </si>
  <si>
    <t>200A 4P 50kA MCCB, thermal-magnetic trip unit TM-D</t>
  </si>
  <si>
    <t>C25N6TM200</t>
  </si>
  <si>
    <t>250A 4P 50kA MCCB, thermal-magnetic trip unit TM-D</t>
  </si>
  <si>
    <t>C25N6TM250</t>
  </si>
  <si>
    <t>400A 3P 70kA MCCB, Micrologic 2.2</t>
  </si>
  <si>
    <t>C40H32D400</t>
  </si>
  <si>
    <t>400A 4P 70kA MCCB, Micrologic 2.2</t>
  </si>
  <si>
    <t>C40H42D400</t>
  </si>
  <si>
    <t>630A 3P 70kA MCCB, Micrologic 2.2</t>
  </si>
  <si>
    <t>C63H32D630</t>
  </si>
  <si>
    <t>630A 4P 70kA MCCB, Micrologic 2.2</t>
  </si>
  <si>
    <t>C63H42D630</t>
  </si>
  <si>
    <t>1C yearly time switch - 24hours + 7 days + year</t>
  </si>
  <si>
    <t>CCT15910</t>
  </si>
  <si>
    <t>OF or SD pr SDE or SDV</t>
  </si>
  <si>
    <t>CVS 29450</t>
  </si>
  <si>
    <t>CVS100B LV510300</t>
  </si>
  <si>
    <t>CVS100B LV510301</t>
  </si>
  <si>
    <t>CVS100B LV510302</t>
  </si>
  <si>
    <t>CVS100B LV510303</t>
  </si>
  <si>
    <t>CVS100B LV510304</t>
  </si>
  <si>
    <t>CVS100B LV510305</t>
  </si>
  <si>
    <t>CVS100B LV510306</t>
  </si>
  <si>
    <t>CVS100B LV510307</t>
  </si>
  <si>
    <t>15A 4P 25kA MCCB</t>
  </si>
  <si>
    <t>CVS100B LV510310</t>
  </si>
  <si>
    <t>CVS100B LV510311</t>
  </si>
  <si>
    <t>CVS100B LV510312</t>
  </si>
  <si>
    <t>CVS100B LV510313</t>
  </si>
  <si>
    <t>CVS100B LV510314</t>
  </si>
  <si>
    <t>60A 4P 25kA MCCB</t>
  </si>
  <si>
    <t>CVS100B LV510315</t>
  </si>
  <si>
    <t>CVS100B LV510316</t>
  </si>
  <si>
    <t>CVS100B LV510317</t>
  </si>
  <si>
    <t>CVS100F LV510330</t>
  </si>
  <si>
    <t>CVS100F LV510331</t>
  </si>
  <si>
    <t>CVS100F LV510332</t>
  </si>
  <si>
    <t>CVS100F LV510333</t>
  </si>
  <si>
    <t>CVS100F LV510334</t>
  </si>
  <si>
    <t>CVS100F LV510335</t>
  </si>
  <si>
    <t>CVS100F LV510336</t>
  </si>
  <si>
    <t>CVS100F LV510337</t>
  </si>
  <si>
    <t>CVS100F LV510340</t>
  </si>
  <si>
    <t>CVS100F LV510341</t>
  </si>
  <si>
    <t>CVS100F LV510342</t>
  </si>
  <si>
    <t>CVS100F LV510343</t>
  </si>
  <si>
    <t>CVS100F LV510344</t>
  </si>
  <si>
    <t>CVS100F LV510345</t>
  </si>
  <si>
    <t>CVS100F LV510346</t>
  </si>
  <si>
    <t>CVS100F LV510347</t>
  </si>
  <si>
    <t>CVS100N LV510470</t>
  </si>
  <si>
    <t>CVS100N LV510471</t>
  </si>
  <si>
    <t>CVS100N LV510472</t>
  </si>
  <si>
    <t>CVS100N LV510473</t>
  </si>
  <si>
    <t>CVS100N LV510474</t>
  </si>
  <si>
    <t>CVS100N LV510475</t>
  </si>
  <si>
    <t>CVS100N LV510476</t>
  </si>
  <si>
    <t>CVS100N LV510477</t>
  </si>
  <si>
    <t>CVS100N LV510480</t>
  </si>
  <si>
    <t>CVS100N LV510481</t>
  </si>
  <si>
    <t>CVS100N LV510482</t>
  </si>
  <si>
    <t>CVS100N LV510483</t>
  </si>
  <si>
    <t>CVS100N LV510485</t>
  </si>
  <si>
    <t>CVS100N LV510486</t>
  </si>
  <si>
    <t>CVS100N LV510487</t>
  </si>
  <si>
    <t>CVS160B LV516302</t>
  </si>
  <si>
    <t>CVS160B LV516303</t>
  </si>
  <si>
    <t>CVS160B LV516312</t>
  </si>
  <si>
    <t>CVS160B LV516313</t>
  </si>
  <si>
    <t>CVS160F LV516332</t>
  </si>
  <si>
    <t>CVS160F LV516333</t>
  </si>
  <si>
    <t>CVS160F LV516342</t>
  </si>
  <si>
    <t>CVS160F LV516343</t>
  </si>
  <si>
    <t>CVS160N LV516462</t>
  </si>
  <si>
    <t>CVS160N LV516463</t>
  </si>
  <si>
    <t>CVS160N LV516467</t>
  </si>
  <si>
    <t>160A 4P 50KA MCCB</t>
  </si>
  <si>
    <t>CVS160N LV516468</t>
  </si>
  <si>
    <t>CVS250B LV525302</t>
  </si>
  <si>
    <t>CVS250B LV525303</t>
  </si>
  <si>
    <t>CVS250B LV525312</t>
  </si>
  <si>
    <t>CVS250B LV525313</t>
  </si>
  <si>
    <t>CVS250F LV525332</t>
  </si>
  <si>
    <t>CVS250F LV525333</t>
  </si>
  <si>
    <t>CVS250F LV525342</t>
  </si>
  <si>
    <t>CVS250F LV525343</t>
  </si>
  <si>
    <t>CVS250N LV525452</t>
  </si>
  <si>
    <t>CVS250N LV525453</t>
  </si>
  <si>
    <t>CVS250N LV525457</t>
  </si>
  <si>
    <t>CVS250N LV525458</t>
  </si>
  <si>
    <t>CVS400F LV540305</t>
  </si>
  <si>
    <t>CVS400F LV540306</t>
  </si>
  <si>
    <t>CVS400F LV540308</t>
  </si>
  <si>
    <t>CVS400F LV540309</t>
  </si>
  <si>
    <t>CVS400N LV540315</t>
  </si>
  <si>
    <t>CVS400N LV540316</t>
  </si>
  <si>
    <t>CVS400N LV540318</t>
  </si>
  <si>
    <t>CVS400N LV540319</t>
  </si>
  <si>
    <t>CVS630F LV563305</t>
  </si>
  <si>
    <t>CVS630F LV563308</t>
  </si>
  <si>
    <t>CVS630N LV563315</t>
  </si>
  <si>
    <t>CVS630N LV563316</t>
  </si>
  <si>
    <t>CVS630N LV563318</t>
  </si>
  <si>
    <t>600A 4P 50kA MCCB</t>
  </si>
  <si>
    <t>EZ9D16625</t>
  </si>
  <si>
    <t>32A 1P+N 10mA RCBO</t>
  </si>
  <si>
    <t>EZ9D16632</t>
  </si>
  <si>
    <t>6A 1P 4.5kA MCB, C CURVE</t>
  </si>
  <si>
    <t>EZ9F34106</t>
  </si>
  <si>
    <t>10A 1P 4.5kA MCB, C CURVE</t>
  </si>
  <si>
    <t>EZ9F34110</t>
  </si>
  <si>
    <t>16A 1P 4.5kA MCB, C CURVE</t>
  </si>
  <si>
    <t>EZ9F34116</t>
  </si>
  <si>
    <t>20A 1P 4.5kA MCB, C CURVE</t>
  </si>
  <si>
    <t>EZ9F34120</t>
  </si>
  <si>
    <t>25A 1P 4.5kA MCB, C CURVE</t>
  </si>
  <si>
    <t>EZ9F34125</t>
  </si>
  <si>
    <t>32A 1P 4.5kA MCB, C CURVE</t>
  </si>
  <si>
    <t>EZ9F34132</t>
  </si>
  <si>
    <t>40A 1P 4.5kA MCB, C CURVE</t>
  </si>
  <si>
    <t>EZ9F34140</t>
  </si>
  <si>
    <t>50A 1P 4.5kA MCB, C CURVE</t>
  </si>
  <si>
    <t>EZ9F34150</t>
  </si>
  <si>
    <t>63A 1P 4.5kA MCB, C CURVE</t>
  </si>
  <si>
    <t>EZ9F34163</t>
  </si>
  <si>
    <t>6A 2P 4.5kA MCB, C CURVE</t>
  </si>
  <si>
    <t>EZ9F34206</t>
  </si>
  <si>
    <t>10A 2P 4.5kA MCB, C CURVE</t>
  </si>
  <si>
    <t>EZ9F34210</t>
  </si>
  <si>
    <t>16A 2P 4.5kA MCB, C CURVE</t>
  </si>
  <si>
    <t>EZ9F34216</t>
  </si>
  <si>
    <t>20A 2P 4.5kA MCB, C CURVE</t>
  </si>
  <si>
    <t>EZ9F34220</t>
  </si>
  <si>
    <t>25A 2P 4.5kA MCB, C CURVE</t>
  </si>
  <si>
    <t>EZ9F34225</t>
  </si>
  <si>
    <t>32A 2P 4.5kA MCB, C CURVE</t>
  </si>
  <si>
    <t>EZ9F34232</t>
  </si>
  <si>
    <t>40A 2P 4.5kA MCB, C CURVE</t>
  </si>
  <si>
    <t>EZ9F34240</t>
  </si>
  <si>
    <t>50A 2P 4.5kA MCB, C CURVE</t>
  </si>
  <si>
    <t>EZ9F34250</t>
  </si>
  <si>
    <t>63A 2P 4.5kA MCB, C CURVE</t>
  </si>
  <si>
    <t>EZ9F34263</t>
  </si>
  <si>
    <t>6A 3P 4.5kA MCB, C CURVE</t>
  </si>
  <si>
    <t>EZ9F34306</t>
  </si>
  <si>
    <t>10A 3P 4.5kA MCB, C CURVE</t>
  </si>
  <si>
    <t>EZ9F34310</t>
  </si>
  <si>
    <t>16A 3P 4.5kA MCB, C CURVE</t>
  </si>
  <si>
    <t>EZ9F34316</t>
  </si>
  <si>
    <t>20A 3P 4.5kA MCB, C CURVE</t>
  </si>
  <si>
    <t>EZ9F34320</t>
  </si>
  <si>
    <t>25A 3P 4.5kA MCB, C CURVE</t>
  </si>
  <si>
    <t>EZ9F34325</t>
  </si>
  <si>
    <t>32A 3P 4.5kA MCB, C CURVE</t>
  </si>
  <si>
    <t>EZ9F34332</t>
  </si>
  <si>
    <t>40A 3P 4.5kA MCB, C CURVE</t>
  </si>
  <si>
    <t>EZ9F34340</t>
  </si>
  <si>
    <t>50A 3P 4.5kA MCB, C CURVE</t>
  </si>
  <si>
    <t>EZ9F34350</t>
  </si>
  <si>
    <t>63A 3P 4.5kA MCB, C CURVE</t>
  </si>
  <si>
    <t>EZ9F34363</t>
  </si>
  <si>
    <t>EZ9F51140</t>
  </si>
  <si>
    <t>6A SP 6kA MCB, C CURVE</t>
  </si>
  <si>
    <t>EZ9F56106</t>
  </si>
  <si>
    <t>10A SP 6kA MCB, C CURVE</t>
  </si>
  <si>
    <t>EZ9F56110</t>
  </si>
  <si>
    <t>16A SP 6kA MCB, C CURVE</t>
  </si>
  <si>
    <t>EZ9F56116</t>
  </si>
  <si>
    <t>20A SP 6kA MCB, C CURVE</t>
  </si>
  <si>
    <t>EZ9F56120</t>
  </si>
  <si>
    <t>25A SP 6kA MCB, C CURVE</t>
  </si>
  <si>
    <t>EZ9F56125</t>
  </si>
  <si>
    <t>32A SP 6KA MCB, C CURVE</t>
  </si>
  <si>
    <t>EZ9F56132</t>
  </si>
  <si>
    <t>40A SP 6kA MCB, C CURVE</t>
  </si>
  <si>
    <t>EZ9F56140</t>
  </si>
  <si>
    <t>50A SP 6kA MCB, C CURVE</t>
  </si>
  <si>
    <t>EZ9F56150</t>
  </si>
  <si>
    <t>63A SP 6kA MCB, C CURVE</t>
  </si>
  <si>
    <t>EZ9F56163</t>
  </si>
  <si>
    <t>6A 2P 6kA MCB, C CURVE</t>
  </si>
  <si>
    <t>EZ9F56206</t>
  </si>
  <si>
    <t>10A 2P 6kA MCB, C CURVE</t>
  </si>
  <si>
    <t>EZ9F56210</t>
  </si>
  <si>
    <t>16A 2P 6kA MCB, C CURVE</t>
  </si>
  <si>
    <t>EZ9F56216</t>
  </si>
  <si>
    <t>20A 2P 6kA MCB, C CURVE</t>
  </si>
  <si>
    <t>EZ9F56220</t>
  </si>
  <si>
    <t>25A 2P 6kA MCB, C CURVE</t>
  </si>
  <si>
    <t>EZ9F56225</t>
  </si>
  <si>
    <t>32A 2P 6kA MCB, C CURVE</t>
  </si>
  <si>
    <t>EZ9F56232</t>
  </si>
  <si>
    <t>40A 2P 6kA MCB, C CURVE</t>
  </si>
  <si>
    <t>EZ9F56240</t>
  </si>
  <si>
    <t>50A 2P 6kA MCB, C CURVE</t>
  </si>
  <si>
    <t>EZ9F56250</t>
  </si>
  <si>
    <t>63A 2P 6kA MCB, C CURVE</t>
  </si>
  <si>
    <t>EZ9F56263</t>
  </si>
  <si>
    <t>6A 3P 6kA MCB, C CURVE</t>
  </si>
  <si>
    <t>EZ9F56306</t>
  </si>
  <si>
    <t>10A 3P 6kA MCB, C CURVE</t>
  </si>
  <si>
    <t>EZ9F56310</t>
  </si>
  <si>
    <t>16A 3P 6kA MCB, C CURVE</t>
  </si>
  <si>
    <t>EZ9F56316</t>
  </si>
  <si>
    <t>20A 3P 6kA MCB, C CURVE</t>
  </si>
  <si>
    <t>EZ9F56320</t>
  </si>
  <si>
    <t>25A 3P 6kA MCB, C CURVE</t>
  </si>
  <si>
    <t>EZ9F56325</t>
  </si>
  <si>
    <t>32A 3P 6kA MCB, C CURVE</t>
  </si>
  <si>
    <t>EZ9F56332</t>
  </si>
  <si>
    <t>40A 3P 6kA MCB, C CURVE</t>
  </si>
  <si>
    <t>EZ9F56340</t>
  </si>
  <si>
    <t>50A 3P 6kA MCB, C CURVE</t>
  </si>
  <si>
    <t>EZ9F56350</t>
  </si>
  <si>
    <t>63A 3P 6kA MCB, C CURVE</t>
  </si>
  <si>
    <t>EZ9F56363</t>
  </si>
  <si>
    <t>EZ9R14225</t>
  </si>
  <si>
    <t>EZC</t>
  </si>
  <si>
    <t>EZ9R36225</t>
  </si>
  <si>
    <t>EZ9R36240</t>
  </si>
  <si>
    <t>EZ9R36263</t>
  </si>
  <si>
    <t>EZ9R36425</t>
  </si>
  <si>
    <t>EZ9R36440</t>
  </si>
  <si>
    <t>EZ9R36463</t>
  </si>
  <si>
    <t>EZ9R56225</t>
  </si>
  <si>
    <t>EZ9R56240</t>
  </si>
  <si>
    <t>EZ9R56263</t>
  </si>
  <si>
    <t>EZ9R56425</t>
  </si>
  <si>
    <t>EZ9R56440</t>
  </si>
  <si>
    <t>EZ9R56463</t>
  </si>
  <si>
    <t>EZ9R66225</t>
  </si>
  <si>
    <t>EZ9R66240</t>
  </si>
  <si>
    <t>EZ9R66263</t>
  </si>
  <si>
    <t>EZ9R66425</t>
  </si>
  <si>
    <t>EZ9R66440</t>
  </si>
  <si>
    <t>EZ9R66463</t>
  </si>
  <si>
    <t>Direct Rotary Handle(Black), EZC100</t>
  </si>
  <si>
    <t>EZAROTDS</t>
  </si>
  <si>
    <t>Extended Rotary Handle (Black), EZC100</t>
  </si>
  <si>
    <t>EZAROTE</t>
  </si>
  <si>
    <t>Shunt Trip (SHT), EZC</t>
  </si>
  <si>
    <t>EZASHT200AC</t>
  </si>
  <si>
    <t>Undervoltage release, 380-415Vac 50Hz, EZC100</t>
  </si>
  <si>
    <t>EZAUVR380AC</t>
  </si>
  <si>
    <t>Auxiliary contacts(changeover), EZC400/630</t>
  </si>
  <si>
    <t>EZC 29450</t>
  </si>
  <si>
    <t>EZC100F3016</t>
  </si>
  <si>
    <t>EZC100F3020</t>
  </si>
  <si>
    <t>EZC100F3025</t>
  </si>
  <si>
    <t>EZC100F3032</t>
  </si>
  <si>
    <t>EZC100F3040</t>
  </si>
  <si>
    <t>EZC100F3050</t>
  </si>
  <si>
    <t>EZC100F3063</t>
  </si>
  <si>
    <t>EZC100F3080</t>
  </si>
  <si>
    <t>EZC100F3100</t>
  </si>
  <si>
    <t>16A 1P 25kA MCCB</t>
  </si>
  <si>
    <t>EZC100H1016</t>
  </si>
  <si>
    <t>EZC100H1020</t>
  </si>
  <si>
    <t>EZC100H1025</t>
  </si>
  <si>
    <t>EZC100H1032</t>
  </si>
  <si>
    <t>EZC100H1040</t>
  </si>
  <si>
    <t>EZC100H1050</t>
  </si>
  <si>
    <t>EZC100H1063</t>
  </si>
  <si>
    <t>EZC100H1080</t>
  </si>
  <si>
    <t>EZC100H1100</t>
  </si>
  <si>
    <t>EZC100H2016</t>
  </si>
  <si>
    <t>EZC100H2020</t>
  </si>
  <si>
    <t>EZC100H2025</t>
  </si>
  <si>
    <t>EZC100H2032</t>
  </si>
  <si>
    <t>EZC100H2040</t>
  </si>
  <si>
    <t>EZC100H2050</t>
  </si>
  <si>
    <t>EZC100H2063</t>
  </si>
  <si>
    <t>EZC100H2080</t>
  </si>
  <si>
    <t>EZC100H2100</t>
  </si>
  <si>
    <t>16A 3P 30kA MCCB</t>
  </si>
  <si>
    <t>EZC100H3016</t>
  </si>
  <si>
    <t>20A 3P 30kA MCCB</t>
  </si>
  <si>
    <t>EZC100H3020</t>
  </si>
  <si>
    <t>25A 3P 30kA MCCB</t>
  </si>
  <si>
    <t>EZC100H3025</t>
  </si>
  <si>
    <t>32A 3P 30kA MCCB</t>
  </si>
  <si>
    <t>EZC100H3032</t>
  </si>
  <si>
    <t>40A 3P 30kA MCCB</t>
  </si>
  <si>
    <t>EZC100H3040</t>
  </si>
  <si>
    <t>50A 3P 30kA MCCB</t>
  </si>
  <si>
    <t>EZC100H3050</t>
  </si>
  <si>
    <t>63A 3P 30kA MCCB</t>
  </si>
  <si>
    <t>EZC100H3063</t>
  </si>
  <si>
    <t>80A 3P 30kA MCCB</t>
  </si>
  <si>
    <t>EZC100H3080</t>
  </si>
  <si>
    <t>100A 3P 30kA MCCB</t>
  </si>
  <si>
    <t>EZC100H3100</t>
  </si>
  <si>
    <t>16A 4P 30kA MCCB</t>
  </si>
  <si>
    <t>EZC100H4016</t>
  </si>
  <si>
    <t>20A 4P 30kA MCCB</t>
  </si>
  <si>
    <t>EZC100H4020</t>
  </si>
  <si>
    <t>25A 4P 30kA MCCB</t>
  </si>
  <si>
    <t>EZC100H4025</t>
  </si>
  <si>
    <t>32A 4P 30kA MCCB</t>
  </si>
  <si>
    <t>EZC100H4032</t>
  </si>
  <si>
    <t>40A 4P 30kA MCCB</t>
  </si>
  <si>
    <t>EZC100H4040</t>
  </si>
  <si>
    <t>50A 4P 30kA MCCB</t>
  </si>
  <si>
    <t>EZC100H4050</t>
  </si>
  <si>
    <t>63A 4P 30kA MCCB</t>
  </si>
  <si>
    <t>EZC100H4063</t>
  </si>
  <si>
    <t>80A 4P 30kA MCCB</t>
  </si>
  <si>
    <t>EZC100H4080</t>
  </si>
  <si>
    <t>100A 4P 30kA MCCB</t>
  </si>
  <si>
    <t>EZC100H4100</t>
  </si>
  <si>
    <t>16A 1P 18kA MCCB</t>
  </si>
  <si>
    <t>EZC100N1016</t>
  </si>
  <si>
    <t>20A 1P 18kA MCCB</t>
  </si>
  <si>
    <t>EZC100N1020</t>
  </si>
  <si>
    <t>25A 1P 18kA MCCB</t>
  </si>
  <si>
    <t>EZC100N1025</t>
  </si>
  <si>
    <t>32A 1P 18kA MCCB</t>
  </si>
  <si>
    <t>EZC100N1032</t>
  </si>
  <si>
    <t>40A 1P 18kA MCCB</t>
  </si>
  <si>
    <t>EZC100N1040</t>
  </si>
  <si>
    <t>50A 1P 18kA MCCB</t>
  </si>
  <si>
    <t>EZC100N1050</t>
  </si>
  <si>
    <t>63A 1P 18kA MCCB</t>
  </si>
  <si>
    <t>EZC100N1063</t>
  </si>
  <si>
    <t>80A 1P 18kA MCCB</t>
  </si>
  <si>
    <t>EZC100N1080</t>
  </si>
  <si>
    <t>100A 1P 18kA  MCCB</t>
  </si>
  <si>
    <t>EZC100N1100</t>
  </si>
  <si>
    <t>16A 3P 15kA MCCB</t>
  </si>
  <si>
    <t>EZC100N3016</t>
  </si>
  <si>
    <t>20A 3P 15kA MCCB</t>
  </si>
  <si>
    <t>EZC100N3020</t>
  </si>
  <si>
    <t>25A 3P 15kA MCCB</t>
  </si>
  <si>
    <t>EZC100N3025</t>
  </si>
  <si>
    <t>32A 3P 15kA MCCB</t>
  </si>
  <si>
    <t>EZC100N3032</t>
  </si>
  <si>
    <t>40A 3P 15kA MCCB</t>
  </si>
  <si>
    <t>EZC100N3040</t>
  </si>
  <si>
    <t>50A 3P 15kA MCCB</t>
  </si>
  <si>
    <t>EZC100N3050</t>
  </si>
  <si>
    <t>63A 3P 15kA MCCB</t>
  </si>
  <si>
    <t>EZC100N3063</t>
  </si>
  <si>
    <t>80A 3P 15kA MCCB</t>
  </si>
  <si>
    <t>EZC100N3080</t>
  </si>
  <si>
    <t>100A 3P 15kA MCCB</t>
  </si>
  <si>
    <t>EZC100N3100</t>
  </si>
  <si>
    <t>16A 4P 15kA MCCB</t>
  </si>
  <si>
    <t>EZC100N4016</t>
  </si>
  <si>
    <t>20A 4P 15kA MCCB</t>
  </si>
  <si>
    <t>EZC100N4020</t>
  </si>
  <si>
    <t>25A 4P 15kA MCCB</t>
  </si>
  <si>
    <t>EZC100N4025</t>
  </si>
  <si>
    <t>32A 4P 15kA MCCB</t>
  </si>
  <si>
    <t>EZC100N4032</t>
  </si>
  <si>
    <t>40A 4P 15kA MCCB</t>
  </si>
  <si>
    <t>EZC100N4040</t>
  </si>
  <si>
    <t>50A 4P 15kA MCCB</t>
  </si>
  <si>
    <t>EZC100N4050</t>
  </si>
  <si>
    <t>63A 4P 15kA MCCB</t>
  </si>
  <si>
    <t>EZC100N4063</t>
  </si>
  <si>
    <t>80A 4P 15kA MCCB</t>
  </si>
  <si>
    <t>EZC100N4080</t>
  </si>
  <si>
    <t>100A 4P 15kA MCCB</t>
  </si>
  <si>
    <t>EZC100N4100</t>
  </si>
  <si>
    <t>EZC250F3125</t>
  </si>
  <si>
    <t>EZC250F3160</t>
  </si>
  <si>
    <t>EZC250F3200</t>
  </si>
  <si>
    <t>EZC250F3250</t>
  </si>
  <si>
    <t>100A 2P 85kA MCCB</t>
  </si>
  <si>
    <t>EZC250H2100</t>
  </si>
  <si>
    <t>125A 2P 85kA MCCB</t>
  </si>
  <si>
    <t>EZC250H2125</t>
  </si>
  <si>
    <t>160A 2P 85kA MCCB</t>
  </si>
  <si>
    <t>EZC250H2160</t>
  </si>
  <si>
    <t>200A 2P 85kA MCCB</t>
  </si>
  <si>
    <t>EZC250H2200</t>
  </si>
  <si>
    <t>250A 2P 85kA MCCB</t>
  </si>
  <si>
    <t>EZC250H2250</t>
  </si>
  <si>
    <t>EZC250H3100</t>
  </si>
  <si>
    <t>EZC250H3125</t>
  </si>
  <si>
    <t>EZC250H3160</t>
  </si>
  <si>
    <t>EZC250H3200</t>
  </si>
  <si>
    <t>EZC250H3250</t>
  </si>
  <si>
    <t>EZC250H4063</t>
  </si>
  <si>
    <t>EZC250H4080</t>
  </si>
  <si>
    <t>EZC250H4100</t>
  </si>
  <si>
    <t>EZC250H4125</t>
  </si>
  <si>
    <t>EZC250H4160</t>
  </si>
  <si>
    <t>EZC250H4200</t>
  </si>
  <si>
    <t>EZC250H4250</t>
  </si>
  <si>
    <t>EZC250N3125</t>
  </si>
  <si>
    <t>EZC250N3160</t>
  </si>
  <si>
    <t>EZC250N3200</t>
  </si>
  <si>
    <t>EZC250N3250</t>
  </si>
  <si>
    <t>EZC400H3320N</t>
  </si>
  <si>
    <t>EZC400H3400N</t>
  </si>
  <si>
    <t>EZC400H4320N</t>
  </si>
  <si>
    <t>EZC400H4400N</t>
  </si>
  <si>
    <t>EZC400N3320N</t>
  </si>
  <si>
    <t>EZC400N3400N</t>
  </si>
  <si>
    <t>EZC400N4320N</t>
  </si>
  <si>
    <t>EZC400N4400N</t>
  </si>
  <si>
    <t>EZC630H3500N</t>
  </si>
  <si>
    <t>EZC630H4500N</t>
  </si>
  <si>
    <t>EZC630N3500N</t>
  </si>
  <si>
    <t>600A 3P 36kA MCCB</t>
  </si>
  <si>
    <t>EZC630N4500N</t>
  </si>
  <si>
    <t>600A 4P 36kA MCCB</t>
  </si>
  <si>
    <t>EZC630N4600N</t>
  </si>
  <si>
    <t>Alarm switch (AL)</t>
  </si>
  <si>
    <t>EZEAL</t>
  </si>
  <si>
    <t>Auxiliary switch (AX)</t>
  </si>
  <si>
    <t>EZEAX</t>
  </si>
  <si>
    <t>Auxiliary switch/ Alarm switch (AX/AL)</t>
  </si>
  <si>
    <t>EZEAXAL</t>
  </si>
  <si>
    <t>Combination Block (GV2 to Contactor)</t>
  </si>
  <si>
    <t>GV2AF3</t>
  </si>
  <si>
    <t>TMMPCB</t>
  </si>
  <si>
    <t>GV2</t>
  </si>
  <si>
    <t>Padlockable external operators, GV2
Black handle, front plate with trip status, IP54</t>
  </si>
  <si>
    <t>GV2APN01</t>
  </si>
  <si>
    <t>Padlockable external operators, GV3
Black handle, front plate with trip status, IP54</t>
  </si>
  <si>
    <t>GV2APN02</t>
  </si>
  <si>
    <t>Ther. Magnetic Motor Protection Circuit Breaker 0.1 … 6.3A *kA</t>
  </si>
  <si>
    <t>GV2ME01-10</t>
  </si>
  <si>
    <t>Ther. Magnetic Motor Protection Circuit Breaker 6 … 10A *kA</t>
  </si>
  <si>
    <t>GV2ME14</t>
  </si>
  <si>
    <t>Ther. Magnetic Motor Protection Circuit Breaker 9 … 18A 50kA</t>
  </si>
  <si>
    <t>GV2ME16-20</t>
  </si>
  <si>
    <t>Ther. Magnetic Motor Protection Circuit Breaker 20 … 25A 40kA</t>
  </si>
  <si>
    <t>GV2ME22</t>
  </si>
  <si>
    <t>Ther. Magnetic Motor Protection Circuit Breaker 23 … 32A 50kA</t>
  </si>
  <si>
    <t>GV2ME32</t>
  </si>
  <si>
    <t>Ther. Magnetic Motor Protection Circuit Breaker 0.1 … 0.16</t>
  </si>
  <si>
    <t>GV2P01</t>
  </si>
  <si>
    <t>Ther. Magnetic Motor Protection Circuit Breaker 0.16 … 0.25</t>
  </si>
  <si>
    <t>GV2P02</t>
  </si>
  <si>
    <t>Ther. Magnetic Motor Protection Circuit Breaker 0.25 … 0.40</t>
  </si>
  <si>
    <t>GV2P03</t>
  </si>
  <si>
    <t>Ther. Magnetic Motor Protection Circuit Breaker 0.40 … 0.63</t>
  </si>
  <si>
    <t>GV2P04</t>
  </si>
  <si>
    <t>Ther. Magnetic Motor Protection Circuit Breaker 0.63 … 1</t>
  </si>
  <si>
    <t>GV2P05</t>
  </si>
  <si>
    <t>Ther. Magnetic Motor Protection Circuit Breaker 1 … 1.6</t>
  </si>
  <si>
    <t>GV2P06</t>
  </si>
  <si>
    <t>Ther. Magnetic Motor Protection Circuit Breaker 1.6 … 2.5</t>
  </si>
  <si>
    <t>GV2P07</t>
  </si>
  <si>
    <t>Ther. Magnetic Motor Protection Circuit Breaker 2.5 … 4</t>
  </si>
  <si>
    <t>GV2P08</t>
  </si>
  <si>
    <t>Ther. Magnetic Motor Protection Circuit Breaker 4 … 6.3</t>
  </si>
  <si>
    <t>GV2P10</t>
  </si>
  <si>
    <t>Ther. Magnetic Motor Protection Circuit Breaker 6 … 10A</t>
  </si>
  <si>
    <t>GV2P14</t>
  </si>
  <si>
    <t>Ther. Magnetic Motor Protection Circuit Breaker 9 … 14A</t>
  </si>
  <si>
    <t>GV2P16</t>
  </si>
  <si>
    <t>Ther. Magnetic Motor Protection Circuit Breaker 13 … 18A</t>
  </si>
  <si>
    <t>GV2P20</t>
  </si>
  <si>
    <t>Ther. Magnetic Motor Protection Circuit Breaker 17 … 23A</t>
  </si>
  <si>
    <t>GV2P21</t>
  </si>
  <si>
    <t>Ther. Magnetic Motor Protection Circuit Breaker 20 … 25A</t>
  </si>
  <si>
    <t>GV2P22</t>
  </si>
  <si>
    <t>Ther. Magnetic Motor Protection Circuit Breaker 24 … 32A</t>
  </si>
  <si>
    <t>GV2P32</t>
  </si>
  <si>
    <t>Ther. Magnetic Motor Protection Circuit Breaker 30 … 40 50kA</t>
  </si>
  <si>
    <t>GV3P40</t>
  </si>
  <si>
    <t>GV3</t>
  </si>
  <si>
    <t>Ther. Magnetic Motor Protection Circuit Breaker 37 … 50 50kA</t>
  </si>
  <si>
    <t>GV3P50</t>
  </si>
  <si>
    <t>GV2ME, GV2P &amp; GV3P Fault + Aux contact</t>
  </si>
  <si>
    <t>GVAD1010</t>
  </si>
  <si>
    <t>GV2/ GV3</t>
  </si>
  <si>
    <t>Touch Screen HMI, GXU</t>
  </si>
  <si>
    <t>HMIGXU3512</t>
  </si>
  <si>
    <t>HMI</t>
  </si>
  <si>
    <t>MHIGXU</t>
  </si>
  <si>
    <t>Touch Screen HMI</t>
  </si>
  <si>
    <t>HMIGXU5512</t>
  </si>
  <si>
    <t>HMIGXU</t>
  </si>
  <si>
    <t>Extended front control, for INS320/400/630</t>
  </si>
  <si>
    <t>INS 31052</t>
  </si>
  <si>
    <t>100A 3P Switch Disconnector</t>
  </si>
  <si>
    <t>INS100 28908</t>
  </si>
  <si>
    <t>100A 4P Switch Disconnector</t>
  </si>
  <si>
    <t>INS100 28909</t>
  </si>
  <si>
    <t>1000A 3P Switch Disconnector</t>
  </si>
  <si>
    <t>INS1000 31332</t>
  </si>
  <si>
    <t>1000A 4P Switch Disconnector</t>
  </si>
  <si>
    <t>INS1000 31333</t>
  </si>
  <si>
    <t>125A 3P Switch Disconnector</t>
  </si>
  <si>
    <t>INS125 28910</t>
  </si>
  <si>
    <t>125A 4P Switch Disconnector</t>
  </si>
  <si>
    <t>INS125 28911</t>
  </si>
  <si>
    <t>1250A 3P Switch Disconnector</t>
  </si>
  <si>
    <t>INS1250 31334</t>
  </si>
  <si>
    <t>1250A 4P Switch Disconnector</t>
  </si>
  <si>
    <t>INS1250 31335</t>
  </si>
  <si>
    <t>160A 3P  Switch Disconnector</t>
  </si>
  <si>
    <t>INS160 28912</t>
  </si>
  <si>
    <t>160A 4P Switch Disconnector</t>
  </si>
  <si>
    <t>INS160 28913</t>
  </si>
  <si>
    <t>1600A 3P Switch Disconnector</t>
  </si>
  <si>
    <t>INS1600 31336</t>
  </si>
  <si>
    <t>1600A 4P Switch Disconnector</t>
  </si>
  <si>
    <t>INS1600 31337</t>
  </si>
  <si>
    <t>2000A 3P Switch Disconnector</t>
  </si>
  <si>
    <t>INS2000 31338</t>
  </si>
  <si>
    <t>2000A 4P Switch Disconnector</t>
  </si>
  <si>
    <t>INS2000 31339</t>
  </si>
  <si>
    <t>250A 3P Switch Disconnector</t>
  </si>
  <si>
    <t>INS250 31106</t>
  </si>
  <si>
    <t>250A 4P Switch Disconnector</t>
  </si>
  <si>
    <t>INS250 31107</t>
  </si>
  <si>
    <t>100A 4P Source changeover systems</t>
  </si>
  <si>
    <t>INS250 31141</t>
  </si>
  <si>
    <t>160A 4P Source changeover systems</t>
  </si>
  <si>
    <t>INS250 31145</t>
  </si>
  <si>
    <t>250A 4P Source changeover systems</t>
  </si>
  <si>
    <t>INS250 31147</t>
  </si>
  <si>
    <t>2500A 3P Switch Disconnector</t>
  </si>
  <si>
    <t>INS2500 31340</t>
  </si>
  <si>
    <t>2500A 4P Switch Disconnector</t>
  </si>
  <si>
    <t>INS2500 31341</t>
  </si>
  <si>
    <t>320A 3P Switch Disconnector</t>
  </si>
  <si>
    <t>INS320 31108</t>
  </si>
  <si>
    <t>320A 4P Switch Disconnector</t>
  </si>
  <si>
    <t>INS320 31109</t>
  </si>
  <si>
    <t>320A 4P Source changeover systems</t>
  </si>
  <si>
    <t>INS320 31149</t>
  </si>
  <si>
    <t>40A 3P Switch Disconnector</t>
  </si>
  <si>
    <t>INS40 28900</t>
  </si>
  <si>
    <t>40A 4P Switch Disconnector</t>
  </si>
  <si>
    <t>INS40 28901</t>
  </si>
  <si>
    <t>400A 3P Switch Disconnector</t>
  </si>
  <si>
    <t>INS400 31110</t>
  </si>
  <si>
    <t>400A 4P Switch Disconnector</t>
  </si>
  <si>
    <t>INS400 31111</t>
  </si>
  <si>
    <t>400A 4P Source changeover systems</t>
  </si>
  <si>
    <t>INS400 31151</t>
  </si>
  <si>
    <t>500A 3P Switch Disconnector</t>
  </si>
  <si>
    <t>INS500 31112</t>
  </si>
  <si>
    <t>500A 4P Switch Disconnector</t>
  </si>
  <si>
    <t>INS500 31113</t>
  </si>
  <si>
    <t>500A 4P Source changeover systems</t>
  </si>
  <si>
    <t>INS500 31153</t>
  </si>
  <si>
    <t>63A 3P Switch Disconnector</t>
  </si>
  <si>
    <t>INS63 28902</t>
  </si>
  <si>
    <t>63A 4P Switch Disconnector</t>
  </si>
  <si>
    <t>INS63 28903</t>
  </si>
  <si>
    <t>630A 3P Switch Disconnector</t>
  </si>
  <si>
    <t>INS630 31114</t>
  </si>
  <si>
    <t>630A 4P Switch Disconnector</t>
  </si>
  <si>
    <t>INS630 31115</t>
  </si>
  <si>
    <t>630A 4P Source changeover systems</t>
  </si>
  <si>
    <t>INS630 31155</t>
  </si>
  <si>
    <t>80A 3P Switch Disconnector</t>
  </si>
  <si>
    <t>INS80 28904</t>
  </si>
  <si>
    <t>80A 4P Switch Disconnector</t>
  </si>
  <si>
    <t>INS80 28905</t>
  </si>
  <si>
    <t>800A 3P Switch Disconnector</t>
  </si>
  <si>
    <t>INS800 31330</t>
  </si>
  <si>
    <t>800A 4P Switch Disconnector</t>
  </si>
  <si>
    <t>INS800 31331</t>
  </si>
  <si>
    <t>Instantaneous auxiliary contact block, Front mounted, 4NO</t>
  </si>
  <si>
    <t>LADN40</t>
  </si>
  <si>
    <t>TeSys D</t>
  </si>
  <si>
    <t>LC1D09U7</t>
  </si>
  <si>
    <t>200A 4P CONTACTOR</t>
  </si>
  <si>
    <t>LC1D115004U7</t>
  </si>
  <si>
    <t>115A 3P CONTACTOR</t>
  </si>
  <si>
    <t>LC1D115U7</t>
  </si>
  <si>
    <t>LC1D12U7</t>
  </si>
  <si>
    <t>LC1D150U7</t>
  </si>
  <si>
    <t>LC1D18U7</t>
  </si>
  <si>
    <t>LC1D25U7</t>
  </si>
  <si>
    <t>LC1D32U7</t>
  </si>
  <si>
    <t>LC1D40AU7</t>
  </si>
  <si>
    <t>LC1D50AU7</t>
  </si>
  <si>
    <t>LC1D65AU7</t>
  </si>
  <si>
    <t>125A 4P CONTACTOR</t>
  </si>
  <si>
    <t>LC1D80004U7</t>
  </si>
  <si>
    <t>LC1D80AU7</t>
  </si>
  <si>
    <t>95A 3P CONTACTOR</t>
  </si>
  <si>
    <t>LC1D95U7</t>
  </si>
  <si>
    <t>12.5KVAR 440V 3P AC6B CONTACTOR</t>
  </si>
  <si>
    <t>LC1DFKP7</t>
  </si>
  <si>
    <t>16.7KVAR 440V 3P AC6B CONTACTOR</t>
  </si>
  <si>
    <t>LC1DGKP7</t>
  </si>
  <si>
    <t>21KVAR 440V 3P AC6B CONTACTOR</t>
  </si>
  <si>
    <t>LC1DLKP7</t>
  </si>
  <si>
    <t>27KVAR 440V 3P AC6B CONTACTOR</t>
  </si>
  <si>
    <t>LC1DMKP7</t>
  </si>
  <si>
    <t>32KVAR 440V 3P AC6B CONTACTOR</t>
  </si>
  <si>
    <t>LC1DPKP7</t>
  </si>
  <si>
    <t>TeSyS D</t>
  </si>
  <si>
    <t>20A 4P CONTACTOR</t>
  </si>
  <si>
    <t>LC1DT20U7</t>
  </si>
  <si>
    <t>25A 4P CONTACTOR</t>
  </si>
  <si>
    <t>LC1DT25U7</t>
  </si>
  <si>
    <t>LC1DT32U7</t>
  </si>
  <si>
    <t>LC1DT40U7</t>
  </si>
  <si>
    <t>60A 4P CONTACTOR</t>
  </si>
  <si>
    <t>LC1DT60AU7</t>
  </si>
  <si>
    <t>80A 4P CONTACTOR</t>
  </si>
  <si>
    <t>LC1DT80AU7</t>
  </si>
  <si>
    <t>43KVAR 440V 3P AC6B CONTACTOR</t>
  </si>
  <si>
    <t>67KVAR 440V 3P AC6B CONTACTOR</t>
  </si>
  <si>
    <t>6A 3P CONTACTOR</t>
  </si>
  <si>
    <t>200A 3P CONTACTOR</t>
  </si>
  <si>
    <t>250A 3P CONTACTOR</t>
  </si>
  <si>
    <t>38A 3P CONTACTOR</t>
  </si>
  <si>
    <t>LC1E630U7</t>
  </si>
  <si>
    <t>TeSys F</t>
  </si>
  <si>
    <t>250A 4P CONTACTOR</t>
  </si>
  <si>
    <t>1000A 4P CONTACTOR</t>
  </si>
  <si>
    <t>TeSys G</t>
  </si>
  <si>
    <t>THERMOL OVERLOAD RELAY 0.1&lt;I&lt;13A</t>
  </si>
  <si>
    <t>LRD16</t>
  </si>
  <si>
    <t>THERMOL OVERLOAD RELAY 12&lt;I&lt;18A</t>
  </si>
  <si>
    <t>LRD21</t>
  </si>
  <si>
    <t>THERMOL OVERLOAD RELAY 16…24</t>
  </si>
  <si>
    <t>LRD22</t>
  </si>
  <si>
    <t>THERMOL OVERLOAD RELAY 80…104</t>
  </si>
  <si>
    <t>LRD3365</t>
  </si>
  <si>
    <t>THERMOL OVERLOAD RELAY 30…38</t>
  </si>
  <si>
    <t>LRD35</t>
  </si>
  <si>
    <t>THERMOL OVERLAOD RELAY 37…50</t>
  </si>
  <si>
    <t>LRD350</t>
  </si>
  <si>
    <t>THERMOL OVERLOAD RELAY 48…65</t>
  </si>
  <si>
    <t>LRD365</t>
  </si>
  <si>
    <t>Direct Rotary Handle(Black), CVS100/160/250</t>
  </si>
  <si>
    <t>LV429337</t>
  </si>
  <si>
    <t>Extended rotary handle</t>
  </si>
  <si>
    <t>LV429338</t>
  </si>
  <si>
    <t>Keylock adapter (keylock not included)</t>
  </si>
  <si>
    <t>LV429344</t>
  </si>
  <si>
    <t>Mechanical Interlocking for MCCB (With rotary handle)</t>
  </si>
  <si>
    <t>LV429369</t>
  </si>
  <si>
    <t>Voltage release (SHT) for CVS100/160/250/400/630</t>
  </si>
  <si>
    <t>LV429387</t>
  </si>
  <si>
    <t>Undervoltage release (UVR)</t>
  </si>
  <si>
    <t>LV429408</t>
  </si>
  <si>
    <t>VigiPacT Add-on Protection NSX100/160 (200 to 440V), 3P</t>
  </si>
  <si>
    <t>LV429488</t>
  </si>
  <si>
    <t>VigiPacT Add-on Protection NSX100/160 (200 to 440V), 4P</t>
  </si>
  <si>
    <t>LV429489</t>
  </si>
  <si>
    <t>LV432598</t>
  </si>
  <si>
    <t>REACTOR 7% 67.9 KVAR</t>
  </si>
  <si>
    <t>LVR07500A40T</t>
  </si>
  <si>
    <t>METPM8240</t>
  </si>
  <si>
    <t>METSEPM1120HCL10RS</t>
  </si>
  <si>
    <t>METSEPM2230</t>
  </si>
  <si>
    <t>MVS08H3MW0PS</t>
  </si>
  <si>
    <t>800A 4P  65kA ACB</t>
  </si>
  <si>
    <t>MVS08H4MW0PS</t>
  </si>
  <si>
    <t>MVS08N3MW0PS</t>
  </si>
  <si>
    <t>MVS08N4MW0PS</t>
  </si>
  <si>
    <t>MVS10H3MW0PS</t>
  </si>
  <si>
    <t>MVS10H4MW0PS</t>
  </si>
  <si>
    <t>MVS10N3MW0PS</t>
  </si>
  <si>
    <t>MVS10N4MW0PS</t>
  </si>
  <si>
    <t>MVS12H3MW0PS</t>
  </si>
  <si>
    <t>MVS12H4MW0PS</t>
  </si>
  <si>
    <t>MVS12N3MW0PS</t>
  </si>
  <si>
    <t>MVS12N4MW0PS</t>
  </si>
  <si>
    <t>MVS16H3MW0PS</t>
  </si>
  <si>
    <t>MVS16H4MW0PS</t>
  </si>
  <si>
    <t>MVS16N3MW0PS</t>
  </si>
  <si>
    <t>MVS16N4MW0PS</t>
  </si>
  <si>
    <t>MVS20H3MW0PS</t>
  </si>
  <si>
    <t>MVS20H4MW0PS</t>
  </si>
  <si>
    <t>2000A 3P 50kA ACB</t>
  </si>
  <si>
    <t>MVS20N3MW0PS</t>
  </si>
  <si>
    <t>2000A 4P 50kA ACB</t>
  </si>
  <si>
    <t>MVS20N4MW0PS</t>
  </si>
  <si>
    <t>Closing Release, XF (Drawout)
- 200 - 250VAC/DC</t>
  </si>
  <si>
    <t>MVS21804</t>
  </si>
  <si>
    <t>MVS25H3MW0PS</t>
  </si>
  <si>
    <t>MVS25H4MW0PS</t>
  </si>
  <si>
    <t>2500A 3P 50kA ACB</t>
  </si>
  <si>
    <t>MVS25N3MW0PS</t>
  </si>
  <si>
    <t>2500A 4P 50kA ACB</t>
  </si>
  <si>
    <t>MVS25N4MW0PS</t>
  </si>
  <si>
    <t>3200A 3P 65kA ACB</t>
  </si>
  <si>
    <t>MVS32H3MW0PS</t>
  </si>
  <si>
    <t>3200A 4P 65kA ACB</t>
  </si>
  <si>
    <t>MVS32H4MW0PS</t>
  </si>
  <si>
    <t>3200A 3P 50kA ACB</t>
  </si>
  <si>
    <t>MVS32N3MW0PS</t>
  </si>
  <si>
    <t>3200A 4P 50kA ACB</t>
  </si>
  <si>
    <t>MVS32N4MW0PS</t>
  </si>
  <si>
    <t>4000A 3P 65kA ACB</t>
  </si>
  <si>
    <t>MVS40H3MW0PS</t>
  </si>
  <si>
    <t>4000A 4P 65kA ACB</t>
  </si>
  <si>
    <t>MVS40H4MW0PS</t>
  </si>
  <si>
    <t>4000A 3P 50kA ACB</t>
  </si>
  <si>
    <t>MVS40N3MW0PS</t>
  </si>
  <si>
    <t>4000A 4P 50kA ACB</t>
  </si>
  <si>
    <t>MVS40N4MW0PS</t>
  </si>
  <si>
    <t>Instantaneous voltage releases, MX/SHT</t>
  </si>
  <si>
    <t>NS 33662</t>
  </si>
  <si>
    <t>NS</t>
  </si>
  <si>
    <t>NS 33878</t>
  </si>
  <si>
    <t xml:space="preserve"> NS</t>
  </si>
  <si>
    <t>1000A 3P 50kA MCCB, Micrologic 2.0E</t>
  </si>
  <si>
    <t>1000A 4P 50kA MCCB, Micrologic 2.0E</t>
  </si>
  <si>
    <t>1000A 3P 50kA MCCB, Micrologic 5.0E</t>
  </si>
  <si>
    <t>1000A 4P 50kA MCCB, Micrologic 5.0E</t>
  </si>
  <si>
    <t>1250A 3P 50kA MCCB, Micrologic 2.0E</t>
  </si>
  <si>
    <t>1250A 4P 50kA MCCB, Micrologic 2.0E</t>
  </si>
  <si>
    <t>1250A 3P 50kA MCCB, Micrologic 5.0E</t>
  </si>
  <si>
    <t>1250A 4P 50kA MCCB, Micrologic 5.0E</t>
  </si>
  <si>
    <t>800A 3P 50kA MCCB, Micrologic 2.0E</t>
  </si>
  <si>
    <t>800A 4P 50kA MCCB, Micrologic 2.0E</t>
  </si>
  <si>
    <t>800A 3P 50kA MCCB, Micrologic 5.0E</t>
  </si>
  <si>
    <t>800A 4P 50kA MCCB, Micrologic 5.0E</t>
  </si>
  <si>
    <t>Auxiliary contacts, OF or SD or SDE or SDV</t>
  </si>
  <si>
    <t>NSX 29450</t>
  </si>
  <si>
    <t>Interlocking with key (2 keylock/1 key) for rotary handles, NSX100/160/250</t>
  </si>
  <si>
    <t>NSX 41950</t>
  </si>
  <si>
    <t>Direct rotary handle, NSX100/160/250, with black handle</t>
  </si>
  <si>
    <t>NSX LV429337</t>
  </si>
  <si>
    <t>Extended rotary handle with black handle, NSX100/160/250</t>
  </si>
  <si>
    <t>NSX LV429338</t>
  </si>
  <si>
    <t xml:space="preserve">Voltage release (SHT), 220-240V 50/60Hz </t>
  </si>
  <si>
    <t>NSX LV429387</t>
  </si>
  <si>
    <t>Undervoltage release (UVR), 380-415V 50/60HZ</t>
  </si>
  <si>
    <t>NSX LV429410</t>
  </si>
  <si>
    <t>Motor mechanism module supplied with SDE adapter, MT100/160, 220-240V 50/60Hz</t>
  </si>
  <si>
    <t>NSX LV429434</t>
  </si>
  <si>
    <t>Motor mechanism module supplied with SDE adapter, MT250, 220-240V 50/60Hz</t>
  </si>
  <si>
    <t>NSX LV431541</t>
  </si>
  <si>
    <t>Direct rotary handle, NSX400/630, with black handle</t>
  </si>
  <si>
    <t>NSX LV432597</t>
  </si>
  <si>
    <t>Extended rotary handle with black handle, NSX400/630</t>
  </si>
  <si>
    <t>NSX LV432598</t>
  </si>
  <si>
    <t>Motor mechanism module supplied with SDE adapter, MT400-630 220-240V 50/60Hz</t>
  </si>
  <si>
    <t>NSX LV432641</t>
  </si>
  <si>
    <t>800A 3P 65kA ACB with Protection
- Micrologic 2.0E control unit</t>
  </si>
  <si>
    <t>NW08H13D2EHS</t>
  </si>
  <si>
    <t>NW</t>
  </si>
  <si>
    <t>800A 4P 65kA ACB with Protection
- Micrologic 2.0E control unit</t>
  </si>
  <si>
    <t>NW08H14D2EHS</t>
  </si>
  <si>
    <t>800A 3P 65kA ACB without Protection</t>
  </si>
  <si>
    <t>NW08HA3DXXHS</t>
  </si>
  <si>
    <t>800A 4P 65kA ACB without Protection</t>
  </si>
  <si>
    <t>NW08HA4DXXHS</t>
  </si>
  <si>
    <t>1000A 3P 65kA ACB with Protection
- Micrologic 2.0E control unit</t>
  </si>
  <si>
    <t>NW10H13D2EHS</t>
  </si>
  <si>
    <t>1000A 4P 65kA ACB with Protection
- Micrologic 2.0E control unit</t>
  </si>
  <si>
    <t>NW10H14D2EHS</t>
  </si>
  <si>
    <t>1000A 3P 65kA ACB without Protection</t>
  </si>
  <si>
    <t>NW10HA3DXXHS</t>
  </si>
  <si>
    <t>1000A 4P 65kA ACB without Protection</t>
  </si>
  <si>
    <t>NW10HA4DXXHS</t>
  </si>
  <si>
    <t>1250A 3P 65kA ACB with Protection
- Micrologic 2.0E control unit</t>
  </si>
  <si>
    <t>NW12H13D2EHS</t>
  </si>
  <si>
    <t>1250A 4P 65kA ACB with Protection
- Micrologic 2.0E control unit</t>
  </si>
  <si>
    <t>NW12H14D2EHS</t>
  </si>
  <si>
    <t>1250A 3P 65kA ACB without Protection</t>
  </si>
  <si>
    <t>NW12HA3DXXHS</t>
  </si>
  <si>
    <t>1250A 4P 65kA ACB without Protection</t>
  </si>
  <si>
    <t>NW12HA4DXXHS</t>
  </si>
  <si>
    <t>1600A 3P 65kA ACB with Protection
- Micrologic 2.0E control unit</t>
  </si>
  <si>
    <t>NW16H13D2EHS</t>
  </si>
  <si>
    <t>1600A 4P 65kA ACB with Protection
- Micrologic 2.0E control unit</t>
  </si>
  <si>
    <t>NW16H14D2EHS</t>
  </si>
  <si>
    <t>1600A 3P 65kA ACB without Protection</t>
  </si>
  <si>
    <t>NW16HA3DXXHS</t>
  </si>
  <si>
    <t>1600A 4P 65kA ACB without Protection</t>
  </si>
  <si>
    <t>NW16HA4DXXHS</t>
  </si>
  <si>
    <t>2000A 3P 65kA ACB with Protection
- Micrologic 2.0E control unit</t>
  </si>
  <si>
    <t>NW20H13D2EHS</t>
  </si>
  <si>
    <t>2000A 4P 65kA ACB with Protection
- Micrologic 2.0E control unit</t>
  </si>
  <si>
    <t>NW20H14D2EHS</t>
  </si>
  <si>
    <t>2000A 3P 65kA ACB without Protection</t>
  </si>
  <si>
    <t>NW20HA3DXXHS</t>
  </si>
  <si>
    <t>2000A 4P 65kA ACB without Protection</t>
  </si>
  <si>
    <t>NW20HA4DXXHS</t>
  </si>
  <si>
    <t>2500A 3P 65kA ACB with Protection
- Micrologic 2.0E control unit</t>
  </si>
  <si>
    <t>NW25H13D2EHS</t>
  </si>
  <si>
    <t>2500A 4P 65kA ACB with Protection
- Micrologic 2.0E control unit</t>
  </si>
  <si>
    <t>NW25H14D2EHS</t>
  </si>
  <si>
    <t>2500A 3P 65kA ACB without Protection</t>
  </si>
  <si>
    <t>NW25HA3DXXHS</t>
  </si>
  <si>
    <t>2500A 4P 65kA ACB without Protection</t>
  </si>
  <si>
    <t>NW25HA4DXXHS</t>
  </si>
  <si>
    <t>3200A 3P 65kA ACB with Protection
- Micrologic 2.0E control unit</t>
  </si>
  <si>
    <t>NW32H13D2EHS</t>
  </si>
  <si>
    <t>3200A 4P 65kA ACB with Protection
- Micrologic 2.0E control unit</t>
  </si>
  <si>
    <t>NW32H14D2EHS</t>
  </si>
  <si>
    <t>3200A 3P 65kA ACB without Protection</t>
  </si>
  <si>
    <t>NW32HA3DXXHS</t>
  </si>
  <si>
    <t>3200A 4P 65kA ACB without Protection</t>
  </si>
  <si>
    <t>NW32HA4DXXHS</t>
  </si>
  <si>
    <t>4000A 3P 65kA ACB with Protection
- Micrologic 2.0E control unit</t>
  </si>
  <si>
    <t>NW40H13D2EHS</t>
  </si>
  <si>
    <t>4000A 4P 65kA ACB with Protection
- Micrologic 2.0E control unit</t>
  </si>
  <si>
    <t>NW40H14D2EHS</t>
  </si>
  <si>
    <t>4000A 3P 65kA ACB without Protection</t>
  </si>
  <si>
    <t>NW40HA3DXXHS</t>
  </si>
  <si>
    <t>4000A 4P 65kA ACB without Protection</t>
  </si>
  <si>
    <t>NW40HA4DXXHS</t>
  </si>
  <si>
    <t>5000A 3P 100KA ACB with Protection
- Micrologic 2.0E control unit</t>
  </si>
  <si>
    <t>NW50H13D2EHS</t>
  </si>
  <si>
    <t>5000A 4P 100kA ACB with Protection
- Micrologic 2.0E control unit</t>
  </si>
  <si>
    <t>NW50H14D2EHS</t>
  </si>
  <si>
    <t>5000A 3P 85kA ACB without Protection</t>
  </si>
  <si>
    <t>NW50HA3DXXHS</t>
  </si>
  <si>
    <t>5000A 4P 85kA ACB without Protection</t>
  </si>
  <si>
    <t>NW50HA4DXXHS</t>
  </si>
  <si>
    <t>6300A 3P 100kA ACB with Protection
- Micrologic 2.0E control unit</t>
  </si>
  <si>
    <t>NW63H13D2EVS</t>
  </si>
  <si>
    <t>6300A 4P 100kA ACB with Protection
- Micrologic 2.0E control unit</t>
  </si>
  <si>
    <t>NW63H14D2EVS</t>
  </si>
  <si>
    <t>6300A 3P 85kA ACB without Protection</t>
  </si>
  <si>
    <t>NW63HA3DXXVS</t>
  </si>
  <si>
    <t>6300A 4P 85kA ACB without Protection</t>
  </si>
  <si>
    <t>NW63HA4DXXVS</t>
  </si>
  <si>
    <t>Active filter - AHFIP54
- Accusine PCS+ 120A 380-480 VAC IP54</t>
  </si>
  <si>
    <t>PCSP120D51P54</t>
  </si>
  <si>
    <t>Active Filter</t>
  </si>
  <si>
    <t>AHF</t>
  </si>
  <si>
    <t>Zelio Time - Timing relays, 2C/O contacts, Multifunction</t>
  </si>
  <si>
    <t>RENF22R2MMW</t>
  </si>
  <si>
    <t>Zelio</t>
  </si>
  <si>
    <t>3-phase supply control relay, phase sequence</t>
  </si>
  <si>
    <t>RM17TG20</t>
  </si>
  <si>
    <t>1-phase voltqage measurement and control relay, 
overvotlage &amp; undervoltage, 110…240 a.c./d.c.</t>
  </si>
  <si>
    <t>RM17UBE15</t>
  </si>
  <si>
    <t>Frequency monitoring relay, over-frequency and under-frequency 50 or 60 Hz</t>
  </si>
  <si>
    <t>RM35HZ21FM</t>
  </si>
  <si>
    <t>3-phase supply control relay, overvoltage or undervoltage, range 15… 600V</t>
  </si>
  <si>
    <t>RM35UA11MW</t>
  </si>
  <si>
    <t>RXM</t>
  </si>
  <si>
    <t>Protection relay, Sepam G40
- 50/51, 50N/51N, 50G/51G, 50BF, 46, 49RMS, 32P, 32Q/40, 50V/51V, 27, 59, 59N, 47, 81H, 81L, 38/49T</t>
  </si>
  <si>
    <t>SP-59604-G40-8-9-6</t>
  </si>
  <si>
    <t>Protection Relay</t>
  </si>
  <si>
    <t>Sepam</t>
  </si>
  <si>
    <t>Protection relay, Sepam S40
- 50/51, 50N/51N, 50G/51G, 50BF, 46, 27, 59, 59N, 47, 81H, 81L</t>
  </si>
  <si>
    <t>SP-59604-S40-8-9-6</t>
  </si>
  <si>
    <t>Protection relay, Sepam M20
- 50/51, 50N/51N, 50G/51G, 46, 49RMS, 37, 48/51LR/14, 66, 38/49T</t>
  </si>
  <si>
    <t>SP-59607-M20-8-9</t>
  </si>
  <si>
    <t>Protection relay, Sepam G60
- 50/51, 50N/51N, 50G/51G, 50BF, 46, 49RMS, 32P, 32Q/40, 37P, 40, 50V/51V, 21B, 27D, 27R, 27, 59, 59N, 47, 81H, 81L, 81R</t>
  </si>
  <si>
    <t>SP-59836-G60-8-9</t>
  </si>
  <si>
    <t>Protection relay, Sepam G62
- 50/51, 50N/51N, 50G/51G, 50BF, 46, 49RMS, 67, 67N/67NC, 32P, 32Q/40, 37P, 40, 50V/51V, 21B, 27D, 27R, 27, 59, 59N, 47, 81H, 81L, 81R</t>
  </si>
  <si>
    <t>SP-59836-G62-8-9</t>
  </si>
  <si>
    <t>Protection relay, Sepam S60
- 50/51, 50N/51N, 50G/51G, 50BF, 46, 27D, 27R, 27, 59, 59N, 47, 81H, 81L, 81R</t>
  </si>
  <si>
    <t>SP-59836-S60-8-9</t>
  </si>
  <si>
    <t>Protection relay, Sepam T60
- 50/51, CLPU 50/51, 50N/51N, 50G/51G, CLPU 50N/51N, 50BF, 46, 46BC, 49RMS, 64REF, 87T, 67, 67N/67NC, 32P, 24, 27D, 27R, 27, 59, 59N, 47, 81H, 81L, 26/63, 38/49T, 25</t>
  </si>
  <si>
    <t>SP-59836-T60-8-9</t>
  </si>
  <si>
    <t>PLC Based</t>
  </si>
  <si>
    <t>TM221CE40T</t>
  </si>
  <si>
    <t>PLC</t>
  </si>
  <si>
    <t>Modicon</t>
  </si>
  <si>
    <t>8AI PLC Module</t>
  </si>
  <si>
    <t>TM3AI8</t>
  </si>
  <si>
    <t>4AI + 2AO PLC Module</t>
  </si>
  <si>
    <t>TM3AM6</t>
  </si>
  <si>
    <t>4AO PLC Module</t>
  </si>
  <si>
    <t>TM3AQ4</t>
  </si>
  <si>
    <t>3M Cable for remote graphic terminal</t>
  </si>
  <si>
    <t>VW3A1104R30</t>
  </si>
  <si>
    <t>ARV630, Door Mounting Kit for Graphic Keypad</t>
  </si>
  <si>
    <t>VW3A1112</t>
  </si>
  <si>
    <t>ATV610, Basic keypad door mounting kit</t>
  </si>
  <si>
    <t>VW3A1114</t>
  </si>
  <si>
    <t>Passive Filter 15A 400V 50Hz, AC-1</t>
  </si>
  <si>
    <t>VW3A46103</t>
  </si>
  <si>
    <t>PF</t>
  </si>
  <si>
    <t>Passive Filter 37A 400V 50Hz, AC-1</t>
  </si>
  <si>
    <t>VW3A46106</t>
  </si>
  <si>
    <t>Passive Filter 90A 400V 50HZ, AC-1</t>
  </si>
  <si>
    <t>VW3A46110</t>
  </si>
  <si>
    <t>Passive Filter 150A 400V 50Hz, AC-1</t>
  </si>
  <si>
    <t>VW3A46112</t>
  </si>
  <si>
    <t>Passive Filter 187A 400V 50Hz, AC-1</t>
  </si>
  <si>
    <t>VW3A46113</t>
  </si>
  <si>
    <t>Passive Filter 225A 400V 50Hz, AC-1</t>
  </si>
  <si>
    <t>VW3A46114</t>
  </si>
  <si>
    <t>Passive Filter 89A 400V 50Hz, AC-1</t>
  </si>
  <si>
    <t>VW3A46129</t>
  </si>
  <si>
    <t>Passive Filter 316A 400V 50Hz, AC-1</t>
  </si>
  <si>
    <t>VW3A46135</t>
  </si>
  <si>
    <t>Passive Filter 395A 400V 50Hz, AC-1</t>
  </si>
  <si>
    <t>VW3A46137</t>
  </si>
  <si>
    <t>Passive Filter 450A 400V 50Hz, AC-1</t>
  </si>
  <si>
    <t>VW3A46138</t>
  </si>
  <si>
    <t>Braking Unit 200kW 300HP</t>
  </si>
  <si>
    <t>VW3A7101</t>
  </si>
  <si>
    <t>Braking Resistor 1.4OHMS 5.1KW IP23</t>
  </si>
  <si>
    <t>VW3A7748</t>
  </si>
  <si>
    <t>wear part - fan for variable speed drives IP21-Size 4</t>
  </si>
  <si>
    <t>VX5VPS4001</t>
  </si>
  <si>
    <t>PUSH BUTTON, N/O , METAL, WHITE</t>
  </si>
  <si>
    <t>XB4BA11</t>
  </si>
  <si>
    <t>PUSH BUTTON, N/O , METAL, BLACK</t>
  </si>
  <si>
    <t>XB4BA21</t>
  </si>
  <si>
    <t>PUSH BUTTON, N/O ,  METAL, GREEN</t>
  </si>
  <si>
    <t>XB4BA31</t>
  </si>
  <si>
    <t>PUSH BUTTON, N/C ,  METAL, RED</t>
  </si>
  <si>
    <t>XB4BA42</t>
  </si>
  <si>
    <t>PUSH BUTTON, N/O ,  METAL, YELLOW</t>
  </si>
  <si>
    <t>XB4BA51</t>
  </si>
  <si>
    <t>PUSH BUTTON, N/O ,  METAL, BLUE</t>
  </si>
  <si>
    <t>XB4BA61</t>
  </si>
  <si>
    <t>E-Stop push button, 1 N/O, 1 N/C, RED</t>
  </si>
  <si>
    <t>XB4BS8445</t>
  </si>
  <si>
    <t>PILOT LAMP, 230V AC, GREEN</t>
  </si>
  <si>
    <t>XB7EV03MP</t>
  </si>
  <si>
    <t>I/l</t>
  </si>
  <si>
    <t>XB7</t>
  </si>
  <si>
    <t>PILOT LAMP, 230V AC, RED</t>
  </si>
  <si>
    <t>XB7EV04MP</t>
  </si>
  <si>
    <t>PILOT LAMP, 230V AC, YELLOW</t>
  </si>
  <si>
    <t>XB7EV05MP</t>
  </si>
  <si>
    <t>PILOT LAMP, 230V AC, BLUE</t>
  </si>
  <si>
    <t>XB7EV06MP</t>
  </si>
  <si>
    <t>PILOT LAMP, 230V AC, CLEAR</t>
  </si>
  <si>
    <t>XB7EV07MP</t>
  </si>
  <si>
    <t>PILOT LAMP, 230V AC, ORANGE</t>
  </si>
  <si>
    <t>XB7EV08MP</t>
  </si>
  <si>
    <t>PUSH BUTTON, 1NO, WHITE</t>
  </si>
  <si>
    <t>XB7NA11</t>
  </si>
  <si>
    <t>PUSH BUTTON, 1NO 1NC, WHITE</t>
  </si>
  <si>
    <t>XB7NA15</t>
  </si>
  <si>
    <t>PUSH BUTTON, 1NO, BLACK</t>
  </si>
  <si>
    <t>XB7NA21</t>
  </si>
  <si>
    <t>PUSH BUTTON, 2NO, BLACK</t>
  </si>
  <si>
    <t>XB7NA23</t>
  </si>
  <si>
    <t>PUSH BUTTON, 1NO 1NC, BLACK</t>
  </si>
  <si>
    <t>XB7NA25</t>
  </si>
  <si>
    <t>PUSH BUTTON, 1NO, GREEN</t>
  </si>
  <si>
    <t>XB7NA31</t>
  </si>
  <si>
    <t>PUSH BUTTON, 2NO, GREEN</t>
  </si>
  <si>
    <t>XB7NA33</t>
  </si>
  <si>
    <t>PUSH BUTTON, 1NO 1NC, GREEN</t>
  </si>
  <si>
    <t>XB7NA35</t>
  </si>
  <si>
    <t>PUSH BUTTON, 1NC, RED</t>
  </si>
  <si>
    <t>XB7NA42</t>
  </si>
  <si>
    <t>PUSH BUTTON, 2NC, RED</t>
  </si>
  <si>
    <t>XB7NA44</t>
  </si>
  <si>
    <t>PUSH BUTTON, 1NO 1NC, RED</t>
  </si>
  <si>
    <t>XB7NA45</t>
  </si>
  <si>
    <t>PUSH BUTTON, 1NO 1NC, BLUE</t>
  </si>
  <si>
    <t>XB7NA65</t>
  </si>
  <si>
    <t>PUSH BUTTON, 1NO, YELLOW</t>
  </si>
  <si>
    <t>XB7NA81</t>
  </si>
  <si>
    <t>PUSH BUTTON, 1NO 1NC, YELLOW</t>
  </si>
  <si>
    <t>XB7NA85</t>
  </si>
  <si>
    <t>SELECTOR SWITCH (1NO, 2 POSITION, STAY PUT)</t>
  </si>
  <si>
    <t>XB7ND21</t>
  </si>
  <si>
    <t>SELECTOR SWITCH (1NO 1NC, 2 POSITION, STAY PUT)</t>
  </si>
  <si>
    <t>XB7ND25</t>
  </si>
  <si>
    <t>SELECTOR SWITCH (2NO, 3 POSITION, STAY PUT)</t>
  </si>
  <si>
    <t>XB7NG33</t>
  </si>
  <si>
    <t>PILOT LAMP, 230…240VAC, WHITE</t>
  </si>
  <si>
    <t>ZB4BVM1</t>
  </si>
  <si>
    <t>PILOT LAMP, 230…240VAC, GREEN</t>
  </si>
  <si>
    <t>ZB4BVM3</t>
  </si>
  <si>
    <t>PILOT LAMP, 230…240VAC, RED</t>
  </si>
  <si>
    <t>ZB4BVM4</t>
  </si>
  <si>
    <t>PILOT LAMP, 230…240VAC, ORANGE</t>
  </si>
  <si>
    <t>ZB4BVM5</t>
  </si>
  <si>
    <t>PILOT LAMP, 230…240VAC, BLUE</t>
  </si>
  <si>
    <t>ZB4BVM6</t>
  </si>
  <si>
    <t>Vacuum Circuit-Breaker SION 3AE1 12kV 31.5kA 800A pole-center distance 210mm width across flats 310mm secondary equipment: operating cycle counter 2 position switches for signal closing spring charged closing solenoid 1st shunt release voltage of closing solenoid DC 110V coltage of 1st release DC 110V without 2nd release Circuit-Breaker on withdrawable module: on withdrawable part, with contact arms and contacts, fixed contacts and blushings, shutters, earthing switch with short-circuit making capacity voltage of drive motor AC 230V mechanical interlocking auxiliary switch 12NO+12NC breaker tripping signal secondary connection 64pole plug connector rating plate and operating instructions in english system frequency 60Hz rountine test certificate provided hand crank for circuit-breaker handle for withdrawable part handle for earthing switch</t>
  </si>
  <si>
    <t>3AE1185-1AE40-6KN3-Z F20+F30+F32+F34</t>
  </si>
  <si>
    <t>Vacuum Circuit Breaker</t>
  </si>
  <si>
    <t>Auxillary switch on the front, 2 NO + 2 NC Current path 1 NC, 1 NC, 1 NO for 3RH and 3RT screw terminal .1/.2, .1/.2, .3/.4, .3/.4</t>
  </si>
  <si>
    <t>3RH2911-1HA22</t>
  </si>
  <si>
    <t>Power Contactor, AC-3 17A 7.5kW/400 V 1 NO + 1 NC, 24 V DC, Size S0 screw terminal</t>
  </si>
  <si>
    <t>3RT2025-1BB40</t>
  </si>
  <si>
    <t>Circuit breaker 6.3A A-release 4.5 … 6.3 A, N-release 82A, for motor protection, class 10, screw connection, standard switching capacity</t>
  </si>
  <si>
    <t>3RV6011-1GA10</t>
  </si>
  <si>
    <t>Miniature circuit breaker 230/400 V 10kA, 1-pole, C, 10 A Circuit breaker 230/400 V 10kA, 1-pole, C, 10A</t>
  </si>
  <si>
    <t>5SL4110-7CC</t>
  </si>
  <si>
    <t>Logo! Smart Relay for AMF Control</t>
  </si>
  <si>
    <t>6EDI 052 2MD00-0BA6</t>
  </si>
  <si>
    <t>LOGO</t>
  </si>
  <si>
    <t>Argust Non-direct, overcurrent relay</t>
  </si>
  <si>
    <t>7SR1003-2KB20-2CA0</t>
  </si>
  <si>
    <t>500A ~ 1000A 3P 85kA MCCB</t>
  </si>
  <si>
    <t>TAIAN</t>
  </si>
  <si>
    <t>BO 1000</t>
  </si>
  <si>
    <t>200A ~ 400A 3P 50kA MCCB</t>
  </si>
  <si>
    <t>BO 400SB</t>
  </si>
  <si>
    <t>BO 630S</t>
  </si>
  <si>
    <t>700A ~ 800A 3P 65kA MCCB</t>
  </si>
  <si>
    <t>BO 800S</t>
  </si>
  <si>
    <t>24VDC Power Supply</t>
  </si>
  <si>
    <t>Mini siren</t>
  </si>
  <si>
    <t>Mini Siren</t>
  </si>
  <si>
    <t>Siren</t>
  </si>
  <si>
    <t>W/P Floor standing Meter Box</t>
  </si>
  <si>
    <t>Mtr Box Flr. Std W/P</t>
  </si>
  <si>
    <t>Meter box</t>
  </si>
  <si>
    <t>3P &amp; 1P Meter Box</t>
  </si>
  <si>
    <t>Mtr Box Wl Type</t>
  </si>
  <si>
    <t>PVC link enclosure box, 250x200x110, Grey</t>
  </si>
  <si>
    <t>PVC 10"x8"x4" Grey</t>
  </si>
  <si>
    <t>PVC Box</t>
  </si>
  <si>
    <t>PVC Llink enclosure box, 310x230x145, Grey</t>
  </si>
  <si>
    <t>PVC 12"x9"x6" Grey</t>
  </si>
  <si>
    <t>Split core CT 160x80mm II 2000/5A 10VA Class 0.5</t>
  </si>
  <si>
    <t>Split M 2000/5A</t>
  </si>
  <si>
    <t>Split core CT 150x80mm II 4000/5A 20VA Class 0.5</t>
  </si>
  <si>
    <t>Split M 4000/5A</t>
  </si>
  <si>
    <t>Warning Light, Yellow</t>
  </si>
  <si>
    <t>Wooden Case</t>
  </si>
  <si>
    <t>Wooden Case/m3</t>
  </si>
  <si>
    <t>Packing</t>
  </si>
  <si>
    <t>/m3</t>
  </si>
  <si>
    <t>Cable</t>
  </si>
  <si>
    <t>Power Cable</t>
  </si>
  <si>
    <t>1.5mm2/2.5mm2 PVC</t>
  </si>
  <si>
    <t>10MM SQ PVC / PVC CABLE</t>
  </si>
  <si>
    <t>10mm2 PVC/PVC</t>
  </si>
  <si>
    <t>16MM SQ PVC / PVC CABLE</t>
  </si>
  <si>
    <t>16mm2 PVC/PVC</t>
  </si>
  <si>
    <t>25MM SQ PVC / PVC CABLE</t>
  </si>
  <si>
    <t>25mm2 PVC/PVC</t>
  </si>
  <si>
    <t>35MM SQ PVC / PVC CABLE</t>
  </si>
  <si>
    <t>35mm2 PVC/PVC</t>
  </si>
  <si>
    <t>50MM SQ PVC CABLE (125A)</t>
  </si>
  <si>
    <t>50mm2 PVC</t>
  </si>
  <si>
    <t>70MM SQ PVC CABLE (150A)</t>
  </si>
  <si>
    <t>70mm2 PVC</t>
  </si>
  <si>
    <t>95MM SQ PVC CABLE (250A)</t>
  </si>
  <si>
    <t>95mm2 PVC</t>
  </si>
  <si>
    <t>100kVar 440V CAP BANK, PhMKP series</t>
  </si>
  <si>
    <t>VISHAY</t>
  </si>
  <si>
    <t>PhMKP440 100kVar</t>
  </si>
  <si>
    <t>PhMKP</t>
  </si>
  <si>
    <t>10kVar 440V CAP BANK, PhMKP series</t>
  </si>
  <si>
    <t>PhMKP440 10kVar</t>
  </si>
  <si>
    <t>15kVar 440V CAP BANK, PhMKP series</t>
  </si>
  <si>
    <t>PhMKP440 15kVar</t>
  </si>
  <si>
    <t>20kVar 440V CAP BANK, PhMKP series</t>
  </si>
  <si>
    <t>PhMKP440 20kVar</t>
  </si>
  <si>
    <t>25kVar 440V CAP BANK, PhMKP series</t>
  </si>
  <si>
    <t>PhMKP440 25kVar</t>
  </si>
  <si>
    <t>30kVar 440V CAP BANK, PhMKP series</t>
  </si>
  <si>
    <t>PhMKP440 30kVar</t>
  </si>
  <si>
    <t>40kVar 440V CAP BANK, PhMKP series</t>
  </si>
  <si>
    <t>PhMKP440 40kVar</t>
  </si>
  <si>
    <t>50kVar 440V CAP BANK, PhMKP series</t>
  </si>
  <si>
    <t>PhMKP440 50kVar</t>
  </si>
  <si>
    <t>5kVar 440V CAP BANK, PhMKP series</t>
  </si>
  <si>
    <t>PhMKP440 5kVar</t>
  </si>
  <si>
    <t>60kVar 440V CAP BANK, PhMKP series</t>
  </si>
  <si>
    <t>PhMKP440 60kVar</t>
  </si>
  <si>
    <t>75kVar 440V CAP BANK, PhMKP series</t>
  </si>
  <si>
    <t>PhMKP440 75kVar</t>
  </si>
  <si>
    <t>80kVar 440V CAP BANK, PhMKP series</t>
  </si>
  <si>
    <t>PhMKP440 80kVar</t>
  </si>
  <si>
    <t>100kVar 525V CAP BANK, PhMKP series</t>
  </si>
  <si>
    <t>PhMKP525 100kVar</t>
  </si>
  <si>
    <t>10kVar 525V CAP BANK, PhMKP series</t>
  </si>
  <si>
    <t>PhMKP525 10kVar</t>
  </si>
  <si>
    <t>15kVar 525V CAP BANK, PhMKP series</t>
  </si>
  <si>
    <t>PhMKP525 15kVar</t>
  </si>
  <si>
    <t>20kVar 525V CAP BANK, PhMKP series</t>
  </si>
  <si>
    <t>PhMKP525 20kVar</t>
  </si>
  <si>
    <t>25kVar 525V CAP BANK, PhMKP series</t>
  </si>
  <si>
    <t>PhMKP525 25kVar</t>
  </si>
  <si>
    <t>30kVar 525V CAP BANK, PhMKP series</t>
  </si>
  <si>
    <t>PhMKP525 30kVar</t>
  </si>
  <si>
    <t>40kVar 525V CAP BANK, PhMKP series</t>
  </si>
  <si>
    <t>PhMKP525 40kVar</t>
  </si>
  <si>
    <t>50kVar 525V CAP BANK, PhMKP series</t>
  </si>
  <si>
    <t>PhMKP525 50kVar</t>
  </si>
  <si>
    <t>5kVar 525V CAP BANK, PhMKP series</t>
  </si>
  <si>
    <t>PhMKP525 5kVar</t>
  </si>
  <si>
    <t>60kVar 525V CAP BANK, PhMKP series</t>
  </si>
  <si>
    <t>PhMKP525 60kVar</t>
  </si>
  <si>
    <t>75kVar 525V CAP BANK, PhMKP series</t>
  </si>
  <si>
    <t>PhMKP525 75kVar</t>
  </si>
  <si>
    <t>80kVar 525V CAP BANK, PhMKP series</t>
  </si>
  <si>
    <t>PhMKP525 80kVar</t>
  </si>
  <si>
    <t>1200A 4P AC31 ATS - Back</t>
  </si>
  <si>
    <t>VITZROTECH</t>
  </si>
  <si>
    <t>610WN, Back</t>
  </si>
  <si>
    <t>WN</t>
  </si>
  <si>
    <t>1400A 4P AC31 ATS - Back</t>
  </si>
  <si>
    <t>612WN, Back</t>
  </si>
  <si>
    <t>1600A 4P AC31 ATS - Back</t>
  </si>
  <si>
    <t>616WN, Back, 1600A</t>
  </si>
  <si>
    <t>1800A 4P AC31 ATS - Back</t>
  </si>
  <si>
    <t>616WN, Back, 1800A</t>
  </si>
  <si>
    <t>150A 4P AC31 ATS - Front</t>
  </si>
  <si>
    <t>61WN, Front</t>
  </si>
  <si>
    <t>2000A 4P AC31 ATS - Back</t>
  </si>
  <si>
    <t>620WN, Back, 2000A</t>
  </si>
  <si>
    <t>2500A 4P AC31 ATS - Back</t>
  </si>
  <si>
    <t>620WN, Back, 2500A</t>
  </si>
  <si>
    <t>3000A 4P AC31 ATS - Back</t>
  </si>
  <si>
    <t>625WN, Back</t>
  </si>
  <si>
    <t>300A 4P AC31 ATS - Front</t>
  </si>
  <si>
    <t>62WN, Front</t>
  </si>
  <si>
    <t>3500A 4P AC31 ATS - Back</t>
  </si>
  <si>
    <t>630WN, Back</t>
  </si>
  <si>
    <t>400A 4P AC31 ATS - Back</t>
  </si>
  <si>
    <t>64WN, Back, 400A</t>
  </si>
  <si>
    <t>600A 4P AC31 ATS - Back</t>
  </si>
  <si>
    <t>64WN, Back, 600A</t>
  </si>
  <si>
    <t>400A 4P AC31 ATS - Front</t>
  </si>
  <si>
    <t>64WN, Front, 400A</t>
  </si>
  <si>
    <t>600A 4P AC31 ATS - Front</t>
  </si>
  <si>
    <t>64WN, Front, 600A</t>
  </si>
  <si>
    <t>800A 4P AC31 ATS - Back</t>
  </si>
  <si>
    <t>66WN, Back</t>
  </si>
  <si>
    <t>1000A 4P AC31 ATS - Back</t>
  </si>
  <si>
    <t>68WN, Back</t>
  </si>
  <si>
    <t>value of 1</t>
  </si>
  <si>
    <t>Wilson</t>
  </si>
  <si>
    <t>Lump Sum (100)</t>
  </si>
  <si>
    <t>PLC Control Set</t>
  </si>
  <si>
    <t>Set A</t>
  </si>
  <si>
    <t>Set B</t>
  </si>
  <si>
    <t>CTATS Controller</t>
  </si>
  <si>
    <t>WOOLDWARD</t>
  </si>
  <si>
    <t>EASYGEN3500</t>
  </si>
  <si>
    <t>Combined O/C &amp; E/F Relay, Supply:240Vac</t>
  </si>
  <si>
    <t>X30</t>
  </si>
  <si>
    <t>X series</t>
  </si>
  <si>
    <t>IDMT E/F relay, Supply:240VAC</t>
  </si>
  <si>
    <t>X20</t>
  </si>
  <si>
    <t>METSEPM5350</t>
  </si>
  <si>
    <t>Shunt Trip for NB1</t>
  </si>
  <si>
    <t>NB1 S9</t>
  </si>
  <si>
    <t>Shunt Trip for NXB</t>
  </si>
  <si>
    <t>NXB SHT-X1</t>
  </si>
  <si>
    <t>Shunt Trip for NXB-125</t>
  </si>
  <si>
    <t>NXB SHT-X3</t>
  </si>
  <si>
    <t>Combined Over Current &amp; Earth Fault Relay</t>
  </si>
  <si>
    <t>NextPRO</t>
  </si>
  <si>
    <t>NP-3000</t>
  </si>
  <si>
    <t>NP</t>
  </si>
  <si>
    <t>DT Earth Fault Relay</t>
  </si>
  <si>
    <t>NP-801</t>
  </si>
  <si>
    <t>IDMT Earth Fault Relay</t>
  </si>
  <si>
    <t>NP-802</t>
  </si>
  <si>
    <t>DT Over Current Relay</t>
  </si>
  <si>
    <t>NP-803</t>
  </si>
  <si>
    <t>IDMT Over Current Relay</t>
  </si>
  <si>
    <t>NP-803A</t>
  </si>
  <si>
    <t>NP-804</t>
  </si>
  <si>
    <t>CVS630N LV563320</t>
  </si>
  <si>
    <t>LC1E0610U5</t>
  </si>
  <si>
    <t>LC1E0910U5</t>
  </si>
  <si>
    <t>LC1E120U5</t>
  </si>
  <si>
    <t>LC1E1210U5</t>
  </si>
  <si>
    <t>LC1E160U5</t>
  </si>
  <si>
    <t>LC1E1810U5</t>
  </si>
  <si>
    <t>LC1E200U5</t>
  </si>
  <si>
    <t>LC1E250U5</t>
  </si>
  <si>
    <t>LC1E2510U5</t>
  </si>
  <si>
    <t>LC1E300U5</t>
  </si>
  <si>
    <t>LC1E3810U5</t>
  </si>
  <si>
    <t>LC1E3210U5</t>
  </si>
  <si>
    <t>EZC630H3630N</t>
  </si>
  <si>
    <t>EZC630H4630N</t>
  </si>
  <si>
    <t>EZC630N3630N</t>
  </si>
  <si>
    <t>LC1E40U5</t>
  </si>
  <si>
    <t>LC1E50U5</t>
  </si>
  <si>
    <t>LC1E65U5</t>
  </si>
  <si>
    <t>1000A 3P 150kA MCCB Mircologic 2.0</t>
  </si>
  <si>
    <t>NS1000L C100L320FM</t>
  </si>
  <si>
    <t>NS1000L C100L420FM</t>
  </si>
  <si>
    <t>1000A 4P 150kA MCCB Mircologic 2.0</t>
  </si>
  <si>
    <t>1000A 3P 50kA MCCB Mircologic 2.0</t>
  </si>
  <si>
    <t>1000A 4P 50kA MCCB Mircologic 2.0</t>
  </si>
  <si>
    <t>NS1000N C100N320FM</t>
  </si>
  <si>
    <t>NS1000N C100N420FM</t>
  </si>
  <si>
    <t>NS1000N C100N32EFM</t>
  </si>
  <si>
    <t>NS1000N C100N42EFM</t>
  </si>
  <si>
    <t>NS1000N C100N35EFM</t>
  </si>
  <si>
    <t>NS1000N C100N45EFM</t>
  </si>
  <si>
    <t>LC1DTKM7</t>
  </si>
  <si>
    <t>LC1DWK12M7</t>
  </si>
  <si>
    <t>LC1E80U5</t>
  </si>
  <si>
    <t>LC1E95U5</t>
  </si>
  <si>
    <t>LC1G185KUEN</t>
  </si>
  <si>
    <t>LC1F780U7</t>
  </si>
  <si>
    <t>LC1G6304KUEN</t>
  </si>
  <si>
    <t>1600A 3P CONTACTOR</t>
  </si>
  <si>
    <t>LC1G1154KUEN</t>
  </si>
  <si>
    <t>LC1G115KUEN</t>
  </si>
  <si>
    <t>LC1G1504KUEN</t>
  </si>
  <si>
    <t>LC1G1854KUEN</t>
  </si>
  <si>
    <t>55KW 3P CONTACTOR</t>
  </si>
  <si>
    <t>305A 4P CONTACTOR</t>
  </si>
  <si>
    <t>90KW 3P CONTACTOR</t>
  </si>
  <si>
    <t>LC1G2254KUEN</t>
  </si>
  <si>
    <t>110KW 3P CONTACTOR</t>
  </si>
  <si>
    <t>LC1G225KUEN</t>
  </si>
  <si>
    <t>LC1G2654KUEN</t>
  </si>
  <si>
    <t>385A 4P CONTACTOR</t>
  </si>
  <si>
    <t>LC1G3304KUEN</t>
  </si>
  <si>
    <t>550A 4P CONTACTOR</t>
  </si>
  <si>
    <t>LC1G330KUEN</t>
  </si>
  <si>
    <t>LC1G400KUEN</t>
  </si>
  <si>
    <t>160KW 3P CONTACTOR</t>
  </si>
  <si>
    <t>200KW 3P CONTACTOR</t>
  </si>
  <si>
    <t>LC1G500KUEN</t>
  </si>
  <si>
    <t>250KW 3P CONTACTOR</t>
  </si>
  <si>
    <t>1250A 3P 50kA MCCB Mircologic 2.0</t>
  </si>
  <si>
    <t>1250A 4P 50kA MCCB Mircologic 2.0</t>
  </si>
  <si>
    <t>800A 3P 150kA MCCB Mircologic 2.0</t>
  </si>
  <si>
    <t>800A 4P 150kA MCCB Mircologic 2.0</t>
  </si>
  <si>
    <t>800A 3P 50kA MCCB Mircologic 2.0</t>
  </si>
  <si>
    <t>800A 4P 50kA MCCB Mircologic 2.0</t>
  </si>
  <si>
    <t>NS1250N C125N320FM</t>
  </si>
  <si>
    <t>NS1250N C125N420FM</t>
  </si>
  <si>
    <t>NS1250N C125N45EFM</t>
  </si>
  <si>
    <t>NS1250N C125N32EFM</t>
  </si>
  <si>
    <t>NS1250N C125N42EFM</t>
  </si>
  <si>
    <t>NS1250N C125N35EFM</t>
  </si>
  <si>
    <t>NS800L C080L320FM</t>
  </si>
  <si>
    <t>NS800L C080L420FM</t>
  </si>
  <si>
    <t>NS800N C080N320FM</t>
  </si>
  <si>
    <t>NS800N C080N420FM</t>
  </si>
  <si>
    <t>NS800N C080N32EFM</t>
  </si>
  <si>
    <t>NS800N C080N42EFM</t>
  </si>
  <si>
    <t>NS800N C080N35EFM</t>
  </si>
  <si>
    <t>NS800N C080N45EFM</t>
  </si>
  <si>
    <t>ATS22D32Q</t>
  </si>
  <si>
    <t>ATS22D17Q</t>
  </si>
  <si>
    <t>Soft Starter 17A 440V 230V CTRL (for 7.5kW)</t>
  </si>
  <si>
    <t>Soft Starter 32A 440V 230V CTRL (for 15kW)</t>
  </si>
  <si>
    <t>40A 4P 30mA TYPE A ELCB</t>
  </si>
  <si>
    <t>NL-63 63A 0.3(30mA) 2P TYPE A ELCB</t>
  </si>
  <si>
    <t>40A 2P 30mA TYPE A ELCB</t>
  </si>
  <si>
    <t>NL-63 63A 0.3(30mA) 4P TYPE A ELCB</t>
  </si>
  <si>
    <t>NB1L</t>
  </si>
  <si>
    <t>50A, 63A 1P+N 100mA RCBO</t>
  </si>
  <si>
    <t>NB1L-40 1P+N 30mA</t>
  </si>
  <si>
    <t>NB1L-40 1P+N 100mA</t>
  </si>
  <si>
    <t>NB1L-40 1P+N 300mA</t>
  </si>
  <si>
    <t>NB1L-63 1P+N 30mA</t>
  </si>
  <si>
    <t>NB1L-63 1P+N 100mA</t>
  </si>
  <si>
    <t>NB1L-63 1P+N 300mA</t>
  </si>
  <si>
    <t>NB1L-40 2P 30mA</t>
  </si>
  <si>
    <t>NB1L-40 2P 100mA</t>
  </si>
  <si>
    <t>NB1L-40 2P 300mA</t>
  </si>
  <si>
    <t>NB1L-63 2P 30mA</t>
  </si>
  <si>
    <t>NB1L-63 2P 100mA</t>
  </si>
  <si>
    <t>NB1L-63 2P 300mA</t>
  </si>
  <si>
    <t>NB1L-40 3P 30mA</t>
  </si>
  <si>
    <t>NB1L-40 3P 100mA</t>
  </si>
  <si>
    <t>NB1L-40 3P 300mA</t>
  </si>
  <si>
    <t>NB1L-63 3P 30mA</t>
  </si>
  <si>
    <t>NB1L-63 3P 100mA</t>
  </si>
  <si>
    <t>NB1L-63 3P 300mA</t>
  </si>
  <si>
    <t>NB1L-40 3P+N 30mA</t>
  </si>
  <si>
    <t>NB1L-40 3P+N 100mA</t>
  </si>
  <si>
    <t>NB1L-40 3P+N 300mA</t>
  </si>
  <si>
    <t>NB1L-63 3P+N 30mA</t>
  </si>
  <si>
    <t>NB1L-63 3P+N 100mA</t>
  </si>
  <si>
    <t>NB1L-63 3P+N 300mA</t>
  </si>
  <si>
    <t>NB1L-40 4P 100mA</t>
  </si>
  <si>
    <t>NB1L-40 4P 300mA</t>
  </si>
  <si>
    <t>NB1L-63 4P 30mA</t>
  </si>
  <si>
    <t>NB1L-63 4P 100mA</t>
  </si>
  <si>
    <t>NB1L-63 4P 300mA</t>
  </si>
  <si>
    <t>NB1L-40 4P 30mA</t>
  </si>
  <si>
    <t>50A, 63A 2P 30mA RCBO</t>
  </si>
  <si>
    <t>50A, 63A 2P 100mA RCBO</t>
  </si>
  <si>
    <t>50A, 63A 2P 300mA RCBO</t>
  </si>
  <si>
    <t>16A ~ 40A 2P 30mA RCBO</t>
  </si>
  <si>
    <t>16A ~ 40A 2P 100mA RCBO</t>
  </si>
  <si>
    <t>16A ~ 40A 2P 300mA RCBO</t>
  </si>
  <si>
    <t>16A ~ 40A 3P 30mA RCBO</t>
  </si>
  <si>
    <t>16A ~ 40A 3P 100mA RCBO</t>
  </si>
  <si>
    <t>16A ~ 40A 3P 300mA RCBO</t>
  </si>
  <si>
    <t>50A, 63A 3P 30mA RCBO</t>
  </si>
  <si>
    <t>50A, 63A 3P 100mA RCBO</t>
  </si>
  <si>
    <t>50A, 63A 3P 300mA RCBO</t>
  </si>
  <si>
    <t>16A ~ 40A 3P+N 30mA RCBO</t>
  </si>
  <si>
    <t>16A ~ 40A 3P+N 100mA RCBO</t>
  </si>
  <si>
    <t>16A ~ 40A 3P+N 300mA RCBO</t>
  </si>
  <si>
    <t>50A, 63A 3P+N 30mA RCBO</t>
  </si>
  <si>
    <t>50A, 63A 3P+N 100mA RCBO</t>
  </si>
  <si>
    <t>50A, 63A 3P+N 300mA RCBO</t>
  </si>
  <si>
    <t>16A ~ 40A 4P 30mA RCBO</t>
  </si>
  <si>
    <t>16A ~ 40A 4P 100mA RCBO</t>
  </si>
  <si>
    <t>16A ~ 40A 4P 300mA RCBO</t>
  </si>
  <si>
    <t>50A, 63A 4P 30mA RCBO</t>
  </si>
  <si>
    <t>50A, 63A 4P 100mA RCBO</t>
  </si>
  <si>
    <t>50A, 63A 4P 300mA RCBO</t>
  </si>
  <si>
    <t>16A ~ 40A 1P+N 30mA RCBO</t>
  </si>
  <si>
    <t>16A ~ 40A 1P+N 100mA RCBO</t>
  </si>
  <si>
    <t>16A ~ 40A 1P+N 300mA RCBO</t>
  </si>
  <si>
    <t>50A, 63A 1P+N 30mA RCBO</t>
  </si>
  <si>
    <t>50A, 63A 1P+N 300mA RCBO</t>
  </si>
  <si>
    <t>45Kw A/T (Three Tapping)</t>
  </si>
  <si>
    <t>45Kw A/T 3T</t>
  </si>
  <si>
    <t>Panel Name</t>
  </si>
  <si>
    <t>Markup</t>
  </si>
  <si>
    <t>Cost</t>
  </si>
  <si>
    <t>Quote</t>
  </si>
  <si>
    <r>
      <rPr>
        <sz val="11"/>
        <color theme="1"/>
        <rFont val="Calibri"/>
        <family val="2"/>
        <scheme val="minor"/>
      </rPr>
      <t xml:space="preserve">DB, </t>
    </r>
    <r>
      <rPr>
        <b/>
        <sz val="11"/>
        <color theme="5"/>
        <rFont val="Calibri"/>
        <family val="2"/>
        <scheme val="minor"/>
      </rPr>
      <t>MCB incoming</t>
    </r>
    <r>
      <rPr>
        <sz val="11"/>
        <color theme="1"/>
        <rFont val="Calibri"/>
        <family val="2"/>
        <scheme val="minor"/>
      </rPr>
      <t xml:space="preserve">,
</t>
    </r>
    <r>
      <rPr>
        <b/>
        <sz val="11"/>
        <color theme="9"/>
        <rFont val="Calibri"/>
        <family val="2"/>
        <scheme val="minor"/>
      </rPr>
      <t>1R 16W</t>
    </r>
    <r>
      <rPr>
        <sz val="11"/>
        <color theme="1"/>
        <rFont val="Calibri"/>
        <family val="2"/>
        <scheme val="minor"/>
      </rPr>
      <t xml:space="preserve">
250x400x120</t>
    </r>
  </si>
  <si>
    <r>
      <rPr>
        <sz val="11"/>
        <color theme="1"/>
        <rFont val="Calibri"/>
        <family val="2"/>
        <scheme val="minor"/>
      </rPr>
      <t xml:space="preserve">DB, </t>
    </r>
    <r>
      <rPr>
        <b/>
        <sz val="11"/>
        <color theme="5"/>
        <rFont val="Calibri"/>
        <family val="2"/>
        <scheme val="minor"/>
      </rPr>
      <t>MCB incoming</t>
    </r>
    <r>
      <rPr>
        <sz val="11"/>
        <color theme="1"/>
        <rFont val="Calibri"/>
        <family val="2"/>
        <scheme val="minor"/>
      </rPr>
      <t xml:space="preserve">,
</t>
    </r>
    <r>
      <rPr>
        <b/>
        <sz val="11"/>
        <color theme="9"/>
        <rFont val="Calibri"/>
        <family val="2"/>
        <scheme val="minor"/>
      </rPr>
      <t>1R 20W</t>
    </r>
    <r>
      <rPr>
        <sz val="11"/>
        <color theme="1"/>
        <rFont val="Calibri"/>
        <family val="2"/>
        <scheme val="minor"/>
      </rPr>
      <t xml:space="preserve">
250x500x120</t>
    </r>
  </si>
  <si>
    <r>
      <rPr>
        <sz val="11"/>
        <color theme="1"/>
        <rFont val="Calibri"/>
        <family val="2"/>
        <scheme val="minor"/>
      </rPr>
      <t xml:space="preserve">DB, </t>
    </r>
    <r>
      <rPr>
        <b/>
        <sz val="11"/>
        <color theme="8"/>
        <rFont val="Calibri"/>
        <family val="2"/>
        <scheme val="minor"/>
      </rPr>
      <t>MCCB incoming</t>
    </r>
    <r>
      <rPr>
        <sz val="11"/>
        <color theme="1"/>
        <rFont val="Calibri"/>
        <family val="2"/>
        <scheme val="minor"/>
      </rPr>
      <t xml:space="preserve">,
</t>
    </r>
    <r>
      <rPr>
        <b/>
        <sz val="11"/>
        <color theme="9"/>
        <rFont val="Calibri"/>
        <family val="2"/>
        <scheme val="minor"/>
      </rPr>
      <t>1R 8W</t>
    </r>
    <r>
      <rPr>
        <sz val="11"/>
        <color theme="1"/>
        <rFont val="Calibri"/>
        <family val="2"/>
        <scheme val="minor"/>
      </rPr>
      <t xml:space="preserve">
350x400x150</t>
    </r>
  </si>
  <si>
    <r>
      <rPr>
        <sz val="11"/>
        <color theme="1"/>
        <rFont val="Calibri"/>
        <family val="2"/>
        <scheme val="minor"/>
      </rPr>
      <t xml:space="preserve">DB, </t>
    </r>
    <r>
      <rPr>
        <b/>
        <sz val="11"/>
        <color theme="5"/>
        <rFont val="Calibri"/>
        <family val="2"/>
        <scheme val="minor"/>
      </rPr>
      <t>MCB incoming</t>
    </r>
    <r>
      <rPr>
        <sz val="11"/>
        <color theme="1"/>
        <rFont val="Calibri"/>
        <family val="2"/>
        <scheme val="minor"/>
      </rPr>
      <t xml:space="preserve">,
</t>
    </r>
    <r>
      <rPr>
        <b/>
        <sz val="11"/>
        <color theme="9"/>
        <rFont val="Calibri"/>
        <family val="2"/>
        <scheme val="minor"/>
      </rPr>
      <t>2R 16W</t>
    </r>
    <r>
      <rPr>
        <sz val="11"/>
        <color theme="1"/>
        <rFont val="Calibri"/>
        <family val="2"/>
        <scheme val="minor"/>
      </rPr>
      <t xml:space="preserve">
400x400x150</t>
    </r>
  </si>
  <si>
    <r>
      <rPr>
        <sz val="11"/>
        <color theme="1"/>
        <rFont val="Calibri"/>
        <family val="2"/>
        <scheme val="minor"/>
      </rPr>
      <t xml:space="preserve">DB, </t>
    </r>
    <r>
      <rPr>
        <b/>
        <sz val="11"/>
        <color theme="8"/>
        <rFont val="Calibri"/>
        <family val="2"/>
        <scheme val="minor"/>
      </rPr>
      <t>MCCB incoming</t>
    </r>
    <r>
      <rPr>
        <sz val="11"/>
        <color theme="1"/>
        <rFont val="Calibri"/>
        <family val="2"/>
        <scheme val="minor"/>
      </rPr>
      <t xml:space="preserve">,
</t>
    </r>
    <r>
      <rPr>
        <b/>
        <sz val="11"/>
        <color theme="9"/>
        <rFont val="Calibri"/>
        <family val="2"/>
        <scheme val="minor"/>
      </rPr>
      <t>2R 8W</t>
    </r>
    <r>
      <rPr>
        <sz val="11"/>
        <color theme="1"/>
        <rFont val="Calibri"/>
        <family val="2"/>
        <scheme val="minor"/>
      </rPr>
      <t xml:space="preserve">
400x400x150</t>
    </r>
  </si>
  <si>
    <t>DB MCB 12 W GI1.2</t>
  </si>
  <si>
    <t>DB MCB 16W GI1.2</t>
  </si>
  <si>
    <t>DB MCB 20W GI1.2</t>
  </si>
  <si>
    <r>
      <rPr>
        <sz val="11"/>
        <color theme="1"/>
        <rFont val="Calibri"/>
        <family val="2"/>
        <scheme val="minor"/>
      </rPr>
      <t xml:space="preserve">DB, </t>
    </r>
    <r>
      <rPr>
        <b/>
        <sz val="11"/>
        <color theme="5"/>
        <rFont val="Calibri"/>
        <family val="2"/>
        <scheme val="minor"/>
      </rPr>
      <t>MCB incoming</t>
    </r>
    <r>
      <rPr>
        <sz val="11"/>
        <color theme="1"/>
        <rFont val="Calibri"/>
        <family val="2"/>
        <scheme val="minor"/>
      </rPr>
      <t xml:space="preserve">,
</t>
    </r>
    <r>
      <rPr>
        <b/>
        <sz val="11"/>
        <color theme="9"/>
        <rFont val="Calibri"/>
        <family val="2"/>
        <scheme val="minor"/>
      </rPr>
      <t>2R 20W</t>
    </r>
    <r>
      <rPr>
        <sz val="11"/>
        <color theme="1"/>
        <rFont val="Calibri"/>
        <family val="2"/>
        <scheme val="minor"/>
      </rPr>
      <t xml:space="preserve">
400x500x150</t>
    </r>
  </si>
  <si>
    <r>
      <rPr>
        <sz val="11"/>
        <color theme="1"/>
        <rFont val="Calibri"/>
        <family val="2"/>
        <scheme val="minor"/>
      </rPr>
      <t xml:space="preserve">DB, </t>
    </r>
    <r>
      <rPr>
        <b/>
        <sz val="11"/>
        <color theme="8"/>
        <rFont val="Calibri"/>
        <family val="2"/>
        <scheme val="minor"/>
      </rPr>
      <t>MCCB incoming</t>
    </r>
    <r>
      <rPr>
        <sz val="11"/>
        <color theme="1"/>
        <rFont val="Calibri"/>
        <family val="2"/>
        <scheme val="minor"/>
      </rPr>
      <t xml:space="preserve">,
</t>
    </r>
    <r>
      <rPr>
        <b/>
        <sz val="11"/>
        <color theme="9"/>
        <rFont val="Calibri"/>
        <family val="2"/>
        <scheme val="minor"/>
      </rPr>
      <t>2R 12W</t>
    </r>
    <r>
      <rPr>
        <sz val="11"/>
        <color theme="1"/>
        <rFont val="Calibri"/>
        <family val="2"/>
        <scheme val="minor"/>
      </rPr>
      <t xml:space="preserve">
400x500x150</t>
    </r>
  </si>
  <si>
    <r>
      <rPr>
        <sz val="11"/>
        <color theme="1"/>
        <rFont val="Calibri"/>
        <family val="2"/>
        <scheme val="minor"/>
      </rPr>
      <t xml:space="preserve">DB, </t>
    </r>
    <r>
      <rPr>
        <b/>
        <sz val="11"/>
        <color theme="5"/>
        <rFont val="Calibri"/>
        <family val="2"/>
        <scheme val="minor"/>
      </rPr>
      <t>MCB incoming</t>
    </r>
    <r>
      <rPr>
        <sz val="11"/>
        <color theme="1"/>
        <rFont val="Calibri"/>
        <family val="2"/>
        <scheme val="minor"/>
      </rPr>
      <t xml:space="preserve">,
</t>
    </r>
    <r>
      <rPr>
        <b/>
        <sz val="11"/>
        <color theme="9"/>
        <rFont val="Calibri"/>
        <family val="2"/>
        <scheme val="minor"/>
      </rPr>
      <t>3R 16W</t>
    </r>
    <r>
      <rPr>
        <sz val="11"/>
        <color theme="1"/>
        <rFont val="Calibri"/>
        <family val="2"/>
        <scheme val="minor"/>
      </rPr>
      <t xml:space="preserve">
650x400x150</t>
    </r>
  </si>
  <si>
    <r>
      <rPr>
        <sz val="11"/>
        <color theme="1"/>
        <rFont val="Calibri"/>
        <family val="2"/>
        <scheme val="minor"/>
      </rPr>
      <t xml:space="preserve">DB, </t>
    </r>
    <r>
      <rPr>
        <b/>
        <sz val="11"/>
        <color theme="8"/>
        <rFont val="Calibri"/>
        <family val="2"/>
        <scheme val="minor"/>
      </rPr>
      <t>MCCB incoming</t>
    </r>
    <r>
      <rPr>
        <sz val="11"/>
        <color theme="1"/>
        <rFont val="Calibri"/>
        <family val="2"/>
        <scheme val="minor"/>
      </rPr>
      <t xml:space="preserve">,
</t>
    </r>
    <r>
      <rPr>
        <b/>
        <sz val="11"/>
        <color theme="9"/>
        <rFont val="Calibri"/>
        <family val="2"/>
        <scheme val="minor"/>
      </rPr>
      <t>3R 2x16W+1x8W</t>
    </r>
    <r>
      <rPr>
        <sz val="11"/>
        <color theme="1"/>
        <rFont val="Calibri"/>
        <family val="2"/>
        <scheme val="minor"/>
      </rPr>
      <t xml:space="preserve">
650x400x150</t>
    </r>
  </si>
  <si>
    <t>DB MCCB 8W GI1.2</t>
  </si>
  <si>
    <t>DB MCB 32W GI1.2</t>
  </si>
  <si>
    <t>DB MCCB 16W GI1.2</t>
  </si>
  <si>
    <t>DB MCCB 40W GI1.2</t>
  </si>
  <si>
    <t>DB MCCB 24W GI1.2</t>
  </si>
  <si>
    <r>
      <rPr>
        <sz val="11"/>
        <color theme="1"/>
        <rFont val="Calibri"/>
        <family val="2"/>
        <scheme val="minor"/>
      </rPr>
      <t xml:space="preserve">DB, </t>
    </r>
    <r>
      <rPr>
        <b/>
        <sz val="11"/>
        <color theme="5"/>
        <rFont val="Calibri"/>
        <family val="2"/>
        <scheme val="minor"/>
      </rPr>
      <t>MCB incoming</t>
    </r>
    <r>
      <rPr>
        <sz val="11"/>
        <color theme="1"/>
        <rFont val="Calibri"/>
        <family val="2"/>
        <scheme val="minor"/>
      </rPr>
      <t xml:space="preserve">,
</t>
    </r>
    <r>
      <rPr>
        <b/>
        <sz val="11"/>
        <color theme="9"/>
        <rFont val="Calibri"/>
        <family val="2"/>
        <scheme val="minor"/>
      </rPr>
      <t>3R 20W</t>
    </r>
    <r>
      <rPr>
        <sz val="11"/>
        <color theme="1"/>
        <rFont val="Calibri"/>
        <family val="2"/>
        <scheme val="minor"/>
      </rPr>
      <t xml:space="preserve">
650x500x150</t>
    </r>
  </si>
  <si>
    <r>
      <rPr>
        <sz val="11"/>
        <color theme="1"/>
        <rFont val="Calibri"/>
        <family val="2"/>
        <scheme val="minor"/>
      </rPr>
      <t xml:space="preserve">DB, </t>
    </r>
    <r>
      <rPr>
        <b/>
        <sz val="11"/>
        <color theme="8"/>
        <rFont val="Calibri"/>
        <family val="2"/>
        <scheme val="minor"/>
      </rPr>
      <t>MCCB incoming</t>
    </r>
    <r>
      <rPr>
        <sz val="11"/>
        <color theme="1"/>
        <rFont val="Calibri"/>
        <family val="2"/>
        <scheme val="minor"/>
      </rPr>
      <t xml:space="preserve">,
</t>
    </r>
    <r>
      <rPr>
        <b/>
        <sz val="11"/>
        <color theme="9"/>
        <rFont val="Calibri"/>
        <family val="2"/>
        <scheme val="minor"/>
      </rPr>
      <t>3R 2x20W+1x12W</t>
    </r>
    <r>
      <rPr>
        <sz val="11"/>
        <color theme="1"/>
        <rFont val="Calibri"/>
        <family val="2"/>
        <scheme val="minor"/>
      </rPr>
      <t xml:space="preserve">
650x500x150</t>
    </r>
  </si>
  <si>
    <r>
      <rPr>
        <sz val="11"/>
        <color theme="1"/>
        <rFont val="Calibri"/>
        <family val="2"/>
        <scheme val="minor"/>
      </rPr>
      <t xml:space="preserve">DB, </t>
    </r>
    <r>
      <rPr>
        <b/>
        <sz val="11"/>
        <color theme="5"/>
        <rFont val="Calibri"/>
        <family val="2"/>
        <scheme val="minor"/>
      </rPr>
      <t>MCB incoming</t>
    </r>
    <r>
      <rPr>
        <sz val="11"/>
        <color theme="1"/>
        <rFont val="Calibri"/>
        <family val="2"/>
        <scheme val="minor"/>
      </rPr>
      <t xml:space="preserve">,
</t>
    </r>
    <r>
      <rPr>
        <b/>
        <sz val="11"/>
        <color theme="9"/>
        <rFont val="Calibri"/>
        <family val="2"/>
        <scheme val="minor"/>
      </rPr>
      <t>4R 16W</t>
    </r>
    <r>
      <rPr>
        <sz val="11"/>
        <color theme="1"/>
        <rFont val="Calibri"/>
        <family val="2"/>
        <scheme val="minor"/>
      </rPr>
      <t xml:space="preserve">
850x400x150</t>
    </r>
  </si>
  <si>
    <r>
      <rPr>
        <sz val="11"/>
        <color theme="1"/>
        <rFont val="Calibri"/>
        <family val="2"/>
        <scheme val="minor"/>
      </rPr>
      <t xml:space="preserve">DB, </t>
    </r>
    <r>
      <rPr>
        <b/>
        <sz val="11"/>
        <color theme="8"/>
        <rFont val="Calibri"/>
        <family val="2"/>
        <scheme val="minor"/>
      </rPr>
      <t>MCCB incoming</t>
    </r>
    <r>
      <rPr>
        <sz val="11"/>
        <color theme="1"/>
        <rFont val="Calibri"/>
        <family val="2"/>
        <scheme val="minor"/>
      </rPr>
      <t xml:space="preserve">,
</t>
    </r>
    <r>
      <rPr>
        <b/>
        <sz val="11"/>
        <color theme="9"/>
        <rFont val="Calibri"/>
        <family val="2"/>
        <scheme val="minor"/>
      </rPr>
      <t>4R 3x16W+1x8W</t>
    </r>
    <r>
      <rPr>
        <sz val="11"/>
        <color theme="1"/>
        <rFont val="Calibri"/>
        <family val="2"/>
        <scheme val="minor"/>
      </rPr>
      <t xml:space="preserve">
850x400x150</t>
    </r>
  </si>
  <si>
    <r>
      <rPr>
        <sz val="11"/>
        <color theme="1"/>
        <rFont val="Calibri"/>
        <family val="2"/>
        <charset val="134"/>
        <scheme val="minor"/>
      </rPr>
      <t xml:space="preserve">DB, </t>
    </r>
    <r>
      <rPr>
        <b/>
        <sz val="11"/>
        <color theme="5"/>
        <rFont val="Calibri"/>
        <family val="2"/>
        <charset val="134"/>
        <scheme val="minor"/>
      </rPr>
      <t>MCB incoming</t>
    </r>
    <r>
      <rPr>
        <sz val="11"/>
        <color theme="1"/>
        <rFont val="Calibri"/>
        <family val="2"/>
        <charset val="134"/>
        <scheme val="minor"/>
      </rPr>
      <t xml:space="preserve">,
</t>
    </r>
    <r>
      <rPr>
        <b/>
        <sz val="11"/>
        <color theme="9"/>
        <rFont val="Calibri"/>
        <family val="2"/>
        <charset val="134"/>
        <scheme val="minor"/>
      </rPr>
      <t>4R 20W</t>
    </r>
    <r>
      <rPr>
        <sz val="11"/>
        <color theme="1"/>
        <rFont val="Calibri"/>
        <family val="2"/>
        <charset val="134"/>
        <scheme val="minor"/>
      </rPr>
      <t xml:space="preserve">
850x500x150</t>
    </r>
  </si>
  <si>
    <r>
      <rPr>
        <sz val="11"/>
        <color theme="1"/>
        <rFont val="Calibri"/>
        <family val="2"/>
        <charset val="134"/>
        <scheme val="minor"/>
      </rPr>
      <t xml:space="preserve">DB, </t>
    </r>
    <r>
      <rPr>
        <b/>
        <sz val="11"/>
        <color theme="8"/>
        <rFont val="Calibri"/>
        <family val="2"/>
        <charset val="134"/>
        <scheme val="minor"/>
      </rPr>
      <t>MCCB incoming</t>
    </r>
    <r>
      <rPr>
        <sz val="11"/>
        <color theme="1"/>
        <rFont val="Calibri"/>
        <family val="2"/>
        <charset val="134"/>
        <scheme val="minor"/>
      </rPr>
      <t xml:space="preserve">,
</t>
    </r>
    <r>
      <rPr>
        <b/>
        <sz val="11"/>
        <color theme="9"/>
        <rFont val="Calibri"/>
        <family val="2"/>
        <charset val="134"/>
        <scheme val="minor"/>
      </rPr>
      <t>4R 3x20W+1x12W</t>
    </r>
    <r>
      <rPr>
        <sz val="11"/>
        <color theme="1"/>
        <rFont val="Calibri"/>
        <family val="2"/>
        <charset val="134"/>
        <scheme val="minor"/>
      </rPr>
      <t xml:space="preserve">
850x500x150</t>
    </r>
  </si>
  <si>
    <t>DB MCB 48W GI1.2</t>
  </si>
  <si>
    <t>DB MCB 40W GI1.2</t>
  </si>
  <si>
    <t>DB MCB 60W GI1.2</t>
  </si>
  <si>
    <t>DB MCCB 52W GI1.2</t>
  </si>
  <si>
    <t>DB MCB 64W GI1.2</t>
  </si>
  <si>
    <t>DB MCCB 56W GI1.2</t>
  </si>
  <si>
    <t>DB MCB 80W GI1.2</t>
  </si>
  <si>
    <t>DB MCCB 72W GI1.2</t>
  </si>
  <si>
    <t>value of 0</t>
  </si>
  <si>
    <t>60A CABLE</t>
  </si>
  <si>
    <t>40A CABLE</t>
  </si>
  <si>
    <t>TK DB</t>
  </si>
  <si>
    <t>Hager</t>
  </si>
  <si>
    <t>DB, MCB incoming (8W Surface)</t>
  </si>
  <si>
    <t>VS108PM</t>
  </si>
  <si>
    <t>Golf</t>
  </si>
  <si>
    <t>DB, MCB incoming (12W Surface)</t>
  </si>
  <si>
    <t>VS112PM</t>
  </si>
  <si>
    <t>DB, MCB incoming (24W Surface)</t>
  </si>
  <si>
    <t>VS212PM</t>
  </si>
  <si>
    <t>DB, MCB incoming (36W Surface)</t>
  </si>
  <si>
    <t>VS312PM</t>
  </si>
  <si>
    <t xml:space="preserve">DB, MCB incoming (48W Surface) </t>
  </si>
  <si>
    <t>VS412PM</t>
  </si>
  <si>
    <t>D80B-385/3+NPE</t>
  </si>
  <si>
    <t>D80B-385/3T+NPE</t>
  </si>
  <si>
    <t>D80B-385/1+NPE</t>
  </si>
  <si>
    <t>D80B-385/1T+NPE</t>
  </si>
  <si>
    <t>D40C-385/3T+NPE</t>
  </si>
  <si>
    <t>D40C-385/3+NPE</t>
  </si>
  <si>
    <t>D25D-385/3+NPE</t>
  </si>
  <si>
    <t>NULL</t>
  </si>
  <si>
    <t>CABLE</t>
  </si>
  <si>
    <t>100A CABLE</t>
  </si>
  <si>
    <t>4P RCCB</t>
  </si>
  <si>
    <t>63A 4P Manual Transfer Switch</t>
  </si>
  <si>
    <t>GM10D4N0634BEE</t>
  </si>
  <si>
    <t>100A 4P Manual Transfer Switch</t>
  </si>
  <si>
    <t>GM10D4N1004BEE</t>
  </si>
  <si>
    <t>125A 4P Manual Transfer Switch</t>
  </si>
  <si>
    <t>160A 4P Manual Transfer Switch</t>
  </si>
  <si>
    <t>200A 4P Manual Transfer Switch</t>
  </si>
  <si>
    <t>250A 4P Manual Transfer Switch</t>
  </si>
  <si>
    <t>315A 4P Manual Transfer Switch</t>
  </si>
  <si>
    <t>400A 4P Manual Transfer Switch</t>
  </si>
  <si>
    <t>800A 4P Manual Transfer Switch</t>
  </si>
  <si>
    <t>1000A 4P Manual Transfer Switch</t>
  </si>
  <si>
    <t>1250A 4P Manual Transfer Switch</t>
  </si>
  <si>
    <t>1600A 4P Manual Transfer Switch</t>
  </si>
  <si>
    <t>2000A 4P Manual Transfer Switch</t>
  </si>
  <si>
    <t>GM20D4N1254BEE</t>
  </si>
  <si>
    <t>GM20D4N1604BEE</t>
  </si>
  <si>
    <t>GM20D4N2004BEE</t>
  </si>
  <si>
    <t>GM32D4N2504BEE</t>
  </si>
  <si>
    <t>GM32D4N3154BEE</t>
  </si>
  <si>
    <t>GM63D4N4004BEE</t>
  </si>
  <si>
    <t>GM63D4N6304BEE</t>
  </si>
  <si>
    <t>630A 4P Manual Transfer Switch - Frame 4</t>
  </si>
  <si>
    <t>630A 4P Manual Transfer Switch - Frame 5</t>
  </si>
  <si>
    <t>GM1AD4N6304BEE</t>
  </si>
  <si>
    <t>GM1AD4N8004BEE</t>
  </si>
  <si>
    <t>GM1AD4N10H4BEE</t>
  </si>
  <si>
    <t>GM2AD4N12H4BEE</t>
  </si>
  <si>
    <t>GM2AD4N16H4BEE</t>
  </si>
  <si>
    <t>GM2AD4N20H4BEE</t>
  </si>
  <si>
    <t>MTSF</t>
  </si>
  <si>
    <t>Power Factor Regulator NV-6s</t>
  </si>
  <si>
    <t>NV-6s</t>
  </si>
  <si>
    <t>Power Factor Regulator NV-8s</t>
  </si>
  <si>
    <t>NV-8s</t>
  </si>
  <si>
    <t>Power Factor Regulator NV-14s</t>
  </si>
  <si>
    <t>NV-14s</t>
  </si>
  <si>
    <t>OC/ EF IDMT PROTECTION RELAY, P1</t>
  </si>
  <si>
    <t>REL15001</t>
  </si>
  <si>
    <t>80kA 1.8kV 7-Mode Class II</t>
  </si>
  <si>
    <t>Pekat</t>
  </si>
  <si>
    <t>415PKT80-K</t>
  </si>
  <si>
    <t>415PKT40-K</t>
  </si>
  <si>
    <t>40kA 1.5kV 7-Mode Class II</t>
  </si>
  <si>
    <t>40kA 1.5kV 3-Mode Class II</t>
  </si>
  <si>
    <t>240PKT40-K</t>
  </si>
  <si>
    <t>100kA 1.8kV 4-Model Class II (c/w aux contact)</t>
  </si>
  <si>
    <t>65kA 1.8kV 4-Model Class II (c/w aux contact)</t>
  </si>
  <si>
    <t>40kA 1.5kV 4-Mode Class II (c/w aux contact)</t>
  </si>
  <si>
    <t>25kA 1.5kV 4-Mode Class II (c/w aux contact)</t>
  </si>
  <si>
    <t>40kA 1.5kV 2-Mode Class II (c/w aux contact)</t>
  </si>
  <si>
    <t>25kA 1.5kV 2-Mode Class II (c/w aux contact)</t>
  </si>
  <si>
    <t>40kA 1.5kV 4-Mode Class II</t>
  </si>
  <si>
    <t>40kA 1.5kV 2-Mode Class II</t>
  </si>
  <si>
    <t>415PKT100</t>
  </si>
  <si>
    <t>415PKT40</t>
  </si>
  <si>
    <t>415PKT25</t>
  </si>
  <si>
    <t>415PKT65-385</t>
  </si>
  <si>
    <t>240PKT40</t>
  </si>
  <si>
    <t>240PKT25</t>
  </si>
  <si>
    <t>415PKT-RS</t>
  </si>
  <si>
    <t>240PKT-RS</t>
  </si>
  <si>
    <t>Extended rotary handle CVS100/160/250</t>
  </si>
  <si>
    <t>Extended rotary handle CVS400/630</t>
  </si>
  <si>
    <t>LV432597</t>
  </si>
  <si>
    <t>25A 2P 30mA ELCB, TYPE SI</t>
  </si>
  <si>
    <t>A9R91225</t>
  </si>
  <si>
    <t>A9R91240</t>
  </si>
  <si>
    <t>40A 2P 30mA ELCB, TYPE SI</t>
  </si>
  <si>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theme="9"/>
        <rFont val="Calibri"/>
        <family val="2"/>
        <charset val="134"/>
        <scheme val="minor"/>
      </rPr>
      <t>1R 12W</t>
    </r>
    <r>
      <rPr>
        <sz val="11"/>
        <color theme="1"/>
        <rFont val="Calibri"/>
        <family val="2"/>
        <charset val="134"/>
        <scheme val="minor"/>
      </rPr>
      <t xml:space="preserve">
220x400x120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</si>
  <si>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1R 12W</t>
    </r>
    <r>
      <rPr>
        <sz val="11"/>
        <color theme="1"/>
        <rFont val="Calibri"/>
        <family val="2"/>
        <charset val="134"/>
        <scheme val="minor"/>
      </rPr>
      <t xml:space="preserve">
220x400x120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</si>
  <si>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1R 16W</t>
    </r>
    <r>
      <rPr>
        <sz val="11"/>
        <color theme="1"/>
        <rFont val="Calibri"/>
        <family val="2"/>
        <charset val="134"/>
        <scheme val="minor"/>
      </rPr>
      <t xml:space="preserve">
250x400x120</t>
    </r>
  </si>
  <si>
    <r>
      <rPr>
        <sz val="11"/>
        <color theme="1"/>
        <rFont val="Calibri"/>
        <family val="2"/>
        <charset val="134"/>
        <scheme val="minor"/>
      </rPr>
      <t xml:space="preserve">DB, </t>
    </r>
    <r>
      <rPr>
        <b/>
        <sz val="11"/>
        <color theme="8"/>
        <rFont val="Calibri"/>
        <family val="2"/>
        <charset val="134"/>
        <scheme val="minor"/>
      </rPr>
      <t>MCCB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1R 8W</t>
    </r>
    <r>
      <rPr>
        <sz val="11"/>
        <color theme="1"/>
        <rFont val="Calibri"/>
        <family val="2"/>
        <charset val="134"/>
        <scheme val="minor"/>
      </rPr>
      <t xml:space="preserve">
350x400x150</t>
    </r>
  </si>
  <si>
    <r>
      <t xml:space="preserve">DB, </t>
    </r>
    <r>
      <rPr>
        <b/>
        <sz val="11"/>
        <color theme="8"/>
        <rFont val="Calibri"/>
        <family val="2"/>
        <charset val="134"/>
        <scheme val="minor"/>
      </rPr>
      <t>MCCB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4R 3x20W+1x12W</t>
    </r>
    <r>
      <rPr>
        <sz val="11"/>
        <color theme="1"/>
        <rFont val="Calibri"/>
        <family val="2"/>
        <charset val="134"/>
        <scheme val="minor"/>
      </rPr>
      <t xml:space="preserve">
850x500x150</t>
    </r>
  </si>
  <si>
    <r>
      <t xml:space="preserve">DB, </t>
    </r>
    <r>
      <rPr>
        <b/>
        <sz val="11"/>
        <color theme="8"/>
        <rFont val="Calibri"/>
        <family val="2"/>
        <charset val="134"/>
        <scheme val="minor"/>
      </rPr>
      <t>MCCB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4R 3x16W+1x8W</t>
    </r>
    <r>
      <rPr>
        <sz val="11"/>
        <color theme="1"/>
        <rFont val="Calibri"/>
        <family val="2"/>
        <charset val="134"/>
        <scheme val="minor"/>
      </rPr>
      <t xml:space="preserve">
850x400x150</t>
    </r>
  </si>
  <si>
    <r>
      <t xml:space="preserve">DB, </t>
    </r>
    <r>
      <rPr>
        <b/>
        <sz val="11"/>
        <color theme="8"/>
        <rFont val="Calibri"/>
        <family val="2"/>
        <charset val="134"/>
        <scheme val="minor"/>
      </rPr>
      <t>MCCB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3R 2x20W+1x12W</t>
    </r>
    <r>
      <rPr>
        <sz val="11"/>
        <color theme="1"/>
        <rFont val="Calibri"/>
        <family val="2"/>
        <charset val="134"/>
        <scheme val="minor"/>
      </rPr>
      <t xml:space="preserve">
650x500x150</t>
    </r>
  </si>
  <si>
    <r>
      <t xml:space="preserve">DB, </t>
    </r>
    <r>
      <rPr>
        <b/>
        <sz val="11"/>
        <color theme="8"/>
        <rFont val="Calibri"/>
        <family val="2"/>
        <charset val="134"/>
        <scheme val="minor"/>
      </rPr>
      <t>MCCB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3R 2x16W+1x8W</t>
    </r>
    <r>
      <rPr>
        <sz val="11"/>
        <color theme="1"/>
        <rFont val="Calibri"/>
        <family val="2"/>
        <charset val="134"/>
        <scheme val="minor"/>
      </rPr>
      <t xml:space="preserve">
650x400x150</t>
    </r>
  </si>
  <si>
    <r>
      <t xml:space="preserve">DB, </t>
    </r>
    <r>
      <rPr>
        <b/>
        <sz val="11"/>
        <color theme="8"/>
        <rFont val="Calibri"/>
        <family val="2"/>
        <charset val="134"/>
        <scheme val="minor"/>
      </rPr>
      <t>MCCB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2R 12W</t>
    </r>
    <r>
      <rPr>
        <sz val="11"/>
        <color theme="1"/>
        <rFont val="Calibri"/>
        <family val="2"/>
        <charset val="134"/>
        <scheme val="minor"/>
      </rPr>
      <t xml:space="preserve">
400x500x150</t>
    </r>
  </si>
  <si>
    <r>
      <t xml:space="preserve">DB, </t>
    </r>
    <r>
      <rPr>
        <b/>
        <sz val="11"/>
        <color theme="8"/>
        <rFont val="Calibri"/>
        <family val="2"/>
        <charset val="134"/>
        <scheme val="minor"/>
      </rPr>
      <t>MCCB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2R 8W</t>
    </r>
    <r>
      <rPr>
        <sz val="11"/>
        <color theme="1"/>
        <rFont val="Calibri"/>
        <family val="2"/>
        <charset val="134"/>
        <scheme val="minor"/>
      </rPr>
      <t xml:space="preserve">
400x400x150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</si>
  <si>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4R 20W</t>
    </r>
    <r>
      <rPr>
        <sz val="11"/>
        <color theme="1"/>
        <rFont val="Calibri"/>
        <family val="2"/>
        <charset val="134"/>
        <scheme val="minor"/>
      </rPr>
      <t xml:space="preserve">
850x500x150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</si>
  <si>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4R 16W</t>
    </r>
    <r>
      <rPr>
        <sz val="11"/>
        <color theme="1"/>
        <rFont val="Calibri"/>
        <family val="2"/>
        <charset val="134"/>
        <scheme val="minor"/>
      </rPr>
      <t xml:space="preserve">
850x400x150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</si>
  <si>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3R 20W</t>
    </r>
    <r>
      <rPr>
        <sz val="11"/>
        <color theme="1"/>
        <rFont val="Calibri"/>
        <family val="2"/>
        <charset val="134"/>
        <scheme val="minor"/>
      </rPr>
      <t xml:space="preserve">
650x500x150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</si>
  <si>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3R 16W</t>
    </r>
    <r>
      <rPr>
        <sz val="11"/>
        <color theme="1"/>
        <rFont val="Calibri"/>
        <family val="2"/>
        <charset val="134"/>
        <scheme val="minor"/>
      </rPr>
      <t xml:space="preserve">
650x400x150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</si>
  <si>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2R 16W</t>
    </r>
    <r>
      <rPr>
        <sz val="11"/>
        <color theme="1"/>
        <rFont val="Calibri"/>
        <family val="2"/>
        <charset val="134"/>
        <scheme val="minor"/>
      </rPr>
      <t xml:space="preserve">
400x400x150</t>
    </r>
  </si>
  <si>
    <r>
      <t xml:space="preserve">DB, </t>
    </r>
    <r>
      <rPr>
        <b/>
        <sz val="11"/>
        <color theme="5"/>
        <rFont val="Calibri"/>
        <family val="2"/>
        <charset val="134"/>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charset val="134"/>
        <scheme val="minor"/>
      </rPr>
      <t>1R 20W</t>
    </r>
    <r>
      <rPr>
        <sz val="11"/>
        <color theme="1"/>
        <rFont val="Calibri"/>
        <family val="2"/>
        <charset val="134"/>
        <scheme val="minor"/>
      </rPr>
      <t xml:space="preserve">
250x500x120</t>
    </r>
  </si>
  <si>
    <t>DB MCB 12 W GI2.0</t>
  </si>
  <si>
    <t>DB MCB 16W GI2.0</t>
  </si>
  <si>
    <t>DB MCB 20W GI2.0</t>
  </si>
  <si>
    <t>DB MCB 32W GI2.0</t>
  </si>
  <si>
    <t>DB MCB 40W GI2.0</t>
  </si>
  <si>
    <t>DB MCB 48W GI2.0</t>
  </si>
  <si>
    <t>DB MCB 60W GI2.0</t>
  </si>
  <si>
    <t>DB MCB 64W GI2.0</t>
  </si>
  <si>
    <t>DB MCB 80W GI2.0</t>
  </si>
  <si>
    <t>DB MCCB 16W GI2.0</t>
  </si>
  <si>
    <t>DB MCCB 24W GI2.0</t>
  </si>
  <si>
    <t>DB MCCB 40W GI2.0</t>
  </si>
  <si>
    <t>DB MCCB 52W GI2.0</t>
  </si>
  <si>
    <t>DB MCCB 56W GI2.0</t>
  </si>
  <si>
    <t>DB MCCB 72W GI2.0</t>
  </si>
  <si>
    <t>DB MCCB 8W GI2.0</t>
  </si>
  <si>
    <r>
      <t xml:space="preserve">DB, </t>
    </r>
    <r>
      <rPr>
        <b/>
        <sz val="11"/>
        <color theme="5"/>
        <rFont val="Calibri"/>
        <family val="2"/>
        <scheme val="minor"/>
      </rPr>
      <t>MCB incoming</t>
    </r>
    <r>
      <rPr>
        <sz val="11"/>
        <color theme="1"/>
        <rFont val="Calibri"/>
        <family val="2"/>
        <charset val="134"/>
        <scheme val="minor"/>
      </rPr>
      <t xml:space="preserve">, </t>
    </r>
    <r>
      <rPr>
        <b/>
        <sz val="11"/>
        <color rgb="FFFF0000"/>
        <rFont val="Calibri"/>
        <family val="2"/>
        <scheme val="minor"/>
      </rPr>
      <t>2.0mm THICK</t>
    </r>
    <r>
      <rPr>
        <sz val="11"/>
        <color theme="1"/>
        <rFont val="Calibri"/>
        <family val="2"/>
        <charset val="134"/>
        <scheme val="minor"/>
      </rPr>
      <t xml:space="preserve">
</t>
    </r>
    <r>
      <rPr>
        <b/>
        <sz val="11"/>
        <color theme="9"/>
        <rFont val="Calibri"/>
        <family val="2"/>
        <scheme val="minor"/>
      </rPr>
      <t>2R 20W</t>
    </r>
    <r>
      <rPr>
        <sz val="11"/>
        <color theme="1"/>
        <rFont val="Calibri"/>
        <family val="2"/>
        <charset val="134"/>
        <scheme val="minor"/>
      </rPr>
      <t xml:space="preserve">
400x500x150</t>
    </r>
  </si>
  <si>
    <t>CVS800 E080N320FM</t>
  </si>
  <si>
    <t>CVS800 E080N420FM</t>
  </si>
  <si>
    <t>CVS1000 E100N320FM</t>
  </si>
  <si>
    <t>CVS1000 E100N420FM</t>
  </si>
  <si>
    <t>CVS1250 E125N320FM</t>
  </si>
  <si>
    <t>CVS1250 E125N420FM</t>
  </si>
  <si>
    <t>CVS1600 E160N320FM</t>
  </si>
  <si>
    <t>CVS1600 E160N420FM</t>
  </si>
  <si>
    <t>CVS800 E080H320FM</t>
  </si>
  <si>
    <t>CVS800 E080H420FM</t>
  </si>
  <si>
    <t>CVS1000 E100H320FM</t>
  </si>
  <si>
    <t>CVS1000 E100H420FM</t>
  </si>
  <si>
    <t>CVS1250 E125H320FM</t>
  </si>
  <si>
    <t>CVS1250 E125H420FM</t>
  </si>
  <si>
    <t>CVS1600 E160H320FM</t>
  </si>
  <si>
    <t>CVS1600 E160H420FM</t>
  </si>
  <si>
    <t>Extended Rotary Handle, Standard Black Handle, CVS400/630</t>
  </si>
  <si>
    <t>CVS630F LV563307</t>
  </si>
  <si>
    <t>CVS630F LV563310</t>
  </si>
  <si>
    <t>Micrologic 6.0E</t>
  </si>
  <si>
    <t>MICROLOGIC 6.0E</t>
  </si>
  <si>
    <t>Mechanical interlockinh for 3 units of fixed/ drawout type ACB</t>
  </si>
  <si>
    <t>NW 48609</t>
  </si>
  <si>
    <t>NW 48527</t>
  </si>
  <si>
    <t>Gear Motor, MCH (Drawout)
- 200-240 V</t>
  </si>
  <si>
    <t>NW 48484</t>
  </si>
  <si>
    <t>Changeover Contact, PF (Drawout)
- 5 A - 240 V</t>
  </si>
  <si>
    <t>NW 48469</t>
  </si>
  <si>
    <t>BUSBAR, 3100A, 100kA
200mm x 10mm</t>
  </si>
  <si>
    <t>Cap. Bank - Vishay</t>
  </si>
  <si>
    <t>Combined EF/OC - Schneider Electric</t>
  </si>
  <si>
    <t>Power factor regulator - Delab</t>
  </si>
  <si>
    <t>Surge Arrestor - Pekat</t>
  </si>
  <si>
    <t>DB01</t>
  </si>
  <si>
    <t>DB02</t>
  </si>
  <si>
    <t>DB03</t>
  </si>
  <si>
    <t>DB04</t>
  </si>
  <si>
    <t>DB05</t>
  </si>
  <si>
    <t>DB06</t>
  </si>
  <si>
    <t>DB07</t>
  </si>
  <si>
    <t>DB08</t>
  </si>
  <si>
    <t>DB09</t>
  </si>
  <si>
    <t>DB10</t>
  </si>
  <si>
    <t>DB11</t>
  </si>
  <si>
    <t>DB12</t>
  </si>
  <si>
    <t>DB13</t>
  </si>
  <si>
    <t>DB14</t>
  </si>
  <si>
    <t>DB15</t>
  </si>
  <si>
    <t>DB16</t>
  </si>
  <si>
    <t>DB17</t>
  </si>
  <si>
    <t>DB18</t>
  </si>
  <si>
    <t>DB19</t>
  </si>
  <si>
    <t>DB20</t>
  </si>
  <si>
    <t>DB21</t>
  </si>
  <si>
    <t>DB22</t>
  </si>
  <si>
    <t>DB33</t>
  </si>
  <si>
    <t>DB34</t>
  </si>
  <si>
    <t>DB35</t>
  </si>
  <si>
    <t>DB36</t>
  </si>
  <si>
    <t>DB37</t>
  </si>
  <si>
    <t>DB38</t>
  </si>
  <si>
    <t>DB39</t>
  </si>
  <si>
    <t>DB40</t>
  </si>
  <si>
    <t>DB41</t>
  </si>
  <si>
    <t>DB42</t>
  </si>
  <si>
    <t>DB43</t>
  </si>
  <si>
    <t>DB44</t>
  </si>
  <si>
    <t>DB45</t>
  </si>
  <si>
    <t>DB46</t>
  </si>
  <si>
    <t>DB47</t>
  </si>
  <si>
    <t>DB48</t>
  </si>
  <si>
    <t>DB49</t>
  </si>
  <si>
    <t>DB50</t>
  </si>
  <si>
    <t>DB51</t>
  </si>
  <si>
    <t>DB52</t>
  </si>
  <si>
    <t>DB53</t>
  </si>
  <si>
    <t>DB54</t>
  </si>
  <si>
    <t>DB55</t>
  </si>
  <si>
    <t>DB56</t>
  </si>
  <si>
    <t>DB57</t>
  </si>
  <si>
    <t>DB58</t>
  </si>
  <si>
    <t>DB59</t>
  </si>
  <si>
    <t>DB60</t>
  </si>
  <si>
    <t>DB61</t>
  </si>
  <si>
    <t>DB62</t>
  </si>
  <si>
    <t>DB63</t>
  </si>
  <si>
    <t>DB64</t>
  </si>
  <si>
    <t>DB65</t>
  </si>
  <si>
    <t>DB66</t>
  </si>
  <si>
    <t>DB67</t>
  </si>
  <si>
    <t>DB68</t>
  </si>
  <si>
    <t>DB69</t>
  </si>
  <si>
    <t>DB70</t>
  </si>
  <si>
    <t>DB71</t>
  </si>
  <si>
    <t>DB72</t>
  </si>
  <si>
    <t>DB73</t>
  </si>
  <si>
    <t>DB74</t>
  </si>
  <si>
    <t>DB75</t>
  </si>
  <si>
    <t>DB76</t>
  </si>
  <si>
    <t>DB77</t>
  </si>
  <si>
    <t>DB78</t>
  </si>
  <si>
    <t>DB79</t>
  </si>
  <si>
    <t>DB80</t>
  </si>
  <si>
    <t>DB81</t>
  </si>
  <si>
    <t>DB82</t>
  </si>
  <si>
    <t>DB83</t>
  </si>
  <si>
    <t>DB84</t>
  </si>
  <si>
    <t>DB85</t>
  </si>
  <si>
    <t>DB86</t>
  </si>
  <si>
    <t>DB87</t>
  </si>
  <si>
    <t>DB88</t>
  </si>
  <si>
    <t>DB89</t>
  </si>
  <si>
    <t>DB90</t>
  </si>
  <si>
    <t>DB91</t>
  </si>
  <si>
    <t>DB92</t>
  </si>
  <si>
    <t>DB93</t>
  </si>
  <si>
    <t>DB94</t>
  </si>
  <si>
    <t>DB95</t>
  </si>
  <si>
    <t>DB96</t>
  </si>
  <si>
    <t>DB97</t>
  </si>
  <si>
    <t>DB98</t>
  </si>
  <si>
    <t>DB99</t>
  </si>
  <si>
    <t>DB100</t>
  </si>
  <si>
    <t>DB101</t>
  </si>
  <si>
    <t>DB102</t>
  </si>
  <si>
    <t>DB103</t>
  </si>
  <si>
    <t>DB104</t>
  </si>
  <si>
    <t>DB105</t>
  </si>
  <si>
    <t>DB106</t>
  </si>
  <si>
    <t>DB107</t>
  </si>
  <si>
    <t>DB108</t>
  </si>
  <si>
    <t>DB109</t>
  </si>
  <si>
    <t>DB110</t>
  </si>
  <si>
    <t>DB111</t>
  </si>
  <si>
    <t>DB112</t>
  </si>
  <si>
    <t>DB113</t>
  </si>
  <si>
    <t>DB114</t>
  </si>
  <si>
    <t>DB115</t>
  </si>
  <si>
    <t>DB116</t>
  </si>
  <si>
    <t>DB117</t>
  </si>
  <si>
    <t>DB118</t>
  </si>
  <si>
    <t>DB119</t>
  </si>
  <si>
    <t>DB120</t>
  </si>
  <si>
    <t>DB121</t>
  </si>
  <si>
    <t>DB122</t>
  </si>
  <si>
    <t>DB123</t>
  </si>
  <si>
    <t>DB124</t>
  </si>
  <si>
    <t>DB125</t>
  </si>
  <si>
    <t>DB126</t>
  </si>
  <si>
    <t>DB127</t>
  </si>
  <si>
    <t>DB128</t>
  </si>
  <si>
    <t>DB129</t>
  </si>
  <si>
    <t>DB130</t>
  </si>
  <si>
    <t>DB131</t>
  </si>
  <si>
    <t>DB132</t>
  </si>
  <si>
    <t>DB133</t>
  </si>
  <si>
    <t>DB134</t>
  </si>
  <si>
    <t>DB135</t>
  </si>
  <si>
    <t>DB136</t>
  </si>
  <si>
    <t>DB137</t>
  </si>
  <si>
    <t>DB138</t>
  </si>
  <si>
    <t>DB139</t>
  </si>
  <si>
    <t>DB140</t>
  </si>
  <si>
    <t>DB141</t>
  </si>
  <si>
    <t>DB142</t>
  </si>
  <si>
    <t>DB143</t>
  </si>
  <si>
    <t>DB144</t>
  </si>
  <si>
    <t>DB145</t>
  </si>
  <si>
    <t>DB146</t>
  </si>
  <si>
    <t>DB147</t>
  </si>
  <si>
    <t>DB148</t>
  </si>
  <si>
    <t>DB149</t>
  </si>
  <si>
    <t>DB150</t>
  </si>
  <si>
    <t>DB151</t>
  </si>
  <si>
    <t>DB152</t>
  </si>
  <si>
    <t>DB153</t>
  </si>
  <si>
    <t>DB154</t>
  </si>
  <si>
    <t>DB155</t>
  </si>
  <si>
    <t>DB156</t>
  </si>
  <si>
    <t>DB157</t>
  </si>
  <si>
    <t>DB158</t>
  </si>
  <si>
    <t>DB159</t>
  </si>
  <si>
    <t>DB160</t>
  </si>
  <si>
    <t>DB161</t>
  </si>
  <si>
    <t>DB162</t>
  </si>
  <si>
    <t>DB163</t>
  </si>
  <si>
    <t>DB164</t>
  </si>
  <si>
    <t>DB165</t>
  </si>
  <si>
    <t>DB166</t>
  </si>
  <si>
    <t>DB167</t>
  </si>
  <si>
    <t>DB168</t>
  </si>
  <si>
    <t>DB169</t>
  </si>
  <si>
    <t>DB170</t>
  </si>
  <si>
    <t>DB171</t>
  </si>
  <si>
    <t>DB172</t>
  </si>
  <si>
    <t>DB173</t>
  </si>
  <si>
    <t>DB174</t>
  </si>
  <si>
    <t>DB175</t>
  </si>
  <si>
    <t>DB176</t>
  </si>
  <si>
    <t>DB177</t>
  </si>
  <si>
    <t>DB178</t>
  </si>
  <si>
    <t>DB179</t>
  </si>
  <si>
    <t>DB180</t>
  </si>
  <si>
    <t>DB181</t>
  </si>
  <si>
    <t>DB182</t>
  </si>
  <si>
    <t>DB183</t>
  </si>
  <si>
    <t>DB184</t>
  </si>
  <si>
    <t>DB185</t>
  </si>
  <si>
    <t>DB186</t>
  </si>
  <si>
    <t>DB187</t>
  </si>
  <si>
    <t>DB188</t>
  </si>
  <si>
    <t>DB189</t>
  </si>
  <si>
    <t>DB190</t>
  </si>
  <si>
    <t>DB191</t>
  </si>
  <si>
    <t>DB192</t>
  </si>
  <si>
    <t>DB193</t>
  </si>
  <si>
    <t>DB194</t>
  </si>
  <si>
    <t>DB195</t>
  </si>
  <si>
    <t>DB196</t>
  </si>
  <si>
    <t>DB197</t>
  </si>
  <si>
    <t>DB198</t>
  </si>
  <si>
    <t>DB199</t>
  </si>
  <si>
    <t>DB200</t>
  </si>
  <si>
    <t>DB201</t>
  </si>
  <si>
    <t>2P IN</t>
  </si>
  <si>
    <t>100A 2P MCCB</t>
  </si>
  <si>
    <t>63A 2P MCCB</t>
  </si>
  <si>
    <t>40A 2P MCCB</t>
  </si>
  <si>
    <t>With MCCB Shunt Trip</t>
  </si>
  <si>
    <t>2P RCCB</t>
  </si>
  <si>
    <t>25A 2P 10mA RCCB</t>
  </si>
  <si>
    <t>40A 2P 30mA TYPE A RCCB</t>
  </si>
  <si>
    <t>40A 4P 30mA TYPE A RCCB</t>
  </si>
  <si>
    <t>2P RCBO</t>
  </si>
  <si>
    <t>25/40A 1P+N 10mA RCBO</t>
  </si>
  <si>
    <t>63A 1P+N 300mA RCBO</t>
  </si>
  <si>
    <t>63A 1P+N 100mA RCBO</t>
  </si>
  <si>
    <t>63A 1P+N 30mA RCBO</t>
  </si>
  <si>
    <t>NB1 MCB</t>
  </si>
  <si>
    <t>1P 6kA MCB</t>
  </si>
  <si>
    <t>3P 6kA MCB</t>
  </si>
  <si>
    <t>NXB MCB</t>
  </si>
  <si>
    <t>FUSE/SWITCH/CONTACTOR</t>
  </si>
  <si>
    <t>FUSE</t>
  </si>
  <si>
    <t>SWITCH</t>
  </si>
  <si>
    <t>CTRL RELAY</t>
  </si>
  <si>
    <t>24H TIMER</t>
  </si>
  <si>
    <t>9A CONTACTOR</t>
  </si>
  <si>
    <t>20A CONTACTOR</t>
  </si>
  <si>
    <t>CTRL CABLE</t>
  </si>
  <si>
    <t>Remark 1</t>
  </si>
  <si>
    <t>Remark 2</t>
  </si>
  <si>
    <t>Remark 3</t>
  </si>
  <si>
    <t>(blank)</t>
  </si>
  <si>
    <t>Grand Total</t>
  </si>
  <si>
    <t>No</t>
  </si>
  <si>
    <t>Discount seletion</t>
  </si>
  <si>
    <t>Selection</t>
  </si>
  <si>
    <t>Standard</t>
  </si>
  <si>
    <t>1x10</t>
  </si>
  <si>
    <t>2x10</t>
  </si>
  <si>
    <t>3x10</t>
  </si>
  <si>
    <t>Discount selection</t>
  </si>
  <si>
    <t>Discount structure</t>
  </si>
  <si>
    <t>Disocunt amount</t>
  </si>
  <si>
    <t>Discount remark</t>
  </si>
  <si>
    <t>Supplier discount only</t>
  </si>
  <si>
    <t>Additional to supplier discount</t>
  </si>
  <si>
    <t>Commission</t>
  </si>
  <si>
    <t>T. Commission</t>
  </si>
  <si>
    <t>Commission in %</t>
  </si>
  <si>
    <t>Grand total</t>
  </si>
  <si>
    <t>SST</t>
  </si>
  <si>
    <t>NO</t>
  </si>
  <si>
    <t>TX4S-24C</t>
  </si>
  <si>
    <t>Digital Temperature Control, TX Series</t>
  </si>
  <si>
    <t>TX</t>
  </si>
  <si>
    <t>NM1-63S 3P 10A</t>
  </si>
  <si>
    <t>10A 3P 15kA MCCB</t>
  </si>
  <si>
    <t>NM1</t>
  </si>
  <si>
    <t>NM1-63S 3P 16A</t>
  </si>
  <si>
    <t>NM1-63S 3P 20A</t>
  </si>
  <si>
    <t>NM1-63S 3P 32A</t>
  </si>
  <si>
    <t>NM1-63S 3P 40A</t>
  </si>
  <si>
    <t>NM1-63S 3P 63A</t>
  </si>
  <si>
    <t>100A 3P 20kA MCCB, 100%</t>
  </si>
  <si>
    <t>125A 3P 20kA MCCB, 100%</t>
  </si>
  <si>
    <t>25A 3P 20kA MCCB, 100%</t>
  </si>
  <si>
    <t>32A 3P 20kA MCCB, 100%</t>
  </si>
  <si>
    <t>40A 3P 20kA MCCB, 100%</t>
  </si>
  <si>
    <t>50A 3P 20kA MCCB, 100%</t>
  </si>
  <si>
    <t>63A 3P 20kA MCCB, 100%</t>
  </si>
  <si>
    <t>80A 3P 20kA MCCB, 100%</t>
  </si>
  <si>
    <t>125A 3P 36kA MCCB, 100%</t>
  </si>
  <si>
    <t>100A 3P 36kA MCCB, 100%</t>
  </si>
  <si>
    <t>25A 3P 36kA MCCB, 100%</t>
  </si>
  <si>
    <t>32A 3P 36kA MCCB, 100%</t>
  </si>
  <si>
    <t>40A 3P 36kA MCCB, 100%</t>
  </si>
  <si>
    <t>50A 3P 36kA MCCB, 100%</t>
  </si>
  <si>
    <t>63A 3P 36kA MCCB, 100%</t>
  </si>
  <si>
    <t>80A 3P 36kA MCCB, 100%</t>
  </si>
  <si>
    <t>160A 3P 36kA MCCB, 100%</t>
  </si>
  <si>
    <t>200A 3P 36kA MCCB, 100%</t>
  </si>
  <si>
    <t>250A 3P 36kA MCCB, 100%</t>
  </si>
  <si>
    <t>NXM-125S 3P 25A</t>
  </si>
  <si>
    <t>25A 3P 25kA MCCB, 50%</t>
  </si>
  <si>
    <t>NXM-125S 3P 32A</t>
  </si>
  <si>
    <t>NXM-125S 3P 40A</t>
  </si>
  <si>
    <t>NXM-125S 3P 50A</t>
  </si>
  <si>
    <t>NXM-125S 3P 63A</t>
  </si>
  <si>
    <t>NXM-125S 3P 80A</t>
  </si>
  <si>
    <t>NXM-125S 3P 100A</t>
  </si>
  <si>
    <t>32A 3P 25kA MCCB, 50%</t>
  </si>
  <si>
    <t>40A 3P 25kA MCCB, 50%</t>
  </si>
  <si>
    <t>50A 3P 25kA MCCB, 50%</t>
  </si>
  <si>
    <t>63A 3P 25kA MCCB, 50%</t>
  </si>
  <si>
    <t>80A 3P 25kA MCCB, 50%</t>
  </si>
  <si>
    <t>100A 3P 25kA MCCB, 50%</t>
  </si>
  <si>
    <t>NXM-160S 3P 125A</t>
  </si>
  <si>
    <t>NXM-250S 3P 160A</t>
  </si>
  <si>
    <t>NXM-250S 3P 200A</t>
  </si>
  <si>
    <t>NXM-250S 3P 250A</t>
  </si>
  <si>
    <t>125A 3P 36kA MCCB, 50%</t>
  </si>
  <si>
    <t>160A 3P 36kA MCCB, 50%</t>
  </si>
  <si>
    <t>200A 3P 36kA MCCB, 50%</t>
  </si>
  <si>
    <t>250A 3P 36kA MCCB, 50%</t>
  </si>
  <si>
    <t>40A 2P 6kA MCB</t>
  </si>
  <si>
    <t>63A 2P 6kA MCB</t>
  </si>
  <si>
    <t>TK TOTAL</t>
  </si>
  <si>
    <t>TKM TOTAL</t>
  </si>
  <si>
    <t>3P IN</t>
  </si>
  <si>
    <t>100A 3P MCCB</t>
  </si>
  <si>
    <t>63A 3P MCCB</t>
  </si>
  <si>
    <t>40A 3P MCCB</t>
  </si>
  <si>
    <t>63A 3P 10kA MCB</t>
  </si>
  <si>
    <t>One</t>
  </si>
  <si>
    <t>64W</t>
  </si>
  <si>
    <t>TK BOX, MCCB IN</t>
  </si>
  <si>
    <t>8W</t>
  </si>
  <si>
    <t>DB, MCCB incoming,
1R 8W
350x400x150</t>
  </si>
  <si>
    <t>16W</t>
  </si>
  <si>
    <t>DB, MCCB incoming,
2R 8W
400x400x150</t>
  </si>
  <si>
    <t>24W</t>
  </si>
  <si>
    <t>DB, MCCB incoming,
2R 12W
400x500x150</t>
  </si>
  <si>
    <t>40W</t>
  </si>
  <si>
    <t>DB, MCCB incoming,
3R 2x16W+1x8W
650x400x150</t>
  </si>
  <si>
    <t>52W</t>
  </si>
  <si>
    <t>DB, MCCB incoming,
3R 2x20W+1x12W
650x500x150</t>
  </si>
  <si>
    <t>56W</t>
  </si>
  <si>
    <t>DB, MCCB incoming,
4R 3x16W+1x8W
850x400x150</t>
  </si>
  <si>
    <t>72W</t>
  </si>
  <si>
    <t>DB, MCCB incoming,
4R 3x20W+1x12W
850x500x150</t>
  </si>
  <si>
    <t>TK BOX, MCB IN</t>
  </si>
  <si>
    <t>12W</t>
  </si>
  <si>
    <t>DB, MCB incoming,
1R 12W
220x400x120</t>
  </si>
  <si>
    <t>DB, MCB incoming,
1R 16W
250x400x120</t>
  </si>
  <si>
    <t>20W</t>
  </si>
  <si>
    <t>DB, MCB incoming,
1R 20W
250x500x120</t>
  </si>
  <si>
    <t>32W</t>
  </si>
  <si>
    <t>DB, MCB incoming,
2R 16W
400x400x150</t>
  </si>
  <si>
    <t>DB, MCB incoming,
2R 20W
400x500x150</t>
  </si>
  <si>
    <t>48W</t>
  </si>
  <si>
    <t>DB, MCB incoming,
3R 16W
650x400x150</t>
  </si>
  <si>
    <t>60W</t>
  </si>
  <si>
    <t>DB, MCB incoming,
3R 20W
650x500x150</t>
  </si>
  <si>
    <t>DB, MCB incoming,
4R 16W
850x400x150</t>
  </si>
  <si>
    <t>80W</t>
  </si>
  <si>
    <t>DB, MCB incoming,
4R 20W
850x500x150</t>
  </si>
  <si>
    <t>PVC BOX, HAGER</t>
  </si>
  <si>
    <t>36W</t>
  </si>
  <si>
    <t>INSULATION MONITOR RN5897.12/011/61</t>
  </si>
  <si>
    <t>RN5897.12/011/61</t>
  </si>
  <si>
    <t>DOLB</t>
  </si>
  <si>
    <t>DB202</t>
  </si>
  <si>
    <t>DB203</t>
  </si>
  <si>
    <t>DB204</t>
  </si>
  <si>
    <t>DB205</t>
  </si>
  <si>
    <t>DB206</t>
  </si>
  <si>
    <t>DB207</t>
  </si>
  <si>
    <t>DB208</t>
  </si>
  <si>
    <t>DB209</t>
  </si>
  <si>
    <t>DB210</t>
  </si>
  <si>
    <t>DB211</t>
  </si>
  <si>
    <t>DB212</t>
  </si>
  <si>
    <t>DB213</t>
  </si>
  <si>
    <t>DB214</t>
  </si>
  <si>
    <t>DB215</t>
  </si>
  <si>
    <t>DB216</t>
  </si>
  <si>
    <t>DB217</t>
  </si>
  <si>
    <t>DB218</t>
  </si>
  <si>
    <t>DB219</t>
  </si>
  <si>
    <t>DB220</t>
  </si>
  <si>
    <t>DB221</t>
  </si>
  <si>
    <t>DB222</t>
  </si>
  <si>
    <t>DB223</t>
  </si>
  <si>
    <t>DB224</t>
  </si>
  <si>
    <t>DB225</t>
  </si>
  <si>
    <t>DB226</t>
  </si>
  <si>
    <t>DB227</t>
  </si>
  <si>
    <t>DB228</t>
  </si>
  <si>
    <t>DB229</t>
  </si>
  <si>
    <t>DB230</t>
  </si>
  <si>
    <t>DB231</t>
  </si>
  <si>
    <t>DB232</t>
  </si>
  <si>
    <t>DB233</t>
  </si>
  <si>
    <t>DB234</t>
  </si>
  <si>
    <t>DB235</t>
  </si>
  <si>
    <t>DB236</t>
  </si>
  <si>
    <t>DB237</t>
  </si>
  <si>
    <t>DB238</t>
  </si>
  <si>
    <t>DB239</t>
  </si>
  <si>
    <t>DB240</t>
  </si>
  <si>
    <t>BUSBAR, 465A, EARTH BAR
50mm x 6mm</t>
  </si>
  <si>
    <t>BUSBAR, 465A
30mm x 10mm</t>
  </si>
  <si>
    <t>BUSBAR-10 X 085mm (1317.5A)</t>
  </si>
  <si>
    <t>BUSBAR-10 X 065mm (1007.5A)</t>
  </si>
  <si>
    <t>BUSBAR-10 X 055mm (852.5A)</t>
  </si>
  <si>
    <t>BUSBAR-10 X 050mm (775A)</t>
  </si>
  <si>
    <t>BUSBAR-10 X 040mm (620A)</t>
  </si>
  <si>
    <t>BUSBAR-10 X 030mm (465A)</t>
  </si>
  <si>
    <t>BUSBAR-10 X 025mm (387.5A)</t>
  </si>
  <si>
    <t>BUSBAR-10 X 200mm (3100A)</t>
  </si>
  <si>
    <t>BUSBAR-10 X 165mm (2557.5A)</t>
  </si>
  <si>
    <t>BUSBAR-10 X 160mm (2480A)</t>
  </si>
  <si>
    <t>BUSBAR-10 X 130mm (2015A)</t>
  </si>
  <si>
    <t>BUSBAR-10 X 120mm (1860A)</t>
  </si>
  <si>
    <t>BUSBAR-10 X 110mm (1705A)</t>
  </si>
  <si>
    <t>BUSBAR-10 X 100mm (1550A)</t>
  </si>
  <si>
    <t>BUSBAR-06 X 50mm (465A)</t>
  </si>
  <si>
    <t>BUSBAR-06 X 25mm (232.5A)</t>
  </si>
  <si>
    <t>BUSBAR-06 X 20mm (186A)</t>
  </si>
  <si>
    <t>BUSBAR-03 X 25mm (116A)</t>
  </si>
  <si>
    <t>100A FUSE CASING + FUSE LINK</t>
  </si>
  <si>
    <t>PLK HRC FUSE (100A SP)</t>
  </si>
  <si>
    <t>PLK</t>
  </si>
  <si>
    <t>Q000##/TK/25</t>
  </si>
  <si>
    <t>Q000##/TKM/25</t>
  </si>
  <si>
    <t>ELR</t>
  </si>
  <si>
    <t>EF</t>
  </si>
  <si>
    <t>OC</t>
  </si>
  <si>
    <t>OCEF</t>
  </si>
  <si>
    <t>A9C30811</t>
  </si>
  <si>
    <t>16A 1P 1NO iTL impulse relays</t>
  </si>
  <si>
    <t>Impulse Relay</t>
  </si>
  <si>
    <t>A9C30812</t>
  </si>
  <si>
    <t>16A 2P 2 NO iTL impulse relays</t>
  </si>
  <si>
    <t>A9C30811+A9C32816</t>
  </si>
  <si>
    <t>16A 3P 1 NO + 1NO/NC + 1NO iTL impulse relays</t>
  </si>
  <si>
    <t>A9C30814</t>
  </si>
  <si>
    <t>16A 4P iTL impulse relays</t>
  </si>
  <si>
    <t>WY</t>
  </si>
  <si>
    <t>40A 2P 30mA ELCB + Auto Reset</t>
  </si>
  <si>
    <t>40A 2P 100mA ELCB + Auto Reset</t>
  </si>
  <si>
    <t>40A 2P 300mA ELCB + Auto Reset</t>
  </si>
  <si>
    <t>63A 2P 30mA ELCB + Auto Reset</t>
  </si>
  <si>
    <t>63A 2P 100mA ELCB + Auto Reset</t>
  </si>
  <si>
    <t>63A 2P 300mA ELCB + Auto Reset</t>
  </si>
  <si>
    <t>100A 2P 30mA ELCB + Auto Reset</t>
  </si>
  <si>
    <t>100A 2P 100mA ELCB + Auto Reset</t>
  </si>
  <si>
    <t>100A 4P 100mA ELCB + Auto Reset</t>
  </si>
  <si>
    <t>40A 4P 30mA ELCB + Auto Reset</t>
  </si>
  <si>
    <t>40A 4P 100mA ELCB + Auto Reset</t>
  </si>
  <si>
    <t>40A 4P 300mA ELCB + Auto Reset</t>
  </si>
  <si>
    <t>63A 4P 30mA ELCB + Auto Reset</t>
  </si>
  <si>
    <t>63A 4P 100mA ELCB + Auto Reset</t>
  </si>
  <si>
    <t>63A 4P 300mA ELCB + Auto Reset</t>
  </si>
  <si>
    <t>NL1-63/40+AR008 40A 30mA 2P</t>
  </si>
  <si>
    <t>NL1-63/40+AR008 40A 100mA 2P</t>
  </si>
  <si>
    <t>NL1-63/40+AR008 40A 300mA 2P</t>
  </si>
  <si>
    <t>NL1-63/63+AR008 63A 30mA 2P</t>
  </si>
  <si>
    <t>NL1-63/63+AR008 63A 100mA 2P</t>
  </si>
  <si>
    <t>NL1-63/63+AR008 63A 300mA 2P</t>
  </si>
  <si>
    <t>NL1-100/100+AR008 100A 30mA 2P</t>
  </si>
  <si>
    <t>NL1-100/100+AR008 100A 100mA 2P</t>
  </si>
  <si>
    <t>NL1-63/40+AR008 40A 30mA 4P</t>
  </si>
  <si>
    <t>NL1-63/40+AR008 40A 100mA 4P</t>
  </si>
  <si>
    <t>NL1-63/40+AR008 40A 300mA 4P</t>
  </si>
  <si>
    <t>NL1-63/63+AR008 63A 30mA 4P</t>
  </si>
  <si>
    <t>NL1-63/63+AR008 63A 100mA 4P</t>
  </si>
  <si>
    <t>NL1-63/63+AR008 63A 300mA 4P</t>
  </si>
  <si>
    <t>NL1-100/100+AR008 100A 30mA 4P</t>
  </si>
  <si>
    <t>NL1-100/100+AR008 100A 100mA 4P</t>
  </si>
  <si>
    <t>100A 4P 30mA ELCB + Auto Reset</t>
  </si>
  <si>
    <t>NL1-100/100+AR008 300A 100mA 4P</t>
  </si>
  <si>
    <t>100A 4P 300mA ELCB + Auto Reset</t>
  </si>
  <si>
    <t>MCTs(CLS.1) - MUN HEAN</t>
  </si>
  <si>
    <t>MCTs(CLS0.5) - MUN HEAN</t>
  </si>
  <si>
    <t>MCTs(CLS0.5) - TK</t>
  </si>
  <si>
    <t>PCTs(5P10) - Mun Hean</t>
  </si>
  <si>
    <t>PCTs(10P10) - Mun Hean</t>
  </si>
  <si>
    <t>PCTs(5P10) - TK</t>
  </si>
  <si>
    <t>Surge Arrestor (FULL MODE) - Duval</t>
  </si>
  <si>
    <t>Surge Arrestor (P-N, N-E) - Duval</t>
  </si>
  <si>
    <t>TeSys E</t>
  </si>
  <si>
    <t>Ammeter - Saci</t>
  </si>
  <si>
    <t>Cap. Bank - Schneider Electric</t>
  </si>
  <si>
    <t>Contactor(AC3, 3P) - ABB</t>
  </si>
  <si>
    <t>Contactor(AC3, 3P) - Chint</t>
  </si>
  <si>
    <t>Contactor(AC3, 3P) - LS</t>
  </si>
  <si>
    <t>Contactor(AC3, 3P) - Schneider Electric</t>
  </si>
  <si>
    <t>Contactor(AC3, 4P) - ABB</t>
  </si>
  <si>
    <t>Contactor(AC3, 4P) - LS</t>
  </si>
  <si>
    <t>Contactor(AC3, 4P) - Schneider Electric</t>
  </si>
  <si>
    <t>Contactor(AC6, 3P) - ABB</t>
  </si>
  <si>
    <t>Contactor(AC6, 3P) - Chint</t>
  </si>
  <si>
    <t>Contactor(AC6, 3P) - LS</t>
  </si>
  <si>
    <t>Contactor(AC6, 3P) - Schneider Electric</t>
  </si>
  <si>
    <t>Combined EF/OC - Delab</t>
  </si>
  <si>
    <t>Combined EF/OC - Mikro</t>
  </si>
  <si>
    <t>Control relay - Idec</t>
  </si>
  <si>
    <t>Floatless Relay - Omron</t>
  </si>
  <si>
    <t>INST EF - Mun Hean</t>
  </si>
  <si>
    <t>INST EF - Mikro</t>
  </si>
  <si>
    <t>INST EF - Delab</t>
  </si>
  <si>
    <t>IDMT O/C - Delab</t>
  </si>
  <si>
    <t>IDMT O/C - Mikro</t>
  </si>
  <si>
    <t>IDMT O/C - Siemens</t>
  </si>
  <si>
    <t>IDMT O/C - Mun Hean</t>
  </si>
  <si>
    <t>2.0mm E.G SHEET, IP65(OUTDOOR), FLOOR STANDING PANEL(PILLAR)</t>
  </si>
  <si>
    <t>Soft Starter - Schneider Electric</t>
  </si>
  <si>
    <t>2.0mm E.G SHEET, IP41(INDOOR), FORM 2B, FLOOR STANDING PANEL (MSB)</t>
  </si>
  <si>
    <t>2.0mm E.G SHEET, IP54(OUTDOOR),FORM 3B,  FLOOR STANDING PANEL (MSB)</t>
  </si>
  <si>
    <t>SSB 900x(550+400)x250 EG2.0</t>
  </si>
  <si>
    <t>TK SSB</t>
  </si>
  <si>
    <t>SSB</t>
  </si>
  <si>
    <r>
      <t xml:space="preserve">SSB, </t>
    </r>
    <r>
      <rPr>
        <b/>
        <sz val="11"/>
        <color rgb="FFFF0000"/>
        <rFont val="Calibri"/>
        <family val="2"/>
        <scheme val="minor"/>
      </rPr>
      <t>2.0mm THICK</t>
    </r>
    <r>
      <rPr>
        <sz val="11"/>
        <color theme="1"/>
        <rFont val="Calibri"/>
        <family val="2"/>
        <scheme val="minor"/>
      </rPr>
      <t xml:space="preserve">
6 OUT MCCBs
900x(550+400)x250</t>
    </r>
  </si>
  <si>
    <t>SSB 900x(550+400)x250 EG1.6</t>
  </si>
  <si>
    <t>SSB 900x(550+550)x250 EG2.0</t>
  </si>
  <si>
    <t>SSB 900x(550+550)x250 EG1.6</t>
  </si>
  <si>
    <r>
      <t xml:space="preserve">SSB, </t>
    </r>
    <r>
      <rPr>
        <b/>
        <sz val="11"/>
        <color rgb="FFFF0000"/>
        <rFont val="Calibri"/>
        <family val="2"/>
        <scheme val="minor"/>
      </rPr>
      <t>2.0mm THICK</t>
    </r>
    <r>
      <rPr>
        <sz val="11"/>
        <color theme="1"/>
        <rFont val="Calibri"/>
        <family val="2"/>
        <charset val="134"/>
        <scheme val="minor"/>
      </rPr>
      <t xml:space="preserve">
9 OUT MCCBs
900x(550+550)x250</t>
    </r>
  </si>
  <si>
    <r>
      <t xml:space="preserve">SSB, </t>
    </r>
    <r>
      <rPr>
        <b/>
        <sz val="11"/>
        <color rgb="FF00B0F0"/>
        <rFont val="Calibri"/>
        <family val="2"/>
        <scheme val="minor"/>
      </rPr>
      <t>1.6mm THICK</t>
    </r>
    <r>
      <rPr>
        <sz val="11"/>
        <color theme="1"/>
        <rFont val="Calibri"/>
        <family val="2"/>
        <charset val="134"/>
        <scheme val="minor"/>
      </rPr>
      <t xml:space="preserve">
9 OUT MCCBs
900x(550+550)x250</t>
    </r>
  </si>
  <si>
    <r>
      <t xml:space="preserve">SSB, </t>
    </r>
    <r>
      <rPr>
        <b/>
        <sz val="11"/>
        <color rgb="FF00B0F0"/>
        <rFont val="Calibri"/>
        <family val="2"/>
        <scheme val="minor"/>
      </rPr>
      <t>1.6mm THICK</t>
    </r>
    <r>
      <rPr>
        <sz val="11"/>
        <color theme="1"/>
        <rFont val="Calibri"/>
        <family val="2"/>
        <charset val="134"/>
        <scheme val="minor"/>
      </rPr>
      <t xml:space="preserve">
6 OUT MCCBs
900x(550+400)x250</t>
    </r>
  </si>
  <si>
    <t>SSB 1200x(550+550)x300 EG2.0</t>
  </si>
  <si>
    <r>
      <t xml:space="preserve">SSB, </t>
    </r>
    <r>
      <rPr>
        <b/>
        <sz val="11"/>
        <color rgb="FFFF0000"/>
        <rFont val="Calibri"/>
        <family val="2"/>
        <scheme val="minor"/>
      </rPr>
      <t>2.0mm THICK</t>
    </r>
    <r>
      <rPr>
        <sz val="11"/>
        <color theme="1"/>
        <rFont val="Calibri"/>
        <family val="2"/>
        <charset val="134"/>
        <scheme val="minor"/>
      </rPr>
      <t xml:space="preserve">
12 OUT MCCBs
900x(550+550)x300</t>
    </r>
  </si>
  <si>
    <t>NA</t>
  </si>
  <si>
    <t>DEL ZCT100</t>
  </si>
  <si>
    <t>DEL ZCT150</t>
  </si>
  <si>
    <t>DEL ZCT200</t>
  </si>
  <si>
    <t>DEL ZCT30</t>
  </si>
  <si>
    <t>DEL ZCT45</t>
  </si>
  <si>
    <t>DEL ZCT65</t>
  </si>
  <si>
    <t>DEL ZCT80</t>
  </si>
  <si>
    <t>MK ZCT120S</t>
  </si>
  <si>
    <t>MK ZCT210S</t>
  </si>
  <si>
    <t>MK ZCT40S</t>
  </si>
  <si>
    <t>MK ZCT60S</t>
  </si>
  <si>
    <t>MK ZCT80S</t>
  </si>
  <si>
    <t>DPM</t>
  </si>
  <si>
    <t>NL1-100 100A 0.03(30mA) 4P ELCB</t>
  </si>
  <si>
    <t>METSEPM5100</t>
  </si>
  <si>
    <t>A1A 125 3P 016A 1SDA068746R1</t>
  </si>
  <si>
    <t>A1A 125 4P 016A 1SDA068750R1</t>
  </si>
  <si>
    <t>A1A 125 3P 020A 1SDA066511R1</t>
  </si>
  <si>
    <t>A1A 125 4P 020A 1SDA066525R1</t>
  </si>
  <si>
    <t>A1A 125 3P 025A 1SDA066512R1</t>
  </si>
  <si>
    <t>A1A 125 4P 025A 1SDA066526R1</t>
  </si>
  <si>
    <t>A1A 125 3P 032A 1SDA068757R1</t>
  </si>
  <si>
    <t>A1A 125 4P 032A 1SDA068761R1</t>
  </si>
  <si>
    <t>A1A 125 3P 040A 1SDA066514R1</t>
  </si>
  <si>
    <t>A1A 125 4P 040A 1SDA066528R1</t>
  </si>
  <si>
    <t>A1B 125 4P 063A 1SDA068773R1</t>
  </si>
  <si>
    <t>A1A 125 3P 050A 1SDA066515R1</t>
  </si>
  <si>
    <t>A1A 125 4P 050A 1SDA066529R1</t>
  </si>
  <si>
    <t>A1A 125 3P 063A 1SDA068768R1</t>
  </si>
  <si>
    <t>A1A 125 4P 063A 1SDA068772R1</t>
  </si>
  <si>
    <t>A1A 125 3P 080A 1SDA066518R1</t>
  </si>
  <si>
    <t>A1A 125 4P 080A 1SDA066532R1</t>
  </si>
  <si>
    <t>A1A 125 3P 100A 1SDA066520R1</t>
  </si>
  <si>
    <t>A1A 125 4P 100A 1SDA066534R1</t>
  </si>
  <si>
    <t>A1B 125 3P 016A 1SDA068747R1</t>
  </si>
  <si>
    <t>A1B 125 4P 016A 1SDA068751R1</t>
  </si>
  <si>
    <t>A1B 125 3P 020A 1SDA066698R1</t>
  </si>
  <si>
    <t>A1B 125 4P 020A 1SDA066734R1</t>
  </si>
  <si>
    <t>A1B 125 3P 025A 1SDA066699R1</t>
  </si>
  <si>
    <t>A1B 125 4P 025A 1SDA066735R1</t>
  </si>
  <si>
    <t>A1B 125 3P 032A 1SDA068758R1</t>
  </si>
  <si>
    <t>A1B 125 4P 032A 1SDA068762R1</t>
  </si>
  <si>
    <t>A1B 125 3P 040A 1SDA066701R1</t>
  </si>
  <si>
    <t>A1B 125 4P 040A 1SDA066737R1</t>
  </si>
  <si>
    <t>A1B 125 3P 050A 1SDA066702R1</t>
  </si>
  <si>
    <t>A1B 125 4P 050A 1SDA066738R1</t>
  </si>
  <si>
    <t>A1B 125 3P 063A 1SDA068769R1</t>
  </si>
  <si>
    <t>A1B 125 3P 080A 1SDA066705R1</t>
  </si>
  <si>
    <t>A1B 125 4P 080A 1SDA066741R1</t>
  </si>
  <si>
    <t>A1B 125 3P 100A 1SDA066707R1</t>
  </si>
  <si>
    <t>A1B 125 4P 100A 1SDA066743R1</t>
  </si>
  <si>
    <t>A1C 125 3P 016A 1SDA068748R1</t>
  </si>
  <si>
    <t>A1C 125 4P 016A 1SDA068752R1</t>
  </si>
  <si>
    <t>A1C 125 3P 020A 1SDA066710R1</t>
  </si>
  <si>
    <t>A1C 125 4P 020A 1SDA066746R1</t>
  </si>
  <si>
    <t>A1C 125 3P 025A 1SDA066711R1</t>
  </si>
  <si>
    <t>A1C 125 4P 025A 1SDA066747R1</t>
  </si>
  <si>
    <t>A1C 125 3P 032A 1SDA068759R1</t>
  </si>
  <si>
    <t>A1C 125 4P 032A 1SDA068763R1</t>
  </si>
  <si>
    <t>A1C 125 3P 040A 1SDA066713R1</t>
  </si>
  <si>
    <t>A1C 125 4P 040A 1SDA066749R1</t>
  </si>
  <si>
    <t>A1C 125 3P 050A 1SDA066714R1</t>
  </si>
  <si>
    <t>A1C 125 4P 050A 1SDA066750R1</t>
  </si>
  <si>
    <t>A1C 125 3P 063A 1SDA068770R1</t>
  </si>
  <si>
    <t>A1C 125 4P 063A 1SDA068774R1</t>
  </si>
  <si>
    <t>A1C 125 3P 080A 1SDA066717R1</t>
  </si>
  <si>
    <t>A1C 125 4P 080A 1SDA066753R1</t>
  </si>
  <si>
    <t>A1C 125 3P 100A 1SDA066719R1</t>
  </si>
  <si>
    <t>A1C 125 4P 100A 1SDA066755R1</t>
  </si>
  <si>
    <t>A1N 125 3P 016A 1SDA068749R1</t>
  </si>
  <si>
    <t>A1N 125 4P 016A 1SDA068753R1</t>
  </si>
  <si>
    <t>A1N 125 2P 016A 1SDA068790R1</t>
  </si>
  <si>
    <t>A1N 125 2P 020A 1SDA066497R1</t>
  </si>
  <si>
    <t>A1N 125 1P 020A 1SDA066686R1</t>
  </si>
  <si>
    <t>A1N 125 3P 020A 1SDA066722R1</t>
  </si>
  <si>
    <t>A1N 125 4P 020A 1SDA066758R1</t>
  </si>
  <si>
    <t>A1N 125 2P 025A 1SDA066498R1</t>
  </si>
  <si>
    <t>A1N 125 1P 025A 1SDA066687R1</t>
  </si>
  <si>
    <t>A1N 125 3P 025A 1SDA066723R1</t>
  </si>
  <si>
    <t>A1N 125 4P 025A 1SDA066759R1</t>
  </si>
  <si>
    <t>A1N 125 1P 032A 1SDA068755R1</t>
  </si>
  <si>
    <t>A1N 125 2P 032A 1SDA068756R1</t>
  </si>
  <si>
    <t>A1N 125 3P 032A 1SDA068760R1</t>
  </si>
  <si>
    <t>A1N 125 4P 032A 1SDA068764R1</t>
  </si>
  <si>
    <t>A1N 125 2P 040A 1SDA066500R1</t>
  </si>
  <si>
    <t>A1N 125 1P 040A 1SDA066689R1</t>
  </si>
  <si>
    <t>A1N 125 3P 040A 1SDA066725R1</t>
  </si>
  <si>
    <t>A1N 125 4P 040A 1SDA066761R1</t>
  </si>
  <si>
    <t>A1N 125 2P 050A 1SDA066501R1</t>
  </si>
  <si>
    <t>A1N 125 1P 050A 1SDA066690R1</t>
  </si>
  <si>
    <t>A1N 125 3P 050A 1SDA066726R1</t>
  </si>
  <si>
    <t>A1N 125 4P 050A 1SDA066762R1</t>
  </si>
  <si>
    <t>A1N 125 1P 063A 1SDA068766R1</t>
  </si>
  <si>
    <t>A1N 125 2P 063A 1SDA068767R1</t>
  </si>
  <si>
    <t>A1N 125 3P 063A 1SDA068771R1</t>
  </si>
  <si>
    <t>A1N 125 4P 063A 1SDA068775R1</t>
  </si>
  <si>
    <t>A1N 125 2P 080A 1SDA066504R1</t>
  </si>
  <si>
    <t>A1N 125 1P 080A 1SDA066693R1</t>
  </si>
  <si>
    <t>A1N 125 3P 080A 1SDA066729R1</t>
  </si>
  <si>
    <t>A1N 125 4P 080A 1SDA066765R1</t>
  </si>
  <si>
    <t>A1N 125 2P 100A 1SDA066506R1</t>
  </si>
  <si>
    <t>A1N 125 1P 100A 1SDA066695R1</t>
  </si>
  <si>
    <t>A1N 125 3P 100A 1SDA066731R1</t>
  </si>
  <si>
    <t>A1N 125 4P 100A 1SDA066767R1</t>
  </si>
  <si>
    <t>A2B 250 3P 125A 1SDA066548R1</t>
  </si>
  <si>
    <t>A2B 250 4P 125A 1SDA066554R1</t>
  </si>
  <si>
    <t>A2B 250 3P 160A 1SDA066549R1</t>
  </si>
  <si>
    <t>A2B 250 4P 160A 1SDA066555R1</t>
  </si>
  <si>
    <t>A2B 250 3P 200A 1SDA066551R1</t>
  </si>
  <si>
    <t>A2B 250 4P 200A 1SDA066557R1</t>
  </si>
  <si>
    <t>A2B 250 3P 250A 1SDA066553R1</t>
  </si>
  <si>
    <t>A2B 250 4P 250A 1SDA066559R1</t>
  </si>
  <si>
    <t>A2C 250 3P 125A 1SDA066775R1</t>
  </si>
  <si>
    <t>A2C 250 4P 125A 1SDA066787R1</t>
  </si>
  <si>
    <t>A2C 250 3P 160A 1SDA066776R1</t>
  </si>
  <si>
    <t>A2C 250 4P 160A 1SDA066788R1</t>
  </si>
  <si>
    <t>A2C 250 3P 200A 1SDA066778R1</t>
  </si>
  <si>
    <t>A2C 250 4P 200A 1SDA066790R1</t>
  </si>
  <si>
    <t>A2C 250 3P 250A 1SDA066780R1</t>
  </si>
  <si>
    <t>A2C 250 4P 250A 1SDA066792R1</t>
  </si>
  <si>
    <t>A2N 250 3P 125A 1SDA066781R1</t>
  </si>
  <si>
    <t>A2N 250 2P 160A 1SDA066543R1</t>
  </si>
  <si>
    <t>A2N 250 3P 160A 1SDA066782R1</t>
  </si>
  <si>
    <t>A2N 250 2P 200A 1SDA066545R1</t>
  </si>
  <si>
    <t>A2N 250 3P 200A 1SDA066784R1</t>
  </si>
  <si>
    <t>A2N 250 2P 250A 1SDA066547R1</t>
  </si>
  <si>
    <t>A2N 250 3P 250A 1SDA066786R1</t>
  </si>
  <si>
    <t>A3N 400 3P 320A 1SDA066560R1</t>
  </si>
  <si>
    <t>A3N 400 3P 400A 1SDA066561R1</t>
  </si>
  <si>
    <t>A3N 630 3P 500A 1SDA066564R1</t>
  </si>
  <si>
    <t>A3N 630 3P 630A 1SDA066566R1</t>
  </si>
  <si>
    <t>A3S 400 3P 320A 1SDA066562R1</t>
  </si>
  <si>
    <t>A3S 400 4P 320A 1SDA066570R1</t>
  </si>
  <si>
    <t>A3S 400 3P 400A 1SDA066563R1</t>
  </si>
  <si>
    <t>A3S 400 4P 400A 1SDA066571R1</t>
  </si>
  <si>
    <t>A3S 630 3P 500A 1SDA066565R1</t>
  </si>
  <si>
    <t>A3S 630 4P 500A 1SDA066573R1</t>
  </si>
  <si>
    <t>A3S 630 3P 630A 1SDA066567R1</t>
  </si>
  <si>
    <t>A3S 630 4P 630A 1SDA066575R1</t>
  </si>
  <si>
    <t>XT1B 160 3P 016A 1SDA066799R1</t>
  </si>
  <si>
    <t>XT1B 160 4P 016A 1SDA066810R1</t>
  </si>
  <si>
    <t>XT1B 160 3P 020A 1SDA066800R1</t>
  </si>
  <si>
    <t>XT1B 160 4P 020A 1SDA066811R1</t>
  </si>
  <si>
    <t>XT1B 160 3P 025A 1SDA066801R1</t>
  </si>
  <si>
    <t>XT1B 160 4P 025A 1SDA066812R1</t>
  </si>
  <si>
    <t>XT1B 160 3P 032A 1SDA066802R1</t>
  </si>
  <si>
    <t>XT1B 160 4P 032A 1SDA066813R1</t>
  </si>
  <si>
    <t>XT1B 160 3P 040A 1SDA066803R1</t>
  </si>
  <si>
    <t>XT1B 160 4P 040A 1SDA066814R1</t>
  </si>
  <si>
    <t>XT1B 160 3P 050A 1SDA066804R1</t>
  </si>
  <si>
    <t>XT1B 160 4P 050A 1SDA066815R1</t>
  </si>
  <si>
    <t>XT1B 160 3P 063A 1SDA066805R1</t>
  </si>
  <si>
    <t>XT1B 160 4P 063A 1SDA066816R1</t>
  </si>
  <si>
    <t>XT1B 160 3P 080A 1SDA066806R1</t>
  </si>
  <si>
    <t>XT1B 160 4P 080A 1SDA066817R1</t>
  </si>
  <si>
    <t>XT1B 160 3P 100A 1SDA066807R1</t>
  </si>
  <si>
    <t>XT1B 160 4P 100A 1SDA066818R1</t>
  </si>
  <si>
    <t>XT1B 160 3P 125A 1SDA066808R1</t>
  </si>
  <si>
    <t>XT1B 160 4P 125A 1SDA066888R1</t>
  </si>
  <si>
    <t>XT1B 160 3P 160A 1SDA066809R1</t>
  </si>
  <si>
    <t>XT1B 160 4P 160A 1SDA066821R1</t>
  </si>
  <si>
    <t>XT1C 160 3P 016A 1SDA080825R1</t>
  </si>
  <si>
    <t>XT1C 160 4P 016A 1SDA080840R1</t>
  </si>
  <si>
    <t>XT1C 160 3P 020A 1SDA080826R1</t>
  </si>
  <si>
    <t>XT1C 160 4P 020A 1SDA080841R1</t>
  </si>
  <si>
    <t>XT1C 160 3P 025A 1SDA067391R1</t>
  </si>
  <si>
    <t>XT1C 160 4P 025A 1SDA067400R1</t>
  </si>
  <si>
    <t>XT1C 160 3P 032A 1SDA067392R1</t>
  </si>
  <si>
    <t>XT1C 160 4P 032A 1SDA067401R1</t>
  </si>
  <si>
    <t>XT1C 160 3P 040A 1SDA067393R1</t>
  </si>
  <si>
    <t>XT1C 160 4P 040A 1SDA067402R1</t>
  </si>
  <si>
    <t>XT1C 160 3P 050A 1SDA067394R1</t>
  </si>
  <si>
    <t>XT1C 160 4P 050A 1SDA067403R1</t>
  </si>
  <si>
    <t>XT1C 160 3P 063A 1SDA067395R1</t>
  </si>
  <si>
    <t>XT1C 160 4P 063A 1SDA067404R1</t>
  </si>
  <si>
    <t>XT1C 160 3P 080A 1SDA067396R1</t>
  </si>
  <si>
    <t>XT1C 160 4P 080A 1SDA067405R1</t>
  </si>
  <si>
    <t>XT1C 160 3P 100A 1SDA067397R1</t>
  </si>
  <si>
    <t>XT1C 160 4P 100A 1SDA067406R1</t>
  </si>
  <si>
    <t>XT1C 160 3P 125A 1SDA067398R1</t>
  </si>
  <si>
    <t>XT1C 160 4P 125A 1SDA067409R1</t>
  </si>
  <si>
    <t>XT1C 160 3P 160A 1SDA067399R1</t>
  </si>
  <si>
    <t>XT1C 160 4P 160A 1SDA067410R1</t>
  </si>
  <si>
    <t>XT1N 160 3P 016A 1SDA080827R1</t>
  </si>
  <si>
    <t>XT1N 160 4P 016A 1SDA080842R1</t>
  </si>
  <si>
    <t>XT1N 160 3P 020A 1SDA080828R1</t>
  </si>
  <si>
    <t>XT1N 160 4P 020A 1SDA080843R1</t>
  </si>
  <si>
    <t>XT1N 160 3P 025A 1SDA080829R1</t>
  </si>
  <si>
    <t>XT1N 160 4P 025A 1SDA080844R1</t>
  </si>
  <si>
    <t>XT1N 160 3P 032A 1SDA067411R1</t>
  </si>
  <si>
    <t>XT1N 160 4P 032A 1SDA067419R1</t>
  </si>
  <si>
    <t>XT1N 160 3P 040A 1SDA067412R1</t>
  </si>
  <si>
    <t>XT1N 160 4P 040A 1SDA067420R1</t>
  </si>
  <si>
    <t>XT1N 160 3P 050A 1SDA067413R1</t>
  </si>
  <si>
    <t>XT1N 160 4P 050A 1SDA067421R1</t>
  </si>
  <si>
    <t>XT1N 160 3P 063A 1SDA067414R1</t>
  </si>
  <si>
    <t>XT1N 160 4P 063A 1SDA067422R1</t>
  </si>
  <si>
    <t>XT1N 160 3P 080A 1SDA067415R1</t>
  </si>
  <si>
    <t>XT1N 160 4P 080A 1SDA067423R1</t>
  </si>
  <si>
    <t>XT1N 160 3P 100A 1SDA067416R1</t>
  </si>
  <si>
    <t>XT1N 160 4P 100A 1SDA067424R1</t>
  </si>
  <si>
    <t>XT1N 160 3P 125A 1SDA067417R1</t>
  </si>
  <si>
    <t>XT1N 160 4P 125A 1SDA067427R1</t>
  </si>
  <si>
    <t>XT1N 160 3P 160A 1SDA067418R1</t>
  </si>
  <si>
    <t>XT1N 160 4P 160A 1SDA067428R1</t>
  </si>
  <si>
    <t>XT2H 160 3P 016A 1SDA067594R1</t>
  </si>
  <si>
    <t>XT2H 160 4P 016A 1SDA067615R1</t>
  </si>
  <si>
    <t>XT2H 160 3P 020A 1SDA067595R1</t>
  </si>
  <si>
    <t>XT2H 160 4P 020A 1SDA067616R1</t>
  </si>
  <si>
    <t>XT2H 160 3P 025A 1SDA067596R1</t>
  </si>
  <si>
    <t>XT2H 160 4P 025A 1SDA067617R1</t>
  </si>
  <si>
    <t>XT2H 160 3P 032A 1SDA067597R1</t>
  </si>
  <si>
    <t>XT2H 160 4P 032A 1SDA067618R1</t>
  </si>
  <si>
    <t>XT2H 160 3P 040A 1SDA067598R1</t>
  </si>
  <si>
    <t>XT2H 160 4P 040A 1SDA067619R1</t>
  </si>
  <si>
    <t>XT2H 160 3P 050A 1SDA067599R1</t>
  </si>
  <si>
    <t>XT2H 160 4P 050A 1SDA067620R1</t>
  </si>
  <si>
    <t>XT2H 160 3P 063A 1SDA067600R1</t>
  </si>
  <si>
    <t>XT2H 160 4P 063A 1SDA067621R1</t>
  </si>
  <si>
    <t>XT2H 160 3P 080A 1SDA067601R1</t>
  </si>
  <si>
    <t>XT2H 160 4P 080A 1SDA067622R1</t>
  </si>
  <si>
    <t>XT2H 160 3P 100A 1SDA067602R1</t>
  </si>
  <si>
    <t>XT2H 160 4P 100A 1SDA067623R1</t>
  </si>
  <si>
    <t>XT2H 160 3P 125A 1SDA067603R1</t>
  </si>
  <si>
    <t>XT2H 160 4P 125A 1SDA067626R1</t>
  </si>
  <si>
    <t>XT2H 160 3P 160A 1SDA067604R1</t>
  </si>
  <si>
    <t>XT2H 160 4P 160A 1SDA067627R1</t>
  </si>
  <si>
    <t>XT2S 160 3P 016A 1SDA067550R1</t>
  </si>
  <si>
    <t>XT2S 160 4P 016A 1SDA067571R1</t>
  </si>
  <si>
    <t>XT2S 160 3P 020A 1SDA067551R1</t>
  </si>
  <si>
    <t>XT2S 160 4P 020A 1SDA067572R1</t>
  </si>
  <si>
    <t>XT2S 160 3P 025A 1SDA067552R1</t>
  </si>
  <si>
    <t>XT2S 160 4P 025A 1SDA067573R1</t>
  </si>
  <si>
    <t>XT2S 160 3P 032A 1SDA067553R1</t>
  </si>
  <si>
    <t>XT2S 160 4P 032A 1SDA067574R1</t>
  </si>
  <si>
    <t>XT2S 160 3P 040A 1SDA067554R1</t>
  </si>
  <si>
    <t>XT2S 160 4P 040A 1SDA067575R1</t>
  </si>
  <si>
    <t>XT2S 160 3P 050A 1SDA067555R1</t>
  </si>
  <si>
    <t>XT2S 160 4P 050A 1SDA067576R1</t>
  </si>
  <si>
    <t>XT2S 160 3P 063A 1SDA067556R1</t>
  </si>
  <si>
    <t>XT2S 160 4P 063A 1SDA067577R1</t>
  </si>
  <si>
    <t>XT2S 160 3P 080A 1SDA067557R1</t>
  </si>
  <si>
    <t>XT2S 160 4P 080A 1SDA067578R1</t>
  </si>
  <si>
    <t>XT2S 160 3P 100A 1SDA067558R1</t>
  </si>
  <si>
    <t>XT2S 160 4P 100A 1SDA067579R1</t>
  </si>
  <si>
    <t>XT2S 160 3P 125A 1SDA067559R1</t>
  </si>
  <si>
    <t>XT2S 160 4P 125A 1SDA067582R1</t>
  </si>
  <si>
    <t>XT2S 160 3P 160A 1SDA067560R1</t>
  </si>
  <si>
    <t>XT2S 160 4P 160A 1SDA067583R1</t>
  </si>
  <si>
    <t>XT4H 250 3P 200A 1SDA068343R1</t>
  </si>
  <si>
    <t>XT4H 250 4P 200A 1SDA068362R1</t>
  </si>
  <si>
    <t>XT4H 250 3P 250A 1SDA068345R1</t>
  </si>
  <si>
    <t>XT4H 250 4P 250A 1SDA068364R1</t>
  </si>
  <si>
    <t>XT4N 250 3P 200A 1SDA068090R1</t>
  </si>
  <si>
    <t>XT4N 250 4P 200A 1SDA068109R1</t>
  </si>
  <si>
    <t>XT4N 250 3P 250A 1SDA068092R1</t>
  </si>
  <si>
    <t>XT4N 250 4P 250A 1SDA068111R1</t>
  </si>
  <si>
    <t>XT4S 250 3P 200A 1SDA068310R1</t>
  </si>
  <si>
    <t>XT4S 250 4P 200A 1SDA068329R1</t>
  </si>
  <si>
    <t>XT4S 250 3P 250A 1SDA068312R1</t>
  </si>
  <si>
    <t>XT4S 250 4P 250A 1SDA068331R1</t>
  </si>
  <si>
    <t>XT5H 400 3P 400A 1SDA100490R1</t>
  </si>
  <si>
    <t>XT5H 400 4P 400A 1SDA100528R1</t>
  </si>
  <si>
    <t>XT5H 630 3P 500A 1SDA100486R1</t>
  </si>
  <si>
    <t>XT5H 630 4P 500A 1SDA100523R1</t>
  </si>
  <si>
    <t>XT5H 630 3P 630A 1SDA100491R1</t>
  </si>
  <si>
    <t>XT5H 630 4P 630A 1SDA100529R1</t>
  </si>
  <si>
    <t>XT5N 400 3P 400A 1SDA100354R1</t>
  </si>
  <si>
    <t>XT5N 400 4P 400A 1SDA100396R1</t>
  </si>
  <si>
    <t>XT5N 630 3P 500A 1SDA100346R1</t>
  </si>
  <si>
    <t>XT5N 630 4P 500A 1SDA100387R1</t>
  </si>
  <si>
    <t>XT5N 630 3P 630A 1SDA100355R1</t>
  </si>
  <si>
    <t>XT5N 630 4P 630A 1SDA100397R1</t>
  </si>
  <si>
    <t>XT5S 400 3P 400A 1SDA100424R1</t>
  </si>
  <si>
    <t>XT5S 400 4P 400A 1SDA100466R1</t>
  </si>
  <si>
    <t>XT5S 630 3P 500A 1SDA100416R1</t>
  </si>
  <si>
    <t>XT5S 630 4P 500A 1SDA100457R1</t>
  </si>
  <si>
    <t>XT5S 630 3P 630A 1SDA100425R1</t>
  </si>
  <si>
    <t>XT5S 630 4P 630A 1SDA100467R1</t>
  </si>
  <si>
    <t>XT6H 1000 3P 1000A 1SDA100764R1</t>
  </si>
  <si>
    <t>XT6H 1000 4P 1000A 1SDA100777R1</t>
  </si>
  <si>
    <t>XT6H 800 3P 800A 1SDA100763R1</t>
  </si>
  <si>
    <t>XT6H 800 4P 800A 1SDA100776R1</t>
  </si>
  <si>
    <t>XT6N 800 3P 800A 1SDA100719R1</t>
  </si>
  <si>
    <t>XT6N 800 4P 800A 1SDA100732R1</t>
  </si>
  <si>
    <t>XT6S 1000 3P 1000A 1SDA100742R1</t>
  </si>
  <si>
    <t>XT6S 1000 4P 1000A 1SDA100755R1</t>
  </si>
  <si>
    <t>XT6S 800 3P 800A 1SDA100741R1</t>
  </si>
  <si>
    <t>XT6S 800 4P 800A 1SDA100754R1</t>
  </si>
  <si>
    <t>XT7H 1250 3P 1250A 1SDA100892R1</t>
  </si>
  <si>
    <t>XT7H 1250 4P 1250A 1SDA101172R1</t>
  </si>
  <si>
    <t>XT7H 1600 3P 1600A 1SDA100893R1</t>
  </si>
  <si>
    <t>XT7H 1600 4P 1600A 1SDA101173R1</t>
  </si>
  <si>
    <t>XT7S 1250 3P 1250A 1SDA100828R1</t>
  </si>
  <si>
    <t>XT7S 1250 4P 1250A 1SDA101116R1</t>
  </si>
  <si>
    <t>XT7S 1600 3P 1600A 1SDA100829R1</t>
  </si>
  <si>
    <t>XT7S 1600 4P 1600A 1SDA101117R1</t>
  </si>
  <si>
    <t>Compulsory add-on terminals for Tmax MCCB, 3P, 1000A</t>
  </si>
  <si>
    <t>S201-C40 2CDS251001R0404</t>
  </si>
  <si>
    <t>FN3470-400-99-E0XXJXX</t>
  </si>
  <si>
    <t>Passive Harmonic Filter for 400kW VSD</t>
  </si>
  <si>
    <t>SCHAFFNER</t>
  </si>
  <si>
    <t>FN3440-250-119-E0XXSXX</t>
  </si>
  <si>
    <t>Passive Harmonic Filter for 220kW VSD</t>
  </si>
  <si>
    <t>FN3440-75-116-E0XXJRX</t>
  </si>
  <si>
    <t>Passive Harmonic Filter for 75Kw VSD</t>
  </si>
  <si>
    <t>FN3440-45-115-E0XXJRX</t>
  </si>
  <si>
    <t>Passive Harmonic Filter for 45kW VSD</t>
  </si>
  <si>
    <t>FN3440-37-115-E0XXJRX</t>
  </si>
  <si>
    <t>Passive Harmonic Filter for 37kW VSD</t>
  </si>
  <si>
    <t>FN3440-30-115-E0XXJRX</t>
  </si>
  <si>
    <t>Passive Harmonic Filter for 30kW VSD</t>
  </si>
  <si>
    <t>FN3440-22-115-E0XXJRX</t>
  </si>
  <si>
    <t>Passive Harmonic Filter for 22kW VSD</t>
  </si>
  <si>
    <t>FN3440-15-113-E0XXJRX</t>
  </si>
  <si>
    <t>Passive Harmonic Filter for 15kW VSD</t>
  </si>
  <si>
    <t>FN3440-4-112-E0XXJRX</t>
  </si>
  <si>
    <t>Passive Harmonic Filter for 4kW VSD</t>
  </si>
  <si>
    <t>-</t>
  </si>
  <si>
    <t>NM8N-125Q 20A</t>
  </si>
  <si>
    <t>NM8N-125Q 25A</t>
  </si>
  <si>
    <t>NM8N-125Q 32A</t>
  </si>
  <si>
    <t>NM8N-125Q 40A</t>
  </si>
  <si>
    <t>NM8N-125Q 100A</t>
  </si>
  <si>
    <t>NM8N-125Q 80A</t>
  </si>
  <si>
    <t>NM8N-125Q/4C 20A</t>
  </si>
  <si>
    <t>NM8N-125Q/4C 32A</t>
  </si>
  <si>
    <t>NM8N-125Q/4C 40A</t>
  </si>
  <si>
    <t>NM8N-125Q/4C 63A</t>
  </si>
  <si>
    <t>NM8N-125Q/4C 80A</t>
  </si>
  <si>
    <t>NM8N-125Q/4C 100A</t>
  </si>
  <si>
    <t>NM8N-125Q/4C-125A</t>
  </si>
  <si>
    <t>NM8N-125Q 63A</t>
  </si>
  <si>
    <t>NM8N-250Q 160A</t>
  </si>
  <si>
    <t>NM8N-250Q 200A</t>
  </si>
  <si>
    <t>NM8N-250Q 250A</t>
  </si>
  <si>
    <t>NM8N-250Q/4C 160A</t>
  </si>
  <si>
    <t>NM8N-250Q/4C 200A</t>
  </si>
  <si>
    <t>NM8N-250Q/4C 250A</t>
  </si>
  <si>
    <t>NM8N-400Q 315A</t>
  </si>
  <si>
    <t>315A 3P 70kA MCCB</t>
  </si>
  <si>
    <t>NM8N-400Q 400A</t>
  </si>
  <si>
    <t>NM8N-630Q 500A</t>
  </si>
  <si>
    <t>NM8N-800Q 630A</t>
  </si>
  <si>
    <t>NM8N-800Q 800A</t>
  </si>
  <si>
    <t>NM8N-1600Q 1000A</t>
  </si>
  <si>
    <t>NM8N-400Q/4C 315A</t>
  </si>
  <si>
    <t>NM8N-400Q/4C 400A</t>
  </si>
  <si>
    <t>NM8N-630Q/4C 500A</t>
  </si>
  <si>
    <t>NM8N-800Q/4C 630A</t>
  </si>
  <si>
    <t>NM8N-800Q/4C 800A</t>
  </si>
  <si>
    <t>NM8N-1600Q/4C 1000A</t>
  </si>
  <si>
    <t>315A 4P 70kA MCCB</t>
  </si>
  <si>
    <t>NM8N-1600Q/4C 1250A</t>
  </si>
  <si>
    <t>NM8N-1600Q 1600A</t>
  </si>
  <si>
    <t>NM8N-1600Q/4C 1600A</t>
  </si>
  <si>
    <t>NM8N-125Q/4C 25A</t>
  </si>
  <si>
    <t>NM8N-1600Q 1250A</t>
  </si>
  <si>
    <t>CEA563D</t>
  </si>
  <si>
    <t>63A 2P 100mA TYPE A ELCB</t>
  </si>
  <si>
    <t>HAGER</t>
  </si>
  <si>
    <t>CDA563D</t>
  </si>
  <si>
    <t>63A 2P 30mA TYPE A ELCB</t>
  </si>
  <si>
    <t>SH201L-B6 2CDS241001R0065</t>
  </si>
  <si>
    <t>6A 1P 4.5kA(IEC 60898) B CURVE MCB</t>
  </si>
  <si>
    <t>SH201L-B10 2CDS241001R0105</t>
  </si>
  <si>
    <t>10A 1P 4.5kA (IEC 60898) B CURVE MCB</t>
  </si>
  <si>
    <t>16A 1P 4.5kA (IEC 60898) B CURVE MCB</t>
  </si>
  <si>
    <t>20A 1P 4.5kA (IEC 60898) B CURVE MCB</t>
  </si>
  <si>
    <t>25A 1P 4.5kA (IEC 60898) B CURVE MCB</t>
  </si>
  <si>
    <t>32A 1P 4.5kA (IEC 60898) B CURVE MCB</t>
  </si>
  <si>
    <t>40A 1P 4.5kA (IEC 60898) B CURVE MCB</t>
  </si>
  <si>
    <t>SH201L-B16 2CD5241001R0165</t>
  </si>
  <si>
    <t>SH201L-B20 2CDS241001R0205</t>
  </si>
  <si>
    <t>SH201L-B25 2CDS241001R0255</t>
  </si>
  <si>
    <t>SH201L-B32 2CDS241001R0325</t>
  </si>
  <si>
    <t>SH201L-B40 2CDS241001R0405</t>
  </si>
  <si>
    <t>6A 2P 4.5kA(IEC 60898) B CURVE MCB</t>
  </si>
  <si>
    <t>10A 2P 4.5kA (IEC 60898) B CURVE MCB</t>
  </si>
  <si>
    <t>16A 2P 4.5kA (IEC 60898) B CURVE MCB</t>
  </si>
  <si>
    <t>20A 2P 4.5kA (IEC 60898) B CURVE MCB</t>
  </si>
  <si>
    <t>25A 2P 4.5kA (IEC 60898) B CURVE MCB</t>
  </si>
  <si>
    <t>32A 2P 4.5kA (IEC 60898) B CURVE MCB</t>
  </si>
  <si>
    <t>40A 2P 4.5kA (IEC 60898) B CURVE MCB</t>
  </si>
  <si>
    <t>SH202L-B6 2CDS242001R0065</t>
  </si>
  <si>
    <t>SH202L-B10 2CDS242001R0105</t>
  </si>
  <si>
    <t>SH202L-B16 2CDS242001R0165</t>
  </si>
  <si>
    <t>SH202L-B20 2CDS242001R0205</t>
  </si>
  <si>
    <t>SH202L-B25 2CDS242001R0255</t>
  </si>
  <si>
    <t>SH202L-B32 2CDS242001R0325</t>
  </si>
  <si>
    <t>SH202L-B40 2CDS242001R0405</t>
  </si>
  <si>
    <t>6A 3P 4.5kA(IEC 60898) B CURVE MCB</t>
  </si>
  <si>
    <t>10A 3P 4.5kA (IEC 60898) B CURVE MCB</t>
  </si>
  <si>
    <t>16A 3P 4.5kA (IEC 60898) B CURVE MCB</t>
  </si>
  <si>
    <t>20A 3P 4.5kA (IEC 60898) B CURVE MCB</t>
  </si>
  <si>
    <t>25A 3P 4.5kA (IEC 60898) B CURVE MCB</t>
  </si>
  <si>
    <t>32A 3P 4.5kA (IEC 60898) B CURVE MCB</t>
  </si>
  <si>
    <t>40A 3P 4.5kA (IEC 60898) B CURVE MCB</t>
  </si>
  <si>
    <t>SH203L-B6 2CDS243001R0065</t>
  </si>
  <si>
    <t>SH203L-B10 2CDS243001R0105</t>
  </si>
  <si>
    <t>SH203L-B16 2CDS243001R0165</t>
  </si>
  <si>
    <t>SH203L-B20 2CDS243001R0205</t>
  </si>
  <si>
    <t>SH203L-B25 2CDS243001R0255</t>
  </si>
  <si>
    <t>SH203L-B32 2CDS243001R0325</t>
  </si>
  <si>
    <t>SH203L-B40 2CDS243001R0405</t>
  </si>
  <si>
    <t>6A 1P 6kA(IEC 60898) B CURVE MCB</t>
  </si>
  <si>
    <t>10A 1P 6kA (IEC 60898) B CURVE MCB</t>
  </si>
  <si>
    <t>16A 1P 6kA (IEC 60898) B CURVE MCB</t>
  </si>
  <si>
    <t>20A 1P 6kA (IEC 60898) B CURVE MCB</t>
  </si>
  <si>
    <t>25A 1P 6kA (IEC 60898) B CURVE MCB</t>
  </si>
  <si>
    <t>32A 1P 6kA (IEC 60898) B CURVE MCB</t>
  </si>
  <si>
    <t>40A 1P 6kA (IEC 60898) B CURVE MCB</t>
  </si>
  <si>
    <t>50A 1P 6kA (IEC 60898) B CURVE MCB</t>
  </si>
  <si>
    <t>63A 1P 6kA (IEC 60898) B CURVE MCB</t>
  </si>
  <si>
    <t>SH201-B6 2CDS211001R0065</t>
  </si>
  <si>
    <t>SH201-B10 2CDS211001R0105</t>
  </si>
  <si>
    <t>SH201-B16 2CDS211001R0165</t>
  </si>
  <si>
    <t>SH201-B20 2CDS211001R0205</t>
  </si>
  <si>
    <t>SH201-B25 2CDS211001R0255</t>
  </si>
  <si>
    <t>SH201-B32 2CDS211001R0325</t>
  </si>
  <si>
    <t>SH201-B40 2CDS211001R0405</t>
  </si>
  <si>
    <t>SH201-B50 2CDS211001R0505</t>
  </si>
  <si>
    <t>SH201-B63 2CDS211001R0635</t>
  </si>
  <si>
    <t>10A 2P 6kA (IEC 60898) B CURVE MCB</t>
  </si>
  <si>
    <t>6A 2P 6kA(IEC 60898) B CURVE MCB</t>
  </si>
  <si>
    <t>16A 2P 6kA (IEC 60898) B CURVE MCB</t>
  </si>
  <si>
    <t>20A 2P 6kA (IEC 60898) B CURVE MCB</t>
  </si>
  <si>
    <t>25A 2P 6kA (IEC 60898) B CURVE MCB</t>
  </si>
  <si>
    <t>32A 2P 6kA (IEC 60898) B CURVE MCB</t>
  </si>
  <si>
    <t>40A 2P 6kA (IEC 60898) B CURVE MCB</t>
  </si>
  <si>
    <t>50A 2P 6kA (IEC 60898) B CURVE MCB</t>
  </si>
  <si>
    <t>63A 2P 6kA (IEC 60898) B CURVE MCB</t>
  </si>
  <si>
    <t>10A 3P 6kA (IEC 60898) B CURVE MCB</t>
  </si>
  <si>
    <t>16A 3P 6kA (IEC 60898) B CURVE MCB</t>
  </si>
  <si>
    <t>20A 3P 6kA (IEC 60898) B CURVE MCB</t>
  </si>
  <si>
    <t>25A 3P 6kA (IEC 60898) B CURVE MCB</t>
  </si>
  <si>
    <t>32A 3P 6kA (IEC 60898) B CURVE MCB</t>
  </si>
  <si>
    <t>40A 3P 6kA (IEC 60898) B CURVE MCB</t>
  </si>
  <si>
    <t>50A 3P 6kA (IEC 60898) B CURVE MCB</t>
  </si>
  <si>
    <t>63A 3P 6kA (IEC 60898) B CURVE MCB</t>
  </si>
  <si>
    <t>6A 3P 6kA(IEC 60898) B CURVE MCB</t>
  </si>
  <si>
    <t>SH202-B6 2CDS212001R0065</t>
  </si>
  <si>
    <t>SH202-B10 2CDS212001R0105</t>
  </si>
  <si>
    <t>SH202-B16 2CDS212001R0165</t>
  </si>
  <si>
    <t>SH202-B20 2CDS212001R0205</t>
  </si>
  <si>
    <t>SH202-B25 2CDS212001R0255</t>
  </si>
  <si>
    <t>SH202-B32 2CDS212001R0325</t>
  </si>
  <si>
    <t>SH202-B40 2CDS212001R0405</t>
  </si>
  <si>
    <t>SH202-B50 2CDS212001R0505</t>
  </si>
  <si>
    <t>SH202-B63 2CDS212001R0635</t>
  </si>
  <si>
    <t>SH203-B6 2CDS213001R0065</t>
  </si>
  <si>
    <t>SH203-B10 2CDS213001R0105</t>
  </si>
  <si>
    <t>SH203-B16 2CDS213001R0165</t>
  </si>
  <si>
    <t>SH203-B20 2CDS213001R0205</t>
  </si>
  <si>
    <t>SH203-B25 2CDS213001R0255</t>
  </si>
  <si>
    <t>SH203-B32 2CDS213001R0325</t>
  </si>
  <si>
    <t>SH203-B40 2CDS213001R0405</t>
  </si>
  <si>
    <t>SH203-B50 2CDS213001R0505</t>
  </si>
  <si>
    <t>SH203-B63 2CDS213001R0635</t>
  </si>
  <si>
    <t>6A 1P 6kA(IEC 60898) 10kA (IEC 60947-2)B CURVE MCB</t>
  </si>
  <si>
    <t>10A 1P 6kA(IEC 60898) 10kA (IEC 60947-2) B CURVE MCB</t>
  </si>
  <si>
    <t>16A 1P 6kA(IEC 60898) 10kA (IEC 60947-2) B CURVE MCB</t>
  </si>
  <si>
    <t>20A 1P 6kA(IEC 60898) 10kA (IEC 60947-2) B CURVE MCB</t>
  </si>
  <si>
    <t>32A 1P 6kA(IEC 60898) 10kA (IEC 60947-2) B CURVE MCB</t>
  </si>
  <si>
    <t>40A 1P 6kA(IEC 60898) 10kA (IEC 60947-2) B CURVE MCB</t>
  </si>
  <si>
    <t>50A 1P 6kA(IEC 60898) 10kA (IEC 60947-2) B CURVE MCB</t>
  </si>
  <si>
    <t>63A 1P 6kA(IEC 60898) 10kA (IEC 60947-2) B CURVE MCB</t>
  </si>
  <si>
    <t>S201-B6 2CDS251001R0065</t>
  </si>
  <si>
    <t>S201-B10 2CDS251001R0105</t>
  </si>
  <si>
    <t>S201-B16 2CDS251001R0165</t>
  </si>
  <si>
    <t>S201-B20 2CDS251001R0205</t>
  </si>
  <si>
    <t>S201-B25 2CDS251001R0255</t>
  </si>
  <si>
    <t>S201-B32 2CDS251001R0325</t>
  </si>
  <si>
    <t>S201-B40 2CDS251001R0405</t>
  </si>
  <si>
    <t>S201-B50 2CDS251001R0505</t>
  </si>
  <si>
    <t>S201-B63 2CDS251001R0635</t>
  </si>
  <si>
    <t>6A 2P 6kA(IEC 60898) 10kA (IEC 60947-2)B CURVE MCB</t>
  </si>
  <si>
    <t>10A 2P 6kA(IEC 60898) 10kA (IEC 60947-2) B CURVE MCB</t>
  </si>
  <si>
    <t>16A 2P 6kA(IEC 60898) 10kA (IEC 60947-2) B CURVE MCB</t>
  </si>
  <si>
    <t>20A 2P 6kA(IEC 60898) 10kA (IEC 60947-2) B CURVE MCB</t>
  </si>
  <si>
    <t>32A 2P 6kA(IEC 60898) 10kA (IEC 60947-2) B CURVE MCB</t>
  </si>
  <si>
    <t>40A 2P 6kA(IEC 60898) 10kA (IEC 60947-2) B CURVE MCB</t>
  </si>
  <si>
    <t>50A 2P 6kA(IEC 60898) 10kA (IEC 60947-2) B CURVE MCB</t>
  </si>
  <si>
    <t>63A 2P 6kA(IEC 60898) 10kA (IEC 60947-2) B CURVE MCB</t>
  </si>
  <si>
    <t>S202-B6 2CDS252001R0065</t>
  </si>
  <si>
    <t>S202-B10 2CDS252001R0105</t>
  </si>
  <si>
    <t>S202-B16 2CDS252001R0165</t>
  </si>
  <si>
    <t>S202-B20 2CDS252001R0205</t>
  </si>
  <si>
    <t>S202-B25 2CDS252001R0255</t>
  </si>
  <si>
    <t>S202-B32 2CDS252001R0325</t>
  </si>
  <si>
    <t>S202-B40 2CDS252001R0405</t>
  </si>
  <si>
    <t>S202-B50 2CDS252001R0505</t>
  </si>
  <si>
    <t>S202-B63 2CDS252001R0635</t>
  </si>
  <si>
    <t>S203-B6 2CDS253001R0065</t>
  </si>
  <si>
    <t>S203-B10 2CDS253001R0105</t>
  </si>
  <si>
    <t>S203-B16 2CDS253001R0165</t>
  </si>
  <si>
    <t>S203-B20 2CDS253001R0205</t>
  </si>
  <si>
    <t>S203-B25 2CDS253001R0255</t>
  </si>
  <si>
    <t>S203-B32 2CDS253001R0325</t>
  </si>
  <si>
    <t>S203-B40 2CDS253001R0405</t>
  </si>
  <si>
    <t>S203-B50 2CDS253001R0505</t>
  </si>
  <si>
    <t>S203-B63 2CDS253001R0635</t>
  </si>
  <si>
    <t>6A 3P 6kA(IEC 60898) 10kA (IEC 60947-2)B CURVE MCB</t>
  </si>
  <si>
    <t>10A 3P 6kA(IEC 60898) 10kA (IEC 60947-2) B CURVE MCB</t>
  </si>
  <si>
    <t>16A 3P 6kA(IEC 60898) 10kA (IEC 60947-2) B CURVE MCB</t>
  </si>
  <si>
    <t>20A 3P 6kA(IEC 60898) 10kA (IEC 60947-2) B CURVE MCB</t>
  </si>
  <si>
    <t>32A 3P 6kA(IEC 60898) 10kA (IEC 60947-2) B CURVE MCB</t>
  </si>
  <si>
    <t>40A 3P 6kA(IEC 60898) 10kA (IEC 60947-2) B CURVE MCB</t>
  </si>
  <si>
    <t>50A 3P 6kA(IEC 60898) 10kA (IEC 60947-2) B CURVE MCB</t>
  </si>
  <si>
    <t>63A 3P 6kA(IEC 60898) 10kA (IEC 60947-2) B CURVE MCB</t>
  </si>
  <si>
    <t>6A 4P 6kA(IEC 60898) 10kA (IEC 60947-2)B CURVE MCB</t>
  </si>
  <si>
    <t>10A 4P 6kA(IEC 60898) 10kA (IEC 60947-2) B CURVE MCB</t>
  </si>
  <si>
    <t>16A 4P 6kA(IEC 60898) 10kA (IEC 60947-2) B CURVE MCB</t>
  </si>
  <si>
    <t>20A 4P 6kA(IEC 60898) 10kA (IEC 60947-2) B CURVE MCB</t>
  </si>
  <si>
    <t>32A 4P 6kA(IEC 60898) 10kA (IEC 60947-2) B CURVE MCB</t>
  </si>
  <si>
    <t>40A 4P 6kA(IEC 60898) 10kA (IEC 60947-2) B CURVE MCB</t>
  </si>
  <si>
    <t>50A 4P 6kA(IEC 60898) 10kA (IEC 60947-2) B CURVE MCB</t>
  </si>
  <si>
    <t>63A 4P 6kA(IEC 60898) 10kA (IEC 60947-2) B CURVE MCB</t>
  </si>
  <si>
    <t>S204-B6 2CDS254001R0065</t>
  </si>
  <si>
    <t>S204-B10 2CDS254001R0105</t>
  </si>
  <si>
    <t>S204-B16 2CDS254001R0165</t>
  </si>
  <si>
    <t>S204-B20 2CDS254001R0205</t>
  </si>
  <si>
    <t>S204-B25 2CDS254001R0255</t>
  </si>
  <si>
    <t>S204-B32 2CDS254001R0325</t>
  </si>
  <si>
    <t>S204-B40 2CDS254001R0405</t>
  </si>
  <si>
    <t>S204-B50 2CDS254001R0505</t>
  </si>
  <si>
    <t>S204-B63 2CDS254001R0635</t>
  </si>
  <si>
    <t>6A 4P 10kA(IEC 60898) 15kA (IEC 60947-2) MCB</t>
  </si>
  <si>
    <t>10A 4P 10kA(IEC 60898) 15kA (IEC 60947-2) MCB</t>
  </si>
  <si>
    <t>25A 4P 6kA(IEC 60898) 10kA (IEC 60947-2) B CURVE MCB</t>
  </si>
  <si>
    <t>25A 3P 6kA(IEC 60898) 10kA (IEC 60947-2) B CURVE MCB</t>
  </si>
  <si>
    <t>25A 2P 6kA(IEC 60898) 10kA (IEC 60947-2) B CURVE MCB</t>
  </si>
  <si>
    <t>25A 1P 6kA(IEC 60898) 10kA (IEC 60947-2) B CURVE MCB</t>
  </si>
  <si>
    <t>16A 4P 10kA(IEC 60898) 15kA (IEC 60947-2) MCB</t>
  </si>
  <si>
    <t>20A 4P 10kA(IEC 60898) 15kA (IEC 60947-2) MCB</t>
  </si>
  <si>
    <t>25A 4P 10kA(IEC 60898) 15kA (IEC 60947-2) MCB</t>
  </si>
  <si>
    <t>32A 4P 10kA(IEC 60898) 15kA (IEC 60947-2) MCB</t>
  </si>
  <si>
    <t>40A 4P 10kA(IEC 60898) 15kA (IEC 60947-2) MCB</t>
  </si>
  <si>
    <t>50A 4P 10kA(IEC 60898) 15kA (IEC 60947-2) MCB</t>
  </si>
  <si>
    <t>63A 4P 10kA(IEC 60898) 15kA (IEC 60947-2) MCB</t>
  </si>
  <si>
    <t>S204M-C6 2CDS274001R0064</t>
  </si>
  <si>
    <t>S204M-C10 2CDS274001R0104</t>
  </si>
  <si>
    <t>S204MN-C16 2CDS274001R0164</t>
  </si>
  <si>
    <t>S204M-C20 2CDS274001R0204</t>
  </si>
  <si>
    <t>S204M-C25 2CDS274001R0254</t>
  </si>
  <si>
    <t>S204M-C32 2CDS274001R0324</t>
  </si>
  <si>
    <t>S204M-C40 2CDS274001R0404</t>
  </si>
  <si>
    <t>S204M-C50 2CDS274001R0504</t>
  </si>
  <si>
    <t>S204M-C63 2CDS274001R0634</t>
  </si>
  <si>
    <t>FH202 AC-25/0.03</t>
  </si>
  <si>
    <t>FH202 AC-25/0.1</t>
  </si>
  <si>
    <t>FH202 AC-25/0.3</t>
  </si>
  <si>
    <t>FH202 AC-40/0.03</t>
  </si>
  <si>
    <t>FH202 AC-40/0.1</t>
  </si>
  <si>
    <t>FH202 AC-40/0.3</t>
  </si>
  <si>
    <t>FH202 AC-63/0.03</t>
  </si>
  <si>
    <t>FH202 AC-63/0.1</t>
  </si>
  <si>
    <t>FH202 AC-63/0.3</t>
  </si>
  <si>
    <t>FH204 AC-25/0.03</t>
  </si>
  <si>
    <t>FH204 AC-25/0.1</t>
  </si>
  <si>
    <t>FH204 AC-25/0.3</t>
  </si>
  <si>
    <t>FH204 AC-40/0.03</t>
  </si>
  <si>
    <t>FH204 AC-40/0.1</t>
  </si>
  <si>
    <t>FH204 AC-40/0.3</t>
  </si>
  <si>
    <t>FH204 AC-63/0.03</t>
  </si>
  <si>
    <t>FH204 AC-63/0.1</t>
  </si>
  <si>
    <t>FH204 AC-63/0.3</t>
  </si>
  <si>
    <t>F202 AC-100/0.03</t>
  </si>
  <si>
    <t>F202 AC-100/0.1</t>
  </si>
  <si>
    <t>F202 AC-100/0.3</t>
  </si>
  <si>
    <t>F202 AC-100/0.5</t>
  </si>
  <si>
    <t>F202 AC-25/0.01</t>
  </si>
  <si>
    <t>F202 AC-25/0.03</t>
  </si>
  <si>
    <t>F202 AC-25/0.1</t>
  </si>
  <si>
    <t>F202 AC-25/0.3</t>
  </si>
  <si>
    <t>F202 AC-40/0.03</t>
  </si>
  <si>
    <t>F202 AC-40/0.1</t>
  </si>
  <si>
    <t>F202 AC-40/0.3</t>
  </si>
  <si>
    <t>F202 AC-63/0.03</t>
  </si>
  <si>
    <t>F202 AC-63/0.1</t>
  </si>
  <si>
    <t>F202 AC-63/0.3</t>
  </si>
  <si>
    <t>F202 AC-80/0.03</t>
  </si>
  <si>
    <t>F202 AC-80/0.1</t>
  </si>
  <si>
    <t>F202 AC-80/0.3</t>
  </si>
  <si>
    <t>F202 AC-80/0.5</t>
  </si>
  <si>
    <t>F204 AC-100/0.03</t>
  </si>
  <si>
    <t>F204 AC-100/0.1</t>
  </si>
  <si>
    <t>F204 AC-100/0.3</t>
  </si>
  <si>
    <t>F204 AC-100/0.5</t>
  </si>
  <si>
    <t>F204 AC-25/0.03</t>
  </si>
  <si>
    <t>F204 AC-25/0.1</t>
  </si>
  <si>
    <t>F204 AC-25/0.3</t>
  </si>
  <si>
    <t>F204 AC-40/0.03</t>
  </si>
  <si>
    <t>F204 AC-40/0.1</t>
  </si>
  <si>
    <t>F204 AC-40/0.3</t>
  </si>
  <si>
    <t>F204 AC-63/0.03</t>
  </si>
  <si>
    <t>F204 AC-63/0.1</t>
  </si>
  <si>
    <t>F204 AC-63/0.3</t>
  </si>
  <si>
    <t>F204 AC-80/0.03</t>
  </si>
  <si>
    <t>F204 AC-80/0.1</t>
  </si>
  <si>
    <t>F204 AC-80/0.3</t>
  </si>
  <si>
    <t>F204 AC-80/0.5</t>
  </si>
  <si>
    <t>F202 A-40/0.03</t>
  </si>
  <si>
    <t>F202 A-40/0.1</t>
  </si>
  <si>
    <t>F204 AC-125/0.03</t>
  </si>
  <si>
    <t>125A 4P 30mA ELCB</t>
  </si>
  <si>
    <t>F204 AC-125/0.1</t>
  </si>
  <si>
    <t>125A 4P 100mA ELCB</t>
  </si>
  <si>
    <t>F204 AC-125/0.3</t>
  </si>
  <si>
    <t>125A 4P 300mA ELCB</t>
  </si>
  <si>
    <t>F204 AC-125/0.5</t>
  </si>
  <si>
    <t>125A 4P 500mA ELCB</t>
  </si>
  <si>
    <t>DS201 C10 AC100 2CSR255080R2104</t>
  </si>
  <si>
    <t>DS201 C10 AC30 2CSR255080R1104</t>
  </si>
  <si>
    <t>DS201 C10 AC300 2CSR255080R3104</t>
  </si>
  <si>
    <t>DS201 C13 AC100 2CSR255080R2134</t>
  </si>
  <si>
    <t>DS201 C13 AC30 2CSR255080R1134</t>
  </si>
  <si>
    <t>DS201 C13 AC300 2CSR255080R3134</t>
  </si>
  <si>
    <t>DS201 C16 AC100 2CSR255080R2164</t>
  </si>
  <si>
    <t>DS201 C16 AC30 2CSR255080R1164</t>
  </si>
  <si>
    <t>DS201 C16 AC300 2CSR255080R3164</t>
  </si>
  <si>
    <t>DS201 C20 AC100 2CSR255080R2204</t>
  </si>
  <si>
    <t>DS201 C20 AC30 2CSR255080R1204</t>
  </si>
  <si>
    <t>DS201 C20 AC300 2CSR255080R3204</t>
  </si>
  <si>
    <t>DS201 C25 AC100 2CSR255080R2254</t>
  </si>
  <si>
    <t>DS201 C25 AC30 2CSR255080R1254</t>
  </si>
  <si>
    <t>DS201 C25 AC300 2CSR255080R3254</t>
  </si>
  <si>
    <t>DS201 C32 AC100 2CSR255080R2324</t>
  </si>
  <si>
    <t>DS201 C32 AC30 2CSR255080R1324</t>
  </si>
  <si>
    <t>DS201 C32 AC300 2CSR255080R3324</t>
  </si>
  <si>
    <t>DS201 C40 AC100 2CSR255080R2404</t>
  </si>
  <si>
    <t>DS201 C40 AC30 2CSR255080R1404</t>
  </si>
  <si>
    <t>DS201 C40 AC300 2CSR255080R3404</t>
  </si>
  <si>
    <t>DS201 C6 AC100 2CSR255080R2064</t>
  </si>
  <si>
    <t>DS201 C6 AC30 2CSR255080R1064</t>
  </si>
  <si>
    <t>DS201 C6 AC300 2CSR255080R3064</t>
  </si>
  <si>
    <t>XB5AA21</t>
  </si>
  <si>
    <t>B-TYPE MG21</t>
  </si>
  <si>
    <t>KEY SELECTOR ON/OFF METAL TYPE (1 NO)</t>
  </si>
  <si>
    <t>253-PVEW-RRBX-C7-EC</t>
  </si>
  <si>
    <t>CROMPTON</t>
  </si>
  <si>
    <t>3 PHASE DIGITAL VOLTAGE RELAY 240V</t>
  </si>
  <si>
    <t>Voltage Relay</t>
  </si>
  <si>
    <t>256-PAR 415V 50HZ</t>
  </si>
  <si>
    <t>415V 50HZ 3-PHASE 3-WIRE REVERSE POWER RELAY</t>
  </si>
  <si>
    <t>Reverse Power Relay</t>
  </si>
  <si>
    <t>MEM34LS</t>
  </si>
  <si>
    <t>Electronic Energy Meter kWh</t>
  </si>
  <si>
    <t>FP</t>
  </si>
  <si>
    <t>FP 900x600x300 EG1.6</t>
  </si>
  <si>
    <t>TK FP</t>
  </si>
  <si>
    <t>FP 900x600x300 EG2.0</t>
  </si>
  <si>
    <r>
      <t xml:space="preserve">FP, </t>
    </r>
    <r>
      <rPr>
        <b/>
        <sz val="11"/>
        <color rgb="FF00B0F0"/>
        <rFont val="Calibri"/>
        <family val="2"/>
        <scheme val="minor"/>
      </rPr>
      <t>1.6mm THICK</t>
    </r>
    <r>
      <rPr>
        <sz val="11"/>
        <color theme="1"/>
        <rFont val="Calibri"/>
        <family val="2"/>
        <scheme val="minor"/>
      </rPr>
      <t xml:space="preserve">
900x600x300</t>
    </r>
  </si>
  <si>
    <r>
      <t xml:space="preserve">FP, </t>
    </r>
    <r>
      <rPr>
        <b/>
        <sz val="11"/>
        <color rgb="FFFF0000"/>
        <rFont val="Calibri"/>
        <family val="2"/>
        <scheme val="minor"/>
      </rPr>
      <t>2.0mm THICK</t>
    </r>
    <r>
      <rPr>
        <sz val="11"/>
        <color theme="1"/>
        <rFont val="Calibri"/>
        <family val="2"/>
        <scheme val="minor"/>
      </rPr>
      <t xml:space="preserve">
900x600x300</t>
    </r>
  </si>
  <si>
    <t>CEA640D</t>
  </si>
  <si>
    <t>40A 4P 100mA TYPE A ELCB</t>
  </si>
  <si>
    <t>A2N 250 2P 125A 1SDA066542R1</t>
  </si>
  <si>
    <t>A2N 250 4P 125A 1SDA066793R1</t>
  </si>
  <si>
    <t>A2N 250 4P 160A 1SDA066794R1</t>
  </si>
  <si>
    <t>A2N 250 4P 200A 1SDA066796R1</t>
  </si>
  <si>
    <t>A2N 250 4P 250A 1SDA066798R1</t>
  </si>
  <si>
    <t>A3N 400 4P 320A 1SDA066568R1</t>
  </si>
  <si>
    <t>A3N 400 4P 400A 1SDA066569R1</t>
  </si>
  <si>
    <t>A3N 630 4P 500A 1SDA066572R1</t>
  </si>
  <si>
    <t>A3N 630 4P 630A 1SDA066574R1</t>
  </si>
  <si>
    <t>XT5S 400 4P 320A 1SDA100465R1</t>
  </si>
  <si>
    <t>XT5S 400 3P 320A 1SDA100423R1</t>
  </si>
  <si>
    <t>XT5N 400 3P 320A 1SDA100353R1</t>
  </si>
  <si>
    <t>XT5N 400 4P 320A 1SDA100395R1</t>
  </si>
  <si>
    <t>XT5H 400 3P 320A 1SDA100489R1</t>
  </si>
  <si>
    <t>XT5H 400 4P 320A 1SDA100527R1</t>
  </si>
  <si>
    <t>A9N61500</t>
  </si>
  <si>
    <t>0.5A 1P 10kA (220V), C CURVE, DC BREAKER</t>
  </si>
  <si>
    <t>1A 1P 10kA (220V), C CURVE, DC BREAKER</t>
  </si>
  <si>
    <t>A9N61501</t>
  </si>
  <si>
    <t>A9N61502</t>
  </si>
  <si>
    <t>A9N61503</t>
  </si>
  <si>
    <t>A9N61504</t>
  </si>
  <si>
    <t>A9N61505</t>
  </si>
  <si>
    <t>2A 1P 10kA (220V), C CURVE, DC 3REAKER</t>
  </si>
  <si>
    <t>4A 1P 10kA (220V), C CURVE, DC BREAKER</t>
  </si>
  <si>
    <t>5A 1P 10kA (220V), C CURVE, DC BREAKER</t>
  </si>
  <si>
    <t>A9N61506</t>
  </si>
  <si>
    <t>A9N61508</t>
  </si>
  <si>
    <t>A9N61509</t>
  </si>
  <si>
    <t>A9N61510</t>
  </si>
  <si>
    <t>A9N61511</t>
  </si>
  <si>
    <t>A9N61512</t>
  </si>
  <si>
    <t>A9N61513</t>
  </si>
  <si>
    <t>A9N61514</t>
  </si>
  <si>
    <t>A9N61515</t>
  </si>
  <si>
    <t>A9N61517</t>
  </si>
  <si>
    <t>A9N61518</t>
  </si>
  <si>
    <t>A9N61519</t>
  </si>
  <si>
    <t>6A 1P 10kA (220V), C CURVE, DC BREAKER</t>
  </si>
  <si>
    <t>10A 1P 10kA (220V), C CURVE, DC BREAKER</t>
  </si>
  <si>
    <t>13A 1P 10kA (220V), C CURVE, DC BREAKER</t>
  </si>
  <si>
    <t>15A 1P 10kA (220V), C CURVE, DC BREAKER</t>
  </si>
  <si>
    <t>16A 1P 10kA (220V), C CURVE, DC BREAKER</t>
  </si>
  <si>
    <t>20A 1P 10kA (220V), C CURVE, DC BREAKER</t>
  </si>
  <si>
    <t>25A 1P 10kA (220V), C CURVE, DC BREAKER</t>
  </si>
  <si>
    <t>30A 1P 10kA (220V), C CURVE, DC BREAKER</t>
  </si>
  <si>
    <t>32A 1P 10kA (220V), C CURVE, DC BREAKER</t>
  </si>
  <si>
    <t>40A 1P 10kA (220V), C CURVE, DC BREAKER</t>
  </si>
  <si>
    <t>50A 1P 10kA (220V), C CURVE, DC BREAKER</t>
  </si>
  <si>
    <t>63A 1P 10kA (220V), C CURVE, DC BREAKER</t>
  </si>
  <si>
    <t>3A 1P 10kA (220V), C CURVE, DC BREAKER</t>
  </si>
  <si>
    <t>1A 2P 10kA (440V), C CURVE, DC BREAKER</t>
  </si>
  <si>
    <t>2A 2P 10kA (440V), C CURVE, DC 3REAKER</t>
  </si>
  <si>
    <t>3A 2P 10kA (440V), C CURVE, DC BREAKER</t>
  </si>
  <si>
    <t>4A 2P 10kA (440V), C CURVE, DC BREAKER</t>
  </si>
  <si>
    <t>5A 2P 10kA (440V), C CURVE, DC BREAKER</t>
  </si>
  <si>
    <t>6A 2P 10kA (440V), C CURVE, DC BREAKER</t>
  </si>
  <si>
    <t>10A 2P 10kA (440V), C CURVE, DC BREAKER</t>
  </si>
  <si>
    <t>13A 2P 10kA (440V), C CURVE, DC BREAKER</t>
  </si>
  <si>
    <t>15A 2P 10kA (440V), C CURVE, DC BREAKER</t>
  </si>
  <si>
    <t>16A 2P 10kA (440V), C CURVE, DC BREAKER</t>
  </si>
  <si>
    <t>20A 2P 10kA (440V), C CURVE, DC BREAKER</t>
  </si>
  <si>
    <t>25A 2P 10kA (440V), C CURVE, DC BREAKER</t>
  </si>
  <si>
    <t>30A 2P 10kA (440V), C CURVE, DC BREAKER</t>
  </si>
  <si>
    <t>32A 2P 10kA (440V), C CURVE, DC BREAKER</t>
  </si>
  <si>
    <t>40A 2P 10kA (440V), C CURVE, DC BREAKER</t>
  </si>
  <si>
    <t>50A 2P 10kA (440V), C CURVE, DC BREAKER</t>
  </si>
  <si>
    <t>63A 2P 10kA (440V), C CURVE, DC BREAKER</t>
  </si>
  <si>
    <t>A9N61520</t>
  </si>
  <si>
    <t>A9N61521</t>
  </si>
  <si>
    <t>A9N61522</t>
  </si>
  <si>
    <t>A9N61523</t>
  </si>
  <si>
    <t>A9N61524</t>
  </si>
  <si>
    <t>A9N61525</t>
  </si>
  <si>
    <t>A9N61526</t>
  </si>
  <si>
    <t>A9N61528</t>
  </si>
  <si>
    <t>A9N61529</t>
  </si>
  <si>
    <t>A9N61530</t>
  </si>
  <si>
    <t>A9N61531</t>
  </si>
  <si>
    <t>A9N61532</t>
  </si>
  <si>
    <t>A9N61533</t>
  </si>
  <si>
    <t>A9N61534</t>
  </si>
  <si>
    <t>A9N61535</t>
  </si>
  <si>
    <t>A9N61537</t>
  </si>
  <si>
    <t>A9N61539</t>
  </si>
  <si>
    <t>LRE01</t>
  </si>
  <si>
    <t>LRE02</t>
  </si>
  <si>
    <t>LRE03</t>
  </si>
  <si>
    <t>LRE04</t>
  </si>
  <si>
    <t>LRE05</t>
  </si>
  <si>
    <t>LRE06</t>
  </si>
  <si>
    <t>LRE07</t>
  </si>
  <si>
    <t>LRE08</t>
  </si>
  <si>
    <t>LRE10</t>
  </si>
  <si>
    <t>LRE12</t>
  </si>
  <si>
    <t>LRE14</t>
  </si>
  <si>
    <t>LRE16</t>
  </si>
  <si>
    <t>LRE21</t>
  </si>
  <si>
    <t>LRE22</t>
  </si>
  <si>
    <t>LRE32</t>
  </si>
  <si>
    <t>LRE35</t>
  </si>
  <si>
    <t>LRE322</t>
  </si>
  <si>
    <t>LRE353</t>
  </si>
  <si>
    <t>LRE357</t>
  </si>
  <si>
    <t>LRE359</t>
  </si>
  <si>
    <t>LRE361</t>
  </si>
  <si>
    <t>LRE363</t>
  </si>
  <si>
    <t>LRE365</t>
  </si>
  <si>
    <t>THERMOL OVERLOAD RELAY 0.1…0.16</t>
  </si>
  <si>
    <t>THERMOL OVERLOAD RELAY 0.16…0.25</t>
  </si>
  <si>
    <t>THERMOL OVERLOAD RELAY 0.25…0.40</t>
  </si>
  <si>
    <t>THERMOL OVERLOAD RELAY 0.40…0.63</t>
  </si>
  <si>
    <t>THERMOL OVERLOAD RELAY 0.63…1</t>
  </si>
  <si>
    <t>THERMOL OVERLOAD RELAY 1…1.6</t>
  </si>
  <si>
    <t>THERMOL OVERLOAD RELAY 1.6…2.5</t>
  </si>
  <si>
    <t>THERMOL OVERLOAD RELAY 2.5…4</t>
  </si>
  <si>
    <t>THERMOL OVERLOAD RELAY 4…6</t>
  </si>
  <si>
    <t>THERMOL OVERLOAD RELAY 5.5…8</t>
  </si>
  <si>
    <t>THERMOL OVERLOAD RELAY 7…10</t>
  </si>
  <si>
    <t>THERMOL OVERLOAD RELAY 9…13</t>
  </si>
  <si>
    <t>THERMOL OVERLOAD RELAY 12…18</t>
  </si>
  <si>
    <t>THERMOL OVERLOAD RELAY 23…32</t>
  </si>
  <si>
    <t>THERMOL OVERLOAD RELAY 17…25</t>
  </si>
  <si>
    <t>THERMOL OVERLOAD RELAY 30…40</t>
  </si>
  <si>
    <t>THERMOL OVERLOAD RELAY 37…50</t>
  </si>
  <si>
    <t>THERMOL OVERLOAD RELAY 55…70</t>
  </si>
  <si>
    <t>THERMOL OVERLOAD RELAY 63…80</t>
  </si>
  <si>
    <t>LRE355</t>
  </si>
  <si>
    <t>3 phase input 380,415,440
1 output is 1PH 220Vac 1.5kVA
1 output is 1PH 24Vac 400VA</t>
  </si>
  <si>
    <t>3 phase input 415
1PH 24Vac output 
1kVA</t>
  </si>
  <si>
    <t>SAO-S2N</t>
  </si>
  <si>
    <t>SAO: Current sensor
S: Regular instantaneous type
2: 200/220/240 VAC Control Voltage
N: New version</t>
  </si>
  <si>
    <t>Omron SET-3A Current Transformer</t>
  </si>
  <si>
    <t>Current Transformer</t>
  </si>
  <si>
    <t>289-121 c/w 288-001 Mounting Carrier + 288-002 Mounting foot</t>
  </si>
  <si>
    <t>Polarized diode module with 14 diodes + mounting carrier + mounting foot</t>
  </si>
  <si>
    <t>Wago</t>
  </si>
  <si>
    <t>Diode Module</t>
  </si>
  <si>
    <t>S8VK-T48024</t>
  </si>
  <si>
    <t>24VDC Power Supply 480W, 3P input, 20A</t>
  </si>
  <si>
    <t>OMRON</t>
  </si>
  <si>
    <t>Panel Light</t>
  </si>
  <si>
    <t>Door Switch</t>
  </si>
  <si>
    <t>NP-5508</t>
  </si>
  <si>
    <t>Combined Over Current &amp; Earth Fault Relay (85-625V)</t>
  </si>
  <si>
    <t>NP-5505</t>
  </si>
  <si>
    <t>Combined Over Current &amp; Earth Fault Relay (24-150VDC)</t>
  </si>
  <si>
    <t>Earth Leakage Relay</t>
  </si>
  <si>
    <t>NP-ZCT45</t>
  </si>
  <si>
    <t>45mm ZCT</t>
  </si>
  <si>
    <t>NP-ZCT65</t>
  </si>
  <si>
    <t>65mm ZCT</t>
  </si>
  <si>
    <t>NP-ZCT80</t>
  </si>
  <si>
    <t>80mm ZCT</t>
  </si>
  <si>
    <t>NP-ZCT150</t>
  </si>
  <si>
    <t>150NN ZCT</t>
  </si>
  <si>
    <t>NP-NDPM-33</t>
  </si>
  <si>
    <t>Digital Power Meter (with RS485)</t>
  </si>
  <si>
    <t>NP-NPFR-16</t>
  </si>
  <si>
    <t>16 Steps Power Factor Regulator</t>
  </si>
  <si>
    <t>MEAN WELL</t>
  </si>
  <si>
    <t>1.5A 24VDC</t>
  </si>
  <si>
    <t>NB1-63H 3P 40A</t>
  </si>
  <si>
    <t>NXM-63-M1 HANDLE</t>
  </si>
  <si>
    <t>Rotary handle (ERH)</t>
  </si>
  <si>
    <t>NXM-125-M1 HANDLE</t>
  </si>
  <si>
    <t>NXM-160-M2 HANDLE</t>
  </si>
  <si>
    <t>NXM-250-M3 HANDLE</t>
  </si>
  <si>
    <t>NXM-400-M4 HANDLE</t>
  </si>
  <si>
    <t>NXM-630-M4 HANDLE</t>
  </si>
  <si>
    <t>NXM-800-M5 HANDLE</t>
  </si>
  <si>
    <t>NXM-1600-M7 HANDLE</t>
  </si>
  <si>
    <t>S8VK-G12024 OMI</t>
  </si>
  <si>
    <t>24VDC POWER SUPPLY, 5A</t>
  </si>
  <si>
    <t>K8AK-VS3 100-240VAC</t>
  </si>
  <si>
    <t>Single-phase voltage relay, 30-300VAC</t>
  </si>
  <si>
    <t>10A PHOTOCELL</t>
  </si>
  <si>
    <t>SELCON</t>
  </si>
  <si>
    <t>PHOTOCELL</t>
  </si>
  <si>
    <t>ACB 1SDA073675R1</t>
  </si>
  <si>
    <t>ACB 1SDA073688R1</t>
  </si>
  <si>
    <t>ACB 1SDA073704R1</t>
  </si>
  <si>
    <t>ACB 1SDA073725R1</t>
  </si>
  <si>
    <t>ACB 1SDA073753R1</t>
  </si>
  <si>
    <t>ACB 1SDA073881R1</t>
  </si>
  <si>
    <t>ACB 1SDA073889R1</t>
  </si>
  <si>
    <t>ACB 1SDA073890R1</t>
  </si>
  <si>
    <t>ACB 1SDA073891R1</t>
  </si>
  <si>
    <t>ACB 1SDA073892R1</t>
  </si>
  <si>
    <t>ACB 1SDA073895R1</t>
  </si>
  <si>
    <t>ACB 3P 0800A 50kA
1SDA080475R1
1SDA080507R1
1SDA080519R1
1SDA080531R1</t>
  </si>
  <si>
    <t>ACB 3P 0800A 65kA
1SDA080480R1
1SDA080507R1
1SDA080519R1
1SDA080531R1</t>
  </si>
  <si>
    <t>ACB 3P 0800A 66kA
1SDA072241R1
1SDA073909R1
1SDA073675R1</t>
  </si>
  <si>
    <t>ACB 3P 0800A 66kA
1SDA082157R1
1SDA073909R1</t>
  </si>
  <si>
    <t>ACB 3P 1000A 50kA
1SDA080476R1
1SDA080507R1
1SDA080519R1
1SDA080531R1</t>
  </si>
  <si>
    <t>ACB 3P 1000A 65kA
1SDA080481R1
1SDA080507R1
1SDA080519R1
1SDA080531R1</t>
  </si>
  <si>
    <t>ACB 3P 1000A 66kA
1SDA072271R1
1SDA073909R1
1SDA073675R1</t>
  </si>
  <si>
    <t>ACB 3P 1000A 66kA
1SDA082158R1
1SDA073909R1</t>
  </si>
  <si>
    <t xml:space="preserve">ACB 3P 1000A 66kA(Fixed)
1SDA070921R1 
1SDA073675R1 </t>
  </si>
  <si>
    <t>ACB 3P 1250A 50kA
1SDA080477R1
1SDA080507R1
1SDA080519R1
1SDA080531R1</t>
  </si>
  <si>
    <t>ACB 3P 1250A 65kA
1SDA080482R1
1SDA080507R1
1SDA080519R1
1SDA080531R1</t>
  </si>
  <si>
    <t>ACB 3P 1250A 66kA
1SDA072301R1
1SDA073909R1
1SDA073675R1</t>
  </si>
  <si>
    <t>ACB 3P 1250A 66kA
1SDA082159R1
1SDA073909R1</t>
  </si>
  <si>
    <t xml:space="preserve">ACB 3P 1250A 66kA(fixed)
1SDA070951R1 
1SDA073675R1 </t>
  </si>
  <si>
    <t>ACB 3P 1600A 50kA
1SDA080478R1
1SDA080507R1
1SDA080519R1
1SDA080531R1</t>
  </si>
  <si>
    <t>ACB 3P 1600A 65kA
1SDA080483R1
1SDA080507R1
1SDA080519R1
1SDA080531R1</t>
  </si>
  <si>
    <t>ACB 3P 1600A 66kA
1SDA072341R1
1SDA073909R1
1SDA073675R1</t>
  </si>
  <si>
    <t>ACB 3P 1600A 66kA
1SDA082160R1
1SDA073909R1</t>
  </si>
  <si>
    <t xml:space="preserve">ACB 3P 1600A 66kA(fixed)
1SDA070991R1 
1SDA073675R1 </t>
  </si>
  <si>
    <t>ACB 3P 2000A 50kA
1SDA080479R1
1SDA080507R1
1SDA080519R1
1SDA080531R1</t>
  </si>
  <si>
    <t>ACB 3P 2000A 65kA
1SDA080484R1
1SDA080507R1
1SDA080519R1
1SDA080531R1</t>
  </si>
  <si>
    <t>ACB 3P 2000A 66kA
1SDA072381R1
1SDA073909R1
1SDA073675R1</t>
  </si>
  <si>
    <t>ACB 3P 2000A 66kA
1SDA082161R1
1SDA073909R1</t>
  </si>
  <si>
    <t xml:space="preserve">ACB 3P 2000A 66kA(fixed)
1SDA071031R1 
1SDA073675R1 </t>
  </si>
  <si>
    <t>ACB 3P 2500A 50kA
1SDA080485R1
1SDA080509R1
1SDA080519R1
1SDA080531R1</t>
  </si>
  <si>
    <t>ACB 3P 2500A 65kA
1SDA080488R1
1SDA080509R1
1SDA080519R1
1SDA080531R1</t>
  </si>
  <si>
    <t>ACB 3P 2500A 66kA
1SDA072411R1
1SDA073911R1
1SDA073675R1</t>
  </si>
  <si>
    <t>ACB 3P 2500A 66kA
1SDA082162R1
1SDA073911R1</t>
  </si>
  <si>
    <t xml:space="preserve">ACB 3P 2500A 66kA(fixed)
1SDA071061R1 
1SDA073675R1 </t>
  </si>
  <si>
    <t>ACB 3P 3200A 50kA
1SDA080486R1
1SDA080509R1
1SDA080519R1
1SDA080531R1</t>
  </si>
  <si>
    <t>ACB 3P 3200A 65kA
1SDA080489R1
1SDA080509R1
1SDA080519R1
1SDA080531R1</t>
  </si>
  <si>
    <t>ACB 3P 3200A 66kA
1SDA072491R1
1SDA073913R1
1SDA073675R1</t>
  </si>
  <si>
    <t>ACB 3P 3200A 66kA
1SDA082163R1
1SDA073913R1</t>
  </si>
  <si>
    <t>ACB 3P 3200A 66kA(Fixed)
1SDA071141R1 
1SDA073675R1</t>
  </si>
  <si>
    <t>ACB 3P 4000A 50kA
1SDA080487R1
1SDA080511R1
1SDA080519R1
1SDA080531R1</t>
  </si>
  <si>
    <t>ACB 3P 4000A 65kA
1SDA080490R1
1SDA080511R1
1SDA080519R1
1SDA080531R1</t>
  </si>
  <si>
    <t>ACB 3P 4000A 66kA
1SDA072541R1
1SDA073915R1
1SDA073675R1</t>
  </si>
  <si>
    <t>ACB 3P 4000A 66kA
1SDA082164R1
1SDA073915R1</t>
  </si>
  <si>
    <t xml:space="preserve">ACB 3P 4000A 66kA(Fixed)
1SDA071191R1 
1SDA073675R1 </t>
  </si>
  <si>
    <t>ACB 3P 5000A 100kA
1SDA072611R1
1SDA073917R1
1SDA073675R1</t>
  </si>
  <si>
    <t xml:space="preserve">ACB 3P 5000A 100kA(Fixed)
1SDA071261R1 
1SDA073675R1 </t>
  </si>
  <si>
    <t>ACB 3P 6300A 100kA
1SDA072641R1
1SDA073920R1
1SDA073675R1</t>
  </si>
  <si>
    <t>ACB 3P 6300A 100kA(Fixed)
1SDA071291R1 
1SDA073675R1</t>
  </si>
  <si>
    <t xml:space="preserve">ACB 3P 800A 66kA(Fixed)
1SDA070891R1 
1SDA073675R1 </t>
  </si>
  <si>
    <t>ACB 4P 0800A 50kA
1SDA080491R1
1SDA080508R1
1SDA080519R1
1SDA080531R1</t>
  </si>
  <si>
    <t>ACB 4P 0800A 65kA
1SDA080496R1
1SDA080508R1
1SDA080519R1
1SDA080531R1</t>
  </si>
  <si>
    <t>ACB 4P 0800A 66kA
1SDA072871R1
1SDA073910R1
1SDA073675R1</t>
  </si>
  <si>
    <t>ACB 4P 0800A 66kA
1SDA082165R1
1SDA073910R1</t>
  </si>
  <si>
    <t>ACB 4P 1000A 50kA
1SDA080492R1
1SDA080508R1
1SDA080519R1
1SDA080531R1</t>
  </si>
  <si>
    <t>ACB 4P 1000A 65kA
1SDA080497R1
1SDA080508R1
1SDA080519R1
1SDA080531R1</t>
  </si>
  <si>
    <t>ACB 4P 1000A 66kA
1SDA072901R1
1SDA073910R1
1SDA073675R1</t>
  </si>
  <si>
    <t>ACB 4P 1000A 66kA
1SDA082171R1
1SDA073910R1</t>
  </si>
  <si>
    <t xml:space="preserve">ACB 4P 1000A 66kA(Fixed)
1SDA071551R1 
1SDA073675R1 </t>
  </si>
  <si>
    <t>ACB 4P 1250A 50kA
1SDA080493R1
1SDA080508R1
1SDA080519R1
1SDA080531R1</t>
  </si>
  <si>
    <t>ACB 4P 1250A 65kA
1SDA080498R1
1SDA080508R1
1SDA080519R1
1SDA080531R1</t>
  </si>
  <si>
    <t>ACB 4P 1250A 66kA
1SDA072931R1
1SDA073910R1
1SDA073675R1</t>
  </si>
  <si>
    <t>ACB 4P 1250A 66kA
1SDA082172R1
1SDA073910R1</t>
  </si>
  <si>
    <t xml:space="preserve">ACB 4P 1250A 66kA(Fixed)
1SDA071581R1 
1SDA073675R1 </t>
  </si>
  <si>
    <t>ACB 4P 1600A 50kA
1SDA080494R1
1SDA080508R1
1SDA080519R1
1SDA080531R1</t>
  </si>
  <si>
    <t>ACB 4P 1600A 65kA
1SDA080499R1
1SDA080508R1
1SDA080519R1
1SDA080531R1</t>
  </si>
  <si>
    <t>ACB 4P 1600A 66kA
1SDA072971R1
1SDA073910R1
1SDA073675R1</t>
  </si>
  <si>
    <t>ACB 4P 1600A 66kA
1SDA082173R1
1SDA073910R1</t>
  </si>
  <si>
    <t xml:space="preserve">ACB 4P 1600A 66kA(Fixed)
1SDA071621R1 
1SDA073675R1 </t>
  </si>
  <si>
    <t>ACB 4P 2000A 50KA
1SDA080495R1
1SDA080508R1
1SDA080519R1
1SDA080531R1</t>
  </si>
  <si>
    <t>ACB 4P 2000A 50kA
1SDA080500R1
1SDA080508R1
1SDA080519R1
1SDA080531R1</t>
  </si>
  <si>
    <t>ACB 4P 2000A 66kA
1SDA073011R1
1SDA073910R1
1SDA073675R1</t>
  </si>
  <si>
    <t>ACB 4P 2000A 66kA
1SDA082174R1
1SDA073910R1</t>
  </si>
  <si>
    <t xml:space="preserve">ACB 4P 2000A 66kA(Fixed)
1SDA071661R1 
1SDA073675R1 </t>
  </si>
  <si>
    <t>ACB 4P 2500A 50kA
1SDA080501R1
1SDA080510R1
1SDA080519R1
1SDA080531R1</t>
  </si>
  <si>
    <t>ACB 4P 2500A 65kA
1SDA080504R1
1SDA080510R1
1SDA080519R1
1SDA080531R1</t>
  </si>
  <si>
    <t>ACB 4P 2500A 66kA
1SDA073041R1
1SDA073912R1
1SDA073675R1</t>
  </si>
  <si>
    <t>ACB 4P 2500A 66kA
1SDA082175R1
1SDA073912R1</t>
  </si>
  <si>
    <t xml:space="preserve">ACB 4P 2500A 66kA(Fixed)
1SDA071691R1 
1SDA073675R1 </t>
  </si>
  <si>
    <t>ACB 4P 3200A 50kA
1SDA080502R1
1SDA080510R1
1SDA080519R1
1SDA080531R1</t>
  </si>
  <si>
    <t>ACB 4P 3200A 65kA
1SDA080505R1
1SDA080510R1
1SDA080519R1
1SDA080531R1</t>
  </si>
  <si>
    <t>ACB 4P 3200A 66kA
1SDA073121R1
1SDA073914R1
1SDA073675R1</t>
  </si>
  <si>
    <t>ACB 4P 3200A 66kA
1SDA082176R1
1SDA073914R1</t>
  </si>
  <si>
    <t xml:space="preserve">ACB 4P 3200A 66kA(Fixed)
1SDA071771R1 
1SDA073675R1 </t>
  </si>
  <si>
    <t>ACB 4P 4000A 50kA
1SDA080503R1
1SDA080512R1
1SDA080519R1
1SDA080531R1</t>
  </si>
  <si>
    <t>ACB 4P 4000A 65kA
1SDA080506R1
1SDA080512R1
1SDA080519R1
1SDA080531R1</t>
  </si>
  <si>
    <t>ACB 4P 4000A 66kA
1SDA073171R1
1SDA073916R1
1SDA073675R1</t>
  </si>
  <si>
    <t>ACB 4P 4000A 66kA
1SDA082177R1
1SDA073916R1</t>
  </si>
  <si>
    <t xml:space="preserve">ACB 4P 4000A 66kA(Fixed)
1SDA071821R1 
1SDA073675R1 </t>
  </si>
  <si>
    <t>ACB 4P 5000A 100kA
1SDA073331R1
1SDA073919R1
1SDA073675R1</t>
  </si>
  <si>
    <t>ACB 4P 5000A 100kA
1SDA073555R1
1SDA073919R1
1SDA073675R1
1SDA073753R1</t>
  </si>
  <si>
    <t xml:space="preserve">ACB 4P 5000A 100kA(Fixed)
 1SDA071981R1 
1SDA073675R1 </t>
  </si>
  <si>
    <t>ACB 4P 6300A 100kA
1SDA073361R1
1SDA073922R1
1SDA073675R1</t>
  </si>
  <si>
    <t>ACB 4P 6300A 100kA
1SDA073557R1
1SDA073922R1
1SDA073675R1
1SDA073753R1</t>
  </si>
  <si>
    <t xml:space="preserve">ACB 4P 6300A 66kA(Fixed)
1SDA072011R1 
1SDA073675R1 </t>
  </si>
  <si>
    <t xml:space="preserve">ACB 4P 800A 66kA(Fixed) 
1SDA071521R1 
1SDA073675R1 </t>
  </si>
  <si>
    <t>E5CC-CX3D5M-000</t>
  </si>
  <si>
    <t>PID CONTROLLER - 24VAC/DC c/w SOCKET</t>
  </si>
  <si>
    <t>HMIET6400</t>
  </si>
  <si>
    <t>Touch Screen HMI, 7 INCH</t>
  </si>
  <si>
    <t>Kuching</t>
  </si>
  <si>
    <t>1.5mm2 Cu/XLPE/LSOH 600/1000V</t>
  </si>
  <si>
    <t>2.5mm2 Cu/XLPE/LSOH 600/1000V</t>
  </si>
  <si>
    <t>4mm2 Cu/XLPE/LSOH 600/1000V</t>
  </si>
  <si>
    <t>6mm2 Cu/XLPE/LSOH 600/1000V</t>
  </si>
  <si>
    <t>10mm2 Cu/XLPE/LSOH 600/1000V</t>
  </si>
  <si>
    <t>16mm2 Cu/XLPE/LSOH 600/1000V</t>
  </si>
  <si>
    <t>25mm2 Cu/XLPE/LSOH 600/1000V</t>
  </si>
  <si>
    <t>35mm2 Cu/XLPE/LSOH 600/1000V</t>
  </si>
  <si>
    <t>50mm2 Cu/XLPE/LSOH 600/1000V</t>
  </si>
  <si>
    <t>70mm2 Cu/XLPE/LSOH 600/1000V</t>
  </si>
  <si>
    <t>95mm2 Cu/XLPE/LSOH 600/1000V</t>
  </si>
  <si>
    <t>APN199DN</t>
  </si>
  <si>
    <t>30mm PILOT LAMP 24VDC/240VAC</t>
  </si>
  <si>
    <t>IDEC</t>
  </si>
  <si>
    <t>K&amp;N 1P 20A SELECTOR SW</t>
  </si>
  <si>
    <t>1P 20A SELECTOR SWITCH (AUTO/ OFF/ MANUAL)</t>
  </si>
  <si>
    <t>K&amp;N</t>
  </si>
  <si>
    <t>ABW110</t>
  </si>
  <si>
    <t>22mm PUSH BUTTON 1NO</t>
  </si>
  <si>
    <t>AVW401R</t>
  </si>
  <si>
    <t>E-Stop push button, 1 N/C</t>
  </si>
  <si>
    <t>EXW</t>
  </si>
  <si>
    <t>NO SET</t>
  </si>
  <si>
    <t>SET PRICE</t>
  </si>
  <si>
    <t>FULL TK</t>
  </si>
  <si>
    <t>FULL TKM</t>
  </si>
  <si>
    <t>EASY 9</t>
  </si>
  <si>
    <t>NM8N-125 SHT</t>
  </si>
  <si>
    <t>NM8N-1600 SHT</t>
  </si>
  <si>
    <t>NM8N-250 SHT</t>
  </si>
  <si>
    <t>NM8N-400 SHT</t>
  </si>
  <si>
    <t>NM8N-630 SHT</t>
  </si>
  <si>
    <t>NM8N-800 SHT</t>
  </si>
  <si>
    <t>NM8N-125-HANDLE</t>
  </si>
  <si>
    <t>EXTENDED ROTARY HANDLE</t>
  </si>
  <si>
    <t>NM8N-250-HANDLE</t>
  </si>
  <si>
    <t>NM8N-400-HANDLE</t>
  </si>
  <si>
    <t>NM8N-630-HANDLE</t>
  </si>
  <si>
    <t>NM8N-800-HANDLE</t>
  </si>
  <si>
    <t>NM8N-1600-HANDLE</t>
  </si>
  <si>
    <t>TOTAL TK</t>
  </si>
  <si>
    <t>TOTAL TKM</t>
  </si>
  <si>
    <t>APM 160kW POWR UNIT</t>
  </si>
  <si>
    <t>APM1A0C16N401, APM6A0CTLN401, VW3A83CDG020
POWER UNIT, CONTROL UNIT, CABLE
RM21,165.23, RM3,600.84, RM606.72</t>
  </si>
  <si>
    <t>ATS480M12Y</t>
  </si>
  <si>
    <t>Soft starter, Altistart 480, 1200A, 208 to 690V AC, control supply 110 to 230V AC</t>
  </si>
  <si>
    <t>1.25 RATE</t>
  </si>
  <si>
    <t>NM8N</t>
  </si>
  <si>
    <t>NM8N-125-AUX</t>
  </si>
  <si>
    <t>AUXILIARY CONTACT</t>
  </si>
  <si>
    <t>NM8N-125-ALR</t>
  </si>
  <si>
    <t>ALARM CONTACT</t>
  </si>
  <si>
    <t>NM8N-125-UVT 415V</t>
  </si>
  <si>
    <t>UNDER VOLTAGE RELAY 415V</t>
  </si>
  <si>
    <t>NM8N-250-AUX</t>
  </si>
  <si>
    <t>NM8N-250-ALR</t>
  </si>
  <si>
    <t>NM8N-250-UVT 415V</t>
  </si>
  <si>
    <t>NM8N-400-AUX</t>
  </si>
  <si>
    <t>NM8N-400-ALR</t>
  </si>
  <si>
    <t>NM8N-400-UVT 415V</t>
  </si>
  <si>
    <t>NM8N-630-AUX</t>
  </si>
  <si>
    <t>NM8N-630-ALR</t>
  </si>
  <si>
    <t>NM8N-630-UVT 415V</t>
  </si>
  <si>
    <t>NM8N-800-AUX</t>
  </si>
  <si>
    <t>NM8N-800-ALR</t>
  </si>
  <si>
    <t>NM8N-800-UVT 415V</t>
  </si>
  <si>
    <t>NM8N-1600-AUX</t>
  </si>
  <si>
    <t>NM8N-1600-ALR</t>
  </si>
  <si>
    <t>NM8N-1600-UVT 415V</t>
  </si>
  <si>
    <t>EZ9F51106</t>
  </si>
  <si>
    <t>EZ9F51110</t>
  </si>
  <si>
    <t>EZ9F51116</t>
  </si>
  <si>
    <t>EZ9F51120</t>
  </si>
  <si>
    <t>EZ9F51132</t>
  </si>
  <si>
    <t>EZ9F51163</t>
  </si>
  <si>
    <t>EZ9F51206</t>
  </si>
  <si>
    <t>EZ9F51210</t>
  </si>
  <si>
    <t>EZ9F51216</t>
  </si>
  <si>
    <t>EZ9F51220</t>
  </si>
  <si>
    <t>EZ9F51232</t>
  </si>
  <si>
    <t>EZ9F51240</t>
  </si>
  <si>
    <t>EZ9F51263</t>
  </si>
  <si>
    <t>EZ9F51306</t>
  </si>
  <si>
    <t>EZ9F51310</t>
  </si>
  <si>
    <t>EZ9F51316</t>
  </si>
  <si>
    <t>EZ9F51320</t>
  </si>
  <si>
    <t>EZ9F51332</t>
  </si>
  <si>
    <t>EZ9F51340</t>
  </si>
  <si>
    <t>EZ9F51363</t>
  </si>
  <si>
    <t>16A 3P 10kA MCB, C CURVE</t>
  </si>
  <si>
    <t>32A 1P 10kA MCB, C CURVE</t>
  </si>
  <si>
    <t>EBS 103c</t>
  </si>
  <si>
    <t>60, 75, 100, 125A 3P 37kA MCCB c/w ELB and built in ZCT</t>
  </si>
  <si>
    <t>EBS 203c</t>
  </si>
  <si>
    <t>EBS 403c</t>
  </si>
  <si>
    <t>EBN 403c</t>
  </si>
  <si>
    <t>EBH 103c</t>
  </si>
  <si>
    <t>60, 75, 100, 125A 3P 50kA MCCB c/w ELB and built in ZCT</t>
  </si>
  <si>
    <t>300, 350, 400 3P 37kA MCCB c/w ELB and built in ZCT</t>
  </si>
  <si>
    <t>150, 175, 200, 225 3P 37kA MCCB c/w ELB and built in ZCT</t>
  </si>
  <si>
    <t>EBN 203c 250A</t>
  </si>
  <si>
    <t>250 3P 37kA MCCB c/w ELB and built in ZCT</t>
  </si>
  <si>
    <t>150, 175, 200, 225 3P 50kA MCCB c/w ELB and built in ZCT</t>
  </si>
  <si>
    <t>250 3P 50kA MCCB c/w ELB and built in ZCT</t>
  </si>
  <si>
    <t>300, 350, 400 3P 50kA MCCB c/w ELB and built in ZCT</t>
  </si>
  <si>
    <t>EBH 203c</t>
  </si>
  <si>
    <t>EBH 203c 250A</t>
  </si>
  <si>
    <t>EBS 104c</t>
  </si>
  <si>
    <t>EBS 204c</t>
  </si>
  <si>
    <t>EBN 204c 250A</t>
  </si>
  <si>
    <t>EBN 404c</t>
  </si>
  <si>
    <t>EBH 104c</t>
  </si>
  <si>
    <t>EBH 204c</t>
  </si>
  <si>
    <t>EBH 204c 250A</t>
  </si>
  <si>
    <t>EBS 404c</t>
  </si>
  <si>
    <t xml:space="preserve">
</t>
  </si>
  <si>
    <t>6A AC3 3P REVERSING CONTACTOR</t>
  </si>
  <si>
    <t>TeSys K</t>
  </si>
  <si>
    <t>9A AC3 3P REVERSING CONTACTOR</t>
  </si>
  <si>
    <t>LC2K0610M7</t>
  </si>
  <si>
    <t>LC2K0910M7</t>
  </si>
  <si>
    <t>Accessories for reversing motor starter assembly, LC1E06…E12</t>
  </si>
  <si>
    <t>Accessories for reversing motor starter assembly, LC1E18/E25</t>
  </si>
  <si>
    <t>Accessories for reversing motor starter assembly, LC1E32/E38</t>
  </si>
  <si>
    <t>Accessories for reversing motor starter assembly, LC1E40…E65</t>
  </si>
  <si>
    <t>Accessories for reversing motor starter assembly, LC1E80/E95</t>
  </si>
  <si>
    <t>LAEP1 + LAEM1</t>
  </si>
  <si>
    <t>LAEP12 + LAEM1</t>
  </si>
  <si>
    <t>LAEP2 + LAEM1</t>
  </si>
  <si>
    <t>LAEP3 + LAEM1</t>
  </si>
  <si>
    <t>LAEP4 + LAEM4</t>
  </si>
  <si>
    <t>This is for tender price only. Upon confirmation, the price will be split to TK and TKM quotation.</t>
  </si>
  <si>
    <t>25A 2P 10mA TYPE A RCCB</t>
  </si>
  <si>
    <t>32A 2P 10mA TYPE A RCCB</t>
  </si>
  <si>
    <t>DRD2AI 40A 2P 10mA</t>
  </si>
  <si>
    <t>DRD2AI 25A 2P 10mA</t>
  </si>
  <si>
    <t>DRD2AI 32A 2P 10mA</t>
  </si>
  <si>
    <t>40A 2P 10mA TYPE A RCCB</t>
  </si>
  <si>
    <t>DRD2AI 40A 2P 30mA</t>
  </si>
  <si>
    <t>40A 2P 100mA TYPE A RCCB</t>
  </si>
  <si>
    <t>DRD2AI 40A 2P 100mA</t>
  </si>
  <si>
    <t>DRD2AI 63A 2P 30mA</t>
  </si>
  <si>
    <t>63A 2P 30mA TYPE A RCCB</t>
  </si>
  <si>
    <t>DRD2AI 63A 2P 100mA</t>
  </si>
  <si>
    <t>63A 2P 100mA TYPE A RCCB</t>
  </si>
  <si>
    <t>DRD4AI 40A 4P 100mA</t>
  </si>
  <si>
    <t>DRD4AI 40A 4P 30mA</t>
  </si>
  <si>
    <t>40A 4P 100mA TYPE A RCCB</t>
  </si>
  <si>
    <t>DRD4AI 63A 4P 30mA</t>
  </si>
  <si>
    <t>63A 4P 30mA TYPE A RCCB</t>
  </si>
  <si>
    <t>DRD4AI 63A 4P 100mA</t>
  </si>
  <si>
    <t>63A 4P 100mA TYPE A RCCB</t>
  </si>
  <si>
    <t>30/5A Class 1, 2.5VA (Wound primary)</t>
  </si>
  <si>
    <t>30/5A Class 1, 2.5VA (Narrow Type)</t>
  </si>
  <si>
    <t>RESIN 30/5A MFO-MEM-A</t>
  </si>
  <si>
    <t>RESIN 30/5A MFO-MEM-20</t>
  </si>
  <si>
    <t>RESIN 60/5A MFO-MEM-20</t>
  </si>
  <si>
    <t>60/5A Class 1, 2.5VA</t>
  </si>
  <si>
    <t>RESIN 100/5A MFO-MEM-34</t>
  </si>
  <si>
    <t>100/5A Class 1, 2.5VA</t>
  </si>
  <si>
    <t>RESIN 120/5A MFO-MEM-34</t>
  </si>
  <si>
    <t>120/5A Class 1, 2.5VA</t>
  </si>
  <si>
    <t>RESIN 150/5A MFO-MEM-34</t>
  </si>
  <si>
    <t>150/5A, Class 1, 2.5VA</t>
  </si>
  <si>
    <t>RESIN 200/5A MFO-MEM-42</t>
  </si>
  <si>
    <t>200/5A, Class 1, 5VA</t>
  </si>
  <si>
    <t>RESIN 250/5A MFO-MEM-42</t>
  </si>
  <si>
    <t>250/5A, Class 1, 5VA</t>
  </si>
  <si>
    <t>RESIN 300/5A MFO-MEM-42</t>
  </si>
  <si>
    <t>300/5A, Class 1, 7.5VA</t>
  </si>
  <si>
    <t>RESIN 400/5A MFO-MEM-65</t>
  </si>
  <si>
    <t>400/5A, Class 1, 7.5VA</t>
  </si>
  <si>
    <t>RESIN 600/5A MFO-MEM-65</t>
  </si>
  <si>
    <t>600/5A, Class 1, 15VA</t>
  </si>
  <si>
    <t>RESIN 800/5A MFO-MEM-75</t>
  </si>
  <si>
    <t>800/5A, Class 1, 15VA</t>
  </si>
  <si>
    <t>RESIN 1000/5A MFO-MEM-85</t>
  </si>
  <si>
    <t>1000/5A, Class 1, 15VA</t>
  </si>
  <si>
    <t>RESIN 1200/5A MFO-MEM-85</t>
  </si>
  <si>
    <t>1200/5A, Class 1, 15VA</t>
  </si>
  <si>
    <t>RESIN 1600/5A MFO-MEM-110</t>
  </si>
  <si>
    <t>1600/5A, Class 0.5, 20VA</t>
  </si>
  <si>
    <t>RESIN 2000/5A MFO-MEM-110</t>
  </si>
  <si>
    <t>2000/5A, Class 0.5, 20VA</t>
  </si>
  <si>
    <t>RESIN 2500/5A MFO-MEM-130</t>
  </si>
  <si>
    <t>2500/5A, Class 0.5, 30VA</t>
  </si>
  <si>
    <t>RESIN 100/5A MFO-MEP-34</t>
  </si>
  <si>
    <t>RESIN 150/5A MFO-MEP-34</t>
  </si>
  <si>
    <t>RESIN 200/5A MFO-MEP-45</t>
  </si>
  <si>
    <t>RESIN 250/5A MFO-MEP-45</t>
  </si>
  <si>
    <t>RESIN 400/5A MFO-MEP-65</t>
  </si>
  <si>
    <t>100/5A, 10P10, 5VA</t>
  </si>
  <si>
    <t>150/5A, 10P10, 5VA</t>
  </si>
  <si>
    <t>200/5A, 10P10, 5VA</t>
  </si>
  <si>
    <t>250/5A, 10P10, 5VA</t>
  </si>
  <si>
    <t>300/5A, 10P10, 7.5VA</t>
  </si>
  <si>
    <t>400/5A, 10P10, 7.5VA</t>
  </si>
  <si>
    <t>RESIN 300/5A MFO-MEP-45</t>
  </si>
  <si>
    <t>RESIN 500/5A MFO-MEP-65</t>
  </si>
  <si>
    <t>RESIN 600/5A MFO-MEP-65</t>
  </si>
  <si>
    <t>RESIN 800/5A MFO-MEP-75</t>
  </si>
  <si>
    <t>RESIN 1000/5A MFO-MEP-85</t>
  </si>
  <si>
    <t>RESIN 1200/5A MFO-MEP-85</t>
  </si>
  <si>
    <t>RESIN 1600/5A MFO-MEP-110</t>
  </si>
  <si>
    <t>RESIN 2000/5A MFO-MEP-110</t>
  </si>
  <si>
    <t>RESIN 2250/5A MFO-MEP-130</t>
  </si>
  <si>
    <t>RESIN 2500/5A MFO-MEP-130</t>
  </si>
  <si>
    <t>500/5A, 10P10, 10VA</t>
  </si>
  <si>
    <t>600/5A, 10P10, 15VA</t>
  </si>
  <si>
    <t>800/5A, 10P10, 15VA</t>
  </si>
  <si>
    <t>1000/5A, 10P10, 15VA</t>
  </si>
  <si>
    <t>1200/5A, 10P10, 15VA</t>
  </si>
  <si>
    <t>1600/5A, 10P10, 15VA</t>
  </si>
  <si>
    <t>2000/5A, 10P10, 15VA</t>
  </si>
  <si>
    <t>2250/5A, 10P10, 15VA</t>
  </si>
  <si>
    <t>2500/5A, 10P10, 15VA</t>
  </si>
  <si>
    <t>SSB 1200x(550+550)x250 EG1.6</t>
  </si>
  <si>
    <t>SSB 1200x(550+550)x250 EG2.0</t>
  </si>
  <si>
    <r>
      <t xml:space="preserve">SSB, </t>
    </r>
    <r>
      <rPr>
        <b/>
        <sz val="11"/>
        <color rgb="FF00B0F0"/>
        <rFont val="Calibri"/>
        <family val="2"/>
        <scheme val="minor"/>
      </rPr>
      <t>1.6mm THICK</t>
    </r>
    <r>
      <rPr>
        <sz val="11"/>
        <color theme="1"/>
        <rFont val="Calibri"/>
        <family val="2"/>
        <charset val="134"/>
        <scheme val="minor"/>
      </rPr>
      <t xml:space="preserve">
12 OUT MCCBs
1200x(550+550)x250</t>
    </r>
  </si>
  <si>
    <r>
      <t xml:space="preserve">SSB, </t>
    </r>
    <r>
      <rPr>
        <b/>
        <sz val="11"/>
        <color rgb="FFFF0000"/>
        <rFont val="Calibri"/>
        <family val="2"/>
        <scheme val="minor"/>
      </rPr>
      <t>2.0mm THICK</t>
    </r>
    <r>
      <rPr>
        <sz val="11"/>
        <color theme="1"/>
        <rFont val="Calibri"/>
        <family val="2"/>
        <charset val="134"/>
        <scheme val="minor"/>
      </rPr>
      <t xml:space="preserve">
12 OUT MCCBs
1200x(550+550)x250</t>
    </r>
  </si>
  <si>
    <t>SSB 1200x(550+650)x250 EG1.6</t>
  </si>
  <si>
    <t>SSB 1200x(550+650)x250 EG2.0</t>
  </si>
  <si>
    <r>
      <t xml:space="preserve">SSB, </t>
    </r>
    <r>
      <rPr>
        <b/>
        <sz val="11"/>
        <color rgb="FF00B0F0"/>
        <rFont val="Calibri"/>
        <family val="2"/>
        <scheme val="minor"/>
      </rPr>
      <t>1.6mm THICK</t>
    </r>
    <r>
      <rPr>
        <sz val="11"/>
        <color theme="1"/>
        <rFont val="Calibri"/>
        <family val="2"/>
        <charset val="134"/>
        <scheme val="minor"/>
      </rPr>
      <t xml:space="preserve">
16 OUT MCCBs
1200x(550+650)x250</t>
    </r>
  </si>
  <si>
    <r>
      <t xml:space="preserve">SSB, </t>
    </r>
    <r>
      <rPr>
        <b/>
        <sz val="11"/>
        <color rgb="FFFF0000"/>
        <rFont val="Calibri"/>
        <family val="2"/>
        <scheme val="minor"/>
      </rPr>
      <t>2.0mm THICK</t>
    </r>
    <r>
      <rPr>
        <sz val="11"/>
        <color theme="1"/>
        <rFont val="Calibri"/>
        <family val="2"/>
        <charset val="134"/>
        <scheme val="minor"/>
      </rPr>
      <t xml:space="preserve">
16 OUT MCCBs
1200x(550+650)x250</t>
    </r>
  </si>
  <si>
    <t>ATV630D37N4</t>
  </si>
  <si>
    <t>ATV630D30N4</t>
  </si>
  <si>
    <t>ATV630 37kW VSD</t>
  </si>
  <si>
    <t>ATV630 30kW VSD</t>
  </si>
  <si>
    <t>GV3P65</t>
  </si>
  <si>
    <t>Ther. Magnetic Motor Protection Circuit Breaker 48 … 65 50kA</t>
  </si>
  <si>
    <t>GV3P73</t>
  </si>
  <si>
    <t>Ther. Magnetic Motor Protection Circuit Breaker 62 … 73 50kA</t>
  </si>
  <si>
    <t>E33878</t>
  </si>
  <si>
    <t>Extended Rotary Handle, Standard Black Handle, CVS800/1600</t>
  </si>
  <si>
    <t>GV3APN01</t>
  </si>
  <si>
    <t>GV3 TeSys KIT IP54 BLACKHANDLE-SHAFT FRONT, EXTENDED ROTARY HANDLE</t>
  </si>
  <si>
    <t>GV4APN01</t>
  </si>
  <si>
    <t>GV4 TeSys KIT IP54 BLACKHANDLE-SHAFT FRONT, EXTENDED ROTARY HANDLE</t>
  </si>
  <si>
    <t>GV4</t>
  </si>
  <si>
    <t>GV4AP80N</t>
  </si>
  <si>
    <t>Ther. Magnetic Motor Protection Circuit Breaker 40 … 80 50kA</t>
  </si>
  <si>
    <t>GV4AP115N</t>
  </si>
  <si>
    <t>Ther. Magnetic Motor Protection Circuit Breaker 65 … 115 50kA</t>
  </si>
  <si>
    <t>GVAE11</t>
  </si>
  <si>
    <t>Auxiliary contact, TeSys GV4, 690VAC, 1 NO/NC</t>
  </si>
  <si>
    <t>GV4AS287</t>
  </si>
  <si>
    <t>Voltage release, TeSys GV4, MX coil, 220 to 240VAC 50Hz, 208 to 277VAC 60Hz</t>
  </si>
  <si>
    <t>LAG8N113</t>
  </si>
  <si>
    <t>Auxiliary contact block,TeSys Giga contactor,1NO+1NC,side mounting,push-in terminals</t>
  </si>
  <si>
    <t>ATS22C25Q</t>
  </si>
  <si>
    <t>Electronic Soft Starter Control 220V POW 250A (for 132kW)</t>
  </si>
  <si>
    <t>VW3G22101</t>
  </si>
  <si>
    <t>ATS22C11Q</t>
  </si>
  <si>
    <t>Electronic Soft Starter Control 220V POW (for 55kW)</t>
  </si>
  <si>
    <t>P2S250 - 1SDA116349R1</t>
  </si>
  <si>
    <t>P2S250 - 1SDA116350R1</t>
  </si>
  <si>
    <t>P2S250 - 1SDA116357R1</t>
  </si>
  <si>
    <t>P2S250 - 1SDA116358R1</t>
  </si>
  <si>
    <t>P3S400 - 1SDA116380R1</t>
  </si>
  <si>
    <t>P3S400 - 1SDA116381R1</t>
  </si>
  <si>
    <t>P3S400 - 1SDA116386R1</t>
  </si>
  <si>
    <t>P3S400 - 1SDA116387R1</t>
  </si>
  <si>
    <t>P3S630 - 1SDA116382R1</t>
  </si>
  <si>
    <t>P3S630 - 1SDA116388R1</t>
  </si>
  <si>
    <t>3.75kW A/T 1T</t>
  </si>
  <si>
    <t>3.75KW A/T (Single Tapping)</t>
  </si>
  <si>
    <t>66kW A/T 3T</t>
  </si>
  <si>
    <t>66kW A/T (Three Tapping)</t>
  </si>
  <si>
    <t>ComPact NSX400/630 Withdrawable version = fixed/FC device +withdrawable kit (3P)</t>
  </si>
  <si>
    <t>ComPact NSX400/630 Withdrawable version = fixed/FC device +withdrawable kit (4P)</t>
  </si>
  <si>
    <t>LV432538 X 1
LV432532 X 1
LV432533 X 1</t>
  </si>
  <si>
    <t>LV432539 X 1
LV432532 X 1
LV432533 X 1</t>
  </si>
  <si>
    <t>400A 3P 50kA MCCB, Micrologic 2.3</t>
  </si>
  <si>
    <t>C40N32D400</t>
  </si>
  <si>
    <t>C40N42D400</t>
  </si>
  <si>
    <t>400A 4P 50kA MCCB, Micrologic 2.3</t>
  </si>
  <si>
    <t>BUSBAR-10 X 150mm (2557.5A)</t>
  </si>
  <si>
    <t>BUSBAR, 2325, 100kA
150mm x 10mm</t>
  </si>
  <si>
    <t>ATV650U15N4</t>
  </si>
  <si>
    <t>ATV650 1.5kW VSD</t>
  </si>
  <si>
    <t>ATV650</t>
  </si>
  <si>
    <t>ATV650U22N4</t>
  </si>
  <si>
    <t>ATV650 2.2kW VSD</t>
  </si>
  <si>
    <t>ATV650U30N4</t>
  </si>
  <si>
    <t>ATV650 3kW VSD</t>
  </si>
  <si>
    <t>ATV650U55N4</t>
  </si>
  <si>
    <t>ATV650 5.5kW VSD</t>
  </si>
  <si>
    <t>ATV650U75N4</t>
  </si>
  <si>
    <t>ATV650 7.5kW VSD</t>
  </si>
  <si>
    <t>ATV650D15N4</t>
  </si>
  <si>
    <t>ATV650 15kW VSD</t>
  </si>
  <si>
    <t>UP 10%</t>
  </si>
  <si>
    <t>CP 600x400x200 EG1.6</t>
  </si>
  <si>
    <t>CP, 1.6mm THICK
600x400x200</t>
  </si>
  <si>
    <t>TK CP</t>
  </si>
  <si>
    <t>CP</t>
  </si>
  <si>
    <t>CP 600x400x200 EG2.0</t>
  </si>
  <si>
    <t>CP, 2.0mm THICK
600x400x200</t>
  </si>
  <si>
    <t>CP 600x500x200 EG1.6</t>
  </si>
  <si>
    <t>CP 600x500x200 EG2.0</t>
  </si>
  <si>
    <t>CP, 1.6mm THICK
600x500x200</t>
  </si>
  <si>
    <t>CP, 2.0mm THICK
600x500x200</t>
  </si>
  <si>
    <t>CP, 1.6mm THICK
900x600x200</t>
  </si>
  <si>
    <t>CP, 2.0mm THICK
900x600x200</t>
  </si>
  <si>
    <t>CP 900x600x200 EG1.6</t>
  </si>
  <si>
    <t>CP 900x600x200 EG2.0</t>
  </si>
  <si>
    <t>NM8N-125Q 125A</t>
  </si>
  <si>
    <t>NXCC-25/21</t>
  </si>
  <si>
    <t>NXCC</t>
  </si>
  <si>
    <t>NXCC-32/21</t>
  </si>
  <si>
    <t>NXCC-43/21</t>
  </si>
  <si>
    <t>NXCC-63/21</t>
  </si>
  <si>
    <t>NXCC-95/21</t>
  </si>
  <si>
    <t>NXCC-115/21</t>
  </si>
  <si>
    <t>NXCC-150/32</t>
  </si>
  <si>
    <t>NXCC-170/32</t>
  </si>
  <si>
    <t>91.9A 3P CONTACTOR, (40,45,50,55,60,65kVAR,440V) (50,55,60,65,70,75,80kVAR,525V)</t>
  </si>
  <si>
    <t>19A 3P CONTACTOR, (5,10kVAR,440V) (5,10,15kVAR,525V)</t>
  </si>
  <si>
    <t>30.4A 3P CONTACTOR, (15,20kVAR,440V) (20,25kVAR,525V)</t>
  </si>
  <si>
    <t>39.4A 3P CONTACTOR, (25kVAR,440V) (30,35kVAR,525V)</t>
  </si>
  <si>
    <t>52.5A 3P CONTACTOR, (30,35kVAR,440V) (40,45kVAR,525V)</t>
  </si>
  <si>
    <t>105A 3P CONTACTOR, (70,75kVAR,440V) (85,90,95kVAR,525V)</t>
  </si>
  <si>
    <t>121.6A 3P CONTACTOR, (80,85,90kVAR,440V) (100,110kVAR,525V)</t>
  </si>
  <si>
    <t>136.8A 3P CONTACTOR, (95,100kVAR,440V)(115,120kVAR,525V)</t>
  </si>
  <si>
    <t>DB MCB 12 W SUS304 1.2</t>
  </si>
  <si>
    <t>DB MCB 16W SUS304 1.2</t>
  </si>
  <si>
    <t>DB MCB 16W SUS316 1.2</t>
  </si>
  <si>
    <t>DB MCB 12 W SUS316 1.2</t>
  </si>
  <si>
    <t>DB MCB 20W SUS304 1.2</t>
  </si>
  <si>
    <t>DB MCB 20W SUS316 1.2</t>
  </si>
  <si>
    <t>DB MCB 32W SUS304 1.2</t>
  </si>
  <si>
    <t>DB MCB 32W SUS316 1.2</t>
  </si>
  <si>
    <t>DB MCB 40W SUS304 1.2</t>
  </si>
  <si>
    <t>DB MCB 40W SUS316 1.2</t>
  </si>
  <si>
    <t>DB MCB 48W SUS304 1.2</t>
  </si>
  <si>
    <t>DB MCB 48W SUS316 1.2</t>
  </si>
  <si>
    <t>DB MCB 60W SUS304 1.2</t>
  </si>
  <si>
    <t>DB MCB 60W SUS316 1.2</t>
  </si>
  <si>
    <t>DB MCB 64W SUS304 1.2</t>
  </si>
  <si>
    <t>DB MCB 64W SUS316 1.2</t>
  </si>
  <si>
    <t>DB MCB 80W SUS304 1.2</t>
  </si>
  <si>
    <t>DB MCB 80W SUS316 1.2</t>
  </si>
  <si>
    <t>DB MCCB 16W SUS304 1.2</t>
  </si>
  <si>
    <t>DB MCCB 16W SUS316 1.2</t>
  </si>
  <si>
    <t>DB MCCB 24W SUS304 1.2</t>
  </si>
  <si>
    <t>DB MCCB 24W SUS316 1.2</t>
  </si>
  <si>
    <t>DB MCCB 40W SUS304 1.2</t>
  </si>
  <si>
    <t>DB MCCB 40W SUS316 1.2</t>
  </si>
  <si>
    <t>DB MCCB 52W SUS304 1.2</t>
  </si>
  <si>
    <t>DB MCCB 52W SUS316 1.2</t>
  </si>
  <si>
    <t>DB MCCB 56W SUS304 1.2</t>
  </si>
  <si>
    <t>SUS304
DB, MCB incoming,
1R 12W
220x400x120</t>
  </si>
  <si>
    <t>SUS304
DB, MCB incoming,
1R 16W
250x400x120</t>
  </si>
  <si>
    <t>SUS304
DB, MCB incoming,
1R 20W
250x500x120</t>
  </si>
  <si>
    <t>SUS304
DB, MCB incoming,
2R 16W
400x400x150</t>
  </si>
  <si>
    <t>SUS304
DB, MCB incoming,
2R 20W
400x500x150</t>
  </si>
  <si>
    <t>SUS304
DB, MCB incoming,
3R 16W
650x400x150</t>
  </si>
  <si>
    <t>SUS304
DB, MCB incoming,
3R 20W
650x500x150</t>
  </si>
  <si>
    <t>SUS304
DB, MCB incoming,
4R 16W
850x400x150</t>
  </si>
  <si>
    <t>SUS304
DB, MCB incoming,
4R 20W
850x500x150</t>
  </si>
  <si>
    <t>SUS304
DB, MCCB incoming,
2R 8W
400x400x150</t>
  </si>
  <si>
    <t>SUS304
DB, MCCB incoming,
2R 12W
400x500x150</t>
  </si>
  <si>
    <t>SUS304
DB, MCCB incoming,
3R 2x16W+1x8W
650x400x150</t>
  </si>
  <si>
    <t>SUS304
DB, MCCB incoming,
3R 2x20W+1x12W
650x500x150</t>
  </si>
  <si>
    <t>SUS304
DB, MCCB incoming,
4R 3x16W+1x8W
850x400x150</t>
  </si>
  <si>
    <t>SUS304
DB, MCCB incoming,
4R 3x20W+1x12W
850x500x150</t>
  </si>
  <si>
    <t>SUS304
DB, MCCB incoming,
1R 8W
350x400x150</t>
  </si>
  <si>
    <t>SUS316
DB, MCCB incoming,
1R 8W
350x400x150</t>
  </si>
  <si>
    <t>SUS316
DB, MCCB incoming,
4R 3x20W+1x12W
850x500x150</t>
  </si>
  <si>
    <t>SUS316
DB, MCCB incoming,
4R 3x16W+1x8W
850x400x150</t>
  </si>
  <si>
    <t>SUS316
DB, MCCB incoming
3R 2x20W+1x12W
650x500x150</t>
  </si>
  <si>
    <t>SUS316
DB, MCCB incoming,
3R 2x16W+1x8W
650x400x150</t>
  </si>
  <si>
    <t>SUS316
DB, MCCB incoming
2R 12W
400x500x150</t>
  </si>
  <si>
    <t>SUS316
DB, MCCB incoming,
2R 8W
400x400x150</t>
  </si>
  <si>
    <t>SUS316
DB, MCB incoming,
4R 20W
850x500x150</t>
  </si>
  <si>
    <t>SUS316
DB, MCB incoming,
4R 16W
850x400x150</t>
  </si>
  <si>
    <t>SUS316
DB, MCB incoming,
3R 20W
650x500x150</t>
  </si>
  <si>
    <t>SUS316
DB, MCB incoming,
3R 16W
650x400x150</t>
  </si>
  <si>
    <t>SUS316
DB, MCB incoming,
2R 20W
400x500x150</t>
  </si>
  <si>
    <t>SUS316
DB, MCB incoming,
2R 16W
400x400x150</t>
  </si>
  <si>
    <t>SUS316
DB, MCB incoming,
1R 20W
250x500x120</t>
  </si>
  <si>
    <t>SUS316
DB, MCB incoming,
1R 16W
250x400x120</t>
  </si>
  <si>
    <t>SUS316
DB, MCB incoming,
1R 12W
220x400x120</t>
  </si>
  <si>
    <t>DB MCCB 56W SUS316 1.2</t>
  </si>
  <si>
    <t>DB MCCB 72W SUS304 1.2</t>
  </si>
  <si>
    <t>DB MCCB 72W SUS316 1.2</t>
  </si>
  <si>
    <t>DB MCCB 8W SUS 316 1.2</t>
  </si>
  <si>
    <t>DB MCCB 8W SUS304 1.2</t>
  </si>
  <si>
    <t>TK BOX, MCCB IN, SUS316</t>
  </si>
  <si>
    <t>XB7NS8445</t>
  </si>
  <si>
    <t>DB23</t>
  </si>
  <si>
    <t>DB24</t>
  </si>
  <si>
    <t>DB25</t>
  </si>
  <si>
    <t>DB26</t>
  </si>
  <si>
    <t>DB27</t>
  </si>
  <si>
    <t>DB28</t>
  </si>
  <si>
    <t>DB29</t>
  </si>
  <si>
    <t>DB30</t>
  </si>
  <si>
    <t>DB31</t>
  </si>
  <si>
    <t>DB32</t>
  </si>
  <si>
    <t>2.0mm E.G SHEET, IP41(INDOOR), WALL MOUNTED PANEL (DB)</t>
  </si>
  <si>
    <t>12A CONTACTOR</t>
  </si>
  <si>
    <t>2P 6kA MCB</t>
  </si>
  <si>
    <t>40A DB/MSB</t>
  </si>
  <si>
    <t/>
  </si>
  <si>
    <t>40A DB/BGL</t>
  </si>
  <si>
    <t>40A DB/BGP</t>
  </si>
  <si>
    <t>40A DB/HALL</t>
  </si>
  <si>
    <t>40A DB/HALLP</t>
  </si>
  <si>
    <t>40A DB/GH</t>
  </si>
  <si>
    <t>40A DB/BAC</t>
  </si>
  <si>
    <t>63A DB/HALLAC</t>
  </si>
  <si>
    <t>TK-Q106-26</t>
  </si>
  <si>
    <t>100A MSB</t>
  </si>
  <si>
    <t>- IDMT E/F PROTECTION RELAY
- 5 STEPS OF 5 KVAR (25KVAR) CAP BANK INCLUDED</t>
  </si>
  <si>
    <t>40A DB-FC</t>
  </si>
  <si>
    <t>63A DB-PUMP</t>
  </si>
  <si>
    <t>40A DB-LT</t>
  </si>
  <si>
    <t>40A DB-PW</t>
  </si>
  <si>
    <t>40A DB-MSR</t>
  </si>
  <si>
    <t>SHELL STATION JALAN TUN JUGAH AIRPORT 1A, BLOCK 16, JALAN TUN JUGAH, 93350 KUCHING, SARAWAK</t>
  </si>
  <si>
    <t>CHINT - MCCB / MCB / RCCB / RCBO / CONTACTOR (AC-3 3P, AC-6b 3P)</t>
  </si>
  <si>
    <t>ELCO - CAPACITOR BANK</t>
  </si>
  <si>
    <t>DELAB - PROTECTION RELAY &amp; PFR</t>
  </si>
  <si>
    <t>DUVAL - SPD</t>
  </si>
  <si>
    <t>ABB - MTS</t>
  </si>
  <si>
    <t>8 to10 weeks upon approval of drawings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</si>
</sst>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4409]d\ mmmm\,\ yyyy;@"/>
  </numFmts>
  <fonts count="108">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0"/>
      <color theme="1"/>
      <name val="Calibri"/>
      <family val="2"/>
      <scheme val="minor"/>
    </font>
    <font>
      <sz val="11"/>
      <name val="Calibri"/>
      <family val="2"/>
      <scheme val="minor"/>
    </font>
    <font>
      <sz val="11"/>
      <color theme="1"/>
      <name val="Calibri"/>
      <family val="2"/>
    </font>
    <font>
      <sz val="11"/>
      <color rgb="FF006100"/>
      <name val="Calibri"/>
      <family val="2"/>
      <scheme val="minor"/>
    </font>
    <font>
      <sz val="11"/>
      <color theme="1"/>
      <name val="Calibri"/>
      <family val="2"/>
    </font>
    <font>
      <b/>
      <sz val="18"/>
      <color theme="1"/>
      <name val="Calibri"/>
      <family val="2"/>
      <scheme val="minor"/>
    </font>
    <font>
      <b/>
      <sz val="12"/>
      <color theme="1"/>
      <name val="Calibri"/>
      <family val="2"/>
      <scheme val="minor"/>
    </font>
    <font>
      <b/>
      <sz val="11"/>
      <color theme="5"/>
      <name val="Calibri"/>
      <family val="2"/>
      <scheme val="minor"/>
    </font>
    <font>
      <sz val="12"/>
      <color theme="1"/>
      <name val="Calibri"/>
      <family val="2"/>
      <scheme val="minor"/>
    </font>
    <font>
      <sz val="11"/>
      <color theme="1"/>
      <name val="Arial"/>
      <family val="2"/>
    </font>
    <font>
      <b/>
      <sz val="11"/>
      <color theme="1"/>
      <name val="Arial"/>
      <family val="2"/>
    </font>
    <font>
      <b/>
      <sz val="22"/>
      <color theme="1"/>
      <name val="Calibri"/>
      <family val="2"/>
      <scheme val="minor"/>
    </font>
    <font>
      <sz val="11"/>
      <name val="Arial"/>
      <family val="2"/>
    </font>
    <font>
      <sz val="12"/>
      <name val="Arial"/>
      <family val="2"/>
    </font>
    <font>
      <sz val="16"/>
      <color theme="1"/>
      <name val="Arial"/>
      <family val="2"/>
    </font>
    <font>
      <sz val="14"/>
      <color theme="0"/>
      <name val="Arial"/>
      <family val="2"/>
    </font>
    <font>
      <sz val="11"/>
      <color theme="0"/>
      <name val="Arial"/>
      <family val="2"/>
    </font>
    <font>
      <sz val="12"/>
      <color theme="1"/>
      <name val="Arial"/>
      <family val="2"/>
    </font>
    <font>
      <b/>
      <sz val="14"/>
      <color theme="0"/>
      <name val="Arial"/>
      <family val="2"/>
    </font>
    <font>
      <b/>
      <sz val="12"/>
      <color rgb="FFFF0000"/>
      <name val="Arial"/>
      <family val="2"/>
    </font>
    <font>
      <sz val="11"/>
      <color theme="1"/>
      <name val="Calibri"/>
      <family val="2"/>
    </font>
    <font>
      <sz val="11"/>
      <color theme="1"/>
      <name val="Calibri"/>
      <family val="2"/>
      <charset val="134"/>
      <scheme val="minor"/>
    </font>
    <font>
      <b/>
      <sz val="18"/>
      <color theme="1"/>
      <name val="Calibri"/>
      <family val="2"/>
      <scheme val="minor"/>
    </font>
    <font>
      <sz val="18"/>
      <color theme="1"/>
      <name val="Calibri"/>
      <family val="2"/>
      <scheme val="minor"/>
    </font>
    <font>
      <sz val="14"/>
      <color theme="0"/>
      <name val="Arial"/>
      <family val="2"/>
    </font>
    <font>
      <sz val="8"/>
      <name val="Calibri"/>
      <family val="2"/>
      <scheme val="minor"/>
    </font>
    <font>
      <b/>
      <sz val="11"/>
      <color theme="5"/>
      <name val="Calibri"/>
      <family val="2"/>
      <charset val="134"/>
      <scheme val="minor"/>
    </font>
    <font>
      <b/>
      <sz val="11"/>
      <color theme="9"/>
      <name val="Calibri"/>
      <family val="2"/>
      <scheme val="minor"/>
    </font>
    <font>
      <b/>
      <sz val="11"/>
      <color theme="8"/>
      <name val="Calibri"/>
      <family val="2"/>
      <scheme val="minor"/>
    </font>
    <font>
      <b/>
      <sz val="11"/>
      <color theme="9"/>
      <name val="Calibri"/>
      <family val="2"/>
      <charset val="134"/>
      <scheme val="minor"/>
    </font>
    <font>
      <b/>
      <sz val="11"/>
      <color theme="8"/>
      <name val="Calibri"/>
      <family val="2"/>
      <charset val="134"/>
      <scheme val="minor"/>
    </font>
    <font>
      <sz val="12"/>
      <color theme="1"/>
      <name val="Calibri"/>
      <family val="2"/>
      <scheme val="minor"/>
    </font>
    <font>
      <b/>
      <sz val="12"/>
      <color theme="1"/>
      <name val="Calibri"/>
      <family val="2"/>
      <scheme val="minor"/>
    </font>
    <font>
      <b/>
      <sz val="11"/>
      <color rgb="FFFF0000"/>
      <name val="Calibri"/>
      <family val="2"/>
      <scheme val="minor"/>
    </font>
    <font>
      <sz val="8"/>
      <name val="Calibri"/>
      <family val="2"/>
      <scheme val="minor"/>
    </font>
    <font>
      <strike/>
      <sz val="11"/>
      <color theme="1"/>
      <name val="Arial"/>
      <family val="2"/>
    </font>
    <font>
      <b/>
      <sz val="11"/>
      <color rgb="FF00B0F0"/>
      <name val="Calibri"/>
      <family val="2"/>
      <scheme val="minor"/>
    </font>
    <font>
      <b/>
      <sz val="14"/>
      <name val="Arial"/>
      <family val="2"/>
    </font>
    <font>
      <sz val="14"/>
      <name val="Arial"/>
      <family val="2"/>
    </font>
  </fonts>
  <fills count="22">
    <fill>
      <patternFill patternType="none"/>
    </fill>
    <fill>
      <patternFill patternType="gray125"/>
    </fill>
    <fill>
      <patternFill patternType="solid">
        <fgColor theme="8" tint="0.79995117038483843"/>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7"/>
        <bgColor indexed="64"/>
      </patternFill>
    </fill>
    <fill>
      <patternFill patternType="solid">
        <fgColor rgb="FFC6EFCE"/>
        <bgColor indexed="64"/>
      </patternFill>
    </fill>
    <fill>
      <patternFill patternType="solid">
        <fgColor theme="5" tint="0.59999389629810485"/>
        <bgColor indexed="64"/>
      </patternFill>
    </fill>
    <fill>
      <patternFill patternType="solid">
        <fgColor theme="4"/>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0070C0"/>
        <bgColor indexed="64"/>
      </patternFill>
    </fill>
    <fill>
      <patternFill patternType="solid">
        <fgColor theme="7" tint="0.3999450666829432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8"/>
        <bgColor indexed="64"/>
      </patternFill>
    </fill>
    <fill>
      <patternFill patternType="solid">
        <fgColor theme="5" tint="-0.499984740745262"/>
        <bgColor indexed="64"/>
      </patternFill>
    </fill>
    <fill>
      <patternFill patternType="solid">
        <fgColor theme="2" tint="-0.499984740745262"/>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bottom style="thin">
        <color auto="1"/>
      </bottom>
      <diagonal/>
    </border>
    <border>
      <left/>
      <right/>
      <top style="thin">
        <color theme="4" tint="0.39994506668294322"/>
      </top>
      <bottom style="thin">
        <color theme="4" tint="0.39994506668294322"/>
      </bottom>
      <diagonal/>
    </border>
    <border>
      <left/>
      <right/>
      <top style="thin">
        <color theme="4" tint="0.39994506668294322"/>
      </top>
      <bottom/>
      <diagonal/>
    </border>
    <border>
      <left style="thin">
        <color auto="1"/>
      </left>
      <right style="thin">
        <color auto="1"/>
      </right>
      <top style="thin">
        <color auto="1"/>
      </top>
      <bottom/>
      <diagonal/>
    </border>
    <border>
      <left/>
      <right style="thin">
        <color auto="1"/>
      </right>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diagonal/>
    </border>
    <border>
      <left style="medium">
        <color auto="1"/>
      </left>
      <right style="medium">
        <color auto="1"/>
      </right>
      <top/>
      <bottom/>
      <diagonal/>
    </border>
    <border>
      <left/>
      <right/>
      <top style="medium">
        <color auto="1"/>
      </top>
      <bottom style="medium">
        <color auto="1"/>
      </bottom>
      <diagonal/>
    </border>
    <border>
      <left style="medium">
        <color auto="1"/>
      </left>
      <right/>
      <top/>
      <bottom/>
      <diagonal/>
    </border>
    <border>
      <left/>
      <right/>
      <top/>
      <bottom style="mediumDashed">
        <color auto="1"/>
      </bottom>
      <diagonal/>
    </border>
    <border>
      <left/>
      <right/>
      <top style="mediumDashed">
        <color auto="1"/>
      </top>
      <bottom/>
      <diagonal/>
    </border>
    <border>
      <left/>
      <right style="medium">
        <color auto="1"/>
      </right>
      <top style="medium">
        <color auto="1"/>
      </top>
      <bottom/>
      <diagonal/>
    </border>
    <border>
      <left/>
      <right style="medium">
        <color auto="1"/>
      </right>
      <top/>
      <bottom style="medium">
        <color auto="1"/>
      </bottom>
      <diagonal/>
    </border>
    <border>
      <left/>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s>
  <cellStyleXfs count="2">
    <xf numFmtId="0" fontId="0" fillId="0" borderId="0"/>
    <xf numFmtId="0" fontId="72" fillId="7" borderId="0" applyNumberFormat="0" applyBorder="0" applyAlignment="0" applyProtection="0"/>
  </cellStyleXfs>
  <cellXfs count="388">
    <xf numFmtId="0" fontId="0" fillId="0" borderId="0" xfId="0"/>
    <xf numFmtId="0" fontId="0" fillId="0" borderId="0" xfId="0" applyAlignment="1">
      <alignment horizontal="center"/>
    </xf>
    <xf numFmtId="0" fontId="0" fillId="0" borderId="1" xfId="0" applyBorder="1"/>
    <xf numFmtId="0" fontId="0" fillId="0" borderId="1" xfId="0" applyBorder="1" applyAlignment="1">
      <alignment horizontal="center"/>
    </xf>
    <xf numFmtId="0" fontId="69" fillId="0" borderId="0" xfId="0" applyFont="1" applyAlignment="1">
      <alignment wrapText="1"/>
    </xf>
    <xf numFmtId="0" fontId="0" fillId="0" borderId="0" xfId="0" applyAlignment="1">
      <alignment wrapText="1"/>
    </xf>
    <xf numFmtId="0" fontId="0" fillId="0" borderId="0" xfId="0" applyAlignment="1">
      <alignment horizontal="center" wrapText="1"/>
    </xf>
    <xf numFmtId="0" fontId="69" fillId="0" borderId="0" xfId="0" applyFont="1" applyAlignment="1">
      <alignment horizontal="center" wrapText="1"/>
    </xf>
    <xf numFmtId="0" fontId="0" fillId="0" borderId="0" xfId="0" applyAlignment="1">
      <alignment horizontal="left" wrapText="1"/>
    </xf>
    <xf numFmtId="14" fontId="0" fillId="4" borderId="0" xfId="0" applyNumberFormat="1" applyFill="1" applyAlignment="1">
      <alignment wrapText="1"/>
    </xf>
    <xf numFmtId="14" fontId="0" fillId="5" borderId="0" xfId="0" applyNumberFormat="1" applyFill="1" applyAlignment="1">
      <alignment wrapText="1"/>
    </xf>
    <xf numFmtId="0" fontId="0" fillId="0" borderId="5" xfId="0" applyBorder="1" applyAlignment="1">
      <alignment wrapText="1"/>
    </xf>
    <xf numFmtId="0" fontId="0" fillId="0" borderId="5" xfId="0" applyBorder="1" applyAlignment="1">
      <alignment horizontal="left" wrapText="1"/>
    </xf>
    <xf numFmtId="0" fontId="0" fillId="0" borderId="5" xfId="0" applyBorder="1" applyAlignment="1">
      <alignment horizontal="center" wrapText="1"/>
    </xf>
    <xf numFmtId="0" fontId="0" fillId="6" borderId="0" xfId="0" applyFill="1" applyAlignment="1">
      <alignment wrapText="1"/>
    </xf>
    <xf numFmtId="0" fontId="0" fillId="3" borderId="0" xfId="0" applyFill="1" applyAlignment="1">
      <alignment wrapText="1"/>
    </xf>
    <xf numFmtId="0" fontId="0" fillId="0" borderId="6" xfId="0" applyBorder="1" applyAlignment="1">
      <alignment wrapText="1"/>
    </xf>
    <xf numFmtId="0" fontId="0" fillId="0" borderId="6" xfId="0" applyBorder="1" applyAlignment="1">
      <alignment horizontal="left" wrapText="1"/>
    </xf>
    <xf numFmtId="0" fontId="0" fillId="0" borderId="6" xfId="0" applyBorder="1" applyAlignment="1">
      <alignment horizontal="center" wrapText="1"/>
    </xf>
    <xf numFmtId="2" fontId="69" fillId="0" borderId="0" xfId="0" applyNumberFormat="1" applyFont="1" applyAlignment="1">
      <alignment wrapText="1"/>
    </xf>
    <xf numFmtId="2" fontId="0" fillId="0" borderId="0" xfId="0" applyNumberFormat="1" applyAlignment="1">
      <alignment wrapText="1"/>
    </xf>
    <xf numFmtId="0" fontId="0" fillId="0" borderId="0" xfId="0" applyAlignment="1">
      <alignment horizontal="right" wrapText="1"/>
    </xf>
    <xf numFmtId="14" fontId="0" fillId="0" borderId="0" xfId="0" applyNumberFormat="1" applyAlignment="1">
      <alignment wrapText="1"/>
    </xf>
    <xf numFmtId="0" fontId="0" fillId="6" borderId="0" xfId="0" applyFill="1" applyAlignment="1">
      <alignment horizontal="left" wrapText="1"/>
    </xf>
    <xf numFmtId="0" fontId="0" fillId="6" borderId="0" xfId="0" applyFill="1" applyAlignment="1">
      <alignment horizontal="center" wrapText="1"/>
    </xf>
    <xf numFmtId="0" fontId="71" fillId="0" borderId="0" xfId="0" applyFont="1" applyAlignment="1">
      <alignment horizontal="center" wrapText="1"/>
    </xf>
    <xf numFmtId="14" fontId="72" fillId="7" borderId="0" xfId="1" applyNumberFormat="1" applyAlignment="1">
      <alignment wrapText="1"/>
    </xf>
    <xf numFmtId="0" fontId="67" fillId="0" borderId="0" xfId="0" applyFont="1" applyAlignment="1">
      <alignment wrapText="1"/>
    </xf>
    <xf numFmtId="0" fontId="0" fillId="3" borderId="0" xfId="0" applyFill="1" applyAlignment="1">
      <alignment horizontal="left" wrapText="1"/>
    </xf>
    <xf numFmtId="14" fontId="72" fillId="4" borderId="0" xfId="1" applyNumberFormat="1" applyFill="1" applyBorder="1" applyAlignment="1">
      <alignment wrapText="1"/>
    </xf>
    <xf numFmtId="0" fontId="70" fillId="0" borderId="0" xfId="0" applyFont="1" applyAlignment="1">
      <alignment wrapText="1"/>
    </xf>
    <xf numFmtId="0" fontId="71" fillId="0" borderId="0" xfId="0" applyFont="1" applyAlignment="1">
      <alignment wrapText="1"/>
    </xf>
    <xf numFmtId="0" fontId="70" fillId="0" borderId="0" xfId="0" applyFont="1" applyAlignment="1">
      <alignment horizontal="left" wrapText="1"/>
    </xf>
    <xf numFmtId="0" fontId="70" fillId="0" borderId="0" xfId="0" applyFont="1" applyAlignment="1">
      <alignment horizontal="center" wrapText="1"/>
    </xf>
    <xf numFmtId="0" fontId="70" fillId="3" borderId="0" xfId="0" applyFont="1" applyFill="1" applyAlignment="1">
      <alignment wrapText="1"/>
    </xf>
    <xf numFmtId="0" fontId="70" fillId="3" borderId="0" xfId="0" applyFont="1" applyFill="1" applyAlignment="1">
      <alignment horizontal="left" wrapText="1"/>
    </xf>
    <xf numFmtId="0" fontId="0" fillId="8" borderId="0" xfId="0" applyFill="1" applyAlignment="1">
      <alignment wrapText="1"/>
    </xf>
    <xf numFmtId="0" fontId="73" fillId="0" borderId="0" xfId="0" applyFont="1" applyAlignment="1">
      <alignment horizontal="center" wrapText="1"/>
    </xf>
    <xf numFmtId="0" fontId="73" fillId="0" borderId="0" xfId="0" applyFont="1" applyAlignment="1">
      <alignment wrapText="1"/>
    </xf>
    <xf numFmtId="0" fontId="0" fillId="0" borderId="0" xfId="0" applyAlignment="1" applyProtection="1">
      <alignment horizontal="left"/>
      <protection locked="0"/>
    </xf>
    <xf numFmtId="0" fontId="0" fillId="0" borderId="0" xfId="0" applyAlignment="1" applyProtection="1">
      <alignment wrapText="1"/>
      <protection locked="0"/>
    </xf>
    <xf numFmtId="0" fontId="0" fillId="0" borderId="0" xfId="0" applyProtection="1">
      <protection locked="0"/>
    </xf>
    <xf numFmtId="0" fontId="0" fillId="0" borderId="0" xfId="0" applyAlignment="1" applyProtection="1">
      <alignment horizontal="center"/>
      <protection locked="0"/>
    </xf>
    <xf numFmtId="4" fontId="0" fillId="0" borderId="0" xfId="0" applyNumberFormat="1" applyProtection="1">
      <protection locked="0"/>
    </xf>
    <xf numFmtId="0" fontId="78" fillId="0" borderId="0" xfId="0" applyFont="1"/>
    <xf numFmtId="0" fontId="79" fillId="9" borderId="7" xfId="0" applyFont="1" applyFill="1" applyBorder="1"/>
    <xf numFmtId="0" fontId="78" fillId="10" borderId="0" xfId="0" applyFont="1" applyFill="1"/>
    <xf numFmtId="0" fontId="79" fillId="9" borderId="1" xfId="0" applyFont="1" applyFill="1" applyBorder="1"/>
    <xf numFmtId="0" fontId="78" fillId="0" borderId="8" xfId="0" applyFont="1" applyBorder="1"/>
    <xf numFmtId="0" fontId="78" fillId="0" borderId="0" xfId="0" applyFont="1" applyAlignment="1">
      <alignment wrapText="1"/>
    </xf>
    <xf numFmtId="0" fontId="68" fillId="0" borderId="0" xfId="0" applyFont="1"/>
    <xf numFmtId="0" fontId="0" fillId="0" borderId="9" xfId="0" applyBorder="1" applyAlignment="1">
      <alignment horizontal="center"/>
    </xf>
    <xf numFmtId="0" fontId="0" fillId="0" borderId="12"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4" xfId="0" applyBorder="1" applyAlignment="1">
      <alignment horizontal="center"/>
    </xf>
    <xf numFmtId="0" fontId="0" fillId="0" borderId="14" xfId="0" applyBorder="1"/>
    <xf numFmtId="0" fontId="0" fillId="0" borderId="11" xfId="0" applyBorder="1" applyAlignment="1">
      <alignment horizontal="center"/>
    </xf>
    <xf numFmtId="0" fontId="0" fillId="0" borderId="11" xfId="0" applyBorder="1"/>
    <xf numFmtId="0" fontId="0" fillId="0" borderId="10"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68" fillId="0" borderId="14" xfId="0" applyFont="1" applyBorder="1"/>
    <xf numFmtId="0" fontId="68" fillId="0" borderId="18" xfId="0" applyFont="1" applyBorder="1"/>
    <xf numFmtId="0" fontId="0" fillId="0" borderId="3" xfId="0" applyBorder="1" applyAlignment="1">
      <alignment horizontal="center"/>
    </xf>
    <xf numFmtId="0" fontId="68" fillId="0" borderId="13" xfId="0" applyFont="1" applyBorder="1"/>
    <xf numFmtId="0" fontId="68" fillId="0" borderId="10" xfId="0" applyFont="1" applyBorder="1"/>
    <xf numFmtId="0" fontId="0" fillId="0" borderId="19" xfId="0" applyBorder="1"/>
    <xf numFmtId="0" fontId="0" fillId="0" borderId="18" xfId="0" applyBorder="1"/>
    <xf numFmtId="0" fontId="68" fillId="0" borderId="10" xfId="0" applyFont="1" applyBorder="1" applyAlignment="1">
      <alignment horizontal="center" vertical="center" wrapText="1"/>
    </xf>
    <xf numFmtId="0" fontId="68" fillId="0" borderId="18" xfId="0" applyFont="1" applyBorder="1" applyAlignment="1">
      <alignment horizontal="center" vertical="center" wrapText="1"/>
    </xf>
    <xf numFmtId="0" fontId="0" fillId="0" borderId="7" xfId="0" applyBorder="1"/>
    <xf numFmtId="0" fontId="0" fillId="0" borderId="0" xfId="0" applyAlignment="1">
      <alignment horizontal="left"/>
    </xf>
    <xf numFmtId="0" fontId="0" fillId="0" borderId="20" xfId="0" applyBorder="1"/>
    <xf numFmtId="0" fontId="0" fillId="0" borderId="13" xfId="0" applyBorder="1"/>
    <xf numFmtId="0" fontId="0" fillId="0" borderId="21" xfId="0" applyBorder="1"/>
    <xf numFmtId="0" fontId="0" fillId="0" borderId="15" xfId="0" applyBorder="1"/>
    <xf numFmtId="0" fontId="0" fillId="0" borderId="22" xfId="0" applyBorder="1"/>
    <xf numFmtId="0" fontId="81" fillId="0" borderId="0" xfId="0" applyFont="1"/>
    <xf numFmtId="0" fontId="78" fillId="0" borderId="10" xfId="0" applyFont="1" applyBorder="1"/>
    <xf numFmtId="0" fontId="78" fillId="0" borderId="11" xfId="0" applyFont="1" applyBorder="1"/>
    <xf numFmtId="0" fontId="81" fillId="11" borderId="18" xfId="0" applyFont="1" applyFill="1" applyBorder="1"/>
    <xf numFmtId="0" fontId="81" fillId="11" borderId="0" xfId="0" applyFont="1" applyFill="1"/>
    <xf numFmtId="0" fontId="81" fillId="12" borderId="13" xfId="0" applyFont="1" applyFill="1" applyBorder="1"/>
    <xf numFmtId="0" fontId="81" fillId="12" borderId="14" xfId="0" applyFont="1" applyFill="1" applyBorder="1"/>
    <xf numFmtId="0" fontId="78" fillId="0" borderId="18" xfId="0" applyFont="1" applyBorder="1" applyAlignment="1">
      <alignment wrapText="1"/>
    </xf>
    <xf numFmtId="0" fontId="81" fillId="11" borderId="13" xfId="0" applyFont="1" applyFill="1" applyBorder="1"/>
    <xf numFmtId="0" fontId="81" fillId="11" borderId="14" xfId="0" applyFont="1" applyFill="1" applyBorder="1"/>
    <xf numFmtId="0" fontId="78" fillId="11" borderId="14" xfId="0" applyFont="1" applyFill="1" applyBorder="1"/>
    <xf numFmtId="0" fontId="84" fillId="13" borderId="1" xfId="0" applyFont="1" applyFill="1" applyBorder="1"/>
    <xf numFmtId="0" fontId="85" fillId="5" borderId="4" xfId="0" applyFont="1" applyFill="1" applyBorder="1"/>
    <xf numFmtId="0" fontId="78" fillId="0" borderId="1" xfId="0" applyFont="1" applyBorder="1" applyAlignment="1">
      <alignment wrapText="1"/>
    </xf>
    <xf numFmtId="0" fontId="84" fillId="13" borderId="0" xfId="0" applyFont="1" applyFill="1"/>
    <xf numFmtId="0" fontId="86" fillId="0" borderId="0" xfId="0" applyFont="1"/>
    <xf numFmtId="4" fontId="86" fillId="0" borderId="0" xfId="0" applyNumberFormat="1" applyFont="1"/>
    <xf numFmtId="0" fontId="87" fillId="13" borderId="0" xfId="0" applyFont="1" applyFill="1"/>
    <xf numFmtId="0" fontId="78" fillId="0" borderId="21" xfId="0" applyFont="1" applyBorder="1"/>
    <xf numFmtId="0" fontId="81" fillId="11" borderId="15" xfId="0" applyFont="1" applyFill="1" applyBorder="1"/>
    <xf numFmtId="0" fontId="84" fillId="14" borderId="4" xfId="0" applyFont="1" applyFill="1" applyBorder="1"/>
    <xf numFmtId="0" fontId="84" fillId="14" borderId="1" xfId="0" applyFont="1" applyFill="1" applyBorder="1"/>
    <xf numFmtId="4" fontId="78" fillId="0" borderId="0" xfId="0" applyNumberFormat="1" applyFont="1"/>
    <xf numFmtId="0" fontId="79" fillId="0" borderId="0" xfId="0" applyFont="1"/>
    <xf numFmtId="0" fontId="0" fillId="0" borderId="0" xfId="0" quotePrefix="1" applyAlignment="1" applyProtection="1">
      <alignment horizontal="left"/>
      <protection locked="0"/>
    </xf>
    <xf numFmtId="0" fontId="0" fillId="0" borderId="0" xfId="0" quotePrefix="1" applyAlignment="1">
      <alignment horizontal="left" wrapText="1"/>
    </xf>
    <xf numFmtId="0" fontId="0" fillId="0" borderId="0" xfId="0" quotePrefix="1" applyAlignment="1">
      <alignment horizontal="center" wrapText="1"/>
    </xf>
    <xf numFmtId="0" fontId="89" fillId="0" borderId="0" xfId="0" applyFont="1" applyAlignment="1">
      <alignment horizontal="center" wrapText="1"/>
    </xf>
    <xf numFmtId="0" fontId="89" fillId="0" borderId="0" xfId="0" applyFont="1" applyAlignment="1">
      <alignment wrapText="1"/>
    </xf>
    <xf numFmtId="0" fontId="90" fillId="6" borderId="0" xfId="0" applyFont="1" applyFill="1" applyAlignment="1">
      <alignment horizontal="center" wrapText="1"/>
    </xf>
    <xf numFmtId="0" fontId="66" fillId="6" borderId="0" xfId="0" applyFont="1" applyFill="1" applyAlignment="1">
      <alignment horizontal="center" wrapText="1"/>
    </xf>
    <xf numFmtId="0" fontId="66" fillId="0" borderId="0" xfId="0" applyFont="1" applyAlignment="1">
      <alignment horizontal="center" wrapText="1"/>
    </xf>
    <xf numFmtId="0" fontId="90" fillId="0" borderId="0" xfId="0" applyFont="1" applyAlignment="1">
      <alignment horizontal="center" wrapText="1"/>
    </xf>
    <xf numFmtId="0" fontId="90" fillId="0" borderId="0" xfId="0" applyFont="1" applyAlignment="1" applyProtection="1">
      <alignment horizontal="left"/>
      <protection locked="0"/>
    </xf>
    <xf numFmtId="14" fontId="70" fillId="4" borderId="0" xfId="0" applyNumberFormat="1" applyFont="1" applyFill="1" applyAlignment="1">
      <alignment wrapText="1"/>
    </xf>
    <xf numFmtId="0" fontId="65" fillId="0" borderId="0" xfId="0" applyFont="1" applyAlignment="1">
      <alignment wrapText="1"/>
    </xf>
    <xf numFmtId="0" fontId="65" fillId="0" borderId="0" xfId="0" applyFont="1" applyAlignment="1">
      <alignment horizontal="center" wrapText="1"/>
    </xf>
    <xf numFmtId="2" fontId="65" fillId="0" borderId="0" xfId="0" applyNumberFormat="1" applyFont="1" applyAlignment="1">
      <alignment wrapText="1"/>
    </xf>
    <xf numFmtId="0" fontId="65" fillId="0" borderId="0" xfId="0" applyFont="1" applyAlignment="1" applyProtection="1">
      <alignment horizontal="left"/>
      <protection locked="0"/>
    </xf>
    <xf numFmtId="2" fontId="0" fillId="0" borderId="0" xfId="0" applyNumberFormat="1" applyProtection="1">
      <protection locked="0"/>
    </xf>
    <xf numFmtId="14" fontId="65" fillId="4" borderId="0" xfId="0" applyNumberFormat="1" applyFont="1" applyFill="1" applyAlignment="1">
      <alignment wrapText="1"/>
    </xf>
    <xf numFmtId="2" fontId="0" fillId="15" borderId="1" xfId="0" applyNumberFormat="1" applyFill="1" applyBorder="1" applyAlignment="1">
      <alignment horizontal="left"/>
    </xf>
    <xf numFmtId="2" fontId="0" fillId="0" borderId="1" xfId="0" applyNumberFormat="1" applyBorder="1" applyAlignment="1">
      <alignment horizontal="left"/>
    </xf>
    <xf numFmtId="2" fontId="0" fillId="16" borderId="1" xfId="0" applyNumberFormat="1" applyFill="1" applyBorder="1" applyAlignment="1" applyProtection="1">
      <alignment horizontal="left"/>
      <protection locked="0"/>
    </xf>
    <xf numFmtId="0" fontId="100" fillId="0" borderId="0" xfId="0" applyFont="1" applyProtection="1">
      <protection locked="0"/>
    </xf>
    <xf numFmtId="0" fontId="100" fillId="0" borderId="0" xfId="0" applyFont="1" applyAlignment="1" applyProtection="1">
      <alignment horizontal="left"/>
      <protection locked="0"/>
    </xf>
    <xf numFmtId="0" fontId="100" fillId="0" borderId="0" xfId="0" applyFont="1" applyAlignment="1" applyProtection="1">
      <alignment wrapText="1"/>
      <protection locked="0"/>
    </xf>
    <xf numFmtId="0" fontId="100" fillId="0" borderId="1" xfId="0" applyFont="1" applyBorder="1" applyProtection="1">
      <protection locked="0"/>
    </xf>
    <xf numFmtId="2" fontId="100" fillId="0" borderId="1" xfId="0" applyNumberFormat="1" applyFont="1" applyBorder="1" applyAlignment="1" applyProtection="1">
      <alignment horizontal="left"/>
      <protection locked="0"/>
    </xf>
    <xf numFmtId="0" fontId="100" fillId="0" borderId="1" xfId="0" applyFont="1" applyBorder="1" applyAlignment="1" applyProtection="1">
      <alignment horizontal="left"/>
      <protection locked="0"/>
    </xf>
    <xf numFmtId="0" fontId="101" fillId="0" borderId="1" xfId="0" applyFont="1" applyBorder="1" applyAlignment="1" applyProtection="1">
      <alignment horizontal="left" wrapText="1"/>
      <protection locked="0"/>
    </xf>
    <xf numFmtId="2" fontId="100" fillId="0" borderId="1" xfId="0" applyNumberFormat="1" applyFont="1" applyBorder="1" applyAlignment="1" applyProtection="1">
      <alignment horizontal="left" wrapText="1"/>
      <protection locked="0"/>
    </xf>
    <xf numFmtId="0" fontId="0" fillId="0" borderId="0" xfId="0" applyAlignment="1" applyProtection="1">
      <alignment horizontal="left" wrapText="1"/>
      <protection locked="0"/>
    </xf>
    <xf numFmtId="0" fontId="90" fillId="6" borderId="0" xfId="0" applyFont="1" applyFill="1" applyAlignment="1">
      <alignment wrapText="1"/>
    </xf>
    <xf numFmtId="0" fontId="64" fillId="0" borderId="0" xfId="0" applyFont="1" applyAlignment="1">
      <alignment horizontal="center" wrapText="1"/>
    </xf>
    <xf numFmtId="2" fontId="64" fillId="0" borderId="0" xfId="0" applyNumberFormat="1" applyFont="1" applyAlignment="1">
      <alignment wrapText="1"/>
    </xf>
    <xf numFmtId="14" fontId="64" fillId="4" borderId="0" xfId="0" applyNumberFormat="1" applyFont="1" applyFill="1" applyAlignment="1">
      <alignment wrapText="1"/>
    </xf>
    <xf numFmtId="0" fontId="77" fillId="0" borderId="1" xfId="0" applyFont="1" applyBorder="1" applyAlignment="1" applyProtection="1">
      <alignment horizontal="left"/>
      <protection locked="0"/>
    </xf>
    <xf numFmtId="0" fontId="77" fillId="0" borderId="1" xfId="0" quotePrefix="1" applyFont="1" applyBorder="1" applyAlignment="1" applyProtection="1">
      <alignment horizontal="left" wrapText="1"/>
      <protection locked="0"/>
    </xf>
    <xf numFmtId="0" fontId="63" fillId="0" borderId="0" xfId="0" applyFont="1" applyAlignment="1">
      <alignment wrapText="1"/>
    </xf>
    <xf numFmtId="0" fontId="63" fillId="0" borderId="0" xfId="0" applyFont="1" applyAlignment="1">
      <alignment horizontal="left" wrapText="1"/>
    </xf>
    <xf numFmtId="0" fontId="63" fillId="0" borderId="0" xfId="0" applyFont="1" applyAlignment="1">
      <alignment horizontal="center" wrapText="1"/>
    </xf>
    <xf numFmtId="2" fontId="63" fillId="0" borderId="0" xfId="0" applyNumberFormat="1" applyFont="1" applyAlignment="1">
      <alignment wrapText="1"/>
    </xf>
    <xf numFmtId="14" fontId="63" fillId="4" borderId="0" xfId="0" applyNumberFormat="1" applyFont="1" applyFill="1" applyAlignment="1">
      <alignment wrapText="1"/>
    </xf>
    <xf numFmtId="0" fontId="90" fillId="0" borderId="0" xfId="0" applyFont="1" applyAlignment="1">
      <alignment wrapText="1"/>
    </xf>
    <xf numFmtId="0" fontId="62" fillId="0" borderId="0" xfId="0" applyFont="1" applyAlignment="1">
      <alignment wrapText="1"/>
    </xf>
    <xf numFmtId="0" fontId="62" fillId="0" borderId="0" xfId="0" applyFont="1" applyAlignment="1">
      <alignment horizontal="left" wrapText="1"/>
    </xf>
    <xf numFmtId="0" fontId="62" fillId="0" borderId="0" xfId="0" applyFont="1" applyAlignment="1">
      <alignment horizontal="center" wrapText="1"/>
    </xf>
    <xf numFmtId="2" fontId="62" fillId="0" borderId="0" xfId="0" applyNumberFormat="1" applyFont="1" applyAlignment="1">
      <alignment wrapText="1"/>
    </xf>
    <xf numFmtId="14" fontId="62" fillId="4" borderId="0" xfId="0" applyNumberFormat="1" applyFont="1" applyFill="1" applyAlignment="1">
      <alignment wrapText="1"/>
    </xf>
    <xf numFmtId="0" fontId="61" fillId="0" borderId="0" xfId="0" applyFont="1" applyAlignment="1">
      <alignment wrapText="1"/>
    </xf>
    <xf numFmtId="0" fontId="61" fillId="0" borderId="0" xfId="0" applyFont="1" applyAlignment="1">
      <alignment horizontal="left" wrapText="1"/>
    </xf>
    <xf numFmtId="0" fontId="61" fillId="0" borderId="0" xfId="0" applyFont="1" applyAlignment="1">
      <alignment horizontal="center" wrapText="1"/>
    </xf>
    <xf numFmtId="2" fontId="61" fillId="0" borderId="0" xfId="0" applyNumberFormat="1" applyFont="1" applyAlignment="1">
      <alignment wrapText="1"/>
    </xf>
    <xf numFmtId="14" fontId="61" fillId="4" borderId="0" xfId="0" applyNumberFormat="1" applyFont="1" applyFill="1" applyAlignment="1">
      <alignment wrapText="1"/>
    </xf>
    <xf numFmtId="0" fontId="60" fillId="0" borderId="0" xfId="0" applyFont="1" applyAlignment="1">
      <alignment wrapText="1"/>
    </xf>
    <xf numFmtId="0" fontId="60" fillId="0" borderId="0" xfId="0" applyFont="1" applyAlignment="1">
      <alignment horizontal="left" wrapText="1"/>
    </xf>
    <xf numFmtId="0" fontId="60" fillId="0" borderId="0" xfId="0" applyFont="1" applyAlignment="1">
      <alignment horizontal="center" wrapText="1"/>
    </xf>
    <xf numFmtId="2" fontId="60" fillId="0" borderId="0" xfId="0" applyNumberFormat="1" applyFont="1" applyAlignment="1">
      <alignment wrapText="1"/>
    </xf>
    <xf numFmtId="14" fontId="60" fillId="4" borderId="0" xfId="0" applyNumberFormat="1" applyFont="1" applyFill="1" applyAlignment="1">
      <alignment wrapText="1"/>
    </xf>
    <xf numFmtId="0" fontId="60" fillId="6" borderId="0" xfId="0" applyFont="1" applyFill="1" applyAlignment="1">
      <alignment wrapText="1"/>
    </xf>
    <xf numFmtId="0" fontId="60" fillId="6" borderId="0" xfId="0" applyFont="1" applyFill="1" applyAlignment="1">
      <alignment horizontal="left" wrapText="1"/>
    </xf>
    <xf numFmtId="0" fontId="92" fillId="0" borderId="1" xfId="0" quotePrefix="1" applyFont="1" applyBorder="1" applyAlignment="1" applyProtection="1">
      <alignment wrapText="1"/>
      <protection locked="0"/>
    </xf>
    <xf numFmtId="0" fontId="90" fillId="17" borderId="24" xfId="0" applyFont="1" applyFill="1" applyBorder="1" applyAlignment="1" applyProtection="1">
      <alignment horizontal="left"/>
      <protection locked="0"/>
    </xf>
    <xf numFmtId="0" fontId="90" fillId="17" borderId="25" xfId="0" applyFont="1" applyFill="1" applyBorder="1" applyAlignment="1" applyProtection="1">
      <alignment horizontal="left"/>
      <protection locked="0"/>
    </xf>
    <xf numFmtId="0" fontId="90" fillId="0" borderId="24" xfId="0" applyFont="1" applyBorder="1" applyAlignment="1" applyProtection="1">
      <alignment horizontal="left"/>
      <protection locked="0"/>
    </xf>
    <xf numFmtId="0" fontId="90" fillId="0" borderId="25" xfId="0" applyFont="1" applyBorder="1" applyAlignment="1" applyProtection="1">
      <alignment horizontal="left"/>
      <protection locked="0"/>
    </xf>
    <xf numFmtId="0" fontId="57" fillId="0" borderId="0" xfId="0" applyFont="1" applyAlignment="1" applyProtection="1">
      <alignment horizontal="left"/>
      <protection locked="0"/>
    </xf>
    <xf numFmtId="0" fontId="57" fillId="0" borderId="18" xfId="0" applyFont="1" applyBorder="1"/>
    <xf numFmtId="0" fontId="90" fillId="0" borderId="0" xfId="0" applyFont="1" applyAlignment="1" applyProtection="1">
      <alignment horizontal="left" wrapText="1"/>
      <protection locked="0"/>
    </xf>
    <xf numFmtId="0" fontId="58" fillId="0" borderId="25" xfId="0" applyFont="1" applyBorder="1" applyAlignment="1" applyProtection="1">
      <alignment horizontal="left"/>
      <protection locked="0"/>
    </xf>
    <xf numFmtId="0" fontId="0" fillId="0" borderId="0" xfId="0" applyAlignment="1">
      <alignment textRotation="90"/>
    </xf>
    <xf numFmtId="2" fontId="0" fillId="0" borderId="0" xfId="0" applyNumberFormat="1" applyAlignment="1">
      <alignment textRotation="90"/>
    </xf>
    <xf numFmtId="2" fontId="0" fillId="0" borderId="26" xfId="0" applyNumberFormat="1" applyBorder="1" applyAlignment="1">
      <alignment horizontal="left"/>
    </xf>
    <xf numFmtId="0" fontId="0" fillId="0" borderId="1" xfId="0" applyBorder="1" applyAlignment="1">
      <alignment textRotation="90"/>
    </xf>
    <xf numFmtId="2" fontId="0" fillId="0" borderId="1" xfId="0" applyNumberFormat="1" applyBorder="1" applyAlignment="1">
      <alignment textRotation="90"/>
    </xf>
    <xf numFmtId="0" fontId="0" fillId="16" borderId="1" xfId="0" applyFill="1" applyBorder="1" applyAlignment="1">
      <alignment textRotation="90"/>
    </xf>
    <xf numFmtId="0" fontId="0" fillId="16" borderId="0" xfId="0" applyFill="1" applyAlignment="1">
      <alignment textRotation="90"/>
    </xf>
    <xf numFmtId="0" fontId="0" fillId="16" borderId="1" xfId="0" applyFill="1" applyBorder="1"/>
    <xf numFmtId="0" fontId="100" fillId="0" borderId="1" xfId="0" applyFont="1" applyBorder="1" applyAlignment="1" applyProtection="1">
      <alignment wrapText="1"/>
      <protection locked="0"/>
    </xf>
    <xf numFmtId="2" fontId="0" fillId="0" borderId="1" xfId="0" applyNumberFormat="1" applyBorder="1" applyAlignment="1">
      <alignment wrapText="1"/>
    </xf>
    <xf numFmtId="0" fontId="90" fillId="0" borderId="25" xfId="0" applyFont="1" applyBorder="1" applyAlignment="1" applyProtection="1">
      <alignment horizontal="left" wrapText="1"/>
      <protection locked="0"/>
    </xf>
    <xf numFmtId="0" fontId="58" fillId="0" borderId="25" xfId="0" applyFont="1" applyBorder="1" applyAlignment="1" applyProtection="1">
      <alignment horizontal="left" wrapText="1"/>
      <protection locked="0"/>
    </xf>
    <xf numFmtId="0" fontId="56" fillId="0" borderId="0" xfId="0" applyFont="1" applyAlignment="1">
      <alignment horizontal="left" wrapText="1"/>
    </xf>
    <xf numFmtId="0" fontId="56" fillId="0" borderId="0" xfId="0" applyFont="1" applyAlignment="1">
      <alignment horizontal="center" wrapText="1"/>
    </xf>
    <xf numFmtId="0" fontId="92" fillId="0" borderId="0" xfId="0" quotePrefix="1" applyFont="1" applyAlignment="1" applyProtection="1">
      <alignment wrapText="1"/>
      <protection locked="0"/>
    </xf>
    <xf numFmtId="0" fontId="56" fillId="9" borderId="10" xfId="0" applyFont="1" applyFill="1" applyBorder="1"/>
    <xf numFmtId="0" fontId="56" fillId="9" borderId="21" xfId="0" applyFont="1" applyFill="1" applyBorder="1"/>
    <xf numFmtId="0" fontId="56" fillId="0" borderId="0" xfId="0" applyFont="1"/>
    <xf numFmtId="0" fontId="62" fillId="0" borderId="0" xfId="0" applyFont="1" applyAlignment="1" applyProtection="1">
      <alignment horizontal="center" wrapText="1"/>
      <protection locked="0"/>
    </xf>
    <xf numFmtId="0" fontId="56" fillId="0" borderId="18" xfId="0" applyFont="1" applyBorder="1"/>
    <xf numFmtId="0" fontId="56" fillId="0" borderId="13" xfId="0" applyFont="1" applyBorder="1"/>
    <xf numFmtId="0" fontId="67" fillId="0" borderId="0" xfId="0" applyFont="1" applyAlignment="1" applyProtection="1">
      <alignment horizontal="center"/>
      <protection locked="0"/>
    </xf>
    <xf numFmtId="0" fontId="0" fillId="0" borderId="0" xfId="0" applyAlignment="1" applyProtection="1">
      <alignment horizontal="left" wrapText="1"/>
      <protection hidden="1"/>
    </xf>
    <xf numFmtId="0" fontId="0" fillId="0" borderId="0" xfId="0" applyAlignment="1" applyProtection="1">
      <alignment horizontal="left"/>
      <protection hidden="1"/>
    </xf>
    <xf numFmtId="0" fontId="0" fillId="0" borderId="0" xfId="0" applyProtection="1">
      <protection hidden="1"/>
    </xf>
    <xf numFmtId="0" fontId="67" fillId="0" borderId="2" xfId="0" applyFont="1" applyBorder="1" applyProtection="1">
      <protection hidden="1"/>
    </xf>
    <xf numFmtId="2" fontId="0" fillId="0" borderId="2" xfId="0" applyNumberFormat="1" applyBorder="1" applyProtection="1">
      <protection hidden="1"/>
    </xf>
    <xf numFmtId="0" fontId="0" fillId="0" borderId="0" xfId="0" applyAlignment="1" applyProtection="1">
      <alignment horizontal="center"/>
      <protection hidden="1"/>
    </xf>
    <xf numFmtId="4" fontId="0" fillId="0" borderId="0" xfId="0" applyNumberFormat="1" applyProtection="1">
      <protection hidden="1"/>
    </xf>
    <xf numFmtId="0" fontId="67" fillId="0" borderId="0" xfId="0" applyFont="1" applyAlignment="1" applyProtection="1">
      <alignment horizontal="center"/>
      <protection hidden="1"/>
    </xf>
    <xf numFmtId="0" fontId="67" fillId="0" borderId="0" xfId="0" applyFont="1" applyProtection="1">
      <protection hidden="1"/>
    </xf>
    <xf numFmtId="2" fontId="0" fillId="0" borderId="0" xfId="0" applyNumberFormat="1" applyProtection="1">
      <protection hidden="1"/>
    </xf>
    <xf numFmtId="2" fontId="67" fillId="0" borderId="0" xfId="0" applyNumberFormat="1" applyFont="1" applyProtection="1">
      <protection hidden="1"/>
    </xf>
    <xf numFmtId="4" fontId="67" fillId="0" borderId="0" xfId="0" applyNumberFormat="1" applyFont="1" applyProtection="1">
      <protection hidden="1"/>
    </xf>
    <xf numFmtId="0" fontId="90" fillId="0" borderId="0" xfId="0" applyFont="1" applyAlignment="1" applyProtection="1">
      <alignment horizontal="left"/>
      <protection hidden="1"/>
    </xf>
    <xf numFmtId="0" fontId="59" fillId="0" borderId="0" xfId="0" applyFont="1" applyAlignment="1" applyProtection="1">
      <alignment horizontal="left"/>
      <protection hidden="1"/>
    </xf>
    <xf numFmtId="0" fontId="75" fillId="0" borderId="0" xfId="0" applyFont="1" applyProtection="1">
      <protection locked="0"/>
    </xf>
    <xf numFmtId="0" fontId="75" fillId="5" borderId="0" xfId="0" applyFont="1" applyFill="1" applyProtection="1">
      <protection locked="0"/>
    </xf>
    <xf numFmtId="4" fontId="75" fillId="0" borderId="0" xfId="0" applyNumberFormat="1" applyFont="1" applyProtection="1">
      <protection locked="0"/>
    </xf>
    <xf numFmtId="4" fontId="67" fillId="0" borderId="0" xfId="0" applyNumberFormat="1" applyFont="1" applyProtection="1">
      <protection locked="0"/>
    </xf>
    <xf numFmtId="4" fontId="76" fillId="0" borderId="0" xfId="0" applyNumberFormat="1" applyFont="1" applyProtection="1">
      <protection locked="0"/>
    </xf>
    <xf numFmtId="0" fontId="55" fillId="0" borderId="0" xfId="0" applyFont="1" applyAlignment="1">
      <alignment wrapText="1"/>
    </xf>
    <xf numFmtId="0" fontId="55" fillId="0" borderId="0" xfId="0" applyFont="1" applyAlignment="1">
      <alignment horizontal="left" wrapText="1"/>
    </xf>
    <xf numFmtId="2" fontId="55" fillId="0" borderId="0" xfId="0" applyNumberFormat="1" applyFont="1" applyAlignment="1">
      <alignment wrapText="1"/>
    </xf>
    <xf numFmtId="14" fontId="55" fillId="0" borderId="0" xfId="0" applyNumberFormat="1" applyFont="1" applyAlignment="1">
      <alignment horizontal="center" wrapText="1"/>
    </xf>
    <xf numFmtId="14" fontId="55" fillId="4" borderId="0" xfId="0" applyNumberFormat="1" applyFont="1" applyFill="1" applyAlignment="1">
      <alignment wrapText="1"/>
    </xf>
    <xf numFmtId="14" fontId="0" fillId="0" borderId="0" xfId="0" applyNumberFormat="1" applyAlignment="1">
      <alignment horizontal="center" wrapText="1"/>
    </xf>
    <xf numFmtId="4" fontId="84" fillId="13" borderId="1" xfId="0" applyNumberFormat="1" applyFont="1" applyFill="1" applyBorder="1"/>
    <xf numFmtId="0" fontId="74" fillId="0" borderId="1" xfId="0" applyFont="1" applyBorder="1" applyAlignment="1" applyProtection="1">
      <alignment horizontal="left" wrapText="1"/>
      <protection locked="0"/>
    </xf>
    <xf numFmtId="0" fontId="74" fillId="0" borderId="0" xfId="0" applyFont="1" applyAlignment="1" applyProtection="1">
      <alignment horizontal="left" wrapText="1"/>
      <protection locked="0"/>
    </xf>
    <xf numFmtId="0" fontId="0" fillId="0" borderId="0" xfId="0" quotePrefix="1" applyAlignment="1" applyProtection="1">
      <alignment horizontal="left" wrapText="1"/>
      <protection locked="0"/>
    </xf>
    <xf numFmtId="0" fontId="84" fillId="18" borderId="1" xfId="0" applyFont="1" applyFill="1" applyBorder="1"/>
    <xf numFmtId="0" fontId="84" fillId="19" borderId="26" xfId="0" applyFont="1" applyFill="1" applyBorder="1"/>
    <xf numFmtId="0" fontId="54" fillId="0" borderId="0" xfId="0" applyFont="1" applyAlignment="1">
      <alignment horizontal="center" wrapText="1"/>
    </xf>
    <xf numFmtId="0" fontId="53" fillId="0" borderId="24" xfId="0" applyFont="1" applyBorder="1" applyAlignment="1" applyProtection="1">
      <alignment horizontal="left"/>
      <protection locked="0"/>
    </xf>
    <xf numFmtId="4" fontId="0" fillId="0" borderId="0" xfId="0" applyNumberFormat="1" applyAlignment="1">
      <alignment wrapText="1"/>
    </xf>
    <xf numFmtId="0" fontId="84" fillId="0" borderId="1" xfId="0" applyFont="1" applyBorder="1"/>
    <xf numFmtId="0" fontId="93" fillId="0" borderId="1" xfId="0" applyFont="1" applyBorder="1"/>
    <xf numFmtId="4" fontId="78" fillId="2" borderId="1" xfId="0" applyNumberFormat="1" applyFont="1" applyFill="1" applyBorder="1" applyAlignment="1">
      <alignment wrapText="1"/>
    </xf>
    <xf numFmtId="4" fontId="78" fillId="0" borderId="1" xfId="0" applyNumberFormat="1" applyFont="1" applyBorder="1" applyAlignment="1">
      <alignment wrapText="1"/>
    </xf>
    <xf numFmtId="4" fontId="78" fillId="0" borderId="1" xfId="0" applyNumberFormat="1" applyFont="1" applyBorder="1" applyAlignment="1">
      <alignment horizontal="right" wrapText="1"/>
    </xf>
    <xf numFmtId="4" fontId="78" fillId="0" borderId="26" xfId="0" applyNumberFormat="1" applyFont="1" applyBorder="1" applyAlignment="1">
      <alignment horizontal="right" wrapText="1"/>
    </xf>
    <xf numFmtId="0" fontId="0" fillId="0" borderId="0" xfId="0" applyAlignment="1" applyProtection="1">
      <alignment wrapText="1"/>
      <protection hidden="1"/>
    </xf>
    <xf numFmtId="0" fontId="58" fillId="17" borderId="25" xfId="0" applyFont="1" applyFill="1" applyBorder="1" applyAlignment="1" applyProtection="1">
      <alignment wrapText="1"/>
      <protection hidden="1"/>
    </xf>
    <xf numFmtId="0" fontId="58" fillId="0" borderId="25" xfId="0" applyFont="1" applyBorder="1" applyAlignment="1" applyProtection="1">
      <alignment wrapText="1"/>
      <protection hidden="1"/>
    </xf>
    <xf numFmtId="0" fontId="58" fillId="17" borderId="25" xfId="0" applyFont="1" applyFill="1" applyBorder="1" applyProtection="1">
      <protection hidden="1"/>
    </xf>
    <xf numFmtId="0" fontId="58" fillId="0" borderId="25" xfId="0" applyFont="1" applyBorder="1" applyProtection="1">
      <protection hidden="1"/>
    </xf>
    <xf numFmtId="0" fontId="0" fillId="0" borderId="5" xfId="0" applyBorder="1" applyProtection="1">
      <protection hidden="1"/>
    </xf>
    <xf numFmtId="0" fontId="0" fillId="0" borderId="6" xfId="0" applyBorder="1" applyProtection="1">
      <protection hidden="1"/>
    </xf>
    <xf numFmtId="0" fontId="49" fillId="0" borderId="0" xfId="0" applyFont="1" applyAlignment="1">
      <alignment horizontal="center" wrapText="1"/>
    </xf>
    <xf numFmtId="14" fontId="90" fillId="0" borderId="0" xfId="0" applyNumberFormat="1" applyFont="1" applyAlignment="1">
      <alignment horizontal="center" wrapText="1"/>
    </xf>
    <xf numFmtId="0" fontId="47" fillId="0" borderId="0" xfId="0" applyFont="1" applyAlignment="1">
      <alignment wrapText="1"/>
    </xf>
    <xf numFmtId="0" fontId="47" fillId="0" borderId="0" xfId="0" applyFont="1" applyAlignment="1">
      <alignment horizontal="left" wrapText="1"/>
    </xf>
    <xf numFmtId="0" fontId="47" fillId="0" borderId="0" xfId="0" applyFont="1" applyAlignment="1">
      <alignment horizontal="center" wrapText="1"/>
    </xf>
    <xf numFmtId="2" fontId="47" fillId="0" borderId="0" xfId="0" applyNumberFormat="1" applyFont="1" applyAlignment="1">
      <alignment wrapText="1"/>
    </xf>
    <xf numFmtId="14" fontId="47" fillId="0" borderId="0" xfId="0" applyNumberFormat="1" applyFont="1" applyAlignment="1">
      <alignment horizontal="center" wrapText="1"/>
    </xf>
    <xf numFmtId="0" fontId="90" fillId="0" borderId="0" xfId="0" applyFont="1" applyAlignment="1">
      <alignment horizontal="left" wrapText="1"/>
    </xf>
    <xf numFmtId="0" fontId="104" fillId="0" borderId="0" xfId="0" applyFont="1"/>
    <xf numFmtId="0" fontId="45" fillId="0" borderId="0" xfId="0" applyFont="1" applyAlignment="1">
      <alignment wrapText="1"/>
    </xf>
    <xf numFmtId="0" fontId="44" fillId="0" borderId="0" xfId="0" applyFont="1" applyAlignment="1">
      <alignment wrapText="1"/>
    </xf>
    <xf numFmtId="0" fontId="44" fillId="0" borderId="0" xfId="0" applyFont="1" applyAlignment="1">
      <alignment horizontal="left" wrapText="1"/>
    </xf>
    <xf numFmtId="0" fontId="44" fillId="0" borderId="0" xfId="0" applyFont="1" applyAlignment="1">
      <alignment horizontal="center" wrapText="1"/>
    </xf>
    <xf numFmtId="2" fontId="44" fillId="0" borderId="0" xfId="0" applyNumberFormat="1" applyFont="1" applyAlignment="1">
      <alignment wrapText="1"/>
    </xf>
    <xf numFmtId="14" fontId="44" fillId="0" borderId="0" xfId="0" applyNumberFormat="1" applyFont="1" applyAlignment="1">
      <alignment horizontal="center" wrapText="1"/>
    </xf>
    <xf numFmtId="14" fontId="44" fillId="4" borderId="0" xfId="0" applyNumberFormat="1" applyFont="1" applyFill="1" applyAlignment="1">
      <alignment wrapText="1"/>
    </xf>
    <xf numFmtId="0" fontId="42" fillId="0" borderId="0" xfId="0" applyFont="1" applyAlignment="1">
      <alignment wrapText="1"/>
    </xf>
    <xf numFmtId="14" fontId="70" fillId="5" borderId="0" xfId="1" applyNumberFormat="1" applyFont="1" applyFill="1" applyBorder="1" applyAlignment="1">
      <alignment wrapText="1"/>
    </xf>
    <xf numFmtId="0" fontId="40" fillId="0" borderId="0" xfId="0" applyFont="1" applyAlignment="1">
      <alignment wrapText="1"/>
    </xf>
    <xf numFmtId="0" fontId="40" fillId="0" borderId="0" xfId="0" applyFont="1" applyAlignment="1">
      <alignment horizontal="left" wrapText="1"/>
    </xf>
    <xf numFmtId="2" fontId="40" fillId="0" borderId="0" xfId="0" applyNumberFormat="1" applyFont="1" applyAlignment="1">
      <alignment wrapText="1"/>
    </xf>
    <xf numFmtId="14" fontId="40" fillId="0" borderId="0" xfId="0" applyNumberFormat="1" applyFont="1" applyAlignment="1">
      <alignment horizontal="center" wrapText="1"/>
    </xf>
    <xf numFmtId="0" fontId="39" fillId="0" borderId="0" xfId="0" applyFont="1" applyAlignment="1">
      <alignment wrapText="1"/>
    </xf>
    <xf numFmtId="0" fontId="39" fillId="0" borderId="0" xfId="0" applyFont="1" applyAlignment="1">
      <alignment horizontal="left" wrapText="1"/>
    </xf>
    <xf numFmtId="2" fontId="39" fillId="0" borderId="0" xfId="0" applyNumberFormat="1" applyFont="1" applyAlignment="1">
      <alignment wrapText="1"/>
    </xf>
    <xf numFmtId="14" fontId="39" fillId="0" borderId="0" xfId="0" applyNumberFormat="1" applyFont="1" applyAlignment="1">
      <alignment horizontal="center" wrapText="1"/>
    </xf>
    <xf numFmtId="14" fontId="37" fillId="0" borderId="0" xfId="0" applyNumberFormat="1" applyFont="1" applyAlignment="1">
      <alignment horizontal="center" wrapText="1"/>
    </xf>
    <xf numFmtId="4" fontId="78" fillId="0" borderId="0" xfId="0" applyNumberFormat="1" applyFont="1" applyAlignment="1">
      <alignment wrapText="1"/>
    </xf>
    <xf numFmtId="14" fontId="0" fillId="19" borderId="0" xfId="0" applyNumberFormat="1" applyFill="1" applyAlignment="1">
      <alignment wrapText="1"/>
    </xf>
    <xf numFmtId="0" fontId="36" fillId="0" borderId="0" xfId="0" applyFont="1" applyAlignment="1">
      <alignment wrapText="1"/>
    </xf>
    <xf numFmtId="0" fontId="36" fillId="0" borderId="0" xfId="0" applyFont="1" applyAlignment="1">
      <alignment horizontal="left" wrapText="1"/>
    </xf>
    <xf numFmtId="0" fontId="36" fillId="0" borderId="0" xfId="0" applyFont="1" applyAlignment="1">
      <alignment horizontal="center" wrapText="1"/>
    </xf>
    <xf numFmtId="2" fontId="36" fillId="0" borderId="0" xfId="0" applyNumberFormat="1" applyFont="1" applyAlignment="1">
      <alignment wrapText="1"/>
    </xf>
    <xf numFmtId="14" fontId="36" fillId="0" borderId="0" xfId="0" applyNumberFormat="1" applyFont="1" applyAlignment="1">
      <alignment horizontal="center" wrapText="1"/>
    </xf>
    <xf numFmtId="14" fontId="36" fillId="4" borderId="0" xfId="0" applyNumberFormat="1" applyFont="1" applyFill="1" applyAlignment="1">
      <alignment wrapText="1"/>
    </xf>
    <xf numFmtId="0" fontId="35" fillId="0" borderId="24" xfId="0" applyFont="1" applyBorder="1" applyAlignment="1" applyProtection="1">
      <alignment horizontal="left"/>
      <protection locked="0"/>
    </xf>
    <xf numFmtId="0" fontId="33" fillId="0" borderId="0" xfId="0" applyFont="1" applyAlignment="1">
      <alignment wrapText="1"/>
    </xf>
    <xf numFmtId="0" fontId="33" fillId="0" borderId="0" xfId="0" applyFont="1" applyAlignment="1">
      <alignment horizontal="left" wrapText="1"/>
    </xf>
    <xf numFmtId="2" fontId="33" fillId="0" borderId="0" xfId="0" applyNumberFormat="1" applyFont="1" applyAlignment="1">
      <alignment wrapText="1"/>
    </xf>
    <xf numFmtId="14" fontId="33" fillId="0" borderId="0" xfId="0" applyNumberFormat="1" applyFont="1" applyAlignment="1">
      <alignment horizontal="center" wrapText="1"/>
    </xf>
    <xf numFmtId="14" fontId="33" fillId="4" borderId="0" xfId="0" applyNumberFormat="1" applyFont="1" applyFill="1" applyAlignment="1">
      <alignment wrapText="1"/>
    </xf>
    <xf numFmtId="0" fontId="30" fillId="6" borderId="0" xfId="0" applyFont="1" applyFill="1" applyAlignment="1">
      <alignment horizontal="center" wrapText="1"/>
    </xf>
    <xf numFmtId="2" fontId="0" fillId="0" borderId="6" xfId="0" applyNumberFormat="1" applyBorder="1" applyAlignment="1">
      <alignment wrapText="1"/>
    </xf>
    <xf numFmtId="0" fontId="31" fillId="0" borderId="24" xfId="0" applyFont="1" applyBorder="1" applyAlignment="1" applyProtection="1">
      <alignment horizontal="left"/>
      <protection locked="0"/>
    </xf>
    <xf numFmtId="14" fontId="70" fillId="4" borderId="0" xfId="1" applyNumberFormat="1" applyFont="1" applyFill="1" applyBorder="1" applyAlignment="1">
      <alignment wrapText="1"/>
    </xf>
    <xf numFmtId="0" fontId="28" fillId="0" borderId="0" xfId="0" applyFont="1" applyAlignment="1">
      <alignment wrapText="1"/>
    </xf>
    <xf numFmtId="0" fontId="28" fillId="0" borderId="0" xfId="0" applyFont="1" applyAlignment="1">
      <alignment horizontal="left" wrapText="1"/>
    </xf>
    <xf numFmtId="2" fontId="28" fillId="0" borderId="0" xfId="0" applyNumberFormat="1" applyFont="1" applyAlignment="1">
      <alignment wrapText="1"/>
    </xf>
    <xf numFmtId="14" fontId="28" fillId="0" borderId="0" xfId="0" applyNumberFormat="1" applyFont="1" applyAlignment="1">
      <alignment horizontal="center" wrapText="1"/>
    </xf>
    <xf numFmtId="14" fontId="28" fillId="4" borderId="0" xfId="0" applyNumberFormat="1" applyFont="1" applyFill="1" applyAlignment="1">
      <alignment wrapText="1"/>
    </xf>
    <xf numFmtId="0" fontId="87" fillId="0" borderId="0" xfId="0" applyFont="1"/>
    <xf numFmtId="0" fontId="84" fillId="0" borderId="1" xfId="0" quotePrefix="1" applyFont="1" applyBorder="1"/>
    <xf numFmtId="4" fontId="84" fillId="18" borderId="1" xfId="0" applyNumberFormat="1" applyFont="1" applyFill="1" applyBorder="1"/>
    <xf numFmtId="0" fontId="82" fillId="0" borderId="0" xfId="0" applyFont="1"/>
    <xf numFmtId="0" fontId="106" fillId="0" borderId="0" xfId="0" applyFont="1"/>
    <xf numFmtId="0" fontId="84" fillId="20" borderId="1" xfId="0" applyFont="1" applyFill="1" applyBorder="1"/>
    <xf numFmtId="0" fontId="84" fillId="21" borderId="1" xfId="0" applyFont="1" applyFill="1" applyBorder="1"/>
    <xf numFmtId="0" fontId="27" fillId="0" borderId="0" xfId="0" applyFont="1" applyAlignment="1">
      <alignment horizontal="center" wrapText="1"/>
    </xf>
    <xf numFmtId="0" fontId="0" fillId="0" borderId="0" xfId="0" quotePrefix="1" applyAlignment="1">
      <alignment wrapText="1"/>
    </xf>
    <xf numFmtId="0" fontId="27" fillId="0" borderId="18" xfId="0" applyFont="1" applyBorder="1"/>
    <xf numFmtId="2" fontId="25" fillId="0" borderId="0" xfId="0" applyNumberFormat="1" applyFont="1" applyAlignment="1">
      <alignment wrapText="1"/>
    </xf>
    <xf numFmtId="14" fontId="25" fillId="0" borderId="0" xfId="0" applyNumberFormat="1" applyFont="1" applyAlignment="1">
      <alignment horizontal="center" wrapText="1"/>
    </xf>
    <xf numFmtId="14" fontId="25" fillId="4" borderId="0" xfId="0" applyNumberFormat="1" applyFont="1" applyFill="1" applyAlignment="1">
      <alignment wrapText="1"/>
    </xf>
    <xf numFmtId="14" fontId="23" fillId="0" borderId="0" xfId="0" applyNumberFormat="1" applyFont="1" applyAlignment="1">
      <alignment horizontal="center" wrapText="1"/>
    </xf>
    <xf numFmtId="0" fontId="23" fillId="0" borderId="0" xfId="0" applyFont="1" applyAlignment="1">
      <alignment wrapText="1"/>
    </xf>
    <xf numFmtId="0" fontId="22" fillId="0" borderId="0" xfId="0" applyFont="1" applyAlignment="1">
      <alignment wrapText="1"/>
    </xf>
    <xf numFmtId="0" fontId="22" fillId="0" borderId="0" xfId="0" applyFont="1" applyAlignment="1">
      <alignment horizontal="left" wrapText="1"/>
    </xf>
    <xf numFmtId="2" fontId="22" fillId="0" borderId="0" xfId="0" applyNumberFormat="1" applyFont="1" applyAlignment="1">
      <alignment wrapText="1"/>
    </xf>
    <xf numFmtId="14" fontId="22" fillId="0" borderId="0" xfId="0" applyNumberFormat="1" applyFont="1" applyAlignment="1">
      <alignment horizontal="center" wrapText="1"/>
    </xf>
    <xf numFmtId="3" fontId="71" fillId="0" borderId="0" xfId="0" applyNumberFormat="1" applyFont="1" applyAlignment="1">
      <alignment wrapText="1"/>
    </xf>
    <xf numFmtId="14" fontId="20" fillId="0" borderId="0" xfId="0" applyNumberFormat="1" applyFont="1" applyAlignment="1">
      <alignment horizontal="center" wrapText="1"/>
    </xf>
    <xf numFmtId="0" fontId="21" fillId="0" borderId="0" xfId="0" applyFont="1" applyAlignment="1" applyProtection="1">
      <alignment horizontal="left" wrapText="1"/>
      <protection locked="0"/>
    </xf>
    <xf numFmtId="0" fontId="0" fillId="0" borderId="0" xfId="0" applyAlignment="1" applyProtection="1">
      <alignment horizontal="center" wrapText="1"/>
      <protection locked="0"/>
    </xf>
    <xf numFmtId="0" fontId="41" fillId="0" borderId="0" xfId="0" applyFont="1" applyAlignment="1" applyProtection="1">
      <alignment horizontal="left" wrapText="1"/>
      <protection locked="0"/>
    </xf>
    <xf numFmtId="0" fontId="90" fillId="0" borderId="0" xfId="0" applyFont="1" applyProtection="1">
      <protection locked="0"/>
    </xf>
    <xf numFmtId="0" fontId="26" fillId="0" borderId="0" xfId="0" applyFont="1" applyAlignment="1" applyProtection="1">
      <alignment horizontal="center" wrapText="1"/>
      <protection locked="0"/>
    </xf>
    <xf numFmtId="0" fontId="48" fillId="0" borderId="0" xfId="0" applyFont="1" applyAlignment="1" applyProtection="1">
      <alignment horizontal="left" wrapText="1"/>
      <protection locked="0"/>
    </xf>
    <xf numFmtId="0" fontId="24" fillId="0" borderId="0" xfId="0" applyFont="1" applyAlignment="1" applyProtection="1">
      <alignment horizontal="left" wrapText="1"/>
      <protection locked="0"/>
    </xf>
    <xf numFmtId="0" fontId="19" fillId="0" borderId="0" xfId="0" applyFont="1" applyAlignment="1" applyProtection="1">
      <alignment horizontal="left" wrapText="1"/>
      <protection locked="0"/>
    </xf>
    <xf numFmtId="0" fontId="55" fillId="0" borderId="0" xfId="0" applyFont="1" applyAlignment="1" applyProtection="1">
      <alignment horizontal="left" wrapText="1"/>
      <protection locked="0"/>
    </xf>
    <xf numFmtId="0" fontId="34" fillId="0" borderId="0" xfId="0" applyFont="1" applyAlignment="1" applyProtection="1">
      <alignment horizontal="left" wrapText="1"/>
      <protection locked="0"/>
    </xf>
    <xf numFmtId="0" fontId="29" fillId="0" borderId="0" xfId="0" applyFont="1" applyAlignment="1" applyProtection="1">
      <alignment horizontal="left" wrapText="1"/>
      <protection locked="0"/>
    </xf>
    <xf numFmtId="0" fontId="43" fillId="0" borderId="0" xfId="0" applyFont="1" applyAlignment="1" applyProtection="1">
      <alignment horizontal="left" wrapText="1"/>
      <protection locked="0"/>
    </xf>
    <xf numFmtId="0" fontId="51" fillId="0" borderId="0" xfId="0" applyFont="1" applyAlignment="1" applyProtection="1">
      <alignment horizontal="left" wrapText="1"/>
      <protection locked="0"/>
    </xf>
    <xf numFmtId="0" fontId="59" fillId="0" borderId="0" xfId="0" applyFont="1" applyAlignment="1" applyProtection="1">
      <alignment horizontal="left" wrapText="1"/>
      <protection locked="0"/>
    </xf>
    <xf numFmtId="0" fontId="38" fillId="0" borderId="0" xfId="0" applyFont="1" applyAlignment="1" applyProtection="1">
      <alignment horizontal="left" wrapText="1"/>
      <protection locked="0"/>
    </xf>
    <xf numFmtId="0" fontId="50" fillId="0" borderId="0" xfId="0" applyFont="1" applyAlignment="1" applyProtection="1">
      <alignment horizontal="left" wrapText="1"/>
      <protection locked="0"/>
    </xf>
    <xf numFmtId="0" fontId="52" fillId="0" borderId="0" xfId="0" applyFont="1" applyAlignment="1" applyProtection="1">
      <alignment horizontal="left" wrapText="1"/>
      <protection locked="0"/>
    </xf>
    <xf numFmtId="0" fontId="33" fillId="0" borderId="0" xfId="0" applyFont="1" applyAlignment="1" applyProtection="1">
      <alignment horizontal="left" wrapText="1"/>
      <protection locked="0"/>
    </xf>
    <xf numFmtId="0" fontId="46" fillId="0" borderId="0" xfId="0" applyFont="1" applyAlignment="1" applyProtection="1">
      <alignment horizontal="left" wrapText="1"/>
      <protection locked="0"/>
    </xf>
    <xf numFmtId="0" fontId="18" fillId="0" borderId="0" xfId="0" applyFont="1" applyAlignment="1" applyProtection="1">
      <alignment horizontal="left" wrapText="1"/>
      <protection locked="0"/>
    </xf>
    <xf numFmtId="0" fontId="90" fillId="0" borderId="24" xfId="0" applyFont="1" applyBorder="1" applyAlignment="1" applyProtection="1">
      <alignment horizontal="left" wrapText="1"/>
      <protection locked="0"/>
    </xf>
    <xf numFmtId="0" fontId="16" fillId="0" borderId="0" xfId="0" applyFont="1" applyAlignment="1" applyProtection="1">
      <alignment horizontal="left" wrapText="1"/>
      <protection locked="0"/>
    </xf>
    <xf numFmtId="0" fontId="16" fillId="0" borderId="24" xfId="0" applyFont="1" applyBorder="1" applyAlignment="1" applyProtection="1">
      <alignment horizontal="left" wrapText="1"/>
      <protection locked="0"/>
    </xf>
    <xf numFmtId="2" fontId="91" fillId="0" borderId="1" xfId="0" applyNumberFormat="1" applyFont="1" applyBorder="1" applyAlignment="1">
      <alignment horizontal="left" wrapText="1"/>
    </xf>
    <xf numFmtId="2" fontId="91" fillId="0" borderId="26" xfId="0" applyNumberFormat="1" applyFont="1" applyBorder="1" applyAlignment="1">
      <alignment horizontal="left" wrapText="1"/>
    </xf>
    <xf numFmtId="0" fontId="0" fillId="0" borderId="1" xfId="0" applyBorder="1" applyAlignment="1">
      <alignment textRotation="90" wrapText="1"/>
    </xf>
    <xf numFmtId="2" fontId="0" fillId="0" borderId="1" xfId="0" applyNumberFormat="1" applyBorder="1" applyAlignment="1">
      <alignment textRotation="90" wrapText="1"/>
    </xf>
    <xf numFmtId="0" fontId="0" fillId="0" borderId="0" xfId="0" applyAlignment="1">
      <alignment textRotation="90" wrapText="1"/>
    </xf>
    <xf numFmtId="0" fontId="15" fillId="0" borderId="0" xfId="0" applyFont="1" applyAlignment="1">
      <alignment horizontal="center" wrapText="1"/>
    </xf>
    <xf numFmtId="0" fontId="15" fillId="0" borderId="0" xfId="0" applyFont="1" applyAlignment="1" applyProtection="1">
      <alignment horizontal="left" wrapText="1"/>
      <protection locked="0"/>
    </xf>
    <xf numFmtId="0" fontId="14" fillId="0" borderId="0" xfId="0" applyFont="1" applyAlignment="1" applyProtection="1">
      <alignment horizontal="left" wrapText="1"/>
      <protection locked="0"/>
    </xf>
    <xf numFmtId="0" fontId="13" fillId="0" borderId="0" xfId="0" applyFont="1" applyAlignment="1" applyProtection="1">
      <alignment horizontal="left" wrapText="1"/>
      <protection locked="0"/>
    </xf>
    <xf numFmtId="0" fontId="12" fillId="0" borderId="18" xfId="0" applyFont="1" applyBorder="1"/>
    <xf numFmtId="14" fontId="40" fillId="4" borderId="0" xfId="0" applyNumberFormat="1" applyFont="1" applyFill="1" applyAlignment="1">
      <alignment wrapText="1"/>
    </xf>
    <xf numFmtId="14" fontId="11" fillId="0" borderId="0" xfId="0" applyNumberFormat="1" applyFont="1" applyAlignment="1">
      <alignment horizontal="center" wrapText="1"/>
    </xf>
    <xf numFmtId="14" fontId="39" fillId="4" borderId="0" xfId="0" applyNumberFormat="1" applyFont="1" applyFill="1" applyAlignment="1">
      <alignment wrapText="1"/>
    </xf>
    <xf numFmtId="0" fontId="10" fillId="0" borderId="0" xfId="0" applyFont="1" applyAlignment="1">
      <alignment wrapText="1"/>
    </xf>
    <xf numFmtId="0" fontId="10" fillId="0" borderId="0" xfId="0" applyFont="1" applyAlignment="1">
      <alignment horizontal="left" wrapText="1"/>
    </xf>
    <xf numFmtId="2" fontId="10" fillId="0" borderId="0" xfId="0" applyNumberFormat="1" applyFont="1" applyAlignment="1">
      <alignment wrapText="1"/>
    </xf>
    <xf numFmtId="14" fontId="10" fillId="0" borderId="0" xfId="0" applyNumberFormat="1" applyFont="1" applyAlignment="1">
      <alignment horizontal="center" wrapText="1"/>
    </xf>
    <xf numFmtId="14" fontId="10" fillId="4" borderId="0" xfId="0" applyNumberFormat="1" applyFont="1" applyFill="1" applyAlignment="1">
      <alignment wrapText="1"/>
    </xf>
    <xf numFmtId="0" fontId="9" fillId="0" borderId="0" xfId="0" applyFont="1" applyAlignment="1" applyProtection="1">
      <alignment horizontal="left" wrapText="1"/>
      <protection locked="0"/>
    </xf>
    <xf numFmtId="0" fontId="107" fillId="0" borderId="0" xfId="0" applyFont="1"/>
    <xf numFmtId="0" fontId="8" fillId="0" borderId="0" xfId="0" applyFont="1" applyAlignment="1" applyProtection="1">
      <alignment horizontal="left" wrapText="1"/>
      <protection locked="0"/>
    </xf>
    <xf numFmtId="0" fontId="17" fillId="0" borderId="0" xfId="0" applyFont="1" applyAlignment="1" applyProtection="1">
      <alignment horizontal="left" wrapText="1"/>
      <protection locked="0"/>
    </xf>
    <xf numFmtId="0" fontId="32" fillId="0" borderId="0" xfId="0" applyFont="1" applyAlignment="1" applyProtection="1">
      <alignment horizontal="left" wrapText="1"/>
      <protection locked="0"/>
    </xf>
    <xf numFmtId="0" fontId="7" fillId="0" borderId="0" xfId="0" applyFont="1" applyAlignment="1" applyProtection="1">
      <alignment horizontal="left" wrapText="1"/>
      <protection locked="0"/>
    </xf>
    <xf numFmtId="0" fontId="6" fillId="0" borderId="0" xfId="0" applyFont="1" applyAlignment="1" applyProtection="1">
      <alignment horizontal="left" wrapText="1"/>
      <protection locked="0"/>
    </xf>
    <xf numFmtId="14" fontId="22" fillId="5" borderId="0" xfId="0" applyNumberFormat="1" applyFont="1" applyFill="1" applyAlignment="1">
      <alignment wrapText="1"/>
    </xf>
    <xf numFmtId="14" fontId="60" fillId="5" borderId="0" xfId="0" applyNumberFormat="1" applyFont="1" applyFill="1" applyAlignment="1">
      <alignment wrapText="1"/>
    </xf>
    <xf numFmtId="14" fontId="47" fillId="4" borderId="0" xfId="0" applyNumberFormat="1" applyFont="1" applyFill="1" applyAlignment="1">
      <alignment wrapText="1"/>
    </xf>
    <xf numFmtId="0" fontId="5" fillId="0" borderId="0" xfId="0" applyFont="1" applyAlignment="1" applyProtection="1">
      <alignment horizontal="center" wrapText="1"/>
      <protection locked="0"/>
    </xf>
    <xf numFmtId="0" fontId="5" fillId="0" borderId="0" xfId="0" applyFont="1" applyAlignment="1" applyProtection="1">
      <alignment horizontal="left" wrapText="1"/>
      <protection locked="0"/>
    </xf>
    <xf numFmtId="0" fontId="4" fillId="0" borderId="0" xfId="0" applyFont="1" applyAlignment="1" applyProtection="1">
      <alignment horizontal="left" wrapText="1"/>
      <protection locked="0"/>
    </xf>
    <xf numFmtId="0" fontId="3" fillId="0" borderId="0" xfId="0" applyFont="1" applyAlignment="1" applyProtection="1">
      <alignment horizontal="left" wrapText="1"/>
      <protection locked="0"/>
    </xf>
    <xf numFmtId="0" fontId="2" fillId="0" borderId="24" xfId="0" applyFont="1" applyBorder="1" applyAlignment="1" applyProtection="1">
      <alignment horizontal="left" wrapText="1"/>
      <protection locked="0"/>
    </xf>
    <xf numFmtId="0" fontId="80" fillId="0" borderId="9" xfId="0" applyFont="1" applyBorder="1" applyAlignment="1">
      <alignment horizontal="center"/>
    </xf>
    <xf numFmtId="0" fontId="80" fillId="0" borderId="12" xfId="0" applyFont="1" applyBorder="1" applyAlignment="1">
      <alignment horizontal="center"/>
    </xf>
    <xf numFmtId="0" fontId="80" fillId="0" borderId="10" xfId="0" applyFont="1" applyBorder="1" applyAlignment="1">
      <alignment horizontal="left" vertical="top" wrapText="1"/>
    </xf>
    <xf numFmtId="0" fontId="80" fillId="0" borderId="11" xfId="0" applyFont="1" applyBorder="1" applyAlignment="1">
      <alignment horizontal="left" vertical="top" wrapText="1"/>
    </xf>
    <xf numFmtId="0" fontId="80" fillId="0" borderId="21" xfId="0" applyFont="1" applyBorder="1" applyAlignment="1">
      <alignment horizontal="left" vertical="top" wrapText="1"/>
    </xf>
    <xf numFmtId="0" fontId="80" fillId="0" borderId="18" xfId="0" applyFont="1" applyBorder="1" applyAlignment="1">
      <alignment horizontal="left" vertical="top" wrapText="1"/>
    </xf>
    <xf numFmtId="0" fontId="80" fillId="0" borderId="0" xfId="0" applyFont="1" applyAlignment="1">
      <alignment horizontal="left" vertical="top" wrapText="1"/>
    </xf>
    <xf numFmtId="0" fontId="80" fillId="0" borderId="15" xfId="0" applyFont="1" applyBorder="1" applyAlignment="1">
      <alignment horizontal="left" vertical="top" wrapText="1"/>
    </xf>
    <xf numFmtId="0" fontId="80" fillId="0" borderId="13" xfId="0" applyFont="1" applyBorder="1" applyAlignment="1">
      <alignment horizontal="left" vertical="top" wrapText="1"/>
    </xf>
    <xf numFmtId="0" fontId="80" fillId="0" borderId="14" xfId="0" applyFont="1" applyBorder="1" applyAlignment="1">
      <alignment horizontal="left" vertical="top" wrapText="1"/>
    </xf>
    <xf numFmtId="0" fontId="80" fillId="0" borderId="22" xfId="0" applyFont="1" applyBorder="1" applyAlignment="1">
      <alignment horizontal="left" vertical="top" wrapText="1"/>
    </xf>
    <xf numFmtId="14" fontId="80" fillId="0" borderId="10" xfId="0" applyNumberFormat="1" applyFont="1" applyBorder="1" applyAlignment="1">
      <alignment horizontal="center"/>
    </xf>
    <xf numFmtId="0" fontId="80" fillId="0" borderId="11" xfId="0" applyFont="1" applyBorder="1" applyAlignment="1">
      <alignment horizontal="center"/>
    </xf>
    <xf numFmtId="0" fontId="80" fillId="0" borderId="21" xfId="0" applyFont="1" applyBorder="1" applyAlignment="1">
      <alignment horizontal="center"/>
    </xf>
    <xf numFmtId="0" fontId="80" fillId="0" borderId="13" xfId="0" applyFont="1" applyBorder="1" applyAlignment="1">
      <alignment horizontal="center"/>
    </xf>
    <xf numFmtId="0" fontId="80" fillId="0" borderId="14" xfId="0" applyFont="1" applyBorder="1" applyAlignment="1">
      <alignment horizontal="center"/>
    </xf>
    <xf numFmtId="0" fontId="80" fillId="0" borderId="22" xfId="0" applyFont="1" applyBorder="1" applyAlignment="1">
      <alignment horizontal="center"/>
    </xf>
    <xf numFmtId="0" fontId="80" fillId="0" borderId="10" xfId="0" applyFont="1" applyBorder="1" applyAlignment="1">
      <alignment horizontal="center"/>
    </xf>
    <xf numFmtId="0" fontId="90" fillId="0" borderId="0" xfId="0" applyFont="1" applyAlignment="1" applyProtection="1">
      <alignment horizontal="center" wrapText="1"/>
      <protection locked="0"/>
    </xf>
    <xf numFmtId="164" fontId="82" fillId="0" borderId="0" xfId="0" applyNumberFormat="1" applyFont="1" applyFill="1" applyAlignment="1">
      <alignment horizontal="left"/>
    </xf>
    <xf numFmtId="0" fontId="78" fillId="0" borderId="0" xfId="0" applyFont="1" applyFill="1"/>
    <xf numFmtId="0" fontId="83" fillId="0" borderId="23" xfId="0" applyFont="1" applyFill="1" applyBorder="1" applyAlignment="1">
      <alignment wrapText="1"/>
    </xf>
  </cellXfs>
  <cellStyles count="2">
    <cellStyle name="Good" xfId="1" builtinId="26"/>
    <cellStyle name="Normal" xfId="0" builtinId="0"/>
  </cellStyles>
  <dxfs count="212">
    <dxf>
      <font>
        <color rgb="FF9C0006"/>
      </font>
      <fill>
        <patternFill patternType="solid">
          <bgColor rgb="FFFFC7CE"/>
        </patternFill>
      </fill>
    </dxf>
    <dxf>
      <fill>
        <patternFill>
          <bgColor theme="7" tint="0.59996337778862885"/>
        </patternFill>
      </fill>
    </dxf>
    <dxf>
      <fill>
        <patternFill>
          <bgColor theme="5" tint="0.79998168889431442"/>
        </patternFill>
      </fill>
    </dxf>
    <dxf>
      <fill>
        <patternFill>
          <bgColor theme="8"/>
        </patternFill>
      </fill>
    </dxf>
    <dxf>
      <fill>
        <patternFill>
          <bgColor theme="9" tint="0.59996337778862885"/>
        </patternFill>
      </fill>
    </dxf>
    <dxf>
      <fill>
        <patternFill>
          <bgColor theme="2" tint="-0.24994659260841701"/>
        </patternFill>
      </fill>
    </dxf>
    <dxf>
      <fill>
        <patternFill>
          <bgColor theme="5" tint="0.39994506668294322"/>
        </patternFill>
      </fill>
    </dxf>
    <dxf>
      <fill>
        <patternFill patternType="gray125">
          <fgColor rgb="FF92D050"/>
          <bgColor theme="9" tint="0.79995117038483843"/>
        </patternFill>
      </fill>
    </dxf>
    <dxf>
      <font>
        <color rgb="FF006100"/>
      </font>
      <fill>
        <patternFill patternType="solid">
          <bgColor rgb="FFC6EFCE"/>
        </patternFill>
      </fill>
    </dxf>
    <dxf>
      <fill>
        <patternFill>
          <bgColor theme="5" tint="0.79998168889431442"/>
        </patternFill>
      </fill>
    </dxf>
    <dxf>
      <fill>
        <patternFill>
          <bgColor theme="8"/>
        </patternFill>
      </fill>
    </dxf>
    <dxf>
      <fill>
        <patternFill>
          <bgColor theme="9" tint="0.59996337778862885"/>
        </patternFill>
      </fill>
    </dxf>
    <dxf>
      <fill>
        <patternFill>
          <bgColor theme="2" tint="-0.24994659260841701"/>
        </patternFill>
      </fill>
    </dxf>
    <dxf>
      <fill>
        <patternFill>
          <bgColor theme="5" tint="0.39994506668294322"/>
        </patternFill>
      </fill>
    </dxf>
    <dxf>
      <fill>
        <patternFill patternType="gray125">
          <fgColor rgb="FF92D050"/>
          <bgColor theme="9" tint="0.79995117038483843"/>
        </patternFill>
      </fill>
    </dxf>
    <dxf>
      <font>
        <color rgb="FF006100"/>
      </font>
      <fill>
        <patternFill patternType="solid">
          <bgColor rgb="FFC6EFCE"/>
        </patternFill>
      </fill>
    </dxf>
    <dxf>
      <fill>
        <patternFill>
          <bgColor theme="5" tint="0.79998168889431442"/>
        </patternFill>
      </fill>
    </dxf>
    <dxf>
      <fill>
        <patternFill>
          <bgColor theme="8"/>
        </patternFill>
      </fill>
    </dxf>
    <dxf>
      <fill>
        <patternFill>
          <bgColor theme="9" tint="0.59996337778862885"/>
        </patternFill>
      </fill>
    </dxf>
    <dxf>
      <fill>
        <patternFill>
          <bgColor theme="2" tint="-0.24994659260841701"/>
        </patternFill>
      </fill>
    </dxf>
    <dxf>
      <fill>
        <patternFill>
          <bgColor theme="5" tint="0.39994506668294322"/>
        </patternFill>
      </fill>
    </dxf>
    <dxf>
      <fill>
        <patternFill patternType="gray125">
          <fgColor rgb="FF92D050"/>
          <bgColor theme="9" tint="0.79995117038483843"/>
        </patternFill>
      </fill>
    </dxf>
    <dxf>
      <font>
        <color rgb="FF006100"/>
      </font>
      <fill>
        <patternFill patternType="solid">
          <bgColor rgb="FFC6EFCE"/>
        </patternFill>
      </fill>
    </dxf>
    <dxf>
      <fill>
        <patternFill>
          <bgColor theme="5" tint="0.79998168889431442"/>
        </patternFill>
      </fill>
    </dxf>
    <dxf>
      <fill>
        <patternFill>
          <bgColor theme="8"/>
        </patternFill>
      </fill>
    </dxf>
    <dxf>
      <fill>
        <patternFill>
          <bgColor theme="9" tint="0.59996337778862885"/>
        </patternFill>
      </fill>
    </dxf>
    <dxf>
      <fill>
        <patternFill>
          <bgColor theme="2" tint="-0.24994659260841701"/>
        </patternFill>
      </fill>
    </dxf>
    <dxf>
      <fill>
        <patternFill>
          <bgColor theme="5" tint="0.39994506668294322"/>
        </patternFill>
      </fill>
    </dxf>
    <dxf>
      <fill>
        <patternFill patternType="gray125">
          <fgColor rgb="FF92D050"/>
          <bgColor theme="9" tint="0.79995117038483843"/>
        </patternFill>
      </fill>
    </dxf>
    <dxf>
      <font>
        <color rgb="FF006100"/>
      </font>
      <fill>
        <patternFill patternType="solid">
          <bgColor rgb="FFC6EFCE"/>
        </patternFill>
      </fill>
    </dxf>
    <dxf>
      <fill>
        <patternFill>
          <bgColor theme="5" tint="0.79998168889431442"/>
        </patternFill>
      </fill>
    </dxf>
    <dxf>
      <fill>
        <patternFill>
          <bgColor theme="8"/>
        </patternFill>
      </fill>
    </dxf>
    <dxf>
      <fill>
        <patternFill>
          <bgColor theme="9" tint="0.59996337778862885"/>
        </patternFill>
      </fill>
    </dxf>
    <dxf>
      <fill>
        <patternFill>
          <bgColor theme="2" tint="-0.24994659260841701"/>
        </patternFill>
      </fill>
    </dxf>
    <dxf>
      <fill>
        <patternFill>
          <bgColor theme="5" tint="0.39994506668294322"/>
        </patternFill>
      </fill>
    </dxf>
    <dxf>
      <fill>
        <patternFill patternType="gray125">
          <fgColor rgb="FF92D050"/>
          <bgColor theme="9" tint="0.79995117038483843"/>
        </patternFill>
      </fill>
    </dxf>
    <dxf>
      <font>
        <color rgb="FF006100"/>
      </font>
      <fill>
        <patternFill patternType="solid">
          <bgColor rgb="FFC6EFCE"/>
        </patternFill>
      </fill>
    </dxf>
    <dxf>
      <fill>
        <patternFill>
          <bgColor theme="5" tint="0.79998168889431442"/>
        </patternFill>
      </fill>
    </dxf>
    <dxf>
      <fill>
        <patternFill>
          <bgColor theme="8"/>
        </patternFill>
      </fill>
    </dxf>
    <dxf>
      <fill>
        <patternFill>
          <bgColor theme="9" tint="0.59996337778862885"/>
        </patternFill>
      </fill>
    </dxf>
    <dxf>
      <fill>
        <patternFill>
          <bgColor theme="2" tint="-0.24994659260841701"/>
        </patternFill>
      </fill>
    </dxf>
    <dxf>
      <fill>
        <patternFill>
          <bgColor theme="5" tint="0.39994506668294322"/>
        </patternFill>
      </fill>
    </dxf>
    <dxf>
      <fill>
        <patternFill patternType="gray125">
          <fgColor rgb="FF92D050"/>
          <bgColor theme="9" tint="0.79995117038483843"/>
        </patternFill>
      </fill>
    </dxf>
    <dxf>
      <font>
        <color rgb="FF006100"/>
      </font>
      <fill>
        <patternFill patternType="solid">
          <bgColor rgb="FFC6EFCE"/>
        </patternFill>
      </fill>
    </dxf>
    <dxf>
      <fill>
        <patternFill>
          <bgColor theme="7"/>
        </patternFill>
      </fill>
    </dxf>
    <dxf>
      <numFmt numFmtId="4" formatCode="#,##0.00"/>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alignment horizontal="center" vertical="bottom" textRotation="0" wrapText="0" indent="0" justifyLastLine="0" shrinkToFit="0" readingOrder="0"/>
      <protection locked="1" hidden="1"/>
    </dxf>
    <dxf>
      <numFmt numFmtId="0" formatCode="General"/>
      <fill>
        <patternFill patternType="none">
          <fgColor indexed="64"/>
          <bgColor auto="1"/>
        </patternFill>
      </fill>
      <alignment horizontal="left" vertical="bottom" textRotation="0" indent="0" justifyLastLine="0" shrinkToFit="0" readingOrder="0"/>
      <protection locked="1" hidden="1"/>
    </dxf>
    <dxf>
      <numFmt numFmtId="0" formatCode="General"/>
      <fill>
        <patternFill patternType="none">
          <fgColor indexed="64"/>
          <bgColor indexed="65"/>
        </patternFill>
      </fill>
      <alignment horizontal="left" vertical="bottom" textRotation="0" wrapText="1" indent="0" justifyLastLine="0" shrinkToFit="0" readingOrder="0"/>
      <protection locked="0" hidden="0"/>
    </dxf>
    <dxf>
      <numFmt numFmtId="0" formatCode="General"/>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auto="1"/>
        </patternFill>
      </fill>
      <alignment horizontal="center"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rgb="FF000000"/>
          <bgColor auto="1"/>
        </patternFill>
      </fill>
      <protection locked="0" hidden="0"/>
    </dxf>
    <dxf>
      <protection locked="0" hidden="0"/>
    </dxf>
    <dxf>
      <numFmt numFmtId="4" formatCode="#,##0.00"/>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alignment horizontal="center" vertical="bottom" textRotation="0" wrapText="0" indent="0" justifyLastLine="0" shrinkToFit="0" readingOrder="0"/>
      <protection locked="1" hidden="1"/>
    </dxf>
    <dxf>
      <numFmt numFmtId="0" formatCode="General"/>
      <fill>
        <patternFill patternType="none">
          <fgColor indexed="64"/>
          <bgColor auto="1"/>
        </patternFill>
      </fill>
      <alignment horizontal="left" vertical="bottom" textRotation="0" indent="0" justifyLastLine="0" shrinkToFit="0" readingOrder="0"/>
      <protection locked="1" hidden="1"/>
    </dxf>
    <dxf>
      <numFmt numFmtId="0" formatCode="General"/>
      <fill>
        <patternFill patternType="none">
          <fgColor indexed="64"/>
          <bgColor indexed="65"/>
        </patternFill>
      </fill>
      <alignment horizontal="left" vertical="bottom" textRotation="0" wrapText="1" indent="0" justifyLastLine="0" shrinkToFit="0" readingOrder="0"/>
      <protection locked="0" hidden="0"/>
    </dxf>
    <dxf>
      <numFmt numFmtId="0" formatCode="General"/>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auto="1"/>
        </patternFill>
      </fill>
      <alignment horizontal="center"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rgb="FF000000"/>
          <bgColor auto="1"/>
        </patternFill>
      </fill>
      <protection locked="0" hidden="0"/>
    </dxf>
    <dxf>
      <protection locked="0" hidden="0"/>
    </dxf>
    <dxf>
      <numFmt numFmtId="4" formatCode="#,##0.00"/>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alignment horizontal="center" vertical="bottom" textRotation="0" wrapText="0" indent="0" justifyLastLine="0" shrinkToFit="0" readingOrder="0"/>
      <protection locked="1" hidden="1"/>
    </dxf>
    <dxf>
      <numFmt numFmtId="0" formatCode="General"/>
      <fill>
        <patternFill patternType="none">
          <fgColor indexed="64"/>
          <bgColor auto="1"/>
        </patternFill>
      </fill>
      <alignment horizontal="left" vertical="bottom" textRotation="0" indent="0" justifyLastLine="0" shrinkToFit="0" readingOrder="0"/>
      <protection locked="1" hidden="1"/>
    </dxf>
    <dxf>
      <numFmt numFmtId="0" formatCode="General"/>
      <fill>
        <patternFill patternType="none">
          <fgColor indexed="64"/>
          <bgColor indexed="65"/>
        </patternFill>
      </fill>
      <alignment horizontal="left" vertical="bottom" textRotation="0" wrapText="1" indent="0" justifyLastLine="0" shrinkToFit="0" readingOrder="0"/>
      <protection locked="0" hidden="0"/>
    </dxf>
    <dxf>
      <numFmt numFmtId="0" formatCode="General"/>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auto="1"/>
        </patternFill>
      </fill>
      <alignment horizontal="center"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rgb="FF000000"/>
          <bgColor auto="1"/>
        </patternFill>
      </fill>
      <protection locked="0" hidden="0"/>
    </dxf>
    <dxf>
      <protection locked="0" hidden="0"/>
    </dxf>
    <dxf>
      <numFmt numFmtId="4" formatCode="#,##0.00"/>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alignment horizontal="center" vertical="bottom" textRotation="0" wrapText="0" indent="0" justifyLastLine="0" shrinkToFit="0" readingOrder="0"/>
      <protection locked="1" hidden="1"/>
    </dxf>
    <dxf>
      <numFmt numFmtId="0" formatCode="General"/>
      <fill>
        <patternFill patternType="none">
          <fgColor indexed="64"/>
          <bgColor auto="1"/>
        </patternFill>
      </fill>
      <alignment horizontal="left" vertical="bottom" textRotation="0" indent="0" justifyLastLine="0" shrinkToFit="0" readingOrder="0"/>
      <protection locked="1" hidden="1"/>
    </dxf>
    <dxf>
      <numFmt numFmtId="0" formatCode="General"/>
      <fill>
        <patternFill patternType="none">
          <fgColor indexed="64"/>
          <bgColor indexed="65"/>
        </patternFill>
      </fill>
      <alignment horizontal="left" vertical="bottom" textRotation="0" wrapText="1" indent="0" justifyLastLine="0" shrinkToFit="0" readingOrder="0"/>
      <protection locked="0" hidden="0"/>
    </dxf>
    <dxf>
      <numFmt numFmtId="0" formatCode="General"/>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auto="1"/>
        </patternFill>
      </fill>
      <alignment horizontal="center"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rgb="FF000000"/>
          <bgColor auto="1"/>
        </patternFill>
      </fill>
      <protection locked="0" hidden="0"/>
    </dxf>
    <dxf>
      <protection locked="0" hidden="0"/>
    </dxf>
    <dxf>
      <numFmt numFmtId="4" formatCode="#,##0.00"/>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alignment horizontal="center" vertical="bottom" textRotation="0" wrapText="0" indent="0" justifyLastLine="0" shrinkToFit="0" readingOrder="0"/>
      <protection locked="1" hidden="1"/>
    </dxf>
    <dxf>
      <numFmt numFmtId="0" formatCode="General"/>
      <fill>
        <patternFill patternType="none">
          <fgColor indexed="64"/>
          <bgColor auto="1"/>
        </patternFill>
      </fill>
      <alignment horizontal="left" vertical="bottom" textRotation="0" indent="0" justifyLastLine="0" shrinkToFit="0" readingOrder="0"/>
      <protection locked="1" hidden="1"/>
    </dxf>
    <dxf>
      <numFmt numFmtId="0" formatCode="General"/>
      <fill>
        <patternFill patternType="none">
          <fgColor indexed="64"/>
          <bgColor indexed="65"/>
        </patternFill>
      </fill>
      <alignment horizontal="left" vertical="bottom" textRotation="0" wrapText="1" indent="0" justifyLastLine="0" shrinkToFit="0" readingOrder="0"/>
      <protection locked="0" hidden="0"/>
    </dxf>
    <dxf>
      <numFmt numFmtId="0" formatCode="General"/>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auto="1"/>
        </patternFill>
      </fill>
      <alignment horizontal="center"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rgb="FF000000"/>
          <bgColor auto="1"/>
        </patternFill>
      </fill>
      <protection locked="0" hidden="0"/>
    </dxf>
    <dxf>
      <protection locked="0" hidden="0"/>
    </dxf>
    <dxf>
      <alignment horizontal="center" vertical="bottom" textRotation="0" wrapText="1" indent="0" justifyLastLine="0" shrinkToFit="0" readingOrder="0"/>
    </dxf>
    <dxf>
      <font>
        <b val="0"/>
      </font>
      <numFmt numFmtId="2" formatCode="0.00"/>
      <fill>
        <patternFill patternType="none"/>
      </fill>
      <alignment wrapText="1"/>
    </dxf>
    <dxf>
      <font>
        <b val="0"/>
      </font>
      <fill>
        <patternFill patternType="none"/>
      </fill>
      <alignment wrapText="1"/>
    </dxf>
    <dxf>
      <font>
        <b val="0"/>
        <i val="0"/>
        <strike val="0"/>
        <u val="none"/>
        <sz val="11"/>
        <color theme="1"/>
        <name val="Calibri"/>
        <family val="2"/>
        <scheme val="none"/>
      </font>
      <fill>
        <patternFill patternType="none"/>
      </fill>
      <alignment wrapText="1"/>
    </dxf>
    <dxf>
      <font>
        <b val="0"/>
        <i val="0"/>
        <strike val="0"/>
        <u val="none"/>
        <sz val="11"/>
        <color theme="1"/>
        <name val="Calibri"/>
        <family val="2"/>
        <scheme val="none"/>
      </font>
      <fill>
        <patternFill patternType="none"/>
      </fill>
      <alignment horizontal="center" wrapText="1"/>
    </dxf>
    <dxf>
      <font>
        <b val="0"/>
        <i val="0"/>
        <strike val="0"/>
        <u val="none"/>
        <sz val="11"/>
        <color theme="1"/>
        <name val="Calibri"/>
        <family val="2"/>
        <scheme val="none"/>
      </font>
      <fill>
        <patternFill patternType="none"/>
      </fill>
      <alignment horizontal="center" wrapText="1"/>
    </dxf>
    <dxf>
      <font>
        <b val="0"/>
      </font>
      <fill>
        <patternFill patternType="none"/>
      </fill>
      <alignment horizontal="left" wrapText="1"/>
    </dxf>
    <dxf>
      <font>
        <b val="0"/>
      </font>
      <fill>
        <patternFill patternType="none"/>
      </fill>
      <alignment wrapText="1"/>
    </dxf>
    <dxf>
      <font>
        <b val="0"/>
      </font>
      <numFmt numFmtId="19" formatCode="d/m/yyyy"/>
      <fill>
        <patternFill patternType="solid">
          <fgColor indexed="64"/>
          <bgColor rgb="FFFF0000"/>
        </patternFill>
      </fill>
      <alignment horizontal="center" vertical="bottom" textRotation="0" wrapText="1" indent="0" justifyLastLine="0" shrinkToFit="0" readingOrder="0"/>
    </dxf>
    <dxf>
      <font>
        <b val="0"/>
      </font>
      <fill>
        <patternFill patternType="none"/>
      </fill>
      <alignment wrapText="1"/>
    </dxf>
    <dxf>
      <alignment wrapText="1"/>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alignment textRotation="90"/>
    </dxf>
    <dxf>
      <alignment textRotation="90"/>
    </dxf>
    <dxf>
      <alignment textRotation="90"/>
    </dxf>
    <dxf>
      <alignment textRotation="90"/>
    </dxf>
    <dxf>
      <alignment textRotation="90"/>
    </dxf>
    <dxf>
      <alignment textRotation="90"/>
    </dxf>
    <dxf>
      <numFmt numFmtId="0" formatCode="General"/>
      <fill>
        <patternFill patternType="none"/>
      </fill>
      <protection locked="1" hidden="1"/>
    </dxf>
    <dxf>
      <numFmt numFmtId="0" formatCode="General"/>
      <fill>
        <patternFill patternType="none"/>
      </fill>
      <protection locked="1" hidden="1"/>
    </dxf>
    <dxf>
      <numFmt numFmtId="0" formatCode="General"/>
      <fill>
        <patternFill patternType="none"/>
      </fill>
      <protection locked="1" hidden="1"/>
    </dxf>
    <dxf>
      <numFmt numFmtId="0" formatCode="General"/>
      <fill>
        <patternFill patternType="none"/>
      </fill>
      <protection locked="1" hidden="1"/>
    </dxf>
    <dxf>
      <numFmt numFmtId="0" formatCode="General"/>
      <fill>
        <patternFill patternType="none"/>
      </fill>
      <alignment horizontal="general" vertical="bottom" textRotation="0" indent="0" justifyLastLine="0" shrinkToFit="0" readingOrder="0"/>
      <protection locked="1" hidden="1"/>
    </dxf>
    <dxf>
      <numFmt numFmtId="0" formatCode="General"/>
      <fill>
        <patternFill patternType="none"/>
      </fill>
      <alignment horizontal="general" vertical="bottom" textRotation="0" wrapText="1" indent="0" justifyLastLine="0" shrinkToFit="0" readingOrder="0"/>
      <protection locked="1" hidden="1"/>
    </dxf>
    <dxf>
      <fill>
        <patternFill patternType="none">
          <bgColor auto="1"/>
        </patternFill>
      </fill>
      <alignment horizontal="left" vertical="bottom" textRotation="0" wrapText="1" indent="0" justifyLastLine="0" shrinkToFit="0" readingOrder="0"/>
      <protection locked="0" hidden="0"/>
    </dxf>
    <dxf>
      <fill>
        <patternFill patternType="none">
          <bgColor auto="1"/>
        </patternFill>
      </fill>
      <alignment horizontal="left" vertical="bottom" textRotation="0" wrapText="1" indent="0" justifyLastLine="0" shrinkToFit="0" readingOrder="0"/>
      <protection locked="0" hidden="0"/>
    </dxf>
    <dxf>
      <font>
        <b val="0"/>
        <i val="0"/>
        <strike val="0"/>
        <condense val="0"/>
        <extend val="0"/>
        <outline val="0"/>
        <shadow val="0"/>
        <u val="none"/>
        <vertAlign val="baseline"/>
        <sz val="11"/>
        <color theme="1"/>
        <name val="Calibri"/>
        <family val="2"/>
        <charset val="134"/>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charset val="134"/>
        <scheme val="minor"/>
      </font>
      <alignment horizontal="left" vertical="bottom" textRotation="0" wrapText="0" indent="0" justifyLastLine="0" shrinkToFit="0" readingOrder="0"/>
      <protection locked="0" hidden="0"/>
    </dxf>
    <dxf>
      <fill>
        <patternFill patternType="none"/>
      </fill>
      <alignment horizontal="left" vertical="bottom" textRotation="0" indent="0" justifyLastLine="0" shrinkToFit="0" readingOrder="0"/>
      <protection locked="0" hidden="0"/>
    </dxf>
    <dxf>
      <numFmt numFmtId="0" formatCode="General"/>
      <fill>
        <patternFill patternType="none"/>
      </fill>
      <protection locked="0" hidden="0"/>
    </dxf>
    <dxf>
      <protection locked="0" hidden="0"/>
    </dxf>
    <dxf>
      <protection locked="0" hidden="0"/>
    </dxf>
    <dxf>
      <numFmt numFmtId="4" formatCode="#,##0.00"/>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protection locked="1" hidden="1"/>
    </dxf>
    <dxf>
      <numFmt numFmtId="0" formatCode="General"/>
      <fill>
        <patternFill patternType="none">
          <fgColor indexed="64"/>
          <bgColor auto="1"/>
        </patternFill>
      </fill>
      <alignment horizontal="center" vertical="bottom" textRotation="0" wrapText="0" indent="0" justifyLastLine="0" shrinkToFit="0" readingOrder="0"/>
      <protection locked="1" hidden="1"/>
    </dxf>
    <dxf>
      <numFmt numFmtId="0" formatCode="General"/>
      <fill>
        <patternFill patternType="none">
          <fgColor indexed="64"/>
          <bgColor auto="1"/>
        </patternFill>
      </fill>
      <alignment horizontal="left" vertical="bottom" textRotation="0" indent="0" justifyLastLine="0" shrinkToFit="0" readingOrder="0"/>
      <protection locked="1" hidden="1"/>
    </dxf>
    <dxf>
      <numFmt numFmtId="0" formatCode="General"/>
      <fill>
        <patternFill patternType="none">
          <fgColor indexed="64"/>
          <bgColor indexed="65"/>
        </patternFill>
      </fill>
      <alignment horizontal="left" vertical="bottom" textRotation="0" wrapText="1" indent="0" justifyLastLine="0" shrinkToFit="0" readingOrder="0"/>
      <protection locked="0" hidden="0"/>
    </dxf>
    <dxf>
      <numFmt numFmtId="0" formatCode="General"/>
      <fill>
        <patternFill patternType="none">
          <fgColor indexed="64"/>
          <bgColor indexed="65"/>
        </patternFill>
      </fill>
      <alignment horizontal="center" vertical="bottom" textRotation="0" wrapText="0" indent="0" justifyLastLine="0" shrinkToFit="0" readingOrder="0"/>
      <protection locked="0" hidden="0"/>
    </dxf>
    <dxf>
      <fill>
        <patternFill patternType="none">
          <fgColor indexed="64"/>
          <bgColor auto="1"/>
        </patternFill>
      </fill>
      <alignment horizontal="center"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indexed="64"/>
          <bgColor auto="1"/>
        </patternFill>
      </fill>
      <alignment horizontal="left" vertical="bottom" textRotation="0" wrapText="1" indent="0" justifyLastLine="0" shrinkToFit="0" readingOrder="0"/>
      <protection locked="0" hidden="0"/>
    </dxf>
    <dxf>
      <fill>
        <patternFill patternType="none">
          <fgColor rgb="FF000000"/>
          <bgColor auto="1"/>
        </patternFill>
      </fill>
      <protection locked="0" hidden="0"/>
    </dxf>
    <dxf>
      <protection locked="0" hidden="0"/>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right" vertical="bottom"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fill>
        <patternFill patternType="solid">
          <fgColor indexed="64"/>
          <bgColor theme="8" tint="0.79995117038483843"/>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4" formatCode="#,##0.00"/>
      <fill>
        <patternFill patternType="solid">
          <fgColor indexed="64"/>
          <bgColor theme="8" tint="0.79995117038483843"/>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numFmt numFmtId="0" formatCode="Genera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fill>
        <patternFill patternType="none">
          <fgColor indexed="64"/>
          <bgColor auto="1"/>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Arial"/>
        <family val="2"/>
        <scheme val="none"/>
      </font>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family val="2"/>
        <scheme val="none"/>
      </font>
      <border diagonalUp="0" diagonalDown="0">
        <left style="thin">
          <color auto="1"/>
        </left>
        <right style="thin">
          <color auto="1"/>
        </right>
        <top style="thin">
          <color auto="1"/>
        </top>
        <bottom style="thin">
          <color auto="1"/>
        </bottom>
        <vertical/>
        <horizontal/>
      </border>
    </dxf>
    <dxf>
      <border outline="0">
        <right style="thin">
          <color auto="1"/>
        </right>
      </border>
    </dxf>
    <dxf>
      <border outline="0">
        <bottom style="thin">
          <color auto="1"/>
        </bottom>
      </border>
    </dxf>
    <dxf>
      <font>
        <b val="0"/>
        <i val="0"/>
        <strike val="0"/>
        <condense val="0"/>
        <extend val="0"/>
        <outline val="0"/>
        <shadow val="0"/>
        <u val="none"/>
        <vertAlign val="baseline"/>
        <sz val="14"/>
        <color theme="0"/>
        <name val="Arial"/>
        <family val="2"/>
        <scheme val="none"/>
      </font>
      <fill>
        <patternFill patternType="solid">
          <fgColor indexed="64"/>
          <bgColor rgb="FF0070C0"/>
        </patternFill>
      </fill>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sheetMetadata" Target="metadata.xml"/><Relationship Id="rId10" Type="http://schemas.openxmlformats.org/officeDocument/2006/relationships/worksheet" Target="worksheets/sheet10.xml"/><Relationship Id="rId19" Type="http://schemas.microsoft.com/office/2007/relationships/slicerCache" Target="slicerCaches/slicerCache5.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8.xml"/><Relationship Id="rId27" Type="http://schemas.openxmlformats.org/officeDocument/2006/relationships/sharedStrings" Target="sharedStrings.xml"/><Relationship Id="rId30"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14</xdr:col>
      <xdr:colOff>655493</xdr:colOff>
      <xdr:row>0</xdr:row>
      <xdr:rowOff>19050</xdr:rowOff>
    </xdr:from>
    <xdr:to>
      <xdr:col>15</xdr:col>
      <xdr:colOff>933450</xdr:colOff>
      <xdr:row>4</xdr:row>
      <xdr:rowOff>257175</xdr:rowOff>
    </xdr:to>
    <mc:AlternateContent xmlns:mc="http://schemas.openxmlformats.org/markup-compatibility/2006" xmlns:sle15="http://schemas.microsoft.com/office/drawing/2012/slicer">
      <mc:Choice Requires="sle15">
        <xdr:graphicFrame macro="">
          <xdr:nvGraphicFramePr>
            <xdr:cNvPr id="2" name="TK/TKM">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TK/TKM"/>
            </a:graphicData>
          </a:graphic>
        </xdr:graphicFrame>
      </mc:Choice>
      <mc:Fallback xmlns="">
        <xdr:sp macro="" textlink="">
          <xdr:nvSpPr>
            <xdr:cNvPr id="0" name=""/>
            <xdr:cNvSpPr>
              <a:spLocks noTextEdit="1"/>
            </xdr:cNvSpPr>
          </xdr:nvSpPr>
          <xdr:spPr>
            <a:xfrm>
              <a:off x="21410468" y="19050"/>
              <a:ext cx="1830532" cy="1162050"/>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763680</xdr:colOff>
      <xdr:row>0</xdr:row>
      <xdr:rowOff>33621</xdr:rowOff>
    </xdr:from>
    <xdr:to>
      <xdr:col>6</xdr:col>
      <xdr:colOff>2510119</xdr:colOff>
      <xdr:row>3</xdr:row>
      <xdr:rowOff>22411</xdr:rowOff>
    </xdr:to>
    <mc:AlternateContent xmlns:mc="http://schemas.openxmlformats.org/markup-compatibility/2006" xmlns:sle15="http://schemas.microsoft.com/office/drawing/2012/slicer">
      <mc:Choice Requires="sle15">
        <xdr:graphicFrame macro="">
          <xdr:nvGraphicFramePr>
            <xdr:cNvPr id="2" name="Maker 212">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aker 212"/>
            </a:graphicData>
          </a:graphic>
        </xdr:graphicFrame>
      </mc:Choice>
      <mc:Fallback xmlns="">
        <xdr:sp macro="" textlink="">
          <xdr:nvSpPr>
            <xdr:cNvPr id="0" name=""/>
            <xdr:cNvSpPr>
              <a:spLocks noTextEdit="1"/>
            </xdr:cNvSpPr>
          </xdr:nvSpPr>
          <xdr:spPr>
            <a:xfrm>
              <a:off x="12003180" y="33621"/>
              <a:ext cx="1746439" cy="2196350"/>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763680</xdr:colOff>
      <xdr:row>0</xdr:row>
      <xdr:rowOff>33621</xdr:rowOff>
    </xdr:from>
    <xdr:to>
      <xdr:col>6</xdr:col>
      <xdr:colOff>2510119</xdr:colOff>
      <xdr:row>6</xdr:row>
      <xdr:rowOff>33616</xdr:rowOff>
    </xdr:to>
    <mc:AlternateContent xmlns:mc="http://schemas.openxmlformats.org/markup-compatibility/2006">
      <mc:Choice xmlns:sle15="http://schemas.microsoft.com/office/drawing/2012/slicer" Requires="sle15">
        <xdr:graphicFrame macro="">
          <xdr:nvGraphicFramePr>
            <xdr:cNvPr id="2" name="Maker 213">
              <a:extLst>
                <a:ext uri="{FF2B5EF4-FFF2-40B4-BE49-F238E27FC236}">
                  <a16:creationId xmlns:a16="http://schemas.microsoft.com/office/drawing/2014/main" id="{3011EB97-2796-4A01-9884-4B4106417048}"/>
                </a:ext>
              </a:extLst>
            </xdr:cNvPr>
            <xdr:cNvGraphicFramePr/>
          </xdr:nvGraphicFramePr>
          <xdr:xfrm>
            <a:off x="0" y="0"/>
            <a:ext cx="0" cy="0"/>
          </xdr:xfrm>
          <a:graphic>
            <a:graphicData uri="http://schemas.microsoft.com/office/drawing/2010/slicer">
              <sle:slicer xmlns:sle="http://schemas.microsoft.com/office/drawing/2010/slicer" name="Maker 213"/>
            </a:graphicData>
          </a:graphic>
        </xdr:graphicFrame>
      </mc:Choice>
      <mc:Fallback>
        <xdr:sp macro="" textlink="">
          <xdr:nvSpPr>
            <xdr:cNvPr id="0" name=""/>
            <xdr:cNvSpPr>
              <a:spLocks noTextEdit="1"/>
            </xdr:cNvSpPr>
          </xdr:nvSpPr>
          <xdr:spPr>
            <a:xfrm>
              <a:off x="12003180" y="33621"/>
              <a:ext cx="1746439" cy="1658466"/>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763680</xdr:colOff>
      <xdr:row>0</xdr:row>
      <xdr:rowOff>33621</xdr:rowOff>
    </xdr:from>
    <xdr:to>
      <xdr:col>6</xdr:col>
      <xdr:colOff>2510119</xdr:colOff>
      <xdr:row>4</xdr:row>
      <xdr:rowOff>123263</xdr:rowOff>
    </xdr:to>
    <mc:AlternateContent xmlns:mc="http://schemas.openxmlformats.org/markup-compatibility/2006">
      <mc:Choice xmlns:sle15="http://schemas.microsoft.com/office/drawing/2012/slicer" Requires="sle15">
        <xdr:graphicFrame macro="">
          <xdr:nvGraphicFramePr>
            <xdr:cNvPr id="2" name="Maker 214">
              <a:extLst>
                <a:ext uri="{FF2B5EF4-FFF2-40B4-BE49-F238E27FC236}">
                  <a16:creationId xmlns:a16="http://schemas.microsoft.com/office/drawing/2014/main" id="{BC9B4DDF-8961-42D9-A210-0C3C7B3305ED}"/>
                </a:ext>
              </a:extLst>
            </xdr:cNvPr>
            <xdr:cNvGraphicFramePr/>
          </xdr:nvGraphicFramePr>
          <xdr:xfrm>
            <a:off x="0" y="0"/>
            <a:ext cx="0" cy="0"/>
          </xdr:xfrm>
          <a:graphic>
            <a:graphicData uri="http://schemas.microsoft.com/office/drawing/2010/slicer">
              <sle:slicer xmlns:sle="http://schemas.microsoft.com/office/drawing/2010/slicer" name="Maker 214"/>
            </a:graphicData>
          </a:graphic>
        </xdr:graphicFrame>
      </mc:Choice>
      <mc:Fallback>
        <xdr:sp macro="" textlink="">
          <xdr:nvSpPr>
            <xdr:cNvPr id="0" name=""/>
            <xdr:cNvSpPr>
              <a:spLocks noTextEdit="1"/>
            </xdr:cNvSpPr>
          </xdr:nvSpPr>
          <xdr:spPr>
            <a:xfrm>
              <a:off x="12003180" y="33621"/>
              <a:ext cx="1746439" cy="1658466"/>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763680</xdr:colOff>
      <xdr:row>0</xdr:row>
      <xdr:rowOff>33621</xdr:rowOff>
    </xdr:from>
    <xdr:to>
      <xdr:col>6</xdr:col>
      <xdr:colOff>2510119</xdr:colOff>
      <xdr:row>6</xdr:row>
      <xdr:rowOff>33616</xdr:rowOff>
    </xdr:to>
    <mc:AlternateContent xmlns:mc="http://schemas.openxmlformats.org/markup-compatibility/2006">
      <mc:Choice xmlns:sle15="http://schemas.microsoft.com/office/drawing/2012/slicer" Requires="sle15">
        <xdr:graphicFrame macro="">
          <xdr:nvGraphicFramePr>
            <xdr:cNvPr id="2" name="Maker 215">
              <a:extLst>
                <a:ext uri="{FF2B5EF4-FFF2-40B4-BE49-F238E27FC236}">
                  <a16:creationId xmlns:a16="http://schemas.microsoft.com/office/drawing/2014/main" id="{A96DE81E-C768-49BA-85D9-240F9AFBAB93}"/>
                </a:ext>
              </a:extLst>
            </xdr:cNvPr>
            <xdr:cNvGraphicFramePr/>
          </xdr:nvGraphicFramePr>
          <xdr:xfrm>
            <a:off x="0" y="0"/>
            <a:ext cx="0" cy="0"/>
          </xdr:xfrm>
          <a:graphic>
            <a:graphicData uri="http://schemas.microsoft.com/office/drawing/2010/slicer">
              <sle:slicer xmlns:sle="http://schemas.microsoft.com/office/drawing/2010/slicer" name="Maker 215"/>
            </a:graphicData>
          </a:graphic>
        </xdr:graphicFrame>
      </mc:Choice>
      <mc:Fallback>
        <xdr:sp macro="" textlink="">
          <xdr:nvSpPr>
            <xdr:cNvPr id="0" name=""/>
            <xdr:cNvSpPr>
              <a:spLocks noTextEdit="1"/>
            </xdr:cNvSpPr>
          </xdr:nvSpPr>
          <xdr:spPr>
            <a:xfrm>
              <a:off x="12003180" y="33621"/>
              <a:ext cx="1746439" cy="1658466"/>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763680</xdr:colOff>
      <xdr:row>0</xdr:row>
      <xdr:rowOff>33621</xdr:rowOff>
    </xdr:from>
    <xdr:to>
      <xdr:col>6</xdr:col>
      <xdr:colOff>2510119</xdr:colOff>
      <xdr:row>6</xdr:row>
      <xdr:rowOff>33616</xdr:rowOff>
    </xdr:to>
    <mc:AlternateContent xmlns:mc="http://schemas.openxmlformats.org/markup-compatibility/2006">
      <mc:Choice xmlns:sle15="http://schemas.microsoft.com/office/drawing/2012/slicer" Requires="sle15">
        <xdr:graphicFrame macro="">
          <xdr:nvGraphicFramePr>
            <xdr:cNvPr id="2" name="Maker 216">
              <a:extLst>
                <a:ext uri="{FF2B5EF4-FFF2-40B4-BE49-F238E27FC236}">
                  <a16:creationId xmlns:a16="http://schemas.microsoft.com/office/drawing/2014/main" id="{F6D737A5-81E8-4476-9AEF-823871988DEF}"/>
                </a:ext>
              </a:extLst>
            </xdr:cNvPr>
            <xdr:cNvGraphicFramePr/>
          </xdr:nvGraphicFramePr>
          <xdr:xfrm>
            <a:off x="0" y="0"/>
            <a:ext cx="0" cy="0"/>
          </xdr:xfrm>
          <a:graphic>
            <a:graphicData uri="http://schemas.microsoft.com/office/drawing/2010/slicer">
              <sle:slicer xmlns:sle="http://schemas.microsoft.com/office/drawing/2010/slicer" name="Maker 216"/>
            </a:graphicData>
          </a:graphic>
        </xdr:graphicFrame>
      </mc:Choice>
      <mc:Fallback>
        <xdr:sp macro="" textlink="">
          <xdr:nvSpPr>
            <xdr:cNvPr id="0" name=""/>
            <xdr:cNvSpPr>
              <a:spLocks noTextEdit="1"/>
            </xdr:cNvSpPr>
          </xdr:nvSpPr>
          <xdr:spPr>
            <a:xfrm>
              <a:off x="12003180" y="33621"/>
              <a:ext cx="1746439" cy="1658466"/>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6</xdr:col>
      <xdr:colOff>763680</xdr:colOff>
      <xdr:row>0</xdr:row>
      <xdr:rowOff>33621</xdr:rowOff>
    </xdr:from>
    <xdr:to>
      <xdr:col>6</xdr:col>
      <xdr:colOff>2510119</xdr:colOff>
      <xdr:row>4</xdr:row>
      <xdr:rowOff>123263</xdr:rowOff>
    </xdr:to>
    <mc:AlternateContent xmlns:mc="http://schemas.openxmlformats.org/markup-compatibility/2006">
      <mc:Choice xmlns:sle15="http://schemas.microsoft.com/office/drawing/2012/slicer" Requires="sle15">
        <xdr:graphicFrame macro="">
          <xdr:nvGraphicFramePr>
            <xdr:cNvPr id="2" name="Maker 217">
              <a:extLst>
                <a:ext uri="{FF2B5EF4-FFF2-40B4-BE49-F238E27FC236}">
                  <a16:creationId xmlns:a16="http://schemas.microsoft.com/office/drawing/2014/main" id="{C99CB173-7860-4234-8198-F179AD5A7602}"/>
                </a:ext>
              </a:extLst>
            </xdr:cNvPr>
            <xdr:cNvGraphicFramePr/>
          </xdr:nvGraphicFramePr>
          <xdr:xfrm>
            <a:off x="0" y="0"/>
            <a:ext cx="0" cy="0"/>
          </xdr:xfrm>
          <a:graphic>
            <a:graphicData uri="http://schemas.microsoft.com/office/drawing/2010/slicer">
              <sle:slicer xmlns:sle="http://schemas.microsoft.com/office/drawing/2010/slicer" name="Maker 217"/>
            </a:graphicData>
          </a:graphic>
        </xdr:graphicFrame>
      </mc:Choice>
      <mc:Fallback>
        <xdr:sp macro="" textlink="">
          <xdr:nvSpPr>
            <xdr:cNvPr id="0" name=""/>
            <xdr:cNvSpPr>
              <a:spLocks noTextEdit="1"/>
            </xdr:cNvSpPr>
          </xdr:nvSpPr>
          <xdr:spPr>
            <a:xfrm>
              <a:off x="12003180" y="33621"/>
              <a:ext cx="1746439" cy="1658466"/>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absolute">
    <xdr:from>
      <xdr:col>10</xdr:col>
      <xdr:colOff>76200</xdr:colOff>
      <xdr:row>1</xdr:row>
      <xdr:rowOff>9525</xdr:rowOff>
    </xdr:from>
    <xdr:to>
      <xdr:col>11</xdr:col>
      <xdr:colOff>971550</xdr:colOff>
      <xdr:row>3799</xdr:row>
      <xdr:rowOff>123826</xdr:rowOff>
    </xdr:to>
    <mc:AlternateContent xmlns:mc="http://schemas.openxmlformats.org/markup-compatibility/2006" xmlns:sle15="http://schemas.microsoft.com/office/drawing/2012/slicer">
      <mc:Choice Requires="sle15">
        <xdr:graphicFrame macro="">
          <xdr:nvGraphicFramePr>
            <xdr:cNvPr id="5" name="MAKER">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microsoft.com/office/drawing/2010/slicer">
              <sle:slicer xmlns:sle="http://schemas.microsoft.com/office/drawing/2010/slicer" name="MAKER"/>
            </a:graphicData>
          </a:graphic>
        </xdr:graphicFrame>
      </mc:Choice>
      <mc:Fallback xmlns="">
        <xdr:sp macro="" textlink="">
          <xdr:nvSpPr>
            <xdr:cNvPr id="0" name=""/>
            <xdr:cNvSpPr>
              <a:spLocks noTextEdit="1"/>
            </xdr:cNvSpPr>
          </xdr:nvSpPr>
          <xdr:spPr>
            <a:xfrm>
              <a:off x="11906250" y="200024"/>
              <a:ext cx="1885950" cy="26698576"/>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981075</xdr:colOff>
      <xdr:row>1</xdr:row>
      <xdr:rowOff>1</xdr:rowOff>
    </xdr:from>
    <xdr:to>
      <xdr:col>12</xdr:col>
      <xdr:colOff>1409700</xdr:colOff>
      <xdr:row>3799</xdr:row>
      <xdr:rowOff>123826</xdr:rowOff>
    </xdr:to>
    <mc:AlternateContent xmlns:mc="http://schemas.openxmlformats.org/markup-compatibility/2006" xmlns:sle15="http://schemas.microsoft.com/office/drawing/2012/slicer">
      <mc:Choice Requires="sle15">
        <xdr:graphicFrame macro="">
          <xdr:nvGraphicFramePr>
            <xdr:cNvPr id="6" name="Family">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microsoft.com/office/drawing/2010/slicer">
              <sle:slicer xmlns:sle="http://schemas.microsoft.com/office/drawing/2010/slicer" name="Family"/>
            </a:graphicData>
          </a:graphic>
        </xdr:graphicFrame>
      </mc:Choice>
      <mc:Fallback xmlns="">
        <xdr:sp macro="" textlink="">
          <xdr:nvSpPr>
            <xdr:cNvPr id="0" name=""/>
            <xdr:cNvSpPr>
              <a:spLocks noTextEdit="1"/>
            </xdr:cNvSpPr>
          </xdr:nvSpPr>
          <xdr:spPr>
            <a:xfrm>
              <a:off x="13801725" y="190500"/>
              <a:ext cx="1847850" cy="26708100"/>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28574</xdr:colOff>
      <xdr:row>1</xdr:row>
      <xdr:rowOff>0</xdr:rowOff>
    </xdr:from>
    <xdr:to>
      <xdr:col>14</xdr:col>
      <xdr:colOff>466724</xdr:colOff>
      <xdr:row>3799</xdr:row>
      <xdr:rowOff>133350</xdr:rowOff>
    </xdr:to>
    <mc:AlternateContent xmlns:mc="http://schemas.openxmlformats.org/markup-compatibility/2006" xmlns:sle15="http://schemas.microsoft.com/office/drawing/2012/slicer">
      <mc:Choice Requires="sle15">
        <xdr:graphicFrame macro="">
          <xdr:nvGraphicFramePr>
            <xdr:cNvPr id="7" name="Series">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microsoft.com/office/drawing/2010/slicer">
              <sle:slicer xmlns:sle="http://schemas.microsoft.com/office/drawing/2010/slicer" name="Series"/>
            </a:graphicData>
          </a:graphic>
        </xdr:graphicFrame>
      </mc:Choice>
      <mc:Fallback xmlns="">
        <xdr:sp macro="" textlink="">
          <xdr:nvSpPr>
            <xdr:cNvPr id="0" name=""/>
            <xdr:cNvSpPr>
              <a:spLocks noTextEdit="1"/>
            </xdr:cNvSpPr>
          </xdr:nvSpPr>
          <xdr:spPr>
            <a:xfrm>
              <a:off x="15687674" y="190500"/>
              <a:ext cx="1857375" cy="26708100"/>
            </a:xfrm>
            <a:prstGeom prst="rect">
              <a:avLst/>
            </a:prstGeom>
            <a:solidFill>
              <a:prstClr val="white"/>
            </a:solidFill>
            <a:ln w="1">
              <a:solidFill>
                <a:prstClr val="green"/>
              </a:solidFill>
            </a:ln>
          </xdr:spPr>
          <xdr:txBody>
            <a:bodyPr vertOverflow="clip" horzOverflow="clip"/>
            <a:lstStyle/>
            <a:p>
              <a:r>
                <a:rPr lang="en-MY"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lson Yeo" refreshedDate="46141.460850000003" createdVersion="8" refreshedVersion="8" minRefreshableVersion="3" recordCount="855" xr:uid="{932E1022-695E-4718-9B38-6765D115B2A2}">
  <cacheSource type="worksheet">
    <worksheetSource name="DBparts1"/>
  </cacheSource>
  <cacheFields count="12">
    <cacheField name="No" numFmtId="0">
      <sharedItems containsString="0" containsBlank="1" containsNumber="1" containsInteger="1" minValue="1" maxValue="102" count="10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m/>
      </sharedItems>
    </cacheField>
    <cacheField name="Remark 1" numFmtId="0">
      <sharedItems containsBlank="1" containsMixedTypes="1" containsNumber="1" containsInteger="1" minValue="1" maxValue="1" count="20">
        <s v="40A 3P MCCB"/>
        <m/>
        <s v="63A 2P 100mA RCCB"/>
        <s v="63A 2P 30mA RCCB"/>
        <s v="40A 2P 100mA RCCB"/>
        <s v="40A 2P 30mA RCCB"/>
        <s v="60A CABLE"/>
        <s v="40A CABLE"/>
        <s v="2P 6kA MCB"/>
        <s v="3P 6kA MCB"/>
        <s v="FUSE"/>
        <s v="SWITCH"/>
        <s v="24H TIMER"/>
        <s v="12A CONTACTOR"/>
        <s v="CTRL CABLE"/>
        <s v="16W"/>
        <s v="40W"/>
        <s v="56W"/>
        <s v="72W"/>
        <n v="1" u="1"/>
      </sharedItems>
    </cacheField>
    <cacheField name="Remark 2" numFmtId="0">
      <sharedItems containsBlank="1"/>
    </cacheField>
    <cacheField name="Remark 3" numFmtId="0">
      <sharedItems containsBlank="1"/>
    </cacheField>
    <cacheField name="Type" numFmtId="0">
      <sharedItems containsBlank="1" containsMixedTypes="1" containsNumber="1" containsInteger="1" minValue="1" maxValue="100" count="21">
        <s v="NXM-125S 3P 40A"/>
        <m/>
        <s v="NL1-63 63A 0.1(100mA) 2P ELCB"/>
        <s v="NL1-63 63A 0.03(30mA) 2P ELCB"/>
        <s v="NL1-63 40A 0.1(100mA) 2P ELCB"/>
        <s v="NL1-63 40A 0.03(30mA) 2P ELCB"/>
        <s v="16mm2 PVC"/>
        <s v="10mm2 PVC"/>
        <s v="NB1-63 2P 40A"/>
        <s v="NB1-63 3P 40A"/>
        <s v="RT18M-32"/>
        <s v="AB2-MD33"/>
        <s v="CCT15101"/>
        <s v="MC-12b-11"/>
        <s v="1.5mm2 PVC"/>
        <s v="DB MCCB 16W GI1.2"/>
        <s v="DB MCCB 40W GI1.2"/>
        <s v="DB MCCB 56W GI1.2"/>
        <s v="DB MCCB 72W GI1.2"/>
        <n v="1" u="1"/>
        <n v="100" u="1"/>
      </sharedItems>
    </cacheField>
    <cacheField name="Discount seletion" numFmtId="0">
      <sharedItems/>
    </cacheField>
    <cacheField name="Description" numFmtId="0">
      <sharedItems containsMixedTypes="1" containsNumber="1" containsInteger="1" minValue="0" maxValue="0"/>
    </cacheField>
    <cacheField name="Maker" numFmtId="0">
      <sharedItems containsMixedTypes="1" containsNumber="1" containsInteger="1" minValue="0" maxValue="0" count="8">
        <s v="CHINT"/>
        <n v="0"/>
        <s v="UC"/>
        <s v="HAMA"/>
        <s v="AMICO"/>
        <s v="SCHNEIDER"/>
        <s v="LS"/>
        <s v="TK"/>
      </sharedItems>
    </cacheField>
    <cacheField name="LIST $" numFmtId="0">
      <sharedItems containsSemiMixedTypes="0" containsString="0" containsNumber="1" minValue="0" maxValue="424"/>
    </cacheField>
    <cacheField name="DISCOUNT" numFmtId="0">
      <sharedItems containsSemiMixedTypes="0" containsString="0" containsNumber="1" minValue="0" maxValue="1"/>
    </cacheField>
    <cacheField name="DISCOUNT 2" numFmtId="0">
      <sharedItems containsSemiMixedTypes="0" containsString="0" containsNumber="1" containsInteger="1" minValue="0" maxValue="1"/>
    </cacheField>
    <cacheField name="COST" numFmtId="0">
      <sharedItems containsSemiMixedTypes="0" containsString="0" containsNumber="1" minValue="0" maxValue="3500" count="164">
        <n v="95.725867999999991"/>
        <n v="0"/>
        <n v="48.098711999999999"/>
        <n v="66.489395999999999"/>
        <n v="40.082259999999998"/>
        <n v="56.58672"/>
        <n v="10"/>
        <n v="6"/>
        <n v="15.985748399999999"/>
        <n v="24.426600799999996"/>
        <n v="16"/>
        <n v="65"/>
        <n v="42.950250000000004"/>
        <n v="1"/>
        <n v="202"/>
        <n v="289"/>
        <n v="358"/>
        <n v="424"/>
        <n v="72.619624000000002" u="1"/>
        <n v="90.067195999999996" u="1"/>
        <n v="24.143667199999999" u="1"/>
        <n v="36.215500799999994" u="1"/>
        <n v="70.733400000000003" u="1"/>
        <n v="8.1579187999999991" u="1"/>
        <n v="67.904063999999991" u="1"/>
        <n v="29" u="1"/>
        <n v="25" u="1"/>
        <n v="28.092608989200013" u="1"/>
        <n v="237" u="1"/>
        <n v="1356" u="1"/>
        <n v="10.421387600000001" u="1"/>
        <n v="61.773835999999996" u="1"/>
        <n v="345" u="1"/>
        <n v="357" u="1"/>
        <n v="308.86917999999997" u="1"/>
        <n v="19" u="1"/>
        <n v="613" u="1"/>
        <n v="998" u="1"/>
        <n v="1255" u="1"/>
        <n v="1498" u="1"/>
        <n v="39.610703999999998" u="1"/>
        <n v="140" u="1"/>
        <n v="127" u="1"/>
        <n v="198" u="1"/>
        <n v="285" u="1"/>
        <n v="354" u="1"/>
        <n v="1211" u="1"/>
        <n v="195.69574" u="1"/>
        <n v="74.505848" u="1"/>
        <n v="62.716947999999995" u="1"/>
        <n v="24.049356" u="1"/>
        <n v="54.700495999999994" u="1"/>
        <n v="27.350247999999997" u="1"/>
        <n v="14.14668" u="1"/>
        <n v="188.15084399999998" u="1"/>
        <n v="64.131615999999994" u="1"/>
        <n v="35.366700000000002" u="1"/>
        <n v="7.2148067999999999" u="1"/>
        <n v="21.220019999999998" u="1"/>
        <n v="137" u="1"/>
        <n v="419" u="1"/>
        <n v="21.597264799999998" u="1"/>
        <n v="84.408524" u="1"/>
        <n v="49.984935999999998" u="1"/>
        <n v="109" u="1"/>
        <n v="790" u="1"/>
        <n v="79.692963999999989" u="1"/>
        <n v="42.440039999999996" u="1"/>
        <n v="58.944499999999998" u="1"/>
        <n v="66.017839999999993" u="1"/>
        <n v="21.361486799999998" u="1"/>
        <n v="3.8667591999999993" u="1"/>
        <n v="273.03092399999997" u="1"/>
        <n v="35.036610799999998" u="1"/>
        <n v="24.615223199999999" u="1"/>
        <n v="59.887611999999997" u="1"/>
        <n v="212.2002" u="1"/>
        <n v="22.163131999999997" u="1"/>
        <n v="173.06105199999999" u="1"/>
        <n v="17.636194399999997" u="1"/>
        <n v="47.1556" u="1"/>
        <n v="55.172051999999994" u="1"/>
        <n v="9.1953420000000001" u="1"/>
        <n v="32.018652400000001" u="1"/>
        <n v="1134" u="1"/>
        <n v="1791" u="1"/>
        <n v="265" u="1"/>
        <n v="99.498315999999988" u="1"/>
        <n v="109.40099199999999" u="1"/>
        <n v="44.703508799999994" u="1"/>
        <n v="390" u="1"/>
        <n v="18.626462" u="1"/>
        <n v="102.2804964" u="1"/>
        <n v="49.654846799999994" u="1"/>
        <n v="32.319000000000003" u="1"/>
        <n v="134.92755549" u="1"/>
        <n v="77.3584651476" u="1"/>
        <n v="52.171988122800002" u="1"/>
        <n v="49.957792340400019" u="1"/>
        <n v="75.844859999999997" u="1"/>
        <n v="151.82383999999999" u="1"/>
        <n v="144.61489" u="1"/>
        <n v="238.09653" u="1"/>
        <n v="398.30287000000004" u="1"/>
        <n v="10.15959" u="1"/>
        <n v="56.296869999999998" u="1"/>
        <n v="125.43389599999999" u="1"/>
        <n v="60.830723999999996" u="1"/>
        <n v="123.59025" u="1"/>
        <n v="46.084499999999998" u="1"/>
        <n v="37" u="1"/>
        <n v="185" u="1"/>
        <n v="111.287216" u="1"/>
        <n v="164.54242407960001" u="1"/>
        <n v="97.563001662000048" u="1"/>
        <n v="95.210418643200043" u="1"/>
        <n v="385" u="1"/>
        <n v="312" u="1"/>
        <n v="145.43550000000002" u="1"/>
        <n v="59.604678399999997" u="1"/>
        <n v="72.148067999999995" u="1"/>
        <n v="66.425873472000006" u="1"/>
        <n v="1014" u="1"/>
        <n v="341" u="1"/>
        <n v="159" u="1"/>
        <n v="233" u="1"/>
        <n v="336" u="1"/>
        <n v="288.95254960320011" u="1"/>
        <n v="74.867494892400032" u="1"/>
        <n v="127.31625748800005" u="1"/>
        <n v="97.839776134800047" u="1"/>
        <n v="54.247796668800021" u="1"/>
        <n v="7.3345235292000028" u="1"/>
        <n v="48.85069444920002" u="1"/>
        <n v="205.22827158120009" u="1"/>
        <n v="103.23687835440005" u="1"/>
        <n v="91.75073773320004" u="1"/>
        <n v="76.943303438400036" u="1"/>
        <n v="77.220077911200036" u="1"/>
        <n v="26.708736625200011" u="1"/>
        <n v="104.68543199999999" u="1"/>
        <n v="19.158448050000008" u="1"/>
        <n v="46.527659550000017" u="1"/>
        <n v="86.417000000000002" u="1"/>
        <n v="113.40299999999999" u="1"/>
        <n v="11.859991650000005" u="1"/>
        <n v="91.953419999999994" u="1"/>
        <n v="28" u="1"/>
        <n v="290" u="1"/>
        <n v="130.91432563440006" u="1"/>
        <n v="210" u="1"/>
        <n v="94.302224999999993" u="1"/>
        <n v="16.5" u="1"/>
        <n v="3500" u="1"/>
        <n v="52.814271999999995" u="1"/>
        <n v="69.16" u="1"/>
        <n v="98.419999999999987" u="1"/>
        <n v="125.68499999999999" u="1"/>
        <n v="176.89" u="1"/>
        <n v="217.45499999999998" u="1"/>
        <n v="68.045530800000009" u="1"/>
        <n v="12.260456" u="1"/>
        <n v="23.106244" u="1"/>
        <n v="10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5">
  <r>
    <x v="0"/>
    <x v="0"/>
    <m/>
    <m/>
    <x v="0"/>
    <s v="Standard"/>
    <s v="40A 3P 25kA MCCB, 50%"/>
    <x v="0"/>
    <n v="203"/>
    <n v="0.47155599999999998"/>
    <n v="1"/>
    <x v="0"/>
  </r>
  <r>
    <x v="1"/>
    <x v="1"/>
    <m/>
    <m/>
    <x v="1"/>
    <s v="Standard"/>
    <n v="0"/>
    <x v="1"/>
    <n v="0"/>
    <n v="0"/>
    <n v="0"/>
    <x v="1"/>
  </r>
  <r>
    <x v="2"/>
    <x v="2"/>
    <m/>
    <m/>
    <x v="2"/>
    <s v="Standard"/>
    <s v="63A 2P 100mA ELCB"/>
    <x v="0"/>
    <n v="102"/>
    <n v="0.47155599999999998"/>
    <n v="1"/>
    <x v="2"/>
  </r>
  <r>
    <x v="3"/>
    <x v="3"/>
    <m/>
    <m/>
    <x v="3"/>
    <s v="Standard"/>
    <s v="63A 2P 30mA ELCB"/>
    <x v="0"/>
    <n v="141"/>
    <n v="0.47155599999999998"/>
    <n v="1"/>
    <x v="3"/>
  </r>
  <r>
    <x v="4"/>
    <x v="4"/>
    <m/>
    <m/>
    <x v="4"/>
    <s v="Standard"/>
    <s v="40A 2P 100mA ELCB"/>
    <x v="0"/>
    <n v="85"/>
    <n v="0.47155599999999998"/>
    <n v="1"/>
    <x v="4"/>
  </r>
  <r>
    <x v="5"/>
    <x v="5"/>
    <m/>
    <m/>
    <x v="5"/>
    <s v="Standard"/>
    <s v="40A 2P 30mA ELCB"/>
    <x v="0"/>
    <n v="120"/>
    <n v="0.47155599999999998"/>
    <n v="1"/>
    <x v="5"/>
  </r>
  <r>
    <x v="6"/>
    <x v="1"/>
    <m/>
    <m/>
    <x v="1"/>
    <s v="Standard"/>
    <n v="0"/>
    <x v="1"/>
    <n v="0"/>
    <n v="0"/>
    <n v="0"/>
    <x v="1"/>
  </r>
  <r>
    <x v="7"/>
    <x v="6"/>
    <m/>
    <m/>
    <x v="6"/>
    <s v="Standard"/>
    <s v="16MM SQ PVC CABLE (60A)"/>
    <x v="2"/>
    <n v="10"/>
    <n v="1"/>
    <n v="1"/>
    <x v="6"/>
  </r>
  <r>
    <x v="8"/>
    <x v="7"/>
    <m/>
    <m/>
    <x v="7"/>
    <s v="Standard"/>
    <s v="10MM SQ PVC CABLE (40A)"/>
    <x v="2"/>
    <n v="6"/>
    <n v="1"/>
    <n v="1"/>
    <x v="7"/>
  </r>
  <r>
    <x v="9"/>
    <x v="1"/>
    <m/>
    <m/>
    <x v="1"/>
    <s v="Standard"/>
    <n v="0"/>
    <x v="1"/>
    <n v="0"/>
    <n v="0"/>
    <n v="0"/>
    <x v="1"/>
  </r>
  <r>
    <x v="10"/>
    <x v="8"/>
    <m/>
    <m/>
    <x v="8"/>
    <s v="Standard"/>
    <s v="6A ~ 40A 2P 6kA MCB"/>
    <x v="0"/>
    <n v="33.9"/>
    <n v="0.47155599999999998"/>
    <n v="1"/>
    <x v="8"/>
  </r>
  <r>
    <x v="11"/>
    <x v="9"/>
    <m/>
    <m/>
    <x v="9"/>
    <s v="Standard"/>
    <s v="6A ~ 40A 3P 6kA MCB"/>
    <x v="0"/>
    <n v="51.8"/>
    <n v="0.47155599999999998"/>
    <n v="1"/>
    <x v="9"/>
  </r>
  <r>
    <x v="12"/>
    <x v="1"/>
    <m/>
    <m/>
    <x v="1"/>
    <s v="Standard"/>
    <n v="0"/>
    <x v="1"/>
    <n v="0"/>
    <n v="0"/>
    <n v="0"/>
    <x v="1"/>
  </r>
  <r>
    <x v="13"/>
    <x v="10"/>
    <m/>
    <m/>
    <x v="10"/>
    <s v="Standard"/>
    <s v="HRC FUSE"/>
    <x v="3"/>
    <n v="6"/>
    <n v="1"/>
    <n v="1"/>
    <x v="7"/>
  </r>
  <r>
    <x v="14"/>
    <x v="11"/>
    <m/>
    <m/>
    <x v="11"/>
    <s v="Standard"/>
    <s v="SELECTOR SWITCH (3 Way, Ctrl)"/>
    <x v="4"/>
    <n v="16"/>
    <n v="1"/>
    <n v="1"/>
    <x v="10"/>
  </r>
  <r>
    <x v="15"/>
    <x v="12"/>
    <m/>
    <m/>
    <x v="12"/>
    <s v="Standard"/>
    <s v="24 Hour Timer"/>
    <x v="5"/>
    <n v="65"/>
    <n v="1"/>
    <n v="1"/>
    <x v="11"/>
  </r>
  <r>
    <x v="16"/>
    <x v="13"/>
    <m/>
    <m/>
    <x v="13"/>
    <s v="Standard"/>
    <s v="12A 3P CONTACTOR"/>
    <x v="6"/>
    <n v="106.05000000000001"/>
    <n v="0.40500000000000003"/>
    <n v="1"/>
    <x v="12"/>
  </r>
  <r>
    <x v="17"/>
    <x v="14"/>
    <m/>
    <m/>
    <x v="14"/>
    <s v="Standard"/>
    <s v="CONTROL CABLE"/>
    <x v="2"/>
    <n v="1"/>
    <n v="1"/>
    <n v="1"/>
    <x v="13"/>
  </r>
  <r>
    <x v="18"/>
    <x v="1"/>
    <m/>
    <m/>
    <x v="1"/>
    <s v="Standard"/>
    <n v="0"/>
    <x v="1"/>
    <n v="0"/>
    <n v="0"/>
    <n v="0"/>
    <x v="1"/>
  </r>
  <r>
    <x v="19"/>
    <x v="15"/>
    <s v="DB, MCCB incoming,_x000a_2R 8W_x000a_400x400x150"/>
    <s v="TK"/>
    <x v="15"/>
    <s v="Standard"/>
    <s v="DB, MCCB incoming,_x000a_2R 8W_x000a_400x400x150"/>
    <x v="7"/>
    <n v="202"/>
    <n v="1"/>
    <n v="1"/>
    <x v="14"/>
  </r>
  <r>
    <x v="20"/>
    <x v="16"/>
    <s v="DB, MCCB incoming,_x000a_3R 2x16W+1x8W_x000a_650x400x150"/>
    <s v="TK"/>
    <x v="16"/>
    <s v="Standard"/>
    <s v="DB, MCCB incoming,_x000a_3R 2x16W+1x8W_x000a_650x400x150"/>
    <x v="7"/>
    <n v="289"/>
    <n v="1"/>
    <n v="1"/>
    <x v="15"/>
  </r>
  <r>
    <x v="21"/>
    <x v="17"/>
    <s v="DB, MCCB incoming,_x000a_4R 3x16W+1x8W_x000a_850x400x150"/>
    <s v="TK"/>
    <x v="17"/>
    <s v="Standard"/>
    <s v="DB, MCCB incoming,_x000a_4R 3x16W+1x8W_x000a_850x400x150"/>
    <x v="7"/>
    <n v="358"/>
    <n v="1"/>
    <n v="1"/>
    <x v="16"/>
  </r>
  <r>
    <x v="22"/>
    <x v="18"/>
    <s v="DB, MCCB incoming,_x000a_4R 3x20W+1x12W_x000a_850x500x150"/>
    <s v="TK"/>
    <x v="18"/>
    <s v="Standard"/>
    <s v="DB, MCCB incoming,_x000a_4R 3x20W+1x12W_x000a_850x500x150"/>
    <x v="7"/>
    <n v="424"/>
    <n v="1"/>
    <n v="1"/>
    <x v="17"/>
  </r>
  <r>
    <x v="23"/>
    <x v="1"/>
    <m/>
    <m/>
    <x v="1"/>
    <s v="Standard"/>
    <n v="0"/>
    <x v="1"/>
    <n v="0"/>
    <n v="0"/>
    <n v="0"/>
    <x v="1"/>
  </r>
  <r>
    <x v="24"/>
    <x v="1"/>
    <m/>
    <m/>
    <x v="1"/>
    <s v="Standard"/>
    <n v="0"/>
    <x v="1"/>
    <n v="0"/>
    <n v="0"/>
    <n v="0"/>
    <x v="1"/>
  </r>
  <r>
    <x v="25"/>
    <x v="1"/>
    <m/>
    <m/>
    <x v="1"/>
    <s v="Standard"/>
    <n v="0"/>
    <x v="1"/>
    <n v="0"/>
    <n v="0"/>
    <n v="0"/>
    <x v="1"/>
  </r>
  <r>
    <x v="26"/>
    <x v="1"/>
    <m/>
    <m/>
    <x v="1"/>
    <s v="Standard"/>
    <n v="0"/>
    <x v="1"/>
    <n v="0"/>
    <n v="0"/>
    <n v="0"/>
    <x v="1"/>
  </r>
  <r>
    <x v="27"/>
    <x v="1"/>
    <m/>
    <m/>
    <x v="1"/>
    <s v="Standard"/>
    <n v="0"/>
    <x v="1"/>
    <n v="0"/>
    <n v="0"/>
    <n v="0"/>
    <x v="1"/>
  </r>
  <r>
    <x v="28"/>
    <x v="1"/>
    <m/>
    <m/>
    <x v="1"/>
    <s v="Standard"/>
    <n v="0"/>
    <x v="1"/>
    <n v="0"/>
    <n v="0"/>
    <n v="0"/>
    <x v="1"/>
  </r>
  <r>
    <x v="29"/>
    <x v="1"/>
    <m/>
    <m/>
    <x v="1"/>
    <s v="Standard"/>
    <n v="0"/>
    <x v="1"/>
    <n v="0"/>
    <n v="0"/>
    <n v="0"/>
    <x v="1"/>
  </r>
  <r>
    <x v="30"/>
    <x v="1"/>
    <m/>
    <m/>
    <x v="1"/>
    <s v="Standard"/>
    <n v="0"/>
    <x v="1"/>
    <n v="0"/>
    <n v="0"/>
    <n v="0"/>
    <x v="1"/>
  </r>
  <r>
    <x v="31"/>
    <x v="1"/>
    <m/>
    <m/>
    <x v="1"/>
    <s v="Standard"/>
    <n v="0"/>
    <x v="1"/>
    <n v="0"/>
    <n v="0"/>
    <n v="0"/>
    <x v="1"/>
  </r>
  <r>
    <x v="32"/>
    <x v="1"/>
    <m/>
    <m/>
    <x v="1"/>
    <s v="Standard"/>
    <n v="0"/>
    <x v="1"/>
    <n v="0"/>
    <n v="0"/>
    <n v="0"/>
    <x v="1"/>
  </r>
  <r>
    <x v="33"/>
    <x v="1"/>
    <m/>
    <m/>
    <x v="1"/>
    <s v="Standard"/>
    <n v="0"/>
    <x v="1"/>
    <n v="0"/>
    <n v="0"/>
    <n v="0"/>
    <x v="1"/>
  </r>
  <r>
    <x v="34"/>
    <x v="1"/>
    <m/>
    <m/>
    <x v="1"/>
    <s v="Standard"/>
    <n v="0"/>
    <x v="1"/>
    <n v="0"/>
    <n v="0"/>
    <n v="0"/>
    <x v="1"/>
  </r>
  <r>
    <x v="35"/>
    <x v="1"/>
    <m/>
    <m/>
    <x v="1"/>
    <s v="Standard"/>
    <n v="0"/>
    <x v="1"/>
    <n v="0"/>
    <n v="0"/>
    <n v="0"/>
    <x v="1"/>
  </r>
  <r>
    <x v="36"/>
    <x v="1"/>
    <m/>
    <m/>
    <x v="1"/>
    <s v="Standard"/>
    <n v="0"/>
    <x v="1"/>
    <n v="0"/>
    <n v="0"/>
    <n v="0"/>
    <x v="1"/>
  </r>
  <r>
    <x v="37"/>
    <x v="1"/>
    <m/>
    <m/>
    <x v="1"/>
    <s v="Standard"/>
    <n v="0"/>
    <x v="1"/>
    <n v="0"/>
    <n v="0"/>
    <n v="0"/>
    <x v="1"/>
  </r>
  <r>
    <x v="38"/>
    <x v="1"/>
    <m/>
    <m/>
    <x v="1"/>
    <s v="Standard"/>
    <n v="0"/>
    <x v="1"/>
    <n v="0"/>
    <n v="0"/>
    <n v="0"/>
    <x v="1"/>
  </r>
  <r>
    <x v="39"/>
    <x v="1"/>
    <m/>
    <m/>
    <x v="1"/>
    <s v="Standard"/>
    <n v="0"/>
    <x v="1"/>
    <n v="0"/>
    <n v="0"/>
    <n v="0"/>
    <x v="1"/>
  </r>
  <r>
    <x v="40"/>
    <x v="1"/>
    <m/>
    <m/>
    <x v="1"/>
    <s v="Standard"/>
    <n v="0"/>
    <x v="1"/>
    <n v="0"/>
    <n v="0"/>
    <n v="0"/>
    <x v="1"/>
  </r>
  <r>
    <x v="41"/>
    <x v="1"/>
    <m/>
    <m/>
    <x v="1"/>
    <s v="Standard"/>
    <n v="0"/>
    <x v="1"/>
    <n v="0"/>
    <n v="0"/>
    <n v="0"/>
    <x v="1"/>
  </r>
  <r>
    <x v="42"/>
    <x v="1"/>
    <m/>
    <m/>
    <x v="1"/>
    <s v="Standard"/>
    <n v="0"/>
    <x v="1"/>
    <n v="0"/>
    <n v="0"/>
    <n v="0"/>
    <x v="1"/>
  </r>
  <r>
    <x v="43"/>
    <x v="1"/>
    <m/>
    <m/>
    <x v="1"/>
    <s v="Standard"/>
    <n v="0"/>
    <x v="1"/>
    <n v="0"/>
    <n v="0"/>
    <n v="0"/>
    <x v="1"/>
  </r>
  <r>
    <x v="44"/>
    <x v="1"/>
    <m/>
    <m/>
    <x v="1"/>
    <s v="Standard"/>
    <n v="0"/>
    <x v="1"/>
    <n v="0"/>
    <n v="0"/>
    <n v="0"/>
    <x v="1"/>
  </r>
  <r>
    <x v="45"/>
    <x v="1"/>
    <m/>
    <m/>
    <x v="1"/>
    <s v="Standard"/>
    <n v="0"/>
    <x v="1"/>
    <n v="0"/>
    <n v="0"/>
    <n v="0"/>
    <x v="1"/>
  </r>
  <r>
    <x v="46"/>
    <x v="1"/>
    <m/>
    <m/>
    <x v="1"/>
    <s v="Standard"/>
    <n v="0"/>
    <x v="1"/>
    <n v="0"/>
    <n v="0"/>
    <n v="0"/>
    <x v="1"/>
  </r>
  <r>
    <x v="47"/>
    <x v="1"/>
    <m/>
    <m/>
    <x v="1"/>
    <s v="Standard"/>
    <n v="0"/>
    <x v="1"/>
    <n v="0"/>
    <n v="0"/>
    <n v="0"/>
    <x v="1"/>
  </r>
  <r>
    <x v="48"/>
    <x v="1"/>
    <m/>
    <m/>
    <x v="1"/>
    <s v="Standard"/>
    <n v="0"/>
    <x v="1"/>
    <n v="0"/>
    <n v="0"/>
    <n v="0"/>
    <x v="1"/>
  </r>
  <r>
    <x v="49"/>
    <x v="1"/>
    <m/>
    <m/>
    <x v="1"/>
    <s v="Standard"/>
    <n v="0"/>
    <x v="1"/>
    <n v="0"/>
    <n v="0"/>
    <n v="0"/>
    <x v="1"/>
  </r>
  <r>
    <x v="50"/>
    <x v="1"/>
    <m/>
    <m/>
    <x v="1"/>
    <s v="Standard"/>
    <n v="0"/>
    <x v="1"/>
    <n v="0"/>
    <n v="0"/>
    <n v="0"/>
    <x v="1"/>
  </r>
  <r>
    <x v="51"/>
    <x v="1"/>
    <m/>
    <m/>
    <x v="1"/>
    <s v="Standard"/>
    <n v="0"/>
    <x v="1"/>
    <n v="0"/>
    <n v="0"/>
    <n v="0"/>
    <x v="1"/>
  </r>
  <r>
    <x v="52"/>
    <x v="1"/>
    <m/>
    <m/>
    <x v="1"/>
    <s v="Standard"/>
    <n v="0"/>
    <x v="1"/>
    <n v="0"/>
    <n v="0"/>
    <n v="0"/>
    <x v="1"/>
  </r>
  <r>
    <x v="53"/>
    <x v="1"/>
    <m/>
    <m/>
    <x v="1"/>
    <s v="Standard"/>
    <n v="0"/>
    <x v="1"/>
    <n v="0"/>
    <n v="0"/>
    <n v="0"/>
    <x v="1"/>
  </r>
  <r>
    <x v="54"/>
    <x v="1"/>
    <m/>
    <m/>
    <x v="1"/>
    <s v="Standard"/>
    <n v="0"/>
    <x v="1"/>
    <n v="0"/>
    <n v="0"/>
    <n v="0"/>
    <x v="1"/>
  </r>
  <r>
    <x v="55"/>
    <x v="1"/>
    <m/>
    <m/>
    <x v="1"/>
    <s v="Standard"/>
    <n v="0"/>
    <x v="1"/>
    <n v="0"/>
    <n v="0"/>
    <n v="0"/>
    <x v="1"/>
  </r>
  <r>
    <x v="56"/>
    <x v="1"/>
    <m/>
    <m/>
    <x v="1"/>
    <s v="Standard"/>
    <n v="0"/>
    <x v="1"/>
    <n v="0"/>
    <n v="0"/>
    <n v="0"/>
    <x v="1"/>
  </r>
  <r>
    <x v="57"/>
    <x v="1"/>
    <m/>
    <m/>
    <x v="1"/>
    <s v="Standard"/>
    <n v="0"/>
    <x v="1"/>
    <n v="0"/>
    <n v="0"/>
    <n v="0"/>
    <x v="1"/>
  </r>
  <r>
    <x v="58"/>
    <x v="1"/>
    <m/>
    <m/>
    <x v="1"/>
    <s v="Standard"/>
    <n v="0"/>
    <x v="1"/>
    <n v="0"/>
    <n v="0"/>
    <n v="0"/>
    <x v="1"/>
  </r>
  <r>
    <x v="59"/>
    <x v="1"/>
    <m/>
    <m/>
    <x v="1"/>
    <s v="Standard"/>
    <n v="0"/>
    <x v="1"/>
    <n v="0"/>
    <n v="0"/>
    <n v="0"/>
    <x v="1"/>
  </r>
  <r>
    <x v="60"/>
    <x v="1"/>
    <m/>
    <m/>
    <x v="1"/>
    <s v="Standard"/>
    <n v="0"/>
    <x v="1"/>
    <n v="0"/>
    <n v="0"/>
    <n v="0"/>
    <x v="1"/>
  </r>
  <r>
    <x v="61"/>
    <x v="1"/>
    <m/>
    <m/>
    <x v="1"/>
    <s v="Standard"/>
    <n v="0"/>
    <x v="1"/>
    <n v="0"/>
    <n v="0"/>
    <n v="0"/>
    <x v="1"/>
  </r>
  <r>
    <x v="62"/>
    <x v="1"/>
    <m/>
    <m/>
    <x v="1"/>
    <s v="Standard"/>
    <n v="0"/>
    <x v="1"/>
    <n v="0"/>
    <n v="0"/>
    <n v="0"/>
    <x v="1"/>
  </r>
  <r>
    <x v="63"/>
    <x v="1"/>
    <m/>
    <m/>
    <x v="1"/>
    <s v="Standard"/>
    <n v="0"/>
    <x v="1"/>
    <n v="0"/>
    <n v="0"/>
    <n v="0"/>
    <x v="1"/>
  </r>
  <r>
    <x v="64"/>
    <x v="1"/>
    <m/>
    <m/>
    <x v="1"/>
    <s v="Standard"/>
    <n v="0"/>
    <x v="1"/>
    <n v="0"/>
    <n v="0"/>
    <n v="0"/>
    <x v="1"/>
  </r>
  <r>
    <x v="65"/>
    <x v="1"/>
    <m/>
    <m/>
    <x v="1"/>
    <s v="Standard"/>
    <n v="0"/>
    <x v="1"/>
    <n v="0"/>
    <n v="0"/>
    <n v="0"/>
    <x v="1"/>
  </r>
  <r>
    <x v="66"/>
    <x v="1"/>
    <m/>
    <m/>
    <x v="1"/>
    <s v="Standard"/>
    <n v="0"/>
    <x v="1"/>
    <n v="0"/>
    <n v="0"/>
    <n v="0"/>
    <x v="1"/>
  </r>
  <r>
    <x v="67"/>
    <x v="1"/>
    <m/>
    <m/>
    <x v="1"/>
    <s v="Standard"/>
    <n v="0"/>
    <x v="1"/>
    <n v="0"/>
    <n v="0"/>
    <n v="0"/>
    <x v="1"/>
  </r>
  <r>
    <x v="68"/>
    <x v="1"/>
    <m/>
    <m/>
    <x v="1"/>
    <s v="Standard"/>
    <n v="0"/>
    <x v="1"/>
    <n v="0"/>
    <n v="0"/>
    <n v="0"/>
    <x v="1"/>
  </r>
  <r>
    <x v="69"/>
    <x v="1"/>
    <m/>
    <m/>
    <x v="1"/>
    <s v="Standard"/>
    <n v="0"/>
    <x v="1"/>
    <n v="0"/>
    <n v="0"/>
    <n v="0"/>
    <x v="1"/>
  </r>
  <r>
    <x v="70"/>
    <x v="1"/>
    <m/>
    <m/>
    <x v="1"/>
    <s v="Standard"/>
    <n v="0"/>
    <x v="1"/>
    <n v="0"/>
    <n v="0"/>
    <n v="0"/>
    <x v="1"/>
  </r>
  <r>
    <x v="71"/>
    <x v="1"/>
    <m/>
    <m/>
    <x v="1"/>
    <s v="Standard"/>
    <n v="0"/>
    <x v="1"/>
    <n v="0"/>
    <n v="0"/>
    <n v="0"/>
    <x v="1"/>
  </r>
  <r>
    <x v="72"/>
    <x v="1"/>
    <m/>
    <m/>
    <x v="1"/>
    <s v="Standard"/>
    <n v="0"/>
    <x v="1"/>
    <n v="0"/>
    <n v="0"/>
    <n v="0"/>
    <x v="1"/>
  </r>
  <r>
    <x v="73"/>
    <x v="1"/>
    <m/>
    <m/>
    <x v="1"/>
    <s v="Standard"/>
    <n v="0"/>
    <x v="1"/>
    <n v="0"/>
    <n v="0"/>
    <n v="0"/>
    <x v="1"/>
  </r>
  <r>
    <x v="74"/>
    <x v="1"/>
    <m/>
    <m/>
    <x v="1"/>
    <s v="Standard"/>
    <n v="0"/>
    <x v="1"/>
    <n v="0"/>
    <n v="0"/>
    <n v="0"/>
    <x v="1"/>
  </r>
  <r>
    <x v="75"/>
    <x v="1"/>
    <m/>
    <m/>
    <x v="1"/>
    <s v="Standard"/>
    <n v="0"/>
    <x v="1"/>
    <n v="0"/>
    <n v="0"/>
    <n v="0"/>
    <x v="1"/>
  </r>
  <r>
    <x v="76"/>
    <x v="1"/>
    <m/>
    <m/>
    <x v="1"/>
    <s v="Standard"/>
    <n v="0"/>
    <x v="1"/>
    <n v="0"/>
    <n v="0"/>
    <n v="0"/>
    <x v="1"/>
  </r>
  <r>
    <x v="77"/>
    <x v="1"/>
    <m/>
    <m/>
    <x v="1"/>
    <s v="Standard"/>
    <n v="0"/>
    <x v="1"/>
    <n v="0"/>
    <n v="0"/>
    <n v="0"/>
    <x v="1"/>
  </r>
  <r>
    <x v="78"/>
    <x v="1"/>
    <m/>
    <m/>
    <x v="1"/>
    <s v="Standard"/>
    <n v="0"/>
    <x v="1"/>
    <n v="0"/>
    <n v="0"/>
    <n v="0"/>
    <x v="1"/>
  </r>
  <r>
    <x v="79"/>
    <x v="1"/>
    <m/>
    <m/>
    <x v="1"/>
    <s v="Standard"/>
    <n v="0"/>
    <x v="1"/>
    <n v="0"/>
    <n v="0"/>
    <n v="0"/>
    <x v="1"/>
  </r>
  <r>
    <x v="80"/>
    <x v="1"/>
    <m/>
    <m/>
    <x v="1"/>
    <s v="Standard"/>
    <n v="0"/>
    <x v="1"/>
    <n v="0"/>
    <n v="0"/>
    <n v="0"/>
    <x v="1"/>
  </r>
  <r>
    <x v="81"/>
    <x v="1"/>
    <m/>
    <m/>
    <x v="1"/>
    <s v="Standard"/>
    <n v="0"/>
    <x v="1"/>
    <n v="0"/>
    <n v="0"/>
    <n v="0"/>
    <x v="1"/>
  </r>
  <r>
    <x v="82"/>
    <x v="1"/>
    <m/>
    <m/>
    <x v="1"/>
    <s v="Standard"/>
    <n v="0"/>
    <x v="1"/>
    <n v="0"/>
    <n v="0"/>
    <n v="0"/>
    <x v="1"/>
  </r>
  <r>
    <x v="83"/>
    <x v="1"/>
    <m/>
    <m/>
    <x v="1"/>
    <s v="Standard"/>
    <n v="0"/>
    <x v="1"/>
    <n v="0"/>
    <n v="0"/>
    <n v="0"/>
    <x v="1"/>
  </r>
  <r>
    <x v="84"/>
    <x v="1"/>
    <m/>
    <m/>
    <x v="1"/>
    <s v="Standard"/>
    <n v="0"/>
    <x v="1"/>
    <n v="0"/>
    <n v="0"/>
    <n v="0"/>
    <x v="1"/>
  </r>
  <r>
    <x v="85"/>
    <x v="1"/>
    <m/>
    <m/>
    <x v="1"/>
    <s v="Standard"/>
    <n v="0"/>
    <x v="1"/>
    <n v="0"/>
    <n v="0"/>
    <n v="0"/>
    <x v="1"/>
  </r>
  <r>
    <x v="86"/>
    <x v="1"/>
    <m/>
    <m/>
    <x v="1"/>
    <s v="Standard"/>
    <n v="0"/>
    <x v="1"/>
    <n v="0"/>
    <n v="0"/>
    <n v="0"/>
    <x v="1"/>
  </r>
  <r>
    <x v="87"/>
    <x v="1"/>
    <m/>
    <m/>
    <x v="1"/>
    <s v="Standard"/>
    <n v="0"/>
    <x v="1"/>
    <n v="0"/>
    <n v="0"/>
    <n v="0"/>
    <x v="1"/>
  </r>
  <r>
    <x v="88"/>
    <x v="1"/>
    <m/>
    <m/>
    <x v="1"/>
    <s v="Standard"/>
    <n v="0"/>
    <x v="1"/>
    <n v="0"/>
    <n v="0"/>
    <n v="0"/>
    <x v="1"/>
  </r>
  <r>
    <x v="89"/>
    <x v="1"/>
    <m/>
    <m/>
    <x v="1"/>
    <s v="Standard"/>
    <n v="0"/>
    <x v="1"/>
    <n v="0"/>
    <n v="0"/>
    <n v="0"/>
    <x v="1"/>
  </r>
  <r>
    <x v="90"/>
    <x v="1"/>
    <m/>
    <m/>
    <x v="1"/>
    <s v="Standard"/>
    <n v="0"/>
    <x v="1"/>
    <n v="0"/>
    <n v="0"/>
    <n v="0"/>
    <x v="1"/>
  </r>
  <r>
    <x v="91"/>
    <x v="1"/>
    <m/>
    <m/>
    <x v="1"/>
    <s v="Standard"/>
    <n v="0"/>
    <x v="1"/>
    <n v="0"/>
    <n v="0"/>
    <n v="0"/>
    <x v="1"/>
  </r>
  <r>
    <x v="92"/>
    <x v="1"/>
    <m/>
    <m/>
    <x v="1"/>
    <s v="Standard"/>
    <n v="0"/>
    <x v="1"/>
    <n v="0"/>
    <n v="0"/>
    <n v="0"/>
    <x v="1"/>
  </r>
  <r>
    <x v="93"/>
    <x v="1"/>
    <m/>
    <m/>
    <x v="1"/>
    <s v="Standard"/>
    <n v="0"/>
    <x v="1"/>
    <n v="0"/>
    <n v="0"/>
    <n v="0"/>
    <x v="1"/>
  </r>
  <r>
    <x v="94"/>
    <x v="1"/>
    <m/>
    <m/>
    <x v="1"/>
    <s v="Standard"/>
    <n v="0"/>
    <x v="1"/>
    <n v="0"/>
    <n v="0"/>
    <n v="0"/>
    <x v="1"/>
  </r>
  <r>
    <x v="95"/>
    <x v="1"/>
    <m/>
    <m/>
    <x v="1"/>
    <s v="Standard"/>
    <n v="0"/>
    <x v="1"/>
    <n v="0"/>
    <n v="0"/>
    <n v="0"/>
    <x v="1"/>
  </r>
  <r>
    <x v="96"/>
    <x v="1"/>
    <m/>
    <m/>
    <x v="1"/>
    <s v="Standard"/>
    <n v="0"/>
    <x v="1"/>
    <n v="0"/>
    <n v="0"/>
    <n v="0"/>
    <x v="1"/>
  </r>
  <r>
    <x v="97"/>
    <x v="1"/>
    <m/>
    <m/>
    <x v="1"/>
    <s v="Standard"/>
    <n v="0"/>
    <x v="1"/>
    <n v="0"/>
    <n v="0"/>
    <n v="0"/>
    <x v="1"/>
  </r>
  <r>
    <x v="98"/>
    <x v="1"/>
    <m/>
    <m/>
    <x v="1"/>
    <s v="Standard"/>
    <n v="0"/>
    <x v="1"/>
    <n v="0"/>
    <n v="0"/>
    <n v="0"/>
    <x v="1"/>
  </r>
  <r>
    <x v="99"/>
    <x v="1"/>
    <m/>
    <m/>
    <x v="1"/>
    <s v="Standard"/>
    <n v="0"/>
    <x v="1"/>
    <n v="0"/>
    <n v="0"/>
    <n v="0"/>
    <x v="1"/>
  </r>
  <r>
    <x v="100"/>
    <x v="1"/>
    <m/>
    <m/>
    <x v="1"/>
    <s v="Standard"/>
    <n v="0"/>
    <x v="1"/>
    <n v="0"/>
    <n v="0"/>
    <n v="0"/>
    <x v="1"/>
  </r>
  <r>
    <x v="101"/>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r>
    <x v="102"/>
    <x v="1"/>
    <m/>
    <m/>
    <x v="1"/>
    <s v="Standard"/>
    <n v="0"/>
    <x v="1"/>
    <n v="0"/>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B088B1-26B2-464B-94CD-48A8762020C7}" name="PivotTable5" cacheId="3"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location ref="G5:DF9" firstHeaderRow="0" firstDataRow="5" firstDataCol="0"/>
  <pivotFields count="12">
    <pivotField axis="axisCol" showAll="0" defaultSubtotal="0">
      <items count="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2"/>
        <item x="100"/>
        <item x="101"/>
      </items>
    </pivotField>
    <pivotField axis="axisCol" showAll="0" defaultSubtotal="0">
      <items count="20">
        <item x="1"/>
        <item m="1" x="19"/>
        <item x="0"/>
        <item x="2"/>
        <item x="3"/>
        <item x="4"/>
        <item x="5"/>
        <item x="6"/>
        <item x="7"/>
        <item x="8"/>
        <item x="9"/>
        <item x="10"/>
        <item x="11"/>
        <item x="12"/>
        <item x="13"/>
        <item x="14"/>
        <item x="15"/>
        <item x="16"/>
        <item x="17"/>
        <item x="18"/>
      </items>
    </pivotField>
    <pivotField showAll="0"/>
    <pivotField showAll="0"/>
    <pivotField axis="axisCol" showAll="0" defaultSubtotal="0">
      <items count="21">
        <item x="1"/>
        <item m="1" x="20"/>
        <item m="1" x="19"/>
        <item x="0"/>
        <item x="2"/>
        <item x="3"/>
        <item x="4"/>
        <item x="5"/>
        <item x="6"/>
        <item x="7"/>
        <item x="8"/>
        <item x="9"/>
        <item x="10"/>
        <item x="11"/>
        <item x="12"/>
        <item x="13"/>
        <item x="14"/>
        <item x="15"/>
        <item x="16"/>
        <item x="17"/>
        <item x="18"/>
      </items>
    </pivotField>
    <pivotField showAll="0"/>
    <pivotField showAll="0"/>
    <pivotField axis="axisCol" showAll="0" defaultSubtotal="0">
      <items count="8">
        <item x="1"/>
        <item x="0"/>
        <item x="2"/>
        <item x="3"/>
        <item x="4"/>
        <item x="5"/>
        <item x="6"/>
        <item x="7"/>
      </items>
    </pivotField>
    <pivotField showAll="0"/>
    <pivotField showAll="0"/>
    <pivotField showAll="0"/>
    <pivotField axis="axisCol" showAll="0" defaultSubtotal="0">
      <items count="164">
        <item x="1"/>
        <item x="13"/>
        <item m="1" x="71"/>
        <item x="7"/>
        <item m="1" x="57"/>
        <item x="6"/>
        <item m="1" x="161"/>
        <item m="1" x="53"/>
        <item x="10"/>
        <item m="1" x="91"/>
        <item m="1" x="35"/>
        <item m="1" x="58"/>
        <item m="1" x="70"/>
        <item m="1" x="61"/>
        <item m="1" x="162"/>
        <item m="1" x="50"/>
        <item m="1" x="74"/>
        <item m="1" x="26"/>
        <item m="1" x="52"/>
        <item m="1" x="83"/>
        <item m="1" x="73"/>
        <item m="1" x="56"/>
        <item m="1" x="67"/>
        <item m="1" x="80"/>
        <item m="1" x="63"/>
        <item m="1" x="154"/>
        <item m="1" x="51"/>
        <item m="1" x="81"/>
        <item m="1" x="68"/>
        <item m="1" x="75"/>
        <item m="1" x="49"/>
        <item m="1" x="55"/>
        <item x="11"/>
        <item m="1" x="69"/>
        <item m="1" x="160"/>
        <item m="1" x="155"/>
        <item m="1" x="18"/>
        <item m="1" x="48"/>
        <item m="1" x="66"/>
        <item m="1" x="146"/>
        <item m="1" x="156"/>
        <item m="1" x="87"/>
        <item m="1" x="92"/>
        <item m="1" x="140"/>
        <item m="1" x="88"/>
        <item m="1" x="112"/>
        <item m="1" x="157"/>
        <item m="1" x="42"/>
        <item m="1" x="59"/>
        <item m="1" x="124"/>
        <item m="1" x="78"/>
        <item m="1" x="158"/>
        <item m="1" x="111"/>
        <item m="1" x="54"/>
        <item m="1" x="43"/>
        <item x="14"/>
        <item m="1" x="159"/>
        <item m="1" x="125"/>
        <item m="1" x="28"/>
        <item m="1" x="44"/>
        <item x="15"/>
        <item m="1" x="126"/>
        <item m="1" x="123"/>
        <item m="1" x="45"/>
        <item x="16"/>
        <item m="1" x="60"/>
        <item x="17"/>
        <item m="1" x="163"/>
        <item m="1" x="72"/>
        <item m="1" x="62"/>
        <item m="1" x="79"/>
        <item m="1" x="150"/>
        <item m="1" x="151"/>
        <item m="1" x="152"/>
        <item m="1" x="153"/>
        <item m="1" x="77"/>
        <item m="1" x="82"/>
        <item m="1" x="149"/>
        <item m="1" x="147"/>
        <item m="1" x="148"/>
        <item m="1" x="119"/>
        <item m="1" x="93"/>
        <item m="1" x="89"/>
        <item m="1" x="141"/>
        <item m="1" x="142"/>
        <item m="1" x="143"/>
        <item m="1" x="144"/>
        <item m="1" x="145"/>
        <item m="1" x="134"/>
        <item m="1" x="135"/>
        <item m="1" x="98"/>
        <item m="1" x="136"/>
        <item m="1" x="137"/>
        <item m="1" x="138"/>
        <item m="1" x="131"/>
        <item m="1" x="132"/>
        <item m="1" x="139"/>
        <item m="1" x="133"/>
        <item m="1" x="96"/>
        <item m="1" x="128"/>
        <item m="1" x="129"/>
        <item m="1" x="130"/>
        <item m="1" x="113"/>
        <item m="1" x="114"/>
        <item m="1" x="115"/>
        <item m="1" x="127"/>
        <item m="1" x="121"/>
        <item m="1" x="76"/>
        <item m="1" x="122"/>
        <item m="1" x="120"/>
        <item m="1" x="32"/>
        <item m="1" x="118"/>
        <item m="1" x="64"/>
        <item m="1" x="65"/>
        <item x="4"/>
        <item m="1" x="116"/>
        <item m="1" x="117"/>
        <item m="1" x="106"/>
        <item m="1" x="107"/>
        <item m="1" x="108"/>
        <item m="1" x="109"/>
        <item m="1" x="110"/>
        <item m="1" x="95"/>
        <item m="1" x="97"/>
        <item m="1" x="99"/>
        <item m="1" x="100"/>
        <item m="1" x="101"/>
        <item m="1" x="102"/>
        <item m="1" x="103"/>
        <item m="1" x="104"/>
        <item m="1" x="105"/>
        <item m="1" x="94"/>
        <item m="1" x="84"/>
        <item m="1" x="25"/>
        <item m="1" x="29"/>
        <item m="1" x="90"/>
        <item m="1" x="46"/>
        <item m="1" x="85"/>
        <item m="1" x="86"/>
        <item x="0"/>
        <item m="1" x="47"/>
        <item m="1" x="23"/>
        <item m="1" x="22"/>
        <item m="1" x="40"/>
        <item m="1" x="21"/>
        <item m="1" x="41"/>
        <item m="1" x="34"/>
        <item x="5"/>
        <item m="1" x="36"/>
        <item m="1" x="37"/>
        <item m="1" x="38"/>
        <item m="1" x="39"/>
        <item m="1" x="30"/>
        <item m="1" x="31"/>
        <item m="1" x="27"/>
        <item m="1" x="33"/>
        <item m="1" x="19"/>
        <item m="1" x="24"/>
        <item m="1" x="20"/>
        <item x="2"/>
        <item x="3"/>
        <item x="8"/>
        <item x="9"/>
        <item x="12"/>
      </items>
    </pivotField>
  </pivotFields>
  <rowItems count="1">
    <i/>
  </rowItems>
  <colFields count="5">
    <field x="0"/>
    <field x="1"/>
    <field x="4"/>
    <field x="7"/>
    <field x="11"/>
  </colFields>
  <colItems count="104">
    <i>
      <x/>
      <x v="2"/>
      <x v="3"/>
      <x v="1"/>
      <x v="139"/>
    </i>
    <i>
      <x v="1"/>
      <x/>
      <x/>
      <x/>
      <x/>
    </i>
    <i>
      <x v="2"/>
      <x v="3"/>
      <x v="4"/>
      <x v="1"/>
      <x v="159"/>
    </i>
    <i>
      <x v="3"/>
      <x v="4"/>
      <x v="5"/>
      <x v="1"/>
      <x v="160"/>
    </i>
    <i>
      <x v="4"/>
      <x v="5"/>
      <x v="6"/>
      <x v="1"/>
      <x v="114"/>
    </i>
    <i>
      <x v="5"/>
      <x v="6"/>
      <x v="7"/>
      <x v="1"/>
      <x v="147"/>
    </i>
    <i>
      <x v="6"/>
      <x/>
      <x/>
      <x/>
      <x/>
    </i>
    <i>
      <x v="7"/>
      <x v="7"/>
      <x v="8"/>
      <x v="2"/>
      <x v="5"/>
    </i>
    <i>
      <x v="8"/>
      <x v="8"/>
      <x v="9"/>
      <x v="2"/>
      <x v="3"/>
    </i>
    <i>
      <x v="9"/>
      <x/>
      <x/>
      <x/>
      <x/>
    </i>
    <i>
      <x v="10"/>
      <x v="9"/>
      <x v="10"/>
      <x v="1"/>
      <x v="161"/>
    </i>
    <i>
      <x v="11"/>
      <x v="10"/>
      <x v="11"/>
      <x v="1"/>
      <x v="162"/>
    </i>
    <i>
      <x v="12"/>
      <x/>
      <x/>
      <x/>
      <x/>
    </i>
    <i>
      <x v="13"/>
      <x v="11"/>
      <x v="12"/>
      <x v="3"/>
      <x v="3"/>
    </i>
    <i>
      <x v="14"/>
      <x v="12"/>
      <x v="13"/>
      <x v="4"/>
      <x v="8"/>
    </i>
    <i>
      <x v="15"/>
      <x v="13"/>
      <x v="14"/>
      <x v="5"/>
      <x v="32"/>
    </i>
    <i>
      <x v="16"/>
      <x v="14"/>
      <x v="15"/>
      <x v="6"/>
      <x v="163"/>
    </i>
    <i>
      <x v="17"/>
      <x v="15"/>
      <x v="16"/>
      <x v="2"/>
      <x v="1"/>
    </i>
    <i>
      <x v="18"/>
      <x/>
      <x/>
      <x/>
      <x/>
    </i>
    <i>
      <x v="19"/>
      <x v="16"/>
      <x v="17"/>
      <x v="7"/>
      <x v="55"/>
    </i>
    <i>
      <x v="20"/>
      <x v="17"/>
      <x v="18"/>
      <x v="7"/>
      <x v="60"/>
    </i>
    <i>
      <x v="21"/>
      <x v="18"/>
      <x v="19"/>
      <x v="7"/>
      <x v="64"/>
    </i>
    <i>
      <x v="22"/>
      <x v="19"/>
      <x v="20"/>
      <x v="7"/>
      <x v="66"/>
    </i>
    <i>
      <x v="23"/>
      <x/>
      <x/>
      <x/>
      <x/>
    </i>
    <i>
      <x v="24"/>
      <x/>
      <x/>
      <x/>
      <x/>
    </i>
    <i>
      <x v="25"/>
      <x/>
      <x/>
      <x/>
      <x/>
    </i>
    <i>
      <x v="26"/>
      <x/>
      <x/>
      <x/>
      <x/>
    </i>
    <i>
      <x v="27"/>
      <x/>
      <x/>
      <x/>
      <x/>
    </i>
    <i>
      <x v="28"/>
      <x/>
      <x/>
      <x/>
      <x/>
    </i>
    <i>
      <x v="29"/>
      <x/>
      <x/>
      <x/>
      <x/>
    </i>
    <i>
      <x v="30"/>
      <x/>
      <x/>
      <x/>
      <x/>
    </i>
    <i>
      <x v="31"/>
      <x/>
      <x/>
      <x/>
      <x/>
    </i>
    <i>
      <x v="32"/>
      <x/>
      <x/>
      <x/>
      <x/>
    </i>
    <i>
      <x v="33"/>
      <x/>
      <x/>
      <x/>
      <x/>
    </i>
    <i>
      <x v="34"/>
      <x/>
      <x/>
      <x/>
      <x/>
    </i>
    <i>
      <x v="35"/>
      <x/>
      <x/>
      <x/>
      <x/>
    </i>
    <i>
      <x v="36"/>
      <x/>
      <x/>
      <x/>
      <x/>
    </i>
    <i>
      <x v="37"/>
      <x/>
      <x/>
      <x/>
      <x/>
    </i>
    <i>
      <x v="38"/>
      <x/>
      <x/>
      <x/>
      <x/>
    </i>
    <i>
      <x v="39"/>
      <x/>
      <x/>
      <x/>
      <x/>
    </i>
    <i>
      <x v="40"/>
      <x/>
      <x/>
      <x/>
      <x/>
    </i>
    <i>
      <x v="41"/>
      <x/>
      <x/>
      <x/>
      <x/>
    </i>
    <i>
      <x v="42"/>
      <x/>
      <x/>
      <x/>
      <x/>
    </i>
    <i>
      <x v="43"/>
      <x/>
      <x/>
      <x/>
      <x/>
    </i>
    <i>
      <x v="44"/>
      <x/>
      <x/>
      <x/>
      <x/>
    </i>
    <i>
      <x v="45"/>
      <x/>
      <x/>
      <x/>
      <x/>
    </i>
    <i>
      <x v="46"/>
      <x/>
      <x/>
      <x/>
      <x/>
    </i>
    <i>
      <x v="47"/>
      <x/>
      <x/>
      <x/>
      <x/>
    </i>
    <i>
      <x v="48"/>
      <x/>
      <x/>
      <x/>
      <x/>
    </i>
    <i>
      <x v="49"/>
      <x/>
      <x/>
      <x/>
      <x/>
    </i>
    <i>
      <x v="50"/>
      <x/>
      <x/>
      <x/>
      <x/>
    </i>
    <i>
      <x v="51"/>
      <x/>
      <x/>
      <x/>
      <x/>
    </i>
    <i>
      <x v="52"/>
      <x/>
      <x/>
      <x/>
      <x/>
    </i>
    <i>
      <x v="53"/>
      <x/>
      <x/>
      <x/>
      <x/>
    </i>
    <i>
      <x v="54"/>
      <x/>
      <x/>
      <x/>
      <x/>
    </i>
    <i>
      <x v="55"/>
      <x/>
      <x/>
      <x/>
      <x/>
    </i>
    <i>
      <x v="56"/>
      <x/>
      <x/>
      <x/>
      <x/>
    </i>
    <i>
      <x v="57"/>
      <x/>
      <x/>
      <x/>
      <x/>
    </i>
    <i>
      <x v="58"/>
      <x/>
      <x/>
      <x/>
      <x/>
    </i>
    <i>
      <x v="59"/>
      <x/>
      <x/>
      <x/>
      <x/>
    </i>
    <i>
      <x v="60"/>
      <x/>
      <x/>
      <x/>
      <x/>
    </i>
    <i>
      <x v="61"/>
      <x/>
      <x/>
      <x/>
      <x/>
    </i>
    <i>
      <x v="62"/>
      <x/>
      <x/>
      <x/>
      <x/>
    </i>
    <i>
      <x v="63"/>
      <x/>
      <x/>
      <x/>
      <x/>
    </i>
    <i>
      <x v="64"/>
      <x/>
      <x/>
      <x/>
      <x/>
    </i>
    <i>
      <x v="65"/>
      <x/>
      <x/>
      <x/>
      <x/>
    </i>
    <i>
      <x v="66"/>
      <x/>
      <x/>
      <x/>
      <x/>
    </i>
    <i>
      <x v="67"/>
      <x/>
      <x/>
      <x/>
      <x/>
    </i>
    <i>
      <x v="68"/>
      <x/>
      <x/>
      <x/>
      <x/>
    </i>
    <i>
      <x v="69"/>
      <x/>
      <x/>
      <x/>
      <x/>
    </i>
    <i>
      <x v="70"/>
      <x/>
      <x/>
      <x/>
      <x/>
    </i>
    <i>
      <x v="71"/>
      <x/>
      <x/>
      <x/>
      <x/>
    </i>
    <i>
      <x v="72"/>
      <x/>
      <x/>
      <x/>
      <x/>
    </i>
    <i>
      <x v="73"/>
      <x/>
      <x/>
      <x/>
      <x/>
    </i>
    <i>
      <x v="74"/>
      <x/>
      <x/>
      <x/>
      <x/>
    </i>
    <i>
      <x v="75"/>
      <x/>
      <x/>
      <x/>
      <x/>
    </i>
    <i>
      <x v="76"/>
      <x/>
      <x/>
      <x/>
      <x/>
    </i>
    <i>
      <x v="77"/>
      <x/>
      <x/>
      <x/>
      <x/>
    </i>
    <i>
      <x v="78"/>
      <x/>
      <x/>
      <x/>
      <x/>
    </i>
    <i>
      <x v="79"/>
      <x/>
      <x/>
      <x/>
      <x/>
    </i>
    <i>
      <x v="80"/>
      <x/>
      <x/>
      <x/>
      <x/>
    </i>
    <i>
      <x v="81"/>
      <x/>
      <x/>
      <x/>
      <x/>
    </i>
    <i>
      <x v="82"/>
      <x/>
      <x/>
      <x/>
      <x/>
    </i>
    <i>
      <x v="83"/>
      <x/>
      <x/>
      <x/>
      <x/>
    </i>
    <i>
      <x v="84"/>
      <x/>
      <x/>
      <x/>
      <x/>
    </i>
    <i>
      <x v="85"/>
      <x/>
      <x/>
      <x/>
      <x/>
    </i>
    <i>
      <x v="86"/>
      <x/>
      <x/>
      <x/>
      <x/>
    </i>
    <i>
      <x v="87"/>
      <x/>
      <x/>
      <x/>
      <x/>
    </i>
    <i>
      <x v="88"/>
      <x/>
      <x/>
      <x/>
      <x/>
    </i>
    <i>
      <x v="89"/>
      <x/>
      <x/>
      <x/>
      <x/>
    </i>
    <i>
      <x v="90"/>
      <x/>
      <x/>
      <x/>
      <x/>
    </i>
    <i>
      <x v="91"/>
      <x/>
      <x/>
      <x/>
      <x/>
    </i>
    <i>
      <x v="92"/>
      <x/>
      <x/>
      <x/>
      <x/>
    </i>
    <i>
      <x v="93"/>
      <x/>
      <x/>
      <x/>
      <x/>
    </i>
    <i>
      <x v="94"/>
      <x/>
      <x/>
      <x/>
      <x/>
    </i>
    <i>
      <x v="95"/>
      <x/>
      <x/>
      <x/>
      <x/>
    </i>
    <i>
      <x v="96"/>
      <x/>
      <x/>
      <x/>
      <x/>
    </i>
    <i>
      <x v="97"/>
      <x/>
      <x/>
      <x/>
      <x/>
    </i>
    <i>
      <x v="98"/>
      <x/>
      <x/>
      <x/>
      <x/>
    </i>
    <i>
      <x v="99"/>
      <x/>
      <x/>
      <x/>
      <x/>
    </i>
    <i>
      <x v="100"/>
      <x/>
      <x/>
      <x/>
      <x/>
    </i>
    <i>
      <x v="101"/>
      <x/>
      <x/>
      <x/>
      <x/>
    </i>
    <i>
      <x v="102"/>
      <x/>
      <x/>
      <x/>
      <x/>
    </i>
    <i t="grand">
      <x/>
    </i>
  </colItems>
  <formats count="13">
    <format dxfId="152">
      <pivotArea type="all" dataOnly="0" outline="0" fieldPosition="0"/>
    </format>
    <format dxfId="151">
      <pivotArea field="0" type="button" dataOnly="0" labelOnly="1" outline="0" axis="axisCol" fieldPosition="0"/>
    </format>
    <format dxfId="150">
      <pivotArea field="1" type="button" dataOnly="0" labelOnly="1" outline="0" axis="axisCol" fieldPosition="1"/>
    </format>
    <format dxfId="149">
      <pivotArea field="11" type="button" dataOnly="0" labelOnly="1" outline="0" axis="axisCol" fieldPosition="4"/>
    </format>
    <format dxfId="148">
      <pivotArea type="topRight" dataOnly="0" labelOnly="1" outline="0" fieldPosition="0"/>
    </format>
    <format dxfId="147">
      <pivotArea dataOnly="0" labelOnly="1" grandCol="1" outline="0" fieldPosition="0"/>
    </format>
    <format dxfId="146">
      <pivotArea dataOnly="0" labelOnly="1" grandCol="1" outline="0" fieldPosition="0"/>
    </format>
    <format dxfId="145">
      <pivotArea type="all" dataOnly="0" outline="0" fieldPosition="0"/>
    </format>
    <format dxfId="144">
      <pivotArea dataOnly="0" labelOnly="1" grandCol="1" outline="0" fieldPosition="0"/>
    </format>
    <format dxfId="143">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2">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41">
      <pivotArea dataOnly="0" labelOnly="1" fieldPosition="0">
        <references count="1">
          <reference field="0" count="3">
            <x v="100"/>
            <x v="101"/>
            <x v="102"/>
          </reference>
        </references>
      </pivotArea>
    </format>
    <format dxfId="14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 xr10:uid="{EF1E75D7-3DB9-474B-830D-AA656FD047F7}" sourceName="MAKER">
  <extLst>
    <x:ext xmlns:x15="http://schemas.microsoft.com/office/spreadsheetml/2010/11/main" uri="{2F2917AC-EB37-4324-AD4E-5DD8C200BD13}">
      <x15:tableSlicerCache tableId="1"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mily" xr10:uid="{5739E4B7-CED5-43AC-92C9-FE65045ADA2F}" sourceName="Family">
  <extLst>
    <x:ext xmlns:x15="http://schemas.microsoft.com/office/spreadsheetml/2010/11/main" uri="{2F2917AC-EB37-4324-AD4E-5DD8C200BD13}">
      <x15:tableSlicerCache tableId="1" column="1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ies" xr10:uid="{6D0BB526-913A-4D00-BC3A-FB97A60731FF}" sourceName="Series">
  <extLst>
    <x:ext xmlns:x15="http://schemas.microsoft.com/office/spreadsheetml/2010/11/main" uri="{2F2917AC-EB37-4324-AD4E-5DD8C200BD13}">
      <x15:tableSlicerCache tableId="1" column="1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K_TKM" xr10:uid="{93C4387F-00C7-488D-A798-A29DFA2DD5D7}" sourceName="SET">
  <extLst>
    <x:ext xmlns:x15="http://schemas.microsoft.com/office/spreadsheetml/2010/11/main" uri="{2F2917AC-EB37-4324-AD4E-5DD8C200BD13}">
      <x15:tableSlicerCache tableId="2" column="1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111411122213121111112" xr10:uid="{8C7CDA70-54F6-4814-B8D2-48943842C07F}" sourceName="Maker">
  <extLst>
    <x:ext xmlns:x15="http://schemas.microsoft.com/office/spreadsheetml/2010/11/main" uri="{2F2917AC-EB37-4324-AD4E-5DD8C200BD13}">
      <x15:tableSlicerCache tableId="16"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1114111222131211111121" xr10:uid="{0D8B4670-C2EA-4A66-8ECE-82DFBA08EF9F}" sourceName="Maker">
  <extLst>
    <x:ext xmlns:x15="http://schemas.microsoft.com/office/spreadsheetml/2010/11/main" uri="{2F2917AC-EB37-4324-AD4E-5DD8C200BD13}">
      <x15:tableSlicerCache tableId="3" column="5"/>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11141112221312111111211" xr10:uid="{5B4C0C86-4176-4323-B2C8-969E074BB619}" sourceName="Maker">
  <extLst>
    <x:ext xmlns:x15="http://schemas.microsoft.com/office/spreadsheetml/2010/11/main" uri="{2F2917AC-EB37-4324-AD4E-5DD8C200BD13}">
      <x15:tableSlicerCache tableId="4" column="5"/>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111411122213121111112111" xr10:uid="{193A3957-2EC0-484E-9BC9-F367F36F3C5F}" sourceName="Maker">
  <extLst>
    <x:ext xmlns:x15="http://schemas.microsoft.com/office/spreadsheetml/2010/11/main" uri="{2F2917AC-EB37-4324-AD4E-5DD8C200BD13}">
      <x15:tableSlicerCache tableId="5" column="5"/>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1114111222131211111121111" xr10:uid="{73D49D37-12FE-4DD2-93F9-AE1E2780CC65}" sourceName="Maker">
  <extLst>
    <x:ext xmlns:x15="http://schemas.microsoft.com/office/spreadsheetml/2010/11/main" uri="{2F2917AC-EB37-4324-AD4E-5DD8C200BD13}">
      <x15:tableSlicerCache tableId="6" column="5"/>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11141112221312111111211111" xr10:uid="{030452AE-A99F-485E-83A9-70F73E0FFD2B}" sourceName="Maker">
  <extLst>
    <x:ext xmlns:x15="http://schemas.microsoft.com/office/spreadsheetml/2010/11/main" uri="{2F2917AC-EB37-4324-AD4E-5DD8C200BD13}">
      <x15:tableSlicerCache tableId="7"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K/TKM" xr10:uid="{1EC8081F-A704-407A-8EF0-B59F2ED1C312}" cache="Slicer_TK_TKM" caption="SE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212" xr10:uid="{9CFC9BCD-D967-4AB5-A77E-246FCA89571E}" cache="Slicer_Maker111411122213121111112" caption="Maker"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213" xr10:uid="{82FAF8A0-24CA-4AB7-86B2-5B3492B8260A}" cache="Slicer_Maker1114111222131211111121" caption="Maker"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214" xr10:uid="{5238BAB7-9D8E-4A35-944B-3B676D8392F4}" cache="Slicer_Maker11141112221312111111211" caption="Maker"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215" xr10:uid="{FCDA5043-3927-4D86-8546-FBAC8D6C6D16}" cache="Slicer_Maker111411122213121111112111" caption="Maker"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216" xr10:uid="{828A08BA-0437-414B-94CB-C547BC1B5637}" cache="Slicer_Maker1114111222131211111121111" caption="Maker"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217" xr10:uid="{3AFA1619-BA58-439E-B30E-97C4F83AD279}" cache="Slicer_Maker11141112221312111111211111" caption="Maker"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xr10:uid="{2CDE18CC-7D0B-4B7B-A9C7-69F7E4512D59}" cache="Slicer_MAKER" caption="MAKER" rowHeight="241300"/>
  <slicer name="Family" xr10:uid="{2932DA3C-8991-493E-896B-1EBC5685857E}" cache="Slicer_Family" caption="Family" rowHeight="241300"/>
  <slicer name="Series" xr10:uid="{7101B3C6-386A-4CE5-89D4-E3B58041C6FB}" cache="Slicer_Series" caption="Serie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D97195-FD08-448F-BF88-3A2299A2D1FC}" name="Summary" displayName="Summary" ref="A6:Y13" totalsRowShown="0" headerRowDxfId="211" headerRowBorderDxfId="210" tableBorderDxfId="209">
  <autoFilter ref="A6:Y13" xr:uid="{30D97195-FD08-448F-BF88-3A2299A2D1FC}"/>
  <tableColumns count="25">
    <tableColumn id="1" xr3:uid="{E899892D-6FEC-4D37-8383-54D976738E29}" name="NO" dataDxfId="208"/>
    <tableColumn id="2" xr3:uid="{A4067C81-6969-400B-B7FF-3DDFF2F71C66}" name="DB" dataDxfId="207"/>
    <tableColumn id="3" xr3:uid="{63A733F3-524F-4F58-96A9-228AEE41A11C}" name="Panel" dataDxfId="206"/>
    <tableColumn id="20" xr3:uid="{19339FC1-5A41-445D-8819-B7433AD20F38}" name="-" dataDxfId="205">
      <calculatedColumnFormula>SUM(F1:F6)</calculatedColumnFormula>
    </tableColumn>
    <tableColumn id="4" xr3:uid="{58103202-B1DD-4B5F-AAEB-00B5658B2D56}" name="Panel Remark" dataDxfId="204"/>
    <tableColumn id="5" xr3:uid="{1FECF279-682A-4609-8247-0A0E60FAC262}" name="Quatity" dataDxfId="203"/>
    <tableColumn id="6" xr3:uid="{CA550637-889B-43B9-9FEA-1335438D4207}" name="Unit" dataDxfId="202"/>
    <tableColumn id="7" xr3:uid="{59642772-3AA6-48B1-8265-98E4ECBED97E}" name="Stand. Price" dataDxfId="201"/>
    <tableColumn id="8" xr3:uid="{1CF58BA9-A4D9-432D-9D56-F1EF2A8E32E6}" name="T. Stand." dataDxfId="200"/>
    <tableColumn id="9" xr3:uid="{DE6C6FD9-700B-4461-9453-C6FE289F02CE}" name="Commission" dataDxfId="199"/>
    <tableColumn id="10" xr3:uid="{03D06F6F-0641-4D6B-9307-D5D2D0799F93}" name="T. Commission" dataDxfId="198"/>
    <tableColumn id="11" xr3:uid="{5FB0008D-7E41-472D-90E6-A23AB30A3B03}" name="Unit Price (USD)" dataDxfId="197"/>
    <tableColumn id="12" xr3:uid="{55F2E0FD-1E37-4DD4-9AA9-46D3C3CEAD4D}" name="Total (USD)" dataDxfId="196"/>
    <tableColumn id="13" xr3:uid="{67C91E70-E9AE-4EC5-A47D-A2D05502722E}" name="SET" dataDxfId="195"/>
    <tableColumn id="14" xr3:uid="{178CEEFF-B7F0-4F22-BEC8-4F568ABA586E}" name="Unit Price (RM)" dataDxfId="194"/>
    <tableColumn id="24" xr3:uid="{425EB60A-BED6-4B92-81E9-0BA8428529AE}" name="FULL TK" dataDxfId="193">
      <calculatedColumnFormula>ROUNDUP(O7/2,-1)</calculatedColumnFormula>
    </tableColumn>
    <tableColumn id="23" xr3:uid="{5F3B20BB-9246-44E4-8B96-ECBF084F8477}" name="TOTAL TK" dataDxfId="192">
      <calculatedColumnFormula>Summary[[#This Row],[Quatity]]*Summary[[#This Row],[FULL TK]]</calculatedColumnFormula>
    </tableColumn>
    <tableColumn id="21" xr3:uid="{8223945C-F18F-4412-BDE2-663DFBC8A5F0}" name="FULL TKM" dataDxfId="191">
      <calculatedColumnFormula>ROUNDUP(O7*1.05,-1)</calculatedColumnFormula>
    </tableColumn>
    <tableColumn id="25" xr3:uid="{A1E4E7AB-CBB3-442D-B95B-B041EADA7CA5}" name="TOTAL TKM" dataDxfId="190">
      <calculatedColumnFormula>Summary[[#This Row],[Quatity]]*Summary[[#This Row],[FULL TKM]]</calculatedColumnFormula>
    </tableColumn>
    <tableColumn id="22" xr3:uid="{1BE3BF08-4720-4BA8-BF6C-ED9C2DB928BD}" name="SET PRICE" dataDxfId="189">
      <calculatedColumnFormula>IF(M7="NO SET",ROUNDUP(N7,-1),"0")</calculatedColumnFormula>
    </tableColumn>
    <tableColumn id="15" xr3:uid="{3098F515-E0BC-470A-B7FA-5D70BB89244D}" name="TK" dataDxfId="188"/>
    <tableColumn id="18" xr3:uid="{6030FBAF-8F60-44B3-971E-9C0F09E99EA6}" name="TK TOTAL" dataDxfId="187">
      <calculatedColumnFormula>Summary[[#This Row],[TK]]*Summary[[#This Row],[Quatity]]</calculatedColumnFormula>
    </tableColumn>
    <tableColumn id="16" xr3:uid="{A65EB36B-EF7F-4D6A-8A7E-7BFB135F758B}" name="SST" dataDxfId="186"/>
    <tableColumn id="19" xr3:uid="{26C07C82-32BE-4AAA-92FF-FD88237F5BE9}" name="TKM" dataDxfId="185"/>
    <tableColumn id="17" xr3:uid="{F2D39781-2092-4B86-99D4-7DECBCA075CC}" name="TKM TOTAL" dataDxfId="18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C7CFF2D-C699-48F7-8920-609D56FA562A}" name="_1_5412845612146241046457891017" displayName="_1_5412845612146241046457891017" ref="A8:O1001" totalsRowShown="0" headerRowDxfId="183" dataDxfId="182">
  <autoFilter ref="A8:O1001" xr:uid="{00000000-0009-0000-0100-00000C000000}"/>
  <tableColumns count="15">
    <tableColumn id="1" xr3:uid="{C023B408-86B5-4D65-9578-47A4BD36928E}" name="Remark 1" dataDxfId="181"/>
    <tableColumn id="14" xr3:uid="{BFA29404-C678-419A-A18D-70BFAAAF8003}" name="Remark 2" dataDxfId="180"/>
    <tableColumn id="15" xr3:uid="{6585C3B8-5235-4CEF-9CCA-308B881AE8D6}" name="Remark 3" dataDxfId="179"/>
    <tableColumn id="4" xr3:uid="{AE361358-FD72-46DF-90F7-3FB3269D89B8}" name="Type" dataDxfId="178">
      <calculatedColumnFormula>IF(#REF!&gt;0,IF($A9="",IF(#REF!&gt;0,VLOOKUP(#REF!,#REF!,3,0),""),VLOOKUP($A9,#REF!,4,0)),"")</calculatedColumnFormula>
    </tableColumn>
    <tableColumn id="6" xr3:uid="{5BDC5753-5B19-4698-8B8A-DD782023E09E}" name="UNIT" dataDxfId="177"/>
    <tableColumn id="2" xr3:uid="{79D80857-CFF2-4289-8E50-0D93A20CC173}" name="Discount selection" dataDxfId="176"/>
    <tableColumn id="3" xr3:uid="{9AF969A8-CC1F-42CC-A11F-657EB4F0BA58}" name="Description" dataDxfId="175">
      <calculatedColumnFormula>IF(_1_5412845612146241046457891017[[#This Row],[Type]]&gt;0,VLOOKUP(_1_5412845612146241046457891017[[#This Row],[Type]],Main[[#All],[TYPE]:[UNIT]],'Unit Price'!C$1,FALSE),0)</calculatedColumnFormula>
    </tableColumn>
    <tableColumn id="5" xr3:uid="{9DC2811C-D69F-4582-A5C3-A77877A5DB8F}" name="Maker" dataDxfId="174">
      <calculatedColumnFormula>IF(_1_5412845612146241046457891017[[#This Row],[Type]]&gt;0,VLOOKUP(_1_5412845612146241046457891017[[#This Row],[Type]],Main[[#All],[TYPE]:[UNIT]],'Unit Price'!D$1,FALSE),0)</calculatedColumnFormula>
    </tableColumn>
    <tableColumn id="7" xr3:uid="{C4BB7AFF-0DEC-4B07-849D-E9C6FF14F240}" name="LIST $" dataDxfId="173">
      <calculatedColumnFormula>IF(_1_5412845612146241046457891017[[#This Row],[Type]]&gt;0,VLOOKUP(_1_5412845612146241046457891017[[#This Row],[Type]],Main[[#All],[TYPE]:[UNIT]],'Unit Price'!G$1,FALSE),0)</calculatedColumnFormula>
    </tableColumn>
    <tableColumn id="8" xr3:uid="{0F8FE8ED-BDA7-4A19-BC14-1A20E89ECEB3}" name="DISCOUNT" dataDxfId="172">
      <calculatedColumnFormula>IF(_1_5412845612146241046457891017[[#This Row],[Type]]&gt;0,VLOOKUP(_1_5412845612146241046457891017[[#This Row],[Type]],Main[[#All],[TYPE]:[UNIT]],'Unit Price'!H$1,FALSE),0)</calculatedColumnFormula>
    </tableColumn>
    <tableColumn id="13" xr3:uid="{34192AAF-EEAE-4784-B9A3-06DF9FF72FBD}" name="DISCOUNT 2" dataDxfId="171">
      <calculatedColumnFormula>IF(_1_5412845612146241046457891017[[#This Row],[Discount selection]]&gt;0,VLOOKUP(_1_5412845612146241046457891017[[#This Row],[Discount selection]],'Discount Structure'!$A$2:$B$30,2,"false"),0)</calculatedColumnFormula>
    </tableColumn>
    <tableColumn id="9" xr3:uid="{83B53FB2-255F-4647-9001-41426677D515}" name="COST" dataDxfId="170">
      <calculatedColumnFormula>_1_5412845612146241046457891017[[#This Row],[LIST $]]*_1_5412845612146241046457891017[[#This Row],[DISCOUNT]]*_1_5412845612146241046457891017[[#This Row],[DISCOUNT 2]]</calculatedColumnFormula>
    </tableColumn>
    <tableColumn id="10" xr3:uid="{ADE73FB6-0667-4BF6-8BEA-12B8A6020B18}" name="TOTAL" dataDxfId="169">
      <calculatedColumnFormula>IF(OR(_1_5412845612146241046457891017[[#This Row],[UNIT]]&gt;0,_1_5412845612146241046457891017[[#This Row],[UNIT]]&lt;0),_1_5412845612146241046457891017[[#This Row],[UNIT]]*_1_5412845612146241046457891017[[#This Row],[COST]],0)</calculatedColumnFormula>
    </tableColumn>
    <tableColumn id="11" xr3:uid="{80EAEE2A-E3CE-45E5-B45C-738EE3FEC291}" name="MARGIN" dataDxfId="168">
      <calculatedColumnFormula>$N$7</calculatedColumnFormula>
    </tableColumn>
    <tableColumn id="12" xr3:uid="{BB769BC0-E957-4FC6-80CA-45C1D1C61A7A}" name="QUOTE" dataDxfId="167">
      <calculatedColumnFormula>_1_5412845612146241046457891017[[#This Row],[TOTAL]]*_1_5412845612146241046457891017[[#This Row],[MARGIN]]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77FF0B2-28FC-4018-AA6D-CC552DD5C4F0}" name="_1_54128456121462410464578910174" displayName="_1_54128456121462410464578910174" ref="A8:O1001" totalsRowShown="0" headerRowDxfId="129" dataDxfId="128">
  <autoFilter ref="A8:O1001" xr:uid="{00000000-0009-0000-0100-00000C000000}"/>
  <tableColumns count="15">
    <tableColumn id="1" xr3:uid="{202B9A31-1038-453B-A509-8AD369F8F8DB}" name="Remark 1" dataDxfId="127"/>
    <tableColumn id="14" xr3:uid="{3EC818D7-7D65-43B0-8A3E-48B22266CD32}" name="Remark 2" dataDxfId="126"/>
    <tableColumn id="15" xr3:uid="{D915895A-9DF9-4CA9-B5AE-33669B7B2121}" name="Remark 3" dataDxfId="125"/>
    <tableColumn id="4" xr3:uid="{22A124C2-1818-4CEC-8692-18C99A0F569B}" name="Type" dataDxfId="124">
      <calculatedColumnFormula>IF(#REF!&gt;0,IF($A9="",IF(#REF!&gt;0,VLOOKUP(#REF!,#REF!,3,0),""),VLOOKUP($A9,#REF!,4,0)),"")</calculatedColumnFormula>
    </tableColumn>
    <tableColumn id="6" xr3:uid="{E9B71363-EF31-44B7-948B-2A061EEA4EAF}" name="UNIT" dataDxfId="123"/>
    <tableColumn id="2" xr3:uid="{6BF740A7-7F12-4681-8281-FF78DF7C9D11}" name="Discount selection" dataDxfId="122"/>
    <tableColumn id="3" xr3:uid="{566F1B31-4722-47A1-B73C-4E2BA7E669FD}" name="Description" dataDxfId="121">
      <calculatedColumnFormula>IF(_1_54128456121462410464578910174[[#This Row],[Type]]&gt;0,VLOOKUP(_1_54128456121462410464578910174[[#This Row],[Type]],Main[[#All],[TYPE]:[UNIT]],'Unit Price'!C$1,FALSE),0)</calculatedColumnFormula>
    </tableColumn>
    <tableColumn id="5" xr3:uid="{E1F56F09-6A30-4DF5-9534-B5A13B49D7C9}" name="Maker" dataDxfId="120">
      <calculatedColumnFormula>IF(_1_54128456121462410464578910174[[#This Row],[Type]]&gt;0,VLOOKUP(_1_54128456121462410464578910174[[#This Row],[Type]],Main[[#All],[TYPE]:[UNIT]],'Unit Price'!D$1,FALSE),0)</calculatedColumnFormula>
    </tableColumn>
    <tableColumn id="7" xr3:uid="{C77F480A-85E5-4485-A468-530FBB9D5415}" name="LIST $" dataDxfId="119">
      <calculatedColumnFormula>IF(_1_54128456121462410464578910174[[#This Row],[Type]]&gt;0,VLOOKUP(_1_54128456121462410464578910174[[#This Row],[Type]],Main[[#All],[TYPE]:[UNIT]],'Unit Price'!G$1,FALSE),0)</calculatedColumnFormula>
    </tableColumn>
    <tableColumn id="8" xr3:uid="{7320D5FD-5730-4F43-A749-8987125BD749}" name="DISCOUNT" dataDxfId="118">
      <calculatedColumnFormula>IF(_1_54128456121462410464578910174[[#This Row],[Type]]&gt;0,VLOOKUP(_1_54128456121462410464578910174[[#This Row],[Type]],Main[[#All],[TYPE]:[UNIT]],'Unit Price'!H$1,FALSE),0)</calculatedColumnFormula>
    </tableColumn>
    <tableColumn id="13" xr3:uid="{4ADC5094-2348-4711-AB7F-14865C0F1E44}" name="DISCOUNT 2" dataDxfId="117">
      <calculatedColumnFormula>IF(_1_54128456121462410464578910174[[#This Row],[Discount selection]]&gt;0,VLOOKUP(_1_54128456121462410464578910174[[#This Row],[Discount selection]],'Discount Structure'!$A$2:$B$30,2,"false"),0)</calculatedColumnFormula>
    </tableColumn>
    <tableColumn id="9" xr3:uid="{CF595138-14AF-49A5-8B0A-540663988A86}" name="COST" dataDxfId="116">
      <calculatedColumnFormula>_1_54128456121462410464578910174[[#This Row],[LIST $]]*_1_54128456121462410464578910174[[#This Row],[DISCOUNT]]*_1_54128456121462410464578910174[[#This Row],[DISCOUNT 2]]</calculatedColumnFormula>
    </tableColumn>
    <tableColumn id="10" xr3:uid="{586CF32B-AAD4-4DC0-993E-56D5BA266FF9}" name="TOTAL" dataDxfId="115">
      <calculatedColumnFormula>IF(OR(_1_54128456121462410464578910174[[#This Row],[UNIT]]&gt;0,_1_54128456121462410464578910174[[#This Row],[UNIT]]&lt;0),_1_54128456121462410464578910174[[#This Row],[UNIT]]*_1_54128456121462410464578910174[[#This Row],[COST]],0)</calculatedColumnFormula>
    </tableColumn>
    <tableColumn id="11" xr3:uid="{46451D73-E5DF-4F41-B71C-011405499042}" name="MARGIN" dataDxfId="114">
      <calculatedColumnFormula>$N$7</calculatedColumnFormula>
    </tableColumn>
    <tableColumn id="12" xr3:uid="{3CCD8C6B-B7B8-43BE-9A47-2D74DF1700BA}" name="QUOTE" dataDxfId="113">
      <calculatedColumnFormula>_1_54128456121462410464578910174[[#This Row],[TOTAL]]*_1_54128456121462410464578910174[[#This Row],[MARGIN]]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9137D0A-9C3D-4D78-BD25-A8A9AF3037CC}" name="_1_541284561214624104645789101745" displayName="_1_541284561214624104645789101745" ref="A8:O1001" totalsRowShown="0" headerRowDxfId="112" dataDxfId="111">
  <autoFilter ref="A8:O1001" xr:uid="{00000000-0009-0000-0100-00000C000000}"/>
  <tableColumns count="15">
    <tableColumn id="1" xr3:uid="{EE5DC66B-79D4-43C3-BC34-2E123F6FA2DF}" name="Remark 1" dataDxfId="110"/>
    <tableColumn id="14" xr3:uid="{CC5D6358-1EE7-4CE6-99C9-F8DA2741BCA1}" name="Remark 2" dataDxfId="109"/>
    <tableColumn id="15" xr3:uid="{9FD39B73-BFC2-4DA0-9FA3-2CBFF21D3F42}" name="Remark 3" dataDxfId="108"/>
    <tableColumn id="4" xr3:uid="{39B9856D-1CA6-4C66-B41A-F8F2ED4197A2}" name="Type" dataDxfId="107">
      <calculatedColumnFormula>IF(#REF!&gt;0,IF($A9="",IF(#REF!&gt;0,VLOOKUP(#REF!,#REF!,3,0),""),VLOOKUP($A9,#REF!,4,0)),"")</calculatedColumnFormula>
    </tableColumn>
    <tableColumn id="6" xr3:uid="{42E04C3D-2955-402B-B62B-8638FE8F6B26}" name="UNIT" dataDxfId="106"/>
    <tableColumn id="2" xr3:uid="{37FCD2B2-1AE0-4DE9-88F5-15B062CC62DA}" name="Discount selection" dataDxfId="105"/>
    <tableColumn id="3" xr3:uid="{BACDA0B6-67F5-4EC6-95E4-E36791F94D0F}" name="Description" dataDxfId="104">
      <calculatedColumnFormula>IF(_1_541284561214624104645789101745[[#This Row],[Type]]&gt;0,VLOOKUP(_1_541284561214624104645789101745[[#This Row],[Type]],Main[[#All],[TYPE]:[UNIT]],'Unit Price'!C$1,FALSE),0)</calculatedColumnFormula>
    </tableColumn>
    <tableColumn id="5" xr3:uid="{6A54BF2B-0E8C-4FC8-A922-FEE8FE28220B}" name="Maker" dataDxfId="103">
      <calculatedColumnFormula>IF(_1_541284561214624104645789101745[[#This Row],[Type]]&gt;0,VLOOKUP(_1_541284561214624104645789101745[[#This Row],[Type]],Main[[#All],[TYPE]:[UNIT]],'Unit Price'!D$1,FALSE),0)</calculatedColumnFormula>
    </tableColumn>
    <tableColumn id="7" xr3:uid="{FEF1334C-4FE8-4D89-9A49-8132D9EDD37C}" name="LIST $" dataDxfId="102">
      <calculatedColumnFormula>IF(_1_541284561214624104645789101745[[#This Row],[Type]]&gt;0,VLOOKUP(_1_541284561214624104645789101745[[#This Row],[Type]],Main[[#All],[TYPE]:[UNIT]],'Unit Price'!G$1,FALSE),0)</calculatedColumnFormula>
    </tableColumn>
    <tableColumn id="8" xr3:uid="{4C9F03BE-6696-431E-9C07-B314858BD65D}" name="DISCOUNT" dataDxfId="101">
      <calculatedColumnFormula>IF(_1_541284561214624104645789101745[[#This Row],[Type]]&gt;0,VLOOKUP(_1_541284561214624104645789101745[[#This Row],[Type]],Main[[#All],[TYPE]:[UNIT]],'Unit Price'!H$1,FALSE),0)</calculatedColumnFormula>
    </tableColumn>
    <tableColumn id="13" xr3:uid="{9887FE57-2A49-4E86-BE23-F8D7C387B4D6}" name="DISCOUNT 2" dataDxfId="100">
      <calculatedColumnFormula>IF(_1_541284561214624104645789101745[[#This Row],[Discount selection]]&gt;0,VLOOKUP(_1_541284561214624104645789101745[[#This Row],[Discount selection]],'Discount Structure'!$A$2:$B$30,2,"false"),0)</calculatedColumnFormula>
    </tableColumn>
    <tableColumn id="9" xr3:uid="{A04D142C-6835-416F-B73B-88AF9DD0EB25}" name="COST" dataDxfId="99">
      <calculatedColumnFormula>_1_541284561214624104645789101745[[#This Row],[LIST $]]*_1_541284561214624104645789101745[[#This Row],[DISCOUNT]]*_1_541284561214624104645789101745[[#This Row],[DISCOUNT 2]]</calculatedColumnFormula>
    </tableColumn>
    <tableColumn id="10" xr3:uid="{913011D0-2C61-4681-9F46-E0B3827025FF}" name="TOTAL" dataDxfId="98">
      <calculatedColumnFormula>IF(OR(_1_541284561214624104645789101745[[#This Row],[UNIT]]&gt;0,_1_541284561214624104645789101745[[#This Row],[UNIT]]&lt;0),_1_541284561214624104645789101745[[#This Row],[UNIT]]*_1_541284561214624104645789101745[[#This Row],[COST]],0)</calculatedColumnFormula>
    </tableColumn>
    <tableColumn id="11" xr3:uid="{F1FD9A56-BB29-4D0D-B0D1-9C5C7E191A5C}" name="MARGIN" dataDxfId="97">
      <calculatedColumnFormula>$N$7</calculatedColumnFormula>
    </tableColumn>
    <tableColumn id="12" xr3:uid="{A99BC7CD-0247-44EC-85ED-9874D4949DEF}" name="QUOTE" dataDxfId="96">
      <calculatedColumnFormula>_1_541284561214624104645789101745[[#This Row],[TOTAL]]*_1_541284561214624104645789101745[[#This Row],[MARGIN]]</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0569E43-1BBA-461B-A526-1807109149D4}" name="_1_5412845612146241046457891017456" displayName="_1_5412845612146241046457891017456" ref="A8:O1001" totalsRowShown="0" headerRowDxfId="95" dataDxfId="94">
  <autoFilter ref="A8:O1001" xr:uid="{00000000-0009-0000-0100-00000C000000}"/>
  <tableColumns count="15">
    <tableColumn id="1" xr3:uid="{81462494-6EAD-4E65-8394-66A7E8A03986}" name="Remark 1" dataDxfId="93"/>
    <tableColumn id="14" xr3:uid="{C0503D5E-4A02-4481-AC44-9E264B0E8634}" name="Remark 2" dataDxfId="92"/>
    <tableColumn id="15" xr3:uid="{5555D67D-836A-4826-8383-79F61777761C}" name="Remark 3" dataDxfId="91"/>
    <tableColumn id="4" xr3:uid="{27C284B0-ABE7-4B7B-8749-7D99397E7F56}" name="Type" dataDxfId="90">
      <calculatedColumnFormula>IF(#REF!&gt;0,IF($A9="",IF(#REF!&gt;0,VLOOKUP(#REF!,#REF!,3,0),""),VLOOKUP($A9,#REF!,4,0)),"")</calculatedColumnFormula>
    </tableColumn>
    <tableColumn id="6" xr3:uid="{7EFF7007-128B-4DAE-BF14-56C098F28840}" name="UNIT" dataDxfId="89"/>
    <tableColumn id="2" xr3:uid="{19BC35EC-F97B-486E-8AFB-6013FECE17DC}" name="Discount selection" dataDxfId="88"/>
    <tableColumn id="3" xr3:uid="{5B582315-A19B-4763-BFFD-B5582683F10C}" name="Description" dataDxfId="87">
      <calculatedColumnFormula>IF(_1_5412845612146241046457891017456[[#This Row],[Type]]&gt;0,VLOOKUP(_1_5412845612146241046457891017456[[#This Row],[Type]],Main[[#All],[TYPE]:[UNIT]],'Unit Price'!C$1,FALSE),0)</calculatedColumnFormula>
    </tableColumn>
    <tableColumn id="5" xr3:uid="{0D8C33EE-79F5-436E-870A-D29DFD384FF1}" name="Maker" dataDxfId="86">
      <calculatedColumnFormula>IF(_1_5412845612146241046457891017456[[#This Row],[Type]]&gt;0,VLOOKUP(_1_5412845612146241046457891017456[[#This Row],[Type]],Main[[#All],[TYPE]:[UNIT]],'Unit Price'!D$1,FALSE),0)</calculatedColumnFormula>
    </tableColumn>
    <tableColumn id="7" xr3:uid="{01C87B04-3F7E-4C38-AF1A-C6F5860CF1B0}" name="LIST $" dataDxfId="85">
      <calculatedColumnFormula>IF(_1_5412845612146241046457891017456[[#This Row],[Type]]&gt;0,VLOOKUP(_1_5412845612146241046457891017456[[#This Row],[Type]],Main[[#All],[TYPE]:[UNIT]],'Unit Price'!G$1,FALSE),0)</calculatedColumnFormula>
    </tableColumn>
    <tableColumn id="8" xr3:uid="{9FA4A8CE-54A6-4570-A5CD-09FB1F24C3C9}" name="DISCOUNT" dataDxfId="84">
      <calculatedColumnFormula>IF(_1_5412845612146241046457891017456[[#This Row],[Type]]&gt;0,VLOOKUP(_1_5412845612146241046457891017456[[#This Row],[Type]],Main[[#All],[TYPE]:[UNIT]],'Unit Price'!H$1,FALSE),0)</calculatedColumnFormula>
    </tableColumn>
    <tableColumn id="13" xr3:uid="{1D590037-3786-4251-8494-B12D5A5E35D0}" name="DISCOUNT 2" dataDxfId="83">
      <calculatedColumnFormula>IF(_1_5412845612146241046457891017456[[#This Row],[Discount selection]]&gt;0,VLOOKUP(_1_5412845612146241046457891017456[[#This Row],[Discount selection]],'Discount Structure'!$A$2:$B$30,2,"false"),0)</calculatedColumnFormula>
    </tableColumn>
    <tableColumn id="9" xr3:uid="{74FCC580-DB7D-4476-9A27-3DB2ED2C1089}" name="COST" dataDxfId="82">
      <calculatedColumnFormula>_1_5412845612146241046457891017456[[#This Row],[LIST $]]*_1_5412845612146241046457891017456[[#This Row],[DISCOUNT]]*_1_5412845612146241046457891017456[[#This Row],[DISCOUNT 2]]</calculatedColumnFormula>
    </tableColumn>
    <tableColumn id="10" xr3:uid="{DCD9F7E9-1727-4D26-BEA8-A1602246E634}" name="TOTAL" dataDxfId="81">
      <calculatedColumnFormula>IF(OR(_1_5412845612146241046457891017456[[#This Row],[UNIT]]&gt;0,_1_5412845612146241046457891017456[[#This Row],[UNIT]]&lt;0),_1_5412845612146241046457891017456[[#This Row],[UNIT]]*_1_5412845612146241046457891017456[[#This Row],[COST]],0)</calculatedColumnFormula>
    </tableColumn>
    <tableColumn id="11" xr3:uid="{69607FCE-D478-4B19-A4A9-00BB82D1F409}" name="MARGIN" dataDxfId="80">
      <calculatedColumnFormula>$N$7</calculatedColumnFormula>
    </tableColumn>
    <tableColumn id="12" xr3:uid="{E0424C04-43E2-4B8F-ABB5-A57983DD9670}" name="QUOTE" dataDxfId="79">
      <calculatedColumnFormula>_1_5412845612146241046457891017456[[#This Row],[TOTAL]]*_1_5412845612146241046457891017456[[#This Row],[MARGIN]]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30B3255-059E-49BE-889E-1DD123AD0495}" name="_1_54128456121462410464578910174567" displayName="_1_54128456121462410464578910174567" ref="A8:O1001" totalsRowShown="0" headerRowDxfId="78" dataDxfId="77">
  <autoFilter ref="A8:O1001" xr:uid="{00000000-0009-0000-0100-00000C000000}"/>
  <tableColumns count="15">
    <tableColumn id="1" xr3:uid="{9D6EFDE2-E838-4C55-BB7E-AFB61A497D77}" name="Remark 1" dataDxfId="76"/>
    <tableColumn id="14" xr3:uid="{F2828381-D698-4067-A235-2C02AACD4409}" name="Remark 2" dataDxfId="75"/>
    <tableColumn id="15" xr3:uid="{60D77267-005D-467A-9E81-2D4626FEC984}" name="Remark 3" dataDxfId="74"/>
    <tableColumn id="4" xr3:uid="{C59FAEB5-5912-43E5-AF90-F0AF0ECD40D7}" name="Type" dataDxfId="73">
      <calculatedColumnFormula>IF(#REF!&gt;0,IF($A9="",IF(#REF!&gt;0,VLOOKUP(#REF!,#REF!,3,0),""),VLOOKUP($A9,#REF!,4,0)),"")</calculatedColumnFormula>
    </tableColumn>
    <tableColumn id="6" xr3:uid="{D4E7C9E7-EE2B-4E2E-B0F8-B54F93D9A5EA}" name="UNIT" dataDxfId="72"/>
    <tableColumn id="2" xr3:uid="{C6FE10AA-0357-4ABB-8AA2-C583120C7306}" name="Discount selection" dataDxfId="71"/>
    <tableColumn id="3" xr3:uid="{F596AC45-6880-4487-A81E-095C92D1C4FC}" name="Description" dataDxfId="70">
      <calculatedColumnFormula>IF(_1_54128456121462410464578910174567[[#This Row],[Type]]&gt;0,VLOOKUP(_1_54128456121462410464578910174567[[#This Row],[Type]],Main[[#All],[TYPE]:[UNIT]],'Unit Price'!C$1,FALSE),0)</calculatedColumnFormula>
    </tableColumn>
    <tableColumn id="5" xr3:uid="{031A0FC7-431F-42D6-96A5-A715101AC630}" name="Maker" dataDxfId="69">
      <calculatedColumnFormula>IF(_1_54128456121462410464578910174567[[#This Row],[Type]]&gt;0,VLOOKUP(_1_54128456121462410464578910174567[[#This Row],[Type]],Main[[#All],[TYPE]:[UNIT]],'Unit Price'!D$1,FALSE),0)</calculatedColumnFormula>
    </tableColumn>
    <tableColumn id="7" xr3:uid="{09C76785-E33D-4FA8-AB56-3DC54E4B76DE}" name="LIST $" dataDxfId="68">
      <calculatedColumnFormula>IF(_1_54128456121462410464578910174567[[#This Row],[Type]]&gt;0,VLOOKUP(_1_54128456121462410464578910174567[[#This Row],[Type]],Main[[#All],[TYPE]:[UNIT]],'Unit Price'!G$1,FALSE),0)</calculatedColumnFormula>
    </tableColumn>
    <tableColumn id="8" xr3:uid="{74892A9D-B459-4F3A-B16B-63C345A16EB9}" name="DISCOUNT" dataDxfId="67">
      <calculatedColumnFormula>IF(_1_54128456121462410464578910174567[[#This Row],[Type]]&gt;0,VLOOKUP(_1_54128456121462410464578910174567[[#This Row],[Type]],Main[[#All],[TYPE]:[UNIT]],'Unit Price'!H$1,FALSE),0)</calculatedColumnFormula>
    </tableColumn>
    <tableColumn id="13" xr3:uid="{BAE80103-B480-482D-9C0D-B74CBBAA8A4F}" name="DISCOUNT 2" dataDxfId="66">
      <calculatedColumnFormula>IF(_1_54128456121462410464578910174567[[#This Row],[Discount selection]]&gt;0,VLOOKUP(_1_54128456121462410464578910174567[[#This Row],[Discount selection]],'Discount Structure'!$A$2:$B$30,2,"false"),0)</calculatedColumnFormula>
    </tableColumn>
    <tableColumn id="9" xr3:uid="{16801386-6A75-4A5C-8B66-7F25AC5D0ABE}" name="COST" dataDxfId="65">
      <calculatedColumnFormula>_1_54128456121462410464578910174567[[#This Row],[LIST $]]*_1_54128456121462410464578910174567[[#This Row],[DISCOUNT]]*_1_54128456121462410464578910174567[[#This Row],[DISCOUNT 2]]</calculatedColumnFormula>
    </tableColumn>
    <tableColumn id="10" xr3:uid="{BFE395AF-4B7B-43F0-B70F-A80490CC61C0}" name="TOTAL" dataDxfId="64">
      <calculatedColumnFormula>IF(OR(_1_54128456121462410464578910174567[[#This Row],[UNIT]]&gt;0,_1_54128456121462410464578910174567[[#This Row],[UNIT]]&lt;0),_1_54128456121462410464578910174567[[#This Row],[UNIT]]*_1_54128456121462410464578910174567[[#This Row],[COST]],0)</calculatedColumnFormula>
    </tableColumn>
    <tableColumn id="11" xr3:uid="{0C4F9F56-25F1-40B1-9F6E-35559EE1469B}" name="MARGIN" dataDxfId="63">
      <calculatedColumnFormula>$N$7</calculatedColumnFormula>
    </tableColumn>
    <tableColumn id="12" xr3:uid="{BF49DEC5-66E0-4DDE-A1DE-BBE8D90401CE}" name="QUOTE" dataDxfId="62">
      <calculatedColumnFormula>_1_54128456121462410464578910174567[[#This Row],[TOTAL]]*_1_54128456121462410464578910174567[[#This Row],[MARGIN]]</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C123283-937F-45A0-9258-675D05CAB409}" name="_1_541284561214624104645789101745678" displayName="_1_541284561214624104645789101745678" ref="A8:O1001" totalsRowShown="0" headerRowDxfId="61" dataDxfId="60">
  <autoFilter ref="A8:O1001" xr:uid="{00000000-0009-0000-0100-00000C000000}"/>
  <tableColumns count="15">
    <tableColumn id="1" xr3:uid="{D3258DB8-903E-436A-9A1C-8B938A62C1A5}" name="Remark 1" dataDxfId="59"/>
    <tableColumn id="14" xr3:uid="{D6428327-60F6-4351-BFC3-9C8DA70CC845}" name="Remark 2" dataDxfId="58"/>
    <tableColumn id="15" xr3:uid="{A4C69EBB-17AC-4DA3-B3FF-08FD99383CAF}" name="Remark 3" dataDxfId="57"/>
    <tableColumn id="4" xr3:uid="{34B108FD-2C0C-4466-982A-47E5B430AC75}" name="Type" dataDxfId="56">
      <calculatedColumnFormula>IF(#REF!&gt;0,IF($A9="",IF(#REF!&gt;0,VLOOKUP(#REF!,#REF!,3,0),""),VLOOKUP($A9,#REF!,4,0)),"")</calculatedColumnFormula>
    </tableColumn>
    <tableColumn id="6" xr3:uid="{8647A0EC-A336-423E-B792-2B6342CA7227}" name="UNIT" dataDxfId="55"/>
    <tableColumn id="2" xr3:uid="{44107CDF-FA26-40B7-A5E7-EBB9C4F1E837}" name="Discount selection" dataDxfId="54"/>
    <tableColumn id="3" xr3:uid="{E51D6AA7-78CC-41B3-924A-0900D361AB17}" name="Description" dataDxfId="53">
      <calculatedColumnFormula>IF(_1_541284561214624104645789101745678[[#This Row],[Type]]&gt;0,VLOOKUP(_1_541284561214624104645789101745678[[#This Row],[Type]],Main[[#All],[TYPE]:[UNIT]],'Unit Price'!C$1,FALSE),0)</calculatedColumnFormula>
    </tableColumn>
    <tableColumn id="5" xr3:uid="{1E543C4A-1ED0-4EF0-AB92-F95128488B0A}" name="Maker" dataDxfId="52">
      <calculatedColumnFormula>IF(_1_541284561214624104645789101745678[[#This Row],[Type]]&gt;0,VLOOKUP(_1_541284561214624104645789101745678[[#This Row],[Type]],Main[[#All],[TYPE]:[UNIT]],'Unit Price'!D$1,FALSE),0)</calculatedColumnFormula>
    </tableColumn>
    <tableColumn id="7" xr3:uid="{513DA2C5-5C2C-4AEA-8E8E-422364330816}" name="LIST $" dataDxfId="51">
      <calculatedColumnFormula>IF(_1_541284561214624104645789101745678[[#This Row],[Type]]&gt;0,VLOOKUP(_1_541284561214624104645789101745678[[#This Row],[Type]],Main[[#All],[TYPE]:[UNIT]],'Unit Price'!G$1,FALSE),0)</calculatedColumnFormula>
    </tableColumn>
    <tableColumn id="8" xr3:uid="{0307EE65-55B8-4456-9552-03D06BC3FB8C}" name="DISCOUNT" dataDxfId="50">
      <calculatedColumnFormula>IF(_1_541284561214624104645789101745678[[#This Row],[Type]]&gt;0,VLOOKUP(_1_541284561214624104645789101745678[[#This Row],[Type]],Main[[#All],[TYPE]:[UNIT]],'Unit Price'!H$1,FALSE),0)</calculatedColumnFormula>
    </tableColumn>
    <tableColumn id="13" xr3:uid="{439E1D97-0C43-48A0-AF3D-B6F57DFCAC7B}" name="DISCOUNT 2" dataDxfId="49">
      <calculatedColumnFormula>IF(_1_541284561214624104645789101745678[[#This Row],[Discount selection]]&gt;0,VLOOKUP(_1_541284561214624104645789101745678[[#This Row],[Discount selection]],'Discount Structure'!$A$2:$B$30,2,"false"),0)</calculatedColumnFormula>
    </tableColumn>
    <tableColumn id="9" xr3:uid="{B1DA2544-F878-45B4-AEFD-529CB52F33E1}" name="COST" dataDxfId="48">
      <calculatedColumnFormula>_1_541284561214624104645789101745678[[#This Row],[LIST $]]*_1_541284561214624104645789101745678[[#This Row],[DISCOUNT]]*_1_541284561214624104645789101745678[[#This Row],[DISCOUNT 2]]</calculatedColumnFormula>
    </tableColumn>
    <tableColumn id="10" xr3:uid="{A913341C-41F4-4CD9-8828-9D22CFD7C450}" name="TOTAL" dataDxfId="47">
      <calculatedColumnFormula>IF(OR(_1_541284561214624104645789101745678[[#This Row],[UNIT]]&gt;0,_1_541284561214624104645789101745678[[#This Row],[UNIT]]&lt;0),_1_541284561214624104645789101745678[[#This Row],[UNIT]]*_1_541284561214624104645789101745678[[#This Row],[COST]],0)</calculatedColumnFormula>
    </tableColumn>
    <tableColumn id="11" xr3:uid="{379B8D72-D757-4C9E-8176-DA9445D737AA}" name="MARGIN" dataDxfId="46">
      <calculatedColumnFormula>$N$7</calculatedColumnFormula>
    </tableColumn>
    <tableColumn id="12" xr3:uid="{C9BB1346-CF49-4840-9549-D52BE50788CD}" name="QUOTE" dataDxfId="45">
      <calculatedColumnFormula>_1_541284561214624104645789101745678[[#This Row],[TOTAL]]*_1_541284561214624104645789101745678[[#This Row],[MARGIN]]</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DBparts1" displayName="DBparts1" ref="A2:L857" totalsRowShown="0" headerRowDxfId="166" dataDxfId="165">
  <autoFilter ref="A2:L857" xr:uid="{00000000-0009-0000-0100-00000C000000}"/>
  <tableColumns count="12">
    <tableColumn id="10" xr3:uid="{430C6E4B-A9EC-42EF-A241-D2CCC5B9DFC7}" name="No" dataDxfId="164"/>
    <tableColumn id="1" xr3:uid="{00000000-0010-0000-0000-000001000000}" name="Remark 1" dataDxfId="163"/>
    <tableColumn id="5" xr3:uid="{57769970-FABF-4125-B637-C8E8E6D919A2}" name="Remark 2" dataDxfId="162"/>
    <tableColumn id="6" xr3:uid="{F963A5F6-4C7C-4733-BDFE-3EA897220FBD}" name="Remark 3" dataDxfId="161"/>
    <tableColumn id="4" xr3:uid="{00000000-0010-0000-0000-000004000000}" name="Type" dataDxfId="160">
      <calculatedColumnFormula>IF(#REF!&gt;0,IF(#REF!="",IF(#REF!&gt;0,VLOOKUP(#REF!,#REF!,3,0),""),VLOOKUP(#REF!,#REF!,4,0)),"")</calculatedColumnFormula>
    </tableColumn>
    <tableColumn id="14" xr3:uid="{D5763449-8C11-41D7-8088-A6693729043A}" name="Discount seletion" dataDxfId="159"/>
    <tableColumn id="2" xr3:uid="{00000000-0010-0000-0000-000002000000}" name="Description" dataDxfId="158">
      <calculatedColumnFormula>IF(DBparts1[[#This Row],[Type]]&gt;0,VLOOKUP(DBparts1[[#This Row],[Type]],Main[[#All],[TYPE]:[UNIT]],'Unit Price'!C$1,FALSE),0)</calculatedColumnFormula>
    </tableColumn>
    <tableColumn id="3" xr3:uid="{00000000-0010-0000-0000-000003000000}" name="Maker" dataDxfId="157">
      <calculatedColumnFormula>IF(DBparts1[[#This Row],[Type]]&gt;0,VLOOKUP(DBparts1[[#This Row],[Type]],Main[[#All],[TYPE]:[UNIT]],'Unit Price'!D$1,FALSE),0)</calculatedColumnFormula>
    </tableColumn>
    <tableColumn id="7" xr3:uid="{00000000-0010-0000-0000-000007000000}" name="LIST $" dataDxfId="156">
      <calculatedColumnFormula>IF(DBparts1[[#This Row],[Type]]&gt;0,VLOOKUP(DBparts1[[#This Row],[Type]],Main[[#All],[TYPE]:[UNIT]],'Unit Price'!G$1,FALSE),0)</calculatedColumnFormula>
    </tableColumn>
    <tableColumn id="8" xr3:uid="{00000000-0010-0000-0000-000008000000}" name="DISCOUNT" dataDxfId="155">
      <calculatedColumnFormula>IF(DBparts1[[#This Row],[Type]]&gt;0,VLOOKUP(DBparts1[[#This Row],[Type]],Main[[#All],[TYPE]:[UNIT]],'Unit Price'!H$1,FALSE),0)</calculatedColumnFormula>
    </tableColumn>
    <tableColumn id="13" xr3:uid="{00000000-0010-0000-0000-00000D000000}" name="DISCOUNT 2" dataDxfId="154">
      <calculatedColumnFormula>IF(DBparts1[[#This Row],[Type]]&gt;0,VLOOKUP(DBparts1[[#This Row],[Discount seletion]],'Discount Structure'!$A$2:$B$30,2,"false"),0)</calculatedColumnFormula>
    </tableColumn>
    <tableColumn id="9" xr3:uid="{00000000-0010-0000-0000-000009000000}" name="COST" dataDxfId="153">
      <calculatedColumnFormula>DBparts1[[#This Row],[LIST $]]*DBparts1[[#This Row],[DISCOUNT]]*DBparts1[[#This Row],[DISCOUNT 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749D80-6291-4A17-91BB-966C68D5E6BC}" name="Main" displayName="Main" ref="A2:J3796" totalsRowShown="0">
  <autoFilter ref="A2:J3796" xr:uid="{00000000-0009-0000-0100-000003000000}">
    <filterColumn colId="3">
      <filters>
        <filter val="ABB"/>
      </filters>
    </filterColumn>
    <filterColumn colId="4">
      <filters>
        <filter val="TOR"/>
      </filters>
    </filterColumn>
  </autoFilter>
  <sortState xmlns:xlrd2="http://schemas.microsoft.com/office/spreadsheetml/2017/richdata2" ref="A3:J3796">
    <sortCondition ref="D2:D3796"/>
  </sortState>
  <tableColumns count="10">
    <tableColumn id="1" xr3:uid="{B42A6A11-8083-4150-930D-A6ECDA3ADD19}" name="Date" dataDxfId="139"/>
    <tableColumn id="4" xr3:uid="{63AEA65A-4D9F-446B-B277-DCE97E57CED2}" name="TYPE" dataDxfId="138"/>
    <tableColumn id="2" xr3:uid="{5BE90BA4-9649-455A-8C19-47172F52124B}" name="DESCRIPTION" dataDxfId="137"/>
    <tableColumn id="3" xr3:uid="{C5DF6727-9705-42F2-B800-6DB42F90FD7F}" name="MAKER" dataDxfId="136"/>
    <tableColumn id="11" xr3:uid="{D436EDE1-CEA6-4E16-BE42-DD105833EACF}" name="Family" dataDxfId="135"/>
    <tableColumn id="12" xr3:uid="{5AD54B99-013F-40D3-A384-F888D4FF4332}" name="Series" dataDxfId="134"/>
    <tableColumn id="7" xr3:uid="{712188CA-1929-4DDC-AC51-9B53E6FBFA7E}" name="LIST $" dataDxfId="133"/>
    <tableColumn id="8" xr3:uid="{2C52D9AC-BDC9-4165-8EDE-04DD99F19C96}" name="DISCOUNT" dataDxfId="132"/>
    <tableColumn id="9" xr3:uid="{019A04E8-EE62-4C72-854A-835FD6B44864}" name="COST" dataDxfId="131">
      <calculatedColumnFormula>H3*G3</calculatedColumnFormula>
    </tableColumn>
    <tableColumn id="5" xr3:uid="{932EA0C7-F634-4A68-912F-699E5C861BC5}" name="UNIT" dataDxfId="1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microsoft.com/office/2007/relationships/slicer" Target="../slicers/slicer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ummary">
    <pageSetUpPr fitToPage="1"/>
  </sheetPr>
  <dimension ref="A1:AC255"/>
  <sheetViews>
    <sheetView tabSelected="1" topLeftCell="A15" zoomScaleNormal="100" zoomScalePageLayoutView="85" workbookViewId="0">
      <selection activeCell="E40" sqref="E40:E41"/>
    </sheetView>
  </sheetViews>
  <sheetFormatPr defaultColWidth="29.7109375" defaultRowHeight="14.25"/>
  <cols>
    <col min="1" max="2" width="7.5703125" style="44" bestFit="1" customWidth="1"/>
    <col min="3" max="3" width="44" style="44" customWidth="1"/>
    <col min="4" max="4" width="4.42578125" style="44" bestFit="1" customWidth="1"/>
    <col min="5" max="5" width="107.5703125" style="44" customWidth="1"/>
    <col min="6" max="6" width="14.42578125" style="44" bestFit="1" customWidth="1"/>
    <col min="7" max="7" width="8.7109375" style="44" bestFit="1" customWidth="1"/>
    <col min="8" max="8" width="15.7109375" style="44" bestFit="1" customWidth="1"/>
    <col min="9" max="9" width="12.28515625" style="44" bestFit="1" customWidth="1"/>
    <col min="10" max="10" width="17.7109375" style="44" bestFit="1" customWidth="1"/>
    <col min="11" max="11" width="18.28515625" style="44" bestFit="1" customWidth="1"/>
    <col min="12" max="12" width="24.85546875" style="44" bestFit="1" customWidth="1"/>
    <col min="13" max="13" width="18.5703125" style="44" bestFit="1" customWidth="1"/>
    <col min="14" max="14" width="9.5703125" style="44" bestFit="1" customWidth="1"/>
    <col min="15" max="15" width="23.28515625" style="44" bestFit="1" customWidth="1"/>
    <col min="16" max="16" width="15.140625" style="44" bestFit="1" customWidth="1"/>
    <col min="17" max="18" width="17.7109375" style="44" bestFit="1" customWidth="1"/>
    <col min="19" max="19" width="20.28515625" style="44" bestFit="1" customWidth="1"/>
    <col min="20" max="20" width="18.28515625" style="44" bestFit="1" customWidth="1"/>
    <col min="21" max="21" width="12.5703125" style="44" bestFit="1" customWidth="1"/>
    <col min="22" max="22" width="17.7109375" style="44" bestFit="1" customWidth="1"/>
    <col min="23" max="23" width="10.140625" style="44" bestFit="1" customWidth="1"/>
    <col min="24" max="24" width="11.28515625" style="44" bestFit="1" customWidth="1"/>
    <col min="25" max="25" width="20.28515625" style="44" bestFit="1" customWidth="1"/>
    <col min="26" max="27" width="11.28515625" style="44" bestFit="1" customWidth="1"/>
    <col min="28" max="16384" width="29.7109375" style="44"/>
  </cols>
  <sheetData>
    <row r="1" spans="1:29">
      <c r="H1" s="80"/>
      <c r="I1" s="81"/>
      <c r="J1" s="81" t="s">
        <v>6214</v>
      </c>
      <c r="K1" s="97" t="s">
        <v>0</v>
      </c>
      <c r="N1" s="44" t="s">
        <v>6201</v>
      </c>
    </row>
    <row r="2" spans="1:29" s="79" customFormat="1">
      <c r="H2" s="82"/>
      <c r="I2" s="83"/>
      <c r="J2" s="83">
        <v>0</v>
      </c>
      <c r="K2" s="98">
        <v>4.4000000000000004</v>
      </c>
      <c r="N2" s="44" t="s">
        <v>7442</v>
      </c>
    </row>
    <row r="3" spans="1:29" s="79" customFormat="1" ht="15.75" thickBot="1">
      <c r="C3" s="79" t="s">
        <v>1</v>
      </c>
      <c r="E3" s="385">
        <v>46141</v>
      </c>
      <c r="F3" s="79" t="s">
        <v>2</v>
      </c>
      <c r="H3" s="84"/>
      <c r="I3" s="85"/>
      <c r="J3" s="85"/>
      <c r="K3" s="85"/>
      <c r="N3" s="44" t="s">
        <v>4141</v>
      </c>
    </row>
    <row r="4" spans="1:29" ht="28.5">
      <c r="A4" s="44">
        <v>1</v>
      </c>
      <c r="F4" s="386" t="s">
        <v>7832</v>
      </c>
      <c r="H4" s="86" t="s">
        <v>3</v>
      </c>
      <c r="I4" s="49"/>
      <c r="J4" s="79"/>
      <c r="K4" s="49"/>
    </row>
    <row r="5" spans="1:29" ht="41.25" thickBot="1">
      <c r="C5" s="44" t="s">
        <v>4</v>
      </c>
      <c r="E5" s="387" t="s">
        <v>7840</v>
      </c>
      <c r="H5" s="87">
        <v>-1</v>
      </c>
      <c r="I5" s="88"/>
      <c r="J5" s="89"/>
      <c r="K5" s="88"/>
    </row>
    <row r="6" spans="1:29" ht="18">
      <c r="A6" s="226" t="s">
        <v>6217</v>
      </c>
      <c r="B6" s="227" t="s">
        <v>336</v>
      </c>
      <c r="C6" s="226" t="s">
        <v>5</v>
      </c>
      <c r="D6" s="290" t="s">
        <v>6797</v>
      </c>
      <c r="E6" s="226" t="s">
        <v>6</v>
      </c>
      <c r="F6" s="226" t="s">
        <v>7</v>
      </c>
      <c r="G6" s="90" t="s">
        <v>8</v>
      </c>
      <c r="H6" s="91" t="s">
        <v>9</v>
      </c>
      <c r="I6" s="91" t="s">
        <v>10</v>
      </c>
      <c r="J6" s="91" t="s">
        <v>6212</v>
      </c>
      <c r="K6" s="91" t="s">
        <v>6213</v>
      </c>
      <c r="L6" s="99" t="s">
        <v>12</v>
      </c>
      <c r="M6" s="100" t="s">
        <v>13</v>
      </c>
      <c r="N6" s="221" t="s">
        <v>4141</v>
      </c>
      <c r="O6" s="221" t="s">
        <v>14</v>
      </c>
      <c r="P6" s="294" t="s">
        <v>7444</v>
      </c>
      <c r="Q6" s="294" t="s">
        <v>7460</v>
      </c>
      <c r="R6" s="295" t="s">
        <v>7445</v>
      </c>
      <c r="S6" s="295" t="s">
        <v>7461</v>
      </c>
      <c r="T6" s="221" t="s">
        <v>7443</v>
      </c>
      <c r="U6" s="90" t="s">
        <v>50</v>
      </c>
      <c r="V6" s="90" t="s">
        <v>6272</v>
      </c>
      <c r="W6" s="90" t="s">
        <v>6216</v>
      </c>
      <c r="X6" s="222" t="s">
        <v>51</v>
      </c>
      <c r="Y6" s="222" t="s">
        <v>6273</v>
      </c>
      <c r="Z6" s="102"/>
    </row>
    <row r="7" spans="1:29" s="49" customFormat="1" ht="28.5">
      <c r="A7" s="92">
        <v>1</v>
      </c>
      <c r="B7" s="92" t="s">
        <v>7535</v>
      </c>
      <c r="C7" s="92" t="str" cm="1">
        <f t="array" aca="1" ref="C7" ca="1">INDIRECT(Summary[[#This Row],[NO]]&amp;"!$A$2")</f>
        <v>100A MSB</v>
      </c>
      <c r="D7" s="92" t="s">
        <v>7535</v>
      </c>
      <c r="E7" s="92" t="str" cm="1">
        <f t="array" aca="1" ref="E7" ca="1">INDIRECT(Summary[[#This Row],[NO]]&amp;"!$B$2")</f>
        <v>- IDMT E/F PROTECTION RELAY
- 5 STEPS OF 5 KVAR (25KVAR) CAP BANK INCLUDED</v>
      </c>
      <c r="F7" s="92">
        <v>1</v>
      </c>
      <c r="G7" s="92" t="s">
        <v>15</v>
      </c>
      <c r="H7" s="228" cm="1">
        <f t="array" aca="1" ref="H7" ca="1">INDIRECT(Summary[[#This Row],[NO]]&amp;"!$O$7")</f>
        <v>32980.099152600007</v>
      </c>
      <c r="I7" s="229">
        <f t="shared" ref="I7" ca="1" si="0">F7*H7</f>
        <v>32980.099152600007</v>
      </c>
      <c r="J7" s="228">
        <f t="shared" ref="J7" ca="1" si="1">H7/(1-$J$2/100)</f>
        <v>32980.099152600007</v>
      </c>
      <c r="K7" s="229">
        <f t="shared" ref="K7" ca="1" si="2">F7*J7</f>
        <v>32980.099152600007</v>
      </c>
      <c r="L7" s="229">
        <f ca="1">ROUNDUP(J7/$K$2,0)</f>
        <v>7496</v>
      </c>
      <c r="M7" s="229">
        <f t="shared" ref="M7" ca="1" si="3">L7*F7</f>
        <v>7496</v>
      </c>
      <c r="N7" s="229" t="s">
        <v>7442</v>
      </c>
      <c r="O7" s="229">
        <f t="shared" ref="O7" ca="1" si="4">ROUNDUP(J7,$K$5)</f>
        <v>32981</v>
      </c>
      <c r="P7" s="231">
        <f ca="1">ROUNDUP(O7,-1)</f>
        <v>32990</v>
      </c>
      <c r="Q7" s="231">
        <f ca="1">Summary[[#This Row],[Quatity]]*Summary[[#This Row],[FULL TK]]</f>
        <v>32990</v>
      </c>
      <c r="R7" s="231">
        <f t="shared" ref="R7" ca="1" si="5">ROUNDUP(O7*1.05,-1)</f>
        <v>34640</v>
      </c>
      <c r="S7" s="231">
        <f ca="1">Summary[[#This Row],[Quatity]]*Summary[[#This Row],[FULL TKM]]</f>
        <v>34640</v>
      </c>
      <c r="T7" s="230">
        <f>IF(N7="SET",ROUNDUP(O7/2,-1),"0")*Summary[[#This Row],[Quatity]]</f>
        <v>0</v>
      </c>
      <c r="U7" s="230">
        <f t="shared" ref="U7" ca="1" si="6">IF(N7="NO SET",ROUNDUP(O7/2,-1),"0")</f>
        <v>16500</v>
      </c>
      <c r="V7" s="230">
        <f ca="1">Summary[[#This Row],[TK]]*Summary[[#This Row],[Quatity]]</f>
        <v>16500</v>
      </c>
      <c r="W7" s="230">
        <f t="shared" ref="W7" ca="1" si="7">V7*0.1</f>
        <v>1650</v>
      </c>
      <c r="X7" s="231">
        <f ca="1">ROUNDUP(O7/2,-1)</f>
        <v>16500</v>
      </c>
      <c r="Y7" s="231">
        <f ca="1">Summary[[#This Row],[TKM]]*Summary[[#This Row],[Quatity]]</f>
        <v>16500</v>
      </c>
      <c r="AA7" s="266"/>
      <c r="AC7" s="266"/>
    </row>
    <row r="8" spans="1:29" s="49" customFormat="1" ht="28.5">
      <c r="A8" s="92">
        <v>2</v>
      </c>
      <c r="B8" s="92" t="s">
        <v>7535</v>
      </c>
      <c r="C8" s="92" t="str" cm="1">
        <f t="array" aca="1" ref="C8" ca="1">INDIRECT(Summary[[#This Row],[NO]]&amp;"!$A$2")</f>
        <v>40A DB-FC</v>
      </c>
      <c r="D8" s="92" t="s">
        <v>7535</v>
      </c>
      <c r="E8" s="92" t="str" cm="1">
        <f t="array" aca="1" ref="E8" ca="1">INDIRECT(Summary[[#This Row],[NO]]&amp;"!$B$2")</f>
        <v/>
      </c>
      <c r="F8" s="92">
        <v>1</v>
      </c>
      <c r="G8" s="92" t="s">
        <v>15</v>
      </c>
      <c r="H8" s="228" cm="1">
        <f t="array" aca="1" ref="H8" ca="1">INDIRECT(Summary[[#This Row],[NO]]&amp;"!$O$7")</f>
        <v>4019.6999922</v>
      </c>
      <c r="I8" s="229">
        <f t="shared" ref="I8:I10" ca="1" si="8">F8*H8</f>
        <v>4019.6999922</v>
      </c>
      <c r="J8" s="228">
        <f t="shared" ref="J8:J10" ca="1" si="9">H8/(1-$J$2/100)</f>
        <v>4019.6999922</v>
      </c>
      <c r="K8" s="229">
        <f t="shared" ref="K8:K10" ca="1" si="10">F8*J8</f>
        <v>4019.6999922</v>
      </c>
      <c r="L8" s="229">
        <f t="shared" ref="L8:L10" ca="1" si="11">ROUNDUP(J8/$K$2,0)</f>
        <v>914</v>
      </c>
      <c r="M8" s="229">
        <f t="shared" ref="M8:M10" ca="1" si="12">L8*F8</f>
        <v>914</v>
      </c>
      <c r="N8" s="229" t="s">
        <v>7442</v>
      </c>
      <c r="O8" s="229">
        <f t="shared" ref="O8:O10" ca="1" si="13">ROUNDUP(J8,$K$5)</f>
        <v>4020</v>
      </c>
      <c r="P8" s="231">
        <f t="shared" ref="P8:P10" ca="1" si="14">ROUNDUP(O8,-1)</f>
        <v>4020</v>
      </c>
      <c r="Q8" s="231">
        <f ca="1">Summary[[#This Row],[Quatity]]*Summary[[#This Row],[FULL TK]]</f>
        <v>4020</v>
      </c>
      <c r="R8" s="231">
        <f t="shared" ref="R8:R10" ca="1" si="15">ROUNDUP(O8*1.05,-1)</f>
        <v>4230</v>
      </c>
      <c r="S8" s="231">
        <f ca="1">Summary[[#This Row],[Quatity]]*Summary[[#This Row],[FULL TKM]]</f>
        <v>4230</v>
      </c>
      <c r="T8" s="230">
        <f>IF(N8="SET",ROUNDUP(O8/2,-1),"0")*Summary[[#This Row],[Quatity]]</f>
        <v>0</v>
      </c>
      <c r="U8" s="230">
        <f t="shared" ref="U8:U10" ca="1" si="16">IF(N8="NO SET",ROUNDUP(O8/2,-1),"0")</f>
        <v>2010</v>
      </c>
      <c r="V8" s="230">
        <f ca="1">Summary[[#This Row],[TK]]*Summary[[#This Row],[Quatity]]</f>
        <v>2010</v>
      </c>
      <c r="W8" s="230">
        <f t="shared" ref="W8:W10" ca="1" si="17">V8*0.1</f>
        <v>201</v>
      </c>
      <c r="X8" s="231">
        <f t="shared" ref="X8:X10" ca="1" si="18">ROUNDUP(O8/2,-1)</f>
        <v>2010</v>
      </c>
      <c r="Y8" s="231">
        <f ca="1">Summary[[#This Row],[TKM]]*Summary[[#This Row],[Quatity]]</f>
        <v>2010</v>
      </c>
      <c r="AA8" s="266"/>
      <c r="AC8" s="266"/>
    </row>
    <row r="9" spans="1:29" s="49" customFormat="1" ht="28.5">
      <c r="A9" s="92">
        <v>3</v>
      </c>
      <c r="B9" s="92" t="s">
        <v>7535</v>
      </c>
      <c r="C9" s="92" t="str" cm="1">
        <f t="array" aca="1" ref="C9" ca="1">INDIRECT(Summary[[#This Row],[NO]]&amp;"!$A$2")</f>
        <v>63A DB-PUMP</v>
      </c>
      <c r="D9" s="92" t="s">
        <v>7535</v>
      </c>
      <c r="E9" s="92" t="str" cm="1">
        <f t="array" aca="1" ref="E9" ca="1">INDIRECT(Summary[[#This Row],[NO]]&amp;"!$B$2")</f>
        <v/>
      </c>
      <c r="F9" s="92">
        <v>1</v>
      </c>
      <c r="G9" s="92" t="s">
        <v>15</v>
      </c>
      <c r="H9" s="228" cm="1">
        <f t="array" aca="1" ref="H9" ca="1">INDIRECT(Summary[[#This Row],[NO]]&amp;"!$O$7")</f>
        <v>7324.5284014500003</v>
      </c>
      <c r="I9" s="229">
        <f t="shared" ca="1" si="8"/>
        <v>7324.5284014500003</v>
      </c>
      <c r="J9" s="228">
        <f t="shared" ca="1" si="9"/>
        <v>7324.5284014500003</v>
      </c>
      <c r="K9" s="229">
        <f t="shared" ca="1" si="10"/>
        <v>7324.5284014500003</v>
      </c>
      <c r="L9" s="229">
        <f t="shared" ca="1" si="11"/>
        <v>1665</v>
      </c>
      <c r="M9" s="229">
        <f t="shared" ca="1" si="12"/>
        <v>1665</v>
      </c>
      <c r="N9" s="229" t="s">
        <v>7442</v>
      </c>
      <c r="O9" s="229">
        <f t="shared" ca="1" si="13"/>
        <v>7325</v>
      </c>
      <c r="P9" s="231">
        <f t="shared" ca="1" si="14"/>
        <v>7330</v>
      </c>
      <c r="Q9" s="231">
        <f ca="1">Summary[[#This Row],[Quatity]]*Summary[[#This Row],[FULL TK]]</f>
        <v>7330</v>
      </c>
      <c r="R9" s="231">
        <f t="shared" ca="1" si="15"/>
        <v>7700</v>
      </c>
      <c r="S9" s="231">
        <f ca="1">Summary[[#This Row],[Quatity]]*Summary[[#This Row],[FULL TKM]]</f>
        <v>7700</v>
      </c>
      <c r="T9" s="230">
        <f>IF(N9="SET",ROUNDUP(O9/2,-1),"0")*Summary[[#This Row],[Quatity]]</f>
        <v>0</v>
      </c>
      <c r="U9" s="230">
        <f t="shared" ca="1" si="16"/>
        <v>3670</v>
      </c>
      <c r="V9" s="230">
        <f ca="1">Summary[[#This Row],[TK]]*Summary[[#This Row],[Quatity]]</f>
        <v>3670</v>
      </c>
      <c r="W9" s="230">
        <f t="shared" ca="1" si="17"/>
        <v>367</v>
      </c>
      <c r="X9" s="231">
        <f t="shared" ca="1" si="18"/>
        <v>3670</v>
      </c>
      <c r="Y9" s="231">
        <f ca="1">Summary[[#This Row],[TKM]]*Summary[[#This Row],[Quatity]]</f>
        <v>3670</v>
      </c>
      <c r="AA9" s="266"/>
      <c r="AC9" s="266"/>
    </row>
    <row r="10" spans="1:29" s="49" customFormat="1" ht="28.5">
      <c r="A10" s="92">
        <v>4</v>
      </c>
      <c r="B10" s="92" t="s">
        <v>7535</v>
      </c>
      <c r="C10" s="92" t="str" cm="1">
        <f t="array" aca="1" ref="C10" ca="1">INDIRECT(Summary[[#This Row],[NO]]&amp;"!$A$2")</f>
        <v>40A DB-LT</v>
      </c>
      <c r="D10" s="92" t="s">
        <v>7535</v>
      </c>
      <c r="E10" s="92" t="str" cm="1">
        <f t="array" aca="1" ref="E10" ca="1">INDIRECT(Summary[[#This Row],[NO]]&amp;"!$B$2")</f>
        <v/>
      </c>
      <c r="F10" s="92">
        <v>1</v>
      </c>
      <c r="G10" s="92" t="s">
        <v>15</v>
      </c>
      <c r="H10" s="228" cm="1">
        <f t="array" aca="1" ref="H10" ca="1">INDIRECT(Summary[[#This Row],[NO]]&amp;"!$O$7")</f>
        <v>899.29346728000007</v>
      </c>
      <c r="I10" s="229">
        <f t="shared" ca="1" si="8"/>
        <v>899.29346728000007</v>
      </c>
      <c r="J10" s="228">
        <f t="shared" ca="1" si="9"/>
        <v>899.29346728000007</v>
      </c>
      <c r="K10" s="229">
        <f t="shared" ca="1" si="10"/>
        <v>899.29346728000007</v>
      </c>
      <c r="L10" s="229">
        <f t="shared" ca="1" si="11"/>
        <v>205</v>
      </c>
      <c r="M10" s="229">
        <f t="shared" ca="1" si="12"/>
        <v>205</v>
      </c>
      <c r="N10" s="229" t="s">
        <v>7442</v>
      </c>
      <c r="O10" s="229">
        <f t="shared" ca="1" si="13"/>
        <v>900</v>
      </c>
      <c r="P10" s="231">
        <f t="shared" ca="1" si="14"/>
        <v>900</v>
      </c>
      <c r="Q10" s="231">
        <f ca="1">Summary[[#This Row],[Quatity]]*Summary[[#This Row],[FULL TK]]</f>
        <v>900</v>
      </c>
      <c r="R10" s="231">
        <f t="shared" ca="1" si="15"/>
        <v>950</v>
      </c>
      <c r="S10" s="231">
        <f ca="1">Summary[[#This Row],[Quatity]]*Summary[[#This Row],[FULL TKM]]</f>
        <v>950</v>
      </c>
      <c r="T10" s="230">
        <f>IF(N10="SET",ROUNDUP(O10/2,-1),"0")*Summary[[#This Row],[Quatity]]</f>
        <v>0</v>
      </c>
      <c r="U10" s="230">
        <f t="shared" ca="1" si="16"/>
        <v>450</v>
      </c>
      <c r="V10" s="230">
        <f ca="1">Summary[[#This Row],[TK]]*Summary[[#This Row],[Quatity]]</f>
        <v>450</v>
      </c>
      <c r="W10" s="230">
        <f t="shared" ca="1" si="17"/>
        <v>45</v>
      </c>
      <c r="X10" s="231">
        <f t="shared" ca="1" si="18"/>
        <v>450</v>
      </c>
      <c r="Y10" s="231">
        <f ca="1">Summary[[#This Row],[TKM]]*Summary[[#This Row],[Quatity]]</f>
        <v>450</v>
      </c>
      <c r="AA10" s="266"/>
      <c r="AC10" s="266"/>
    </row>
    <row r="11" spans="1:29" s="49" customFormat="1" ht="28.5">
      <c r="A11" s="92">
        <v>5</v>
      </c>
      <c r="B11" s="92" t="s">
        <v>7535</v>
      </c>
      <c r="C11" s="92" t="str" cm="1">
        <f t="array" aca="1" ref="C11" ca="1">INDIRECT(Summary[[#This Row],[NO]]&amp;"!$A$2")</f>
        <v>40A DB-PW</v>
      </c>
      <c r="D11" s="92" t="s">
        <v>7535</v>
      </c>
      <c r="E11" s="92" t="str" cm="1">
        <f t="array" aca="1" ref="E11" ca="1">INDIRECT(Summary[[#This Row],[NO]]&amp;"!$B$2")</f>
        <v/>
      </c>
      <c r="F11" s="92">
        <v>1</v>
      </c>
      <c r="G11" s="92" t="s">
        <v>15</v>
      </c>
      <c r="H11" s="228" cm="1">
        <f t="array" aca="1" ref="H11" ca="1">INDIRECT(Summary[[#This Row],[NO]]&amp;"!$O$7")</f>
        <v>1886.10414668</v>
      </c>
      <c r="I11" s="229">
        <f t="shared" ref="I11:I12" ca="1" si="19">F11*H11</f>
        <v>1886.10414668</v>
      </c>
      <c r="J11" s="228">
        <f t="shared" ref="J11:J12" ca="1" si="20">H11/(1-$J$2/100)</f>
        <v>1886.10414668</v>
      </c>
      <c r="K11" s="229">
        <f t="shared" ref="K11:K12" ca="1" si="21">F11*J11</f>
        <v>1886.10414668</v>
      </c>
      <c r="L11" s="229">
        <f t="shared" ref="L11:L12" ca="1" si="22">ROUNDUP(J11/$K$2,0)</f>
        <v>429</v>
      </c>
      <c r="M11" s="229">
        <f t="shared" ref="M11:M12" ca="1" si="23">L11*F11</f>
        <v>429</v>
      </c>
      <c r="N11" s="229" t="s">
        <v>7442</v>
      </c>
      <c r="O11" s="229">
        <f t="shared" ref="O11:O12" ca="1" si="24">ROUNDUP(J11,$K$5)</f>
        <v>1887</v>
      </c>
      <c r="P11" s="231">
        <f t="shared" ref="P11:P12" ca="1" si="25">ROUNDUP(O11,-1)</f>
        <v>1890</v>
      </c>
      <c r="Q11" s="231">
        <f ca="1">Summary[[#This Row],[Quatity]]*Summary[[#This Row],[FULL TK]]</f>
        <v>1890</v>
      </c>
      <c r="R11" s="231">
        <f t="shared" ref="R11:R12" ca="1" si="26">ROUNDUP(O11*1.05,-1)</f>
        <v>1990</v>
      </c>
      <c r="S11" s="231">
        <f ca="1">Summary[[#This Row],[Quatity]]*Summary[[#This Row],[FULL TKM]]</f>
        <v>1990</v>
      </c>
      <c r="T11" s="230">
        <f>IF(N11="SET",ROUNDUP(O11/2,-1),"0")*Summary[[#This Row],[Quatity]]</f>
        <v>0</v>
      </c>
      <c r="U11" s="230">
        <f t="shared" ref="U11:U12" ca="1" si="27">IF(N11="NO SET",ROUNDUP(O11/2,-1),"0")</f>
        <v>950</v>
      </c>
      <c r="V11" s="230">
        <f ca="1">Summary[[#This Row],[TK]]*Summary[[#This Row],[Quatity]]</f>
        <v>950</v>
      </c>
      <c r="W11" s="230">
        <f t="shared" ref="W11:W12" ca="1" si="28">V11*0.1</f>
        <v>95</v>
      </c>
      <c r="X11" s="231">
        <f t="shared" ref="X11:X12" ca="1" si="29">ROUNDUP(O11/2,-1)</f>
        <v>950</v>
      </c>
      <c r="Y11" s="231">
        <f ca="1">Summary[[#This Row],[TKM]]*Summary[[#This Row],[Quatity]]</f>
        <v>950</v>
      </c>
      <c r="AA11" s="266"/>
      <c r="AC11" s="266"/>
    </row>
    <row r="12" spans="1:29" s="49" customFormat="1" ht="28.5">
      <c r="A12" s="92">
        <v>6</v>
      </c>
      <c r="B12" s="92" t="s">
        <v>7535</v>
      </c>
      <c r="C12" s="92" t="str" cm="1">
        <f t="array" aca="1" ref="C12" ca="1">INDIRECT(Summary[[#This Row],[NO]]&amp;"!$A$2")</f>
        <v>40A DB-MSR</v>
      </c>
      <c r="D12" s="92" t="s">
        <v>7535</v>
      </c>
      <c r="E12" s="92" t="str" cm="1">
        <f t="array" aca="1" ref="E12" ca="1">INDIRECT(Summary[[#This Row],[NO]]&amp;"!$B$2")</f>
        <v/>
      </c>
      <c r="F12" s="92">
        <v>1</v>
      </c>
      <c r="G12" s="92" t="s">
        <v>15</v>
      </c>
      <c r="H12" s="228" cm="1">
        <f t="array" aca="1" ref="H12" ca="1">INDIRECT(Summary[[#This Row],[NO]]&amp;"!$O$7")</f>
        <v>2056.4797728799999</v>
      </c>
      <c r="I12" s="229">
        <f t="shared" ca="1" si="19"/>
        <v>2056.4797728799999</v>
      </c>
      <c r="J12" s="228">
        <f t="shared" ca="1" si="20"/>
        <v>2056.4797728799999</v>
      </c>
      <c r="K12" s="229">
        <f t="shared" ca="1" si="21"/>
        <v>2056.4797728799999</v>
      </c>
      <c r="L12" s="229">
        <f t="shared" ca="1" si="22"/>
        <v>468</v>
      </c>
      <c r="M12" s="229">
        <f t="shared" ca="1" si="23"/>
        <v>468</v>
      </c>
      <c r="N12" s="229" t="s">
        <v>7442</v>
      </c>
      <c r="O12" s="229">
        <f t="shared" ca="1" si="24"/>
        <v>2057</v>
      </c>
      <c r="P12" s="231">
        <f t="shared" ca="1" si="25"/>
        <v>2060</v>
      </c>
      <c r="Q12" s="231">
        <f ca="1">Summary[[#This Row],[Quatity]]*Summary[[#This Row],[FULL TK]]</f>
        <v>2060</v>
      </c>
      <c r="R12" s="231">
        <f t="shared" ca="1" si="26"/>
        <v>2160</v>
      </c>
      <c r="S12" s="231">
        <f ca="1">Summary[[#This Row],[Quatity]]*Summary[[#This Row],[FULL TKM]]</f>
        <v>2160</v>
      </c>
      <c r="T12" s="230">
        <f>IF(N12="SET",ROUNDUP(O12/2,-1),"0")*Summary[[#This Row],[Quatity]]</f>
        <v>0</v>
      </c>
      <c r="U12" s="230">
        <f t="shared" ca="1" si="27"/>
        <v>1030</v>
      </c>
      <c r="V12" s="230">
        <f ca="1">Summary[[#This Row],[TK]]*Summary[[#This Row],[Quatity]]</f>
        <v>1030</v>
      </c>
      <c r="W12" s="230">
        <f t="shared" ca="1" si="28"/>
        <v>103</v>
      </c>
      <c r="X12" s="231">
        <f t="shared" ca="1" si="29"/>
        <v>1030</v>
      </c>
      <c r="Y12" s="231">
        <f ca="1">Summary[[#This Row],[TKM]]*Summary[[#This Row],[Quatity]]</f>
        <v>1030</v>
      </c>
      <c r="AA12" s="266"/>
      <c r="AC12" s="266"/>
    </row>
    <row r="13" spans="1:29" ht="18">
      <c r="A13" s="93"/>
      <c r="B13" s="93"/>
      <c r="C13" s="93" t="s">
        <v>16</v>
      </c>
      <c r="D13" s="93" t="e">
        <f>SUM(#REF!)</f>
        <v>#REF!</v>
      </c>
      <c r="E13" s="93"/>
      <c r="F13" s="93"/>
      <c r="G13" s="93"/>
      <c r="H13" s="91" t="s">
        <v>9</v>
      </c>
      <c r="I13" s="91" t="s">
        <v>10</v>
      </c>
      <c r="J13" s="91" t="s">
        <v>6212</v>
      </c>
      <c r="K13" s="91" t="s">
        <v>6213</v>
      </c>
      <c r="L13" s="100"/>
      <c r="M13" s="100"/>
      <c r="N13" s="221"/>
      <c r="O13" s="221"/>
      <c r="P13" s="291"/>
      <c r="Q13" s="291"/>
      <c r="R13" s="291"/>
      <c r="S13" s="291">
        <f>Summary[[#This Row],[Quatity]]*Summary[[#This Row],[FULL TKM]]</f>
        <v>0</v>
      </c>
      <c r="T13" s="291"/>
      <c r="U13" s="90"/>
      <c r="V13" s="217"/>
      <c r="W13" s="90"/>
      <c r="X13" s="222"/>
      <c r="Y13" s="222"/>
      <c r="Z13" s="44" t="s">
        <v>6215</v>
      </c>
    </row>
    <row r="14" spans="1:29" ht="15">
      <c r="A14" s="292"/>
      <c r="B14" s="292"/>
      <c r="C14" s="292"/>
      <c r="D14" s="292"/>
      <c r="E14" s="94"/>
      <c r="F14" s="94">
        <f>SUM(F6:F13)</f>
        <v>6</v>
      </c>
      <c r="G14" s="94"/>
      <c r="H14" s="95" t="s">
        <v>17</v>
      </c>
      <c r="I14" s="95">
        <f ca="1">SUM(I6:I13)</f>
        <v>49166.204933090004</v>
      </c>
      <c r="J14" s="95" t="s">
        <v>18</v>
      </c>
      <c r="K14" s="95">
        <f ca="1">SUM(K6:K13)</f>
        <v>49166.204933090004</v>
      </c>
      <c r="L14" s="94" t="s">
        <v>19</v>
      </c>
      <c r="M14" s="95">
        <f ca="1">SUM(M6:M13)</f>
        <v>11177</v>
      </c>
      <c r="N14" s="94"/>
      <c r="P14" s="94" t="s">
        <v>17</v>
      </c>
      <c r="Q14" s="101">
        <f ca="1">SUM(Q6:Q13)</f>
        <v>49190</v>
      </c>
      <c r="R14" s="94" t="s">
        <v>17</v>
      </c>
      <c r="S14" s="101">
        <f ca="1">SUM(Summary[[#All],[TOTAL TKM]])</f>
        <v>51670</v>
      </c>
      <c r="U14" s="94" t="s">
        <v>17</v>
      </c>
      <c r="V14" s="101" t="e">
        <f ca="1">SUM(V6:V13)+#REF!</f>
        <v>#REF!</v>
      </c>
      <c r="W14" s="101">
        <f ca="1">SUM(W6:W13)</f>
        <v>2461</v>
      </c>
      <c r="X14" s="101"/>
      <c r="Y14" s="95">
        <f ca="1">SUM(Y6:Y13)</f>
        <v>24610</v>
      </c>
      <c r="Z14" s="101" t="e">
        <f ca="1">SUM(U14:Y14)</f>
        <v>#REF!</v>
      </c>
    </row>
    <row r="15" spans="1:29">
      <c r="A15" s="79"/>
      <c r="B15" s="79"/>
      <c r="C15" s="79"/>
      <c r="D15" s="79"/>
      <c r="J15" s="44" t="s">
        <v>11</v>
      </c>
      <c r="K15" s="101">
        <f ca="1">K14-I14</f>
        <v>0</v>
      </c>
      <c r="P15" s="44" t="s">
        <v>6216</v>
      </c>
      <c r="Q15" s="101">
        <f ca="1">Q14*0.1</f>
        <v>4919</v>
      </c>
      <c r="R15" s="101"/>
      <c r="S15" s="101"/>
    </row>
    <row r="16" spans="1:29" ht="18">
      <c r="A16" s="79"/>
      <c r="B16" s="79"/>
      <c r="C16" s="293"/>
      <c r="D16" s="293"/>
      <c r="E16" s="96" t="s">
        <v>20</v>
      </c>
      <c r="H16" s="95" t="s">
        <v>19</v>
      </c>
      <c r="I16" s="95">
        <f ca="1">I14/K2</f>
        <v>11174.137484793182</v>
      </c>
      <c r="J16" s="95" t="s">
        <v>19</v>
      </c>
      <c r="K16" s="95">
        <f ca="1">K14/K2</f>
        <v>11174.137484793182</v>
      </c>
      <c r="V16" s="101"/>
    </row>
    <row r="17" spans="1:22" ht="18">
      <c r="A17" s="79"/>
      <c r="B17" s="79"/>
      <c r="C17" s="293"/>
      <c r="D17" s="293"/>
      <c r="E17" s="386" t="s">
        <v>7841</v>
      </c>
      <c r="I17" s="95"/>
      <c r="J17" s="95"/>
      <c r="K17" s="95"/>
      <c r="V17" s="101"/>
    </row>
    <row r="18" spans="1:22" ht="18">
      <c r="A18" s="79"/>
      <c r="B18" s="79"/>
      <c r="C18" s="293"/>
      <c r="D18" s="293"/>
      <c r="E18" s="386" t="s">
        <v>7843</v>
      </c>
      <c r="I18" s="95"/>
      <c r="J18" s="95"/>
      <c r="K18" s="95"/>
      <c r="V18" s="101"/>
    </row>
    <row r="19" spans="1:22" ht="18">
      <c r="A19" s="79"/>
      <c r="B19" s="79"/>
      <c r="C19" s="293"/>
      <c r="D19" s="293"/>
      <c r="E19" s="386" t="s">
        <v>7842</v>
      </c>
      <c r="I19" s="95"/>
      <c r="J19" s="95"/>
      <c r="K19" s="95"/>
      <c r="V19" s="101"/>
    </row>
    <row r="20" spans="1:22" ht="18">
      <c r="A20" s="79"/>
      <c r="B20" s="79"/>
      <c r="C20" s="293"/>
      <c r="D20" s="293"/>
      <c r="E20" s="386" t="s">
        <v>7844</v>
      </c>
      <c r="I20" s="95"/>
      <c r="J20" s="95"/>
      <c r="K20" s="95"/>
      <c r="V20" s="101"/>
    </row>
    <row r="21" spans="1:22" ht="18">
      <c r="A21" s="79"/>
      <c r="B21" s="79"/>
      <c r="C21" s="293"/>
      <c r="D21" s="293"/>
      <c r="E21" s="386" t="s">
        <v>7845</v>
      </c>
      <c r="I21" s="95"/>
      <c r="J21" s="95"/>
      <c r="K21" s="95"/>
      <c r="V21" s="101"/>
    </row>
    <row r="22" spans="1:22" ht="18">
      <c r="A22" s="79"/>
      <c r="B22" s="79"/>
      <c r="C22" s="293"/>
      <c r="D22" s="293"/>
      <c r="E22" s="386"/>
      <c r="I22" s="95"/>
      <c r="J22" s="95"/>
      <c r="K22" s="95"/>
      <c r="V22" s="101"/>
    </row>
    <row r="23" spans="1:22" ht="18">
      <c r="A23" s="79"/>
      <c r="B23" s="79"/>
      <c r="C23" s="293"/>
      <c r="D23" s="293"/>
      <c r="E23" s="386"/>
      <c r="I23" s="95"/>
      <c r="J23" s="95"/>
      <c r="K23" s="95"/>
      <c r="V23" s="101"/>
    </row>
    <row r="24" spans="1:22" ht="18">
      <c r="A24" s="79"/>
      <c r="B24" s="79"/>
      <c r="C24" s="293"/>
      <c r="D24" s="293"/>
      <c r="E24" s="386"/>
      <c r="I24" s="95"/>
      <c r="J24" s="95"/>
      <c r="K24" s="95"/>
      <c r="V24" s="101"/>
    </row>
    <row r="25" spans="1:22" ht="18">
      <c r="A25" s="79"/>
      <c r="B25" s="79"/>
      <c r="C25" s="293"/>
      <c r="D25" s="352"/>
      <c r="E25" s="96" t="s">
        <v>32</v>
      </c>
    </row>
    <row r="26" spans="1:22" ht="18">
      <c r="A26" s="79"/>
      <c r="B26" s="79"/>
      <c r="C26" s="293"/>
      <c r="D26" s="352"/>
      <c r="E26" s="386" t="s">
        <v>33</v>
      </c>
    </row>
    <row r="27" spans="1:22" ht="18">
      <c r="A27" s="79"/>
      <c r="B27" s="79"/>
      <c r="C27" s="293"/>
      <c r="D27" s="352"/>
      <c r="E27" s="386" t="s">
        <v>7820</v>
      </c>
    </row>
    <row r="28" spans="1:22" ht="18">
      <c r="A28" s="79"/>
      <c r="B28" s="79"/>
      <c r="C28" s="79"/>
      <c r="D28" s="79"/>
      <c r="E28" s="96" t="s">
        <v>24</v>
      </c>
    </row>
    <row r="29" spans="1:22" ht="18">
      <c r="A29" s="79"/>
      <c r="B29" s="79"/>
      <c r="C29" s="293"/>
      <c r="D29" s="293"/>
      <c r="E29" s="386" t="s">
        <v>7441</v>
      </c>
    </row>
    <row r="30" spans="1:22" ht="18">
      <c r="A30" s="79"/>
      <c r="B30" s="79"/>
      <c r="C30" s="79"/>
      <c r="D30" s="79"/>
      <c r="E30" s="96" t="s">
        <v>27</v>
      </c>
    </row>
    <row r="31" spans="1:22" ht="18">
      <c r="A31" s="79"/>
      <c r="B31" s="79"/>
      <c r="C31" s="293"/>
      <c r="D31" s="293"/>
      <c r="E31" s="386" t="s">
        <v>7419</v>
      </c>
    </row>
    <row r="32" spans="1:22" ht="18">
      <c r="A32" s="79"/>
      <c r="B32" s="79"/>
      <c r="C32" s="79"/>
      <c r="D32" s="79"/>
      <c r="E32" s="96" t="s">
        <v>27</v>
      </c>
    </row>
    <row r="33" spans="1:7">
      <c r="A33" s="79"/>
      <c r="B33" s="79"/>
      <c r="C33" s="79"/>
      <c r="D33" s="79"/>
      <c r="E33" s="386" t="s">
        <v>7846</v>
      </c>
    </row>
    <row r="34" spans="1:7" ht="18">
      <c r="A34" s="79"/>
      <c r="B34" s="79"/>
      <c r="C34" s="293"/>
      <c r="D34" s="293"/>
      <c r="E34" s="96" t="s">
        <v>25</v>
      </c>
    </row>
    <row r="35" spans="1:7">
      <c r="A35" s="79"/>
      <c r="B35" s="79"/>
      <c r="C35" s="79"/>
      <c r="D35" s="79"/>
      <c r="E35" s="386" t="s">
        <v>26</v>
      </c>
    </row>
    <row r="36" spans="1:7" ht="18">
      <c r="A36" s="79"/>
      <c r="B36" s="79"/>
      <c r="C36" s="79"/>
      <c r="D36" s="79"/>
      <c r="E36" s="96" t="s">
        <v>35</v>
      </c>
    </row>
    <row r="37" spans="1:7" ht="18">
      <c r="A37" s="79"/>
      <c r="B37" s="79"/>
      <c r="C37" s="293"/>
      <c r="D37" s="293"/>
      <c r="E37" s="386" t="s">
        <v>36</v>
      </c>
    </row>
    <row r="38" spans="1:7">
      <c r="A38" s="79"/>
      <c r="B38" s="79"/>
      <c r="C38" s="79"/>
      <c r="D38" s="79"/>
      <c r="E38" s="386" t="s">
        <v>37</v>
      </c>
    </row>
    <row r="39" spans="1:7" ht="18">
      <c r="A39" s="79"/>
      <c r="B39" s="79"/>
      <c r="C39" s="79"/>
      <c r="D39" s="79"/>
      <c r="E39" s="96" t="s">
        <v>29</v>
      </c>
    </row>
    <row r="40" spans="1:7">
      <c r="A40" s="79"/>
      <c r="B40" s="79"/>
      <c r="C40" s="79"/>
      <c r="D40" s="79"/>
      <c r="E40" s="386" t="s">
        <v>30</v>
      </c>
    </row>
    <row r="41" spans="1:7">
      <c r="A41" s="79"/>
      <c r="B41" s="79"/>
      <c r="C41" s="79"/>
      <c r="D41" s="79"/>
      <c r="E41" s="386" t="s">
        <v>31</v>
      </c>
    </row>
    <row r="42" spans="1:7">
      <c r="A42" s="79"/>
      <c r="B42" s="79"/>
      <c r="C42" s="79"/>
      <c r="D42" s="79"/>
      <c r="E42" s="386"/>
    </row>
    <row r="43" spans="1:7">
      <c r="A43" s="79"/>
      <c r="B43" s="79"/>
      <c r="C43" s="79"/>
      <c r="D43" s="79"/>
      <c r="E43" s="386" t="s">
        <v>7551</v>
      </c>
    </row>
    <row r="44" spans="1:7" ht="18">
      <c r="A44" s="79"/>
      <c r="B44" s="79"/>
      <c r="C44" s="79"/>
      <c r="D44" s="79"/>
      <c r="F44" s="289" t="s">
        <v>24</v>
      </c>
      <c r="G44" s="289"/>
    </row>
    <row r="45" spans="1:7">
      <c r="A45" s="79"/>
      <c r="B45" s="79"/>
      <c r="C45" s="79"/>
      <c r="D45" s="79"/>
    </row>
    <row r="46" spans="1:7">
      <c r="A46" s="79"/>
      <c r="B46" s="79"/>
      <c r="C46" s="79"/>
      <c r="D46" s="79"/>
    </row>
    <row r="47" spans="1:7">
      <c r="A47" s="79"/>
      <c r="B47" s="79"/>
      <c r="C47" s="79"/>
      <c r="D47" s="79"/>
    </row>
    <row r="48" spans="1:7">
      <c r="A48" s="79"/>
      <c r="B48" s="79"/>
      <c r="C48" s="79"/>
      <c r="D48" s="79"/>
    </row>
    <row r="49" spans="1:4">
      <c r="A49" s="79"/>
      <c r="B49" s="79"/>
      <c r="C49" s="79"/>
      <c r="D49" s="79"/>
    </row>
    <row r="50" spans="1:4">
      <c r="A50" s="79"/>
      <c r="B50" s="79"/>
      <c r="C50" s="79"/>
      <c r="D50" s="79"/>
    </row>
    <row r="51" spans="1:4">
      <c r="A51" s="79"/>
      <c r="B51" s="79"/>
      <c r="C51" s="79"/>
      <c r="D51" s="79"/>
    </row>
    <row r="52" spans="1:4">
      <c r="A52" s="79"/>
      <c r="B52" s="79"/>
      <c r="C52" s="79"/>
      <c r="D52" s="79"/>
    </row>
    <row r="53" spans="1:4">
      <c r="A53" s="79"/>
      <c r="B53" s="79"/>
      <c r="C53" s="79"/>
      <c r="D53" s="79"/>
    </row>
    <row r="54" spans="1:4">
      <c r="A54" s="79"/>
      <c r="B54" s="79"/>
      <c r="C54" s="79"/>
      <c r="D54" s="79"/>
    </row>
    <row r="55" spans="1:4">
      <c r="A55" s="79"/>
      <c r="B55" s="79"/>
      <c r="C55" s="79"/>
      <c r="D55" s="79"/>
    </row>
    <row r="56" spans="1:4">
      <c r="A56" s="79"/>
      <c r="B56" s="79"/>
      <c r="C56" s="79"/>
      <c r="D56" s="79"/>
    </row>
    <row r="57" spans="1:4">
      <c r="A57" s="79"/>
      <c r="B57" s="79"/>
      <c r="C57" s="79"/>
      <c r="D57" s="79"/>
    </row>
    <row r="58" spans="1:4">
      <c r="A58" s="79"/>
      <c r="B58" s="79"/>
      <c r="C58" s="79"/>
      <c r="D58" s="79"/>
    </row>
    <row r="59" spans="1:4">
      <c r="A59" s="79"/>
      <c r="B59" s="79"/>
      <c r="C59" s="79"/>
      <c r="D59" s="79"/>
    </row>
    <row r="60" spans="1:4">
      <c r="A60" s="79"/>
      <c r="B60" s="79"/>
      <c r="C60" s="79"/>
      <c r="D60" s="79"/>
    </row>
    <row r="61" spans="1:4">
      <c r="A61" s="79"/>
      <c r="B61" s="79"/>
      <c r="C61" s="79"/>
      <c r="D61" s="79"/>
    </row>
    <row r="62" spans="1:4">
      <c r="A62" s="79"/>
      <c r="B62" s="79"/>
      <c r="C62" s="79"/>
      <c r="D62" s="79"/>
    </row>
    <row r="63" spans="1:4">
      <c r="A63" s="79"/>
      <c r="B63" s="79"/>
      <c r="C63" s="79"/>
      <c r="D63" s="79"/>
    </row>
    <row r="64" spans="1:4">
      <c r="A64" s="79"/>
      <c r="B64" s="79"/>
      <c r="C64" s="79"/>
      <c r="D64" s="79"/>
    </row>
    <row r="65" spans="1:4">
      <c r="A65" s="79"/>
      <c r="B65" s="79"/>
      <c r="C65" s="79"/>
      <c r="D65" s="79"/>
    </row>
    <row r="66" spans="1:4">
      <c r="A66" s="79"/>
      <c r="B66" s="79"/>
      <c r="C66" s="79"/>
      <c r="D66" s="79"/>
    </row>
    <row r="67" spans="1:4">
      <c r="A67" s="79"/>
      <c r="B67" s="79"/>
      <c r="C67" s="79"/>
      <c r="D67" s="79"/>
    </row>
    <row r="68" spans="1:4">
      <c r="A68" s="79"/>
      <c r="B68" s="79"/>
      <c r="C68" s="79"/>
      <c r="D68" s="79"/>
    </row>
    <row r="69" spans="1:4">
      <c r="A69" s="79"/>
      <c r="B69" s="79"/>
      <c r="C69" s="79"/>
      <c r="D69" s="79"/>
    </row>
    <row r="70" spans="1:4">
      <c r="A70" s="79"/>
      <c r="B70" s="79"/>
      <c r="C70" s="79"/>
      <c r="D70" s="79"/>
    </row>
    <row r="71" spans="1:4">
      <c r="A71" s="79"/>
      <c r="B71" s="79"/>
      <c r="C71" s="79"/>
      <c r="D71" s="79"/>
    </row>
    <row r="72" spans="1:4">
      <c r="A72" s="79"/>
      <c r="B72" s="79"/>
      <c r="C72" s="79"/>
      <c r="D72" s="79"/>
    </row>
    <row r="73" spans="1:4">
      <c r="A73" s="79"/>
      <c r="B73" s="79"/>
      <c r="C73" s="79"/>
      <c r="D73" s="79"/>
    </row>
    <row r="74" spans="1:4">
      <c r="A74" s="79"/>
      <c r="B74" s="79"/>
      <c r="C74" s="79"/>
      <c r="D74" s="79"/>
    </row>
    <row r="75" spans="1:4">
      <c r="A75" s="79"/>
      <c r="B75" s="79"/>
      <c r="C75" s="79"/>
      <c r="D75" s="79"/>
    </row>
    <row r="76" spans="1:4">
      <c r="A76" s="79"/>
      <c r="B76" s="79"/>
      <c r="C76" s="79"/>
      <c r="D76" s="79"/>
    </row>
    <row r="77" spans="1:4">
      <c r="A77" s="79"/>
      <c r="B77" s="79"/>
      <c r="C77" s="79"/>
      <c r="D77" s="79"/>
    </row>
    <row r="78" spans="1:4">
      <c r="A78" s="79"/>
      <c r="B78" s="79"/>
      <c r="C78" s="79"/>
      <c r="D78" s="79"/>
    </row>
    <row r="79" spans="1:4">
      <c r="A79" s="79"/>
      <c r="B79" s="79"/>
      <c r="C79" s="79"/>
      <c r="D79" s="79"/>
    </row>
    <row r="80" spans="1:4">
      <c r="A80" s="79"/>
      <c r="B80" s="79"/>
      <c r="C80" s="79"/>
      <c r="D80" s="79"/>
    </row>
    <row r="81" spans="1:4">
      <c r="A81" s="79"/>
      <c r="B81" s="79"/>
      <c r="C81" s="79"/>
      <c r="D81" s="79"/>
    </row>
    <row r="82" spans="1:4">
      <c r="A82" s="79"/>
      <c r="B82" s="79"/>
      <c r="C82" s="79"/>
      <c r="D82" s="79"/>
    </row>
    <row r="83" spans="1:4">
      <c r="A83" s="79"/>
      <c r="B83" s="79"/>
      <c r="C83" s="79"/>
      <c r="D83" s="79"/>
    </row>
    <row r="84" spans="1:4">
      <c r="A84" s="79"/>
      <c r="B84" s="79"/>
      <c r="C84" s="79"/>
      <c r="D84" s="79"/>
    </row>
    <row r="85" spans="1:4">
      <c r="A85" s="79"/>
      <c r="B85" s="79"/>
      <c r="C85" s="79"/>
      <c r="D85" s="79"/>
    </row>
    <row r="255" spans="29:29">
      <c r="AC255" s="101"/>
    </row>
  </sheetData>
  <phoneticPr fontId="94" type="noConversion"/>
  <conditionalFormatting sqref="C14:C1048576 C1:C12">
    <cfRule type="duplicateValues" dxfId="44" priority="11"/>
  </conditionalFormatting>
  <dataValidations disablePrompts="1" count="1">
    <dataValidation type="list" allowBlank="1" showInputMessage="1" showErrorMessage="1" sqref="N7:N12" xr:uid="{BBE374BF-C40E-4CD2-9DCE-D553DFED79AE}">
      <formula1>$N$2:$N$3</formula1>
    </dataValidation>
  </dataValidations>
  <pageMargins left="0.7" right="0.7" top="0.75" bottom="0.75" header="0.3" footer="0.3"/>
  <pageSetup paperSize="9" scale="22" fitToHeight="0"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AA25-723A-45D2-A863-9A49E50DC934}">
  <sheetPr codeName="Sheet219"/>
  <dimension ref="A1:R1001"/>
  <sheetViews>
    <sheetView zoomScale="85" zoomScaleNormal="85" workbookViewId="0">
      <selection activeCell="D82" sqref="D82"/>
    </sheetView>
  </sheetViews>
  <sheetFormatPr defaultColWidth="21.28515625" defaultRowHeight="15"/>
  <cols>
    <col min="1" max="1" width="18.85546875" style="131" bestFit="1" customWidth="1"/>
    <col min="2" max="2" width="73.42578125" style="131" bestFit="1" customWidth="1"/>
    <col min="3" max="3" width="11.85546875" style="131" customWidth="1"/>
    <col min="4" max="4" width="33.7109375" style="40" customWidth="1"/>
    <col min="5" max="5" width="10.7109375" style="41" bestFit="1" customWidth="1"/>
    <col min="6" max="6" width="19.85546875" style="42" bestFit="1" customWidth="1"/>
    <col min="7" max="7" width="44.140625" style="192" bestFit="1" customWidth="1"/>
    <col min="8" max="8" width="11.85546875" style="197" bestFit="1" customWidth="1"/>
    <col min="9" max="9" width="8.7109375" style="194" bestFit="1" customWidth="1"/>
    <col min="10" max="10" width="12.7109375" style="194" bestFit="1" customWidth="1"/>
    <col min="11" max="11" width="14.28515625" style="194" bestFit="1" customWidth="1"/>
    <col min="12" max="12" width="10.28515625" style="194" bestFit="1" customWidth="1"/>
    <col min="13" max="13" width="12.85546875" style="194" bestFit="1" customWidth="1"/>
    <col min="14" max="14" width="11" style="194" bestFit="1" customWidth="1"/>
    <col min="15" max="15" width="15.140625" style="194" bestFit="1" customWidth="1"/>
    <col min="16" max="16" width="10.28515625" style="194" bestFit="1" customWidth="1"/>
    <col min="17" max="17" width="21.28515625" style="41"/>
    <col min="18" max="18" width="21.28515625" style="43"/>
    <col min="19" max="16384" width="21.28515625" style="41"/>
  </cols>
  <sheetData>
    <row r="1" spans="1:18" ht="46.5">
      <c r="A1" s="218" t="s">
        <v>5780</v>
      </c>
      <c r="B1" s="218" t="s">
        <v>29</v>
      </c>
      <c r="C1" s="219"/>
      <c r="F1" s="41"/>
      <c r="G1" s="39"/>
      <c r="H1" s="42"/>
      <c r="I1" s="41"/>
      <c r="J1" s="41"/>
      <c r="K1" s="41"/>
      <c r="L1" s="41"/>
      <c r="M1" s="41"/>
      <c r="N1" s="41"/>
      <c r="O1" s="43"/>
      <c r="P1" s="41"/>
      <c r="R1" s="41"/>
    </row>
    <row r="2" spans="1:18" ht="69.75">
      <c r="A2" s="161" t="s">
        <v>7833</v>
      </c>
      <c r="B2" s="161" t="s">
        <v>7834</v>
      </c>
      <c r="C2" s="184"/>
      <c r="F2" s="41"/>
      <c r="G2" s="39"/>
      <c r="H2" s="42"/>
      <c r="I2" s="41"/>
      <c r="J2" s="41"/>
      <c r="K2" s="41"/>
      <c r="L2" s="41"/>
      <c r="M2" s="41"/>
      <c r="N2" s="41"/>
      <c r="O2" s="43"/>
      <c r="P2" s="41"/>
      <c r="R2" s="41"/>
    </row>
    <row r="3" spans="1:18">
      <c r="A3" s="40"/>
      <c r="B3" s="40"/>
      <c r="C3" s="40"/>
      <c r="D3" s="41"/>
      <c r="F3" s="41"/>
      <c r="G3" s="39"/>
      <c r="H3" s="42"/>
      <c r="I3" s="41"/>
      <c r="J3" s="41"/>
      <c r="K3" s="41"/>
      <c r="L3" s="41"/>
      <c r="M3" s="41"/>
      <c r="N3" s="41"/>
      <c r="O3" s="43"/>
      <c r="P3" s="41"/>
      <c r="R3" s="41"/>
    </row>
    <row r="4" spans="1:18">
      <c r="A4" s="40"/>
      <c r="B4" s="40"/>
      <c r="C4" s="40"/>
      <c r="D4" s="41"/>
      <c r="F4" s="41"/>
      <c r="G4" s="39"/>
      <c r="H4" s="42"/>
      <c r="I4" s="41"/>
      <c r="J4" s="41"/>
      <c r="K4" s="41"/>
      <c r="L4" s="41"/>
      <c r="M4" s="41"/>
      <c r="N4" s="41"/>
      <c r="O4" s="43"/>
      <c r="P4" s="41"/>
      <c r="R4" s="41"/>
    </row>
    <row r="5" spans="1:18">
      <c r="A5" s="40"/>
      <c r="B5" s="40"/>
      <c r="C5" s="40"/>
      <c r="D5" s="41"/>
      <c r="F5" s="41"/>
      <c r="G5" s="39"/>
      <c r="H5" s="42"/>
      <c r="I5" s="41"/>
      <c r="J5" s="41"/>
      <c r="K5" s="41"/>
      <c r="L5" s="41"/>
      <c r="M5" s="41"/>
      <c r="N5" s="41"/>
      <c r="O5" s="43"/>
      <c r="P5" s="41"/>
      <c r="R5" s="41"/>
    </row>
    <row r="6" spans="1:18" ht="15.75">
      <c r="A6" s="40"/>
      <c r="B6" s="40"/>
      <c r="C6" s="40"/>
      <c r="D6" s="41"/>
      <c r="F6" s="41"/>
      <c r="G6" s="39"/>
      <c r="H6" s="42"/>
      <c r="I6" s="41"/>
      <c r="J6" s="41"/>
      <c r="K6" s="41"/>
      <c r="L6" s="41"/>
      <c r="M6" s="206" t="s">
        <v>279</v>
      </c>
      <c r="N6" s="207"/>
      <c r="O6" s="208" t="s">
        <v>280</v>
      </c>
      <c r="P6" s="206" t="s">
        <v>281</v>
      </c>
      <c r="R6" s="41"/>
    </row>
    <row r="7" spans="1:18">
      <c r="F7" s="40"/>
      <c r="G7" s="39"/>
      <c r="H7" s="42"/>
      <c r="I7" s="41"/>
      <c r="J7" s="41"/>
      <c r="K7" s="41">
        <v>1</v>
      </c>
      <c r="L7" s="41"/>
      <c r="M7" s="209">
        <f>SUM(_1_5412845612146241046457891017[TOTAL])</f>
        <v>24429.703075999998</v>
      </c>
      <c r="N7" s="41">
        <v>1.35</v>
      </c>
      <c r="O7" s="210">
        <f>SUM(_1_5412845612146241046457891017[QUOTE])</f>
        <v>32980.099152600007</v>
      </c>
      <c r="P7" s="209">
        <f>O7-M7</f>
        <v>8550.3960766000091</v>
      </c>
      <c r="R7" s="41"/>
    </row>
    <row r="8" spans="1:18">
      <c r="A8" s="220" t="s">
        <v>6194</v>
      </c>
      <c r="B8" s="220" t="s">
        <v>6195</v>
      </c>
      <c r="C8" s="220" t="s">
        <v>6196</v>
      </c>
      <c r="D8" s="40" t="s">
        <v>283</v>
      </c>
      <c r="E8" s="191" t="s">
        <v>284</v>
      </c>
      <c r="F8" s="40" t="s">
        <v>6206</v>
      </c>
      <c r="G8" s="193" t="s">
        <v>278</v>
      </c>
      <c r="H8" s="199" t="s">
        <v>282</v>
      </c>
      <c r="I8" s="200" t="s">
        <v>285</v>
      </c>
      <c r="J8" s="200" t="s">
        <v>286</v>
      </c>
      <c r="K8" s="200" t="s">
        <v>287</v>
      </c>
      <c r="L8" s="201" t="s">
        <v>288</v>
      </c>
      <c r="M8" s="202" t="s">
        <v>289</v>
      </c>
      <c r="N8" s="200" t="s">
        <v>290</v>
      </c>
      <c r="O8" s="203" t="s">
        <v>291</v>
      </c>
      <c r="R8" s="41"/>
    </row>
    <row r="9" spans="1:18">
      <c r="A9" s="357"/>
      <c r="B9" s="354"/>
      <c r="C9" s="168"/>
      <c r="D9" s="311"/>
      <c r="F9" s="168" t="s">
        <v>6202</v>
      </c>
      <c r="G9" s="193">
        <f>IF(_1_5412845612146241046457891017[[#This Row],[Type]]&gt;0,VLOOKUP(_1_5412845612146241046457891017[[#This Row],[Type]],Main[[#All],[TYPE]:[UNIT]],'Unit Price'!C$1,FALSE),0)</f>
        <v>0</v>
      </c>
      <c r="H9" s="197">
        <f>IF(_1_5412845612146241046457891017[[#This Row],[Type]]&gt;0,VLOOKUP(_1_5412845612146241046457891017[[#This Row],[Type]],Main[[#All],[TYPE]:[UNIT]],'Unit Price'!D$1,FALSE),0)</f>
        <v>0</v>
      </c>
      <c r="I9" s="194">
        <f>IF(_1_5412845612146241046457891017[[#This Row],[Type]]&gt;0,VLOOKUP(_1_5412845612146241046457891017[[#This Row],[Type]],Main[[#All],[TYPE]:[UNIT]],'Unit Price'!G$1,FALSE),0)</f>
        <v>0</v>
      </c>
      <c r="J9" s="194">
        <f>IF(_1_5412845612146241046457891017[[#This Row],[Type]]&gt;0,VLOOKUP(_1_5412845612146241046457891017[[#This Row],[Type]],Main[[#All],[TYPE]:[UNIT]],'Unit Price'!H$1,FALSE),0)</f>
        <v>0</v>
      </c>
      <c r="K9" s="194">
        <f>IF(_1_5412845612146241046457891017[[#This Row],[Discount selection]]&gt;0,VLOOKUP(_1_5412845612146241046457891017[[#This Row],[Discount selection]],'Discount Structure'!$A$2:$B$30,2,"false"),0)</f>
        <v>1</v>
      </c>
      <c r="L9" s="194">
        <f>_1_5412845612146241046457891017[[#This Row],[LIST $]]*_1_5412845612146241046457891017[[#This Row],[DISCOUNT]]*_1_5412845612146241046457891017[[#This Row],[DISCOUNT 2]]</f>
        <v>0</v>
      </c>
      <c r="M9" s="194">
        <f>IF(OR(_1_5412845612146241046457891017[[#This Row],[UNIT]]&gt;0,_1_5412845612146241046457891017[[#This Row],[UNIT]]&lt;0),_1_5412845612146241046457891017[[#This Row],[UNIT]]*_1_5412845612146241046457891017[[#This Row],[COST]],0)</f>
        <v>0</v>
      </c>
      <c r="N9" s="194">
        <f t="shared" ref="N9:N73" si="0">$N$7</f>
        <v>1.35</v>
      </c>
      <c r="O9" s="198">
        <f>_1_5412845612146241046457891017[[#This Row],[TOTAL]]*_1_5412845612146241046457891017[[#This Row],[MARGIN]]</f>
        <v>0</v>
      </c>
      <c r="P9" s="198"/>
      <c r="R9" s="41"/>
    </row>
    <row r="10" spans="1:18">
      <c r="B10" s="168"/>
      <c r="C10" s="312"/>
      <c r="D10" s="311" t="s">
        <v>301</v>
      </c>
      <c r="E10" s="41">
        <v>6</v>
      </c>
      <c r="F10" s="168" t="s">
        <v>6202</v>
      </c>
      <c r="G10" s="193" t="str">
        <f>IF(_1_5412845612146241046457891017[[#This Row],[Type]]&gt;0,VLOOKUP(_1_5412845612146241046457891017[[#This Row],[Type]],Main[[#All],[TYPE]:[UNIT]],'Unit Price'!C$1,FALSE),0)</f>
        <v>HRC FUSE</v>
      </c>
      <c r="H10" s="197" t="str">
        <f>IF(_1_5412845612146241046457891017[[#This Row],[Type]]&gt;0,VLOOKUP(_1_5412845612146241046457891017[[#This Row],[Type]],Main[[#All],[TYPE]:[UNIT]],'Unit Price'!D$1,FALSE),0)</f>
        <v>HAMA</v>
      </c>
      <c r="I10" s="194">
        <f>IF(_1_5412845612146241046457891017[[#This Row],[Type]]&gt;0,VLOOKUP(_1_5412845612146241046457891017[[#This Row],[Type]],Main[[#All],[TYPE]:[UNIT]],'Unit Price'!G$1,FALSE),0)</f>
        <v>6</v>
      </c>
      <c r="J10" s="194">
        <f>IF(_1_5412845612146241046457891017[[#This Row],[Type]]&gt;0,VLOOKUP(_1_5412845612146241046457891017[[#This Row],[Type]],Main[[#All],[TYPE]:[UNIT]],'Unit Price'!H$1,FALSE),0)</f>
        <v>1</v>
      </c>
      <c r="K10" s="194">
        <f>IF(_1_5412845612146241046457891017[[#This Row],[Discount selection]]&gt;0,VLOOKUP(_1_5412845612146241046457891017[[#This Row],[Discount selection]],'Discount Structure'!$A$2:$B$30,2,"false"),0)</f>
        <v>1</v>
      </c>
      <c r="L10" s="194">
        <f>_1_5412845612146241046457891017[[#This Row],[LIST $]]*_1_5412845612146241046457891017[[#This Row],[DISCOUNT]]*_1_5412845612146241046457891017[[#This Row],[DISCOUNT 2]]</f>
        <v>6</v>
      </c>
      <c r="M10" s="194">
        <f>IF(OR(_1_5412845612146241046457891017[[#This Row],[UNIT]]&gt;0,_1_5412845612146241046457891017[[#This Row],[UNIT]]&lt;0),_1_5412845612146241046457891017[[#This Row],[UNIT]]*_1_5412845612146241046457891017[[#This Row],[COST]],0)</f>
        <v>36</v>
      </c>
      <c r="N10" s="194">
        <f t="shared" si="0"/>
        <v>1.35</v>
      </c>
      <c r="O10" s="198">
        <f>_1_5412845612146241046457891017[[#This Row],[TOTAL]]*_1_5412845612146241046457891017[[#This Row],[MARGIN]]</f>
        <v>48.6</v>
      </c>
      <c r="R10" s="41"/>
    </row>
    <row r="11" spans="1:18">
      <c r="D11" s="188" t="s">
        <v>2162</v>
      </c>
      <c r="E11" s="41">
        <v>6</v>
      </c>
      <c r="F11" s="168" t="s">
        <v>6202</v>
      </c>
      <c r="G11" s="193" t="str">
        <f>IF(_1_5412845612146241046457891017[[#This Row],[Type]]&gt;0,VLOOKUP(_1_5412845612146241046457891017[[#This Row],[Type]],Main[[#All],[TYPE]:[UNIT]],'Unit Price'!C$1,FALSE),0)</f>
        <v>PILOT LAMP,240VAC</v>
      </c>
      <c r="H11" s="197" t="str">
        <f>IF(_1_5412845612146241046457891017[[#This Row],[Type]]&gt;0,VLOOKUP(_1_5412845612146241046457891017[[#This Row],[Type]],Main[[#All],[TYPE]:[UNIT]],'Unit Price'!D$1,FALSE),0)</f>
        <v>FD</v>
      </c>
      <c r="I11" s="194">
        <f>IF(_1_5412845612146241046457891017[[#This Row],[Type]]&gt;0,VLOOKUP(_1_5412845612146241046457891017[[#This Row],[Type]],Main[[#All],[TYPE]:[UNIT]],'Unit Price'!G$1,FALSE),0)</f>
        <v>4</v>
      </c>
      <c r="J11" s="194">
        <f>IF(_1_5412845612146241046457891017[[#This Row],[Type]]&gt;0,VLOOKUP(_1_5412845612146241046457891017[[#This Row],[Type]],Main[[#All],[TYPE]:[UNIT]],'Unit Price'!H$1,FALSE),0)</f>
        <v>1</v>
      </c>
      <c r="K11" s="194">
        <f>IF(_1_5412845612146241046457891017[[#This Row],[Discount selection]]&gt;0,VLOOKUP(_1_5412845612146241046457891017[[#This Row],[Discount selection]],'Discount Structure'!$A$2:$B$30,2,"false"),0)</f>
        <v>1</v>
      </c>
      <c r="L11" s="194">
        <f>_1_5412845612146241046457891017[[#This Row],[LIST $]]*_1_5412845612146241046457891017[[#This Row],[DISCOUNT]]*_1_5412845612146241046457891017[[#This Row],[DISCOUNT 2]]</f>
        <v>4</v>
      </c>
      <c r="M11" s="194">
        <f>IF(OR(_1_5412845612146241046457891017[[#This Row],[UNIT]]&gt;0,_1_5412845612146241046457891017[[#This Row],[UNIT]]&lt;0),_1_5412845612146241046457891017[[#This Row],[UNIT]]*_1_5412845612146241046457891017[[#This Row],[COST]],0)</f>
        <v>24</v>
      </c>
      <c r="N11" s="194">
        <f t="shared" si="0"/>
        <v>1.35</v>
      </c>
      <c r="O11" s="198">
        <f>_1_5412845612146241046457891017[[#This Row],[TOTAL]]*_1_5412845612146241046457891017[[#This Row],[MARGIN]]</f>
        <v>32.400000000000006</v>
      </c>
      <c r="R11" s="41"/>
    </row>
    <row r="12" spans="1:18">
      <c r="D12" s="188" t="s">
        <v>311</v>
      </c>
      <c r="E12" s="313">
        <v>20</v>
      </c>
      <c r="F12" s="168" t="s">
        <v>6202</v>
      </c>
      <c r="G12" s="193" t="str">
        <f>IF(_1_5412845612146241046457891017[[#This Row],[Type]]&gt;0,VLOOKUP(_1_5412845612146241046457891017[[#This Row],[Type]],Main[[#All],[TYPE]:[UNIT]],'Unit Price'!C$1,FALSE),0)</f>
        <v>CONTROL CABLE</v>
      </c>
      <c r="H12" s="197" t="str">
        <f>IF(_1_5412845612146241046457891017[[#This Row],[Type]]&gt;0,VLOOKUP(_1_5412845612146241046457891017[[#This Row],[Type]],Main[[#All],[TYPE]:[UNIT]],'Unit Price'!D$1,FALSE),0)</f>
        <v>UC</v>
      </c>
      <c r="I12" s="194">
        <f>IF(_1_5412845612146241046457891017[[#This Row],[Type]]&gt;0,VLOOKUP(_1_5412845612146241046457891017[[#This Row],[Type]],Main[[#All],[TYPE]:[UNIT]],'Unit Price'!G$1,FALSE),0)</f>
        <v>1</v>
      </c>
      <c r="J12" s="194">
        <f>IF(_1_5412845612146241046457891017[[#This Row],[Type]]&gt;0,VLOOKUP(_1_5412845612146241046457891017[[#This Row],[Type]],Main[[#All],[TYPE]:[UNIT]],'Unit Price'!H$1,FALSE),0)</f>
        <v>1</v>
      </c>
      <c r="K12" s="194">
        <f>IF(_1_5412845612146241046457891017[[#This Row],[Discount selection]]&gt;0,VLOOKUP(_1_5412845612146241046457891017[[#This Row],[Discount selection]],'Discount Structure'!$A$2:$B$30,2,"false"),0)</f>
        <v>1</v>
      </c>
      <c r="L12" s="194">
        <f>_1_5412845612146241046457891017[[#This Row],[LIST $]]*_1_5412845612146241046457891017[[#This Row],[DISCOUNT]]*_1_5412845612146241046457891017[[#This Row],[DISCOUNT 2]]</f>
        <v>1</v>
      </c>
      <c r="M12" s="194">
        <f>IF(OR(_1_5412845612146241046457891017[[#This Row],[UNIT]]&gt;0,_1_5412845612146241046457891017[[#This Row],[UNIT]]&lt;0),_1_5412845612146241046457891017[[#This Row],[UNIT]]*_1_5412845612146241046457891017[[#This Row],[COST]],0)</f>
        <v>20</v>
      </c>
      <c r="N12" s="194">
        <f>$N$7</f>
        <v>1.35</v>
      </c>
      <c r="O12" s="198">
        <f>_1_5412845612146241046457891017[[#This Row],[TOTAL]]*_1_5412845612146241046457891017[[#This Row],[MARGIN]]</f>
        <v>27</v>
      </c>
      <c r="R12" s="41"/>
    </row>
    <row r="13" spans="1:18">
      <c r="D13" s="188"/>
      <c r="F13" s="168" t="s">
        <v>6202</v>
      </c>
      <c r="G13" s="193">
        <f>IF(_1_5412845612146241046457891017[[#This Row],[Type]]&gt;0,VLOOKUP(_1_5412845612146241046457891017[[#This Row],[Type]],Main[[#All],[TYPE]:[UNIT]],'Unit Price'!C$1,FALSE),0)</f>
        <v>0</v>
      </c>
      <c r="H13" s="197">
        <f>IF(_1_5412845612146241046457891017[[#This Row],[Type]]&gt;0,VLOOKUP(_1_5412845612146241046457891017[[#This Row],[Type]],Main[[#All],[TYPE]:[UNIT]],'Unit Price'!D$1,FALSE),0)</f>
        <v>0</v>
      </c>
      <c r="I13" s="194">
        <f>IF(_1_5412845612146241046457891017[[#This Row],[Type]]&gt;0,VLOOKUP(_1_5412845612146241046457891017[[#This Row],[Type]],Main[[#All],[TYPE]:[UNIT]],'Unit Price'!G$1,FALSE),0)</f>
        <v>0</v>
      </c>
      <c r="J13" s="194">
        <f>IF(_1_5412845612146241046457891017[[#This Row],[Type]]&gt;0,VLOOKUP(_1_5412845612146241046457891017[[#This Row],[Type]],Main[[#All],[TYPE]:[UNIT]],'Unit Price'!H$1,FALSE),0)</f>
        <v>0</v>
      </c>
      <c r="K13" s="194">
        <f>IF(_1_5412845612146241046457891017[[#This Row],[Discount selection]]&gt;0,VLOOKUP(_1_5412845612146241046457891017[[#This Row],[Discount selection]],'Discount Structure'!$A$2:$B$30,2,"false"),0)</f>
        <v>1</v>
      </c>
      <c r="L13" s="194">
        <f>_1_5412845612146241046457891017[[#This Row],[LIST $]]*_1_5412845612146241046457891017[[#This Row],[DISCOUNT]]*_1_5412845612146241046457891017[[#This Row],[DISCOUNT 2]]</f>
        <v>0</v>
      </c>
      <c r="M13" s="194">
        <f>IF(OR(_1_5412845612146241046457891017[[#This Row],[UNIT]]&gt;0,_1_5412845612146241046457891017[[#This Row],[UNIT]]&lt;0),_1_5412845612146241046457891017[[#This Row],[UNIT]]*_1_5412845612146241046457891017[[#This Row],[COST]],0)</f>
        <v>0</v>
      </c>
      <c r="N13" s="194">
        <f t="shared" si="0"/>
        <v>1.35</v>
      </c>
      <c r="O13" s="198">
        <f>_1_5412845612146241046457891017[[#This Row],[TOTAL]]*_1_5412845612146241046457891017[[#This Row],[MARGIN]]</f>
        <v>0</v>
      </c>
      <c r="R13" s="41"/>
    </row>
    <row r="14" spans="1:18" ht="45">
      <c r="A14" s="168"/>
      <c r="C14" s="168"/>
      <c r="D14" s="188" t="s">
        <v>739</v>
      </c>
      <c r="E14" s="41">
        <v>1</v>
      </c>
      <c r="F14" s="168" t="s">
        <v>6202</v>
      </c>
      <c r="G14" s="193" t="str">
        <f>IF(_1_5412845612146241046457891017[[#This Row],[Type]]&gt;0,VLOOKUP(_1_5412845612146241046457891017[[#This Row],[Type]],Main[[#All],[TYPE]:[UNIT]],'Unit Price'!C$1,FALSE),0)</f>
        <v>100A 4P Manual Change-Over Switch</v>
      </c>
      <c r="H14" s="197" t="str">
        <f>IF(_1_5412845612146241046457891017[[#This Row],[Type]]&gt;0,VLOOKUP(_1_5412845612146241046457891017[[#This Row],[Type]],Main[[#All],[TYPE]:[UNIT]],'Unit Price'!D$1,FALSE),0)</f>
        <v>ABB</v>
      </c>
      <c r="I14" s="194">
        <f>IF(_1_5412845612146241046457891017[[#This Row],[Type]]&gt;0,VLOOKUP(_1_5412845612146241046457891017[[#This Row],[Type]],Main[[#All],[TYPE]:[UNIT]],'Unit Price'!G$1,FALSE),0)</f>
        <v>2000</v>
      </c>
      <c r="J14" s="194">
        <f>IF(_1_5412845612146241046457891017[[#This Row],[Type]]&gt;0,VLOOKUP(_1_5412845612146241046457891017[[#This Row],[Type]],Main[[#All],[TYPE]:[UNIT]],'Unit Price'!H$1,FALSE),0)</f>
        <v>0.33529999999999999</v>
      </c>
      <c r="K14" s="194">
        <f>IF(_1_5412845612146241046457891017[[#This Row],[Discount selection]]&gt;0,VLOOKUP(_1_5412845612146241046457891017[[#This Row],[Discount selection]],'Discount Structure'!$A$2:$B$30,2,"false"),0)</f>
        <v>1</v>
      </c>
      <c r="L14" s="194">
        <f>_1_5412845612146241046457891017[[#This Row],[LIST $]]*_1_5412845612146241046457891017[[#This Row],[DISCOUNT]]*_1_5412845612146241046457891017[[#This Row],[DISCOUNT 2]]</f>
        <v>670.6</v>
      </c>
      <c r="M14" s="194">
        <f>IF(OR(_1_5412845612146241046457891017[[#This Row],[UNIT]]&gt;0,_1_5412845612146241046457891017[[#This Row],[UNIT]]&lt;0),_1_5412845612146241046457891017[[#This Row],[UNIT]]*_1_5412845612146241046457891017[[#This Row],[COST]],0)</f>
        <v>670.6</v>
      </c>
      <c r="N14" s="194">
        <f t="shared" si="0"/>
        <v>1.35</v>
      </c>
      <c r="O14" s="198">
        <f>_1_5412845612146241046457891017[[#This Row],[TOTAL]]*_1_5412845612146241046457891017[[#This Row],[MARGIN]]</f>
        <v>905.31000000000006</v>
      </c>
      <c r="R14" s="41"/>
    </row>
    <row r="15" spans="1:18">
      <c r="C15" s="168"/>
      <c r="D15" s="188" t="s">
        <v>6364</v>
      </c>
      <c r="E15" s="41">
        <v>18</v>
      </c>
      <c r="F15" s="168" t="s">
        <v>6202</v>
      </c>
      <c r="G15" s="193" t="str">
        <f>IF(_1_5412845612146241046457891017[[#This Row],[Type]]&gt;0,VLOOKUP(_1_5412845612146241046457891017[[#This Row],[Type]],Main[[#All],[TYPE]:[UNIT]],'Unit Price'!C$1,FALSE),0)</f>
        <v>BUSBAR, 387A, 50kA
25mm x 10mm</v>
      </c>
      <c r="H15" s="197" t="str">
        <f>IF(_1_5412845612146241046457891017[[#This Row],[Type]]&gt;0,VLOOKUP(_1_5412845612146241046457891017[[#This Row],[Type]],Main[[#All],[TYPE]:[UNIT]],'Unit Price'!D$1,FALSE),0)</f>
        <v>LUVATA</v>
      </c>
      <c r="I15" s="194">
        <f>IF(_1_5412845612146241046457891017[[#This Row],[Type]]&gt;0,VLOOKUP(_1_5412845612146241046457891017[[#This Row],[Type]],Main[[#All],[TYPE]:[UNIT]],'Unit Price'!G$1,FALSE),0)</f>
        <v>144.94999999999999</v>
      </c>
      <c r="J15" s="194">
        <f>IF(_1_5412845612146241046457891017[[#This Row],[Type]]&gt;0,VLOOKUP(_1_5412845612146241046457891017[[#This Row],[Type]],Main[[#All],[TYPE]:[UNIT]],'Unit Price'!H$1,FALSE),0)</f>
        <v>1</v>
      </c>
      <c r="K15" s="194">
        <f>IF(_1_5412845612146241046457891017[[#This Row],[Discount selection]]&gt;0,VLOOKUP(_1_5412845612146241046457891017[[#This Row],[Discount selection]],'Discount Structure'!$A$2:$B$30,2,"false"),0)</f>
        <v>1</v>
      </c>
      <c r="L15" s="194">
        <f>_1_5412845612146241046457891017[[#This Row],[LIST $]]*_1_5412845612146241046457891017[[#This Row],[DISCOUNT]]*_1_5412845612146241046457891017[[#This Row],[DISCOUNT 2]]</f>
        <v>144.94999999999999</v>
      </c>
      <c r="M15" s="194">
        <f>IF(OR(_1_5412845612146241046457891017[[#This Row],[UNIT]]&gt;0,_1_5412845612146241046457891017[[#This Row],[UNIT]]&lt;0),_1_5412845612146241046457891017[[#This Row],[UNIT]]*_1_5412845612146241046457891017[[#This Row],[COST]],0)</f>
        <v>2609.1</v>
      </c>
      <c r="N15" s="194">
        <f t="shared" si="0"/>
        <v>1.35</v>
      </c>
      <c r="O15" s="198">
        <f>_1_5412845612146241046457891017[[#This Row],[TOTAL]]*_1_5412845612146241046457891017[[#This Row],[MARGIN]]</f>
        <v>3522.2850000000003</v>
      </c>
      <c r="R15" s="41"/>
    </row>
    <row r="16" spans="1:18">
      <c r="A16" s="168"/>
      <c r="C16" s="168"/>
      <c r="D16" s="188"/>
      <c r="F16" s="168" t="s">
        <v>6202</v>
      </c>
      <c r="G16" s="193">
        <f>IF(_1_5412845612146241046457891017[[#This Row],[Type]]&gt;0,VLOOKUP(_1_5412845612146241046457891017[[#This Row],[Type]],Main[[#All],[TYPE]:[UNIT]],'Unit Price'!C$1,FALSE),0)</f>
        <v>0</v>
      </c>
      <c r="H16" s="197">
        <f>IF(_1_5412845612146241046457891017[[#This Row],[Type]]&gt;0,VLOOKUP(_1_5412845612146241046457891017[[#This Row],[Type]],Main[[#All],[TYPE]:[UNIT]],'Unit Price'!D$1,FALSE),0)</f>
        <v>0</v>
      </c>
      <c r="I16" s="194">
        <f>IF(_1_5412845612146241046457891017[[#This Row],[Type]]&gt;0,VLOOKUP(_1_5412845612146241046457891017[[#This Row],[Type]],Main[[#All],[TYPE]:[UNIT]],'Unit Price'!G$1,FALSE),0)</f>
        <v>0</v>
      </c>
      <c r="J16" s="194">
        <f>IF(_1_5412845612146241046457891017[[#This Row],[Type]]&gt;0,VLOOKUP(_1_5412845612146241046457891017[[#This Row],[Type]],Main[[#All],[TYPE]:[UNIT]],'Unit Price'!H$1,FALSE),0)</f>
        <v>0</v>
      </c>
      <c r="K16" s="194">
        <f>IF(_1_5412845612146241046457891017[[#This Row],[Discount selection]]&gt;0,VLOOKUP(_1_5412845612146241046457891017[[#This Row],[Discount selection]],'Discount Structure'!$A$2:$B$30,2,"false"),0)</f>
        <v>1</v>
      </c>
      <c r="L16" s="194">
        <f>_1_5412845612146241046457891017[[#This Row],[LIST $]]*_1_5412845612146241046457891017[[#This Row],[DISCOUNT]]*_1_5412845612146241046457891017[[#This Row],[DISCOUNT 2]]</f>
        <v>0</v>
      </c>
      <c r="M16" s="194">
        <f>IF(OR(_1_5412845612146241046457891017[[#This Row],[UNIT]]&gt;0,_1_5412845612146241046457891017[[#This Row],[UNIT]]&lt;0),_1_5412845612146241046457891017[[#This Row],[UNIT]]*_1_5412845612146241046457891017[[#This Row],[COST]],0)</f>
        <v>0</v>
      </c>
      <c r="N16" s="194">
        <f t="shared" si="0"/>
        <v>1.35</v>
      </c>
      <c r="O16" s="198">
        <f>_1_5412845612146241046457891017[[#This Row],[TOTAL]]*_1_5412845612146241046457891017[[#This Row],[MARGIN]]</f>
        <v>0</v>
      </c>
      <c r="R16" s="41"/>
    </row>
    <row r="17" spans="1:18">
      <c r="C17" s="168"/>
      <c r="D17" s="314" t="s">
        <v>1572</v>
      </c>
      <c r="E17" s="41">
        <v>1</v>
      </c>
      <c r="F17" s="168" t="s">
        <v>6202</v>
      </c>
      <c r="G17" s="193" t="str">
        <f>IF(_1_5412845612146241046457891017[[#This Row],[Type]]&gt;0,VLOOKUP(_1_5412845612146241046457891017[[#This Row],[Type]],Main[[#All],[TYPE]:[UNIT]],'Unit Price'!C$1,FALSE),0)</f>
        <v>100A 4P 50kA MCCB</v>
      </c>
      <c r="H17" s="197" t="str">
        <f>IF(_1_5412845612146241046457891017[[#This Row],[Type]]&gt;0,VLOOKUP(_1_5412845612146241046457891017[[#This Row],[Type]],Main[[#All],[TYPE]:[UNIT]],'Unit Price'!D$1,FALSE),0)</f>
        <v>CHINT</v>
      </c>
      <c r="I17" s="194">
        <f>IF(_1_5412845612146241046457891017[[#This Row],[Type]]&gt;0,VLOOKUP(_1_5412845612146241046457891017[[#This Row],[Type]],Main[[#All],[TYPE]:[UNIT]],'Unit Price'!G$1,FALSE),0)</f>
        <v>655</v>
      </c>
      <c r="J17" s="194">
        <f>IF(_1_5412845612146241046457891017[[#This Row],[Type]]&gt;0,VLOOKUP(_1_5412845612146241046457891017[[#This Row],[Type]],Main[[#All],[TYPE]:[UNIT]],'Unit Price'!H$1,FALSE),0)</f>
        <v>0.47155599999999998</v>
      </c>
      <c r="K17" s="194">
        <f>IF(_1_5412845612146241046457891017[[#This Row],[Discount selection]]&gt;0,VLOOKUP(_1_5412845612146241046457891017[[#This Row],[Discount selection]],'Discount Structure'!$A$2:$B$30,2,"false"),0)</f>
        <v>1</v>
      </c>
      <c r="L17" s="194">
        <f>_1_5412845612146241046457891017[[#This Row],[LIST $]]*_1_5412845612146241046457891017[[#This Row],[DISCOUNT]]*_1_5412845612146241046457891017[[#This Row],[DISCOUNT 2]]</f>
        <v>308.86917999999997</v>
      </c>
      <c r="M17" s="194">
        <f>IF(OR(_1_5412845612146241046457891017[[#This Row],[UNIT]]&gt;0,_1_5412845612146241046457891017[[#This Row],[UNIT]]&lt;0),_1_5412845612146241046457891017[[#This Row],[UNIT]]*_1_5412845612146241046457891017[[#This Row],[COST]],0)</f>
        <v>308.86917999999997</v>
      </c>
      <c r="N17" s="194">
        <f t="shared" si="0"/>
        <v>1.35</v>
      </c>
      <c r="O17" s="198">
        <f>_1_5412845612146241046457891017[[#This Row],[TOTAL]]*_1_5412845612146241046457891017[[#This Row],[MARGIN]]</f>
        <v>416.97339299999999</v>
      </c>
      <c r="R17" s="41"/>
    </row>
    <row r="18" spans="1:18">
      <c r="A18" s="168"/>
      <c r="C18" s="168"/>
      <c r="D18" s="188" t="s">
        <v>301</v>
      </c>
      <c r="E18" s="41">
        <v>1</v>
      </c>
      <c r="F18" s="168" t="s">
        <v>6202</v>
      </c>
      <c r="G18" s="193" t="str">
        <f>IF(_1_5412845612146241046457891017[[#This Row],[Type]]&gt;0,VLOOKUP(_1_5412845612146241046457891017[[#This Row],[Type]],Main[[#All],[TYPE]:[UNIT]],'Unit Price'!C$1,FALSE),0)</f>
        <v>HRC FUSE</v>
      </c>
      <c r="H18" s="197" t="str">
        <f>IF(_1_5412845612146241046457891017[[#This Row],[Type]]&gt;0,VLOOKUP(_1_5412845612146241046457891017[[#This Row],[Type]],Main[[#All],[TYPE]:[UNIT]],'Unit Price'!D$1,FALSE),0)</f>
        <v>HAMA</v>
      </c>
      <c r="I18" s="194">
        <f>IF(_1_5412845612146241046457891017[[#This Row],[Type]]&gt;0,VLOOKUP(_1_5412845612146241046457891017[[#This Row],[Type]],Main[[#All],[TYPE]:[UNIT]],'Unit Price'!G$1,FALSE),0)</f>
        <v>6</v>
      </c>
      <c r="J18" s="194">
        <f>IF(_1_5412845612146241046457891017[[#This Row],[Type]]&gt;0,VLOOKUP(_1_5412845612146241046457891017[[#This Row],[Type]],Main[[#All],[TYPE]:[UNIT]],'Unit Price'!H$1,FALSE),0)</f>
        <v>1</v>
      </c>
      <c r="K18" s="194">
        <f>IF(_1_5412845612146241046457891017[[#This Row],[Discount selection]]&gt;0,VLOOKUP(_1_5412845612146241046457891017[[#This Row],[Discount selection]],'Discount Structure'!$A$2:$B$30,2,"false"),0)</f>
        <v>1</v>
      </c>
      <c r="L18" s="194">
        <f>_1_5412845612146241046457891017[[#This Row],[LIST $]]*_1_5412845612146241046457891017[[#This Row],[DISCOUNT]]*_1_5412845612146241046457891017[[#This Row],[DISCOUNT 2]]</f>
        <v>6</v>
      </c>
      <c r="M18" s="194">
        <f>IF(OR(_1_5412845612146241046457891017[[#This Row],[UNIT]]&gt;0,_1_5412845612146241046457891017[[#This Row],[UNIT]]&lt;0),_1_5412845612146241046457891017[[#This Row],[UNIT]]*_1_5412845612146241046457891017[[#This Row],[COST]],0)</f>
        <v>6</v>
      </c>
      <c r="N18" s="194">
        <f t="shared" si="0"/>
        <v>1.35</v>
      </c>
      <c r="O18" s="198">
        <f>_1_5412845612146241046457891017[[#This Row],[TOTAL]]*_1_5412845612146241046457891017[[#This Row],[MARGIN]]</f>
        <v>8.1000000000000014</v>
      </c>
      <c r="R18" s="41"/>
    </row>
    <row r="19" spans="1:18">
      <c r="C19" s="168"/>
      <c r="D19" s="188" t="s">
        <v>7447</v>
      </c>
      <c r="E19" s="41">
        <v>1</v>
      </c>
      <c r="F19" s="168" t="s">
        <v>6202</v>
      </c>
      <c r="G19" s="193" t="str">
        <f>IF(_1_5412845612146241046457891017[[#This Row],[Type]]&gt;0,VLOOKUP(_1_5412845612146241046457891017[[#This Row],[Type]],Main[[#All],[TYPE]:[UNIT]],'Unit Price'!C$1,FALSE),0)</f>
        <v>Shunt Trip 230VAC - NM8-125</v>
      </c>
      <c r="H19" s="197" t="str">
        <f>IF(_1_5412845612146241046457891017[[#This Row],[Type]]&gt;0,VLOOKUP(_1_5412845612146241046457891017[[#This Row],[Type]],Main[[#All],[TYPE]:[UNIT]],'Unit Price'!D$1,FALSE),0)</f>
        <v>CHINT</v>
      </c>
      <c r="I19" s="194">
        <f>IF(_1_5412845612146241046457891017[[#This Row],[Type]]&gt;0,VLOOKUP(_1_5412845612146241046457891017[[#This Row],[Type]],Main[[#All],[TYPE]:[UNIT]],'Unit Price'!G$1,FALSE),0)</f>
        <v>195</v>
      </c>
      <c r="J19" s="194">
        <f>IF(_1_5412845612146241046457891017[[#This Row],[Type]]&gt;0,VLOOKUP(_1_5412845612146241046457891017[[#This Row],[Type]],Main[[#All],[TYPE]:[UNIT]],'Unit Price'!H$1,FALSE),0)</f>
        <v>0.47155599999999998</v>
      </c>
      <c r="K19" s="194">
        <f>IF(_1_5412845612146241046457891017[[#This Row],[Discount selection]]&gt;0,VLOOKUP(_1_5412845612146241046457891017[[#This Row],[Discount selection]],'Discount Structure'!$A$2:$B$30,2,"false"),0)</f>
        <v>1</v>
      </c>
      <c r="L19" s="194">
        <f>_1_5412845612146241046457891017[[#This Row],[LIST $]]*_1_5412845612146241046457891017[[#This Row],[DISCOUNT]]*_1_5412845612146241046457891017[[#This Row],[DISCOUNT 2]]</f>
        <v>91.953419999999994</v>
      </c>
      <c r="M19" s="194">
        <f>IF(OR(_1_5412845612146241046457891017[[#This Row],[UNIT]]&gt;0,_1_5412845612146241046457891017[[#This Row],[UNIT]]&lt;0),_1_5412845612146241046457891017[[#This Row],[UNIT]]*_1_5412845612146241046457891017[[#This Row],[COST]],0)</f>
        <v>91.953419999999994</v>
      </c>
      <c r="N19" s="194">
        <f t="shared" si="0"/>
        <v>1.35</v>
      </c>
      <c r="O19" s="198">
        <f>_1_5412845612146241046457891017[[#This Row],[TOTAL]]*_1_5412845612146241046457891017[[#This Row],[MARGIN]]</f>
        <v>124.137117</v>
      </c>
      <c r="R19" s="41"/>
    </row>
    <row r="20" spans="1:18">
      <c r="A20" s="168"/>
      <c r="B20" s="168"/>
      <c r="C20" s="168"/>
      <c r="D20" s="188" t="s">
        <v>311</v>
      </c>
      <c r="E20" s="41">
        <v>5</v>
      </c>
      <c r="F20" s="168" t="s">
        <v>6202</v>
      </c>
      <c r="G20" s="193" t="str">
        <f>IF(_1_5412845612146241046457891017[[#This Row],[Type]]&gt;0,VLOOKUP(_1_5412845612146241046457891017[[#This Row],[Type]],Main[[#All],[TYPE]:[UNIT]],'Unit Price'!C$1,FALSE),0)</f>
        <v>CONTROL CABLE</v>
      </c>
      <c r="H20" s="197" t="str">
        <f>IF(_1_5412845612146241046457891017[[#This Row],[Type]]&gt;0,VLOOKUP(_1_5412845612146241046457891017[[#This Row],[Type]],Main[[#All],[TYPE]:[UNIT]],'Unit Price'!D$1,FALSE),0)</f>
        <v>UC</v>
      </c>
      <c r="I20" s="194">
        <f>IF(_1_5412845612146241046457891017[[#This Row],[Type]]&gt;0,VLOOKUP(_1_5412845612146241046457891017[[#This Row],[Type]],Main[[#All],[TYPE]:[UNIT]],'Unit Price'!G$1,FALSE),0)</f>
        <v>1</v>
      </c>
      <c r="J20" s="194">
        <f>IF(_1_5412845612146241046457891017[[#This Row],[Type]]&gt;0,VLOOKUP(_1_5412845612146241046457891017[[#This Row],[Type]],Main[[#All],[TYPE]:[UNIT]],'Unit Price'!H$1,FALSE),0)</f>
        <v>1</v>
      </c>
      <c r="K20" s="194">
        <f>IF(_1_5412845612146241046457891017[[#This Row],[Discount selection]]&gt;0,VLOOKUP(_1_5412845612146241046457891017[[#This Row],[Discount selection]],'Discount Structure'!$A$2:$B$30,2,"false"),0)</f>
        <v>1</v>
      </c>
      <c r="L20" s="194">
        <f>_1_5412845612146241046457891017[[#This Row],[LIST $]]*_1_5412845612146241046457891017[[#This Row],[DISCOUNT]]*_1_5412845612146241046457891017[[#This Row],[DISCOUNT 2]]</f>
        <v>1</v>
      </c>
      <c r="M20" s="194">
        <f>IF(OR(_1_5412845612146241046457891017[[#This Row],[UNIT]]&gt;0,_1_5412845612146241046457891017[[#This Row],[UNIT]]&lt;0),_1_5412845612146241046457891017[[#This Row],[UNIT]]*_1_5412845612146241046457891017[[#This Row],[COST]],0)</f>
        <v>5</v>
      </c>
      <c r="N20" s="194">
        <f t="shared" si="0"/>
        <v>1.35</v>
      </c>
      <c r="O20" s="198">
        <f>_1_5412845612146241046457891017[[#This Row],[TOTAL]]*_1_5412845612146241046457891017[[#This Row],[MARGIN]]</f>
        <v>6.75</v>
      </c>
      <c r="R20" s="41"/>
    </row>
    <row r="21" spans="1:18">
      <c r="C21" s="168"/>
      <c r="D21" s="188" t="s">
        <v>342</v>
      </c>
      <c r="E21" s="41">
        <v>8</v>
      </c>
      <c r="F21" s="168" t="s">
        <v>6202</v>
      </c>
      <c r="G21" s="193" t="str">
        <f>IF(_1_5412845612146241046457891017[[#This Row],[Type]]&gt;0,VLOOKUP(_1_5412845612146241046457891017[[#This Row],[Type]],Main[[#All],[TYPE]:[UNIT]],'Unit Price'!C$1,FALSE),0)</f>
        <v>35MM SQ PVC CABLE (100A)</v>
      </c>
      <c r="H21" s="197" t="str">
        <f>IF(_1_5412845612146241046457891017[[#This Row],[Type]]&gt;0,VLOOKUP(_1_5412845612146241046457891017[[#This Row],[Type]],Main[[#All],[TYPE]:[UNIT]],'Unit Price'!D$1,FALSE),0)</f>
        <v>UC</v>
      </c>
      <c r="I21" s="194">
        <f>IF(_1_5412845612146241046457891017[[#This Row],[Type]]&gt;0,VLOOKUP(_1_5412845612146241046457891017[[#This Row],[Type]],Main[[#All],[TYPE]:[UNIT]],'Unit Price'!G$1,FALSE),0)</f>
        <v>19</v>
      </c>
      <c r="J21" s="194">
        <f>IF(_1_5412845612146241046457891017[[#This Row],[Type]]&gt;0,VLOOKUP(_1_5412845612146241046457891017[[#This Row],[Type]],Main[[#All],[TYPE]:[UNIT]],'Unit Price'!H$1,FALSE),0)</f>
        <v>1</v>
      </c>
      <c r="K21" s="194">
        <f>IF(_1_5412845612146241046457891017[[#This Row],[Discount selection]]&gt;0,VLOOKUP(_1_5412845612146241046457891017[[#This Row],[Discount selection]],'Discount Structure'!$A$2:$B$30,2,"false"),0)</f>
        <v>1</v>
      </c>
      <c r="L21" s="194">
        <f>_1_5412845612146241046457891017[[#This Row],[LIST $]]*_1_5412845612146241046457891017[[#This Row],[DISCOUNT]]*_1_5412845612146241046457891017[[#This Row],[DISCOUNT 2]]</f>
        <v>19</v>
      </c>
      <c r="M21" s="194">
        <f>IF(OR(_1_5412845612146241046457891017[[#This Row],[UNIT]]&gt;0,_1_5412845612146241046457891017[[#This Row],[UNIT]]&lt;0),_1_5412845612146241046457891017[[#This Row],[UNIT]]*_1_5412845612146241046457891017[[#This Row],[COST]],0)</f>
        <v>152</v>
      </c>
      <c r="N21" s="194">
        <f t="shared" si="0"/>
        <v>1.35</v>
      </c>
      <c r="O21" s="198">
        <f>_1_5412845612146241046457891017[[#This Row],[TOTAL]]*_1_5412845612146241046457891017[[#This Row],[MARGIN]]</f>
        <v>205.20000000000002</v>
      </c>
      <c r="R21" s="41"/>
    </row>
    <row r="22" spans="1:18">
      <c r="A22" s="168"/>
      <c r="C22" s="168"/>
      <c r="D22" s="188"/>
      <c r="F22" s="168" t="s">
        <v>6202</v>
      </c>
      <c r="G22" s="193">
        <f>IF(_1_5412845612146241046457891017[[#This Row],[Type]]&gt;0,VLOOKUP(_1_5412845612146241046457891017[[#This Row],[Type]],Main[[#All],[TYPE]:[UNIT]],'Unit Price'!C$1,FALSE),0)</f>
        <v>0</v>
      </c>
      <c r="H22" s="197">
        <f>IF(_1_5412845612146241046457891017[[#This Row],[Type]]&gt;0,VLOOKUP(_1_5412845612146241046457891017[[#This Row],[Type]],Main[[#All],[TYPE]:[UNIT]],'Unit Price'!D$1,FALSE),0)</f>
        <v>0</v>
      </c>
      <c r="I22" s="194">
        <f>IF(_1_5412845612146241046457891017[[#This Row],[Type]]&gt;0,VLOOKUP(_1_5412845612146241046457891017[[#This Row],[Type]],Main[[#All],[TYPE]:[UNIT]],'Unit Price'!G$1,FALSE),0)</f>
        <v>0</v>
      </c>
      <c r="J22" s="194">
        <f>IF(_1_5412845612146241046457891017[[#This Row],[Type]]&gt;0,VLOOKUP(_1_5412845612146241046457891017[[#This Row],[Type]],Main[[#All],[TYPE]:[UNIT]],'Unit Price'!H$1,FALSE),0)</f>
        <v>0</v>
      </c>
      <c r="K22" s="194">
        <f>IF(_1_5412845612146241046457891017[[#This Row],[Discount selection]]&gt;0,VLOOKUP(_1_5412845612146241046457891017[[#This Row],[Discount selection]],'Discount Structure'!$A$2:$B$30,2,"false"),0)</f>
        <v>1</v>
      </c>
      <c r="L22" s="194">
        <f>_1_5412845612146241046457891017[[#This Row],[LIST $]]*_1_5412845612146241046457891017[[#This Row],[DISCOUNT]]*_1_5412845612146241046457891017[[#This Row],[DISCOUNT 2]]</f>
        <v>0</v>
      </c>
      <c r="M22" s="194">
        <f>IF(OR(_1_5412845612146241046457891017[[#This Row],[UNIT]]&gt;0,_1_5412845612146241046457891017[[#This Row],[UNIT]]&lt;0),_1_5412845612146241046457891017[[#This Row],[UNIT]]*_1_5412845612146241046457891017[[#This Row],[COST]],0)</f>
        <v>0</v>
      </c>
      <c r="N22" s="194">
        <f t="shared" si="0"/>
        <v>1.35</v>
      </c>
      <c r="O22" s="198">
        <f>_1_5412845612146241046457891017[[#This Row],[TOTAL]]*_1_5412845612146241046457891017[[#This Row],[MARGIN]]</f>
        <v>0</v>
      </c>
      <c r="R22" s="41"/>
    </row>
    <row r="23" spans="1:18">
      <c r="C23" s="168"/>
      <c r="D23" s="314" t="s">
        <v>1572</v>
      </c>
      <c r="E23" s="41">
        <v>1</v>
      </c>
      <c r="F23" s="168" t="s">
        <v>6202</v>
      </c>
      <c r="G23" s="193" t="str">
        <f>IF(_1_5412845612146241046457891017[[#This Row],[Type]]&gt;0,VLOOKUP(_1_5412845612146241046457891017[[#This Row],[Type]],Main[[#All],[TYPE]:[UNIT]],'Unit Price'!C$1,FALSE),0)</f>
        <v>100A 4P 50kA MCCB</v>
      </c>
      <c r="H23" s="197" t="str">
        <f>IF(_1_5412845612146241046457891017[[#This Row],[Type]]&gt;0,VLOOKUP(_1_5412845612146241046457891017[[#This Row],[Type]],Main[[#All],[TYPE]:[UNIT]],'Unit Price'!D$1,FALSE),0)</f>
        <v>CHINT</v>
      </c>
      <c r="I23" s="194">
        <f>IF(_1_5412845612146241046457891017[[#This Row],[Type]]&gt;0,VLOOKUP(_1_5412845612146241046457891017[[#This Row],[Type]],Main[[#All],[TYPE]:[UNIT]],'Unit Price'!G$1,FALSE),0)</f>
        <v>655</v>
      </c>
      <c r="J23" s="194">
        <f>IF(_1_5412845612146241046457891017[[#This Row],[Type]]&gt;0,VLOOKUP(_1_5412845612146241046457891017[[#This Row],[Type]],Main[[#All],[TYPE]:[UNIT]],'Unit Price'!H$1,FALSE),0)</f>
        <v>0.47155599999999998</v>
      </c>
      <c r="K23" s="194">
        <f>IF(_1_5412845612146241046457891017[[#This Row],[Discount selection]]&gt;0,VLOOKUP(_1_5412845612146241046457891017[[#This Row],[Discount selection]],'Discount Structure'!$A$2:$B$30,2,"false"),0)</f>
        <v>1</v>
      </c>
      <c r="L23" s="194">
        <f>_1_5412845612146241046457891017[[#This Row],[LIST $]]*_1_5412845612146241046457891017[[#This Row],[DISCOUNT]]*_1_5412845612146241046457891017[[#This Row],[DISCOUNT 2]]</f>
        <v>308.86917999999997</v>
      </c>
      <c r="M23" s="194">
        <f>IF(OR(_1_5412845612146241046457891017[[#This Row],[UNIT]]&gt;0,_1_5412845612146241046457891017[[#This Row],[UNIT]]&lt;0),_1_5412845612146241046457891017[[#This Row],[UNIT]]*_1_5412845612146241046457891017[[#This Row],[COST]],0)</f>
        <v>308.86917999999997</v>
      </c>
      <c r="N23" s="194">
        <f t="shared" si="0"/>
        <v>1.35</v>
      </c>
      <c r="O23" s="198">
        <f>_1_5412845612146241046457891017[[#This Row],[TOTAL]]*_1_5412845612146241046457891017[[#This Row],[MARGIN]]</f>
        <v>416.97339299999999</v>
      </c>
      <c r="R23" s="41"/>
    </row>
    <row r="24" spans="1:18">
      <c r="C24" s="168"/>
      <c r="D24" s="188" t="s">
        <v>342</v>
      </c>
      <c r="E24" s="41">
        <v>4</v>
      </c>
      <c r="F24" s="168" t="s">
        <v>6202</v>
      </c>
      <c r="G24" s="193" t="str">
        <f>IF(_1_5412845612146241046457891017[[#This Row],[Type]]&gt;0,VLOOKUP(_1_5412845612146241046457891017[[#This Row],[Type]],Main[[#All],[TYPE]:[UNIT]],'Unit Price'!C$1,FALSE),0)</f>
        <v>35MM SQ PVC CABLE (100A)</v>
      </c>
      <c r="H24" s="197" t="str">
        <f>IF(_1_5412845612146241046457891017[[#This Row],[Type]]&gt;0,VLOOKUP(_1_5412845612146241046457891017[[#This Row],[Type]],Main[[#All],[TYPE]:[UNIT]],'Unit Price'!D$1,FALSE),0)</f>
        <v>UC</v>
      </c>
      <c r="I24" s="194">
        <f>IF(_1_5412845612146241046457891017[[#This Row],[Type]]&gt;0,VLOOKUP(_1_5412845612146241046457891017[[#This Row],[Type]],Main[[#All],[TYPE]:[UNIT]],'Unit Price'!G$1,FALSE),0)</f>
        <v>19</v>
      </c>
      <c r="J24" s="194">
        <f>IF(_1_5412845612146241046457891017[[#This Row],[Type]]&gt;0,VLOOKUP(_1_5412845612146241046457891017[[#This Row],[Type]],Main[[#All],[TYPE]:[UNIT]],'Unit Price'!H$1,FALSE),0)</f>
        <v>1</v>
      </c>
      <c r="K24" s="194">
        <f>IF(_1_5412845612146241046457891017[[#This Row],[Discount selection]]&gt;0,VLOOKUP(_1_5412845612146241046457891017[[#This Row],[Discount selection]],'Discount Structure'!$A$2:$B$30,2,"false"),0)</f>
        <v>1</v>
      </c>
      <c r="L24" s="194">
        <f>_1_5412845612146241046457891017[[#This Row],[LIST $]]*_1_5412845612146241046457891017[[#This Row],[DISCOUNT]]*_1_5412845612146241046457891017[[#This Row],[DISCOUNT 2]]</f>
        <v>19</v>
      </c>
      <c r="M24" s="194">
        <f>IF(OR(_1_5412845612146241046457891017[[#This Row],[UNIT]]&gt;0,_1_5412845612146241046457891017[[#This Row],[UNIT]]&lt;0),_1_5412845612146241046457891017[[#This Row],[UNIT]]*_1_5412845612146241046457891017[[#This Row],[COST]],0)</f>
        <v>76</v>
      </c>
      <c r="N24" s="194">
        <f t="shared" si="0"/>
        <v>1.35</v>
      </c>
      <c r="O24" s="198">
        <f>_1_5412845612146241046457891017[[#This Row],[TOTAL]]*_1_5412845612146241046457891017[[#This Row],[MARGIN]]</f>
        <v>102.60000000000001</v>
      </c>
      <c r="R24" s="41"/>
    </row>
    <row r="25" spans="1:18">
      <c r="C25" s="168"/>
      <c r="D25" s="188" t="s">
        <v>1904</v>
      </c>
      <c r="E25" s="41">
        <v>1</v>
      </c>
      <c r="F25" s="168" t="s">
        <v>6202</v>
      </c>
      <c r="G25" s="193" t="str">
        <f>IF(_1_5412845612146241046457891017[[#This Row],[Type]]&gt;0,VLOOKUP(_1_5412845612146241046457891017[[#This Row],[Type]],Main[[#All],[TYPE]:[UNIT]],'Unit Price'!C$1,FALSE),0)</f>
        <v>40KA 3P FULL MODE SURGE ARRESTOR, CLASS 2</v>
      </c>
      <c r="H25" s="197" t="str">
        <f>IF(_1_5412845612146241046457891017[[#This Row],[Type]]&gt;0,VLOOKUP(_1_5412845612146241046457891017[[#This Row],[Type]],Main[[#All],[TYPE]:[UNIT]],'Unit Price'!D$1,FALSE),0)</f>
        <v>DUVAL</v>
      </c>
      <c r="I25" s="194">
        <f>IF(_1_5412845612146241046457891017[[#This Row],[Type]]&gt;0,VLOOKUP(_1_5412845612146241046457891017[[#This Row],[Type]],Main[[#All],[TYPE]:[UNIT]],'Unit Price'!G$1,FALSE),0)</f>
        <v>790</v>
      </c>
      <c r="J25" s="194">
        <f>IF(_1_5412845612146241046457891017[[#This Row],[Type]]&gt;0,VLOOKUP(_1_5412845612146241046457891017[[#This Row],[Type]],Main[[#All],[TYPE]:[UNIT]],'Unit Price'!H$1,FALSE),0)</f>
        <v>1</v>
      </c>
      <c r="K25" s="194">
        <f>IF(_1_5412845612146241046457891017[[#This Row],[Discount selection]]&gt;0,VLOOKUP(_1_5412845612146241046457891017[[#This Row],[Discount selection]],'Discount Structure'!$A$2:$B$30,2,"false"),0)</f>
        <v>1</v>
      </c>
      <c r="L25" s="194">
        <f>_1_5412845612146241046457891017[[#This Row],[LIST $]]*_1_5412845612146241046457891017[[#This Row],[DISCOUNT]]*_1_5412845612146241046457891017[[#This Row],[DISCOUNT 2]]</f>
        <v>790</v>
      </c>
      <c r="M25" s="194">
        <f>IF(OR(_1_5412845612146241046457891017[[#This Row],[UNIT]]&gt;0,_1_5412845612146241046457891017[[#This Row],[UNIT]]&lt;0),_1_5412845612146241046457891017[[#This Row],[UNIT]]*_1_5412845612146241046457891017[[#This Row],[COST]],0)</f>
        <v>790</v>
      </c>
      <c r="N25" s="194">
        <f t="shared" si="0"/>
        <v>1.35</v>
      </c>
      <c r="O25" s="198">
        <f>_1_5412845612146241046457891017[[#This Row],[TOTAL]]*_1_5412845612146241046457891017[[#This Row],[MARGIN]]</f>
        <v>1066.5</v>
      </c>
      <c r="R25" s="41"/>
    </row>
    <row r="26" spans="1:18">
      <c r="C26" s="168"/>
      <c r="D26" s="188"/>
      <c r="F26" s="168" t="s">
        <v>6202</v>
      </c>
      <c r="G26" s="193">
        <f>IF(_1_5412845612146241046457891017[[#This Row],[Type]]&gt;0,VLOOKUP(_1_5412845612146241046457891017[[#This Row],[Type]],Main[[#All],[TYPE]:[UNIT]],'Unit Price'!C$1,FALSE),0)</f>
        <v>0</v>
      </c>
      <c r="H26" s="197">
        <f>IF(_1_5412845612146241046457891017[[#This Row],[Type]]&gt;0,VLOOKUP(_1_5412845612146241046457891017[[#This Row],[Type]],Main[[#All],[TYPE]:[UNIT]],'Unit Price'!D$1,FALSE),0)</f>
        <v>0</v>
      </c>
      <c r="I26" s="194">
        <f>IF(_1_5412845612146241046457891017[[#This Row],[Type]]&gt;0,VLOOKUP(_1_5412845612146241046457891017[[#This Row],[Type]],Main[[#All],[TYPE]:[UNIT]],'Unit Price'!G$1,FALSE),0)</f>
        <v>0</v>
      </c>
      <c r="J26" s="194">
        <f>IF(_1_5412845612146241046457891017[[#This Row],[Type]]&gt;0,VLOOKUP(_1_5412845612146241046457891017[[#This Row],[Type]],Main[[#All],[TYPE]:[UNIT]],'Unit Price'!H$1,FALSE),0)</f>
        <v>0</v>
      </c>
      <c r="K26" s="194">
        <f>IF(_1_5412845612146241046457891017[[#This Row],[Discount selection]]&gt;0,VLOOKUP(_1_5412845612146241046457891017[[#This Row],[Discount selection]],'Discount Structure'!$A$2:$B$30,2,"false"),0)</f>
        <v>1</v>
      </c>
      <c r="L26" s="194">
        <f>_1_5412845612146241046457891017[[#This Row],[LIST $]]*_1_5412845612146241046457891017[[#This Row],[DISCOUNT]]*_1_5412845612146241046457891017[[#This Row],[DISCOUNT 2]]</f>
        <v>0</v>
      </c>
      <c r="M26" s="194">
        <f>IF(OR(_1_5412845612146241046457891017[[#This Row],[UNIT]]&gt;0,_1_5412845612146241046457891017[[#This Row],[UNIT]]&lt;0),_1_5412845612146241046457891017[[#This Row],[UNIT]]*_1_5412845612146241046457891017[[#This Row],[COST]],0)</f>
        <v>0</v>
      </c>
      <c r="N26" s="194">
        <f t="shared" si="0"/>
        <v>1.35</v>
      </c>
      <c r="O26" s="198">
        <f>_1_5412845612146241046457891017[[#This Row],[TOTAL]]*_1_5412845612146241046457891017[[#This Row],[MARGIN]]</f>
        <v>0</v>
      </c>
      <c r="R26" s="41"/>
    </row>
    <row r="27" spans="1:18">
      <c r="B27" s="168"/>
      <c r="C27" s="168"/>
      <c r="D27" s="188" t="s">
        <v>301</v>
      </c>
      <c r="E27" s="41">
        <v>1</v>
      </c>
      <c r="F27" s="168" t="s">
        <v>6202</v>
      </c>
      <c r="G27" s="193" t="str">
        <f>IF(_1_5412845612146241046457891017[[#This Row],[Type]]&gt;0,VLOOKUP(_1_5412845612146241046457891017[[#This Row],[Type]],Main[[#All],[TYPE]:[UNIT]],'Unit Price'!C$1,FALSE),0)</f>
        <v>HRC FUSE</v>
      </c>
      <c r="H27" s="197" t="str">
        <f>IF(_1_5412845612146241046457891017[[#This Row],[Type]]&gt;0,VLOOKUP(_1_5412845612146241046457891017[[#This Row],[Type]],Main[[#All],[TYPE]:[UNIT]],'Unit Price'!D$1,FALSE),0)</f>
        <v>HAMA</v>
      </c>
      <c r="I27" s="194">
        <f>IF(_1_5412845612146241046457891017[[#This Row],[Type]]&gt;0,VLOOKUP(_1_5412845612146241046457891017[[#This Row],[Type]],Main[[#All],[TYPE]:[UNIT]],'Unit Price'!G$1,FALSE),0)</f>
        <v>6</v>
      </c>
      <c r="J27" s="194">
        <f>IF(_1_5412845612146241046457891017[[#This Row],[Type]]&gt;0,VLOOKUP(_1_5412845612146241046457891017[[#This Row],[Type]],Main[[#All],[TYPE]:[UNIT]],'Unit Price'!H$1,FALSE),0)</f>
        <v>1</v>
      </c>
      <c r="K27" s="194">
        <f>IF(_1_5412845612146241046457891017[[#This Row],[Discount selection]]&gt;0,VLOOKUP(_1_5412845612146241046457891017[[#This Row],[Discount selection]],'Discount Structure'!$A$2:$B$30,2,"false"),0)</f>
        <v>1</v>
      </c>
      <c r="L27" s="194">
        <f>_1_5412845612146241046457891017[[#This Row],[LIST $]]*_1_5412845612146241046457891017[[#This Row],[DISCOUNT]]*_1_5412845612146241046457891017[[#This Row],[DISCOUNT 2]]</f>
        <v>6</v>
      </c>
      <c r="M27" s="194">
        <f>IF(OR(_1_5412845612146241046457891017[[#This Row],[UNIT]]&gt;0,_1_5412845612146241046457891017[[#This Row],[UNIT]]&lt;0),_1_5412845612146241046457891017[[#This Row],[UNIT]]*_1_5412845612146241046457891017[[#This Row],[COST]],0)</f>
        <v>6</v>
      </c>
      <c r="N27" s="194">
        <f t="shared" si="0"/>
        <v>1.35</v>
      </c>
      <c r="O27" s="198">
        <f>_1_5412845612146241046457891017[[#This Row],[TOTAL]]*_1_5412845612146241046457891017[[#This Row],[MARGIN]]</f>
        <v>8.1000000000000014</v>
      </c>
      <c r="R27" s="41"/>
    </row>
    <row r="28" spans="1:18">
      <c r="A28" s="168"/>
      <c r="C28" s="168"/>
      <c r="D28" s="188" t="s">
        <v>1862</v>
      </c>
      <c r="E28" s="41">
        <v>1</v>
      </c>
      <c r="F28" s="168" t="s">
        <v>6202</v>
      </c>
      <c r="G28" s="193" t="str">
        <f>IF(_1_5412845612146241046457891017[[#This Row],[Type]]&gt;0,VLOOKUP(_1_5412845612146241046457891017[[#This Row],[Type]],Main[[#All],[TYPE]:[UNIT]],'Unit Price'!C$1,FALSE),0)</f>
        <v>Earth Fault Relay IDMT</v>
      </c>
      <c r="H28" s="197" t="str">
        <f>IF(_1_5412845612146241046457891017[[#This Row],[Type]]&gt;0,VLOOKUP(_1_5412845612146241046457891017[[#This Row],[Type]],Main[[#All],[TYPE]:[UNIT]],'Unit Price'!D$1,FALSE),0)</f>
        <v>Delab</v>
      </c>
      <c r="I28" s="194">
        <f>IF(_1_5412845612146241046457891017[[#This Row],[Type]]&gt;0,VLOOKUP(_1_5412845612146241046457891017[[#This Row],[Type]],Main[[#All],[TYPE]:[UNIT]],'Unit Price'!G$1,FALSE),0)</f>
        <v>563</v>
      </c>
      <c r="J28" s="194">
        <f>IF(_1_5412845612146241046457891017[[#This Row],[Type]]&gt;0,VLOOKUP(_1_5412845612146241046457891017[[#This Row],[Type]],Main[[#All],[TYPE]:[UNIT]],'Unit Price'!H$1,FALSE),0)</f>
        <v>0.41894999999999999</v>
      </c>
      <c r="K28" s="194">
        <f>IF(_1_5412845612146241046457891017[[#This Row],[Discount selection]]&gt;0,VLOOKUP(_1_5412845612146241046457891017[[#This Row],[Discount selection]],'Discount Structure'!$A$2:$B$30,2,"false"),0)</f>
        <v>1</v>
      </c>
      <c r="L28" s="194">
        <f>_1_5412845612146241046457891017[[#This Row],[LIST $]]*_1_5412845612146241046457891017[[#This Row],[DISCOUNT]]*_1_5412845612146241046457891017[[#This Row],[DISCOUNT 2]]</f>
        <v>235.86884999999998</v>
      </c>
      <c r="M28" s="194">
        <f>IF(OR(_1_5412845612146241046457891017[[#This Row],[UNIT]]&gt;0,_1_5412845612146241046457891017[[#This Row],[UNIT]]&lt;0),_1_5412845612146241046457891017[[#This Row],[UNIT]]*_1_5412845612146241046457891017[[#This Row],[COST]],0)</f>
        <v>235.86884999999998</v>
      </c>
      <c r="N28" s="194">
        <f t="shared" si="0"/>
        <v>1.35</v>
      </c>
      <c r="O28" s="198">
        <f>_1_5412845612146241046457891017[[#This Row],[TOTAL]]*_1_5412845612146241046457891017[[#This Row],[MARGIN]]</f>
        <v>318.42294750000002</v>
      </c>
      <c r="R28" s="41"/>
    </row>
    <row r="29" spans="1:18">
      <c r="A29" s="168"/>
      <c r="C29" s="168"/>
      <c r="D29" s="188" t="s">
        <v>2967</v>
      </c>
      <c r="E29" s="41">
        <v>4</v>
      </c>
      <c r="F29" s="168" t="s">
        <v>6202</v>
      </c>
      <c r="G29" s="193" t="str">
        <f>IF(_1_5412845612146241046457891017[[#This Row],[Type]]&gt;0,VLOOKUP(_1_5412845612146241046457891017[[#This Row],[Type]],Main[[#All],[TYPE]:[UNIT]],'Unit Price'!C$1,FALSE),0)</f>
        <v>100/5A 10P10 PCT</v>
      </c>
      <c r="H29" s="197" t="str">
        <f>IF(_1_5412845612146241046457891017[[#This Row],[Type]]&gt;0,VLOOKUP(_1_5412845612146241046457891017[[#This Row],[Type]],Main[[#All],[TYPE]:[UNIT]],'Unit Price'!D$1,FALSE),0)</f>
        <v>Mun Hean</v>
      </c>
      <c r="I29" s="194">
        <f>IF(_1_5412845612146241046457891017[[#This Row],[Type]]&gt;0,VLOOKUP(_1_5412845612146241046457891017[[#This Row],[Type]],Main[[#All],[TYPE]:[UNIT]],'Unit Price'!G$1,FALSE),0)</f>
        <v>268</v>
      </c>
      <c r="J29" s="194">
        <f>IF(_1_5412845612146241046457891017[[#This Row],[Type]]&gt;0,VLOOKUP(_1_5412845612146241046457891017[[#This Row],[Type]],Main[[#All],[TYPE]:[UNIT]],'Unit Price'!H$1,FALSE),0)</f>
        <v>0.54826874999999997</v>
      </c>
      <c r="K29" s="194">
        <f>IF(_1_5412845612146241046457891017[[#This Row],[Discount selection]]&gt;0,VLOOKUP(_1_5412845612146241046457891017[[#This Row],[Discount selection]],'Discount Structure'!$A$2:$B$30,2,"false"),0)</f>
        <v>1</v>
      </c>
      <c r="L29" s="194">
        <f>_1_5412845612146241046457891017[[#This Row],[LIST $]]*_1_5412845612146241046457891017[[#This Row],[DISCOUNT]]*_1_5412845612146241046457891017[[#This Row],[DISCOUNT 2]]</f>
        <v>146.936025</v>
      </c>
      <c r="M29" s="194">
        <f>IF(OR(_1_5412845612146241046457891017[[#This Row],[UNIT]]&gt;0,_1_5412845612146241046457891017[[#This Row],[UNIT]]&lt;0),_1_5412845612146241046457891017[[#This Row],[UNIT]]*_1_5412845612146241046457891017[[#This Row],[COST]],0)</f>
        <v>587.7441</v>
      </c>
      <c r="N29" s="194">
        <f t="shared" si="0"/>
        <v>1.35</v>
      </c>
      <c r="O29" s="198">
        <f>_1_5412845612146241046457891017[[#This Row],[TOTAL]]*_1_5412845612146241046457891017[[#This Row],[MARGIN]]</f>
        <v>793.45453500000008</v>
      </c>
      <c r="R29" s="41"/>
    </row>
    <row r="30" spans="1:18">
      <c r="A30" s="168"/>
      <c r="C30" s="168"/>
      <c r="D30" s="188" t="s">
        <v>311</v>
      </c>
      <c r="E30" s="41">
        <v>20</v>
      </c>
      <c r="F30" s="168" t="s">
        <v>6202</v>
      </c>
      <c r="G30" s="193" t="str">
        <f>IF(_1_5412845612146241046457891017[[#This Row],[Type]]&gt;0,VLOOKUP(_1_5412845612146241046457891017[[#This Row],[Type]],Main[[#All],[TYPE]:[UNIT]],'Unit Price'!C$1,FALSE),0)</f>
        <v>CONTROL CABLE</v>
      </c>
      <c r="H30" s="197" t="str">
        <f>IF(_1_5412845612146241046457891017[[#This Row],[Type]]&gt;0,VLOOKUP(_1_5412845612146241046457891017[[#This Row],[Type]],Main[[#All],[TYPE]:[UNIT]],'Unit Price'!D$1,FALSE),0)</f>
        <v>UC</v>
      </c>
      <c r="I30" s="194">
        <f>IF(_1_5412845612146241046457891017[[#This Row],[Type]]&gt;0,VLOOKUP(_1_5412845612146241046457891017[[#This Row],[Type]],Main[[#All],[TYPE]:[UNIT]],'Unit Price'!G$1,FALSE),0)</f>
        <v>1</v>
      </c>
      <c r="J30" s="194">
        <f>IF(_1_5412845612146241046457891017[[#This Row],[Type]]&gt;0,VLOOKUP(_1_5412845612146241046457891017[[#This Row],[Type]],Main[[#All],[TYPE]:[UNIT]],'Unit Price'!H$1,FALSE),0)</f>
        <v>1</v>
      </c>
      <c r="K30" s="194">
        <f>IF(_1_5412845612146241046457891017[[#This Row],[Discount selection]]&gt;0,VLOOKUP(_1_5412845612146241046457891017[[#This Row],[Discount selection]],'Discount Structure'!$A$2:$B$30,2,"false"),0)</f>
        <v>1</v>
      </c>
      <c r="L30" s="194">
        <f>_1_5412845612146241046457891017[[#This Row],[LIST $]]*_1_5412845612146241046457891017[[#This Row],[DISCOUNT]]*_1_5412845612146241046457891017[[#This Row],[DISCOUNT 2]]</f>
        <v>1</v>
      </c>
      <c r="M30" s="194">
        <f>IF(OR(_1_5412845612146241046457891017[[#This Row],[UNIT]]&gt;0,_1_5412845612146241046457891017[[#This Row],[UNIT]]&lt;0),_1_5412845612146241046457891017[[#This Row],[UNIT]]*_1_5412845612146241046457891017[[#This Row],[COST]],0)</f>
        <v>20</v>
      </c>
      <c r="N30" s="194">
        <f t="shared" si="0"/>
        <v>1.35</v>
      </c>
      <c r="O30" s="198">
        <f>_1_5412845612146241046457891017[[#This Row],[TOTAL]]*_1_5412845612146241046457891017[[#This Row],[MARGIN]]</f>
        <v>27</v>
      </c>
      <c r="R30" s="41"/>
    </row>
    <row r="31" spans="1:18">
      <c r="A31" s="168"/>
      <c r="C31" s="168"/>
      <c r="D31" s="188"/>
      <c r="F31" s="168" t="s">
        <v>6202</v>
      </c>
      <c r="G31" s="193">
        <f>IF(_1_5412845612146241046457891017[[#This Row],[Type]]&gt;0,VLOOKUP(_1_5412845612146241046457891017[[#This Row],[Type]],Main[[#All],[TYPE]:[UNIT]],'Unit Price'!C$1,FALSE),0)</f>
        <v>0</v>
      </c>
      <c r="H31" s="197">
        <f>IF(_1_5412845612146241046457891017[[#This Row],[Type]]&gt;0,VLOOKUP(_1_5412845612146241046457891017[[#This Row],[Type]],Main[[#All],[TYPE]:[UNIT]],'Unit Price'!D$1,FALSE),0)</f>
        <v>0</v>
      </c>
      <c r="I31" s="194">
        <f>IF(_1_5412845612146241046457891017[[#This Row],[Type]]&gt;0,VLOOKUP(_1_5412845612146241046457891017[[#This Row],[Type]],Main[[#All],[TYPE]:[UNIT]],'Unit Price'!G$1,FALSE),0)</f>
        <v>0</v>
      </c>
      <c r="J31" s="194">
        <f>IF(_1_5412845612146241046457891017[[#This Row],[Type]]&gt;0,VLOOKUP(_1_5412845612146241046457891017[[#This Row],[Type]],Main[[#All],[TYPE]:[UNIT]],'Unit Price'!H$1,FALSE),0)</f>
        <v>0</v>
      </c>
      <c r="K31" s="194">
        <f>IF(_1_5412845612146241046457891017[[#This Row],[Discount selection]]&gt;0,VLOOKUP(_1_5412845612146241046457891017[[#This Row],[Discount selection]],'Discount Structure'!$A$2:$B$30,2,"false"),0)</f>
        <v>1</v>
      </c>
      <c r="L31" s="194">
        <f>_1_5412845612146241046457891017[[#This Row],[LIST $]]*_1_5412845612146241046457891017[[#This Row],[DISCOUNT]]*_1_5412845612146241046457891017[[#This Row],[DISCOUNT 2]]</f>
        <v>0</v>
      </c>
      <c r="M31" s="194">
        <f>IF(OR(_1_5412845612146241046457891017[[#This Row],[UNIT]]&gt;0,_1_5412845612146241046457891017[[#This Row],[UNIT]]&lt;0),_1_5412845612146241046457891017[[#This Row],[UNIT]]*_1_5412845612146241046457891017[[#This Row],[COST]],0)</f>
        <v>0</v>
      </c>
      <c r="N31" s="194">
        <f t="shared" si="0"/>
        <v>1.35</v>
      </c>
      <c r="O31" s="198">
        <f>_1_5412845612146241046457891017[[#This Row],[TOTAL]]*_1_5412845612146241046457891017[[#This Row],[MARGIN]]</f>
        <v>0</v>
      </c>
      <c r="R31" s="41"/>
    </row>
    <row r="32" spans="1:18">
      <c r="C32" s="168"/>
      <c r="D32" s="188" t="s">
        <v>301</v>
      </c>
      <c r="E32" s="41">
        <v>3</v>
      </c>
      <c r="F32" s="168" t="s">
        <v>6202</v>
      </c>
      <c r="G32" s="193" t="str">
        <f>IF(_1_5412845612146241046457891017[[#This Row],[Type]]&gt;0,VLOOKUP(_1_5412845612146241046457891017[[#This Row],[Type]],Main[[#All],[TYPE]:[UNIT]],'Unit Price'!C$1,FALSE),0)</f>
        <v>HRC FUSE</v>
      </c>
      <c r="H32" s="197" t="str">
        <f>IF(_1_5412845612146241046457891017[[#This Row],[Type]]&gt;0,VLOOKUP(_1_5412845612146241046457891017[[#This Row],[Type]],Main[[#All],[TYPE]:[UNIT]],'Unit Price'!D$1,FALSE),0)</f>
        <v>HAMA</v>
      </c>
      <c r="I32" s="194">
        <f>IF(_1_5412845612146241046457891017[[#This Row],[Type]]&gt;0,VLOOKUP(_1_5412845612146241046457891017[[#This Row],[Type]],Main[[#All],[TYPE]:[UNIT]],'Unit Price'!G$1,FALSE),0)</f>
        <v>6</v>
      </c>
      <c r="J32" s="194">
        <f>IF(_1_5412845612146241046457891017[[#This Row],[Type]]&gt;0,VLOOKUP(_1_5412845612146241046457891017[[#This Row],[Type]],Main[[#All],[TYPE]:[UNIT]],'Unit Price'!H$1,FALSE),0)</f>
        <v>1</v>
      </c>
      <c r="K32" s="194">
        <f>IF(_1_5412845612146241046457891017[[#This Row],[Discount selection]]&gt;0,VLOOKUP(_1_5412845612146241046457891017[[#This Row],[Discount selection]],'Discount Structure'!$A$2:$B$30,2,"false"),0)</f>
        <v>1</v>
      </c>
      <c r="L32" s="194">
        <f>_1_5412845612146241046457891017[[#This Row],[LIST $]]*_1_5412845612146241046457891017[[#This Row],[DISCOUNT]]*_1_5412845612146241046457891017[[#This Row],[DISCOUNT 2]]</f>
        <v>6</v>
      </c>
      <c r="M32" s="194">
        <f>IF(OR(_1_5412845612146241046457891017[[#This Row],[UNIT]]&gt;0,_1_5412845612146241046457891017[[#This Row],[UNIT]]&lt;0),_1_5412845612146241046457891017[[#This Row],[UNIT]]*_1_5412845612146241046457891017[[#This Row],[COST]],0)</f>
        <v>18</v>
      </c>
      <c r="N32" s="194">
        <f t="shared" si="0"/>
        <v>1.35</v>
      </c>
      <c r="O32" s="198">
        <f>_1_5412845612146241046457891017[[#This Row],[TOTAL]]*_1_5412845612146241046457891017[[#This Row],[MARGIN]]</f>
        <v>24.3</v>
      </c>
      <c r="R32" s="41"/>
    </row>
    <row r="33" spans="1:18">
      <c r="A33" s="331"/>
      <c r="C33" s="168"/>
      <c r="D33" s="188" t="s">
        <v>2162</v>
      </c>
      <c r="E33" s="41">
        <v>3</v>
      </c>
      <c r="F33" s="168" t="s">
        <v>6202</v>
      </c>
      <c r="G33" s="193" t="str">
        <f>IF(_1_5412845612146241046457891017[[#This Row],[Type]]&gt;0,VLOOKUP(_1_5412845612146241046457891017[[#This Row],[Type]],Main[[#All],[TYPE]:[UNIT]],'Unit Price'!C$1,FALSE),0)</f>
        <v>PILOT LAMP,240VAC</v>
      </c>
      <c r="H33" s="197" t="str">
        <f>IF(_1_5412845612146241046457891017[[#This Row],[Type]]&gt;0,VLOOKUP(_1_5412845612146241046457891017[[#This Row],[Type]],Main[[#All],[TYPE]:[UNIT]],'Unit Price'!D$1,FALSE),0)</f>
        <v>FD</v>
      </c>
      <c r="I33" s="194">
        <f>IF(_1_5412845612146241046457891017[[#This Row],[Type]]&gt;0,VLOOKUP(_1_5412845612146241046457891017[[#This Row],[Type]],Main[[#All],[TYPE]:[UNIT]],'Unit Price'!G$1,FALSE),0)</f>
        <v>4</v>
      </c>
      <c r="J33" s="194">
        <f>IF(_1_5412845612146241046457891017[[#This Row],[Type]]&gt;0,VLOOKUP(_1_5412845612146241046457891017[[#This Row],[Type]],Main[[#All],[TYPE]:[UNIT]],'Unit Price'!H$1,FALSE),0)</f>
        <v>1</v>
      </c>
      <c r="K33" s="194">
        <f>IF(_1_5412845612146241046457891017[[#This Row],[Discount selection]]&gt;0,VLOOKUP(_1_5412845612146241046457891017[[#This Row],[Discount selection]],'Discount Structure'!$A$2:$B$30,2,"false"),0)</f>
        <v>1</v>
      </c>
      <c r="L33" s="194">
        <f>_1_5412845612146241046457891017[[#This Row],[LIST $]]*_1_5412845612146241046457891017[[#This Row],[DISCOUNT]]*_1_5412845612146241046457891017[[#This Row],[DISCOUNT 2]]</f>
        <v>4</v>
      </c>
      <c r="M33" s="194">
        <f>IF(OR(_1_5412845612146241046457891017[[#This Row],[UNIT]]&gt;0,_1_5412845612146241046457891017[[#This Row],[UNIT]]&lt;0),_1_5412845612146241046457891017[[#This Row],[UNIT]]*_1_5412845612146241046457891017[[#This Row],[COST]],0)</f>
        <v>12</v>
      </c>
      <c r="N33" s="194">
        <f t="shared" si="0"/>
        <v>1.35</v>
      </c>
      <c r="O33" s="198">
        <f>_1_5412845612146241046457891017[[#This Row],[TOTAL]]*_1_5412845612146241046457891017[[#This Row],[MARGIN]]</f>
        <v>16.200000000000003</v>
      </c>
      <c r="R33" s="41"/>
    </row>
    <row r="34" spans="1:18">
      <c r="C34" s="168"/>
      <c r="D34" s="188" t="s">
        <v>3539</v>
      </c>
      <c r="E34" s="41">
        <v>1</v>
      </c>
      <c r="F34" s="168" t="s">
        <v>6202</v>
      </c>
      <c r="G34" s="193" t="str">
        <f>IF(_1_5412845612146241046457891017[[#This Row],[Type]]&gt;0,VLOOKUP(_1_5412845612146241046457891017[[#This Row],[Type]],Main[[#All],[TYPE]:[UNIT]],'Unit Price'!C$1,FALSE),0)</f>
        <v>SELECTOR SWITCH, VOLMETER</v>
      </c>
      <c r="H34" s="197" t="str">
        <f>IF(_1_5412845612146241046457891017[[#This Row],[Type]]&gt;0,VLOOKUP(_1_5412845612146241046457891017[[#This Row],[Type]],Main[[#All],[TYPE]:[UNIT]],'Unit Price'!D$1,FALSE),0)</f>
        <v>SALZER</v>
      </c>
      <c r="I34" s="194">
        <f>IF(_1_5412845612146241046457891017[[#This Row],[Type]]&gt;0,VLOOKUP(_1_5412845612146241046457891017[[#This Row],[Type]],Main[[#All],[TYPE]:[UNIT]],'Unit Price'!G$1,FALSE),0)</f>
        <v>18</v>
      </c>
      <c r="J34" s="194">
        <f>IF(_1_5412845612146241046457891017[[#This Row],[Type]]&gt;0,VLOOKUP(_1_5412845612146241046457891017[[#This Row],[Type]],Main[[#All],[TYPE]:[UNIT]],'Unit Price'!H$1,FALSE),0)</f>
        <v>1</v>
      </c>
      <c r="K34" s="194">
        <f>IF(_1_5412845612146241046457891017[[#This Row],[Discount selection]]&gt;0,VLOOKUP(_1_5412845612146241046457891017[[#This Row],[Discount selection]],'Discount Structure'!$A$2:$B$30,2,"false"),0)</f>
        <v>1</v>
      </c>
      <c r="L34" s="194">
        <f>_1_5412845612146241046457891017[[#This Row],[LIST $]]*_1_5412845612146241046457891017[[#This Row],[DISCOUNT]]*_1_5412845612146241046457891017[[#This Row],[DISCOUNT 2]]</f>
        <v>18</v>
      </c>
      <c r="M34" s="194">
        <f>IF(OR(_1_5412845612146241046457891017[[#This Row],[UNIT]]&gt;0,_1_5412845612146241046457891017[[#This Row],[UNIT]]&lt;0),_1_5412845612146241046457891017[[#This Row],[UNIT]]*_1_5412845612146241046457891017[[#This Row],[COST]],0)</f>
        <v>18</v>
      </c>
      <c r="N34" s="194">
        <f t="shared" si="0"/>
        <v>1.35</v>
      </c>
      <c r="O34" s="198">
        <f>_1_5412845612146241046457891017[[#This Row],[TOTAL]]*_1_5412845612146241046457891017[[#This Row],[MARGIN]]</f>
        <v>24.3</v>
      </c>
      <c r="R34" s="41"/>
    </row>
    <row r="35" spans="1:18">
      <c r="C35" s="168"/>
      <c r="D35" s="188" t="s">
        <v>2462</v>
      </c>
      <c r="E35" s="41">
        <v>1</v>
      </c>
      <c r="F35" s="168" t="s">
        <v>6202</v>
      </c>
      <c r="G35" s="193" t="str">
        <f>IF(_1_5412845612146241046457891017[[#This Row],[Type]]&gt;0,VLOOKUP(_1_5412845612146241046457891017[[#This Row],[Type]],Main[[#All],[TYPE]:[UNIT]],'Unit Price'!C$1,FALSE),0)</f>
        <v>ANALOGUE VOLTMETER, 90 Deg Cls 1.5, 96x96mm</v>
      </c>
      <c r="H35" s="197" t="str">
        <f>IF(_1_5412845612146241046457891017[[#This Row],[Type]]&gt;0,VLOOKUP(_1_5412845612146241046457891017[[#This Row],[Type]],Main[[#All],[TYPE]:[UNIT]],'Unit Price'!D$1,FALSE),0)</f>
        <v>IMETEC</v>
      </c>
      <c r="I35" s="194">
        <f>IF(_1_5412845612146241046457891017[[#This Row],[Type]]&gt;0,VLOOKUP(_1_5412845612146241046457891017[[#This Row],[Type]],Main[[#All],[TYPE]:[UNIT]],'Unit Price'!G$1,FALSE),0)</f>
        <v>16.5</v>
      </c>
      <c r="J35" s="194">
        <f>IF(_1_5412845612146241046457891017[[#This Row],[Type]]&gt;0,VLOOKUP(_1_5412845612146241046457891017[[#This Row],[Type]],Main[[#All],[TYPE]:[UNIT]],'Unit Price'!H$1,FALSE),0)</f>
        <v>1</v>
      </c>
      <c r="K35" s="194">
        <f>IF(_1_5412845612146241046457891017[[#This Row],[Discount selection]]&gt;0,VLOOKUP(_1_5412845612146241046457891017[[#This Row],[Discount selection]],'Discount Structure'!$A$2:$B$30,2,"false"),0)</f>
        <v>1</v>
      </c>
      <c r="L35" s="194">
        <f>_1_5412845612146241046457891017[[#This Row],[LIST $]]*_1_5412845612146241046457891017[[#This Row],[DISCOUNT]]*_1_5412845612146241046457891017[[#This Row],[DISCOUNT 2]]</f>
        <v>16.5</v>
      </c>
      <c r="M35" s="194">
        <f>IF(OR(_1_5412845612146241046457891017[[#This Row],[UNIT]]&gt;0,_1_5412845612146241046457891017[[#This Row],[UNIT]]&lt;0),_1_5412845612146241046457891017[[#This Row],[UNIT]]*_1_5412845612146241046457891017[[#This Row],[COST]],0)</f>
        <v>16.5</v>
      </c>
      <c r="N35" s="194">
        <f t="shared" si="0"/>
        <v>1.35</v>
      </c>
      <c r="O35" s="198">
        <f>_1_5412845612146241046457891017[[#This Row],[TOTAL]]*_1_5412845612146241046457891017[[#This Row],[MARGIN]]</f>
        <v>22.275000000000002</v>
      </c>
      <c r="R35" s="41"/>
    </row>
    <row r="36" spans="1:18">
      <c r="A36" s="168"/>
      <c r="B36" s="315"/>
      <c r="C36" s="168"/>
      <c r="D36" s="188" t="s">
        <v>3541</v>
      </c>
      <c r="E36" s="41">
        <v>1</v>
      </c>
      <c r="F36" s="168" t="s">
        <v>6202</v>
      </c>
      <c r="G36" s="193" t="str">
        <f>IF(_1_5412845612146241046457891017[[#This Row],[Type]]&gt;0,VLOOKUP(_1_5412845612146241046457891017[[#This Row],[Type]],Main[[#All],[TYPE]:[UNIT]],'Unit Price'!C$1,FALSE),0)</f>
        <v>SELECTOR SWITCH, AMMETER</v>
      </c>
      <c r="H36" s="197" t="str">
        <f>IF(_1_5412845612146241046457891017[[#This Row],[Type]]&gt;0,VLOOKUP(_1_5412845612146241046457891017[[#This Row],[Type]],Main[[#All],[TYPE]:[UNIT]],'Unit Price'!D$1,FALSE),0)</f>
        <v>SALZER</v>
      </c>
      <c r="I36" s="194">
        <f>IF(_1_5412845612146241046457891017[[#This Row],[Type]]&gt;0,VLOOKUP(_1_5412845612146241046457891017[[#This Row],[Type]],Main[[#All],[TYPE]:[UNIT]],'Unit Price'!G$1,FALSE),0)</f>
        <v>18</v>
      </c>
      <c r="J36" s="194">
        <f>IF(_1_5412845612146241046457891017[[#This Row],[Type]]&gt;0,VLOOKUP(_1_5412845612146241046457891017[[#This Row],[Type]],Main[[#All],[TYPE]:[UNIT]],'Unit Price'!H$1,FALSE),0)</f>
        <v>1</v>
      </c>
      <c r="K36" s="194">
        <f>IF(_1_5412845612146241046457891017[[#This Row],[Discount selection]]&gt;0,VLOOKUP(_1_5412845612146241046457891017[[#This Row],[Discount selection]],'Discount Structure'!$A$2:$B$30,2,"false"),0)</f>
        <v>1</v>
      </c>
      <c r="L36" s="194">
        <f>_1_5412845612146241046457891017[[#This Row],[LIST $]]*_1_5412845612146241046457891017[[#This Row],[DISCOUNT]]*_1_5412845612146241046457891017[[#This Row],[DISCOUNT 2]]</f>
        <v>18</v>
      </c>
      <c r="M36" s="194">
        <f>IF(OR(_1_5412845612146241046457891017[[#This Row],[UNIT]]&gt;0,_1_5412845612146241046457891017[[#This Row],[UNIT]]&lt;0),_1_5412845612146241046457891017[[#This Row],[UNIT]]*_1_5412845612146241046457891017[[#This Row],[COST]],0)</f>
        <v>18</v>
      </c>
      <c r="N36" s="194">
        <f t="shared" si="0"/>
        <v>1.35</v>
      </c>
      <c r="O36" s="198">
        <f>_1_5412845612146241046457891017[[#This Row],[TOTAL]]*_1_5412845612146241046457891017[[#This Row],[MARGIN]]</f>
        <v>24.3</v>
      </c>
      <c r="R36" s="41"/>
    </row>
    <row r="37" spans="1:18">
      <c r="A37" s="168"/>
      <c r="C37" s="168"/>
      <c r="D37" s="188" t="s">
        <v>2452</v>
      </c>
      <c r="E37" s="41">
        <v>1</v>
      </c>
      <c r="F37" s="168" t="s">
        <v>6202</v>
      </c>
      <c r="G37" s="193" t="str">
        <f>IF(_1_5412845612146241046457891017[[#This Row],[Type]]&gt;0,VLOOKUP(_1_5412845612146241046457891017[[#This Row],[Type]],Main[[#All],[TYPE]:[UNIT]],'Unit Price'!C$1,FALSE),0)</f>
        <v>ANALOGUE AMMETER, 90 Deg Cls 1.5, 96x96mm</v>
      </c>
      <c r="H37" s="197" t="str">
        <f>IF(_1_5412845612146241046457891017[[#This Row],[Type]]&gt;0,VLOOKUP(_1_5412845612146241046457891017[[#This Row],[Type]],Main[[#All],[TYPE]:[UNIT]],'Unit Price'!D$1,FALSE),0)</f>
        <v>IMETEC</v>
      </c>
      <c r="I37" s="194">
        <f>IF(_1_5412845612146241046457891017[[#This Row],[Type]]&gt;0,VLOOKUP(_1_5412845612146241046457891017[[#This Row],[Type]],Main[[#All],[TYPE]:[UNIT]],'Unit Price'!G$1,FALSE),0)</f>
        <v>16.5</v>
      </c>
      <c r="J37" s="194">
        <f>IF(_1_5412845612146241046457891017[[#This Row],[Type]]&gt;0,VLOOKUP(_1_5412845612146241046457891017[[#This Row],[Type]],Main[[#All],[TYPE]:[UNIT]],'Unit Price'!H$1,FALSE),0)</f>
        <v>1</v>
      </c>
      <c r="K37" s="194">
        <f>IF(_1_5412845612146241046457891017[[#This Row],[Discount selection]]&gt;0,VLOOKUP(_1_5412845612146241046457891017[[#This Row],[Discount selection]],'Discount Structure'!$A$2:$B$30,2,"false"),0)</f>
        <v>1</v>
      </c>
      <c r="L37" s="194">
        <f>_1_5412845612146241046457891017[[#This Row],[LIST $]]*_1_5412845612146241046457891017[[#This Row],[DISCOUNT]]*_1_5412845612146241046457891017[[#This Row],[DISCOUNT 2]]</f>
        <v>16.5</v>
      </c>
      <c r="M37" s="194">
        <f>IF(OR(_1_5412845612146241046457891017[[#This Row],[UNIT]]&gt;0,_1_5412845612146241046457891017[[#This Row],[UNIT]]&lt;0),_1_5412845612146241046457891017[[#This Row],[UNIT]]*_1_5412845612146241046457891017[[#This Row],[COST]],0)</f>
        <v>16.5</v>
      </c>
      <c r="N37" s="194">
        <f t="shared" si="0"/>
        <v>1.35</v>
      </c>
      <c r="O37" s="198">
        <f>_1_5412845612146241046457891017[[#This Row],[TOTAL]]*_1_5412845612146241046457891017[[#This Row],[MARGIN]]</f>
        <v>22.275000000000002</v>
      </c>
      <c r="R37" s="41"/>
    </row>
    <row r="38" spans="1:18">
      <c r="C38" s="168"/>
      <c r="D38" s="188" t="s">
        <v>311</v>
      </c>
      <c r="E38" s="41">
        <v>30</v>
      </c>
      <c r="F38" s="168" t="s">
        <v>6202</v>
      </c>
      <c r="G38" s="193" t="str">
        <f>IF(_1_5412845612146241046457891017[[#This Row],[Type]]&gt;0,VLOOKUP(_1_5412845612146241046457891017[[#This Row],[Type]],Main[[#All],[TYPE]:[UNIT]],'Unit Price'!C$1,FALSE),0)</f>
        <v>CONTROL CABLE</v>
      </c>
      <c r="H38" s="197" t="str">
        <f>IF(_1_5412845612146241046457891017[[#This Row],[Type]]&gt;0,VLOOKUP(_1_5412845612146241046457891017[[#This Row],[Type]],Main[[#All],[TYPE]:[UNIT]],'Unit Price'!D$1,FALSE),0)</f>
        <v>UC</v>
      </c>
      <c r="I38" s="194">
        <f>IF(_1_5412845612146241046457891017[[#This Row],[Type]]&gt;0,VLOOKUP(_1_5412845612146241046457891017[[#This Row],[Type]],Main[[#All],[TYPE]:[UNIT]],'Unit Price'!G$1,FALSE),0)</f>
        <v>1</v>
      </c>
      <c r="J38" s="194">
        <f>IF(_1_5412845612146241046457891017[[#This Row],[Type]]&gt;0,VLOOKUP(_1_5412845612146241046457891017[[#This Row],[Type]],Main[[#All],[TYPE]:[UNIT]],'Unit Price'!H$1,FALSE),0)</f>
        <v>1</v>
      </c>
      <c r="K38" s="194">
        <f>IF(_1_5412845612146241046457891017[[#This Row],[Discount selection]]&gt;0,VLOOKUP(_1_5412845612146241046457891017[[#This Row],[Discount selection]],'Discount Structure'!$A$2:$B$30,2,"false"),0)</f>
        <v>1</v>
      </c>
      <c r="L38" s="194">
        <f>_1_5412845612146241046457891017[[#This Row],[LIST $]]*_1_5412845612146241046457891017[[#This Row],[DISCOUNT]]*_1_5412845612146241046457891017[[#This Row],[DISCOUNT 2]]</f>
        <v>1</v>
      </c>
      <c r="M38" s="194">
        <f>IF(OR(_1_5412845612146241046457891017[[#This Row],[UNIT]]&gt;0,_1_5412845612146241046457891017[[#This Row],[UNIT]]&lt;0),_1_5412845612146241046457891017[[#This Row],[UNIT]]*_1_5412845612146241046457891017[[#This Row],[COST]],0)</f>
        <v>30</v>
      </c>
      <c r="N38" s="194">
        <f t="shared" si="0"/>
        <v>1.35</v>
      </c>
      <c r="O38" s="198">
        <f>_1_5412845612146241046457891017[[#This Row],[TOTAL]]*_1_5412845612146241046457891017[[#This Row],[MARGIN]]</f>
        <v>40.5</v>
      </c>
      <c r="R38" s="41"/>
    </row>
    <row r="39" spans="1:18">
      <c r="C39" s="168"/>
      <c r="D39" s="188" t="s">
        <v>2923</v>
      </c>
      <c r="E39" s="41">
        <v>4</v>
      </c>
      <c r="F39" s="168" t="s">
        <v>6202</v>
      </c>
      <c r="G39" s="193" t="str">
        <f>IF(_1_5412845612146241046457891017[[#This Row],[Type]]&gt;0,VLOOKUP(_1_5412845612146241046457891017[[#This Row],[Type]],Main[[#All],[TYPE]:[UNIT]],'Unit Price'!C$1,FALSE),0)</f>
        <v>100/5A CL1 MCT</v>
      </c>
      <c r="H39" s="197" t="str">
        <f>IF(_1_5412845612146241046457891017[[#This Row],[Type]]&gt;0,VLOOKUP(_1_5412845612146241046457891017[[#This Row],[Type]],Main[[#All],[TYPE]:[UNIT]],'Unit Price'!D$1,FALSE),0)</f>
        <v>Mun Hean</v>
      </c>
      <c r="I39" s="194">
        <f>IF(_1_5412845612146241046457891017[[#This Row],[Type]]&gt;0,VLOOKUP(_1_5412845612146241046457891017[[#This Row],[Type]],Main[[#All],[TYPE]:[UNIT]],'Unit Price'!G$1,FALSE),0)</f>
        <v>118</v>
      </c>
      <c r="J39" s="194">
        <f>IF(_1_5412845612146241046457891017[[#This Row],[Type]]&gt;0,VLOOKUP(_1_5412845612146241046457891017[[#This Row],[Type]],Main[[#All],[TYPE]:[UNIT]],'Unit Price'!H$1,FALSE),0)</f>
        <v>0.54826874999999997</v>
      </c>
      <c r="K39" s="194">
        <f>IF(_1_5412845612146241046457891017[[#This Row],[Discount selection]]&gt;0,VLOOKUP(_1_5412845612146241046457891017[[#This Row],[Discount selection]],'Discount Structure'!$A$2:$B$30,2,"false"),0)</f>
        <v>1</v>
      </c>
      <c r="L39" s="194">
        <f>_1_5412845612146241046457891017[[#This Row],[LIST $]]*_1_5412845612146241046457891017[[#This Row],[DISCOUNT]]*_1_5412845612146241046457891017[[#This Row],[DISCOUNT 2]]</f>
        <v>64.695712499999999</v>
      </c>
      <c r="M39" s="194">
        <f>IF(OR(_1_5412845612146241046457891017[[#This Row],[UNIT]]&gt;0,_1_5412845612146241046457891017[[#This Row],[UNIT]]&lt;0),_1_5412845612146241046457891017[[#This Row],[UNIT]]*_1_5412845612146241046457891017[[#This Row],[COST]],0)</f>
        <v>258.78285</v>
      </c>
      <c r="N39" s="194">
        <f t="shared" si="0"/>
        <v>1.35</v>
      </c>
      <c r="O39" s="198">
        <f>_1_5412845612146241046457891017[[#This Row],[TOTAL]]*_1_5412845612146241046457891017[[#This Row],[MARGIN]]</f>
        <v>349.35684750000001</v>
      </c>
      <c r="R39" s="41"/>
    </row>
    <row r="40" spans="1:18">
      <c r="C40" s="168"/>
      <c r="D40" s="188"/>
      <c r="F40" s="168" t="s">
        <v>6202</v>
      </c>
      <c r="G40" s="193">
        <f>IF(_1_5412845612146241046457891017[[#This Row],[Type]]&gt;0,VLOOKUP(_1_5412845612146241046457891017[[#This Row],[Type]],Main[[#All],[TYPE]:[UNIT]],'Unit Price'!C$1,FALSE),0)</f>
        <v>0</v>
      </c>
      <c r="H40" s="197">
        <f>IF(_1_5412845612146241046457891017[[#This Row],[Type]]&gt;0,VLOOKUP(_1_5412845612146241046457891017[[#This Row],[Type]],Main[[#All],[TYPE]:[UNIT]],'Unit Price'!D$1,FALSE),0)</f>
        <v>0</v>
      </c>
      <c r="I40" s="194">
        <f>IF(_1_5412845612146241046457891017[[#This Row],[Type]]&gt;0,VLOOKUP(_1_5412845612146241046457891017[[#This Row],[Type]],Main[[#All],[TYPE]:[UNIT]],'Unit Price'!G$1,FALSE),0)</f>
        <v>0</v>
      </c>
      <c r="J40" s="194">
        <f>IF(_1_5412845612146241046457891017[[#This Row],[Type]]&gt;0,VLOOKUP(_1_5412845612146241046457891017[[#This Row],[Type]],Main[[#All],[TYPE]:[UNIT]],'Unit Price'!H$1,FALSE),0)</f>
        <v>0</v>
      </c>
      <c r="K40" s="194">
        <f>IF(_1_5412845612146241046457891017[[#This Row],[Discount selection]]&gt;0,VLOOKUP(_1_5412845612146241046457891017[[#This Row],[Discount selection]],'Discount Structure'!$A$2:$B$30,2,"false"),0)</f>
        <v>1</v>
      </c>
      <c r="L40" s="194">
        <f>_1_5412845612146241046457891017[[#This Row],[LIST $]]*_1_5412845612146241046457891017[[#This Row],[DISCOUNT]]*_1_5412845612146241046457891017[[#This Row],[DISCOUNT 2]]</f>
        <v>0</v>
      </c>
      <c r="M40" s="194">
        <f>IF(OR(_1_5412845612146241046457891017[[#This Row],[UNIT]]&gt;0,_1_5412845612146241046457891017[[#This Row],[UNIT]]&lt;0),_1_5412845612146241046457891017[[#This Row],[UNIT]]*_1_5412845612146241046457891017[[#This Row],[COST]],0)</f>
        <v>0</v>
      </c>
      <c r="N40" s="194">
        <f t="shared" si="0"/>
        <v>1.35</v>
      </c>
      <c r="O40" s="198">
        <f>_1_5412845612146241046457891017[[#This Row],[TOTAL]]*_1_5412845612146241046457891017[[#This Row],[MARGIN]]</f>
        <v>0</v>
      </c>
      <c r="R40" s="41"/>
    </row>
    <row r="41" spans="1:18">
      <c r="A41" s="316"/>
      <c r="C41" s="168"/>
      <c r="D41" s="188" t="s">
        <v>6373</v>
      </c>
      <c r="E41" s="41">
        <v>6</v>
      </c>
      <c r="F41" s="168" t="s">
        <v>6202</v>
      </c>
      <c r="G41" s="193" t="str">
        <f>IF(_1_5412845612146241046457891017[[#This Row],[Type]]&gt;0,VLOOKUP(_1_5412845612146241046457891017[[#This Row],[Type]],Main[[#All],[TYPE]:[UNIT]],'Unit Price'!C$1,FALSE),0)</f>
        <v>BUSBAR, 232A, 30kA
25mm x 6mm</v>
      </c>
      <c r="H41" s="197" t="str">
        <f>IF(_1_5412845612146241046457891017[[#This Row],[Type]]&gt;0,VLOOKUP(_1_5412845612146241046457891017[[#This Row],[Type]],Main[[#All],[TYPE]:[UNIT]],'Unit Price'!D$1,FALSE),0)</f>
        <v>LUVATA</v>
      </c>
      <c r="I41" s="194">
        <f>IF(_1_5412845612146241046457891017[[#This Row],[Type]]&gt;0,VLOOKUP(_1_5412845612146241046457891017[[#This Row],[Type]],Main[[#All],[TYPE]:[UNIT]],'Unit Price'!G$1,FALSE),0)</f>
        <v>86.97</v>
      </c>
      <c r="J41" s="194">
        <f>IF(_1_5412845612146241046457891017[[#This Row],[Type]]&gt;0,VLOOKUP(_1_5412845612146241046457891017[[#This Row],[Type]],Main[[#All],[TYPE]:[UNIT]],'Unit Price'!H$1,FALSE),0)</f>
        <v>1</v>
      </c>
      <c r="K41" s="194">
        <f>IF(_1_5412845612146241046457891017[[#This Row],[Discount selection]]&gt;0,VLOOKUP(_1_5412845612146241046457891017[[#This Row],[Discount selection]],'Discount Structure'!$A$2:$B$30,2,"false"),0)</f>
        <v>1</v>
      </c>
      <c r="L41" s="194">
        <f>_1_5412845612146241046457891017[[#This Row],[LIST $]]*_1_5412845612146241046457891017[[#This Row],[DISCOUNT]]*_1_5412845612146241046457891017[[#This Row],[DISCOUNT 2]]</f>
        <v>86.97</v>
      </c>
      <c r="M41" s="194">
        <f>IF(OR(_1_5412845612146241046457891017[[#This Row],[UNIT]]&gt;0,_1_5412845612146241046457891017[[#This Row],[UNIT]]&lt;0),_1_5412845612146241046457891017[[#This Row],[UNIT]]*_1_5412845612146241046457891017[[#This Row],[COST]],0)</f>
        <v>521.81999999999994</v>
      </c>
      <c r="N41" s="194">
        <f t="shared" si="0"/>
        <v>1.35</v>
      </c>
      <c r="O41" s="198">
        <f>_1_5412845612146241046457891017[[#This Row],[TOTAL]]*_1_5412845612146241046457891017[[#This Row],[MARGIN]]</f>
        <v>704.45699999999999</v>
      </c>
      <c r="R41" s="41"/>
    </row>
    <row r="42" spans="1:18">
      <c r="C42" s="168"/>
      <c r="D42" s="188"/>
      <c r="F42" s="168" t="s">
        <v>6202</v>
      </c>
      <c r="G42" s="193">
        <f>IF(_1_5412845612146241046457891017[[#This Row],[Type]]&gt;0,VLOOKUP(_1_5412845612146241046457891017[[#This Row],[Type]],Main[[#All],[TYPE]:[UNIT]],'Unit Price'!C$1,FALSE),0)</f>
        <v>0</v>
      </c>
      <c r="H42" s="197">
        <f>IF(_1_5412845612146241046457891017[[#This Row],[Type]]&gt;0,VLOOKUP(_1_5412845612146241046457891017[[#This Row],[Type]],Main[[#All],[TYPE]:[UNIT]],'Unit Price'!D$1,FALSE),0)</f>
        <v>0</v>
      </c>
      <c r="I42" s="194">
        <f>IF(_1_5412845612146241046457891017[[#This Row],[Type]]&gt;0,VLOOKUP(_1_5412845612146241046457891017[[#This Row],[Type]],Main[[#All],[TYPE]:[UNIT]],'Unit Price'!G$1,FALSE),0)</f>
        <v>0</v>
      </c>
      <c r="J42" s="194">
        <f>IF(_1_5412845612146241046457891017[[#This Row],[Type]]&gt;0,VLOOKUP(_1_5412845612146241046457891017[[#This Row],[Type]],Main[[#All],[TYPE]:[UNIT]],'Unit Price'!H$1,FALSE),0)</f>
        <v>0</v>
      </c>
      <c r="K42" s="194">
        <f>IF(_1_5412845612146241046457891017[[#This Row],[Discount selection]]&gt;0,VLOOKUP(_1_5412845612146241046457891017[[#This Row],[Discount selection]],'Discount Structure'!$A$2:$B$30,2,"false"),0)</f>
        <v>1</v>
      </c>
      <c r="L42" s="194">
        <f>_1_5412845612146241046457891017[[#This Row],[LIST $]]*_1_5412845612146241046457891017[[#This Row],[DISCOUNT]]*_1_5412845612146241046457891017[[#This Row],[DISCOUNT 2]]</f>
        <v>0</v>
      </c>
      <c r="M42" s="194">
        <f>IF(OR(_1_5412845612146241046457891017[[#This Row],[UNIT]]&gt;0,_1_5412845612146241046457891017[[#This Row],[UNIT]]&lt;0),_1_5412845612146241046457891017[[#This Row],[UNIT]]*_1_5412845612146241046457891017[[#This Row],[COST]],0)</f>
        <v>0</v>
      </c>
      <c r="N42" s="194">
        <f t="shared" si="0"/>
        <v>1.35</v>
      </c>
      <c r="O42" s="198">
        <f>_1_5412845612146241046457891017[[#This Row],[TOTAL]]*_1_5412845612146241046457891017[[#This Row],[MARGIN]]</f>
        <v>0</v>
      </c>
      <c r="R42" s="41"/>
    </row>
    <row r="43" spans="1:18">
      <c r="C43" s="168"/>
      <c r="D43" s="188" t="s">
        <v>1569</v>
      </c>
      <c r="E43" s="41">
        <v>10</v>
      </c>
      <c r="F43" s="168" t="s">
        <v>6202</v>
      </c>
      <c r="G43" s="193" t="str">
        <f>IF(_1_5412845612146241046457891017[[#This Row],[Type]]&gt;0,VLOOKUP(_1_5412845612146241046457891017[[#This Row],[Type]],Main[[#All],[TYPE]:[UNIT]],'Unit Price'!C$1,FALSE),0)</f>
        <v>40A 3P 50kA MCCB</v>
      </c>
      <c r="H43" s="197" t="str">
        <f>IF(_1_5412845612146241046457891017[[#This Row],[Type]]&gt;0,VLOOKUP(_1_5412845612146241046457891017[[#This Row],[Type]],Main[[#All],[TYPE]:[UNIT]],'Unit Price'!D$1,FALSE),0)</f>
        <v>CHINT</v>
      </c>
      <c r="I43" s="194">
        <f>IF(_1_5412845612146241046457891017[[#This Row],[Type]]&gt;0,VLOOKUP(_1_5412845612146241046457891017[[#This Row],[Type]],Main[[#All],[TYPE]:[UNIT]],'Unit Price'!G$1,FALSE),0)</f>
        <v>501</v>
      </c>
      <c r="J43" s="194">
        <f>IF(_1_5412845612146241046457891017[[#This Row],[Type]]&gt;0,VLOOKUP(_1_5412845612146241046457891017[[#This Row],[Type]],Main[[#All],[TYPE]:[UNIT]],'Unit Price'!H$1,FALSE),0)</f>
        <v>0.47155599999999998</v>
      </c>
      <c r="K43" s="194">
        <f>IF(_1_5412845612146241046457891017[[#This Row],[Discount selection]]&gt;0,VLOOKUP(_1_5412845612146241046457891017[[#This Row],[Discount selection]],'Discount Structure'!$A$2:$B$30,2,"false"),0)</f>
        <v>1</v>
      </c>
      <c r="L43" s="194">
        <f>_1_5412845612146241046457891017[[#This Row],[LIST $]]*_1_5412845612146241046457891017[[#This Row],[DISCOUNT]]*_1_5412845612146241046457891017[[#This Row],[DISCOUNT 2]]</f>
        <v>236.24955599999998</v>
      </c>
      <c r="M43" s="194">
        <f>IF(OR(_1_5412845612146241046457891017[[#This Row],[UNIT]]&gt;0,_1_5412845612146241046457891017[[#This Row],[UNIT]]&lt;0),_1_5412845612146241046457891017[[#This Row],[UNIT]]*_1_5412845612146241046457891017[[#This Row],[COST]],0)</f>
        <v>2362.4955599999998</v>
      </c>
      <c r="N43" s="194">
        <f t="shared" si="0"/>
        <v>1.35</v>
      </c>
      <c r="O43" s="198">
        <f>_1_5412845612146241046457891017[[#This Row],[TOTAL]]*_1_5412845612146241046457891017[[#This Row],[MARGIN]]</f>
        <v>3189.3690059999999</v>
      </c>
      <c r="R43" s="41"/>
    </row>
    <row r="44" spans="1:18">
      <c r="C44" s="168"/>
      <c r="D44" s="188" t="s">
        <v>299</v>
      </c>
      <c r="E44" s="41">
        <v>60</v>
      </c>
      <c r="F44" s="168" t="s">
        <v>6202</v>
      </c>
      <c r="G44" s="193" t="str">
        <f>IF(_1_5412845612146241046457891017[[#This Row],[Type]]&gt;0,VLOOKUP(_1_5412845612146241046457891017[[#This Row],[Type]],Main[[#All],[TYPE]:[UNIT]],'Unit Price'!C$1,FALSE),0)</f>
        <v>10MM SQ PVC CABLE (40A)</v>
      </c>
      <c r="H44" s="197" t="str">
        <f>IF(_1_5412845612146241046457891017[[#This Row],[Type]]&gt;0,VLOOKUP(_1_5412845612146241046457891017[[#This Row],[Type]],Main[[#All],[TYPE]:[UNIT]],'Unit Price'!D$1,FALSE),0)</f>
        <v>UC</v>
      </c>
      <c r="I44" s="194">
        <f>IF(_1_5412845612146241046457891017[[#This Row],[Type]]&gt;0,VLOOKUP(_1_5412845612146241046457891017[[#This Row],[Type]],Main[[#All],[TYPE]:[UNIT]],'Unit Price'!G$1,FALSE),0)</f>
        <v>6</v>
      </c>
      <c r="J44" s="194">
        <f>IF(_1_5412845612146241046457891017[[#This Row],[Type]]&gt;0,VLOOKUP(_1_5412845612146241046457891017[[#This Row],[Type]],Main[[#All],[TYPE]:[UNIT]],'Unit Price'!H$1,FALSE),0)</f>
        <v>1</v>
      </c>
      <c r="K44" s="194">
        <f>IF(_1_5412845612146241046457891017[[#This Row],[Discount selection]]&gt;0,VLOOKUP(_1_5412845612146241046457891017[[#This Row],[Discount selection]],'Discount Structure'!$A$2:$B$30,2,"false"),0)</f>
        <v>1</v>
      </c>
      <c r="L44" s="194">
        <f>_1_5412845612146241046457891017[[#This Row],[LIST $]]*_1_5412845612146241046457891017[[#This Row],[DISCOUNT]]*_1_5412845612146241046457891017[[#This Row],[DISCOUNT 2]]</f>
        <v>6</v>
      </c>
      <c r="M44" s="194">
        <f>IF(OR(_1_5412845612146241046457891017[[#This Row],[UNIT]]&gt;0,_1_5412845612146241046457891017[[#This Row],[UNIT]]&lt;0),_1_5412845612146241046457891017[[#This Row],[UNIT]]*_1_5412845612146241046457891017[[#This Row],[COST]],0)</f>
        <v>360</v>
      </c>
      <c r="N44" s="194">
        <f t="shared" si="0"/>
        <v>1.35</v>
      </c>
      <c r="O44" s="198">
        <f>_1_5412845612146241046457891017[[#This Row],[TOTAL]]*_1_5412845612146241046457891017[[#This Row],[MARGIN]]</f>
        <v>486.00000000000006</v>
      </c>
      <c r="R44" s="41"/>
    </row>
    <row r="45" spans="1:18">
      <c r="C45" s="168"/>
      <c r="D45" s="188" t="s">
        <v>1569</v>
      </c>
      <c r="E45" s="41">
        <v>1</v>
      </c>
      <c r="F45" s="168" t="s">
        <v>6202</v>
      </c>
      <c r="G45" s="193" t="str">
        <f>IF(_1_5412845612146241046457891017[[#This Row],[Type]]&gt;0,VLOOKUP(_1_5412845612146241046457891017[[#This Row],[Type]],Main[[#All],[TYPE]:[UNIT]],'Unit Price'!C$1,FALSE),0)</f>
        <v>40A 3P 50kA MCCB</v>
      </c>
      <c r="H45" s="197" t="str">
        <f>IF(_1_5412845612146241046457891017[[#This Row],[Type]]&gt;0,VLOOKUP(_1_5412845612146241046457891017[[#This Row],[Type]],Main[[#All],[TYPE]:[UNIT]],'Unit Price'!D$1,FALSE),0)</f>
        <v>CHINT</v>
      </c>
      <c r="I45" s="194">
        <f>IF(_1_5412845612146241046457891017[[#This Row],[Type]]&gt;0,VLOOKUP(_1_5412845612146241046457891017[[#This Row],[Type]],Main[[#All],[TYPE]:[UNIT]],'Unit Price'!G$1,FALSE),0)</f>
        <v>501</v>
      </c>
      <c r="J45" s="194">
        <f>IF(_1_5412845612146241046457891017[[#This Row],[Type]]&gt;0,VLOOKUP(_1_5412845612146241046457891017[[#This Row],[Type]],Main[[#All],[TYPE]:[UNIT]],'Unit Price'!H$1,FALSE),0)</f>
        <v>0.47155599999999998</v>
      </c>
      <c r="K45" s="194">
        <f>IF(_1_5412845612146241046457891017[[#This Row],[Discount selection]]&gt;0,VLOOKUP(_1_5412845612146241046457891017[[#This Row],[Discount selection]],'Discount Structure'!$A$2:$B$30,2,"false"),0)</f>
        <v>1</v>
      </c>
      <c r="L45" s="194">
        <f>_1_5412845612146241046457891017[[#This Row],[LIST $]]*_1_5412845612146241046457891017[[#This Row],[DISCOUNT]]*_1_5412845612146241046457891017[[#This Row],[DISCOUNT 2]]</f>
        <v>236.24955599999998</v>
      </c>
      <c r="M45" s="194">
        <f>IF(OR(_1_5412845612146241046457891017[[#This Row],[UNIT]]&gt;0,_1_5412845612146241046457891017[[#This Row],[UNIT]]&lt;0),_1_5412845612146241046457891017[[#This Row],[UNIT]]*_1_5412845612146241046457891017[[#This Row],[COST]],0)</f>
        <v>236.24955599999998</v>
      </c>
      <c r="N45" s="194">
        <f t="shared" si="0"/>
        <v>1.35</v>
      </c>
      <c r="O45" s="198">
        <f>_1_5412845612146241046457891017[[#This Row],[TOTAL]]*_1_5412845612146241046457891017[[#This Row],[MARGIN]]</f>
        <v>318.9369006</v>
      </c>
      <c r="R45" s="41"/>
    </row>
    <row r="46" spans="1:18">
      <c r="C46" s="168"/>
      <c r="D46" s="188" t="s">
        <v>301</v>
      </c>
      <c r="E46" s="41">
        <v>4</v>
      </c>
      <c r="F46" s="168" t="s">
        <v>6202</v>
      </c>
      <c r="G46" s="193" t="str">
        <f>IF(_1_5412845612146241046457891017[[#This Row],[Type]]&gt;0,VLOOKUP(_1_5412845612146241046457891017[[#This Row],[Type]],Main[[#All],[TYPE]:[UNIT]],'Unit Price'!C$1,FALSE),0)</f>
        <v>HRC FUSE</v>
      </c>
      <c r="H46" s="197" t="str">
        <f>IF(_1_5412845612146241046457891017[[#This Row],[Type]]&gt;0,VLOOKUP(_1_5412845612146241046457891017[[#This Row],[Type]],Main[[#All],[TYPE]:[UNIT]],'Unit Price'!D$1,FALSE),0)</f>
        <v>HAMA</v>
      </c>
      <c r="I46" s="194">
        <f>IF(_1_5412845612146241046457891017[[#This Row],[Type]]&gt;0,VLOOKUP(_1_5412845612146241046457891017[[#This Row],[Type]],Main[[#All],[TYPE]:[UNIT]],'Unit Price'!G$1,FALSE),0)</f>
        <v>6</v>
      </c>
      <c r="J46" s="194">
        <f>IF(_1_5412845612146241046457891017[[#This Row],[Type]]&gt;0,VLOOKUP(_1_5412845612146241046457891017[[#This Row],[Type]],Main[[#All],[TYPE]:[UNIT]],'Unit Price'!H$1,FALSE),0)</f>
        <v>1</v>
      </c>
      <c r="K46" s="194">
        <f>IF(_1_5412845612146241046457891017[[#This Row],[Discount selection]]&gt;0,VLOOKUP(_1_5412845612146241046457891017[[#This Row],[Discount selection]],'Discount Structure'!$A$2:$B$30,2,"false"),0)</f>
        <v>1</v>
      </c>
      <c r="L46" s="194">
        <f>_1_5412845612146241046457891017[[#This Row],[LIST $]]*_1_5412845612146241046457891017[[#This Row],[DISCOUNT]]*_1_5412845612146241046457891017[[#This Row],[DISCOUNT 2]]</f>
        <v>6</v>
      </c>
      <c r="M46" s="194">
        <f>IF(OR(_1_5412845612146241046457891017[[#This Row],[UNIT]]&gt;0,_1_5412845612146241046457891017[[#This Row],[UNIT]]&lt;0),_1_5412845612146241046457891017[[#This Row],[UNIT]]*_1_5412845612146241046457891017[[#This Row],[COST]],0)</f>
        <v>24</v>
      </c>
      <c r="N46" s="194">
        <f t="shared" si="0"/>
        <v>1.35</v>
      </c>
      <c r="O46" s="198">
        <f>_1_5412845612146241046457891017[[#This Row],[TOTAL]]*_1_5412845612146241046457891017[[#This Row],[MARGIN]]</f>
        <v>32.400000000000006</v>
      </c>
      <c r="R46" s="41"/>
    </row>
    <row r="47" spans="1:18">
      <c r="C47" s="168"/>
      <c r="D47" s="188" t="s">
        <v>2162</v>
      </c>
      <c r="E47" s="41">
        <v>3</v>
      </c>
      <c r="F47" s="168" t="s">
        <v>6202</v>
      </c>
      <c r="G47" s="193" t="str">
        <f>IF(_1_5412845612146241046457891017[[#This Row],[Type]]&gt;0,VLOOKUP(_1_5412845612146241046457891017[[#This Row],[Type]],Main[[#All],[TYPE]:[UNIT]],'Unit Price'!C$1,FALSE),0)</f>
        <v>PILOT LAMP,240VAC</v>
      </c>
      <c r="H47" s="197" t="str">
        <f>IF(_1_5412845612146241046457891017[[#This Row],[Type]]&gt;0,VLOOKUP(_1_5412845612146241046457891017[[#This Row],[Type]],Main[[#All],[TYPE]:[UNIT]],'Unit Price'!D$1,FALSE),0)</f>
        <v>FD</v>
      </c>
      <c r="I47" s="194">
        <f>IF(_1_5412845612146241046457891017[[#This Row],[Type]]&gt;0,VLOOKUP(_1_5412845612146241046457891017[[#This Row],[Type]],Main[[#All],[TYPE]:[UNIT]],'Unit Price'!G$1,FALSE),0)</f>
        <v>4</v>
      </c>
      <c r="J47" s="194">
        <f>IF(_1_5412845612146241046457891017[[#This Row],[Type]]&gt;0,VLOOKUP(_1_5412845612146241046457891017[[#This Row],[Type]],Main[[#All],[TYPE]:[UNIT]],'Unit Price'!H$1,FALSE),0)</f>
        <v>1</v>
      </c>
      <c r="K47" s="194">
        <f>IF(_1_5412845612146241046457891017[[#This Row],[Discount selection]]&gt;0,VLOOKUP(_1_5412845612146241046457891017[[#This Row],[Discount selection]],'Discount Structure'!$A$2:$B$30,2,"false"),0)</f>
        <v>1</v>
      </c>
      <c r="L47" s="194">
        <f>_1_5412845612146241046457891017[[#This Row],[LIST $]]*_1_5412845612146241046457891017[[#This Row],[DISCOUNT]]*_1_5412845612146241046457891017[[#This Row],[DISCOUNT 2]]</f>
        <v>4</v>
      </c>
      <c r="M47" s="194">
        <f>IF(OR(_1_5412845612146241046457891017[[#This Row],[UNIT]]&gt;0,_1_5412845612146241046457891017[[#This Row],[UNIT]]&lt;0),_1_5412845612146241046457891017[[#This Row],[UNIT]]*_1_5412845612146241046457891017[[#This Row],[COST]],0)</f>
        <v>12</v>
      </c>
      <c r="N47" s="194">
        <f t="shared" si="0"/>
        <v>1.35</v>
      </c>
      <c r="O47" s="198">
        <f>_1_5412845612146241046457891017[[#This Row],[TOTAL]]*_1_5412845612146241046457891017[[#This Row],[MARGIN]]</f>
        <v>16.200000000000003</v>
      </c>
      <c r="R47" s="41"/>
    </row>
    <row r="48" spans="1:18">
      <c r="C48" s="168"/>
      <c r="D48" s="188" t="s">
        <v>311</v>
      </c>
      <c r="E48" s="41">
        <v>10</v>
      </c>
      <c r="F48" s="168" t="s">
        <v>6202</v>
      </c>
      <c r="G48" s="193" t="str">
        <f>IF(_1_5412845612146241046457891017[[#This Row],[Type]]&gt;0,VLOOKUP(_1_5412845612146241046457891017[[#This Row],[Type]],Main[[#All],[TYPE]:[UNIT]],'Unit Price'!C$1,FALSE),0)</f>
        <v>CONTROL CABLE</v>
      </c>
      <c r="H48" s="197" t="str">
        <f>IF(_1_5412845612146241046457891017[[#This Row],[Type]]&gt;0,VLOOKUP(_1_5412845612146241046457891017[[#This Row],[Type]],Main[[#All],[TYPE]:[UNIT]],'Unit Price'!D$1,FALSE),0)</f>
        <v>UC</v>
      </c>
      <c r="I48" s="194">
        <f>IF(_1_5412845612146241046457891017[[#This Row],[Type]]&gt;0,VLOOKUP(_1_5412845612146241046457891017[[#This Row],[Type]],Main[[#All],[TYPE]:[UNIT]],'Unit Price'!G$1,FALSE),0)</f>
        <v>1</v>
      </c>
      <c r="J48" s="194">
        <f>IF(_1_5412845612146241046457891017[[#This Row],[Type]]&gt;0,VLOOKUP(_1_5412845612146241046457891017[[#This Row],[Type]],Main[[#All],[TYPE]:[UNIT]],'Unit Price'!H$1,FALSE),0)</f>
        <v>1</v>
      </c>
      <c r="K48" s="194">
        <f>IF(_1_5412845612146241046457891017[[#This Row],[Discount selection]]&gt;0,VLOOKUP(_1_5412845612146241046457891017[[#This Row],[Discount selection]],'Discount Structure'!$A$2:$B$30,2,"false"),0)</f>
        <v>1</v>
      </c>
      <c r="L48" s="194">
        <f>_1_5412845612146241046457891017[[#This Row],[LIST $]]*_1_5412845612146241046457891017[[#This Row],[DISCOUNT]]*_1_5412845612146241046457891017[[#This Row],[DISCOUNT 2]]</f>
        <v>1</v>
      </c>
      <c r="M48" s="194">
        <f>IF(OR(_1_5412845612146241046457891017[[#This Row],[UNIT]]&gt;0,_1_5412845612146241046457891017[[#This Row],[UNIT]]&lt;0),_1_5412845612146241046457891017[[#This Row],[UNIT]]*_1_5412845612146241046457891017[[#This Row],[COST]],0)</f>
        <v>10</v>
      </c>
      <c r="N48" s="194">
        <f t="shared" si="0"/>
        <v>1.35</v>
      </c>
      <c r="O48" s="198">
        <f>_1_5412845612146241046457891017[[#This Row],[TOTAL]]*_1_5412845612146241046457891017[[#This Row],[MARGIN]]</f>
        <v>13.5</v>
      </c>
      <c r="R48" s="41"/>
    </row>
    <row r="49" spans="1:18">
      <c r="C49" s="168"/>
      <c r="D49" s="188"/>
      <c r="F49" s="168" t="s">
        <v>6202</v>
      </c>
      <c r="G49" s="193">
        <f>IF(_1_5412845612146241046457891017[[#This Row],[Type]]&gt;0,VLOOKUP(_1_5412845612146241046457891017[[#This Row],[Type]],Main[[#All],[TYPE]:[UNIT]],'Unit Price'!C$1,FALSE),0)</f>
        <v>0</v>
      </c>
      <c r="H49" s="197">
        <f>IF(_1_5412845612146241046457891017[[#This Row],[Type]]&gt;0,VLOOKUP(_1_5412845612146241046457891017[[#This Row],[Type]],Main[[#All],[TYPE]:[UNIT]],'Unit Price'!D$1,FALSE),0)</f>
        <v>0</v>
      </c>
      <c r="I49" s="194">
        <f>IF(_1_5412845612146241046457891017[[#This Row],[Type]]&gt;0,VLOOKUP(_1_5412845612146241046457891017[[#This Row],[Type]],Main[[#All],[TYPE]:[UNIT]],'Unit Price'!G$1,FALSE),0)</f>
        <v>0</v>
      </c>
      <c r="J49" s="194">
        <f>IF(_1_5412845612146241046457891017[[#This Row],[Type]]&gt;0,VLOOKUP(_1_5412845612146241046457891017[[#This Row],[Type]],Main[[#All],[TYPE]:[UNIT]],'Unit Price'!H$1,FALSE),0)</f>
        <v>0</v>
      </c>
      <c r="K49" s="194">
        <f>IF(_1_5412845612146241046457891017[[#This Row],[Discount selection]]&gt;0,VLOOKUP(_1_5412845612146241046457891017[[#This Row],[Discount selection]],'Discount Structure'!$A$2:$B$30,2,"false"),0)</f>
        <v>1</v>
      </c>
      <c r="L49" s="194">
        <f>_1_5412845612146241046457891017[[#This Row],[LIST $]]*_1_5412845612146241046457891017[[#This Row],[DISCOUNT]]*_1_5412845612146241046457891017[[#This Row],[DISCOUNT 2]]</f>
        <v>0</v>
      </c>
      <c r="M49" s="194">
        <f>IF(OR(_1_5412845612146241046457891017[[#This Row],[UNIT]]&gt;0,_1_5412845612146241046457891017[[#This Row],[UNIT]]&lt;0),_1_5412845612146241046457891017[[#This Row],[UNIT]]*_1_5412845612146241046457891017[[#This Row],[COST]],0)</f>
        <v>0</v>
      </c>
      <c r="N49" s="194">
        <f t="shared" si="0"/>
        <v>1.35</v>
      </c>
      <c r="O49" s="198">
        <f>_1_5412845612146241046457891017[[#This Row],[TOTAL]]*_1_5412845612146241046457891017[[#This Row],[MARGIN]]</f>
        <v>0</v>
      </c>
      <c r="R49" s="41"/>
    </row>
    <row r="50" spans="1:18">
      <c r="C50" s="168"/>
      <c r="D50" s="188" t="s">
        <v>1930</v>
      </c>
      <c r="E50" s="41">
        <v>5</v>
      </c>
      <c r="F50" s="168" t="s">
        <v>6202</v>
      </c>
      <c r="G50" s="193" t="str">
        <f>IF(_1_5412845612146241046457891017[[#This Row],[Type]]&gt;0,VLOOKUP(_1_5412845612146241046457891017[[#This Row],[Type]],Main[[#All],[TYPE]:[UNIT]],'Unit Price'!C$1,FALSE),0)</f>
        <v>5kVAR 525V CAP BANK</v>
      </c>
      <c r="H50" s="197" t="str">
        <f>IF(_1_5412845612146241046457891017[[#This Row],[Type]]&gt;0,VLOOKUP(_1_5412845612146241046457891017[[#This Row],[Type]],Main[[#All],[TYPE]:[UNIT]],'Unit Price'!D$1,FALSE),0)</f>
        <v>ELCO</v>
      </c>
      <c r="I50" s="194">
        <f>IF(_1_5412845612146241046457891017[[#This Row],[Type]]&gt;0,VLOOKUP(_1_5412845612146241046457891017[[#This Row],[Type]],Main[[#All],[TYPE]:[UNIT]],'Unit Price'!G$1,FALSE),0)</f>
        <v>178</v>
      </c>
      <c r="J50" s="194">
        <f>IF(_1_5412845612146241046457891017[[#This Row],[Type]]&gt;0,VLOOKUP(_1_5412845612146241046457891017[[#This Row],[Type]],Main[[#All],[TYPE]:[UNIT]],'Unit Price'!H$1,FALSE),0)</f>
        <v>0.36450000000000005</v>
      </c>
      <c r="K50" s="194">
        <f>IF(_1_5412845612146241046457891017[[#This Row],[Discount selection]]&gt;0,VLOOKUP(_1_5412845612146241046457891017[[#This Row],[Discount selection]],'Discount Structure'!$A$2:$B$30,2,"false"),0)</f>
        <v>1</v>
      </c>
      <c r="L50" s="194">
        <f>_1_5412845612146241046457891017[[#This Row],[LIST $]]*_1_5412845612146241046457891017[[#This Row],[DISCOUNT]]*_1_5412845612146241046457891017[[#This Row],[DISCOUNT 2]]</f>
        <v>64.881000000000014</v>
      </c>
      <c r="M50" s="194">
        <f>IF(OR(_1_5412845612146241046457891017[[#This Row],[UNIT]]&gt;0,_1_5412845612146241046457891017[[#This Row],[UNIT]]&lt;0),_1_5412845612146241046457891017[[#This Row],[UNIT]]*_1_5412845612146241046457891017[[#This Row],[COST]],0)</f>
        <v>324.40500000000009</v>
      </c>
      <c r="N50" s="194">
        <f t="shared" si="0"/>
        <v>1.35</v>
      </c>
      <c r="O50" s="198">
        <f>_1_5412845612146241046457891017[[#This Row],[TOTAL]]*_1_5412845612146241046457891017[[#This Row],[MARGIN]]</f>
        <v>437.94675000000012</v>
      </c>
      <c r="R50" s="41"/>
    </row>
    <row r="51" spans="1:18">
      <c r="C51" s="168"/>
      <c r="D51" s="188" t="s">
        <v>1567</v>
      </c>
      <c r="E51" s="41">
        <v>5</v>
      </c>
      <c r="F51" s="168" t="s">
        <v>6202</v>
      </c>
      <c r="G51" s="193" t="str">
        <f>IF(_1_5412845612146241046457891017[[#This Row],[Type]]&gt;0,VLOOKUP(_1_5412845612146241046457891017[[#This Row],[Type]],Main[[#All],[TYPE]:[UNIT]],'Unit Price'!C$1,FALSE),0)</f>
        <v>25A 3P 50kA MCCB</v>
      </c>
      <c r="H51" s="197" t="str">
        <f>IF(_1_5412845612146241046457891017[[#This Row],[Type]]&gt;0,VLOOKUP(_1_5412845612146241046457891017[[#This Row],[Type]],Main[[#All],[TYPE]:[UNIT]],'Unit Price'!D$1,FALSE),0)</f>
        <v>CHINT</v>
      </c>
      <c r="I51" s="194">
        <f>IF(_1_5412845612146241046457891017[[#This Row],[Type]]&gt;0,VLOOKUP(_1_5412845612146241046457891017[[#This Row],[Type]],Main[[#All],[TYPE]:[UNIT]],'Unit Price'!G$1,FALSE),0)</f>
        <v>501</v>
      </c>
      <c r="J51" s="194">
        <f>IF(_1_5412845612146241046457891017[[#This Row],[Type]]&gt;0,VLOOKUP(_1_5412845612146241046457891017[[#This Row],[Type]],Main[[#All],[TYPE]:[UNIT]],'Unit Price'!H$1,FALSE),0)</f>
        <v>0.47155599999999998</v>
      </c>
      <c r="K51" s="194">
        <f>IF(_1_5412845612146241046457891017[[#This Row],[Discount selection]]&gt;0,VLOOKUP(_1_5412845612146241046457891017[[#This Row],[Discount selection]],'Discount Structure'!$A$2:$B$30,2,"false"),0)</f>
        <v>1</v>
      </c>
      <c r="L51" s="194">
        <f>_1_5412845612146241046457891017[[#This Row],[LIST $]]*_1_5412845612146241046457891017[[#This Row],[DISCOUNT]]*_1_5412845612146241046457891017[[#This Row],[DISCOUNT 2]]</f>
        <v>236.24955599999998</v>
      </c>
      <c r="M51" s="194">
        <f>IF(OR(_1_5412845612146241046457891017[[#This Row],[UNIT]]&gt;0,_1_5412845612146241046457891017[[#This Row],[UNIT]]&lt;0),_1_5412845612146241046457891017[[#This Row],[UNIT]]*_1_5412845612146241046457891017[[#This Row],[COST]],0)</f>
        <v>1181.2477799999999</v>
      </c>
      <c r="N51" s="194">
        <f t="shared" si="0"/>
        <v>1.35</v>
      </c>
      <c r="O51" s="198">
        <f>_1_5412845612146241046457891017[[#This Row],[TOTAL]]*_1_5412845612146241046457891017[[#This Row],[MARGIN]]</f>
        <v>1594.6845029999999</v>
      </c>
      <c r="R51" s="41"/>
    </row>
    <row r="52" spans="1:18">
      <c r="C52" s="168"/>
      <c r="D52" s="188" t="s">
        <v>7727</v>
      </c>
      <c r="E52" s="41">
        <v>5</v>
      </c>
      <c r="F52" s="168" t="s">
        <v>6202</v>
      </c>
      <c r="G52" s="193" t="str">
        <f>IF(_1_5412845612146241046457891017[[#This Row],[Type]]&gt;0,VLOOKUP(_1_5412845612146241046457891017[[#This Row],[Type]],Main[[#All],[TYPE]:[UNIT]],'Unit Price'!C$1,FALSE),0)</f>
        <v>19A 3P CONTACTOR, (5,10kVAR,440V) (5,10,15kVAR,525V)</v>
      </c>
      <c r="H52" s="197" t="str">
        <f>IF(_1_5412845612146241046457891017[[#This Row],[Type]]&gt;0,VLOOKUP(_1_5412845612146241046457891017[[#This Row],[Type]],Main[[#All],[TYPE]:[UNIT]],'Unit Price'!D$1,FALSE),0)</f>
        <v>CHINT</v>
      </c>
      <c r="I52" s="194">
        <f>IF(_1_5412845612146241046457891017[[#This Row],[Type]]&gt;0,VLOOKUP(_1_5412845612146241046457891017[[#This Row],[Type]],Main[[#All],[TYPE]:[UNIT]],'Unit Price'!G$1,FALSE),0)</f>
        <v>170</v>
      </c>
      <c r="J52" s="194">
        <f>IF(_1_5412845612146241046457891017[[#This Row],[Type]]&gt;0,VLOOKUP(_1_5412845612146241046457891017[[#This Row],[Type]],Main[[#All],[TYPE]:[UNIT]],'Unit Price'!H$1,FALSE),0)</f>
        <v>0.47155599999999998</v>
      </c>
      <c r="K52" s="194">
        <f>IF(_1_5412845612146241046457891017[[#This Row],[Discount selection]]&gt;0,VLOOKUP(_1_5412845612146241046457891017[[#This Row],[Discount selection]],'Discount Structure'!$A$2:$B$30,2,"false"),0)</f>
        <v>1</v>
      </c>
      <c r="L52" s="194">
        <f>_1_5412845612146241046457891017[[#This Row],[LIST $]]*_1_5412845612146241046457891017[[#This Row],[DISCOUNT]]*_1_5412845612146241046457891017[[#This Row],[DISCOUNT 2]]</f>
        <v>80.164519999999996</v>
      </c>
      <c r="M52" s="194">
        <f>IF(OR(_1_5412845612146241046457891017[[#This Row],[UNIT]]&gt;0,_1_5412845612146241046457891017[[#This Row],[UNIT]]&lt;0),_1_5412845612146241046457891017[[#This Row],[UNIT]]*_1_5412845612146241046457891017[[#This Row],[COST]],0)</f>
        <v>400.82259999999997</v>
      </c>
      <c r="N52" s="194">
        <f t="shared" si="0"/>
        <v>1.35</v>
      </c>
      <c r="O52" s="198">
        <f>_1_5412845612146241046457891017[[#This Row],[TOTAL]]*_1_5412845612146241046457891017[[#This Row],[MARGIN]]</f>
        <v>541.11050999999998</v>
      </c>
      <c r="R52" s="41"/>
    </row>
    <row r="53" spans="1:18">
      <c r="C53" s="168"/>
      <c r="D53" s="188" t="s">
        <v>299</v>
      </c>
      <c r="E53" s="41">
        <v>30</v>
      </c>
      <c r="F53" s="168" t="s">
        <v>6202</v>
      </c>
      <c r="G53" s="193" t="str">
        <f>IF(_1_5412845612146241046457891017[[#This Row],[Type]]&gt;0,VLOOKUP(_1_5412845612146241046457891017[[#This Row],[Type]],Main[[#All],[TYPE]:[UNIT]],'Unit Price'!C$1,FALSE),0)</f>
        <v>10MM SQ PVC CABLE (40A)</v>
      </c>
      <c r="H53" s="197" t="str">
        <f>IF(_1_5412845612146241046457891017[[#This Row],[Type]]&gt;0,VLOOKUP(_1_5412845612146241046457891017[[#This Row],[Type]],Main[[#All],[TYPE]:[UNIT]],'Unit Price'!D$1,FALSE),0)</f>
        <v>UC</v>
      </c>
      <c r="I53" s="194">
        <f>IF(_1_5412845612146241046457891017[[#This Row],[Type]]&gt;0,VLOOKUP(_1_5412845612146241046457891017[[#This Row],[Type]],Main[[#All],[TYPE]:[UNIT]],'Unit Price'!G$1,FALSE),0)</f>
        <v>6</v>
      </c>
      <c r="J53" s="194">
        <f>IF(_1_5412845612146241046457891017[[#This Row],[Type]]&gt;0,VLOOKUP(_1_5412845612146241046457891017[[#This Row],[Type]],Main[[#All],[TYPE]:[UNIT]],'Unit Price'!H$1,FALSE),0)</f>
        <v>1</v>
      </c>
      <c r="K53" s="194">
        <f>IF(_1_5412845612146241046457891017[[#This Row],[Discount selection]]&gt;0,VLOOKUP(_1_5412845612146241046457891017[[#This Row],[Discount selection]],'Discount Structure'!$A$2:$B$30,2,"false"),0)</f>
        <v>1</v>
      </c>
      <c r="L53" s="194">
        <f>_1_5412845612146241046457891017[[#This Row],[LIST $]]*_1_5412845612146241046457891017[[#This Row],[DISCOUNT]]*_1_5412845612146241046457891017[[#This Row],[DISCOUNT 2]]</f>
        <v>6</v>
      </c>
      <c r="M53" s="194">
        <f>IF(OR(_1_5412845612146241046457891017[[#This Row],[UNIT]]&gt;0,_1_5412845612146241046457891017[[#This Row],[UNIT]]&lt;0),_1_5412845612146241046457891017[[#This Row],[UNIT]]*_1_5412845612146241046457891017[[#This Row],[COST]],0)</f>
        <v>180</v>
      </c>
      <c r="N53" s="194">
        <f t="shared" si="0"/>
        <v>1.35</v>
      </c>
      <c r="O53" s="198">
        <f>_1_5412845612146241046457891017[[#This Row],[TOTAL]]*_1_5412845612146241046457891017[[#This Row],[MARGIN]]</f>
        <v>243.00000000000003</v>
      </c>
      <c r="R53" s="41"/>
    </row>
    <row r="54" spans="1:18">
      <c r="C54" s="168"/>
      <c r="D54" s="188"/>
      <c r="F54" s="168" t="s">
        <v>6202</v>
      </c>
      <c r="G54" s="193">
        <f>IF(_1_5412845612146241046457891017[[#This Row],[Type]]&gt;0,VLOOKUP(_1_5412845612146241046457891017[[#This Row],[Type]],Main[[#All],[TYPE]:[UNIT]],'Unit Price'!C$1,FALSE),0)</f>
        <v>0</v>
      </c>
      <c r="H54" s="197">
        <f>IF(_1_5412845612146241046457891017[[#This Row],[Type]]&gt;0,VLOOKUP(_1_5412845612146241046457891017[[#This Row],[Type]],Main[[#All],[TYPE]:[UNIT]],'Unit Price'!D$1,FALSE),0)</f>
        <v>0</v>
      </c>
      <c r="I54" s="194">
        <f>IF(_1_5412845612146241046457891017[[#This Row],[Type]]&gt;0,VLOOKUP(_1_5412845612146241046457891017[[#This Row],[Type]],Main[[#All],[TYPE]:[UNIT]],'Unit Price'!G$1,FALSE),0)</f>
        <v>0</v>
      </c>
      <c r="J54" s="194">
        <f>IF(_1_5412845612146241046457891017[[#This Row],[Type]]&gt;0,VLOOKUP(_1_5412845612146241046457891017[[#This Row],[Type]],Main[[#All],[TYPE]:[UNIT]],'Unit Price'!H$1,FALSE),0)</f>
        <v>0</v>
      </c>
      <c r="K54" s="194">
        <f>IF(_1_5412845612146241046457891017[[#This Row],[Discount selection]]&gt;0,VLOOKUP(_1_5412845612146241046457891017[[#This Row],[Discount selection]],'Discount Structure'!$A$2:$B$30,2,"false"),0)</f>
        <v>1</v>
      </c>
      <c r="L54" s="194">
        <f>_1_5412845612146241046457891017[[#This Row],[LIST $]]*_1_5412845612146241046457891017[[#This Row],[DISCOUNT]]*_1_5412845612146241046457891017[[#This Row],[DISCOUNT 2]]</f>
        <v>0</v>
      </c>
      <c r="M54" s="194">
        <f>IF(OR(_1_5412845612146241046457891017[[#This Row],[UNIT]]&gt;0,_1_5412845612146241046457891017[[#This Row],[UNIT]]&lt;0),_1_5412845612146241046457891017[[#This Row],[UNIT]]*_1_5412845612146241046457891017[[#This Row],[COST]],0)</f>
        <v>0</v>
      </c>
      <c r="N54" s="194">
        <f t="shared" si="0"/>
        <v>1.35</v>
      </c>
      <c r="O54" s="198">
        <f>_1_5412845612146241046457891017[[#This Row],[TOTAL]]*_1_5412845612146241046457891017[[#This Row],[MARGIN]]</f>
        <v>0</v>
      </c>
      <c r="R54" s="41"/>
    </row>
    <row r="55" spans="1:18">
      <c r="C55" s="168"/>
      <c r="D55" s="188" t="s">
        <v>5874</v>
      </c>
      <c r="E55" s="41">
        <v>1</v>
      </c>
      <c r="F55" s="168" t="s">
        <v>6202</v>
      </c>
      <c r="G55" s="193" t="str">
        <f>IF(_1_5412845612146241046457891017[[#This Row],[Type]]&gt;0,VLOOKUP(_1_5412845612146241046457891017[[#This Row],[Type]],Main[[#All],[TYPE]:[UNIT]],'Unit Price'!C$1,FALSE),0)</f>
        <v>Power Factor Regulator NV-6s</v>
      </c>
      <c r="H55" s="197" t="str">
        <f>IF(_1_5412845612146241046457891017[[#This Row],[Type]]&gt;0,VLOOKUP(_1_5412845612146241046457891017[[#This Row],[Type]],Main[[#All],[TYPE]:[UNIT]],'Unit Price'!D$1,FALSE),0)</f>
        <v>Delab</v>
      </c>
      <c r="I55" s="194">
        <f>IF(_1_5412845612146241046457891017[[#This Row],[Type]]&gt;0,VLOOKUP(_1_5412845612146241046457891017[[#This Row],[Type]],Main[[#All],[TYPE]:[UNIT]],'Unit Price'!G$1,FALSE),0)</f>
        <v>660</v>
      </c>
      <c r="J55" s="194">
        <f>IF(_1_5412845612146241046457891017[[#This Row],[Type]]&gt;0,VLOOKUP(_1_5412845612146241046457891017[[#This Row],[Type]],Main[[#All],[TYPE]:[UNIT]],'Unit Price'!H$1,FALSE),0)</f>
        <v>0.41894999999999999</v>
      </c>
      <c r="K55" s="194">
        <f>IF(_1_5412845612146241046457891017[[#This Row],[Discount selection]]&gt;0,VLOOKUP(_1_5412845612146241046457891017[[#This Row],[Discount selection]],'Discount Structure'!$A$2:$B$30,2,"false"),0)</f>
        <v>1</v>
      </c>
      <c r="L55" s="194">
        <f>_1_5412845612146241046457891017[[#This Row],[LIST $]]*_1_5412845612146241046457891017[[#This Row],[DISCOUNT]]*_1_5412845612146241046457891017[[#This Row],[DISCOUNT 2]]</f>
        <v>276.50700000000001</v>
      </c>
      <c r="M55" s="194">
        <f>IF(OR(_1_5412845612146241046457891017[[#This Row],[UNIT]]&gt;0,_1_5412845612146241046457891017[[#This Row],[UNIT]]&lt;0),_1_5412845612146241046457891017[[#This Row],[UNIT]]*_1_5412845612146241046457891017[[#This Row],[COST]],0)</f>
        <v>276.50700000000001</v>
      </c>
      <c r="N55" s="194">
        <f t="shared" si="0"/>
        <v>1.35</v>
      </c>
      <c r="O55" s="198">
        <f>_1_5412845612146241046457891017[[#This Row],[TOTAL]]*_1_5412845612146241046457891017[[#This Row],[MARGIN]]</f>
        <v>373.28445000000005</v>
      </c>
      <c r="R55" s="41"/>
    </row>
    <row r="56" spans="1:18">
      <c r="B56" s="317"/>
      <c r="C56" s="168"/>
      <c r="D56" s="188" t="s">
        <v>2162</v>
      </c>
      <c r="E56" s="41">
        <v>5</v>
      </c>
      <c r="F56" s="168" t="s">
        <v>6202</v>
      </c>
      <c r="G56" s="193" t="str">
        <f>IF(_1_5412845612146241046457891017[[#This Row],[Type]]&gt;0,VLOOKUP(_1_5412845612146241046457891017[[#This Row],[Type]],Main[[#All],[TYPE]:[UNIT]],'Unit Price'!C$1,FALSE),0)</f>
        <v>PILOT LAMP,240VAC</v>
      </c>
      <c r="H56" s="197" t="str">
        <f>IF(_1_5412845612146241046457891017[[#This Row],[Type]]&gt;0,VLOOKUP(_1_5412845612146241046457891017[[#This Row],[Type]],Main[[#All],[TYPE]:[UNIT]],'Unit Price'!D$1,FALSE),0)</f>
        <v>FD</v>
      </c>
      <c r="I56" s="194">
        <f>IF(_1_5412845612146241046457891017[[#This Row],[Type]]&gt;0,VLOOKUP(_1_5412845612146241046457891017[[#This Row],[Type]],Main[[#All],[TYPE]:[UNIT]],'Unit Price'!G$1,FALSE),0)</f>
        <v>4</v>
      </c>
      <c r="J56" s="194">
        <f>IF(_1_5412845612146241046457891017[[#This Row],[Type]]&gt;0,VLOOKUP(_1_5412845612146241046457891017[[#This Row],[Type]],Main[[#All],[TYPE]:[UNIT]],'Unit Price'!H$1,FALSE),0)</f>
        <v>1</v>
      </c>
      <c r="K56" s="194">
        <f>IF(_1_5412845612146241046457891017[[#This Row],[Discount selection]]&gt;0,VLOOKUP(_1_5412845612146241046457891017[[#This Row],[Discount selection]],'Discount Structure'!$A$2:$B$30,2,"false"),0)</f>
        <v>1</v>
      </c>
      <c r="L56" s="194">
        <f>_1_5412845612146241046457891017[[#This Row],[LIST $]]*_1_5412845612146241046457891017[[#This Row],[DISCOUNT]]*_1_5412845612146241046457891017[[#This Row],[DISCOUNT 2]]</f>
        <v>4</v>
      </c>
      <c r="M56" s="194">
        <f>IF(OR(_1_5412845612146241046457891017[[#This Row],[UNIT]]&gt;0,_1_5412845612146241046457891017[[#This Row],[UNIT]]&lt;0),_1_5412845612146241046457891017[[#This Row],[UNIT]]*_1_5412845612146241046457891017[[#This Row],[COST]],0)</f>
        <v>20</v>
      </c>
      <c r="N56" s="194">
        <f t="shared" si="0"/>
        <v>1.35</v>
      </c>
      <c r="O56" s="198">
        <f>_1_5412845612146241046457891017[[#This Row],[TOTAL]]*_1_5412845612146241046457891017[[#This Row],[MARGIN]]</f>
        <v>27</v>
      </c>
      <c r="R56" s="41"/>
    </row>
    <row r="57" spans="1:18">
      <c r="A57" s="168"/>
      <c r="C57" s="168"/>
      <c r="D57" s="188" t="s">
        <v>1423</v>
      </c>
      <c r="E57" s="41">
        <v>1</v>
      </c>
      <c r="F57" s="168" t="s">
        <v>6202</v>
      </c>
      <c r="G57" s="193" t="str">
        <f>IF(_1_5412845612146241046457891017[[#This Row],[Type]]&gt;0,VLOOKUP(_1_5412845612146241046457891017[[#This Row],[Type]],Main[[#All],[TYPE]:[UNIT]],'Unit Price'!C$1,FALSE),0)</f>
        <v>N/O PUSH BUTTON</v>
      </c>
      <c r="H57" s="197" t="str">
        <f>IF(_1_5412845612146241046457891017[[#This Row],[Type]]&gt;0,VLOOKUP(_1_5412845612146241046457891017[[#This Row],[Type]],Main[[#All],[TYPE]:[UNIT]],'Unit Price'!D$1,FALSE),0)</f>
        <v>AMICO</v>
      </c>
      <c r="I57" s="194">
        <f>IF(_1_5412845612146241046457891017[[#This Row],[Type]]&gt;0,VLOOKUP(_1_5412845612146241046457891017[[#This Row],[Type]],Main[[#All],[TYPE]:[UNIT]],'Unit Price'!G$1,FALSE),0)</f>
        <v>6</v>
      </c>
      <c r="J57" s="194">
        <f>IF(_1_5412845612146241046457891017[[#This Row],[Type]]&gt;0,VLOOKUP(_1_5412845612146241046457891017[[#This Row],[Type]],Main[[#All],[TYPE]:[UNIT]],'Unit Price'!H$1,FALSE),0)</f>
        <v>1</v>
      </c>
      <c r="K57" s="194">
        <f>IF(_1_5412845612146241046457891017[[#This Row],[Discount selection]]&gt;0,VLOOKUP(_1_5412845612146241046457891017[[#This Row],[Discount selection]],'Discount Structure'!$A$2:$B$30,2,"false"),0)</f>
        <v>1</v>
      </c>
      <c r="L57" s="194">
        <f>_1_5412845612146241046457891017[[#This Row],[LIST $]]*_1_5412845612146241046457891017[[#This Row],[DISCOUNT]]*_1_5412845612146241046457891017[[#This Row],[DISCOUNT 2]]</f>
        <v>6</v>
      </c>
      <c r="M57" s="194">
        <f>IF(OR(_1_5412845612146241046457891017[[#This Row],[UNIT]]&gt;0,_1_5412845612146241046457891017[[#This Row],[UNIT]]&lt;0),_1_5412845612146241046457891017[[#This Row],[UNIT]]*_1_5412845612146241046457891017[[#This Row],[COST]],0)</f>
        <v>6</v>
      </c>
      <c r="N57" s="194">
        <f t="shared" si="0"/>
        <v>1.35</v>
      </c>
      <c r="O57" s="198">
        <f>_1_5412845612146241046457891017[[#This Row],[TOTAL]]*_1_5412845612146241046457891017[[#This Row],[MARGIN]]</f>
        <v>8.1000000000000014</v>
      </c>
      <c r="R57" s="41"/>
    </row>
    <row r="58" spans="1:18">
      <c r="B58" s="317"/>
      <c r="C58" s="168"/>
      <c r="D58" s="188" t="s">
        <v>3547</v>
      </c>
      <c r="E58" s="41">
        <v>1</v>
      </c>
      <c r="F58" s="168" t="s">
        <v>6202</v>
      </c>
      <c r="G58" s="193" t="str">
        <f>IF(_1_5412845612146241046457891017[[#This Row],[Type]]&gt;0,VLOOKUP(_1_5412845612146241046457891017[[#This Row],[Type]],Main[[#All],[TYPE]:[UNIT]],'Unit Price'!C$1,FALSE),0)</f>
        <v>EXHAUST FAN</v>
      </c>
      <c r="H58" s="197" t="str">
        <f>IF(_1_5412845612146241046457891017[[#This Row],[Type]]&gt;0,VLOOKUP(_1_5412845612146241046457891017[[#This Row],[Type]],Main[[#All],[TYPE]:[UNIT]],'Unit Price'!D$1,FALSE),0)</f>
        <v>SALZER</v>
      </c>
      <c r="I58" s="194">
        <f>IF(_1_5412845612146241046457891017[[#This Row],[Type]]&gt;0,VLOOKUP(_1_5412845612146241046457891017[[#This Row],[Type]],Main[[#All],[TYPE]:[UNIT]],'Unit Price'!G$1,FALSE),0)</f>
        <v>80</v>
      </c>
      <c r="J58" s="194">
        <f>IF(_1_5412845612146241046457891017[[#This Row],[Type]]&gt;0,VLOOKUP(_1_5412845612146241046457891017[[#This Row],[Type]],Main[[#All],[TYPE]:[UNIT]],'Unit Price'!H$1,FALSE),0)</f>
        <v>1</v>
      </c>
      <c r="K58" s="194">
        <f>IF(_1_5412845612146241046457891017[[#This Row],[Discount selection]]&gt;0,VLOOKUP(_1_5412845612146241046457891017[[#This Row],[Discount selection]],'Discount Structure'!$A$2:$B$30,2,"false"),0)</f>
        <v>1</v>
      </c>
      <c r="L58" s="194">
        <f>_1_5412845612146241046457891017[[#This Row],[LIST $]]*_1_5412845612146241046457891017[[#This Row],[DISCOUNT]]*_1_5412845612146241046457891017[[#This Row],[DISCOUNT 2]]</f>
        <v>80</v>
      </c>
      <c r="M58" s="194">
        <f>IF(OR(_1_5412845612146241046457891017[[#This Row],[UNIT]]&gt;0,_1_5412845612146241046457891017[[#This Row],[UNIT]]&lt;0),_1_5412845612146241046457891017[[#This Row],[UNIT]]*_1_5412845612146241046457891017[[#This Row],[COST]],0)</f>
        <v>80</v>
      </c>
      <c r="N58" s="194">
        <f t="shared" si="0"/>
        <v>1.35</v>
      </c>
      <c r="O58" s="198">
        <f>_1_5412845612146241046457891017[[#This Row],[TOTAL]]*_1_5412845612146241046457891017[[#This Row],[MARGIN]]</f>
        <v>108</v>
      </c>
      <c r="R58" s="41"/>
    </row>
    <row r="59" spans="1:18">
      <c r="C59" s="168"/>
      <c r="D59" s="188" t="s">
        <v>311</v>
      </c>
      <c r="E59" s="41">
        <v>50</v>
      </c>
      <c r="F59" s="168" t="s">
        <v>6202</v>
      </c>
      <c r="G59" s="193" t="str">
        <f>IF(_1_5412845612146241046457891017[[#This Row],[Type]]&gt;0,VLOOKUP(_1_5412845612146241046457891017[[#This Row],[Type]],Main[[#All],[TYPE]:[UNIT]],'Unit Price'!C$1,FALSE),0)</f>
        <v>CONTROL CABLE</v>
      </c>
      <c r="H59" s="197" t="str">
        <f>IF(_1_5412845612146241046457891017[[#This Row],[Type]]&gt;0,VLOOKUP(_1_5412845612146241046457891017[[#This Row],[Type]],Main[[#All],[TYPE]:[UNIT]],'Unit Price'!D$1,FALSE),0)</f>
        <v>UC</v>
      </c>
      <c r="I59" s="194">
        <f>IF(_1_5412845612146241046457891017[[#This Row],[Type]]&gt;0,VLOOKUP(_1_5412845612146241046457891017[[#This Row],[Type]],Main[[#All],[TYPE]:[UNIT]],'Unit Price'!G$1,FALSE),0)</f>
        <v>1</v>
      </c>
      <c r="J59" s="194">
        <f>IF(_1_5412845612146241046457891017[[#This Row],[Type]]&gt;0,VLOOKUP(_1_5412845612146241046457891017[[#This Row],[Type]],Main[[#All],[TYPE]:[UNIT]],'Unit Price'!H$1,FALSE),0)</f>
        <v>1</v>
      </c>
      <c r="K59" s="194">
        <f>IF(_1_5412845612146241046457891017[[#This Row],[Discount selection]]&gt;0,VLOOKUP(_1_5412845612146241046457891017[[#This Row],[Discount selection]],'Discount Structure'!$A$2:$B$30,2,"false"),0)</f>
        <v>1</v>
      </c>
      <c r="L59" s="194">
        <f>_1_5412845612146241046457891017[[#This Row],[LIST $]]*_1_5412845612146241046457891017[[#This Row],[DISCOUNT]]*_1_5412845612146241046457891017[[#This Row],[DISCOUNT 2]]</f>
        <v>1</v>
      </c>
      <c r="M59" s="194">
        <f>IF(OR(_1_5412845612146241046457891017[[#This Row],[UNIT]]&gt;0,_1_5412845612146241046457891017[[#This Row],[UNIT]]&lt;0),_1_5412845612146241046457891017[[#This Row],[UNIT]]*_1_5412845612146241046457891017[[#This Row],[COST]],0)</f>
        <v>50</v>
      </c>
      <c r="N59" s="194">
        <f t="shared" si="0"/>
        <v>1.35</v>
      </c>
      <c r="O59" s="198">
        <f>_1_5412845612146241046457891017[[#This Row],[TOTAL]]*_1_5412845612146241046457891017[[#This Row],[MARGIN]]</f>
        <v>67.5</v>
      </c>
      <c r="R59" s="41"/>
    </row>
    <row r="60" spans="1:18">
      <c r="C60" s="168"/>
      <c r="D60" s="188"/>
      <c r="F60" s="168" t="s">
        <v>6202</v>
      </c>
      <c r="G60" s="193">
        <f>IF(_1_5412845612146241046457891017[[#This Row],[Type]]&gt;0,VLOOKUP(_1_5412845612146241046457891017[[#This Row],[Type]],Main[[#All],[TYPE]:[UNIT]],'Unit Price'!C$1,FALSE),0)</f>
        <v>0</v>
      </c>
      <c r="H60" s="197">
        <f>IF(_1_5412845612146241046457891017[[#This Row],[Type]]&gt;0,VLOOKUP(_1_5412845612146241046457891017[[#This Row],[Type]],Main[[#All],[TYPE]:[UNIT]],'Unit Price'!D$1,FALSE),0)</f>
        <v>0</v>
      </c>
      <c r="I60" s="194">
        <f>IF(_1_5412845612146241046457891017[[#This Row],[Type]]&gt;0,VLOOKUP(_1_5412845612146241046457891017[[#This Row],[Type]],Main[[#All],[TYPE]:[UNIT]],'Unit Price'!G$1,FALSE),0)</f>
        <v>0</v>
      </c>
      <c r="J60" s="194">
        <f>IF(_1_5412845612146241046457891017[[#This Row],[Type]]&gt;0,VLOOKUP(_1_5412845612146241046457891017[[#This Row],[Type]],Main[[#All],[TYPE]:[UNIT]],'Unit Price'!H$1,FALSE),0)</f>
        <v>0</v>
      </c>
      <c r="K60" s="194">
        <f>IF(_1_5412845612146241046457891017[[#This Row],[Discount selection]]&gt;0,VLOOKUP(_1_5412845612146241046457891017[[#This Row],[Discount selection]],'Discount Structure'!$A$2:$B$30,2,"false"),0)</f>
        <v>1</v>
      </c>
      <c r="L60" s="194">
        <f>_1_5412845612146241046457891017[[#This Row],[LIST $]]*_1_5412845612146241046457891017[[#This Row],[DISCOUNT]]*_1_5412845612146241046457891017[[#This Row],[DISCOUNT 2]]</f>
        <v>0</v>
      </c>
      <c r="M60" s="194">
        <f>IF(OR(_1_5412845612146241046457891017[[#This Row],[UNIT]]&gt;0,_1_5412845612146241046457891017[[#This Row],[UNIT]]&lt;0),_1_5412845612146241046457891017[[#This Row],[UNIT]]*_1_5412845612146241046457891017[[#This Row],[COST]],0)</f>
        <v>0</v>
      </c>
      <c r="N60" s="194">
        <f t="shared" si="0"/>
        <v>1.35</v>
      </c>
      <c r="O60" s="198">
        <f>_1_5412845612146241046457891017[[#This Row],[TOTAL]]*_1_5412845612146241046457891017[[#This Row],[MARGIN]]</f>
        <v>0</v>
      </c>
      <c r="R60" s="41"/>
    </row>
    <row r="61" spans="1:18">
      <c r="B61" s="168"/>
      <c r="C61" s="168">
        <v>600</v>
      </c>
      <c r="D61" s="361">
        <v>1</v>
      </c>
      <c r="E61" s="41">
        <v>2699</v>
      </c>
      <c r="F61" s="168" t="s">
        <v>6202</v>
      </c>
      <c r="G61" s="193" t="str">
        <f>IF(_1_5412845612146241046457891017[[#This Row],[Type]]&gt;0,VLOOKUP(_1_5412845612146241046457891017[[#This Row],[Type]],Main[[#All],[TYPE]:[UNIT]],'Unit Price'!C$1,FALSE),0)</f>
        <v>value of 1</v>
      </c>
      <c r="H61" s="197" t="str">
        <f>IF(_1_5412845612146241046457891017[[#This Row],[Type]]&gt;0,VLOOKUP(_1_5412845612146241046457891017[[#This Row],[Type]],Main[[#All],[TYPE]:[UNIT]],'Unit Price'!D$1,FALSE),0)</f>
        <v>WY</v>
      </c>
      <c r="I61" s="194">
        <f>IF(_1_5412845612146241046457891017[[#This Row],[Type]]&gt;0,VLOOKUP(_1_5412845612146241046457891017[[#This Row],[Type]],Main[[#All],[TYPE]:[UNIT]],'Unit Price'!G$1,FALSE),0)</f>
        <v>1</v>
      </c>
      <c r="J61" s="194">
        <f>IF(_1_5412845612146241046457891017[[#This Row],[Type]]&gt;0,VLOOKUP(_1_5412845612146241046457891017[[#This Row],[Type]],Main[[#All],[TYPE]:[UNIT]],'Unit Price'!H$1,FALSE),0)</f>
        <v>1</v>
      </c>
      <c r="K61" s="194">
        <f>IF(_1_5412845612146241046457891017[[#This Row],[Discount selection]]&gt;0,VLOOKUP(_1_5412845612146241046457891017[[#This Row],[Discount selection]],'Discount Structure'!$A$2:$B$30,2,"false"),0)</f>
        <v>1</v>
      </c>
      <c r="L61" s="194">
        <f>_1_5412845612146241046457891017[[#This Row],[LIST $]]*_1_5412845612146241046457891017[[#This Row],[DISCOUNT]]*_1_5412845612146241046457891017[[#This Row],[DISCOUNT 2]]</f>
        <v>1</v>
      </c>
      <c r="M61" s="194">
        <f>IF(OR(_1_5412845612146241046457891017[[#This Row],[UNIT]]&gt;0,_1_5412845612146241046457891017[[#This Row],[UNIT]]&lt;0),_1_5412845612146241046457891017[[#This Row],[UNIT]]*_1_5412845612146241046457891017[[#This Row],[COST]],0)</f>
        <v>2699</v>
      </c>
      <c r="N61" s="194">
        <f t="shared" si="0"/>
        <v>1.35</v>
      </c>
      <c r="O61" s="198">
        <f>_1_5412845612146241046457891017[[#This Row],[TOTAL]]*_1_5412845612146241046457891017[[#This Row],[MARGIN]]</f>
        <v>3643.65</v>
      </c>
      <c r="R61" s="41"/>
    </row>
    <row r="62" spans="1:18">
      <c r="C62" s="168">
        <v>600</v>
      </c>
      <c r="D62" s="188">
        <v>1</v>
      </c>
      <c r="E62" s="41">
        <v>2699</v>
      </c>
      <c r="F62" s="168" t="s">
        <v>6202</v>
      </c>
      <c r="G62" s="193" t="str">
        <f>IF(_1_5412845612146241046457891017[[#This Row],[Type]]&gt;0,VLOOKUP(_1_5412845612146241046457891017[[#This Row],[Type]],Main[[#All],[TYPE]:[UNIT]],'Unit Price'!C$1,FALSE),0)</f>
        <v>value of 1</v>
      </c>
      <c r="H62" s="197" t="str">
        <f>IF(_1_5412845612146241046457891017[[#This Row],[Type]]&gt;0,VLOOKUP(_1_5412845612146241046457891017[[#This Row],[Type]],Main[[#All],[TYPE]:[UNIT]],'Unit Price'!D$1,FALSE),0)</f>
        <v>WY</v>
      </c>
      <c r="I62" s="194">
        <f>IF(_1_5412845612146241046457891017[[#This Row],[Type]]&gt;0,VLOOKUP(_1_5412845612146241046457891017[[#This Row],[Type]],Main[[#All],[TYPE]:[UNIT]],'Unit Price'!G$1,FALSE),0)</f>
        <v>1</v>
      </c>
      <c r="J62" s="194">
        <f>IF(_1_5412845612146241046457891017[[#This Row],[Type]]&gt;0,VLOOKUP(_1_5412845612146241046457891017[[#This Row],[Type]],Main[[#All],[TYPE]:[UNIT]],'Unit Price'!H$1,FALSE),0)</f>
        <v>1</v>
      </c>
      <c r="K62" s="194">
        <f>IF(_1_5412845612146241046457891017[[#This Row],[Discount selection]]&gt;0,VLOOKUP(_1_5412845612146241046457891017[[#This Row],[Discount selection]],'Discount Structure'!$A$2:$B$30,2,"false"),0)</f>
        <v>1</v>
      </c>
      <c r="L62" s="194">
        <f>_1_5412845612146241046457891017[[#This Row],[LIST $]]*_1_5412845612146241046457891017[[#This Row],[DISCOUNT]]*_1_5412845612146241046457891017[[#This Row],[DISCOUNT 2]]</f>
        <v>1</v>
      </c>
      <c r="M62" s="194">
        <f>IF(OR(_1_5412845612146241046457891017[[#This Row],[UNIT]]&gt;0,_1_5412845612146241046457891017[[#This Row],[UNIT]]&lt;0),_1_5412845612146241046457891017[[#This Row],[UNIT]]*_1_5412845612146241046457891017[[#This Row],[COST]],0)</f>
        <v>2699</v>
      </c>
      <c r="N62" s="194">
        <f t="shared" si="0"/>
        <v>1.35</v>
      </c>
      <c r="O62" s="198">
        <f>_1_5412845612146241046457891017[[#This Row],[TOTAL]]*_1_5412845612146241046457891017[[#This Row],[MARGIN]]</f>
        <v>3643.65</v>
      </c>
      <c r="R62" s="41"/>
    </row>
    <row r="63" spans="1:18">
      <c r="C63" s="168">
        <v>600</v>
      </c>
      <c r="D63" s="188">
        <v>1</v>
      </c>
      <c r="E63" s="41">
        <v>2699</v>
      </c>
      <c r="F63" s="168" t="s">
        <v>6202</v>
      </c>
      <c r="G63" s="193" t="str">
        <f>IF(_1_5412845612146241046457891017[[#This Row],[Type]]&gt;0,VLOOKUP(_1_5412845612146241046457891017[[#This Row],[Type]],Main[[#All],[TYPE]:[UNIT]],'Unit Price'!C$1,FALSE),0)</f>
        <v>value of 1</v>
      </c>
      <c r="H63" s="197" t="str">
        <f>IF(_1_5412845612146241046457891017[[#This Row],[Type]]&gt;0,VLOOKUP(_1_5412845612146241046457891017[[#This Row],[Type]],Main[[#All],[TYPE]:[UNIT]],'Unit Price'!D$1,FALSE),0)</f>
        <v>WY</v>
      </c>
      <c r="I63" s="194">
        <f>IF(_1_5412845612146241046457891017[[#This Row],[Type]]&gt;0,VLOOKUP(_1_5412845612146241046457891017[[#This Row],[Type]],Main[[#All],[TYPE]:[UNIT]],'Unit Price'!G$1,FALSE),0)</f>
        <v>1</v>
      </c>
      <c r="J63" s="194">
        <f>IF(_1_5412845612146241046457891017[[#This Row],[Type]]&gt;0,VLOOKUP(_1_5412845612146241046457891017[[#This Row],[Type]],Main[[#All],[TYPE]:[UNIT]],'Unit Price'!H$1,FALSE),0)</f>
        <v>1</v>
      </c>
      <c r="K63" s="194">
        <f>IF(_1_5412845612146241046457891017[[#This Row],[Discount selection]]&gt;0,VLOOKUP(_1_5412845612146241046457891017[[#This Row],[Discount selection]],'Discount Structure'!$A$2:$B$30,2,"false"),0)</f>
        <v>1</v>
      </c>
      <c r="L63" s="194">
        <f>_1_5412845612146241046457891017[[#This Row],[LIST $]]*_1_5412845612146241046457891017[[#This Row],[DISCOUNT]]*_1_5412845612146241046457891017[[#This Row],[DISCOUNT 2]]</f>
        <v>1</v>
      </c>
      <c r="M63" s="194">
        <f>IF(OR(_1_5412845612146241046457891017[[#This Row],[UNIT]]&gt;0,_1_5412845612146241046457891017[[#This Row],[UNIT]]&lt;0),_1_5412845612146241046457891017[[#This Row],[UNIT]]*_1_5412845612146241046457891017[[#This Row],[COST]],0)</f>
        <v>2699</v>
      </c>
      <c r="N63" s="194">
        <f t="shared" si="0"/>
        <v>1.35</v>
      </c>
      <c r="O63" s="198">
        <f>_1_5412845612146241046457891017[[#This Row],[TOTAL]]*_1_5412845612146241046457891017[[#This Row],[MARGIN]]</f>
        <v>3643.65</v>
      </c>
      <c r="R63" s="41"/>
    </row>
    <row r="64" spans="1:18">
      <c r="C64" s="168">
        <v>600</v>
      </c>
      <c r="D64" s="188">
        <v>1</v>
      </c>
      <c r="E64" s="41">
        <v>2699</v>
      </c>
      <c r="F64" s="168" t="s">
        <v>6202</v>
      </c>
      <c r="G64" s="193" t="str">
        <f>IF(_1_5412845612146241046457891017[[#This Row],[Type]]&gt;0,VLOOKUP(_1_5412845612146241046457891017[[#This Row],[Type]],Main[[#All],[TYPE]:[UNIT]],'Unit Price'!C$1,FALSE),0)</f>
        <v>value of 1</v>
      </c>
      <c r="H64" s="197" t="str">
        <f>IF(_1_5412845612146241046457891017[[#This Row],[Type]]&gt;0,VLOOKUP(_1_5412845612146241046457891017[[#This Row],[Type]],Main[[#All],[TYPE]:[UNIT]],'Unit Price'!D$1,FALSE),0)</f>
        <v>WY</v>
      </c>
      <c r="I64" s="194">
        <f>IF(_1_5412845612146241046457891017[[#This Row],[Type]]&gt;0,VLOOKUP(_1_5412845612146241046457891017[[#This Row],[Type]],Main[[#All],[TYPE]:[UNIT]],'Unit Price'!G$1,FALSE),0)</f>
        <v>1</v>
      </c>
      <c r="J64" s="194">
        <f>IF(_1_5412845612146241046457891017[[#This Row],[Type]]&gt;0,VLOOKUP(_1_5412845612146241046457891017[[#This Row],[Type]],Main[[#All],[TYPE]:[UNIT]],'Unit Price'!H$1,FALSE),0)</f>
        <v>1</v>
      </c>
      <c r="K64" s="194">
        <f>IF(_1_5412845612146241046457891017[[#This Row],[Discount selection]]&gt;0,VLOOKUP(_1_5412845612146241046457891017[[#This Row],[Discount selection]],'Discount Structure'!$A$2:$B$30,2,"false"),0)</f>
        <v>1</v>
      </c>
      <c r="L64" s="194">
        <f>_1_5412845612146241046457891017[[#This Row],[LIST $]]*_1_5412845612146241046457891017[[#This Row],[DISCOUNT]]*_1_5412845612146241046457891017[[#This Row],[DISCOUNT 2]]</f>
        <v>1</v>
      </c>
      <c r="M64" s="194">
        <f>IF(OR(_1_5412845612146241046457891017[[#This Row],[UNIT]]&gt;0,_1_5412845612146241046457891017[[#This Row],[UNIT]]&lt;0),_1_5412845612146241046457891017[[#This Row],[UNIT]]*_1_5412845612146241046457891017[[#This Row],[COST]],0)</f>
        <v>2699</v>
      </c>
      <c r="N64" s="194">
        <f t="shared" si="0"/>
        <v>1.35</v>
      </c>
      <c r="O64" s="198">
        <f>_1_5412845612146241046457891017[[#This Row],[TOTAL]]*_1_5412845612146241046457891017[[#This Row],[MARGIN]]</f>
        <v>3643.65</v>
      </c>
      <c r="R64" s="41"/>
    </row>
    <row r="65" spans="1:18">
      <c r="C65" s="168"/>
      <c r="D65" s="188"/>
      <c r="F65" s="168" t="s">
        <v>6202</v>
      </c>
      <c r="G65" s="193">
        <f>IF(_1_5412845612146241046457891017[[#This Row],[Type]]&gt;0,VLOOKUP(_1_5412845612146241046457891017[[#This Row],[Type]],Main[[#All],[TYPE]:[UNIT]],'Unit Price'!C$1,FALSE),0)</f>
        <v>0</v>
      </c>
      <c r="H65" s="197">
        <f>IF(_1_5412845612146241046457891017[[#This Row],[Type]]&gt;0,VLOOKUP(_1_5412845612146241046457891017[[#This Row],[Type]],Main[[#All],[TYPE]:[UNIT]],'Unit Price'!D$1,FALSE),0)</f>
        <v>0</v>
      </c>
      <c r="I65" s="194">
        <f>IF(_1_5412845612146241046457891017[[#This Row],[Type]]&gt;0,VLOOKUP(_1_5412845612146241046457891017[[#This Row],[Type]],Main[[#All],[TYPE]:[UNIT]],'Unit Price'!G$1,FALSE),0)</f>
        <v>0</v>
      </c>
      <c r="J65" s="194">
        <f>IF(_1_5412845612146241046457891017[[#This Row],[Type]]&gt;0,VLOOKUP(_1_5412845612146241046457891017[[#This Row],[Type]],Main[[#All],[TYPE]:[UNIT]],'Unit Price'!H$1,FALSE),0)</f>
        <v>0</v>
      </c>
      <c r="K65" s="194">
        <f>IF(_1_5412845612146241046457891017[[#This Row],[Discount selection]]&gt;0,VLOOKUP(_1_5412845612146241046457891017[[#This Row],[Discount selection]],'Discount Structure'!$A$2:$B$30,2,"false"),0)</f>
        <v>1</v>
      </c>
      <c r="L65" s="194">
        <f>_1_5412845612146241046457891017[[#This Row],[LIST $]]*_1_5412845612146241046457891017[[#This Row],[DISCOUNT]]*_1_5412845612146241046457891017[[#This Row],[DISCOUNT 2]]</f>
        <v>0</v>
      </c>
      <c r="M65" s="194">
        <f>IF(OR(_1_5412845612146241046457891017[[#This Row],[UNIT]]&gt;0,_1_5412845612146241046457891017[[#This Row],[UNIT]]&lt;0),_1_5412845612146241046457891017[[#This Row],[UNIT]]*_1_5412845612146241046457891017[[#This Row],[COST]],0)</f>
        <v>0</v>
      </c>
      <c r="N65" s="194">
        <f t="shared" si="0"/>
        <v>1.35</v>
      </c>
      <c r="O65" s="198">
        <f>_1_5412845612146241046457891017[[#This Row],[TOTAL]]*_1_5412845612146241046457891017[[#This Row],[MARGIN]]</f>
        <v>0</v>
      </c>
      <c r="R65" s="41"/>
    </row>
    <row r="66" spans="1:18">
      <c r="B66" s="363"/>
      <c r="C66" s="168"/>
      <c r="D66" s="188"/>
      <c r="F66" s="168" t="s">
        <v>6202</v>
      </c>
      <c r="G66" s="193">
        <f>IF(_1_5412845612146241046457891017[[#This Row],[Type]]&gt;0,VLOOKUP(_1_5412845612146241046457891017[[#This Row],[Type]],Main[[#All],[TYPE]:[UNIT]],'Unit Price'!C$1,FALSE),0)</f>
        <v>0</v>
      </c>
      <c r="H66" s="197">
        <f>IF(_1_5412845612146241046457891017[[#This Row],[Type]]&gt;0,VLOOKUP(_1_5412845612146241046457891017[[#This Row],[Type]],Main[[#All],[TYPE]:[UNIT]],'Unit Price'!D$1,FALSE),0)</f>
        <v>0</v>
      </c>
      <c r="I66" s="194">
        <f>IF(_1_5412845612146241046457891017[[#This Row],[Type]]&gt;0,VLOOKUP(_1_5412845612146241046457891017[[#This Row],[Type]],Main[[#All],[TYPE]:[UNIT]],'Unit Price'!G$1,FALSE),0)</f>
        <v>0</v>
      </c>
      <c r="J66" s="194">
        <f>IF(_1_5412845612146241046457891017[[#This Row],[Type]]&gt;0,VLOOKUP(_1_5412845612146241046457891017[[#This Row],[Type]],Main[[#All],[TYPE]:[UNIT]],'Unit Price'!H$1,FALSE),0)</f>
        <v>0</v>
      </c>
      <c r="K66" s="194">
        <f>IF(_1_5412845612146241046457891017[[#This Row],[Discount selection]]&gt;0,VLOOKUP(_1_5412845612146241046457891017[[#This Row],[Discount selection]],'Discount Structure'!$A$2:$B$30,2,"false"),0)</f>
        <v>1</v>
      </c>
      <c r="L66" s="194">
        <f>_1_5412845612146241046457891017[[#This Row],[LIST $]]*_1_5412845612146241046457891017[[#This Row],[DISCOUNT]]*_1_5412845612146241046457891017[[#This Row],[DISCOUNT 2]]</f>
        <v>0</v>
      </c>
      <c r="M66" s="194">
        <f>IF(OR(_1_5412845612146241046457891017[[#This Row],[UNIT]]&gt;0,_1_5412845612146241046457891017[[#This Row],[UNIT]]&lt;0),_1_5412845612146241046457891017[[#This Row],[UNIT]]*_1_5412845612146241046457891017[[#This Row],[COST]],0)</f>
        <v>0</v>
      </c>
      <c r="N66" s="194">
        <f t="shared" si="0"/>
        <v>1.35</v>
      </c>
      <c r="O66" s="198">
        <f>_1_5412845612146241046457891017[[#This Row],[TOTAL]]*_1_5412845612146241046457891017[[#This Row],[MARGIN]]</f>
        <v>0</v>
      </c>
      <c r="R66" s="41"/>
    </row>
    <row r="67" spans="1:18">
      <c r="C67" s="168">
        <f>SUM(C61:C64)/1000</f>
        <v>2.4</v>
      </c>
      <c r="D67" s="188" t="s">
        <v>6372</v>
      </c>
      <c r="E67" s="41">
        <f>_1_5412845612146241046457891017[[#This Row],[Remark 3]]</f>
        <v>2.4</v>
      </c>
      <c r="F67" s="168" t="s">
        <v>6202</v>
      </c>
      <c r="G67" s="193" t="str">
        <f>IF(_1_5412845612146241046457891017[[#This Row],[Type]]&gt;0,VLOOKUP(_1_5412845612146241046457891017[[#This Row],[Type]],Main[[#All],[TYPE]:[UNIT]],'Unit Price'!C$1,FALSE),0)</f>
        <v>BUSBAR, 465A, EARTH BAR
50mm x 6mm</v>
      </c>
      <c r="H67" s="197" t="str">
        <f>IF(_1_5412845612146241046457891017[[#This Row],[Type]]&gt;0,VLOOKUP(_1_5412845612146241046457891017[[#This Row],[Type]],Main[[#All],[TYPE]:[UNIT]],'Unit Price'!D$1,FALSE),0)</f>
        <v>LUVATA</v>
      </c>
      <c r="I67" s="194">
        <f>IF(_1_5412845612146241046457891017[[#This Row],[Type]]&gt;0,VLOOKUP(_1_5412845612146241046457891017[[#This Row],[Type]],Main[[#All],[TYPE]:[UNIT]],'Unit Price'!G$1,FALSE),0)</f>
        <v>173.93999999999997</v>
      </c>
      <c r="J67" s="194">
        <f>IF(_1_5412845612146241046457891017[[#This Row],[Type]]&gt;0,VLOOKUP(_1_5412845612146241046457891017[[#This Row],[Type]],Main[[#All],[TYPE]:[UNIT]],'Unit Price'!H$1,FALSE),0)</f>
        <v>1</v>
      </c>
      <c r="K67" s="194">
        <f>IF(_1_5412845612146241046457891017[[#This Row],[Discount selection]]&gt;0,VLOOKUP(_1_5412845612146241046457891017[[#This Row],[Discount selection]],'Discount Structure'!$A$2:$B$30,2,"false"),0)</f>
        <v>1</v>
      </c>
      <c r="L67" s="194">
        <f>_1_5412845612146241046457891017[[#This Row],[LIST $]]*_1_5412845612146241046457891017[[#This Row],[DISCOUNT]]*_1_5412845612146241046457891017[[#This Row],[DISCOUNT 2]]</f>
        <v>173.93999999999997</v>
      </c>
      <c r="M67" s="194">
        <f>IF(OR(_1_5412845612146241046457891017[[#This Row],[UNIT]]&gt;0,_1_5412845612146241046457891017[[#This Row],[UNIT]]&lt;0),_1_5412845612146241046457891017[[#This Row],[UNIT]]*_1_5412845612146241046457891017[[#This Row],[COST]],0)</f>
        <v>417.4559999999999</v>
      </c>
      <c r="N67" s="194">
        <f t="shared" si="0"/>
        <v>1.35</v>
      </c>
      <c r="O67" s="198">
        <f>_1_5412845612146241046457891017[[#This Row],[TOTAL]]*_1_5412845612146241046457891017[[#This Row],[MARGIN]]</f>
        <v>563.5655999999999</v>
      </c>
      <c r="R67" s="41"/>
    </row>
    <row r="68" spans="1:18">
      <c r="A68" s="168"/>
      <c r="C68" s="168"/>
      <c r="D68" s="188" t="s">
        <v>6373</v>
      </c>
      <c r="E68" s="41">
        <f>E67*4</f>
        <v>9.6</v>
      </c>
      <c r="F68" s="168" t="s">
        <v>6202</v>
      </c>
      <c r="G68" s="193" t="str">
        <f>IF(_1_5412845612146241046457891017[[#This Row],[Type]]&gt;0,VLOOKUP(_1_5412845612146241046457891017[[#This Row],[Type]],Main[[#All],[TYPE]:[UNIT]],'Unit Price'!C$1,FALSE),0)</f>
        <v>BUSBAR, 232A, 30kA
25mm x 6mm</v>
      </c>
      <c r="H68" s="197" t="str">
        <f>IF(_1_5412845612146241046457891017[[#This Row],[Type]]&gt;0,VLOOKUP(_1_5412845612146241046457891017[[#This Row],[Type]],Main[[#All],[TYPE]:[UNIT]],'Unit Price'!D$1,FALSE),0)</f>
        <v>LUVATA</v>
      </c>
      <c r="I68" s="194">
        <f>IF(_1_5412845612146241046457891017[[#This Row],[Type]]&gt;0,VLOOKUP(_1_5412845612146241046457891017[[#This Row],[Type]],Main[[#All],[TYPE]:[UNIT]],'Unit Price'!G$1,FALSE),0)</f>
        <v>86.97</v>
      </c>
      <c r="J68" s="194">
        <f>IF(_1_5412845612146241046457891017[[#This Row],[Type]]&gt;0,VLOOKUP(_1_5412845612146241046457891017[[#This Row],[Type]],Main[[#All],[TYPE]:[UNIT]],'Unit Price'!H$1,FALSE),0)</f>
        <v>1</v>
      </c>
      <c r="K68" s="194">
        <f>IF(_1_5412845612146241046457891017[[#This Row],[Discount selection]]&gt;0,VLOOKUP(_1_5412845612146241046457891017[[#This Row],[Discount selection]],'Discount Structure'!$A$2:$B$30,2,"false"),0)</f>
        <v>1</v>
      </c>
      <c r="L68" s="194">
        <f>_1_5412845612146241046457891017[[#This Row],[LIST $]]*_1_5412845612146241046457891017[[#This Row],[DISCOUNT]]*_1_5412845612146241046457891017[[#This Row],[DISCOUNT 2]]</f>
        <v>86.97</v>
      </c>
      <c r="M68" s="194">
        <f>IF(OR(_1_5412845612146241046457891017[[#This Row],[UNIT]]&gt;0,_1_5412845612146241046457891017[[#This Row],[UNIT]]&lt;0),_1_5412845612146241046457891017[[#This Row],[UNIT]]*_1_5412845612146241046457891017[[#This Row],[COST]],0)</f>
        <v>834.91199999999992</v>
      </c>
      <c r="N68" s="194">
        <f t="shared" si="0"/>
        <v>1.35</v>
      </c>
      <c r="O68" s="198">
        <f>_1_5412845612146241046457891017[[#This Row],[TOTAL]]*_1_5412845612146241046457891017[[#This Row],[MARGIN]]</f>
        <v>1127.1312</v>
      </c>
      <c r="R68" s="41"/>
    </row>
    <row r="69" spans="1:18">
      <c r="A69" s="168"/>
      <c r="C69" s="168"/>
      <c r="D69" s="188"/>
      <c r="F69" s="168" t="s">
        <v>6202</v>
      </c>
      <c r="G69" s="193">
        <f>IF(_1_5412845612146241046457891017[[#This Row],[Type]]&gt;0,VLOOKUP(_1_5412845612146241046457891017[[#This Row],[Type]],Main[[#All],[TYPE]:[UNIT]],'Unit Price'!C$1,FALSE),0)</f>
        <v>0</v>
      </c>
      <c r="H69" s="197">
        <f>IF(_1_5412845612146241046457891017[[#This Row],[Type]]&gt;0,VLOOKUP(_1_5412845612146241046457891017[[#This Row],[Type]],Main[[#All],[TYPE]:[UNIT]],'Unit Price'!D$1,FALSE),0)</f>
        <v>0</v>
      </c>
      <c r="I69" s="194">
        <f>IF(_1_5412845612146241046457891017[[#This Row],[Type]]&gt;0,VLOOKUP(_1_5412845612146241046457891017[[#This Row],[Type]],Main[[#All],[TYPE]:[UNIT]],'Unit Price'!G$1,FALSE),0)</f>
        <v>0</v>
      </c>
      <c r="J69" s="194">
        <f>IF(_1_5412845612146241046457891017[[#This Row],[Type]]&gt;0,VLOOKUP(_1_5412845612146241046457891017[[#This Row],[Type]],Main[[#All],[TYPE]:[UNIT]],'Unit Price'!H$1,FALSE),0)</f>
        <v>0</v>
      </c>
      <c r="K69" s="194">
        <f>IF(_1_5412845612146241046457891017[[#This Row],[Discount selection]]&gt;0,VLOOKUP(_1_5412845612146241046457891017[[#This Row],[Discount selection]],'Discount Structure'!$A$2:$B$30,2,"false"),0)</f>
        <v>1</v>
      </c>
      <c r="L69" s="194">
        <f>_1_5412845612146241046457891017[[#This Row],[LIST $]]*_1_5412845612146241046457891017[[#This Row],[DISCOUNT]]*_1_5412845612146241046457891017[[#This Row],[DISCOUNT 2]]</f>
        <v>0</v>
      </c>
      <c r="M69" s="194">
        <f>IF(OR(_1_5412845612146241046457891017[[#This Row],[UNIT]]&gt;0,_1_5412845612146241046457891017[[#This Row],[UNIT]]&lt;0),_1_5412845612146241046457891017[[#This Row],[UNIT]]*_1_5412845612146241046457891017[[#This Row],[COST]],0)</f>
        <v>0</v>
      </c>
      <c r="N69" s="194">
        <f t="shared" si="0"/>
        <v>1.35</v>
      </c>
      <c r="O69" s="198">
        <f>_1_5412845612146241046457891017[[#This Row],[TOTAL]]*_1_5412845612146241046457891017[[#This Row],[MARGIN]]</f>
        <v>0</v>
      </c>
      <c r="R69" s="41"/>
    </row>
    <row r="70" spans="1:18">
      <c r="C70" s="168"/>
      <c r="D70" s="188"/>
      <c r="F70" s="168" t="s">
        <v>6202</v>
      </c>
      <c r="G70" s="193">
        <f>IF(_1_5412845612146241046457891017[[#This Row],[Type]]&gt;0,VLOOKUP(_1_5412845612146241046457891017[[#This Row],[Type]],Main[[#All],[TYPE]:[UNIT]],'Unit Price'!C$1,FALSE),0)</f>
        <v>0</v>
      </c>
      <c r="H70" s="197">
        <f>IF(_1_5412845612146241046457891017[[#This Row],[Type]]&gt;0,VLOOKUP(_1_5412845612146241046457891017[[#This Row],[Type]],Main[[#All],[TYPE]:[UNIT]],'Unit Price'!D$1,FALSE),0)</f>
        <v>0</v>
      </c>
      <c r="I70" s="194">
        <f>IF(_1_5412845612146241046457891017[[#This Row],[Type]]&gt;0,VLOOKUP(_1_5412845612146241046457891017[[#This Row],[Type]],Main[[#All],[TYPE]:[UNIT]],'Unit Price'!G$1,FALSE),0)</f>
        <v>0</v>
      </c>
      <c r="J70" s="194">
        <f>IF(_1_5412845612146241046457891017[[#This Row],[Type]]&gt;0,VLOOKUP(_1_5412845612146241046457891017[[#This Row],[Type]],Main[[#All],[TYPE]:[UNIT]],'Unit Price'!H$1,FALSE),0)</f>
        <v>0</v>
      </c>
      <c r="K70" s="194">
        <f>IF(_1_5412845612146241046457891017[[#This Row],[Discount selection]]&gt;0,VLOOKUP(_1_5412845612146241046457891017[[#This Row],[Discount selection]],'Discount Structure'!$A$2:$B$30,2,"false"),0)</f>
        <v>1</v>
      </c>
      <c r="L70" s="194">
        <f>_1_5412845612146241046457891017[[#This Row],[LIST $]]*_1_5412845612146241046457891017[[#This Row],[DISCOUNT]]*_1_5412845612146241046457891017[[#This Row],[DISCOUNT 2]]</f>
        <v>0</v>
      </c>
      <c r="M70" s="194">
        <f>IF(OR(_1_5412845612146241046457891017[[#This Row],[UNIT]]&gt;0,_1_5412845612146241046457891017[[#This Row],[UNIT]]&lt;0),_1_5412845612146241046457891017[[#This Row],[UNIT]]*_1_5412845612146241046457891017[[#This Row],[COST]],0)</f>
        <v>0</v>
      </c>
      <c r="N70" s="194">
        <f t="shared" si="0"/>
        <v>1.35</v>
      </c>
      <c r="O70" s="198">
        <f>_1_5412845612146241046457891017[[#This Row],[TOTAL]]*_1_5412845612146241046457891017[[#This Row],[MARGIN]]</f>
        <v>0</v>
      </c>
      <c r="R70" s="41"/>
    </row>
    <row r="71" spans="1:18">
      <c r="C71" s="168"/>
      <c r="D71" s="188"/>
      <c r="F71" s="168" t="s">
        <v>6202</v>
      </c>
      <c r="G71" s="193">
        <f>IF(_1_5412845612146241046457891017[[#This Row],[Type]]&gt;0,VLOOKUP(_1_5412845612146241046457891017[[#This Row],[Type]],Main[[#All],[TYPE]:[UNIT]],'Unit Price'!C$1,FALSE),0)</f>
        <v>0</v>
      </c>
      <c r="H71" s="197">
        <f>IF(_1_5412845612146241046457891017[[#This Row],[Type]]&gt;0,VLOOKUP(_1_5412845612146241046457891017[[#This Row],[Type]],Main[[#All],[TYPE]:[UNIT]],'Unit Price'!D$1,FALSE),0)</f>
        <v>0</v>
      </c>
      <c r="I71" s="194">
        <f>IF(_1_5412845612146241046457891017[[#This Row],[Type]]&gt;0,VLOOKUP(_1_5412845612146241046457891017[[#This Row],[Type]],Main[[#All],[TYPE]:[UNIT]],'Unit Price'!G$1,FALSE),0)</f>
        <v>0</v>
      </c>
      <c r="J71" s="194">
        <f>IF(_1_5412845612146241046457891017[[#This Row],[Type]]&gt;0,VLOOKUP(_1_5412845612146241046457891017[[#This Row],[Type]],Main[[#All],[TYPE]:[UNIT]],'Unit Price'!H$1,FALSE),0)</f>
        <v>0</v>
      </c>
      <c r="K71" s="194">
        <f>IF(_1_5412845612146241046457891017[[#This Row],[Discount selection]]&gt;0,VLOOKUP(_1_5412845612146241046457891017[[#This Row],[Discount selection]],'Discount Structure'!$A$2:$B$30,2,"false"),0)</f>
        <v>1</v>
      </c>
      <c r="L71" s="194">
        <f>_1_5412845612146241046457891017[[#This Row],[LIST $]]*_1_5412845612146241046457891017[[#This Row],[DISCOUNT]]*_1_5412845612146241046457891017[[#This Row],[DISCOUNT 2]]</f>
        <v>0</v>
      </c>
      <c r="M71" s="194">
        <f>IF(OR(_1_5412845612146241046457891017[[#This Row],[UNIT]]&gt;0,_1_5412845612146241046457891017[[#This Row],[UNIT]]&lt;0),_1_5412845612146241046457891017[[#This Row],[UNIT]]*_1_5412845612146241046457891017[[#This Row],[COST]],0)</f>
        <v>0</v>
      </c>
      <c r="N71" s="194">
        <f t="shared" si="0"/>
        <v>1.35</v>
      </c>
      <c r="O71" s="198">
        <f>_1_5412845612146241046457891017[[#This Row],[TOTAL]]*_1_5412845612146241046457891017[[#This Row],[MARGIN]]</f>
        <v>0</v>
      </c>
      <c r="R71" s="41"/>
    </row>
    <row r="72" spans="1:18">
      <c r="A72" s="168"/>
      <c r="C72" s="168"/>
      <c r="D72" s="188"/>
      <c r="F72" s="168" t="s">
        <v>6202</v>
      </c>
      <c r="G72" s="193">
        <f>IF(_1_5412845612146241046457891017[[#This Row],[Type]]&gt;0,VLOOKUP(_1_5412845612146241046457891017[[#This Row],[Type]],Main[[#All],[TYPE]:[UNIT]],'Unit Price'!C$1,FALSE),0)</f>
        <v>0</v>
      </c>
      <c r="H72" s="197">
        <f>IF(_1_5412845612146241046457891017[[#This Row],[Type]]&gt;0,VLOOKUP(_1_5412845612146241046457891017[[#This Row],[Type]],Main[[#All],[TYPE]:[UNIT]],'Unit Price'!D$1,FALSE),0)</f>
        <v>0</v>
      </c>
      <c r="I72" s="194">
        <f>IF(_1_5412845612146241046457891017[[#This Row],[Type]]&gt;0,VLOOKUP(_1_5412845612146241046457891017[[#This Row],[Type]],Main[[#All],[TYPE]:[UNIT]],'Unit Price'!G$1,FALSE),0)</f>
        <v>0</v>
      </c>
      <c r="J72" s="194">
        <f>IF(_1_5412845612146241046457891017[[#This Row],[Type]]&gt;0,VLOOKUP(_1_5412845612146241046457891017[[#This Row],[Type]],Main[[#All],[TYPE]:[UNIT]],'Unit Price'!H$1,FALSE),0)</f>
        <v>0</v>
      </c>
      <c r="K72" s="194">
        <f>IF(_1_5412845612146241046457891017[[#This Row],[Discount selection]]&gt;0,VLOOKUP(_1_5412845612146241046457891017[[#This Row],[Discount selection]],'Discount Structure'!$A$2:$B$30,2,"false"),0)</f>
        <v>1</v>
      </c>
      <c r="L72" s="194">
        <f>_1_5412845612146241046457891017[[#This Row],[LIST $]]*_1_5412845612146241046457891017[[#This Row],[DISCOUNT]]*_1_5412845612146241046457891017[[#This Row],[DISCOUNT 2]]</f>
        <v>0</v>
      </c>
      <c r="M72" s="194">
        <f>IF(OR(_1_5412845612146241046457891017[[#This Row],[UNIT]]&gt;0,_1_5412845612146241046457891017[[#This Row],[UNIT]]&lt;0),_1_5412845612146241046457891017[[#This Row],[UNIT]]*_1_5412845612146241046457891017[[#This Row],[COST]],0)</f>
        <v>0</v>
      </c>
      <c r="N72" s="194">
        <f t="shared" si="0"/>
        <v>1.35</v>
      </c>
      <c r="O72" s="198">
        <f>_1_5412845612146241046457891017[[#This Row],[TOTAL]]*_1_5412845612146241046457891017[[#This Row],[MARGIN]]</f>
        <v>0</v>
      </c>
      <c r="R72" s="41"/>
    </row>
    <row r="73" spans="1:18">
      <c r="C73" s="168"/>
      <c r="D73" s="188"/>
      <c r="F73" s="168" t="s">
        <v>6202</v>
      </c>
      <c r="G73" s="193">
        <f>IF(_1_5412845612146241046457891017[[#This Row],[Type]]&gt;0,VLOOKUP(_1_5412845612146241046457891017[[#This Row],[Type]],Main[[#All],[TYPE]:[UNIT]],'Unit Price'!C$1,FALSE),0)</f>
        <v>0</v>
      </c>
      <c r="H73" s="197">
        <f>IF(_1_5412845612146241046457891017[[#This Row],[Type]]&gt;0,VLOOKUP(_1_5412845612146241046457891017[[#This Row],[Type]],Main[[#All],[TYPE]:[UNIT]],'Unit Price'!D$1,FALSE),0)</f>
        <v>0</v>
      </c>
      <c r="I73" s="194">
        <f>IF(_1_5412845612146241046457891017[[#This Row],[Type]]&gt;0,VLOOKUP(_1_5412845612146241046457891017[[#This Row],[Type]],Main[[#All],[TYPE]:[UNIT]],'Unit Price'!G$1,FALSE),0)</f>
        <v>0</v>
      </c>
      <c r="J73" s="194">
        <f>IF(_1_5412845612146241046457891017[[#This Row],[Type]]&gt;0,VLOOKUP(_1_5412845612146241046457891017[[#This Row],[Type]],Main[[#All],[TYPE]:[UNIT]],'Unit Price'!H$1,FALSE),0)</f>
        <v>0</v>
      </c>
      <c r="K73" s="194">
        <f>IF(_1_5412845612146241046457891017[[#This Row],[Discount selection]]&gt;0,VLOOKUP(_1_5412845612146241046457891017[[#This Row],[Discount selection]],'Discount Structure'!$A$2:$B$30,2,"false"),0)</f>
        <v>1</v>
      </c>
      <c r="L73" s="194">
        <f>_1_5412845612146241046457891017[[#This Row],[LIST $]]*_1_5412845612146241046457891017[[#This Row],[DISCOUNT]]*_1_5412845612146241046457891017[[#This Row],[DISCOUNT 2]]</f>
        <v>0</v>
      </c>
      <c r="M73" s="194">
        <f>IF(OR(_1_5412845612146241046457891017[[#This Row],[UNIT]]&gt;0,_1_5412845612146241046457891017[[#This Row],[UNIT]]&lt;0),_1_5412845612146241046457891017[[#This Row],[UNIT]]*_1_5412845612146241046457891017[[#This Row],[COST]],0)</f>
        <v>0</v>
      </c>
      <c r="N73" s="194">
        <f t="shared" si="0"/>
        <v>1.35</v>
      </c>
      <c r="O73" s="198">
        <f>_1_5412845612146241046457891017[[#This Row],[TOTAL]]*_1_5412845612146241046457891017[[#This Row],[MARGIN]]</f>
        <v>0</v>
      </c>
      <c r="R73" s="41"/>
    </row>
    <row r="74" spans="1:18">
      <c r="A74" s="356"/>
      <c r="C74" s="168"/>
      <c r="D74" s="188"/>
      <c r="F74" s="168" t="s">
        <v>6202</v>
      </c>
      <c r="G74" s="193">
        <f>IF(_1_5412845612146241046457891017[[#This Row],[Type]]&gt;0,VLOOKUP(_1_5412845612146241046457891017[[#This Row],[Type]],Main[[#All],[TYPE]:[UNIT]],'Unit Price'!C$1,FALSE),0)</f>
        <v>0</v>
      </c>
      <c r="H74" s="197">
        <f>IF(_1_5412845612146241046457891017[[#This Row],[Type]]&gt;0,VLOOKUP(_1_5412845612146241046457891017[[#This Row],[Type]],Main[[#All],[TYPE]:[UNIT]],'Unit Price'!D$1,FALSE),0)</f>
        <v>0</v>
      </c>
      <c r="I74" s="194">
        <f>IF(_1_5412845612146241046457891017[[#This Row],[Type]]&gt;0,VLOOKUP(_1_5412845612146241046457891017[[#This Row],[Type]],Main[[#All],[TYPE]:[UNIT]],'Unit Price'!G$1,FALSE),0)</f>
        <v>0</v>
      </c>
      <c r="J74" s="194">
        <f>IF(_1_5412845612146241046457891017[[#This Row],[Type]]&gt;0,VLOOKUP(_1_5412845612146241046457891017[[#This Row],[Type]],Main[[#All],[TYPE]:[UNIT]],'Unit Price'!H$1,FALSE),0)</f>
        <v>0</v>
      </c>
      <c r="K74" s="194">
        <f>IF(_1_5412845612146241046457891017[[#This Row],[Discount selection]]&gt;0,VLOOKUP(_1_5412845612146241046457891017[[#This Row],[Discount selection]],'Discount Structure'!$A$2:$B$30,2,"false"),0)</f>
        <v>1</v>
      </c>
      <c r="L74" s="194">
        <f>_1_5412845612146241046457891017[[#This Row],[LIST $]]*_1_5412845612146241046457891017[[#This Row],[DISCOUNT]]*_1_5412845612146241046457891017[[#This Row],[DISCOUNT 2]]</f>
        <v>0</v>
      </c>
      <c r="M74" s="194">
        <f>IF(OR(_1_5412845612146241046457891017[[#This Row],[UNIT]]&gt;0,_1_5412845612146241046457891017[[#This Row],[UNIT]]&lt;0),_1_5412845612146241046457891017[[#This Row],[UNIT]]*_1_5412845612146241046457891017[[#This Row],[COST]],0)</f>
        <v>0</v>
      </c>
      <c r="N74" s="194">
        <f t="shared" ref="N74:N137" si="1">$N$7</f>
        <v>1.35</v>
      </c>
      <c r="O74" s="198">
        <f>_1_5412845612146241046457891017[[#This Row],[TOTAL]]*_1_5412845612146241046457891017[[#This Row],[MARGIN]]</f>
        <v>0</v>
      </c>
      <c r="R74" s="41"/>
    </row>
    <row r="75" spans="1:18">
      <c r="C75" s="168"/>
      <c r="D75" s="188"/>
      <c r="F75" s="168" t="s">
        <v>6202</v>
      </c>
      <c r="G75" s="193">
        <f>IF(_1_5412845612146241046457891017[[#This Row],[Type]]&gt;0,VLOOKUP(_1_5412845612146241046457891017[[#This Row],[Type]],Main[[#All],[TYPE]:[UNIT]],'Unit Price'!C$1,FALSE),0)</f>
        <v>0</v>
      </c>
      <c r="H75" s="197">
        <f>IF(_1_5412845612146241046457891017[[#This Row],[Type]]&gt;0,VLOOKUP(_1_5412845612146241046457891017[[#This Row],[Type]],Main[[#All],[TYPE]:[UNIT]],'Unit Price'!D$1,FALSE),0)</f>
        <v>0</v>
      </c>
      <c r="I75" s="194">
        <f>IF(_1_5412845612146241046457891017[[#This Row],[Type]]&gt;0,VLOOKUP(_1_5412845612146241046457891017[[#This Row],[Type]],Main[[#All],[TYPE]:[UNIT]],'Unit Price'!G$1,FALSE),0)</f>
        <v>0</v>
      </c>
      <c r="J75" s="194">
        <f>IF(_1_5412845612146241046457891017[[#This Row],[Type]]&gt;0,VLOOKUP(_1_5412845612146241046457891017[[#This Row],[Type]],Main[[#All],[TYPE]:[UNIT]],'Unit Price'!H$1,FALSE),0)</f>
        <v>0</v>
      </c>
      <c r="K75" s="194">
        <f>IF(_1_5412845612146241046457891017[[#This Row],[Discount selection]]&gt;0,VLOOKUP(_1_5412845612146241046457891017[[#This Row],[Discount selection]],'Discount Structure'!$A$2:$B$30,2,"false"),0)</f>
        <v>1</v>
      </c>
      <c r="L75" s="194">
        <f>_1_5412845612146241046457891017[[#This Row],[LIST $]]*_1_5412845612146241046457891017[[#This Row],[DISCOUNT]]*_1_5412845612146241046457891017[[#This Row],[DISCOUNT 2]]</f>
        <v>0</v>
      </c>
      <c r="M75" s="194">
        <f>IF(OR(_1_5412845612146241046457891017[[#This Row],[UNIT]]&gt;0,_1_5412845612146241046457891017[[#This Row],[UNIT]]&lt;0),_1_5412845612146241046457891017[[#This Row],[UNIT]]*_1_5412845612146241046457891017[[#This Row],[COST]],0)</f>
        <v>0</v>
      </c>
      <c r="N75" s="194">
        <f t="shared" si="1"/>
        <v>1.35</v>
      </c>
      <c r="O75" s="198">
        <f>_1_5412845612146241046457891017[[#This Row],[TOTAL]]*_1_5412845612146241046457891017[[#This Row],[MARGIN]]</f>
        <v>0</v>
      </c>
      <c r="R75" s="41"/>
    </row>
    <row r="76" spans="1:18">
      <c r="A76" s="355"/>
      <c r="C76" s="168"/>
      <c r="D76" s="188"/>
      <c r="F76" s="168" t="s">
        <v>6202</v>
      </c>
      <c r="G76" s="193">
        <f>IF(_1_5412845612146241046457891017[[#This Row],[Type]]&gt;0,VLOOKUP(_1_5412845612146241046457891017[[#This Row],[Type]],Main[[#All],[TYPE]:[UNIT]],'Unit Price'!C$1,FALSE),0)</f>
        <v>0</v>
      </c>
      <c r="H76" s="197">
        <f>IF(_1_5412845612146241046457891017[[#This Row],[Type]]&gt;0,VLOOKUP(_1_5412845612146241046457891017[[#This Row],[Type]],Main[[#All],[TYPE]:[UNIT]],'Unit Price'!D$1,FALSE),0)</f>
        <v>0</v>
      </c>
      <c r="I76" s="194">
        <f>IF(_1_5412845612146241046457891017[[#This Row],[Type]]&gt;0,VLOOKUP(_1_5412845612146241046457891017[[#This Row],[Type]],Main[[#All],[TYPE]:[UNIT]],'Unit Price'!G$1,FALSE),0)</f>
        <v>0</v>
      </c>
      <c r="J76" s="194">
        <f>IF(_1_5412845612146241046457891017[[#This Row],[Type]]&gt;0,VLOOKUP(_1_5412845612146241046457891017[[#This Row],[Type]],Main[[#All],[TYPE]:[UNIT]],'Unit Price'!H$1,FALSE),0)</f>
        <v>0</v>
      </c>
      <c r="K76" s="194">
        <f>IF(_1_5412845612146241046457891017[[#This Row],[Discount selection]]&gt;0,VLOOKUP(_1_5412845612146241046457891017[[#This Row],[Discount selection]],'Discount Structure'!$A$2:$B$30,2,"false"),0)</f>
        <v>1</v>
      </c>
      <c r="L76" s="194">
        <f>_1_5412845612146241046457891017[[#This Row],[LIST $]]*_1_5412845612146241046457891017[[#This Row],[DISCOUNT]]*_1_5412845612146241046457891017[[#This Row],[DISCOUNT 2]]</f>
        <v>0</v>
      </c>
      <c r="M76" s="194">
        <f>IF(OR(_1_5412845612146241046457891017[[#This Row],[UNIT]]&gt;0,_1_5412845612146241046457891017[[#This Row],[UNIT]]&lt;0),_1_5412845612146241046457891017[[#This Row],[UNIT]]*_1_5412845612146241046457891017[[#This Row],[COST]],0)</f>
        <v>0</v>
      </c>
      <c r="N76" s="194">
        <f t="shared" si="1"/>
        <v>1.35</v>
      </c>
      <c r="O76" s="198">
        <f>_1_5412845612146241046457891017[[#This Row],[TOTAL]]*_1_5412845612146241046457891017[[#This Row],[MARGIN]]</f>
        <v>0</v>
      </c>
      <c r="R76" s="41"/>
    </row>
    <row r="77" spans="1:18">
      <c r="C77" s="168"/>
      <c r="D77" s="188"/>
      <c r="F77" s="168" t="s">
        <v>6202</v>
      </c>
      <c r="G77" s="193">
        <f>IF(_1_5412845612146241046457891017[[#This Row],[Type]]&gt;0,VLOOKUP(_1_5412845612146241046457891017[[#This Row],[Type]],Main[[#All],[TYPE]:[UNIT]],'Unit Price'!C$1,FALSE),0)</f>
        <v>0</v>
      </c>
      <c r="H77" s="197">
        <f>IF(_1_5412845612146241046457891017[[#This Row],[Type]]&gt;0,VLOOKUP(_1_5412845612146241046457891017[[#This Row],[Type]],Main[[#All],[TYPE]:[UNIT]],'Unit Price'!D$1,FALSE),0)</f>
        <v>0</v>
      </c>
      <c r="I77" s="194">
        <f>IF(_1_5412845612146241046457891017[[#This Row],[Type]]&gt;0,VLOOKUP(_1_5412845612146241046457891017[[#This Row],[Type]],Main[[#All],[TYPE]:[UNIT]],'Unit Price'!G$1,FALSE),0)</f>
        <v>0</v>
      </c>
      <c r="J77" s="194">
        <f>IF(_1_5412845612146241046457891017[[#This Row],[Type]]&gt;0,VLOOKUP(_1_5412845612146241046457891017[[#This Row],[Type]],Main[[#All],[TYPE]:[UNIT]],'Unit Price'!H$1,FALSE),0)</f>
        <v>0</v>
      </c>
      <c r="K77" s="194">
        <f>IF(_1_5412845612146241046457891017[[#This Row],[Discount selection]]&gt;0,VLOOKUP(_1_5412845612146241046457891017[[#This Row],[Discount selection]],'Discount Structure'!$A$2:$B$30,2,"false"),0)</f>
        <v>1</v>
      </c>
      <c r="L77" s="194">
        <f>_1_5412845612146241046457891017[[#This Row],[LIST $]]*_1_5412845612146241046457891017[[#This Row],[DISCOUNT]]*_1_5412845612146241046457891017[[#This Row],[DISCOUNT 2]]</f>
        <v>0</v>
      </c>
      <c r="M77" s="194">
        <f>IF(OR(_1_5412845612146241046457891017[[#This Row],[UNIT]]&gt;0,_1_5412845612146241046457891017[[#This Row],[UNIT]]&lt;0),_1_5412845612146241046457891017[[#This Row],[UNIT]]*_1_5412845612146241046457891017[[#This Row],[COST]],0)</f>
        <v>0</v>
      </c>
      <c r="N77" s="194">
        <f t="shared" si="1"/>
        <v>1.35</v>
      </c>
      <c r="O77" s="198">
        <f>_1_5412845612146241046457891017[[#This Row],[TOTAL]]*_1_5412845612146241046457891017[[#This Row],[MARGIN]]</f>
        <v>0</v>
      </c>
      <c r="R77" s="41"/>
    </row>
    <row r="78" spans="1:18">
      <c r="A78" s="316"/>
      <c r="C78" s="168"/>
      <c r="D78" s="311"/>
      <c r="F78" s="168" t="s">
        <v>6202</v>
      </c>
      <c r="G78" s="193">
        <f>IF(_1_5412845612146241046457891017[[#This Row],[Type]]&gt;0,VLOOKUP(_1_5412845612146241046457891017[[#This Row],[Type]],Main[[#All],[TYPE]:[UNIT]],'Unit Price'!C$1,FALSE),0)</f>
        <v>0</v>
      </c>
      <c r="H78" s="197">
        <f>IF(_1_5412845612146241046457891017[[#This Row],[Type]]&gt;0,VLOOKUP(_1_5412845612146241046457891017[[#This Row],[Type]],Main[[#All],[TYPE]:[UNIT]],'Unit Price'!D$1,FALSE),0)</f>
        <v>0</v>
      </c>
      <c r="I78" s="194">
        <f>IF(_1_5412845612146241046457891017[[#This Row],[Type]]&gt;0,VLOOKUP(_1_5412845612146241046457891017[[#This Row],[Type]],Main[[#All],[TYPE]:[UNIT]],'Unit Price'!G$1,FALSE),0)</f>
        <v>0</v>
      </c>
      <c r="J78" s="194">
        <f>IF(_1_5412845612146241046457891017[[#This Row],[Type]]&gt;0,VLOOKUP(_1_5412845612146241046457891017[[#This Row],[Type]],Main[[#All],[TYPE]:[UNIT]],'Unit Price'!H$1,FALSE),0)</f>
        <v>0</v>
      </c>
      <c r="K78" s="194">
        <f>IF(_1_5412845612146241046457891017[[#This Row],[Discount selection]]&gt;0,VLOOKUP(_1_5412845612146241046457891017[[#This Row],[Discount selection]],'Discount Structure'!$A$2:$B$30,2,"false"),0)</f>
        <v>1</v>
      </c>
      <c r="L78" s="194">
        <f>_1_5412845612146241046457891017[[#This Row],[LIST $]]*_1_5412845612146241046457891017[[#This Row],[DISCOUNT]]*_1_5412845612146241046457891017[[#This Row],[DISCOUNT 2]]</f>
        <v>0</v>
      </c>
      <c r="M78" s="194">
        <f>IF(OR(_1_5412845612146241046457891017[[#This Row],[UNIT]]&gt;0,_1_5412845612146241046457891017[[#This Row],[UNIT]]&lt;0),_1_5412845612146241046457891017[[#This Row],[UNIT]]*_1_5412845612146241046457891017[[#This Row],[COST]],0)</f>
        <v>0</v>
      </c>
      <c r="N78" s="194">
        <f t="shared" si="1"/>
        <v>1.35</v>
      </c>
      <c r="O78" s="198">
        <f>_1_5412845612146241046457891017[[#This Row],[TOTAL]]*_1_5412845612146241046457891017[[#This Row],[MARGIN]]</f>
        <v>0</v>
      </c>
      <c r="R78" s="41"/>
    </row>
    <row r="79" spans="1:18">
      <c r="C79" s="168"/>
      <c r="D79" s="188"/>
      <c r="F79" s="168" t="s">
        <v>6202</v>
      </c>
      <c r="G79" s="193">
        <f>IF(_1_5412845612146241046457891017[[#This Row],[Type]]&gt;0,VLOOKUP(_1_5412845612146241046457891017[[#This Row],[Type]],Main[[#All],[TYPE]:[UNIT]],'Unit Price'!C$1,FALSE),0)</f>
        <v>0</v>
      </c>
      <c r="H79" s="197">
        <f>IF(_1_5412845612146241046457891017[[#This Row],[Type]]&gt;0,VLOOKUP(_1_5412845612146241046457891017[[#This Row],[Type]],Main[[#All],[TYPE]:[UNIT]],'Unit Price'!D$1,FALSE),0)</f>
        <v>0</v>
      </c>
      <c r="I79" s="194">
        <f>IF(_1_5412845612146241046457891017[[#This Row],[Type]]&gt;0,VLOOKUP(_1_5412845612146241046457891017[[#This Row],[Type]],Main[[#All],[TYPE]:[UNIT]],'Unit Price'!G$1,FALSE),0)</f>
        <v>0</v>
      </c>
      <c r="J79" s="194">
        <f>IF(_1_5412845612146241046457891017[[#This Row],[Type]]&gt;0,VLOOKUP(_1_5412845612146241046457891017[[#This Row],[Type]],Main[[#All],[TYPE]:[UNIT]],'Unit Price'!H$1,FALSE),0)</f>
        <v>0</v>
      </c>
      <c r="K79" s="194">
        <f>IF(_1_5412845612146241046457891017[[#This Row],[Discount selection]]&gt;0,VLOOKUP(_1_5412845612146241046457891017[[#This Row],[Discount selection]],'Discount Structure'!$A$2:$B$30,2,"false"),0)</f>
        <v>1</v>
      </c>
      <c r="L79" s="194">
        <f>_1_5412845612146241046457891017[[#This Row],[LIST $]]*_1_5412845612146241046457891017[[#This Row],[DISCOUNT]]*_1_5412845612146241046457891017[[#This Row],[DISCOUNT 2]]</f>
        <v>0</v>
      </c>
      <c r="M79" s="194">
        <f>IF(OR(_1_5412845612146241046457891017[[#This Row],[UNIT]]&gt;0,_1_5412845612146241046457891017[[#This Row],[UNIT]]&lt;0),_1_5412845612146241046457891017[[#This Row],[UNIT]]*_1_5412845612146241046457891017[[#This Row],[COST]],0)</f>
        <v>0</v>
      </c>
      <c r="N79" s="194">
        <f t="shared" si="1"/>
        <v>1.35</v>
      </c>
      <c r="O79" s="198">
        <f>_1_5412845612146241046457891017[[#This Row],[TOTAL]]*_1_5412845612146241046457891017[[#This Row],[MARGIN]]</f>
        <v>0</v>
      </c>
      <c r="R79" s="41"/>
    </row>
    <row r="80" spans="1:18">
      <c r="A80" s="362"/>
      <c r="C80" s="168"/>
      <c r="D80" s="188"/>
      <c r="F80" s="168" t="s">
        <v>6202</v>
      </c>
      <c r="G80" s="193">
        <f>IF(_1_5412845612146241046457891017[[#This Row],[Type]]&gt;0,VLOOKUP(_1_5412845612146241046457891017[[#This Row],[Type]],Main[[#All],[TYPE]:[UNIT]],'Unit Price'!C$1,FALSE),0)</f>
        <v>0</v>
      </c>
      <c r="H80" s="197">
        <f>IF(_1_5412845612146241046457891017[[#This Row],[Type]]&gt;0,VLOOKUP(_1_5412845612146241046457891017[[#This Row],[Type]],Main[[#All],[TYPE]:[UNIT]],'Unit Price'!D$1,FALSE),0)</f>
        <v>0</v>
      </c>
      <c r="I80" s="194">
        <f>IF(_1_5412845612146241046457891017[[#This Row],[Type]]&gt;0,VLOOKUP(_1_5412845612146241046457891017[[#This Row],[Type]],Main[[#All],[TYPE]:[UNIT]],'Unit Price'!G$1,FALSE),0)</f>
        <v>0</v>
      </c>
      <c r="J80" s="194">
        <f>IF(_1_5412845612146241046457891017[[#This Row],[Type]]&gt;0,VLOOKUP(_1_5412845612146241046457891017[[#This Row],[Type]],Main[[#All],[TYPE]:[UNIT]],'Unit Price'!H$1,FALSE),0)</f>
        <v>0</v>
      </c>
      <c r="K80" s="194">
        <f>IF(_1_5412845612146241046457891017[[#This Row],[Discount selection]]&gt;0,VLOOKUP(_1_5412845612146241046457891017[[#This Row],[Discount selection]],'Discount Structure'!$A$2:$B$30,2,"false"),0)</f>
        <v>1</v>
      </c>
      <c r="L80" s="194">
        <f>_1_5412845612146241046457891017[[#This Row],[LIST $]]*_1_5412845612146241046457891017[[#This Row],[DISCOUNT]]*_1_5412845612146241046457891017[[#This Row],[DISCOUNT 2]]</f>
        <v>0</v>
      </c>
      <c r="M80" s="194">
        <f>IF(OR(_1_5412845612146241046457891017[[#This Row],[UNIT]]&gt;0,_1_5412845612146241046457891017[[#This Row],[UNIT]]&lt;0),_1_5412845612146241046457891017[[#This Row],[UNIT]]*_1_5412845612146241046457891017[[#This Row],[COST]],0)</f>
        <v>0</v>
      </c>
      <c r="N80" s="194">
        <f t="shared" si="1"/>
        <v>1.35</v>
      </c>
      <c r="O80" s="198">
        <f>_1_5412845612146241046457891017[[#This Row],[TOTAL]]*_1_5412845612146241046457891017[[#This Row],[MARGIN]]</f>
        <v>0</v>
      </c>
      <c r="R80" s="41"/>
    </row>
    <row r="81" spans="1:18">
      <c r="A81" s="362"/>
      <c r="C81" s="168"/>
      <c r="D81" s="188"/>
      <c r="F81" s="168" t="s">
        <v>6202</v>
      </c>
      <c r="G81" s="193">
        <f>IF(_1_5412845612146241046457891017[[#This Row],[Type]]&gt;0,VLOOKUP(_1_5412845612146241046457891017[[#This Row],[Type]],Main[[#All],[TYPE]:[UNIT]],'Unit Price'!C$1,FALSE),0)</f>
        <v>0</v>
      </c>
      <c r="H81" s="197">
        <f>IF(_1_5412845612146241046457891017[[#This Row],[Type]]&gt;0,VLOOKUP(_1_5412845612146241046457891017[[#This Row],[Type]],Main[[#All],[TYPE]:[UNIT]],'Unit Price'!D$1,FALSE),0)</f>
        <v>0</v>
      </c>
      <c r="I81" s="194">
        <f>IF(_1_5412845612146241046457891017[[#This Row],[Type]]&gt;0,VLOOKUP(_1_5412845612146241046457891017[[#This Row],[Type]],Main[[#All],[TYPE]:[UNIT]],'Unit Price'!G$1,FALSE),0)</f>
        <v>0</v>
      </c>
      <c r="J81" s="194">
        <f>IF(_1_5412845612146241046457891017[[#This Row],[Type]]&gt;0,VLOOKUP(_1_5412845612146241046457891017[[#This Row],[Type]],Main[[#All],[TYPE]:[UNIT]],'Unit Price'!H$1,FALSE),0)</f>
        <v>0</v>
      </c>
      <c r="K81" s="194">
        <f>IF(_1_5412845612146241046457891017[[#This Row],[Discount selection]]&gt;0,VLOOKUP(_1_5412845612146241046457891017[[#This Row],[Discount selection]],'Discount Structure'!$A$2:$B$30,2,"false"),0)</f>
        <v>1</v>
      </c>
      <c r="L81" s="194">
        <f>_1_5412845612146241046457891017[[#This Row],[LIST $]]*_1_5412845612146241046457891017[[#This Row],[DISCOUNT]]*_1_5412845612146241046457891017[[#This Row],[DISCOUNT 2]]</f>
        <v>0</v>
      </c>
      <c r="M81" s="194">
        <f>IF(OR(_1_5412845612146241046457891017[[#This Row],[UNIT]]&gt;0,_1_5412845612146241046457891017[[#This Row],[UNIT]]&lt;0),_1_5412845612146241046457891017[[#This Row],[UNIT]]*_1_5412845612146241046457891017[[#This Row],[COST]],0)</f>
        <v>0</v>
      </c>
      <c r="N81" s="194">
        <f t="shared" si="1"/>
        <v>1.35</v>
      </c>
      <c r="O81" s="198">
        <f>_1_5412845612146241046457891017[[#This Row],[TOTAL]]*_1_5412845612146241046457891017[[#This Row],[MARGIN]]</f>
        <v>0</v>
      </c>
      <c r="R81" s="41"/>
    </row>
    <row r="82" spans="1:18">
      <c r="A82" s="329"/>
      <c r="C82" s="168"/>
      <c r="D82" s="188"/>
      <c r="F82" s="168" t="s">
        <v>6202</v>
      </c>
      <c r="G82" s="193">
        <f>IF(_1_5412845612146241046457891017[[#This Row],[Type]]&gt;0,VLOOKUP(_1_5412845612146241046457891017[[#This Row],[Type]],Main[[#All],[TYPE]:[UNIT]],'Unit Price'!C$1,FALSE),0)</f>
        <v>0</v>
      </c>
      <c r="H82" s="197">
        <f>IF(_1_5412845612146241046457891017[[#This Row],[Type]]&gt;0,VLOOKUP(_1_5412845612146241046457891017[[#This Row],[Type]],Main[[#All],[TYPE]:[UNIT]],'Unit Price'!D$1,FALSE),0)</f>
        <v>0</v>
      </c>
      <c r="I82" s="194">
        <f>IF(_1_5412845612146241046457891017[[#This Row],[Type]]&gt;0,VLOOKUP(_1_5412845612146241046457891017[[#This Row],[Type]],Main[[#All],[TYPE]:[UNIT]],'Unit Price'!G$1,FALSE),0)</f>
        <v>0</v>
      </c>
      <c r="J82" s="194">
        <f>IF(_1_5412845612146241046457891017[[#This Row],[Type]]&gt;0,VLOOKUP(_1_5412845612146241046457891017[[#This Row],[Type]],Main[[#All],[TYPE]:[UNIT]],'Unit Price'!H$1,FALSE),0)</f>
        <v>0</v>
      </c>
      <c r="K82" s="194">
        <f>IF(_1_5412845612146241046457891017[[#This Row],[Discount selection]]&gt;0,VLOOKUP(_1_5412845612146241046457891017[[#This Row],[Discount selection]],'Discount Structure'!$A$2:$B$30,2,"false"),0)</f>
        <v>1</v>
      </c>
      <c r="L82" s="194">
        <f>_1_5412845612146241046457891017[[#This Row],[LIST $]]*_1_5412845612146241046457891017[[#This Row],[DISCOUNT]]*_1_5412845612146241046457891017[[#This Row],[DISCOUNT 2]]</f>
        <v>0</v>
      </c>
      <c r="M82" s="194">
        <f>IF(OR(_1_5412845612146241046457891017[[#This Row],[UNIT]]&gt;0,_1_5412845612146241046457891017[[#This Row],[UNIT]]&lt;0),_1_5412845612146241046457891017[[#This Row],[UNIT]]*_1_5412845612146241046457891017[[#This Row],[COST]],0)</f>
        <v>0</v>
      </c>
      <c r="N82" s="194">
        <f t="shared" si="1"/>
        <v>1.35</v>
      </c>
      <c r="O82" s="198">
        <f>_1_5412845612146241046457891017[[#This Row],[TOTAL]]*_1_5412845612146241046457891017[[#This Row],[MARGIN]]</f>
        <v>0</v>
      </c>
      <c r="R82" s="41"/>
    </row>
    <row r="83" spans="1:18">
      <c r="A83" s="329"/>
      <c r="C83" s="168"/>
      <c r="D83" s="188"/>
      <c r="F83" s="168" t="s">
        <v>6202</v>
      </c>
      <c r="G83" s="193">
        <f>IF(_1_5412845612146241046457891017[[#This Row],[Type]]&gt;0,VLOOKUP(_1_5412845612146241046457891017[[#This Row],[Type]],Main[[#All],[TYPE]:[UNIT]],'Unit Price'!C$1,FALSE),0)</f>
        <v>0</v>
      </c>
      <c r="H83" s="197">
        <f>IF(_1_5412845612146241046457891017[[#This Row],[Type]]&gt;0,VLOOKUP(_1_5412845612146241046457891017[[#This Row],[Type]],Main[[#All],[TYPE]:[UNIT]],'Unit Price'!D$1,FALSE),0)</f>
        <v>0</v>
      </c>
      <c r="I83" s="194">
        <f>IF(_1_5412845612146241046457891017[[#This Row],[Type]]&gt;0,VLOOKUP(_1_5412845612146241046457891017[[#This Row],[Type]],Main[[#All],[TYPE]:[UNIT]],'Unit Price'!G$1,FALSE),0)</f>
        <v>0</v>
      </c>
      <c r="J83" s="194">
        <f>IF(_1_5412845612146241046457891017[[#This Row],[Type]]&gt;0,VLOOKUP(_1_5412845612146241046457891017[[#This Row],[Type]],Main[[#All],[TYPE]:[UNIT]],'Unit Price'!H$1,FALSE),0)</f>
        <v>0</v>
      </c>
      <c r="K83" s="194">
        <f>IF(_1_5412845612146241046457891017[[#This Row],[Discount selection]]&gt;0,VLOOKUP(_1_5412845612146241046457891017[[#This Row],[Discount selection]],'Discount Structure'!$A$2:$B$30,2,"false"),0)</f>
        <v>1</v>
      </c>
      <c r="L83" s="194">
        <f>_1_5412845612146241046457891017[[#This Row],[LIST $]]*_1_5412845612146241046457891017[[#This Row],[DISCOUNT]]*_1_5412845612146241046457891017[[#This Row],[DISCOUNT 2]]</f>
        <v>0</v>
      </c>
      <c r="M83" s="194">
        <f>IF(OR(_1_5412845612146241046457891017[[#This Row],[UNIT]]&gt;0,_1_5412845612146241046457891017[[#This Row],[UNIT]]&lt;0),_1_5412845612146241046457891017[[#This Row],[UNIT]]*_1_5412845612146241046457891017[[#This Row],[COST]],0)</f>
        <v>0</v>
      </c>
      <c r="N83" s="194">
        <f t="shared" si="1"/>
        <v>1.35</v>
      </c>
      <c r="O83" s="198">
        <f>_1_5412845612146241046457891017[[#This Row],[TOTAL]]*_1_5412845612146241046457891017[[#This Row],[MARGIN]]</f>
        <v>0</v>
      </c>
      <c r="R83" s="41"/>
    </row>
    <row r="84" spans="1:18">
      <c r="A84" s="364"/>
      <c r="C84" s="168"/>
      <c r="D84" s="188"/>
      <c r="F84" s="168" t="s">
        <v>6202</v>
      </c>
      <c r="G84" s="193">
        <f>IF(_1_5412845612146241046457891017[[#This Row],[Type]]&gt;0,VLOOKUP(_1_5412845612146241046457891017[[#This Row],[Type]],Main[[#All],[TYPE]:[UNIT]],'Unit Price'!C$1,FALSE),0)</f>
        <v>0</v>
      </c>
      <c r="H84" s="197">
        <f>IF(_1_5412845612146241046457891017[[#This Row],[Type]]&gt;0,VLOOKUP(_1_5412845612146241046457891017[[#This Row],[Type]],Main[[#All],[TYPE]:[UNIT]],'Unit Price'!D$1,FALSE),0)</f>
        <v>0</v>
      </c>
      <c r="I84" s="194">
        <f>IF(_1_5412845612146241046457891017[[#This Row],[Type]]&gt;0,VLOOKUP(_1_5412845612146241046457891017[[#This Row],[Type]],Main[[#All],[TYPE]:[UNIT]],'Unit Price'!G$1,FALSE),0)</f>
        <v>0</v>
      </c>
      <c r="J84" s="194">
        <f>IF(_1_5412845612146241046457891017[[#This Row],[Type]]&gt;0,VLOOKUP(_1_5412845612146241046457891017[[#This Row],[Type]],Main[[#All],[TYPE]:[UNIT]],'Unit Price'!H$1,FALSE),0)</f>
        <v>0</v>
      </c>
      <c r="K84" s="194">
        <f>IF(_1_5412845612146241046457891017[[#This Row],[Discount selection]]&gt;0,VLOOKUP(_1_5412845612146241046457891017[[#This Row],[Discount selection]],'Discount Structure'!$A$2:$B$30,2,"false"),0)</f>
        <v>1</v>
      </c>
      <c r="L84" s="194">
        <f>_1_5412845612146241046457891017[[#This Row],[LIST $]]*_1_5412845612146241046457891017[[#This Row],[DISCOUNT]]*_1_5412845612146241046457891017[[#This Row],[DISCOUNT 2]]</f>
        <v>0</v>
      </c>
      <c r="M84" s="194">
        <f>IF(OR(_1_5412845612146241046457891017[[#This Row],[UNIT]]&gt;0,_1_5412845612146241046457891017[[#This Row],[UNIT]]&lt;0),_1_5412845612146241046457891017[[#This Row],[UNIT]]*_1_5412845612146241046457891017[[#This Row],[COST]],0)</f>
        <v>0</v>
      </c>
      <c r="N84" s="194">
        <f t="shared" si="1"/>
        <v>1.35</v>
      </c>
      <c r="O84" s="198">
        <f>_1_5412845612146241046457891017[[#This Row],[TOTAL]]*_1_5412845612146241046457891017[[#This Row],[MARGIN]]</f>
        <v>0</v>
      </c>
      <c r="R84" s="41"/>
    </row>
    <row r="85" spans="1:18">
      <c r="C85" s="168"/>
      <c r="D85" s="188"/>
      <c r="F85" s="168" t="s">
        <v>6202</v>
      </c>
      <c r="G85" s="193">
        <f>IF(_1_5412845612146241046457891017[[#This Row],[Type]]&gt;0,VLOOKUP(_1_5412845612146241046457891017[[#This Row],[Type]],Main[[#All],[TYPE]:[UNIT]],'Unit Price'!C$1,FALSE),0)</f>
        <v>0</v>
      </c>
      <c r="H85" s="197">
        <f>IF(_1_5412845612146241046457891017[[#This Row],[Type]]&gt;0,VLOOKUP(_1_5412845612146241046457891017[[#This Row],[Type]],Main[[#All],[TYPE]:[UNIT]],'Unit Price'!D$1,FALSE),0)</f>
        <v>0</v>
      </c>
      <c r="I85" s="194">
        <f>IF(_1_5412845612146241046457891017[[#This Row],[Type]]&gt;0,VLOOKUP(_1_5412845612146241046457891017[[#This Row],[Type]],Main[[#All],[TYPE]:[UNIT]],'Unit Price'!G$1,FALSE),0)</f>
        <v>0</v>
      </c>
      <c r="J85" s="194">
        <f>IF(_1_5412845612146241046457891017[[#This Row],[Type]]&gt;0,VLOOKUP(_1_5412845612146241046457891017[[#This Row],[Type]],Main[[#All],[TYPE]:[UNIT]],'Unit Price'!H$1,FALSE),0)</f>
        <v>0</v>
      </c>
      <c r="K85" s="194">
        <f>IF(_1_5412845612146241046457891017[[#This Row],[Discount selection]]&gt;0,VLOOKUP(_1_5412845612146241046457891017[[#This Row],[Discount selection]],'Discount Structure'!$A$2:$B$30,2,"false"),0)</f>
        <v>1</v>
      </c>
      <c r="L85" s="194">
        <f>_1_5412845612146241046457891017[[#This Row],[LIST $]]*_1_5412845612146241046457891017[[#This Row],[DISCOUNT]]*_1_5412845612146241046457891017[[#This Row],[DISCOUNT 2]]</f>
        <v>0</v>
      </c>
      <c r="M85" s="194">
        <f>IF(OR(_1_5412845612146241046457891017[[#This Row],[UNIT]]&gt;0,_1_5412845612146241046457891017[[#This Row],[UNIT]]&lt;0),_1_5412845612146241046457891017[[#This Row],[UNIT]]*_1_5412845612146241046457891017[[#This Row],[COST]],0)</f>
        <v>0</v>
      </c>
      <c r="N85" s="194">
        <f t="shared" si="1"/>
        <v>1.35</v>
      </c>
      <c r="O85" s="198">
        <f>_1_5412845612146241046457891017[[#This Row],[TOTAL]]*_1_5412845612146241046457891017[[#This Row],[MARGIN]]</f>
        <v>0</v>
      </c>
      <c r="R85" s="41"/>
    </row>
    <row r="86" spans="1:18">
      <c r="C86" s="168"/>
      <c r="D86" s="188"/>
      <c r="F86" s="168" t="s">
        <v>6202</v>
      </c>
      <c r="G86" s="193">
        <f>IF(_1_5412845612146241046457891017[[#This Row],[Type]]&gt;0,VLOOKUP(_1_5412845612146241046457891017[[#This Row],[Type]],Main[[#All],[TYPE]:[UNIT]],'Unit Price'!C$1,FALSE),0)</f>
        <v>0</v>
      </c>
      <c r="H86" s="197">
        <f>IF(_1_5412845612146241046457891017[[#This Row],[Type]]&gt;0,VLOOKUP(_1_5412845612146241046457891017[[#This Row],[Type]],Main[[#All],[TYPE]:[UNIT]],'Unit Price'!D$1,FALSE),0)</f>
        <v>0</v>
      </c>
      <c r="I86" s="194">
        <f>IF(_1_5412845612146241046457891017[[#This Row],[Type]]&gt;0,VLOOKUP(_1_5412845612146241046457891017[[#This Row],[Type]],Main[[#All],[TYPE]:[UNIT]],'Unit Price'!G$1,FALSE),0)</f>
        <v>0</v>
      </c>
      <c r="J86" s="194">
        <f>IF(_1_5412845612146241046457891017[[#This Row],[Type]]&gt;0,VLOOKUP(_1_5412845612146241046457891017[[#This Row],[Type]],Main[[#All],[TYPE]:[UNIT]],'Unit Price'!H$1,FALSE),0)</f>
        <v>0</v>
      </c>
      <c r="K86" s="194">
        <f>IF(_1_5412845612146241046457891017[[#This Row],[Discount selection]]&gt;0,VLOOKUP(_1_5412845612146241046457891017[[#This Row],[Discount selection]],'Discount Structure'!$A$2:$B$30,2,"false"),0)</f>
        <v>1</v>
      </c>
      <c r="L86" s="194">
        <f>_1_5412845612146241046457891017[[#This Row],[LIST $]]*_1_5412845612146241046457891017[[#This Row],[DISCOUNT]]*_1_5412845612146241046457891017[[#This Row],[DISCOUNT 2]]</f>
        <v>0</v>
      </c>
      <c r="M86" s="194">
        <f>IF(OR(_1_5412845612146241046457891017[[#This Row],[UNIT]]&gt;0,_1_5412845612146241046457891017[[#This Row],[UNIT]]&lt;0),_1_5412845612146241046457891017[[#This Row],[UNIT]]*_1_5412845612146241046457891017[[#This Row],[COST]],0)</f>
        <v>0</v>
      </c>
      <c r="N86" s="194">
        <f t="shared" si="1"/>
        <v>1.35</v>
      </c>
      <c r="O86" s="198">
        <f>_1_5412845612146241046457891017[[#This Row],[TOTAL]]*_1_5412845612146241046457891017[[#This Row],[MARGIN]]</f>
        <v>0</v>
      </c>
      <c r="R86" s="41"/>
    </row>
    <row r="87" spans="1:18">
      <c r="C87" s="168"/>
      <c r="D87" s="188"/>
      <c r="F87" s="168" t="s">
        <v>6202</v>
      </c>
      <c r="G87" s="193">
        <f>IF(_1_5412845612146241046457891017[[#This Row],[Type]]&gt;0,VLOOKUP(_1_5412845612146241046457891017[[#This Row],[Type]],Main[[#All],[TYPE]:[UNIT]],'Unit Price'!C$1,FALSE),0)</f>
        <v>0</v>
      </c>
      <c r="H87" s="197">
        <f>IF(_1_5412845612146241046457891017[[#This Row],[Type]]&gt;0,VLOOKUP(_1_5412845612146241046457891017[[#This Row],[Type]],Main[[#All],[TYPE]:[UNIT]],'Unit Price'!D$1,FALSE),0)</f>
        <v>0</v>
      </c>
      <c r="I87" s="194">
        <f>IF(_1_5412845612146241046457891017[[#This Row],[Type]]&gt;0,VLOOKUP(_1_5412845612146241046457891017[[#This Row],[Type]],Main[[#All],[TYPE]:[UNIT]],'Unit Price'!G$1,FALSE),0)</f>
        <v>0</v>
      </c>
      <c r="J87" s="194">
        <f>IF(_1_5412845612146241046457891017[[#This Row],[Type]]&gt;0,VLOOKUP(_1_5412845612146241046457891017[[#This Row],[Type]],Main[[#All],[TYPE]:[UNIT]],'Unit Price'!H$1,FALSE),0)</f>
        <v>0</v>
      </c>
      <c r="K87" s="194">
        <f>IF(_1_5412845612146241046457891017[[#This Row],[Discount selection]]&gt;0,VLOOKUP(_1_5412845612146241046457891017[[#This Row],[Discount selection]],'Discount Structure'!$A$2:$B$30,2,"false"),0)</f>
        <v>1</v>
      </c>
      <c r="L87" s="194">
        <f>_1_5412845612146241046457891017[[#This Row],[LIST $]]*_1_5412845612146241046457891017[[#This Row],[DISCOUNT]]*_1_5412845612146241046457891017[[#This Row],[DISCOUNT 2]]</f>
        <v>0</v>
      </c>
      <c r="M87" s="194">
        <f>IF(OR(_1_5412845612146241046457891017[[#This Row],[UNIT]]&gt;0,_1_5412845612146241046457891017[[#This Row],[UNIT]]&lt;0),_1_5412845612146241046457891017[[#This Row],[UNIT]]*_1_5412845612146241046457891017[[#This Row],[COST]],0)</f>
        <v>0</v>
      </c>
      <c r="N87" s="194">
        <f t="shared" si="1"/>
        <v>1.35</v>
      </c>
      <c r="O87" s="198">
        <f>_1_5412845612146241046457891017[[#This Row],[TOTAL]]*_1_5412845612146241046457891017[[#This Row],[MARGIN]]</f>
        <v>0</v>
      </c>
      <c r="R87" s="41"/>
    </row>
    <row r="88" spans="1:18">
      <c r="C88" s="168"/>
      <c r="D88" s="188"/>
      <c r="F88" s="168" t="s">
        <v>6202</v>
      </c>
      <c r="G88" s="193">
        <f>IF(_1_5412845612146241046457891017[[#This Row],[Type]]&gt;0,VLOOKUP(_1_5412845612146241046457891017[[#This Row],[Type]],Main[[#All],[TYPE]:[UNIT]],'Unit Price'!C$1,FALSE),0)</f>
        <v>0</v>
      </c>
      <c r="H88" s="197">
        <f>IF(_1_5412845612146241046457891017[[#This Row],[Type]]&gt;0,VLOOKUP(_1_5412845612146241046457891017[[#This Row],[Type]],Main[[#All],[TYPE]:[UNIT]],'Unit Price'!D$1,FALSE),0)</f>
        <v>0</v>
      </c>
      <c r="I88" s="194">
        <f>IF(_1_5412845612146241046457891017[[#This Row],[Type]]&gt;0,VLOOKUP(_1_5412845612146241046457891017[[#This Row],[Type]],Main[[#All],[TYPE]:[UNIT]],'Unit Price'!G$1,FALSE),0)</f>
        <v>0</v>
      </c>
      <c r="J88" s="194">
        <f>IF(_1_5412845612146241046457891017[[#This Row],[Type]]&gt;0,VLOOKUP(_1_5412845612146241046457891017[[#This Row],[Type]],Main[[#All],[TYPE]:[UNIT]],'Unit Price'!H$1,FALSE),0)</f>
        <v>0</v>
      </c>
      <c r="K88" s="194">
        <f>IF(_1_5412845612146241046457891017[[#This Row],[Discount selection]]&gt;0,VLOOKUP(_1_5412845612146241046457891017[[#This Row],[Discount selection]],'Discount Structure'!$A$2:$B$30,2,"false"),0)</f>
        <v>1</v>
      </c>
      <c r="L88" s="194">
        <f>_1_5412845612146241046457891017[[#This Row],[LIST $]]*_1_5412845612146241046457891017[[#This Row],[DISCOUNT]]*_1_5412845612146241046457891017[[#This Row],[DISCOUNT 2]]</f>
        <v>0</v>
      </c>
      <c r="M88" s="194">
        <f>IF(OR(_1_5412845612146241046457891017[[#This Row],[UNIT]]&gt;0,_1_5412845612146241046457891017[[#This Row],[UNIT]]&lt;0),_1_5412845612146241046457891017[[#This Row],[UNIT]]*_1_5412845612146241046457891017[[#This Row],[COST]],0)</f>
        <v>0</v>
      </c>
      <c r="N88" s="194">
        <f t="shared" si="1"/>
        <v>1.35</v>
      </c>
      <c r="O88" s="198">
        <f>_1_5412845612146241046457891017[[#This Row],[TOTAL]]*_1_5412845612146241046457891017[[#This Row],[MARGIN]]</f>
        <v>0</v>
      </c>
      <c r="R88" s="41"/>
    </row>
    <row r="89" spans="1:18">
      <c r="C89" s="168"/>
      <c r="D89" s="188"/>
      <c r="F89" s="168" t="s">
        <v>6202</v>
      </c>
      <c r="G89" s="193">
        <f>IF(_1_5412845612146241046457891017[[#This Row],[Type]]&gt;0,VLOOKUP(_1_5412845612146241046457891017[[#This Row],[Type]],Main[[#All],[TYPE]:[UNIT]],'Unit Price'!C$1,FALSE),0)</f>
        <v>0</v>
      </c>
      <c r="H89" s="197">
        <f>IF(_1_5412845612146241046457891017[[#This Row],[Type]]&gt;0,VLOOKUP(_1_5412845612146241046457891017[[#This Row],[Type]],Main[[#All],[TYPE]:[UNIT]],'Unit Price'!D$1,FALSE),0)</f>
        <v>0</v>
      </c>
      <c r="I89" s="194">
        <f>IF(_1_5412845612146241046457891017[[#This Row],[Type]]&gt;0,VLOOKUP(_1_5412845612146241046457891017[[#This Row],[Type]],Main[[#All],[TYPE]:[UNIT]],'Unit Price'!G$1,FALSE),0)</f>
        <v>0</v>
      </c>
      <c r="J89" s="194">
        <f>IF(_1_5412845612146241046457891017[[#This Row],[Type]]&gt;0,VLOOKUP(_1_5412845612146241046457891017[[#This Row],[Type]],Main[[#All],[TYPE]:[UNIT]],'Unit Price'!H$1,FALSE),0)</f>
        <v>0</v>
      </c>
      <c r="K89" s="194">
        <f>IF(_1_5412845612146241046457891017[[#This Row],[Discount selection]]&gt;0,VLOOKUP(_1_5412845612146241046457891017[[#This Row],[Discount selection]],'Discount Structure'!$A$2:$B$30,2,"false"),0)</f>
        <v>1</v>
      </c>
      <c r="L89" s="194">
        <f>_1_5412845612146241046457891017[[#This Row],[LIST $]]*_1_5412845612146241046457891017[[#This Row],[DISCOUNT]]*_1_5412845612146241046457891017[[#This Row],[DISCOUNT 2]]</f>
        <v>0</v>
      </c>
      <c r="M89" s="194">
        <f>IF(OR(_1_5412845612146241046457891017[[#This Row],[UNIT]]&gt;0,_1_5412845612146241046457891017[[#This Row],[UNIT]]&lt;0),_1_5412845612146241046457891017[[#This Row],[UNIT]]*_1_5412845612146241046457891017[[#This Row],[COST]],0)</f>
        <v>0</v>
      </c>
      <c r="N89" s="194">
        <f t="shared" si="1"/>
        <v>1.35</v>
      </c>
      <c r="O89" s="198">
        <f>_1_5412845612146241046457891017[[#This Row],[TOTAL]]*_1_5412845612146241046457891017[[#This Row],[MARGIN]]</f>
        <v>0</v>
      </c>
      <c r="R89" s="41"/>
    </row>
    <row r="90" spans="1:18">
      <c r="C90" s="168"/>
      <c r="D90" s="188"/>
      <c r="F90" s="168" t="s">
        <v>6202</v>
      </c>
      <c r="G90" s="193">
        <f>IF(_1_5412845612146241046457891017[[#This Row],[Type]]&gt;0,VLOOKUP(_1_5412845612146241046457891017[[#This Row],[Type]],Main[[#All],[TYPE]:[UNIT]],'Unit Price'!C$1,FALSE),0)</f>
        <v>0</v>
      </c>
      <c r="H90" s="197">
        <f>IF(_1_5412845612146241046457891017[[#This Row],[Type]]&gt;0,VLOOKUP(_1_5412845612146241046457891017[[#This Row],[Type]],Main[[#All],[TYPE]:[UNIT]],'Unit Price'!D$1,FALSE),0)</f>
        <v>0</v>
      </c>
      <c r="I90" s="194">
        <f>IF(_1_5412845612146241046457891017[[#This Row],[Type]]&gt;0,VLOOKUP(_1_5412845612146241046457891017[[#This Row],[Type]],Main[[#All],[TYPE]:[UNIT]],'Unit Price'!G$1,FALSE),0)</f>
        <v>0</v>
      </c>
      <c r="J90" s="194">
        <f>IF(_1_5412845612146241046457891017[[#This Row],[Type]]&gt;0,VLOOKUP(_1_5412845612146241046457891017[[#This Row],[Type]],Main[[#All],[TYPE]:[UNIT]],'Unit Price'!H$1,FALSE),0)</f>
        <v>0</v>
      </c>
      <c r="K90" s="194">
        <f>IF(_1_5412845612146241046457891017[[#This Row],[Discount selection]]&gt;0,VLOOKUP(_1_5412845612146241046457891017[[#This Row],[Discount selection]],'Discount Structure'!$A$2:$B$30,2,"false"),0)</f>
        <v>1</v>
      </c>
      <c r="L90" s="194">
        <f>_1_5412845612146241046457891017[[#This Row],[LIST $]]*_1_5412845612146241046457891017[[#This Row],[DISCOUNT]]*_1_5412845612146241046457891017[[#This Row],[DISCOUNT 2]]</f>
        <v>0</v>
      </c>
      <c r="M90" s="194">
        <f>IF(OR(_1_5412845612146241046457891017[[#This Row],[UNIT]]&gt;0,_1_5412845612146241046457891017[[#This Row],[UNIT]]&lt;0),_1_5412845612146241046457891017[[#This Row],[UNIT]]*_1_5412845612146241046457891017[[#This Row],[COST]],0)</f>
        <v>0</v>
      </c>
      <c r="N90" s="194">
        <f t="shared" si="1"/>
        <v>1.35</v>
      </c>
      <c r="O90" s="198">
        <f>_1_5412845612146241046457891017[[#This Row],[TOTAL]]*_1_5412845612146241046457891017[[#This Row],[MARGIN]]</f>
        <v>0</v>
      </c>
      <c r="R90" s="41"/>
    </row>
    <row r="91" spans="1:18">
      <c r="A91" s="168"/>
      <c r="B91" s="168"/>
      <c r="C91" s="168"/>
      <c r="D91" s="188"/>
      <c r="F91" s="168" t="s">
        <v>6202</v>
      </c>
      <c r="G91" s="193">
        <f>IF(_1_5412845612146241046457891017[[#This Row],[Type]]&gt;0,VLOOKUP(_1_5412845612146241046457891017[[#This Row],[Type]],Main[[#All],[TYPE]:[UNIT]],'Unit Price'!C$1,FALSE),0)</f>
        <v>0</v>
      </c>
      <c r="H91" s="197">
        <f>IF(_1_5412845612146241046457891017[[#This Row],[Type]]&gt;0,VLOOKUP(_1_5412845612146241046457891017[[#This Row],[Type]],Main[[#All],[TYPE]:[UNIT]],'Unit Price'!D$1,FALSE),0)</f>
        <v>0</v>
      </c>
      <c r="I91" s="194">
        <f>IF(_1_5412845612146241046457891017[[#This Row],[Type]]&gt;0,VLOOKUP(_1_5412845612146241046457891017[[#This Row],[Type]],Main[[#All],[TYPE]:[UNIT]],'Unit Price'!G$1,FALSE),0)</f>
        <v>0</v>
      </c>
      <c r="J91" s="194">
        <f>IF(_1_5412845612146241046457891017[[#This Row],[Type]]&gt;0,VLOOKUP(_1_5412845612146241046457891017[[#This Row],[Type]],Main[[#All],[TYPE]:[UNIT]],'Unit Price'!H$1,FALSE),0)</f>
        <v>0</v>
      </c>
      <c r="K91" s="194">
        <f>IF(_1_5412845612146241046457891017[[#This Row],[Discount selection]]&gt;0,VLOOKUP(_1_5412845612146241046457891017[[#This Row],[Discount selection]],'Discount Structure'!$A$2:$B$30,2,"false"),0)</f>
        <v>1</v>
      </c>
      <c r="L91" s="194">
        <f>_1_5412845612146241046457891017[[#This Row],[LIST $]]*_1_5412845612146241046457891017[[#This Row],[DISCOUNT]]*_1_5412845612146241046457891017[[#This Row],[DISCOUNT 2]]</f>
        <v>0</v>
      </c>
      <c r="M91" s="194">
        <f>IF(OR(_1_5412845612146241046457891017[[#This Row],[UNIT]]&gt;0,_1_5412845612146241046457891017[[#This Row],[UNIT]]&lt;0),_1_5412845612146241046457891017[[#This Row],[UNIT]]*_1_5412845612146241046457891017[[#This Row],[COST]],0)</f>
        <v>0</v>
      </c>
      <c r="N91" s="194">
        <f t="shared" si="1"/>
        <v>1.35</v>
      </c>
      <c r="O91" s="198">
        <f>_1_5412845612146241046457891017[[#This Row],[TOTAL]]*_1_5412845612146241046457891017[[#This Row],[MARGIN]]</f>
        <v>0</v>
      </c>
      <c r="R91" s="41"/>
    </row>
    <row r="92" spans="1:18">
      <c r="A92" s="168"/>
      <c r="C92" s="168"/>
      <c r="D92" s="188"/>
      <c r="F92" s="168" t="s">
        <v>6202</v>
      </c>
      <c r="G92" s="193">
        <f>IF(_1_5412845612146241046457891017[[#This Row],[Type]]&gt;0,VLOOKUP(_1_5412845612146241046457891017[[#This Row],[Type]],Main[[#All],[TYPE]:[UNIT]],'Unit Price'!C$1,FALSE),0)</f>
        <v>0</v>
      </c>
      <c r="H92" s="197">
        <f>IF(_1_5412845612146241046457891017[[#This Row],[Type]]&gt;0,VLOOKUP(_1_5412845612146241046457891017[[#This Row],[Type]],Main[[#All],[TYPE]:[UNIT]],'Unit Price'!D$1,FALSE),0)</f>
        <v>0</v>
      </c>
      <c r="I92" s="194">
        <f>IF(_1_5412845612146241046457891017[[#This Row],[Type]]&gt;0,VLOOKUP(_1_5412845612146241046457891017[[#This Row],[Type]],Main[[#All],[TYPE]:[UNIT]],'Unit Price'!G$1,FALSE),0)</f>
        <v>0</v>
      </c>
      <c r="J92" s="194">
        <f>IF(_1_5412845612146241046457891017[[#This Row],[Type]]&gt;0,VLOOKUP(_1_5412845612146241046457891017[[#This Row],[Type]],Main[[#All],[TYPE]:[UNIT]],'Unit Price'!H$1,FALSE),0)</f>
        <v>0</v>
      </c>
      <c r="K92" s="194">
        <f>IF(_1_5412845612146241046457891017[[#This Row],[Discount selection]]&gt;0,VLOOKUP(_1_5412845612146241046457891017[[#This Row],[Discount selection]],'Discount Structure'!$A$2:$B$30,2,"false"),0)</f>
        <v>1</v>
      </c>
      <c r="L92" s="194">
        <f>_1_5412845612146241046457891017[[#This Row],[LIST $]]*_1_5412845612146241046457891017[[#This Row],[DISCOUNT]]*_1_5412845612146241046457891017[[#This Row],[DISCOUNT 2]]</f>
        <v>0</v>
      </c>
      <c r="M92" s="194">
        <f>IF(OR(_1_5412845612146241046457891017[[#This Row],[UNIT]]&gt;0,_1_5412845612146241046457891017[[#This Row],[UNIT]]&lt;0),_1_5412845612146241046457891017[[#This Row],[UNIT]]*_1_5412845612146241046457891017[[#This Row],[COST]],0)</f>
        <v>0</v>
      </c>
      <c r="N92" s="194">
        <f t="shared" si="1"/>
        <v>1.35</v>
      </c>
      <c r="O92" s="198">
        <f>_1_5412845612146241046457891017[[#This Row],[TOTAL]]*_1_5412845612146241046457891017[[#This Row],[MARGIN]]</f>
        <v>0</v>
      </c>
      <c r="R92" s="41"/>
    </row>
    <row r="93" spans="1:18">
      <c r="A93" s="168"/>
      <c r="B93" s="168"/>
      <c r="C93" s="168"/>
      <c r="D93" s="188"/>
      <c r="F93" s="168" t="s">
        <v>6202</v>
      </c>
      <c r="G93" s="193">
        <f>IF(_1_5412845612146241046457891017[[#This Row],[Type]]&gt;0,VLOOKUP(_1_5412845612146241046457891017[[#This Row],[Type]],Main[[#All],[TYPE]:[UNIT]],'Unit Price'!C$1,FALSE),0)</f>
        <v>0</v>
      </c>
      <c r="H93" s="197">
        <f>IF(_1_5412845612146241046457891017[[#This Row],[Type]]&gt;0,VLOOKUP(_1_5412845612146241046457891017[[#This Row],[Type]],Main[[#All],[TYPE]:[UNIT]],'Unit Price'!D$1,FALSE),0)</f>
        <v>0</v>
      </c>
      <c r="I93" s="194">
        <f>IF(_1_5412845612146241046457891017[[#This Row],[Type]]&gt;0,VLOOKUP(_1_5412845612146241046457891017[[#This Row],[Type]],Main[[#All],[TYPE]:[UNIT]],'Unit Price'!G$1,FALSE),0)</f>
        <v>0</v>
      </c>
      <c r="J93" s="194">
        <f>IF(_1_5412845612146241046457891017[[#This Row],[Type]]&gt;0,VLOOKUP(_1_5412845612146241046457891017[[#This Row],[Type]],Main[[#All],[TYPE]:[UNIT]],'Unit Price'!H$1,FALSE),0)</f>
        <v>0</v>
      </c>
      <c r="K93" s="194">
        <f>IF(_1_5412845612146241046457891017[[#This Row],[Discount selection]]&gt;0,VLOOKUP(_1_5412845612146241046457891017[[#This Row],[Discount selection]],'Discount Structure'!$A$2:$B$30,2,"false"),0)</f>
        <v>1</v>
      </c>
      <c r="L93" s="194">
        <f>_1_5412845612146241046457891017[[#This Row],[LIST $]]*_1_5412845612146241046457891017[[#This Row],[DISCOUNT]]*_1_5412845612146241046457891017[[#This Row],[DISCOUNT 2]]</f>
        <v>0</v>
      </c>
      <c r="M93" s="194">
        <f>IF(OR(_1_5412845612146241046457891017[[#This Row],[UNIT]]&gt;0,_1_5412845612146241046457891017[[#This Row],[UNIT]]&lt;0),_1_5412845612146241046457891017[[#This Row],[UNIT]]*_1_5412845612146241046457891017[[#This Row],[COST]],0)</f>
        <v>0</v>
      </c>
      <c r="N93" s="194">
        <f t="shared" si="1"/>
        <v>1.35</v>
      </c>
      <c r="O93" s="198">
        <f>_1_5412845612146241046457891017[[#This Row],[TOTAL]]*_1_5412845612146241046457891017[[#This Row],[MARGIN]]</f>
        <v>0</v>
      </c>
      <c r="R93" s="41"/>
    </row>
    <row r="94" spans="1:18">
      <c r="A94" s="168"/>
      <c r="B94" s="168"/>
      <c r="C94" s="168"/>
      <c r="D94" s="188"/>
      <c r="F94" s="168" t="s">
        <v>6202</v>
      </c>
      <c r="G94" s="193">
        <f>IF(_1_5412845612146241046457891017[[#This Row],[Type]]&gt;0,VLOOKUP(_1_5412845612146241046457891017[[#This Row],[Type]],Main[[#All],[TYPE]:[UNIT]],'Unit Price'!C$1,FALSE),0)</f>
        <v>0</v>
      </c>
      <c r="H94" s="197">
        <f>IF(_1_5412845612146241046457891017[[#This Row],[Type]]&gt;0,VLOOKUP(_1_5412845612146241046457891017[[#This Row],[Type]],Main[[#All],[TYPE]:[UNIT]],'Unit Price'!D$1,FALSE),0)</f>
        <v>0</v>
      </c>
      <c r="I94" s="194">
        <f>IF(_1_5412845612146241046457891017[[#This Row],[Type]]&gt;0,VLOOKUP(_1_5412845612146241046457891017[[#This Row],[Type]],Main[[#All],[TYPE]:[UNIT]],'Unit Price'!G$1,FALSE),0)</f>
        <v>0</v>
      </c>
      <c r="J94" s="194">
        <f>IF(_1_5412845612146241046457891017[[#This Row],[Type]]&gt;0,VLOOKUP(_1_5412845612146241046457891017[[#This Row],[Type]],Main[[#All],[TYPE]:[UNIT]],'Unit Price'!H$1,FALSE),0)</f>
        <v>0</v>
      </c>
      <c r="K94" s="194">
        <f>IF(_1_5412845612146241046457891017[[#This Row],[Discount selection]]&gt;0,VLOOKUP(_1_5412845612146241046457891017[[#This Row],[Discount selection]],'Discount Structure'!$A$2:$B$30,2,"false"),0)</f>
        <v>1</v>
      </c>
      <c r="L94" s="194">
        <f>_1_5412845612146241046457891017[[#This Row],[LIST $]]*_1_5412845612146241046457891017[[#This Row],[DISCOUNT]]*_1_5412845612146241046457891017[[#This Row],[DISCOUNT 2]]</f>
        <v>0</v>
      </c>
      <c r="M94" s="194">
        <f>IF(OR(_1_5412845612146241046457891017[[#This Row],[UNIT]]&gt;0,_1_5412845612146241046457891017[[#This Row],[UNIT]]&lt;0),_1_5412845612146241046457891017[[#This Row],[UNIT]]*_1_5412845612146241046457891017[[#This Row],[COST]],0)</f>
        <v>0</v>
      </c>
      <c r="N94" s="194">
        <f t="shared" si="1"/>
        <v>1.35</v>
      </c>
      <c r="O94" s="198">
        <f>_1_5412845612146241046457891017[[#This Row],[TOTAL]]*_1_5412845612146241046457891017[[#This Row],[MARGIN]]</f>
        <v>0</v>
      </c>
      <c r="R94" s="41"/>
    </row>
    <row r="95" spans="1:18">
      <c r="A95" s="168"/>
      <c r="C95" s="168"/>
      <c r="D95" s="188"/>
      <c r="F95" s="168" t="s">
        <v>6202</v>
      </c>
      <c r="G95" s="193">
        <f>IF(_1_5412845612146241046457891017[[#This Row],[Type]]&gt;0,VLOOKUP(_1_5412845612146241046457891017[[#This Row],[Type]],Main[[#All],[TYPE]:[UNIT]],'Unit Price'!C$1,FALSE),0)</f>
        <v>0</v>
      </c>
      <c r="H95" s="197">
        <f>IF(_1_5412845612146241046457891017[[#This Row],[Type]]&gt;0,VLOOKUP(_1_5412845612146241046457891017[[#This Row],[Type]],Main[[#All],[TYPE]:[UNIT]],'Unit Price'!D$1,FALSE),0)</f>
        <v>0</v>
      </c>
      <c r="I95" s="194">
        <f>IF(_1_5412845612146241046457891017[[#This Row],[Type]]&gt;0,VLOOKUP(_1_5412845612146241046457891017[[#This Row],[Type]],Main[[#All],[TYPE]:[UNIT]],'Unit Price'!G$1,FALSE),0)</f>
        <v>0</v>
      </c>
      <c r="J95" s="194">
        <f>IF(_1_5412845612146241046457891017[[#This Row],[Type]]&gt;0,VLOOKUP(_1_5412845612146241046457891017[[#This Row],[Type]],Main[[#All],[TYPE]:[UNIT]],'Unit Price'!H$1,FALSE),0)</f>
        <v>0</v>
      </c>
      <c r="K95" s="194">
        <f>IF(_1_5412845612146241046457891017[[#This Row],[Discount selection]]&gt;0,VLOOKUP(_1_5412845612146241046457891017[[#This Row],[Discount selection]],'Discount Structure'!$A$2:$B$30,2,"false"),0)</f>
        <v>1</v>
      </c>
      <c r="L95" s="194">
        <f>_1_5412845612146241046457891017[[#This Row],[LIST $]]*_1_5412845612146241046457891017[[#This Row],[DISCOUNT]]*_1_5412845612146241046457891017[[#This Row],[DISCOUNT 2]]</f>
        <v>0</v>
      </c>
      <c r="M95" s="194">
        <f>IF(OR(_1_5412845612146241046457891017[[#This Row],[UNIT]]&gt;0,_1_5412845612146241046457891017[[#This Row],[UNIT]]&lt;0),_1_5412845612146241046457891017[[#This Row],[UNIT]]*_1_5412845612146241046457891017[[#This Row],[COST]],0)</f>
        <v>0</v>
      </c>
      <c r="N95" s="194">
        <f t="shared" si="1"/>
        <v>1.35</v>
      </c>
      <c r="O95" s="198">
        <f>_1_5412845612146241046457891017[[#This Row],[TOTAL]]*_1_5412845612146241046457891017[[#This Row],[MARGIN]]</f>
        <v>0</v>
      </c>
      <c r="R95" s="41"/>
    </row>
    <row r="96" spans="1:18">
      <c r="A96" s="320"/>
      <c r="B96" s="351"/>
      <c r="C96" s="168"/>
      <c r="D96" s="188"/>
      <c r="E96" s="313"/>
      <c r="F96" s="168" t="s">
        <v>6202</v>
      </c>
      <c r="G96" s="193">
        <f>IF(_1_5412845612146241046457891017[[#This Row],[Type]]&gt;0,VLOOKUP(_1_5412845612146241046457891017[[#This Row],[Type]],Main[[#All],[TYPE]:[UNIT]],'Unit Price'!C$1,FALSE),0)</f>
        <v>0</v>
      </c>
      <c r="H96" s="197">
        <f>IF(_1_5412845612146241046457891017[[#This Row],[Type]]&gt;0,VLOOKUP(_1_5412845612146241046457891017[[#This Row],[Type]],Main[[#All],[TYPE]:[UNIT]],'Unit Price'!D$1,FALSE),0)</f>
        <v>0</v>
      </c>
      <c r="I96" s="194">
        <f>IF(_1_5412845612146241046457891017[[#This Row],[Type]]&gt;0,VLOOKUP(_1_5412845612146241046457891017[[#This Row],[Type]],Main[[#All],[TYPE]:[UNIT]],'Unit Price'!G$1,FALSE),0)</f>
        <v>0</v>
      </c>
      <c r="J96" s="194">
        <f>IF(_1_5412845612146241046457891017[[#This Row],[Type]]&gt;0,VLOOKUP(_1_5412845612146241046457891017[[#This Row],[Type]],Main[[#All],[TYPE]:[UNIT]],'Unit Price'!H$1,FALSE),0)</f>
        <v>0</v>
      </c>
      <c r="K96" s="194">
        <f>IF(_1_5412845612146241046457891017[[#This Row],[Discount selection]]&gt;0,VLOOKUP(_1_5412845612146241046457891017[[#This Row],[Discount selection]],'Discount Structure'!$A$2:$B$30,2,"false"),0)</f>
        <v>1</v>
      </c>
      <c r="L96" s="194">
        <f>_1_5412845612146241046457891017[[#This Row],[LIST $]]*_1_5412845612146241046457891017[[#This Row],[DISCOUNT]]*_1_5412845612146241046457891017[[#This Row],[DISCOUNT 2]]</f>
        <v>0</v>
      </c>
      <c r="M96" s="194">
        <f>IF(OR(_1_5412845612146241046457891017[[#This Row],[UNIT]]&gt;0,_1_5412845612146241046457891017[[#This Row],[UNIT]]&lt;0),_1_5412845612146241046457891017[[#This Row],[UNIT]]*_1_5412845612146241046457891017[[#This Row],[COST]],0)</f>
        <v>0</v>
      </c>
      <c r="N96" s="194">
        <f t="shared" si="1"/>
        <v>1.35</v>
      </c>
      <c r="O96" s="198">
        <f>_1_5412845612146241046457891017[[#This Row],[TOTAL]]*_1_5412845612146241046457891017[[#This Row],[MARGIN]]</f>
        <v>0</v>
      </c>
      <c r="R96" s="41"/>
    </row>
    <row r="97" spans="1:18">
      <c r="A97" s="340"/>
      <c r="B97" s="168"/>
      <c r="C97" s="168"/>
      <c r="D97" s="188"/>
      <c r="F97" s="168" t="s">
        <v>6202</v>
      </c>
      <c r="G97" s="193">
        <f>IF(_1_5412845612146241046457891017[[#This Row],[Type]]&gt;0,VLOOKUP(_1_5412845612146241046457891017[[#This Row],[Type]],Main[[#All],[TYPE]:[UNIT]],'Unit Price'!C$1,FALSE),0)</f>
        <v>0</v>
      </c>
      <c r="H97" s="197">
        <f>IF(_1_5412845612146241046457891017[[#This Row],[Type]]&gt;0,VLOOKUP(_1_5412845612146241046457891017[[#This Row],[Type]],Main[[#All],[TYPE]:[UNIT]],'Unit Price'!D$1,FALSE),0)</f>
        <v>0</v>
      </c>
      <c r="I97" s="194">
        <f>IF(_1_5412845612146241046457891017[[#This Row],[Type]]&gt;0,VLOOKUP(_1_5412845612146241046457891017[[#This Row],[Type]],Main[[#All],[TYPE]:[UNIT]],'Unit Price'!G$1,FALSE),0)</f>
        <v>0</v>
      </c>
      <c r="J97" s="194">
        <f>IF(_1_5412845612146241046457891017[[#This Row],[Type]]&gt;0,VLOOKUP(_1_5412845612146241046457891017[[#This Row],[Type]],Main[[#All],[TYPE]:[UNIT]],'Unit Price'!H$1,FALSE),0)</f>
        <v>0</v>
      </c>
      <c r="K97" s="194">
        <f>IF(_1_5412845612146241046457891017[[#This Row],[Discount selection]]&gt;0,VLOOKUP(_1_5412845612146241046457891017[[#This Row],[Discount selection]],'Discount Structure'!$A$2:$B$30,2,"false"),0)</f>
        <v>1</v>
      </c>
      <c r="L97" s="194">
        <f>_1_5412845612146241046457891017[[#This Row],[LIST $]]*_1_5412845612146241046457891017[[#This Row],[DISCOUNT]]*_1_5412845612146241046457891017[[#This Row],[DISCOUNT 2]]</f>
        <v>0</v>
      </c>
      <c r="M97" s="194">
        <f>IF(OR(_1_5412845612146241046457891017[[#This Row],[UNIT]]&gt;0,_1_5412845612146241046457891017[[#This Row],[UNIT]]&lt;0),_1_5412845612146241046457891017[[#This Row],[UNIT]]*_1_5412845612146241046457891017[[#This Row],[COST]],0)</f>
        <v>0</v>
      </c>
      <c r="N97" s="194">
        <f t="shared" si="1"/>
        <v>1.35</v>
      </c>
      <c r="O97" s="198">
        <f>_1_5412845612146241046457891017[[#This Row],[TOTAL]]*_1_5412845612146241046457891017[[#This Row],[MARGIN]]</f>
        <v>0</v>
      </c>
      <c r="R97" s="41"/>
    </row>
    <row r="98" spans="1:18">
      <c r="A98" s="168"/>
      <c r="C98" s="168"/>
      <c r="D98" s="188"/>
      <c r="F98" s="168" t="s">
        <v>6202</v>
      </c>
      <c r="G98" s="193">
        <f>IF(_1_5412845612146241046457891017[[#This Row],[Type]]&gt;0,VLOOKUP(_1_5412845612146241046457891017[[#This Row],[Type]],Main[[#All],[TYPE]:[UNIT]],'Unit Price'!C$1,FALSE),0)</f>
        <v>0</v>
      </c>
      <c r="H98" s="197">
        <f>IF(_1_5412845612146241046457891017[[#This Row],[Type]]&gt;0,VLOOKUP(_1_5412845612146241046457891017[[#This Row],[Type]],Main[[#All],[TYPE]:[UNIT]],'Unit Price'!D$1,FALSE),0)</f>
        <v>0</v>
      </c>
      <c r="I98" s="194">
        <f>IF(_1_5412845612146241046457891017[[#This Row],[Type]]&gt;0,VLOOKUP(_1_5412845612146241046457891017[[#This Row],[Type]],Main[[#All],[TYPE]:[UNIT]],'Unit Price'!G$1,FALSE),0)</f>
        <v>0</v>
      </c>
      <c r="J98" s="194">
        <f>IF(_1_5412845612146241046457891017[[#This Row],[Type]]&gt;0,VLOOKUP(_1_5412845612146241046457891017[[#This Row],[Type]],Main[[#All],[TYPE]:[UNIT]],'Unit Price'!H$1,FALSE),0)</f>
        <v>0</v>
      </c>
      <c r="K98" s="194">
        <f>IF(_1_5412845612146241046457891017[[#This Row],[Discount selection]]&gt;0,VLOOKUP(_1_5412845612146241046457891017[[#This Row],[Discount selection]],'Discount Structure'!$A$2:$B$30,2,"false"),0)</f>
        <v>1</v>
      </c>
      <c r="L98" s="194">
        <f>_1_5412845612146241046457891017[[#This Row],[LIST $]]*_1_5412845612146241046457891017[[#This Row],[DISCOUNT]]*_1_5412845612146241046457891017[[#This Row],[DISCOUNT 2]]</f>
        <v>0</v>
      </c>
      <c r="M98" s="194">
        <f>IF(OR(_1_5412845612146241046457891017[[#This Row],[UNIT]]&gt;0,_1_5412845612146241046457891017[[#This Row],[UNIT]]&lt;0),_1_5412845612146241046457891017[[#This Row],[UNIT]]*_1_5412845612146241046457891017[[#This Row],[COST]],0)</f>
        <v>0</v>
      </c>
      <c r="N98" s="194">
        <f t="shared" si="1"/>
        <v>1.35</v>
      </c>
      <c r="O98" s="198">
        <f>_1_5412845612146241046457891017[[#This Row],[TOTAL]]*_1_5412845612146241046457891017[[#This Row],[MARGIN]]</f>
        <v>0</v>
      </c>
      <c r="R98" s="41"/>
    </row>
    <row r="99" spans="1:18">
      <c r="C99" s="168"/>
      <c r="D99" s="188"/>
      <c r="F99" s="168" t="s">
        <v>6202</v>
      </c>
      <c r="G99" s="193">
        <f>IF(_1_5412845612146241046457891017[[#This Row],[Type]]&gt;0,VLOOKUP(_1_5412845612146241046457891017[[#This Row],[Type]],Main[[#All],[TYPE]:[UNIT]],'Unit Price'!C$1,FALSE),0)</f>
        <v>0</v>
      </c>
      <c r="H99" s="197">
        <f>IF(_1_5412845612146241046457891017[[#This Row],[Type]]&gt;0,VLOOKUP(_1_5412845612146241046457891017[[#This Row],[Type]],Main[[#All],[TYPE]:[UNIT]],'Unit Price'!D$1,FALSE),0)</f>
        <v>0</v>
      </c>
      <c r="I99" s="194">
        <f>IF(_1_5412845612146241046457891017[[#This Row],[Type]]&gt;0,VLOOKUP(_1_5412845612146241046457891017[[#This Row],[Type]],Main[[#All],[TYPE]:[UNIT]],'Unit Price'!G$1,FALSE),0)</f>
        <v>0</v>
      </c>
      <c r="J99" s="194">
        <f>IF(_1_5412845612146241046457891017[[#This Row],[Type]]&gt;0,VLOOKUP(_1_5412845612146241046457891017[[#This Row],[Type]],Main[[#All],[TYPE]:[UNIT]],'Unit Price'!H$1,FALSE),0)</f>
        <v>0</v>
      </c>
      <c r="K99" s="194">
        <f>IF(_1_5412845612146241046457891017[[#This Row],[Discount selection]]&gt;0,VLOOKUP(_1_5412845612146241046457891017[[#This Row],[Discount selection]],'Discount Structure'!$A$2:$B$30,2,"false"),0)</f>
        <v>1</v>
      </c>
      <c r="L99" s="194">
        <f>_1_5412845612146241046457891017[[#This Row],[LIST $]]*_1_5412845612146241046457891017[[#This Row],[DISCOUNT]]*_1_5412845612146241046457891017[[#This Row],[DISCOUNT 2]]</f>
        <v>0</v>
      </c>
      <c r="M99" s="194">
        <f>IF(OR(_1_5412845612146241046457891017[[#This Row],[UNIT]]&gt;0,_1_5412845612146241046457891017[[#This Row],[UNIT]]&lt;0),_1_5412845612146241046457891017[[#This Row],[UNIT]]*_1_5412845612146241046457891017[[#This Row],[COST]],0)</f>
        <v>0</v>
      </c>
      <c r="N99" s="194">
        <f t="shared" si="1"/>
        <v>1.35</v>
      </c>
      <c r="O99" s="198">
        <f>_1_5412845612146241046457891017[[#This Row],[TOTAL]]*_1_5412845612146241046457891017[[#This Row],[MARGIN]]</f>
        <v>0</v>
      </c>
      <c r="R99" s="41"/>
    </row>
    <row r="100" spans="1:18">
      <c r="C100" s="168"/>
      <c r="D100" s="188"/>
      <c r="F100" s="168" t="s">
        <v>6202</v>
      </c>
      <c r="G100" s="193">
        <f>IF(_1_5412845612146241046457891017[[#This Row],[Type]]&gt;0,VLOOKUP(_1_5412845612146241046457891017[[#This Row],[Type]],Main[[#All],[TYPE]:[UNIT]],'Unit Price'!C$1,FALSE),0)</f>
        <v>0</v>
      </c>
      <c r="H100" s="197">
        <f>IF(_1_5412845612146241046457891017[[#This Row],[Type]]&gt;0,VLOOKUP(_1_5412845612146241046457891017[[#This Row],[Type]],Main[[#All],[TYPE]:[UNIT]],'Unit Price'!D$1,FALSE),0)</f>
        <v>0</v>
      </c>
      <c r="I100" s="194">
        <f>IF(_1_5412845612146241046457891017[[#This Row],[Type]]&gt;0,VLOOKUP(_1_5412845612146241046457891017[[#This Row],[Type]],Main[[#All],[TYPE]:[UNIT]],'Unit Price'!G$1,FALSE),0)</f>
        <v>0</v>
      </c>
      <c r="J100" s="194">
        <f>IF(_1_5412845612146241046457891017[[#This Row],[Type]]&gt;0,VLOOKUP(_1_5412845612146241046457891017[[#This Row],[Type]],Main[[#All],[TYPE]:[UNIT]],'Unit Price'!H$1,FALSE),0)</f>
        <v>0</v>
      </c>
      <c r="K100" s="194">
        <f>IF(_1_5412845612146241046457891017[[#This Row],[Discount selection]]&gt;0,VLOOKUP(_1_5412845612146241046457891017[[#This Row],[Discount selection]],'Discount Structure'!$A$2:$B$30,2,"false"),0)</f>
        <v>1</v>
      </c>
      <c r="L100" s="194">
        <f>_1_5412845612146241046457891017[[#This Row],[LIST $]]*_1_5412845612146241046457891017[[#This Row],[DISCOUNT]]*_1_5412845612146241046457891017[[#This Row],[DISCOUNT 2]]</f>
        <v>0</v>
      </c>
      <c r="M100" s="194">
        <f>IF(OR(_1_5412845612146241046457891017[[#This Row],[UNIT]]&gt;0,_1_5412845612146241046457891017[[#This Row],[UNIT]]&lt;0),_1_5412845612146241046457891017[[#This Row],[UNIT]]*_1_5412845612146241046457891017[[#This Row],[COST]],0)</f>
        <v>0</v>
      </c>
      <c r="N100" s="194">
        <f t="shared" si="1"/>
        <v>1.35</v>
      </c>
      <c r="O100" s="198">
        <f>_1_5412845612146241046457891017[[#This Row],[TOTAL]]*_1_5412845612146241046457891017[[#This Row],[MARGIN]]</f>
        <v>0</v>
      </c>
      <c r="R100" s="41"/>
    </row>
    <row r="101" spans="1:18">
      <c r="B101" s="168"/>
      <c r="C101" s="168"/>
      <c r="D101" s="188"/>
      <c r="F101" s="168" t="s">
        <v>6202</v>
      </c>
      <c r="G101" s="193">
        <f>IF(_1_5412845612146241046457891017[[#This Row],[Type]]&gt;0,VLOOKUP(_1_5412845612146241046457891017[[#This Row],[Type]],Main[[#All],[TYPE]:[UNIT]],'Unit Price'!C$1,FALSE),0)</f>
        <v>0</v>
      </c>
      <c r="H101" s="197">
        <f>IF(_1_5412845612146241046457891017[[#This Row],[Type]]&gt;0,VLOOKUP(_1_5412845612146241046457891017[[#This Row],[Type]],Main[[#All],[TYPE]:[UNIT]],'Unit Price'!D$1,FALSE),0)</f>
        <v>0</v>
      </c>
      <c r="I101" s="194">
        <f>IF(_1_5412845612146241046457891017[[#This Row],[Type]]&gt;0,VLOOKUP(_1_5412845612146241046457891017[[#This Row],[Type]],Main[[#All],[TYPE]:[UNIT]],'Unit Price'!G$1,FALSE),0)</f>
        <v>0</v>
      </c>
      <c r="J101" s="194">
        <f>IF(_1_5412845612146241046457891017[[#This Row],[Type]]&gt;0,VLOOKUP(_1_5412845612146241046457891017[[#This Row],[Type]],Main[[#All],[TYPE]:[UNIT]],'Unit Price'!H$1,FALSE),0)</f>
        <v>0</v>
      </c>
      <c r="K101" s="194">
        <f>IF(_1_5412845612146241046457891017[[#This Row],[Discount selection]]&gt;0,VLOOKUP(_1_5412845612146241046457891017[[#This Row],[Discount selection]],'Discount Structure'!$A$2:$B$30,2,"false"),0)</f>
        <v>1</v>
      </c>
      <c r="L101" s="194">
        <f>_1_5412845612146241046457891017[[#This Row],[LIST $]]*_1_5412845612146241046457891017[[#This Row],[DISCOUNT]]*_1_5412845612146241046457891017[[#This Row],[DISCOUNT 2]]</f>
        <v>0</v>
      </c>
      <c r="M101" s="194">
        <f>IF(OR(_1_5412845612146241046457891017[[#This Row],[UNIT]]&gt;0,_1_5412845612146241046457891017[[#This Row],[UNIT]]&lt;0),_1_5412845612146241046457891017[[#This Row],[UNIT]]*_1_5412845612146241046457891017[[#This Row],[COST]],0)</f>
        <v>0</v>
      </c>
      <c r="N101" s="194">
        <f t="shared" si="1"/>
        <v>1.35</v>
      </c>
      <c r="O101" s="198">
        <f>_1_5412845612146241046457891017[[#This Row],[TOTAL]]*_1_5412845612146241046457891017[[#This Row],[MARGIN]]</f>
        <v>0</v>
      </c>
      <c r="R101" s="41"/>
    </row>
    <row r="102" spans="1:18">
      <c r="A102" s="168"/>
      <c r="C102" s="168"/>
      <c r="D102" s="188"/>
      <c r="F102" s="168" t="s">
        <v>6202</v>
      </c>
      <c r="G102" s="193">
        <f>IF(_1_5412845612146241046457891017[[#This Row],[Type]]&gt;0,VLOOKUP(_1_5412845612146241046457891017[[#This Row],[Type]],Main[[#All],[TYPE]:[UNIT]],'Unit Price'!C$1,FALSE),0)</f>
        <v>0</v>
      </c>
      <c r="H102" s="197">
        <f>IF(_1_5412845612146241046457891017[[#This Row],[Type]]&gt;0,VLOOKUP(_1_5412845612146241046457891017[[#This Row],[Type]],Main[[#All],[TYPE]:[UNIT]],'Unit Price'!D$1,FALSE),0)</f>
        <v>0</v>
      </c>
      <c r="I102" s="194">
        <f>IF(_1_5412845612146241046457891017[[#This Row],[Type]]&gt;0,VLOOKUP(_1_5412845612146241046457891017[[#This Row],[Type]],Main[[#All],[TYPE]:[UNIT]],'Unit Price'!G$1,FALSE),0)</f>
        <v>0</v>
      </c>
      <c r="J102" s="194">
        <f>IF(_1_5412845612146241046457891017[[#This Row],[Type]]&gt;0,VLOOKUP(_1_5412845612146241046457891017[[#This Row],[Type]],Main[[#All],[TYPE]:[UNIT]],'Unit Price'!H$1,FALSE),0)</f>
        <v>0</v>
      </c>
      <c r="K102" s="194">
        <f>IF(_1_5412845612146241046457891017[[#This Row],[Discount selection]]&gt;0,VLOOKUP(_1_5412845612146241046457891017[[#This Row],[Discount selection]],'Discount Structure'!$A$2:$B$30,2,"false"),0)</f>
        <v>1</v>
      </c>
      <c r="L102" s="194">
        <f>_1_5412845612146241046457891017[[#This Row],[LIST $]]*_1_5412845612146241046457891017[[#This Row],[DISCOUNT]]*_1_5412845612146241046457891017[[#This Row],[DISCOUNT 2]]</f>
        <v>0</v>
      </c>
      <c r="M102" s="194">
        <f>IF(OR(_1_5412845612146241046457891017[[#This Row],[UNIT]]&gt;0,_1_5412845612146241046457891017[[#This Row],[UNIT]]&lt;0),_1_5412845612146241046457891017[[#This Row],[UNIT]]*_1_5412845612146241046457891017[[#This Row],[COST]],0)</f>
        <v>0</v>
      </c>
      <c r="N102" s="194">
        <f t="shared" si="1"/>
        <v>1.35</v>
      </c>
      <c r="O102" s="198">
        <f>_1_5412845612146241046457891017[[#This Row],[TOTAL]]*_1_5412845612146241046457891017[[#This Row],[MARGIN]]</f>
        <v>0</v>
      </c>
      <c r="R102" s="41"/>
    </row>
    <row r="103" spans="1:18">
      <c r="A103" s="168"/>
      <c r="B103" s="168"/>
      <c r="C103" s="168"/>
      <c r="D103" s="188"/>
      <c r="F103" s="168" t="s">
        <v>6202</v>
      </c>
      <c r="G103" s="193">
        <f>IF(_1_5412845612146241046457891017[[#This Row],[Type]]&gt;0,VLOOKUP(_1_5412845612146241046457891017[[#This Row],[Type]],Main[[#All],[TYPE]:[UNIT]],'Unit Price'!C$1,FALSE),0)</f>
        <v>0</v>
      </c>
      <c r="H103" s="197">
        <f>IF(_1_5412845612146241046457891017[[#This Row],[Type]]&gt;0,VLOOKUP(_1_5412845612146241046457891017[[#This Row],[Type]],Main[[#All],[TYPE]:[UNIT]],'Unit Price'!D$1,FALSE),0)</f>
        <v>0</v>
      </c>
      <c r="I103" s="194">
        <f>IF(_1_5412845612146241046457891017[[#This Row],[Type]]&gt;0,VLOOKUP(_1_5412845612146241046457891017[[#This Row],[Type]],Main[[#All],[TYPE]:[UNIT]],'Unit Price'!G$1,FALSE),0)</f>
        <v>0</v>
      </c>
      <c r="J103" s="194">
        <f>IF(_1_5412845612146241046457891017[[#This Row],[Type]]&gt;0,VLOOKUP(_1_5412845612146241046457891017[[#This Row],[Type]],Main[[#All],[TYPE]:[UNIT]],'Unit Price'!H$1,FALSE),0)</f>
        <v>0</v>
      </c>
      <c r="K103" s="194">
        <f>IF(_1_5412845612146241046457891017[[#This Row],[Discount selection]]&gt;0,VLOOKUP(_1_5412845612146241046457891017[[#This Row],[Discount selection]],'Discount Structure'!$A$2:$B$30,2,"false"),0)</f>
        <v>1</v>
      </c>
      <c r="L103" s="194">
        <f>_1_5412845612146241046457891017[[#This Row],[LIST $]]*_1_5412845612146241046457891017[[#This Row],[DISCOUNT]]*_1_5412845612146241046457891017[[#This Row],[DISCOUNT 2]]</f>
        <v>0</v>
      </c>
      <c r="M103" s="194">
        <f>IF(OR(_1_5412845612146241046457891017[[#This Row],[UNIT]]&gt;0,_1_5412845612146241046457891017[[#This Row],[UNIT]]&lt;0),_1_5412845612146241046457891017[[#This Row],[UNIT]]*_1_5412845612146241046457891017[[#This Row],[COST]],0)</f>
        <v>0</v>
      </c>
      <c r="N103" s="194">
        <f t="shared" si="1"/>
        <v>1.35</v>
      </c>
      <c r="O103" s="198">
        <f>_1_5412845612146241046457891017[[#This Row],[TOTAL]]*_1_5412845612146241046457891017[[#This Row],[MARGIN]]</f>
        <v>0</v>
      </c>
      <c r="R103" s="41"/>
    </row>
    <row r="104" spans="1:18">
      <c r="B104" s="168"/>
      <c r="C104" s="168"/>
      <c r="D104" s="188"/>
      <c r="F104" s="168" t="s">
        <v>6202</v>
      </c>
      <c r="G104" s="204">
        <f>IF(_1_5412845612146241046457891017[[#This Row],[Type]]&gt;0,VLOOKUP(_1_5412845612146241046457891017[[#This Row],[Type]],Main[[#All],[TYPE]:[UNIT]],'Unit Price'!C$1,FALSE),0)</f>
        <v>0</v>
      </c>
      <c r="H104" s="197">
        <f>IF(_1_5412845612146241046457891017[[#This Row],[Type]]&gt;0,VLOOKUP(_1_5412845612146241046457891017[[#This Row],[Type]],Main[[#All],[TYPE]:[UNIT]],'Unit Price'!D$1,FALSE),0)</f>
        <v>0</v>
      </c>
      <c r="I104" s="194">
        <f>IF(_1_5412845612146241046457891017[[#This Row],[Type]]&gt;0,VLOOKUP(_1_5412845612146241046457891017[[#This Row],[Type]],Main[[#All],[TYPE]:[UNIT]],'Unit Price'!G$1,FALSE),0)</f>
        <v>0</v>
      </c>
      <c r="J104" s="194">
        <f>IF(_1_5412845612146241046457891017[[#This Row],[Type]]&gt;0,VLOOKUP(_1_5412845612146241046457891017[[#This Row],[Type]],Main[[#All],[TYPE]:[UNIT]],'Unit Price'!H$1,FALSE),0)</f>
        <v>0</v>
      </c>
      <c r="K104" s="194">
        <f>IF(_1_5412845612146241046457891017[[#This Row],[Discount selection]]&gt;0,VLOOKUP(_1_5412845612146241046457891017[[#This Row],[Discount selection]],'Discount Structure'!$A$2:$B$30,2,"false"),0)</f>
        <v>1</v>
      </c>
      <c r="L104" s="194">
        <f>_1_5412845612146241046457891017[[#This Row],[LIST $]]*_1_5412845612146241046457891017[[#This Row],[DISCOUNT]]*_1_5412845612146241046457891017[[#This Row],[DISCOUNT 2]]</f>
        <v>0</v>
      </c>
      <c r="M104" s="194">
        <f>IF(OR(_1_5412845612146241046457891017[[#This Row],[UNIT]]&gt;0,_1_5412845612146241046457891017[[#This Row],[UNIT]]&lt;0),_1_5412845612146241046457891017[[#This Row],[UNIT]]*_1_5412845612146241046457891017[[#This Row],[COST]],0)</f>
        <v>0</v>
      </c>
      <c r="N104" s="194">
        <f t="shared" si="1"/>
        <v>1.35</v>
      </c>
      <c r="O104" s="198">
        <f>_1_5412845612146241046457891017[[#This Row],[TOTAL]]*_1_5412845612146241046457891017[[#This Row],[MARGIN]]</f>
        <v>0</v>
      </c>
      <c r="R104" s="41"/>
    </row>
    <row r="105" spans="1:18">
      <c r="B105" s="168"/>
      <c r="C105" s="168"/>
      <c r="D105" s="188"/>
      <c r="F105" s="168" t="s">
        <v>6202</v>
      </c>
      <c r="G105" s="193">
        <f>IF(_1_5412845612146241046457891017[[#This Row],[Type]]&gt;0,VLOOKUP(_1_5412845612146241046457891017[[#This Row],[Type]],Main[[#All],[TYPE]:[UNIT]],'Unit Price'!C$1,FALSE),0)</f>
        <v>0</v>
      </c>
      <c r="H105" s="197">
        <f>IF(_1_5412845612146241046457891017[[#This Row],[Type]]&gt;0,VLOOKUP(_1_5412845612146241046457891017[[#This Row],[Type]],Main[[#All],[TYPE]:[UNIT]],'Unit Price'!D$1,FALSE),0)</f>
        <v>0</v>
      </c>
      <c r="I105" s="194">
        <f>IF(_1_5412845612146241046457891017[[#This Row],[Type]]&gt;0,VLOOKUP(_1_5412845612146241046457891017[[#This Row],[Type]],Main[[#All],[TYPE]:[UNIT]],'Unit Price'!G$1,FALSE),0)</f>
        <v>0</v>
      </c>
      <c r="J105" s="194">
        <f>IF(_1_5412845612146241046457891017[[#This Row],[Type]]&gt;0,VLOOKUP(_1_5412845612146241046457891017[[#This Row],[Type]],Main[[#All],[TYPE]:[UNIT]],'Unit Price'!H$1,FALSE),0)</f>
        <v>0</v>
      </c>
      <c r="K105" s="194">
        <f>IF(_1_5412845612146241046457891017[[#This Row],[Discount selection]]&gt;0,VLOOKUP(_1_5412845612146241046457891017[[#This Row],[Discount selection]],'Discount Structure'!$A$2:$B$30,2,"false"),0)</f>
        <v>1</v>
      </c>
      <c r="L105" s="194">
        <f>_1_5412845612146241046457891017[[#This Row],[LIST $]]*_1_5412845612146241046457891017[[#This Row],[DISCOUNT]]*_1_5412845612146241046457891017[[#This Row],[DISCOUNT 2]]</f>
        <v>0</v>
      </c>
      <c r="M105" s="194">
        <f>IF(OR(_1_5412845612146241046457891017[[#This Row],[UNIT]]&gt;0,_1_5412845612146241046457891017[[#This Row],[UNIT]]&lt;0),_1_5412845612146241046457891017[[#This Row],[UNIT]]*_1_5412845612146241046457891017[[#This Row],[COST]],0)</f>
        <v>0</v>
      </c>
      <c r="N105" s="194">
        <f t="shared" si="1"/>
        <v>1.35</v>
      </c>
      <c r="O105" s="198">
        <f>_1_5412845612146241046457891017[[#This Row],[TOTAL]]*_1_5412845612146241046457891017[[#This Row],[MARGIN]]</f>
        <v>0</v>
      </c>
      <c r="R105" s="41"/>
    </row>
    <row r="106" spans="1:18">
      <c r="B106" s="318"/>
      <c r="C106" s="168"/>
      <c r="D106" s="188"/>
      <c r="F106" s="168" t="s">
        <v>6202</v>
      </c>
      <c r="G106" s="204">
        <f>IF(_1_5412845612146241046457891017[[#This Row],[Type]]&gt;0,VLOOKUP(_1_5412845612146241046457891017[[#This Row],[Type]],Main[[#All],[TYPE]:[UNIT]],'Unit Price'!C$1,FALSE),0)</f>
        <v>0</v>
      </c>
      <c r="H106" s="197">
        <f>IF(_1_5412845612146241046457891017[[#This Row],[Type]]&gt;0,VLOOKUP(_1_5412845612146241046457891017[[#This Row],[Type]],Main[[#All],[TYPE]:[UNIT]],'Unit Price'!D$1,FALSE),0)</f>
        <v>0</v>
      </c>
      <c r="I106" s="194">
        <f>IF(_1_5412845612146241046457891017[[#This Row],[Type]]&gt;0,VLOOKUP(_1_5412845612146241046457891017[[#This Row],[Type]],Main[[#All],[TYPE]:[UNIT]],'Unit Price'!G$1,FALSE),0)</f>
        <v>0</v>
      </c>
      <c r="J106" s="194">
        <f>IF(_1_5412845612146241046457891017[[#This Row],[Type]]&gt;0,VLOOKUP(_1_5412845612146241046457891017[[#This Row],[Type]],Main[[#All],[TYPE]:[UNIT]],'Unit Price'!H$1,FALSE),0)</f>
        <v>0</v>
      </c>
      <c r="K106" s="194">
        <f>IF(_1_5412845612146241046457891017[[#This Row],[Discount selection]]&gt;0,VLOOKUP(_1_5412845612146241046457891017[[#This Row],[Discount selection]],'Discount Structure'!$A$2:$B$30,2,"false"),0)</f>
        <v>1</v>
      </c>
      <c r="L106" s="194">
        <f>_1_5412845612146241046457891017[[#This Row],[LIST $]]*_1_5412845612146241046457891017[[#This Row],[DISCOUNT]]*_1_5412845612146241046457891017[[#This Row],[DISCOUNT 2]]</f>
        <v>0</v>
      </c>
      <c r="M106" s="194">
        <f>IF(OR(_1_5412845612146241046457891017[[#This Row],[UNIT]]&gt;0,_1_5412845612146241046457891017[[#This Row],[UNIT]]&lt;0),_1_5412845612146241046457891017[[#This Row],[UNIT]]*_1_5412845612146241046457891017[[#This Row],[COST]],0)</f>
        <v>0</v>
      </c>
      <c r="N106" s="194">
        <f t="shared" si="1"/>
        <v>1.35</v>
      </c>
      <c r="O106" s="198">
        <f>_1_5412845612146241046457891017[[#This Row],[TOTAL]]*_1_5412845612146241046457891017[[#This Row],[MARGIN]]</f>
        <v>0</v>
      </c>
      <c r="R106" s="41"/>
    </row>
    <row r="107" spans="1:18">
      <c r="A107" s="341"/>
      <c r="C107" s="168"/>
      <c r="D107" s="188"/>
      <c r="F107" s="168" t="s">
        <v>6202</v>
      </c>
      <c r="G107" s="193">
        <f>IF(_1_5412845612146241046457891017[[#This Row],[Type]]&gt;0,VLOOKUP(_1_5412845612146241046457891017[[#This Row],[Type]],Main[[#All],[TYPE]:[UNIT]],'Unit Price'!C$1,FALSE),0)</f>
        <v>0</v>
      </c>
      <c r="H107" s="197">
        <f>IF(_1_5412845612146241046457891017[[#This Row],[Type]]&gt;0,VLOOKUP(_1_5412845612146241046457891017[[#This Row],[Type]],Main[[#All],[TYPE]:[UNIT]],'Unit Price'!D$1,FALSE),0)</f>
        <v>0</v>
      </c>
      <c r="I107" s="194">
        <f>IF(_1_5412845612146241046457891017[[#This Row],[Type]]&gt;0,VLOOKUP(_1_5412845612146241046457891017[[#This Row],[Type]],Main[[#All],[TYPE]:[UNIT]],'Unit Price'!G$1,FALSE),0)</f>
        <v>0</v>
      </c>
      <c r="J107" s="194">
        <f>IF(_1_5412845612146241046457891017[[#This Row],[Type]]&gt;0,VLOOKUP(_1_5412845612146241046457891017[[#This Row],[Type]],Main[[#All],[TYPE]:[UNIT]],'Unit Price'!H$1,FALSE),0)</f>
        <v>0</v>
      </c>
      <c r="K107" s="194">
        <f>IF(_1_5412845612146241046457891017[[#This Row],[Discount selection]]&gt;0,VLOOKUP(_1_5412845612146241046457891017[[#This Row],[Discount selection]],'Discount Structure'!$A$2:$B$30,2,"false"),0)</f>
        <v>1</v>
      </c>
      <c r="L107" s="194">
        <f>_1_5412845612146241046457891017[[#This Row],[LIST $]]*_1_5412845612146241046457891017[[#This Row],[DISCOUNT]]*_1_5412845612146241046457891017[[#This Row],[DISCOUNT 2]]</f>
        <v>0</v>
      </c>
      <c r="M107" s="194">
        <f>IF(OR(_1_5412845612146241046457891017[[#This Row],[UNIT]]&gt;0,_1_5412845612146241046457891017[[#This Row],[UNIT]]&lt;0),_1_5412845612146241046457891017[[#This Row],[UNIT]]*_1_5412845612146241046457891017[[#This Row],[COST]],0)</f>
        <v>0</v>
      </c>
      <c r="N107" s="194">
        <f t="shared" si="1"/>
        <v>1.35</v>
      </c>
      <c r="O107" s="198">
        <f>_1_5412845612146241046457891017[[#This Row],[TOTAL]]*_1_5412845612146241046457891017[[#This Row],[MARGIN]]</f>
        <v>0</v>
      </c>
      <c r="R107" s="41"/>
    </row>
    <row r="108" spans="1:18">
      <c r="B108" s="318"/>
      <c r="C108" s="168"/>
      <c r="D108" s="188"/>
      <c r="F108" s="168" t="s">
        <v>6202</v>
      </c>
      <c r="G108" s="204">
        <f>IF(_1_5412845612146241046457891017[[#This Row],[Type]]&gt;0,VLOOKUP(_1_5412845612146241046457891017[[#This Row],[Type]],Main[[#All],[TYPE]:[UNIT]],'Unit Price'!C$1,FALSE),0)</f>
        <v>0</v>
      </c>
      <c r="H108" s="197">
        <f>IF(_1_5412845612146241046457891017[[#This Row],[Type]]&gt;0,VLOOKUP(_1_5412845612146241046457891017[[#This Row],[Type]],Main[[#All],[TYPE]:[UNIT]],'Unit Price'!D$1,FALSE),0)</f>
        <v>0</v>
      </c>
      <c r="I108" s="194">
        <f>IF(_1_5412845612146241046457891017[[#This Row],[Type]]&gt;0,VLOOKUP(_1_5412845612146241046457891017[[#This Row],[Type]],Main[[#All],[TYPE]:[UNIT]],'Unit Price'!G$1,FALSE),0)</f>
        <v>0</v>
      </c>
      <c r="J108" s="194">
        <f>IF(_1_5412845612146241046457891017[[#This Row],[Type]]&gt;0,VLOOKUP(_1_5412845612146241046457891017[[#This Row],[Type]],Main[[#All],[TYPE]:[UNIT]],'Unit Price'!H$1,FALSE),0)</f>
        <v>0</v>
      </c>
      <c r="K108" s="194">
        <f>IF(_1_5412845612146241046457891017[[#This Row],[Discount selection]]&gt;0,VLOOKUP(_1_5412845612146241046457891017[[#This Row],[Discount selection]],'Discount Structure'!$A$2:$B$30,2,"false"),0)</f>
        <v>1</v>
      </c>
      <c r="L108" s="194">
        <f>_1_5412845612146241046457891017[[#This Row],[LIST $]]*_1_5412845612146241046457891017[[#This Row],[DISCOUNT]]*_1_5412845612146241046457891017[[#This Row],[DISCOUNT 2]]</f>
        <v>0</v>
      </c>
      <c r="M108" s="194">
        <f>IF(OR(_1_5412845612146241046457891017[[#This Row],[UNIT]]&gt;0,_1_5412845612146241046457891017[[#This Row],[UNIT]]&lt;0),_1_5412845612146241046457891017[[#This Row],[UNIT]]*_1_5412845612146241046457891017[[#This Row],[COST]],0)</f>
        <v>0</v>
      </c>
      <c r="N108" s="194">
        <f t="shared" si="1"/>
        <v>1.35</v>
      </c>
      <c r="O108" s="198">
        <f>_1_5412845612146241046457891017[[#This Row],[TOTAL]]*_1_5412845612146241046457891017[[#This Row],[MARGIN]]</f>
        <v>0</v>
      </c>
      <c r="R108" s="41"/>
    </row>
    <row r="109" spans="1:18">
      <c r="A109" s="312"/>
      <c r="B109" s="321"/>
      <c r="C109" s="168"/>
      <c r="D109" s="188"/>
      <c r="F109" s="168" t="s">
        <v>6202</v>
      </c>
      <c r="G109" s="193">
        <f>IF(_1_5412845612146241046457891017[[#This Row],[Type]]&gt;0,VLOOKUP(_1_5412845612146241046457891017[[#This Row],[Type]],Main[[#All],[TYPE]:[UNIT]],'Unit Price'!C$1,FALSE),0)</f>
        <v>0</v>
      </c>
      <c r="H109" s="197">
        <f>IF(_1_5412845612146241046457891017[[#This Row],[Type]]&gt;0,VLOOKUP(_1_5412845612146241046457891017[[#This Row],[Type]],Main[[#All],[TYPE]:[UNIT]],'Unit Price'!D$1,FALSE),0)</f>
        <v>0</v>
      </c>
      <c r="I109" s="194">
        <f>IF(_1_5412845612146241046457891017[[#This Row],[Type]]&gt;0,VLOOKUP(_1_5412845612146241046457891017[[#This Row],[Type]],Main[[#All],[TYPE]:[UNIT]],'Unit Price'!G$1,FALSE),0)</f>
        <v>0</v>
      </c>
      <c r="J109" s="194">
        <f>IF(_1_5412845612146241046457891017[[#This Row],[Type]]&gt;0,VLOOKUP(_1_5412845612146241046457891017[[#This Row],[Type]],Main[[#All],[TYPE]:[UNIT]],'Unit Price'!H$1,FALSE),0)</f>
        <v>0</v>
      </c>
      <c r="K109" s="194">
        <f>IF(_1_5412845612146241046457891017[[#This Row],[Discount selection]]&gt;0,VLOOKUP(_1_5412845612146241046457891017[[#This Row],[Discount selection]],'Discount Structure'!$A$2:$B$30,2,"false"),0)</f>
        <v>1</v>
      </c>
      <c r="L109" s="194">
        <f>_1_5412845612146241046457891017[[#This Row],[LIST $]]*_1_5412845612146241046457891017[[#This Row],[DISCOUNT]]*_1_5412845612146241046457891017[[#This Row],[DISCOUNT 2]]</f>
        <v>0</v>
      </c>
      <c r="M109" s="194">
        <f>IF(OR(_1_5412845612146241046457891017[[#This Row],[UNIT]]&gt;0,_1_5412845612146241046457891017[[#This Row],[UNIT]]&lt;0),_1_5412845612146241046457891017[[#This Row],[UNIT]]*_1_5412845612146241046457891017[[#This Row],[COST]],0)</f>
        <v>0</v>
      </c>
      <c r="N109" s="194">
        <f t="shared" si="1"/>
        <v>1.35</v>
      </c>
      <c r="O109" s="198">
        <f>_1_5412845612146241046457891017[[#This Row],[TOTAL]]*_1_5412845612146241046457891017[[#This Row],[MARGIN]]</f>
        <v>0</v>
      </c>
      <c r="R109" s="41"/>
    </row>
    <row r="110" spans="1:18">
      <c r="B110" s="322"/>
      <c r="C110" s="168"/>
      <c r="D110" s="188"/>
      <c r="F110" s="168" t="s">
        <v>6202</v>
      </c>
      <c r="G110" s="193">
        <f>IF(_1_5412845612146241046457891017[[#This Row],[Type]]&gt;0,VLOOKUP(_1_5412845612146241046457891017[[#This Row],[Type]],Main[[#All],[TYPE]:[UNIT]],'Unit Price'!C$1,FALSE),0)</f>
        <v>0</v>
      </c>
      <c r="H110" s="197">
        <f>IF(_1_5412845612146241046457891017[[#This Row],[Type]]&gt;0,VLOOKUP(_1_5412845612146241046457891017[[#This Row],[Type]],Main[[#All],[TYPE]:[UNIT]],'Unit Price'!D$1,FALSE),0)</f>
        <v>0</v>
      </c>
      <c r="I110" s="194">
        <f>IF(_1_5412845612146241046457891017[[#This Row],[Type]]&gt;0,VLOOKUP(_1_5412845612146241046457891017[[#This Row],[Type]],Main[[#All],[TYPE]:[UNIT]],'Unit Price'!G$1,FALSE),0)</f>
        <v>0</v>
      </c>
      <c r="J110" s="194">
        <f>IF(_1_5412845612146241046457891017[[#This Row],[Type]]&gt;0,VLOOKUP(_1_5412845612146241046457891017[[#This Row],[Type]],Main[[#All],[TYPE]:[UNIT]],'Unit Price'!H$1,FALSE),0)</f>
        <v>0</v>
      </c>
      <c r="K110" s="194">
        <f>IF(_1_5412845612146241046457891017[[#This Row],[Discount selection]]&gt;0,VLOOKUP(_1_5412845612146241046457891017[[#This Row],[Discount selection]],'Discount Structure'!$A$2:$B$30,2,"false"),0)</f>
        <v>1</v>
      </c>
      <c r="L110" s="194">
        <f>_1_5412845612146241046457891017[[#This Row],[LIST $]]*_1_5412845612146241046457891017[[#This Row],[DISCOUNT]]*_1_5412845612146241046457891017[[#This Row],[DISCOUNT 2]]</f>
        <v>0</v>
      </c>
      <c r="M110" s="194">
        <f>IF(OR(_1_5412845612146241046457891017[[#This Row],[UNIT]]&gt;0,_1_5412845612146241046457891017[[#This Row],[UNIT]]&lt;0),_1_5412845612146241046457891017[[#This Row],[UNIT]]*_1_5412845612146241046457891017[[#This Row],[COST]],0)</f>
        <v>0</v>
      </c>
      <c r="N110" s="194">
        <f t="shared" si="1"/>
        <v>1.35</v>
      </c>
      <c r="O110" s="198">
        <f>_1_5412845612146241046457891017[[#This Row],[TOTAL]]*_1_5412845612146241046457891017[[#This Row],[MARGIN]]</f>
        <v>0</v>
      </c>
      <c r="R110" s="41"/>
    </row>
    <row r="111" spans="1:18">
      <c r="C111" s="168"/>
      <c r="D111" s="188"/>
      <c r="F111" s="168" t="s">
        <v>6202</v>
      </c>
      <c r="G111" s="193">
        <f>IF(_1_5412845612146241046457891017[[#This Row],[Type]]&gt;0,VLOOKUP(_1_5412845612146241046457891017[[#This Row],[Type]],Main[[#All],[TYPE]:[UNIT]],'Unit Price'!C$1,FALSE),0)</f>
        <v>0</v>
      </c>
      <c r="H111" s="197">
        <f>IF(_1_5412845612146241046457891017[[#This Row],[Type]]&gt;0,VLOOKUP(_1_5412845612146241046457891017[[#This Row],[Type]],Main[[#All],[TYPE]:[UNIT]],'Unit Price'!D$1,FALSE),0)</f>
        <v>0</v>
      </c>
      <c r="I111" s="194">
        <f>IF(_1_5412845612146241046457891017[[#This Row],[Type]]&gt;0,VLOOKUP(_1_5412845612146241046457891017[[#This Row],[Type]],Main[[#All],[TYPE]:[UNIT]],'Unit Price'!G$1,FALSE),0)</f>
        <v>0</v>
      </c>
      <c r="J111" s="194">
        <f>IF(_1_5412845612146241046457891017[[#This Row],[Type]]&gt;0,VLOOKUP(_1_5412845612146241046457891017[[#This Row],[Type]],Main[[#All],[TYPE]:[UNIT]],'Unit Price'!H$1,FALSE),0)</f>
        <v>0</v>
      </c>
      <c r="K111" s="194">
        <f>IF(_1_5412845612146241046457891017[[#This Row],[Discount selection]]&gt;0,VLOOKUP(_1_5412845612146241046457891017[[#This Row],[Discount selection]],'Discount Structure'!$A$2:$B$30,2,"false"),0)</f>
        <v>1</v>
      </c>
      <c r="L111" s="194">
        <f>_1_5412845612146241046457891017[[#This Row],[LIST $]]*_1_5412845612146241046457891017[[#This Row],[DISCOUNT]]*_1_5412845612146241046457891017[[#This Row],[DISCOUNT 2]]</f>
        <v>0</v>
      </c>
      <c r="M111" s="194">
        <f>IF(OR(_1_5412845612146241046457891017[[#This Row],[UNIT]]&gt;0,_1_5412845612146241046457891017[[#This Row],[UNIT]]&lt;0),_1_5412845612146241046457891017[[#This Row],[UNIT]]*_1_5412845612146241046457891017[[#This Row],[COST]],0)</f>
        <v>0</v>
      </c>
      <c r="N111" s="194">
        <f t="shared" si="1"/>
        <v>1.35</v>
      </c>
      <c r="O111" s="198">
        <f>_1_5412845612146241046457891017[[#This Row],[TOTAL]]*_1_5412845612146241046457891017[[#This Row],[MARGIN]]</f>
        <v>0</v>
      </c>
      <c r="R111" s="41"/>
    </row>
    <row r="112" spans="1:18">
      <c r="C112" s="168"/>
      <c r="D112" s="188"/>
      <c r="F112" s="168" t="s">
        <v>6202</v>
      </c>
      <c r="G112" s="193">
        <f>IF(_1_5412845612146241046457891017[[#This Row],[Type]]&gt;0,VLOOKUP(_1_5412845612146241046457891017[[#This Row],[Type]],Main[[#All],[TYPE]:[UNIT]],'Unit Price'!C$1,FALSE),0)</f>
        <v>0</v>
      </c>
      <c r="H112" s="197">
        <f>IF(_1_5412845612146241046457891017[[#This Row],[Type]]&gt;0,VLOOKUP(_1_5412845612146241046457891017[[#This Row],[Type]],Main[[#All],[TYPE]:[UNIT]],'Unit Price'!D$1,FALSE),0)</f>
        <v>0</v>
      </c>
      <c r="I112" s="194">
        <f>IF(_1_5412845612146241046457891017[[#This Row],[Type]]&gt;0,VLOOKUP(_1_5412845612146241046457891017[[#This Row],[Type]],Main[[#All],[TYPE]:[UNIT]],'Unit Price'!G$1,FALSE),0)</f>
        <v>0</v>
      </c>
      <c r="J112" s="194">
        <f>IF(_1_5412845612146241046457891017[[#This Row],[Type]]&gt;0,VLOOKUP(_1_5412845612146241046457891017[[#This Row],[Type]],Main[[#All],[TYPE]:[UNIT]],'Unit Price'!H$1,FALSE),0)</f>
        <v>0</v>
      </c>
      <c r="K112" s="194">
        <f>IF(_1_5412845612146241046457891017[[#This Row],[Discount selection]]&gt;0,VLOOKUP(_1_5412845612146241046457891017[[#This Row],[Discount selection]],'Discount Structure'!$A$2:$B$30,2,"false"),0)</f>
        <v>1</v>
      </c>
      <c r="L112" s="194">
        <f>_1_5412845612146241046457891017[[#This Row],[LIST $]]*_1_5412845612146241046457891017[[#This Row],[DISCOUNT]]*_1_5412845612146241046457891017[[#This Row],[DISCOUNT 2]]</f>
        <v>0</v>
      </c>
      <c r="M112" s="194">
        <f>IF(OR(_1_5412845612146241046457891017[[#This Row],[UNIT]]&gt;0,_1_5412845612146241046457891017[[#This Row],[UNIT]]&lt;0),_1_5412845612146241046457891017[[#This Row],[UNIT]]*_1_5412845612146241046457891017[[#This Row],[COST]],0)</f>
        <v>0</v>
      </c>
      <c r="N112" s="194">
        <f t="shared" si="1"/>
        <v>1.35</v>
      </c>
      <c r="O112" s="198">
        <f>_1_5412845612146241046457891017[[#This Row],[TOTAL]]*_1_5412845612146241046457891017[[#This Row],[MARGIN]]</f>
        <v>0</v>
      </c>
      <c r="R112" s="41"/>
    </row>
    <row r="113" spans="1:18">
      <c r="A113" s="168"/>
      <c r="C113" s="168"/>
      <c r="D113" s="188"/>
      <c r="F113" s="168" t="s">
        <v>6202</v>
      </c>
      <c r="G113" s="193">
        <f>IF(_1_5412845612146241046457891017[[#This Row],[Type]]&gt;0,VLOOKUP(_1_5412845612146241046457891017[[#This Row],[Type]],Main[[#All],[TYPE]:[UNIT]],'Unit Price'!C$1,FALSE),0)</f>
        <v>0</v>
      </c>
      <c r="H113" s="197">
        <f>IF(_1_5412845612146241046457891017[[#This Row],[Type]]&gt;0,VLOOKUP(_1_5412845612146241046457891017[[#This Row],[Type]],Main[[#All],[TYPE]:[UNIT]],'Unit Price'!D$1,FALSE),0)</f>
        <v>0</v>
      </c>
      <c r="I113" s="194">
        <f>IF(_1_5412845612146241046457891017[[#This Row],[Type]]&gt;0,VLOOKUP(_1_5412845612146241046457891017[[#This Row],[Type]],Main[[#All],[TYPE]:[UNIT]],'Unit Price'!G$1,FALSE),0)</f>
        <v>0</v>
      </c>
      <c r="J113" s="194">
        <f>IF(_1_5412845612146241046457891017[[#This Row],[Type]]&gt;0,VLOOKUP(_1_5412845612146241046457891017[[#This Row],[Type]],Main[[#All],[TYPE]:[UNIT]],'Unit Price'!H$1,FALSE),0)</f>
        <v>0</v>
      </c>
      <c r="K113" s="194">
        <f>IF(_1_5412845612146241046457891017[[#This Row],[Discount selection]]&gt;0,VLOOKUP(_1_5412845612146241046457891017[[#This Row],[Discount selection]],'Discount Structure'!$A$2:$B$30,2,"false"),0)</f>
        <v>1</v>
      </c>
      <c r="L113" s="194">
        <f>_1_5412845612146241046457891017[[#This Row],[LIST $]]*_1_5412845612146241046457891017[[#This Row],[DISCOUNT]]*_1_5412845612146241046457891017[[#This Row],[DISCOUNT 2]]</f>
        <v>0</v>
      </c>
      <c r="M113" s="194">
        <f>IF(OR(_1_5412845612146241046457891017[[#This Row],[UNIT]]&gt;0,_1_5412845612146241046457891017[[#This Row],[UNIT]]&lt;0),_1_5412845612146241046457891017[[#This Row],[UNIT]]*_1_5412845612146241046457891017[[#This Row],[COST]],0)</f>
        <v>0</v>
      </c>
      <c r="N113" s="194">
        <f t="shared" si="1"/>
        <v>1.35</v>
      </c>
      <c r="O113" s="198">
        <f>_1_5412845612146241046457891017[[#This Row],[TOTAL]]*_1_5412845612146241046457891017[[#This Row],[MARGIN]]</f>
        <v>0</v>
      </c>
      <c r="R113" s="41"/>
    </row>
    <row r="114" spans="1:18">
      <c r="C114" s="168"/>
      <c r="D114" s="188"/>
      <c r="F114" s="168" t="s">
        <v>6202</v>
      </c>
      <c r="G114" s="193">
        <f>IF(_1_5412845612146241046457891017[[#This Row],[Type]]&gt;0,VLOOKUP(_1_5412845612146241046457891017[[#This Row],[Type]],Main[[#All],[TYPE]:[UNIT]],'Unit Price'!C$1,FALSE),0)</f>
        <v>0</v>
      </c>
      <c r="H114" s="197">
        <f>IF(_1_5412845612146241046457891017[[#This Row],[Type]]&gt;0,VLOOKUP(_1_5412845612146241046457891017[[#This Row],[Type]],Main[[#All],[TYPE]:[UNIT]],'Unit Price'!D$1,FALSE),0)</f>
        <v>0</v>
      </c>
      <c r="I114" s="194">
        <f>IF(_1_5412845612146241046457891017[[#This Row],[Type]]&gt;0,VLOOKUP(_1_5412845612146241046457891017[[#This Row],[Type]],Main[[#All],[TYPE]:[UNIT]],'Unit Price'!G$1,FALSE),0)</f>
        <v>0</v>
      </c>
      <c r="J114" s="194">
        <f>IF(_1_5412845612146241046457891017[[#This Row],[Type]]&gt;0,VLOOKUP(_1_5412845612146241046457891017[[#This Row],[Type]],Main[[#All],[TYPE]:[UNIT]],'Unit Price'!H$1,FALSE),0)</f>
        <v>0</v>
      </c>
      <c r="K114" s="194">
        <f>IF(_1_5412845612146241046457891017[[#This Row],[Discount selection]]&gt;0,VLOOKUP(_1_5412845612146241046457891017[[#This Row],[Discount selection]],'Discount Structure'!$A$2:$B$30,2,"false"),0)</f>
        <v>1</v>
      </c>
      <c r="L114" s="194">
        <f>_1_5412845612146241046457891017[[#This Row],[LIST $]]*_1_5412845612146241046457891017[[#This Row],[DISCOUNT]]*_1_5412845612146241046457891017[[#This Row],[DISCOUNT 2]]</f>
        <v>0</v>
      </c>
      <c r="M114" s="194">
        <f>IF(OR(_1_5412845612146241046457891017[[#This Row],[UNIT]]&gt;0,_1_5412845612146241046457891017[[#This Row],[UNIT]]&lt;0),_1_5412845612146241046457891017[[#This Row],[UNIT]]*_1_5412845612146241046457891017[[#This Row],[COST]],0)</f>
        <v>0</v>
      </c>
      <c r="N114" s="194">
        <f t="shared" si="1"/>
        <v>1.35</v>
      </c>
      <c r="O114" s="198">
        <f>_1_5412845612146241046457891017[[#This Row],[TOTAL]]*_1_5412845612146241046457891017[[#This Row],[MARGIN]]</f>
        <v>0</v>
      </c>
      <c r="R114" s="41"/>
    </row>
    <row r="115" spans="1:18">
      <c r="C115" s="168"/>
      <c r="D115" s="188"/>
      <c r="F115" s="168" t="s">
        <v>6202</v>
      </c>
      <c r="G115" s="193">
        <f>IF(_1_5412845612146241046457891017[[#This Row],[Type]]&gt;0,VLOOKUP(_1_5412845612146241046457891017[[#This Row],[Type]],Main[[#All],[TYPE]:[UNIT]],'Unit Price'!C$1,FALSE),0)</f>
        <v>0</v>
      </c>
      <c r="H115" s="197">
        <f>IF(_1_5412845612146241046457891017[[#This Row],[Type]]&gt;0,VLOOKUP(_1_5412845612146241046457891017[[#This Row],[Type]],Main[[#All],[TYPE]:[UNIT]],'Unit Price'!D$1,FALSE),0)</f>
        <v>0</v>
      </c>
      <c r="I115" s="194">
        <f>IF(_1_5412845612146241046457891017[[#This Row],[Type]]&gt;0,VLOOKUP(_1_5412845612146241046457891017[[#This Row],[Type]],Main[[#All],[TYPE]:[UNIT]],'Unit Price'!G$1,FALSE),0)</f>
        <v>0</v>
      </c>
      <c r="J115" s="194">
        <f>IF(_1_5412845612146241046457891017[[#This Row],[Type]]&gt;0,VLOOKUP(_1_5412845612146241046457891017[[#This Row],[Type]],Main[[#All],[TYPE]:[UNIT]],'Unit Price'!H$1,FALSE),0)</f>
        <v>0</v>
      </c>
      <c r="K115" s="194">
        <f>IF(_1_5412845612146241046457891017[[#This Row],[Discount selection]]&gt;0,VLOOKUP(_1_5412845612146241046457891017[[#This Row],[Discount selection]],'Discount Structure'!$A$2:$B$30,2,"false"),0)</f>
        <v>1</v>
      </c>
      <c r="L115" s="194">
        <f>_1_5412845612146241046457891017[[#This Row],[LIST $]]*_1_5412845612146241046457891017[[#This Row],[DISCOUNT]]*_1_5412845612146241046457891017[[#This Row],[DISCOUNT 2]]</f>
        <v>0</v>
      </c>
      <c r="M115" s="194">
        <f>IF(OR(_1_5412845612146241046457891017[[#This Row],[UNIT]]&gt;0,_1_5412845612146241046457891017[[#This Row],[UNIT]]&lt;0),_1_5412845612146241046457891017[[#This Row],[UNIT]]*_1_5412845612146241046457891017[[#This Row],[COST]],0)</f>
        <v>0</v>
      </c>
      <c r="N115" s="194">
        <f t="shared" si="1"/>
        <v>1.35</v>
      </c>
      <c r="O115" s="198">
        <f>_1_5412845612146241046457891017[[#This Row],[TOTAL]]*_1_5412845612146241046457891017[[#This Row],[MARGIN]]</f>
        <v>0</v>
      </c>
      <c r="R115" s="41"/>
    </row>
    <row r="116" spans="1:18">
      <c r="A116" s="339"/>
      <c r="C116" s="168"/>
      <c r="D116" s="188"/>
      <c r="F116" s="168" t="s">
        <v>6202</v>
      </c>
      <c r="G116" s="193">
        <f>IF(_1_5412845612146241046457891017[[#This Row],[Type]]&gt;0,VLOOKUP(_1_5412845612146241046457891017[[#This Row],[Type]],Main[[#All],[TYPE]:[UNIT]],'Unit Price'!C$1,FALSE),0)</f>
        <v>0</v>
      </c>
      <c r="H116" s="197">
        <f>IF(_1_5412845612146241046457891017[[#This Row],[Type]]&gt;0,VLOOKUP(_1_5412845612146241046457891017[[#This Row],[Type]],Main[[#All],[TYPE]:[UNIT]],'Unit Price'!D$1,FALSE),0)</f>
        <v>0</v>
      </c>
      <c r="I116" s="194">
        <f>IF(_1_5412845612146241046457891017[[#This Row],[Type]]&gt;0,VLOOKUP(_1_5412845612146241046457891017[[#This Row],[Type]],Main[[#All],[TYPE]:[UNIT]],'Unit Price'!G$1,FALSE),0)</f>
        <v>0</v>
      </c>
      <c r="J116" s="194">
        <f>IF(_1_5412845612146241046457891017[[#This Row],[Type]]&gt;0,VLOOKUP(_1_5412845612146241046457891017[[#This Row],[Type]],Main[[#All],[TYPE]:[UNIT]],'Unit Price'!H$1,FALSE),0)</f>
        <v>0</v>
      </c>
      <c r="K116" s="194">
        <f>IF(_1_5412845612146241046457891017[[#This Row],[Discount selection]]&gt;0,VLOOKUP(_1_5412845612146241046457891017[[#This Row],[Discount selection]],'Discount Structure'!$A$2:$B$30,2,"false"),0)</f>
        <v>1</v>
      </c>
      <c r="L116" s="194">
        <f>_1_5412845612146241046457891017[[#This Row],[LIST $]]*_1_5412845612146241046457891017[[#This Row],[DISCOUNT]]*_1_5412845612146241046457891017[[#This Row],[DISCOUNT 2]]</f>
        <v>0</v>
      </c>
      <c r="M116" s="194">
        <f>IF(OR(_1_5412845612146241046457891017[[#This Row],[UNIT]]&gt;0,_1_5412845612146241046457891017[[#This Row],[UNIT]]&lt;0),_1_5412845612146241046457891017[[#This Row],[UNIT]]*_1_5412845612146241046457891017[[#This Row],[COST]],0)</f>
        <v>0</v>
      </c>
      <c r="N116" s="194">
        <f t="shared" si="1"/>
        <v>1.35</v>
      </c>
      <c r="O116" s="198">
        <f>_1_5412845612146241046457891017[[#This Row],[TOTAL]]*_1_5412845612146241046457891017[[#This Row],[MARGIN]]</f>
        <v>0</v>
      </c>
      <c r="R116" s="41"/>
    </row>
    <row r="117" spans="1:18">
      <c r="C117" s="168"/>
      <c r="D117" s="188"/>
      <c r="F117" s="168" t="s">
        <v>6202</v>
      </c>
      <c r="G117" s="193">
        <f>IF(_1_5412845612146241046457891017[[#This Row],[Type]]&gt;0,VLOOKUP(_1_5412845612146241046457891017[[#This Row],[Type]],Main[[#All],[TYPE]:[UNIT]],'Unit Price'!C$1,FALSE),0)</f>
        <v>0</v>
      </c>
      <c r="H117" s="197">
        <f>IF(_1_5412845612146241046457891017[[#This Row],[Type]]&gt;0,VLOOKUP(_1_5412845612146241046457891017[[#This Row],[Type]],Main[[#All],[TYPE]:[UNIT]],'Unit Price'!D$1,FALSE),0)</f>
        <v>0</v>
      </c>
      <c r="I117" s="194">
        <f>IF(_1_5412845612146241046457891017[[#This Row],[Type]]&gt;0,VLOOKUP(_1_5412845612146241046457891017[[#This Row],[Type]],Main[[#All],[TYPE]:[UNIT]],'Unit Price'!G$1,FALSE),0)</f>
        <v>0</v>
      </c>
      <c r="J117" s="194">
        <f>IF(_1_5412845612146241046457891017[[#This Row],[Type]]&gt;0,VLOOKUP(_1_5412845612146241046457891017[[#This Row],[Type]],Main[[#All],[TYPE]:[UNIT]],'Unit Price'!H$1,FALSE),0)</f>
        <v>0</v>
      </c>
      <c r="K117" s="194">
        <f>IF(_1_5412845612146241046457891017[[#This Row],[Discount selection]]&gt;0,VLOOKUP(_1_5412845612146241046457891017[[#This Row],[Discount selection]],'Discount Structure'!$A$2:$B$30,2,"false"),0)</f>
        <v>1</v>
      </c>
      <c r="L117" s="194">
        <f>_1_5412845612146241046457891017[[#This Row],[LIST $]]*_1_5412845612146241046457891017[[#This Row],[DISCOUNT]]*_1_5412845612146241046457891017[[#This Row],[DISCOUNT 2]]</f>
        <v>0</v>
      </c>
      <c r="M117" s="194">
        <f>IF(OR(_1_5412845612146241046457891017[[#This Row],[UNIT]]&gt;0,_1_5412845612146241046457891017[[#This Row],[UNIT]]&lt;0),_1_5412845612146241046457891017[[#This Row],[UNIT]]*_1_5412845612146241046457891017[[#This Row],[COST]],0)</f>
        <v>0</v>
      </c>
      <c r="N117" s="194">
        <f t="shared" si="1"/>
        <v>1.35</v>
      </c>
      <c r="O117" s="198">
        <f>_1_5412845612146241046457891017[[#This Row],[TOTAL]]*_1_5412845612146241046457891017[[#This Row],[MARGIN]]</f>
        <v>0</v>
      </c>
      <c r="R117" s="41"/>
    </row>
    <row r="118" spans="1:18">
      <c r="A118" s="329"/>
      <c r="C118" s="168"/>
      <c r="D118" s="188"/>
      <c r="F118" s="168" t="s">
        <v>6202</v>
      </c>
      <c r="G118" s="193">
        <f>IF(_1_5412845612146241046457891017[[#This Row],[Type]]&gt;0,VLOOKUP(_1_5412845612146241046457891017[[#This Row],[Type]],Main[[#All],[TYPE]:[UNIT]],'Unit Price'!C$1,FALSE),0)</f>
        <v>0</v>
      </c>
      <c r="H118" s="197">
        <f>IF(_1_5412845612146241046457891017[[#This Row],[Type]]&gt;0,VLOOKUP(_1_5412845612146241046457891017[[#This Row],[Type]],Main[[#All],[TYPE]:[UNIT]],'Unit Price'!D$1,FALSE),0)</f>
        <v>0</v>
      </c>
      <c r="I118" s="194">
        <f>IF(_1_5412845612146241046457891017[[#This Row],[Type]]&gt;0,VLOOKUP(_1_5412845612146241046457891017[[#This Row],[Type]],Main[[#All],[TYPE]:[UNIT]],'Unit Price'!G$1,FALSE),0)</f>
        <v>0</v>
      </c>
      <c r="J118" s="194">
        <f>IF(_1_5412845612146241046457891017[[#This Row],[Type]]&gt;0,VLOOKUP(_1_5412845612146241046457891017[[#This Row],[Type]],Main[[#All],[TYPE]:[UNIT]],'Unit Price'!H$1,FALSE),0)</f>
        <v>0</v>
      </c>
      <c r="K118" s="194">
        <f>IF(_1_5412845612146241046457891017[[#This Row],[Discount selection]]&gt;0,VLOOKUP(_1_5412845612146241046457891017[[#This Row],[Discount selection]],'Discount Structure'!$A$2:$B$30,2,"false"),0)</f>
        <v>1</v>
      </c>
      <c r="L118" s="194">
        <f>_1_5412845612146241046457891017[[#This Row],[LIST $]]*_1_5412845612146241046457891017[[#This Row],[DISCOUNT]]*_1_5412845612146241046457891017[[#This Row],[DISCOUNT 2]]</f>
        <v>0</v>
      </c>
      <c r="M118" s="194">
        <f>IF(OR(_1_5412845612146241046457891017[[#This Row],[UNIT]]&gt;0,_1_5412845612146241046457891017[[#This Row],[UNIT]]&lt;0),_1_5412845612146241046457891017[[#This Row],[UNIT]]*_1_5412845612146241046457891017[[#This Row],[COST]],0)</f>
        <v>0</v>
      </c>
      <c r="N118" s="194">
        <f t="shared" si="1"/>
        <v>1.35</v>
      </c>
      <c r="O118" s="198">
        <f>_1_5412845612146241046457891017[[#This Row],[TOTAL]]*_1_5412845612146241046457891017[[#This Row],[MARGIN]]</f>
        <v>0</v>
      </c>
      <c r="R118" s="41"/>
    </row>
    <row r="119" spans="1:18">
      <c r="B119" s="329"/>
      <c r="C119" s="168"/>
      <c r="D119" s="188"/>
      <c r="F119" s="168" t="s">
        <v>6202</v>
      </c>
      <c r="G119" s="193">
        <f>IF(_1_5412845612146241046457891017[[#This Row],[Type]]&gt;0,VLOOKUP(_1_5412845612146241046457891017[[#This Row],[Type]],Main[[#All],[TYPE]:[UNIT]],'Unit Price'!C$1,FALSE),0)</f>
        <v>0</v>
      </c>
      <c r="H119" s="197">
        <f>IF(_1_5412845612146241046457891017[[#This Row],[Type]]&gt;0,VLOOKUP(_1_5412845612146241046457891017[[#This Row],[Type]],Main[[#All],[TYPE]:[UNIT]],'Unit Price'!D$1,FALSE),0)</f>
        <v>0</v>
      </c>
      <c r="I119" s="194">
        <f>IF(_1_5412845612146241046457891017[[#This Row],[Type]]&gt;0,VLOOKUP(_1_5412845612146241046457891017[[#This Row],[Type]],Main[[#All],[TYPE]:[UNIT]],'Unit Price'!G$1,FALSE),0)</f>
        <v>0</v>
      </c>
      <c r="J119" s="194">
        <f>IF(_1_5412845612146241046457891017[[#This Row],[Type]]&gt;0,VLOOKUP(_1_5412845612146241046457891017[[#This Row],[Type]],Main[[#All],[TYPE]:[UNIT]],'Unit Price'!H$1,FALSE),0)</f>
        <v>0</v>
      </c>
      <c r="K119" s="194">
        <f>IF(_1_5412845612146241046457891017[[#This Row],[Discount selection]]&gt;0,VLOOKUP(_1_5412845612146241046457891017[[#This Row],[Discount selection]],'Discount Structure'!$A$2:$B$30,2,"false"),0)</f>
        <v>1</v>
      </c>
      <c r="L119" s="194">
        <f>_1_5412845612146241046457891017[[#This Row],[LIST $]]*_1_5412845612146241046457891017[[#This Row],[DISCOUNT]]*_1_5412845612146241046457891017[[#This Row],[DISCOUNT 2]]</f>
        <v>0</v>
      </c>
      <c r="M119" s="194">
        <f>IF(OR(_1_5412845612146241046457891017[[#This Row],[UNIT]]&gt;0,_1_5412845612146241046457891017[[#This Row],[UNIT]]&lt;0),_1_5412845612146241046457891017[[#This Row],[UNIT]]*_1_5412845612146241046457891017[[#This Row],[COST]],0)</f>
        <v>0</v>
      </c>
      <c r="N119" s="194">
        <f t="shared" si="1"/>
        <v>1.35</v>
      </c>
      <c r="O119" s="198">
        <f>_1_5412845612146241046457891017[[#This Row],[TOTAL]]*_1_5412845612146241046457891017[[#This Row],[MARGIN]]</f>
        <v>0</v>
      </c>
      <c r="R119" s="41"/>
    </row>
    <row r="120" spans="1:18">
      <c r="C120" s="168"/>
      <c r="D120" s="188"/>
      <c r="F120" s="168" t="s">
        <v>6202</v>
      </c>
      <c r="G120" s="193">
        <f>IF(_1_5412845612146241046457891017[[#This Row],[Type]]&gt;0,VLOOKUP(_1_5412845612146241046457891017[[#This Row],[Type]],Main[[#All],[TYPE]:[UNIT]],'Unit Price'!C$1,FALSE),0)</f>
        <v>0</v>
      </c>
      <c r="H120" s="197">
        <f>IF(_1_5412845612146241046457891017[[#This Row],[Type]]&gt;0,VLOOKUP(_1_5412845612146241046457891017[[#This Row],[Type]],Main[[#All],[TYPE]:[UNIT]],'Unit Price'!D$1,FALSE),0)</f>
        <v>0</v>
      </c>
      <c r="I120" s="194">
        <f>IF(_1_5412845612146241046457891017[[#This Row],[Type]]&gt;0,VLOOKUP(_1_5412845612146241046457891017[[#This Row],[Type]],Main[[#All],[TYPE]:[UNIT]],'Unit Price'!G$1,FALSE),0)</f>
        <v>0</v>
      </c>
      <c r="J120" s="194">
        <f>IF(_1_5412845612146241046457891017[[#This Row],[Type]]&gt;0,VLOOKUP(_1_5412845612146241046457891017[[#This Row],[Type]],Main[[#All],[TYPE]:[UNIT]],'Unit Price'!H$1,FALSE),0)</f>
        <v>0</v>
      </c>
      <c r="K120" s="194">
        <f>IF(_1_5412845612146241046457891017[[#This Row],[Discount selection]]&gt;0,VLOOKUP(_1_5412845612146241046457891017[[#This Row],[Discount selection]],'Discount Structure'!$A$2:$B$30,2,"false"),0)</f>
        <v>1</v>
      </c>
      <c r="L120" s="194">
        <f>_1_5412845612146241046457891017[[#This Row],[LIST $]]*_1_5412845612146241046457891017[[#This Row],[DISCOUNT]]*_1_5412845612146241046457891017[[#This Row],[DISCOUNT 2]]</f>
        <v>0</v>
      </c>
      <c r="M120" s="194">
        <f>IF(OR(_1_5412845612146241046457891017[[#This Row],[UNIT]]&gt;0,_1_5412845612146241046457891017[[#This Row],[UNIT]]&lt;0),_1_5412845612146241046457891017[[#This Row],[UNIT]]*_1_5412845612146241046457891017[[#This Row],[COST]],0)</f>
        <v>0</v>
      </c>
      <c r="N120" s="194">
        <f t="shared" si="1"/>
        <v>1.35</v>
      </c>
      <c r="O120" s="198">
        <f>_1_5412845612146241046457891017[[#This Row],[TOTAL]]*_1_5412845612146241046457891017[[#This Row],[MARGIN]]</f>
        <v>0</v>
      </c>
      <c r="R120" s="41"/>
    </row>
    <row r="121" spans="1:18">
      <c r="C121" s="168"/>
      <c r="D121" s="188"/>
      <c r="F121" s="168" t="s">
        <v>6202</v>
      </c>
      <c r="G121" s="193">
        <f>IF(_1_5412845612146241046457891017[[#This Row],[Type]]&gt;0,VLOOKUP(_1_5412845612146241046457891017[[#This Row],[Type]],Main[[#All],[TYPE]:[UNIT]],'Unit Price'!C$1,FALSE),0)</f>
        <v>0</v>
      </c>
      <c r="H121" s="197">
        <f>IF(_1_5412845612146241046457891017[[#This Row],[Type]]&gt;0,VLOOKUP(_1_5412845612146241046457891017[[#This Row],[Type]],Main[[#All],[TYPE]:[UNIT]],'Unit Price'!D$1,FALSE),0)</f>
        <v>0</v>
      </c>
      <c r="I121" s="194">
        <f>IF(_1_5412845612146241046457891017[[#This Row],[Type]]&gt;0,VLOOKUP(_1_5412845612146241046457891017[[#This Row],[Type]],Main[[#All],[TYPE]:[UNIT]],'Unit Price'!G$1,FALSE),0)</f>
        <v>0</v>
      </c>
      <c r="J121" s="194">
        <f>IF(_1_5412845612146241046457891017[[#This Row],[Type]]&gt;0,VLOOKUP(_1_5412845612146241046457891017[[#This Row],[Type]],Main[[#All],[TYPE]:[UNIT]],'Unit Price'!H$1,FALSE),0)</f>
        <v>0</v>
      </c>
      <c r="K121" s="194">
        <f>IF(_1_5412845612146241046457891017[[#This Row],[Discount selection]]&gt;0,VLOOKUP(_1_5412845612146241046457891017[[#This Row],[Discount selection]],'Discount Structure'!$A$2:$B$30,2,"false"),0)</f>
        <v>1</v>
      </c>
      <c r="L121" s="194">
        <f>_1_5412845612146241046457891017[[#This Row],[LIST $]]*_1_5412845612146241046457891017[[#This Row],[DISCOUNT]]*_1_5412845612146241046457891017[[#This Row],[DISCOUNT 2]]</f>
        <v>0</v>
      </c>
      <c r="M121" s="194">
        <f>IF(OR(_1_5412845612146241046457891017[[#This Row],[UNIT]]&gt;0,_1_5412845612146241046457891017[[#This Row],[UNIT]]&lt;0),_1_5412845612146241046457891017[[#This Row],[UNIT]]*_1_5412845612146241046457891017[[#This Row],[COST]],0)</f>
        <v>0</v>
      </c>
      <c r="N121" s="194">
        <f t="shared" si="1"/>
        <v>1.35</v>
      </c>
      <c r="O121" s="198">
        <f>_1_5412845612146241046457891017[[#This Row],[TOTAL]]*_1_5412845612146241046457891017[[#This Row],[MARGIN]]</f>
        <v>0</v>
      </c>
      <c r="R121" s="41"/>
    </row>
    <row r="122" spans="1:18">
      <c r="C122" s="168"/>
      <c r="D122" s="188"/>
      <c r="F122" s="168" t="s">
        <v>6202</v>
      </c>
      <c r="G122" s="193">
        <f>IF(_1_5412845612146241046457891017[[#This Row],[Type]]&gt;0,VLOOKUP(_1_5412845612146241046457891017[[#This Row],[Type]],Main[[#All],[TYPE]:[UNIT]],'Unit Price'!C$1,FALSE),0)</f>
        <v>0</v>
      </c>
      <c r="H122" s="197">
        <f>IF(_1_5412845612146241046457891017[[#This Row],[Type]]&gt;0,VLOOKUP(_1_5412845612146241046457891017[[#This Row],[Type]],Main[[#All],[TYPE]:[UNIT]],'Unit Price'!D$1,FALSE),0)</f>
        <v>0</v>
      </c>
      <c r="I122" s="194">
        <f>IF(_1_5412845612146241046457891017[[#This Row],[Type]]&gt;0,VLOOKUP(_1_5412845612146241046457891017[[#This Row],[Type]],Main[[#All],[TYPE]:[UNIT]],'Unit Price'!G$1,FALSE),0)</f>
        <v>0</v>
      </c>
      <c r="J122" s="194">
        <f>IF(_1_5412845612146241046457891017[[#This Row],[Type]]&gt;0,VLOOKUP(_1_5412845612146241046457891017[[#This Row],[Type]],Main[[#All],[TYPE]:[UNIT]],'Unit Price'!H$1,FALSE),0)</f>
        <v>0</v>
      </c>
      <c r="K122" s="194">
        <f>IF(_1_5412845612146241046457891017[[#This Row],[Discount selection]]&gt;0,VLOOKUP(_1_5412845612146241046457891017[[#This Row],[Discount selection]],'Discount Structure'!$A$2:$B$30,2,"false"),0)</f>
        <v>1</v>
      </c>
      <c r="L122" s="194">
        <f>_1_5412845612146241046457891017[[#This Row],[LIST $]]*_1_5412845612146241046457891017[[#This Row],[DISCOUNT]]*_1_5412845612146241046457891017[[#This Row],[DISCOUNT 2]]</f>
        <v>0</v>
      </c>
      <c r="M122" s="194">
        <f>IF(OR(_1_5412845612146241046457891017[[#This Row],[UNIT]]&gt;0,_1_5412845612146241046457891017[[#This Row],[UNIT]]&lt;0),_1_5412845612146241046457891017[[#This Row],[UNIT]]*_1_5412845612146241046457891017[[#This Row],[COST]],0)</f>
        <v>0</v>
      </c>
      <c r="N122" s="194">
        <f t="shared" si="1"/>
        <v>1.35</v>
      </c>
      <c r="O122" s="198">
        <f>_1_5412845612146241046457891017[[#This Row],[TOTAL]]*_1_5412845612146241046457891017[[#This Row],[MARGIN]]</f>
        <v>0</v>
      </c>
      <c r="R122" s="41"/>
    </row>
    <row r="123" spans="1:18">
      <c r="C123" s="168"/>
      <c r="D123" s="188"/>
      <c r="F123" s="168" t="s">
        <v>6202</v>
      </c>
      <c r="G123" s="193">
        <f>IF(_1_5412845612146241046457891017[[#This Row],[Type]]&gt;0,VLOOKUP(_1_5412845612146241046457891017[[#This Row],[Type]],Main[[#All],[TYPE]:[UNIT]],'Unit Price'!C$1,FALSE),0)</f>
        <v>0</v>
      </c>
      <c r="H123" s="197">
        <f>IF(_1_5412845612146241046457891017[[#This Row],[Type]]&gt;0,VLOOKUP(_1_5412845612146241046457891017[[#This Row],[Type]],Main[[#All],[TYPE]:[UNIT]],'Unit Price'!D$1,FALSE),0)</f>
        <v>0</v>
      </c>
      <c r="I123" s="194">
        <f>IF(_1_5412845612146241046457891017[[#This Row],[Type]]&gt;0,VLOOKUP(_1_5412845612146241046457891017[[#This Row],[Type]],Main[[#All],[TYPE]:[UNIT]],'Unit Price'!G$1,FALSE),0)</f>
        <v>0</v>
      </c>
      <c r="J123" s="194">
        <f>IF(_1_5412845612146241046457891017[[#This Row],[Type]]&gt;0,VLOOKUP(_1_5412845612146241046457891017[[#This Row],[Type]],Main[[#All],[TYPE]:[UNIT]],'Unit Price'!H$1,FALSE),0)</f>
        <v>0</v>
      </c>
      <c r="K123" s="194">
        <f>IF(_1_5412845612146241046457891017[[#This Row],[Discount selection]]&gt;0,VLOOKUP(_1_5412845612146241046457891017[[#This Row],[Discount selection]],'Discount Structure'!$A$2:$B$30,2,"false"),0)</f>
        <v>1</v>
      </c>
      <c r="L123" s="194">
        <f>_1_5412845612146241046457891017[[#This Row],[LIST $]]*_1_5412845612146241046457891017[[#This Row],[DISCOUNT]]*_1_5412845612146241046457891017[[#This Row],[DISCOUNT 2]]</f>
        <v>0</v>
      </c>
      <c r="M123" s="194">
        <f>IF(OR(_1_5412845612146241046457891017[[#This Row],[UNIT]]&gt;0,_1_5412845612146241046457891017[[#This Row],[UNIT]]&lt;0),_1_5412845612146241046457891017[[#This Row],[UNIT]]*_1_5412845612146241046457891017[[#This Row],[COST]],0)</f>
        <v>0</v>
      </c>
      <c r="N123" s="194">
        <f t="shared" si="1"/>
        <v>1.35</v>
      </c>
      <c r="O123" s="198">
        <f>_1_5412845612146241046457891017[[#This Row],[TOTAL]]*_1_5412845612146241046457891017[[#This Row],[MARGIN]]</f>
        <v>0</v>
      </c>
      <c r="R123" s="41"/>
    </row>
    <row r="124" spans="1:18">
      <c r="C124" s="168"/>
      <c r="D124" s="188"/>
      <c r="F124" s="168" t="s">
        <v>6202</v>
      </c>
      <c r="G124" s="193">
        <f>IF(_1_5412845612146241046457891017[[#This Row],[Type]]&gt;0,VLOOKUP(_1_5412845612146241046457891017[[#This Row],[Type]],Main[[#All],[TYPE]:[UNIT]],'Unit Price'!C$1,FALSE),0)</f>
        <v>0</v>
      </c>
      <c r="H124" s="197">
        <f>IF(_1_5412845612146241046457891017[[#This Row],[Type]]&gt;0,VLOOKUP(_1_5412845612146241046457891017[[#This Row],[Type]],Main[[#All],[TYPE]:[UNIT]],'Unit Price'!D$1,FALSE),0)</f>
        <v>0</v>
      </c>
      <c r="I124" s="194">
        <f>IF(_1_5412845612146241046457891017[[#This Row],[Type]]&gt;0,VLOOKUP(_1_5412845612146241046457891017[[#This Row],[Type]],Main[[#All],[TYPE]:[UNIT]],'Unit Price'!G$1,FALSE),0)</f>
        <v>0</v>
      </c>
      <c r="J124" s="194">
        <f>IF(_1_5412845612146241046457891017[[#This Row],[Type]]&gt;0,VLOOKUP(_1_5412845612146241046457891017[[#This Row],[Type]],Main[[#All],[TYPE]:[UNIT]],'Unit Price'!H$1,FALSE),0)</f>
        <v>0</v>
      </c>
      <c r="K124" s="194">
        <f>IF(_1_5412845612146241046457891017[[#This Row],[Discount selection]]&gt;0,VLOOKUP(_1_5412845612146241046457891017[[#This Row],[Discount selection]],'Discount Structure'!$A$2:$B$30,2,"false"),0)</f>
        <v>1</v>
      </c>
      <c r="L124" s="194">
        <f>_1_5412845612146241046457891017[[#This Row],[LIST $]]*_1_5412845612146241046457891017[[#This Row],[DISCOUNT]]*_1_5412845612146241046457891017[[#This Row],[DISCOUNT 2]]</f>
        <v>0</v>
      </c>
      <c r="M124" s="194">
        <f>IF(OR(_1_5412845612146241046457891017[[#This Row],[UNIT]]&gt;0,_1_5412845612146241046457891017[[#This Row],[UNIT]]&lt;0),_1_5412845612146241046457891017[[#This Row],[UNIT]]*_1_5412845612146241046457891017[[#This Row],[COST]],0)</f>
        <v>0</v>
      </c>
      <c r="N124" s="194">
        <f t="shared" si="1"/>
        <v>1.35</v>
      </c>
      <c r="O124" s="198">
        <f>_1_5412845612146241046457891017[[#This Row],[TOTAL]]*_1_5412845612146241046457891017[[#This Row],[MARGIN]]</f>
        <v>0</v>
      </c>
      <c r="R124" s="41"/>
    </row>
    <row r="125" spans="1:18">
      <c r="C125" s="168"/>
      <c r="D125" s="188"/>
      <c r="F125" s="168" t="s">
        <v>6202</v>
      </c>
      <c r="G125" s="193">
        <f>IF(_1_5412845612146241046457891017[[#This Row],[Type]]&gt;0,VLOOKUP(_1_5412845612146241046457891017[[#This Row],[Type]],Main[[#All],[TYPE]:[UNIT]],'Unit Price'!C$1,FALSE),0)</f>
        <v>0</v>
      </c>
      <c r="H125" s="197">
        <f>IF(_1_5412845612146241046457891017[[#This Row],[Type]]&gt;0,VLOOKUP(_1_5412845612146241046457891017[[#This Row],[Type]],Main[[#All],[TYPE]:[UNIT]],'Unit Price'!D$1,FALSE),0)</f>
        <v>0</v>
      </c>
      <c r="I125" s="194">
        <f>IF(_1_5412845612146241046457891017[[#This Row],[Type]]&gt;0,VLOOKUP(_1_5412845612146241046457891017[[#This Row],[Type]],Main[[#All],[TYPE]:[UNIT]],'Unit Price'!G$1,FALSE),0)</f>
        <v>0</v>
      </c>
      <c r="J125" s="194">
        <f>IF(_1_5412845612146241046457891017[[#This Row],[Type]]&gt;0,VLOOKUP(_1_5412845612146241046457891017[[#This Row],[Type]],Main[[#All],[TYPE]:[UNIT]],'Unit Price'!H$1,FALSE),0)</f>
        <v>0</v>
      </c>
      <c r="K125" s="194">
        <f>IF(_1_5412845612146241046457891017[[#This Row],[Discount selection]]&gt;0,VLOOKUP(_1_5412845612146241046457891017[[#This Row],[Discount selection]],'Discount Structure'!$A$2:$B$30,2,"false"),0)</f>
        <v>1</v>
      </c>
      <c r="L125" s="194">
        <f>_1_5412845612146241046457891017[[#This Row],[LIST $]]*_1_5412845612146241046457891017[[#This Row],[DISCOUNT]]*_1_5412845612146241046457891017[[#This Row],[DISCOUNT 2]]</f>
        <v>0</v>
      </c>
      <c r="M125" s="194">
        <f>IF(OR(_1_5412845612146241046457891017[[#This Row],[UNIT]]&gt;0,_1_5412845612146241046457891017[[#This Row],[UNIT]]&lt;0),_1_5412845612146241046457891017[[#This Row],[UNIT]]*_1_5412845612146241046457891017[[#This Row],[COST]],0)</f>
        <v>0</v>
      </c>
      <c r="N125" s="194">
        <f t="shared" si="1"/>
        <v>1.35</v>
      </c>
      <c r="O125" s="198">
        <f>_1_5412845612146241046457891017[[#This Row],[TOTAL]]*_1_5412845612146241046457891017[[#This Row],[MARGIN]]</f>
        <v>0</v>
      </c>
      <c r="R125" s="41"/>
    </row>
    <row r="126" spans="1:18">
      <c r="C126" s="168"/>
      <c r="D126" s="188"/>
      <c r="F126" s="168" t="s">
        <v>6202</v>
      </c>
      <c r="G126" s="193">
        <f>IF(_1_5412845612146241046457891017[[#This Row],[Type]]&gt;0,VLOOKUP(_1_5412845612146241046457891017[[#This Row],[Type]],Main[[#All],[TYPE]:[UNIT]],'Unit Price'!C$1,FALSE),0)</f>
        <v>0</v>
      </c>
      <c r="H126" s="197">
        <f>IF(_1_5412845612146241046457891017[[#This Row],[Type]]&gt;0,VLOOKUP(_1_5412845612146241046457891017[[#This Row],[Type]],Main[[#All],[TYPE]:[UNIT]],'Unit Price'!D$1,FALSE),0)</f>
        <v>0</v>
      </c>
      <c r="I126" s="194">
        <f>IF(_1_5412845612146241046457891017[[#This Row],[Type]]&gt;0,VLOOKUP(_1_5412845612146241046457891017[[#This Row],[Type]],Main[[#All],[TYPE]:[UNIT]],'Unit Price'!G$1,FALSE),0)</f>
        <v>0</v>
      </c>
      <c r="J126" s="194">
        <f>IF(_1_5412845612146241046457891017[[#This Row],[Type]]&gt;0,VLOOKUP(_1_5412845612146241046457891017[[#This Row],[Type]],Main[[#All],[TYPE]:[UNIT]],'Unit Price'!H$1,FALSE),0)</f>
        <v>0</v>
      </c>
      <c r="K126" s="194">
        <f>IF(_1_5412845612146241046457891017[[#This Row],[Discount selection]]&gt;0,VLOOKUP(_1_5412845612146241046457891017[[#This Row],[Discount selection]],'Discount Structure'!$A$2:$B$30,2,"false"),0)</f>
        <v>1</v>
      </c>
      <c r="L126" s="194">
        <f>_1_5412845612146241046457891017[[#This Row],[LIST $]]*_1_5412845612146241046457891017[[#This Row],[DISCOUNT]]*_1_5412845612146241046457891017[[#This Row],[DISCOUNT 2]]</f>
        <v>0</v>
      </c>
      <c r="M126" s="194">
        <f>IF(OR(_1_5412845612146241046457891017[[#This Row],[UNIT]]&gt;0,_1_5412845612146241046457891017[[#This Row],[UNIT]]&lt;0),_1_5412845612146241046457891017[[#This Row],[UNIT]]*_1_5412845612146241046457891017[[#This Row],[COST]],0)</f>
        <v>0</v>
      </c>
      <c r="N126" s="194">
        <f t="shared" si="1"/>
        <v>1.35</v>
      </c>
      <c r="O126" s="198">
        <f>_1_5412845612146241046457891017[[#This Row],[TOTAL]]*_1_5412845612146241046457891017[[#This Row],[MARGIN]]</f>
        <v>0</v>
      </c>
      <c r="R126" s="41"/>
    </row>
    <row r="127" spans="1:18">
      <c r="C127" s="168"/>
      <c r="D127" s="188"/>
      <c r="F127" s="168" t="s">
        <v>6202</v>
      </c>
      <c r="G127" s="193">
        <f>IF(_1_5412845612146241046457891017[[#This Row],[Type]]&gt;0,VLOOKUP(_1_5412845612146241046457891017[[#This Row],[Type]],Main[[#All],[TYPE]:[UNIT]],'Unit Price'!C$1,FALSE),0)</f>
        <v>0</v>
      </c>
      <c r="H127" s="197">
        <f>IF(_1_5412845612146241046457891017[[#This Row],[Type]]&gt;0,VLOOKUP(_1_5412845612146241046457891017[[#This Row],[Type]],Main[[#All],[TYPE]:[UNIT]],'Unit Price'!D$1,FALSE),0)</f>
        <v>0</v>
      </c>
      <c r="I127" s="194">
        <f>IF(_1_5412845612146241046457891017[[#This Row],[Type]]&gt;0,VLOOKUP(_1_5412845612146241046457891017[[#This Row],[Type]],Main[[#All],[TYPE]:[UNIT]],'Unit Price'!G$1,FALSE),0)</f>
        <v>0</v>
      </c>
      <c r="J127" s="194">
        <f>IF(_1_5412845612146241046457891017[[#This Row],[Type]]&gt;0,VLOOKUP(_1_5412845612146241046457891017[[#This Row],[Type]],Main[[#All],[TYPE]:[UNIT]],'Unit Price'!H$1,FALSE),0)</f>
        <v>0</v>
      </c>
      <c r="K127" s="194">
        <f>IF(_1_5412845612146241046457891017[[#This Row],[Discount selection]]&gt;0,VLOOKUP(_1_5412845612146241046457891017[[#This Row],[Discount selection]],'Discount Structure'!$A$2:$B$30,2,"false"),0)</f>
        <v>1</v>
      </c>
      <c r="L127" s="194">
        <f>_1_5412845612146241046457891017[[#This Row],[LIST $]]*_1_5412845612146241046457891017[[#This Row],[DISCOUNT]]*_1_5412845612146241046457891017[[#This Row],[DISCOUNT 2]]</f>
        <v>0</v>
      </c>
      <c r="M127" s="194">
        <f>IF(OR(_1_5412845612146241046457891017[[#This Row],[UNIT]]&gt;0,_1_5412845612146241046457891017[[#This Row],[UNIT]]&lt;0),_1_5412845612146241046457891017[[#This Row],[UNIT]]*_1_5412845612146241046457891017[[#This Row],[COST]],0)</f>
        <v>0</v>
      </c>
      <c r="N127" s="194">
        <f t="shared" si="1"/>
        <v>1.35</v>
      </c>
      <c r="O127" s="198">
        <f>_1_5412845612146241046457891017[[#This Row],[TOTAL]]*_1_5412845612146241046457891017[[#This Row],[MARGIN]]</f>
        <v>0</v>
      </c>
      <c r="R127" s="41"/>
    </row>
    <row r="128" spans="1:18">
      <c r="C128" s="168"/>
      <c r="D128" s="188"/>
      <c r="F128" s="168" t="s">
        <v>6202</v>
      </c>
      <c r="G128" s="193">
        <f>IF(_1_5412845612146241046457891017[[#This Row],[Type]]&gt;0,VLOOKUP(_1_5412845612146241046457891017[[#This Row],[Type]],Main[[#All],[TYPE]:[UNIT]],'Unit Price'!C$1,FALSE),0)</f>
        <v>0</v>
      </c>
      <c r="H128" s="197">
        <f>IF(_1_5412845612146241046457891017[[#This Row],[Type]]&gt;0,VLOOKUP(_1_5412845612146241046457891017[[#This Row],[Type]],Main[[#All],[TYPE]:[UNIT]],'Unit Price'!D$1,FALSE),0)</f>
        <v>0</v>
      </c>
      <c r="I128" s="194">
        <f>IF(_1_5412845612146241046457891017[[#This Row],[Type]]&gt;0,VLOOKUP(_1_5412845612146241046457891017[[#This Row],[Type]],Main[[#All],[TYPE]:[UNIT]],'Unit Price'!G$1,FALSE),0)</f>
        <v>0</v>
      </c>
      <c r="J128" s="194">
        <f>IF(_1_5412845612146241046457891017[[#This Row],[Type]]&gt;0,VLOOKUP(_1_5412845612146241046457891017[[#This Row],[Type]],Main[[#All],[TYPE]:[UNIT]],'Unit Price'!H$1,FALSE),0)</f>
        <v>0</v>
      </c>
      <c r="K128" s="194">
        <f>IF(_1_5412845612146241046457891017[[#This Row],[Discount selection]]&gt;0,VLOOKUP(_1_5412845612146241046457891017[[#This Row],[Discount selection]],'Discount Structure'!$A$2:$B$30,2,"false"),0)</f>
        <v>1</v>
      </c>
      <c r="L128" s="194">
        <f>_1_5412845612146241046457891017[[#This Row],[LIST $]]*_1_5412845612146241046457891017[[#This Row],[DISCOUNT]]*_1_5412845612146241046457891017[[#This Row],[DISCOUNT 2]]</f>
        <v>0</v>
      </c>
      <c r="M128" s="194">
        <f>IF(OR(_1_5412845612146241046457891017[[#This Row],[UNIT]]&gt;0,_1_5412845612146241046457891017[[#This Row],[UNIT]]&lt;0),_1_5412845612146241046457891017[[#This Row],[UNIT]]*_1_5412845612146241046457891017[[#This Row],[COST]],0)</f>
        <v>0</v>
      </c>
      <c r="N128" s="194">
        <f t="shared" si="1"/>
        <v>1.35</v>
      </c>
      <c r="O128" s="198">
        <f>_1_5412845612146241046457891017[[#This Row],[TOTAL]]*_1_5412845612146241046457891017[[#This Row],[MARGIN]]</f>
        <v>0</v>
      </c>
      <c r="R128" s="41"/>
    </row>
    <row r="129" spans="1:18">
      <c r="C129" s="168"/>
      <c r="D129" s="188"/>
      <c r="F129" s="168" t="s">
        <v>6202</v>
      </c>
      <c r="G129" s="193">
        <f>IF(_1_5412845612146241046457891017[[#This Row],[Type]]&gt;0,VLOOKUP(_1_5412845612146241046457891017[[#This Row],[Type]],Main[[#All],[TYPE]:[UNIT]],'Unit Price'!C$1,FALSE),0)</f>
        <v>0</v>
      </c>
      <c r="H129" s="197">
        <f>IF(_1_5412845612146241046457891017[[#This Row],[Type]]&gt;0,VLOOKUP(_1_5412845612146241046457891017[[#This Row],[Type]],Main[[#All],[TYPE]:[UNIT]],'Unit Price'!D$1,FALSE),0)</f>
        <v>0</v>
      </c>
      <c r="I129" s="194">
        <f>IF(_1_5412845612146241046457891017[[#This Row],[Type]]&gt;0,VLOOKUP(_1_5412845612146241046457891017[[#This Row],[Type]],Main[[#All],[TYPE]:[UNIT]],'Unit Price'!G$1,FALSE),0)</f>
        <v>0</v>
      </c>
      <c r="J129" s="194">
        <f>IF(_1_5412845612146241046457891017[[#This Row],[Type]]&gt;0,VLOOKUP(_1_5412845612146241046457891017[[#This Row],[Type]],Main[[#All],[TYPE]:[UNIT]],'Unit Price'!H$1,FALSE),0)</f>
        <v>0</v>
      </c>
      <c r="K129" s="194">
        <f>IF(_1_5412845612146241046457891017[[#This Row],[Discount selection]]&gt;0,VLOOKUP(_1_5412845612146241046457891017[[#This Row],[Discount selection]],'Discount Structure'!$A$2:$B$30,2,"false"),0)</f>
        <v>1</v>
      </c>
      <c r="L129" s="194">
        <f>_1_5412845612146241046457891017[[#This Row],[LIST $]]*_1_5412845612146241046457891017[[#This Row],[DISCOUNT]]*_1_5412845612146241046457891017[[#This Row],[DISCOUNT 2]]</f>
        <v>0</v>
      </c>
      <c r="M129" s="194">
        <f>IF(OR(_1_5412845612146241046457891017[[#This Row],[UNIT]]&gt;0,_1_5412845612146241046457891017[[#This Row],[UNIT]]&lt;0),_1_5412845612146241046457891017[[#This Row],[UNIT]]*_1_5412845612146241046457891017[[#This Row],[COST]],0)</f>
        <v>0</v>
      </c>
      <c r="N129" s="194">
        <f t="shared" si="1"/>
        <v>1.35</v>
      </c>
      <c r="O129" s="198">
        <f>_1_5412845612146241046457891017[[#This Row],[TOTAL]]*_1_5412845612146241046457891017[[#This Row],[MARGIN]]</f>
        <v>0</v>
      </c>
      <c r="R129" s="41"/>
    </row>
    <row r="130" spans="1:18">
      <c r="C130" s="168"/>
      <c r="D130" s="188"/>
      <c r="F130" s="168" t="s">
        <v>6202</v>
      </c>
      <c r="G130" s="193">
        <f>IF(_1_5412845612146241046457891017[[#This Row],[Type]]&gt;0,VLOOKUP(_1_5412845612146241046457891017[[#This Row],[Type]],Main[[#All],[TYPE]:[UNIT]],'Unit Price'!C$1,FALSE),0)</f>
        <v>0</v>
      </c>
      <c r="H130" s="197">
        <f>IF(_1_5412845612146241046457891017[[#This Row],[Type]]&gt;0,VLOOKUP(_1_5412845612146241046457891017[[#This Row],[Type]],Main[[#All],[TYPE]:[UNIT]],'Unit Price'!D$1,FALSE),0)</f>
        <v>0</v>
      </c>
      <c r="I130" s="194">
        <f>IF(_1_5412845612146241046457891017[[#This Row],[Type]]&gt;0,VLOOKUP(_1_5412845612146241046457891017[[#This Row],[Type]],Main[[#All],[TYPE]:[UNIT]],'Unit Price'!G$1,FALSE),0)</f>
        <v>0</v>
      </c>
      <c r="J130" s="194">
        <f>IF(_1_5412845612146241046457891017[[#This Row],[Type]]&gt;0,VLOOKUP(_1_5412845612146241046457891017[[#This Row],[Type]],Main[[#All],[TYPE]:[UNIT]],'Unit Price'!H$1,FALSE),0)</f>
        <v>0</v>
      </c>
      <c r="K130" s="194">
        <f>IF(_1_5412845612146241046457891017[[#This Row],[Discount selection]]&gt;0,VLOOKUP(_1_5412845612146241046457891017[[#This Row],[Discount selection]],'Discount Structure'!$A$2:$B$30,2,"false"),0)</f>
        <v>1</v>
      </c>
      <c r="L130" s="194">
        <f>_1_5412845612146241046457891017[[#This Row],[LIST $]]*_1_5412845612146241046457891017[[#This Row],[DISCOUNT]]*_1_5412845612146241046457891017[[#This Row],[DISCOUNT 2]]</f>
        <v>0</v>
      </c>
      <c r="M130" s="194">
        <f>IF(OR(_1_5412845612146241046457891017[[#This Row],[UNIT]]&gt;0,_1_5412845612146241046457891017[[#This Row],[UNIT]]&lt;0),_1_5412845612146241046457891017[[#This Row],[UNIT]]*_1_5412845612146241046457891017[[#This Row],[COST]],0)</f>
        <v>0</v>
      </c>
      <c r="N130" s="194">
        <f t="shared" si="1"/>
        <v>1.35</v>
      </c>
      <c r="O130" s="198">
        <f>_1_5412845612146241046457891017[[#This Row],[TOTAL]]*_1_5412845612146241046457891017[[#This Row],[MARGIN]]</f>
        <v>0</v>
      </c>
      <c r="R130" s="41"/>
    </row>
    <row r="131" spans="1:18">
      <c r="C131" s="168"/>
      <c r="D131" s="188"/>
      <c r="F131" s="168" t="s">
        <v>6202</v>
      </c>
      <c r="G131" s="193">
        <f>IF(_1_5412845612146241046457891017[[#This Row],[Type]]&gt;0,VLOOKUP(_1_5412845612146241046457891017[[#This Row],[Type]],Main[[#All],[TYPE]:[UNIT]],'Unit Price'!C$1,FALSE),0)</f>
        <v>0</v>
      </c>
      <c r="H131" s="197">
        <f>IF(_1_5412845612146241046457891017[[#This Row],[Type]]&gt;0,VLOOKUP(_1_5412845612146241046457891017[[#This Row],[Type]],Main[[#All],[TYPE]:[UNIT]],'Unit Price'!D$1,FALSE),0)</f>
        <v>0</v>
      </c>
      <c r="I131" s="194">
        <f>IF(_1_5412845612146241046457891017[[#This Row],[Type]]&gt;0,VLOOKUP(_1_5412845612146241046457891017[[#This Row],[Type]],Main[[#All],[TYPE]:[UNIT]],'Unit Price'!G$1,FALSE),0)</f>
        <v>0</v>
      </c>
      <c r="J131" s="194">
        <f>IF(_1_5412845612146241046457891017[[#This Row],[Type]]&gt;0,VLOOKUP(_1_5412845612146241046457891017[[#This Row],[Type]],Main[[#All],[TYPE]:[UNIT]],'Unit Price'!H$1,FALSE),0)</f>
        <v>0</v>
      </c>
      <c r="K131" s="194">
        <f>IF(_1_5412845612146241046457891017[[#This Row],[Discount selection]]&gt;0,VLOOKUP(_1_5412845612146241046457891017[[#This Row],[Discount selection]],'Discount Structure'!$A$2:$B$30,2,"false"),0)</f>
        <v>1</v>
      </c>
      <c r="L131" s="194">
        <f>_1_5412845612146241046457891017[[#This Row],[LIST $]]*_1_5412845612146241046457891017[[#This Row],[DISCOUNT]]*_1_5412845612146241046457891017[[#This Row],[DISCOUNT 2]]</f>
        <v>0</v>
      </c>
      <c r="M131" s="194">
        <f>IF(OR(_1_5412845612146241046457891017[[#This Row],[UNIT]]&gt;0,_1_5412845612146241046457891017[[#This Row],[UNIT]]&lt;0),_1_5412845612146241046457891017[[#This Row],[UNIT]]*_1_5412845612146241046457891017[[#This Row],[COST]],0)</f>
        <v>0</v>
      </c>
      <c r="N131" s="194">
        <f t="shared" si="1"/>
        <v>1.35</v>
      </c>
      <c r="O131" s="198">
        <f>_1_5412845612146241046457891017[[#This Row],[TOTAL]]*_1_5412845612146241046457891017[[#This Row],[MARGIN]]</f>
        <v>0</v>
      </c>
      <c r="R131" s="41"/>
    </row>
    <row r="132" spans="1:18">
      <c r="C132" s="168"/>
      <c r="D132" s="188"/>
      <c r="F132" s="168" t="s">
        <v>6202</v>
      </c>
      <c r="G132" s="193">
        <f>IF(_1_5412845612146241046457891017[[#This Row],[Type]]&gt;0,VLOOKUP(_1_5412845612146241046457891017[[#This Row],[Type]],Main[[#All],[TYPE]:[UNIT]],'Unit Price'!C$1,FALSE),0)</f>
        <v>0</v>
      </c>
      <c r="H132" s="197">
        <f>IF(_1_5412845612146241046457891017[[#This Row],[Type]]&gt;0,VLOOKUP(_1_5412845612146241046457891017[[#This Row],[Type]],Main[[#All],[TYPE]:[UNIT]],'Unit Price'!D$1,FALSE),0)</f>
        <v>0</v>
      </c>
      <c r="I132" s="194">
        <f>IF(_1_5412845612146241046457891017[[#This Row],[Type]]&gt;0,VLOOKUP(_1_5412845612146241046457891017[[#This Row],[Type]],Main[[#All],[TYPE]:[UNIT]],'Unit Price'!G$1,FALSE),0)</f>
        <v>0</v>
      </c>
      <c r="J132" s="194">
        <f>IF(_1_5412845612146241046457891017[[#This Row],[Type]]&gt;0,VLOOKUP(_1_5412845612146241046457891017[[#This Row],[Type]],Main[[#All],[TYPE]:[UNIT]],'Unit Price'!H$1,FALSE),0)</f>
        <v>0</v>
      </c>
      <c r="K132" s="194">
        <f>IF(_1_5412845612146241046457891017[[#This Row],[Discount selection]]&gt;0,VLOOKUP(_1_5412845612146241046457891017[[#This Row],[Discount selection]],'Discount Structure'!$A$2:$B$30,2,"false"),0)</f>
        <v>1</v>
      </c>
      <c r="L132" s="194">
        <f>_1_5412845612146241046457891017[[#This Row],[LIST $]]*_1_5412845612146241046457891017[[#This Row],[DISCOUNT]]*_1_5412845612146241046457891017[[#This Row],[DISCOUNT 2]]</f>
        <v>0</v>
      </c>
      <c r="M132" s="194">
        <f>IF(OR(_1_5412845612146241046457891017[[#This Row],[UNIT]]&gt;0,_1_5412845612146241046457891017[[#This Row],[UNIT]]&lt;0),_1_5412845612146241046457891017[[#This Row],[UNIT]]*_1_5412845612146241046457891017[[#This Row],[COST]],0)</f>
        <v>0</v>
      </c>
      <c r="N132" s="194">
        <f t="shared" si="1"/>
        <v>1.35</v>
      </c>
      <c r="O132" s="198">
        <f>_1_5412845612146241046457891017[[#This Row],[TOTAL]]*_1_5412845612146241046457891017[[#This Row],[MARGIN]]</f>
        <v>0</v>
      </c>
      <c r="R132" s="41"/>
    </row>
    <row r="133" spans="1:18">
      <c r="C133" s="168"/>
      <c r="D133" s="188"/>
      <c r="F133" s="168" t="s">
        <v>6202</v>
      </c>
      <c r="G133" s="193">
        <f>IF(_1_5412845612146241046457891017[[#This Row],[Type]]&gt;0,VLOOKUP(_1_5412845612146241046457891017[[#This Row],[Type]],Main[[#All],[TYPE]:[UNIT]],'Unit Price'!C$1,FALSE),0)</f>
        <v>0</v>
      </c>
      <c r="H133" s="197">
        <f>IF(_1_5412845612146241046457891017[[#This Row],[Type]]&gt;0,VLOOKUP(_1_5412845612146241046457891017[[#This Row],[Type]],Main[[#All],[TYPE]:[UNIT]],'Unit Price'!D$1,FALSE),0)</f>
        <v>0</v>
      </c>
      <c r="I133" s="194">
        <f>IF(_1_5412845612146241046457891017[[#This Row],[Type]]&gt;0,VLOOKUP(_1_5412845612146241046457891017[[#This Row],[Type]],Main[[#All],[TYPE]:[UNIT]],'Unit Price'!G$1,FALSE),0)</f>
        <v>0</v>
      </c>
      <c r="J133" s="194">
        <f>IF(_1_5412845612146241046457891017[[#This Row],[Type]]&gt;0,VLOOKUP(_1_5412845612146241046457891017[[#This Row],[Type]],Main[[#All],[TYPE]:[UNIT]],'Unit Price'!H$1,FALSE),0)</f>
        <v>0</v>
      </c>
      <c r="K133" s="194">
        <f>IF(_1_5412845612146241046457891017[[#This Row],[Discount selection]]&gt;0,VLOOKUP(_1_5412845612146241046457891017[[#This Row],[Discount selection]],'Discount Structure'!$A$2:$B$30,2,"false"),0)</f>
        <v>1</v>
      </c>
      <c r="L133" s="194">
        <f>_1_5412845612146241046457891017[[#This Row],[LIST $]]*_1_5412845612146241046457891017[[#This Row],[DISCOUNT]]*_1_5412845612146241046457891017[[#This Row],[DISCOUNT 2]]</f>
        <v>0</v>
      </c>
      <c r="M133" s="194">
        <f>IF(OR(_1_5412845612146241046457891017[[#This Row],[UNIT]]&gt;0,_1_5412845612146241046457891017[[#This Row],[UNIT]]&lt;0),_1_5412845612146241046457891017[[#This Row],[UNIT]]*_1_5412845612146241046457891017[[#This Row],[COST]],0)</f>
        <v>0</v>
      </c>
      <c r="N133" s="194">
        <f t="shared" si="1"/>
        <v>1.35</v>
      </c>
      <c r="O133" s="198">
        <f>_1_5412845612146241046457891017[[#This Row],[TOTAL]]*_1_5412845612146241046457891017[[#This Row],[MARGIN]]</f>
        <v>0</v>
      </c>
      <c r="R133" s="41"/>
    </row>
    <row r="134" spans="1:18">
      <c r="C134" s="168"/>
      <c r="D134" s="188"/>
      <c r="F134" s="168" t="s">
        <v>6202</v>
      </c>
      <c r="G134" s="193">
        <f>IF(_1_5412845612146241046457891017[[#This Row],[Type]]&gt;0,VLOOKUP(_1_5412845612146241046457891017[[#This Row],[Type]],Main[[#All],[TYPE]:[UNIT]],'Unit Price'!C$1,FALSE),0)</f>
        <v>0</v>
      </c>
      <c r="H134" s="197">
        <f>IF(_1_5412845612146241046457891017[[#This Row],[Type]]&gt;0,VLOOKUP(_1_5412845612146241046457891017[[#This Row],[Type]],Main[[#All],[TYPE]:[UNIT]],'Unit Price'!D$1,FALSE),0)</f>
        <v>0</v>
      </c>
      <c r="I134" s="194">
        <f>IF(_1_5412845612146241046457891017[[#This Row],[Type]]&gt;0,VLOOKUP(_1_5412845612146241046457891017[[#This Row],[Type]],Main[[#All],[TYPE]:[UNIT]],'Unit Price'!G$1,FALSE),0)</f>
        <v>0</v>
      </c>
      <c r="J134" s="194">
        <f>IF(_1_5412845612146241046457891017[[#This Row],[Type]]&gt;0,VLOOKUP(_1_5412845612146241046457891017[[#This Row],[Type]],Main[[#All],[TYPE]:[UNIT]],'Unit Price'!H$1,FALSE),0)</f>
        <v>0</v>
      </c>
      <c r="K134" s="194">
        <f>IF(_1_5412845612146241046457891017[[#This Row],[Discount selection]]&gt;0,VLOOKUP(_1_5412845612146241046457891017[[#This Row],[Discount selection]],'Discount Structure'!$A$2:$B$30,2,"false"),0)</f>
        <v>1</v>
      </c>
      <c r="L134" s="194">
        <f>_1_5412845612146241046457891017[[#This Row],[LIST $]]*_1_5412845612146241046457891017[[#This Row],[DISCOUNT]]*_1_5412845612146241046457891017[[#This Row],[DISCOUNT 2]]</f>
        <v>0</v>
      </c>
      <c r="M134" s="194">
        <f>IF(OR(_1_5412845612146241046457891017[[#This Row],[UNIT]]&gt;0,_1_5412845612146241046457891017[[#This Row],[UNIT]]&lt;0),_1_5412845612146241046457891017[[#This Row],[UNIT]]*_1_5412845612146241046457891017[[#This Row],[COST]],0)</f>
        <v>0</v>
      </c>
      <c r="N134" s="194">
        <f t="shared" si="1"/>
        <v>1.35</v>
      </c>
      <c r="O134" s="198">
        <f>_1_5412845612146241046457891017[[#This Row],[TOTAL]]*_1_5412845612146241046457891017[[#This Row],[MARGIN]]</f>
        <v>0</v>
      </c>
      <c r="R134" s="41"/>
    </row>
    <row r="135" spans="1:18">
      <c r="C135" s="168"/>
      <c r="D135" s="188"/>
      <c r="F135" s="168" t="s">
        <v>6202</v>
      </c>
      <c r="G135" s="193">
        <f>IF(_1_5412845612146241046457891017[[#This Row],[Type]]&gt;0,VLOOKUP(_1_5412845612146241046457891017[[#This Row],[Type]],Main[[#All],[TYPE]:[UNIT]],'Unit Price'!C$1,FALSE),0)</f>
        <v>0</v>
      </c>
      <c r="H135" s="197">
        <f>IF(_1_5412845612146241046457891017[[#This Row],[Type]]&gt;0,VLOOKUP(_1_5412845612146241046457891017[[#This Row],[Type]],Main[[#All],[TYPE]:[UNIT]],'Unit Price'!D$1,FALSE),0)</f>
        <v>0</v>
      </c>
      <c r="I135" s="194">
        <f>IF(_1_5412845612146241046457891017[[#This Row],[Type]]&gt;0,VLOOKUP(_1_5412845612146241046457891017[[#This Row],[Type]],Main[[#All],[TYPE]:[UNIT]],'Unit Price'!G$1,FALSE),0)</f>
        <v>0</v>
      </c>
      <c r="J135" s="194">
        <f>IF(_1_5412845612146241046457891017[[#This Row],[Type]]&gt;0,VLOOKUP(_1_5412845612146241046457891017[[#This Row],[Type]],Main[[#All],[TYPE]:[UNIT]],'Unit Price'!H$1,FALSE),0)</f>
        <v>0</v>
      </c>
      <c r="K135" s="194">
        <f>IF(_1_5412845612146241046457891017[[#This Row],[Discount selection]]&gt;0,VLOOKUP(_1_5412845612146241046457891017[[#This Row],[Discount selection]],'Discount Structure'!$A$2:$B$30,2,"false"),0)</f>
        <v>1</v>
      </c>
      <c r="L135" s="194">
        <f>_1_5412845612146241046457891017[[#This Row],[LIST $]]*_1_5412845612146241046457891017[[#This Row],[DISCOUNT]]*_1_5412845612146241046457891017[[#This Row],[DISCOUNT 2]]</f>
        <v>0</v>
      </c>
      <c r="M135" s="194">
        <f>IF(OR(_1_5412845612146241046457891017[[#This Row],[UNIT]]&gt;0,_1_5412845612146241046457891017[[#This Row],[UNIT]]&lt;0),_1_5412845612146241046457891017[[#This Row],[UNIT]]*_1_5412845612146241046457891017[[#This Row],[COST]],0)</f>
        <v>0</v>
      </c>
      <c r="N135" s="194">
        <f t="shared" si="1"/>
        <v>1.35</v>
      </c>
      <c r="O135" s="198">
        <f>_1_5412845612146241046457891017[[#This Row],[TOTAL]]*_1_5412845612146241046457891017[[#This Row],[MARGIN]]</f>
        <v>0</v>
      </c>
      <c r="R135" s="41"/>
    </row>
    <row r="136" spans="1:18">
      <c r="C136" s="168"/>
      <c r="D136" s="188"/>
      <c r="F136" s="168" t="s">
        <v>6202</v>
      </c>
      <c r="G136" s="193">
        <f>IF(_1_5412845612146241046457891017[[#This Row],[Type]]&gt;0,VLOOKUP(_1_5412845612146241046457891017[[#This Row],[Type]],Main[[#All],[TYPE]:[UNIT]],'Unit Price'!C$1,FALSE),0)</f>
        <v>0</v>
      </c>
      <c r="H136" s="197">
        <f>IF(_1_5412845612146241046457891017[[#This Row],[Type]]&gt;0,VLOOKUP(_1_5412845612146241046457891017[[#This Row],[Type]],Main[[#All],[TYPE]:[UNIT]],'Unit Price'!D$1,FALSE),0)</f>
        <v>0</v>
      </c>
      <c r="I136" s="194">
        <f>IF(_1_5412845612146241046457891017[[#This Row],[Type]]&gt;0,VLOOKUP(_1_5412845612146241046457891017[[#This Row],[Type]],Main[[#All],[TYPE]:[UNIT]],'Unit Price'!G$1,FALSE),0)</f>
        <v>0</v>
      </c>
      <c r="J136" s="194">
        <f>IF(_1_5412845612146241046457891017[[#This Row],[Type]]&gt;0,VLOOKUP(_1_5412845612146241046457891017[[#This Row],[Type]],Main[[#All],[TYPE]:[UNIT]],'Unit Price'!H$1,FALSE),0)</f>
        <v>0</v>
      </c>
      <c r="K136" s="194">
        <f>IF(_1_5412845612146241046457891017[[#This Row],[Discount selection]]&gt;0,VLOOKUP(_1_5412845612146241046457891017[[#This Row],[Discount selection]],'Discount Structure'!$A$2:$B$30,2,"false"),0)</f>
        <v>1</v>
      </c>
      <c r="L136" s="194">
        <f>_1_5412845612146241046457891017[[#This Row],[LIST $]]*_1_5412845612146241046457891017[[#This Row],[DISCOUNT]]*_1_5412845612146241046457891017[[#This Row],[DISCOUNT 2]]</f>
        <v>0</v>
      </c>
      <c r="M136" s="194">
        <f>IF(OR(_1_5412845612146241046457891017[[#This Row],[UNIT]]&gt;0,_1_5412845612146241046457891017[[#This Row],[UNIT]]&lt;0),_1_5412845612146241046457891017[[#This Row],[UNIT]]*_1_5412845612146241046457891017[[#This Row],[COST]],0)</f>
        <v>0</v>
      </c>
      <c r="N136" s="194">
        <f t="shared" si="1"/>
        <v>1.35</v>
      </c>
      <c r="O136" s="198">
        <f>_1_5412845612146241046457891017[[#This Row],[TOTAL]]*_1_5412845612146241046457891017[[#This Row],[MARGIN]]</f>
        <v>0</v>
      </c>
      <c r="R136" s="41"/>
    </row>
    <row r="137" spans="1:18">
      <c r="A137" s="168"/>
      <c r="C137" s="168"/>
      <c r="D137" s="188"/>
      <c r="F137" s="168" t="s">
        <v>6202</v>
      </c>
      <c r="G137" s="193">
        <f>IF(_1_5412845612146241046457891017[[#This Row],[Type]]&gt;0,VLOOKUP(_1_5412845612146241046457891017[[#This Row],[Type]],Main[[#All],[TYPE]:[UNIT]],'Unit Price'!C$1,FALSE),0)</f>
        <v>0</v>
      </c>
      <c r="H137" s="197">
        <f>IF(_1_5412845612146241046457891017[[#This Row],[Type]]&gt;0,VLOOKUP(_1_5412845612146241046457891017[[#This Row],[Type]],Main[[#All],[TYPE]:[UNIT]],'Unit Price'!D$1,FALSE),0)</f>
        <v>0</v>
      </c>
      <c r="I137" s="194">
        <f>IF(_1_5412845612146241046457891017[[#This Row],[Type]]&gt;0,VLOOKUP(_1_5412845612146241046457891017[[#This Row],[Type]],Main[[#All],[TYPE]:[UNIT]],'Unit Price'!G$1,FALSE),0)</f>
        <v>0</v>
      </c>
      <c r="J137" s="194">
        <f>IF(_1_5412845612146241046457891017[[#This Row],[Type]]&gt;0,VLOOKUP(_1_5412845612146241046457891017[[#This Row],[Type]],Main[[#All],[TYPE]:[UNIT]],'Unit Price'!H$1,FALSE),0)</f>
        <v>0</v>
      </c>
      <c r="K137" s="194">
        <f>IF(_1_5412845612146241046457891017[[#This Row],[Discount selection]]&gt;0,VLOOKUP(_1_5412845612146241046457891017[[#This Row],[Discount selection]],'Discount Structure'!$A$2:$B$30,2,"false"),0)</f>
        <v>1</v>
      </c>
      <c r="L137" s="194">
        <f>_1_5412845612146241046457891017[[#This Row],[LIST $]]*_1_5412845612146241046457891017[[#This Row],[DISCOUNT]]*_1_5412845612146241046457891017[[#This Row],[DISCOUNT 2]]</f>
        <v>0</v>
      </c>
      <c r="M137" s="194">
        <f>IF(OR(_1_5412845612146241046457891017[[#This Row],[UNIT]]&gt;0,_1_5412845612146241046457891017[[#This Row],[UNIT]]&lt;0),_1_5412845612146241046457891017[[#This Row],[UNIT]]*_1_5412845612146241046457891017[[#This Row],[COST]],0)</f>
        <v>0</v>
      </c>
      <c r="N137" s="194">
        <f t="shared" si="1"/>
        <v>1.35</v>
      </c>
      <c r="O137" s="198">
        <f>_1_5412845612146241046457891017[[#This Row],[TOTAL]]*_1_5412845612146241046457891017[[#This Row],[MARGIN]]</f>
        <v>0</v>
      </c>
      <c r="R137" s="41"/>
    </row>
    <row r="138" spans="1:18">
      <c r="B138" s="168"/>
      <c r="C138" s="168"/>
      <c r="D138" s="188"/>
      <c r="E138" s="313"/>
      <c r="F138" s="168" t="s">
        <v>6202</v>
      </c>
      <c r="G138" s="193">
        <f>IF(_1_5412845612146241046457891017[[#This Row],[Type]]&gt;0,VLOOKUP(_1_5412845612146241046457891017[[#This Row],[Type]],Main[[#All],[TYPE]:[UNIT]],'Unit Price'!C$1,FALSE),0)</f>
        <v>0</v>
      </c>
      <c r="H138" s="197">
        <f>IF(_1_5412845612146241046457891017[[#This Row],[Type]]&gt;0,VLOOKUP(_1_5412845612146241046457891017[[#This Row],[Type]],Main[[#All],[TYPE]:[UNIT]],'Unit Price'!D$1,FALSE),0)</f>
        <v>0</v>
      </c>
      <c r="I138" s="194">
        <f>IF(_1_5412845612146241046457891017[[#This Row],[Type]]&gt;0,VLOOKUP(_1_5412845612146241046457891017[[#This Row],[Type]],Main[[#All],[TYPE]:[UNIT]],'Unit Price'!G$1,FALSE),0)</f>
        <v>0</v>
      </c>
      <c r="J138" s="194">
        <f>IF(_1_5412845612146241046457891017[[#This Row],[Type]]&gt;0,VLOOKUP(_1_5412845612146241046457891017[[#This Row],[Type]],Main[[#All],[TYPE]:[UNIT]],'Unit Price'!H$1,FALSE),0)</f>
        <v>0</v>
      </c>
      <c r="K138" s="194">
        <f>IF(_1_5412845612146241046457891017[[#This Row],[Discount selection]]&gt;0,VLOOKUP(_1_5412845612146241046457891017[[#This Row],[Discount selection]],'Discount Structure'!$A$2:$B$30,2,"false"),0)</f>
        <v>1</v>
      </c>
      <c r="L138" s="194">
        <f>_1_5412845612146241046457891017[[#This Row],[LIST $]]*_1_5412845612146241046457891017[[#This Row],[DISCOUNT]]*_1_5412845612146241046457891017[[#This Row],[DISCOUNT 2]]</f>
        <v>0</v>
      </c>
      <c r="M138" s="194">
        <f>IF(OR(_1_5412845612146241046457891017[[#This Row],[UNIT]]&gt;0,_1_5412845612146241046457891017[[#This Row],[UNIT]]&lt;0),_1_5412845612146241046457891017[[#This Row],[UNIT]]*_1_5412845612146241046457891017[[#This Row],[COST]],0)</f>
        <v>0</v>
      </c>
      <c r="N138" s="194">
        <f t="shared" ref="N138:N201" si="2">$N$7</f>
        <v>1.35</v>
      </c>
      <c r="O138" s="198">
        <f>_1_5412845612146241046457891017[[#This Row],[TOTAL]]*_1_5412845612146241046457891017[[#This Row],[MARGIN]]</f>
        <v>0</v>
      </c>
      <c r="R138" s="41"/>
    </row>
    <row r="139" spans="1:18">
      <c r="A139" s="168"/>
      <c r="C139" s="168"/>
      <c r="D139" s="188"/>
      <c r="F139" s="168" t="s">
        <v>6202</v>
      </c>
      <c r="G139" s="193">
        <f>IF(_1_5412845612146241046457891017[[#This Row],[Type]]&gt;0,VLOOKUP(_1_5412845612146241046457891017[[#This Row],[Type]],Main[[#All],[TYPE]:[UNIT]],'Unit Price'!C$1,FALSE),0)</f>
        <v>0</v>
      </c>
      <c r="H139" s="197">
        <f>IF(_1_5412845612146241046457891017[[#This Row],[Type]]&gt;0,VLOOKUP(_1_5412845612146241046457891017[[#This Row],[Type]],Main[[#All],[TYPE]:[UNIT]],'Unit Price'!D$1,FALSE),0)</f>
        <v>0</v>
      </c>
      <c r="I139" s="194">
        <f>IF(_1_5412845612146241046457891017[[#This Row],[Type]]&gt;0,VLOOKUP(_1_5412845612146241046457891017[[#This Row],[Type]],Main[[#All],[TYPE]:[UNIT]],'Unit Price'!G$1,FALSE),0)</f>
        <v>0</v>
      </c>
      <c r="J139" s="194">
        <f>IF(_1_5412845612146241046457891017[[#This Row],[Type]]&gt;0,VLOOKUP(_1_5412845612146241046457891017[[#This Row],[Type]],Main[[#All],[TYPE]:[UNIT]],'Unit Price'!H$1,FALSE),0)</f>
        <v>0</v>
      </c>
      <c r="K139" s="194">
        <f>IF(_1_5412845612146241046457891017[[#This Row],[Discount selection]]&gt;0,VLOOKUP(_1_5412845612146241046457891017[[#This Row],[Discount selection]],'Discount Structure'!$A$2:$B$30,2,"false"),0)</f>
        <v>1</v>
      </c>
      <c r="L139" s="194">
        <f>_1_5412845612146241046457891017[[#This Row],[LIST $]]*_1_5412845612146241046457891017[[#This Row],[DISCOUNT]]*_1_5412845612146241046457891017[[#This Row],[DISCOUNT 2]]</f>
        <v>0</v>
      </c>
      <c r="M139" s="194">
        <f>IF(OR(_1_5412845612146241046457891017[[#This Row],[UNIT]]&gt;0,_1_5412845612146241046457891017[[#This Row],[UNIT]]&lt;0),_1_5412845612146241046457891017[[#This Row],[UNIT]]*_1_5412845612146241046457891017[[#This Row],[COST]],0)</f>
        <v>0</v>
      </c>
      <c r="N139" s="194">
        <f t="shared" si="2"/>
        <v>1.35</v>
      </c>
      <c r="O139" s="198">
        <f>_1_5412845612146241046457891017[[#This Row],[TOTAL]]*_1_5412845612146241046457891017[[#This Row],[MARGIN]]</f>
        <v>0</v>
      </c>
      <c r="R139" s="41"/>
    </row>
    <row r="140" spans="1:18">
      <c r="A140" s="168"/>
      <c r="B140" s="168"/>
      <c r="C140" s="168"/>
      <c r="D140" s="188"/>
      <c r="F140" s="168" t="s">
        <v>6202</v>
      </c>
      <c r="G140" s="193">
        <f>IF(_1_5412845612146241046457891017[[#This Row],[Type]]&gt;0,VLOOKUP(_1_5412845612146241046457891017[[#This Row],[Type]],Main[[#All],[TYPE]:[UNIT]],'Unit Price'!C$1,FALSE),0)</f>
        <v>0</v>
      </c>
      <c r="H140" s="197">
        <f>IF(_1_5412845612146241046457891017[[#This Row],[Type]]&gt;0,VLOOKUP(_1_5412845612146241046457891017[[#This Row],[Type]],Main[[#All],[TYPE]:[UNIT]],'Unit Price'!D$1,FALSE),0)</f>
        <v>0</v>
      </c>
      <c r="I140" s="194">
        <f>IF(_1_5412845612146241046457891017[[#This Row],[Type]]&gt;0,VLOOKUP(_1_5412845612146241046457891017[[#This Row],[Type]],Main[[#All],[TYPE]:[UNIT]],'Unit Price'!G$1,FALSE),0)</f>
        <v>0</v>
      </c>
      <c r="J140" s="194">
        <f>IF(_1_5412845612146241046457891017[[#This Row],[Type]]&gt;0,VLOOKUP(_1_5412845612146241046457891017[[#This Row],[Type]],Main[[#All],[TYPE]:[UNIT]],'Unit Price'!H$1,FALSE),0)</f>
        <v>0</v>
      </c>
      <c r="K140" s="194">
        <f>IF(_1_5412845612146241046457891017[[#This Row],[Discount selection]]&gt;0,VLOOKUP(_1_5412845612146241046457891017[[#This Row],[Discount selection]],'Discount Structure'!$A$2:$B$30,2,"false"),0)</f>
        <v>1</v>
      </c>
      <c r="L140" s="194">
        <f>_1_5412845612146241046457891017[[#This Row],[LIST $]]*_1_5412845612146241046457891017[[#This Row],[DISCOUNT]]*_1_5412845612146241046457891017[[#This Row],[DISCOUNT 2]]</f>
        <v>0</v>
      </c>
      <c r="M140" s="194">
        <f>IF(OR(_1_5412845612146241046457891017[[#This Row],[UNIT]]&gt;0,_1_5412845612146241046457891017[[#This Row],[UNIT]]&lt;0),_1_5412845612146241046457891017[[#This Row],[UNIT]]*_1_5412845612146241046457891017[[#This Row],[COST]],0)</f>
        <v>0</v>
      </c>
      <c r="N140" s="194">
        <f t="shared" si="2"/>
        <v>1.35</v>
      </c>
      <c r="O140" s="198">
        <f>_1_5412845612146241046457891017[[#This Row],[TOTAL]]*_1_5412845612146241046457891017[[#This Row],[MARGIN]]</f>
        <v>0</v>
      </c>
      <c r="R140" s="41"/>
    </row>
    <row r="141" spans="1:18">
      <c r="C141" s="168"/>
      <c r="D141" s="188"/>
      <c r="F141" s="168" t="s">
        <v>6202</v>
      </c>
      <c r="G141" s="193">
        <f>IF(_1_5412845612146241046457891017[[#This Row],[Type]]&gt;0,VLOOKUP(_1_5412845612146241046457891017[[#This Row],[Type]],Main[[#All],[TYPE]:[UNIT]],'Unit Price'!C$1,FALSE),0)</f>
        <v>0</v>
      </c>
      <c r="H141" s="197">
        <f>IF(_1_5412845612146241046457891017[[#This Row],[Type]]&gt;0,VLOOKUP(_1_5412845612146241046457891017[[#This Row],[Type]],Main[[#All],[TYPE]:[UNIT]],'Unit Price'!D$1,FALSE),0)</f>
        <v>0</v>
      </c>
      <c r="I141" s="194">
        <f>IF(_1_5412845612146241046457891017[[#This Row],[Type]]&gt;0,VLOOKUP(_1_5412845612146241046457891017[[#This Row],[Type]],Main[[#All],[TYPE]:[UNIT]],'Unit Price'!G$1,FALSE),0)</f>
        <v>0</v>
      </c>
      <c r="J141" s="194">
        <f>IF(_1_5412845612146241046457891017[[#This Row],[Type]]&gt;0,VLOOKUP(_1_5412845612146241046457891017[[#This Row],[Type]],Main[[#All],[TYPE]:[UNIT]],'Unit Price'!H$1,FALSE),0)</f>
        <v>0</v>
      </c>
      <c r="K141" s="194">
        <f>IF(_1_5412845612146241046457891017[[#This Row],[Discount selection]]&gt;0,VLOOKUP(_1_5412845612146241046457891017[[#This Row],[Discount selection]],'Discount Structure'!$A$2:$B$30,2,"false"),0)</f>
        <v>1</v>
      </c>
      <c r="L141" s="194">
        <f>_1_5412845612146241046457891017[[#This Row],[LIST $]]*_1_5412845612146241046457891017[[#This Row],[DISCOUNT]]*_1_5412845612146241046457891017[[#This Row],[DISCOUNT 2]]</f>
        <v>0</v>
      </c>
      <c r="M141" s="194">
        <f>IF(OR(_1_5412845612146241046457891017[[#This Row],[UNIT]]&gt;0,_1_5412845612146241046457891017[[#This Row],[UNIT]]&lt;0),_1_5412845612146241046457891017[[#This Row],[UNIT]]*_1_5412845612146241046457891017[[#This Row],[COST]],0)</f>
        <v>0</v>
      </c>
      <c r="N141" s="194">
        <f t="shared" si="2"/>
        <v>1.35</v>
      </c>
      <c r="O141" s="198">
        <f>_1_5412845612146241046457891017[[#This Row],[TOTAL]]*_1_5412845612146241046457891017[[#This Row],[MARGIN]]</f>
        <v>0</v>
      </c>
      <c r="R141" s="41"/>
    </row>
    <row r="142" spans="1:18">
      <c r="C142" s="168"/>
      <c r="D142" s="188"/>
      <c r="F142" s="168" t="s">
        <v>6202</v>
      </c>
      <c r="G142" s="193">
        <f>IF(_1_5412845612146241046457891017[[#This Row],[Type]]&gt;0,VLOOKUP(_1_5412845612146241046457891017[[#This Row],[Type]],Main[[#All],[TYPE]:[UNIT]],'Unit Price'!C$1,FALSE),0)</f>
        <v>0</v>
      </c>
      <c r="H142" s="197">
        <f>IF(_1_5412845612146241046457891017[[#This Row],[Type]]&gt;0,VLOOKUP(_1_5412845612146241046457891017[[#This Row],[Type]],Main[[#All],[TYPE]:[UNIT]],'Unit Price'!D$1,FALSE),0)</f>
        <v>0</v>
      </c>
      <c r="I142" s="194">
        <f>IF(_1_5412845612146241046457891017[[#This Row],[Type]]&gt;0,VLOOKUP(_1_5412845612146241046457891017[[#This Row],[Type]],Main[[#All],[TYPE]:[UNIT]],'Unit Price'!G$1,FALSE),0)</f>
        <v>0</v>
      </c>
      <c r="J142" s="194">
        <f>IF(_1_5412845612146241046457891017[[#This Row],[Type]]&gt;0,VLOOKUP(_1_5412845612146241046457891017[[#This Row],[Type]],Main[[#All],[TYPE]:[UNIT]],'Unit Price'!H$1,FALSE),0)</f>
        <v>0</v>
      </c>
      <c r="K142" s="194">
        <f>IF(_1_5412845612146241046457891017[[#This Row],[Discount selection]]&gt;0,VLOOKUP(_1_5412845612146241046457891017[[#This Row],[Discount selection]],'Discount Structure'!$A$2:$B$30,2,"false"),0)</f>
        <v>1</v>
      </c>
      <c r="L142" s="194">
        <f>_1_5412845612146241046457891017[[#This Row],[LIST $]]*_1_5412845612146241046457891017[[#This Row],[DISCOUNT]]*_1_5412845612146241046457891017[[#This Row],[DISCOUNT 2]]</f>
        <v>0</v>
      </c>
      <c r="M142" s="194">
        <f>IF(OR(_1_5412845612146241046457891017[[#This Row],[UNIT]]&gt;0,_1_5412845612146241046457891017[[#This Row],[UNIT]]&lt;0),_1_5412845612146241046457891017[[#This Row],[UNIT]]*_1_5412845612146241046457891017[[#This Row],[COST]],0)</f>
        <v>0</v>
      </c>
      <c r="N142" s="194">
        <f t="shared" si="2"/>
        <v>1.35</v>
      </c>
      <c r="O142" s="198">
        <f>_1_5412845612146241046457891017[[#This Row],[TOTAL]]*_1_5412845612146241046457891017[[#This Row],[MARGIN]]</f>
        <v>0</v>
      </c>
      <c r="R142" s="41"/>
    </row>
    <row r="143" spans="1:18">
      <c r="C143" s="168"/>
      <c r="D143" s="188"/>
      <c r="F143" s="168" t="s">
        <v>6202</v>
      </c>
      <c r="G143" s="193">
        <f>IF(_1_5412845612146241046457891017[[#This Row],[Type]]&gt;0,VLOOKUP(_1_5412845612146241046457891017[[#This Row],[Type]],Main[[#All],[TYPE]:[UNIT]],'Unit Price'!C$1,FALSE),0)</f>
        <v>0</v>
      </c>
      <c r="H143" s="197">
        <f>IF(_1_5412845612146241046457891017[[#This Row],[Type]]&gt;0,VLOOKUP(_1_5412845612146241046457891017[[#This Row],[Type]],Main[[#All],[TYPE]:[UNIT]],'Unit Price'!D$1,FALSE),0)</f>
        <v>0</v>
      </c>
      <c r="I143" s="194">
        <f>IF(_1_5412845612146241046457891017[[#This Row],[Type]]&gt;0,VLOOKUP(_1_5412845612146241046457891017[[#This Row],[Type]],Main[[#All],[TYPE]:[UNIT]],'Unit Price'!G$1,FALSE),0)</f>
        <v>0</v>
      </c>
      <c r="J143" s="194">
        <f>IF(_1_5412845612146241046457891017[[#This Row],[Type]]&gt;0,VLOOKUP(_1_5412845612146241046457891017[[#This Row],[Type]],Main[[#All],[TYPE]:[UNIT]],'Unit Price'!H$1,FALSE),0)</f>
        <v>0</v>
      </c>
      <c r="K143" s="194">
        <f>IF(_1_5412845612146241046457891017[[#This Row],[Discount selection]]&gt;0,VLOOKUP(_1_5412845612146241046457891017[[#This Row],[Discount selection]],'Discount Structure'!$A$2:$B$30,2,"false"),0)</f>
        <v>1</v>
      </c>
      <c r="L143" s="194">
        <f>_1_5412845612146241046457891017[[#This Row],[LIST $]]*_1_5412845612146241046457891017[[#This Row],[DISCOUNT]]*_1_5412845612146241046457891017[[#This Row],[DISCOUNT 2]]</f>
        <v>0</v>
      </c>
      <c r="M143" s="194">
        <f>IF(OR(_1_5412845612146241046457891017[[#This Row],[UNIT]]&gt;0,_1_5412845612146241046457891017[[#This Row],[UNIT]]&lt;0),_1_5412845612146241046457891017[[#This Row],[UNIT]]*_1_5412845612146241046457891017[[#This Row],[COST]],0)</f>
        <v>0</v>
      </c>
      <c r="N143" s="194">
        <f t="shared" si="2"/>
        <v>1.35</v>
      </c>
      <c r="O143" s="198">
        <f>_1_5412845612146241046457891017[[#This Row],[TOTAL]]*_1_5412845612146241046457891017[[#This Row],[MARGIN]]</f>
        <v>0</v>
      </c>
      <c r="R143" s="41"/>
    </row>
    <row r="144" spans="1:18">
      <c r="C144" s="168"/>
      <c r="D144" s="188"/>
      <c r="F144" s="168" t="s">
        <v>6202</v>
      </c>
      <c r="G144" s="193">
        <f>IF(_1_5412845612146241046457891017[[#This Row],[Type]]&gt;0,VLOOKUP(_1_5412845612146241046457891017[[#This Row],[Type]],Main[[#All],[TYPE]:[UNIT]],'Unit Price'!C$1,FALSE),0)</f>
        <v>0</v>
      </c>
      <c r="H144" s="197">
        <f>IF(_1_5412845612146241046457891017[[#This Row],[Type]]&gt;0,VLOOKUP(_1_5412845612146241046457891017[[#This Row],[Type]],Main[[#All],[TYPE]:[UNIT]],'Unit Price'!D$1,FALSE),0)</f>
        <v>0</v>
      </c>
      <c r="I144" s="194">
        <f>IF(_1_5412845612146241046457891017[[#This Row],[Type]]&gt;0,VLOOKUP(_1_5412845612146241046457891017[[#This Row],[Type]],Main[[#All],[TYPE]:[UNIT]],'Unit Price'!G$1,FALSE),0)</f>
        <v>0</v>
      </c>
      <c r="J144" s="194">
        <f>IF(_1_5412845612146241046457891017[[#This Row],[Type]]&gt;0,VLOOKUP(_1_5412845612146241046457891017[[#This Row],[Type]],Main[[#All],[TYPE]:[UNIT]],'Unit Price'!H$1,FALSE),0)</f>
        <v>0</v>
      </c>
      <c r="K144" s="194">
        <f>IF(_1_5412845612146241046457891017[[#This Row],[Discount selection]]&gt;0,VLOOKUP(_1_5412845612146241046457891017[[#This Row],[Discount selection]],'Discount Structure'!$A$2:$B$30,2,"false"),0)</f>
        <v>1</v>
      </c>
      <c r="L144" s="194">
        <f>_1_5412845612146241046457891017[[#This Row],[LIST $]]*_1_5412845612146241046457891017[[#This Row],[DISCOUNT]]*_1_5412845612146241046457891017[[#This Row],[DISCOUNT 2]]</f>
        <v>0</v>
      </c>
      <c r="M144" s="194">
        <f>IF(OR(_1_5412845612146241046457891017[[#This Row],[UNIT]]&gt;0,_1_5412845612146241046457891017[[#This Row],[UNIT]]&lt;0),_1_5412845612146241046457891017[[#This Row],[UNIT]]*_1_5412845612146241046457891017[[#This Row],[COST]],0)</f>
        <v>0</v>
      </c>
      <c r="N144" s="194">
        <f t="shared" si="2"/>
        <v>1.35</v>
      </c>
      <c r="O144" s="198">
        <f>_1_5412845612146241046457891017[[#This Row],[TOTAL]]*_1_5412845612146241046457891017[[#This Row],[MARGIN]]</f>
        <v>0</v>
      </c>
      <c r="R144" s="41"/>
    </row>
    <row r="145" spans="1:18">
      <c r="C145" s="168"/>
      <c r="D145" s="188"/>
      <c r="F145" s="168" t="s">
        <v>6202</v>
      </c>
      <c r="G145" s="193">
        <f>IF(_1_5412845612146241046457891017[[#This Row],[Type]]&gt;0,VLOOKUP(_1_5412845612146241046457891017[[#This Row],[Type]],Main[[#All],[TYPE]:[UNIT]],'Unit Price'!C$1,FALSE),0)</f>
        <v>0</v>
      </c>
      <c r="H145" s="197">
        <f>IF(_1_5412845612146241046457891017[[#This Row],[Type]]&gt;0,VLOOKUP(_1_5412845612146241046457891017[[#This Row],[Type]],Main[[#All],[TYPE]:[UNIT]],'Unit Price'!D$1,FALSE),0)</f>
        <v>0</v>
      </c>
      <c r="I145" s="194">
        <f>IF(_1_5412845612146241046457891017[[#This Row],[Type]]&gt;0,VLOOKUP(_1_5412845612146241046457891017[[#This Row],[Type]],Main[[#All],[TYPE]:[UNIT]],'Unit Price'!G$1,FALSE),0)</f>
        <v>0</v>
      </c>
      <c r="J145" s="194">
        <f>IF(_1_5412845612146241046457891017[[#This Row],[Type]]&gt;0,VLOOKUP(_1_5412845612146241046457891017[[#This Row],[Type]],Main[[#All],[TYPE]:[UNIT]],'Unit Price'!H$1,FALSE),0)</f>
        <v>0</v>
      </c>
      <c r="K145" s="194">
        <f>IF(_1_5412845612146241046457891017[[#This Row],[Discount selection]]&gt;0,VLOOKUP(_1_5412845612146241046457891017[[#This Row],[Discount selection]],'Discount Structure'!$A$2:$B$30,2,"false"),0)</f>
        <v>1</v>
      </c>
      <c r="L145" s="194">
        <f>_1_5412845612146241046457891017[[#This Row],[LIST $]]*_1_5412845612146241046457891017[[#This Row],[DISCOUNT]]*_1_5412845612146241046457891017[[#This Row],[DISCOUNT 2]]</f>
        <v>0</v>
      </c>
      <c r="M145" s="194">
        <f>IF(OR(_1_5412845612146241046457891017[[#This Row],[UNIT]]&gt;0,_1_5412845612146241046457891017[[#This Row],[UNIT]]&lt;0),_1_5412845612146241046457891017[[#This Row],[UNIT]]*_1_5412845612146241046457891017[[#This Row],[COST]],0)</f>
        <v>0</v>
      </c>
      <c r="N145" s="194">
        <f t="shared" si="2"/>
        <v>1.35</v>
      </c>
      <c r="O145" s="198">
        <f>_1_5412845612146241046457891017[[#This Row],[TOTAL]]*_1_5412845612146241046457891017[[#This Row],[MARGIN]]</f>
        <v>0</v>
      </c>
      <c r="R145" s="41"/>
    </row>
    <row r="146" spans="1:18">
      <c r="C146" s="168"/>
      <c r="D146" s="188"/>
      <c r="F146" s="168" t="s">
        <v>6202</v>
      </c>
      <c r="G146" s="193">
        <f>IF(_1_5412845612146241046457891017[[#This Row],[Type]]&gt;0,VLOOKUP(_1_5412845612146241046457891017[[#This Row],[Type]],Main[[#All],[TYPE]:[UNIT]],'Unit Price'!C$1,FALSE),0)</f>
        <v>0</v>
      </c>
      <c r="H146" s="197">
        <f>IF(_1_5412845612146241046457891017[[#This Row],[Type]]&gt;0,VLOOKUP(_1_5412845612146241046457891017[[#This Row],[Type]],Main[[#All],[TYPE]:[UNIT]],'Unit Price'!D$1,FALSE),0)</f>
        <v>0</v>
      </c>
      <c r="I146" s="194">
        <f>IF(_1_5412845612146241046457891017[[#This Row],[Type]]&gt;0,VLOOKUP(_1_5412845612146241046457891017[[#This Row],[Type]],Main[[#All],[TYPE]:[UNIT]],'Unit Price'!G$1,FALSE),0)</f>
        <v>0</v>
      </c>
      <c r="J146" s="194">
        <f>IF(_1_5412845612146241046457891017[[#This Row],[Type]]&gt;0,VLOOKUP(_1_5412845612146241046457891017[[#This Row],[Type]],Main[[#All],[TYPE]:[UNIT]],'Unit Price'!H$1,FALSE),0)</f>
        <v>0</v>
      </c>
      <c r="K146" s="194">
        <f>IF(_1_5412845612146241046457891017[[#This Row],[Discount selection]]&gt;0,VLOOKUP(_1_5412845612146241046457891017[[#This Row],[Discount selection]],'Discount Structure'!$A$2:$B$30,2,"false"),0)</f>
        <v>1</v>
      </c>
      <c r="L146" s="194">
        <f>_1_5412845612146241046457891017[[#This Row],[LIST $]]*_1_5412845612146241046457891017[[#This Row],[DISCOUNT]]*_1_5412845612146241046457891017[[#This Row],[DISCOUNT 2]]</f>
        <v>0</v>
      </c>
      <c r="M146" s="194">
        <f>IF(OR(_1_5412845612146241046457891017[[#This Row],[UNIT]]&gt;0,_1_5412845612146241046457891017[[#This Row],[UNIT]]&lt;0),_1_5412845612146241046457891017[[#This Row],[UNIT]]*_1_5412845612146241046457891017[[#This Row],[COST]],0)</f>
        <v>0</v>
      </c>
      <c r="N146" s="194">
        <f t="shared" si="2"/>
        <v>1.35</v>
      </c>
      <c r="O146" s="198">
        <f>_1_5412845612146241046457891017[[#This Row],[TOTAL]]*_1_5412845612146241046457891017[[#This Row],[MARGIN]]</f>
        <v>0</v>
      </c>
      <c r="R146" s="41"/>
    </row>
    <row r="147" spans="1:18">
      <c r="C147" s="168"/>
      <c r="D147" s="188"/>
      <c r="F147" s="168" t="s">
        <v>6202</v>
      </c>
      <c r="G147" s="193">
        <f>IF(_1_5412845612146241046457891017[[#This Row],[Type]]&gt;0,VLOOKUP(_1_5412845612146241046457891017[[#This Row],[Type]],Main[[#All],[TYPE]:[UNIT]],'Unit Price'!C$1,FALSE),0)</f>
        <v>0</v>
      </c>
      <c r="H147" s="197">
        <f>IF(_1_5412845612146241046457891017[[#This Row],[Type]]&gt;0,VLOOKUP(_1_5412845612146241046457891017[[#This Row],[Type]],Main[[#All],[TYPE]:[UNIT]],'Unit Price'!D$1,FALSE),0)</f>
        <v>0</v>
      </c>
      <c r="I147" s="194">
        <f>IF(_1_5412845612146241046457891017[[#This Row],[Type]]&gt;0,VLOOKUP(_1_5412845612146241046457891017[[#This Row],[Type]],Main[[#All],[TYPE]:[UNIT]],'Unit Price'!G$1,FALSE),0)</f>
        <v>0</v>
      </c>
      <c r="J147" s="194">
        <f>IF(_1_5412845612146241046457891017[[#This Row],[Type]]&gt;0,VLOOKUP(_1_5412845612146241046457891017[[#This Row],[Type]],Main[[#All],[TYPE]:[UNIT]],'Unit Price'!H$1,FALSE),0)</f>
        <v>0</v>
      </c>
      <c r="K147" s="194">
        <f>IF(_1_5412845612146241046457891017[[#This Row],[Discount selection]]&gt;0,VLOOKUP(_1_5412845612146241046457891017[[#This Row],[Discount selection]],'Discount Structure'!$A$2:$B$30,2,"false"),0)</f>
        <v>1</v>
      </c>
      <c r="L147" s="194">
        <f>_1_5412845612146241046457891017[[#This Row],[LIST $]]*_1_5412845612146241046457891017[[#This Row],[DISCOUNT]]*_1_5412845612146241046457891017[[#This Row],[DISCOUNT 2]]</f>
        <v>0</v>
      </c>
      <c r="M147" s="194">
        <f>IF(OR(_1_5412845612146241046457891017[[#This Row],[UNIT]]&gt;0,_1_5412845612146241046457891017[[#This Row],[UNIT]]&lt;0),_1_5412845612146241046457891017[[#This Row],[UNIT]]*_1_5412845612146241046457891017[[#This Row],[COST]],0)</f>
        <v>0</v>
      </c>
      <c r="N147" s="194">
        <f t="shared" si="2"/>
        <v>1.35</v>
      </c>
      <c r="O147" s="198">
        <f>_1_5412845612146241046457891017[[#This Row],[TOTAL]]*_1_5412845612146241046457891017[[#This Row],[MARGIN]]</f>
        <v>0</v>
      </c>
      <c r="R147" s="41"/>
    </row>
    <row r="148" spans="1:18">
      <c r="C148" s="168"/>
      <c r="D148" s="188"/>
      <c r="F148" s="168" t="s">
        <v>6202</v>
      </c>
      <c r="G148" s="193">
        <f>IF(_1_5412845612146241046457891017[[#This Row],[Type]]&gt;0,VLOOKUP(_1_5412845612146241046457891017[[#This Row],[Type]],Main[[#All],[TYPE]:[UNIT]],'Unit Price'!C$1,FALSE),0)</f>
        <v>0</v>
      </c>
      <c r="H148" s="197">
        <f>IF(_1_5412845612146241046457891017[[#This Row],[Type]]&gt;0,VLOOKUP(_1_5412845612146241046457891017[[#This Row],[Type]],Main[[#All],[TYPE]:[UNIT]],'Unit Price'!D$1,FALSE),0)</f>
        <v>0</v>
      </c>
      <c r="I148" s="194">
        <f>IF(_1_5412845612146241046457891017[[#This Row],[Type]]&gt;0,VLOOKUP(_1_5412845612146241046457891017[[#This Row],[Type]],Main[[#All],[TYPE]:[UNIT]],'Unit Price'!G$1,FALSE),0)</f>
        <v>0</v>
      </c>
      <c r="J148" s="194">
        <f>IF(_1_5412845612146241046457891017[[#This Row],[Type]]&gt;0,VLOOKUP(_1_5412845612146241046457891017[[#This Row],[Type]],Main[[#All],[TYPE]:[UNIT]],'Unit Price'!H$1,FALSE),0)</f>
        <v>0</v>
      </c>
      <c r="K148" s="194">
        <f>IF(_1_5412845612146241046457891017[[#This Row],[Discount selection]]&gt;0,VLOOKUP(_1_5412845612146241046457891017[[#This Row],[Discount selection]],'Discount Structure'!$A$2:$B$30,2,"false"),0)</f>
        <v>1</v>
      </c>
      <c r="L148" s="194">
        <f>_1_5412845612146241046457891017[[#This Row],[LIST $]]*_1_5412845612146241046457891017[[#This Row],[DISCOUNT]]*_1_5412845612146241046457891017[[#This Row],[DISCOUNT 2]]</f>
        <v>0</v>
      </c>
      <c r="M148" s="194">
        <f>IF(OR(_1_5412845612146241046457891017[[#This Row],[UNIT]]&gt;0,_1_5412845612146241046457891017[[#This Row],[UNIT]]&lt;0),_1_5412845612146241046457891017[[#This Row],[UNIT]]*_1_5412845612146241046457891017[[#This Row],[COST]],0)</f>
        <v>0</v>
      </c>
      <c r="N148" s="194">
        <f t="shared" si="2"/>
        <v>1.35</v>
      </c>
      <c r="O148" s="198">
        <f>_1_5412845612146241046457891017[[#This Row],[TOTAL]]*_1_5412845612146241046457891017[[#This Row],[MARGIN]]</f>
        <v>0</v>
      </c>
      <c r="R148" s="41"/>
    </row>
    <row r="149" spans="1:18">
      <c r="C149" s="168"/>
      <c r="D149" s="188"/>
      <c r="F149" s="168" t="s">
        <v>6202</v>
      </c>
      <c r="G149" s="193">
        <f>IF(_1_5412845612146241046457891017[[#This Row],[Type]]&gt;0,VLOOKUP(_1_5412845612146241046457891017[[#This Row],[Type]],Main[[#All],[TYPE]:[UNIT]],'Unit Price'!C$1,FALSE),0)</f>
        <v>0</v>
      </c>
      <c r="H149" s="197">
        <f>IF(_1_5412845612146241046457891017[[#This Row],[Type]]&gt;0,VLOOKUP(_1_5412845612146241046457891017[[#This Row],[Type]],Main[[#All],[TYPE]:[UNIT]],'Unit Price'!D$1,FALSE),0)</f>
        <v>0</v>
      </c>
      <c r="I149" s="194">
        <f>IF(_1_5412845612146241046457891017[[#This Row],[Type]]&gt;0,VLOOKUP(_1_5412845612146241046457891017[[#This Row],[Type]],Main[[#All],[TYPE]:[UNIT]],'Unit Price'!G$1,FALSE),0)</f>
        <v>0</v>
      </c>
      <c r="J149" s="194">
        <f>IF(_1_5412845612146241046457891017[[#This Row],[Type]]&gt;0,VLOOKUP(_1_5412845612146241046457891017[[#This Row],[Type]],Main[[#All],[TYPE]:[UNIT]],'Unit Price'!H$1,FALSE),0)</f>
        <v>0</v>
      </c>
      <c r="K149" s="194">
        <f>IF(_1_5412845612146241046457891017[[#This Row],[Discount selection]]&gt;0,VLOOKUP(_1_5412845612146241046457891017[[#This Row],[Discount selection]],'Discount Structure'!$A$2:$B$30,2,"false"),0)</f>
        <v>1</v>
      </c>
      <c r="L149" s="194">
        <f>_1_5412845612146241046457891017[[#This Row],[LIST $]]*_1_5412845612146241046457891017[[#This Row],[DISCOUNT]]*_1_5412845612146241046457891017[[#This Row],[DISCOUNT 2]]</f>
        <v>0</v>
      </c>
      <c r="M149" s="194">
        <f>IF(OR(_1_5412845612146241046457891017[[#This Row],[UNIT]]&gt;0,_1_5412845612146241046457891017[[#This Row],[UNIT]]&lt;0),_1_5412845612146241046457891017[[#This Row],[UNIT]]*_1_5412845612146241046457891017[[#This Row],[COST]],0)</f>
        <v>0</v>
      </c>
      <c r="N149" s="194">
        <f t="shared" si="2"/>
        <v>1.35</v>
      </c>
      <c r="O149" s="198">
        <f>_1_5412845612146241046457891017[[#This Row],[TOTAL]]*_1_5412845612146241046457891017[[#This Row],[MARGIN]]</f>
        <v>0</v>
      </c>
      <c r="R149" s="41"/>
    </row>
    <row r="150" spans="1:18">
      <c r="B150" s="168"/>
      <c r="C150" s="168"/>
      <c r="D150" s="188"/>
      <c r="F150" s="168" t="s">
        <v>6202</v>
      </c>
      <c r="G150" s="193">
        <f>IF(_1_5412845612146241046457891017[[#This Row],[Type]]&gt;0,VLOOKUP(_1_5412845612146241046457891017[[#This Row],[Type]],Main[[#All],[TYPE]:[UNIT]],'Unit Price'!C$1,FALSE),0)</f>
        <v>0</v>
      </c>
      <c r="H150" s="197">
        <f>IF(_1_5412845612146241046457891017[[#This Row],[Type]]&gt;0,VLOOKUP(_1_5412845612146241046457891017[[#This Row],[Type]],Main[[#All],[TYPE]:[UNIT]],'Unit Price'!D$1,FALSE),0)</f>
        <v>0</v>
      </c>
      <c r="I150" s="194">
        <f>IF(_1_5412845612146241046457891017[[#This Row],[Type]]&gt;0,VLOOKUP(_1_5412845612146241046457891017[[#This Row],[Type]],Main[[#All],[TYPE]:[UNIT]],'Unit Price'!G$1,FALSE),0)</f>
        <v>0</v>
      </c>
      <c r="J150" s="194">
        <f>IF(_1_5412845612146241046457891017[[#This Row],[Type]]&gt;0,VLOOKUP(_1_5412845612146241046457891017[[#This Row],[Type]],Main[[#All],[TYPE]:[UNIT]],'Unit Price'!H$1,FALSE),0)</f>
        <v>0</v>
      </c>
      <c r="K150" s="194">
        <f>IF(_1_5412845612146241046457891017[[#This Row],[Discount selection]]&gt;0,VLOOKUP(_1_5412845612146241046457891017[[#This Row],[Discount selection]],'Discount Structure'!$A$2:$B$30,2,"false"),0)</f>
        <v>1</v>
      </c>
      <c r="L150" s="194">
        <f>_1_5412845612146241046457891017[[#This Row],[LIST $]]*_1_5412845612146241046457891017[[#This Row],[DISCOUNT]]*_1_5412845612146241046457891017[[#This Row],[DISCOUNT 2]]</f>
        <v>0</v>
      </c>
      <c r="M150" s="194">
        <f>IF(OR(_1_5412845612146241046457891017[[#This Row],[UNIT]]&gt;0,_1_5412845612146241046457891017[[#This Row],[UNIT]]&lt;0),_1_5412845612146241046457891017[[#This Row],[UNIT]]*_1_5412845612146241046457891017[[#This Row],[COST]],0)</f>
        <v>0</v>
      </c>
      <c r="N150" s="194">
        <f t="shared" si="2"/>
        <v>1.35</v>
      </c>
      <c r="O150" s="198">
        <f>_1_5412845612146241046457891017[[#This Row],[TOTAL]]*_1_5412845612146241046457891017[[#This Row],[MARGIN]]</f>
        <v>0</v>
      </c>
      <c r="R150" s="41"/>
    </row>
    <row r="151" spans="1:18">
      <c r="C151" s="168"/>
      <c r="D151" s="188"/>
      <c r="F151" s="168" t="s">
        <v>6202</v>
      </c>
      <c r="G151" s="193">
        <f>IF(_1_5412845612146241046457891017[[#This Row],[Type]]&gt;0,VLOOKUP(_1_5412845612146241046457891017[[#This Row],[Type]],Main[[#All],[TYPE]:[UNIT]],'Unit Price'!C$1,FALSE),0)</f>
        <v>0</v>
      </c>
      <c r="H151" s="197">
        <f>IF(_1_5412845612146241046457891017[[#This Row],[Type]]&gt;0,VLOOKUP(_1_5412845612146241046457891017[[#This Row],[Type]],Main[[#All],[TYPE]:[UNIT]],'Unit Price'!D$1,FALSE),0)</f>
        <v>0</v>
      </c>
      <c r="I151" s="194">
        <f>IF(_1_5412845612146241046457891017[[#This Row],[Type]]&gt;0,VLOOKUP(_1_5412845612146241046457891017[[#This Row],[Type]],Main[[#All],[TYPE]:[UNIT]],'Unit Price'!G$1,FALSE),0)</f>
        <v>0</v>
      </c>
      <c r="J151" s="194">
        <f>IF(_1_5412845612146241046457891017[[#This Row],[Type]]&gt;0,VLOOKUP(_1_5412845612146241046457891017[[#This Row],[Type]],Main[[#All],[TYPE]:[UNIT]],'Unit Price'!H$1,FALSE),0)</f>
        <v>0</v>
      </c>
      <c r="K151" s="194">
        <f>IF(_1_5412845612146241046457891017[[#This Row],[Discount selection]]&gt;0,VLOOKUP(_1_5412845612146241046457891017[[#This Row],[Discount selection]],'Discount Structure'!$A$2:$B$30,2,"false"),0)</f>
        <v>1</v>
      </c>
      <c r="L151" s="194">
        <f>_1_5412845612146241046457891017[[#This Row],[LIST $]]*_1_5412845612146241046457891017[[#This Row],[DISCOUNT]]*_1_5412845612146241046457891017[[#This Row],[DISCOUNT 2]]</f>
        <v>0</v>
      </c>
      <c r="M151" s="194">
        <f>IF(OR(_1_5412845612146241046457891017[[#This Row],[UNIT]]&gt;0,_1_5412845612146241046457891017[[#This Row],[UNIT]]&lt;0),_1_5412845612146241046457891017[[#This Row],[UNIT]]*_1_5412845612146241046457891017[[#This Row],[COST]],0)</f>
        <v>0</v>
      </c>
      <c r="N151" s="194">
        <f t="shared" si="2"/>
        <v>1.35</v>
      </c>
      <c r="O151" s="198">
        <f>_1_5412845612146241046457891017[[#This Row],[TOTAL]]*_1_5412845612146241046457891017[[#This Row],[MARGIN]]</f>
        <v>0</v>
      </c>
      <c r="R151" s="41"/>
    </row>
    <row r="152" spans="1:18">
      <c r="C152" s="168"/>
      <c r="D152" s="188"/>
      <c r="F152" s="168" t="s">
        <v>6202</v>
      </c>
      <c r="G152" s="193">
        <f>IF(_1_5412845612146241046457891017[[#This Row],[Type]]&gt;0,VLOOKUP(_1_5412845612146241046457891017[[#This Row],[Type]],Main[[#All],[TYPE]:[UNIT]],'Unit Price'!C$1,FALSE),0)</f>
        <v>0</v>
      </c>
      <c r="H152" s="197">
        <f>IF(_1_5412845612146241046457891017[[#This Row],[Type]]&gt;0,VLOOKUP(_1_5412845612146241046457891017[[#This Row],[Type]],Main[[#All],[TYPE]:[UNIT]],'Unit Price'!D$1,FALSE),0)</f>
        <v>0</v>
      </c>
      <c r="I152" s="194">
        <f>IF(_1_5412845612146241046457891017[[#This Row],[Type]]&gt;0,VLOOKUP(_1_5412845612146241046457891017[[#This Row],[Type]],Main[[#All],[TYPE]:[UNIT]],'Unit Price'!G$1,FALSE),0)</f>
        <v>0</v>
      </c>
      <c r="J152" s="194">
        <f>IF(_1_5412845612146241046457891017[[#This Row],[Type]]&gt;0,VLOOKUP(_1_5412845612146241046457891017[[#This Row],[Type]],Main[[#All],[TYPE]:[UNIT]],'Unit Price'!H$1,FALSE),0)</f>
        <v>0</v>
      </c>
      <c r="K152" s="194">
        <f>IF(_1_5412845612146241046457891017[[#This Row],[Discount selection]]&gt;0,VLOOKUP(_1_5412845612146241046457891017[[#This Row],[Discount selection]],'Discount Structure'!$A$2:$B$30,2,"false"),0)</f>
        <v>1</v>
      </c>
      <c r="L152" s="194">
        <f>_1_5412845612146241046457891017[[#This Row],[LIST $]]*_1_5412845612146241046457891017[[#This Row],[DISCOUNT]]*_1_5412845612146241046457891017[[#This Row],[DISCOUNT 2]]</f>
        <v>0</v>
      </c>
      <c r="M152" s="194">
        <f>IF(OR(_1_5412845612146241046457891017[[#This Row],[UNIT]]&gt;0,_1_5412845612146241046457891017[[#This Row],[UNIT]]&lt;0),_1_5412845612146241046457891017[[#This Row],[UNIT]]*_1_5412845612146241046457891017[[#This Row],[COST]],0)</f>
        <v>0</v>
      </c>
      <c r="N152" s="194">
        <f t="shared" si="2"/>
        <v>1.35</v>
      </c>
      <c r="O152" s="198">
        <f>_1_5412845612146241046457891017[[#This Row],[TOTAL]]*_1_5412845612146241046457891017[[#This Row],[MARGIN]]</f>
        <v>0</v>
      </c>
      <c r="R152" s="41"/>
    </row>
    <row r="153" spans="1:18">
      <c r="A153" s="168"/>
      <c r="C153" s="168"/>
      <c r="D153" s="188"/>
      <c r="F153" s="168" t="s">
        <v>6202</v>
      </c>
      <c r="G153" s="193">
        <f>IF(_1_5412845612146241046457891017[[#This Row],[Type]]&gt;0,VLOOKUP(_1_5412845612146241046457891017[[#This Row],[Type]],Main[[#All],[TYPE]:[UNIT]],'Unit Price'!C$1,FALSE),0)</f>
        <v>0</v>
      </c>
      <c r="H153" s="197">
        <f>IF(_1_5412845612146241046457891017[[#This Row],[Type]]&gt;0,VLOOKUP(_1_5412845612146241046457891017[[#This Row],[Type]],Main[[#All],[TYPE]:[UNIT]],'Unit Price'!D$1,FALSE),0)</f>
        <v>0</v>
      </c>
      <c r="I153" s="194">
        <f>IF(_1_5412845612146241046457891017[[#This Row],[Type]]&gt;0,VLOOKUP(_1_5412845612146241046457891017[[#This Row],[Type]],Main[[#All],[TYPE]:[UNIT]],'Unit Price'!G$1,FALSE),0)</f>
        <v>0</v>
      </c>
      <c r="J153" s="194">
        <f>IF(_1_5412845612146241046457891017[[#This Row],[Type]]&gt;0,VLOOKUP(_1_5412845612146241046457891017[[#This Row],[Type]],Main[[#All],[TYPE]:[UNIT]],'Unit Price'!H$1,FALSE),0)</f>
        <v>0</v>
      </c>
      <c r="K153" s="194">
        <f>IF(_1_5412845612146241046457891017[[#This Row],[Discount selection]]&gt;0,VLOOKUP(_1_5412845612146241046457891017[[#This Row],[Discount selection]],'Discount Structure'!$A$2:$B$30,2,"false"),0)</f>
        <v>1</v>
      </c>
      <c r="L153" s="194">
        <f>_1_5412845612146241046457891017[[#This Row],[LIST $]]*_1_5412845612146241046457891017[[#This Row],[DISCOUNT]]*_1_5412845612146241046457891017[[#This Row],[DISCOUNT 2]]</f>
        <v>0</v>
      </c>
      <c r="M153" s="194">
        <f>IF(OR(_1_5412845612146241046457891017[[#This Row],[UNIT]]&gt;0,_1_5412845612146241046457891017[[#This Row],[UNIT]]&lt;0),_1_5412845612146241046457891017[[#This Row],[UNIT]]*_1_5412845612146241046457891017[[#This Row],[COST]],0)</f>
        <v>0</v>
      </c>
      <c r="N153" s="194">
        <f t="shared" si="2"/>
        <v>1.35</v>
      </c>
      <c r="O153" s="198">
        <f>_1_5412845612146241046457891017[[#This Row],[TOTAL]]*_1_5412845612146241046457891017[[#This Row],[MARGIN]]</f>
        <v>0</v>
      </c>
      <c r="R153" s="41"/>
    </row>
    <row r="154" spans="1:18">
      <c r="A154" s="168"/>
      <c r="C154" s="168"/>
      <c r="D154" s="188"/>
      <c r="F154" s="168" t="s">
        <v>6202</v>
      </c>
      <c r="G154" s="193">
        <f>IF(_1_5412845612146241046457891017[[#This Row],[Type]]&gt;0,VLOOKUP(_1_5412845612146241046457891017[[#This Row],[Type]],Main[[#All],[TYPE]:[UNIT]],'Unit Price'!C$1,FALSE),0)</f>
        <v>0</v>
      </c>
      <c r="H154" s="197">
        <f>IF(_1_5412845612146241046457891017[[#This Row],[Type]]&gt;0,VLOOKUP(_1_5412845612146241046457891017[[#This Row],[Type]],Main[[#All],[TYPE]:[UNIT]],'Unit Price'!D$1,FALSE),0)</f>
        <v>0</v>
      </c>
      <c r="I154" s="194">
        <f>IF(_1_5412845612146241046457891017[[#This Row],[Type]]&gt;0,VLOOKUP(_1_5412845612146241046457891017[[#This Row],[Type]],Main[[#All],[TYPE]:[UNIT]],'Unit Price'!G$1,FALSE),0)</f>
        <v>0</v>
      </c>
      <c r="J154" s="194">
        <f>IF(_1_5412845612146241046457891017[[#This Row],[Type]]&gt;0,VLOOKUP(_1_5412845612146241046457891017[[#This Row],[Type]],Main[[#All],[TYPE]:[UNIT]],'Unit Price'!H$1,FALSE),0)</f>
        <v>0</v>
      </c>
      <c r="K154" s="194">
        <f>IF(_1_5412845612146241046457891017[[#This Row],[Discount selection]]&gt;0,VLOOKUP(_1_5412845612146241046457891017[[#This Row],[Discount selection]],'Discount Structure'!$A$2:$B$30,2,"false"),0)</f>
        <v>1</v>
      </c>
      <c r="L154" s="194">
        <f>_1_5412845612146241046457891017[[#This Row],[LIST $]]*_1_5412845612146241046457891017[[#This Row],[DISCOUNT]]*_1_5412845612146241046457891017[[#This Row],[DISCOUNT 2]]</f>
        <v>0</v>
      </c>
      <c r="M154" s="194">
        <f>IF(OR(_1_5412845612146241046457891017[[#This Row],[UNIT]]&gt;0,_1_5412845612146241046457891017[[#This Row],[UNIT]]&lt;0),_1_5412845612146241046457891017[[#This Row],[UNIT]]*_1_5412845612146241046457891017[[#This Row],[COST]],0)</f>
        <v>0</v>
      </c>
      <c r="N154" s="194">
        <f t="shared" si="2"/>
        <v>1.35</v>
      </c>
      <c r="O154" s="198">
        <f>_1_5412845612146241046457891017[[#This Row],[TOTAL]]*_1_5412845612146241046457891017[[#This Row],[MARGIN]]</f>
        <v>0</v>
      </c>
      <c r="R154" s="41"/>
    </row>
    <row r="155" spans="1:18">
      <c r="B155" s="168"/>
      <c r="C155" s="168"/>
      <c r="D155" s="188"/>
      <c r="F155" s="168" t="s">
        <v>6202</v>
      </c>
      <c r="G155" s="193">
        <f>IF(_1_5412845612146241046457891017[[#This Row],[Type]]&gt;0,VLOOKUP(_1_5412845612146241046457891017[[#This Row],[Type]],Main[[#All],[TYPE]:[UNIT]],'Unit Price'!C$1,FALSE),0)</f>
        <v>0</v>
      </c>
      <c r="H155" s="197">
        <f>IF(_1_5412845612146241046457891017[[#This Row],[Type]]&gt;0,VLOOKUP(_1_5412845612146241046457891017[[#This Row],[Type]],Main[[#All],[TYPE]:[UNIT]],'Unit Price'!D$1,FALSE),0)</f>
        <v>0</v>
      </c>
      <c r="I155" s="194">
        <f>IF(_1_5412845612146241046457891017[[#This Row],[Type]]&gt;0,VLOOKUP(_1_5412845612146241046457891017[[#This Row],[Type]],Main[[#All],[TYPE]:[UNIT]],'Unit Price'!G$1,FALSE),0)</f>
        <v>0</v>
      </c>
      <c r="J155" s="194">
        <f>IF(_1_5412845612146241046457891017[[#This Row],[Type]]&gt;0,VLOOKUP(_1_5412845612146241046457891017[[#This Row],[Type]],Main[[#All],[TYPE]:[UNIT]],'Unit Price'!H$1,FALSE),0)</f>
        <v>0</v>
      </c>
      <c r="K155" s="194">
        <f>IF(_1_5412845612146241046457891017[[#This Row],[Discount selection]]&gt;0,VLOOKUP(_1_5412845612146241046457891017[[#This Row],[Discount selection]],'Discount Structure'!$A$2:$B$30,2,"false"),0)</f>
        <v>1</v>
      </c>
      <c r="L155" s="194">
        <f>_1_5412845612146241046457891017[[#This Row],[LIST $]]*_1_5412845612146241046457891017[[#This Row],[DISCOUNT]]*_1_5412845612146241046457891017[[#This Row],[DISCOUNT 2]]</f>
        <v>0</v>
      </c>
      <c r="M155" s="194">
        <f>IF(OR(_1_5412845612146241046457891017[[#This Row],[UNIT]]&gt;0,_1_5412845612146241046457891017[[#This Row],[UNIT]]&lt;0),_1_5412845612146241046457891017[[#This Row],[UNIT]]*_1_5412845612146241046457891017[[#This Row],[COST]],0)</f>
        <v>0</v>
      </c>
      <c r="N155" s="194">
        <f t="shared" si="2"/>
        <v>1.35</v>
      </c>
      <c r="O155" s="198">
        <f>_1_5412845612146241046457891017[[#This Row],[TOTAL]]*_1_5412845612146241046457891017[[#This Row],[MARGIN]]</f>
        <v>0</v>
      </c>
      <c r="R155" s="41"/>
    </row>
    <row r="156" spans="1:18">
      <c r="C156" s="168"/>
      <c r="D156" s="188"/>
      <c r="F156" s="168" t="s">
        <v>6202</v>
      </c>
      <c r="G156" s="193">
        <f>IF(_1_5412845612146241046457891017[[#This Row],[Type]]&gt;0,VLOOKUP(_1_5412845612146241046457891017[[#This Row],[Type]],Main[[#All],[TYPE]:[UNIT]],'Unit Price'!C$1,FALSE),0)</f>
        <v>0</v>
      </c>
      <c r="H156" s="197">
        <f>IF(_1_5412845612146241046457891017[[#This Row],[Type]]&gt;0,VLOOKUP(_1_5412845612146241046457891017[[#This Row],[Type]],Main[[#All],[TYPE]:[UNIT]],'Unit Price'!D$1,FALSE),0)</f>
        <v>0</v>
      </c>
      <c r="I156" s="194">
        <f>IF(_1_5412845612146241046457891017[[#This Row],[Type]]&gt;0,VLOOKUP(_1_5412845612146241046457891017[[#This Row],[Type]],Main[[#All],[TYPE]:[UNIT]],'Unit Price'!G$1,FALSE),0)</f>
        <v>0</v>
      </c>
      <c r="J156" s="194">
        <f>IF(_1_5412845612146241046457891017[[#This Row],[Type]]&gt;0,VLOOKUP(_1_5412845612146241046457891017[[#This Row],[Type]],Main[[#All],[TYPE]:[UNIT]],'Unit Price'!H$1,FALSE),0)</f>
        <v>0</v>
      </c>
      <c r="K156" s="194">
        <f>IF(_1_5412845612146241046457891017[[#This Row],[Discount selection]]&gt;0,VLOOKUP(_1_5412845612146241046457891017[[#This Row],[Discount selection]],'Discount Structure'!$A$2:$B$30,2,"false"),0)</f>
        <v>1</v>
      </c>
      <c r="L156" s="194">
        <f>_1_5412845612146241046457891017[[#This Row],[LIST $]]*_1_5412845612146241046457891017[[#This Row],[DISCOUNT]]*_1_5412845612146241046457891017[[#This Row],[DISCOUNT 2]]</f>
        <v>0</v>
      </c>
      <c r="M156" s="194">
        <f>IF(OR(_1_5412845612146241046457891017[[#This Row],[UNIT]]&gt;0,_1_5412845612146241046457891017[[#This Row],[UNIT]]&lt;0),_1_5412845612146241046457891017[[#This Row],[UNIT]]*_1_5412845612146241046457891017[[#This Row],[COST]],0)</f>
        <v>0</v>
      </c>
      <c r="N156" s="194">
        <f t="shared" si="2"/>
        <v>1.35</v>
      </c>
      <c r="O156" s="198">
        <f>_1_5412845612146241046457891017[[#This Row],[TOTAL]]*_1_5412845612146241046457891017[[#This Row],[MARGIN]]</f>
        <v>0</v>
      </c>
      <c r="R156" s="41"/>
    </row>
    <row r="157" spans="1:18">
      <c r="C157" s="168"/>
      <c r="D157" s="188"/>
      <c r="F157" s="168" t="s">
        <v>6202</v>
      </c>
      <c r="G157" s="193">
        <f>IF(_1_5412845612146241046457891017[[#This Row],[Type]]&gt;0,VLOOKUP(_1_5412845612146241046457891017[[#This Row],[Type]],Main[[#All],[TYPE]:[UNIT]],'Unit Price'!C$1,FALSE),0)</f>
        <v>0</v>
      </c>
      <c r="H157" s="197">
        <f>IF(_1_5412845612146241046457891017[[#This Row],[Type]]&gt;0,VLOOKUP(_1_5412845612146241046457891017[[#This Row],[Type]],Main[[#All],[TYPE]:[UNIT]],'Unit Price'!D$1,FALSE),0)</f>
        <v>0</v>
      </c>
      <c r="I157" s="194">
        <f>IF(_1_5412845612146241046457891017[[#This Row],[Type]]&gt;0,VLOOKUP(_1_5412845612146241046457891017[[#This Row],[Type]],Main[[#All],[TYPE]:[UNIT]],'Unit Price'!G$1,FALSE),0)</f>
        <v>0</v>
      </c>
      <c r="J157" s="194">
        <f>IF(_1_5412845612146241046457891017[[#This Row],[Type]]&gt;0,VLOOKUP(_1_5412845612146241046457891017[[#This Row],[Type]],Main[[#All],[TYPE]:[UNIT]],'Unit Price'!H$1,FALSE),0)</f>
        <v>0</v>
      </c>
      <c r="K157" s="194">
        <f>IF(_1_5412845612146241046457891017[[#This Row],[Discount selection]]&gt;0,VLOOKUP(_1_5412845612146241046457891017[[#This Row],[Discount selection]],'Discount Structure'!$A$2:$B$30,2,"false"),0)</f>
        <v>1</v>
      </c>
      <c r="L157" s="194">
        <f>_1_5412845612146241046457891017[[#This Row],[LIST $]]*_1_5412845612146241046457891017[[#This Row],[DISCOUNT]]*_1_5412845612146241046457891017[[#This Row],[DISCOUNT 2]]</f>
        <v>0</v>
      </c>
      <c r="M157" s="194">
        <f>IF(OR(_1_5412845612146241046457891017[[#This Row],[UNIT]]&gt;0,_1_5412845612146241046457891017[[#This Row],[UNIT]]&lt;0),_1_5412845612146241046457891017[[#This Row],[UNIT]]*_1_5412845612146241046457891017[[#This Row],[COST]],0)</f>
        <v>0</v>
      </c>
      <c r="N157" s="194">
        <f t="shared" si="2"/>
        <v>1.35</v>
      </c>
      <c r="O157" s="198">
        <f>_1_5412845612146241046457891017[[#This Row],[TOTAL]]*_1_5412845612146241046457891017[[#This Row],[MARGIN]]</f>
        <v>0</v>
      </c>
      <c r="R157" s="41"/>
    </row>
    <row r="158" spans="1:18">
      <c r="C158" s="168"/>
      <c r="D158" s="188"/>
      <c r="F158" s="168" t="s">
        <v>6202</v>
      </c>
      <c r="G158" s="193">
        <f>IF(_1_5412845612146241046457891017[[#This Row],[Type]]&gt;0,VLOOKUP(_1_5412845612146241046457891017[[#This Row],[Type]],Main[[#All],[TYPE]:[UNIT]],'Unit Price'!C$1,FALSE),0)</f>
        <v>0</v>
      </c>
      <c r="H158" s="197">
        <f>IF(_1_5412845612146241046457891017[[#This Row],[Type]]&gt;0,VLOOKUP(_1_5412845612146241046457891017[[#This Row],[Type]],Main[[#All],[TYPE]:[UNIT]],'Unit Price'!D$1,FALSE),0)</f>
        <v>0</v>
      </c>
      <c r="I158" s="194">
        <f>IF(_1_5412845612146241046457891017[[#This Row],[Type]]&gt;0,VLOOKUP(_1_5412845612146241046457891017[[#This Row],[Type]],Main[[#All],[TYPE]:[UNIT]],'Unit Price'!G$1,FALSE),0)</f>
        <v>0</v>
      </c>
      <c r="J158" s="194">
        <f>IF(_1_5412845612146241046457891017[[#This Row],[Type]]&gt;0,VLOOKUP(_1_5412845612146241046457891017[[#This Row],[Type]],Main[[#All],[TYPE]:[UNIT]],'Unit Price'!H$1,FALSE),0)</f>
        <v>0</v>
      </c>
      <c r="K158" s="194">
        <f>IF(_1_5412845612146241046457891017[[#This Row],[Discount selection]]&gt;0,VLOOKUP(_1_5412845612146241046457891017[[#This Row],[Discount selection]],'Discount Structure'!$A$2:$B$30,2,"false"),0)</f>
        <v>1</v>
      </c>
      <c r="L158" s="194">
        <f>_1_5412845612146241046457891017[[#This Row],[LIST $]]*_1_5412845612146241046457891017[[#This Row],[DISCOUNT]]*_1_5412845612146241046457891017[[#This Row],[DISCOUNT 2]]</f>
        <v>0</v>
      </c>
      <c r="M158" s="194">
        <f>IF(OR(_1_5412845612146241046457891017[[#This Row],[UNIT]]&gt;0,_1_5412845612146241046457891017[[#This Row],[UNIT]]&lt;0),_1_5412845612146241046457891017[[#This Row],[UNIT]]*_1_5412845612146241046457891017[[#This Row],[COST]],0)</f>
        <v>0</v>
      </c>
      <c r="N158" s="194">
        <f t="shared" si="2"/>
        <v>1.35</v>
      </c>
      <c r="O158" s="198">
        <f>_1_5412845612146241046457891017[[#This Row],[TOTAL]]*_1_5412845612146241046457891017[[#This Row],[MARGIN]]</f>
        <v>0</v>
      </c>
      <c r="R158" s="41"/>
    </row>
    <row r="159" spans="1:18">
      <c r="C159" s="168"/>
      <c r="D159" s="188"/>
      <c r="F159" s="168" t="s">
        <v>6202</v>
      </c>
      <c r="G159" s="193">
        <f>IF(_1_5412845612146241046457891017[[#This Row],[Type]]&gt;0,VLOOKUP(_1_5412845612146241046457891017[[#This Row],[Type]],Main[[#All],[TYPE]:[UNIT]],'Unit Price'!C$1,FALSE),0)</f>
        <v>0</v>
      </c>
      <c r="H159" s="197">
        <f>IF(_1_5412845612146241046457891017[[#This Row],[Type]]&gt;0,VLOOKUP(_1_5412845612146241046457891017[[#This Row],[Type]],Main[[#All],[TYPE]:[UNIT]],'Unit Price'!D$1,FALSE),0)</f>
        <v>0</v>
      </c>
      <c r="I159" s="194">
        <f>IF(_1_5412845612146241046457891017[[#This Row],[Type]]&gt;0,VLOOKUP(_1_5412845612146241046457891017[[#This Row],[Type]],Main[[#All],[TYPE]:[UNIT]],'Unit Price'!G$1,FALSE),0)</f>
        <v>0</v>
      </c>
      <c r="J159" s="194">
        <f>IF(_1_5412845612146241046457891017[[#This Row],[Type]]&gt;0,VLOOKUP(_1_5412845612146241046457891017[[#This Row],[Type]],Main[[#All],[TYPE]:[UNIT]],'Unit Price'!H$1,FALSE),0)</f>
        <v>0</v>
      </c>
      <c r="K159" s="194">
        <f>IF(_1_5412845612146241046457891017[[#This Row],[Discount selection]]&gt;0,VLOOKUP(_1_5412845612146241046457891017[[#This Row],[Discount selection]],'Discount Structure'!$A$2:$B$30,2,"false"),0)</f>
        <v>1</v>
      </c>
      <c r="L159" s="194">
        <f>_1_5412845612146241046457891017[[#This Row],[LIST $]]*_1_5412845612146241046457891017[[#This Row],[DISCOUNT]]*_1_5412845612146241046457891017[[#This Row],[DISCOUNT 2]]</f>
        <v>0</v>
      </c>
      <c r="M159" s="194">
        <f>IF(OR(_1_5412845612146241046457891017[[#This Row],[UNIT]]&gt;0,_1_5412845612146241046457891017[[#This Row],[UNIT]]&lt;0),_1_5412845612146241046457891017[[#This Row],[UNIT]]*_1_5412845612146241046457891017[[#This Row],[COST]],0)</f>
        <v>0</v>
      </c>
      <c r="N159" s="194">
        <f t="shared" si="2"/>
        <v>1.35</v>
      </c>
      <c r="O159" s="198">
        <f>_1_5412845612146241046457891017[[#This Row],[TOTAL]]*_1_5412845612146241046457891017[[#This Row],[MARGIN]]</f>
        <v>0</v>
      </c>
      <c r="R159" s="41"/>
    </row>
    <row r="160" spans="1:18">
      <c r="C160" s="168"/>
      <c r="D160" s="188"/>
      <c r="F160" s="168" t="s">
        <v>6202</v>
      </c>
      <c r="G160" s="193">
        <f>IF(_1_5412845612146241046457891017[[#This Row],[Type]]&gt;0,VLOOKUP(_1_5412845612146241046457891017[[#This Row],[Type]],Main[[#All],[TYPE]:[UNIT]],'Unit Price'!C$1,FALSE),0)</f>
        <v>0</v>
      </c>
      <c r="H160" s="197">
        <f>IF(_1_5412845612146241046457891017[[#This Row],[Type]]&gt;0,VLOOKUP(_1_5412845612146241046457891017[[#This Row],[Type]],Main[[#All],[TYPE]:[UNIT]],'Unit Price'!D$1,FALSE),0)</f>
        <v>0</v>
      </c>
      <c r="I160" s="194">
        <f>IF(_1_5412845612146241046457891017[[#This Row],[Type]]&gt;0,VLOOKUP(_1_5412845612146241046457891017[[#This Row],[Type]],Main[[#All],[TYPE]:[UNIT]],'Unit Price'!G$1,FALSE),0)</f>
        <v>0</v>
      </c>
      <c r="J160" s="194">
        <f>IF(_1_5412845612146241046457891017[[#This Row],[Type]]&gt;0,VLOOKUP(_1_5412845612146241046457891017[[#This Row],[Type]],Main[[#All],[TYPE]:[UNIT]],'Unit Price'!H$1,FALSE),0)</f>
        <v>0</v>
      </c>
      <c r="K160" s="194">
        <f>IF(_1_5412845612146241046457891017[[#This Row],[Discount selection]]&gt;0,VLOOKUP(_1_5412845612146241046457891017[[#This Row],[Discount selection]],'Discount Structure'!$A$2:$B$30,2,"false"),0)</f>
        <v>1</v>
      </c>
      <c r="L160" s="194">
        <f>_1_5412845612146241046457891017[[#This Row],[LIST $]]*_1_5412845612146241046457891017[[#This Row],[DISCOUNT]]*_1_5412845612146241046457891017[[#This Row],[DISCOUNT 2]]</f>
        <v>0</v>
      </c>
      <c r="M160" s="194">
        <f>IF(OR(_1_5412845612146241046457891017[[#This Row],[UNIT]]&gt;0,_1_5412845612146241046457891017[[#This Row],[UNIT]]&lt;0),_1_5412845612146241046457891017[[#This Row],[UNIT]]*_1_5412845612146241046457891017[[#This Row],[COST]],0)</f>
        <v>0</v>
      </c>
      <c r="N160" s="194">
        <f t="shared" si="2"/>
        <v>1.35</v>
      </c>
      <c r="O160" s="198">
        <f>_1_5412845612146241046457891017[[#This Row],[TOTAL]]*_1_5412845612146241046457891017[[#This Row],[MARGIN]]</f>
        <v>0</v>
      </c>
      <c r="R160" s="41"/>
    </row>
    <row r="161" spans="1:18">
      <c r="A161" s="168"/>
      <c r="C161" s="168"/>
      <c r="D161" s="188"/>
      <c r="F161" s="168" t="s">
        <v>6202</v>
      </c>
      <c r="G161" s="193">
        <f>IF(_1_5412845612146241046457891017[[#This Row],[Type]]&gt;0,VLOOKUP(_1_5412845612146241046457891017[[#This Row],[Type]],Main[[#All],[TYPE]:[UNIT]],'Unit Price'!C$1,FALSE),0)</f>
        <v>0</v>
      </c>
      <c r="H161" s="197">
        <f>IF(_1_5412845612146241046457891017[[#This Row],[Type]]&gt;0,VLOOKUP(_1_5412845612146241046457891017[[#This Row],[Type]],Main[[#All],[TYPE]:[UNIT]],'Unit Price'!D$1,FALSE),0)</f>
        <v>0</v>
      </c>
      <c r="I161" s="194">
        <f>IF(_1_5412845612146241046457891017[[#This Row],[Type]]&gt;0,VLOOKUP(_1_5412845612146241046457891017[[#This Row],[Type]],Main[[#All],[TYPE]:[UNIT]],'Unit Price'!G$1,FALSE),0)</f>
        <v>0</v>
      </c>
      <c r="J161" s="194">
        <f>IF(_1_5412845612146241046457891017[[#This Row],[Type]]&gt;0,VLOOKUP(_1_5412845612146241046457891017[[#This Row],[Type]],Main[[#All],[TYPE]:[UNIT]],'Unit Price'!H$1,FALSE),0)</f>
        <v>0</v>
      </c>
      <c r="K161" s="194">
        <f>IF(_1_5412845612146241046457891017[[#This Row],[Discount selection]]&gt;0,VLOOKUP(_1_5412845612146241046457891017[[#This Row],[Discount selection]],'Discount Structure'!$A$2:$B$30,2,"false"),0)</f>
        <v>1</v>
      </c>
      <c r="L161" s="194">
        <f>_1_5412845612146241046457891017[[#This Row],[LIST $]]*_1_5412845612146241046457891017[[#This Row],[DISCOUNT]]*_1_5412845612146241046457891017[[#This Row],[DISCOUNT 2]]</f>
        <v>0</v>
      </c>
      <c r="M161" s="194">
        <f>IF(OR(_1_5412845612146241046457891017[[#This Row],[UNIT]]&gt;0,_1_5412845612146241046457891017[[#This Row],[UNIT]]&lt;0),_1_5412845612146241046457891017[[#This Row],[UNIT]]*_1_5412845612146241046457891017[[#This Row],[COST]],0)</f>
        <v>0</v>
      </c>
      <c r="N161" s="194">
        <f t="shared" si="2"/>
        <v>1.35</v>
      </c>
      <c r="O161" s="198">
        <f>_1_5412845612146241046457891017[[#This Row],[TOTAL]]*_1_5412845612146241046457891017[[#This Row],[MARGIN]]</f>
        <v>0</v>
      </c>
      <c r="R161" s="41"/>
    </row>
    <row r="162" spans="1:18">
      <c r="B162" s="168"/>
      <c r="C162" s="168"/>
      <c r="D162" s="188"/>
      <c r="F162" s="168" t="s">
        <v>6202</v>
      </c>
      <c r="G162" s="193">
        <f>IF(_1_5412845612146241046457891017[[#This Row],[Type]]&gt;0,VLOOKUP(_1_5412845612146241046457891017[[#This Row],[Type]],Main[[#All],[TYPE]:[UNIT]],'Unit Price'!C$1,FALSE),0)</f>
        <v>0</v>
      </c>
      <c r="H162" s="197">
        <f>IF(_1_5412845612146241046457891017[[#This Row],[Type]]&gt;0,VLOOKUP(_1_5412845612146241046457891017[[#This Row],[Type]],Main[[#All],[TYPE]:[UNIT]],'Unit Price'!D$1,FALSE),0)</f>
        <v>0</v>
      </c>
      <c r="I162" s="194">
        <f>IF(_1_5412845612146241046457891017[[#This Row],[Type]]&gt;0,VLOOKUP(_1_5412845612146241046457891017[[#This Row],[Type]],Main[[#All],[TYPE]:[UNIT]],'Unit Price'!G$1,FALSE),0)</f>
        <v>0</v>
      </c>
      <c r="J162" s="194">
        <f>IF(_1_5412845612146241046457891017[[#This Row],[Type]]&gt;0,VLOOKUP(_1_5412845612146241046457891017[[#This Row],[Type]],Main[[#All],[TYPE]:[UNIT]],'Unit Price'!H$1,FALSE),0)</f>
        <v>0</v>
      </c>
      <c r="K162" s="194">
        <f>IF(_1_5412845612146241046457891017[[#This Row],[Discount selection]]&gt;0,VLOOKUP(_1_5412845612146241046457891017[[#This Row],[Discount selection]],'Discount Structure'!$A$2:$B$30,2,"false"),0)</f>
        <v>1</v>
      </c>
      <c r="L162" s="194">
        <f>_1_5412845612146241046457891017[[#This Row],[LIST $]]*_1_5412845612146241046457891017[[#This Row],[DISCOUNT]]*_1_5412845612146241046457891017[[#This Row],[DISCOUNT 2]]</f>
        <v>0</v>
      </c>
      <c r="M162" s="194">
        <f>IF(OR(_1_5412845612146241046457891017[[#This Row],[UNIT]]&gt;0,_1_5412845612146241046457891017[[#This Row],[UNIT]]&lt;0),_1_5412845612146241046457891017[[#This Row],[UNIT]]*_1_5412845612146241046457891017[[#This Row],[COST]],0)</f>
        <v>0</v>
      </c>
      <c r="N162" s="194">
        <f t="shared" si="2"/>
        <v>1.35</v>
      </c>
      <c r="O162" s="198">
        <f>_1_5412845612146241046457891017[[#This Row],[TOTAL]]*_1_5412845612146241046457891017[[#This Row],[MARGIN]]</f>
        <v>0</v>
      </c>
      <c r="R162" s="41"/>
    </row>
    <row r="163" spans="1:18">
      <c r="A163" s="168"/>
      <c r="C163" s="168"/>
      <c r="D163" s="188"/>
      <c r="F163" s="168" t="s">
        <v>6202</v>
      </c>
      <c r="G163" s="193">
        <f>IF(_1_5412845612146241046457891017[[#This Row],[Type]]&gt;0,VLOOKUP(_1_5412845612146241046457891017[[#This Row],[Type]],Main[[#All],[TYPE]:[UNIT]],'Unit Price'!C$1,FALSE),0)</f>
        <v>0</v>
      </c>
      <c r="H163" s="197">
        <f>IF(_1_5412845612146241046457891017[[#This Row],[Type]]&gt;0,VLOOKUP(_1_5412845612146241046457891017[[#This Row],[Type]],Main[[#All],[TYPE]:[UNIT]],'Unit Price'!D$1,FALSE),0)</f>
        <v>0</v>
      </c>
      <c r="I163" s="194">
        <f>IF(_1_5412845612146241046457891017[[#This Row],[Type]]&gt;0,VLOOKUP(_1_5412845612146241046457891017[[#This Row],[Type]],Main[[#All],[TYPE]:[UNIT]],'Unit Price'!G$1,FALSE),0)</f>
        <v>0</v>
      </c>
      <c r="J163" s="194">
        <f>IF(_1_5412845612146241046457891017[[#This Row],[Type]]&gt;0,VLOOKUP(_1_5412845612146241046457891017[[#This Row],[Type]],Main[[#All],[TYPE]:[UNIT]],'Unit Price'!H$1,FALSE),0)</f>
        <v>0</v>
      </c>
      <c r="K163" s="194">
        <f>IF(_1_5412845612146241046457891017[[#This Row],[Discount selection]]&gt;0,VLOOKUP(_1_5412845612146241046457891017[[#This Row],[Discount selection]],'Discount Structure'!$A$2:$B$30,2,"false"),0)</f>
        <v>1</v>
      </c>
      <c r="L163" s="194">
        <f>_1_5412845612146241046457891017[[#This Row],[LIST $]]*_1_5412845612146241046457891017[[#This Row],[DISCOUNT]]*_1_5412845612146241046457891017[[#This Row],[DISCOUNT 2]]</f>
        <v>0</v>
      </c>
      <c r="M163" s="194">
        <f>IF(OR(_1_5412845612146241046457891017[[#This Row],[UNIT]]&gt;0,_1_5412845612146241046457891017[[#This Row],[UNIT]]&lt;0),_1_5412845612146241046457891017[[#This Row],[UNIT]]*_1_5412845612146241046457891017[[#This Row],[COST]],0)</f>
        <v>0</v>
      </c>
      <c r="N163" s="194">
        <f t="shared" si="2"/>
        <v>1.35</v>
      </c>
      <c r="O163" s="198">
        <f>_1_5412845612146241046457891017[[#This Row],[TOTAL]]*_1_5412845612146241046457891017[[#This Row],[MARGIN]]</f>
        <v>0</v>
      </c>
      <c r="R163" s="41"/>
    </row>
    <row r="164" spans="1:18">
      <c r="B164" s="168"/>
      <c r="C164" s="168"/>
      <c r="D164" s="188"/>
      <c r="F164" s="168" t="s">
        <v>6202</v>
      </c>
      <c r="G164" s="193">
        <f>IF(_1_5412845612146241046457891017[[#This Row],[Type]]&gt;0,VLOOKUP(_1_5412845612146241046457891017[[#This Row],[Type]],Main[[#All],[TYPE]:[UNIT]],'Unit Price'!C$1,FALSE),0)</f>
        <v>0</v>
      </c>
      <c r="H164" s="197">
        <f>IF(_1_5412845612146241046457891017[[#This Row],[Type]]&gt;0,VLOOKUP(_1_5412845612146241046457891017[[#This Row],[Type]],Main[[#All],[TYPE]:[UNIT]],'Unit Price'!D$1,FALSE),0)</f>
        <v>0</v>
      </c>
      <c r="I164" s="194">
        <f>IF(_1_5412845612146241046457891017[[#This Row],[Type]]&gt;0,VLOOKUP(_1_5412845612146241046457891017[[#This Row],[Type]],Main[[#All],[TYPE]:[UNIT]],'Unit Price'!G$1,FALSE),0)</f>
        <v>0</v>
      </c>
      <c r="J164" s="194">
        <f>IF(_1_5412845612146241046457891017[[#This Row],[Type]]&gt;0,VLOOKUP(_1_5412845612146241046457891017[[#This Row],[Type]],Main[[#All],[TYPE]:[UNIT]],'Unit Price'!H$1,FALSE),0)</f>
        <v>0</v>
      </c>
      <c r="K164" s="194">
        <f>IF(_1_5412845612146241046457891017[[#This Row],[Discount selection]]&gt;0,VLOOKUP(_1_5412845612146241046457891017[[#This Row],[Discount selection]],'Discount Structure'!$A$2:$B$30,2,"false"),0)</f>
        <v>1</v>
      </c>
      <c r="L164" s="194">
        <f>_1_5412845612146241046457891017[[#This Row],[LIST $]]*_1_5412845612146241046457891017[[#This Row],[DISCOUNT]]*_1_5412845612146241046457891017[[#This Row],[DISCOUNT 2]]</f>
        <v>0</v>
      </c>
      <c r="M164" s="194">
        <f>IF(OR(_1_5412845612146241046457891017[[#This Row],[UNIT]]&gt;0,_1_5412845612146241046457891017[[#This Row],[UNIT]]&lt;0),_1_5412845612146241046457891017[[#This Row],[UNIT]]*_1_5412845612146241046457891017[[#This Row],[COST]],0)</f>
        <v>0</v>
      </c>
      <c r="N164" s="194">
        <f t="shared" si="2"/>
        <v>1.35</v>
      </c>
      <c r="O164" s="198">
        <f>_1_5412845612146241046457891017[[#This Row],[TOTAL]]*_1_5412845612146241046457891017[[#This Row],[MARGIN]]</f>
        <v>0</v>
      </c>
      <c r="R164" s="41"/>
    </row>
    <row r="165" spans="1:18">
      <c r="A165" s="168"/>
      <c r="C165" s="168"/>
      <c r="D165" s="188"/>
      <c r="F165" s="168" t="s">
        <v>6202</v>
      </c>
      <c r="G165" s="193">
        <f>IF(_1_5412845612146241046457891017[[#This Row],[Type]]&gt;0,VLOOKUP(_1_5412845612146241046457891017[[#This Row],[Type]],Main[[#All],[TYPE]:[UNIT]],'Unit Price'!C$1,FALSE),0)</f>
        <v>0</v>
      </c>
      <c r="H165" s="197">
        <f>IF(_1_5412845612146241046457891017[[#This Row],[Type]]&gt;0,VLOOKUP(_1_5412845612146241046457891017[[#This Row],[Type]],Main[[#All],[TYPE]:[UNIT]],'Unit Price'!D$1,FALSE),0)</f>
        <v>0</v>
      </c>
      <c r="I165" s="194">
        <f>IF(_1_5412845612146241046457891017[[#This Row],[Type]]&gt;0,VLOOKUP(_1_5412845612146241046457891017[[#This Row],[Type]],Main[[#All],[TYPE]:[UNIT]],'Unit Price'!G$1,FALSE),0)</f>
        <v>0</v>
      </c>
      <c r="J165" s="194">
        <f>IF(_1_5412845612146241046457891017[[#This Row],[Type]]&gt;0,VLOOKUP(_1_5412845612146241046457891017[[#This Row],[Type]],Main[[#All],[TYPE]:[UNIT]],'Unit Price'!H$1,FALSE),0)</f>
        <v>0</v>
      </c>
      <c r="K165" s="194">
        <f>IF(_1_5412845612146241046457891017[[#This Row],[Discount selection]]&gt;0,VLOOKUP(_1_5412845612146241046457891017[[#This Row],[Discount selection]],'Discount Structure'!$A$2:$B$30,2,"false"),0)</f>
        <v>1</v>
      </c>
      <c r="L165" s="194">
        <f>_1_5412845612146241046457891017[[#This Row],[LIST $]]*_1_5412845612146241046457891017[[#This Row],[DISCOUNT]]*_1_5412845612146241046457891017[[#This Row],[DISCOUNT 2]]</f>
        <v>0</v>
      </c>
      <c r="M165" s="194">
        <f>IF(OR(_1_5412845612146241046457891017[[#This Row],[UNIT]]&gt;0,_1_5412845612146241046457891017[[#This Row],[UNIT]]&lt;0),_1_5412845612146241046457891017[[#This Row],[UNIT]]*_1_5412845612146241046457891017[[#This Row],[COST]],0)</f>
        <v>0</v>
      </c>
      <c r="N165" s="194">
        <f t="shared" si="2"/>
        <v>1.35</v>
      </c>
      <c r="O165" s="198">
        <f>_1_5412845612146241046457891017[[#This Row],[TOTAL]]*_1_5412845612146241046457891017[[#This Row],[MARGIN]]</f>
        <v>0</v>
      </c>
      <c r="R165" s="41"/>
    </row>
    <row r="166" spans="1:18">
      <c r="B166" s="168"/>
      <c r="C166" s="168"/>
      <c r="D166" s="188"/>
      <c r="F166" s="168" t="s">
        <v>6202</v>
      </c>
      <c r="G166" s="193">
        <f>IF(_1_5412845612146241046457891017[[#This Row],[Type]]&gt;0,VLOOKUP(_1_5412845612146241046457891017[[#This Row],[Type]],Main[[#All],[TYPE]:[UNIT]],'Unit Price'!C$1,FALSE),0)</f>
        <v>0</v>
      </c>
      <c r="H166" s="197">
        <f>IF(_1_5412845612146241046457891017[[#This Row],[Type]]&gt;0,VLOOKUP(_1_5412845612146241046457891017[[#This Row],[Type]],Main[[#All],[TYPE]:[UNIT]],'Unit Price'!D$1,FALSE),0)</f>
        <v>0</v>
      </c>
      <c r="I166" s="194">
        <f>IF(_1_5412845612146241046457891017[[#This Row],[Type]]&gt;0,VLOOKUP(_1_5412845612146241046457891017[[#This Row],[Type]],Main[[#All],[TYPE]:[UNIT]],'Unit Price'!G$1,FALSE),0)</f>
        <v>0</v>
      </c>
      <c r="J166" s="194">
        <f>IF(_1_5412845612146241046457891017[[#This Row],[Type]]&gt;0,VLOOKUP(_1_5412845612146241046457891017[[#This Row],[Type]],Main[[#All],[TYPE]:[UNIT]],'Unit Price'!H$1,FALSE),0)</f>
        <v>0</v>
      </c>
      <c r="K166" s="194">
        <f>IF(_1_5412845612146241046457891017[[#This Row],[Discount selection]]&gt;0,VLOOKUP(_1_5412845612146241046457891017[[#This Row],[Discount selection]],'Discount Structure'!$A$2:$B$30,2,"false"),0)</f>
        <v>1</v>
      </c>
      <c r="L166" s="194">
        <f>_1_5412845612146241046457891017[[#This Row],[LIST $]]*_1_5412845612146241046457891017[[#This Row],[DISCOUNT]]*_1_5412845612146241046457891017[[#This Row],[DISCOUNT 2]]</f>
        <v>0</v>
      </c>
      <c r="M166" s="194">
        <f>IF(OR(_1_5412845612146241046457891017[[#This Row],[UNIT]]&gt;0,_1_5412845612146241046457891017[[#This Row],[UNIT]]&lt;0),_1_5412845612146241046457891017[[#This Row],[UNIT]]*_1_5412845612146241046457891017[[#This Row],[COST]],0)</f>
        <v>0</v>
      </c>
      <c r="N166" s="194">
        <f t="shared" si="2"/>
        <v>1.35</v>
      </c>
      <c r="O166" s="198">
        <f>_1_5412845612146241046457891017[[#This Row],[TOTAL]]*_1_5412845612146241046457891017[[#This Row],[MARGIN]]</f>
        <v>0</v>
      </c>
      <c r="R166" s="41"/>
    </row>
    <row r="167" spans="1:18">
      <c r="A167" s="168"/>
      <c r="C167" s="168"/>
      <c r="D167" s="188"/>
      <c r="F167" s="168" t="s">
        <v>6202</v>
      </c>
      <c r="G167" s="193">
        <f>IF(_1_5412845612146241046457891017[[#This Row],[Type]]&gt;0,VLOOKUP(_1_5412845612146241046457891017[[#This Row],[Type]],Main[[#All],[TYPE]:[UNIT]],'Unit Price'!C$1,FALSE),0)</f>
        <v>0</v>
      </c>
      <c r="H167" s="197">
        <f>IF(_1_5412845612146241046457891017[[#This Row],[Type]]&gt;0,VLOOKUP(_1_5412845612146241046457891017[[#This Row],[Type]],Main[[#All],[TYPE]:[UNIT]],'Unit Price'!D$1,FALSE),0)</f>
        <v>0</v>
      </c>
      <c r="I167" s="194">
        <f>IF(_1_5412845612146241046457891017[[#This Row],[Type]]&gt;0,VLOOKUP(_1_5412845612146241046457891017[[#This Row],[Type]],Main[[#All],[TYPE]:[UNIT]],'Unit Price'!G$1,FALSE),0)</f>
        <v>0</v>
      </c>
      <c r="J167" s="194">
        <f>IF(_1_5412845612146241046457891017[[#This Row],[Type]]&gt;0,VLOOKUP(_1_5412845612146241046457891017[[#This Row],[Type]],Main[[#All],[TYPE]:[UNIT]],'Unit Price'!H$1,FALSE),0)</f>
        <v>0</v>
      </c>
      <c r="K167" s="194">
        <f>IF(_1_5412845612146241046457891017[[#This Row],[Discount selection]]&gt;0,VLOOKUP(_1_5412845612146241046457891017[[#This Row],[Discount selection]],'Discount Structure'!$A$2:$B$30,2,"false"),0)</f>
        <v>1</v>
      </c>
      <c r="L167" s="194">
        <f>_1_5412845612146241046457891017[[#This Row],[LIST $]]*_1_5412845612146241046457891017[[#This Row],[DISCOUNT]]*_1_5412845612146241046457891017[[#This Row],[DISCOUNT 2]]</f>
        <v>0</v>
      </c>
      <c r="M167" s="194">
        <f>IF(OR(_1_5412845612146241046457891017[[#This Row],[UNIT]]&gt;0,_1_5412845612146241046457891017[[#This Row],[UNIT]]&lt;0),_1_5412845612146241046457891017[[#This Row],[UNIT]]*_1_5412845612146241046457891017[[#This Row],[COST]],0)</f>
        <v>0</v>
      </c>
      <c r="N167" s="194">
        <f t="shared" si="2"/>
        <v>1.35</v>
      </c>
      <c r="O167" s="198">
        <f>_1_5412845612146241046457891017[[#This Row],[TOTAL]]*_1_5412845612146241046457891017[[#This Row],[MARGIN]]</f>
        <v>0</v>
      </c>
      <c r="R167" s="41"/>
    </row>
    <row r="168" spans="1:18">
      <c r="B168" s="168"/>
      <c r="C168" s="168"/>
      <c r="D168" s="188"/>
      <c r="F168" s="168" t="s">
        <v>6202</v>
      </c>
      <c r="G168" s="193">
        <f>IF(_1_5412845612146241046457891017[[#This Row],[Type]]&gt;0,VLOOKUP(_1_5412845612146241046457891017[[#This Row],[Type]],Main[[#All],[TYPE]:[UNIT]],'Unit Price'!C$1,FALSE),0)</f>
        <v>0</v>
      </c>
      <c r="H168" s="197">
        <f>IF(_1_5412845612146241046457891017[[#This Row],[Type]]&gt;0,VLOOKUP(_1_5412845612146241046457891017[[#This Row],[Type]],Main[[#All],[TYPE]:[UNIT]],'Unit Price'!D$1,FALSE),0)</f>
        <v>0</v>
      </c>
      <c r="I168" s="194">
        <f>IF(_1_5412845612146241046457891017[[#This Row],[Type]]&gt;0,VLOOKUP(_1_5412845612146241046457891017[[#This Row],[Type]],Main[[#All],[TYPE]:[UNIT]],'Unit Price'!G$1,FALSE),0)</f>
        <v>0</v>
      </c>
      <c r="J168" s="194">
        <f>IF(_1_5412845612146241046457891017[[#This Row],[Type]]&gt;0,VLOOKUP(_1_5412845612146241046457891017[[#This Row],[Type]],Main[[#All],[TYPE]:[UNIT]],'Unit Price'!H$1,FALSE),0)</f>
        <v>0</v>
      </c>
      <c r="K168" s="194">
        <f>IF(_1_5412845612146241046457891017[[#This Row],[Discount selection]]&gt;0,VLOOKUP(_1_5412845612146241046457891017[[#This Row],[Discount selection]],'Discount Structure'!$A$2:$B$30,2,"false"),0)</f>
        <v>1</v>
      </c>
      <c r="L168" s="194">
        <f>_1_5412845612146241046457891017[[#This Row],[LIST $]]*_1_5412845612146241046457891017[[#This Row],[DISCOUNT]]*_1_5412845612146241046457891017[[#This Row],[DISCOUNT 2]]</f>
        <v>0</v>
      </c>
      <c r="M168" s="194">
        <f>IF(OR(_1_5412845612146241046457891017[[#This Row],[UNIT]]&gt;0,_1_5412845612146241046457891017[[#This Row],[UNIT]]&lt;0),_1_5412845612146241046457891017[[#This Row],[UNIT]]*_1_5412845612146241046457891017[[#This Row],[COST]],0)</f>
        <v>0</v>
      </c>
      <c r="N168" s="194">
        <f t="shared" si="2"/>
        <v>1.35</v>
      </c>
      <c r="O168" s="198">
        <f>_1_5412845612146241046457891017[[#This Row],[TOTAL]]*_1_5412845612146241046457891017[[#This Row],[MARGIN]]</f>
        <v>0</v>
      </c>
      <c r="R168" s="41"/>
    </row>
    <row r="169" spans="1:18">
      <c r="A169" s="168"/>
      <c r="C169" s="168"/>
      <c r="D169" s="188"/>
      <c r="F169" s="168" t="s">
        <v>6202</v>
      </c>
      <c r="G169" s="193">
        <f>IF(_1_5412845612146241046457891017[[#This Row],[Type]]&gt;0,VLOOKUP(_1_5412845612146241046457891017[[#This Row],[Type]],Main[[#All],[TYPE]:[UNIT]],'Unit Price'!C$1,FALSE),0)</f>
        <v>0</v>
      </c>
      <c r="H169" s="197">
        <f>IF(_1_5412845612146241046457891017[[#This Row],[Type]]&gt;0,VLOOKUP(_1_5412845612146241046457891017[[#This Row],[Type]],Main[[#All],[TYPE]:[UNIT]],'Unit Price'!D$1,FALSE),0)</f>
        <v>0</v>
      </c>
      <c r="I169" s="194">
        <f>IF(_1_5412845612146241046457891017[[#This Row],[Type]]&gt;0,VLOOKUP(_1_5412845612146241046457891017[[#This Row],[Type]],Main[[#All],[TYPE]:[UNIT]],'Unit Price'!G$1,FALSE),0)</f>
        <v>0</v>
      </c>
      <c r="J169" s="194">
        <f>IF(_1_5412845612146241046457891017[[#This Row],[Type]]&gt;0,VLOOKUP(_1_5412845612146241046457891017[[#This Row],[Type]],Main[[#All],[TYPE]:[UNIT]],'Unit Price'!H$1,FALSE),0)</f>
        <v>0</v>
      </c>
      <c r="K169" s="194">
        <f>IF(_1_5412845612146241046457891017[[#This Row],[Discount selection]]&gt;0,VLOOKUP(_1_5412845612146241046457891017[[#This Row],[Discount selection]],'Discount Structure'!$A$2:$B$30,2,"false"),0)</f>
        <v>1</v>
      </c>
      <c r="L169" s="194">
        <f>_1_5412845612146241046457891017[[#This Row],[LIST $]]*_1_5412845612146241046457891017[[#This Row],[DISCOUNT]]*_1_5412845612146241046457891017[[#This Row],[DISCOUNT 2]]</f>
        <v>0</v>
      </c>
      <c r="M169" s="194">
        <f>IF(OR(_1_5412845612146241046457891017[[#This Row],[UNIT]]&gt;0,_1_5412845612146241046457891017[[#This Row],[UNIT]]&lt;0),_1_5412845612146241046457891017[[#This Row],[UNIT]]*_1_5412845612146241046457891017[[#This Row],[COST]],0)</f>
        <v>0</v>
      </c>
      <c r="N169" s="194">
        <f t="shared" si="2"/>
        <v>1.35</v>
      </c>
      <c r="O169" s="198">
        <f>_1_5412845612146241046457891017[[#This Row],[TOTAL]]*_1_5412845612146241046457891017[[#This Row],[MARGIN]]</f>
        <v>0</v>
      </c>
      <c r="R169" s="41"/>
    </row>
    <row r="170" spans="1:18">
      <c r="B170" s="168"/>
      <c r="C170" s="168"/>
      <c r="D170" s="188"/>
      <c r="F170" s="168" t="s">
        <v>6202</v>
      </c>
      <c r="G170" s="193">
        <f>IF(_1_5412845612146241046457891017[[#This Row],[Type]]&gt;0,VLOOKUP(_1_5412845612146241046457891017[[#This Row],[Type]],Main[[#All],[TYPE]:[UNIT]],'Unit Price'!C$1,FALSE),0)</f>
        <v>0</v>
      </c>
      <c r="H170" s="197">
        <f>IF(_1_5412845612146241046457891017[[#This Row],[Type]]&gt;0,VLOOKUP(_1_5412845612146241046457891017[[#This Row],[Type]],Main[[#All],[TYPE]:[UNIT]],'Unit Price'!D$1,FALSE),0)</f>
        <v>0</v>
      </c>
      <c r="I170" s="194">
        <f>IF(_1_5412845612146241046457891017[[#This Row],[Type]]&gt;0,VLOOKUP(_1_5412845612146241046457891017[[#This Row],[Type]],Main[[#All],[TYPE]:[UNIT]],'Unit Price'!G$1,FALSE),0)</f>
        <v>0</v>
      </c>
      <c r="J170" s="194">
        <f>IF(_1_5412845612146241046457891017[[#This Row],[Type]]&gt;0,VLOOKUP(_1_5412845612146241046457891017[[#This Row],[Type]],Main[[#All],[TYPE]:[UNIT]],'Unit Price'!H$1,FALSE),0)</f>
        <v>0</v>
      </c>
      <c r="K170" s="194">
        <f>IF(_1_5412845612146241046457891017[[#This Row],[Discount selection]]&gt;0,VLOOKUP(_1_5412845612146241046457891017[[#This Row],[Discount selection]],'Discount Structure'!$A$2:$B$30,2,"false"),0)</f>
        <v>1</v>
      </c>
      <c r="L170" s="194">
        <f>_1_5412845612146241046457891017[[#This Row],[LIST $]]*_1_5412845612146241046457891017[[#This Row],[DISCOUNT]]*_1_5412845612146241046457891017[[#This Row],[DISCOUNT 2]]</f>
        <v>0</v>
      </c>
      <c r="M170" s="194">
        <f>IF(OR(_1_5412845612146241046457891017[[#This Row],[UNIT]]&gt;0,_1_5412845612146241046457891017[[#This Row],[UNIT]]&lt;0),_1_5412845612146241046457891017[[#This Row],[UNIT]]*_1_5412845612146241046457891017[[#This Row],[COST]],0)</f>
        <v>0</v>
      </c>
      <c r="N170" s="194">
        <f t="shared" si="2"/>
        <v>1.35</v>
      </c>
      <c r="O170" s="198">
        <f>_1_5412845612146241046457891017[[#This Row],[TOTAL]]*_1_5412845612146241046457891017[[#This Row],[MARGIN]]</f>
        <v>0</v>
      </c>
      <c r="R170" s="41"/>
    </row>
    <row r="171" spans="1:18">
      <c r="C171" s="168"/>
      <c r="D171" s="188"/>
      <c r="F171" s="168" t="s">
        <v>6202</v>
      </c>
      <c r="G171" s="193">
        <f>IF(_1_5412845612146241046457891017[[#This Row],[Type]]&gt;0,VLOOKUP(_1_5412845612146241046457891017[[#This Row],[Type]],Main[[#All],[TYPE]:[UNIT]],'Unit Price'!C$1,FALSE),0)</f>
        <v>0</v>
      </c>
      <c r="H171" s="197">
        <f>IF(_1_5412845612146241046457891017[[#This Row],[Type]]&gt;0,VLOOKUP(_1_5412845612146241046457891017[[#This Row],[Type]],Main[[#All],[TYPE]:[UNIT]],'Unit Price'!D$1,FALSE),0)</f>
        <v>0</v>
      </c>
      <c r="I171" s="194">
        <f>IF(_1_5412845612146241046457891017[[#This Row],[Type]]&gt;0,VLOOKUP(_1_5412845612146241046457891017[[#This Row],[Type]],Main[[#All],[TYPE]:[UNIT]],'Unit Price'!G$1,FALSE),0)</f>
        <v>0</v>
      </c>
      <c r="J171" s="194">
        <f>IF(_1_5412845612146241046457891017[[#This Row],[Type]]&gt;0,VLOOKUP(_1_5412845612146241046457891017[[#This Row],[Type]],Main[[#All],[TYPE]:[UNIT]],'Unit Price'!H$1,FALSE),0)</f>
        <v>0</v>
      </c>
      <c r="K171" s="194">
        <f>IF(_1_5412845612146241046457891017[[#This Row],[Discount selection]]&gt;0,VLOOKUP(_1_5412845612146241046457891017[[#This Row],[Discount selection]],'Discount Structure'!$A$2:$B$30,2,"false"),0)</f>
        <v>1</v>
      </c>
      <c r="L171" s="194">
        <f>_1_5412845612146241046457891017[[#This Row],[LIST $]]*_1_5412845612146241046457891017[[#This Row],[DISCOUNT]]*_1_5412845612146241046457891017[[#This Row],[DISCOUNT 2]]</f>
        <v>0</v>
      </c>
      <c r="M171" s="194">
        <f>IF(OR(_1_5412845612146241046457891017[[#This Row],[UNIT]]&gt;0,_1_5412845612146241046457891017[[#This Row],[UNIT]]&lt;0),_1_5412845612146241046457891017[[#This Row],[UNIT]]*_1_5412845612146241046457891017[[#This Row],[COST]],0)</f>
        <v>0</v>
      </c>
      <c r="N171" s="194">
        <f t="shared" si="2"/>
        <v>1.35</v>
      </c>
      <c r="O171" s="198">
        <f>_1_5412845612146241046457891017[[#This Row],[TOTAL]]*_1_5412845612146241046457891017[[#This Row],[MARGIN]]</f>
        <v>0</v>
      </c>
      <c r="R171" s="41"/>
    </row>
    <row r="172" spans="1:18">
      <c r="C172" s="168"/>
      <c r="D172" s="188"/>
      <c r="F172" s="168" t="s">
        <v>6202</v>
      </c>
      <c r="G172" s="193">
        <f>IF(_1_5412845612146241046457891017[[#This Row],[Type]]&gt;0,VLOOKUP(_1_5412845612146241046457891017[[#This Row],[Type]],Main[[#All],[TYPE]:[UNIT]],'Unit Price'!C$1,FALSE),0)</f>
        <v>0</v>
      </c>
      <c r="H172" s="197">
        <f>IF(_1_5412845612146241046457891017[[#This Row],[Type]]&gt;0,VLOOKUP(_1_5412845612146241046457891017[[#This Row],[Type]],Main[[#All],[TYPE]:[UNIT]],'Unit Price'!D$1,FALSE),0)</f>
        <v>0</v>
      </c>
      <c r="I172" s="194">
        <f>IF(_1_5412845612146241046457891017[[#This Row],[Type]]&gt;0,VLOOKUP(_1_5412845612146241046457891017[[#This Row],[Type]],Main[[#All],[TYPE]:[UNIT]],'Unit Price'!G$1,FALSE),0)</f>
        <v>0</v>
      </c>
      <c r="J172" s="194">
        <f>IF(_1_5412845612146241046457891017[[#This Row],[Type]]&gt;0,VLOOKUP(_1_5412845612146241046457891017[[#This Row],[Type]],Main[[#All],[TYPE]:[UNIT]],'Unit Price'!H$1,FALSE),0)</f>
        <v>0</v>
      </c>
      <c r="K172" s="194">
        <f>IF(_1_5412845612146241046457891017[[#This Row],[Discount selection]]&gt;0,VLOOKUP(_1_5412845612146241046457891017[[#This Row],[Discount selection]],'Discount Structure'!$A$2:$B$30,2,"false"),0)</f>
        <v>1</v>
      </c>
      <c r="L172" s="194">
        <f>_1_5412845612146241046457891017[[#This Row],[LIST $]]*_1_5412845612146241046457891017[[#This Row],[DISCOUNT]]*_1_5412845612146241046457891017[[#This Row],[DISCOUNT 2]]</f>
        <v>0</v>
      </c>
      <c r="M172" s="194">
        <f>IF(OR(_1_5412845612146241046457891017[[#This Row],[UNIT]]&gt;0,_1_5412845612146241046457891017[[#This Row],[UNIT]]&lt;0),_1_5412845612146241046457891017[[#This Row],[UNIT]]*_1_5412845612146241046457891017[[#This Row],[COST]],0)</f>
        <v>0</v>
      </c>
      <c r="N172" s="194">
        <f t="shared" si="2"/>
        <v>1.35</v>
      </c>
      <c r="O172" s="198">
        <f>_1_5412845612146241046457891017[[#This Row],[TOTAL]]*_1_5412845612146241046457891017[[#This Row],[MARGIN]]</f>
        <v>0</v>
      </c>
      <c r="R172" s="41"/>
    </row>
    <row r="173" spans="1:18">
      <c r="C173" s="168"/>
      <c r="D173" s="188"/>
      <c r="F173" s="168" t="s">
        <v>6202</v>
      </c>
      <c r="G173" s="193">
        <f>IF(_1_5412845612146241046457891017[[#This Row],[Type]]&gt;0,VLOOKUP(_1_5412845612146241046457891017[[#This Row],[Type]],Main[[#All],[TYPE]:[UNIT]],'Unit Price'!C$1,FALSE),0)</f>
        <v>0</v>
      </c>
      <c r="H173" s="197">
        <f>IF(_1_5412845612146241046457891017[[#This Row],[Type]]&gt;0,VLOOKUP(_1_5412845612146241046457891017[[#This Row],[Type]],Main[[#All],[TYPE]:[UNIT]],'Unit Price'!D$1,FALSE),0)</f>
        <v>0</v>
      </c>
      <c r="I173" s="194">
        <f>IF(_1_5412845612146241046457891017[[#This Row],[Type]]&gt;0,VLOOKUP(_1_5412845612146241046457891017[[#This Row],[Type]],Main[[#All],[TYPE]:[UNIT]],'Unit Price'!G$1,FALSE),0)</f>
        <v>0</v>
      </c>
      <c r="J173" s="194">
        <f>IF(_1_5412845612146241046457891017[[#This Row],[Type]]&gt;0,VLOOKUP(_1_5412845612146241046457891017[[#This Row],[Type]],Main[[#All],[TYPE]:[UNIT]],'Unit Price'!H$1,FALSE),0)</f>
        <v>0</v>
      </c>
      <c r="K173" s="194">
        <f>IF(_1_5412845612146241046457891017[[#This Row],[Discount selection]]&gt;0,VLOOKUP(_1_5412845612146241046457891017[[#This Row],[Discount selection]],'Discount Structure'!$A$2:$B$30,2,"false"),0)</f>
        <v>1</v>
      </c>
      <c r="L173" s="194">
        <f>_1_5412845612146241046457891017[[#This Row],[LIST $]]*_1_5412845612146241046457891017[[#This Row],[DISCOUNT]]*_1_5412845612146241046457891017[[#This Row],[DISCOUNT 2]]</f>
        <v>0</v>
      </c>
      <c r="M173" s="194">
        <f>IF(OR(_1_5412845612146241046457891017[[#This Row],[UNIT]]&gt;0,_1_5412845612146241046457891017[[#This Row],[UNIT]]&lt;0),_1_5412845612146241046457891017[[#This Row],[UNIT]]*_1_5412845612146241046457891017[[#This Row],[COST]],0)</f>
        <v>0</v>
      </c>
      <c r="N173" s="194">
        <f t="shared" si="2"/>
        <v>1.35</v>
      </c>
      <c r="O173" s="198">
        <f>_1_5412845612146241046457891017[[#This Row],[TOTAL]]*_1_5412845612146241046457891017[[#This Row],[MARGIN]]</f>
        <v>0</v>
      </c>
      <c r="R173" s="41"/>
    </row>
    <row r="174" spans="1:18">
      <c r="C174" s="168"/>
      <c r="D174" s="188"/>
      <c r="F174" s="168" t="s">
        <v>6202</v>
      </c>
      <c r="G174" s="193">
        <f>IF(_1_5412845612146241046457891017[[#This Row],[Type]]&gt;0,VLOOKUP(_1_5412845612146241046457891017[[#This Row],[Type]],Main[[#All],[TYPE]:[UNIT]],'Unit Price'!C$1,FALSE),0)</f>
        <v>0</v>
      </c>
      <c r="H174" s="197">
        <f>IF(_1_5412845612146241046457891017[[#This Row],[Type]]&gt;0,VLOOKUP(_1_5412845612146241046457891017[[#This Row],[Type]],Main[[#All],[TYPE]:[UNIT]],'Unit Price'!D$1,FALSE),0)</f>
        <v>0</v>
      </c>
      <c r="I174" s="194">
        <f>IF(_1_5412845612146241046457891017[[#This Row],[Type]]&gt;0,VLOOKUP(_1_5412845612146241046457891017[[#This Row],[Type]],Main[[#All],[TYPE]:[UNIT]],'Unit Price'!G$1,FALSE),0)</f>
        <v>0</v>
      </c>
      <c r="J174" s="194">
        <f>IF(_1_5412845612146241046457891017[[#This Row],[Type]]&gt;0,VLOOKUP(_1_5412845612146241046457891017[[#This Row],[Type]],Main[[#All],[TYPE]:[UNIT]],'Unit Price'!H$1,FALSE),0)</f>
        <v>0</v>
      </c>
      <c r="K174" s="194">
        <f>IF(_1_5412845612146241046457891017[[#This Row],[Discount selection]]&gt;0,VLOOKUP(_1_5412845612146241046457891017[[#This Row],[Discount selection]],'Discount Structure'!$A$2:$B$30,2,"false"),0)</f>
        <v>1</v>
      </c>
      <c r="L174" s="194">
        <f>_1_5412845612146241046457891017[[#This Row],[LIST $]]*_1_5412845612146241046457891017[[#This Row],[DISCOUNT]]*_1_5412845612146241046457891017[[#This Row],[DISCOUNT 2]]</f>
        <v>0</v>
      </c>
      <c r="M174" s="194">
        <f>IF(OR(_1_5412845612146241046457891017[[#This Row],[UNIT]]&gt;0,_1_5412845612146241046457891017[[#This Row],[UNIT]]&lt;0),_1_5412845612146241046457891017[[#This Row],[UNIT]]*_1_5412845612146241046457891017[[#This Row],[COST]],0)</f>
        <v>0</v>
      </c>
      <c r="N174" s="194">
        <f t="shared" si="2"/>
        <v>1.35</v>
      </c>
      <c r="O174" s="198">
        <f>_1_5412845612146241046457891017[[#This Row],[TOTAL]]*_1_5412845612146241046457891017[[#This Row],[MARGIN]]</f>
        <v>0</v>
      </c>
      <c r="R174" s="41"/>
    </row>
    <row r="175" spans="1:18">
      <c r="C175" s="168"/>
      <c r="D175" s="188"/>
      <c r="F175" s="168" t="s">
        <v>6202</v>
      </c>
      <c r="G175" s="193">
        <f>IF(_1_5412845612146241046457891017[[#This Row],[Type]]&gt;0,VLOOKUP(_1_5412845612146241046457891017[[#This Row],[Type]],Main[[#All],[TYPE]:[UNIT]],'Unit Price'!C$1,FALSE),0)</f>
        <v>0</v>
      </c>
      <c r="H175" s="197">
        <f>IF(_1_5412845612146241046457891017[[#This Row],[Type]]&gt;0,VLOOKUP(_1_5412845612146241046457891017[[#This Row],[Type]],Main[[#All],[TYPE]:[UNIT]],'Unit Price'!D$1,FALSE),0)</f>
        <v>0</v>
      </c>
      <c r="I175" s="194">
        <f>IF(_1_5412845612146241046457891017[[#This Row],[Type]]&gt;0,VLOOKUP(_1_5412845612146241046457891017[[#This Row],[Type]],Main[[#All],[TYPE]:[UNIT]],'Unit Price'!G$1,FALSE),0)</f>
        <v>0</v>
      </c>
      <c r="J175" s="194">
        <f>IF(_1_5412845612146241046457891017[[#This Row],[Type]]&gt;0,VLOOKUP(_1_5412845612146241046457891017[[#This Row],[Type]],Main[[#All],[TYPE]:[UNIT]],'Unit Price'!H$1,FALSE),0)</f>
        <v>0</v>
      </c>
      <c r="K175" s="194">
        <f>IF(_1_5412845612146241046457891017[[#This Row],[Discount selection]]&gt;0,VLOOKUP(_1_5412845612146241046457891017[[#This Row],[Discount selection]],'Discount Structure'!$A$2:$B$30,2,"false"),0)</f>
        <v>1</v>
      </c>
      <c r="L175" s="194">
        <f>_1_5412845612146241046457891017[[#This Row],[LIST $]]*_1_5412845612146241046457891017[[#This Row],[DISCOUNT]]*_1_5412845612146241046457891017[[#This Row],[DISCOUNT 2]]</f>
        <v>0</v>
      </c>
      <c r="M175" s="194">
        <f>IF(OR(_1_5412845612146241046457891017[[#This Row],[UNIT]]&gt;0,_1_5412845612146241046457891017[[#This Row],[UNIT]]&lt;0),_1_5412845612146241046457891017[[#This Row],[UNIT]]*_1_5412845612146241046457891017[[#This Row],[COST]],0)</f>
        <v>0</v>
      </c>
      <c r="N175" s="194">
        <f t="shared" si="2"/>
        <v>1.35</v>
      </c>
      <c r="O175" s="198">
        <f>_1_5412845612146241046457891017[[#This Row],[TOTAL]]*_1_5412845612146241046457891017[[#This Row],[MARGIN]]</f>
        <v>0</v>
      </c>
      <c r="R175" s="41"/>
    </row>
    <row r="176" spans="1:18">
      <c r="C176" s="168"/>
      <c r="D176" s="188"/>
      <c r="F176" s="168" t="s">
        <v>6202</v>
      </c>
      <c r="G176" s="193">
        <f>IF(_1_5412845612146241046457891017[[#This Row],[Type]]&gt;0,VLOOKUP(_1_5412845612146241046457891017[[#This Row],[Type]],Main[[#All],[TYPE]:[UNIT]],'Unit Price'!C$1,FALSE),0)</f>
        <v>0</v>
      </c>
      <c r="H176" s="197">
        <f>IF(_1_5412845612146241046457891017[[#This Row],[Type]]&gt;0,VLOOKUP(_1_5412845612146241046457891017[[#This Row],[Type]],Main[[#All],[TYPE]:[UNIT]],'Unit Price'!D$1,FALSE),0)</f>
        <v>0</v>
      </c>
      <c r="I176" s="194">
        <f>IF(_1_5412845612146241046457891017[[#This Row],[Type]]&gt;0,VLOOKUP(_1_5412845612146241046457891017[[#This Row],[Type]],Main[[#All],[TYPE]:[UNIT]],'Unit Price'!G$1,FALSE),0)</f>
        <v>0</v>
      </c>
      <c r="J176" s="194">
        <f>IF(_1_5412845612146241046457891017[[#This Row],[Type]]&gt;0,VLOOKUP(_1_5412845612146241046457891017[[#This Row],[Type]],Main[[#All],[TYPE]:[UNIT]],'Unit Price'!H$1,FALSE),0)</f>
        <v>0</v>
      </c>
      <c r="K176" s="194">
        <f>IF(_1_5412845612146241046457891017[[#This Row],[Discount selection]]&gt;0,VLOOKUP(_1_5412845612146241046457891017[[#This Row],[Discount selection]],'Discount Structure'!$A$2:$B$30,2,"false"),0)</f>
        <v>1</v>
      </c>
      <c r="L176" s="194">
        <f>_1_5412845612146241046457891017[[#This Row],[LIST $]]*_1_5412845612146241046457891017[[#This Row],[DISCOUNT]]*_1_5412845612146241046457891017[[#This Row],[DISCOUNT 2]]</f>
        <v>0</v>
      </c>
      <c r="M176" s="194">
        <f>IF(OR(_1_5412845612146241046457891017[[#This Row],[UNIT]]&gt;0,_1_5412845612146241046457891017[[#This Row],[UNIT]]&lt;0),_1_5412845612146241046457891017[[#This Row],[UNIT]]*_1_5412845612146241046457891017[[#This Row],[COST]],0)</f>
        <v>0</v>
      </c>
      <c r="N176" s="194">
        <f t="shared" si="2"/>
        <v>1.35</v>
      </c>
      <c r="O176" s="198">
        <f>_1_5412845612146241046457891017[[#This Row],[TOTAL]]*_1_5412845612146241046457891017[[#This Row],[MARGIN]]</f>
        <v>0</v>
      </c>
      <c r="R176" s="41"/>
    </row>
    <row r="177" spans="2:18">
      <c r="C177" s="168"/>
      <c r="D177" s="188"/>
      <c r="F177" s="168" t="s">
        <v>6202</v>
      </c>
      <c r="G177" s="193">
        <f>IF(_1_5412845612146241046457891017[[#This Row],[Type]]&gt;0,VLOOKUP(_1_5412845612146241046457891017[[#This Row],[Type]],Main[[#All],[TYPE]:[UNIT]],'Unit Price'!C$1,FALSE),0)</f>
        <v>0</v>
      </c>
      <c r="H177" s="197">
        <f>IF(_1_5412845612146241046457891017[[#This Row],[Type]]&gt;0,VLOOKUP(_1_5412845612146241046457891017[[#This Row],[Type]],Main[[#All],[TYPE]:[UNIT]],'Unit Price'!D$1,FALSE),0)</f>
        <v>0</v>
      </c>
      <c r="I177" s="194">
        <f>IF(_1_5412845612146241046457891017[[#This Row],[Type]]&gt;0,VLOOKUP(_1_5412845612146241046457891017[[#This Row],[Type]],Main[[#All],[TYPE]:[UNIT]],'Unit Price'!G$1,FALSE),0)</f>
        <v>0</v>
      </c>
      <c r="J177" s="194">
        <f>IF(_1_5412845612146241046457891017[[#This Row],[Type]]&gt;0,VLOOKUP(_1_5412845612146241046457891017[[#This Row],[Type]],Main[[#All],[TYPE]:[UNIT]],'Unit Price'!H$1,FALSE),0)</f>
        <v>0</v>
      </c>
      <c r="K177" s="194">
        <f>IF(_1_5412845612146241046457891017[[#This Row],[Discount selection]]&gt;0,VLOOKUP(_1_5412845612146241046457891017[[#This Row],[Discount selection]],'Discount Structure'!$A$2:$B$30,2,"false"),0)</f>
        <v>1</v>
      </c>
      <c r="L177" s="194">
        <f>_1_5412845612146241046457891017[[#This Row],[LIST $]]*_1_5412845612146241046457891017[[#This Row],[DISCOUNT]]*_1_5412845612146241046457891017[[#This Row],[DISCOUNT 2]]</f>
        <v>0</v>
      </c>
      <c r="M177" s="194">
        <f>IF(OR(_1_5412845612146241046457891017[[#This Row],[UNIT]]&gt;0,_1_5412845612146241046457891017[[#This Row],[UNIT]]&lt;0),_1_5412845612146241046457891017[[#This Row],[UNIT]]*_1_5412845612146241046457891017[[#This Row],[COST]],0)</f>
        <v>0</v>
      </c>
      <c r="N177" s="194">
        <f t="shared" si="2"/>
        <v>1.35</v>
      </c>
      <c r="O177" s="198">
        <f>_1_5412845612146241046457891017[[#This Row],[TOTAL]]*_1_5412845612146241046457891017[[#This Row],[MARGIN]]</f>
        <v>0</v>
      </c>
      <c r="R177" s="41"/>
    </row>
    <row r="178" spans="2:18">
      <c r="C178" s="168"/>
      <c r="D178" s="188"/>
      <c r="F178" s="168" t="s">
        <v>6202</v>
      </c>
      <c r="G178" s="193">
        <f>IF(_1_5412845612146241046457891017[[#This Row],[Type]]&gt;0,VLOOKUP(_1_5412845612146241046457891017[[#This Row],[Type]],Main[[#All],[TYPE]:[UNIT]],'Unit Price'!C$1,FALSE),0)</f>
        <v>0</v>
      </c>
      <c r="H178" s="197">
        <f>IF(_1_5412845612146241046457891017[[#This Row],[Type]]&gt;0,VLOOKUP(_1_5412845612146241046457891017[[#This Row],[Type]],Main[[#All],[TYPE]:[UNIT]],'Unit Price'!D$1,FALSE),0)</f>
        <v>0</v>
      </c>
      <c r="I178" s="194">
        <f>IF(_1_5412845612146241046457891017[[#This Row],[Type]]&gt;0,VLOOKUP(_1_5412845612146241046457891017[[#This Row],[Type]],Main[[#All],[TYPE]:[UNIT]],'Unit Price'!G$1,FALSE),0)</f>
        <v>0</v>
      </c>
      <c r="J178" s="194">
        <f>IF(_1_5412845612146241046457891017[[#This Row],[Type]]&gt;0,VLOOKUP(_1_5412845612146241046457891017[[#This Row],[Type]],Main[[#All],[TYPE]:[UNIT]],'Unit Price'!H$1,FALSE),0)</f>
        <v>0</v>
      </c>
      <c r="K178" s="194">
        <f>IF(_1_5412845612146241046457891017[[#This Row],[Discount selection]]&gt;0,VLOOKUP(_1_5412845612146241046457891017[[#This Row],[Discount selection]],'Discount Structure'!$A$2:$B$30,2,"false"),0)</f>
        <v>1</v>
      </c>
      <c r="L178" s="194">
        <f>_1_5412845612146241046457891017[[#This Row],[LIST $]]*_1_5412845612146241046457891017[[#This Row],[DISCOUNT]]*_1_5412845612146241046457891017[[#This Row],[DISCOUNT 2]]</f>
        <v>0</v>
      </c>
      <c r="M178" s="194">
        <f>IF(OR(_1_5412845612146241046457891017[[#This Row],[UNIT]]&gt;0,_1_5412845612146241046457891017[[#This Row],[UNIT]]&lt;0),_1_5412845612146241046457891017[[#This Row],[UNIT]]*_1_5412845612146241046457891017[[#This Row],[COST]],0)</f>
        <v>0</v>
      </c>
      <c r="N178" s="194">
        <f t="shared" si="2"/>
        <v>1.35</v>
      </c>
      <c r="O178" s="198">
        <f>_1_5412845612146241046457891017[[#This Row],[TOTAL]]*_1_5412845612146241046457891017[[#This Row],[MARGIN]]</f>
        <v>0</v>
      </c>
      <c r="R178" s="41"/>
    </row>
    <row r="179" spans="2:18">
      <c r="C179" s="168"/>
      <c r="D179" s="188"/>
      <c r="F179" s="168" t="s">
        <v>6202</v>
      </c>
      <c r="G179" s="193">
        <f>IF(_1_5412845612146241046457891017[[#This Row],[Type]]&gt;0,VLOOKUP(_1_5412845612146241046457891017[[#This Row],[Type]],Main[[#All],[TYPE]:[UNIT]],'Unit Price'!C$1,FALSE),0)</f>
        <v>0</v>
      </c>
      <c r="H179" s="197">
        <f>IF(_1_5412845612146241046457891017[[#This Row],[Type]]&gt;0,VLOOKUP(_1_5412845612146241046457891017[[#This Row],[Type]],Main[[#All],[TYPE]:[UNIT]],'Unit Price'!D$1,FALSE),0)</f>
        <v>0</v>
      </c>
      <c r="I179" s="194">
        <f>IF(_1_5412845612146241046457891017[[#This Row],[Type]]&gt;0,VLOOKUP(_1_5412845612146241046457891017[[#This Row],[Type]],Main[[#All],[TYPE]:[UNIT]],'Unit Price'!G$1,FALSE),0)</f>
        <v>0</v>
      </c>
      <c r="J179" s="194">
        <f>IF(_1_5412845612146241046457891017[[#This Row],[Type]]&gt;0,VLOOKUP(_1_5412845612146241046457891017[[#This Row],[Type]],Main[[#All],[TYPE]:[UNIT]],'Unit Price'!H$1,FALSE),0)</f>
        <v>0</v>
      </c>
      <c r="K179" s="194">
        <f>IF(_1_5412845612146241046457891017[[#This Row],[Discount selection]]&gt;0,VLOOKUP(_1_5412845612146241046457891017[[#This Row],[Discount selection]],'Discount Structure'!$A$2:$B$30,2,"false"),0)</f>
        <v>1</v>
      </c>
      <c r="L179" s="194">
        <f>_1_5412845612146241046457891017[[#This Row],[LIST $]]*_1_5412845612146241046457891017[[#This Row],[DISCOUNT]]*_1_5412845612146241046457891017[[#This Row],[DISCOUNT 2]]</f>
        <v>0</v>
      </c>
      <c r="M179" s="194">
        <f>IF(OR(_1_5412845612146241046457891017[[#This Row],[UNIT]]&gt;0,_1_5412845612146241046457891017[[#This Row],[UNIT]]&lt;0),_1_5412845612146241046457891017[[#This Row],[UNIT]]*_1_5412845612146241046457891017[[#This Row],[COST]],0)</f>
        <v>0</v>
      </c>
      <c r="N179" s="194">
        <f t="shared" si="2"/>
        <v>1.35</v>
      </c>
      <c r="O179" s="198">
        <f>_1_5412845612146241046457891017[[#This Row],[TOTAL]]*_1_5412845612146241046457891017[[#This Row],[MARGIN]]</f>
        <v>0</v>
      </c>
      <c r="R179" s="41"/>
    </row>
    <row r="180" spans="2:18">
      <c r="C180" s="168"/>
      <c r="D180" s="188"/>
      <c r="F180" s="168" t="s">
        <v>6202</v>
      </c>
      <c r="G180" s="193">
        <f>IF(_1_5412845612146241046457891017[[#This Row],[Type]]&gt;0,VLOOKUP(_1_5412845612146241046457891017[[#This Row],[Type]],Main[[#All],[TYPE]:[UNIT]],'Unit Price'!C$1,FALSE),0)</f>
        <v>0</v>
      </c>
      <c r="H180" s="197">
        <f>IF(_1_5412845612146241046457891017[[#This Row],[Type]]&gt;0,VLOOKUP(_1_5412845612146241046457891017[[#This Row],[Type]],Main[[#All],[TYPE]:[UNIT]],'Unit Price'!D$1,FALSE),0)</f>
        <v>0</v>
      </c>
      <c r="I180" s="194">
        <f>IF(_1_5412845612146241046457891017[[#This Row],[Type]]&gt;0,VLOOKUP(_1_5412845612146241046457891017[[#This Row],[Type]],Main[[#All],[TYPE]:[UNIT]],'Unit Price'!G$1,FALSE),0)</f>
        <v>0</v>
      </c>
      <c r="J180" s="194">
        <f>IF(_1_5412845612146241046457891017[[#This Row],[Type]]&gt;0,VLOOKUP(_1_5412845612146241046457891017[[#This Row],[Type]],Main[[#All],[TYPE]:[UNIT]],'Unit Price'!H$1,FALSE),0)</f>
        <v>0</v>
      </c>
      <c r="K180" s="194">
        <f>IF(_1_5412845612146241046457891017[[#This Row],[Discount selection]]&gt;0,VLOOKUP(_1_5412845612146241046457891017[[#This Row],[Discount selection]],'Discount Structure'!$A$2:$B$30,2,"false"),0)</f>
        <v>1</v>
      </c>
      <c r="L180" s="194">
        <f>_1_5412845612146241046457891017[[#This Row],[LIST $]]*_1_5412845612146241046457891017[[#This Row],[DISCOUNT]]*_1_5412845612146241046457891017[[#This Row],[DISCOUNT 2]]</f>
        <v>0</v>
      </c>
      <c r="M180" s="194">
        <f>IF(OR(_1_5412845612146241046457891017[[#This Row],[UNIT]]&gt;0,_1_5412845612146241046457891017[[#This Row],[UNIT]]&lt;0),_1_5412845612146241046457891017[[#This Row],[UNIT]]*_1_5412845612146241046457891017[[#This Row],[COST]],0)</f>
        <v>0</v>
      </c>
      <c r="N180" s="194">
        <f t="shared" si="2"/>
        <v>1.35</v>
      </c>
      <c r="O180" s="198">
        <f>_1_5412845612146241046457891017[[#This Row],[TOTAL]]*_1_5412845612146241046457891017[[#This Row],[MARGIN]]</f>
        <v>0</v>
      </c>
      <c r="R180" s="41"/>
    </row>
    <row r="181" spans="2:18">
      <c r="C181" s="168"/>
      <c r="D181" s="188"/>
      <c r="F181" s="168" t="s">
        <v>6202</v>
      </c>
      <c r="G181" s="193">
        <f>IF(_1_5412845612146241046457891017[[#This Row],[Type]]&gt;0,VLOOKUP(_1_5412845612146241046457891017[[#This Row],[Type]],Main[[#All],[TYPE]:[UNIT]],'Unit Price'!C$1,FALSE),0)</f>
        <v>0</v>
      </c>
      <c r="H181" s="197">
        <f>IF(_1_5412845612146241046457891017[[#This Row],[Type]]&gt;0,VLOOKUP(_1_5412845612146241046457891017[[#This Row],[Type]],Main[[#All],[TYPE]:[UNIT]],'Unit Price'!D$1,FALSE),0)</f>
        <v>0</v>
      </c>
      <c r="I181" s="194">
        <f>IF(_1_5412845612146241046457891017[[#This Row],[Type]]&gt;0,VLOOKUP(_1_5412845612146241046457891017[[#This Row],[Type]],Main[[#All],[TYPE]:[UNIT]],'Unit Price'!G$1,FALSE),0)</f>
        <v>0</v>
      </c>
      <c r="J181" s="194">
        <f>IF(_1_5412845612146241046457891017[[#This Row],[Type]]&gt;0,VLOOKUP(_1_5412845612146241046457891017[[#This Row],[Type]],Main[[#All],[TYPE]:[UNIT]],'Unit Price'!H$1,FALSE),0)</f>
        <v>0</v>
      </c>
      <c r="K181" s="194">
        <f>IF(_1_5412845612146241046457891017[[#This Row],[Discount selection]]&gt;0,VLOOKUP(_1_5412845612146241046457891017[[#This Row],[Discount selection]],'Discount Structure'!$A$2:$B$30,2,"false"),0)</f>
        <v>1</v>
      </c>
      <c r="L181" s="194">
        <f>_1_5412845612146241046457891017[[#This Row],[LIST $]]*_1_5412845612146241046457891017[[#This Row],[DISCOUNT]]*_1_5412845612146241046457891017[[#This Row],[DISCOUNT 2]]</f>
        <v>0</v>
      </c>
      <c r="M181" s="194">
        <f>IF(OR(_1_5412845612146241046457891017[[#This Row],[UNIT]]&gt;0,_1_5412845612146241046457891017[[#This Row],[UNIT]]&lt;0),_1_5412845612146241046457891017[[#This Row],[UNIT]]*_1_5412845612146241046457891017[[#This Row],[COST]],0)</f>
        <v>0</v>
      </c>
      <c r="N181" s="194">
        <f t="shared" si="2"/>
        <v>1.35</v>
      </c>
      <c r="O181" s="198">
        <f>_1_5412845612146241046457891017[[#This Row],[TOTAL]]*_1_5412845612146241046457891017[[#This Row],[MARGIN]]</f>
        <v>0</v>
      </c>
      <c r="R181" s="41"/>
    </row>
    <row r="182" spans="2:18">
      <c r="C182" s="168"/>
      <c r="D182" s="188"/>
      <c r="F182" s="168" t="s">
        <v>6202</v>
      </c>
      <c r="G182" s="193">
        <f>IF(_1_5412845612146241046457891017[[#This Row],[Type]]&gt;0,VLOOKUP(_1_5412845612146241046457891017[[#This Row],[Type]],Main[[#All],[TYPE]:[UNIT]],'Unit Price'!C$1,FALSE),0)</f>
        <v>0</v>
      </c>
      <c r="H182" s="197">
        <f>IF(_1_5412845612146241046457891017[[#This Row],[Type]]&gt;0,VLOOKUP(_1_5412845612146241046457891017[[#This Row],[Type]],Main[[#All],[TYPE]:[UNIT]],'Unit Price'!D$1,FALSE),0)</f>
        <v>0</v>
      </c>
      <c r="I182" s="194">
        <f>IF(_1_5412845612146241046457891017[[#This Row],[Type]]&gt;0,VLOOKUP(_1_5412845612146241046457891017[[#This Row],[Type]],Main[[#All],[TYPE]:[UNIT]],'Unit Price'!G$1,FALSE),0)</f>
        <v>0</v>
      </c>
      <c r="J182" s="194">
        <f>IF(_1_5412845612146241046457891017[[#This Row],[Type]]&gt;0,VLOOKUP(_1_5412845612146241046457891017[[#This Row],[Type]],Main[[#All],[TYPE]:[UNIT]],'Unit Price'!H$1,FALSE),0)</f>
        <v>0</v>
      </c>
      <c r="K182" s="194">
        <f>IF(_1_5412845612146241046457891017[[#This Row],[Discount selection]]&gt;0,VLOOKUP(_1_5412845612146241046457891017[[#This Row],[Discount selection]],'Discount Structure'!$A$2:$B$30,2,"false"),0)</f>
        <v>1</v>
      </c>
      <c r="L182" s="194">
        <f>_1_5412845612146241046457891017[[#This Row],[LIST $]]*_1_5412845612146241046457891017[[#This Row],[DISCOUNT]]*_1_5412845612146241046457891017[[#This Row],[DISCOUNT 2]]</f>
        <v>0</v>
      </c>
      <c r="M182" s="194">
        <f>IF(OR(_1_5412845612146241046457891017[[#This Row],[UNIT]]&gt;0,_1_5412845612146241046457891017[[#This Row],[UNIT]]&lt;0),_1_5412845612146241046457891017[[#This Row],[UNIT]]*_1_5412845612146241046457891017[[#This Row],[COST]],0)</f>
        <v>0</v>
      </c>
      <c r="N182" s="194">
        <f t="shared" si="2"/>
        <v>1.35</v>
      </c>
      <c r="O182" s="198">
        <f>_1_5412845612146241046457891017[[#This Row],[TOTAL]]*_1_5412845612146241046457891017[[#This Row],[MARGIN]]</f>
        <v>0</v>
      </c>
      <c r="R182" s="41"/>
    </row>
    <row r="183" spans="2:18">
      <c r="C183" s="168"/>
      <c r="D183" s="188"/>
      <c r="F183" s="168" t="s">
        <v>6202</v>
      </c>
      <c r="G183" s="193">
        <f>IF(_1_5412845612146241046457891017[[#This Row],[Type]]&gt;0,VLOOKUP(_1_5412845612146241046457891017[[#This Row],[Type]],Main[[#All],[TYPE]:[UNIT]],'Unit Price'!C$1,FALSE),0)</f>
        <v>0</v>
      </c>
      <c r="H183" s="197">
        <f>IF(_1_5412845612146241046457891017[[#This Row],[Type]]&gt;0,VLOOKUP(_1_5412845612146241046457891017[[#This Row],[Type]],Main[[#All],[TYPE]:[UNIT]],'Unit Price'!D$1,FALSE),0)</f>
        <v>0</v>
      </c>
      <c r="I183" s="194">
        <f>IF(_1_5412845612146241046457891017[[#This Row],[Type]]&gt;0,VLOOKUP(_1_5412845612146241046457891017[[#This Row],[Type]],Main[[#All],[TYPE]:[UNIT]],'Unit Price'!G$1,FALSE),0)</f>
        <v>0</v>
      </c>
      <c r="J183" s="194">
        <f>IF(_1_5412845612146241046457891017[[#This Row],[Type]]&gt;0,VLOOKUP(_1_5412845612146241046457891017[[#This Row],[Type]],Main[[#All],[TYPE]:[UNIT]],'Unit Price'!H$1,FALSE),0)</f>
        <v>0</v>
      </c>
      <c r="K183" s="194">
        <f>IF(_1_5412845612146241046457891017[[#This Row],[Discount selection]]&gt;0,VLOOKUP(_1_5412845612146241046457891017[[#This Row],[Discount selection]],'Discount Structure'!$A$2:$B$30,2,"false"),0)</f>
        <v>1</v>
      </c>
      <c r="L183" s="194">
        <f>_1_5412845612146241046457891017[[#This Row],[LIST $]]*_1_5412845612146241046457891017[[#This Row],[DISCOUNT]]*_1_5412845612146241046457891017[[#This Row],[DISCOUNT 2]]</f>
        <v>0</v>
      </c>
      <c r="M183" s="194">
        <f>IF(OR(_1_5412845612146241046457891017[[#This Row],[UNIT]]&gt;0,_1_5412845612146241046457891017[[#This Row],[UNIT]]&lt;0),_1_5412845612146241046457891017[[#This Row],[UNIT]]*_1_5412845612146241046457891017[[#This Row],[COST]],0)</f>
        <v>0</v>
      </c>
      <c r="N183" s="194">
        <f t="shared" si="2"/>
        <v>1.35</v>
      </c>
      <c r="O183" s="198">
        <f>_1_5412845612146241046457891017[[#This Row],[TOTAL]]*_1_5412845612146241046457891017[[#This Row],[MARGIN]]</f>
        <v>0</v>
      </c>
      <c r="R183" s="41"/>
    </row>
    <row r="184" spans="2:18">
      <c r="C184" s="168"/>
      <c r="D184" s="188"/>
      <c r="F184" s="168" t="s">
        <v>6202</v>
      </c>
      <c r="G184" s="193">
        <f>IF(_1_5412845612146241046457891017[[#This Row],[Type]]&gt;0,VLOOKUP(_1_5412845612146241046457891017[[#This Row],[Type]],Main[[#All],[TYPE]:[UNIT]],'Unit Price'!C$1,FALSE),0)</f>
        <v>0</v>
      </c>
      <c r="H184" s="197">
        <f>IF(_1_5412845612146241046457891017[[#This Row],[Type]]&gt;0,VLOOKUP(_1_5412845612146241046457891017[[#This Row],[Type]],Main[[#All],[TYPE]:[UNIT]],'Unit Price'!D$1,FALSE),0)</f>
        <v>0</v>
      </c>
      <c r="I184" s="194">
        <f>IF(_1_5412845612146241046457891017[[#This Row],[Type]]&gt;0,VLOOKUP(_1_5412845612146241046457891017[[#This Row],[Type]],Main[[#All],[TYPE]:[UNIT]],'Unit Price'!G$1,FALSE),0)</f>
        <v>0</v>
      </c>
      <c r="J184" s="194">
        <f>IF(_1_5412845612146241046457891017[[#This Row],[Type]]&gt;0,VLOOKUP(_1_5412845612146241046457891017[[#This Row],[Type]],Main[[#All],[TYPE]:[UNIT]],'Unit Price'!H$1,FALSE),0)</f>
        <v>0</v>
      </c>
      <c r="K184" s="194">
        <f>IF(_1_5412845612146241046457891017[[#This Row],[Discount selection]]&gt;0,VLOOKUP(_1_5412845612146241046457891017[[#This Row],[Discount selection]],'Discount Structure'!$A$2:$B$30,2,"false"),0)</f>
        <v>1</v>
      </c>
      <c r="L184" s="194">
        <f>_1_5412845612146241046457891017[[#This Row],[LIST $]]*_1_5412845612146241046457891017[[#This Row],[DISCOUNT]]*_1_5412845612146241046457891017[[#This Row],[DISCOUNT 2]]</f>
        <v>0</v>
      </c>
      <c r="M184" s="194">
        <f>IF(OR(_1_5412845612146241046457891017[[#This Row],[UNIT]]&gt;0,_1_5412845612146241046457891017[[#This Row],[UNIT]]&lt;0),_1_5412845612146241046457891017[[#This Row],[UNIT]]*_1_5412845612146241046457891017[[#This Row],[COST]],0)</f>
        <v>0</v>
      </c>
      <c r="N184" s="194">
        <f t="shared" si="2"/>
        <v>1.35</v>
      </c>
      <c r="O184" s="198">
        <f>_1_5412845612146241046457891017[[#This Row],[TOTAL]]*_1_5412845612146241046457891017[[#This Row],[MARGIN]]</f>
        <v>0</v>
      </c>
      <c r="R184" s="41"/>
    </row>
    <row r="185" spans="2:18">
      <c r="C185" s="168"/>
      <c r="D185" s="188"/>
      <c r="F185" s="168" t="s">
        <v>6202</v>
      </c>
      <c r="G185" s="193">
        <f>IF(_1_5412845612146241046457891017[[#This Row],[Type]]&gt;0,VLOOKUP(_1_5412845612146241046457891017[[#This Row],[Type]],Main[[#All],[TYPE]:[UNIT]],'Unit Price'!C$1,FALSE),0)</f>
        <v>0</v>
      </c>
      <c r="H185" s="197">
        <f>IF(_1_5412845612146241046457891017[[#This Row],[Type]]&gt;0,VLOOKUP(_1_5412845612146241046457891017[[#This Row],[Type]],Main[[#All],[TYPE]:[UNIT]],'Unit Price'!D$1,FALSE),0)</f>
        <v>0</v>
      </c>
      <c r="I185" s="194">
        <f>IF(_1_5412845612146241046457891017[[#This Row],[Type]]&gt;0,VLOOKUP(_1_5412845612146241046457891017[[#This Row],[Type]],Main[[#All],[TYPE]:[UNIT]],'Unit Price'!G$1,FALSE),0)</f>
        <v>0</v>
      </c>
      <c r="J185" s="194">
        <f>IF(_1_5412845612146241046457891017[[#This Row],[Type]]&gt;0,VLOOKUP(_1_5412845612146241046457891017[[#This Row],[Type]],Main[[#All],[TYPE]:[UNIT]],'Unit Price'!H$1,FALSE),0)</f>
        <v>0</v>
      </c>
      <c r="K185" s="194">
        <f>IF(_1_5412845612146241046457891017[[#This Row],[Discount selection]]&gt;0,VLOOKUP(_1_5412845612146241046457891017[[#This Row],[Discount selection]],'Discount Structure'!$A$2:$B$30,2,"false"),0)</f>
        <v>1</v>
      </c>
      <c r="L185" s="194">
        <f>_1_5412845612146241046457891017[[#This Row],[LIST $]]*_1_5412845612146241046457891017[[#This Row],[DISCOUNT]]*_1_5412845612146241046457891017[[#This Row],[DISCOUNT 2]]</f>
        <v>0</v>
      </c>
      <c r="M185" s="194">
        <f>IF(OR(_1_5412845612146241046457891017[[#This Row],[UNIT]]&gt;0,_1_5412845612146241046457891017[[#This Row],[UNIT]]&lt;0),_1_5412845612146241046457891017[[#This Row],[UNIT]]*_1_5412845612146241046457891017[[#This Row],[COST]],0)</f>
        <v>0</v>
      </c>
      <c r="N185" s="194">
        <f t="shared" si="2"/>
        <v>1.35</v>
      </c>
      <c r="O185" s="198">
        <f>_1_5412845612146241046457891017[[#This Row],[TOTAL]]*_1_5412845612146241046457891017[[#This Row],[MARGIN]]</f>
        <v>0</v>
      </c>
      <c r="R185" s="41"/>
    </row>
    <row r="186" spans="2:18">
      <c r="C186" s="168"/>
      <c r="D186" s="188"/>
      <c r="F186" s="168" t="s">
        <v>6202</v>
      </c>
      <c r="G186" s="193">
        <f>IF(_1_5412845612146241046457891017[[#This Row],[Type]]&gt;0,VLOOKUP(_1_5412845612146241046457891017[[#This Row],[Type]],Main[[#All],[TYPE]:[UNIT]],'Unit Price'!C$1,FALSE),0)</f>
        <v>0</v>
      </c>
      <c r="H186" s="197">
        <f>IF(_1_5412845612146241046457891017[[#This Row],[Type]]&gt;0,VLOOKUP(_1_5412845612146241046457891017[[#This Row],[Type]],Main[[#All],[TYPE]:[UNIT]],'Unit Price'!D$1,FALSE),0)</f>
        <v>0</v>
      </c>
      <c r="I186" s="194">
        <f>IF(_1_5412845612146241046457891017[[#This Row],[Type]]&gt;0,VLOOKUP(_1_5412845612146241046457891017[[#This Row],[Type]],Main[[#All],[TYPE]:[UNIT]],'Unit Price'!G$1,FALSE),0)</f>
        <v>0</v>
      </c>
      <c r="J186" s="194">
        <f>IF(_1_5412845612146241046457891017[[#This Row],[Type]]&gt;0,VLOOKUP(_1_5412845612146241046457891017[[#This Row],[Type]],Main[[#All],[TYPE]:[UNIT]],'Unit Price'!H$1,FALSE),0)</f>
        <v>0</v>
      </c>
      <c r="K186" s="194">
        <f>IF(_1_5412845612146241046457891017[[#This Row],[Discount selection]]&gt;0,VLOOKUP(_1_5412845612146241046457891017[[#This Row],[Discount selection]],'Discount Structure'!$A$2:$B$30,2,"false"),0)</f>
        <v>1</v>
      </c>
      <c r="L186" s="194">
        <f>_1_5412845612146241046457891017[[#This Row],[LIST $]]*_1_5412845612146241046457891017[[#This Row],[DISCOUNT]]*_1_5412845612146241046457891017[[#This Row],[DISCOUNT 2]]</f>
        <v>0</v>
      </c>
      <c r="M186" s="194">
        <f>IF(OR(_1_5412845612146241046457891017[[#This Row],[UNIT]]&gt;0,_1_5412845612146241046457891017[[#This Row],[UNIT]]&lt;0),_1_5412845612146241046457891017[[#This Row],[UNIT]]*_1_5412845612146241046457891017[[#This Row],[COST]],0)</f>
        <v>0</v>
      </c>
      <c r="N186" s="194">
        <f t="shared" si="2"/>
        <v>1.35</v>
      </c>
      <c r="O186" s="198">
        <f>_1_5412845612146241046457891017[[#This Row],[TOTAL]]*_1_5412845612146241046457891017[[#This Row],[MARGIN]]</f>
        <v>0</v>
      </c>
      <c r="R186" s="41"/>
    </row>
    <row r="187" spans="2:18">
      <c r="C187" s="168"/>
      <c r="D187" s="188"/>
      <c r="F187" s="168" t="s">
        <v>6202</v>
      </c>
      <c r="G187" s="193">
        <f>IF(_1_5412845612146241046457891017[[#This Row],[Type]]&gt;0,VLOOKUP(_1_5412845612146241046457891017[[#This Row],[Type]],Main[[#All],[TYPE]:[UNIT]],'Unit Price'!C$1,FALSE),0)</f>
        <v>0</v>
      </c>
      <c r="H187" s="197">
        <f>IF(_1_5412845612146241046457891017[[#This Row],[Type]]&gt;0,VLOOKUP(_1_5412845612146241046457891017[[#This Row],[Type]],Main[[#All],[TYPE]:[UNIT]],'Unit Price'!D$1,FALSE),0)</f>
        <v>0</v>
      </c>
      <c r="I187" s="194">
        <f>IF(_1_5412845612146241046457891017[[#This Row],[Type]]&gt;0,VLOOKUP(_1_5412845612146241046457891017[[#This Row],[Type]],Main[[#All],[TYPE]:[UNIT]],'Unit Price'!G$1,FALSE),0)</f>
        <v>0</v>
      </c>
      <c r="J187" s="194">
        <f>IF(_1_5412845612146241046457891017[[#This Row],[Type]]&gt;0,VLOOKUP(_1_5412845612146241046457891017[[#This Row],[Type]],Main[[#All],[TYPE]:[UNIT]],'Unit Price'!H$1,FALSE),0)</f>
        <v>0</v>
      </c>
      <c r="K187" s="194">
        <f>IF(_1_5412845612146241046457891017[[#This Row],[Discount selection]]&gt;0,VLOOKUP(_1_5412845612146241046457891017[[#This Row],[Discount selection]],'Discount Structure'!$A$2:$B$30,2,"false"),0)</f>
        <v>1</v>
      </c>
      <c r="L187" s="194">
        <f>_1_5412845612146241046457891017[[#This Row],[LIST $]]*_1_5412845612146241046457891017[[#This Row],[DISCOUNT]]*_1_5412845612146241046457891017[[#This Row],[DISCOUNT 2]]</f>
        <v>0</v>
      </c>
      <c r="M187" s="194">
        <f>IF(OR(_1_5412845612146241046457891017[[#This Row],[UNIT]]&gt;0,_1_5412845612146241046457891017[[#This Row],[UNIT]]&lt;0),_1_5412845612146241046457891017[[#This Row],[UNIT]]*_1_5412845612146241046457891017[[#This Row],[COST]],0)</f>
        <v>0</v>
      </c>
      <c r="N187" s="194">
        <f t="shared" si="2"/>
        <v>1.35</v>
      </c>
      <c r="O187" s="198">
        <f>_1_5412845612146241046457891017[[#This Row],[TOTAL]]*_1_5412845612146241046457891017[[#This Row],[MARGIN]]</f>
        <v>0</v>
      </c>
      <c r="R187" s="41"/>
    </row>
    <row r="188" spans="2:18">
      <c r="B188" s="168"/>
      <c r="C188" s="168"/>
      <c r="D188" s="188"/>
      <c r="F188" s="168" t="s">
        <v>6202</v>
      </c>
      <c r="G188" s="193">
        <f>IF(_1_5412845612146241046457891017[[#This Row],[Type]]&gt;0,VLOOKUP(_1_5412845612146241046457891017[[#This Row],[Type]],Main[[#All],[TYPE]:[UNIT]],'Unit Price'!C$1,FALSE),0)</f>
        <v>0</v>
      </c>
      <c r="H188" s="197">
        <f>IF(_1_5412845612146241046457891017[[#This Row],[Type]]&gt;0,VLOOKUP(_1_5412845612146241046457891017[[#This Row],[Type]],Main[[#All],[TYPE]:[UNIT]],'Unit Price'!D$1,FALSE),0)</f>
        <v>0</v>
      </c>
      <c r="I188" s="194">
        <f>IF(_1_5412845612146241046457891017[[#This Row],[Type]]&gt;0,VLOOKUP(_1_5412845612146241046457891017[[#This Row],[Type]],Main[[#All],[TYPE]:[UNIT]],'Unit Price'!G$1,FALSE),0)</f>
        <v>0</v>
      </c>
      <c r="J188" s="194">
        <f>IF(_1_5412845612146241046457891017[[#This Row],[Type]]&gt;0,VLOOKUP(_1_5412845612146241046457891017[[#This Row],[Type]],Main[[#All],[TYPE]:[UNIT]],'Unit Price'!H$1,FALSE),0)</f>
        <v>0</v>
      </c>
      <c r="K188" s="194">
        <f>IF(_1_5412845612146241046457891017[[#This Row],[Discount selection]]&gt;0,VLOOKUP(_1_5412845612146241046457891017[[#This Row],[Discount selection]],'Discount Structure'!$A$2:$B$30,2,"false"),0)</f>
        <v>1</v>
      </c>
      <c r="L188" s="194">
        <f>_1_5412845612146241046457891017[[#This Row],[LIST $]]*_1_5412845612146241046457891017[[#This Row],[DISCOUNT]]*_1_5412845612146241046457891017[[#This Row],[DISCOUNT 2]]</f>
        <v>0</v>
      </c>
      <c r="M188" s="194">
        <f>IF(OR(_1_5412845612146241046457891017[[#This Row],[UNIT]]&gt;0,_1_5412845612146241046457891017[[#This Row],[UNIT]]&lt;0),_1_5412845612146241046457891017[[#This Row],[UNIT]]*_1_5412845612146241046457891017[[#This Row],[COST]],0)</f>
        <v>0</v>
      </c>
      <c r="N188" s="194">
        <f t="shared" si="2"/>
        <v>1.35</v>
      </c>
      <c r="O188" s="198">
        <f>_1_5412845612146241046457891017[[#This Row],[TOTAL]]*_1_5412845612146241046457891017[[#This Row],[MARGIN]]</f>
        <v>0</v>
      </c>
      <c r="R188" s="41"/>
    </row>
    <row r="189" spans="2:18">
      <c r="C189" s="168"/>
      <c r="D189" s="188"/>
      <c r="F189" s="168" t="s">
        <v>6202</v>
      </c>
      <c r="G189" s="193">
        <f>IF(_1_5412845612146241046457891017[[#This Row],[Type]]&gt;0,VLOOKUP(_1_5412845612146241046457891017[[#This Row],[Type]],Main[[#All],[TYPE]:[UNIT]],'Unit Price'!C$1,FALSE),0)</f>
        <v>0</v>
      </c>
      <c r="H189" s="197">
        <f>IF(_1_5412845612146241046457891017[[#This Row],[Type]]&gt;0,VLOOKUP(_1_5412845612146241046457891017[[#This Row],[Type]],Main[[#All],[TYPE]:[UNIT]],'Unit Price'!D$1,FALSE),0)</f>
        <v>0</v>
      </c>
      <c r="I189" s="194">
        <f>IF(_1_5412845612146241046457891017[[#This Row],[Type]]&gt;0,VLOOKUP(_1_5412845612146241046457891017[[#This Row],[Type]],Main[[#All],[TYPE]:[UNIT]],'Unit Price'!G$1,FALSE),0)</f>
        <v>0</v>
      </c>
      <c r="J189" s="194">
        <f>IF(_1_5412845612146241046457891017[[#This Row],[Type]]&gt;0,VLOOKUP(_1_5412845612146241046457891017[[#This Row],[Type]],Main[[#All],[TYPE]:[UNIT]],'Unit Price'!H$1,FALSE),0)</f>
        <v>0</v>
      </c>
      <c r="K189" s="194">
        <f>IF(_1_5412845612146241046457891017[[#This Row],[Discount selection]]&gt;0,VLOOKUP(_1_5412845612146241046457891017[[#This Row],[Discount selection]],'Discount Structure'!$A$2:$B$30,2,"false"),0)</f>
        <v>1</v>
      </c>
      <c r="L189" s="194">
        <f>_1_5412845612146241046457891017[[#This Row],[LIST $]]*_1_5412845612146241046457891017[[#This Row],[DISCOUNT]]*_1_5412845612146241046457891017[[#This Row],[DISCOUNT 2]]</f>
        <v>0</v>
      </c>
      <c r="M189" s="194">
        <f>IF(OR(_1_5412845612146241046457891017[[#This Row],[UNIT]]&gt;0,_1_5412845612146241046457891017[[#This Row],[UNIT]]&lt;0),_1_5412845612146241046457891017[[#This Row],[UNIT]]*_1_5412845612146241046457891017[[#This Row],[COST]],0)</f>
        <v>0</v>
      </c>
      <c r="N189" s="194">
        <f t="shared" si="2"/>
        <v>1.35</v>
      </c>
      <c r="O189" s="198">
        <f>_1_5412845612146241046457891017[[#This Row],[TOTAL]]*_1_5412845612146241046457891017[[#This Row],[MARGIN]]</f>
        <v>0</v>
      </c>
      <c r="R189" s="41"/>
    </row>
    <row r="190" spans="2:18">
      <c r="C190" s="168"/>
      <c r="D190" s="188"/>
      <c r="F190" s="168" t="s">
        <v>6202</v>
      </c>
      <c r="G190" s="193">
        <f>IF(_1_5412845612146241046457891017[[#This Row],[Type]]&gt;0,VLOOKUP(_1_5412845612146241046457891017[[#This Row],[Type]],Main[[#All],[TYPE]:[UNIT]],'Unit Price'!C$1,FALSE),0)</f>
        <v>0</v>
      </c>
      <c r="H190" s="197">
        <f>IF(_1_5412845612146241046457891017[[#This Row],[Type]]&gt;0,VLOOKUP(_1_5412845612146241046457891017[[#This Row],[Type]],Main[[#All],[TYPE]:[UNIT]],'Unit Price'!D$1,FALSE),0)</f>
        <v>0</v>
      </c>
      <c r="I190" s="194">
        <f>IF(_1_5412845612146241046457891017[[#This Row],[Type]]&gt;0,VLOOKUP(_1_5412845612146241046457891017[[#This Row],[Type]],Main[[#All],[TYPE]:[UNIT]],'Unit Price'!G$1,FALSE),0)</f>
        <v>0</v>
      </c>
      <c r="J190" s="194">
        <f>IF(_1_5412845612146241046457891017[[#This Row],[Type]]&gt;0,VLOOKUP(_1_5412845612146241046457891017[[#This Row],[Type]],Main[[#All],[TYPE]:[UNIT]],'Unit Price'!H$1,FALSE),0)</f>
        <v>0</v>
      </c>
      <c r="K190" s="194">
        <f>IF(_1_5412845612146241046457891017[[#This Row],[Discount selection]]&gt;0,VLOOKUP(_1_5412845612146241046457891017[[#This Row],[Discount selection]],'Discount Structure'!$A$2:$B$30,2,"false"),0)</f>
        <v>1</v>
      </c>
      <c r="L190" s="194">
        <f>_1_5412845612146241046457891017[[#This Row],[LIST $]]*_1_5412845612146241046457891017[[#This Row],[DISCOUNT]]*_1_5412845612146241046457891017[[#This Row],[DISCOUNT 2]]</f>
        <v>0</v>
      </c>
      <c r="M190" s="194">
        <f>IF(OR(_1_5412845612146241046457891017[[#This Row],[UNIT]]&gt;0,_1_5412845612146241046457891017[[#This Row],[UNIT]]&lt;0),_1_5412845612146241046457891017[[#This Row],[UNIT]]*_1_5412845612146241046457891017[[#This Row],[COST]],0)</f>
        <v>0</v>
      </c>
      <c r="N190" s="194">
        <f t="shared" si="2"/>
        <v>1.35</v>
      </c>
      <c r="O190" s="198">
        <f>_1_5412845612146241046457891017[[#This Row],[TOTAL]]*_1_5412845612146241046457891017[[#This Row],[MARGIN]]</f>
        <v>0</v>
      </c>
      <c r="R190" s="41"/>
    </row>
    <row r="191" spans="2:18">
      <c r="C191" s="168"/>
      <c r="D191" s="188"/>
      <c r="F191" s="168" t="s">
        <v>6202</v>
      </c>
      <c r="G191" s="193">
        <f>IF(_1_5412845612146241046457891017[[#This Row],[Type]]&gt;0,VLOOKUP(_1_5412845612146241046457891017[[#This Row],[Type]],Main[[#All],[TYPE]:[UNIT]],'Unit Price'!C$1,FALSE),0)</f>
        <v>0</v>
      </c>
      <c r="H191" s="197">
        <f>IF(_1_5412845612146241046457891017[[#This Row],[Type]]&gt;0,VLOOKUP(_1_5412845612146241046457891017[[#This Row],[Type]],Main[[#All],[TYPE]:[UNIT]],'Unit Price'!D$1,FALSE),0)</f>
        <v>0</v>
      </c>
      <c r="I191" s="194">
        <f>IF(_1_5412845612146241046457891017[[#This Row],[Type]]&gt;0,VLOOKUP(_1_5412845612146241046457891017[[#This Row],[Type]],Main[[#All],[TYPE]:[UNIT]],'Unit Price'!G$1,FALSE),0)</f>
        <v>0</v>
      </c>
      <c r="J191" s="194">
        <f>IF(_1_5412845612146241046457891017[[#This Row],[Type]]&gt;0,VLOOKUP(_1_5412845612146241046457891017[[#This Row],[Type]],Main[[#All],[TYPE]:[UNIT]],'Unit Price'!H$1,FALSE),0)</f>
        <v>0</v>
      </c>
      <c r="K191" s="194">
        <f>IF(_1_5412845612146241046457891017[[#This Row],[Discount selection]]&gt;0,VLOOKUP(_1_5412845612146241046457891017[[#This Row],[Discount selection]],'Discount Structure'!$A$2:$B$30,2,"false"),0)</f>
        <v>1</v>
      </c>
      <c r="L191" s="194">
        <f>_1_5412845612146241046457891017[[#This Row],[LIST $]]*_1_5412845612146241046457891017[[#This Row],[DISCOUNT]]*_1_5412845612146241046457891017[[#This Row],[DISCOUNT 2]]</f>
        <v>0</v>
      </c>
      <c r="M191" s="194">
        <f>IF(OR(_1_5412845612146241046457891017[[#This Row],[UNIT]]&gt;0,_1_5412845612146241046457891017[[#This Row],[UNIT]]&lt;0),_1_5412845612146241046457891017[[#This Row],[UNIT]]*_1_5412845612146241046457891017[[#This Row],[COST]],0)</f>
        <v>0</v>
      </c>
      <c r="N191" s="194">
        <f t="shared" si="2"/>
        <v>1.35</v>
      </c>
      <c r="O191" s="198">
        <f>_1_5412845612146241046457891017[[#This Row],[TOTAL]]*_1_5412845612146241046457891017[[#This Row],[MARGIN]]</f>
        <v>0</v>
      </c>
      <c r="R191" s="41"/>
    </row>
    <row r="192" spans="2:18">
      <c r="C192" s="168"/>
      <c r="D192" s="188"/>
      <c r="F192" s="168" t="s">
        <v>6202</v>
      </c>
      <c r="G192" s="193">
        <f>IF(_1_5412845612146241046457891017[[#This Row],[Type]]&gt;0,VLOOKUP(_1_5412845612146241046457891017[[#This Row],[Type]],Main[[#All],[TYPE]:[UNIT]],'Unit Price'!C$1,FALSE),0)</f>
        <v>0</v>
      </c>
      <c r="H192" s="197">
        <f>IF(_1_5412845612146241046457891017[[#This Row],[Type]]&gt;0,VLOOKUP(_1_5412845612146241046457891017[[#This Row],[Type]],Main[[#All],[TYPE]:[UNIT]],'Unit Price'!D$1,FALSE),0)</f>
        <v>0</v>
      </c>
      <c r="I192" s="194">
        <f>IF(_1_5412845612146241046457891017[[#This Row],[Type]]&gt;0,VLOOKUP(_1_5412845612146241046457891017[[#This Row],[Type]],Main[[#All],[TYPE]:[UNIT]],'Unit Price'!G$1,FALSE),0)</f>
        <v>0</v>
      </c>
      <c r="J192" s="194">
        <f>IF(_1_5412845612146241046457891017[[#This Row],[Type]]&gt;0,VLOOKUP(_1_5412845612146241046457891017[[#This Row],[Type]],Main[[#All],[TYPE]:[UNIT]],'Unit Price'!H$1,FALSE),0)</f>
        <v>0</v>
      </c>
      <c r="K192" s="194">
        <f>IF(_1_5412845612146241046457891017[[#This Row],[Discount selection]]&gt;0,VLOOKUP(_1_5412845612146241046457891017[[#This Row],[Discount selection]],'Discount Structure'!$A$2:$B$30,2,"false"),0)</f>
        <v>1</v>
      </c>
      <c r="L192" s="194">
        <f>_1_5412845612146241046457891017[[#This Row],[LIST $]]*_1_5412845612146241046457891017[[#This Row],[DISCOUNT]]*_1_5412845612146241046457891017[[#This Row],[DISCOUNT 2]]</f>
        <v>0</v>
      </c>
      <c r="M192" s="194">
        <f>IF(OR(_1_5412845612146241046457891017[[#This Row],[UNIT]]&gt;0,_1_5412845612146241046457891017[[#This Row],[UNIT]]&lt;0),_1_5412845612146241046457891017[[#This Row],[UNIT]]*_1_5412845612146241046457891017[[#This Row],[COST]],0)</f>
        <v>0</v>
      </c>
      <c r="N192" s="194">
        <f t="shared" si="2"/>
        <v>1.35</v>
      </c>
      <c r="O192" s="198">
        <f>_1_5412845612146241046457891017[[#This Row],[TOTAL]]*_1_5412845612146241046457891017[[#This Row],[MARGIN]]</f>
        <v>0</v>
      </c>
      <c r="R192" s="41"/>
    </row>
    <row r="193" spans="1:18">
      <c r="A193" s="168"/>
      <c r="C193" s="168"/>
      <c r="D193" s="188"/>
      <c r="F193" s="168" t="s">
        <v>6202</v>
      </c>
      <c r="G193" s="193">
        <f>IF(_1_5412845612146241046457891017[[#This Row],[Type]]&gt;0,VLOOKUP(_1_5412845612146241046457891017[[#This Row],[Type]],Main[[#All],[TYPE]:[UNIT]],'Unit Price'!C$1,FALSE),0)</f>
        <v>0</v>
      </c>
      <c r="H193" s="197">
        <f>IF(_1_5412845612146241046457891017[[#This Row],[Type]]&gt;0,VLOOKUP(_1_5412845612146241046457891017[[#This Row],[Type]],Main[[#All],[TYPE]:[UNIT]],'Unit Price'!D$1,FALSE),0)</f>
        <v>0</v>
      </c>
      <c r="I193" s="194">
        <f>IF(_1_5412845612146241046457891017[[#This Row],[Type]]&gt;0,VLOOKUP(_1_5412845612146241046457891017[[#This Row],[Type]],Main[[#All],[TYPE]:[UNIT]],'Unit Price'!G$1,FALSE),0)</f>
        <v>0</v>
      </c>
      <c r="J193" s="194">
        <f>IF(_1_5412845612146241046457891017[[#This Row],[Type]]&gt;0,VLOOKUP(_1_5412845612146241046457891017[[#This Row],[Type]],Main[[#All],[TYPE]:[UNIT]],'Unit Price'!H$1,FALSE),0)</f>
        <v>0</v>
      </c>
      <c r="K193" s="194">
        <f>IF(_1_5412845612146241046457891017[[#This Row],[Discount selection]]&gt;0,VLOOKUP(_1_5412845612146241046457891017[[#This Row],[Discount selection]],'Discount Structure'!$A$2:$B$30,2,"false"),0)</f>
        <v>1</v>
      </c>
      <c r="L193" s="194">
        <f>_1_5412845612146241046457891017[[#This Row],[LIST $]]*_1_5412845612146241046457891017[[#This Row],[DISCOUNT]]*_1_5412845612146241046457891017[[#This Row],[DISCOUNT 2]]</f>
        <v>0</v>
      </c>
      <c r="M193" s="194">
        <f>IF(OR(_1_5412845612146241046457891017[[#This Row],[UNIT]]&gt;0,_1_5412845612146241046457891017[[#This Row],[UNIT]]&lt;0),_1_5412845612146241046457891017[[#This Row],[UNIT]]*_1_5412845612146241046457891017[[#This Row],[COST]],0)</f>
        <v>0</v>
      </c>
      <c r="N193" s="194">
        <f t="shared" si="2"/>
        <v>1.35</v>
      </c>
      <c r="O193" s="198">
        <f>_1_5412845612146241046457891017[[#This Row],[TOTAL]]*_1_5412845612146241046457891017[[#This Row],[MARGIN]]</f>
        <v>0</v>
      </c>
      <c r="R193" s="41"/>
    </row>
    <row r="194" spans="1:18">
      <c r="C194" s="168"/>
      <c r="D194" s="188"/>
      <c r="F194" s="168" t="s">
        <v>6202</v>
      </c>
      <c r="G194" s="193">
        <f>IF(_1_5412845612146241046457891017[[#This Row],[Type]]&gt;0,VLOOKUP(_1_5412845612146241046457891017[[#This Row],[Type]],Main[[#All],[TYPE]:[UNIT]],'Unit Price'!C$1,FALSE),0)</f>
        <v>0</v>
      </c>
      <c r="H194" s="197">
        <f>IF(_1_5412845612146241046457891017[[#This Row],[Type]]&gt;0,VLOOKUP(_1_5412845612146241046457891017[[#This Row],[Type]],Main[[#All],[TYPE]:[UNIT]],'Unit Price'!D$1,FALSE),0)</f>
        <v>0</v>
      </c>
      <c r="I194" s="194">
        <f>IF(_1_5412845612146241046457891017[[#This Row],[Type]]&gt;0,VLOOKUP(_1_5412845612146241046457891017[[#This Row],[Type]],Main[[#All],[TYPE]:[UNIT]],'Unit Price'!G$1,FALSE),0)</f>
        <v>0</v>
      </c>
      <c r="J194" s="194">
        <f>IF(_1_5412845612146241046457891017[[#This Row],[Type]]&gt;0,VLOOKUP(_1_5412845612146241046457891017[[#This Row],[Type]],Main[[#All],[TYPE]:[UNIT]],'Unit Price'!H$1,FALSE),0)</f>
        <v>0</v>
      </c>
      <c r="K194" s="194">
        <f>IF(_1_5412845612146241046457891017[[#This Row],[Discount selection]]&gt;0,VLOOKUP(_1_5412845612146241046457891017[[#This Row],[Discount selection]],'Discount Structure'!$A$2:$B$30,2,"false"),0)</f>
        <v>1</v>
      </c>
      <c r="L194" s="194">
        <f>_1_5412845612146241046457891017[[#This Row],[LIST $]]*_1_5412845612146241046457891017[[#This Row],[DISCOUNT]]*_1_5412845612146241046457891017[[#This Row],[DISCOUNT 2]]</f>
        <v>0</v>
      </c>
      <c r="M194" s="194">
        <f>IF(OR(_1_5412845612146241046457891017[[#This Row],[UNIT]]&gt;0,_1_5412845612146241046457891017[[#This Row],[UNIT]]&lt;0),_1_5412845612146241046457891017[[#This Row],[UNIT]]*_1_5412845612146241046457891017[[#This Row],[COST]],0)</f>
        <v>0</v>
      </c>
      <c r="N194" s="194">
        <f t="shared" si="2"/>
        <v>1.35</v>
      </c>
      <c r="O194" s="198">
        <f>_1_5412845612146241046457891017[[#This Row],[TOTAL]]*_1_5412845612146241046457891017[[#This Row],[MARGIN]]</f>
        <v>0</v>
      </c>
      <c r="R194" s="41"/>
    </row>
    <row r="195" spans="1:18">
      <c r="C195" s="168"/>
      <c r="D195" s="188"/>
      <c r="F195" s="168" t="s">
        <v>6202</v>
      </c>
      <c r="G195" s="193">
        <f>IF(_1_5412845612146241046457891017[[#This Row],[Type]]&gt;0,VLOOKUP(_1_5412845612146241046457891017[[#This Row],[Type]],Main[[#All],[TYPE]:[UNIT]],'Unit Price'!C$1,FALSE),0)</f>
        <v>0</v>
      </c>
      <c r="H195" s="197">
        <f>IF(_1_5412845612146241046457891017[[#This Row],[Type]]&gt;0,VLOOKUP(_1_5412845612146241046457891017[[#This Row],[Type]],Main[[#All],[TYPE]:[UNIT]],'Unit Price'!D$1,FALSE),0)</f>
        <v>0</v>
      </c>
      <c r="I195" s="194">
        <f>IF(_1_5412845612146241046457891017[[#This Row],[Type]]&gt;0,VLOOKUP(_1_5412845612146241046457891017[[#This Row],[Type]],Main[[#All],[TYPE]:[UNIT]],'Unit Price'!G$1,FALSE),0)</f>
        <v>0</v>
      </c>
      <c r="J195" s="194">
        <f>IF(_1_5412845612146241046457891017[[#This Row],[Type]]&gt;0,VLOOKUP(_1_5412845612146241046457891017[[#This Row],[Type]],Main[[#All],[TYPE]:[UNIT]],'Unit Price'!H$1,FALSE),0)</f>
        <v>0</v>
      </c>
      <c r="K195" s="194">
        <f>IF(_1_5412845612146241046457891017[[#This Row],[Discount selection]]&gt;0,VLOOKUP(_1_5412845612146241046457891017[[#This Row],[Discount selection]],'Discount Structure'!$A$2:$B$30,2,"false"),0)</f>
        <v>1</v>
      </c>
      <c r="L195" s="194">
        <f>_1_5412845612146241046457891017[[#This Row],[LIST $]]*_1_5412845612146241046457891017[[#This Row],[DISCOUNT]]*_1_5412845612146241046457891017[[#This Row],[DISCOUNT 2]]</f>
        <v>0</v>
      </c>
      <c r="M195" s="194">
        <f>IF(OR(_1_5412845612146241046457891017[[#This Row],[UNIT]]&gt;0,_1_5412845612146241046457891017[[#This Row],[UNIT]]&lt;0),_1_5412845612146241046457891017[[#This Row],[UNIT]]*_1_5412845612146241046457891017[[#This Row],[COST]],0)</f>
        <v>0</v>
      </c>
      <c r="N195" s="194">
        <f t="shared" si="2"/>
        <v>1.35</v>
      </c>
      <c r="O195" s="198">
        <f>_1_5412845612146241046457891017[[#This Row],[TOTAL]]*_1_5412845612146241046457891017[[#This Row],[MARGIN]]</f>
        <v>0</v>
      </c>
      <c r="R195" s="41"/>
    </row>
    <row r="196" spans="1:18">
      <c r="C196" s="168"/>
      <c r="D196" s="188"/>
      <c r="F196" s="168" t="s">
        <v>6202</v>
      </c>
      <c r="G196" s="193">
        <f>IF(_1_5412845612146241046457891017[[#This Row],[Type]]&gt;0,VLOOKUP(_1_5412845612146241046457891017[[#This Row],[Type]],Main[[#All],[TYPE]:[UNIT]],'Unit Price'!C$1,FALSE),0)</f>
        <v>0</v>
      </c>
      <c r="H196" s="197">
        <f>IF(_1_5412845612146241046457891017[[#This Row],[Type]]&gt;0,VLOOKUP(_1_5412845612146241046457891017[[#This Row],[Type]],Main[[#All],[TYPE]:[UNIT]],'Unit Price'!D$1,FALSE),0)</f>
        <v>0</v>
      </c>
      <c r="I196" s="194">
        <f>IF(_1_5412845612146241046457891017[[#This Row],[Type]]&gt;0,VLOOKUP(_1_5412845612146241046457891017[[#This Row],[Type]],Main[[#All],[TYPE]:[UNIT]],'Unit Price'!G$1,FALSE),0)</f>
        <v>0</v>
      </c>
      <c r="J196" s="194">
        <f>IF(_1_5412845612146241046457891017[[#This Row],[Type]]&gt;0,VLOOKUP(_1_5412845612146241046457891017[[#This Row],[Type]],Main[[#All],[TYPE]:[UNIT]],'Unit Price'!H$1,FALSE),0)</f>
        <v>0</v>
      </c>
      <c r="K196" s="194">
        <f>IF(_1_5412845612146241046457891017[[#This Row],[Discount selection]]&gt;0,VLOOKUP(_1_5412845612146241046457891017[[#This Row],[Discount selection]],'Discount Structure'!$A$2:$B$30,2,"false"),0)</f>
        <v>1</v>
      </c>
      <c r="L196" s="194">
        <f>_1_5412845612146241046457891017[[#This Row],[LIST $]]*_1_5412845612146241046457891017[[#This Row],[DISCOUNT]]*_1_5412845612146241046457891017[[#This Row],[DISCOUNT 2]]</f>
        <v>0</v>
      </c>
      <c r="M196" s="194">
        <f>IF(OR(_1_5412845612146241046457891017[[#This Row],[UNIT]]&gt;0,_1_5412845612146241046457891017[[#This Row],[UNIT]]&lt;0),_1_5412845612146241046457891017[[#This Row],[UNIT]]*_1_5412845612146241046457891017[[#This Row],[COST]],0)</f>
        <v>0</v>
      </c>
      <c r="N196" s="194">
        <f t="shared" si="2"/>
        <v>1.35</v>
      </c>
      <c r="O196" s="198">
        <f>_1_5412845612146241046457891017[[#This Row],[TOTAL]]*_1_5412845612146241046457891017[[#This Row],[MARGIN]]</f>
        <v>0</v>
      </c>
      <c r="R196" s="41"/>
    </row>
    <row r="197" spans="1:18">
      <c r="A197" s="168"/>
      <c r="C197" s="168"/>
      <c r="D197" s="188"/>
      <c r="F197" s="168" t="s">
        <v>6202</v>
      </c>
      <c r="G197" s="193">
        <f>IF(_1_5412845612146241046457891017[[#This Row],[Type]]&gt;0,VLOOKUP(_1_5412845612146241046457891017[[#This Row],[Type]],Main[[#All],[TYPE]:[UNIT]],'Unit Price'!C$1,FALSE),0)</f>
        <v>0</v>
      </c>
      <c r="H197" s="197">
        <f>IF(_1_5412845612146241046457891017[[#This Row],[Type]]&gt;0,VLOOKUP(_1_5412845612146241046457891017[[#This Row],[Type]],Main[[#All],[TYPE]:[UNIT]],'Unit Price'!D$1,FALSE),0)</f>
        <v>0</v>
      </c>
      <c r="I197" s="194">
        <f>IF(_1_5412845612146241046457891017[[#This Row],[Type]]&gt;0,VLOOKUP(_1_5412845612146241046457891017[[#This Row],[Type]],Main[[#All],[TYPE]:[UNIT]],'Unit Price'!G$1,FALSE),0)</f>
        <v>0</v>
      </c>
      <c r="J197" s="194">
        <f>IF(_1_5412845612146241046457891017[[#This Row],[Type]]&gt;0,VLOOKUP(_1_5412845612146241046457891017[[#This Row],[Type]],Main[[#All],[TYPE]:[UNIT]],'Unit Price'!H$1,FALSE),0)</f>
        <v>0</v>
      </c>
      <c r="K197" s="194">
        <f>IF(_1_5412845612146241046457891017[[#This Row],[Discount selection]]&gt;0,VLOOKUP(_1_5412845612146241046457891017[[#This Row],[Discount selection]],'Discount Structure'!$A$2:$B$30,2,"false"),0)</f>
        <v>1</v>
      </c>
      <c r="L197" s="194">
        <f>_1_5412845612146241046457891017[[#This Row],[LIST $]]*_1_5412845612146241046457891017[[#This Row],[DISCOUNT]]*_1_5412845612146241046457891017[[#This Row],[DISCOUNT 2]]</f>
        <v>0</v>
      </c>
      <c r="M197" s="194">
        <f>IF(OR(_1_5412845612146241046457891017[[#This Row],[UNIT]]&gt;0,_1_5412845612146241046457891017[[#This Row],[UNIT]]&lt;0),_1_5412845612146241046457891017[[#This Row],[UNIT]]*_1_5412845612146241046457891017[[#This Row],[COST]],0)</f>
        <v>0</v>
      </c>
      <c r="N197" s="194">
        <f t="shared" si="2"/>
        <v>1.35</v>
      </c>
      <c r="O197" s="198">
        <f>_1_5412845612146241046457891017[[#This Row],[TOTAL]]*_1_5412845612146241046457891017[[#This Row],[MARGIN]]</f>
        <v>0</v>
      </c>
      <c r="R197" s="41"/>
    </row>
    <row r="198" spans="1:18">
      <c r="C198" s="168"/>
      <c r="D198" s="188"/>
      <c r="F198" s="168" t="s">
        <v>6202</v>
      </c>
      <c r="G198" s="193">
        <f>IF(_1_5412845612146241046457891017[[#This Row],[Type]]&gt;0,VLOOKUP(_1_5412845612146241046457891017[[#This Row],[Type]],Main[[#All],[TYPE]:[UNIT]],'Unit Price'!C$1,FALSE),0)</f>
        <v>0</v>
      </c>
      <c r="H198" s="197">
        <f>IF(_1_5412845612146241046457891017[[#This Row],[Type]]&gt;0,VLOOKUP(_1_5412845612146241046457891017[[#This Row],[Type]],Main[[#All],[TYPE]:[UNIT]],'Unit Price'!D$1,FALSE),0)</f>
        <v>0</v>
      </c>
      <c r="I198" s="194">
        <f>IF(_1_5412845612146241046457891017[[#This Row],[Type]]&gt;0,VLOOKUP(_1_5412845612146241046457891017[[#This Row],[Type]],Main[[#All],[TYPE]:[UNIT]],'Unit Price'!G$1,FALSE),0)</f>
        <v>0</v>
      </c>
      <c r="J198" s="194">
        <f>IF(_1_5412845612146241046457891017[[#This Row],[Type]]&gt;0,VLOOKUP(_1_5412845612146241046457891017[[#This Row],[Type]],Main[[#All],[TYPE]:[UNIT]],'Unit Price'!H$1,FALSE),0)</f>
        <v>0</v>
      </c>
      <c r="K198" s="194">
        <f>IF(_1_5412845612146241046457891017[[#This Row],[Discount selection]]&gt;0,VLOOKUP(_1_5412845612146241046457891017[[#This Row],[Discount selection]],'Discount Structure'!$A$2:$B$30,2,"false"),0)</f>
        <v>1</v>
      </c>
      <c r="L198" s="194">
        <f>_1_5412845612146241046457891017[[#This Row],[LIST $]]*_1_5412845612146241046457891017[[#This Row],[DISCOUNT]]*_1_5412845612146241046457891017[[#This Row],[DISCOUNT 2]]</f>
        <v>0</v>
      </c>
      <c r="M198" s="194">
        <f>IF(OR(_1_5412845612146241046457891017[[#This Row],[UNIT]]&gt;0,_1_5412845612146241046457891017[[#This Row],[UNIT]]&lt;0),_1_5412845612146241046457891017[[#This Row],[UNIT]]*_1_5412845612146241046457891017[[#This Row],[COST]],0)</f>
        <v>0</v>
      </c>
      <c r="N198" s="194">
        <f t="shared" si="2"/>
        <v>1.35</v>
      </c>
      <c r="O198" s="198">
        <f>_1_5412845612146241046457891017[[#This Row],[TOTAL]]*_1_5412845612146241046457891017[[#This Row],[MARGIN]]</f>
        <v>0</v>
      </c>
      <c r="R198" s="41"/>
    </row>
    <row r="199" spans="1:18">
      <c r="C199" s="168"/>
      <c r="D199" s="188"/>
      <c r="F199" s="168" t="s">
        <v>6202</v>
      </c>
      <c r="G199" s="193">
        <f>IF(_1_5412845612146241046457891017[[#This Row],[Type]]&gt;0,VLOOKUP(_1_5412845612146241046457891017[[#This Row],[Type]],Main[[#All],[TYPE]:[UNIT]],'Unit Price'!C$1,FALSE),0)</f>
        <v>0</v>
      </c>
      <c r="H199" s="197">
        <f>IF(_1_5412845612146241046457891017[[#This Row],[Type]]&gt;0,VLOOKUP(_1_5412845612146241046457891017[[#This Row],[Type]],Main[[#All],[TYPE]:[UNIT]],'Unit Price'!D$1,FALSE),0)</f>
        <v>0</v>
      </c>
      <c r="I199" s="194">
        <f>IF(_1_5412845612146241046457891017[[#This Row],[Type]]&gt;0,VLOOKUP(_1_5412845612146241046457891017[[#This Row],[Type]],Main[[#All],[TYPE]:[UNIT]],'Unit Price'!G$1,FALSE),0)</f>
        <v>0</v>
      </c>
      <c r="J199" s="194">
        <f>IF(_1_5412845612146241046457891017[[#This Row],[Type]]&gt;0,VLOOKUP(_1_5412845612146241046457891017[[#This Row],[Type]],Main[[#All],[TYPE]:[UNIT]],'Unit Price'!H$1,FALSE),0)</f>
        <v>0</v>
      </c>
      <c r="K199" s="194">
        <f>IF(_1_5412845612146241046457891017[[#This Row],[Discount selection]]&gt;0,VLOOKUP(_1_5412845612146241046457891017[[#This Row],[Discount selection]],'Discount Structure'!$A$2:$B$30,2,"false"),0)</f>
        <v>1</v>
      </c>
      <c r="L199" s="194">
        <f>_1_5412845612146241046457891017[[#This Row],[LIST $]]*_1_5412845612146241046457891017[[#This Row],[DISCOUNT]]*_1_5412845612146241046457891017[[#This Row],[DISCOUNT 2]]</f>
        <v>0</v>
      </c>
      <c r="M199" s="194">
        <f>IF(OR(_1_5412845612146241046457891017[[#This Row],[UNIT]]&gt;0,_1_5412845612146241046457891017[[#This Row],[UNIT]]&lt;0),_1_5412845612146241046457891017[[#This Row],[UNIT]]*_1_5412845612146241046457891017[[#This Row],[COST]],0)</f>
        <v>0</v>
      </c>
      <c r="N199" s="194">
        <f t="shared" si="2"/>
        <v>1.35</v>
      </c>
      <c r="O199" s="198">
        <f>_1_5412845612146241046457891017[[#This Row],[TOTAL]]*_1_5412845612146241046457891017[[#This Row],[MARGIN]]</f>
        <v>0</v>
      </c>
      <c r="R199" s="41"/>
    </row>
    <row r="200" spans="1:18">
      <c r="A200" s="168"/>
      <c r="C200" s="168"/>
      <c r="D200" s="188"/>
      <c r="F200" s="168" t="s">
        <v>6202</v>
      </c>
      <c r="G200" s="193">
        <f>IF(_1_5412845612146241046457891017[[#This Row],[Type]]&gt;0,VLOOKUP(_1_5412845612146241046457891017[[#This Row],[Type]],Main[[#All],[TYPE]:[UNIT]],'Unit Price'!C$1,FALSE),0)</f>
        <v>0</v>
      </c>
      <c r="H200" s="197">
        <f>IF(_1_5412845612146241046457891017[[#This Row],[Type]]&gt;0,VLOOKUP(_1_5412845612146241046457891017[[#This Row],[Type]],Main[[#All],[TYPE]:[UNIT]],'Unit Price'!D$1,FALSE),0)</f>
        <v>0</v>
      </c>
      <c r="I200" s="194">
        <f>IF(_1_5412845612146241046457891017[[#This Row],[Type]]&gt;0,VLOOKUP(_1_5412845612146241046457891017[[#This Row],[Type]],Main[[#All],[TYPE]:[UNIT]],'Unit Price'!G$1,FALSE),0)</f>
        <v>0</v>
      </c>
      <c r="J200" s="194">
        <f>IF(_1_5412845612146241046457891017[[#This Row],[Type]]&gt;0,VLOOKUP(_1_5412845612146241046457891017[[#This Row],[Type]],Main[[#All],[TYPE]:[UNIT]],'Unit Price'!H$1,FALSE),0)</f>
        <v>0</v>
      </c>
      <c r="K200" s="194">
        <f>IF(_1_5412845612146241046457891017[[#This Row],[Discount selection]]&gt;0,VLOOKUP(_1_5412845612146241046457891017[[#This Row],[Discount selection]],'Discount Structure'!$A$2:$B$30,2,"false"),0)</f>
        <v>1</v>
      </c>
      <c r="L200" s="194">
        <f>_1_5412845612146241046457891017[[#This Row],[LIST $]]*_1_5412845612146241046457891017[[#This Row],[DISCOUNT]]*_1_5412845612146241046457891017[[#This Row],[DISCOUNT 2]]</f>
        <v>0</v>
      </c>
      <c r="M200" s="194">
        <f>IF(OR(_1_5412845612146241046457891017[[#This Row],[UNIT]]&gt;0,_1_5412845612146241046457891017[[#This Row],[UNIT]]&lt;0),_1_5412845612146241046457891017[[#This Row],[UNIT]]*_1_5412845612146241046457891017[[#This Row],[COST]],0)</f>
        <v>0</v>
      </c>
      <c r="N200" s="194">
        <f t="shared" si="2"/>
        <v>1.35</v>
      </c>
      <c r="O200" s="198">
        <f>_1_5412845612146241046457891017[[#This Row],[TOTAL]]*_1_5412845612146241046457891017[[#This Row],[MARGIN]]</f>
        <v>0</v>
      </c>
      <c r="R200" s="41"/>
    </row>
    <row r="201" spans="1:18">
      <c r="B201" s="168"/>
      <c r="C201" s="168"/>
      <c r="D201" s="188"/>
      <c r="F201" s="168" t="s">
        <v>6202</v>
      </c>
      <c r="G201" s="193">
        <f>IF(_1_5412845612146241046457891017[[#This Row],[Type]]&gt;0,VLOOKUP(_1_5412845612146241046457891017[[#This Row],[Type]],Main[[#All],[TYPE]:[UNIT]],'Unit Price'!C$1,FALSE),0)</f>
        <v>0</v>
      </c>
      <c r="H201" s="197">
        <f>IF(_1_5412845612146241046457891017[[#This Row],[Type]]&gt;0,VLOOKUP(_1_5412845612146241046457891017[[#This Row],[Type]],Main[[#All],[TYPE]:[UNIT]],'Unit Price'!D$1,FALSE),0)</f>
        <v>0</v>
      </c>
      <c r="I201" s="194">
        <f>IF(_1_5412845612146241046457891017[[#This Row],[Type]]&gt;0,VLOOKUP(_1_5412845612146241046457891017[[#This Row],[Type]],Main[[#All],[TYPE]:[UNIT]],'Unit Price'!G$1,FALSE),0)</f>
        <v>0</v>
      </c>
      <c r="J201" s="194">
        <f>IF(_1_5412845612146241046457891017[[#This Row],[Type]]&gt;0,VLOOKUP(_1_5412845612146241046457891017[[#This Row],[Type]],Main[[#All],[TYPE]:[UNIT]],'Unit Price'!H$1,FALSE),0)</f>
        <v>0</v>
      </c>
      <c r="K201" s="194">
        <f>IF(_1_5412845612146241046457891017[[#This Row],[Discount selection]]&gt;0,VLOOKUP(_1_5412845612146241046457891017[[#This Row],[Discount selection]],'Discount Structure'!$A$2:$B$30,2,"false"),0)</f>
        <v>1</v>
      </c>
      <c r="L201" s="194">
        <f>_1_5412845612146241046457891017[[#This Row],[LIST $]]*_1_5412845612146241046457891017[[#This Row],[DISCOUNT]]*_1_5412845612146241046457891017[[#This Row],[DISCOUNT 2]]</f>
        <v>0</v>
      </c>
      <c r="M201" s="194">
        <f>IF(OR(_1_5412845612146241046457891017[[#This Row],[UNIT]]&gt;0,_1_5412845612146241046457891017[[#This Row],[UNIT]]&lt;0),_1_5412845612146241046457891017[[#This Row],[UNIT]]*_1_5412845612146241046457891017[[#This Row],[COST]],0)</f>
        <v>0</v>
      </c>
      <c r="N201" s="194">
        <f t="shared" si="2"/>
        <v>1.35</v>
      </c>
      <c r="O201" s="198">
        <f>_1_5412845612146241046457891017[[#This Row],[TOTAL]]*_1_5412845612146241046457891017[[#This Row],[MARGIN]]</f>
        <v>0</v>
      </c>
      <c r="R201" s="41"/>
    </row>
    <row r="202" spans="1:18">
      <c r="C202" s="168"/>
      <c r="D202" s="188"/>
      <c r="F202" s="168" t="s">
        <v>6202</v>
      </c>
      <c r="G202" s="193">
        <f>IF(_1_5412845612146241046457891017[[#This Row],[Type]]&gt;0,VLOOKUP(_1_5412845612146241046457891017[[#This Row],[Type]],Main[[#All],[TYPE]:[UNIT]],'Unit Price'!C$1,FALSE),0)</f>
        <v>0</v>
      </c>
      <c r="H202" s="197">
        <f>IF(_1_5412845612146241046457891017[[#This Row],[Type]]&gt;0,VLOOKUP(_1_5412845612146241046457891017[[#This Row],[Type]],Main[[#All],[TYPE]:[UNIT]],'Unit Price'!D$1,FALSE),0)</f>
        <v>0</v>
      </c>
      <c r="I202" s="194">
        <f>IF(_1_5412845612146241046457891017[[#This Row],[Type]]&gt;0,VLOOKUP(_1_5412845612146241046457891017[[#This Row],[Type]],Main[[#All],[TYPE]:[UNIT]],'Unit Price'!G$1,FALSE),0)</f>
        <v>0</v>
      </c>
      <c r="J202" s="194">
        <f>IF(_1_5412845612146241046457891017[[#This Row],[Type]]&gt;0,VLOOKUP(_1_5412845612146241046457891017[[#This Row],[Type]],Main[[#All],[TYPE]:[UNIT]],'Unit Price'!H$1,FALSE),0)</f>
        <v>0</v>
      </c>
      <c r="K202" s="194">
        <f>IF(_1_5412845612146241046457891017[[#This Row],[Discount selection]]&gt;0,VLOOKUP(_1_5412845612146241046457891017[[#This Row],[Discount selection]],'Discount Structure'!$A$2:$B$30,2,"false"),0)</f>
        <v>1</v>
      </c>
      <c r="L202" s="194">
        <f>_1_5412845612146241046457891017[[#This Row],[LIST $]]*_1_5412845612146241046457891017[[#This Row],[DISCOUNT]]*_1_5412845612146241046457891017[[#This Row],[DISCOUNT 2]]</f>
        <v>0</v>
      </c>
      <c r="M202" s="194">
        <f>IF(OR(_1_5412845612146241046457891017[[#This Row],[UNIT]]&gt;0,_1_5412845612146241046457891017[[#This Row],[UNIT]]&lt;0),_1_5412845612146241046457891017[[#This Row],[UNIT]]*_1_5412845612146241046457891017[[#This Row],[COST]],0)</f>
        <v>0</v>
      </c>
      <c r="N202" s="194">
        <f t="shared" ref="N202:N265" si="3">$N$7</f>
        <v>1.35</v>
      </c>
      <c r="O202" s="198">
        <f>_1_5412845612146241046457891017[[#This Row],[TOTAL]]*_1_5412845612146241046457891017[[#This Row],[MARGIN]]</f>
        <v>0</v>
      </c>
      <c r="R202" s="41"/>
    </row>
    <row r="203" spans="1:18">
      <c r="A203" s="168"/>
      <c r="C203" s="168"/>
      <c r="D203" s="188"/>
      <c r="F203" s="168" t="s">
        <v>6202</v>
      </c>
      <c r="G203" s="193">
        <f>IF(_1_5412845612146241046457891017[[#This Row],[Type]]&gt;0,VLOOKUP(_1_5412845612146241046457891017[[#This Row],[Type]],Main[[#All],[TYPE]:[UNIT]],'Unit Price'!C$1,FALSE),0)</f>
        <v>0</v>
      </c>
      <c r="H203" s="197">
        <f>IF(_1_5412845612146241046457891017[[#This Row],[Type]]&gt;0,VLOOKUP(_1_5412845612146241046457891017[[#This Row],[Type]],Main[[#All],[TYPE]:[UNIT]],'Unit Price'!D$1,FALSE),0)</f>
        <v>0</v>
      </c>
      <c r="I203" s="194">
        <f>IF(_1_5412845612146241046457891017[[#This Row],[Type]]&gt;0,VLOOKUP(_1_5412845612146241046457891017[[#This Row],[Type]],Main[[#All],[TYPE]:[UNIT]],'Unit Price'!G$1,FALSE),0)</f>
        <v>0</v>
      </c>
      <c r="J203" s="194">
        <f>IF(_1_5412845612146241046457891017[[#This Row],[Type]]&gt;0,VLOOKUP(_1_5412845612146241046457891017[[#This Row],[Type]],Main[[#All],[TYPE]:[UNIT]],'Unit Price'!H$1,FALSE),0)</f>
        <v>0</v>
      </c>
      <c r="K203" s="194">
        <f>IF(_1_5412845612146241046457891017[[#This Row],[Discount selection]]&gt;0,VLOOKUP(_1_5412845612146241046457891017[[#This Row],[Discount selection]],'Discount Structure'!$A$2:$B$30,2,"false"),0)</f>
        <v>1</v>
      </c>
      <c r="L203" s="194">
        <f>_1_5412845612146241046457891017[[#This Row],[LIST $]]*_1_5412845612146241046457891017[[#This Row],[DISCOUNT]]*_1_5412845612146241046457891017[[#This Row],[DISCOUNT 2]]</f>
        <v>0</v>
      </c>
      <c r="M203" s="194">
        <f>IF(OR(_1_5412845612146241046457891017[[#This Row],[UNIT]]&gt;0,_1_5412845612146241046457891017[[#This Row],[UNIT]]&lt;0),_1_5412845612146241046457891017[[#This Row],[UNIT]]*_1_5412845612146241046457891017[[#This Row],[COST]],0)</f>
        <v>0</v>
      </c>
      <c r="N203" s="194">
        <f t="shared" si="3"/>
        <v>1.35</v>
      </c>
      <c r="O203" s="198">
        <f>_1_5412845612146241046457891017[[#This Row],[TOTAL]]*_1_5412845612146241046457891017[[#This Row],[MARGIN]]</f>
        <v>0</v>
      </c>
      <c r="R203" s="41"/>
    </row>
    <row r="204" spans="1:18">
      <c r="C204" s="168"/>
      <c r="D204" s="188"/>
      <c r="F204" s="168" t="s">
        <v>6202</v>
      </c>
      <c r="G204" s="193">
        <f>IF(_1_5412845612146241046457891017[[#This Row],[Type]]&gt;0,VLOOKUP(_1_5412845612146241046457891017[[#This Row],[Type]],Main[[#All],[TYPE]:[UNIT]],'Unit Price'!C$1,FALSE),0)</f>
        <v>0</v>
      </c>
      <c r="H204" s="197">
        <f>IF(_1_5412845612146241046457891017[[#This Row],[Type]]&gt;0,VLOOKUP(_1_5412845612146241046457891017[[#This Row],[Type]],Main[[#All],[TYPE]:[UNIT]],'Unit Price'!D$1,FALSE),0)</f>
        <v>0</v>
      </c>
      <c r="I204" s="194">
        <f>IF(_1_5412845612146241046457891017[[#This Row],[Type]]&gt;0,VLOOKUP(_1_5412845612146241046457891017[[#This Row],[Type]],Main[[#All],[TYPE]:[UNIT]],'Unit Price'!G$1,FALSE),0)</f>
        <v>0</v>
      </c>
      <c r="J204" s="194">
        <f>IF(_1_5412845612146241046457891017[[#This Row],[Type]]&gt;0,VLOOKUP(_1_5412845612146241046457891017[[#This Row],[Type]],Main[[#All],[TYPE]:[UNIT]],'Unit Price'!H$1,FALSE),0)</f>
        <v>0</v>
      </c>
      <c r="K204" s="194">
        <f>IF(_1_5412845612146241046457891017[[#This Row],[Discount selection]]&gt;0,VLOOKUP(_1_5412845612146241046457891017[[#This Row],[Discount selection]],'Discount Structure'!$A$2:$B$30,2,"false"),0)</f>
        <v>1</v>
      </c>
      <c r="L204" s="194">
        <f>_1_5412845612146241046457891017[[#This Row],[LIST $]]*_1_5412845612146241046457891017[[#This Row],[DISCOUNT]]*_1_5412845612146241046457891017[[#This Row],[DISCOUNT 2]]</f>
        <v>0</v>
      </c>
      <c r="M204" s="194">
        <f>IF(OR(_1_5412845612146241046457891017[[#This Row],[UNIT]]&gt;0,_1_5412845612146241046457891017[[#This Row],[UNIT]]&lt;0),_1_5412845612146241046457891017[[#This Row],[UNIT]]*_1_5412845612146241046457891017[[#This Row],[COST]],0)</f>
        <v>0</v>
      </c>
      <c r="N204" s="194">
        <f t="shared" si="3"/>
        <v>1.35</v>
      </c>
      <c r="O204" s="198">
        <f>_1_5412845612146241046457891017[[#This Row],[TOTAL]]*_1_5412845612146241046457891017[[#This Row],[MARGIN]]</f>
        <v>0</v>
      </c>
      <c r="R204" s="41"/>
    </row>
    <row r="205" spans="1:18">
      <c r="C205" s="168"/>
      <c r="D205" s="188"/>
      <c r="F205" s="168" t="s">
        <v>6202</v>
      </c>
      <c r="G205" s="193">
        <f>IF(_1_5412845612146241046457891017[[#This Row],[Type]]&gt;0,VLOOKUP(_1_5412845612146241046457891017[[#This Row],[Type]],Main[[#All],[TYPE]:[UNIT]],'Unit Price'!C$1,FALSE),0)</f>
        <v>0</v>
      </c>
      <c r="H205" s="197">
        <f>IF(_1_5412845612146241046457891017[[#This Row],[Type]]&gt;0,VLOOKUP(_1_5412845612146241046457891017[[#This Row],[Type]],Main[[#All],[TYPE]:[UNIT]],'Unit Price'!D$1,FALSE),0)</f>
        <v>0</v>
      </c>
      <c r="I205" s="194">
        <f>IF(_1_5412845612146241046457891017[[#This Row],[Type]]&gt;0,VLOOKUP(_1_5412845612146241046457891017[[#This Row],[Type]],Main[[#All],[TYPE]:[UNIT]],'Unit Price'!G$1,FALSE),0)</f>
        <v>0</v>
      </c>
      <c r="J205" s="194">
        <f>IF(_1_5412845612146241046457891017[[#This Row],[Type]]&gt;0,VLOOKUP(_1_5412845612146241046457891017[[#This Row],[Type]],Main[[#All],[TYPE]:[UNIT]],'Unit Price'!H$1,FALSE),0)</f>
        <v>0</v>
      </c>
      <c r="K205" s="194">
        <f>IF(_1_5412845612146241046457891017[[#This Row],[Discount selection]]&gt;0,VLOOKUP(_1_5412845612146241046457891017[[#This Row],[Discount selection]],'Discount Structure'!$A$2:$B$30,2,"false"),0)</f>
        <v>1</v>
      </c>
      <c r="L205" s="194">
        <f>_1_5412845612146241046457891017[[#This Row],[LIST $]]*_1_5412845612146241046457891017[[#This Row],[DISCOUNT]]*_1_5412845612146241046457891017[[#This Row],[DISCOUNT 2]]</f>
        <v>0</v>
      </c>
      <c r="M205" s="194">
        <f>IF(OR(_1_5412845612146241046457891017[[#This Row],[UNIT]]&gt;0,_1_5412845612146241046457891017[[#This Row],[UNIT]]&lt;0),_1_5412845612146241046457891017[[#This Row],[UNIT]]*_1_5412845612146241046457891017[[#This Row],[COST]],0)</f>
        <v>0</v>
      </c>
      <c r="N205" s="194">
        <f t="shared" si="3"/>
        <v>1.35</v>
      </c>
      <c r="O205" s="198">
        <f>_1_5412845612146241046457891017[[#This Row],[TOTAL]]*_1_5412845612146241046457891017[[#This Row],[MARGIN]]</f>
        <v>0</v>
      </c>
      <c r="R205" s="41"/>
    </row>
    <row r="206" spans="1:18">
      <c r="C206" s="168"/>
      <c r="D206" s="188"/>
      <c r="F206" s="168" t="s">
        <v>6202</v>
      </c>
      <c r="G206" s="193">
        <f>IF(_1_5412845612146241046457891017[[#This Row],[Type]]&gt;0,VLOOKUP(_1_5412845612146241046457891017[[#This Row],[Type]],Main[[#All],[TYPE]:[UNIT]],'Unit Price'!C$1,FALSE),0)</f>
        <v>0</v>
      </c>
      <c r="H206" s="197">
        <f>IF(_1_5412845612146241046457891017[[#This Row],[Type]]&gt;0,VLOOKUP(_1_5412845612146241046457891017[[#This Row],[Type]],Main[[#All],[TYPE]:[UNIT]],'Unit Price'!D$1,FALSE),0)</f>
        <v>0</v>
      </c>
      <c r="I206" s="194">
        <f>IF(_1_5412845612146241046457891017[[#This Row],[Type]]&gt;0,VLOOKUP(_1_5412845612146241046457891017[[#This Row],[Type]],Main[[#All],[TYPE]:[UNIT]],'Unit Price'!G$1,FALSE),0)</f>
        <v>0</v>
      </c>
      <c r="J206" s="194">
        <f>IF(_1_5412845612146241046457891017[[#This Row],[Type]]&gt;0,VLOOKUP(_1_5412845612146241046457891017[[#This Row],[Type]],Main[[#All],[TYPE]:[UNIT]],'Unit Price'!H$1,FALSE),0)</f>
        <v>0</v>
      </c>
      <c r="K206" s="194">
        <f>IF(_1_5412845612146241046457891017[[#This Row],[Discount selection]]&gt;0,VLOOKUP(_1_5412845612146241046457891017[[#This Row],[Discount selection]],'Discount Structure'!$A$2:$B$30,2,"false"),0)</f>
        <v>1</v>
      </c>
      <c r="L206" s="194">
        <f>_1_5412845612146241046457891017[[#This Row],[LIST $]]*_1_5412845612146241046457891017[[#This Row],[DISCOUNT]]*_1_5412845612146241046457891017[[#This Row],[DISCOUNT 2]]</f>
        <v>0</v>
      </c>
      <c r="M206" s="194">
        <f>IF(OR(_1_5412845612146241046457891017[[#This Row],[UNIT]]&gt;0,_1_5412845612146241046457891017[[#This Row],[UNIT]]&lt;0),_1_5412845612146241046457891017[[#This Row],[UNIT]]*_1_5412845612146241046457891017[[#This Row],[COST]],0)</f>
        <v>0</v>
      </c>
      <c r="N206" s="194">
        <f t="shared" si="3"/>
        <v>1.35</v>
      </c>
      <c r="O206" s="198">
        <f>_1_5412845612146241046457891017[[#This Row],[TOTAL]]*_1_5412845612146241046457891017[[#This Row],[MARGIN]]</f>
        <v>0</v>
      </c>
      <c r="R206" s="41"/>
    </row>
    <row r="207" spans="1:18">
      <c r="C207" s="168"/>
      <c r="D207" s="188"/>
      <c r="F207" s="168" t="s">
        <v>6202</v>
      </c>
      <c r="G207" s="193">
        <f>IF(_1_5412845612146241046457891017[[#This Row],[Type]]&gt;0,VLOOKUP(_1_5412845612146241046457891017[[#This Row],[Type]],Main[[#All],[TYPE]:[UNIT]],'Unit Price'!C$1,FALSE),0)</f>
        <v>0</v>
      </c>
      <c r="H207" s="197">
        <f>IF(_1_5412845612146241046457891017[[#This Row],[Type]]&gt;0,VLOOKUP(_1_5412845612146241046457891017[[#This Row],[Type]],Main[[#All],[TYPE]:[UNIT]],'Unit Price'!D$1,FALSE),0)</f>
        <v>0</v>
      </c>
      <c r="I207" s="194">
        <f>IF(_1_5412845612146241046457891017[[#This Row],[Type]]&gt;0,VLOOKUP(_1_5412845612146241046457891017[[#This Row],[Type]],Main[[#All],[TYPE]:[UNIT]],'Unit Price'!G$1,FALSE),0)</f>
        <v>0</v>
      </c>
      <c r="J207" s="194">
        <f>IF(_1_5412845612146241046457891017[[#This Row],[Type]]&gt;0,VLOOKUP(_1_5412845612146241046457891017[[#This Row],[Type]],Main[[#All],[TYPE]:[UNIT]],'Unit Price'!H$1,FALSE),0)</f>
        <v>0</v>
      </c>
      <c r="K207" s="194">
        <f>IF(_1_5412845612146241046457891017[[#This Row],[Discount selection]]&gt;0,VLOOKUP(_1_5412845612146241046457891017[[#This Row],[Discount selection]],'Discount Structure'!$A$2:$B$30,2,"false"),0)</f>
        <v>1</v>
      </c>
      <c r="L207" s="194">
        <f>_1_5412845612146241046457891017[[#This Row],[LIST $]]*_1_5412845612146241046457891017[[#This Row],[DISCOUNT]]*_1_5412845612146241046457891017[[#This Row],[DISCOUNT 2]]</f>
        <v>0</v>
      </c>
      <c r="M207" s="194">
        <f>IF(OR(_1_5412845612146241046457891017[[#This Row],[UNIT]]&gt;0,_1_5412845612146241046457891017[[#This Row],[UNIT]]&lt;0),_1_5412845612146241046457891017[[#This Row],[UNIT]]*_1_5412845612146241046457891017[[#This Row],[COST]],0)</f>
        <v>0</v>
      </c>
      <c r="N207" s="194">
        <f t="shared" si="3"/>
        <v>1.35</v>
      </c>
      <c r="O207" s="198">
        <f>_1_5412845612146241046457891017[[#This Row],[TOTAL]]*_1_5412845612146241046457891017[[#This Row],[MARGIN]]</f>
        <v>0</v>
      </c>
      <c r="R207" s="41"/>
    </row>
    <row r="208" spans="1:18">
      <c r="C208" s="168"/>
      <c r="D208" s="188"/>
      <c r="F208" s="168" t="s">
        <v>6202</v>
      </c>
      <c r="G208" s="193">
        <f>IF(_1_5412845612146241046457891017[[#This Row],[Type]]&gt;0,VLOOKUP(_1_5412845612146241046457891017[[#This Row],[Type]],Main[[#All],[TYPE]:[UNIT]],'Unit Price'!C$1,FALSE),0)</f>
        <v>0</v>
      </c>
      <c r="H208" s="197">
        <f>IF(_1_5412845612146241046457891017[[#This Row],[Type]]&gt;0,VLOOKUP(_1_5412845612146241046457891017[[#This Row],[Type]],Main[[#All],[TYPE]:[UNIT]],'Unit Price'!D$1,FALSE),0)</f>
        <v>0</v>
      </c>
      <c r="I208" s="194">
        <f>IF(_1_5412845612146241046457891017[[#This Row],[Type]]&gt;0,VLOOKUP(_1_5412845612146241046457891017[[#This Row],[Type]],Main[[#All],[TYPE]:[UNIT]],'Unit Price'!G$1,FALSE),0)</f>
        <v>0</v>
      </c>
      <c r="J208" s="194">
        <f>IF(_1_5412845612146241046457891017[[#This Row],[Type]]&gt;0,VLOOKUP(_1_5412845612146241046457891017[[#This Row],[Type]],Main[[#All],[TYPE]:[UNIT]],'Unit Price'!H$1,FALSE),0)</f>
        <v>0</v>
      </c>
      <c r="K208" s="194">
        <f>IF(_1_5412845612146241046457891017[[#This Row],[Discount selection]]&gt;0,VLOOKUP(_1_5412845612146241046457891017[[#This Row],[Discount selection]],'Discount Structure'!$A$2:$B$30,2,"false"),0)</f>
        <v>1</v>
      </c>
      <c r="L208" s="194">
        <f>_1_5412845612146241046457891017[[#This Row],[LIST $]]*_1_5412845612146241046457891017[[#This Row],[DISCOUNT]]*_1_5412845612146241046457891017[[#This Row],[DISCOUNT 2]]</f>
        <v>0</v>
      </c>
      <c r="M208" s="194">
        <f>IF(OR(_1_5412845612146241046457891017[[#This Row],[UNIT]]&gt;0,_1_5412845612146241046457891017[[#This Row],[UNIT]]&lt;0),_1_5412845612146241046457891017[[#This Row],[UNIT]]*_1_5412845612146241046457891017[[#This Row],[COST]],0)</f>
        <v>0</v>
      </c>
      <c r="N208" s="194">
        <f t="shared" si="3"/>
        <v>1.35</v>
      </c>
      <c r="O208" s="198">
        <f>_1_5412845612146241046457891017[[#This Row],[TOTAL]]*_1_5412845612146241046457891017[[#This Row],[MARGIN]]</f>
        <v>0</v>
      </c>
      <c r="R208" s="41"/>
    </row>
    <row r="209" spans="3:18">
      <c r="C209" s="168"/>
      <c r="D209" s="188"/>
      <c r="F209" s="168" t="s">
        <v>6202</v>
      </c>
      <c r="G209" s="193">
        <f>IF(_1_5412845612146241046457891017[[#This Row],[Type]]&gt;0,VLOOKUP(_1_5412845612146241046457891017[[#This Row],[Type]],Main[[#All],[TYPE]:[UNIT]],'Unit Price'!C$1,FALSE),0)</f>
        <v>0</v>
      </c>
      <c r="H209" s="197">
        <f>IF(_1_5412845612146241046457891017[[#This Row],[Type]]&gt;0,VLOOKUP(_1_5412845612146241046457891017[[#This Row],[Type]],Main[[#All],[TYPE]:[UNIT]],'Unit Price'!D$1,FALSE),0)</f>
        <v>0</v>
      </c>
      <c r="I209" s="194">
        <f>IF(_1_5412845612146241046457891017[[#This Row],[Type]]&gt;0,VLOOKUP(_1_5412845612146241046457891017[[#This Row],[Type]],Main[[#All],[TYPE]:[UNIT]],'Unit Price'!G$1,FALSE),0)</f>
        <v>0</v>
      </c>
      <c r="J209" s="194">
        <f>IF(_1_5412845612146241046457891017[[#This Row],[Type]]&gt;0,VLOOKUP(_1_5412845612146241046457891017[[#This Row],[Type]],Main[[#All],[TYPE]:[UNIT]],'Unit Price'!H$1,FALSE),0)</f>
        <v>0</v>
      </c>
      <c r="K209" s="194">
        <f>IF(_1_5412845612146241046457891017[[#This Row],[Discount selection]]&gt;0,VLOOKUP(_1_5412845612146241046457891017[[#This Row],[Discount selection]],'Discount Structure'!$A$2:$B$30,2,"false"),0)</f>
        <v>1</v>
      </c>
      <c r="L209" s="194">
        <f>_1_5412845612146241046457891017[[#This Row],[LIST $]]*_1_5412845612146241046457891017[[#This Row],[DISCOUNT]]*_1_5412845612146241046457891017[[#This Row],[DISCOUNT 2]]</f>
        <v>0</v>
      </c>
      <c r="M209" s="194">
        <f>IF(OR(_1_5412845612146241046457891017[[#This Row],[UNIT]]&gt;0,_1_5412845612146241046457891017[[#This Row],[UNIT]]&lt;0),_1_5412845612146241046457891017[[#This Row],[UNIT]]*_1_5412845612146241046457891017[[#This Row],[COST]],0)</f>
        <v>0</v>
      </c>
      <c r="N209" s="194">
        <f t="shared" si="3"/>
        <v>1.35</v>
      </c>
      <c r="O209" s="198">
        <f>_1_5412845612146241046457891017[[#This Row],[TOTAL]]*_1_5412845612146241046457891017[[#This Row],[MARGIN]]</f>
        <v>0</v>
      </c>
      <c r="R209" s="41"/>
    </row>
    <row r="210" spans="3:18">
      <c r="C210" s="168"/>
      <c r="D210" s="188"/>
      <c r="F210" s="168" t="s">
        <v>6202</v>
      </c>
      <c r="G210" s="193">
        <f>IF(_1_5412845612146241046457891017[[#This Row],[Type]]&gt;0,VLOOKUP(_1_5412845612146241046457891017[[#This Row],[Type]],Main[[#All],[TYPE]:[UNIT]],'Unit Price'!C$1,FALSE),0)</f>
        <v>0</v>
      </c>
      <c r="H210" s="197">
        <f>IF(_1_5412845612146241046457891017[[#This Row],[Type]]&gt;0,VLOOKUP(_1_5412845612146241046457891017[[#This Row],[Type]],Main[[#All],[TYPE]:[UNIT]],'Unit Price'!D$1,FALSE),0)</f>
        <v>0</v>
      </c>
      <c r="I210" s="194">
        <f>IF(_1_5412845612146241046457891017[[#This Row],[Type]]&gt;0,VLOOKUP(_1_5412845612146241046457891017[[#This Row],[Type]],Main[[#All],[TYPE]:[UNIT]],'Unit Price'!G$1,FALSE),0)</f>
        <v>0</v>
      </c>
      <c r="J210" s="194">
        <f>IF(_1_5412845612146241046457891017[[#This Row],[Type]]&gt;0,VLOOKUP(_1_5412845612146241046457891017[[#This Row],[Type]],Main[[#All],[TYPE]:[UNIT]],'Unit Price'!H$1,FALSE),0)</f>
        <v>0</v>
      </c>
      <c r="K210" s="194">
        <f>IF(_1_5412845612146241046457891017[[#This Row],[Discount selection]]&gt;0,VLOOKUP(_1_5412845612146241046457891017[[#This Row],[Discount selection]],'Discount Structure'!$A$2:$B$30,2,"false"),0)</f>
        <v>1</v>
      </c>
      <c r="L210" s="194">
        <f>_1_5412845612146241046457891017[[#This Row],[LIST $]]*_1_5412845612146241046457891017[[#This Row],[DISCOUNT]]*_1_5412845612146241046457891017[[#This Row],[DISCOUNT 2]]</f>
        <v>0</v>
      </c>
      <c r="M210" s="194">
        <f>IF(OR(_1_5412845612146241046457891017[[#This Row],[UNIT]]&gt;0,_1_5412845612146241046457891017[[#This Row],[UNIT]]&lt;0),_1_5412845612146241046457891017[[#This Row],[UNIT]]*_1_5412845612146241046457891017[[#This Row],[COST]],0)</f>
        <v>0</v>
      </c>
      <c r="N210" s="194">
        <f t="shared" si="3"/>
        <v>1.35</v>
      </c>
      <c r="O210" s="198">
        <f>_1_5412845612146241046457891017[[#This Row],[TOTAL]]*_1_5412845612146241046457891017[[#This Row],[MARGIN]]</f>
        <v>0</v>
      </c>
      <c r="R210" s="41"/>
    </row>
    <row r="211" spans="3:18">
      <c r="C211" s="168"/>
      <c r="D211" s="188"/>
      <c r="F211" s="168" t="s">
        <v>6202</v>
      </c>
      <c r="G211" s="193">
        <f>IF(_1_5412845612146241046457891017[[#This Row],[Type]]&gt;0,VLOOKUP(_1_5412845612146241046457891017[[#This Row],[Type]],Main[[#All],[TYPE]:[UNIT]],'Unit Price'!C$1,FALSE),0)</f>
        <v>0</v>
      </c>
      <c r="H211" s="197">
        <f>IF(_1_5412845612146241046457891017[[#This Row],[Type]]&gt;0,VLOOKUP(_1_5412845612146241046457891017[[#This Row],[Type]],Main[[#All],[TYPE]:[UNIT]],'Unit Price'!D$1,FALSE),0)</f>
        <v>0</v>
      </c>
      <c r="I211" s="194">
        <f>IF(_1_5412845612146241046457891017[[#This Row],[Type]]&gt;0,VLOOKUP(_1_5412845612146241046457891017[[#This Row],[Type]],Main[[#All],[TYPE]:[UNIT]],'Unit Price'!G$1,FALSE),0)</f>
        <v>0</v>
      </c>
      <c r="J211" s="194">
        <f>IF(_1_5412845612146241046457891017[[#This Row],[Type]]&gt;0,VLOOKUP(_1_5412845612146241046457891017[[#This Row],[Type]],Main[[#All],[TYPE]:[UNIT]],'Unit Price'!H$1,FALSE),0)</f>
        <v>0</v>
      </c>
      <c r="K211" s="194">
        <f>IF(_1_5412845612146241046457891017[[#This Row],[Discount selection]]&gt;0,VLOOKUP(_1_5412845612146241046457891017[[#This Row],[Discount selection]],'Discount Structure'!$A$2:$B$30,2,"false"),0)</f>
        <v>1</v>
      </c>
      <c r="L211" s="194">
        <f>_1_5412845612146241046457891017[[#This Row],[LIST $]]*_1_5412845612146241046457891017[[#This Row],[DISCOUNT]]*_1_5412845612146241046457891017[[#This Row],[DISCOUNT 2]]</f>
        <v>0</v>
      </c>
      <c r="M211" s="194">
        <f>IF(OR(_1_5412845612146241046457891017[[#This Row],[UNIT]]&gt;0,_1_5412845612146241046457891017[[#This Row],[UNIT]]&lt;0),_1_5412845612146241046457891017[[#This Row],[UNIT]]*_1_5412845612146241046457891017[[#This Row],[COST]],0)</f>
        <v>0</v>
      </c>
      <c r="N211" s="194">
        <f t="shared" si="3"/>
        <v>1.35</v>
      </c>
      <c r="O211" s="198">
        <f>_1_5412845612146241046457891017[[#This Row],[TOTAL]]*_1_5412845612146241046457891017[[#This Row],[MARGIN]]</f>
        <v>0</v>
      </c>
      <c r="R211" s="41"/>
    </row>
    <row r="212" spans="3:18">
      <c r="C212" s="168"/>
      <c r="D212" s="188"/>
      <c r="F212" s="168" t="s">
        <v>6202</v>
      </c>
      <c r="G212" s="193">
        <f>IF(_1_5412845612146241046457891017[[#This Row],[Type]]&gt;0,VLOOKUP(_1_5412845612146241046457891017[[#This Row],[Type]],Main[[#All],[TYPE]:[UNIT]],'Unit Price'!C$1,FALSE),0)</f>
        <v>0</v>
      </c>
      <c r="H212" s="197">
        <f>IF(_1_5412845612146241046457891017[[#This Row],[Type]]&gt;0,VLOOKUP(_1_5412845612146241046457891017[[#This Row],[Type]],Main[[#All],[TYPE]:[UNIT]],'Unit Price'!D$1,FALSE),0)</f>
        <v>0</v>
      </c>
      <c r="I212" s="194">
        <f>IF(_1_5412845612146241046457891017[[#This Row],[Type]]&gt;0,VLOOKUP(_1_5412845612146241046457891017[[#This Row],[Type]],Main[[#All],[TYPE]:[UNIT]],'Unit Price'!G$1,FALSE),0)</f>
        <v>0</v>
      </c>
      <c r="J212" s="194">
        <f>IF(_1_5412845612146241046457891017[[#This Row],[Type]]&gt;0,VLOOKUP(_1_5412845612146241046457891017[[#This Row],[Type]],Main[[#All],[TYPE]:[UNIT]],'Unit Price'!H$1,FALSE),0)</f>
        <v>0</v>
      </c>
      <c r="K212" s="194">
        <f>IF(_1_5412845612146241046457891017[[#This Row],[Discount selection]]&gt;0,VLOOKUP(_1_5412845612146241046457891017[[#This Row],[Discount selection]],'Discount Structure'!$A$2:$B$30,2,"false"),0)</f>
        <v>1</v>
      </c>
      <c r="L212" s="194">
        <f>_1_5412845612146241046457891017[[#This Row],[LIST $]]*_1_5412845612146241046457891017[[#This Row],[DISCOUNT]]*_1_5412845612146241046457891017[[#This Row],[DISCOUNT 2]]</f>
        <v>0</v>
      </c>
      <c r="M212" s="194">
        <f>IF(OR(_1_5412845612146241046457891017[[#This Row],[UNIT]]&gt;0,_1_5412845612146241046457891017[[#This Row],[UNIT]]&lt;0),_1_5412845612146241046457891017[[#This Row],[UNIT]]*_1_5412845612146241046457891017[[#This Row],[COST]],0)</f>
        <v>0</v>
      </c>
      <c r="N212" s="194">
        <f t="shared" si="3"/>
        <v>1.35</v>
      </c>
      <c r="O212" s="198">
        <f>_1_5412845612146241046457891017[[#This Row],[TOTAL]]*_1_5412845612146241046457891017[[#This Row],[MARGIN]]</f>
        <v>0</v>
      </c>
      <c r="R212" s="41"/>
    </row>
    <row r="213" spans="3:18">
      <c r="C213" s="168"/>
      <c r="D213" s="188"/>
      <c r="F213" s="168" t="s">
        <v>6202</v>
      </c>
      <c r="G213" s="193">
        <f>IF(_1_5412845612146241046457891017[[#This Row],[Type]]&gt;0,VLOOKUP(_1_5412845612146241046457891017[[#This Row],[Type]],Main[[#All],[TYPE]:[UNIT]],'Unit Price'!C$1,FALSE),0)</f>
        <v>0</v>
      </c>
      <c r="H213" s="197">
        <f>IF(_1_5412845612146241046457891017[[#This Row],[Type]]&gt;0,VLOOKUP(_1_5412845612146241046457891017[[#This Row],[Type]],Main[[#All],[TYPE]:[UNIT]],'Unit Price'!D$1,FALSE),0)</f>
        <v>0</v>
      </c>
      <c r="I213" s="194">
        <f>IF(_1_5412845612146241046457891017[[#This Row],[Type]]&gt;0,VLOOKUP(_1_5412845612146241046457891017[[#This Row],[Type]],Main[[#All],[TYPE]:[UNIT]],'Unit Price'!G$1,FALSE),0)</f>
        <v>0</v>
      </c>
      <c r="J213" s="194">
        <f>IF(_1_5412845612146241046457891017[[#This Row],[Type]]&gt;0,VLOOKUP(_1_5412845612146241046457891017[[#This Row],[Type]],Main[[#All],[TYPE]:[UNIT]],'Unit Price'!H$1,FALSE),0)</f>
        <v>0</v>
      </c>
      <c r="K213" s="194">
        <f>IF(_1_5412845612146241046457891017[[#This Row],[Discount selection]]&gt;0,VLOOKUP(_1_5412845612146241046457891017[[#This Row],[Discount selection]],'Discount Structure'!$A$2:$B$30,2,"false"),0)</f>
        <v>1</v>
      </c>
      <c r="L213" s="194">
        <f>_1_5412845612146241046457891017[[#This Row],[LIST $]]*_1_5412845612146241046457891017[[#This Row],[DISCOUNT]]*_1_5412845612146241046457891017[[#This Row],[DISCOUNT 2]]</f>
        <v>0</v>
      </c>
      <c r="M213" s="194">
        <f>IF(OR(_1_5412845612146241046457891017[[#This Row],[UNIT]]&gt;0,_1_5412845612146241046457891017[[#This Row],[UNIT]]&lt;0),_1_5412845612146241046457891017[[#This Row],[UNIT]]*_1_5412845612146241046457891017[[#This Row],[COST]],0)</f>
        <v>0</v>
      </c>
      <c r="N213" s="194">
        <f t="shared" si="3"/>
        <v>1.35</v>
      </c>
      <c r="O213" s="198">
        <f>_1_5412845612146241046457891017[[#This Row],[TOTAL]]*_1_5412845612146241046457891017[[#This Row],[MARGIN]]</f>
        <v>0</v>
      </c>
      <c r="R213" s="41"/>
    </row>
    <row r="214" spans="3:18">
      <c r="C214" s="168"/>
      <c r="D214" s="188"/>
      <c r="F214" s="168" t="s">
        <v>6202</v>
      </c>
      <c r="G214" s="193">
        <f>IF(_1_5412845612146241046457891017[[#This Row],[Type]]&gt;0,VLOOKUP(_1_5412845612146241046457891017[[#This Row],[Type]],Main[[#All],[TYPE]:[UNIT]],'Unit Price'!C$1,FALSE),0)</f>
        <v>0</v>
      </c>
      <c r="H214" s="197">
        <f>IF(_1_5412845612146241046457891017[[#This Row],[Type]]&gt;0,VLOOKUP(_1_5412845612146241046457891017[[#This Row],[Type]],Main[[#All],[TYPE]:[UNIT]],'Unit Price'!D$1,FALSE),0)</f>
        <v>0</v>
      </c>
      <c r="I214" s="194">
        <f>IF(_1_5412845612146241046457891017[[#This Row],[Type]]&gt;0,VLOOKUP(_1_5412845612146241046457891017[[#This Row],[Type]],Main[[#All],[TYPE]:[UNIT]],'Unit Price'!G$1,FALSE),0)</f>
        <v>0</v>
      </c>
      <c r="J214" s="194">
        <f>IF(_1_5412845612146241046457891017[[#This Row],[Type]]&gt;0,VLOOKUP(_1_5412845612146241046457891017[[#This Row],[Type]],Main[[#All],[TYPE]:[UNIT]],'Unit Price'!H$1,FALSE),0)</f>
        <v>0</v>
      </c>
      <c r="K214" s="194">
        <f>IF(_1_5412845612146241046457891017[[#This Row],[Discount selection]]&gt;0,VLOOKUP(_1_5412845612146241046457891017[[#This Row],[Discount selection]],'Discount Structure'!$A$2:$B$30,2,"false"),0)</f>
        <v>1</v>
      </c>
      <c r="L214" s="194">
        <f>_1_5412845612146241046457891017[[#This Row],[LIST $]]*_1_5412845612146241046457891017[[#This Row],[DISCOUNT]]*_1_5412845612146241046457891017[[#This Row],[DISCOUNT 2]]</f>
        <v>0</v>
      </c>
      <c r="M214" s="194">
        <f>IF(OR(_1_5412845612146241046457891017[[#This Row],[UNIT]]&gt;0,_1_5412845612146241046457891017[[#This Row],[UNIT]]&lt;0),_1_5412845612146241046457891017[[#This Row],[UNIT]]*_1_5412845612146241046457891017[[#This Row],[COST]],0)</f>
        <v>0</v>
      </c>
      <c r="N214" s="194">
        <f t="shared" si="3"/>
        <v>1.35</v>
      </c>
      <c r="O214" s="198">
        <f>_1_5412845612146241046457891017[[#This Row],[TOTAL]]*_1_5412845612146241046457891017[[#This Row],[MARGIN]]</f>
        <v>0</v>
      </c>
      <c r="R214" s="41"/>
    </row>
    <row r="215" spans="3:18">
      <c r="C215" s="168"/>
      <c r="D215" s="188"/>
      <c r="F215" s="168" t="s">
        <v>6202</v>
      </c>
      <c r="G215" s="193">
        <f>IF(_1_5412845612146241046457891017[[#This Row],[Type]]&gt;0,VLOOKUP(_1_5412845612146241046457891017[[#This Row],[Type]],Main[[#All],[TYPE]:[UNIT]],'Unit Price'!C$1,FALSE),0)</f>
        <v>0</v>
      </c>
      <c r="H215" s="197">
        <f>IF(_1_5412845612146241046457891017[[#This Row],[Type]]&gt;0,VLOOKUP(_1_5412845612146241046457891017[[#This Row],[Type]],Main[[#All],[TYPE]:[UNIT]],'Unit Price'!D$1,FALSE),0)</f>
        <v>0</v>
      </c>
      <c r="I215" s="194">
        <f>IF(_1_5412845612146241046457891017[[#This Row],[Type]]&gt;0,VLOOKUP(_1_5412845612146241046457891017[[#This Row],[Type]],Main[[#All],[TYPE]:[UNIT]],'Unit Price'!G$1,FALSE),0)</f>
        <v>0</v>
      </c>
      <c r="J215" s="194">
        <f>IF(_1_5412845612146241046457891017[[#This Row],[Type]]&gt;0,VLOOKUP(_1_5412845612146241046457891017[[#This Row],[Type]],Main[[#All],[TYPE]:[UNIT]],'Unit Price'!H$1,FALSE),0)</f>
        <v>0</v>
      </c>
      <c r="K215" s="194">
        <f>IF(_1_5412845612146241046457891017[[#This Row],[Discount selection]]&gt;0,VLOOKUP(_1_5412845612146241046457891017[[#This Row],[Discount selection]],'Discount Structure'!$A$2:$B$30,2,"false"),0)</f>
        <v>1</v>
      </c>
      <c r="L215" s="194">
        <f>_1_5412845612146241046457891017[[#This Row],[LIST $]]*_1_5412845612146241046457891017[[#This Row],[DISCOUNT]]*_1_5412845612146241046457891017[[#This Row],[DISCOUNT 2]]</f>
        <v>0</v>
      </c>
      <c r="M215" s="194">
        <f>IF(OR(_1_5412845612146241046457891017[[#This Row],[UNIT]]&gt;0,_1_5412845612146241046457891017[[#This Row],[UNIT]]&lt;0),_1_5412845612146241046457891017[[#This Row],[UNIT]]*_1_5412845612146241046457891017[[#This Row],[COST]],0)</f>
        <v>0</v>
      </c>
      <c r="N215" s="194">
        <f t="shared" si="3"/>
        <v>1.35</v>
      </c>
      <c r="O215" s="198">
        <f>_1_5412845612146241046457891017[[#This Row],[TOTAL]]*_1_5412845612146241046457891017[[#This Row],[MARGIN]]</f>
        <v>0</v>
      </c>
      <c r="R215" s="41"/>
    </row>
    <row r="216" spans="3:18">
      <c r="C216" s="168"/>
      <c r="D216" s="188"/>
      <c r="F216" s="168" t="s">
        <v>6202</v>
      </c>
      <c r="G216" s="193">
        <f>IF(_1_5412845612146241046457891017[[#This Row],[Type]]&gt;0,VLOOKUP(_1_5412845612146241046457891017[[#This Row],[Type]],Main[[#All],[TYPE]:[UNIT]],'Unit Price'!C$1,FALSE),0)</f>
        <v>0</v>
      </c>
      <c r="H216" s="197">
        <f>IF(_1_5412845612146241046457891017[[#This Row],[Type]]&gt;0,VLOOKUP(_1_5412845612146241046457891017[[#This Row],[Type]],Main[[#All],[TYPE]:[UNIT]],'Unit Price'!D$1,FALSE),0)</f>
        <v>0</v>
      </c>
      <c r="I216" s="194">
        <f>IF(_1_5412845612146241046457891017[[#This Row],[Type]]&gt;0,VLOOKUP(_1_5412845612146241046457891017[[#This Row],[Type]],Main[[#All],[TYPE]:[UNIT]],'Unit Price'!G$1,FALSE),0)</f>
        <v>0</v>
      </c>
      <c r="J216" s="194">
        <f>IF(_1_5412845612146241046457891017[[#This Row],[Type]]&gt;0,VLOOKUP(_1_5412845612146241046457891017[[#This Row],[Type]],Main[[#All],[TYPE]:[UNIT]],'Unit Price'!H$1,FALSE),0)</f>
        <v>0</v>
      </c>
      <c r="K216" s="194">
        <f>IF(_1_5412845612146241046457891017[[#This Row],[Discount selection]]&gt;0,VLOOKUP(_1_5412845612146241046457891017[[#This Row],[Discount selection]],'Discount Structure'!$A$2:$B$30,2,"false"),0)</f>
        <v>1</v>
      </c>
      <c r="L216" s="194">
        <f>_1_5412845612146241046457891017[[#This Row],[LIST $]]*_1_5412845612146241046457891017[[#This Row],[DISCOUNT]]*_1_5412845612146241046457891017[[#This Row],[DISCOUNT 2]]</f>
        <v>0</v>
      </c>
      <c r="M216" s="194">
        <f>IF(OR(_1_5412845612146241046457891017[[#This Row],[UNIT]]&gt;0,_1_5412845612146241046457891017[[#This Row],[UNIT]]&lt;0),_1_5412845612146241046457891017[[#This Row],[UNIT]]*_1_5412845612146241046457891017[[#This Row],[COST]],0)</f>
        <v>0</v>
      </c>
      <c r="N216" s="194">
        <f t="shared" si="3"/>
        <v>1.35</v>
      </c>
      <c r="O216" s="198">
        <f>_1_5412845612146241046457891017[[#This Row],[TOTAL]]*_1_5412845612146241046457891017[[#This Row],[MARGIN]]</f>
        <v>0</v>
      </c>
      <c r="R216" s="41"/>
    </row>
    <row r="217" spans="3:18">
      <c r="C217" s="168"/>
      <c r="D217" s="188"/>
      <c r="F217" s="168" t="s">
        <v>6202</v>
      </c>
      <c r="G217" s="193">
        <f>IF(_1_5412845612146241046457891017[[#This Row],[Type]]&gt;0,VLOOKUP(_1_5412845612146241046457891017[[#This Row],[Type]],Main[[#All],[TYPE]:[UNIT]],'Unit Price'!C$1,FALSE),0)</f>
        <v>0</v>
      </c>
      <c r="H217" s="197">
        <f>IF(_1_5412845612146241046457891017[[#This Row],[Type]]&gt;0,VLOOKUP(_1_5412845612146241046457891017[[#This Row],[Type]],Main[[#All],[TYPE]:[UNIT]],'Unit Price'!D$1,FALSE),0)</f>
        <v>0</v>
      </c>
      <c r="I217" s="194">
        <f>IF(_1_5412845612146241046457891017[[#This Row],[Type]]&gt;0,VLOOKUP(_1_5412845612146241046457891017[[#This Row],[Type]],Main[[#All],[TYPE]:[UNIT]],'Unit Price'!G$1,FALSE),0)</f>
        <v>0</v>
      </c>
      <c r="J217" s="194">
        <f>IF(_1_5412845612146241046457891017[[#This Row],[Type]]&gt;0,VLOOKUP(_1_5412845612146241046457891017[[#This Row],[Type]],Main[[#All],[TYPE]:[UNIT]],'Unit Price'!H$1,FALSE),0)</f>
        <v>0</v>
      </c>
      <c r="K217" s="194">
        <f>IF(_1_5412845612146241046457891017[[#This Row],[Discount selection]]&gt;0,VLOOKUP(_1_5412845612146241046457891017[[#This Row],[Discount selection]],'Discount Structure'!$A$2:$B$30,2,"false"),0)</f>
        <v>1</v>
      </c>
      <c r="L217" s="194">
        <f>_1_5412845612146241046457891017[[#This Row],[LIST $]]*_1_5412845612146241046457891017[[#This Row],[DISCOUNT]]*_1_5412845612146241046457891017[[#This Row],[DISCOUNT 2]]</f>
        <v>0</v>
      </c>
      <c r="M217" s="194">
        <f>IF(OR(_1_5412845612146241046457891017[[#This Row],[UNIT]]&gt;0,_1_5412845612146241046457891017[[#This Row],[UNIT]]&lt;0),_1_5412845612146241046457891017[[#This Row],[UNIT]]*_1_5412845612146241046457891017[[#This Row],[COST]],0)</f>
        <v>0</v>
      </c>
      <c r="N217" s="194">
        <f t="shared" si="3"/>
        <v>1.35</v>
      </c>
      <c r="O217" s="198">
        <f>_1_5412845612146241046457891017[[#This Row],[TOTAL]]*_1_5412845612146241046457891017[[#This Row],[MARGIN]]</f>
        <v>0</v>
      </c>
      <c r="R217" s="41"/>
    </row>
    <row r="218" spans="3:18">
      <c r="C218" s="168"/>
      <c r="D218" s="188"/>
      <c r="F218" s="168" t="s">
        <v>6202</v>
      </c>
      <c r="G218" s="193">
        <f>IF(_1_5412845612146241046457891017[[#This Row],[Type]]&gt;0,VLOOKUP(_1_5412845612146241046457891017[[#This Row],[Type]],Main[[#All],[TYPE]:[UNIT]],'Unit Price'!C$1,FALSE),0)</f>
        <v>0</v>
      </c>
      <c r="H218" s="197">
        <f>IF(_1_5412845612146241046457891017[[#This Row],[Type]]&gt;0,VLOOKUP(_1_5412845612146241046457891017[[#This Row],[Type]],Main[[#All],[TYPE]:[UNIT]],'Unit Price'!D$1,FALSE),0)</f>
        <v>0</v>
      </c>
      <c r="I218" s="194">
        <f>IF(_1_5412845612146241046457891017[[#This Row],[Type]]&gt;0,VLOOKUP(_1_5412845612146241046457891017[[#This Row],[Type]],Main[[#All],[TYPE]:[UNIT]],'Unit Price'!G$1,FALSE),0)</f>
        <v>0</v>
      </c>
      <c r="J218" s="194">
        <f>IF(_1_5412845612146241046457891017[[#This Row],[Type]]&gt;0,VLOOKUP(_1_5412845612146241046457891017[[#This Row],[Type]],Main[[#All],[TYPE]:[UNIT]],'Unit Price'!H$1,FALSE),0)</f>
        <v>0</v>
      </c>
      <c r="K218" s="194">
        <f>IF(_1_5412845612146241046457891017[[#This Row],[Discount selection]]&gt;0,VLOOKUP(_1_5412845612146241046457891017[[#This Row],[Discount selection]],'Discount Structure'!$A$2:$B$30,2,"false"),0)</f>
        <v>1</v>
      </c>
      <c r="L218" s="194">
        <f>_1_5412845612146241046457891017[[#This Row],[LIST $]]*_1_5412845612146241046457891017[[#This Row],[DISCOUNT]]*_1_5412845612146241046457891017[[#This Row],[DISCOUNT 2]]</f>
        <v>0</v>
      </c>
      <c r="M218" s="194">
        <f>IF(OR(_1_5412845612146241046457891017[[#This Row],[UNIT]]&gt;0,_1_5412845612146241046457891017[[#This Row],[UNIT]]&lt;0),_1_5412845612146241046457891017[[#This Row],[UNIT]]*_1_5412845612146241046457891017[[#This Row],[COST]],0)</f>
        <v>0</v>
      </c>
      <c r="N218" s="194">
        <f t="shared" si="3"/>
        <v>1.35</v>
      </c>
      <c r="O218" s="198">
        <f>_1_5412845612146241046457891017[[#This Row],[TOTAL]]*_1_5412845612146241046457891017[[#This Row],[MARGIN]]</f>
        <v>0</v>
      </c>
      <c r="R218" s="41"/>
    </row>
    <row r="219" spans="3:18">
      <c r="C219" s="168"/>
      <c r="D219" s="188"/>
      <c r="F219" s="168" t="s">
        <v>6202</v>
      </c>
      <c r="G219" s="193">
        <f>IF(_1_5412845612146241046457891017[[#This Row],[Type]]&gt;0,VLOOKUP(_1_5412845612146241046457891017[[#This Row],[Type]],Main[[#All],[TYPE]:[UNIT]],'Unit Price'!C$1,FALSE),0)</f>
        <v>0</v>
      </c>
      <c r="H219" s="197">
        <f>IF(_1_5412845612146241046457891017[[#This Row],[Type]]&gt;0,VLOOKUP(_1_5412845612146241046457891017[[#This Row],[Type]],Main[[#All],[TYPE]:[UNIT]],'Unit Price'!D$1,FALSE),0)</f>
        <v>0</v>
      </c>
      <c r="I219" s="194">
        <f>IF(_1_5412845612146241046457891017[[#This Row],[Type]]&gt;0,VLOOKUP(_1_5412845612146241046457891017[[#This Row],[Type]],Main[[#All],[TYPE]:[UNIT]],'Unit Price'!G$1,FALSE),0)</f>
        <v>0</v>
      </c>
      <c r="J219" s="194">
        <f>IF(_1_5412845612146241046457891017[[#This Row],[Type]]&gt;0,VLOOKUP(_1_5412845612146241046457891017[[#This Row],[Type]],Main[[#All],[TYPE]:[UNIT]],'Unit Price'!H$1,FALSE),0)</f>
        <v>0</v>
      </c>
      <c r="K219" s="194">
        <f>IF(_1_5412845612146241046457891017[[#This Row],[Discount selection]]&gt;0,VLOOKUP(_1_5412845612146241046457891017[[#This Row],[Discount selection]],'Discount Structure'!$A$2:$B$30,2,"false"),0)</f>
        <v>1</v>
      </c>
      <c r="L219" s="194">
        <f>_1_5412845612146241046457891017[[#This Row],[LIST $]]*_1_5412845612146241046457891017[[#This Row],[DISCOUNT]]*_1_5412845612146241046457891017[[#This Row],[DISCOUNT 2]]</f>
        <v>0</v>
      </c>
      <c r="M219" s="194">
        <f>IF(OR(_1_5412845612146241046457891017[[#This Row],[UNIT]]&gt;0,_1_5412845612146241046457891017[[#This Row],[UNIT]]&lt;0),_1_5412845612146241046457891017[[#This Row],[UNIT]]*_1_5412845612146241046457891017[[#This Row],[COST]],0)</f>
        <v>0</v>
      </c>
      <c r="N219" s="194">
        <f t="shared" si="3"/>
        <v>1.35</v>
      </c>
      <c r="O219" s="198">
        <f>_1_5412845612146241046457891017[[#This Row],[TOTAL]]*_1_5412845612146241046457891017[[#This Row],[MARGIN]]</f>
        <v>0</v>
      </c>
      <c r="R219" s="41"/>
    </row>
    <row r="220" spans="3:18">
      <c r="C220" s="168"/>
      <c r="D220" s="188"/>
      <c r="F220" s="168" t="s">
        <v>6202</v>
      </c>
      <c r="G220" s="193">
        <f>IF(_1_5412845612146241046457891017[[#This Row],[Type]]&gt;0,VLOOKUP(_1_5412845612146241046457891017[[#This Row],[Type]],Main[[#All],[TYPE]:[UNIT]],'Unit Price'!C$1,FALSE),0)</f>
        <v>0</v>
      </c>
      <c r="H220" s="197">
        <f>IF(_1_5412845612146241046457891017[[#This Row],[Type]]&gt;0,VLOOKUP(_1_5412845612146241046457891017[[#This Row],[Type]],Main[[#All],[TYPE]:[UNIT]],'Unit Price'!D$1,FALSE),0)</f>
        <v>0</v>
      </c>
      <c r="I220" s="194">
        <f>IF(_1_5412845612146241046457891017[[#This Row],[Type]]&gt;0,VLOOKUP(_1_5412845612146241046457891017[[#This Row],[Type]],Main[[#All],[TYPE]:[UNIT]],'Unit Price'!G$1,FALSE),0)</f>
        <v>0</v>
      </c>
      <c r="J220" s="194">
        <f>IF(_1_5412845612146241046457891017[[#This Row],[Type]]&gt;0,VLOOKUP(_1_5412845612146241046457891017[[#This Row],[Type]],Main[[#All],[TYPE]:[UNIT]],'Unit Price'!H$1,FALSE),0)</f>
        <v>0</v>
      </c>
      <c r="K220" s="194">
        <f>IF(_1_5412845612146241046457891017[[#This Row],[Discount selection]]&gt;0,VLOOKUP(_1_5412845612146241046457891017[[#This Row],[Discount selection]],'Discount Structure'!$A$2:$B$30,2,"false"),0)</f>
        <v>1</v>
      </c>
      <c r="L220" s="194">
        <f>_1_5412845612146241046457891017[[#This Row],[LIST $]]*_1_5412845612146241046457891017[[#This Row],[DISCOUNT]]*_1_5412845612146241046457891017[[#This Row],[DISCOUNT 2]]</f>
        <v>0</v>
      </c>
      <c r="M220" s="194">
        <f>IF(OR(_1_5412845612146241046457891017[[#This Row],[UNIT]]&gt;0,_1_5412845612146241046457891017[[#This Row],[UNIT]]&lt;0),_1_5412845612146241046457891017[[#This Row],[UNIT]]*_1_5412845612146241046457891017[[#This Row],[COST]],0)</f>
        <v>0</v>
      </c>
      <c r="N220" s="194">
        <f t="shared" si="3"/>
        <v>1.35</v>
      </c>
      <c r="O220" s="198">
        <f>_1_5412845612146241046457891017[[#This Row],[TOTAL]]*_1_5412845612146241046457891017[[#This Row],[MARGIN]]</f>
        <v>0</v>
      </c>
      <c r="R220" s="41"/>
    </row>
    <row r="221" spans="3:18">
      <c r="C221" s="168"/>
      <c r="D221" s="188"/>
      <c r="F221" s="168" t="s">
        <v>6202</v>
      </c>
      <c r="G221" s="193">
        <f>IF(_1_5412845612146241046457891017[[#This Row],[Type]]&gt;0,VLOOKUP(_1_5412845612146241046457891017[[#This Row],[Type]],Main[[#All],[TYPE]:[UNIT]],'Unit Price'!C$1,FALSE),0)</f>
        <v>0</v>
      </c>
      <c r="H221" s="197">
        <f>IF(_1_5412845612146241046457891017[[#This Row],[Type]]&gt;0,VLOOKUP(_1_5412845612146241046457891017[[#This Row],[Type]],Main[[#All],[TYPE]:[UNIT]],'Unit Price'!D$1,FALSE),0)</f>
        <v>0</v>
      </c>
      <c r="I221" s="194">
        <f>IF(_1_5412845612146241046457891017[[#This Row],[Type]]&gt;0,VLOOKUP(_1_5412845612146241046457891017[[#This Row],[Type]],Main[[#All],[TYPE]:[UNIT]],'Unit Price'!G$1,FALSE),0)</f>
        <v>0</v>
      </c>
      <c r="J221" s="194">
        <f>IF(_1_5412845612146241046457891017[[#This Row],[Type]]&gt;0,VLOOKUP(_1_5412845612146241046457891017[[#This Row],[Type]],Main[[#All],[TYPE]:[UNIT]],'Unit Price'!H$1,FALSE),0)</f>
        <v>0</v>
      </c>
      <c r="K221" s="194">
        <f>IF(_1_5412845612146241046457891017[[#This Row],[Discount selection]]&gt;0,VLOOKUP(_1_5412845612146241046457891017[[#This Row],[Discount selection]],'Discount Structure'!$A$2:$B$30,2,"false"),0)</f>
        <v>1</v>
      </c>
      <c r="L221" s="194">
        <f>_1_5412845612146241046457891017[[#This Row],[LIST $]]*_1_5412845612146241046457891017[[#This Row],[DISCOUNT]]*_1_5412845612146241046457891017[[#This Row],[DISCOUNT 2]]</f>
        <v>0</v>
      </c>
      <c r="M221" s="194">
        <f>IF(OR(_1_5412845612146241046457891017[[#This Row],[UNIT]]&gt;0,_1_5412845612146241046457891017[[#This Row],[UNIT]]&lt;0),_1_5412845612146241046457891017[[#This Row],[UNIT]]*_1_5412845612146241046457891017[[#This Row],[COST]],0)</f>
        <v>0</v>
      </c>
      <c r="N221" s="194">
        <f t="shared" si="3"/>
        <v>1.35</v>
      </c>
      <c r="O221" s="198">
        <f>_1_5412845612146241046457891017[[#This Row],[TOTAL]]*_1_5412845612146241046457891017[[#This Row],[MARGIN]]</f>
        <v>0</v>
      </c>
      <c r="R221" s="41"/>
    </row>
    <row r="222" spans="3:18">
      <c r="C222" s="168"/>
      <c r="D222" s="188"/>
      <c r="F222" s="168" t="s">
        <v>6202</v>
      </c>
      <c r="G222" s="193">
        <f>IF(_1_5412845612146241046457891017[[#This Row],[Type]]&gt;0,VLOOKUP(_1_5412845612146241046457891017[[#This Row],[Type]],Main[[#All],[TYPE]:[UNIT]],'Unit Price'!C$1,FALSE),0)</f>
        <v>0</v>
      </c>
      <c r="H222" s="197">
        <f>IF(_1_5412845612146241046457891017[[#This Row],[Type]]&gt;0,VLOOKUP(_1_5412845612146241046457891017[[#This Row],[Type]],Main[[#All],[TYPE]:[UNIT]],'Unit Price'!D$1,FALSE),0)</f>
        <v>0</v>
      </c>
      <c r="I222" s="194">
        <f>IF(_1_5412845612146241046457891017[[#This Row],[Type]]&gt;0,VLOOKUP(_1_5412845612146241046457891017[[#This Row],[Type]],Main[[#All],[TYPE]:[UNIT]],'Unit Price'!G$1,FALSE),0)</f>
        <v>0</v>
      </c>
      <c r="J222" s="194">
        <f>IF(_1_5412845612146241046457891017[[#This Row],[Type]]&gt;0,VLOOKUP(_1_5412845612146241046457891017[[#This Row],[Type]],Main[[#All],[TYPE]:[UNIT]],'Unit Price'!H$1,FALSE),0)</f>
        <v>0</v>
      </c>
      <c r="K222" s="194">
        <f>IF(_1_5412845612146241046457891017[[#This Row],[Discount selection]]&gt;0,VLOOKUP(_1_5412845612146241046457891017[[#This Row],[Discount selection]],'Discount Structure'!$A$2:$B$30,2,"false"),0)</f>
        <v>1</v>
      </c>
      <c r="L222" s="194">
        <f>_1_5412845612146241046457891017[[#This Row],[LIST $]]*_1_5412845612146241046457891017[[#This Row],[DISCOUNT]]*_1_5412845612146241046457891017[[#This Row],[DISCOUNT 2]]</f>
        <v>0</v>
      </c>
      <c r="M222" s="194">
        <f>IF(OR(_1_5412845612146241046457891017[[#This Row],[UNIT]]&gt;0,_1_5412845612146241046457891017[[#This Row],[UNIT]]&lt;0),_1_5412845612146241046457891017[[#This Row],[UNIT]]*_1_5412845612146241046457891017[[#This Row],[COST]],0)</f>
        <v>0</v>
      </c>
      <c r="N222" s="194">
        <f t="shared" si="3"/>
        <v>1.35</v>
      </c>
      <c r="O222" s="198">
        <f>_1_5412845612146241046457891017[[#This Row],[TOTAL]]*_1_5412845612146241046457891017[[#This Row],[MARGIN]]</f>
        <v>0</v>
      </c>
      <c r="R222" s="41"/>
    </row>
    <row r="223" spans="3:18">
      <c r="C223" s="168"/>
      <c r="D223" s="188"/>
      <c r="F223" s="168" t="s">
        <v>6202</v>
      </c>
      <c r="G223" s="193">
        <f>IF(_1_5412845612146241046457891017[[#This Row],[Type]]&gt;0,VLOOKUP(_1_5412845612146241046457891017[[#This Row],[Type]],Main[[#All],[TYPE]:[UNIT]],'Unit Price'!C$1,FALSE),0)</f>
        <v>0</v>
      </c>
      <c r="H223" s="197">
        <f>IF(_1_5412845612146241046457891017[[#This Row],[Type]]&gt;0,VLOOKUP(_1_5412845612146241046457891017[[#This Row],[Type]],Main[[#All],[TYPE]:[UNIT]],'Unit Price'!D$1,FALSE),0)</f>
        <v>0</v>
      </c>
      <c r="I223" s="194">
        <f>IF(_1_5412845612146241046457891017[[#This Row],[Type]]&gt;0,VLOOKUP(_1_5412845612146241046457891017[[#This Row],[Type]],Main[[#All],[TYPE]:[UNIT]],'Unit Price'!G$1,FALSE),0)</f>
        <v>0</v>
      </c>
      <c r="J223" s="194">
        <f>IF(_1_5412845612146241046457891017[[#This Row],[Type]]&gt;0,VLOOKUP(_1_5412845612146241046457891017[[#This Row],[Type]],Main[[#All],[TYPE]:[UNIT]],'Unit Price'!H$1,FALSE),0)</f>
        <v>0</v>
      </c>
      <c r="K223" s="194">
        <f>IF(_1_5412845612146241046457891017[[#This Row],[Discount selection]]&gt;0,VLOOKUP(_1_5412845612146241046457891017[[#This Row],[Discount selection]],'Discount Structure'!$A$2:$B$30,2,"false"),0)</f>
        <v>1</v>
      </c>
      <c r="L223" s="194">
        <f>_1_5412845612146241046457891017[[#This Row],[LIST $]]*_1_5412845612146241046457891017[[#This Row],[DISCOUNT]]*_1_5412845612146241046457891017[[#This Row],[DISCOUNT 2]]</f>
        <v>0</v>
      </c>
      <c r="M223" s="194">
        <f>IF(OR(_1_5412845612146241046457891017[[#This Row],[UNIT]]&gt;0,_1_5412845612146241046457891017[[#This Row],[UNIT]]&lt;0),_1_5412845612146241046457891017[[#This Row],[UNIT]]*_1_5412845612146241046457891017[[#This Row],[COST]],0)</f>
        <v>0</v>
      </c>
      <c r="N223" s="194">
        <f t="shared" si="3"/>
        <v>1.35</v>
      </c>
      <c r="O223" s="198">
        <f>_1_5412845612146241046457891017[[#This Row],[TOTAL]]*_1_5412845612146241046457891017[[#This Row],[MARGIN]]</f>
        <v>0</v>
      </c>
      <c r="R223" s="41"/>
    </row>
    <row r="224" spans="3:18">
      <c r="C224" s="168"/>
      <c r="D224" s="188"/>
      <c r="F224" s="168" t="s">
        <v>6202</v>
      </c>
      <c r="G224" s="193">
        <f>IF(_1_5412845612146241046457891017[[#This Row],[Type]]&gt;0,VLOOKUP(_1_5412845612146241046457891017[[#This Row],[Type]],Main[[#All],[TYPE]:[UNIT]],'Unit Price'!C$1,FALSE),0)</f>
        <v>0</v>
      </c>
      <c r="H224" s="197">
        <f>IF(_1_5412845612146241046457891017[[#This Row],[Type]]&gt;0,VLOOKUP(_1_5412845612146241046457891017[[#This Row],[Type]],Main[[#All],[TYPE]:[UNIT]],'Unit Price'!D$1,FALSE),0)</f>
        <v>0</v>
      </c>
      <c r="I224" s="194">
        <f>IF(_1_5412845612146241046457891017[[#This Row],[Type]]&gt;0,VLOOKUP(_1_5412845612146241046457891017[[#This Row],[Type]],Main[[#All],[TYPE]:[UNIT]],'Unit Price'!G$1,FALSE),0)</f>
        <v>0</v>
      </c>
      <c r="J224" s="194">
        <f>IF(_1_5412845612146241046457891017[[#This Row],[Type]]&gt;0,VLOOKUP(_1_5412845612146241046457891017[[#This Row],[Type]],Main[[#All],[TYPE]:[UNIT]],'Unit Price'!H$1,FALSE),0)</f>
        <v>0</v>
      </c>
      <c r="K224" s="194">
        <f>IF(_1_5412845612146241046457891017[[#This Row],[Discount selection]]&gt;0,VLOOKUP(_1_5412845612146241046457891017[[#This Row],[Discount selection]],'Discount Structure'!$A$2:$B$30,2,"false"),0)</f>
        <v>1</v>
      </c>
      <c r="L224" s="194">
        <f>_1_5412845612146241046457891017[[#This Row],[LIST $]]*_1_5412845612146241046457891017[[#This Row],[DISCOUNT]]*_1_5412845612146241046457891017[[#This Row],[DISCOUNT 2]]</f>
        <v>0</v>
      </c>
      <c r="M224" s="194">
        <f>IF(OR(_1_5412845612146241046457891017[[#This Row],[UNIT]]&gt;0,_1_5412845612146241046457891017[[#This Row],[UNIT]]&lt;0),_1_5412845612146241046457891017[[#This Row],[UNIT]]*_1_5412845612146241046457891017[[#This Row],[COST]],0)</f>
        <v>0</v>
      </c>
      <c r="N224" s="194">
        <f t="shared" si="3"/>
        <v>1.35</v>
      </c>
      <c r="O224" s="198">
        <f>_1_5412845612146241046457891017[[#This Row],[TOTAL]]*_1_5412845612146241046457891017[[#This Row],[MARGIN]]</f>
        <v>0</v>
      </c>
      <c r="R224" s="41"/>
    </row>
    <row r="225" spans="1:18">
      <c r="C225" s="168"/>
      <c r="D225" s="188"/>
      <c r="F225" s="168" t="s">
        <v>6202</v>
      </c>
      <c r="G225" s="193">
        <f>IF(_1_5412845612146241046457891017[[#This Row],[Type]]&gt;0,VLOOKUP(_1_5412845612146241046457891017[[#This Row],[Type]],Main[[#All],[TYPE]:[UNIT]],'Unit Price'!C$1,FALSE),0)</f>
        <v>0</v>
      </c>
      <c r="H225" s="197">
        <f>IF(_1_5412845612146241046457891017[[#This Row],[Type]]&gt;0,VLOOKUP(_1_5412845612146241046457891017[[#This Row],[Type]],Main[[#All],[TYPE]:[UNIT]],'Unit Price'!D$1,FALSE),0)</f>
        <v>0</v>
      </c>
      <c r="I225" s="194">
        <f>IF(_1_5412845612146241046457891017[[#This Row],[Type]]&gt;0,VLOOKUP(_1_5412845612146241046457891017[[#This Row],[Type]],Main[[#All],[TYPE]:[UNIT]],'Unit Price'!G$1,FALSE),0)</f>
        <v>0</v>
      </c>
      <c r="J225" s="194">
        <f>IF(_1_5412845612146241046457891017[[#This Row],[Type]]&gt;0,VLOOKUP(_1_5412845612146241046457891017[[#This Row],[Type]],Main[[#All],[TYPE]:[UNIT]],'Unit Price'!H$1,FALSE),0)</f>
        <v>0</v>
      </c>
      <c r="K225" s="194">
        <f>IF(_1_5412845612146241046457891017[[#This Row],[Discount selection]]&gt;0,VLOOKUP(_1_5412845612146241046457891017[[#This Row],[Discount selection]],'Discount Structure'!$A$2:$B$30,2,"false"),0)</f>
        <v>1</v>
      </c>
      <c r="L225" s="194">
        <f>_1_5412845612146241046457891017[[#This Row],[LIST $]]*_1_5412845612146241046457891017[[#This Row],[DISCOUNT]]*_1_5412845612146241046457891017[[#This Row],[DISCOUNT 2]]</f>
        <v>0</v>
      </c>
      <c r="M225" s="194">
        <f>IF(OR(_1_5412845612146241046457891017[[#This Row],[UNIT]]&gt;0,_1_5412845612146241046457891017[[#This Row],[UNIT]]&lt;0),_1_5412845612146241046457891017[[#This Row],[UNIT]]*_1_5412845612146241046457891017[[#This Row],[COST]],0)</f>
        <v>0</v>
      </c>
      <c r="N225" s="194">
        <f t="shared" si="3"/>
        <v>1.35</v>
      </c>
      <c r="O225" s="198">
        <f>_1_5412845612146241046457891017[[#This Row],[TOTAL]]*_1_5412845612146241046457891017[[#This Row],[MARGIN]]</f>
        <v>0</v>
      </c>
      <c r="R225" s="41"/>
    </row>
    <row r="226" spans="1:18">
      <c r="C226" s="168"/>
      <c r="D226" s="188"/>
      <c r="F226" s="168" t="s">
        <v>6202</v>
      </c>
      <c r="G226" s="193">
        <f>IF(_1_5412845612146241046457891017[[#This Row],[Type]]&gt;0,VLOOKUP(_1_5412845612146241046457891017[[#This Row],[Type]],Main[[#All],[TYPE]:[UNIT]],'Unit Price'!C$1,FALSE),0)</f>
        <v>0</v>
      </c>
      <c r="H226" s="197">
        <f>IF(_1_5412845612146241046457891017[[#This Row],[Type]]&gt;0,VLOOKUP(_1_5412845612146241046457891017[[#This Row],[Type]],Main[[#All],[TYPE]:[UNIT]],'Unit Price'!D$1,FALSE),0)</f>
        <v>0</v>
      </c>
      <c r="I226" s="194">
        <f>IF(_1_5412845612146241046457891017[[#This Row],[Type]]&gt;0,VLOOKUP(_1_5412845612146241046457891017[[#This Row],[Type]],Main[[#All],[TYPE]:[UNIT]],'Unit Price'!G$1,FALSE),0)</f>
        <v>0</v>
      </c>
      <c r="J226" s="194">
        <f>IF(_1_5412845612146241046457891017[[#This Row],[Type]]&gt;0,VLOOKUP(_1_5412845612146241046457891017[[#This Row],[Type]],Main[[#All],[TYPE]:[UNIT]],'Unit Price'!H$1,FALSE),0)</f>
        <v>0</v>
      </c>
      <c r="K226" s="194">
        <f>IF(_1_5412845612146241046457891017[[#This Row],[Discount selection]]&gt;0,VLOOKUP(_1_5412845612146241046457891017[[#This Row],[Discount selection]],'Discount Structure'!$A$2:$B$30,2,"false"),0)</f>
        <v>1</v>
      </c>
      <c r="L226" s="194">
        <f>_1_5412845612146241046457891017[[#This Row],[LIST $]]*_1_5412845612146241046457891017[[#This Row],[DISCOUNT]]*_1_5412845612146241046457891017[[#This Row],[DISCOUNT 2]]</f>
        <v>0</v>
      </c>
      <c r="M226" s="194">
        <f>IF(OR(_1_5412845612146241046457891017[[#This Row],[UNIT]]&gt;0,_1_5412845612146241046457891017[[#This Row],[UNIT]]&lt;0),_1_5412845612146241046457891017[[#This Row],[UNIT]]*_1_5412845612146241046457891017[[#This Row],[COST]],0)</f>
        <v>0</v>
      </c>
      <c r="N226" s="194">
        <f t="shared" si="3"/>
        <v>1.35</v>
      </c>
      <c r="O226" s="198">
        <f>_1_5412845612146241046457891017[[#This Row],[TOTAL]]*_1_5412845612146241046457891017[[#This Row],[MARGIN]]</f>
        <v>0</v>
      </c>
      <c r="R226" s="41"/>
    </row>
    <row r="227" spans="1:18">
      <c r="C227" s="168"/>
      <c r="D227" s="188"/>
      <c r="F227" s="168" t="s">
        <v>6202</v>
      </c>
      <c r="G227" s="193">
        <f>IF(_1_5412845612146241046457891017[[#This Row],[Type]]&gt;0,VLOOKUP(_1_5412845612146241046457891017[[#This Row],[Type]],Main[[#All],[TYPE]:[UNIT]],'Unit Price'!C$1,FALSE),0)</f>
        <v>0</v>
      </c>
      <c r="H227" s="197">
        <f>IF(_1_5412845612146241046457891017[[#This Row],[Type]]&gt;0,VLOOKUP(_1_5412845612146241046457891017[[#This Row],[Type]],Main[[#All],[TYPE]:[UNIT]],'Unit Price'!D$1,FALSE),0)</f>
        <v>0</v>
      </c>
      <c r="I227" s="194">
        <f>IF(_1_5412845612146241046457891017[[#This Row],[Type]]&gt;0,VLOOKUP(_1_5412845612146241046457891017[[#This Row],[Type]],Main[[#All],[TYPE]:[UNIT]],'Unit Price'!G$1,FALSE),0)</f>
        <v>0</v>
      </c>
      <c r="J227" s="194">
        <f>IF(_1_5412845612146241046457891017[[#This Row],[Type]]&gt;0,VLOOKUP(_1_5412845612146241046457891017[[#This Row],[Type]],Main[[#All],[TYPE]:[UNIT]],'Unit Price'!H$1,FALSE),0)</f>
        <v>0</v>
      </c>
      <c r="K227" s="194">
        <f>IF(_1_5412845612146241046457891017[[#This Row],[Discount selection]]&gt;0,VLOOKUP(_1_5412845612146241046457891017[[#This Row],[Discount selection]],'Discount Structure'!$A$2:$B$30,2,"false"),0)</f>
        <v>1</v>
      </c>
      <c r="L227" s="194">
        <f>_1_5412845612146241046457891017[[#This Row],[LIST $]]*_1_5412845612146241046457891017[[#This Row],[DISCOUNT]]*_1_5412845612146241046457891017[[#This Row],[DISCOUNT 2]]</f>
        <v>0</v>
      </c>
      <c r="M227" s="194">
        <f>IF(OR(_1_5412845612146241046457891017[[#This Row],[UNIT]]&gt;0,_1_5412845612146241046457891017[[#This Row],[UNIT]]&lt;0),_1_5412845612146241046457891017[[#This Row],[UNIT]]*_1_5412845612146241046457891017[[#This Row],[COST]],0)</f>
        <v>0</v>
      </c>
      <c r="N227" s="194">
        <f t="shared" si="3"/>
        <v>1.35</v>
      </c>
      <c r="O227" s="198">
        <f>_1_5412845612146241046457891017[[#This Row],[TOTAL]]*_1_5412845612146241046457891017[[#This Row],[MARGIN]]</f>
        <v>0</v>
      </c>
      <c r="R227" s="41"/>
    </row>
    <row r="228" spans="1:18">
      <c r="C228" s="168"/>
      <c r="D228" s="188"/>
      <c r="F228" s="168" t="s">
        <v>6202</v>
      </c>
      <c r="G228" s="193">
        <f>IF(_1_5412845612146241046457891017[[#This Row],[Type]]&gt;0,VLOOKUP(_1_5412845612146241046457891017[[#This Row],[Type]],Main[[#All],[TYPE]:[UNIT]],'Unit Price'!C$1,FALSE),0)</f>
        <v>0</v>
      </c>
      <c r="H228" s="197">
        <f>IF(_1_5412845612146241046457891017[[#This Row],[Type]]&gt;0,VLOOKUP(_1_5412845612146241046457891017[[#This Row],[Type]],Main[[#All],[TYPE]:[UNIT]],'Unit Price'!D$1,FALSE),0)</f>
        <v>0</v>
      </c>
      <c r="I228" s="194">
        <f>IF(_1_5412845612146241046457891017[[#This Row],[Type]]&gt;0,VLOOKUP(_1_5412845612146241046457891017[[#This Row],[Type]],Main[[#All],[TYPE]:[UNIT]],'Unit Price'!G$1,FALSE),0)</f>
        <v>0</v>
      </c>
      <c r="J228" s="194">
        <f>IF(_1_5412845612146241046457891017[[#This Row],[Type]]&gt;0,VLOOKUP(_1_5412845612146241046457891017[[#This Row],[Type]],Main[[#All],[TYPE]:[UNIT]],'Unit Price'!H$1,FALSE),0)</f>
        <v>0</v>
      </c>
      <c r="K228" s="194">
        <f>IF(_1_5412845612146241046457891017[[#This Row],[Discount selection]]&gt;0,VLOOKUP(_1_5412845612146241046457891017[[#This Row],[Discount selection]],'Discount Structure'!$A$2:$B$30,2,"false"),0)</f>
        <v>1</v>
      </c>
      <c r="L228" s="194">
        <f>_1_5412845612146241046457891017[[#This Row],[LIST $]]*_1_5412845612146241046457891017[[#This Row],[DISCOUNT]]*_1_5412845612146241046457891017[[#This Row],[DISCOUNT 2]]</f>
        <v>0</v>
      </c>
      <c r="M228" s="194">
        <f>IF(OR(_1_5412845612146241046457891017[[#This Row],[UNIT]]&gt;0,_1_5412845612146241046457891017[[#This Row],[UNIT]]&lt;0),_1_5412845612146241046457891017[[#This Row],[UNIT]]*_1_5412845612146241046457891017[[#This Row],[COST]],0)</f>
        <v>0</v>
      </c>
      <c r="N228" s="194">
        <f t="shared" si="3"/>
        <v>1.35</v>
      </c>
      <c r="O228" s="198">
        <f>_1_5412845612146241046457891017[[#This Row],[TOTAL]]*_1_5412845612146241046457891017[[#This Row],[MARGIN]]</f>
        <v>0</v>
      </c>
      <c r="R228" s="41"/>
    </row>
    <row r="229" spans="1:18">
      <c r="C229" s="168"/>
      <c r="D229" s="188"/>
      <c r="F229" s="168" t="s">
        <v>6202</v>
      </c>
      <c r="G229" s="193">
        <f>IF(_1_5412845612146241046457891017[[#This Row],[Type]]&gt;0,VLOOKUP(_1_5412845612146241046457891017[[#This Row],[Type]],Main[[#All],[TYPE]:[UNIT]],'Unit Price'!C$1,FALSE),0)</f>
        <v>0</v>
      </c>
      <c r="H229" s="197">
        <f>IF(_1_5412845612146241046457891017[[#This Row],[Type]]&gt;0,VLOOKUP(_1_5412845612146241046457891017[[#This Row],[Type]],Main[[#All],[TYPE]:[UNIT]],'Unit Price'!D$1,FALSE),0)</f>
        <v>0</v>
      </c>
      <c r="I229" s="194">
        <f>IF(_1_5412845612146241046457891017[[#This Row],[Type]]&gt;0,VLOOKUP(_1_5412845612146241046457891017[[#This Row],[Type]],Main[[#All],[TYPE]:[UNIT]],'Unit Price'!G$1,FALSE),0)</f>
        <v>0</v>
      </c>
      <c r="J229" s="194">
        <f>IF(_1_5412845612146241046457891017[[#This Row],[Type]]&gt;0,VLOOKUP(_1_5412845612146241046457891017[[#This Row],[Type]],Main[[#All],[TYPE]:[UNIT]],'Unit Price'!H$1,FALSE),0)</f>
        <v>0</v>
      </c>
      <c r="K229" s="194">
        <f>IF(_1_5412845612146241046457891017[[#This Row],[Discount selection]]&gt;0,VLOOKUP(_1_5412845612146241046457891017[[#This Row],[Discount selection]],'Discount Structure'!$A$2:$B$30,2,"false"),0)</f>
        <v>1</v>
      </c>
      <c r="L229" s="194">
        <f>_1_5412845612146241046457891017[[#This Row],[LIST $]]*_1_5412845612146241046457891017[[#This Row],[DISCOUNT]]*_1_5412845612146241046457891017[[#This Row],[DISCOUNT 2]]</f>
        <v>0</v>
      </c>
      <c r="M229" s="194">
        <f>IF(OR(_1_5412845612146241046457891017[[#This Row],[UNIT]]&gt;0,_1_5412845612146241046457891017[[#This Row],[UNIT]]&lt;0),_1_5412845612146241046457891017[[#This Row],[UNIT]]*_1_5412845612146241046457891017[[#This Row],[COST]],0)</f>
        <v>0</v>
      </c>
      <c r="N229" s="194">
        <f t="shared" si="3"/>
        <v>1.35</v>
      </c>
      <c r="O229" s="198">
        <f>_1_5412845612146241046457891017[[#This Row],[TOTAL]]*_1_5412845612146241046457891017[[#This Row],[MARGIN]]</f>
        <v>0</v>
      </c>
      <c r="R229" s="41"/>
    </row>
    <row r="230" spans="1:18">
      <c r="C230" s="168"/>
      <c r="D230" s="188"/>
      <c r="F230" s="168" t="s">
        <v>6202</v>
      </c>
      <c r="G230" s="193">
        <f>IF(_1_5412845612146241046457891017[[#This Row],[Type]]&gt;0,VLOOKUP(_1_5412845612146241046457891017[[#This Row],[Type]],Main[[#All],[TYPE]:[UNIT]],'Unit Price'!C$1,FALSE),0)</f>
        <v>0</v>
      </c>
      <c r="H230" s="197">
        <f>IF(_1_5412845612146241046457891017[[#This Row],[Type]]&gt;0,VLOOKUP(_1_5412845612146241046457891017[[#This Row],[Type]],Main[[#All],[TYPE]:[UNIT]],'Unit Price'!D$1,FALSE),0)</f>
        <v>0</v>
      </c>
      <c r="I230" s="194">
        <f>IF(_1_5412845612146241046457891017[[#This Row],[Type]]&gt;0,VLOOKUP(_1_5412845612146241046457891017[[#This Row],[Type]],Main[[#All],[TYPE]:[UNIT]],'Unit Price'!G$1,FALSE),0)</f>
        <v>0</v>
      </c>
      <c r="J230" s="194">
        <f>IF(_1_5412845612146241046457891017[[#This Row],[Type]]&gt;0,VLOOKUP(_1_5412845612146241046457891017[[#This Row],[Type]],Main[[#All],[TYPE]:[UNIT]],'Unit Price'!H$1,FALSE),0)</f>
        <v>0</v>
      </c>
      <c r="K230" s="194">
        <f>IF(_1_5412845612146241046457891017[[#This Row],[Discount selection]]&gt;0,VLOOKUP(_1_5412845612146241046457891017[[#This Row],[Discount selection]],'Discount Structure'!$A$2:$B$30,2,"false"),0)</f>
        <v>1</v>
      </c>
      <c r="L230" s="194">
        <f>_1_5412845612146241046457891017[[#This Row],[LIST $]]*_1_5412845612146241046457891017[[#This Row],[DISCOUNT]]*_1_5412845612146241046457891017[[#This Row],[DISCOUNT 2]]</f>
        <v>0</v>
      </c>
      <c r="M230" s="194">
        <f>IF(OR(_1_5412845612146241046457891017[[#This Row],[UNIT]]&gt;0,_1_5412845612146241046457891017[[#This Row],[UNIT]]&lt;0),_1_5412845612146241046457891017[[#This Row],[UNIT]]*_1_5412845612146241046457891017[[#This Row],[COST]],0)</f>
        <v>0</v>
      </c>
      <c r="N230" s="194">
        <f t="shared" si="3"/>
        <v>1.35</v>
      </c>
      <c r="O230" s="198">
        <f>_1_5412845612146241046457891017[[#This Row],[TOTAL]]*_1_5412845612146241046457891017[[#This Row],[MARGIN]]</f>
        <v>0</v>
      </c>
      <c r="R230" s="41"/>
    </row>
    <row r="231" spans="1:18">
      <c r="C231" s="168"/>
      <c r="D231" s="188"/>
      <c r="F231" s="168" t="s">
        <v>6202</v>
      </c>
      <c r="G231" s="193">
        <f>IF(_1_5412845612146241046457891017[[#This Row],[Type]]&gt;0,VLOOKUP(_1_5412845612146241046457891017[[#This Row],[Type]],Main[[#All],[TYPE]:[UNIT]],'Unit Price'!C$1,FALSE),0)</f>
        <v>0</v>
      </c>
      <c r="H231" s="197">
        <f>IF(_1_5412845612146241046457891017[[#This Row],[Type]]&gt;0,VLOOKUP(_1_5412845612146241046457891017[[#This Row],[Type]],Main[[#All],[TYPE]:[UNIT]],'Unit Price'!D$1,FALSE),0)</f>
        <v>0</v>
      </c>
      <c r="I231" s="194">
        <f>IF(_1_5412845612146241046457891017[[#This Row],[Type]]&gt;0,VLOOKUP(_1_5412845612146241046457891017[[#This Row],[Type]],Main[[#All],[TYPE]:[UNIT]],'Unit Price'!G$1,FALSE),0)</f>
        <v>0</v>
      </c>
      <c r="J231" s="194">
        <f>IF(_1_5412845612146241046457891017[[#This Row],[Type]]&gt;0,VLOOKUP(_1_5412845612146241046457891017[[#This Row],[Type]],Main[[#All],[TYPE]:[UNIT]],'Unit Price'!H$1,FALSE),0)</f>
        <v>0</v>
      </c>
      <c r="K231" s="194">
        <f>IF(_1_5412845612146241046457891017[[#This Row],[Discount selection]]&gt;0,VLOOKUP(_1_5412845612146241046457891017[[#This Row],[Discount selection]],'Discount Structure'!$A$2:$B$30,2,"false"),0)</f>
        <v>1</v>
      </c>
      <c r="L231" s="194">
        <f>_1_5412845612146241046457891017[[#This Row],[LIST $]]*_1_5412845612146241046457891017[[#This Row],[DISCOUNT]]*_1_5412845612146241046457891017[[#This Row],[DISCOUNT 2]]</f>
        <v>0</v>
      </c>
      <c r="M231" s="194">
        <f>IF(OR(_1_5412845612146241046457891017[[#This Row],[UNIT]]&gt;0,_1_5412845612146241046457891017[[#This Row],[UNIT]]&lt;0),_1_5412845612146241046457891017[[#This Row],[UNIT]]*_1_5412845612146241046457891017[[#This Row],[COST]],0)</f>
        <v>0</v>
      </c>
      <c r="N231" s="194">
        <f t="shared" si="3"/>
        <v>1.35</v>
      </c>
      <c r="O231" s="198">
        <f>_1_5412845612146241046457891017[[#This Row],[TOTAL]]*_1_5412845612146241046457891017[[#This Row],[MARGIN]]</f>
        <v>0</v>
      </c>
      <c r="R231" s="41"/>
    </row>
    <row r="232" spans="1:18">
      <c r="A232" s="168"/>
      <c r="B232" s="168"/>
      <c r="C232" s="168"/>
      <c r="D232" s="188"/>
      <c r="F232" s="168" t="s">
        <v>6202</v>
      </c>
      <c r="G232" s="193">
        <f>IF(_1_5412845612146241046457891017[[#This Row],[Type]]&gt;0,VLOOKUP(_1_5412845612146241046457891017[[#This Row],[Type]],Main[[#All],[TYPE]:[UNIT]],'Unit Price'!C$1,FALSE),0)</f>
        <v>0</v>
      </c>
      <c r="H232" s="197">
        <f>IF(_1_5412845612146241046457891017[[#This Row],[Type]]&gt;0,VLOOKUP(_1_5412845612146241046457891017[[#This Row],[Type]],Main[[#All],[TYPE]:[UNIT]],'Unit Price'!D$1,FALSE),0)</f>
        <v>0</v>
      </c>
      <c r="I232" s="194">
        <f>IF(_1_5412845612146241046457891017[[#This Row],[Type]]&gt;0,VLOOKUP(_1_5412845612146241046457891017[[#This Row],[Type]],Main[[#All],[TYPE]:[UNIT]],'Unit Price'!G$1,FALSE),0)</f>
        <v>0</v>
      </c>
      <c r="J232" s="194">
        <f>IF(_1_5412845612146241046457891017[[#This Row],[Type]]&gt;0,VLOOKUP(_1_5412845612146241046457891017[[#This Row],[Type]],Main[[#All],[TYPE]:[UNIT]],'Unit Price'!H$1,FALSE),0)</f>
        <v>0</v>
      </c>
      <c r="K232" s="194">
        <f>IF(_1_5412845612146241046457891017[[#This Row],[Discount selection]]&gt;0,VLOOKUP(_1_5412845612146241046457891017[[#This Row],[Discount selection]],'Discount Structure'!$A$2:$B$30,2,"false"),0)</f>
        <v>1</v>
      </c>
      <c r="L232" s="194">
        <f>_1_5412845612146241046457891017[[#This Row],[LIST $]]*_1_5412845612146241046457891017[[#This Row],[DISCOUNT]]*_1_5412845612146241046457891017[[#This Row],[DISCOUNT 2]]</f>
        <v>0</v>
      </c>
      <c r="M232" s="194">
        <f>IF(OR(_1_5412845612146241046457891017[[#This Row],[UNIT]]&gt;0,_1_5412845612146241046457891017[[#This Row],[UNIT]]&lt;0),_1_5412845612146241046457891017[[#This Row],[UNIT]]*_1_5412845612146241046457891017[[#This Row],[COST]],0)</f>
        <v>0</v>
      </c>
      <c r="N232" s="194">
        <f t="shared" si="3"/>
        <v>1.35</v>
      </c>
      <c r="O232" s="198">
        <f>_1_5412845612146241046457891017[[#This Row],[TOTAL]]*_1_5412845612146241046457891017[[#This Row],[MARGIN]]</f>
        <v>0</v>
      </c>
      <c r="R232" s="41"/>
    </row>
    <row r="233" spans="1:18">
      <c r="A233" s="310"/>
      <c r="B233" s="323"/>
      <c r="C233" s="168"/>
      <c r="D233" s="188"/>
      <c r="F233" s="168" t="s">
        <v>6202</v>
      </c>
      <c r="G233" s="205">
        <f>IF(_1_5412845612146241046457891017[[#This Row],[Type]]&gt;0,VLOOKUP(_1_5412845612146241046457891017[[#This Row],[Type]],Main[[#All],[TYPE]:[UNIT]],'Unit Price'!C$1,FALSE),0)</f>
        <v>0</v>
      </c>
      <c r="H233" s="197">
        <f>IF(_1_5412845612146241046457891017[[#This Row],[Type]]&gt;0,VLOOKUP(_1_5412845612146241046457891017[[#This Row],[Type]],Main[[#All],[TYPE]:[UNIT]],'Unit Price'!D$1,FALSE),0)</f>
        <v>0</v>
      </c>
      <c r="I233" s="194">
        <f>IF(_1_5412845612146241046457891017[[#This Row],[Type]]&gt;0,VLOOKUP(_1_5412845612146241046457891017[[#This Row],[Type]],Main[[#All],[TYPE]:[UNIT]],'Unit Price'!G$1,FALSE),0)</f>
        <v>0</v>
      </c>
      <c r="J233" s="194">
        <f>IF(_1_5412845612146241046457891017[[#This Row],[Type]]&gt;0,VLOOKUP(_1_5412845612146241046457891017[[#This Row],[Type]],Main[[#All],[TYPE]:[UNIT]],'Unit Price'!H$1,FALSE),0)</f>
        <v>0</v>
      </c>
      <c r="K233" s="194">
        <f>IF(_1_5412845612146241046457891017[[#This Row],[Discount selection]]&gt;0,VLOOKUP(_1_5412845612146241046457891017[[#This Row],[Discount selection]],'Discount Structure'!$A$2:$B$30,2,"false"),0)</f>
        <v>1</v>
      </c>
      <c r="L233" s="194">
        <f>_1_5412845612146241046457891017[[#This Row],[LIST $]]*_1_5412845612146241046457891017[[#This Row],[DISCOUNT]]*_1_5412845612146241046457891017[[#This Row],[DISCOUNT 2]]</f>
        <v>0</v>
      </c>
      <c r="M233" s="194">
        <f>IF(OR(_1_5412845612146241046457891017[[#This Row],[UNIT]]&gt;0,_1_5412845612146241046457891017[[#This Row],[UNIT]]&lt;0),_1_5412845612146241046457891017[[#This Row],[UNIT]]*_1_5412845612146241046457891017[[#This Row],[COST]],0)</f>
        <v>0</v>
      </c>
      <c r="N233" s="194">
        <f t="shared" si="3"/>
        <v>1.35</v>
      </c>
      <c r="O233" s="198">
        <f>_1_5412845612146241046457891017[[#This Row],[TOTAL]]*_1_5412845612146241046457891017[[#This Row],[MARGIN]]</f>
        <v>0</v>
      </c>
      <c r="R233" s="41"/>
    </row>
    <row r="234" spans="1:18">
      <c r="A234" s="323"/>
      <c r="B234" s="323"/>
      <c r="C234" s="168"/>
      <c r="D234" s="188"/>
      <c r="F234" s="168" t="s">
        <v>6202</v>
      </c>
      <c r="G234" s="193">
        <f>IF(_1_5412845612146241046457891017[[#This Row],[Type]]&gt;0,VLOOKUP(_1_5412845612146241046457891017[[#This Row],[Type]],Main[[#All],[TYPE]:[UNIT]],'Unit Price'!C$1,FALSE),0)</f>
        <v>0</v>
      </c>
      <c r="H234" s="197">
        <f>IF(_1_5412845612146241046457891017[[#This Row],[Type]]&gt;0,VLOOKUP(_1_5412845612146241046457891017[[#This Row],[Type]],Main[[#All],[TYPE]:[UNIT]],'Unit Price'!D$1,FALSE),0)</f>
        <v>0</v>
      </c>
      <c r="I234" s="194">
        <f>IF(_1_5412845612146241046457891017[[#This Row],[Type]]&gt;0,VLOOKUP(_1_5412845612146241046457891017[[#This Row],[Type]],Main[[#All],[TYPE]:[UNIT]],'Unit Price'!G$1,FALSE),0)</f>
        <v>0</v>
      </c>
      <c r="J234" s="194">
        <f>IF(_1_5412845612146241046457891017[[#This Row],[Type]]&gt;0,VLOOKUP(_1_5412845612146241046457891017[[#This Row],[Type]],Main[[#All],[TYPE]:[UNIT]],'Unit Price'!H$1,FALSE),0)</f>
        <v>0</v>
      </c>
      <c r="K234" s="194">
        <f>IF(_1_5412845612146241046457891017[[#This Row],[Discount selection]]&gt;0,VLOOKUP(_1_5412845612146241046457891017[[#This Row],[Discount selection]],'Discount Structure'!$A$2:$B$30,2,"false"),0)</f>
        <v>1</v>
      </c>
      <c r="L234" s="194">
        <f>_1_5412845612146241046457891017[[#This Row],[LIST $]]*_1_5412845612146241046457891017[[#This Row],[DISCOUNT]]*_1_5412845612146241046457891017[[#This Row],[DISCOUNT 2]]</f>
        <v>0</v>
      </c>
      <c r="M234" s="194">
        <f>IF(OR(_1_5412845612146241046457891017[[#This Row],[UNIT]]&gt;0,_1_5412845612146241046457891017[[#This Row],[UNIT]]&lt;0),_1_5412845612146241046457891017[[#This Row],[UNIT]]*_1_5412845612146241046457891017[[#This Row],[COST]],0)</f>
        <v>0</v>
      </c>
      <c r="N234" s="194">
        <f t="shared" si="3"/>
        <v>1.35</v>
      </c>
      <c r="O234" s="198">
        <f>_1_5412845612146241046457891017[[#This Row],[TOTAL]]*_1_5412845612146241046457891017[[#This Row],[MARGIN]]</f>
        <v>0</v>
      </c>
      <c r="R234" s="41"/>
    </row>
    <row r="235" spans="1:18">
      <c r="C235" s="168"/>
      <c r="D235" s="188"/>
      <c r="F235" s="168" t="s">
        <v>6202</v>
      </c>
      <c r="G235" s="193">
        <f>IF(_1_5412845612146241046457891017[[#This Row],[Type]]&gt;0,VLOOKUP(_1_5412845612146241046457891017[[#This Row],[Type]],Main[[#All],[TYPE]:[UNIT]],'Unit Price'!C$1,FALSE),0)</f>
        <v>0</v>
      </c>
      <c r="H235" s="197">
        <f>IF(_1_5412845612146241046457891017[[#This Row],[Type]]&gt;0,VLOOKUP(_1_5412845612146241046457891017[[#This Row],[Type]],Main[[#All],[TYPE]:[UNIT]],'Unit Price'!D$1,FALSE),0)</f>
        <v>0</v>
      </c>
      <c r="I235" s="194">
        <f>IF(_1_5412845612146241046457891017[[#This Row],[Type]]&gt;0,VLOOKUP(_1_5412845612146241046457891017[[#This Row],[Type]],Main[[#All],[TYPE]:[UNIT]],'Unit Price'!G$1,FALSE),0)</f>
        <v>0</v>
      </c>
      <c r="J235" s="194">
        <f>IF(_1_5412845612146241046457891017[[#This Row],[Type]]&gt;0,VLOOKUP(_1_5412845612146241046457891017[[#This Row],[Type]],Main[[#All],[TYPE]:[UNIT]],'Unit Price'!H$1,FALSE),0)</f>
        <v>0</v>
      </c>
      <c r="K235" s="194">
        <f>IF(_1_5412845612146241046457891017[[#This Row],[Discount selection]]&gt;0,VLOOKUP(_1_5412845612146241046457891017[[#This Row],[Discount selection]],'Discount Structure'!$A$2:$B$30,2,"false"),0)</f>
        <v>1</v>
      </c>
      <c r="L235" s="194">
        <f>_1_5412845612146241046457891017[[#This Row],[LIST $]]*_1_5412845612146241046457891017[[#This Row],[DISCOUNT]]*_1_5412845612146241046457891017[[#This Row],[DISCOUNT 2]]</f>
        <v>0</v>
      </c>
      <c r="M235" s="194">
        <f>IF(OR(_1_5412845612146241046457891017[[#This Row],[UNIT]]&gt;0,_1_5412845612146241046457891017[[#This Row],[UNIT]]&lt;0),_1_5412845612146241046457891017[[#This Row],[UNIT]]*_1_5412845612146241046457891017[[#This Row],[COST]],0)</f>
        <v>0</v>
      </c>
      <c r="N235" s="194">
        <f t="shared" si="3"/>
        <v>1.35</v>
      </c>
      <c r="O235" s="198">
        <f>_1_5412845612146241046457891017[[#This Row],[TOTAL]]*_1_5412845612146241046457891017[[#This Row],[MARGIN]]</f>
        <v>0</v>
      </c>
      <c r="R235" s="41"/>
    </row>
    <row r="236" spans="1:18">
      <c r="C236" s="168"/>
      <c r="D236" s="188"/>
      <c r="F236" s="168" t="s">
        <v>6202</v>
      </c>
      <c r="G236" s="193">
        <f>IF(_1_5412845612146241046457891017[[#This Row],[Type]]&gt;0,VLOOKUP(_1_5412845612146241046457891017[[#This Row],[Type]],Main[[#All],[TYPE]:[UNIT]],'Unit Price'!C$1,FALSE),0)</f>
        <v>0</v>
      </c>
      <c r="H236" s="197">
        <f>IF(_1_5412845612146241046457891017[[#This Row],[Type]]&gt;0,VLOOKUP(_1_5412845612146241046457891017[[#This Row],[Type]],Main[[#All],[TYPE]:[UNIT]],'Unit Price'!D$1,FALSE),0)</f>
        <v>0</v>
      </c>
      <c r="I236" s="194">
        <f>IF(_1_5412845612146241046457891017[[#This Row],[Type]]&gt;0,VLOOKUP(_1_5412845612146241046457891017[[#This Row],[Type]],Main[[#All],[TYPE]:[UNIT]],'Unit Price'!G$1,FALSE),0)</f>
        <v>0</v>
      </c>
      <c r="J236" s="194">
        <f>IF(_1_5412845612146241046457891017[[#This Row],[Type]]&gt;0,VLOOKUP(_1_5412845612146241046457891017[[#This Row],[Type]],Main[[#All],[TYPE]:[UNIT]],'Unit Price'!H$1,FALSE),0)</f>
        <v>0</v>
      </c>
      <c r="K236" s="194">
        <f>IF(_1_5412845612146241046457891017[[#This Row],[Discount selection]]&gt;0,VLOOKUP(_1_5412845612146241046457891017[[#This Row],[Discount selection]],'Discount Structure'!$A$2:$B$30,2,"false"),0)</f>
        <v>1</v>
      </c>
      <c r="L236" s="194">
        <f>_1_5412845612146241046457891017[[#This Row],[LIST $]]*_1_5412845612146241046457891017[[#This Row],[DISCOUNT]]*_1_5412845612146241046457891017[[#This Row],[DISCOUNT 2]]</f>
        <v>0</v>
      </c>
      <c r="M236" s="194">
        <f>IF(OR(_1_5412845612146241046457891017[[#This Row],[UNIT]]&gt;0,_1_5412845612146241046457891017[[#This Row],[UNIT]]&lt;0),_1_5412845612146241046457891017[[#This Row],[UNIT]]*_1_5412845612146241046457891017[[#This Row],[COST]],0)</f>
        <v>0</v>
      </c>
      <c r="N236" s="194">
        <f t="shared" si="3"/>
        <v>1.35</v>
      </c>
      <c r="O236" s="198">
        <f>_1_5412845612146241046457891017[[#This Row],[TOTAL]]*_1_5412845612146241046457891017[[#This Row],[MARGIN]]</f>
        <v>0</v>
      </c>
      <c r="R236" s="41"/>
    </row>
    <row r="237" spans="1:18">
      <c r="A237" s="323"/>
      <c r="B237" s="323"/>
      <c r="C237" s="168"/>
      <c r="D237" s="188"/>
      <c r="F237" s="168" t="s">
        <v>6202</v>
      </c>
      <c r="G237" s="193">
        <f>IF(_1_5412845612146241046457891017[[#This Row],[Type]]&gt;0,VLOOKUP(_1_5412845612146241046457891017[[#This Row],[Type]],Main[[#All],[TYPE]:[UNIT]],'Unit Price'!C$1,FALSE),0)</f>
        <v>0</v>
      </c>
      <c r="H237" s="197">
        <f>IF(_1_5412845612146241046457891017[[#This Row],[Type]]&gt;0,VLOOKUP(_1_5412845612146241046457891017[[#This Row],[Type]],Main[[#All],[TYPE]:[UNIT]],'Unit Price'!D$1,FALSE),0)</f>
        <v>0</v>
      </c>
      <c r="I237" s="194">
        <f>IF(_1_5412845612146241046457891017[[#This Row],[Type]]&gt;0,VLOOKUP(_1_5412845612146241046457891017[[#This Row],[Type]],Main[[#All],[TYPE]:[UNIT]],'Unit Price'!G$1,FALSE),0)</f>
        <v>0</v>
      </c>
      <c r="J237" s="194">
        <f>IF(_1_5412845612146241046457891017[[#This Row],[Type]]&gt;0,VLOOKUP(_1_5412845612146241046457891017[[#This Row],[Type]],Main[[#All],[TYPE]:[UNIT]],'Unit Price'!H$1,FALSE),0)</f>
        <v>0</v>
      </c>
      <c r="K237" s="194">
        <f>IF(_1_5412845612146241046457891017[[#This Row],[Discount selection]]&gt;0,VLOOKUP(_1_5412845612146241046457891017[[#This Row],[Discount selection]],'Discount Structure'!$A$2:$B$30,2,"false"),0)</f>
        <v>1</v>
      </c>
      <c r="L237" s="194">
        <f>_1_5412845612146241046457891017[[#This Row],[LIST $]]*_1_5412845612146241046457891017[[#This Row],[DISCOUNT]]*_1_5412845612146241046457891017[[#This Row],[DISCOUNT 2]]</f>
        <v>0</v>
      </c>
      <c r="M237" s="194">
        <f>IF(OR(_1_5412845612146241046457891017[[#This Row],[UNIT]]&gt;0,_1_5412845612146241046457891017[[#This Row],[UNIT]]&lt;0),_1_5412845612146241046457891017[[#This Row],[UNIT]]*_1_5412845612146241046457891017[[#This Row],[COST]],0)</f>
        <v>0</v>
      </c>
      <c r="N237" s="194">
        <f t="shared" si="3"/>
        <v>1.35</v>
      </c>
      <c r="O237" s="198">
        <f>_1_5412845612146241046457891017[[#This Row],[TOTAL]]*_1_5412845612146241046457891017[[#This Row],[MARGIN]]</f>
        <v>0</v>
      </c>
      <c r="R237" s="41"/>
    </row>
    <row r="238" spans="1:18">
      <c r="C238" s="168"/>
      <c r="D238" s="188"/>
      <c r="F238" s="168" t="s">
        <v>6202</v>
      </c>
      <c r="G238" s="193">
        <f>IF(_1_5412845612146241046457891017[[#This Row],[Type]]&gt;0,VLOOKUP(_1_5412845612146241046457891017[[#This Row],[Type]],Main[[#All],[TYPE]:[UNIT]],'Unit Price'!C$1,FALSE),0)</f>
        <v>0</v>
      </c>
      <c r="H238" s="197">
        <f>IF(_1_5412845612146241046457891017[[#This Row],[Type]]&gt;0,VLOOKUP(_1_5412845612146241046457891017[[#This Row],[Type]],Main[[#All],[TYPE]:[UNIT]],'Unit Price'!D$1,FALSE),0)</f>
        <v>0</v>
      </c>
      <c r="I238" s="194">
        <f>IF(_1_5412845612146241046457891017[[#This Row],[Type]]&gt;0,VLOOKUP(_1_5412845612146241046457891017[[#This Row],[Type]],Main[[#All],[TYPE]:[UNIT]],'Unit Price'!G$1,FALSE),0)</f>
        <v>0</v>
      </c>
      <c r="J238" s="194">
        <f>IF(_1_5412845612146241046457891017[[#This Row],[Type]]&gt;0,VLOOKUP(_1_5412845612146241046457891017[[#This Row],[Type]],Main[[#All],[TYPE]:[UNIT]],'Unit Price'!H$1,FALSE),0)</f>
        <v>0</v>
      </c>
      <c r="K238" s="194">
        <f>IF(_1_5412845612146241046457891017[[#This Row],[Discount selection]]&gt;0,VLOOKUP(_1_5412845612146241046457891017[[#This Row],[Discount selection]],'Discount Structure'!$A$2:$B$30,2,"false"),0)</f>
        <v>1</v>
      </c>
      <c r="L238" s="194">
        <f>_1_5412845612146241046457891017[[#This Row],[LIST $]]*_1_5412845612146241046457891017[[#This Row],[DISCOUNT]]*_1_5412845612146241046457891017[[#This Row],[DISCOUNT 2]]</f>
        <v>0</v>
      </c>
      <c r="M238" s="194">
        <f>IF(OR(_1_5412845612146241046457891017[[#This Row],[UNIT]]&gt;0,_1_5412845612146241046457891017[[#This Row],[UNIT]]&lt;0),_1_5412845612146241046457891017[[#This Row],[UNIT]]*_1_5412845612146241046457891017[[#This Row],[COST]],0)</f>
        <v>0</v>
      </c>
      <c r="N238" s="194">
        <f t="shared" si="3"/>
        <v>1.35</v>
      </c>
      <c r="O238" s="198">
        <f>_1_5412845612146241046457891017[[#This Row],[TOTAL]]*_1_5412845612146241046457891017[[#This Row],[MARGIN]]</f>
        <v>0</v>
      </c>
      <c r="R238" s="41"/>
    </row>
    <row r="239" spans="1:18">
      <c r="C239" s="168"/>
      <c r="D239" s="188"/>
      <c r="F239" s="168" t="s">
        <v>6202</v>
      </c>
      <c r="G239" s="205">
        <f>IF(_1_5412845612146241046457891017[[#This Row],[Type]]&gt;0,VLOOKUP(_1_5412845612146241046457891017[[#This Row],[Type]],Main[[#All],[TYPE]:[UNIT]],'Unit Price'!C$1,FALSE),0)</f>
        <v>0</v>
      </c>
      <c r="H239" s="197">
        <f>IF(_1_5412845612146241046457891017[[#This Row],[Type]]&gt;0,VLOOKUP(_1_5412845612146241046457891017[[#This Row],[Type]],Main[[#All],[TYPE]:[UNIT]],'Unit Price'!D$1,FALSE),0)</f>
        <v>0</v>
      </c>
      <c r="I239" s="194">
        <f>IF(_1_5412845612146241046457891017[[#This Row],[Type]]&gt;0,VLOOKUP(_1_5412845612146241046457891017[[#This Row],[Type]],Main[[#All],[TYPE]:[UNIT]],'Unit Price'!G$1,FALSE),0)</f>
        <v>0</v>
      </c>
      <c r="J239" s="194">
        <f>IF(_1_5412845612146241046457891017[[#This Row],[Type]]&gt;0,VLOOKUP(_1_5412845612146241046457891017[[#This Row],[Type]],Main[[#All],[TYPE]:[UNIT]],'Unit Price'!H$1,FALSE),0)</f>
        <v>0</v>
      </c>
      <c r="K239" s="194">
        <f>IF(_1_5412845612146241046457891017[[#This Row],[Discount selection]]&gt;0,VLOOKUP(_1_5412845612146241046457891017[[#This Row],[Discount selection]],'Discount Structure'!$A$2:$B$30,2,"false"),0)</f>
        <v>1</v>
      </c>
      <c r="L239" s="194">
        <f>_1_5412845612146241046457891017[[#This Row],[LIST $]]*_1_5412845612146241046457891017[[#This Row],[DISCOUNT]]*_1_5412845612146241046457891017[[#This Row],[DISCOUNT 2]]</f>
        <v>0</v>
      </c>
      <c r="M239" s="194">
        <f>IF(OR(_1_5412845612146241046457891017[[#This Row],[UNIT]]&gt;0,_1_5412845612146241046457891017[[#This Row],[UNIT]]&lt;0),_1_5412845612146241046457891017[[#This Row],[UNIT]]*_1_5412845612146241046457891017[[#This Row],[COST]],0)</f>
        <v>0</v>
      </c>
      <c r="N239" s="194">
        <f t="shared" si="3"/>
        <v>1.35</v>
      </c>
      <c r="O239" s="198">
        <f>_1_5412845612146241046457891017[[#This Row],[TOTAL]]*_1_5412845612146241046457891017[[#This Row],[MARGIN]]</f>
        <v>0</v>
      </c>
      <c r="R239" s="41"/>
    </row>
    <row r="240" spans="1:18">
      <c r="C240" s="168"/>
      <c r="D240" s="188"/>
      <c r="F240" s="168" t="s">
        <v>6202</v>
      </c>
      <c r="G240" s="193">
        <f>IF(_1_5412845612146241046457891017[[#This Row],[Type]]&gt;0,VLOOKUP(_1_5412845612146241046457891017[[#This Row],[Type]],Main[[#All],[TYPE]:[UNIT]],'Unit Price'!C$1,FALSE),0)</f>
        <v>0</v>
      </c>
      <c r="H240" s="197">
        <f>IF(_1_5412845612146241046457891017[[#This Row],[Type]]&gt;0,VLOOKUP(_1_5412845612146241046457891017[[#This Row],[Type]],Main[[#All],[TYPE]:[UNIT]],'Unit Price'!D$1,FALSE),0)</f>
        <v>0</v>
      </c>
      <c r="I240" s="194">
        <f>IF(_1_5412845612146241046457891017[[#This Row],[Type]]&gt;0,VLOOKUP(_1_5412845612146241046457891017[[#This Row],[Type]],Main[[#All],[TYPE]:[UNIT]],'Unit Price'!G$1,FALSE),0)</f>
        <v>0</v>
      </c>
      <c r="J240" s="194">
        <f>IF(_1_5412845612146241046457891017[[#This Row],[Type]]&gt;0,VLOOKUP(_1_5412845612146241046457891017[[#This Row],[Type]],Main[[#All],[TYPE]:[UNIT]],'Unit Price'!H$1,FALSE),0)</f>
        <v>0</v>
      </c>
      <c r="K240" s="194">
        <f>IF(_1_5412845612146241046457891017[[#This Row],[Discount selection]]&gt;0,VLOOKUP(_1_5412845612146241046457891017[[#This Row],[Discount selection]],'Discount Structure'!$A$2:$B$30,2,"false"),0)</f>
        <v>1</v>
      </c>
      <c r="L240" s="194">
        <f>_1_5412845612146241046457891017[[#This Row],[LIST $]]*_1_5412845612146241046457891017[[#This Row],[DISCOUNT]]*_1_5412845612146241046457891017[[#This Row],[DISCOUNT 2]]</f>
        <v>0</v>
      </c>
      <c r="M240" s="194">
        <f>IF(OR(_1_5412845612146241046457891017[[#This Row],[UNIT]]&gt;0,_1_5412845612146241046457891017[[#This Row],[UNIT]]&lt;0),_1_5412845612146241046457891017[[#This Row],[UNIT]]*_1_5412845612146241046457891017[[#This Row],[COST]],0)</f>
        <v>0</v>
      </c>
      <c r="N240" s="194">
        <f t="shared" si="3"/>
        <v>1.35</v>
      </c>
      <c r="O240" s="198">
        <f>_1_5412845612146241046457891017[[#This Row],[TOTAL]]*_1_5412845612146241046457891017[[#This Row],[MARGIN]]</f>
        <v>0</v>
      </c>
      <c r="R240" s="41"/>
    </row>
    <row r="241" spans="1:18">
      <c r="C241" s="168"/>
      <c r="D241" s="188"/>
      <c r="F241" s="168" t="s">
        <v>6202</v>
      </c>
      <c r="G241" s="193">
        <f>IF(_1_5412845612146241046457891017[[#This Row],[Type]]&gt;0,VLOOKUP(_1_5412845612146241046457891017[[#This Row],[Type]],Main[[#All],[TYPE]:[UNIT]],'Unit Price'!C$1,FALSE),0)</f>
        <v>0</v>
      </c>
      <c r="H241" s="197">
        <f>IF(_1_5412845612146241046457891017[[#This Row],[Type]]&gt;0,VLOOKUP(_1_5412845612146241046457891017[[#This Row],[Type]],Main[[#All],[TYPE]:[UNIT]],'Unit Price'!D$1,FALSE),0)</f>
        <v>0</v>
      </c>
      <c r="I241" s="194">
        <f>IF(_1_5412845612146241046457891017[[#This Row],[Type]]&gt;0,VLOOKUP(_1_5412845612146241046457891017[[#This Row],[Type]],Main[[#All],[TYPE]:[UNIT]],'Unit Price'!G$1,FALSE),0)</f>
        <v>0</v>
      </c>
      <c r="J241" s="194">
        <f>IF(_1_5412845612146241046457891017[[#This Row],[Type]]&gt;0,VLOOKUP(_1_5412845612146241046457891017[[#This Row],[Type]],Main[[#All],[TYPE]:[UNIT]],'Unit Price'!H$1,FALSE),0)</f>
        <v>0</v>
      </c>
      <c r="K241" s="194">
        <f>IF(_1_5412845612146241046457891017[[#This Row],[Discount selection]]&gt;0,VLOOKUP(_1_5412845612146241046457891017[[#This Row],[Discount selection]],'Discount Structure'!$A$2:$B$30,2,"false"),0)</f>
        <v>1</v>
      </c>
      <c r="L241" s="194">
        <f>_1_5412845612146241046457891017[[#This Row],[LIST $]]*_1_5412845612146241046457891017[[#This Row],[DISCOUNT]]*_1_5412845612146241046457891017[[#This Row],[DISCOUNT 2]]</f>
        <v>0</v>
      </c>
      <c r="M241" s="194">
        <f>IF(OR(_1_5412845612146241046457891017[[#This Row],[UNIT]]&gt;0,_1_5412845612146241046457891017[[#This Row],[UNIT]]&lt;0),_1_5412845612146241046457891017[[#This Row],[UNIT]]*_1_5412845612146241046457891017[[#This Row],[COST]],0)</f>
        <v>0</v>
      </c>
      <c r="N241" s="194">
        <f t="shared" si="3"/>
        <v>1.35</v>
      </c>
      <c r="O241" s="198">
        <f>_1_5412845612146241046457891017[[#This Row],[TOTAL]]*_1_5412845612146241046457891017[[#This Row],[MARGIN]]</f>
        <v>0</v>
      </c>
      <c r="R241" s="41"/>
    </row>
    <row r="242" spans="1:18">
      <c r="C242" s="168"/>
      <c r="D242" s="188"/>
      <c r="F242" s="168" t="s">
        <v>6202</v>
      </c>
      <c r="G242" s="193">
        <f>IF(_1_5412845612146241046457891017[[#This Row],[Type]]&gt;0,VLOOKUP(_1_5412845612146241046457891017[[#This Row],[Type]],Main[[#All],[TYPE]:[UNIT]],'Unit Price'!C$1,FALSE),0)</f>
        <v>0</v>
      </c>
      <c r="H242" s="197">
        <f>IF(_1_5412845612146241046457891017[[#This Row],[Type]]&gt;0,VLOOKUP(_1_5412845612146241046457891017[[#This Row],[Type]],Main[[#All],[TYPE]:[UNIT]],'Unit Price'!D$1,FALSE),0)</f>
        <v>0</v>
      </c>
      <c r="I242" s="194">
        <f>IF(_1_5412845612146241046457891017[[#This Row],[Type]]&gt;0,VLOOKUP(_1_5412845612146241046457891017[[#This Row],[Type]],Main[[#All],[TYPE]:[UNIT]],'Unit Price'!G$1,FALSE),0)</f>
        <v>0</v>
      </c>
      <c r="J242" s="194">
        <f>IF(_1_5412845612146241046457891017[[#This Row],[Type]]&gt;0,VLOOKUP(_1_5412845612146241046457891017[[#This Row],[Type]],Main[[#All],[TYPE]:[UNIT]],'Unit Price'!H$1,FALSE),0)</f>
        <v>0</v>
      </c>
      <c r="K242" s="194">
        <f>IF(_1_5412845612146241046457891017[[#This Row],[Discount selection]]&gt;0,VLOOKUP(_1_5412845612146241046457891017[[#This Row],[Discount selection]],'Discount Structure'!$A$2:$B$30,2,"false"),0)</f>
        <v>1</v>
      </c>
      <c r="L242" s="194">
        <f>_1_5412845612146241046457891017[[#This Row],[LIST $]]*_1_5412845612146241046457891017[[#This Row],[DISCOUNT]]*_1_5412845612146241046457891017[[#This Row],[DISCOUNT 2]]</f>
        <v>0</v>
      </c>
      <c r="M242" s="194">
        <f>IF(OR(_1_5412845612146241046457891017[[#This Row],[UNIT]]&gt;0,_1_5412845612146241046457891017[[#This Row],[UNIT]]&lt;0),_1_5412845612146241046457891017[[#This Row],[UNIT]]*_1_5412845612146241046457891017[[#This Row],[COST]],0)</f>
        <v>0</v>
      </c>
      <c r="N242" s="194">
        <f t="shared" si="3"/>
        <v>1.35</v>
      </c>
      <c r="O242" s="198">
        <f>_1_5412845612146241046457891017[[#This Row],[TOTAL]]*_1_5412845612146241046457891017[[#This Row],[MARGIN]]</f>
        <v>0</v>
      </c>
      <c r="R242" s="41"/>
    </row>
    <row r="243" spans="1:18">
      <c r="C243" s="168"/>
      <c r="D243" s="188"/>
      <c r="F243" s="168" t="s">
        <v>6202</v>
      </c>
      <c r="G243" s="193">
        <f>IF(_1_5412845612146241046457891017[[#This Row],[Type]]&gt;0,VLOOKUP(_1_5412845612146241046457891017[[#This Row],[Type]],Main[[#All],[TYPE]:[UNIT]],'Unit Price'!C$1,FALSE),0)</f>
        <v>0</v>
      </c>
      <c r="H243" s="197">
        <f>IF(_1_5412845612146241046457891017[[#This Row],[Type]]&gt;0,VLOOKUP(_1_5412845612146241046457891017[[#This Row],[Type]],Main[[#All],[TYPE]:[UNIT]],'Unit Price'!D$1,FALSE),0)</f>
        <v>0</v>
      </c>
      <c r="I243" s="194">
        <f>IF(_1_5412845612146241046457891017[[#This Row],[Type]]&gt;0,VLOOKUP(_1_5412845612146241046457891017[[#This Row],[Type]],Main[[#All],[TYPE]:[UNIT]],'Unit Price'!G$1,FALSE),0)</f>
        <v>0</v>
      </c>
      <c r="J243" s="194">
        <f>IF(_1_5412845612146241046457891017[[#This Row],[Type]]&gt;0,VLOOKUP(_1_5412845612146241046457891017[[#This Row],[Type]],Main[[#All],[TYPE]:[UNIT]],'Unit Price'!H$1,FALSE),0)</f>
        <v>0</v>
      </c>
      <c r="K243" s="194">
        <f>IF(_1_5412845612146241046457891017[[#This Row],[Discount selection]]&gt;0,VLOOKUP(_1_5412845612146241046457891017[[#This Row],[Discount selection]],'Discount Structure'!$A$2:$B$30,2,"false"),0)</f>
        <v>1</v>
      </c>
      <c r="L243" s="194">
        <f>_1_5412845612146241046457891017[[#This Row],[LIST $]]*_1_5412845612146241046457891017[[#This Row],[DISCOUNT]]*_1_5412845612146241046457891017[[#This Row],[DISCOUNT 2]]</f>
        <v>0</v>
      </c>
      <c r="M243" s="194">
        <f>IF(OR(_1_5412845612146241046457891017[[#This Row],[UNIT]]&gt;0,_1_5412845612146241046457891017[[#This Row],[UNIT]]&lt;0),_1_5412845612146241046457891017[[#This Row],[UNIT]]*_1_5412845612146241046457891017[[#This Row],[COST]],0)</f>
        <v>0</v>
      </c>
      <c r="N243" s="194">
        <f t="shared" si="3"/>
        <v>1.35</v>
      </c>
      <c r="O243" s="198">
        <f>_1_5412845612146241046457891017[[#This Row],[TOTAL]]*_1_5412845612146241046457891017[[#This Row],[MARGIN]]</f>
        <v>0</v>
      </c>
      <c r="R243" s="41"/>
    </row>
    <row r="244" spans="1:18">
      <c r="A244" s="168"/>
      <c r="B244" s="168"/>
      <c r="C244" s="168"/>
      <c r="D244" s="188"/>
      <c r="F244" s="168" t="s">
        <v>6202</v>
      </c>
      <c r="G244" s="205">
        <f>IF(_1_5412845612146241046457891017[[#This Row],[Type]]&gt;0,VLOOKUP(_1_5412845612146241046457891017[[#This Row],[Type]],Main[[#All],[TYPE]:[UNIT]],'Unit Price'!C$1,FALSE),0)</f>
        <v>0</v>
      </c>
      <c r="H244" s="197">
        <f>IF(_1_5412845612146241046457891017[[#This Row],[Type]]&gt;0,VLOOKUP(_1_5412845612146241046457891017[[#This Row],[Type]],Main[[#All],[TYPE]:[UNIT]],'Unit Price'!D$1,FALSE),0)</f>
        <v>0</v>
      </c>
      <c r="I244" s="194">
        <f>IF(_1_5412845612146241046457891017[[#This Row],[Type]]&gt;0,VLOOKUP(_1_5412845612146241046457891017[[#This Row],[Type]],Main[[#All],[TYPE]:[UNIT]],'Unit Price'!G$1,FALSE),0)</f>
        <v>0</v>
      </c>
      <c r="J244" s="194">
        <f>IF(_1_5412845612146241046457891017[[#This Row],[Type]]&gt;0,VLOOKUP(_1_5412845612146241046457891017[[#This Row],[Type]],Main[[#All],[TYPE]:[UNIT]],'Unit Price'!H$1,FALSE),0)</f>
        <v>0</v>
      </c>
      <c r="K244" s="194">
        <f>IF(_1_5412845612146241046457891017[[#This Row],[Discount selection]]&gt;0,VLOOKUP(_1_5412845612146241046457891017[[#This Row],[Discount selection]],'Discount Structure'!$A$2:$B$30,2,"false"),0)</f>
        <v>1</v>
      </c>
      <c r="L244" s="194">
        <f>_1_5412845612146241046457891017[[#This Row],[LIST $]]*_1_5412845612146241046457891017[[#This Row],[DISCOUNT]]*_1_5412845612146241046457891017[[#This Row],[DISCOUNT 2]]</f>
        <v>0</v>
      </c>
      <c r="M244" s="194">
        <f>IF(OR(_1_5412845612146241046457891017[[#This Row],[UNIT]]&gt;0,_1_5412845612146241046457891017[[#This Row],[UNIT]]&lt;0),_1_5412845612146241046457891017[[#This Row],[UNIT]]*_1_5412845612146241046457891017[[#This Row],[COST]],0)</f>
        <v>0</v>
      </c>
      <c r="N244" s="194">
        <f t="shared" si="3"/>
        <v>1.35</v>
      </c>
      <c r="O244" s="198">
        <f>_1_5412845612146241046457891017[[#This Row],[TOTAL]]*_1_5412845612146241046457891017[[#This Row],[MARGIN]]</f>
        <v>0</v>
      </c>
      <c r="R244" s="41"/>
    </row>
    <row r="245" spans="1:18">
      <c r="A245" s="324"/>
      <c r="B245" s="323"/>
      <c r="C245" s="168"/>
      <c r="D245" s="188"/>
      <c r="F245" s="168" t="s">
        <v>6202</v>
      </c>
      <c r="G245" s="193">
        <f>IF(_1_5412845612146241046457891017[[#This Row],[Type]]&gt;0,VLOOKUP(_1_5412845612146241046457891017[[#This Row],[Type]],Main[[#All],[TYPE]:[UNIT]],'Unit Price'!C$1,FALSE),0)</f>
        <v>0</v>
      </c>
      <c r="H245" s="197">
        <f>IF(_1_5412845612146241046457891017[[#This Row],[Type]]&gt;0,VLOOKUP(_1_5412845612146241046457891017[[#This Row],[Type]],Main[[#All],[TYPE]:[UNIT]],'Unit Price'!D$1,FALSE),0)</f>
        <v>0</v>
      </c>
      <c r="I245" s="194">
        <f>IF(_1_5412845612146241046457891017[[#This Row],[Type]]&gt;0,VLOOKUP(_1_5412845612146241046457891017[[#This Row],[Type]],Main[[#All],[TYPE]:[UNIT]],'Unit Price'!G$1,FALSE),0)</f>
        <v>0</v>
      </c>
      <c r="J245" s="194">
        <f>IF(_1_5412845612146241046457891017[[#This Row],[Type]]&gt;0,VLOOKUP(_1_5412845612146241046457891017[[#This Row],[Type]],Main[[#All],[TYPE]:[UNIT]],'Unit Price'!H$1,FALSE),0)</f>
        <v>0</v>
      </c>
      <c r="K245" s="194">
        <f>IF(_1_5412845612146241046457891017[[#This Row],[Discount selection]]&gt;0,VLOOKUP(_1_5412845612146241046457891017[[#This Row],[Discount selection]],'Discount Structure'!$A$2:$B$30,2,"false"),0)</f>
        <v>1</v>
      </c>
      <c r="L245" s="194">
        <f>_1_5412845612146241046457891017[[#This Row],[LIST $]]*_1_5412845612146241046457891017[[#This Row],[DISCOUNT]]*_1_5412845612146241046457891017[[#This Row],[DISCOUNT 2]]</f>
        <v>0</v>
      </c>
      <c r="M245" s="194">
        <f>IF(OR(_1_5412845612146241046457891017[[#This Row],[UNIT]]&gt;0,_1_5412845612146241046457891017[[#This Row],[UNIT]]&lt;0),_1_5412845612146241046457891017[[#This Row],[UNIT]]*_1_5412845612146241046457891017[[#This Row],[COST]],0)</f>
        <v>0</v>
      </c>
      <c r="N245" s="194">
        <f t="shared" si="3"/>
        <v>1.35</v>
      </c>
      <c r="O245" s="198">
        <f>_1_5412845612146241046457891017[[#This Row],[TOTAL]]*_1_5412845612146241046457891017[[#This Row],[MARGIN]]</f>
        <v>0</v>
      </c>
      <c r="R245" s="41"/>
    </row>
    <row r="246" spans="1:18">
      <c r="A246" s="323"/>
      <c r="B246" s="323"/>
      <c r="C246" s="168"/>
      <c r="D246" s="188"/>
      <c r="F246" s="168" t="s">
        <v>6202</v>
      </c>
      <c r="G246" s="193">
        <f>IF(_1_5412845612146241046457891017[[#This Row],[Type]]&gt;0,VLOOKUP(_1_5412845612146241046457891017[[#This Row],[Type]],Main[[#All],[TYPE]:[UNIT]],'Unit Price'!C$1,FALSE),0)</f>
        <v>0</v>
      </c>
      <c r="H246" s="197">
        <f>IF(_1_5412845612146241046457891017[[#This Row],[Type]]&gt;0,VLOOKUP(_1_5412845612146241046457891017[[#This Row],[Type]],Main[[#All],[TYPE]:[UNIT]],'Unit Price'!D$1,FALSE),0)</f>
        <v>0</v>
      </c>
      <c r="I246" s="194">
        <f>IF(_1_5412845612146241046457891017[[#This Row],[Type]]&gt;0,VLOOKUP(_1_5412845612146241046457891017[[#This Row],[Type]],Main[[#All],[TYPE]:[UNIT]],'Unit Price'!G$1,FALSE),0)</f>
        <v>0</v>
      </c>
      <c r="J246" s="194">
        <f>IF(_1_5412845612146241046457891017[[#This Row],[Type]]&gt;0,VLOOKUP(_1_5412845612146241046457891017[[#This Row],[Type]],Main[[#All],[TYPE]:[UNIT]],'Unit Price'!H$1,FALSE),0)</f>
        <v>0</v>
      </c>
      <c r="K246" s="194">
        <f>IF(_1_5412845612146241046457891017[[#This Row],[Discount selection]]&gt;0,VLOOKUP(_1_5412845612146241046457891017[[#This Row],[Discount selection]],'Discount Structure'!$A$2:$B$30,2,"false"),0)</f>
        <v>1</v>
      </c>
      <c r="L246" s="194">
        <f>_1_5412845612146241046457891017[[#This Row],[LIST $]]*_1_5412845612146241046457891017[[#This Row],[DISCOUNT]]*_1_5412845612146241046457891017[[#This Row],[DISCOUNT 2]]</f>
        <v>0</v>
      </c>
      <c r="M246" s="194">
        <f>IF(OR(_1_5412845612146241046457891017[[#This Row],[UNIT]]&gt;0,_1_5412845612146241046457891017[[#This Row],[UNIT]]&lt;0),_1_5412845612146241046457891017[[#This Row],[UNIT]]*_1_5412845612146241046457891017[[#This Row],[COST]],0)</f>
        <v>0</v>
      </c>
      <c r="N246" s="194">
        <f t="shared" si="3"/>
        <v>1.35</v>
      </c>
      <c r="O246" s="198">
        <f>_1_5412845612146241046457891017[[#This Row],[TOTAL]]*_1_5412845612146241046457891017[[#This Row],[MARGIN]]</f>
        <v>0</v>
      </c>
      <c r="R246" s="41"/>
    </row>
    <row r="247" spans="1:18">
      <c r="C247" s="168"/>
      <c r="D247" s="188"/>
      <c r="F247" s="168" t="s">
        <v>6202</v>
      </c>
      <c r="G247" s="193">
        <f>IF(_1_5412845612146241046457891017[[#This Row],[Type]]&gt;0,VLOOKUP(_1_5412845612146241046457891017[[#This Row],[Type]],Main[[#All],[TYPE]:[UNIT]],'Unit Price'!C$1,FALSE),0)</f>
        <v>0</v>
      </c>
      <c r="H247" s="197">
        <f>IF(_1_5412845612146241046457891017[[#This Row],[Type]]&gt;0,VLOOKUP(_1_5412845612146241046457891017[[#This Row],[Type]],Main[[#All],[TYPE]:[UNIT]],'Unit Price'!D$1,FALSE),0)</f>
        <v>0</v>
      </c>
      <c r="I247" s="194">
        <f>IF(_1_5412845612146241046457891017[[#This Row],[Type]]&gt;0,VLOOKUP(_1_5412845612146241046457891017[[#This Row],[Type]],Main[[#All],[TYPE]:[UNIT]],'Unit Price'!G$1,FALSE),0)</f>
        <v>0</v>
      </c>
      <c r="J247" s="194">
        <f>IF(_1_5412845612146241046457891017[[#This Row],[Type]]&gt;0,VLOOKUP(_1_5412845612146241046457891017[[#This Row],[Type]],Main[[#All],[TYPE]:[UNIT]],'Unit Price'!H$1,FALSE),0)</f>
        <v>0</v>
      </c>
      <c r="K247" s="194">
        <f>IF(_1_5412845612146241046457891017[[#This Row],[Discount selection]]&gt;0,VLOOKUP(_1_5412845612146241046457891017[[#This Row],[Discount selection]],'Discount Structure'!$A$2:$B$30,2,"false"),0)</f>
        <v>1</v>
      </c>
      <c r="L247" s="194">
        <f>_1_5412845612146241046457891017[[#This Row],[LIST $]]*_1_5412845612146241046457891017[[#This Row],[DISCOUNT]]*_1_5412845612146241046457891017[[#This Row],[DISCOUNT 2]]</f>
        <v>0</v>
      </c>
      <c r="M247" s="194">
        <f>IF(OR(_1_5412845612146241046457891017[[#This Row],[UNIT]]&gt;0,_1_5412845612146241046457891017[[#This Row],[UNIT]]&lt;0),_1_5412845612146241046457891017[[#This Row],[UNIT]]*_1_5412845612146241046457891017[[#This Row],[COST]],0)</f>
        <v>0</v>
      </c>
      <c r="N247" s="194">
        <f t="shared" si="3"/>
        <v>1.35</v>
      </c>
      <c r="O247" s="198">
        <f>_1_5412845612146241046457891017[[#This Row],[TOTAL]]*_1_5412845612146241046457891017[[#This Row],[MARGIN]]</f>
        <v>0</v>
      </c>
      <c r="R247" s="41"/>
    </row>
    <row r="248" spans="1:18">
      <c r="C248" s="168"/>
      <c r="D248" s="188"/>
      <c r="F248" s="168" t="s">
        <v>6202</v>
      </c>
      <c r="G248" s="193">
        <f>IF(_1_5412845612146241046457891017[[#This Row],[Type]]&gt;0,VLOOKUP(_1_5412845612146241046457891017[[#This Row],[Type]],Main[[#All],[TYPE]:[UNIT]],'Unit Price'!C$1,FALSE),0)</f>
        <v>0</v>
      </c>
      <c r="H248" s="197">
        <f>IF(_1_5412845612146241046457891017[[#This Row],[Type]]&gt;0,VLOOKUP(_1_5412845612146241046457891017[[#This Row],[Type]],Main[[#All],[TYPE]:[UNIT]],'Unit Price'!D$1,FALSE),0)</f>
        <v>0</v>
      </c>
      <c r="I248" s="194">
        <f>IF(_1_5412845612146241046457891017[[#This Row],[Type]]&gt;0,VLOOKUP(_1_5412845612146241046457891017[[#This Row],[Type]],Main[[#All],[TYPE]:[UNIT]],'Unit Price'!G$1,FALSE),0)</f>
        <v>0</v>
      </c>
      <c r="J248" s="194">
        <f>IF(_1_5412845612146241046457891017[[#This Row],[Type]]&gt;0,VLOOKUP(_1_5412845612146241046457891017[[#This Row],[Type]],Main[[#All],[TYPE]:[UNIT]],'Unit Price'!H$1,FALSE),0)</f>
        <v>0</v>
      </c>
      <c r="K248" s="194">
        <f>IF(_1_5412845612146241046457891017[[#This Row],[Discount selection]]&gt;0,VLOOKUP(_1_5412845612146241046457891017[[#This Row],[Discount selection]],'Discount Structure'!$A$2:$B$30,2,"false"),0)</f>
        <v>1</v>
      </c>
      <c r="L248" s="194">
        <f>_1_5412845612146241046457891017[[#This Row],[LIST $]]*_1_5412845612146241046457891017[[#This Row],[DISCOUNT]]*_1_5412845612146241046457891017[[#This Row],[DISCOUNT 2]]</f>
        <v>0</v>
      </c>
      <c r="M248" s="194">
        <f>IF(OR(_1_5412845612146241046457891017[[#This Row],[UNIT]]&gt;0,_1_5412845612146241046457891017[[#This Row],[UNIT]]&lt;0),_1_5412845612146241046457891017[[#This Row],[UNIT]]*_1_5412845612146241046457891017[[#This Row],[COST]],0)</f>
        <v>0</v>
      </c>
      <c r="N248" s="194">
        <f t="shared" si="3"/>
        <v>1.35</v>
      </c>
      <c r="O248" s="198">
        <f>_1_5412845612146241046457891017[[#This Row],[TOTAL]]*_1_5412845612146241046457891017[[#This Row],[MARGIN]]</f>
        <v>0</v>
      </c>
      <c r="R248" s="41"/>
    </row>
    <row r="249" spans="1:18">
      <c r="A249" s="323"/>
      <c r="B249" s="325"/>
      <c r="C249" s="168"/>
      <c r="D249" s="188"/>
      <c r="F249" s="168" t="s">
        <v>6202</v>
      </c>
      <c r="G249" s="205">
        <f>IF(_1_5412845612146241046457891017[[#This Row],[Type]]&gt;0,VLOOKUP(_1_5412845612146241046457891017[[#This Row],[Type]],Main[[#All],[TYPE]:[UNIT]],'Unit Price'!C$1,FALSE),0)</f>
        <v>0</v>
      </c>
      <c r="H249" s="197">
        <f>IF(_1_5412845612146241046457891017[[#This Row],[Type]]&gt;0,VLOOKUP(_1_5412845612146241046457891017[[#This Row],[Type]],Main[[#All],[TYPE]:[UNIT]],'Unit Price'!D$1,FALSE),0)</f>
        <v>0</v>
      </c>
      <c r="I249" s="194">
        <f>IF(_1_5412845612146241046457891017[[#This Row],[Type]]&gt;0,VLOOKUP(_1_5412845612146241046457891017[[#This Row],[Type]],Main[[#All],[TYPE]:[UNIT]],'Unit Price'!G$1,FALSE),0)</f>
        <v>0</v>
      </c>
      <c r="J249" s="194">
        <f>IF(_1_5412845612146241046457891017[[#This Row],[Type]]&gt;0,VLOOKUP(_1_5412845612146241046457891017[[#This Row],[Type]],Main[[#All],[TYPE]:[UNIT]],'Unit Price'!H$1,FALSE),0)</f>
        <v>0</v>
      </c>
      <c r="K249" s="194">
        <f>IF(_1_5412845612146241046457891017[[#This Row],[Discount selection]]&gt;0,VLOOKUP(_1_5412845612146241046457891017[[#This Row],[Discount selection]],'Discount Structure'!$A$2:$B$30,2,"false"),0)</f>
        <v>1</v>
      </c>
      <c r="L249" s="194">
        <f>_1_5412845612146241046457891017[[#This Row],[LIST $]]*_1_5412845612146241046457891017[[#This Row],[DISCOUNT]]*_1_5412845612146241046457891017[[#This Row],[DISCOUNT 2]]</f>
        <v>0</v>
      </c>
      <c r="M249" s="194">
        <f>IF(OR(_1_5412845612146241046457891017[[#This Row],[UNIT]]&gt;0,_1_5412845612146241046457891017[[#This Row],[UNIT]]&lt;0),_1_5412845612146241046457891017[[#This Row],[UNIT]]*_1_5412845612146241046457891017[[#This Row],[COST]],0)</f>
        <v>0</v>
      </c>
      <c r="N249" s="194">
        <f t="shared" si="3"/>
        <v>1.35</v>
      </c>
      <c r="O249" s="198">
        <f>_1_5412845612146241046457891017[[#This Row],[TOTAL]]*_1_5412845612146241046457891017[[#This Row],[MARGIN]]</f>
        <v>0</v>
      </c>
      <c r="R249" s="41"/>
    </row>
    <row r="250" spans="1:18">
      <c r="A250" s="323"/>
      <c r="B250" s="323"/>
      <c r="C250" s="168"/>
      <c r="D250" s="188"/>
      <c r="F250" s="168" t="s">
        <v>6202</v>
      </c>
      <c r="G250" s="193">
        <f>IF(_1_5412845612146241046457891017[[#This Row],[Type]]&gt;0,VLOOKUP(_1_5412845612146241046457891017[[#This Row],[Type]],Main[[#All],[TYPE]:[UNIT]],'Unit Price'!C$1,FALSE),0)</f>
        <v>0</v>
      </c>
      <c r="H250" s="197">
        <f>IF(_1_5412845612146241046457891017[[#This Row],[Type]]&gt;0,VLOOKUP(_1_5412845612146241046457891017[[#This Row],[Type]],Main[[#All],[TYPE]:[UNIT]],'Unit Price'!D$1,FALSE),0)</f>
        <v>0</v>
      </c>
      <c r="I250" s="194">
        <f>IF(_1_5412845612146241046457891017[[#This Row],[Type]]&gt;0,VLOOKUP(_1_5412845612146241046457891017[[#This Row],[Type]],Main[[#All],[TYPE]:[UNIT]],'Unit Price'!G$1,FALSE),0)</f>
        <v>0</v>
      </c>
      <c r="J250" s="194">
        <f>IF(_1_5412845612146241046457891017[[#This Row],[Type]]&gt;0,VLOOKUP(_1_5412845612146241046457891017[[#This Row],[Type]],Main[[#All],[TYPE]:[UNIT]],'Unit Price'!H$1,FALSE),0)</f>
        <v>0</v>
      </c>
      <c r="K250" s="194">
        <f>IF(_1_5412845612146241046457891017[[#This Row],[Discount selection]]&gt;0,VLOOKUP(_1_5412845612146241046457891017[[#This Row],[Discount selection]],'Discount Structure'!$A$2:$B$30,2,"false"),0)</f>
        <v>1</v>
      </c>
      <c r="L250" s="194">
        <f>_1_5412845612146241046457891017[[#This Row],[LIST $]]*_1_5412845612146241046457891017[[#This Row],[DISCOUNT]]*_1_5412845612146241046457891017[[#This Row],[DISCOUNT 2]]</f>
        <v>0</v>
      </c>
      <c r="M250" s="194">
        <f>IF(OR(_1_5412845612146241046457891017[[#This Row],[UNIT]]&gt;0,_1_5412845612146241046457891017[[#This Row],[UNIT]]&lt;0),_1_5412845612146241046457891017[[#This Row],[UNIT]]*_1_5412845612146241046457891017[[#This Row],[COST]],0)</f>
        <v>0</v>
      </c>
      <c r="N250" s="194">
        <f t="shared" si="3"/>
        <v>1.35</v>
      </c>
      <c r="O250" s="198">
        <f>_1_5412845612146241046457891017[[#This Row],[TOTAL]]*_1_5412845612146241046457891017[[#This Row],[MARGIN]]</f>
        <v>0</v>
      </c>
      <c r="R250" s="41"/>
    </row>
    <row r="251" spans="1:18">
      <c r="C251" s="168"/>
      <c r="D251" s="188"/>
      <c r="F251" s="168" t="s">
        <v>6202</v>
      </c>
      <c r="G251" s="193">
        <f>IF(_1_5412845612146241046457891017[[#This Row],[Type]]&gt;0,VLOOKUP(_1_5412845612146241046457891017[[#This Row],[Type]],Main[[#All],[TYPE]:[UNIT]],'Unit Price'!C$1,FALSE),0)</f>
        <v>0</v>
      </c>
      <c r="H251" s="197">
        <f>IF(_1_5412845612146241046457891017[[#This Row],[Type]]&gt;0,VLOOKUP(_1_5412845612146241046457891017[[#This Row],[Type]],Main[[#All],[TYPE]:[UNIT]],'Unit Price'!D$1,FALSE),0)</f>
        <v>0</v>
      </c>
      <c r="I251" s="194">
        <f>IF(_1_5412845612146241046457891017[[#This Row],[Type]]&gt;0,VLOOKUP(_1_5412845612146241046457891017[[#This Row],[Type]],Main[[#All],[TYPE]:[UNIT]],'Unit Price'!G$1,FALSE),0)</f>
        <v>0</v>
      </c>
      <c r="J251" s="194">
        <f>IF(_1_5412845612146241046457891017[[#This Row],[Type]]&gt;0,VLOOKUP(_1_5412845612146241046457891017[[#This Row],[Type]],Main[[#All],[TYPE]:[UNIT]],'Unit Price'!H$1,FALSE),0)</f>
        <v>0</v>
      </c>
      <c r="K251" s="194">
        <f>IF(_1_5412845612146241046457891017[[#This Row],[Discount selection]]&gt;0,VLOOKUP(_1_5412845612146241046457891017[[#This Row],[Discount selection]],'Discount Structure'!$A$2:$B$30,2,"false"),0)</f>
        <v>1</v>
      </c>
      <c r="L251" s="194">
        <f>_1_5412845612146241046457891017[[#This Row],[LIST $]]*_1_5412845612146241046457891017[[#This Row],[DISCOUNT]]*_1_5412845612146241046457891017[[#This Row],[DISCOUNT 2]]</f>
        <v>0</v>
      </c>
      <c r="M251" s="194">
        <f>IF(OR(_1_5412845612146241046457891017[[#This Row],[UNIT]]&gt;0,_1_5412845612146241046457891017[[#This Row],[UNIT]]&lt;0),_1_5412845612146241046457891017[[#This Row],[UNIT]]*_1_5412845612146241046457891017[[#This Row],[COST]],0)</f>
        <v>0</v>
      </c>
      <c r="N251" s="194">
        <f t="shared" si="3"/>
        <v>1.35</v>
      </c>
      <c r="O251" s="198">
        <f>_1_5412845612146241046457891017[[#This Row],[TOTAL]]*_1_5412845612146241046457891017[[#This Row],[MARGIN]]</f>
        <v>0</v>
      </c>
      <c r="R251" s="41"/>
    </row>
    <row r="252" spans="1:18">
      <c r="C252" s="168"/>
      <c r="D252" s="188"/>
      <c r="F252" s="168" t="s">
        <v>6202</v>
      </c>
      <c r="G252" s="193">
        <f>IF(_1_5412845612146241046457891017[[#This Row],[Type]]&gt;0,VLOOKUP(_1_5412845612146241046457891017[[#This Row],[Type]],Main[[#All],[TYPE]:[UNIT]],'Unit Price'!C$1,FALSE),0)</f>
        <v>0</v>
      </c>
      <c r="H252" s="197">
        <f>IF(_1_5412845612146241046457891017[[#This Row],[Type]]&gt;0,VLOOKUP(_1_5412845612146241046457891017[[#This Row],[Type]],Main[[#All],[TYPE]:[UNIT]],'Unit Price'!D$1,FALSE),0)</f>
        <v>0</v>
      </c>
      <c r="I252" s="194">
        <f>IF(_1_5412845612146241046457891017[[#This Row],[Type]]&gt;0,VLOOKUP(_1_5412845612146241046457891017[[#This Row],[Type]],Main[[#All],[TYPE]:[UNIT]],'Unit Price'!G$1,FALSE),0)</f>
        <v>0</v>
      </c>
      <c r="J252" s="194">
        <f>IF(_1_5412845612146241046457891017[[#This Row],[Type]]&gt;0,VLOOKUP(_1_5412845612146241046457891017[[#This Row],[Type]],Main[[#All],[TYPE]:[UNIT]],'Unit Price'!H$1,FALSE),0)</f>
        <v>0</v>
      </c>
      <c r="K252" s="194">
        <f>IF(_1_5412845612146241046457891017[[#This Row],[Discount selection]]&gt;0,VLOOKUP(_1_5412845612146241046457891017[[#This Row],[Discount selection]],'Discount Structure'!$A$2:$B$30,2,"false"),0)</f>
        <v>1</v>
      </c>
      <c r="L252" s="194">
        <f>_1_5412845612146241046457891017[[#This Row],[LIST $]]*_1_5412845612146241046457891017[[#This Row],[DISCOUNT]]*_1_5412845612146241046457891017[[#This Row],[DISCOUNT 2]]</f>
        <v>0</v>
      </c>
      <c r="M252" s="194">
        <f>IF(OR(_1_5412845612146241046457891017[[#This Row],[UNIT]]&gt;0,_1_5412845612146241046457891017[[#This Row],[UNIT]]&lt;0),_1_5412845612146241046457891017[[#This Row],[UNIT]]*_1_5412845612146241046457891017[[#This Row],[COST]],0)</f>
        <v>0</v>
      </c>
      <c r="N252" s="194">
        <f t="shared" si="3"/>
        <v>1.35</v>
      </c>
      <c r="O252" s="198">
        <f>_1_5412845612146241046457891017[[#This Row],[TOTAL]]*_1_5412845612146241046457891017[[#This Row],[MARGIN]]</f>
        <v>0</v>
      </c>
      <c r="R252" s="41"/>
    </row>
    <row r="253" spans="1:18">
      <c r="C253" s="168"/>
      <c r="D253" s="188"/>
      <c r="F253" s="168" t="s">
        <v>6202</v>
      </c>
      <c r="G253" s="193">
        <f>IF(_1_5412845612146241046457891017[[#This Row],[Type]]&gt;0,VLOOKUP(_1_5412845612146241046457891017[[#This Row],[Type]],Main[[#All],[TYPE]:[UNIT]],'Unit Price'!C$1,FALSE),0)</f>
        <v>0</v>
      </c>
      <c r="H253" s="197">
        <f>IF(_1_5412845612146241046457891017[[#This Row],[Type]]&gt;0,VLOOKUP(_1_5412845612146241046457891017[[#This Row],[Type]],Main[[#All],[TYPE]:[UNIT]],'Unit Price'!D$1,FALSE),0)</f>
        <v>0</v>
      </c>
      <c r="I253" s="194">
        <f>IF(_1_5412845612146241046457891017[[#This Row],[Type]]&gt;0,VLOOKUP(_1_5412845612146241046457891017[[#This Row],[Type]],Main[[#All],[TYPE]:[UNIT]],'Unit Price'!G$1,FALSE),0)</f>
        <v>0</v>
      </c>
      <c r="J253" s="194">
        <f>IF(_1_5412845612146241046457891017[[#This Row],[Type]]&gt;0,VLOOKUP(_1_5412845612146241046457891017[[#This Row],[Type]],Main[[#All],[TYPE]:[UNIT]],'Unit Price'!H$1,FALSE),0)</f>
        <v>0</v>
      </c>
      <c r="K253" s="194">
        <f>IF(_1_5412845612146241046457891017[[#This Row],[Discount selection]]&gt;0,VLOOKUP(_1_5412845612146241046457891017[[#This Row],[Discount selection]],'Discount Structure'!$A$2:$B$30,2,"false"),0)</f>
        <v>1</v>
      </c>
      <c r="L253" s="194">
        <f>_1_5412845612146241046457891017[[#This Row],[LIST $]]*_1_5412845612146241046457891017[[#This Row],[DISCOUNT]]*_1_5412845612146241046457891017[[#This Row],[DISCOUNT 2]]</f>
        <v>0</v>
      </c>
      <c r="M253" s="194">
        <f>IF(OR(_1_5412845612146241046457891017[[#This Row],[UNIT]]&gt;0,_1_5412845612146241046457891017[[#This Row],[UNIT]]&lt;0),_1_5412845612146241046457891017[[#This Row],[UNIT]]*_1_5412845612146241046457891017[[#This Row],[COST]],0)</f>
        <v>0</v>
      </c>
      <c r="N253" s="194">
        <f t="shared" si="3"/>
        <v>1.35</v>
      </c>
      <c r="O253" s="198">
        <f>_1_5412845612146241046457891017[[#This Row],[TOTAL]]*_1_5412845612146241046457891017[[#This Row],[MARGIN]]</f>
        <v>0</v>
      </c>
      <c r="R253" s="41"/>
    </row>
    <row r="254" spans="1:18">
      <c r="C254" s="168"/>
      <c r="D254" s="188"/>
      <c r="F254" s="168" t="s">
        <v>6202</v>
      </c>
      <c r="G254" s="193">
        <f>IF(_1_5412845612146241046457891017[[#This Row],[Type]]&gt;0,VLOOKUP(_1_5412845612146241046457891017[[#This Row],[Type]],Main[[#All],[TYPE]:[UNIT]],'Unit Price'!C$1,FALSE),0)</f>
        <v>0</v>
      </c>
      <c r="H254" s="197">
        <f>IF(_1_5412845612146241046457891017[[#This Row],[Type]]&gt;0,VLOOKUP(_1_5412845612146241046457891017[[#This Row],[Type]],Main[[#All],[TYPE]:[UNIT]],'Unit Price'!D$1,FALSE),0)</f>
        <v>0</v>
      </c>
      <c r="I254" s="194">
        <f>IF(_1_5412845612146241046457891017[[#This Row],[Type]]&gt;0,VLOOKUP(_1_5412845612146241046457891017[[#This Row],[Type]],Main[[#All],[TYPE]:[UNIT]],'Unit Price'!G$1,FALSE),0)</f>
        <v>0</v>
      </c>
      <c r="J254" s="194">
        <f>IF(_1_5412845612146241046457891017[[#This Row],[Type]]&gt;0,VLOOKUP(_1_5412845612146241046457891017[[#This Row],[Type]],Main[[#All],[TYPE]:[UNIT]],'Unit Price'!H$1,FALSE),0)</f>
        <v>0</v>
      </c>
      <c r="K254" s="194">
        <f>IF(_1_5412845612146241046457891017[[#This Row],[Discount selection]]&gt;0,VLOOKUP(_1_5412845612146241046457891017[[#This Row],[Discount selection]],'Discount Structure'!$A$2:$B$30,2,"false"),0)</f>
        <v>1</v>
      </c>
      <c r="L254" s="194">
        <f>_1_5412845612146241046457891017[[#This Row],[LIST $]]*_1_5412845612146241046457891017[[#This Row],[DISCOUNT]]*_1_5412845612146241046457891017[[#This Row],[DISCOUNT 2]]</f>
        <v>0</v>
      </c>
      <c r="M254" s="194">
        <f>IF(OR(_1_5412845612146241046457891017[[#This Row],[UNIT]]&gt;0,_1_5412845612146241046457891017[[#This Row],[UNIT]]&lt;0),_1_5412845612146241046457891017[[#This Row],[UNIT]]*_1_5412845612146241046457891017[[#This Row],[COST]],0)</f>
        <v>0</v>
      </c>
      <c r="N254" s="194">
        <f t="shared" si="3"/>
        <v>1.35</v>
      </c>
      <c r="O254" s="198">
        <f>_1_5412845612146241046457891017[[#This Row],[TOTAL]]*_1_5412845612146241046457891017[[#This Row],[MARGIN]]</f>
        <v>0</v>
      </c>
      <c r="R254" s="41"/>
    </row>
    <row r="255" spans="1:18">
      <c r="C255" s="168"/>
      <c r="D255" s="188"/>
      <c r="F255" s="168" t="s">
        <v>6202</v>
      </c>
      <c r="G255" s="205">
        <f>IF(_1_5412845612146241046457891017[[#This Row],[Type]]&gt;0,VLOOKUP(_1_5412845612146241046457891017[[#This Row],[Type]],Main[[#All],[TYPE]:[UNIT]],'Unit Price'!C$1,FALSE),0)</f>
        <v>0</v>
      </c>
      <c r="H255" s="197">
        <f>IF(_1_5412845612146241046457891017[[#This Row],[Type]]&gt;0,VLOOKUP(_1_5412845612146241046457891017[[#This Row],[Type]],Main[[#All],[TYPE]:[UNIT]],'Unit Price'!D$1,FALSE),0)</f>
        <v>0</v>
      </c>
      <c r="I255" s="194">
        <f>IF(_1_5412845612146241046457891017[[#This Row],[Type]]&gt;0,VLOOKUP(_1_5412845612146241046457891017[[#This Row],[Type]],Main[[#All],[TYPE]:[UNIT]],'Unit Price'!G$1,FALSE),0)</f>
        <v>0</v>
      </c>
      <c r="J255" s="194">
        <f>IF(_1_5412845612146241046457891017[[#This Row],[Type]]&gt;0,VLOOKUP(_1_5412845612146241046457891017[[#This Row],[Type]],Main[[#All],[TYPE]:[UNIT]],'Unit Price'!H$1,FALSE),0)</f>
        <v>0</v>
      </c>
      <c r="K255" s="194">
        <f>IF(_1_5412845612146241046457891017[[#This Row],[Discount selection]]&gt;0,VLOOKUP(_1_5412845612146241046457891017[[#This Row],[Discount selection]],'Discount Structure'!$A$2:$B$30,2,"false"),0)</f>
        <v>1</v>
      </c>
      <c r="L255" s="194">
        <f>_1_5412845612146241046457891017[[#This Row],[LIST $]]*_1_5412845612146241046457891017[[#This Row],[DISCOUNT]]*_1_5412845612146241046457891017[[#This Row],[DISCOUNT 2]]</f>
        <v>0</v>
      </c>
      <c r="M255" s="194">
        <f>IF(OR(_1_5412845612146241046457891017[[#This Row],[UNIT]]&gt;0,_1_5412845612146241046457891017[[#This Row],[UNIT]]&lt;0),_1_5412845612146241046457891017[[#This Row],[UNIT]]*_1_5412845612146241046457891017[[#This Row],[COST]],0)</f>
        <v>0</v>
      </c>
      <c r="N255" s="194">
        <f t="shared" si="3"/>
        <v>1.35</v>
      </c>
      <c r="O255" s="198">
        <f>_1_5412845612146241046457891017[[#This Row],[TOTAL]]*_1_5412845612146241046457891017[[#This Row],[MARGIN]]</f>
        <v>0</v>
      </c>
      <c r="R255" s="41"/>
    </row>
    <row r="256" spans="1:18">
      <c r="A256" s="168"/>
      <c r="B256" s="168"/>
      <c r="C256" s="168"/>
      <c r="D256" s="188"/>
      <c r="F256" s="168" t="s">
        <v>6202</v>
      </c>
      <c r="G256" s="193">
        <f>IF(_1_5412845612146241046457891017[[#This Row],[Type]]&gt;0,VLOOKUP(_1_5412845612146241046457891017[[#This Row],[Type]],Main[[#All],[TYPE]:[UNIT]],'Unit Price'!C$1,FALSE),0)</f>
        <v>0</v>
      </c>
      <c r="H256" s="197">
        <f>IF(_1_5412845612146241046457891017[[#This Row],[Type]]&gt;0,VLOOKUP(_1_5412845612146241046457891017[[#This Row],[Type]],Main[[#All],[TYPE]:[UNIT]],'Unit Price'!D$1,FALSE),0)</f>
        <v>0</v>
      </c>
      <c r="I256" s="194">
        <f>IF(_1_5412845612146241046457891017[[#This Row],[Type]]&gt;0,VLOOKUP(_1_5412845612146241046457891017[[#This Row],[Type]],Main[[#All],[TYPE]:[UNIT]],'Unit Price'!G$1,FALSE),0)</f>
        <v>0</v>
      </c>
      <c r="J256" s="194">
        <f>IF(_1_5412845612146241046457891017[[#This Row],[Type]]&gt;0,VLOOKUP(_1_5412845612146241046457891017[[#This Row],[Type]],Main[[#All],[TYPE]:[UNIT]],'Unit Price'!H$1,FALSE),0)</f>
        <v>0</v>
      </c>
      <c r="K256" s="194">
        <f>IF(_1_5412845612146241046457891017[[#This Row],[Discount selection]]&gt;0,VLOOKUP(_1_5412845612146241046457891017[[#This Row],[Discount selection]],'Discount Structure'!$A$2:$B$30,2,"false"),0)</f>
        <v>1</v>
      </c>
      <c r="L256" s="194">
        <f>_1_5412845612146241046457891017[[#This Row],[LIST $]]*_1_5412845612146241046457891017[[#This Row],[DISCOUNT]]*_1_5412845612146241046457891017[[#This Row],[DISCOUNT 2]]</f>
        <v>0</v>
      </c>
      <c r="M256" s="194">
        <f>IF(OR(_1_5412845612146241046457891017[[#This Row],[UNIT]]&gt;0,_1_5412845612146241046457891017[[#This Row],[UNIT]]&lt;0),_1_5412845612146241046457891017[[#This Row],[UNIT]]*_1_5412845612146241046457891017[[#This Row],[COST]],0)</f>
        <v>0</v>
      </c>
      <c r="N256" s="194">
        <f t="shared" si="3"/>
        <v>1.35</v>
      </c>
      <c r="O256" s="198">
        <f>_1_5412845612146241046457891017[[#This Row],[TOTAL]]*_1_5412845612146241046457891017[[#This Row],[MARGIN]]</f>
        <v>0</v>
      </c>
      <c r="R256" s="41"/>
    </row>
    <row r="257" spans="1:18">
      <c r="A257" s="323"/>
      <c r="B257" s="323"/>
      <c r="C257" s="168"/>
      <c r="D257" s="188"/>
      <c r="F257" s="168" t="s">
        <v>6202</v>
      </c>
      <c r="G257" s="193">
        <f>IF(_1_5412845612146241046457891017[[#This Row],[Type]]&gt;0,VLOOKUP(_1_5412845612146241046457891017[[#This Row],[Type]],Main[[#All],[TYPE]:[UNIT]],'Unit Price'!C$1,FALSE),0)</f>
        <v>0</v>
      </c>
      <c r="H257" s="197">
        <f>IF(_1_5412845612146241046457891017[[#This Row],[Type]]&gt;0,VLOOKUP(_1_5412845612146241046457891017[[#This Row],[Type]],Main[[#All],[TYPE]:[UNIT]],'Unit Price'!D$1,FALSE),0)</f>
        <v>0</v>
      </c>
      <c r="I257" s="194">
        <f>IF(_1_5412845612146241046457891017[[#This Row],[Type]]&gt;0,VLOOKUP(_1_5412845612146241046457891017[[#This Row],[Type]],Main[[#All],[TYPE]:[UNIT]],'Unit Price'!G$1,FALSE),0)</f>
        <v>0</v>
      </c>
      <c r="J257" s="194">
        <f>IF(_1_5412845612146241046457891017[[#This Row],[Type]]&gt;0,VLOOKUP(_1_5412845612146241046457891017[[#This Row],[Type]],Main[[#All],[TYPE]:[UNIT]],'Unit Price'!H$1,FALSE),0)</f>
        <v>0</v>
      </c>
      <c r="K257" s="194">
        <f>IF(_1_5412845612146241046457891017[[#This Row],[Discount selection]]&gt;0,VLOOKUP(_1_5412845612146241046457891017[[#This Row],[Discount selection]],'Discount Structure'!$A$2:$B$30,2,"false"),0)</f>
        <v>1</v>
      </c>
      <c r="L257" s="194">
        <f>_1_5412845612146241046457891017[[#This Row],[LIST $]]*_1_5412845612146241046457891017[[#This Row],[DISCOUNT]]*_1_5412845612146241046457891017[[#This Row],[DISCOUNT 2]]</f>
        <v>0</v>
      </c>
      <c r="M257" s="194">
        <f>IF(OR(_1_5412845612146241046457891017[[#This Row],[UNIT]]&gt;0,_1_5412845612146241046457891017[[#This Row],[UNIT]]&lt;0),_1_5412845612146241046457891017[[#This Row],[UNIT]]*_1_5412845612146241046457891017[[#This Row],[COST]],0)</f>
        <v>0</v>
      </c>
      <c r="N257" s="194">
        <f t="shared" si="3"/>
        <v>1.35</v>
      </c>
      <c r="O257" s="198">
        <f>_1_5412845612146241046457891017[[#This Row],[TOTAL]]*_1_5412845612146241046457891017[[#This Row],[MARGIN]]</f>
        <v>0</v>
      </c>
      <c r="R257" s="41"/>
    </row>
    <row r="258" spans="1:18">
      <c r="A258" s="323"/>
      <c r="B258" s="325"/>
      <c r="C258" s="168"/>
      <c r="D258" s="188"/>
      <c r="F258" s="168" t="s">
        <v>6202</v>
      </c>
      <c r="G258" s="193">
        <f>IF(_1_5412845612146241046457891017[[#This Row],[Type]]&gt;0,VLOOKUP(_1_5412845612146241046457891017[[#This Row],[Type]],Main[[#All],[TYPE]:[UNIT]],'Unit Price'!C$1,FALSE),0)</f>
        <v>0</v>
      </c>
      <c r="H258" s="197">
        <f>IF(_1_5412845612146241046457891017[[#This Row],[Type]]&gt;0,VLOOKUP(_1_5412845612146241046457891017[[#This Row],[Type]],Main[[#All],[TYPE]:[UNIT]],'Unit Price'!D$1,FALSE),0)</f>
        <v>0</v>
      </c>
      <c r="I258" s="194">
        <f>IF(_1_5412845612146241046457891017[[#This Row],[Type]]&gt;0,VLOOKUP(_1_5412845612146241046457891017[[#This Row],[Type]],Main[[#All],[TYPE]:[UNIT]],'Unit Price'!G$1,FALSE),0)</f>
        <v>0</v>
      </c>
      <c r="J258" s="194">
        <f>IF(_1_5412845612146241046457891017[[#This Row],[Type]]&gt;0,VLOOKUP(_1_5412845612146241046457891017[[#This Row],[Type]],Main[[#All],[TYPE]:[UNIT]],'Unit Price'!H$1,FALSE),0)</f>
        <v>0</v>
      </c>
      <c r="K258" s="194">
        <f>IF(_1_5412845612146241046457891017[[#This Row],[Discount selection]]&gt;0,VLOOKUP(_1_5412845612146241046457891017[[#This Row],[Discount selection]],'Discount Structure'!$A$2:$B$30,2,"false"),0)</f>
        <v>1</v>
      </c>
      <c r="L258" s="194">
        <f>_1_5412845612146241046457891017[[#This Row],[LIST $]]*_1_5412845612146241046457891017[[#This Row],[DISCOUNT]]*_1_5412845612146241046457891017[[#This Row],[DISCOUNT 2]]</f>
        <v>0</v>
      </c>
      <c r="M258" s="194">
        <f>IF(OR(_1_5412845612146241046457891017[[#This Row],[UNIT]]&gt;0,_1_5412845612146241046457891017[[#This Row],[UNIT]]&lt;0),_1_5412845612146241046457891017[[#This Row],[UNIT]]*_1_5412845612146241046457891017[[#This Row],[COST]],0)</f>
        <v>0</v>
      </c>
      <c r="N258" s="194">
        <f t="shared" si="3"/>
        <v>1.35</v>
      </c>
      <c r="O258" s="198">
        <f>_1_5412845612146241046457891017[[#This Row],[TOTAL]]*_1_5412845612146241046457891017[[#This Row],[MARGIN]]</f>
        <v>0</v>
      </c>
      <c r="R258" s="41"/>
    </row>
    <row r="259" spans="1:18">
      <c r="C259" s="168"/>
      <c r="D259" s="188"/>
      <c r="F259" s="168" t="s">
        <v>6202</v>
      </c>
      <c r="G259" s="193">
        <f>IF(_1_5412845612146241046457891017[[#This Row],[Type]]&gt;0,VLOOKUP(_1_5412845612146241046457891017[[#This Row],[Type]],Main[[#All],[TYPE]:[UNIT]],'Unit Price'!C$1,FALSE),0)</f>
        <v>0</v>
      </c>
      <c r="H259" s="197">
        <f>IF(_1_5412845612146241046457891017[[#This Row],[Type]]&gt;0,VLOOKUP(_1_5412845612146241046457891017[[#This Row],[Type]],Main[[#All],[TYPE]:[UNIT]],'Unit Price'!D$1,FALSE),0)</f>
        <v>0</v>
      </c>
      <c r="I259" s="194">
        <f>IF(_1_5412845612146241046457891017[[#This Row],[Type]]&gt;0,VLOOKUP(_1_5412845612146241046457891017[[#This Row],[Type]],Main[[#All],[TYPE]:[UNIT]],'Unit Price'!G$1,FALSE),0)</f>
        <v>0</v>
      </c>
      <c r="J259" s="194">
        <f>IF(_1_5412845612146241046457891017[[#This Row],[Type]]&gt;0,VLOOKUP(_1_5412845612146241046457891017[[#This Row],[Type]],Main[[#All],[TYPE]:[UNIT]],'Unit Price'!H$1,FALSE),0)</f>
        <v>0</v>
      </c>
      <c r="K259" s="194">
        <f>IF(_1_5412845612146241046457891017[[#This Row],[Discount selection]]&gt;0,VLOOKUP(_1_5412845612146241046457891017[[#This Row],[Discount selection]],'Discount Structure'!$A$2:$B$30,2,"false"),0)</f>
        <v>1</v>
      </c>
      <c r="L259" s="194">
        <f>_1_5412845612146241046457891017[[#This Row],[LIST $]]*_1_5412845612146241046457891017[[#This Row],[DISCOUNT]]*_1_5412845612146241046457891017[[#This Row],[DISCOUNT 2]]</f>
        <v>0</v>
      </c>
      <c r="M259" s="194">
        <f>IF(OR(_1_5412845612146241046457891017[[#This Row],[UNIT]]&gt;0,_1_5412845612146241046457891017[[#This Row],[UNIT]]&lt;0),_1_5412845612146241046457891017[[#This Row],[UNIT]]*_1_5412845612146241046457891017[[#This Row],[COST]],0)</f>
        <v>0</v>
      </c>
      <c r="N259" s="194">
        <f t="shared" si="3"/>
        <v>1.35</v>
      </c>
      <c r="O259" s="198">
        <f>_1_5412845612146241046457891017[[#This Row],[TOTAL]]*_1_5412845612146241046457891017[[#This Row],[MARGIN]]</f>
        <v>0</v>
      </c>
      <c r="R259" s="41"/>
    </row>
    <row r="260" spans="1:18">
      <c r="C260" s="168"/>
      <c r="D260" s="188"/>
      <c r="F260" s="168" t="s">
        <v>6202</v>
      </c>
      <c r="G260" s="205">
        <f>IF(_1_5412845612146241046457891017[[#This Row],[Type]]&gt;0,VLOOKUP(_1_5412845612146241046457891017[[#This Row],[Type]],Main[[#All],[TYPE]:[UNIT]],'Unit Price'!C$1,FALSE),0)</f>
        <v>0</v>
      </c>
      <c r="H260" s="197">
        <f>IF(_1_5412845612146241046457891017[[#This Row],[Type]]&gt;0,VLOOKUP(_1_5412845612146241046457891017[[#This Row],[Type]],Main[[#All],[TYPE]:[UNIT]],'Unit Price'!D$1,FALSE),0)</f>
        <v>0</v>
      </c>
      <c r="I260" s="194">
        <f>IF(_1_5412845612146241046457891017[[#This Row],[Type]]&gt;0,VLOOKUP(_1_5412845612146241046457891017[[#This Row],[Type]],Main[[#All],[TYPE]:[UNIT]],'Unit Price'!G$1,FALSE),0)</f>
        <v>0</v>
      </c>
      <c r="J260" s="194">
        <f>IF(_1_5412845612146241046457891017[[#This Row],[Type]]&gt;0,VLOOKUP(_1_5412845612146241046457891017[[#This Row],[Type]],Main[[#All],[TYPE]:[UNIT]],'Unit Price'!H$1,FALSE),0)</f>
        <v>0</v>
      </c>
      <c r="K260" s="194">
        <f>IF(_1_5412845612146241046457891017[[#This Row],[Discount selection]]&gt;0,VLOOKUP(_1_5412845612146241046457891017[[#This Row],[Discount selection]],'Discount Structure'!$A$2:$B$30,2,"false"),0)</f>
        <v>1</v>
      </c>
      <c r="L260" s="194">
        <f>_1_5412845612146241046457891017[[#This Row],[LIST $]]*_1_5412845612146241046457891017[[#This Row],[DISCOUNT]]*_1_5412845612146241046457891017[[#This Row],[DISCOUNT 2]]</f>
        <v>0</v>
      </c>
      <c r="M260" s="194">
        <f>IF(OR(_1_5412845612146241046457891017[[#This Row],[UNIT]]&gt;0,_1_5412845612146241046457891017[[#This Row],[UNIT]]&lt;0),_1_5412845612146241046457891017[[#This Row],[UNIT]]*_1_5412845612146241046457891017[[#This Row],[COST]],0)</f>
        <v>0</v>
      </c>
      <c r="N260" s="194">
        <f t="shared" si="3"/>
        <v>1.35</v>
      </c>
      <c r="O260" s="198">
        <f>_1_5412845612146241046457891017[[#This Row],[TOTAL]]*_1_5412845612146241046457891017[[#This Row],[MARGIN]]</f>
        <v>0</v>
      </c>
      <c r="R260" s="41"/>
    </row>
    <row r="261" spans="1:18">
      <c r="A261" s="323"/>
      <c r="B261" s="325"/>
      <c r="C261" s="168"/>
      <c r="D261" s="188"/>
      <c r="F261" s="168" t="s">
        <v>6202</v>
      </c>
      <c r="G261" s="193">
        <f>IF(_1_5412845612146241046457891017[[#This Row],[Type]]&gt;0,VLOOKUP(_1_5412845612146241046457891017[[#This Row],[Type]],Main[[#All],[TYPE]:[UNIT]],'Unit Price'!C$1,FALSE),0)</f>
        <v>0</v>
      </c>
      <c r="H261" s="197">
        <f>IF(_1_5412845612146241046457891017[[#This Row],[Type]]&gt;0,VLOOKUP(_1_5412845612146241046457891017[[#This Row],[Type]],Main[[#All],[TYPE]:[UNIT]],'Unit Price'!D$1,FALSE),0)</f>
        <v>0</v>
      </c>
      <c r="I261" s="194">
        <f>IF(_1_5412845612146241046457891017[[#This Row],[Type]]&gt;0,VLOOKUP(_1_5412845612146241046457891017[[#This Row],[Type]],Main[[#All],[TYPE]:[UNIT]],'Unit Price'!G$1,FALSE),0)</f>
        <v>0</v>
      </c>
      <c r="J261" s="194">
        <f>IF(_1_5412845612146241046457891017[[#This Row],[Type]]&gt;0,VLOOKUP(_1_5412845612146241046457891017[[#This Row],[Type]],Main[[#All],[TYPE]:[UNIT]],'Unit Price'!H$1,FALSE),0)</f>
        <v>0</v>
      </c>
      <c r="K261" s="194">
        <f>IF(_1_5412845612146241046457891017[[#This Row],[Discount selection]]&gt;0,VLOOKUP(_1_5412845612146241046457891017[[#This Row],[Discount selection]],'Discount Structure'!$A$2:$B$30,2,"false"),0)</f>
        <v>1</v>
      </c>
      <c r="L261" s="194">
        <f>_1_5412845612146241046457891017[[#This Row],[LIST $]]*_1_5412845612146241046457891017[[#This Row],[DISCOUNT]]*_1_5412845612146241046457891017[[#This Row],[DISCOUNT 2]]</f>
        <v>0</v>
      </c>
      <c r="M261" s="194">
        <f>IF(OR(_1_5412845612146241046457891017[[#This Row],[UNIT]]&gt;0,_1_5412845612146241046457891017[[#This Row],[UNIT]]&lt;0),_1_5412845612146241046457891017[[#This Row],[UNIT]]*_1_5412845612146241046457891017[[#This Row],[COST]],0)</f>
        <v>0</v>
      </c>
      <c r="N261" s="194">
        <f t="shared" si="3"/>
        <v>1.35</v>
      </c>
      <c r="O261" s="198">
        <f>_1_5412845612146241046457891017[[#This Row],[TOTAL]]*_1_5412845612146241046457891017[[#This Row],[MARGIN]]</f>
        <v>0</v>
      </c>
      <c r="R261" s="41"/>
    </row>
    <row r="262" spans="1:18">
      <c r="C262" s="168"/>
      <c r="D262" s="188"/>
      <c r="F262" s="168" t="s">
        <v>6202</v>
      </c>
      <c r="G262" s="193">
        <f>IF(_1_5412845612146241046457891017[[#This Row],[Type]]&gt;0,VLOOKUP(_1_5412845612146241046457891017[[#This Row],[Type]],Main[[#All],[TYPE]:[UNIT]],'Unit Price'!C$1,FALSE),0)</f>
        <v>0</v>
      </c>
      <c r="H262" s="197">
        <f>IF(_1_5412845612146241046457891017[[#This Row],[Type]]&gt;0,VLOOKUP(_1_5412845612146241046457891017[[#This Row],[Type]],Main[[#All],[TYPE]:[UNIT]],'Unit Price'!D$1,FALSE),0)</f>
        <v>0</v>
      </c>
      <c r="I262" s="194">
        <f>IF(_1_5412845612146241046457891017[[#This Row],[Type]]&gt;0,VLOOKUP(_1_5412845612146241046457891017[[#This Row],[Type]],Main[[#All],[TYPE]:[UNIT]],'Unit Price'!G$1,FALSE),0)</f>
        <v>0</v>
      </c>
      <c r="J262" s="194">
        <f>IF(_1_5412845612146241046457891017[[#This Row],[Type]]&gt;0,VLOOKUP(_1_5412845612146241046457891017[[#This Row],[Type]],Main[[#All],[TYPE]:[UNIT]],'Unit Price'!H$1,FALSE),0)</f>
        <v>0</v>
      </c>
      <c r="K262" s="194">
        <f>IF(_1_5412845612146241046457891017[[#This Row],[Discount selection]]&gt;0,VLOOKUP(_1_5412845612146241046457891017[[#This Row],[Discount selection]],'Discount Structure'!$A$2:$B$30,2,"false"),0)</f>
        <v>1</v>
      </c>
      <c r="L262" s="194">
        <f>_1_5412845612146241046457891017[[#This Row],[LIST $]]*_1_5412845612146241046457891017[[#This Row],[DISCOUNT]]*_1_5412845612146241046457891017[[#This Row],[DISCOUNT 2]]</f>
        <v>0</v>
      </c>
      <c r="M262" s="194">
        <f>IF(OR(_1_5412845612146241046457891017[[#This Row],[UNIT]]&gt;0,_1_5412845612146241046457891017[[#This Row],[UNIT]]&lt;0),_1_5412845612146241046457891017[[#This Row],[UNIT]]*_1_5412845612146241046457891017[[#This Row],[COST]],0)</f>
        <v>0</v>
      </c>
      <c r="N262" s="194">
        <f t="shared" si="3"/>
        <v>1.35</v>
      </c>
      <c r="O262" s="198">
        <f>_1_5412845612146241046457891017[[#This Row],[TOTAL]]*_1_5412845612146241046457891017[[#This Row],[MARGIN]]</f>
        <v>0</v>
      </c>
      <c r="R262" s="41"/>
    </row>
    <row r="263" spans="1:18">
      <c r="C263" s="168"/>
      <c r="D263" s="188"/>
      <c r="F263" s="168" t="s">
        <v>6202</v>
      </c>
      <c r="G263" s="193">
        <f>IF(_1_5412845612146241046457891017[[#This Row],[Type]]&gt;0,VLOOKUP(_1_5412845612146241046457891017[[#This Row],[Type]],Main[[#All],[TYPE]:[UNIT]],'Unit Price'!C$1,FALSE),0)</f>
        <v>0</v>
      </c>
      <c r="H263" s="197">
        <f>IF(_1_5412845612146241046457891017[[#This Row],[Type]]&gt;0,VLOOKUP(_1_5412845612146241046457891017[[#This Row],[Type]],Main[[#All],[TYPE]:[UNIT]],'Unit Price'!D$1,FALSE),0)</f>
        <v>0</v>
      </c>
      <c r="I263" s="194">
        <f>IF(_1_5412845612146241046457891017[[#This Row],[Type]]&gt;0,VLOOKUP(_1_5412845612146241046457891017[[#This Row],[Type]],Main[[#All],[TYPE]:[UNIT]],'Unit Price'!G$1,FALSE),0)</f>
        <v>0</v>
      </c>
      <c r="J263" s="194">
        <f>IF(_1_5412845612146241046457891017[[#This Row],[Type]]&gt;0,VLOOKUP(_1_5412845612146241046457891017[[#This Row],[Type]],Main[[#All],[TYPE]:[UNIT]],'Unit Price'!H$1,FALSE),0)</f>
        <v>0</v>
      </c>
      <c r="K263" s="194">
        <f>IF(_1_5412845612146241046457891017[[#This Row],[Discount selection]]&gt;0,VLOOKUP(_1_5412845612146241046457891017[[#This Row],[Discount selection]],'Discount Structure'!$A$2:$B$30,2,"false"),0)</f>
        <v>1</v>
      </c>
      <c r="L263" s="194">
        <f>_1_5412845612146241046457891017[[#This Row],[LIST $]]*_1_5412845612146241046457891017[[#This Row],[DISCOUNT]]*_1_5412845612146241046457891017[[#This Row],[DISCOUNT 2]]</f>
        <v>0</v>
      </c>
      <c r="M263" s="194">
        <f>IF(OR(_1_5412845612146241046457891017[[#This Row],[UNIT]]&gt;0,_1_5412845612146241046457891017[[#This Row],[UNIT]]&lt;0),_1_5412845612146241046457891017[[#This Row],[UNIT]]*_1_5412845612146241046457891017[[#This Row],[COST]],0)</f>
        <v>0</v>
      </c>
      <c r="N263" s="194">
        <f t="shared" si="3"/>
        <v>1.35</v>
      </c>
      <c r="O263" s="198">
        <f>_1_5412845612146241046457891017[[#This Row],[TOTAL]]*_1_5412845612146241046457891017[[#This Row],[MARGIN]]</f>
        <v>0</v>
      </c>
      <c r="R263" s="41"/>
    </row>
    <row r="264" spans="1:18">
      <c r="C264" s="168"/>
      <c r="D264" s="188"/>
      <c r="F264" s="168" t="s">
        <v>6202</v>
      </c>
      <c r="G264" s="193">
        <f>IF(_1_5412845612146241046457891017[[#This Row],[Type]]&gt;0,VLOOKUP(_1_5412845612146241046457891017[[#This Row],[Type]],Main[[#All],[TYPE]:[UNIT]],'Unit Price'!C$1,FALSE),0)</f>
        <v>0</v>
      </c>
      <c r="H264" s="197">
        <f>IF(_1_5412845612146241046457891017[[#This Row],[Type]]&gt;0,VLOOKUP(_1_5412845612146241046457891017[[#This Row],[Type]],Main[[#All],[TYPE]:[UNIT]],'Unit Price'!D$1,FALSE),0)</f>
        <v>0</v>
      </c>
      <c r="I264" s="194">
        <f>IF(_1_5412845612146241046457891017[[#This Row],[Type]]&gt;0,VLOOKUP(_1_5412845612146241046457891017[[#This Row],[Type]],Main[[#All],[TYPE]:[UNIT]],'Unit Price'!G$1,FALSE),0)</f>
        <v>0</v>
      </c>
      <c r="J264" s="194">
        <f>IF(_1_5412845612146241046457891017[[#This Row],[Type]]&gt;0,VLOOKUP(_1_5412845612146241046457891017[[#This Row],[Type]],Main[[#All],[TYPE]:[UNIT]],'Unit Price'!H$1,FALSE),0)</f>
        <v>0</v>
      </c>
      <c r="K264" s="194">
        <f>IF(_1_5412845612146241046457891017[[#This Row],[Discount selection]]&gt;0,VLOOKUP(_1_5412845612146241046457891017[[#This Row],[Discount selection]],'Discount Structure'!$A$2:$B$30,2,"false"),0)</f>
        <v>1</v>
      </c>
      <c r="L264" s="194">
        <f>_1_5412845612146241046457891017[[#This Row],[LIST $]]*_1_5412845612146241046457891017[[#This Row],[DISCOUNT]]*_1_5412845612146241046457891017[[#This Row],[DISCOUNT 2]]</f>
        <v>0</v>
      </c>
      <c r="M264" s="194">
        <f>IF(OR(_1_5412845612146241046457891017[[#This Row],[UNIT]]&gt;0,_1_5412845612146241046457891017[[#This Row],[UNIT]]&lt;0),_1_5412845612146241046457891017[[#This Row],[UNIT]]*_1_5412845612146241046457891017[[#This Row],[COST]],0)</f>
        <v>0</v>
      </c>
      <c r="N264" s="194">
        <f t="shared" si="3"/>
        <v>1.35</v>
      </c>
      <c r="O264" s="198">
        <f>_1_5412845612146241046457891017[[#This Row],[TOTAL]]*_1_5412845612146241046457891017[[#This Row],[MARGIN]]</f>
        <v>0</v>
      </c>
      <c r="R264" s="41"/>
    </row>
    <row r="265" spans="1:18">
      <c r="C265" s="168"/>
      <c r="D265" s="188"/>
      <c r="F265" s="168" t="s">
        <v>6202</v>
      </c>
      <c r="G265" s="205">
        <f>IF(_1_5412845612146241046457891017[[#This Row],[Type]]&gt;0,VLOOKUP(_1_5412845612146241046457891017[[#This Row],[Type]],Main[[#All],[TYPE]:[UNIT]],'Unit Price'!C$1,FALSE),0)</f>
        <v>0</v>
      </c>
      <c r="H265" s="197">
        <f>IF(_1_5412845612146241046457891017[[#This Row],[Type]]&gt;0,VLOOKUP(_1_5412845612146241046457891017[[#This Row],[Type]],Main[[#All],[TYPE]:[UNIT]],'Unit Price'!D$1,FALSE),0)</f>
        <v>0</v>
      </c>
      <c r="I265" s="194">
        <f>IF(_1_5412845612146241046457891017[[#This Row],[Type]]&gt;0,VLOOKUP(_1_5412845612146241046457891017[[#This Row],[Type]],Main[[#All],[TYPE]:[UNIT]],'Unit Price'!G$1,FALSE),0)</f>
        <v>0</v>
      </c>
      <c r="J265" s="194">
        <f>IF(_1_5412845612146241046457891017[[#This Row],[Type]]&gt;0,VLOOKUP(_1_5412845612146241046457891017[[#This Row],[Type]],Main[[#All],[TYPE]:[UNIT]],'Unit Price'!H$1,FALSE),0)</f>
        <v>0</v>
      </c>
      <c r="K265" s="194">
        <f>IF(_1_5412845612146241046457891017[[#This Row],[Discount selection]]&gt;0,VLOOKUP(_1_5412845612146241046457891017[[#This Row],[Discount selection]],'Discount Structure'!$A$2:$B$30,2,"false"),0)</f>
        <v>1</v>
      </c>
      <c r="L265" s="194">
        <f>_1_5412845612146241046457891017[[#This Row],[LIST $]]*_1_5412845612146241046457891017[[#This Row],[DISCOUNT]]*_1_5412845612146241046457891017[[#This Row],[DISCOUNT 2]]</f>
        <v>0</v>
      </c>
      <c r="M265" s="194">
        <f>IF(OR(_1_5412845612146241046457891017[[#This Row],[UNIT]]&gt;0,_1_5412845612146241046457891017[[#This Row],[UNIT]]&lt;0),_1_5412845612146241046457891017[[#This Row],[UNIT]]*_1_5412845612146241046457891017[[#This Row],[COST]],0)</f>
        <v>0</v>
      </c>
      <c r="N265" s="194">
        <f t="shared" si="3"/>
        <v>1.35</v>
      </c>
      <c r="O265" s="198">
        <f>_1_5412845612146241046457891017[[#This Row],[TOTAL]]*_1_5412845612146241046457891017[[#This Row],[MARGIN]]</f>
        <v>0</v>
      </c>
      <c r="R265" s="41"/>
    </row>
    <row r="266" spans="1:18">
      <c r="A266" s="168"/>
      <c r="B266" s="168"/>
      <c r="C266" s="168"/>
      <c r="D266" s="188"/>
      <c r="F266" s="168" t="s">
        <v>6202</v>
      </c>
      <c r="G266" s="193">
        <f>IF(_1_5412845612146241046457891017[[#This Row],[Type]]&gt;0,VLOOKUP(_1_5412845612146241046457891017[[#This Row],[Type]],Main[[#All],[TYPE]:[UNIT]],'Unit Price'!C$1,FALSE),0)</f>
        <v>0</v>
      </c>
      <c r="H266" s="197">
        <f>IF(_1_5412845612146241046457891017[[#This Row],[Type]]&gt;0,VLOOKUP(_1_5412845612146241046457891017[[#This Row],[Type]],Main[[#All],[TYPE]:[UNIT]],'Unit Price'!D$1,FALSE),0)</f>
        <v>0</v>
      </c>
      <c r="I266" s="194">
        <f>IF(_1_5412845612146241046457891017[[#This Row],[Type]]&gt;0,VLOOKUP(_1_5412845612146241046457891017[[#This Row],[Type]],Main[[#All],[TYPE]:[UNIT]],'Unit Price'!G$1,FALSE),0)</f>
        <v>0</v>
      </c>
      <c r="J266" s="194">
        <f>IF(_1_5412845612146241046457891017[[#This Row],[Type]]&gt;0,VLOOKUP(_1_5412845612146241046457891017[[#This Row],[Type]],Main[[#All],[TYPE]:[UNIT]],'Unit Price'!H$1,FALSE),0)</f>
        <v>0</v>
      </c>
      <c r="K266" s="194">
        <f>IF(_1_5412845612146241046457891017[[#This Row],[Discount selection]]&gt;0,VLOOKUP(_1_5412845612146241046457891017[[#This Row],[Discount selection]],'Discount Structure'!$A$2:$B$30,2,"false"),0)</f>
        <v>1</v>
      </c>
      <c r="L266" s="194">
        <f>_1_5412845612146241046457891017[[#This Row],[LIST $]]*_1_5412845612146241046457891017[[#This Row],[DISCOUNT]]*_1_5412845612146241046457891017[[#This Row],[DISCOUNT 2]]</f>
        <v>0</v>
      </c>
      <c r="M266" s="194">
        <f>IF(OR(_1_5412845612146241046457891017[[#This Row],[UNIT]]&gt;0,_1_5412845612146241046457891017[[#This Row],[UNIT]]&lt;0),_1_5412845612146241046457891017[[#This Row],[UNIT]]*_1_5412845612146241046457891017[[#This Row],[COST]],0)</f>
        <v>0</v>
      </c>
      <c r="N266" s="194">
        <f t="shared" ref="N266:N329" si="4">$N$7</f>
        <v>1.35</v>
      </c>
      <c r="O266" s="198">
        <f>_1_5412845612146241046457891017[[#This Row],[TOTAL]]*_1_5412845612146241046457891017[[#This Row],[MARGIN]]</f>
        <v>0</v>
      </c>
      <c r="R266" s="41"/>
    </row>
    <row r="267" spans="1:18">
      <c r="A267" s="323"/>
      <c r="B267" s="323"/>
      <c r="C267" s="168"/>
      <c r="D267" s="188"/>
      <c r="F267" s="168" t="s">
        <v>6202</v>
      </c>
      <c r="G267" s="193">
        <f>IF(_1_5412845612146241046457891017[[#This Row],[Type]]&gt;0,VLOOKUP(_1_5412845612146241046457891017[[#This Row],[Type]],Main[[#All],[TYPE]:[UNIT]],'Unit Price'!C$1,FALSE),0)</f>
        <v>0</v>
      </c>
      <c r="H267" s="197">
        <f>IF(_1_5412845612146241046457891017[[#This Row],[Type]]&gt;0,VLOOKUP(_1_5412845612146241046457891017[[#This Row],[Type]],Main[[#All],[TYPE]:[UNIT]],'Unit Price'!D$1,FALSE),0)</f>
        <v>0</v>
      </c>
      <c r="I267" s="194">
        <f>IF(_1_5412845612146241046457891017[[#This Row],[Type]]&gt;0,VLOOKUP(_1_5412845612146241046457891017[[#This Row],[Type]],Main[[#All],[TYPE]:[UNIT]],'Unit Price'!G$1,FALSE),0)</f>
        <v>0</v>
      </c>
      <c r="J267" s="194">
        <f>IF(_1_5412845612146241046457891017[[#This Row],[Type]]&gt;0,VLOOKUP(_1_5412845612146241046457891017[[#This Row],[Type]],Main[[#All],[TYPE]:[UNIT]],'Unit Price'!H$1,FALSE),0)</f>
        <v>0</v>
      </c>
      <c r="K267" s="194">
        <f>IF(_1_5412845612146241046457891017[[#This Row],[Discount selection]]&gt;0,VLOOKUP(_1_5412845612146241046457891017[[#This Row],[Discount selection]],'Discount Structure'!$A$2:$B$30,2,"false"),0)</f>
        <v>1</v>
      </c>
      <c r="L267" s="194">
        <f>_1_5412845612146241046457891017[[#This Row],[LIST $]]*_1_5412845612146241046457891017[[#This Row],[DISCOUNT]]*_1_5412845612146241046457891017[[#This Row],[DISCOUNT 2]]</f>
        <v>0</v>
      </c>
      <c r="M267" s="194">
        <f>IF(OR(_1_5412845612146241046457891017[[#This Row],[UNIT]]&gt;0,_1_5412845612146241046457891017[[#This Row],[UNIT]]&lt;0),_1_5412845612146241046457891017[[#This Row],[UNIT]]*_1_5412845612146241046457891017[[#This Row],[COST]],0)</f>
        <v>0</v>
      </c>
      <c r="N267" s="194">
        <f t="shared" si="4"/>
        <v>1.35</v>
      </c>
      <c r="O267" s="198">
        <f>_1_5412845612146241046457891017[[#This Row],[TOTAL]]*_1_5412845612146241046457891017[[#This Row],[MARGIN]]</f>
        <v>0</v>
      </c>
      <c r="R267" s="41"/>
    </row>
    <row r="268" spans="1:18">
      <c r="A268" s="323"/>
      <c r="B268" s="325"/>
      <c r="C268" s="168"/>
      <c r="D268" s="188"/>
      <c r="F268" s="168" t="s">
        <v>6202</v>
      </c>
      <c r="G268" s="193">
        <f>IF(_1_5412845612146241046457891017[[#This Row],[Type]]&gt;0,VLOOKUP(_1_5412845612146241046457891017[[#This Row],[Type]],Main[[#All],[TYPE]:[UNIT]],'Unit Price'!C$1,FALSE),0)</f>
        <v>0</v>
      </c>
      <c r="H268" s="197">
        <f>IF(_1_5412845612146241046457891017[[#This Row],[Type]]&gt;0,VLOOKUP(_1_5412845612146241046457891017[[#This Row],[Type]],Main[[#All],[TYPE]:[UNIT]],'Unit Price'!D$1,FALSE),0)</f>
        <v>0</v>
      </c>
      <c r="I268" s="194">
        <f>IF(_1_5412845612146241046457891017[[#This Row],[Type]]&gt;0,VLOOKUP(_1_5412845612146241046457891017[[#This Row],[Type]],Main[[#All],[TYPE]:[UNIT]],'Unit Price'!G$1,FALSE),0)</f>
        <v>0</v>
      </c>
      <c r="J268" s="194">
        <f>IF(_1_5412845612146241046457891017[[#This Row],[Type]]&gt;0,VLOOKUP(_1_5412845612146241046457891017[[#This Row],[Type]],Main[[#All],[TYPE]:[UNIT]],'Unit Price'!H$1,FALSE),0)</f>
        <v>0</v>
      </c>
      <c r="K268" s="194">
        <f>IF(_1_5412845612146241046457891017[[#This Row],[Discount selection]]&gt;0,VLOOKUP(_1_5412845612146241046457891017[[#This Row],[Discount selection]],'Discount Structure'!$A$2:$B$30,2,"false"),0)</f>
        <v>1</v>
      </c>
      <c r="L268" s="194">
        <f>_1_5412845612146241046457891017[[#This Row],[LIST $]]*_1_5412845612146241046457891017[[#This Row],[DISCOUNT]]*_1_5412845612146241046457891017[[#This Row],[DISCOUNT 2]]</f>
        <v>0</v>
      </c>
      <c r="M268" s="194">
        <f>IF(OR(_1_5412845612146241046457891017[[#This Row],[UNIT]]&gt;0,_1_5412845612146241046457891017[[#This Row],[UNIT]]&lt;0),_1_5412845612146241046457891017[[#This Row],[UNIT]]*_1_5412845612146241046457891017[[#This Row],[COST]],0)</f>
        <v>0</v>
      </c>
      <c r="N268" s="194">
        <f t="shared" si="4"/>
        <v>1.35</v>
      </c>
      <c r="O268" s="198">
        <f>_1_5412845612146241046457891017[[#This Row],[TOTAL]]*_1_5412845612146241046457891017[[#This Row],[MARGIN]]</f>
        <v>0</v>
      </c>
      <c r="R268" s="41"/>
    </row>
    <row r="269" spans="1:18">
      <c r="C269" s="168"/>
      <c r="D269" s="188"/>
      <c r="F269" s="168" t="s">
        <v>6202</v>
      </c>
      <c r="G269" s="193">
        <f>IF(_1_5412845612146241046457891017[[#This Row],[Type]]&gt;0,VLOOKUP(_1_5412845612146241046457891017[[#This Row],[Type]],Main[[#All],[TYPE]:[UNIT]],'Unit Price'!C$1,FALSE),0)</f>
        <v>0</v>
      </c>
      <c r="H269" s="197">
        <f>IF(_1_5412845612146241046457891017[[#This Row],[Type]]&gt;0,VLOOKUP(_1_5412845612146241046457891017[[#This Row],[Type]],Main[[#All],[TYPE]:[UNIT]],'Unit Price'!D$1,FALSE),0)</f>
        <v>0</v>
      </c>
      <c r="I269" s="194">
        <f>IF(_1_5412845612146241046457891017[[#This Row],[Type]]&gt;0,VLOOKUP(_1_5412845612146241046457891017[[#This Row],[Type]],Main[[#All],[TYPE]:[UNIT]],'Unit Price'!G$1,FALSE),0)</f>
        <v>0</v>
      </c>
      <c r="J269" s="194">
        <f>IF(_1_5412845612146241046457891017[[#This Row],[Type]]&gt;0,VLOOKUP(_1_5412845612146241046457891017[[#This Row],[Type]],Main[[#All],[TYPE]:[UNIT]],'Unit Price'!H$1,FALSE),0)</f>
        <v>0</v>
      </c>
      <c r="K269" s="194">
        <f>IF(_1_5412845612146241046457891017[[#This Row],[Discount selection]]&gt;0,VLOOKUP(_1_5412845612146241046457891017[[#This Row],[Discount selection]],'Discount Structure'!$A$2:$B$30,2,"false"),0)</f>
        <v>1</v>
      </c>
      <c r="L269" s="194">
        <f>_1_5412845612146241046457891017[[#This Row],[LIST $]]*_1_5412845612146241046457891017[[#This Row],[DISCOUNT]]*_1_5412845612146241046457891017[[#This Row],[DISCOUNT 2]]</f>
        <v>0</v>
      </c>
      <c r="M269" s="194">
        <f>IF(OR(_1_5412845612146241046457891017[[#This Row],[UNIT]]&gt;0,_1_5412845612146241046457891017[[#This Row],[UNIT]]&lt;0),_1_5412845612146241046457891017[[#This Row],[UNIT]]*_1_5412845612146241046457891017[[#This Row],[COST]],0)</f>
        <v>0</v>
      </c>
      <c r="N269" s="194">
        <f t="shared" si="4"/>
        <v>1.35</v>
      </c>
      <c r="O269" s="198">
        <f>_1_5412845612146241046457891017[[#This Row],[TOTAL]]*_1_5412845612146241046457891017[[#This Row],[MARGIN]]</f>
        <v>0</v>
      </c>
      <c r="R269" s="41"/>
    </row>
    <row r="270" spans="1:18">
      <c r="C270" s="168"/>
      <c r="D270" s="188"/>
      <c r="F270" s="168" t="s">
        <v>6202</v>
      </c>
      <c r="G270" s="193">
        <f>IF(_1_5412845612146241046457891017[[#This Row],[Type]]&gt;0,VLOOKUP(_1_5412845612146241046457891017[[#This Row],[Type]],Main[[#All],[TYPE]:[UNIT]],'Unit Price'!C$1,FALSE),0)</f>
        <v>0</v>
      </c>
      <c r="H270" s="197">
        <f>IF(_1_5412845612146241046457891017[[#This Row],[Type]]&gt;0,VLOOKUP(_1_5412845612146241046457891017[[#This Row],[Type]],Main[[#All],[TYPE]:[UNIT]],'Unit Price'!D$1,FALSE),0)</f>
        <v>0</v>
      </c>
      <c r="I270" s="194">
        <f>IF(_1_5412845612146241046457891017[[#This Row],[Type]]&gt;0,VLOOKUP(_1_5412845612146241046457891017[[#This Row],[Type]],Main[[#All],[TYPE]:[UNIT]],'Unit Price'!G$1,FALSE),0)</f>
        <v>0</v>
      </c>
      <c r="J270" s="194">
        <f>IF(_1_5412845612146241046457891017[[#This Row],[Type]]&gt;0,VLOOKUP(_1_5412845612146241046457891017[[#This Row],[Type]],Main[[#All],[TYPE]:[UNIT]],'Unit Price'!H$1,FALSE),0)</f>
        <v>0</v>
      </c>
      <c r="K270" s="194">
        <f>IF(_1_5412845612146241046457891017[[#This Row],[Discount selection]]&gt;0,VLOOKUP(_1_5412845612146241046457891017[[#This Row],[Discount selection]],'Discount Structure'!$A$2:$B$30,2,"false"),0)</f>
        <v>1</v>
      </c>
      <c r="L270" s="194">
        <f>_1_5412845612146241046457891017[[#This Row],[LIST $]]*_1_5412845612146241046457891017[[#This Row],[DISCOUNT]]*_1_5412845612146241046457891017[[#This Row],[DISCOUNT 2]]</f>
        <v>0</v>
      </c>
      <c r="M270" s="194">
        <f>IF(OR(_1_5412845612146241046457891017[[#This Row],[UNIT]]&gt;0,_1_5412845612146241046457891017[[#This Row],[UNIT]]&lt;0),_1_5412845612146241046457891017[[#This Row],[UNIT]]*_1_5412845612146241046457891017[[#This Row],[COST]],0)</f>
        <v>0</v>
      </c>
      <c r="N270" s="194">
        <f t="shared" si="4"/>
        <v>1.35</v>
      </c>
      <c r="O270" s="198">
        <f>_1_5412845612146241046457891017[[#This Row],[TOTAL]]*_1_5412845612146241046457891017[[#This Row],[MARGIN]]</f>
        <v>0</v>
      </c>
      <c r="R270" s="41"/>
    </row>
    <row r="271" spans="1:18">
      <c r="A271" s="323"/>
      <c r="B271" s="323"/>
      <c r="C271" s="168"/>
      <c r="D271" s="188"/>
      <c r="F271" s="168" t="s">
        <v>6202</v>
      </c>
      <c r="G271" s="205">
        <f>IF(_1_5412845612146241046457891017[[#This Row],[Type]]&gt;0,VLOOKUP(_1_5412845612146241046457891017[[#This Row],[Type]],Main[[#All],[TYPE]:[UNIT]],'Unit Price'!C$1,FALSE),0)</f>
        <v>0</v>
      </c>
      <c r="H271" s="197">
        <f>IF(_1_5412845612146241046457891017[[#This Row],[Type]]&gt;0,VLOOKUP(_1_5412845612146241046457891017[[#This Row],[Type]],Main[[#All],[TYPE]:[UNIT]],'Unit Price'!D$1,FALSE),0)</f>
        <v>0</v>
      </c>
      <c r="I271" s="194">
        <f>IF(_1_5412845612146241046457891017[[#This Row],[Type]]&gt;0,VLOOKUP(_1_5412845612146241046457891017[[#This Row],[Type]],Main[[#All],[TYPE]:[UNIT]],'Unit Price'!G$1,FALSE),0)</f>
        <v>0</v>
      </c>
      <c r="J271" s="194">
        <f>IF(_1_5412845612146241046457891017[[#This Row],[Type]]&gt;0,VLOOKUP(_1_5412845612146241046457891017[[#This Row],[Type]],Main[[#All],[TYPE]:[UNIT]],'Unit Price'!H$1,FALSE),0)</f>
        <v>0</v>
      </c>
      <c r="K271" s="194">
        <f>IF(_1_5412845612146241046457891017[[#This Row],[Discount selection]]&gt;0,VLOOKUP(_1_5412845612146241046457891017[[#This Row],[Discount selection]],'Discount Structure'!$A$2:$B$30,2,"false"),0)</f>
        <v>1</v>
      </c>
      <c r="L271" s="194">
        <f>_1_5412845612146241046457891017[[#This Row],[LIST $]]*_1_5412845612146241046457891017[[#This Row],[DISCOUNT]]*_1_5412845612146241046457891017[[#This Row],[DISCOUNT 2]]</f>
        <v>0</v>
      </c>
      <c r="M271" s="194">
        <f>IF(OR(_1_5412845612146241046457891017[[#This Row],[UNIT]]&gt;0,_1_5412845612146241046457891017[[#This Row],[UNIT]]&lt;0),_1_5412845612146241046457891017[[#This Row],[UNIT]]*_1_5412845612146241046457891017[[#This Row],[COST]],0)</f>
        <v>0</v>
      </c>
      <c r="N271" s="194">
        <f t="shared" si="4"/>
        <v>1.35</v>
      </c>
      <c r="O271" s="198">
        <f>_1_5412845612146241046457891017[[#This Row],[TOTAL]]*_1_5412845612146241046457891017[[#This Row],[MARGIN]]</f>
        <v>0</v>
      </c>
      <c r="R271" s="41"/>
    </row>
    <row r="272" spans="1:18">
      <c r="C272" s="168"/>
      <c r="D272" s="188"/>
      <c r="F272" s="168" t="s">
        <v>6202</v>
      </c>
      <c r="G272" s="193">
        <f>IF(_1_5412845612146241046457891017[[#This Row],[Type]]&gt;0,VLOOKUP(_1_5412845612146241046457891017[[#This Row],[Type]],Main[[#All],[TYPE]:[UNIT]],'Unit Price'!C$1,FALSE),0)</f>
        <v>0</v>
      </c>
      <c r="H272" s="197">
        <f>IF(_1_5412845612146241046457891017[[#This Row],[Type]]&gt;0,VLOOKUP(_1_5412845612146241046457891017[[#This Row],[Type]],Main[[#All],[TYPE]:[UNIT]],'Unit Price'!D$1,FALSE),0)</f>
        <v>0</v>
      </c>
      <c r="I272" s="194">
        <f>IF(_1_5412845612146241046457891017[[#This Row],[Type]]&gt;0,VLOOKUP(_1_5412845612146241046457891017[[#This Row],[Type]],Main[[#All],[TYPE]:[UNIT]],'Unit Price'!G$1,FALSE),0)</f>
        <v>0</v>
      </c>
      <c r="J272" s="194">
        <f>IF(_1_5412845612146241046457891017[[#This Row],[Type]]&gt;0,VLOOKUP(_1_5412845612146241046457891017[[#This Row],[Type]],Main[[#All],[TYPE]:[UNIT]],'Unit Price'!H$1,FALSE),0)</f>
        <v>0</v>
      </c>
      <c r="K272" s="194">
        <f>IF(_1_5412845612146241046457891017[[#This Row],[Discount selection]]&gt;0,VLOOKUP(_1_5412845612146241046457891017[[#This Row],[Discount selection]],'Discount Structure'!$A$2:$B$30,2,"false"),0)</f>
        <v>1</v>
      </c>
      <c r="L272" s="194">
        <f>_1_5412845612146241046457891017[[#This Row],[LIST $]]*_1_5412845612146241046457891017[[#This Row],[DISCOUNT]]*_1_5412845612146241046457891017[[#This Row],[DISCOUNT 2]]</f>
        <v>0</v>
      </c>
      <c r="M272" s="194">
        <f>IF(OR(_1_5412845612146241046457891017[[#This Row],[UNIT]]&gt;0,_1_5412845612146241046457891017[[#This Row],[UNIT]]&lt;0),_1_5412845612146241046457891017[[#This Row],[UNIT]]*_1_5412845612146241046457891017[[#This Row],[COST]],0)</f>
        <v>0</v>
      </c>
      <c r="N272" s="194">
        <f t="shared" si="4"/>
        <v>1.35</v>
      </c>
      <c r="O272" s="198">
        <f>_1_5412845612146241046457891017[[#This Row],[TOTAL]]*_1_5412845612146241046457891017[[#This Row],[MARGIN]]</f>
        <v>0</v>
      </c>
      <c r="R272" s="41"/>
    </row>
    <row r="273" spans="1:18">
      <c r="A273" s="168"/>
      <c r="B273" s="168"/>
      <c r="C273" s="168"/>
      <c r="D273" s="188"/>
      <c r="F273" s="168" t="s">
        <v>6202</v>
      </c>
      <c r="G273" s="193">
        <f>IF(_1_5412845612146241046457891017[[#This Row],[Type]]&gt;0,VLOOKUP(_1_5412845612146241046457891017[[#This Row],[Type]],Main[[#All],[TYPE]:[UNIT]],'Unit Price'!C$1,FALSE),0)</f>
        <v>0</v>
      </c>
      <c r="H273" s="197">
        <f>IF(_1_5412845612146241046457891017[[#This Row],[Type]]&gt;0,VLOOKUP(_1_5412845612146241046457891017[[#This Row],[Type]],Main[[#All],[TYPE]:[UNIT]],'Unit Price'!D$1,FALSE),0)</f>
        <v>0</v>
      </c>
      <c r="I273" s="194">
        <f>IF(_1_5412845612146241046457891017[[#This Row],[Type]]&gt;0,VLOOKUP(_1_5412845612146241046457891017[[#This Row],[Type]],Main[[#All],[TYPE]:[UNIT]],'Unit Price'!G$1,FALSE),0)</f>
        <v>0</v>
      </c>
      <c r="J273" s="194">
        <f>IF(_1_5412845612146241046457891017[[#This Row],[Type]]&gt;0,VLOOKUP(_1_5412845612146241046457891017[[#This Row],[Type]],Main[[#All],[TYPE]:[UNIT]],'Unit Price'!H$1,FALSE),0)</f>
        <v>0</v>
      </c>
      <c r="K273" s="194">
        <f>IF(_1_5412845612146241046457891017[[#This Row],[Discount selection]]&gt;0,VLOOKUP(_1_5412845612146241046457891017[[#This Row],[Discount selection]],'Discount Structure'!$A$2:$B$30,2,"false"),0)</f>
        <v>1</v>
      </c>
      <c r="L273" s="194">
        <f>_1_5412845612146241046457891017[[#This Row],[LIST $]]*_1_5412845612146241046457891017[[#This Row],[DISCOUNT]]*_1_5412845612146241046457891017[[#This Row],[DISCOUNT 2]]</f>
        <v>0</v>
      </c>
      <c r="M273" s="194">
        <f>IF(OR(_1_5412845612146241046457891017[[#This Row],[UNIT]]&gt;0,_1_5412845612146241046457891017[[#This Row],[UNIT]]&lt;0),_1_5412845612146241046457891017[[#This Row],[UNIT]]*_1_5412845612146241046457891017[[#This Row],[COST]],0)</f>
        <v>0</v>
      </c>
      <c r="N273" s="194">
        <f t="shared" si="4"/>
        <v>1.35</v>
      </c>
      <c r="O273" s="198">
        <f>_1_5412845612146241046457891017[[#This Row],[TOTAL]]*_1_5412845612146241046457891017[[#This Row],[MARGIN]]</f>
        <v>0</v>
      </c>
      <c r="R273" s="41"/>
    </row>
    <row r="274" spans="1:18">
      <c r="C274" s="168"/>
      <c r="D274" s="188"/>
      <c r="F274" s="168" t="s">
        <v>6202</v>
      </c>
      <c r="G274" s="193">
        <f>IF(_1_5412845612146241046457891017[[#This Row],[Type]]&gt;0,VLOOKUP(_1_5412845612146241046457891017[[#This Row],[Type]],Main[[#All],[TYPE]:[UNIT]],'Unit Price'!C$1,FALSE),0)</f>
        <v>0</v>
      </c>
      <c r="H274" s="197">
        <f>IF(_1_5412845612146241046457891017[[#This Row],[Type]]&gt;0,VLOOKUP(_1_5412845612146241046457891017[[#This Row],[Type]],Main[[#All],[TYPE]:[UNIT]],'Unit Price'!D$1,FALSE),0)</f>
        <v>0</v>
      </c>
      <c r="I274" s="194">
        <f>IF(_1_5412845612146241046457891017[[#This Row],[Type]]&gt;0,VLOOKUP(_1_5412845612146241046457891017[[#This Row],[Type]],Main[[#All],[TYPE]:[UNIT]],'Unit Price'!G$1,FALSE),0)</f>
        <v>0</v>
      </c>
      <c r="J274" s="194">
        <f>IF(_1_5412845612146241046457891017[[#This Row],[Type]]&gt;0,VLOOKUP(_1_5412845612146241046457891017[[#This Row],[Type]],Main[[#All],[TYPE]:[UNIT]],'Unit Price'!H$1,FALSE),0)</f>
        <v>0</v>
      </c>
      <c r="K274" s="194">
        <f>IF(_1_5412845612146241046457891017[[#This Row],[Discount selection]]&gt;0,VLOOKUP(_1_5412845612146241046457891017[[#This Row],[Discount selection]],'Discount Structure'!$A$2:$B$30,2,"false"),0)</f>
        <v>1</v>
      </c>
      <c r="L274" s="194">
        <f>_1_5412845612146241046457891017[[#This Row],[LIST $]]*_1_5412845612146241046457891017[[#This Row],[DISCOUNT]]*_1_5412845612146241046457891017[[#This Row],[DISCOUNT 2]]</f>
        <v>0</v>
      </c>
      <c r="M274" s="194">
        <f>IF(OR(_1_5412845612146241046457891017[[#This Row],[UNIT]]&gt;0,_1_5412845612146241046457891017[[#This Row],[UNIT]]&lt;0),_1_5412845612146241046457891017[[#This Row],[UNIT]]*_1_5412845612146241046457891017[[#This Row],[COST]],0)</f>
        <v>0</v>
      </c>
      <c r="N274" s="194">
        <f t="shared" si="4"/>
        <v>1.35</v>
      </c>
      <c r="O274" s="198">
        <f>_1_5412845612146241046457891017[[#This Row],[TOTAL]]*_1_5412845612146241046457891017[[#This Row],[MARGIN]]</f>
        <v>0</v>
      </c>
      <c r="R274" s="41"/>
    </row>
    <row r="275" spans="1:18">
      <c r="A275" s="323"/>
      <c r="B275" s="317"/>
      <c r="C275" s="168"/>
      <c r="D275" s="188"/>
      <c r="F275" s="168" t="s">
        <v>6202</v>
      </c>
      <c r="G275" s="193">
        <f>IF(_1_5412845612146241046457891017[[#This Row],[Type]]&gt;0,VLOOKUP(_1_5412845612146241046457891017[[#This Row],[Type]],Main[[#All],[TYPE]:[UNIT]],'Unit Price'!C$1,FALSE),0)</f>
        <v>0</v>
      </c>
      <c r="H275" s="197">
        <f>IF(_1_5412845612146241046457891017[[#This Row],[Type]]&gt;0,VLOOKUP(_1_5412845612146241046457891017[[#This Row],[Type]],Main[[#All],[TYPE]:[UNIT]],'Unit Price'!D$1,FALSE),0)</f>
        <v>0</v>
      </c>
      <c r="I275" s="194">
        <f>IF(_1_5412845612146241046457891017[[#This Row],[Type]]&gt;0,VLOOKUP(_1_5412845612146241046457891017[[#This Row],[Type]],Main[[#All],[TYPE]:[UNIT]],'Unit Price'!G$1,FALSE),0)</f>
        <v>0</v>
      </c>
      <c r="J275" s="194">
        <f>IF(_1_5412845612146241046457891017[[#This Row],[Type]]&gt;0,VLOOKUP(_1_5412845612146241046457891017[[#This Row],[Type]],Main[[#All],[TYPE]:[UNIT]],'Unit Price'!H$1,FALSE),0)</f>
        <v>0</v>
      </c>
      <c r="K275" s="194">
        <f>IF(_1_5412845612146241046457891017[[#This Row],[Discount selection]]&gt;0,VLOOKUP(_1_5412845612146241046457891017[[#This Row],[Discount selection]],'Discount Structure'!$A$2:$B$30,2,"false"),0)</f>
        <v>1</v>
      </c>
      <c r="L275" s="194">
        <f>_1_5412845612146241046457891017[[#This Row],[LIST $]]*_1_5412845612146241046457891017[[#This Row],[DISCOUNT]]*_1_5412845612146241046457891017[[#This Row],[DISCOUNT 2]]</f>
        <v>0</v>
      </c>
      <c r="M275" s="194">
        <f>IF(OR(_1_5412845612146241046457891017[[#This Row],[UNIT]]&gt;0,_1_5412845612146241046457891017[[#This Row],[UNIT]]&lt;0),_1_5412845612146241046457891017[[#This Row],[UNIT]]*_1_5412845612146241046457891017[[#This Row],[COST]],0)</f>
        <v>0</v>
      </c>
      <c r="N275" s="194">
        <f t="shared" si="4"/>
        <v>1.35</v>
      </c>
      <c r="O275" s="198">
        <f>_1_5412845612146241046457891017[[#This Row],[TOTAL]]*_1_5412845612146241046457891017[[#This Row],[MARGIN]]</f>
        <v>0</v>
      </c>
      <c r="R275" s="41"/>
    </row>
    <row r="276" spans="1:18">
      <c r="C276" s="168"/>
      <c r="D276" s="188"/>
      <c r="F276" s="168" t="s">
        <v>6202</v>
      </c>
      <c r="G276" s="205">
        <f>IF(_1_5412845612146241046457891017[[#This Row],[Type]]&gt;0,VLOOKUP(_1_5412845612146241046457891017[[#This Row],[Type]],Main[[#All],[TYPE]:[UNIT]],'Unit Price'!C$1,FALSE),0)</f>
        <v>0</v>
      </c>
      <c r="H276" s="197">
        <f>IF(_1_5412845612146241046457891017[[#This Row],[Type]]&gt;0,VLOOKUP(_1_5412845612146241046457891017[[#This Row],[Type]],Main[[#All],[TYPE]:[UNIT]],'Unit Price'!D$1,FALSE),0)</f>
        <v>0</v>
      </c>
      <c r="I276" s="194">
        <f>IF(_1_5412845612146241046457891017[[#This Row],[Type]]&gt;0,VLOOKUP(_1_5412845612146241046457891017[[#This Row],[Type]],Main[[#All],[TYPE]:[UNIT]],'Unit Price'!G$1,FALSE),0)</f>
        <v>0</v>
      </c>
      <c r="J276" s="194">
        <f>IF(_1_5412845612146241046457891017[[#This Row],[Type]]&gt;0,VLOOKUP(_1_5412845612146241046457891017[[#This Row],[Type]],Main[[#All],[TYPE]:[UNIT]],'Unit Price'!H$1,FALSE),0)</f>
        <v>0</v>
      </c>
      <c r="K276" s="194">
        <f>IF(_1_5412845612146241046457891017[[#This Row],[Discount selection]]&gt;0,VLOOKUP(_1_5412845612146241046457891017[[#This Row],[Discount selection]],'Discount Structure'!$A$2:$B$30,2,"false"),0)</f>
        <v>1</v>
      </c>
      <c r="L276" s="194">
        <f>_1_5412845612146241046457891017[[#This Row],[LIST $]]*_1_5412845612146241046457891017[[#This Row],[DISCOUNT]]*_1_5412845612146241046457891017[[#This Row],[DISCOUNT 2]]</f>
        <v>0</v>
      </c>
      <c r="M276" s="194">
        <f>IF(OR(_1_5412845612146241046457891017[[#This Row],[UNIT]]&gt;0,_1_5412845612146241046457891017[[#This Row],[UNIT]]&lt;0),_1_5412845612146241046457891017[[#This Row],[UNIT]]*_1_5412845612146241046457891017[[#This Row],[COST]],0)</f>
        <v>0</v>
      </c>
      <c r="N276" s="194">
        <f t="shared" si="4"/>
        <v>1.35</v>
      </c>
      <c r="O276" s="198">
        <f>_1_5412845612146241046457891017[[#This Row],[TOTAL]]*_1_5412845612146241046457891017[[#This Row],[MARGIN]]</f>
        <v>0</v>
      </c>
      <c r="R276" s="41"/>
    </row>
    <row r="277" spans="1:18">
      <c r="C277" s="168"/>
      <c r="D277" s="188"/>
      <c r="F277" s="168" t="s">
        <v>6202</v>
      </c>
      <c r="G277" s="193">
        <f>IF(_1_5412845612146241046457891017[[#This Row],[Type]]&gt;0,VLOOKUP(_1_5412845612146241046457891017[[#This Row],[Type]],Main[[#All],[TYPE]:[UNIT]],'Unit Price'!C$1,FALSE),0)</f>
        <v>0</v>
      </c>
      <c r="H277" s="197">
        <f>IF(_1_5412845612146241046457891017[[#This Row],[Type]]&gt;0,VLOOKUP(_1_5412845612146241046457891017[[#This Row],[Type]],Main[[#All],[TYPE]:[UNIT]],'Unit Price'!D$1,FALSE),0)</f>
        <v>0</v>
      </c>
      <c r="I277" s="194">
        <f>IF(_1_5412845612146241046457891017[[#This Row],[Type]]&gt;0,VLOOKUP(_1_5412845612146241046457891017[[#This Row],[Type]],Main[[#All],[TYPE]:[UNIT]],'Unit Price'!G$1,FALSE),0)</f>
        <v>0</v>
      </c>
      <c r="J277" s="194">
        <f>IF(_1_5412845612146241046457891017[[#This Row],[Type]]&gt;0,VLOOKUP(_1_5412845612146241046457891017[[#This Row],[Type]],Main[[#All],[TYPE]:[UNIT]],'Unit Price'!H$1,FALSE),0)</f>
        <v>0</v>
      </c>
      <c r="K277" s="194">
        <f>IF(_1_5412845612146241046457891017[[#This Row],[Discount selection]]&gt;0,VLOOKUP(_1_5412845612146241046457891017[[#This Row],[Discount selection]],'Discount Structure'!$A$2:$B$30,2,"false"),0)</f>
        <v>1</v>
      </c>
      <c r="L277" s="194">
        <f>_1_5412845612146241046457891017[[#This Row],[LIST $]]*_1_5412845612146241046457891017[[#This Row],[DISCOUNT]]*_1_5412845612146241046457891017[[#This Row],[DISCOUNT 2]]</f>
        <v>0</v>
      </c>
      <c r="M277" s="194">
        <f>IF(OR(_1_5412845612146241046457891017[[#This Row],[UNIT]]&gt;0,_1_5412845612146241046457891017[[#This Row],[UNIT]]&lt;0),_1_5412845612146241046457891017[[#This Row],[UNIT]]*_1_5412845612146241046457891017[[#This Row],[COST]],0)</f>
        <v>0</v>
      </c>
      <c r="N277" s="194">
        <f t="shared" si="4"/>
        <v>1.35</v>
      </c>
      <c r="O277" s="198">
        <f>_1_5412845612146241046457891017[[#This Row],[TOTAL]]*_1_5412845612146241046457891017[[#This Row],[MARGIN]]</f>
        <v>0</v>
      </c>
      <c r="R277" s="41"/>
    </row>
    <row r="278" spans="1:18">
      <c r="A278" s="319"/>
      <c r="B278" s="323"/>
      <c r="C278" s="168"/>
      <c r="D278" s="188"/>
      <c r="F278" s="168" t="s">
        <v>6202</v>
      </c>
      <c r="G278" s="193">
        <f>IF(_1_5412845612146241046457891017[[#This Row],[Type]]&gt;0,VLOOKUP(_1_5412845612146241046457891017[[#This Row],[Type]],Main[[#All],[TYPE]:[UNIT]],'Unit Price'!C$1,FALSE),0)</f>
        <v>0</v>
      </c>
      <c r="H278" s="197">
        <f>IF(_1_5412845612146241046457891017[[#This Row],[Type]]&gt;0,VLOOKUP(_1_5412845612146241046457891017[[#This Row],[Type]],Main[[#All],[TYPE]:[UNIT]],'Unit Price'!D$1,FALSE),0)</f>
        <v>0</v>
      </c>
      <c r="I278" s="194">
        <f>IF(_1_5412845612146241046457891017[[#This Row],[Type]]&gt;0,VLOOKUP(_1_5412845612146241046457891017[[#This Row],[Type]],Main[[#All],[TYPE]:[UNIT]],'Unit Price'!G$1,FALSE),0)</f>
        <v>0</v>
      </c>
      <c r="J278" s="194">
        <f>IF(_1_5412845612146241046457891017[[#This Row],[Type]]&gt;0,VLOOKUP(_1_5412845612146241046457891017[[#This Row],[Type]],Main[[#All],[TYPE]:[UNIT]],'Unit Price'!H$1,FALSE),0)</f>
        <v>0</v>
      </c>
      <c r="K278" s="194">
        <f>IF(_1_5412845612146241046457891017[[#This Row],[Discount selection]]&gt;0,VLOOKUP(_1_5412845612146241046457891017[[#This Row],[Discount selection]],'Discount Structure'!$A$2:$B$30,2,"false"),0)</f>
        <v>1</v>
      </c>
      <c r="L278" s="194">
        <f>_1_5412845612146241046457891017[[#This Row],[LIST $]]*_1_5412845612146241046457891017[[#This Row],[DISCOUNT]]*_1_5412845612146241046457891017[[#This Row],[DISCOUNT 2]]</f>
        <v>0</v>
      </c>
      <c r="M278" s="194">
        <f>IF(OR(_1_5412845612146241046457891017[[#This Row],[UNIT]]&gt;0,_1_5412845612146241046457891017[[#This Row],[UNIT]]&lt;0),_1_5412845612146241046457891017[[#This Row],[UNIT]]*_1_5412845612146241046457891017[[#This Row],[COST]],0)</f>
        <v>0</v>
      </c>
      <c r="N278" s="194">
        <f t="shared" si="4"/>
        <v>1.35</v>
      </c>
      <c r="O278" s="198">
        <f>_1_5412845612146241046457891017[[#This Row],[TOTAL]]*_1_5412845612146241046457891017[[#This Row],[MARGIN]]</f>
        <v>0</v>
      </c>
      <c r="R278" s="41"/>
    </row>
    <row r="279" spans="1:18">
      <c r="C279" s="168"/>
      <c r="D279" s="188"/>
      <c r="F279" s="168" t="s">
        <v>6202</v>
      </c>
      <c r="G279" s="193">
        <f>IF(_1_5412845612146241046457891017[[#This Row],[Type]]&gt;0,VLOOKUP(_1_5412845612146241046457891017[[#This Row],[Type]],Main[[#All],[TYPE]:[UNIT]],'Unit Price'!C$1,FALSE),0)</f>
        <v>0</v>
      </c>
      <c r="H279" s="197">
        <f>IF(_1_5412845612146241046457891017[[#This Row],[Type]]&gt;0,VLOOKUP(_1_5412845612146241046457891017[[#This Row],[Type]],Main[[#All],[TYPE]:[UNIT]],'Unit Price'!D$1,FALSE),0)</f>
        <v>0</v>
      </c>
      <c r="I279" s="194">
        <f>IF(_1_5412845612146241046457891017[[#This Row],[Type]]&gt;0,VLOOKUP(_1_5412845612146241046457891017[[#This Row],[Type]],Main[[#All],[TYPE]:[UNIT]],'Unit Price'!G$1,FALSE),0)</f>
        <v>0</v>
      </c>
      <c r="J279" s="194">
        <f>IF(_1_5412845612146241046457891017[[#This Row],[Type]]&gt;0,VLOOKUP(_1_5412845612146241046457891017[[#This Row],[Type]],Main[[#All],[TYPE]:[UNIT]],'Unit Price'!H$1,FALSE),0)</f>
        <v>0</v>
      </c>
      <c r="K279" s="194">
        <f>IF(_1_5412845612146241046457891017[[#This Row],[Discount selection]]&gt;0,VLOOKUP(_1_5412845612146241046457891017[[#This Row],[Discount selection]],'Discount Structure'!$A$2:$B$30,2,"false"),0)</f>
        <v>1</v>
      </c>
      <c r="L279" s="194">
        <f>_1_5412845612146241046457891017[[#This Row],[LIST $]]*_1_5412845612146241046457891017[[#This Row],[DISCOUNT]]*_1_5412845612146241046457891017[[#This Row],[DISCOUNT 2]]</f>
        <v>0</v>
      </c>
      <c r="M279" s="194">
        <f>IF(OR(_1_5412845612146241046457891017[[#This Row],[UNIT]]&gt;0,_1_5412845612146241046457891017[[#This Row],[UNIT]]&lt;0),_1_5412845612146241046457891017[[#This Row],[UNIT]]*_1_5412845612146241046457891017[[#This Row],[COST]],0)</f>
        <v>0</v>
      </c>
      <c r="N279" s="194">
        <f t="shared" si="4"/>
        <v>1.35</v>
      </c>
      <c r="O279" s="198">
        <f>_1_5412845612146241046457891017[[#This Row],[TOTAL]]*_1_5412845612146241046457891017[[#This Row],[MARGIN]]</f>
        <v>0</v>
      </c>
      <c r="R279" s="41"/>
    </row>
    <row r="280" spans="1:18">
      <c r="C280" s="168"/>
      <c r="D280" s="188"/>
      <c r="F280" s="168" t="s">
        <v>6202</v>
      </c>
      <c r="G280" s="193">
        <f>IF(_1_5412845612146241046457891017[[#This Row],[Type]]&gt;0,VLOOKUP(_1_5412845612146241046457891017[[#This Row],[Type]],Main[[#All],[TYPE]:[UNIT]],'Unit Price'!C$1,FALSE),0)</f>
        <v>0</v>
      </c>
      <c r="H280" s="197">
        <f>IF(_1_5412845612146241046457891017[[#This Row],[Type]]&gt;0,VLOOKUP(_1_5412845612146241046457891017[[#This Row],[Type]],Main[[#All],[TYPE]:[UNIT]],'Unit Price'!D$1,FALSE),0)</f>
        <v>0</v>
      </c>
      <c r="I280" s="194">
        <f>IF(_1_5412845612146241046457891017[[#This Row],[Type]]&gt;0,VLOOKUP(_1_5412845612146241046457891017[[#This Row],[Type]],Main[[#All],[TYPE]:[UNIT]],'Unit Price'!G$1,FALSE),0)</f>
        <v>0</v>
      </c>
      <c r="J280" s="194">
        <f>IF(_1_5412845612146241046457891017[[#This Row],[Type]]&gt;0,VLOOKUP(_1_5412845612146241046457891017[[#This Row],[Type]],Main[[#All],[TYPE]:[UNIT]],'Unit Price'!H$1,FALSE),0)</f>
        <v>0</v>
      </c>
      <c r="K280" s="194">
        <f>IF(_1_5412845612146241046457891017[[#This Row],[Discount selection]]&gt;0,VLOOKUP(_1_5412845612146241046457891017[[#This Row],[Discount selection]],'Discount Structure'!$A$2:$B$30,2,"false"),0)</f>
        <v>1</v>
      </c>
      <c r="L280" s="194">
        <f>_1_5412845612146241046457891017[[#This Row],[LIST $]]*_1_5412845612146241046457891017[[#This Row],[DISCOUNT]]*_1_5412845612146241046457891017[[#This Row],[DISCOUNT 2]]</f>
        <v>0</v>
      </c>
      <c r="M280" s="194">
        <f>IF(OR(_1_5412845612146241046457891017[[#This Row],[UNIT]]&gt;0,_1_5412845612146241046457891017[[#This Row],[UNIT]]&lt;0),_1_5412845612146241046457891017[[#This Row],[UNIT]]*_1_5412845612146241046457891017[[#This Row],[COST]],0)</f>
        <v>0</v>
      </c>
      <c r="N280" s="194">
        <f t="shared" si="4"/>
        <v>1.35</v>
      </c>
      <c r="O280" s="198">
        <f>_1_5412845612146241046457891017[[#This Row],[TOTAL]]*_1_5412845612146241046457891017[[#This Row],[MARGIN]]</f>
        <v>0</v>
      </c>
      <c r="R280" s="41"/>
    </row>
    <row r="281" spans="1:18">
      <c r="C281" s="168"/>
      <c r="D281" s="188"/>
      <c r="F281" s="168" t="s">
        <v>6202</v>
      </c>
      <c r="G281" s="193">
        <f>IF(_1_5412845612146241046457891017[[#This Row],[Type]]&gt;0,VLOOKUP(_1_5412845612146241046457891017[[#This Row],[Type]],Main[[#All],[TYPE]:[UNIT]],'Unit Price'!C$1,FALSE),0)</f>
        <v>0</v>
      </c>
      <c r="H281" s="197">
        <f>IF(_1_5412845612146241046457891017[[#This Row],[Type]]&gt;0,VLOOKUP(_1_5412845612146241046457891017[[#This Row],[Type]],Main[[#All],[TYPE]:[UNIT]],'Unit Price'!D$1,FALSE),0)</f>
        <v>0</v>
      </c>
      <c r="I281" s="194">
        <f>IF(_1_5412845612146241046457891017[[#This Row],[Type]]&gt;0,VLOOKUP(_1_5412845612146241046457891017[[#This Row],[Type]],Main[[#All],[TYPE]:[UNIT]],'Unit Price'!G$1,FALSE),0)</f>
        <v>0</v>
      </c>
      <c r="J281" s="194">
        <f>IF(_1_5412845612146241046457891017[[#This Row],[Type]]&gt;0,VLOOKUP(_1_5412845612146241046457891017[[#This Row],[Type]],Main[[#All],[TYPE]:[UNIT]],'Unit Price'!H$1,FALSE),0)</f>
        <v>0</v>
      </c>
      <c r="K281" s="194">
        <f>IF(_1_5412845612146241046457891017[[#This Row],[Discount selection]]&gt;0,VLOOKUP(_1_5412845612146241046457891017[[#This Row],[Discount selection]],'Discount Structure'!$A$2:$B$30,2,"false"),0)</f>
        <v>1</v>
      </c>
      <c r="L281" s="194">
        <f>_1_5412845612146241046457891017[[#This Row],[LIST $]]*_1_5412845612146241046457891017[[#This Row],[DISCOUNT]]*_1_5412845612146241046457891017[[#This Row],[DISCOUNT 2]]</f>
        <v>0</v>
      </c>
      <c r="M281" s="194">
        <f>IF(OR(_1_5412845612146241046457891017[[#This Row],[UNIT]]&gt;0,_1_5412845612146241046457891017[[#This Row],[UNIT]]&lt;0),_1_5412845612146241046457891017[[#This Row],[UNIT]]*_1_5412845612146241046457891017[[#This Row],[COST]],0)</f>
        <v>0</v>
      </c>
      <c r="N281" s="194">
        <f t="shared" si="4"/>
        <v>1.35</v>
      </c>
      <c r="O281" s="198">
        <f>_1_5412845612146241046457891017[[#This Row],[TOTAL]]*_1_5412845612146241046457891017[[#This Row],[MARGIN]]</f>
        <v>0</v>
      </c>
      <c r="R281" s="41"/>
    </row>
    <row r="282" spans="1:18">
      <c r="C282" s="168"/>
      <c r="D282" s="188"/>
      <c r="F282" s="168" t="s">
        <v>6202</v>
      </c>
      <c r="G282" s="193">
        <f>IF(_1_5412845612146241046457891017[[#This Row],[Type]]&gt;0,VLOOKUP(_1_5412845612146241046457891017[[#This Row],[Type]],Main[[#All],[TYPE]:[UNIT]],'Unit Price'!C$1,FALSE),0)</f>
        <v>0</v>
      </c>
      <c r="H282" s="197">
        <f>IF(_1_5412845612146241046457891017[[#This Row],[Type]]&gt;0,VLOOKUP(_1_5412845612146241046457891017[[#This Row],[Type]],Main[[#All],[TYPE]:[UNIT]],'Unit Price'!D$1,FALSE),0)</f>
        <v>0</v>
      </c>
      <c r="I282" s="194">
        <f>IF(_1_5412845612146241046457891017[[#This Row],[Type]]&gt;0,VLOOKUP(_1_5412845612146241046457891017[[#This Row],[Type]],Main[[#All],[TYPE]:[UNIT]],'Unit Price'!G$1,FALSE),0)</f>
        <v>0</v>
      </c>
      <c r="J282" s="194">
        <f>IF(_1_5412845612146241046457891017[[#This Row],[Type]]&gt;0,VLOOKUP(_1_5412845612146241046457891017[[#This Row],[Type]],Main[[#All],[TYPE]:[UNIT]],'Unit Price'!H$1,FALSE),0)</f>
        <v>0</v>
      </c>
      <c r="K282" s="194">
        <f>IF(_1_5412845612146241046457891017[[#This Row],[Discount selection]]&gt;0,VLOOKUP(_1_5412845612146241046457891017[[#This Row],[Discount selection]],'Discount Structure'!$A$2:$B$30,2,"false"),0)</f>
        <v>1</v>
      </c>
      <c r="L282" s="194">
        <f>_1_5412845612146241046457891017[[#This Row],[LIST $]]*_1_5412845612146241046457891017[[#This Row],[DISCOUNT]]*_1_5412845612146241046457891017[[#This Row],[DISCOUNT 2]]</f>
        <v>0</v>
      </c>
      <c r="M282" s="194">
        <f>IF(OR(_1_5412845612146241046457891017[[#This Row],[UNIT]]&gt;0,_1_5412845612146241046457891017[[#This Row],[UNIT]]&lt;0),_1_5412845612146241046457891017[[#This Row],[UNIT]]*_1_5412845612146241046457891017[[#This Row],[COST]],0)</f>
        <v>0</v>
      </c>
      <c r="N282" s="194">
        <f t="shared" si="4"/>
        <v>1.35</v>
      </c>
      <c r="O282" s="198">
        <f>_1_5412845612146241046457891017[[#This Row],[TOTAL]]*_1_5412845612146241046457891017[[#This Row],[MARGIN]]</f>
        <v>0</v>
      </c>
      <c r="R282" s="41"/>
    </row>
    <row r="283" spans="1:18">
      <c r="A283" s="323"/>
      <c r="B283" s="323"/>
      <c r="C283" s="168"/>
      <c r="D283" s="188"/>
      <c r="F283" s="168" t="s">
        <v>6202</v>
      </c>
      <c r="G283" s="193">
        <f>IF(_1_5412845612146241046457891017[[#This Row],[Type]]&gt;0,VLOOKUP(_1_5412845612146241046457891017[[#This Row],[Type]],Main[[#All],[TYPE]:[UNIT]],'Unit Price'!C$1,FALSE),0)</f>
        <v>0</v>
      </c>
      <c r="H283" s="197">
        <f>IF(_1_5412845612146241046457891017[[#This Row],[Type]]&gt;0,VLOOKUP(_1_5412845612146241046457891017[[#This Row],[Type]],Main[[#All],[TYPE]:[UNIT]],'Unit Price'!D$1,FALSE),0)</f>
        <v>0</v>
      </c>
      <c r="I283" s="194">
        <f>IF(_1_5412845612146241046457891017[[#This Row],[Type]]&gt;0,VLOOKUP(_1_5412845612146241046457891017[[#This Row],[Type]],Main[[#All],[TYPE]:[UNIT]],'Unit Price'!G$1,FALSE),0)</f>
        <v>0</v>
      </c>
      <c r="J283" s="194">
        <f>IF(_1_5412845612146241046457891017[[#This Row],[Type]]&gt;0,VLOOKUP(_1_5412845612146241046457891017[[#This Row],[Type]],Main[[#All],[TYPE]:[UNIT]],'Unit Price'!H$1,FALSE),0)</f>
        <v>0</v>
      </c>
      <c r="K283" s="194">
        <f>IF(_1_5412845612146241046457891017[[#This Row],[Discount selection]]&gt;0,VLOOKUP(_1_5412845612146241046457891017[[#This Row],[Discount selection]],'Discount Structure'!$A$2:$B$30,2,"false"),0)</f>
        <v>1</v>
      </c>
      <c r="L283" s="194">
        <f>_1_5412845612146241046457891017[[#This Row],[LIST $]]*_1_5412845612146241046457891017[[#This Row],[DISCOUNT]]*_1_5412845612146241046457891017[[#This Row],[DISCOUNT 2]]</f>
        <v>0</v>
      </c>
      <c r="M283" s="194">
        <f>IF(OR(_1_5412845612146241046457891017[[#This Row],[UNIT]]&gt;0,_1_5412845612146241046457891017[[#This Row],[UNIT]]&lt;0),_1_5412845612146241046457891017[[#This Row],[UNIT]]*_1_5412845612146241046457891017[[#This Row],[COST]],0)</f>
        <v>0</v>
      </c>
      <c r="N283" s="194">
        <f t="shared" si="4"/>
        <v>1.35</v>
      </c>
      <c r="O283" s="198">
        <f>_1_5412845612146241046457891017[[#This Row],[TOTAL]]*_1_5412845612146241046457891017[[#This Row],[MARGIN]]</f>
        <v>0</v>
      </c>
      <c r="R283" s="41"/>
    </row>
    <row r="284" spans="1:18">
      <c r="A284" s="312"/>
      <c r="B284" s="323"/>
      <c r="C284" s="168"/>
      <c r="D284" s="188"/>
      <c r="F284" s="168" t="s">
        <v>6202</v>
      </c>
      <c r="G284" s="193">
        <f>IF(_1_5412845612146241046457891017[[#This Row],[Type]]&gt;0,VLOOKUP(_1_5412845612146241046457891017[[#This Row],[Type]],Main[[#All],[TYPE]:[UNIT]],'Unit Price'!C$1,FALSE),0)</f>
        <v>0</v>
      </c>
      <c r="H284" s="197">
        <f>IF(_1_5412845612146241046457891017[[#This Row],[Type]]&gt;0,VLOOKUP(_1_5412845612146241046457891017[[#This Row],[Type]],Main[[#All],[TYPE]:[UNIT]],'Unit Price'!D$1,FALSE),0)</f>
        <v>0</v>
      </c>
      <c r="I284" s="194">
        <f>IF(_1_5412845612146241046457891017[[#This Row],[Type]]&gt;0,VLOOKUP(_1_5412845612146241046457891017[[#This Row],[Type]],Main[[#All],[TYPE]:[UNIT]],'Unit Price'!G$1,FALSE),0)</f>
        <v>0</v>
      </c>
      <c r="J284" s="194">
        <f>IF(_1_5412845612146241046457891017[[#This Row],[Type]]&gt;0,VLOOKUP(_1_5412845612146241046457891017[[#This Row],[Type]],Main[[#All],[TYPE]:[UNIT]],'Unit Price'!H$1,FALSE),0)</f>
        <v>0</v>
      </c>
      <c r="K284" s="194">
        <f>IF(_1_5412845612146241046457891017[[#This Row],[Discount selection]]&gt;0,VLOOKUP(_1_5412845612146241046457891017[[#This Row],[Discount selection]],'Discount Structure'!$A$2:$B$30,2,"false"),0)</f>
        <v>1</v>
      </c>
      <c r="L284" s="194">
        <f>_1_5412845612146241046457891017[[#This Row],[LIST $]]*_1_5412845612146241046457891017[[#This Row],[DISCOUNT]]*_1_5412845612146241046457891017[[#This Row],[DISCOUNT 2]]</f>
        <v>0</v>
      </c>
      <c r="M284" s="194">
        <f>IF(OR(_1_5412845612146241046457891017[[#This Row],[UNIT]]&gt;0,_1_5412845612146241046457891017[[#This Row],[UNIT]]&lt;0),_1_5412845612146241046457891017[[#This Row],[UNIT]]*_1_5412845612146241046457891017[[#This Row],[COST]],0)</f>
        <v>0</v>
      </c>
      <c r="N284" s="194">
        <f t="shared" si="4"/>
        <v>1.35</v>
      </c>
      <c r="O284" s="198">
        <f>_1_5412845612146241046457891017[[#This Row],[TOTAL]]*_1_5412845612146241046457891017[[#This Row],[MARGIN]]</f>
        <v>0</v>
      </c>
      <c r="R284" s="41"/>
    </row>
    <row r="285" spans="1:18">
      <c r="A285" s="323"/>
      <c r="B285" s="323"/>
      <c r="C285" s="168"/>
      <c r="D285" s="188"/>
      <c r="F285" s="168" t="s">
        <v>6202</v>
      </c>
      <c r="G285" s="193">
        <f>IF(_1_5412845612146241046457891017[[#This Row],[Type]]&gt;0,VLOOKUP(_1_5412845612146241046457891017[[#This Row],[Type]],Main[[#All],[TYPE]:[UNIT]],'Unit Price'!C$1,FALSE),0)</f>
        <v>0</v>
      </c>
      <c r="H285" s="197">
        <f>IF(_1_5412845612146241046457891017[[#This Row],[Type]]&gt;0,VLOOKUP(_1_5412845612146241046457891017[[#This Row],[Type]],Main[[#All],[TYPE]:[UNIT]],'Unit Price'!D$1,FALSE),0)</f>
        <v>0</v>
      </c>
      <c r="I285" s="194">
        <f>IF(_1_5412845612146241046457891017[[#This Row],[Type]]&gt;0,VLOOKUP(_1_5412845612146241046457891017[[#This Row],[Type]],Main[[#All],[TYPE]:[UNIT]],'Unit Price'!G$1,FALSE),0)</f>
        <v>0</v>
      </c>
      <c r="J285" s="194">
        <f>IF(_1_5412845612146241046457891017[[#This Row],[Type]]&gt;0,VLOOKUP(_1_5412845612146241046457891017[[#This Row],[Type]],Main[[#All],[TYPE]:[UNIT]],'Unit Price'!H$1,FALSE),0)</f>
        <v>0</v>
      </c>
      <c r="K285" s="194">
        <f>IF(_1_5412845612146241046457891017[[#This Row],[Discount selection]]&gt;0,VLOOKUP(_1_5412845612146241046457891017[[#This Row],[Discount selection]],'Discount Structure'!$A$2:$B$30,2,"false"),0)</f>
        <v>1</v>
      </c>
      <c r="L285" s="194">
        <f>_1_5412845612146241046457891017[[#This Row],[LIST $]]*_1_5412845612146241046457891017[[#This Row],[DISCOUNT]]*_1_5412845612146241046457891017[[#This Row],[DISCOUNT 2]]</f>
        <v>0</v>
      </c>
      <c r="M285" s="194">
        <f>IF(OR(_1_5412845612146241046457891017[[#This Row],[UNIT]]&gt;0,_1_5412845612146241046457891017[[#This Row],[UNIT]]&lt;0),_1_5412845612146241046457891017[[#This Row],[UNIT]]*_1_5412845612146241046457891017[[#This Row],[COST]],0)</f>
        <v>0</v>
      </c>
      <c r="N285" s="194">
        <f t="shared" si="4"/>
        <v>1.35</v>
      </c>
      <c r="O285" s="198">
        <f>_1_5412845612146241046457891017[[#This Row],[TOTAL]]*_1_5412845612146241046457891017[[#This Row],[MARGIN]]</f>
        <v>0</v>
      </c>
      <c r="R285" s="41"/>
    </row>
    <row r="286" spans="1:18">
      <c r="A286" s="353"/>
      <c r="B286" s="323"/>
      <c r="C286" s="353"/>
      <c r="D286" s="188"/>
      <c r="F286" s="168" t="s">
        <v>6202</v>
      </c>
      <c r="G286" s="193">
        <f>IF(_1_5412845612146241046457891017[[#This Row],[Type]]&gt;0,VLOOKUP(_1_5412845612146241046457891017[[#This Row],[Type]],Main[[#All],[TYPE]:[UNIT]],'Unit Price'!C$1,FALSE),0)</f>
        <v>0</v>
      </c>
      <c r="H286" s="197">
        <f>IF(_1_5412845612146241046457891017[[#This Row],[Type]]&gt;0,VLOOKUP(_1_5412845612146241046457891017[[#This Row],[Type]],Main[[#All],[TYPE]:[UNIT]],'Unit Price'!D$1,FALSE),0)</f>
        <v>0</v>
      </c>
      <c r="I286" s="194">
        <f>IF(_1_5412845612146241046457891017[[#This Row],[Type]]&gt;0,VLOOKUP(_1_5412845612146241046457891017[[#This Row],[Type]],Main[[#All],[TYPE]:[UNIT]],'Unit Price'!G$1,FALSE),0)</f>
        <v>0</v>
      </c>
      <c r="J286" s="194">
        <f>IF(_1_5412845612146241046457891017[[#This Row],[Type]]&gt;0,VLOOKUP(_1_5412845612146241046457891017[[#This Row],[Type]],Main[[#All],[TYPE]:[UNIT]],'Unit Price'!H$1,FALSE),0)</f>
        <v>0</v>
      </c>
      <c r="K286" s="194">
        <f>IF(_1_5412845612146241046457891017[[#This Row],[Discount selection]]&gt;0,VLOOKUP(_1_5412845612146241046457891017[[#This Row],[Discount selection]],'Discount Structure'!$A$2:$B$30,2,"false"),0)</f>
        <v>1</v>
      </c>
      <c r="L286" s="194">
        <f>_1_5412845612146241046457891017[[#This Row],[LIST $]]*_1_5412845612146241046457891017[[#This Row],[DISCOUNT]]*_1_5412845612146241046457891017[[#This Row],[DISCOUNT 2]]</f>
        <v>0</v>
      </c>
      <c r="M286" s="194">
        <f>IF(OR(_1_5412845612146241046457891017[[#This Row],[UNIT]]&gt;0,_1_5412845612146241046457891017[[#This Row],[UNIT]]&lt;0),_1_5412845612146241046457891017[[#This Row],[UNIT]]*_1_5412845612146241046457891017[[#This Row],[COST]],0)</f>
        <v>0</v>
      </c>
      <c r="N286" s="194">
        <f t="shared" si="4"/>
        <v>1.35</v>
      </c>
      <c r="O286" s="198">
        <f>_1_5412845612146241046457891017[[#This Row],[TOTAL]]*_1_5412845612146241046457891017[[#This Row],[MARGIN]]</f>
        <v>0</v>
      </c>
      <c r="R286" s="41"/>
    </row>
    <row r="287" spans="1:18">
      <c r="D287" s="188"/>
      <c r="F287" s="168" t="s">
        <v>6202</v>
      </c>
      <c r="G287" s="205">
        <f>IF(_1_5412845612146241046457891017[[#This Row],[Type]]&gt;0,VLOOKUP(_1_5412845612146241046457891017[[#This Row],[Type]],Main[[#All],[TYPE]:[UNIT]],'Unit Price'!C$1,FALSE),0)</f>
        <v>0</v>
      </c>
      <c r="H287" s="197">
        <f>IF(_1_5412845612146241046457891017[[#This Row],[Type]]&gt;0,VLOOKUP(_1_5412845612146241046457891017[[#This Row],[Type]],Main[[#All],[TYPE]:[UNIT]],'Unit Price'!D$1,FALSE),0)</f>
        <v>0</v>
      </c>
      <c r="I287" s="194">
        <f>IF(_1_5412845612146241046457891017[[#This Row],[Type]]&gt;0,VLOOKUP(_1_5412845612146241046457891017[[#This Row],[Type]],Main[[#All],[TYPE]:[UNIT]],'Unit Price'!G$1,FALSE),0)</f>
        <v>0</v>
      </c>
      <c r="J287" s="194">
        <f>IF(_1_5412845612146241046457891017[[#This Row],[Type]]&gt;0,VLOOKUP(_1_5412845612146241046457891017[[#This Row],[Type]],Main[[#All],[TYPE]:[UNIT]],'Unit Price'!H$1,FALSE),0)</f>
        <v>0</v>
      </c>
      <c r="K287" s="194">
        <f>IF(_1_5412845612146241046457891017[[#This Row],[Discount selection]]&gt;0,VLOOKUP(_1_5412845612146241046457891017[[#This Row],[Discount selection]],'Discount Structure'!$A$2:$B$30,2,"false"),0)</f>
        <v>1</v>
      </c>
      <c r="L287" s="194">
        <f>_1_5412845612146241046457891017[[#This Row],[LIST $]]*_1_5412845612146241046457891017[[#This Row],[DISCOUNT]]*_1_5412845612146241046457891017[[#This Row],[DISCOUNT 2]]</f>
        <v>0</v>
      </c>
      <c r="M287" s="194">
        <f>IF(OR(_1_5412845612146241046457891017[[#This Row],[UNIT]]&gt;0,_1_5412845612146241046457891017[[#This Row],[UNIT]]&lt;0),_1_5412845612146241046457891017[[#This Row],[UNIT]]*_1_5412845612146241046457891017[[#This Row],[COST]],0)</f>
        <v>0</v>
      </c>
      <c r="N287" s="194">
        <f t="shared" si="4"/>
        <v>1.35</v>
      </c>
      <c r="O287" s="198">
        <f>_1_5412845612146241046457891017[[#This Row],[TOTAL]]*_1_5412845612146241046457891017[[#This Row],[MARGIN]]</f>
        <v>0</v>
      </c>
      <c r="R287" s="41"/>
    </row>
    <row r="288" spans="1:18">
      <c r="D288" s="188"/>
      <c r="F288" s="168" t="s">
        <v>6202</v>
      </c>
      <c r="G288" s="193">
        <f>IF(_1_5412845612146241046457891017[[#This Row],[Type]]&gt;0,VLOOKUP(_1_5412845612146241046457891017[[#This Row],[Type]],Main[[#All],[TYPE]:[UNIT]],'Unit Price'!C$1,FALSE),0)</f>
        <v>0</v>
      </c>
      <c r="H288" s="197">
        <f>IF(_1_5412845612146241046457891017[[#This Row],[Type]]&gt;0,VLOOKUP(_1_5412845612146241046457891017[[#This Row],[Type]],Main[[#All],[TYPE]:[UNIT]],'Unit Price'!D$1,FALSE),0)</f>
        <v>0</v>
      </c>
      <c r="I288" s="194">
        <f>IF(_1_5412845612146241046457891017[[#This Row],[Type]]&gt;0,VLOOKUP(_1_5412845612146241046457891017[[#This Row],[Type]],Main[[#All],[TYPE]:[UNIT]],'Unit Price'!G$1,FALSE),0)</f>
        <v>0</v>
      </c>
      <c r="J288" s="194">
        <f>IF(_1_5412845612146241046457891017[[#This Row],[Type]]&gt;0,VLOOKUP(_1_5412845612146241046457891017[[#This Row],[Type]],Main[[#All],[TYPE]:[UNIT]],'Unit Price'!H$1,FALSE),0)</f>
        <v>0</v>
      </c>
      <c r="K288" s="194">
        <f>IF(_1_5412845612146241046457891017[[#This Row],[Discount selection]]&gt;0,VLOOKUP(_1_5412845612146241046457891017[[#This Row],[Discount selection]],'Discount Structure'!$A$2:$B$30,2,"false"),0)</f>
        <v>1</v>
      </c>
      <c r="L288" s="194">
        <f>_1_5412845612146241046457891017[[#This Row],[LIST $]]*_1_5412845612146241046457891017[[#This Row],[DISCOUNT]]*_1_5412845612146241046457891017[[#This Row],[DISCOUNT 2]]</f>
        <v>0</v>
      </c>
      <c r="M288" s="194">
        <f>IF(OR(_1_5412845612146241046457891017[[#This Row],[UNIT]]&gt;0,_1_5412845612146241046457891017[[#This Row],[UNIT]]&lt;0),_1_5412845612146241046457891017[[#This Row],[UNIT]]*_1_5412845612146241046457891017[[#This Row],[COST]],0)</f>
        <v>0</v>
      </c>
      <c r="N288" s="194">
        <f t="shared" si="4"/>
        <v>1.35</v>
      </c>
      <c r="O288" s="198">
        <f>_1_5412845612146241046457891017[[#This Row],[TOTAL]]*_1_5412845612146241046457891017[[#This Row],[MARGIN]]</f>
        <v>0</v>
      </c>
      <c r="R288" s="41"/>
    </row>
    <row r="289" spans="1:18">
      <c r="A289" s="323"/>
      <c r="B289" s="323"/>
      <c r="C289" s="323"/>
      <c r="D289" s="188"/>
      <c r="F289" s="168" t="s">
        <v>6202</v>
      </c>
      <c r="G289" s="193">
        <f>IF(_1_5412845612146241046457891017[[#This Row],[Type]]&gt;0,VLOOKUP(_1_5412845612146241046457891017[[#This Row],[Type]],Main[[#All],[TYPE]:[UNIT]],'Unit Price'!C$1,FALSE),0)</f>
        <v>0</v>
      </c>
      <c r="H289" s="197">
        <f>IF(_1_5412845612146241046457891017[[#This Row],[Type]]&gt;0,VLOOKUP(_1_5412845612146241046457891017[[#This Row],[Type]],Main[[#All],[TYPE]:[UNIT]],'Unit Price'!D$1,FALSE),0)</f>
        <v>0</v>
      </c>
      <c r="I289" s="194">
        <f>IF(_1_5412845612146241046457891017[[#This Row],[Type]]&gt;0,VLOOKUP(_1_5412845612146241046457891017[[#This Row],[Type]],Main[[#All],[TYPE]:[UNIT]],'Unit Price'!G$1,FALSE),0)</f>
        <v>0</v>
      </c>
      <c r="J289" s="194">
        <f>IF(_1_5412845612146241046457891017[[#This Row],[Type]]&gt;0,VLOOKUP(_1_5412845612146241046457891017[[#This Row],[Type]],Main[[#All],[TYPE]:[UNIT]],'Unit Price'!H$1,FALSE),0)</f>
        <v>0</v>
      </c>
      <c r="K289" s="194">
        <f>IF(_1_5412845612146241046457891017[[#This Row],[Discount selection]]&gt;0,VLOOKUP(_1_5412845612146241046457891017[[#This Row],[Discount selection]],'Discount Structure'!$A$2:$B$30,2,"false"),0)</f>
        <v>1</v>
      </c>
      <c r="L289" s="194">
        <f>_1_5412845612146241046457891017[[#This Row],[LIST $]]*_1_5412845612146241046457891017[[#This Row],[DISCOUNT]]*_1_5412845612146241046457891017[[#This Row],[DISCOUNT 2]]</f>
        <v>0</v>
      </c>
      <c r="M289" s="194">
        <f>IF(OR(_1_5412845612146241046457891017[[#This Row],[UNIT]]&gt;0,_1_5412845612146241046457891017[[#This Row],[UNIT]]&lt;0),_1_5412845612146241046457891017[[#This Row],[UNIT]]*_1_5412845612146241046457891017[[#This Row],[COST]],0)</f>
        <v>0</v>
      </c>
      <c r="N289" s="194">
        <f t="shared" si="4"/>
        <v>1.35</v>
      </c>
      <c r="O289" s="198">
        <f>_1_5412845612146241046457891017[[#This Row],[TOTAL]]*_1_5412845612146241046457891017[[#This Row],[MARGIN]]</f>
        <v>0</v>
      </c>
      <c r="R289" s="41"/>
    </row>
    <row r="290" spans="1:18">
      <c r="D290" s="188"/>
      <c r="F290" s="168" t="s">
        <v>6202</v>
      </c>
      <c r="G290" s="193">
        <f>IF(_1_5412845612146241046457891017[[#This Row],[Type]]&gt;0,VLOOKUP(_1_5412845612146241046457891017[[#This Row],[Type]],Main[[#All],[TYPE]:[UNIT]],'Unit Price'!C$1,FALSE),0)</f>
        <v>0</v>
      </c>
      <c r="H290" s="197">
        <f>IF(_1_5412845612146241046457891017[[#This Row],[Type]]&gt;0,VLOOKUP(_1_5412845612146241046457891017[[#This Row],[Type]],Main[[#All],[TYPE]:[UNIT]],'Unit Price'!D$1,FALSE),0)</f>
        <v>0</v>
      </c>
      <c r="I290" s="194">
        <f>IF(_1_5412845612146241046457891017[[#This Row],[Type]]&gt;0,VLOOKUP(_1_5412845612146241046457891017[[#This Row],[Type]],Main[[#All],[TYPE]:[UNIT]],'Unit Price'!G$1,FALSE),0)</f>
        <v>0</v>
      </c>
      <c r="J290" s="194">
        <f>IF(_1_5412845612146241046457891017[[#This Row],[Type]]&gt;0,VLOOKUP(_1_5412845612146241046457891017[[#This Row],[Type]],Main[[#All],[TYPE]:[UNIT]],'Unit Price'!H$1,FALSE),0)</f>
        <v>0</v>
      </c>
      <c r="K290" s="194">
        <f>IF(_1_5412845612146241046457891017[[#This Row],[Discount selection]]&gt;0,VLOOKUP(_1_5412845612146241046457891017[[#This Row],[Discount selection]],'Discount Structure'!$A$2:$B$30,2,"false"),0)</f>
        <v>1</v>
      </c>
      <c r="L290" s="194">
        <f>_1_5412845612146241046457891017[[#This Row],[LIST $]]*_1_5412845612146241046457891017[[#This Row],[DISCOUNT]]*_1_5412845612146241046457891017[[#This Row],[DISCOUNT 2]]</f>
        <v>0</v>
      </c>
      <c r="M290" s="194">
        <f>IF(OR(_1_5412845612146241046457891017[[#This Row],[UNIT]]&gt;0,_1_5412845612146241046457891017[[#This Row],[UNIT]]&lt;0),_1_5412845612146241046457891017[[#This Row],[UNIT]]*_1_5412845612146241046457891017[[#This Row],[COST]],0)</f>
        <v>0</v>
      </c>
      <c r="N290" s="194">
        <f t="shared" si="4"/>
        <v>1.35</v>
      </c>
      <c r="O290" s="198">
        <f>_1_5412845612146241046457891017[[#This Row],[TOTAL]]*_1_5412845612146241046457891017[[#This Row],[MARGIN]]</f>
        <v>0</v>
      </c>
      <c r="R290" s="41"/>
    </row>
    <row r="291" spans="1:18">
      <c r="D291" s="188"/>
      <c r="F291" s="168" t="s">
        <v>6202</v>
      </c>
      <c r="G291" s="193">
        <f>IF(_1_5412845612146241046457891017[[#This Row],[Type]]&gt;0,VLOOKUP(_1_5412845612146241046457891017[[#This Row],[Type]],Main[[#All],[TYPE]:[UNIT]],'Unit Price'!C$1,FALSE),0)</f>
        <v>0</v>
      </c>
      <c r="H291" s="197">
        <f>IF(_1_5412845612146241046457891017[[#This Row],[Type]]&gt;0,VLOOKUP(_1_5412845612146241046457891017[[#This Row],[Type]],Main[[#All],[TYPE]:[UNIT]],'Unit Price'!D$1,FALSE),0)</f>
        <v>0</v>
      </c>
      <c r="I291" s="194">
        <f>IF(_1_5412845612146241046457891017[[#This Row],[Type]]&gt;0,VLOOKUP(_1_5412845612146241046457891017[[#This Row],[Type]],Main[[#All],[TYPE]:[UNIT]],'Unit Price'!G$1,FALSE),0)</f>
        <v>0</v>
      </c>
      <c r="J291" s="194">
        <f>IF(_1_5412845612146241046457891017[[#This Row],[Type]]&gt;0,VLOOKUP(_1_5412845612146241046457891017[[#This Row],[Type]],Main[[#All],[TYPE]:[UNIT]],'Unit Price'!H$1,FALSE),0)</f>
        <v>0</v>
      </c>
      <c r="K291" s="194">
        <f>IF(_1_5412845612146241046457891017[[#This Row],[Discount selection]]&gt;0,VLOOKUP(_1_5412845612146241046457891017[[#This Row],[Discount selection]],'Discount Structure'!$A$2:$B$30,2,"false"),0)</f>
        <v>1</v>
      </c>
      <c r="L291" s="194">
        <f>_1_5412845612146241046457891017[[#This Row],[LIST $]]*_1_5412845612146241046457891017[[#This Row],[DISCOUNT]]*_1_5412845612146241046457891017[[#This Row],[DISCOUNT 2]]</f>
        <v>0</v>
      </c>
      <c r="M291" s="194">
        <f>IF(OR(_1_5412845612146241046457891017[[#This Row],[UNIT]]&gt;0,_1_5412845612146241046457891017[[#This Row],[UNIT]]&lt;0),_1_5412845612146241046457891017[[#This Row],[UNIT]]*_1_5412845612146241046457891017[[#This Row],[COST]],0)</f>
        <v>0</v>
      </c>
      <c r="N291" s="194">
        <f t="shared" si="4"/>
        <v>1.35</v>
      </c>
      <c r="O291" s="198">
        <f>_1_5412845612146241046457891017[[#This Row],[TOTAL]]*_1_5412845612146241046457891017[[#This Row],[MARGIN]]</f>
        <v>0</v>
      </c>
      <c r="R291" s="41"/>
    </row>
    <row r="292" spans="1:18">
      <c r="D292" s="188"/>
      <c r="F292" s="168" t="s">
        <v>6202</v>
      </c>
      <c r="G292" s="193">
        <f>IF(_1_5412845612146241046457891017[[#This Row],[Type]]&gt;0,VLOOKUP(_1_5412845612146241046457891017[[#This Row],[Type]],Main[[#All],[TYPE]:[UNIT]],'Unit Price'!C$1,FALSE),0)</f>
        <v>0</v>
      </c>
      <c r="H292" s="197">
        <f>IF(_1_5412845612146241046457891017[[#This Row],[Type]]&gt;0,VLOOKUP(_1_5412845612146241046457891017[[#This Row],[Type]],Main[[#All],[TYPE]:[UNIT]],'Unit Price'!D$1,FALSE),0)</f>
        <v>0</v>
      </c>
      <c r="I292" s="194">
        <f>IF(_1_5412845612146241046457891017[[#This Row],[Type]]&gt;0,VLOOKUP(_1_5412845612146241046457891017[[#This Row],[Type]],Main[[#All],[TYPE]:[UNIT]],'Unit Price'!G$1,FALSE),0)</f>
        <v>0</v>
      </c>
      <c r="J292" s="194">
        <f>IF(_1_5412845612146241046457891017[[#This Row],[Type]]&gt;0,VLOOKUP(_1_5412845612146241046457891017[[#This Row],[Type]],Main[[#All],[TYPE]:[UNIT]],'Unit Price'!H$1,FALSE),0)</f>
        <v>0</v>
      </c>
      <c r="K292" s="194">
        <f>IF(_1_5412845612146241046457891017[[#This Row],[Discount selection]]&gt;0,VLOOKUP(_1_5412845612146241046457891017[[#This Row],[Discount selection]],'Discount Structure'!$A$2:$B$30,2,"false"),0)</f>
        <v>1</v>
      </c>
      <c r="L292" s="194">
        <f>_1_5412845612146241046457891017[[#This Row],[LIST $]]*_1_5412845612146241046457891017[[#This Row],[DISCOUNT]]*_1_5412845612146241046457891017[[#This Row],[DISCOUNT 2]]</f>
        <v>0</v>
      </c>
      <c r="M292" s="194">
        <f>IF(OR(_1_5412845612146241046457891017[[#This Row],[UNIT]]&gt;0,_1_5412845612146241046457891017[[#This Row],[UNIT]]&lt;0),_1_5412845612146241046457891017[[#This Row],[UNIT]]*_1_5412845612146241046457891017[[#This Row],[COST]],0)</f>
        <v>0</v>
      </c>
      <c r="N292" s="194">
        <f t="shared" si="4"/>
        <v>1.35</v>
      </c>
      <c r="O292" s="198">
        <f>_1_5412845612146241046457891017[[#This Row],[TOTAL]]*_1_5412845612146241046457891017[[#This Row],[MARGIN]]</f>
        <v>0</v>
      </c>
      <c r="R292" s="41"/>
    </row>
    <row r="293" spans="1:18">
      <c r="A293" s="168"/>
      <c r="D293" s="188"/>
      <c r="F293" s="168" t="s">
        <v>6202</v>
      </c>
      <c r="G293" s="193">
        <f>IF(_1_5412845612146241046457891017[[#This Row],[Type]]&gt;0,VLOOKUP(_1_5412845612146241046457891017[[#This Row],[Type]],Main[[#All],[TYPE]:[UNIT]],'Unit Price'!C$1,FALSE),0)</f>
        <v>0</v>
      </c>
      <c r="H293" s="197">
        <f>IF(_1_5412845612146241046457891017[[#This Row],[Type]]&gt;0,VLOOKUP(_1_5412845612146241046457891017[[#This Row],[Type]],Main[[#All],[TYPE]:[UNIT]],'Unit Price'!D$1,FALSE),0)</f>
        <v>0</v>
      </c>
      <c r="I293" s="194">
        <f>IF(_1_5412845612146241046457891017[[#This Row],[Type]]&gt;0,VLOOKUP(_1_5412845612146241046457891017[[#This Row],[Type]],Main[[#All],[TYPE]:[UNIT]],'Unit Price'!G$1,FALSE),0)</f>
        <v>0</v>
      </c>
      <c r="J293" s="194">
        <f>IF(_1_5412845612146241046457891017[[#This Row],[Type]]&gt;0,VLOOKUP(_1_5412845612146241046457891017[[#This Row],[Type]],Main[[#All],[TYPE]:[UNIT]],'Unit Price'!H$1,FALSE),0)</f>
        <v>0</v>
      </c>
      <c r="K293" s="194">
        <f>IF(_1_5412845612146241046457891017[[#This Row],[Discount selection]]&gt;0,VLOOKUP(_1_5412845612146241046457891017[[#This Row],[Discount selection]],'Discount Structure'!$A$2:$B$30,2,"false"),0)</f>
        <v>1</v>
      </c>
      <c r="L293" s="194">
        <f>_1_5412845612146241046457891017[[#This Row],[LIST $]]*_1_5412845612146241046457891017[[#This Row],[DISCOUNT]]*_1_5412845612146241046457891017[[#This Row],[DISCOUNT 2]]</f>
        <v>0</v>
      </c>
      <c r="M293" s="194">
        <f>IF(OR(_1_5412845612146241046457891017[[#This Row],[UNIT]]&gt;0,_1_5412845612146241046457891017[[#This Row],[UNIT]]&lt;0),_1_5412845612146241046457891017[[#This Row],[UNIT]]*_1_5412845612146241046457891017[[#This Row],[COST]],0)</f>
        <v>0</v>
      </c>
      <c r="N293" s="194">
        <f t="shared" si="4"/>
        <v>1.35</v>
      </c>
      <c r="O293" s="198">
        <f>_1_5412845612146241046457891017[[#This Row],[TOTAL]]*_1_5412845612146241046457891017[[#This Row],[MARGIN]]</f>
        <v>0</v>
      </c>
      <c r="R293" s="41"/>
    </row>
    <row r="294" spans="1:18">
      <c r="A294" s="312"/>
      <c r="B294" s="319"/>
      <c r="C294" s="323"/>
      <c r="D294" s="188"/>
      <c r="F294" s="168" t="s">
        <v>6202</v>
      </c>
      <c r="G294" s="193">
        <f>IF(_1_5412845612146241046457891017[[#This Row],[Type]]&gt;0,VLOOKUP(_1_5412845612146241046457891017[[#This Row],[Type]],Main[[#All],[TYPE]:[UNIT]],'Unit Price'!C$1,FALSE),0)</f>
        <v>0</v>
      </c>
      <c r="H294" s="197">
        <f>IF(_1_5412845612146241046457891017[[#This Row],[Type]]&gt;0,VLOOKUP(_1_5412845612146241046457891017[[#This Row],[Type]],Main[[#All],[TYPE]:[UNIT]],'Unit Price'!D$1,FALSE),0)</f>
        <v>0</v>
      </c>
      <c r="I294" s="194">
        <f>IF(_1_5412845612146241046457891017[[#This Row],[Type]]&gt;0,VLOOKUP(_1_5412845612146241046457891017[[#This Row],[Type]],Main[[#All],[TYPE]:[UNIT]],'Unit Price'!G$1,FALSE),0)</f>
        <v>0</v>
      </c>
      <c r="J294" s="194">
        <f>IF(_1_5412845612146241046457891017[[#This Row],[Type]]&gt;0,VLOOKUP(_1_5412845612146241046457891017[[#This Row],[Type]],Main[[#All],[TYPE]:[UNIT]],'Unit Price'!H$1,FALSE),0)</f>
        <v>0</v>
      </c>
      <c r="K294" s="194">
        <f>IF(_1_5412845612146241046457891017[[#This Row],[Discount selection]]&gt;0,VLOOKUP(_1_5412845612146241046457891017[[#This Row],[Discount selection]],'Discount Structure'!$A$2:$B$30,2,"false"),0)</f>
        <v>1</v>
      </c>
      <c r="L294" s="194">
        <f>_1_5412845612146241046457891017[[#This Row],[LIST $]]*_1_5412845612146241046457891017[[#This Row],[DISCOUNT]]*_1_5412845612146241046457891017[[#This Row],[DISCOUNT 2]]</f>
        <v>0</v>
      </c>
      <c r="M294" s="194">
        <f>IF(OR(_1_5412845612146241046457891017[[#This Row],[UNIT]]&gt;0,_1_5412845612146241046457891017[[#This Row],[UNIT]]&lt;0),_1_5412845612146241046457891017[[#This Row],[UNIT]]*_1_5412845612146241046457891017[[#This Row],[COST]],0)</f>
        <v>0</v>
      </c>
      <c r="N294" s="194">
        <f t="shared" si="4"/>
        <v>1.35</v>
      </c>
      <c r="O294" s="198">
        <f>_1_5412845612146241046457891017[[#This Row],[TOTAL]]*_1_5412845612146241046457891017[[#This Row],[MARGIN]]</f>
        <v>0</v>
      </c>
      <c r="R294" s="41"/>
    </row>
    <row r="295" spans="1:18">
      <c r="A295" s="323"/>
      <c r="B295" s="323"/>
      <c r="C295" s="323"/>
      <c r="D295" s="188"/>
      <c r="F295" s="168" t="s">
        <v>6202</v>
      </c>
      <c r="G295" s="193">
        <f>IF(_1_5412845612146241046457891017[[#This Row],[Type]]&gt;0,VLOOKUP(_1_5412845612146241046457891017[[#This Row],[Type]],Main[[#All],[TYPE]:[UNIT]],'Unit Price'!C$1,FALSE),0)</f>
        <v>0</v>
      </c>
      <c r="H295" s="197">
        <f>IF(_1_5412845612146241046457891017[[#This Row],[Type]]&gt;0,VLOOKUP(_1_5412845612146241046457891017[[#This Row],[Type]],Main[[#All],[TYPE]:[UNIT]],'Unit Price'!D$1,FALSE),0)</f>
        <v>0</v>
      </c>
      <c r="I295" s="194">
        <f>IF(_1_5412845612146241046457891017[[#This Row],[Type]]&gt;0,VLOOKUP(_1_5412845612146241046457891017[[#This Row],[Type]],Main[[#All],[TYPE]:[UNIT]],'Unit Price'!G$1,FALSE),0)</f>
        <v>0</v>
      </c>
      <c r="J295" s="194">
        <f>IF(_1_5412845612146241046457891017[[#This Row],[Type]]&gt;0,VLOOKUP(_1_5412845612146241046457891017[[#This Row],[Type]],Main[[#All],[TYPE]:[UNIT]],'Unit Price'!H$1,FALSE),0)</f>
        <v>0</v>
      </c>
      <c r="K295" s="194">
        <f>IF(_1_5412845612146241046457891017[[#This Row],[Discount selection]]&gt;0,VLOOKUP(_1_5412845612146241046457891017[[#This Row],[Discount selection]],'Discount Structure'!$A$2:$B$30,2,"false"),0)</f>
        <v>1</v>
      </c>
      <c r="L295" s="194">
        <f>_1_5412845612146241046457891017[[#This Row],[LIST $]]*_1_5412845612146241046457891017[[#This Row],[DISCOUNT]]*_1_5412845612146241046457891017[[#This Row],[DISCOUNT 2]]</f>
        <v>0</v>
      </c>
      <c r="M295" s="194">
        <f>IF(OR(_1_5412845612146241046457891017[[#This Row],[UNIT]]&gt;0,_1_5412845612146241046457891017[[#This Row],[UNIT]]&lt;0),_1_5412845612146241046457891017[[#This Row],[UNIT]]*_1_5412845612146241046457891017[[#This Row],[COST]],0)</f>
        <v>0</v>
      </c>
      <c r="N295" s="194">
        <f t="shared" si="4"/>
        <v>1.35</v>
      </c>
      <c r="O295" s="198">
        <f>_1_5412845612146241046457891017[[#This Row],[TOTAL]]*_1_5412845612146241046457891017[[#This Row],[MARGIN]]</f>
        <v>0</v>
      </c>
      <c r="R295" s="41"/>
    </row>
    <row r="296" spans="1:18">
      <c r="A296" s="323"/>
      <c r="B296" s="323"/>
      <c r="C296" s="323"/>
      <c r="D296" s="188"/>
      <c r="F296" s="168" t="s">
        <v>6202</v>
      </c>
      <c r="G296" s="193">
        <f>IF(_1_5412845612146241046457891017[[#This Row],[Type]]&gt;0,VLOOKUP(_1_5412845612146241046457891017[[#This Row],[Type]],Main[[#All],[TYPE]:[UNIT]],'Unit Price'!C$1,FALSE),0)</f>
        <v>0</v>
      </c>
      <c r="H296" s="197">
        <f>IF(_1_5412845612146241046457891017[[#This Row],[Type]]&gt;0,VLOOKUP(_1_5412845612146241046457891017[[#This Row],[Type]],Main[[#All],[TYPE]:[UNIT]],'Unit Price'!D$1,FALSE),0)</f>
        <v>0</v>
      </c>
      <c r="I296" s="194">
        <f>IF(_1_5412845612146241046457891017[[#This Row],[Type]]&gt;0,VLOOKUP(_1_5412845612146241046457891017[[#This Row],[Type]],Main[[#All],[TYPE]:[UNIT]],'Unit Price'!G$1,FALSE),0)</f>
        <v>0</v>
      </c>
      <c r="J296" s="194">
        <f>IF(_1_5412845612146241046457891017[[#This Row],[Type]]&gt;0,VLOOKUP(_1_5412845612146241046457891017[[#This Row],[Type]],Main[[#All],[TYPE]:[UNIT]],'Unit Price'!H$1,FALSE),0)</f>
        <v>0</v>
      </c>
      <c r="K296" s="194">
        <f>IF(_1_5412845612146241046457891017[[#This Row],[Discount selection]]&gt;0,VLOOKUP(_1_5412845612146241046457891017[[#This Row],[Discount selection]],'Discount Structure'!$A$2:$B$30,2,"false"),0)</f>
        <v>1</v>
      </c>
      <c r="L296" s="194">
        <f>_1_5412845612146241046457891017[[#This Row],[LIST $]]*_1_5412845612146241046457891017[[#This Row],[DISCOUNT]]*_1_5412845612146241046457891017[[#This Row],[DISCOUNT 2]]</f>
        <v>0</v>
      </c>
      <c r="M296" s="194">
        <f>IF(OR(_1_5412845612146241046457891017[[#This Row],[UNIT]]&gt;0,_1_5412845612146241046457891017[[#This Row],[UNIT]]&lt;0),_1_5412845612146241046457891017[[#This Row],[UNIT]]*_1_5412845612146241046457891017[[#This Row],[COST]],0)</f>
        <v>0</v>
      </c>
      <c r="N296" s="194">
        <f t="shared" si="4"/>
        <v>1.35</v>
      </c>
      <c r="O296" s="198">
        <f>_1_5412845612146241046457891017[[#This Row],[TOTAL]]*_1_5412845612146241046457891017[[#This Row],[MARGIN]]</f>
        <v>0</v>
      </c>
      <c r="R296" s="41"/>
    </row>
    <row r="297" spans="1:18">
      <c r="A297" s="323"/>
      <c r="B297" s="323"/>
      <c r="C297" s="323"/>
      <c r="D297" s="188"/>
      <c r="F297" s="168" t="s">
        <v>6202</v>
      </c>
      <c r="G297" s="193">
        <f>IF(_1_5412845612146241046457891017[[#This Row],[Type]]&gt;0,VLOOKUP(_1_5412845612146241046457891017[[#This Row],[Type]],Main[[#All],[TYPE]:[UNIT]],'Unit Price'!C$1,FALSE),0)</f>
        <v>0</v>
      </c>
      <c r="H297" s="197">
        <f>IF(_1_5412845612146241046457891017[[#This Row],[Type]]&gt;0,VLOOKUP(_1_5412845612146241046457891017[[#This Row],[Type]],Main[[#All],[TYPE]:[UNIT]],'Unit Price'!D$1,FALSE),0)</f>
        <v>0</v>
      </c>
      <c r="I297" s="194">
        <f>IF(_1_5412845612146241046457891017[[#This Row],[Type]]&gt;0,VLOOKUP(_1_5412845612146241046457891017[[#This Row],[Type]],Main[[#All],[TYPE]:[UNIT]],'Unit Price'!G$1,FALSE),0)</f>
        <v>0</v>
      </c>
      <c r="J297" s="194">
        <f>IF(_1_5412845612146241046457891017[[#This Row],[Type]]&gt;0,VLOOKUP(_1_5412845612146241046457891017[[#This Row],[Type]],Main[[#All],[TYPE]:[UNIT]],'Unit Price'!H$1,FALSE),0)</f>
        <v>0</v>
      </c>
      <c r="K297" s="194">
        <f>IF(_1_5412845612146241046457891017[[#This Row],[Discount selection]]&gt;0,VLOOKUP(_1_5412845612146241046457891017[[#This Row],[Discount selection]],'Discount Structure'!$A$2:$B$30,2,"false"),0)</f>
        <v>1</v>
      </c>
      <c r="L297" s="194">
        <f>_1_5412845612146241046457891017[[#This Row],[LIST $]]*_1_5412845612146241046457891017[[#This Row],[DISCOUNT]]*_1_5412845612146241046457891017[[#This Row],[DISCOUNT 2]]</f>
        <v>0</v>
      </c>
      <c r="M297" s="194">
        <f>IF(OR(_1_5412845612146241046457891017[[#This Row],[UNIT]]&gt;0,_1_5412845612146241046457891017[[#This Row],[UNIT]]&lt;0),_1_5412845612146241046457891017[[#This Row],[UNIT]]*_1_5412845612146241046457891017[[#This Row],[COST]],0)</f>
        <v>0</v>
      </c>
      <c r="N297" s="194">
        <f t="shared" si="4"/>
        <v>1.35</v>
      </c>
      <c r="O297" s="198">
        <f>_1_5412845612146241046457891017[[#This Row],[TOTAL]]*_1_5412845612146241046457891017[[#This Row],[MARGIN]]</f>
        <v>0</v>
      </c>
      <c r="R297" s="41"/>
    </row>
    <row r="298" spans="1:18">
      <c r="D298" s="188"/>
      <c r="F298" s="168" t="s">
        <v>6202</v>
      </c>
      <c r="G298" s="205">
        <f>IF(_1_5412845612146241046457891017[[#This Row],[Type]]&gt;0,VLOOKUP(_1_5412845612146241046457891017[[#This Row],[Type]],Main[[#All],[TYPE]:[UNIT]],'Unit Price'!C$1,FALSE),0)</f>
        <v>0</v>
      </c>
      <c r="H298" s="197">
        <f>IF(_1_5412845612146241046457891017[[#This Row],[Type]]&gt;0,VLOOKUP(_1_5412845612146241046457891017[[#This Row],[Type]],Main[[#All],[TYPE]:[UNIT]],'Unit Price'!D$1,FALSE),0)</f>
        <v>0</v>
      </c>
      <c r="I298" s="194">
        <f>IF(_1_5412845612146241046457891017[[#This Row],[Type]]&gt;0,VLOOKUP(_1_5412845612146241046457891017[[#This Row],[Type]],Main[[#All],[TYPE]:[UNIT]],'Unit Price'!G$1,FALSE),0)</f>
        <v>0</v>
      </c>
      <c r="J298" s="194">
        <f>IF(_1_5412845612146241046457891017[[#This Row],[Type]]&gt;0,VLOOKUP(_1_5412845612146241046457891017[[#This Row],[Type]],Main[[#All],[TYPE]:[UNIT]],'Unit Price'!H$1,FALSE),0)</f>
        <v>0</v>
      </c>
      <c r="K298" s="194">
        <f>IF(_1_5412845612146241046457891017[[#This Row],[Discount selection]]&gt;0,VLOOKUP(_1_5412845612146241046457891017[[#This Row],[Discount selection]],'Discount Structure'!$A$2:$B$30,2,"false"),0)</f>
        <v>1</v>
      </c>
      <c r="L298" s="194">
        <f>_1_5412845612146241046457891017[[#This Row],[LIST $]]*_1_5412845612146241046457891017[[#This Row],[DISCOUNT]]*_1_5412845612146241046457891017[[#This Row],[DISCOUNT 2]]</f>
        <v>0</v>
      </c>
      <c r="M298" s="194">
        <f>IF(OR(_1_5412845612146241046457891017[[#This Row],[UNIT]]&gt;0,_1_5412845612146241046457891017[[#This Row],[UNIT]]&lt;0),_1_5412845612146241046457891017[[#This Row],[UNIT]]*_1_5412845612146241046457891017[[#This Row],[COST]],0)</f>
        <v>0</v>
      </c>
      <c r="N298" s="194">
        <f t="shared" si="4"/>
        <v>1.35</v>
      </c>
      <c r="O298" s="198">
        <f>_1_5412845612146241046457891017[[#This Row],[TOTAL]]*_1_5412845612146241046457891017[[#This Row],[MARGIN]]</f>
        <v>0</v>
      </c>
      <c r="R298" s="41"/>
    </row>
    <row r="299" spans="1:18">
      <c r="D299" s="188"/>
      <c r="F299" s="168" t="s">
        <v>6202</v>
      </c>
      <c r="G299" s="193">
        <f>IF(_1_5412845612146241046457891017[[#This Row],[Type]]&gt;0,VLOOKUP(_1_5412845612146241046457891017[[#This Row],[Type]],Main[[#All],[TYPE]:[UNIT]],'Unit Price'!C$1,FALSE),0)</f>
        <v>0</v>
      </c>
      <c r="H299" s="197">
        <f>IF(_1_5412845612146241046457891017[[#This Row],[Type]]&gt;0,VLOOKUP(_1_5412845612146241046457891017[[#This Row],[Type]],Main[[#All],[TYPE]:[UNIT]],'Unit Price'!D$1,FALSE),0)</f>
        <v>0</v>
      </c>
      <c r="I299" s="194">
        <f>IF(_1_5412845612146241046457891017[[#This Row],[Type]]&gt;0,VLOOKUP(_1_5412845612146241046457891017[[#This Row],[Type]],Main[[#All],[TYPE]:[UNIT]],'Unit Price'!G$1,FALSE),0)</f>
        <v>0</v>
      </c>
      <c r="J299" s="194">
        <f>IF(_1_5412845612146241046457891017[[#This Row],[Type]]&gt;0,VLOOKUP(_1_5412845612146241046457891017[[#This Row],[Type]],Main[[#All],[TYPE]:[UNIT]],'Unit Price'!H$1,FALSE),0)</f>
        <v>0</v>
      </c>
      <c r="K299" s="194">
        <f>IF(_1_5412845612146241046457891017[[#This Row],[Discount selection]]&gt;0,VLOOKUP(_1_5412845612146241046457891017[[#This Row],[Discount selection]],'Discount Structure'!$A$2:$B$30,2,"false"),0)</f>
        <v>1</v>
      </c>
      <c r="L299" s="194">
        <f>_1_5412845612146241046457891017[[#This Row],[LIST $]]*_1_5412845612146241046457891017[[#This Row],[DISCOUNT]]*_1_5412845612146241046457891017[[#This Row],[DISCOUNT 2]]</f>
        <v>0</v>
      </c>
      <c r="M299" s="194">
        <f>IF(OR(_1_5412845612146241046457891017[[#This Row],[UNIT]]&gt;0,_1_5412845612146241046457891017[[#This Row],[UNIT]]&lt;0),_1_5412845612146241046457891017[[#This Row],[UNIT]]*_1_5412845612146241046457891017[[#This Row],[COST]],0)</f>
        <v>0</v>
      </c>
      <c r="N299" s="194">
        <f t="shared" si="4"/>
        <v>1.35</v>
      </c>
      <c r="O299" s="198">
        <f>_1_5412845612146241046457891017[[#This Row],[TOTAL]]*_1_5412845612146241046457891017[[#This Row],[MARGIN]]</f>
        <v>0</v>
      </c>
      <c r="R299" s="41"/>
    </row>
    <row r="300" spans="1:18">
      <c r="A300" s="323"/>
      <c r="B300" s="323"/>
      <c r="C300" s="323"/>
      <c r="D300" s="188"/>
      <c r="F300" s="168" t="s">
        <v>6202</v>
      </c>
      <c r="G300" s="193">
        <f>IF(_1_5412845612146241046457891017[[#This Row],[Type]]&gt;0,VLOOKUP(_1_5412845612146241046457891017[[#This Row],[Type]],Main[[#All],[TYPE]:[UNIT]],'Unit Price'!C$1,FALSE),0)</f>
        <v>0</v>
      </c>
      <c r="H300" s="197">
        <f>IF(_1_5412845612146241046457891017[[#This Row],[Type]]&gt;0,VLOOKUP(_1_5412845612146241046457891017[[#This Row],[Type]],Main[[#All],[TYPE]:[UNIT]],'Unit Price'!D$1,FALSE),0)</f>
        <v>0</v>
      </c>
      <c r="I300" s="194">
        <f>IF(_1_5412845612146241046457891017[[#This Row],[Type]]&gt;0,VLOOKUP(_1_5412845612146241046457891017[[#This Row],[Type]],Main[[#All],[TYPE]:[UNIT]],'Unit Price'!G$1,FALSE),0)</f>
        <v>0</v>
      </c>
      <c r="J300" s="194">
        <f>IF(_1_5412845612146241046457891017[[#This Row],[Type]]&gt;0,VLOOKUP(_1_5412845612146241046457891017[[#This Row],[Type]],Main[[#All],[TYPE]:[UNIT]],'Unit Price'!H$1,FALSE),0)</f>
        <v>0</v>
      </c>
      <c r="K300" s="194">
        <f>IF(_1_5412845612146241046457891017[[#This Row],[Discount selection]]&gt;0,VLOOKUP(_1_5412845612146241046457891017[[#This Row],[Discount selection]],'Discount Structure'!$A$2:$B$30,2,"false"),0)</f>
        <v>1</v>
      </c>
      <c r="L300" s="194">
        <f>_1_5412845612146241046457891017[[#This Row],[LIST $]]*_1_5412845612146241046457891017[[#This Row],[DISCOUNT]]*_1_5412845612146241046457891017[[#This Row],[DISCOUNT 2]]</f>
        <v>0</v>
      </c>
      <c r="M300" s="194">
        <f>IF(OR(_1_5412845612146241046457891017[[#This Row],[UNIT]]&gt;0,_1_5412845612146241046457891017[[#This Row],[UNIT]]&lt;0),_1_5412845612146241046457891017[[#This Row],[UNIT]]*_1_5412845612146241046457891017[[#This Row],[COST]],0)</f>
        <v>0</v>
      </c>
      <c r="N300" s="194">
        <f t="shared" si="4"/>
        <v>1.35</v>
      </c>
      <c r="O300" s="198">
        <f>_1_5412845612146241046457891017[[#This Row],[TOTAL]]*_1_5412845612146241046457891017[[#This Row],[MARGIN]]</f>
        <v>0</v>
      </c>
      <c r="R300" s="41"/>
    </row>
    <row r="301" spans="1:18">
      <c r="A301" s="323"/>
      <c r="B301" s="323"/>
      <c r="C301" s="323"/>
      <c r="D301" s="188"/>
      <c r="F301" s="168" t="s">
        <v>6202</v>
      </c>
      <c r="G301" s="193">
        <f>IF(_1_5412845612146241046457891017[[#This Row],[Type]]&gt;0,VLOOKUP(_1_5412845612146241046457891017[[#This Row],[Type]],Main[[#All],[TYPE]:[UNIT]],'Unit Price'!C$1,FALSE),0)</f>
        <v>0</v>
      </c>
      <c r="H301" s="197">
        <f>IF(_1_5412845612146241046457891017[[#This Row],[Type]]&gt;0,VLOOKUP(_1_5412845612146241046457891017[[#This Row],[Type]],Main[[#All],[TYPE]:[UNIT]],'Unit Price'!D$1,FALSE),0)</f>
        <v>0</v>
      </c>
      <c r="I301" s="194">
        <f>IF(_1_5412845612146241046457891017[[#This Row],[Type]]&gt;0,VLOOKUP(_1_5412845612146241046457891017[[#This Row],[Type]],Main[[#All],[TYPE]:[UNIT]],'Unit Price'!G$1,FALSE),0)</f>
        <v>0</v>
      </c>
      <c r="J301" s="194">
        <f>IF(_1_5412845612146241046457891017[[#This Row],[Type]]&gt;0,VLOOKUP(_1_5412845612146241046457891017[[#This Row],[Type]],Main[[#All],[TYPE]:[UNIT]],'Unit Price'!H$1,FALSE),0)</f>
        <v>0</v>
      </c>
      <c r="K301" s="194">
        <f>IF(_1_5412845612146241046457891017[[#This Row],[Discount selection]]&gt;0,VLOOKUP(_1_5412845612146241046457891017[[#This Row],[Discount selection]],'Discount Structure'!$A$2:$B$30,2,"false"),0)</f>
        <v>1</v>
      </c>
      <c r="L301" s="194">
        <f>_1_5412845612146241046457891017[[#This Row],[LIST $]]*_1_5412845612146241046457891017[[#This Row],[DISCOUNT]]*_1_5412845612146241046457891017[[#This Row],[DISCOUNT 2]]</f>
        <v>0</v>
      </c>
      <c r="M301" s="194">
        <f>IF(OR(_1_5412845612146241046457891017[[#This Row],[UNIT]]&gt;0,_1_5412845612146241046457891017[[#This Row],[UNIT]]&lt;0),_1_5412845612146241046457891017[[#This Row],[UNIT]]*_1_5412845612146241046457891017[[#This Row],[COST]],0)</f>
        <v>0</v>
      </c>
      <c r="N301" s="194">
        <f t="shared" si="4"/>
        <v>1.35</v>
      </c>
      <c r="O301" s="198">
        <f>_1_5412845612146241046457891017[[#This Row],[TOTAL]]*_1_5412845612146241046457891017[[#This Row],[MARGIN]]</f>
        <v>0</v>
      </c>
      <c r="R301" s="41"/>
    </row>
    <row r="302" spans="1:18">
      <c r="A302" s="323"/>
      <c r="B302" s="323"/>
      <c r="C302" s="323"/>
      <c r="D302" s="188"/>
      <c r="F302" s="168" t="s">
        <v>6202</v>
      </c>
      <c r="G302" s="193">
        <f>IF(_1_5412845612146241046457891017[[#This Row],[Type]]&gt;0,VLOOKUP(_1_5412845612146241046457891017[[#This Row],[Type]],Main[[#All],[TYPE]:[UNIT]],'Unit Price'!C$1,FALSE),0)</f>
        <v>0</v>
      </c>
      <c r="H302" s="197">
        <f>IF(_1_5412845612146241046457891017[[#This Row],[Type]]&gt;0,VLOOKUP(_1_5412845612146241046457891017[[#This Row],[Type]],Main[[#All],[TYPE]:[UNIT]],'Unit Price'!D$1,FALSE),0)</f>
        <v>0</v>
      </c>
      <c r="I302" s="194">
        <f>IF(_1_5412845612146241046457891017[[#This Row],[Type]]&gt;0,VLOOKUP(_1_5412845612146241046457891017[[#This Row],[Type]],Main[[#All],[TYPE]:[UNIT]],'Unit Price'!G$1,FALSE),0)</f>
        <v>0</v>
      </c>
      <c r="J302" s="194">
        <f>IF(_1_5412845612146241046457891017[[#This Row],[Type]]&gt;0,VLOOKUP(_1_5412845612146241046457891017[[#This Row],[Type]],Main[[#All],[TYPE]:[UNIT]],'Unit Price'!H$1,FALSE),0)</f>
        <v>0</v>
      </c>
      <c r="K302" s="194">
        <f>IF(_1_5412845612146241046457891017[[#This Row],[Discount selection]]&gt;0,VLOOKUP(_1_5412845612146241046457891017[[#This Row],[Discount selection]],'Discount Structure'!$A$2:$B$30,2,"false"),0)</f>
        <v>1</v>
      </c>
      <c r="L302" s="194">
        <f>_1_5412845612146241046457891017[[#This Row],[LIST $]]*_1_5412845612146241046457891017[[#This Row],[DISCOUNT]]*_1_5412845612146241046457891017[[#This Row],[DISCOUNT 2]]</f>
        <v>0</v>
      </c>
      <c r="M302" s="194">
        <f>IF(OR(_1_5412845612146241046457891017[[#This Row],[UNIT]]&gt;0,_1_5412845612146241046457891017[[#This Row],[UNIT]]&lt;0),_1_5412845612146241046457891017[[#This Row],[UNIT]]*_1_5412845612146241046457891017[[#This Row],[COST]],0)</f>
        <v>0</v>
      </c>
      <c r="N302" s="194">
        <f t="shared" si="4"/>
        <v>1.35</v>
      </c>
      <c r="O302" s="198">
        <f>_1_5412845612146241046457891017[[#This Row],[TOTAL]]*_1_5412845612146241046457891017[[#This Row],[MARGIN]]</f>
        <v>0</v>
      </c>
      <c r="R302" s="41"/>
    </row>
    <row r="303" spans="1:18">
      <c r="D303" s="188"/>
      <c r="F303" s="168" t="s">
        <v>6202</v>
      </c>
      <c r="G303" s="205">
        <f>IF(_1_5412845612146241046457891017[[#This Row],[Type]]&gt;0,VLOOKUP(_1_5412845612146241046457891017[[#This Row],[Type]],Main[[#All],[TYPE]:[UNIT]],'Unit Price'!C$1,FALSE),0)</f>
        <v>0</v>
      </c>
      <c r="H303" s="197">
        <f>IF(_1_5412845612146241046457891017[[#This Row],[Type]]&gt;0,VLOOKUP(_1_5412845612146241046457891017[[#This Row],[Type]],Main[[#All],[TYPE]:[UNIT]],'Unit Price'!D$1,FALSE),0)</f>
        <v>0</v>
      </c>
      <c r="I303" s="194">
        <f>IF(_1_5412845612146241046457891017[[#This Row],[Type]]&gt;0,VLOOKUP(_1_5412845612146241046457891017[[#This Row],[Type]],Main[[#All],[TYPE]:[UNIT]],'Unit Price'!G$1,FALSE),0)</f>
        <v>0</v>
      </c>
      <c r="J303" s="194">
        <f>IF(_1_5412845612146241046457891017[[#This Row],[Type]]&gt;0,VLOOKUP(_1_5412845612146241046457891017[[#This Row],[Type]],Main[[#All],[TYPE]:[UNIT]],'Unit Price'!H$1,FALSE),0)</f>
        <v>0</v>
      </c>
      <c r="K303" s="194">
        <f>IF(_1_5412845612146241046457891017[[#This Row],[Discount selection]]&gt;0,VLOOKUP(_1_5412845612146241046457891017[[#This Row],[Discount selection]],'Discount Structure'!$A$2:$B$30,2,"false"),0)</f>
        <v>1</v>
      </c>
      <c r="L303" s="194">
        <f>_1_5412845612146241046457891017[[#This Row],[LIST $]]*_1_5412845612146241046457891017[[#This Row],[DISCOUNT]]*_1_5412845612146241046457891017[[#This Row],[DISCOUNT 2]]</f>
        <v>0</v>
      </c>
      <c r="M303" s="194">
        <f>IF(OR(_1_5412845612146241046457891017[[#This Row],[UNIT]]&gt;0,_1_5412845612146241046457891017[[#This Row],[UNIT]]&lt;0),_1_5412845612146241046457891017[[#This Row],[UNIT]]*_1_5412845612146241046457891017[[#This Row],[COST]],0)</f>
        <v>0</v>
      </c>
      <c r="N303" s="194">
        <f t="shared" si="4"/>
        <v>1.35</v>
      </c>
      <c r="O303" s="198">
        <f>_1_5412845612146241046457891017[[#This Row],[TOTAL]]*_1_5412845612146241046457891017[[#This Row],[MARGIN]]</f>
        <v>0</v>
      </c>
      <c r="R303" s="41"/>
    </row>
    <row r="304" spans="1:18">
      <c r="A304" s="326"/>
      <c r="D304" s="188"/>
      <c r="F304" s="168" t="s">
        <v>6202</v>
      </c>
      <c r="G304" s="193">
        <f>IF(_1_5412845612146241046457891017[[#This Row],[Type]]&gt;0,VLOOKUP(_1_5412845612146241046457891017[[#This Row],[Type]],Main[[#All],[TYPE]:[UNIT]],'Unit Price'!C$1,FALSE),0)</f>
        <v>0</v>
      </c>
      <c r="H304" s="197">
        <f>IF(_1_5412845612146241046457891017[[#This Row],[Type]]&gt;0,VLOOKUP(_1_5412845612146241046457891017[[#This Row],[Type]],Main[[#All],[TYPE]:[UNIT]],'Unit Price'!D$1,FALSE),0)</f>
        <v>0</v>
      </c>
      <c r="I304" s="194">
        <f>IF(_1_5412845612146241046457891017[[#This Row],[Type]]&gt;0,VLOOKUP(_1_5412845612146241046457891017[[#This Row],[Type]],Main[[#All],[TYPE]:[UNIT]],'Unit Price'!G$1,FALSE),0)</f>
        <v>0</v>
      </c>
      <c r="J304" s="194">
        <f>IF(_1_5412845612146241046457891017[[#This Row],[Type]]&gt;0,VLOOKUP(_1_5412845612146241046457891017[[#This Row],[Type]],Main[[#All],[TYPE]:[UNIT]],'Unit Price'!H$1,FALSE),0)</f>
        <v>0</v>
      </c>
      <c r="K304" s="194">
        <f>IF(_1_5412845612146241046457891017[[#This Row],[Discount selection]]&gt;0,VLOOKUP(_1_5412845612146241046457891017[[#This Row],[Discount selection]],'Discount Structure'!$A$2:$B$30,2,"false"),0)</f>
        <v>1</v>
      </c>
      <c r="L304" s="194">
        <f>_1_5412845612146241046457891017[[#This Row],[LIST $]]*_1_5412845612146241046457891017[[#This Row],[DISCOUNT]]*_1_5412845612146241046457891017[[#This Row],[DISCOUNT 2]]</f>
        <v>0</v>
      </c>
      <c r="M304" s="194">
        <f>IF(OR(_1_5412845612146241046457891017[[#This Row],[UNIT]]&gt;0,_1_5412845612146241046457891017[[#This Row],[UNIT]]&lt;0),_1_5412845612146241046457891017[[#This Row],[UNIT]]*_1_5412845612146241046457891017[[#This Row],[COST]],0)</f>
        <v>0</v>
      </c>
      <c r="N304" s="194">
        <f t="shared" si="4"/>
        <v>1.35</v>
      </c>
      <c r="O304" s="198">
        <f>_1_5412845612146241046457891017[[#This Row],[TOTAL]]*_1_5412845612146241046457891017[[#This Row],[MARGIN]]</f>
        <v>0</v>
      </c>
      <c r="R304" s="41"/>
    </row>
    <row r="305" spans="1:18">
      <c r="D305" s="188"/>
      <c r="F305" s="168" t="s">
        <v>6202</v>
      </c>
      <c r="G305" s="193">
        <f>IF(_1_5412845612146241046457891017[[#This Row],[Type]]&gt;0,VLOOKUP(_1_5412845612146241046457891017[[#This Row],[Type]],Main[[#All],[TYPE]:[UNIT]],'Unit Price'!C$1,FALSE),0)</f>
        <v>0</v>
      </c>
      <c r="H305" s="197">
        <f>IF(_1_5412845612146241046457891017[[#This Row],[Type]]&gt;0,VLOOKUP(_1_5412845612146241046457891017[[#This Row],[Type]],Main[[#All],[TYPE]:[UNIT]],'Unit Price'!D$1,FALSE),0)</f>
        <v>0</v>
      </c>
      <c r="I305" s="194">
        <f>IF(_1_5412845612146241046457891017[[#This Row],[Type]]&gt;0,VLOOKUP(_1_5412845612146241046457891017[[#This Row],[Type]],Main[[#All],[TYPE]:[UNIT]],'Unit Price'!G$1,FALSE),0)</f>
        <v>0</v>
      </c>
      <c r="J305" s="194">
        <f>IF(_1_5412845612146241046457891017[[#This Row],[Type]]&gt;0,VLOOKUP(_1_5412845612146241046457891017[[#This Row],[Type]],Main[[#All],[TYPE]:[UNIT]],'Unit Price'!H$1,FALSE),0)</f>
        <v>0</v>
      </c>
      <c r="K305" s="194">
        <f>IF(_1_5412845612146241046457891017[[#This Row],[Discount selection]]&gt;0,VLOOKUP(_1_5412845612146241046457891017[[#This Row],[Discount selection]],'Discount Structure'!$A$2:$B$30,2,"false"),0)</f>
        <v>1</v>
      </c>
      <c r="L305" s="194">
        <f>_1_5412845612146241046457891017[[#This Row],[LIST $]]*_1_5412845612146241046457891017[[#This Row],[DISCOUNT]]*_1_5412845612146241046457891017[[#This Row],[DISCOUNT 2]]</f>
        <v>0</v>
      </c>
      <c r="M305" s="194">
        <f>IF(OR(_1_5412845612146241046457891017[[#This Row],[UNIT]]&gt;0,_1_5412845612146241046457891017[[#This Row],[UNIT]]&lt;0),_1_5412845612146241046457891017[[#This Row],[UNIT]]*_1_5412845612146241046457891017[[#This Row],[COST]],0)</f>
        <v>0</v>
      </c>
      <c r="N305" s="194">
        <f t="shared" si="4"/>
        <v>1.35</v>
      </c>
      <c r="O305" s="198">
        <f>_1_5412845612146241046457891017[[#This Row],[TOTAL]]*_1_5412845612146241046457891017[[#This Row],[MARGIN]]</f>
        <v>0</v>
      </c>
      <c r="R305" s="41"/>
    </row>
    <row r="306" spans="1:18">
      <c r="A306" s="327"/>
      <c r="B306" s="327"/>
      <c r="C306" s="323"/>
      <c r="D306" s="188"/>
      <c r="F306" s="168" t="s">
        <v>6202</v>
      </c>
      <c r="G306" s="193">
        <f>IF(_1_5412845612146241046457891017[[#This Row],[Type]]&gt;0,VLOOKUP(_1_5412845612146241046457891017[[#This Row],[Type]],Main[[#All],[TYPE]:[UNIT]],'Unit Price'!C$1,FALSE),0)</f>
        <v>0</v>
      </c>
      <c r="H306" s="197">
        <f>IF(_1_5412845612146241046457891017[[#This Row],[Type]]&gt;0,VLOOKUP(_1_5412845612146241046457891017[[#This Row],[Type]],Main[[#All],[TYPE]:[UNIT]],'Unit Price'!D$1,FALSE),0)</f>
        <v>0</v>
      </c>
      <c r="I306" s="194">
        <f>IF(_1_5412845612146241046457891017[[#This Row],[Type]]&gt;0,VLOOKUP(_1_5412845612146241046457891017[[#This Row],[Type]],Main[[#All],[TYPE]:[UNIT]],'Unit Price'!G$1,FALSE),0)</f>
        <v>0</v>
      </c>
      <c r="J306" s="194">
        <f>IF(_1_5412845612146241046457891017[[#This Row],[Type]]&gt;0,VLOOKUP(_1_5412845612146241046457891017[[#This Row],[Type]],Main[[#All],[TYPE]:[UNIT]],'Unit Price'!H$1,FALSE),0)</f>
        <v>0</v>
      </c>
      <c r="K306" s="194">
        <f>IF(_1_5412845612146241046457891017[[#This Row],[Discount selection]]&gt;0,VLOOKUP(_1_5412845612146241046457891017[[#This Row],[Discount selection]],'Discount Structure'!$A$2:$B$30,2,"false"),0)</f>
        <v>1</v>
      </c>
      <c r="L306" s="194">
        <f>_1_5412845612146241046457891017[[#This Row],[LIST $]]*_1_5412845612146241046457891017[[#This Row],[DISCOUNT]]*_1_5412845612146241046457891017[[#This Row],[DISCOUNT 2]]</f>
        <v>0</v>
      </c>
      <c r="M306" s="194">
        <f>IF(OR(_1_5412845612146241046457891017[[#This Row],[UNIT]]&gt;0,_1_5412845612146241046457891017[[#This Row],[UNIT]]&lt;0),_1_5412845612146241046457891017[[#This Row],[UNIT]]*_1_5412845612146241046457891017[[#This Row],[COST]],0)</f>
        <v>0</v>
      </c>
      <c r="N306" s="194">
        <f t="shared" si="4"/>
        <v>1.35</v>
      </c>
      <c r="O306" s="198">
        <f>_1_5412845612146241046457891017[[#This Row],[TOTAL]]*_1_5412845612146241046457891017[[#This Row],[MARGIN]]</f>
        <v>0</v>
      </c>
      <c r="R306" s="41"/>
    </row>
    <row r="307" spans="1:18">
      <c r="A307" s="310"/>
      <c r="B307" s="310"/>
      <c r="C307" s="323"/>
      <c r="D307" s="188"/>
      <c r="F307" s="168" t="s">
        <v>6202</v>
      </c>
      <c r="G307" s="193">
        <f>IF(_1_5412845612146241046457891017[[#This Row],[Type]]&gt;0,VLOOKUP(_1_5412845612146241046457891017[[#This Row],[Type]],Main[[#All],[TYPE]:[UNIT]],'Unit Price'!C$1,FALSE),0)</f>
        <v>0</v>
      </c>
      <c r="H307" s="197">
        <f>IF(_1_5412845612146241046457891017[[#This Row],[Type]]&gt;0,VLOOKUP(_1_5412845612146241046457891017[[#This Row],[Type]],Main[[#All],[TYPE]:[UNIT]],'Unit Price'!D$1,FALSE),0)</f>
        <v>0</v>
      </c>
      <c r="I307" s="194">
        <f>IF(_1_5412845612146241046457891017[[#This Row],[Type]]&gt;0,VLOOKUP(_1_5412845612146241046457891017[[#This Row],[Type]],Main[[#All],[TYPE]:[UNIT]],'Unit Price'!G$1,FALSE),0)</f>
        <v>0</v>
      </c>
      <c r="J307" s="194">
        <f>IF(_1_5412845612146241046457891017[[#This Row],[Type]]&gt;0,VLOOKUP(_1_5412845612146241046457891017[[#This Row],[Type]],Main[[#All],[TYPE]:[UNIT]],'Unit Price'!H$1,FALSE),0)</f>
        <v>0</v>
      </c>
      <c r="K307" s="194">
        <f>IF(_1_5412845612146241046457891017[[#This Row],[Discount selection]]&gt;0,VLOOKUP(_1_5412845612146241046457891017[[#This Row],[Discount selection]],'Discount Structure'!$A$2:$B$30,2,"false"),0)</f>
        <v>1</v>
      </c>
      <c r="L307" s="194">
        <f>_1_5412845612146241046457891017[[#This Row],[LIST $]]*_1_5412845612146241046457891017[[#This Row],[DISCOUNT]]*_1_5412845612146241046457891017[[#This Row],[DISCOUNT 2]]</f>
        <v>0</v>
      </c>
      <c r="M307" s="194">
        <f>IF(OR(_1_5412845612146241046457891017[[#This Row],[UNIT]]&gt;0,_1_5412845612146241046457891017[[#This Row],[UNIT]]&lt;0),_1_5412845612146241046457891017[[#This Row],[UNIT]]*_1_5412845612146241046457891017[[#This Row],[COST]],0)</f>
        <v>0</v>
      </c>
      <c r="N307" s="194">
        <f t="shared" si="4"/>
        <v>1.35</v>
      </c>
      <c r="O307" s="198">
        <f>_1_5412845612146241046457891017[[#This Row],[TOTAL]]*_1_5412845612146241046457891017[[#This Row],[MARGIN]]</f>
        <v>0</v>
      </c>
      <c r="R307" s="41"/>
    </row>
    <row r="308" spans="1:18">
      <c r="A308" s="341"/>
      <c r="B308" s="323"/>
      <c r="C308" s="323"/>
      <c r="D308" s="188"/>
      <c r="F308" s="168" t="s">
        <v>6202</v>
      </c>
      <c r="G308" s="193">
        <f>IF(_1_5412845612146241046457891017[[#This Row],[Type]]&gt;0,VLOOKUP(_1_5412845612146241046457891017[[#This Row],[Type]],Main[[#All],[TYPE]:[UNIT]],'Unit Price'!C$1,FALSE),0)</f>
        <v>0</v>
      </c>
      <c r="H308" s="197">
        <f>IF(_1_5412845612146241046457891017[[#This Row],[Type]]&gt;0,VLOOKUP(_1_5412845612146241046457891017[[#This Row],[Type]],Main[[#All],[TYPE]:[UNIT]],'Unit Price'!D$1,FALSE),0)</f>
        <v>0</v>
      </c>
      <c r="I308" s="194">
        <f>IF(_1_5412845612146241046457891017[[#This Row],[Type]]&gt;0,VLOOKUP(_1_5412845612146241046457891017[[#This Row],[Type]],Main[[#All],[TYPE]:[UNIT]],'Unit Price'!G$1,FALSE),0)</f>
        <v>0</v>
      </c>
      <c r="J308" s="194">
        <f>IF(_1_5412845612146241046457891017[[#This Row],[Type]]&gt;0,VLOOKUP(_1_5412845612146241046457891017[[#This Row],[Type]],Main[[#All],[TYPE]:[UNIT]],'Unit Price'!H$1,FALSE),0)</f>
        <v>0</v>
      </c>
      <c r="K308" s="194">
        <f>IF(_1_5412845612146241046457891017[[#This Row],[Discount selection]]&gt;0,VLOOKUP(_1_5412845612146241046457891017[[#This Row],[Discount selection]],'Discount Structure'!$A$2:$B$30,2,"false"),0)</f>
        <v>1</v>
      </c>
      <c r="L308" s="194">
        <f>_1_5412845612146241046457891017[[#This Row],[LIST $]]*_1_5412845612146241046457891017[[#This Row],[DISCOUNT]]*_1_5412845612146241046457891017[[#This Row],[DISCOUNT 2]]</f>
        <v>0</v>
      </c>
      <c r="M308" s="194">
        <f>IF(OR(_1_5412845612146241046457891017[[#This Row],[UNIT]]&gt;0,_1_5412845612146241046457891017[[#This Row],[UNIT]]&lt;0),_1_5412845612146241046457891017[[#This Row],[UNIT]]*_1_5412845612146241046457891017[[#This Row],[COST]],0)</f>
        <v>0</v>
      </c>
      <c r="N308" s="194">
        <f t="shared" si="4"/>
        <v>1.35</v>
      </c>
      <c r="O308" s="198">
        <f>_1_5412845612146241046457891017[[#This Row],[TOTAL]]*_1_5412845612146241046457891017[[#This Row],[MARGIN]]</f>
        <v>0</v>
      </c>
      <c r="R308" s="41"/>
    </row>
    <row r="309" spans="1:18">
      <c r="D309" s="188"/>
      <c r="F309" s="168" t="s">
        <v>6202</v>
      </c>
      <c r="G309" s="193">
        <f>IF(_1_5412845612146241046457891017[[#This Row],[Type]]&gt;0,VLOOKUP(_1_5412845612146241046457891017[[#This Row],[Type]],Main[[#All],[TYPE]:[UNIT]],'Unit Price'!C$1,FALSE),0)</f>
        <v>0</v>
      </c>
      <c r="H309" s="197">
        <f>IF(_1_5412845612146241046457891017[[#This Row],[Type]]&gt;0,VLOOKUP(_1_5412845612146241046457891017[[#This Row],[Type]],Main[[#All],[TYPE]:[UNIT]],'Unit Price'!D$1,FALSE),0)</f>
        <v>0</v>
      </c>
      <c r="I309" s="194">
        <f>IF(_1_5412845612146241046457891017[[#This Row],[Type]]&gt;0,VLOOKUP(_1_5412845612146241046457891017[[#This Row],[Type]],Main[[#All],[TYPE]:[UNIT]],'Unit Price'!G$1,FALSE),0)</f>
        <v>0</v>
      </c>
      <c r="J309" s="194">
        <f>IF(_1_5412845612146241046457891017[[#This Row],[Type]]&gt;0,VLOOKUP(_1_5412845612146241046457891017[[#This Row],[Type]],Main[[#All],[TYPE]:[UNIT]],'Unit Price'!H$1,FALSE),0)</f>
        <v>0</v>
      </c>
      <c r="K309" s="194">
        <f>IF(_1_5412845612146241046457891017[[#This Row],[Discount selection]]&gt;0,VLOOKUP(_1_5412845612146241046457891017[[#This Row],[Discount selection]],'Discount Structure'!$A$2:$B$30,2,"false"),0)</f>
        <v>1</v>
      </c>
      <c r="L309" s="194">
        <f>_1_5412845612146241046457891017[[#This Row],[LIST $]]*_1_5412845612146241046457891017[[#This Row],[DISCOUNT]]*_1_5412845612146241046457891017[[#This Row],[DISCOUNT 2]]</f>
        <v>0</v>
      </c>
      <c r="M309" s="194">
        <f>IF(OR(_1_5412845612146241046457891017[[#This Row],[UNIT]]&gt;0,_1_5412845612146241046457891017[[#This Row],[UNIT]]&lt;0),_1_5412845612146241046457891017[[#This Row],[UNIT]]*_1_5412845612146241046457891017[[#This Row],[COST]],0)</f>
        <v>0</v>
      </c>
      <c r="N309" s="194">
        <f t="shared" si="4"/>
        <v>1.35</v>
      </c>
      <c r="O309" s="198">
        <f>_1_5412845612146241046457891017[[#This Row],[TOTAL]]*_1_5412845612146241046457891017[[#This Row],[MARGIN]]</f>
        <v>0</v>
      </c>
      <c r="R309" s="41"/>
    </row>
    <row r="310" spans="1:18">
      <c r="A310" s="326"/>
      <c r="D310" s="188"/>
      <c r="F310" s="168" t="s">
        <v>6202</v>
      </c>
      <c r="G310" s="193">
        <f>IF(_1_5412845612146241046457891017[[#This Row],[Type]]&gt;0,VLOOKUP(_1_5412845612146241046457891017[[#This Row],[Type]],Main[[#All],[TYPE]:[UNIT]],'Unit Price'!C$1,FALSE),0)</f>
        <v>0</v>
      </c>
      <c r="H310" s="197">
        <f>IF(_1_5412845612146241046457891017[[#This Row],[Type]]&gt;0,VLOOKUP(_1_5412845612146241046457891017[[#This Row],[Type]],Main[[#All],[TYPE]:[UNIT]],'Unit Price'!D$1,FALSE),0)</f>
        <v>0</v>
      </c>
      <c r="I310" s="194">
        <f>IF(_1_5412845612146241046457891017[[#This Row],[Type]]&gt;0,VLOOKUP(_1_5412845612146241046457891017[[#This Row],[Type]],Main[[#All],[TYPE]:[UNIT]],'Unit Price'!G$1,FALSE),0)</f>
        <v>0</v>
      </c>
      <c r="J310" s="194">
        <f>IF(_1_5412845612146241046457891017[[#This Row],[Type]]&gt;0,VLOOKUP(_1_5412845612146241046457891017[[#This Row],[Type]],Main[[#All],[TYPE]:[UNIT]],'Unit Price'!H$1,FALSE),0)</f>
        <v>0</v>
      </c>
      <c r="K310" s="194">
        <f>IF(_1_5412845612146241046457891017[[#This Row],[Discount selection]]&gt;0,VLOOKUP(_1_5412845612146241046457891017[[#This Row],[Discount selection]],'Discount Structure'!$A$2:$B$30,2,"false"),0)</f>
        <v>1</v>
      </c>
      <c r="L310" s="194">
        <f>_1_5412845612146241046457891017[[#This Row],[LIST $]]*_1_5412845612146241046457891017[[#This Row],[DISCOUNT]]*_1_5412845612146241046457891017[[#This Row],[DISCOUNT 2]]</f>
        <v>0</v>
      </c>
      <c r="M310" s="194">
        <f>IF(OR(_1_5412845612146241046457891017[[#This Row],[UNIT]]&gt;0,_1_5412845612146241046457891017[[#This Row],[UNIT]]&lt;0),_1_5412845612146241046457891017[[#This Row],[UNIT]]*_1_5412845612146241046457891017[[#This Row],[COST]],0)</f>
        <v>0</v>
      </c>
      <c r="N310" s="194">
        <f t="shared" si="4"/>
        <v>1.35</v>
      </c>
      <c r="O310" s="198">
        <f>_1_5412845612146241046457891017[[#This Row],[TOTAL]]*_1_5412845612146241046457891017[[#This Row],[MARGIN]]</f>
        <v>0</v>
      </c>
      <c r="R310" s="41"/>
    </row>
    <row r="311" spans="1:18">
      <c r="D311" s="188"/>
      <c r="F311" s="168" t="s">
        <v>6202</v>
      </c>
      <c r="G311" s="193">
        <f>IF(_1_5412845612146241046457891017[[#This Row],[Type]]&gt;0,VLOOKUP(_1_5412845612146241046457891017[[#This Row],[Type]],Main[[#All],[TYPE]:[UNIT]],'Unit Price'!C$1,FALSE),0)</f>
        <v>0</v>
      </c>
      <c r="H311" s="197">
        <f>IF(_1_5412845612146241046457891017[[#This Row],[Type]]&gt;0,VLOOKUP(_1_5412845612146241046457891017[[#This Row],[Type]],Main[[#All],[TYPE]:[UNIT]],'Unit Price'!D$1,FALSE),0)</f>
        <v>0</v>
      </c>
      <c r="I311" s="194">
        <f>IF(_1_5412845612146241046457891017[[#This Row],[Type]]&gt;0,VLOOKUP(_1_5412845612146241046457891017[[#This Row],[Type]],Main[[#All],[TYPE]:[UNIT]],'Unit Price'!G$1,FALSE),0)</f>
        <v>0</v>
      </c>
      <c r="J311" s="194">
        <f>IF(_1_5412845612146241046457891017[[#This Row],[Type]]&gt;0,VLOOKUP(_1_5412845612146241046457891017[[#This Row],[Type]],Main[[#All],[TYPE]:[UNIT]],'Unit Price'!H$1,FALSE),0)</f>
        <v>0</v>
      </c>
      <c r="K311" s="194">
        <f>IF(_1_5412845612146241046457891017[[#This Row],[Discount selection]]&gt;0,VLOOKUP(_1_5412845612146241046457891017[[#This Row],[Discount selection]],'Discount Structure'!$A$2:$B$30,2,"false"),0)</f>
        <v>1</v>
      </c>
      <c r="L311" s="194">
        <f>_1_5412845612146241046457891017[[#This Row],[LIST $]]*_1_5412845612146241046457891017[[#This Row],[DISCOUNT]]*_1_5412845612146241046457891017[[#This Row],[DISCOUNT 2]]</f>
        <v>0</v>
      </c>
      <c r="M311" s="194">
        <f>IF(OR(_1_5412845612146241046457891017[[#This Row],[UNIT]]&gt;0,_1_5412845612146241046457891017[[#This Row],[UNIT]]&lt;0),_1_5412845612146241046457891017[[#This Row],[UNIT]]*_1_5412845612146241046457891017[[#This Row],[COST]],0)</f>
        <v>0</v>
      </c>
      <c r="N311" s="194">
        <f t="shared" si="4"/>
        <v>1.35</v>
      </c>
      <c r="O311" s="198">
        <f>_1_5412845612146241046457891017[[#This Row],[TOTAL]]*_1_5412845612146241046457891017[[#This Row],[MARGIN]]</f>
        <v>0</v>
      </c>
      <c r="R311" s="41"/>
    </row>
    <row r="312" spans="1:18">
      <c r="A312" s="323"/>
      <c r="B312" s="323"/>
      <c r="C312" s="323"/>
      <c r="D312" s="188"/>
      <c r="F312" s="168" t="s">
        <v>6202</v>
      </c>
      <c r="G312" s="193">
        <f>IF(_1_5412845612146241046457891017[[#This Row],[Type]]&gt;0,VLOOKUP(_1_5412845612146241046457891017[[#This Row],[Type]],Main[[#All],[TYPE]:[UNIT]],'Unit Price'!C$1,FALSE),0)</f>
        <v>0</v>
      </c>
      <c r="H312" s="197">
        <f>IF(_1_5412845612146241046457891017[[#This Row],[Type]]&gt;0,VLOOKUP(_1_5412845612146241046457891017[[#This Row],[Type]],Main[[#All],[TYPE]:[UNIT]],'Unit Price'!D$1,FALSE),0)</f>
        <v>0</v>
      </c>
      <c r="I312" s="194">
        <f>IF(_1_5412845612146241046457891017[[#This Row],[Type]]&gt;0,VLOOKUP(_1_5412845612146241046457891017[[#This Row],[Type]],Main[[#All],[TYPE]:[UNIT]],'Unit Price'!G$1,FALSE),0)</f>
        <v>0</v>
      </c>
      <c r="J312" s="194">
        <f>IF(_1_5412845612146241046457891017[[#This Row],[Type]]&gt;0,VLOOKUP(_1_5412845612146241046457891017[[#This Row],[Type]],Main[[#All],[TYPE]:[UNIT]],'Unit Price'!H$1,FALSE),0)</f>
        <v>0</v>
      </c>
      <c r="K312" s="194">
        <f>IF(_1_5412845612146241046457891017[[#This Row],[Discount selection]]&gt;0,VLOOKUP(_1_5412845612146241046457891017[[#This Row],[Discount selection]],'Discount Structure'!$A$2:$B$30,2,"false"),0)</f>
        <v>1</v>
      </c>
      <c r="L312" s="194">
        <f>_1_5412845612146241046457891017[[#This Row],[LIST $]]*_1_5412845612146241046457891017[[#This Row],[DISCOUNT]]*_1_5412845612146241046457891017[[#This Row],[DISCOUNT 2]]</f>
        <v>0</v>
      </c>
      <c r="M312" s="194">
        <f>IF(OR(_1_5412845612146241046457891017[[#This Row],[UNIT]]&gt;0,_1_5412845612146241046457891017[[#This Row],[UNIT]]&lt;0),_1_5412845612146241046457891017[[#This Row],[UNIT]]*_1_5412845612146241046457891017[[#This Row],[COST]],0)</f>
        <v>0</v>
      </c>
      <c r="N312" s="194">
        <f t="shared" si="4"/>
        <v>1.35</v>
      </c>
      <c r="O312" s="198">
        <f>_1_5412845612146241046457891017[[#This Row],[TOTAL]]*_1_5412845612146241046457891017[[#This Row],[MARGIN]]</f>
        <v>0</v>
      </c>
      <c r="R312" s="41"/>
    </row>
    <row r="313" spans="1:18">
      <c r="A313" s="323"/>
      <c r="B313" s="323"/>
      <c r="C313" s="328"/>
      <c r="D313" s="188"/>
      <c r="F313" s="168" t="s">
        <v>6202</v>
      </c>
      <c r="G313" s="193">
        <f>IF(_1_5412845612146241046457891017[[#This Row],[Type]]&gt;0,VLOOKUP(_1_5412845612146241046457891017[[#This Row],[Type]],Main[[#All],[TYPE]:[UNIT]],'Unit Price'!C$1,FALSE),0)</f>
        <v>0</v>
      </c>
      <c r="H313" s="197">
        <f>IF(_1_5412845612146241046457891017[[#This Row],[Type]]&gt;0,VLOOKUP(_1_5412845612146241046457891017[[#This Row],[Type]],Main[[#All],[TYPE]:[UNIT]],'Unit Price'!D$1,FALSE),0)</f>
        <v>0</v>
      </c>
      <c r="I313" s="194">
        <f>IF(_1_5412845612146241046457891017[[#This Row],[Type]]&gt;0,VLOOKUP(_1_5412845612146241046457891017[[#This Row],[Type]],Main[[#All],[TYPE]:[UNIT]],'Unit Price'!G$1,FALSE),0)</f>
        <v>0</v>
      </c>
      <c r="J313" s="194">
        <f>IF(_1_5412845612146241046457891017[[#This Row],[Type]]&gt;0,VLOOKUP(_1_5412845612146241046457891017[[#This Row],[Type]],Main[[#All],[TYPE]:[UNIT]],'Unit Price'!H$1,FALSE),0)</f>
        <v>0</v>
      </c>
      <c r="K313" s="194">
        <f>IF(_1_5412845612146241046457891017[[#This Row],[Discount selection]]&gt;0,VLOOKUP(_1_5412845612146241046457891017[[#This Row],[Discount selection]],'Discount Structure'!$A$2:$B$30,2,"false"),0)</f>
        <v>1</v>
      </c>
      <c r="L313" s="194">
        <f>_1_5412845612146241046457891017[[#This Row],[LIST $]]*_1_5412845612146241046457891017[[#This Row],[DISCOUNT]]*_1_5412845612146241046457891017[[#This Row],[DISCOUNT 2]]</f>
        <v>0</v>
      </c>
      <c r="M313" s="194">
        <f>IF(OR(_1_5412845612146241046457891017[[#This Row],[UNIT]]&gt;0,_1_5412845612146241046457891017[[#This Row],[UNIT]]&lt;0),_1_5412845612146241046457891017[[#This Row],[UNIT]]*_1_5412845612146241046457891017[[#This Row],[COST]],0)</f>
        <v>0</v>
      </c>
      <c r="N313" s="194">
        <f t="shared" si="4"/>
        <v>1.35</v>
      </c>
      <c r="O313" s="198">
        <f>_1_5412845612146241046457891017[[#This Row],[TOTAL]]*_1_5412845612146241046457891017[[#This Row],[MARGIN]]</f>
        <v>0</v>
      </c>
      <c r="R313" s="41"/>
    </row>
    <row r="314" spans="1:18">
      <c r="A314" s="323"/>
      <c r="B314" s="323"/>
      <c r="C314" s="328"/>
      <c r="D314" s="188"/>
      <c r="F314" s="168" t="s">
        <v>6202</v>
      </c>
      <c r="G314" s="205">
        <f>IF(_1_5412845612146241046457891017[[#This Row],[Type]]&gt;0,VLOOKUP(_1_5412845612146241046457891017[[#This Row],[Type]],Main[[#All],[TYPE]:[UNIT]],'Unit Price'!C$1,FALSE),0)</f>
        <v>0</v>
      </c>
      <c r="H314" s="197">
        <f>IF(_1_5412845612146241046457891017[[#This Row],[Type]]&gt;0,VLOOKUP(_1_5412845612146241046457891017[[#This Row],[Type]],Main[[#All],[TYPE]:[UNIT]],'Unit Price'!D$1,FALSE),0)</f>
        <v>0</v>
      </c>
      <c r="I314" s="194">
        <f>IF(_1_5412845612146241046457891017[[#This Row],[Type]]&gt;0,VLOOKUP(_1_5412845612146241046457891017[[#This Row],[Type]],Main[[#All],[TYPE]:[UNIT]],'Unit Price'!G$1,FALSE),0)</f>
        <v>0</v>
      </c>
      <c r="J314" s="194">
        <f>IF(_1_5412845612146241046457891017[[#This Row],[Type]]&gt;0,VLOOKUP(_1_5412845612146241046457891017[[#This Row],[Type]],Main[[#All],[TYPE]:[UNIT]],'Unit Price'!H$1,FALSE),0)</f>
        <v>0</v>
      </c>
      <c r="K314" s="194">
        <f>IF(_1_5412845612146241046457891017[[#This Row],[Discount selection]]&gt;0,VLOOKUP(_1_5412845612146241046457891017[[#This Row],[Discount selection]],'Discount Structure'!$A$2:$B$30,2,"false"),0)</f>
        <v>1</v>
      </c>
      <c r="L314" s="194">
        <f>_1_5412845612146241046457891017[[#This Row],[LIST $]]*_1_5412845612146241046457891017[[#This Row],[DISCOUNT]]*_1_5412845612146241046457891017[[#This Row],[DISCOUNT 2]]</f>
        <v>0</v>
      </c>
      <c r="M314" s="194">
        <f>IF(OR(_1_5412845612146241046457891017[[#This Row],[UNIT]]&gt;0,_1_5412845612146241046457891017[[#This Row],[UNIT]]&lt;0),_1_5412845612146241046457891017[[#This Row],[UNIT]]*_1_5412845612146241046457891017[[#This Row],[COST]],0)</f>
        <v>0</v>
      </c>
      <c r="N314" s="194">
        <f t="shared" si="4"/>
        <v>1.35</v>
      </c>
      <c r="O314" s="198">
        <f>_1_5412845612146241046457891017[[#This Row],[TOTAL]]*_1_5412845612146241046457891017[[#This Row],[MARGIN]]</f>
        <v>0</v>
      </c>
      <c r="R314" s="41"/>
    </row>
    <row r="315" spans="1:18">
      <c r="D315" s="188"/>
      <c r="F315" s="168" t="s">
        <v>6202</v>
      </c>
      <c r="G315" s="193">
        <f>IF(_1_5412845612146241046457891017[[#This Row],[Type]]&gt;0,VLOOKUP(_1_5412845612146241046457891017[[#This Row],[Type]],Main[[#All],[TYPE]:[UNIT]],'Unit Price'!C$1,FALSE),0)</f>
        <v>0</v>
      </c>
      <c r="H315" s="197">
        <f>IF(_1_5412845612146241046457891017[[#This Row],[Type]]&gt;0,VLOOKUP(_1_5412845612146241046457891017[[#This Row],[Type]],Main[[#All],[TYPE]:[UNIT]],'Unit Price'!D$1,FALSE),0)</f>
        <v>0</v>
      </c>
      <c r="I315" s="194">
        <f>IF(_1_5412845612146241046457891017[[#This Row],[Type]]&gt;0,VLOOKUP(_1_5412845612146241046457891017[[#This Row],[Type]],Main[[#All],[TYPE]:[UNIT]],'Unit Price'!G$1,FALSE),0)</f>
        <v>0</v>
      </c>
      <c r="J315" s="194">
        <f>IF(_1_5412845612146241046457891017[[#This Row],[Type]]&gt;0,VLOOKUP(_1_5412845612146241046457891017[[#This Row],[Type]],Main[[#All],[TYPE]:[UNIT]],'Unit Price'!H$1,FALSE),0)</f>
        <v>0</v>
      </c>
      <c r="K315" s="194">
        <f>IF(_1_5412845612146241046457891017[[#This Row],[Discount selection]]&gt;0,VLOOKUP(_1_5412845612146241046457891017[[#This Row],[Discount selection]],'Discount Structure'!$A$2:$B$30,2,"false"),0)</f>
        <v>1</v>
      </c>
      <c r="L315" s="194">
        <f>_1_5412845612146241046457891017[[#This Row],[LIST $]]*_1_5412845612146241046457891017[[#This Row],[DISCOUNT]]*_1_5412845612146241046457891017[[#This Row],[DISCOUNT 2]]</f>
        <v>0</v>
      </c>
      <c r="M315" s="194">
        <f>IF(OR(_1_5412845612146241046457891017[[#This Row],[UNIT]]&gt;0,_1_5412845612146241046457891017[[#This Row],[UNIT]]&lt;0),_1_5412845612146241046457891017[[#This Row],[UNIT]]*_1_5412845612146241046457891017[[#This Row],[COST]],0)</f>
        <v>0</v>
      </c>
      <c r="N315" s="194">
        <f t="shared" si="4"/>
        <v>1.35</v>
      </c>
      <c r="O315" s="198">
        <f>_1_5412845612146241046457891017[[#This Row],[TOTAL]]*_1_5412845612146241046457891017[[#This Row],[MARGIN]]</f>
        <v>0</v>
      </c>
      <c r="R315" s="41"/>
    </row>
    <row r="316" spans="1:18">
      <c r="A316" s="328"/>
      <c r="B316" s="323"/>
      <c r="C316" s="326"/>
      <c r="D316" s="188"/>
      <c r="F316" s="168" t="s">
        <v>6202</v>
      </c>
      <c r="G316" s="193">
        <f>IF(_1_5412845612146241046457891017[[#This Row],[Type]]&gt;0,VLOOKUP(_1_5412845612146241046457891017[[#This Row],[Type]],Main[[#All],[TYPE]:[UNIT]],'Unit Price'!C$1,FALSE),0)</f>
        <v>0</v>
      </c>
      <c r="H316" s="197">
        <f>IF(_1_5412845612146241046457891017[[#This Row],[Type]]&gt;0,VLOOKUP(_1_5412845612146241046457891017[[#This Row],[Type]],Main[[#All],[TYPE]:[UNIT]],'Unit Price'!D$1,FALSE),0)</f>
        <v>0</v>
      </c>
      <c r="I316" s="194">
        <f>IF(_1_5412845612146241046457891017[[#This Row],[Type]]&gt;0,VLOOKUP(_1_5412845612146241046457891017[[#This Row],[Type]],Main[[#All],[TYPE]:[UNIT]],'Unit Price'!G$1,FALSE),0)</f>
        <v>0</v>
      </c>
      <c r="J316" s="194">
        <f>IF(_1_5412845612146241046457891017[[#This Row],[Type]]&gt;0,VLOOKUP(_1_5412845612146241046457891017[[#This Row],[Type]],Main[[#All],[TYPE]:[UNIT]],'Unit Price'!H$1,FALSE),0)</f>
        <v>0</v>
      </c>
      <c r="K316" s="194">
        <f>IF(_1_5412845612146241046457891017[[#This Row],[Discount selection]]&gt;0,VLOOKUP(_1_5412845612146241046457891017[[#This Row],[Discount selection]],'Discount Structure'!$A$2:$B$30,2,"false"),0)</f>
        <v>1</v>
      </c>
      <c r="L316" s="194">
        <f>_1_5412845612146241046457891017[[#This Row],[LIST $]]*_1_5412845612146241046457891017[[#This Row],[DISCOUNT]]*_1_5412845612146241046457891017[[#This Row],[DISCOUNT 2]]</f>
        <v>0</v>
      </c>
      <c r="M316" s="194">
        <f>IF(OR(_1_5412845612146241046457891017[[#This Row],[UNIT]]&gt;0,_1_5412845612146241046457891017[[#This Row],[UNIT]]&lt;0),_1_5412845612146241046457891017[[#This Row],[UNIT]]*_1_5412845612146241046457891017[[#This Row],[COST]],0)</f>
        <v>0</v>
      </c>
      <c r="N316" s="194">
        <f t="shared" si="4"/>
        <v>1.35</v>
      </c>
      <c r="O316" s="198">
        <f>_1_5412845612146241046457891017[[#This Row],[TOTAL]]*_1_5412845612146241046457891017[[#This Row],[MARGIN]]</f>
        <v>0</v>
      </c>
      <c r="R316" s="41"/>
    </row>
    <row r="317" spans="1:18">
      <c r="C317" s="328"/>
      <c r="D317" s="188"/>
      <c r="F317" s="168" t="s">
        <v>6202</v>
      </c>
      <c r="G317" s="193">
        <f>IF(_1_5412845612146241046457891017[[#This Row],[Type]]&gt;0,VLOOKUP(_1_5412845612146241046457891017[[#This Row],[Type]],Main[[#All],[TYPE]:[UNIT]],'Unit Price'!C$1,FALSE),0)</f>
        <v>0</v>
      </c>
      <c r="H317" s="197">
        <f>IF(_1_5412845612146241046457891017[[#This Row],[Type]]&gt;0,VLOOKUP(_1_5412845612146241046457891017[[#This Row],[Type]],Main[[#All],[TYPE]:[UNIT]],'Unit Price'!D$1,FALSE),0)</f>
        <v>0</v>
      </c>
      <c r="I317" s="194">
        <f>IF(_1_5412845612146241046457891017[[#This Row],[Type]]&gt;0,VLOOKUP(_1_5412845612146241046457891017[[#This Row],[Type]],Main[[#All],[TYPE]:[UNIT]],'Unit Price'!G$1,FALSE),0)</f>
        <v>0</v>
      </c>
      <c r="J317" s="194">
        <f>IF(_1_5412845612146241046457891017[[#This Row],[Type]]&gt;0,VLOOKUP(_1_5412845612146241046457891017[[#This Row],[Type]],Main[[#All],[TYPE]:[UNIT]],'Unit Price'!H$1,FALSE),0)</f>
        <v>0</v>
      </c>
      <c r="K317" s="194">
        <f>IF(_1_5412845612146241046457891017[[#This Row],[Discount selection]]&gt;0,VLOOKUP(_1_5412845612146241046457891017[[#This Row],[Discount selection]],'Discount Structure'!$A$2:$B$30,2,"false"),0)</f>
        <v>1</v>
      </c>
      <c r="L317" s="194">
        <f>_1_5412845612146241046457891017[[#This Row],[LIST $]]*_1_5412845612146241046457891017[[#This Row],[DISCOUNT]]*_1_5412845612146241046457891017[[#This Row],[DISCOUNT 2]]</f>
        <v>0</v>
      </c>
      <c r="M317" s="194">
        <f>IF(OR(_1_5412845612146241046457891017[[#This Row],[UNIT]]&gt;0,_1_5412845612146241046457891017[[#This Row],[UNIT]]&lt;0),_1_5412845612146241046457891017[[#This Row],[UNIT]]*_1_5412845612146241046457891017[[#This Row],[COST]],0)</f>
        <v>0</v>
      </c>
      <c r="N317" s="194">
        <f t="shared" si="4"/>
        <v>1.35</v>
      </c>
      <c r="O317" s="198">
        <f>_1_5412845612146241046457891017[[#This Row],[TOTAL]]*_1_5412845612146241046457891017[[#This Row],[MARGIN]]</f>
        <v>0</v>
      </c>
      <c r="R317" s="41"/>
    </row>
    <row r="318" spans="1:18">
      <c r="D318" s="188"/>
      <c r="F318" s="168" t="s">
        <v>6202</v>
      </c>
      <c r="G318" s="193">
        <f>IF(_1_5412845612146241046457891017[[#This Row],[Type]]&gt;0,VLOOKUP(_1_5412845612146241046457891017[[#This Row],[Type]],Main[[#All],[TYPE]:[UNIT]],'Unit Price'!C$1,FALSE),0)</f>
        <v>0</v>
      </c>
      <c r="H318" s="197">
        <f>IF(_1_5412845612146241046457891017[[#This Row],[Type]]&gt;0,VLOOKUP(_1_5412845612146241046457891017[[#This Row],[Type]],Main[[#All],[TYPE]:[UNIT]],'Unit Price'!D$1,FALSE),0)</f>
        <v>0</v>
      </c>
      <c r="I318" s="194">
        <f>IF(_1_5412845612146241046457891017[[#This Row],[Type]]&gt;0,VLOOKUP(_1_5412845612146241046457891017[[#This Row],[Type]],Main[[#All],[TYPE]:[UNIT]],'Unit Price'!G$1,FALSE),0)</f>
        <v>0</v>
      </c>
      <c r="J318" s="194">
        <f>IF(_1_5412845612146241046457891017[[#This Row],[Type]]&gt;0,VLOOKUP(_1_5412845612146241046457891017[[#This Row],[Type]],Main[[#All],[TYPE]:[UNIT]],'Unit Price'!H$1,FALSE),0)</f>
        <v>0</v>
      </c>
      <c r="K318" s="194">
        <f>IF(_1_5412845612146241046457891017[[#This Row],[Discount selection]]&gt;0,VLOOKUP(_1_5412845612146241046457891017[[#This Row],[Discount selection]],'Discount Structure'!$A$2:$B$30,2,"false"),0)</f>
        <v>1</v>
      </c>
      <c r="L318" s="194">
        <f>_1_5412845612146241046457891017[[#This Row],[LIST $]]*_1_5412845612146241046457891017[[#This Row],[DISCOUNT]]*_1_5412845612146241046457891017[[#This Row],[DISCOUNT 2]]</f>
        <v>0</v>
      </c>
      <c r="M318" s="194">
        <f>IF(OR(_1_5412845612146241046457891017[[#This Row],[UNIT]]&gt;0,_1_5412845612146241046457891017[[#This Row],[UNIT]]&lt;0),_1_5412845612146241046457891017[[#This Row],[UNIT]]*_1_5412845612146241046457891017[[#This Row],[COST]],0)</f>
        <v>0</v>
      </c>
      <c r="N318" s="194">
        <f t="shared" si="4"/>
        <v>1.35</v>
      </c>
      <c r="O318" s="198">
        <f>_1_5412845612146241046457891017[[#This Row],[TOTAL]]*_1_5412845612146241046457891017[[#This Row],[MARGIN]]</f>
        <v>0</v>
      </c>
      <c r="R318" s="41"/>
    </row>
    <row r="319" spans="1:18">
      <c r="A319" s="353"/>
      <c r="D319" s="188"/>
      <c r="F319" s="168" t="s">
        <v>6202</v>
      </c>
      <c r="G319" s="193">
        <f>IF(_1_5412845612146241046457891017[[#This Row],[Type]]&gt;0,VLOOKUP(_1_5412845612146241046457891017[[#This Row],[Type]],Main[[#All],[TYPE]:[UNIT]],'Unit Price'!C$1,FALSE),0)</f>
        <v>0</v>
      </c>
      <c r="H319" s="197">
        <f>IF(_1_5412845612146241046457891017[[#This Row],[Type]]&gt;0,VLOOKUP(_1_5412845612146241046457891017[[#This Row],[Type]],Main[[#All],[TYPE]:[UNIT]],'Unit Price'!D$1,FALSE),0)</f>
        <v>0</v>
      </c>
      <c r="I319" s="194">
        <f>IF(_1_5412845612146241046457891017[[#This Row],[Type]]&gt;0,VLOOKUP(_1_5412845612146241046457891017[[#This Row],[Type]],Main[[#All],[TYPE]:[UNIT]],'Unit Price'!G$1,FALSE),0)</f>
        <v>0</v>
      </c>
      <c r="J319" s="194">
        <f>IF(_1_5412845612146241046457891017[[#This Row],[Type]]&gt;0,VLOOKUP(_1_5412845612146241046457891017[[#This Row],[Type]],Main[[#All],[TYPE]:[UNIT]],'Unit Price'!H$1,FALSE),0)</f>
        <v>0</v>
      </c>
      <c r="K319" s="194">
        <f>IF(_1_5412845612146241046457891017[[#This Row],[Discount selection]]&gt;0,VLOOKUP(_1_5412845612146241046457891017[[#This Row],[Discount selection]],'Discount Structure'!$A$2:$B$30,2,"false"),0)</f>
        <v>1</v>
      </c>
      <c r="L319" s="194">
        <f>_1_5412845612146241046457891017[[#This Row],[LIST $]]*_1_5412845612146241046457891017[[#This Row],[DISCOUNT]]*_1_5412845612146241046457891017[[#This Row],[DISCOUNT 2]]</f>
        <v>0</v>
      </c>
      <c r="M319" s="194">
        <f>IF(OR(_1_5412845612146241046457891017[[#This Row],[UNIT]]&gt;0,_1_5412845612146241046457891017[[#This Row],[UNIT]]&lt;0),_1_5412845612146241046457891017[[#This Row],[UNIT]]*_1_5412845612146241046457891017[[#This Row],[COST]],0)</f>
        <v>0</v>
      </c>
      <c r="N319" s="194">
        <f t="shared" si="4"/>
        <v>1.35</v>
      </c>
      <c r="O319" s="198">
        <f>_1_5412845612146241046457891017[[#This Row],[TOTAL]]*_1_5412845612146241046457891017[[#This Row],[MARGIN]]</f>
        <v>0</v>
      </c>
      <c r="R319" s="41"/>
    </row>
    <row r="320" spans="1:18">
      <c r="B320" s="326"/>
      <c r="C320" s="326"/>
      <c r="D320" s="188"/>
      <c r="F320" s="168" t="s">
        <v>6202</v>
      </c>
      <c r="G320" s="193">
        <f>IF(_1_5412845612146241046457891017[[#This Row],[Type]]&gt;0,VLOOKUP(_1_5412845612146241046457891017[[#This Row],[Type]],Main[[#All],[TYPE]:[UNIT]],'Unit Price'!C$1,FALSE),0)</f>
        <v>0</v>
      </c>
      <c r="H320" s="197">
        <f>IF(_1_5412845612146241046457891017[[#This Row],[Type]]&gt;0,VLOOKUP(_1_5412845612146241046457891017[[#This Row],[Type]],Main[[#All],[TYPE]:[UNIT]],'Unit Price'!D$1,FALSE),0)</f>
        <v>0</v>
      </c>
      <c r="I320" s="194">
        <f>IF(_1_5412845612146241046457891017[[#This Row],[Type]]&gt;0,VLOOKUP(_1_5412845612146241046457891017[[#This Row],[Type]],Main[[#All],[TYPE]:[UNIT]],'Unit Price'!G$1,FALSE),0)</f>
        <v>0</v>
      </c>
      <c r="J320" s="194">
        <f>IF(_1_5412845612146241046457891017[[#This Row],[Type]]&gt;0,VLOOKUP(_1_5412845612146241046457891017[[#This Row],[Type]],Main[[#All],[TYPE]:[UNIT]],'Unit Price'!H$1,FALSE),0)</f>
        <v>0</v>
      </c>
      <c r="K320" s="194">
        <f>IF(_1_5412845612146241046457891017[[#This Row],[Discount selection]]&gt;0,VLOOKUP(_1_5412845612146241046457891017[[#This Row],[Discount selection]],'Discount Structure'!$A$2:$B$30,2,"false"),0)</f>
        <v>1</v>
      </c>
      <c r="L320" s="194">
        <f>_1_5412845612146241046457891017[[#This Row],[LIST $]]*_1_5412845612146241046457891017[[#This Row],[DISCOUNT]]*_1_5412845612146241046457891017[[#This Row],[DISCOUNT 2]]</f>
        <v>0</v>
      </c>
      <c r="M320" s="194">
        <f>IF(OR(_1_5412845612146241046457891017[[#This Row],[UNIT]]&gt;0,_1_5412845612146241046457891017[[#This Row],[UNIT]]&lt;0),_1_5412845612146241046457891017[[#This Row],[UNIT]]*_1_5412845612146241046457891017[[#This Row],[COST]],0)</f>
        <v>0</v>
      </c>
      <c r="N320" s="194">
        <f t="shared" si="4"/>
        <v>1.35</v>
      </c>
      <c r="O320" s="198">
        <f>_1_5412845612146241046457891017[[#This Row],[TOTAL]]*_1_5412845612146241046457891017[[#This Row],[MARGIN]]</f>
        <v>0</v>
      </c>
      <c r="R320" s="41"/>
    </row>
    <row r="321" spans="1:18">
      <c r="A321" s="168"/>
      <c r="B321" s="168"/>
      <c r="C321" s="168"/>
      <c r="D321" s="188"/>
      <c r="F321" s="168" t="s">
        <v>6202</v>
      </c>
      <c r="G321" s="193">
        <f>IF(_1_5412845612146241046457891017[[#This Row],[Type]]&gt;0,VLOOKUP(_1_5412845612146241046457891017[[#This Row],[Type]],Main[[#All],[TYPE]:[UNIT]],'Unit Price'!C$1,FALSE),0)</f>
        <v>0</v>
      </c>
      <c r="H321" s="197">
        <f>IF(_1_5412845612146241046457891017[[#This Row],[Type]]&gt;0,VLOOKUP(_1_5412845612146241046457891017[[#This Row],[Type]],Main[[#All],[TYPE]:[UNIT]],'Unit Price'!D$1,FALSE),0)</f>
        <v>0</v>
      </c>
      <c r="I321" s="194">
        <f>IF(_1_5412845612146241046457891017[[#This Row],[Type]]&gt;0,VLOOKUP(_1_5412845612146241046457891017[[#This Row],[Type]],Main[[#All],[TYPE]:[UNIT]],'Unit Price'!G$1,FALSE),0)</f>
        <v>0</v>
      </c>
      <c r="J321" s="194">
        <f>IF(_1_5412845612146241046457891017[[#This Row],[Type]]&gt;0,VLOOKUP(_1_5412845612146241046457891017[[#This Row],[Type]],Main[[#All],[TYPE]:[UNIT]],'Unit Price'!H$1,FALSE),0)</f>
        <v>0</v>
      </c>
      <c r="K321" s="194">
        <f>IF(_1_5412845612146241046457891017[[#This Row],[Discount selection]]&gt;0,VLOOKUP(_1_5412845612146241046457891017[[#This Row],[Discount selection]],'Discount Structure'!$A$2:$B$30,2,"false"),0)</f>
        <v>1</v>
      </c>
      <c r="L321" s="194">
        <f>_1_5412845612146241046457891017[[#This Row],[LIST $]]*_1_5412845612146241046457891017[[#This Row],[DISCOUNT]]*_1_5412845612146241046457891017[[#This Row],[DISCOUNT 2]]</f>
        <v>0</v>
      </c>
      <c r="M321" s="194">
        <f>IF(OR(_1_5412845612146241046457891017[[#This Row],[UNIT]]&gt;0,_1_5412845612146241046457891017[[#This Row],[UNIT]]&lt;0),_1_5412845612146241046457891017[[#This Row],[UNIT]]*_1_5412845612146241046457891017[[#This Row],[COST]],0)</f>
        <v>0</v>
      </c>
      <c r="N321" s="194">
        <f t="shared" si="4"/>
        <v>1.35</v>
      </c>
      <c r="O321" s="198">
        <f>_1_5412845612146241046457891017[[#This Row],[TOTAL]]*_1_5412845612146241046457891017[[#This Row],[MARGIN]]</f>
        <v>0</v>
      </c>
      <c r="R321" s="41"/>
    </row>
    <row r="322" spans="1:18">
      <c r="A322" s="327"/>
      <c r="B322" s="326"/>
      <c r="C322" s="326"/>
      <c r="D322" s="188"/>
      <c r="F322" s="168" t="s">
        <v>6202</v>
      </c>
      <c r="G322" s="193">
        <f>IF(_1_5412845612146241046457891017[[#This Row],[Type]]&gt;0,VLOOKUP(_1_5412845612146241046457891017[[#This Row],[Type]],Main[[#All],[TYPE]:[UNIT]],'Unit Price'!C$1,FALSE),0)</f>
        <v>0</v>
      </c>
      <c r="H322" s="197">
        <f>IF(_1_5412845612146241046457891017[[#This Row],[Type]]&gt;0,VLOOKUP(_1_5412845612146241046457891017[[#This Row],[Type]],Main[[#All],[TYPE]:[UNIT]],'Unit Price'!D$1,FALSE),0)</f>
        <v>0</v>
      </c>
      <c r="I322" s="194">
        <f>IF(_1_5412845612146241046457891017[[#This Row],[Type]]&gt;0,VLOOKUP(_1_5412845612146241046457891017[[#This Row],[Type]],Main[[#All],[TYPE]:[UNIT]],'Unit Price'!G$1,FALSE),0)</f>
        <v>0</v>
      </c>
      <c r="J322" s="194">
        <f>IF(_1_5412845612146241046457891017[[#This Row],[Type]]&gt;0,VLOOKUP(_1_5412845612146241046457891017[[#This Row],[Type]],Main[[#All],[TYPE]:[UNIT]],'Unit Price'!H$1,FALSE),0)</f>
        <v>0</v>
      </c>
      <c r="K322" s="194">
        <f>IF(_1_5412845612146241046457891017[[#This Row],[Discount selection]]&gt;0,VLOOKUP(_1_5412845612146241046457891017[[#This Row],[Discount selection]],'Discount Structure'!$A$2:$B$30,2,"false"),0)</f>
        <v>1</v>
      </c>
      <c r="L322" s="194">
        <f>_1_5412845612146241046457891017[[#This Row],[LIST $]]*_1_5412845612146241046457891017[[#This Row],[DISCOUNT]]*_1_5412845612146241046457891017[[#This Row],[DISCOUNT 2]]</f>
        <v>0</v>
      </c>
      <c r="M322" s="194">
        <f>IF(OR(_1_5412845612146241046457891017[[#This Row],[UNIT]]&gt;0,_1_5412845612146241046457891017[[#This Row],[UNIT]]&lt;0),_1_5412845612146241046457891017[[#This Row],[UNIT]]*_1_5412845612146241046457891017[[#This Row],[COST]],0)</f>
        <v>0</v>
      </c>
      <c r="N322" s="194">
        <f t="shared" si="4"/>
        <v>1.35</v>
      </c>
      <c r="O322" s="198">
        <f>_1_5412845612146241046457891017[[#This Row],[TOTAL]]*_1_5412845612146241046457891017[[#This Row],[MARGIN]]</f>
        <v>0</v>
      </c>
      <c r="R322" s="41"/>
    </row>
    <row r="323" spans="1:18">
      <c r="A323" s="326"/>
      <c r="B323" s="353"/>
      <c r="C323" s="323"/>
      <c r="D323" s="188"/>
      <c r="F323" s="168" t="s">
        <v>6202</v>
      </c>
      <c r="G323" s="193">
        <f>IF(_1_5412845612146241046457891017[[#This Row],[Type]]&gt;0,VLOOKUP(_1_5412845612146241046457891017[[#This Row],[Type]],Main[[#All],[TYPE]:[UNIT]],'Unit Price'!C$1,FALSE),0)</f>
        <v>0</v>
      </c>
      <c r="H323" s="197">
        <f>IF(_1_5412845612146241046457891017[[#This Row],[Type]]&gt;0,VLOOKUP(_1_5412845612146241046457891017[[#This Row],[Type]],Main[[#All],[TYPE]:[UNIT]],'Unit Price'!D$1,FALSE),0)</f>
        <v>0</v>
      </c>
      <c r="I323" s="194">
        <f>IF(_1_5412845612146241046457891017[[#This Row],[Type]]&gt;0,VLOOKUP(_1_5412845612146241046457891017[[#This Row],[Type]],Main[[#All],[TYPE]:[UNIT]],'Unit Price'!G$1,FALSE),0)</f>
        <v>0</v>
      </c>
      <c r="J323" s="194">
        <f>IF(_1_5412845612146241046457891017[[#This Row],[Type]]&gt;0,VLOOKUP(_1_5412845612146241046457891017[[#This Row],[Type]],Main[[#All],[TYPE]:[UNIT]],'Unit Price'!H$1,FALSE),0)</f>
        <v>0</v>
      </c>
      <c r="K323" s="194">
        <f>IF(_1_5412845612146241046457891017[[#This Row],[Discount selection]]&gt;0,VLOOKUP(_1_5412845612146241046457891017[[#This Row],[Discount selection]],'Discount Structure'!$A$2:$B$30,2,"false"),0)</f>
        <v>1</v>
      </c>
      <c r="L323" s="194">
        <f>_1_5412845612146241046457891017[[#This Row],[LIST $]]*_1_5412845612146241046457891017[[#This Row],[DISCOUNT]]*_1_5412845612146241046457891017[[#This Row],[DISCOUNT 2]]</f>
        <v>0</v>
      </c>
      <c r="M323" s="194">
        <f>IF(OR(_1_5412845612146241046457891017[[#This Row],[UNIT]]&gt;0,_1_5412845612146241046457891017[[#This Row],[UNIT]]&lt;0),_1_5412845612146241046457891017[[#This Row],[UNIT]]*_1_5412845612146241046457891017[[#This Row],[COST]],0)</f>
        <v>0</v>
      </c>
      <c r="N323" s="194">
        <f t="shared" si="4"/>
        <v>1.35</v>
      </c>
      <c r="O323" s="198">
        <f>_1_5412845612146241046457891017[[#This Row],[TOTAL]]*_1_5412845612146241046457891017[[#This Row],[MARGIN]]</f>
        <v>0</v>
      </c>
      <c r="R323" s="41"/>
    </row>
    <row r="324" spans="1:18">
      <c r="C324" s="353"/>
      <c r="D324" s="188"/>
      <c r="F324" s="168" t="s">
        <v>6202</v>
      </c>
      <c r="G324" s="205">
        <f>IF(_1_5412845612146241046457891017[[#This Row],[Type]]&gt;0,VLOOKUP(_1_5412845612146241046457891017[[#This Row],[Type]],Main[[#All],[TYPE]:[UNIT]],'Unit Price'!C$1,FALSE),0)</f>
        <v>0</v>
      </c>
      <c r="H324" s="197">
        <f>IF(_1_5412845612146241046457891017[[#This Row],[Type]]&gt;0,VLOOKUP(_1_5412845612146241046457891017[[#This Row],[Type]],Main[[#All],[TYPE]:[UNIT]],'Unit Price'!D$1,FALSE),0)</f>
        <v>0</v>
      </c>
      <c r="I324" s="194">
        <f>IF(_1_5412845612146241046457891017[[#This Row],[Type]]&gt;0,VLOOKUP(_1_5412845612146241046457891017[[#This Row],[Type]],Main[[#All],[TYPE]:[UNIT]],'Unit Price'!G$1,FALSE),0)</f>
        <v>0</v>
      </c>
      <c r="J324" s="194">
        <f>IF(_1_5412845612146241046457891017[[#This Row],[Type]]&gt;0,VLOOKUP(_1_5412845612146241046457891017[[#This Row],[Type]],Main[[#All],[TYPE]:[UNIT]],'Unit Price'!H$1,FALSE),0)</f>
        <v>0</v>
      </c>
      <c r="K324" s="194">
        <f>IF(_1_5412845612146241046457891017[[#This Row],[Discount selection]]&gt;0,VLOOKUP(_1_5412845612146241046457891017[[#This Row],[Discount selection]],'Discount Structure'!$A$2:$B$30,2,"false"),0)</f>
        <v>1</v>
      </c>
      <c r="L324" s="194">
        <f>_1_5412845612146241046457891017[[#This Row],[LIST $]]*_1_5412845612146241046457891017[[#This Row],[DISCOUNT]]*_1_5412845612146241046457891017[[#This Row],[DISCOUNT 2]]</f>
        <v>0</v>
      </c>
      <c r="M324" s="194">
        <f>IF(OR(_1_5412845612146241046457891017[[#This Row],[UNIT]]&gt;0,_1_5412845612146241046457891017[[#This Row],[UNIT]]&lt;0),_1_5412845612146241046457891017[[#This Row],[UNIT]]*_1_5412845612146241046457891017[[#This Row],[COST]],0)</f>
        <v>0</v>
      </c>
      <c r="N324" s="194">
        <f t="shared" si="4"/>
        <v>1.35</v>
      </c>
      <c r="O324" s="198">
        <f>_1_5412845612146241046457891017[[#This Row],[TOTAL]]*_1_5412845612146241046457891017[[#This Row],[MARGIN]]</f>
        <v>0</v>
      </c>
      <c r="R324" s="41"/>
    </row>
    <row r="325" spans="1:18">
      <c r="D325" s="188"/>
      <c r="F325" s="168" t="s">
        <v>6202</v>
      </c>
      <c r="G325" s="193">
        <f>IF(_1_5412845612146241046457891017[[#This Row],[Type]]&gt;0,VLOOKUP(_1_5412845612146241046457891017[[#This Row],[Type]],Main[[#All],[TYPE]:[UNIT]],'Unit Price'!C$1,FALSE),0)</f>
        <v>0</v>
      </c>
      <c r="H325" s="197">
        <f>IF(_1_5412845612146241046457891017[[#This Row],[Type]]&gt;0,VLOOKUP(_1_5412845612146241046457891017[[#This Row],[Type]],Main[[#All],[TYPE]:[UNIT]],'Unit Price'!D$1,FALSE),0)</f>
        <v>0</v>
      </c>
      <c r="I325" s="194">
        <f>IF(_1_5412845612146241046457891017[[#This Row],[Type]]&gt;0,VLOOKUP(_1_5412845612146241046457891017[[#This Row],[Type]],Main[[#All],[TYPE]:[UNIT]],'Unit Price'!G$1,FALSE),0)</f>
        <v>0</v>
      </c>
      <c r="J325" s="194">
        <f>IF(_1_5412845612146241046457891017[[#This Row],[Type]]&gt;0,VLOOKUP(_1_5412845612146241046457891017[[#This Row],[Type]],Main[[#All],[TYPE]:[UNIT]],'Unit Price'!H$1,FALSE),0)</f>
        <v>0</v>
      </c>
      <c r="K325" s="194">
        <f>IF(_1_5412845612146241046457891017[[#This Row],[Discount selection]]&gt;0,VLOOKUP(_1_5412845612146241046457891017[[#This Row],[Discount selection]],'Discount Structure'!$A$2:$B$30,2,"false"),0)</f>
        <v>1</v>
      </c>
      <c r="L325" s="194">
        <f>_1_5412845612146241046457891017[[#This Row],[LIST $]]*_1_5412845612146241046457891017[[#This Row],[DISCOUNT]]*_1_5412845612146241046457891017[[#This Row],[DISCOUNT 2]]</f>
        <v>0</v>
      </c>
      <c r="M325" s="194">
        <f>IF(OR(_1_5412845612146241046457891017[[#This Row],[UNIT]]&gt;0,_1_5412845612146241046457891017[[#This Row],[UNIT]]&lt;0),_1_5412845612146241046457891017[[#This Row],[UNIT]]*_1_5412845612146241046457891017[[#This Row],[COST]],0)</f>
        <v>0</v>
      </c>
      <c r="N325" s="194">
        <f t="shared" si="4"/>
        <v>1.35</v>
      </c>
      <c r="O325" s="198">
        <f>_1_5412845612146241046457891017[[#This Row],[TOTAL]]*_1_5412845612146241046457891017[[#This Row],[MARGIN]]</f>
        <v>0</v>
      </c>
      <c r="R325" s="41"/>
    </row>
    <row r="326" spans="1:18">
      <c r="A326" s="323"/>
      <c r="C326" s="353"/>
      <c r="D326" s="188"/>
      <c r="F326" s="168" t="s">
        <v>6202</v>
      </c>
      <c r="G326" s="193">
        <f>IF(_1_5412845612146241046457891017[[#This Row],[Type]]&gt;0,VLOOKUP(_1_5412845612146241046457891017[[#This Row],[Type]],Main[[#All],[TYPE]:[UNIT]],'Unit Price'!C$1,FALSE),0)</f>
        <v>0</v>
      </c>
      <c r="H326" s="197">
        <f>IF(_1_5412845612146241046457891017[[#This Row],[Type]]&gt;0,VLOOKUP(_1_5412845612146241046457891017[[#This Row],[Type]],Main[[#All],[TYPE]:[UNIT]],'Unit Price'!D$1,FALSE),0)</f>
        <v>0</v>
      </c>
      <c r="I326" s="194">
        <f>IF(_1_5412845612146241046457891017[[#This Row],[Type]]&gt;0,VLOOKUP(_1_5412845612146241046457891017[[#This Row],[Type]],Main[[#All],[TYPE]:[UNIT]],'Unit Price'!G$1,FALSE),0)</f>
        <v>0</v>
      </c>
      <c r="J326" s="194">
        <f>IF(_1_5412845612146241046457891017[[#This Row],[Type]]&gt;0,VLOOKUP(_1_5412845612146241046457891017[[#This Row],[Type]],Main[[#All],[TYPE]:[UNIT]],'Unit Price'!H$1,FALSE),0)</f>
        <v>0</v>
      </c>
      <c r="K326" s="194">
        <f>IF(_1_5412845612146241046457891017[[#This Row],[Discount selection]]&gt;0,VLOOKUP(_1_5412845612146241046457891017[[#This Row],[Discount selection]],'Discount Structure'!$A$2:$B$30,2,"false"),0)</f>
        <v>1</v>
      </c>
      <c r="L326" s="194">
        <f>_1_5412845612146241046457891017[[#This Row],[LIST $]]*_1_5412845612146241046457891017[[#This Row],[DISCOUNT]]*_1_5412845612146241046457891017[[#This Row],[DISCOUNT 2]]</f>
        <v>0</v>
      </c>
      <c r="M326" s="194">
        <f>IF(OR(_1_5412845612146241046457891017[[#This Row],[UNIT]]&gt;0,_1_5412845612146241046457891017[[#This Row],[UNIT]]&lt;0),_1_5412845612146241046457891017[[#This Row],[UNIT]]*_1_5412845612146241046457891017[[#This Row],[COST]],0)</f>
        <v>0</v>
      </c>
      <c r="N326" s="194">
        <f t="shared" si="4"/>
        <v>1.35</v>
      </c>
      <c r="O326" s="198">
        <f>_1_5412845612146241046457891017[[#This Row],[TOTAL]]*_1_5412845612146241046457891017[[#This Row],[MARGIN]]</f>
        <v>0</v>
      </c>
      <c r="R326" s="41"/>
    </row>
    <row r="327" spans="1:18">
      <c r="B327" s="353"/>
      <c r="D327" s="188"/>
      <c r="F327" s="168" t="s">
        <v>6202</v>
      </c>
      <c r="G327" s="193">
        <f>IF(_1_5412845612146241046457891017[[#This Row],[Type]]&gt;0,VLOOKUP(_1_5412845612146241046457891017[[#This Row],[Type]],Main[[#All],[TYPE]:[UNIT]],'Unit Price'!C$1,FALSE),0)</f>
        <v>0</v>
      </c>
      <c r="H327" s="197">
        <f>IF(_1_5412845612146241046457891017[[#This Row],[Type]]&gt;0,VLOOKUP(_1_5412845612146241046457891017[[#This Row],[Type]],Main[[#All],[TYPE]:[UNIT]],'Unit Price'!D$1,FALSE),0)</f>
        <v>0</v>
      </c>
      <c r="I327" s="194">
        <f>IF(_1_5412845612146241046457891017[[#This Row],[Type]]&gt;0,VLOOKUP(_1_5412845612146241046457891017[[#This Row],[Type]],Main[[#All],[TYPE]:[UNIT]],'Unit Price'!G$1,FALSE),0)</f>
        <v>0</v>
      </c>
      <c r="J327" s="194">
        <f>IF(_1_5412845612146241046457891017[[#This Row],[Type]]&gt;0,VLOOKUP(_1_5412845612146241046457891017[[#This Row],[Type]],Main[[#All],[TYPE]:[UNIT]],'Unit Price'!H$1,FALSE),0)</f>
        <v>0</v>
      </c>
      <c r="K327" s="194">
        <f>IF(_1_5412845612146241046457891017[[#This Row],[Discount selection]]&gt;0,VLOOKUP(_1_5412845612146241046457891017[[#This Row],[Discount selection]],'Discount Structure'!$A$2:$B$30,2,"false"),0)</f>
        <v>1</v>
      </c>
      <c r="L327" s="194">
        <f>_1_5412845612146241046457891017[[#This Row],[LIST $]]*_1_5412845612146241046457891017[[#This Row],[DISCOUNT]]*_1_5412845612146241046457891017[[#This Row],[DISCOUNT 2]]</f>
        <v>0</v>
      </c>
      <c r="M327" s="194">
        <f>IF(OR(_1_5412845612146241046457891017[[#This Row],[UNIT]]&gt;0,_1_5412845612146241046457891017[[#This Row],[UNIT]]&lt;0),_1_5412845612146241046457891017[[#This Row],[UNIT]]*_1_5412845612146241046457891017[[#This Row],[COST]],0)</f>
        <v>0</v>
      </c>
      <c r="N327" s="194">
        <f t="shared" si="4"/>
        <v>1.35</v>
      </c>
      <c r="O327" s="198">
        <f>_1_5412845612146241046457891017[[#This Row],[TOTAL]]*_1_5412845612146241046457891017[[#This Row],[MARGIN]]</f>
        <v>0</v>
      </c>
      <c r="R327" s="41"/>
    </row>
    <row r="328" spans="1:18">
      <c r="A328" s="323"/>
      <c r="C328" s="323"/>
      <c r="D328" s="188"/>
      <c r="F328" s="168" t="s">
        <v>6202</v>
      </c>
      <c r="G328" s="193">
        <f>IF(_1_5412845612146241046457891017[[#This Row],[Type]]&gt;0,VLOOKUP(_1_5412845612146241046457891017[[#This Row],[Type]],Main[[#All],[TYPE]:[UNIT]],'Unit Price'!C$1,FALSE),0)</f>
        <v>0</v>
      </c>
      <c r="H328" s="197">
        <f>IF(_1_5412845612146241046457891017[[#This Row],[Type]]&gt;0,VLOOKUP(_1_5412845612146241046457891017[[#This Row],[Type]],Main[[#All],[TYPE]:[UNIT]],'Unit Price'!D$1,FALSE),0)</f>
        <v>0</v>
      </c>
      <c r="I328" s="194">
        <f>IF(_1_5412845612146241046457891017[[#This Row],[Type]]&gt;0,VLOOKUP(_1_5412845612146241046457891017[[#This Row],[Type]],Main[[#All],[TYPE]:[UNIT]],'Unit Price'!G$1,FALSE),0)</f>
        <v>0</v>
      </c>
      <c r="J328" s="194">
        <f>IF(_1_5412845612146241046457891017[[#This Row],[Type]]&gt;0,VLOOKUP(_1_5412845612146241046457891017[[#This Row],[Type]],Main[[#All],[TYPE]:[UNIT]],'Unit Price'!H$1,FALSE),0)</f>
        <v>0</v>
      </c>
      <c r="K328" s="194">
        <f>IF(_1_5412845612146241046457891017[[#This Row],[Discount selection]]&gt;0,VLOOKUP(_1_5412845612146241046457891017[[#This Row],[Discount selection]],'Discount Structure'!$A$2:$B$30,2,"false"),0)</f>
        <v>1</v>
      </c>
      <c r="L328" s="194">
        <f>_1_5412845612146241046457891017[[#This Row],[LIST $]]*_1_5412845612146241046457891017[[#This Row],[DISCOUNT]]*_1_5412845612146241046457891017[[#This Row],[DISCOUNT 2]]</f>
        <v>0</v>
      </c>
      <c r="M328" s="194">
        <f>IF(OR(_1_5412845612146241046457891017[[#This Row],[UNIT]]&gt;0,_1_5412845612146241046457891017[[#This Row],[UNIT]]&lt;0),_1_5412845612146241046457891017[[#This Row],[UNIT]]*_1_5412845612146241046457891017[[#This Row],[COST]],0)</f>
        <v>0</v>
      </c>
      <c r="N328" s="194">
        <f t="shared" si="4"/>
        <v>1.35</v>
      </c>
      <c r="O328" s="198">
        <f>_1_5412845612146241046457891017[[#This Row],[TOTAL]]*_1_5412845612146241046457891017[[#This Row],[MARGIN]]</f>
        <v>0</v>
      </c>
      <c r="R328" s="41"/>
    </row>
    <row r="329" spans="1:18">
      <c r="A329" s="323"/>
      <c r="B329" s="323"/>
      <c r="C329" s="323"/>
      <c r="D329" s="188"/>
      <c r="F329" s="168" t="s">
        <v>6202</v>
      </c>
      <c r="G329" s="193">
        <f>IF(_1_5412845612146241046457891017[[#This Row],[Type]]&gt;0,VLOOKUP(_1_5412845612146241046457891017[[#This Row],[Type]],Main[[#All],[TYPE]:[UNIT]],'Unit Price'!C$1,FALSE),0)</f>
        <v>0</v>
      </c>
      <c r="H329" s="197">
        <f>IF(_1_5412845612146241046457891017[[#This Row],[Type]]&gt;0,VLOOKUP(_1_5412845612146241046457891017[[#This Row],[Type]],Main[[#All],[TYPE]:[UNIT]],'Unit Price'!D$1,FALSE),0)</f>
        <v>0</v>
      </c>
      <c r="I329" s="194">
        <f>IF(_1_5412845612146241046457891017[[#This Row],[Type]]&gt;0,VLOOKUP(_1_5412845612146241046457891017[[#This Row],[Type]],Main[[#All],[TYPE]:[UNIT]],'Unit Price'!G$1,FALSE),0)</f>
        <v>0</v>
      </c>
      <c r="J329" s="194">
        <f>IF(_1_5412845612146241046457891017[[#This Row],[Type]]&gt;0,VLOOKUP(_1_5412845612146241046457891017[[#This Row],[Type]],Main[[#All],[TYPE]:[UNIT]],'Unit Price'!H$1,FALSE),0)</f>
        <v>0</v>
      </c>
      <c r="K329" s="194">
        <f>IF(_1_5412845612146241046457891017[[#This Row],[Discount selection]]&gt;0,VLOOKUP(_1_5412845612146241046457891017[[#This Row],[Discount selection]],'Discount Structure'!$A$2:$B$30,2,"false"),0)</f>
        <v>1</v>
      </c>
      <c r="L329" s="194">
        <f>_1_5412845612146241046457891017[[#This Row],[LIST $]]*_1_5412845612146241046457891017[[#This Row],[DISCOUNT]]*_1_5412845612146241046457891017[[#This Row],[DISCOUNT 2]]</f>
        <v>0</v>
      </c>
      <c r="M329" s="194">
        <f>IF(OR(_1_5412845612146241046457891017[[#This Row],[UNIT]]&gt;0,_1_5412845612146241046457891017[[#This Row],[UNIT]]&lt;0),_1_5412845612146241046457891017[[#This Row],[UNIT]]*_1_5412845612146241046457891017[[#This Row],[COST]],0)</f>
        <v>0</v>
      </c>
      <c r="N329" s="194">
        <f t="shared" si="4"/>
        <v>1.35</v>
      </c>
      <c r="O329" s="198">
        <f>_1_5412845612146241046457891017[[#This Row],[TOTAL]]*_1_5412845612146241046457891017[[#This Row],[MARGIN]]</f>
        <v>0</v>
      </c>
      <c r="R329" s="41"/>
    </row>
    <row r="330" spans="1:18">
      <c r="A330" s="168"/>
      <c r="D330" s="188"/>
      <c r="F330" s="168" t="s">
        <v>6202</v>
      </c>
      <c r="G330" s="205">
        <f>IF(_1_5412845612146241046457891017[[#This Row],[Type]]&gt;0,VLOOKUP(_1_5412845612146241046457891017[[#This Row],[Type]],Main[[#All],[TYPE]:[UNIT]],'Unit Price'!C$1,FALSE),0)</f>
        <v>0</v>
      </c>
      <c r="H330" s="197">
        <f>IF(_1_5412845612146241046457891017[[#This Row],[Type]]&gt;0,VLOOKUP(_1_5412845612146241046457891017[[#This Row],[Type]],Main[[#All],[TYPE]:[UNIT]],'Unit Price'!D$1,FALSE),0)</f>
        <v>0</v>
      </c>
      <c r="I330" s="194">
        <f>IF(_1_5412845612146241046457891017[[#This Row],[Type]]&gt;0,VLOOKUP(_1_5412845612146241046457891017[[#This Row],[Type]],Main[[#All],[TYPE]:[UNIT]],'Unit Price'!G$1,FALSE),0)</f>
        <v>0</v>
      </c>
      <c r="J330" s="194">
        <f>IF(_1_5412845612146241046457891017[[#This Row],[Type]]&gt;0,VLOOKUP(_1_5412845612146241046457891017[[#This Row],[Type]],Main[[#All],[TYPE]:[UNIT]],'Unit Price'!H$1,FALSE),0)</f>
        <v>0</v>
      </c>
      <c r="K330" s="194">
        <f>IF(_1_5412845612146241046457891017[[#This Row],[Discount selection]]&gt;0,VLOOKUP(_1_5412845612146241046457891017[[#This Row],[Discount selection]],'Discount Structure'!$A$2:$B$30,2,"false"),0)</f>
        <v>1</v>
      </c>
      <c r="L330" s="194">
        <f>_1_5412845612146241046457891017[[#This Row],[LIST $]]*_1_5412845612146241046457891017[[#This Row],[DISCOUNT]]*_1_5412845612146241046457891017[[#This Row],[DISCOUNT 2]]</f>
        <v>0</v>
      </c>
      <c r="M330" s="194">
        <f>IF(OR(_1_5412845612146241046457891017[[#This Row],[UNIT]]&gt;0,_1_5412845612146241046457891017[[#This Row],[UNIT]]&lt;0),_1_5412845612146241046457891017[[#This Row],[UNIT]]*_1_5412845612146241046457891017[[#This Row],[COST]],0)</f>
        <v>0</v>
      </c>
      <c r="N330" s="194">
        <f t="shared" ref="N330:N393" si="5">$N$7</f>
        <v>1.35</v>
      </c>
      <c r="O330" s="198">
        <f>_1_5412845612146241046457891017[[#This Row],[TOTAL]]*_1_5412845612146241046457891017[[#This Row],[MARGIN]]</f>
        <v>0</v>
      </c>
      <c r="R330" s="41"/>
    </row>
    <row r="331" spans="1:18">
      <c r="D331" s="188"/>
      <c r="F331" s="168" t="s">
        <v>6202</v>
      </c>
      <c r="G331" s="193">
        <f>IF(_1_5412845612146241046457891017[[#This Row],[Type]]&gt;0,VLOOKUP(_1_5412845612146241046457891017[[#This Row],[Type]],Main[[#All],[TYPE]:[UNIT]],'Unit Price'!C$1,FALSE),0)</f>
        <v>0</v>
      </c>
      <c r="H331" s="197">
        <f>IF(_1_5412845612146241046457891017[[#This Row],[Type]]&gt;0,VLOOKUP(_1_5412845612146241046457891017[[#This Row],[Type]],Main[[#All],[TYPE]:[UNIT]],'Unit Price'!D$1,FALSE),0)</f>
        <v>0</v>
      </c>
      <c r="I331" s="194">
        <f>IF(_1_5412845612146241046457891017[[#This Row],[Type]]&gt;0,VLOOKUP(_1_5412845612146241046457891017[[#This Row],[Type]],Main[[#All],[TYPE]:[UNIT]],'Unit Price'!G$1,FALSE),0)</f>
        <v>0</v>
      </c>
      <c r="J331" s="194">
        <f>IF(_1_5412845612146241046457891017[[#This Row],[Type]]&gt;0,VLOOKUP(_1_5412845612146241046457891017[[#This Row],[Type]],Main[[#All],[TYPE]:[UNIT]],'Unit Price'!H$1,FALSE),0)</f>
        <v>0</v>
      </c>
      <c r="K331" s="194">
        <f>IF(_1_5412845612146241046457891017[[#This Row],[Discount selection]]&gt;0,VLOOKUP(_1_5412845612146241046457891017[[#This Row],[Discount selection]],'Discount Structure'!$A$2:$B$30,2,"false"),0)</f>
        <v>1</v>
      </c>
      <c r="L331" s="194">
        <f>_1_5412845612146241046457891017[[#This Row],[LIST $]]*_1_5412845612146241046457891017[[#This Row],[DISCOUNT]]*_1_5412845612146241046457891017[[#This Row],[DISCOUNT 2]]</f>
        <v>0</v>
      </c>
      <c r="M331" s="194">
        <f>IF(OR(_1_5412845612146241046457891017[[#This Row],[UNIT]]&gt;0,_1_5412845612146241046457891017[[#This Row],[UNIT]]&lt;0),_1_5412845612146241046457891017[[#This Row],[UNIT]]*_1_5412845612146241046457891017[[#This Row],[COST]],0)</f>
        <v>0</v>
      </c>
      <c r="N331" s="194">
        <f t="shared" si="5"/>
        <v>1.35</v>
      </c>
      <c r="O331" s="198">
        <f>_1_5412845612146241046457891017[[#This Row],[TOTAL]]*_1_5412845612146241046457891017[[#This Row],[MARGIN]]</f>
        <v>0</v>
      </c>
      <c r="R331" s="41"/>
    </row>
    <row r="332" spans="1:18">
      <c r="A332" s="168"/>
      <c r="B332" s="168"/>
      <c r="C332" s="168"/>
      <c r="D332" s="188"/>
      <c r="F332" s="168" t="s">
        <v>6202</v>
      </c>
      <c r="G332" s="193">
        <f>IF(_1_5412845612146241046457891017[[#This Row],[Type]]&gt;0,VLOOKUP(_1_5412845612146241046457891017[[#This Row],[Type]],Main[[#All],[TYPE]:[UNIT]],'Unit Price'!C$1,FALSE),0)</f>
        <v>0</v>
      </c>
      <c r="H332" s="197">
        <f>IF(_1_5412845612146241046457891017[[#This Row],[Type]]&gt;0,VLOOKUP(_1_5412845612146241046457891017[[#This Row],[Type]],Main[[#All],[TYPE]:[UNIT]],'Unit Price'!D$1,FALSE),0)</f>
        <v>0</v>
      </c>
      <c r="I332" s="194">
        <f>IF(_1_5412845612146241046457891017[[#This Row],[Type]]&gt;0,VLOOKUP(_1_5412845612146241046457891017[[#This Row],[Type]],Main[[#All],[TYPE]:[UNIT]],'Unit Price'!G$1,FALSE),0)</f>
        <v>0</v>
      </c>
      <c r="J332" s="194">
        <f>IF(_1_5412845612146241046457891017[[#This Row],[Type]]&gt;0,VLOOKUP(_1_5412845612146241046457891017[[#This Row],[Type]],Main[[#All],[TYPE]:[UNIT]],'Unit Price'!H$1,FALSE),0)</f>
        <v>0</v>
      </c>
      <c r="K332" s="194">
        <f>IF(_1_5412845612146241046457891017[[#This Row],[Discount selection]]&gt;0,VLOOKUP(_1_5412845612146241046457891017[[#This Row],[Discount selection]],'Discount Structure'!$A$2:$B$30,2,"false"),0)</f>
        <v>1</v>
      </c>
      <c r="L332" s="194">
        <f>_1_5412845612146241046457891017[[#This Row],[LIST $]]*_1_5412845612146241046457891017[[#This Row],[DISCOUNT]]*_1_5412845612146241046457891017[[#This Row],[DISCOUNT 2]]</f>
        <v>0</v>
      </c>
      <c r="M332" s="194">
        <f>IF(OR(_1_5412845612146241046457891017[[#This Row],[UNIT]]&gt;0,_1_5412845612146241046457891017[[#This Row],[UNIT]]&lt;0),_1_5412845612146241046457891017[[#This Row],[UNIT]]*_1_5412845612146241046457891017[[#This Row],[COST]],0)</f>
        <v>0</v>
      </c>
      <c r="N332" s="194">
        <f t="shared" si="5"/>
        <v>1.35</v>
      </c>
      <c r="O332" s="198">
        <f>_1_5412845612146241046457891017[[#This Row],[TOTAL]]*_1_5412845612146241046457891017[[#This Row],[MARGIN]]</f>
        <v>0</v>
      </c>
      <c r="R332" s="41"/>
    </row>
    <row r="333" spans="1:18">
      <c r="A333" s="323"/>
      <c r="B333" s="323"/>
      <c r="C333" s="323"/>
      <c r="D333" s="188"/>
      <c r="F333" s="168" t="s">
        <v>6202</v>
      </c>
      <c r="G333" s="193">
        <f>IF(_1_5412845612146241046457891017[[#This Row],[Type]]&gt;0,VLOOKUP(_1_5412845612146241046457891017[[#This Row],[Type]],Main[[#All],[TYPE]:[UNIT]],'Unit Price'!C$1,FALSE),0)</f>
        <v>0</v>
      </c>
      <c r="H333" s="197">
        <f>IF(_1_5412845612146241046457891017[[#This Row],[Type]]&gt;0,VLOOKUP(_1_5412845612146241046457891017[[#This Row],[Type]],Main[[#All],[TYPE]:[UNIT]],'Unit Price'!D$1,FALSE),0)</f>
        <v>0</v>
      </c>
      <c r="I333" s="194">
        <f>IF(_1_5412845612146241046457891017[[#This Row],[Type]]&gt;0,VLOOKUP(_1_5412845612146241046457891017[[#This Row],[Type]],Main[[#All],[TYPE]:[UNIT]],'Unit Price'!G$1,FALSE),0)</f>
        <v>0</v>
      </c>
      <c r="J333" s="194">
        <f>IF(_1_5412845612146241046457891017[[#This Row],[Type]]&gt;0,VLOOKUP(_1_5412845612146241046457891017[[#This Row],[Type]],Main[[#All],[TYPE]:[UNIT]],'Unit Price'!H$1,FALSE),0)</f>
        <v>0</v>
      </c>
      <c r="K333" s="194">
        <f>IF(_1_5412845612146241046457891017[[#This Row],[Discount selection]]&gt;0,VLOOKUP(_1_5412845612146241046457891017[[#This Row],[Discount selection]],'Discount Structure'!$A$2:$B$30,2,"false"),0)</f>
        <v>1</v>
      </c>
      <c r="L333" s="194">
        <f>_1_5412845612146241046457891017[[#This Row],[LIST $]]*_1_5412845612146241046457891017[[#This Row],[DISCOUNT]]*_1_5412845612146241046457891017[[#This Row],[DISCOUNT 2]]</f>
        <v>0</v>
      </c>
      <c r="M333" s="194">
        <f>IF(OR(_1_5412845612146241046457891017[[#This Row],[UNIT]]&gt;0,_1_5412845612146241046457891017[[#This Row],[UNIT]]&lt;0),_1_5412845612146241046457891017[[#This Row],[UNIT]]*_1_5412845612146241046457891017[[#This Row],[COST]],0)</f>
        <v>0</v>
      </c>
      <c r="N333" s="194">
        <f t="shared" si="5"/>
        <v>1.35</v>
      </c>
      <c r="O333" s="198">
        <f>_1_5412845612146241046457891017[[#This Row],[TOTAL]]*_1_5412845612146241046457891017[[#This Row],[MARGIN]]</f>
        <v>0</v>
      </c>
      <c r="R333" s="41"/>
    </row>
    <row r="334" spans="1:18">
      <c r="A334" s="323"/>
      <c r="B334" s="323"/>
      <c r="C334" s="323"/>
      <c r="D334" s="188"/>
      <c r="F334" s="168" t="s">
        <v>6202</v>
      </c>
      <c r="G334" s="193">
        <f>IF(_1_5412845612146241046457891017[[#This Row],[Type]]&gt;0,VLOOKUP(_1_5412845612146241046457891017[[#This Row],[Type]],Main[[#All],[TYPE]:[UNIT]],'Unit Price'!C$1,FALSE),0)</f>
        <v>0</v>
      </c>
      <c r="H334" s="197">
        <f>IF(_1_5412845612146241046457891017[[#This Row],[Type]]&gt;0,VLOOKUP(_1_5412845612146241046457891017[[#This Row],[Type]],Main[[#All],[TYPE]:[UNIT]],'Unit Price'!D$1,FALSE),0)</f>
        <v>0</v>
      </c>
      <c r="I334" s="194">
        <f>IF(_1_5412845612146241046457891017[[#This Row],[Type]]&gt;0,VLOOKUP(_1_5412845612146241046457891017[[#This Row],[Type]],Main[[#All],[TYPE]:[UNIT]],'Unit Price'!G$1,FALSE),0)</f>
        <v>0</v>
      </c>
      <c r="J334" s="194">
        <f>IF(_1_5412845612146241046457891017[[#This Row],[Type]]&gt;0,VLOOKUP(_1_5412845612146241046457891017[[#This Row],[Type]],Main[[#All],[TYPE]:[UNIT]],'Unit Price'!H$1,FALSE),0)</f>
        <v>0</v>
      </c>
      <c r="K334" s="194">
        <f>IF(_1_5412845612146241046457891017[[#This Row],[Discount selection]]&gt;0,VLOOKUP(_1_5412845612146241046457891017[[#This Row],[Discount selection]],'Discount Structure'!$A$2:$B$30,2,"false"),0)</f>
        <v>1</v>
      </c>
      <c r="L334" s="194">
        <f>_1_5412845612146241046457891017[[#This Row],[LIST $]]*_1_5412845612146241046457891017[[#This Row],[DISCOUNT]]*_1_5412845612146241046457891017[[#This Row],[DISCOUNT 2]]</f>
        <v>0</v>
      </c>
      <c r="M334" s="194">
        <f>IF(OR(_1_5412845612146241046457891017[[#This Row],[UNIT]]&gt;0,_1_5412845612146241046457891017[[#This Row],[UNIT]]&lt;0),_1_5412845612146241046457891017[[#This Row],[UNIT]]*_1_5412845612146241046457891017[[#This Row],[COST]],0)</f>
        <v>0</v>
      </c>
      <c r="N334" s="194">
        <f t="shared" si="5"/>
        <v>1.35</v>
      </c>
      <c r="O334" s="198">
        <f>_1_5412845612146241046457891017[[#This Row],[TOTAL]]*_1_5412845612146241046457891017[[#This Row],[MARGIN]]</f>
        <v>0</v>
      </c>
      <c r="R334" s="41"/>
    </row>
    <row r="335" spans="1:18">
      <c r="D335" s="188"/>
      <c r="F335" s="168" t="s">
        <v>6202</v>
      </c>
      <c r="G335" s="205">
        <f>IF(_1_5412845612146241046457891017[[#This Row],[Type]]&gt;0,VLOOKUP(_1_5412845612146241046457891017[[#This Row],[Type]],Main[[#All],[TYPE]:[UNIT]],'Unit Price'!C$1,FALSE),0)</f>
        <v>0</v>
      </c>
      <c r="H335" s="197">
        <f>IF(_1_5412845612146241046457891017[[#This Row],[Type]]&gt;0,VLOOKUP(_1_5412845612146241046457891017[[#This Row],[Type]],Main[[#All],[TYPE]:[UNIT]],'Unit Price'!D$1,FALSE),0)</f>
        <v>0</v>
      </c>
      <c r="I335" s="194">
        <f>IF(_1_5412845612146241046457891017[[#This Row],[Type]]&gt;0,VLOOKUP(_1_5412845612146241046457891017[[#This Row],[Type]],Main[[#All],[TYPE]:[UNIT]],'Unit Price'!G$1,FALSE),0)</f>
        <v>0</v>
      </c>
      <c r="J335" s="194">
        <f>IF(_1_5412845612146241046457891017[[#This Row],[Type]]&gt;0,VLOOKUP(_1_5412845612146241046457891017[[#This Row],[Type]],Main[[#All],[TYPE]:[UNIT]],'Unit Price'!H$1,FALSE),0)</f>
        <v>0</v>
      </c>
      <c r="K335" s="194">
        <f>IF(_1_5412845612146241046457891017[[#This Row],[Discount selection]]&gt;0,VLOOKUP(_1_5412845612146241046457891017[[#This Row],[Discount selection]],'Discount Structure'!$A$2:$B$30,2,"false"),0)</f>
        <v>1</v>
      </c>
      <c r="L335" s="194">
        <f>_1_5412845612146241046457891017[[#This Row],[LIST $]]*_1_5412845612146241046457891017[[#This Row],[DISCOUNT]]*_1_5412845612146241046457891017[[#This Row],[DISCOUNT 2]]</f>
        <v>0</v>
      </c>
      <c r="M335" s="194">
        <f>IF(OR(_1_5412845612146241046457891017[[#This Row],[UNIT]]&gt;0,_1_5412845612146241046457891017[[#This Row],[UNIT]]&lt;0),_1_5412845612146241046457891017[[#This Row],[UNIT]]*_1_5412845612146241046457891017[[#This Row],[COST]],0)</f>
        <v>0</v>
      </c>
      <c r="N335" s="194">
        <f t="shared" si="5"/>
        <v>1.35</v>
      </c>
      <c r="O335" s="198">
        <f>_1_5412845612146241046457891017[[#This Row],[TOTAL]]*_1_5412845612146241046457891017[[#This Row],[MARGIN]]</f>
        <v>0</v>
      </c>
      <c r="R335" s="41"/>
    </row>
    <row r="336" spans="1:18">
      <c r="D336" s="188"/>
      <c r="F336" s="168" t="s">
        <v>6202</v>
      </c>
      <c r="G336" s="193">
        <f>IF(_1_5412845612146241046457891017[[#This Row],[Type]]&gt;0,VLOOKUP(_1_5412845612146241046457891017[[#This Row],[Type]],Main[[#All],[TYPE]:[UNIT]],'Unit Price'!C$1,FALSE),0)</f>
        <v>0</v>
      </c>
      <c r="H336" s="197">
        <f>IF(_1_5412845612146241046457891017[[#This Row],[Type]]&gt;0,VLOOKUP(_1_5412845612146241046457891017[[#This Row],[Type]],Main[[#All],[TYPE]:[UNIT]],'Unit Price'!D$1,FALSE),0)</f>
        <v>0</v>
      </c>
      <c r="I336" s="194">
        <f>IF(_1_5412845612146241046457891017[[#This Row],[Type]]&gt;0,VLOOKUP(_1_5412845612146241046457891017[[#This Row],[Type]],Main[[#All],[TYPE]:[UNIT]],'Unit Price'!G$1,FALSE),0)</f>
        <v>0</v>
      </c>
      <c r="J336" s="194">
        <f>IF(_1_5412845612146241046457891017[[#This Row],[Type]]&gt;0,VLOOKUP(_1_5412845612146241046457891017[[#This Row],[Type]],Main[[#All],[TYPE]:[UNIT]],'Unit Price'!H$1,FALSE),0)</f>
        <v>0</v>
      </c>
      <c r="K336" s="194">
        <f>IF(_1_5412845612146241046457891017[[#This Row],[Discount selection]]&gt;0,VLOOKUP(_1_5412845612146241046457891017[[#This Row],[Discount selection]],'Discount Structure'!$A$2:$B$30,2,"false"),0)</f>
        <v>1</v>
      </c>
      <c r="L336" s="194">
        <f>_1_5412845612146241046457891017[[#This Row],[LIST $]]*_1_5412845612146241046457891017[[#This Row],[DISCOUNT]]*_1_5412845612146241046457891017[[#This Row],[DISCOUNT 2]]</f>
        <v>0</v>
      </c>
      <c r="M336" s="194">
        <f>IF(OR(_1_5412845612146241046457891017[[#This Row],[UNIT]]&gt;0,_1_5412845612146241046457891017[[#This Row],[UNIT]]&lt;0),_1_5412845612146241046457891017[[#This Row],[UNIT]]*_1_5412845612146241046457891017[[#This Row],[COST]],0)</f>
        <v>0</v>
      </c>
      <c r="N336" s="194">
        <f t="shared" si="5"/>
        <v>1.35</v>
      </c>
      <c r="O336" s="198">
        <f>_1_5412845612146241046457891017[[#This Row],[TOTAL]]*_1_5412845612146241046457891017[[#This Row],[MARGIN]]</f>
        <v>0</v>
      </c>
      <c r="R336" s="41"/>
    </row>
    <row r="337" spans="1:18">
      <c r="D337" s="188"/>
      <c r="F337" s="168" t="s">
        <v>6202</v>
      </c>
      <c r="G337" s="193">
        <f>IF(_1_5412845612146241046457891017[[#This Row],[Type]]&gt;0,VLOOKUP(_1_5412845612146241046457891017[[#This Row],[Type]],Main[[#All],[TYPE]:[UNIT]],'Unit Price'!C$1,FALSE),0)</f>
        <v>0</v>
      </c>
      <c r="H337" s="197">
        <f>IF(_1_5412845612146241046457891017[[#This Row],[Type]]&gt;0,VLOOKUP(_1_5412845612146241046457891017[[#This Row],[Type]],Main[[#All],[TYPE]:[UNIT]],'Unit Price'!D$1,FALSE),0)</f>
        <v>0</v>
      </c>
      <c r="I337" s="194">
        <f>IF(_1_5412845612146241046457891017[[#This Row],[Type]]&gt;0,VLOOKUP(_1_5412845612146241046457891017[[#This Row],[Type]],Main[[#All],[TYPE]:[UNIT]],'Unit Price'!G$1,FALSE),0)</f>
        <v>0</v>
      </c>
      <c r="J337" s="194">
        <f>IF(_1_5412845612146241046457891017[[#This Row],[Type]]&gt;0,VLOOKUP(_1_5412845612146241046457891017[[#This Row],[Type]],Main[[#All],[TYPE]:[UNIT]],'Unit Price'!H$1,FALSE),0)</f>
        <v>0</v>
      </c>
      <c r="K337" s="194">
        <f>IF(_1_5412845612146241046457891017[[#This Row],[Discount selection]]&gt;0,VLOOKUP(_1_5412845612146241046457891017[[#This Row],[Discount selection]],'Discount Structure'!$A$2:$B$30,2,"false"),0)</f>
        <v>1</v>
      </c>
      <c r="L337" s="194">
        <f>_1_5412845612146241046457891017[[#This Row],[LIST $]]*_1_5412845612146241046457891017[[#This Row],[DISCOUNT]]*_1_5412845612146241046457891017[[#This Row],[DISCOUNT 2]]</f>
        <v>0</v>
      </c>
      <c r="M337" s="194">
        <f>IF(OR(_1_5412845612146241046457891017[[#This Row],[UNIT]]&gt;0,_1_5412845612146241046457891017[[#This Row],[UNIT]]&lt;0),_1_5412845612146241046457891017[[#This Row],[UNIT]]*_1_5412845612146241046457891017[[#This Row],[COST]],0)</f>
        <v>0</v>
      </c>
      <c r="N337" s="194">
        <f t="shared" si="5"/>
        <v>1.35</v>
      </c>
      <c r="O337" s="198">
        <f>_1_5412845612146241046457891017[[#This Row],[TOTAL]]*_1_5412845612146241046457891017[[#This Row],[MARGIN]]</f>
        <v>0</v>
      </c>
      <c r="R337" s="41"/>
    </row>
    <row r="338" spans="1:18">
      <c r="A338" s="327"/>
      <c r="B338" s="327"/>
      <c r="D338" s="188"/>
      <c r="F338" s="168" t="s">
        <v>6202</v>
      </c>
      <c r="G338" s="193">
        <f>IF(_1_5412845612146241046457891017[[#This Row],[Type]]&gt;0,VLOOKUP(_1_5412845612146241046457891017[[#This Row],[Type]],Main[[#All],[TYPE]:[UNIT]],'Unit Price'!C$1,FALSE),0)</f>
        <v>0</v>
      </c>
      <c r="H338" s="197">
        <f>IF(_1_5412845612146241046457891017[[#This Row],[Type]]&gt;0,VLOOKUP(_1_5412845612146241046457891017[[#This Row],[Type]],Main[[#All],[TYPE]:[UNIT]],'Unit Price'!D$1,FALSE),0)</f>
        <v>0</v>
      </c>
      <c r="I338" s="194">
        <f>IF(_1_5412845612146241046457891017[[#This Row],[Type]]&gt;0,VLOOKUP(_1_5412845612146241046457891017[[#This Row],[Type]],Main[[#All],[TYPE]:[UNIT]],'Unit Price'!G$1,FALSE),0)</f>
        <v>0</v>
      </c>
      <c r="J338" s="194">
        <f>IF(_1_5412845612146241046457891017[[#This Row],[Type]]&gt;0,VLOOKUP(_1_5412845612146241046457891017[[#This Row],[Type]],Main[[#All],[TYPE]:[UNIT]],'Unit Price'!H$1,FALSE),0)</f>
        <v>0</v>
      </c>
      <c r="K338" s="194">
        <f>IF(_1_5412845612146241046457891017[[#This Row],[Discount selection]]&gt;0,VLOOKUP(_1_5412845612146241046457891017[[#This Row],[Discount selection]],'Discount Structure'!$A$2:$B$30,2,"false"),0)</f>
        <v>1</v>
      </c>
      <c r="L338" s="194">
        <f>_1_5412845612146241046457891017[[#This Row],[LIST $]]*_1_5412845612146241046457891017[[#This Row],[DISCOUNT]]*_1_5412845612146241046457891017[[#This Row],[DISCOUNT 2]]</f>
        <v>0</v>
      </c>
      <c r="M338" s="194">
        <f>IF(OR(_1_5412845612146241046457891017[[#This Row],[UNIT]]&gt;0,_1_5412845612146241046457891017[[#This Row],[UNIT]]&lt;0),_1_5412845612146241046457891017[[#This Row],[UNIT]]*_1_5412845612146241046457891017[[#This Row],[COST]],0)</f>
        <v>0</v>
      </c>
      <c r="N338" s="194">
        <f t="shared" si="5"/>
        <v>1.35</v>
      </c>
      <c r="O338" s="198">
        <f>_1_5412845612146241046457891017[[#This Row],[TOTAL]]*_1_5412845612146241046457891017[[#This Row],[MARGIN]]</f>
        <v>0</v>
      </c>
      <c r="R338" s="41"/>
    </row>
    <row r="339" spans="1:18">
      <c r="D339" s="188"/>
      <c r="F339" s="168" t="s">
        <v>6202</v>
      </c>
      <c r="G339" s="193">
        <f>IF(_1_5412845612146241046457891017[[#This Row],[Type]]&gt;0,VLOOKUP(_1_5412845612146241046457891017[[#This Row],[Type]],Main[[#All],[TYPE]:[UNIT]],'Unit Price'!C$1,FALSE),0)</f>
        <v>0</v>
      </c>
      <c r="H339" s="197">
        <f>IF(_1_5412845612146241046457891017[[#This Row],[Type]]&gt;0,VLOOKUP(_1_5412845612146241046457891017[[#This Row],[Type]],Main[[#All],[TYPE]:[UNIT]],'Unit Price'!D$1,FALSE),0)</f>
        <v>0</v>
      </c>
      <c r="I339" s="194">
        <f>IF(_1_5412845612146241046457891017[[#This Row],[Type]]&gt;0,VLOOKUP(_1_5412845612146241046457891017[[#This Row],[Type]],Main[[#All],[TYPE]:[UNIT]],'Unit Price'!G$1,FALSE),0)</f>
        <v>0</v>
      </c>
      <c r="J339" s="194">
        <f>IF(_1_5412845612146241046457891017[[#This Row],[Type]]&gt;0,VLOOKUP(_1_5412845612146241046457891017[[#This Row],[Type]],Main[[#All],[TYPE]:[UNIT]],'Unit Price'!H$1,FALSE),0)</f>
        <v>0</v>
      </c>
      <c r="K339" s="194">
        <f>IF(_1_5412845612146241046457891017[[#This Row],[Discount selection]]&gt;0,VLOOKUP(_1_5412845612146241046457891017[[#This Row],[Discount selection]],'Discount Structure'!$A$2:$B$30,2,"false"),0)</f>
        <v>1</v>
      </c>
      <c r="L339" s="194">
        <f>_1_5412845612146241046457891017[[#This Row],[LIST $]]*_1_5412845612146241046457891017[[#This Row],[DISCOUNT]]*_1_5412845612146241046457891017[[#This Row],[DISCOUNT 2]]</f>
        <v>0</v>
      </c>
      <c r="M339" s="194">
        <f>IF(OR(_1_5412845612146241046457891017[[#This Row],[UNIT]]&gt;0,_1_5412845612146241046457891017[[#This Row],[UNIT]]&lt;0),_1_5412845612146241046457891017[[#This Row],[UNIT]]*_1_5412845612146241046457891017[[#This Row],[COST]],0)</f>
        <v>0</v>
      </c>
      <c r="N339" s="194">
        <f t="shared" si="5"/>
        <v>1.35</v>
      </c>
      <c r="O339" s="198">
        <f>_1_5412845612146241046457891017[[#This Row],[TOTAL]]*_1_5412845612146241046457891017[[#This Row],[MARGIN]]</f>
        <v>0</v>
      </c>
      <c r="R339" s="41"/>
    </row>
    <row r="340" spans="1:18">
      <c r="D340" s="188"/>
      <c r="F340" s="168" t="s">
        <v>6202</v>
      </c>
      <c r="G340" s="193">
        <f>IF(_1_5412845612146241046457891017[[#This Row],[Type]]&gt;0,VLOOKUP(_1_5412845612146241046457891017[[#This Row],[Type]],Main[[#All],[TYPE]:[UNIT]],'Unit Price'!C$1,FALSE),0)</f>
        <v>0</v>
      </c>
      <c r="H340" s="197">
        <f>IF(_1_5412845612146241046457891017[[#This Row],[Type]]&gt;0,VLOOKUP(_1_5412845612146241046457891017[[#This Row],[Type]],Main[[#All],[TYPE]:[UNIT]],'Unit Price'!D$1,FALSE),0)</f>
        <v>0</v>
      </c>
      <c r="I340" s="194">
        <f>IF(_1_5412845612146241046457891017[[#This Row],[Type]]&gt;0,VLOOKUP(_1_5412845612146241046457891017[[#This Row],[Type]],Main[[#All],[TYPE]:[UNIT]],'Unit Price'!G$1,FALSE),0)</f>
        <v>0</v>
      </c>
      <c r="J340" s="194">
        <f>IF(_1_5412845612146241046457891017[[#This Row],[Type]]&gt;0,VLOOKUP(_1_5412845612146241046457891017[[#This Row],[Type]],Main[[#All],[TYPE]:[UNIT]],'Unit Price'!H$1,FALSE),0)</f>
        <v>0</v>
      </c>
      <c r="K340" s="194">
        <f>IF(_1_5412845612146241046457891017[[#This Row],[Discount selection]]&gt;0,VLOOKUP(_1_5412845612146241046457891017[[#This Row],[Discount selection]],'Discount Structure'!$A$2:$B$30,2,"false"),0)</f>
        <v>1</v>
      </c>
      <c r="L340" s="194">
        <f>_1_5412845612146241046457891017[[#This Row],[LIST $]]*_1_5412845612146241046457891017[[#This Row],[DISCOUNT]]*_1_5412845612146241046457891017[[#This Row],[DISCOUNT 2]]</f>
        <v>0</v>
      </c>
      <c r="M340" s="194">
        <f>IF(OR(_1_5412845612146241046457891017[[#This Row],[UNIT]]&gt;0,_1_5412845612146241046457891017[[#This Row],[UNIT]]&lt;0),_1_5412845612146241046457891017[[#This Row],[UNIT]]*_1_5412845612146241046457891017[[#This Row],[COST]],0)</f>
        <v>0</v>
      </c>
      <c r="N340" s="194">
        <f t="shared" si="5"/>
        <v>1.35</v>
      </c>
      <c r="O340" s="198">
        <f>_1_5412845612146241046457891017[[#This Row],[TOTAL]]*_1_5412845612146241046457891017[[#This Row],[MARGIN]]</f>
        <v>0</v>
      </c>
      <c r="R340" s="41"/>
    </row>
    <row r="341" spans="1:18">
      <c r="D341" s="188"/>
      <c r="F341" s="168" t="s">
        <v>6202</v>
      </c>
      <c r="G341" s="193">
        <f>IF(_1_5412845612146241046457891017[[#This Row],[Type]]&gt;0,VLOOKUP(_1_5412845612146241046457891017[[#This Row],[Type]],Main[[#All],[TYPE]:[UNIT]],'Unit Price'!C$1,FALSE),0)</f>
        <v>0</v>
      </c>
      <c r="H341" s="197">
        <f>IF(_1_5412845612146241046457891017[[#This Row],[Type]]&gt;0,VLOOKUP(_1_5412845612146241046457891017[[#This Row],[Type]],Main[[#All],[TYPE]:[UNIT]],'Unit Price'!D$1,FALSE),0)</f>
        <v>0</v>
      </c>
      <c r="I341" s="194">
        <f>IF(_1_5412845612146241046457891017[[#This Row],[Type]]&gt;0,VLOOKUP(_1_5412845612146241046457891017[[#This Row],[Type]],Main[[#All],[TYPE]:[UNIT]],'Unit Price'!G$1,FALSE),0)</f>
        <v>0</v>
      </c>
      <c r="J341" s="194">
        <f>IF(_1_5412845612146241046457891017[[#This Row],[Type]]&gt;0,VLOOKUP(_1_5412845612146241046457891017[[#This Row],[Type]],Main[[#All],[TYPE]:[UNIT]],'Unit Price'!H$1,FALSE),0)</f>
        <v>0</v>
      </c>
      <c r="K341" s="194">
        <f>IF(_1_5412845612146241046457891017[[#This Row],[Discount selection]]&gt;0,VLOOKUP(_1_5412845612146241046457891017[[#This Row],[Discount selection]],'Discount Structure'!$A$2:$B$30,2,"false"),0)</f>
        <v>1</v>
      </c>
      <c r="L341" s="194">
        <f>_1_5412845612146241046457891017[[#This Row],[LIST $]]*_1_5412845612146241046457891017[[#This Row],[DISCOUNT]]*_1_5412845612146241046457891017[[#This Row],[DISCOUNT 2]]</f>
        <v>0</v>
      </c>
      <c r="M341" s="194">
        <f>IF(OR(_1_5412845612146241046457891017[[#This Row],[UNIT]]&gt;0,_1_5412845612146241046457891017[[#This Row],[UNIT]]&lt;0),_1_5412845612146241046457891017[[#This Row],[UNIT]]*_1_5412845612146241046457891017[[#This Row],[COST]],0)</f>
        <v>0</v>
      </c>
      <c r="N341" s="194">
        <f t="shared" si="5"/>
        <v>1.35</v>
      </c>
      <c r="O341" s="198">
        <f>_1_5412845612146241046457891017[[#This Row],[TOTAL]]*_1_5412845612146241046457891017[[#This Row],[MARGIN]]</f>
        <v>0</v>
      </c>
      <c r="R341" s="41"/>
    </row>
    <row r="342" spans="1:18">
      <c r="D342" s="188"/>
      <c r="F342" s="168" t="s">
        <v>6202</v>
      </c>
      <c r="G342" s="193">
        <f>IF(_1_5412845612146241046457891017[[#This Row],[Type]]&gt;0,VLOOKUP(_1_5412845612146241046457891017[[#This Row],[Type]],Main[[#All],[TYPE]:[UNIT]],'Unit Price'!C$1,FALSE),0)</f>
        <v>0</v>
      </c>
      <c r="H342" s="197">
        <f>IF(_1_5412845612146241046457891017[[#This Row],[Type]]&gt;0,VLOOKUP(_1_5412845612146241046457891017[[#This Row],[Type]],Main[[#All],[TYPE]:[UNIT]],'Unit Price'!D$1,FALSE),0)</f>
        <v>0</v>
      </c>
      <c r="I342" s="194">
        <f>IF(_1_5412845612146241046457891017[[#This Row],[Type]]&gt;0,VLOOKUP(_1_5412845612146241046457891017[[#This Row],[Type]],Main[[#All],[TYPE]:[UNIT]],'Unit Price'!G$1,FALSE),0)</f>
        <v>0</v>
      </c>
      <c r="J342" s="194">
        <f>IF(_1_5412845612146241046457891017[[#This Row],[Type]]&gt;0,VLOOKUP(_1_5412845612146241046457891017[[#This Row],[Type]],Main[[#All],[TYPE]:[UNIT]],'Unit Price'!H$1,FALSE),0)</f>
        <v>0</v>
      </c>
      <c r="K342" s="194">
        <f>IF(_1_5412845612146241046457891017[[#This Row],[Discount selection]]&gt;0,VLOOKUP(_1_5412845612146241046457891017[[#This Row],[Discount selection]],'Discount Structure'!$A$2:$B$30,2,"false"),0)</f>
        <v>1</v>
      </c>
      <c r="L342" s="194">
        <f>_1_5412845612146241046457891017[[#This Row],[LIST $]]*_1_5412845612146241046457891017[[#This Row],[DISCOUNT]]*_1_5412845612146241046457891017[[#This Row],[DISCOUNT 2]]</f>
        <v>0</v>
      </c>
      <c r="M342" s="194">
        <f>IF(OR(_1_5412845612146241046457891017[[#This Row],[UNIT]]&gt;0,_1_5412845612146241046457891017[[#This Row],[UNIT]]&lt;0),_1_5412845612146241046457891017[[#This Row],[UNIT]]*_1_5412845612146241046457891017[[#This Row],[COST]],0)</f>
        <v>0</v>
      </c>
      <c r="N342" s="194">
        <f t="shared" si="5"/>
        <v>1.35</v>
      </c>
      <c r="O342" s="198">
        <f>_1_5412845612146241046457891017[[#This Row],[TOTAL]]*_1_5412845612146241046457891017[[#This Row],[MARGIN]]</f>
        <v>0</v>
      </c>
      <c r="R342" s="41"/>
    </row>
    <row r="343" spans="1:18">
      <c r="D343" s="188"/>
      <c r="F343" s="168" t="s">
        <v>6202</v>
      </c>
      <c r="G343" s="193">
        <f>IF(_1_5412845612146241046457891017[[#This Row],[Type]]&gt;0,VLOOKUP(_1_5412845612146241046457891017[[#This Row],[Type]],Main[[#All],[TYPE]:[UNIT]],'Unit Price'!C$1,FALSE),0)</f>
        <v>0</v>
      </c>
      <c r="H343" s="197">
        <f>IF(_1_5412845612146241046457891017[[#This Row],[Type]]&gt;0,VLOOKUP(_1_5412845612146241046457891017[[#This Row],[Type]],Main[[#All],[TYPE]:[UNIT]],'Unit Price'!D$1,FALSE),0)</f>
        <v>0</v>
      </c>
      <c r="I343" s="194">
        <f>IF(_1_5412845612146241046457891017[[#This Row],[Type]]&gt;0,VLOOKUP(_1_5412845612146241046457891017[[#This Row],[Type]],Main[[#All],[TYPE]:[UNIT]],'Unit Price'!G$1,FALSE),0)</f>
        <v>0</v>
      </c>
      <c r="J343" s="194">
        <f>IF(_1_5412845612146241046457891017[[#This Row],[Type]]&gt;0,VLOOKUP(_1_5412845612146241046457891017[[#This Row],[Type]],Main[[#All],[TYPE]:[UNIT]],'Unit Price'!H$1,FALSE),0)</f>
        <v>0</v>
      </c>
      <c r="K343" s="194">
        <f>IF(_1_5412845612146241046457891017[[#This Row],[Discount selection]]&gt;0,VLOOKUP(_1_5412845612146241046457891017[[#This Row],[Discount selection]],'Discount Structure'!$A$2:$B$30,2,"false"),0)</f>
        <v>1</v>
      </c>
      <c r="L343" s="194">
        <f>_1_5412845612146241046457891017[[#This Row],[LIST $]]*_1_5412845612146241046457891017[[#This Row],[DISCOUNT]]*_1_5412845612146241046457891017[[#This Row],[DISCOUNT 2]]</f>
        <v>0</v>
      </c>
      <c r="M343" s="194">
        <f>IF(OR(_1_5412845612146241046457891017[[#This Row],[UNIT]]&gt;0,_1_5412845612146241046457891017[[#This Row],[UNIT]]&lt;0),_1_5412845612146241046457891017[[#This Row],[UNIT]]*_1_5412845612146241046457891017[[#This Row],[COST]],0)</f>
        <v>0</v>
      </c>
      <c r="N343" s="194">
        <f t="shared" si="5"/>
        <v>1.35</v>
      </c>
      <c r="O343" s="198">
        <f>_1_5412845612146241046457891017[[#This Row],[TOTAL]]*_1_5412845612146241046457891017[[#This Row],[MARGIN]]</f>
        <v>0</v>
      </c>
      <c r="R343" s="41"/>
    </row>
    <row r="344" spans="1:18">
      <c r="A344" s="168"/>
      <c r="D344" s="188"/>
      <c r="F344" s="168" t="s">
        <v>6202</v>
      </c>
      <c r="G344" s="193">
        <f>IF(_1_5412845612146241046457891017[[#This Row],[Type]]&gt;0,VLOOKUP(_1_5412845612146241046457891017[[#This Row],[Type]],Main[[#All],[TYPE]:[UNIT]],'Unit Price'!C$1,FALSE),0)</f>
        <v>0</v>
      </c>
      <c r="H344" s="197">
        <f>IF(_1_5412845612146241046457891017[[#This Row],[Type]]&gt;0,VLOOKUP(_1_5412845612146241046457891017[[#This Row],[Type]],Main[[#All],[TYPE]:[UNIT]],'Unit Price'!D$1,FALSE),0)</f>
        <v>0</v>
      </c>
      <c r="I344" s="194">
        <f>IF(_1_5412845612146241046457891017[[#This Row],[Type]]&gt;0,VLOOKUP(_1_5412845612146241046457891017[[#This Row],[Type]],Main[[#All],[TYPE]:[UNIT]],'Unit Price'!G$1,FALSE),0)</f>
        <v>0</v>
      </c>
      <c r="J344" s="194">
        <f>IF(_1_5412845612146241046457891017[[#This Row],[Type]]&gt;0,VLOOKUP(_1_5412845612146241046457891017[[#This Row],[Type]],Main[[#All],[TYPE]:[UNIT]],'Unit Price'!H$1,FALSE),0)</f>
        <v>0</v>
      </c>
      <c r="K344" s="194">
        <f>IF(_1_5412845612146241046457891017[[#This Row],[Discount selection]]&gt;0,VLOOKUP(_1_5412845612146241046457891017[[#This Row],[Discount selection]],'Discount Structure'!$A$2:$B$30,2,"false"),0)</f>
        <v>1</v>
      </c>
      <c r="L344" s="194">
        <f>_1_5412845612146241046457891017[[#This Row],[LIST $]]*_1_5412845612146241046457891017[[#This Row],[DISCOUNT]]*_1_5412845612146241046457891017[[#This Row],[DISCOUNT 2]]</f>
        <v>0</v>
      </c>
      <c r="M344" s="194">
        <f>IF(OR(_1_5412845612146241046457891017[[#This Row],[UNIT]]&gt;0,_1_5412845612146241046457891017[[#This Row],[UNIT]]&lt;0),_1_5412845612146241046457891017[[#This Row],[UNIT]]*_1_5412845612146241046457891017[[#This Row],[COST]],0)</f>
        <v>0</v>
      </c>
      <c r="N344" s="194">
        <f t="shared" si="5"/>
        <v>1.35</v>
      </c>
      <c r="O344" s="198">
        <f>_1_5412845612146241046457891017[[#This Row],[TOTAL]]*_1_5412845612146241046457891017[[#This Row],[MARGIN]]</f>
        <v>0</v>
      </c>
      <c r="R344" s="41"/>
    </row>
    <row r="345" spans="1:18">
      <c r="D345" s="188"/>
      <c r="F345" s="168" t="s">
        <v>6202</v>
      </c>
      <c r="G345" s="193">
        <f>IF(_1_5412845612146241046457891017[[#This Row],[Type]]&gt;0,VLOOKUP(_1_5412845612146241046457891017[[#This Row],[Type]],Main[[#All],[TYPE]:[UNIT]],'Unit Price'!C$1,FALSE),0)</f>
        <v>0</v>
      </c>
      <c r="H345" s="197">
        <f>IF(_1_5412845612146241046457891017[[#This Row],[Type]]&gt;0,VLOOKUP(_1_5412845612146241046457891017[[#This Row],[Type]],Main[[#All],[TYPE]:[UNIT]],'Unit Price'!D$1,FALSE),0)</f>
        <v>0</v>
      </c>
      <c r="I345" s="194">
        <f>IF(_1_5412845612146241046457891017[[#This Row],[Type]]&gt;0,VLOOKUP(_1_5412845612146241046457891017[[#This Row],[Type]],Main[[#All],[TYPE]:[UNIT]],'Unit Price'!G$1,FALSE),0)</f>
        <v>0</v>
      </c>
      <c r="J345" s="194">
        <f>IF(_1_5412845612146241046457891017[[#This Row],[Type]]&gt;0,VLOOKUP(_1_5412845612146241046457891017[[#This Row],[Type]],Main[[#All],[TYPE]:[UNIT]],'Unit Price'!H$1,FALSE),0)</f>
        <v>0</v>
      </c>
      <c r="K345" s="194">
        <f>IF(_1_5412845612146241046457891017[[#This Row],[Discount selection]]&gt;0,VLOOKUP(_1_5412845612146241046457891017[[#This Row],[Discount selection]],'Discount Structure'!$A$2:$B$30,2,"false"),0)</f>
        <v>1</v>
      </c>
      <c r="L345" s="194">
        <f>_1_5412845612146241046457891017[[#This Row],[LIST $]]*_1_5412845612146241046457891017[[#This Row],[DISCOUNT]]*_1_5412845612146241046457891017[[#This Row],[DISCOUNT 2]]</f>
        <v>0</v>
      </c>
      <c r="M345" s="194">
        <f>IF(OR(_1_5412845612146241046457891017[[#This Row],[UNIT]]&gt;0,_1_5412845612146241046457891017[[#This Row],[UNIT]]&lt;0),_1_5412845612146241046457891017[[#This Row],[UNIT]]*_1_5412845612146241046457891017[[#This Row],[COST]],0)</f>
        <v>0</v>
      </c>
      <c r="N345" s="194">
        <f t="shared" si="5"/>
        <v>1.35</v>
      </c>
      <c r="O345" s="198">
        <f>_1_5412845612146241046457891017[[#This Row],[TOTAL]]*_1_5412845612146241046457891017[[#This Row],[MARGIN]]</f>
        <v>0</v>
      </c>
      <c r="R345" s="41"/>
    </row>
    <row r="346" spans="1:18">
      <c r="A346" s="168"/>
      <c r="B346" s="168"/>
      <c r="C346" s="168"/>
      <c r="D346" s="188"/>
      <c r="F346" s="168" t="s">
        <v>6202</v>
      </c>
      <c r="G346" s="193">
        <f>IF(_1_5412845612146241046457891017[[#This Row],[Type]]&gt;0,VLOOKUP(_1_5412845612146241046457891017[[#This Row],[Type]],Main[[#All],[TYPE]:[UNIT]],'Unit Price'!C$1,FALSE),0)</f>
        <v>0</v>
      </c>
      <c r="H346" s="197">
        <f>IF(_1_5412845612146241046457891017[[#This Row],[Type]]&gt;0,VLOOKUP(_1_5412845612146241046457891017[[#This Row],[Type]],Main[[#All],[TYPE]:[UNIT]],'Unit Price'!D$1,FALSE),0)</f>
        <v>0</v>
      </c>
      <c r="I346" s="194">
        <f>IF(_1_5412845612146241046457891017[[#This Row],[Type]]&gt;0,VLOOKUP(_1_5412845612146241046457891017[[#This Row],[Type]],Main[[#All],[TYPE]:[UNIT]],'Unit Price'!G$1,FALSE),0)</f>
        <v>0</v>
      </c>
      <c r="J346" s="194">
        <f>IF(_1_5412845612146241046457891017[[#This Row],[Type]]&gt;0,VLOOKUP(_1_5412845612146241046457891017[[#This Row],[Type]],Main[[#All],[TYPE]:[UNIT]],'Unit Price'!H$1,FALSE),0)</f>
        <v>0</v>
      </c>
      <c r="K346" s="194">
        <f>IF(_1_5412845612146241046457891017[[#This Row],[Discount selection]]&gt;0,VLOOKUP(_1_5412845612146241046457891017[[#This Row],[Discount selection]],'Discount Structure'!$A$2:$B$30,2,"false"),0)</f>
        <v>1</v>
      </c>
      <c r="L346" s="194">
        <f>_1_5412845612146241046457891017[[#This Row],[LIST $]]*_1_5412845612146241046457891017[[#This Row],[DISCOUNT]]*_1_5412845612146241046457891017[[#This Row],[DISCOUNT 2]]</f>
        <v>0</v>
      </c>
      <c r="M346" s="194">
        <f>IF(OR(_1_5412845612146241046457891017[[#This Row],[UNIT]]&gt;0,_1_5412845612146241046457891017[[#This Row],[UNIT]]&lt;0),_1_5412845612146241046457891017[[#This Row],[UNIT]]*_1_5412845612146241046457891017[[#This Row],[COST]],0)</f>
        <v>0</v>
      </c>
      <c r="N346" s="194">
        <f t="shared" si="5"/>
        <v>1.35</v>
      </c>
      <c r="O346" s="198">
        <f>_1_5412845612146241046457891017[[#This Row],[TOTAL]]*_1_5412845612146241046457891017[[#This Row],[MARGIN]]</f>
        <v>0</v>
      </c>
      <c r="R346" s="41"/>
    </row>
    <row r="347" spans="1:18">
      <c r="A347" s="323"/>
      <c r="B347" s="323"/>
      <c r="C347" s="323"/>
      <c r="D347" s="188"/>
      <c r="F347" s="168" t="s">
        <v>6202</v>
      </c>
      <c r="G347" s="193">
        <f>IF(_1_5412845612146241046457891017[[#This Row],[Type]]&gt;0,VLOOKUP(_1_5412845612146241046457891017[[#This Row],[Type]],Main[[#All],[TYPE]:[UNIT]],'Unit Price'!C$1,FALSE),0)</f>
        <v>0</v>
      </c>
      <c r="H347" s="197">
        <f>IF(_1_5412845612146241046457891017[[#This Row],[Type]]&gt;0,VLOOKUP(_1_5412845612146241046457891017[[#This Row],[Type]],Main[[#All],[TYPE]:[UNIT]],'Unit Price'!D$1,FALSE),0)</f>
        <v>0</v>
      </c>
      <c r="I347" s="194">
        <f>IF(_1_5412845612146241046457891017[[#This Row],[Type]]&gt;0,VLOOKUP(_1_5412845612146241046457891017[[#This Row],[Type]],Main[[#All],[TYPE]:[UNIT]],'Unit Price'!G$1,FALSE),0)</f>
        <v>0</v>
      </c>
      <c r="J347" s="194">
        <f>IF(_1_5412845612146241046457891017[[#This Row],[Type]]&gt;0,VLOOKUP(_1_5412845612146241046457891017[[#This Row],[Type]],Main[[#All],[TYPE]:[UNIT]],'Unit Price'!H$1,FALSE),0)</f>
        <v>0</v>
      </c>
      <c r="K347" s="194">
        <f>IF(_1_5412845612146241046457891017[[#This Row],[Discount selection]]&gt;0,VLOOKUP(_1_5412845612146241046457891017[[#This Row],[Discount selection]],'Discount Structure'!$A$2:$B$30,2,"false"),0)</f>
        <v>1</v>
      </c>
      <c r="L347" s="194">
        <f>_1_5412845612146241046457891017[[#This Row],[LIST $]]*_1_5412845612146241046457891017[[#This Row],[DISCOUNT]]*_1_5412845612146241046457891017[[#This Row],[DISCOUNT 2]]</f>
        <v>0</v>
      </c>
      <c r="M347" s="194">
        <f>IF(OR(_1_5412845612146241046457891017[[#This Row],[UNIT]]&gt;0,_1_5412845612146241046457891017[[#This Row],[UNIT]]&lt;0),_1_5412845612146241046457891017[[#This Row],[UNIT]]*_1_5412845612146241046457891017[[#This Row],[COST]],0)</f>
        <v>0</v>
      </c>
      <c r="N347" s="194">
        <f t="shared" si="5"/>
        <v>1.35</v>
      </c>
      <c r="O347" s="198">
        <f>_1_5412845612146241046457891017[[#This Row],[TOTAL]]*_1_5412845612146241046457891017[[#This Row],[MARGIN]]</f>
        <v>0</v>
      </c>
      <c r="R347" s="41"/>
    </row>
    <row r="348" spans="1:18">
      <c r="A348" s="323"/>
      <c r="B348" s="353"/>
      <c r="C348" s="323"/>
      <c r="D348" s="188"/>
      <c r="F348" s="168" t="s">
        <v>6202</v>
      </c>
      <c r="G348" s="193">
        <f>IF(_1_5412845612146241046457891017[[#This Row],[Type]]&gt;0,VLOOKUP(_1_5412845612146241046457891017[[#This Row],[Type]],Main[[#All],[TYPE]:[UNIT]],'Unit Price'!C$1,FALSE),0)</f>
        <v>0</v>
      </c>
      <c r="H348" s="197">
        <f>IF(_1_5412845612146241046457891017[[#This Row],[Type]]&gt;0,VLOOKUP(_1_5412845612146241046457891017[[#This Row],[Type]],Main[[#All],[TYPE]:[UNIT]],'Unit Price'!D$1,FALSE),0)</f>
        <v>0</v>
      </c>
      <c r="I348" s="194">
        <f>IF(_1_5412845612146241046457891017[[#This Row],[Type]]&gt;0,VLOOKUP(_1_5412845612146241046457891017[[#This Row],[Type]],Main[[#All],[TYPE]:[UNIT]],'Unit Price'!G$1,FALSE),0)</f>
        <v>0</v>
      </c>
      <c r="J348" s="194">
        <f>IF(_1_5412845612146241046457891017[[#This Row],[Type]]&gt;0,VLOOKUP(_1_5412845612146241046457891017[[#This Row],[Type]],Main[[#All],[TYPE]:[UNIT]],'Unit Price'!H$1,FALSE),0)</f>
        <v>0</v>
      </c>
      <c r="K348" s="194">
        <f>IF(_1_5412845612146241046457891017[[#This Row],[Discount selection]]&gt;0,VLOOKUP(_1_5412845612146241046457891017[[#This Row],[Discount selection]],'Discount Structure'!$A$2:$B$30,2,"false"),0)</f>
        <v>1</v>
      </c>
      <c r="L348" s="194">
        <f>_1_5412845612146241046457891017[[#This Row],[LIST $]]*_1_5412845612146241046457891017[[#This Row],[DISCOUNT]]*_1_5412845612146241046457891017[[#This Row],[DISCOUNT 2]]</f>
        <v>0</v>
      </c>
      <c r="M348" s="194">
        <f>IF(OR(_1_5412845612146241046457891017[[#This Row],[UNIT]]&gt;0,_1_5412845612146241046457891017[[#This Row],[UNIT]]&lt;0),_1_5412845612146241046457891017[[#This Row],[UNIT]]*_1_5412845612146241046457891017[[#This Row],[COST]],0)</f>
        <v>0</v>
      </c>
      <c r="N348" s="194">
        <f t="shared" si="5"/>
        <v>1.35</v>
      </c>
      <c r="O348" s="198">
        <f>_1_5412845612146241046457891017[[#This Row],[TOTAL]]*_1_5412845612146241046457891017[[#This Row],[MARGIN]]</f>
        <v>0</v>
      </c>
      <c r="R348" s="41"/>
    </row>
    <row r="349" spans="1:18">
      <c r="D349" s="188"/>
      <c r="F349" s="168" t="s">
        <v>6202</v>
      </c>
      <c r="G349" s="193">
        <f>IF(_1_5412845612146241046457891017[[#This Row],[Type]]&gt;0,VLOOKUP(_1_5412845612146241046457891017[[#This Row],[Type]],Main[[#All],[TYPE]:[UNIT]],'Unit Price'!C$1,FALSE),0)</f>
        <v>0</v>
      </c>
      <c r="H349" s="197">
        <f>IF(_1_5412845612146241046457891017[[#This Row],[Type]]&gt;0,VLOOKUP(_1_5412845612146241046457891017[[#This Row],[Type]],Main[[#All],[TYPE]:[UNIT]],'Unit Price'!D$1,FALSE),0)</f>
        <v>0</v>
      </c>
      <c r="I349" s="194">
        <f>IF(_1_5412845612146241046457891017[[#This Row],[Type]]&gt;0,VLOOKUP(_1_5412845612146241046457891017[[#This Row],[Type]],Main[[#All],[TYPE]:[UNIT]],'Unit Price'!G$1,FALSE),0)</f>
        <v>0</v>
      </c>
      <c r="J349" s="194">
        <f>IF(_1_5412845612146241046457891017[[#This Row],[Type]]&gt;0,VLOOKUP(_1_5412845612146241046457891017[[#This Row],[Type]],Main[[#All],[TYPE]:[UNIT]],'Unit Price'!H$1,FALSE),0)</f>
        <v>0</v>
      </c>
      <c r="K349" s="194">
        <f>IF(_1_5412845612146241046457891017[[#This Row],[Discount selection]]&gt;0,VLOOKUP(_1_5412845612146241046457891017[[#This Row],[Discount selection]],'Discount Structure'!$A$2:$B$30,2,"false"),0)</f>
        <v>1</v>
      </c>
      <c r="L349" s="194">
        <f>_1_5412845612146241046457891017[[#This Row],[LIST $]]*_1_5412845612146241046457891017[[#This Row],[DISCOUNT]]*_1_5412845612146241046457891017[[#This Row],[DISCOUNT 2]]</f>
        <v>0</v>
      </c>
      <c r="M349" s="194">
        <f>IF(OR(_1_5412845612146241046457891017[[#This Row],[UNIT]]&gt;0,_1_5412845612146241046457891017[[#This Row],[UNIT]]&lt;0),_1_5412845612146241046457891017[[#This Row],[UNIT]]*_1_5412845612146241046457891017[[#This Row],[COST]],0)</f>
        <v>0</v>
      </c>
      <c r="N349" s="194">
        <f t="shared" si="5"/>
        <v>1.35</v>
      </c>
      <c r="O349" s="198">
        <f>_1_5412845612146241046457891017[[#This Row],[TOTAL]]*_1_5412845612146241046457891017[[#This Row],[MARGIN]]</f>
        <v>0</v>
      </c>
      <c r="R349" s="41"/>
    </row>
    <row r="350" spans="1:18">
      <c r="D350" s="188"/>
      <c r="F350" s="168" t="s">
        <v>6202</v>
      </c>
      <c r="G350" s="193">
        <f>IF(_1_5412845612146241046457891017[[#This Row],[Type]]&gt;0,VLOOKUP(_1_5412845612146241046457891017[[#This Row],[Type]],Main[[#All],[TYPE]:[UNIT]],'Unit Price'!C$1,FALSE),0)</f>
        <v>0</v>
      </c>
      <c r="H350" s="197">
        <f>IF(_1_5412845612146241046457891017[[#This Row],[Type]]&gt;0,VLOOKUP(_1_5412845612146241046457891017[[#This Row],[Type]],Main[[#All],[TYPE]:[UNIT]],'Unit Price'!D$1,FALSE),0)</f>
        <v>0</v>
      </c>
      <c r="I350" s="194">
        <f>IF(_1_5412845612146241046457891017[[#This Row],[Type]]&gt;0,VLOOKUP(_1_5412845612146241046457891017[[#This Row],[Type]],Main[[#All],[TYPE]:[UNIT]],'Unit Price'!G$1,FALSE),0)</f>
        <v>0</v>
      </c>
      <c r="J350" s="194">
        <f>IF(_1_5412845612146241046457891017[[#This Row],[Type]]&gt;0,VLOOKUP(_1_5412845612146241046457891017[[#This Row],[Type]],Main[[#All],[TYPE]:[UNIT]],'Unit Price'!H$1,FALSE),0)</f>
        <v>0</v>
      </c>
      <c r="K350" s="194">
        <f>IF(_1_5412845612146241046457891017[[#This Row],[Discount selection]]&gt;0,VLOOKUP(_1_5412845612146241046457891017[[#This Row],[Discount selection]],'Discount Structure'!$A$2:$B$30,2,"false"),0)</f>
        <v>1</v>
      </c>
      <c r="L350" s="194">
        <f>_1_5412845612146241046457891017[[#This Row],[LIST $]]*_1_5412845612146241046457891017[[#This Row],[DISCOUNT]]*_1_5412845612146241046457891017[[#This Row],[DISCOUNT 2]]</f>
        <v>0</v>
      </c>
      <c r="M350" s="194">
        <f>IF(OR(_1_5412845612146241046457891017[[#This Row],[UNIT]]&gt;0,_1_5412845612146241046457891017[[#This Row],[UNIT]]&lt;0),_1_5412845612146241046457891017[[#This Row],[UNIT]]*_1_5412845612146241046457891017[[#This Row],[COST]],0)</f>
        <v>0</v>
      </c>
      <c r="N350" s="194">
        <f t="shared" si="5"/>
        <v>1.35</v>
      </c>
      <c r="O350" s="198">
        <f>_1_5412845612146241046457891017[[#This Row],[TOTAL]]*_1_5412845612146241046457891017[[#This Row],[MARGIN]]</f>
        <v>0</v>
      </c>
      <c r="R350" s="41"/>
    </row>
    <row r="351" spans="1:18">
      <c r="A351" s="168"/>
      <c r="D351" s="188"/>
      <c r="F351" s="168" t="s">
        <v>6202</v>
      </c>
      <c r="G351" s="193">
        <f>IF(_1_5412845612146241046457891017[[#This Row],[Type]]&gt;0,VLOOKUP(_1_5412845612146241046457891017[[#This Row],[Type]],Main[[#All],[TYPE]:[UNIT]],'Unit Price'!C$1,FALSE),0)</f>
        <v>0</v>
      </c>
      <c r="H351" s="197">
        <f>IF(_1_5412845612146241046457891017[[#This Row],[Type]]&gt;0,VLOOKUP(_1_5412845612146241046457891017[[#This Row],[Type]],Main[[#All],[TYPE]:[UNIT]],'Unit Price'!D$1,FALSE),0)</f>
        <v>0</v>
      </c>
      <c r="I351" s="194">
        <f>IF(_1_5412845612146241046457891017[[#This Row],[Type]]&gt;0,VLOOKUP(_1_5412845612146241046457891017[[#This Row],[Type]],Main[[#All],[TYPE]:[UNIT]],'Unit Price'!G$1,FALSE),0)</f>
        <v>0</v>
      </c>
      <c r="J351" s="194">
        <f>IF(_1_5412845612146241046457891017[[#This Row],[Type]]&gt;0,VLOOKUP(_1_5412845612146241046457891017[[#This Row],[Type]],Main[[#All],[TYPE]:[UNIT]],'Unit Price'!H$1,FALSE),0)</f>
        <v>0</v>
      </c>
      <c r="K351" s="194">
        <f>IF(_1_5412845612146241046457891017[[#This Row],[Discount selection]]&gt;0,VLOOKUP(_1_5412845612146241046457891017[[#This Row],[Discount selection]],'Discount Structure'!$A$2:$B$30,2,"false"),0)</f>
        <v>1</v>
      </c>
      <c r="L351" s="194">
        <f>_1_5412845612146241046457891017[[#This Row],[LIST $]]*_1_5412845612146241046457891017[[#This Row],[DISCOUNT]]*_1_5412845612146241046457891017[[#This Row],[DISCOUNT 2]]</f>
        <v>0</v>
      </c>
      <c r="M351" s="194">
        <f>IF(OR(_1_5412845612146241046457891017[[#This Row],[UNIT]]&gt;0,_1_5412845612146241046457891017[[#This Row],[UNIT]]&lt;0),_1_5412845612146241046457891017[[#This Row],[UNIT]]*_1_5412845612146241046457891017[[#This Row],[COST]],0)</f>
        <v>0</v>
      </c>
      <c r="N351" s="194">
        <f t="shared" si="5"/>
        <v>1.35</v>
      </c>
      <c r="O351" s="198">
        <f>_1_5412845612146241046457891017[[#This Row],[TOTAL]]*_1_5412845612146241046457891017[[#This Row],[MARGIN]]</f>
        <v>0</v>
      </c>
      <c r="R351" s="41"/>
    </row>
    <row r="352" spans="1:18">
      <c r="D352" s="188"/>
      <c r="F352" s="168" t="s">
        <v>6202</v>
      </c>
      <c r="G352" s="193">
        <f>IF(_1_5412845612146241046457891017[[#This Row],[Type]]&gt;0,VLOOKUP(_1_5412845612146241046457891017[[#This Row],[Type]],Main[[#All],[TYPE]:[UNIT]],'Unit Price'!C$1,FALSE),0)</f>
        <v>0</v>
      </c>
      <c r="H352" s="197">
        <f>IF(_1_5412845612146241046457891017[[#This Row],[Type]]&gt;0,VLOOKUP(_1_5412845612146241046457891017[[#This Row],[Type]],Main[[#All],[TYPE]:[UNIT]],'Unit Price'!D$1,FALSE),0)</f>
        <v>0</v>
      </c>
      <c r="I352" s="194">
        <f>IF(_1_5412845612146241046457891017[[#This Row],[Type]]&gt;0,VLOOKUP(_1_5412845612146241046457891017[[#This Row],[Type]],Main[[#All],[TYPE]:[UNIT]],'Unit Price'!G$1,FALSE),0)</f>
        <v>0</v>
      </c>
      <c r="J352" s="194">
        <f>IF(_1_5412845612146241046457891017[[#This Row],[Type]]&gt;0,VLOOKUP(_1_5412845612146241046457891017[[#This Row],[Type]],Main[[#All],[TYPE]:[UNIT]],'Unit Price'!H$1,FALSE),0)</f>
        <v>0</v>
      </c>
      <c r="K352" s="194">
        <f>IF(_1_5412845612146241046457891017[[#This Row],[Discount selection]]&gt;0,VLOOKUP(_1_5412845612146241046457891017[[#This Row],[Discount selection]],'Discount Structure'!$A$2:$B$30,2,"false"),0)</f>
        <v>1</v>
      </c>
      <c r="L352" s="194">
        <f>_1_5412845612146241046457891017[[#This Row],[LIST $]]*_1_5412845612146241046457891017[[#This Row],[DISCOUNT]]*_1_5412845612146241046457891017[[#This Row],[DISCOUNT 2]]</f>
        <v>0</v>
      </c>
      <c r="M352" s="194">
        <f>IF(OR(_1_5412845612146241046457891017[[#This Row],[UNIT]]&gt;0,_1_5412845612146241046457891017[[#This Row],[UNIT]]&lt;0),_1_5412845612146241046457891017[[#This Row],[UNIT]]*_1_5412845612146241046457891017[[#This Row],[COST]],0)</f>
        <v>0</v>
      </c>
      <c r="N352" s="194">
        <f t="shared" si="5"/>
        <v>1.35</v>
      </c>
      <c r="O352" s="198">
        <f>_1_5412845612146241046457891017[[#This Row],[TOTAL]]*_1_5412845612146241046457891017[[#This Row],[MARGIN]]</f>
        <v>0</v>
      </c>
      <c r="R352" s="41"/>
    </row>
    <row r="353" spans="1:18">
      <c r="A353" s="168"/>
      <c r="B353" s="168"/>
      <c r="C353" s="168"/>
      <c r="D353" s="188"/>
      <c r="F353" s="168" t="s">
        <v>6202</v>
      </c>
      <c r="G353" s="193">
        <f>IF(_1_5412845612146241046457891017[[#This Row],[Type]]&gt;0,VLOOKUP(_1_5412845612146241046457891017[[#This Row],[Type]],Main[[#All],[TYPE]:[UNIT]],'Unit Price'!C$1,FALSE),0)</f>
        <v>0</v>
      </c>
      <c r="H353" s="197">
        <f>IF(_1_5412845612146241046457891017[[#This Row],[Type]]&gt;0,VLOOKUP(_1_5412845612146241046457891017[[#This Row],[Type]],Main[[#All],[TYPE]:[UNIT]],'Unit Price'!D$1,FALSE),0)</f>
        <v>0</v>
      </c>
      <c r="I353" s="194">
        <f>IF(_1_5412845612146241046457891017[[#This Row],[Type]]&gt;0,VLOOKUP(_1_5412845612146241046457891017[[#This Row],[Type]],Main[[#All],[TYPE]:[UNIT]],'Unit Price'!G$1,FALSE),0)</f>
        <v>0</v>
      </c>
      <c r="J353" s="194">
        <f>IF(_1_5412845612146241046457891017[[#This Row],[Type]]&gt;0,VLOOKUP(_1_5412845612146241046457891017[[#This Row],[Type]],Main[[#All],[TYPE]:[UNIT]],'Unit Price'!H$1,FALSE),0)</f>
        <v>0</v>
      </c>
      <c r="K353" s="194">
        <f>IF(_1_5412845612146241046457891017[[#This Row],[Discount selection]]&gt;0,VLOOKUP(_1_5412845612146241046457891017[[#This Row],[Discount selection]],'Discount Structure'!$A$2:$B$30,2,"false"),0)</f>
        <v>1</v>
      </c>
      <c r="L353" s="194">
        <f>_1_5412845612146241046457891017[[#This Row],[LIST $]]*_1_5412845612146241046457891017[[#This Row],[DISCOUNT]]*_1_5412845612146241046457891017[[#This Row],[DISCOUNT 2]]</f>
        <v>0</v>
      </c>
      <c r="M353" s="194">
        <f>IF(OR(_1_5412845612146241046457891017[[#This Row],[UNIT]]&gt;0,_1_5412845612146241046457891017[[#This Row],[UNIT]]&lt;0),_1_5412845612146241046457891017[[#This Row],[UNIT]]*_1_5412845612146241046457891017[[#This Row],[COST]],0)</f>
        <v>0</v>
      </c>
      <c r="N353" s="194">
        <f t="shared" si="5"/>
        <v>1.35</v>
      </c>
      <c r="O353" s="198">
        <f>_1_5412845612146241046457891017[[#This Row],[TOTAL]]*_1_5412845612146241046457891017[[#This Row],[MARGIN]]</f>
        <v>0</v>
      </c>
      <c r="R353" s="41"/>
    </row>
    <row r="354" spans="1:18">
      <c r="A354" s="323"/>
      <c r="B354" s="323"/>
      <c r="C354" s="323"/>
      <c r="D354" s="188"/>
      <c r="F354" s="168" t="s">
        <v>6202</v>
      </c>
      <c r="G354" s="193">
        <f>IF(_1_5412845612146241046457891017[[#This Row],[Type]]&gt;0,VLOOKUP(_1_5412845612146241046457891017[[#This Row],[Type]],Main[[#All],[TYPE]:[UNIT]],'Unit Price'!C$1,FALSE),0)</f>
        <v>0</v>
      </c>
      <c r="H354" s="197">
        <f>IF(_1_5412845612146241046457891017[[#This Row],[Type]]&gt;0,VLOOKUP(_1_5412845612146241046457891017[[#This Row],[Type]],Main[[#All],[TYPE]:[UNIT]],'Unit Price'!D$1,FALSE),0)</f>
        <v>0</v>
      </c>
      <c r="I354" s="194">
        <f>IF(_1_5412845612146241046457891017[[#This Row],[Type]]&gt;0,VLOOKUP(_1_5412845612146241046457891017[[#This Row],[Type]],Main[[#All],[TYPE]:[UNIT]],'Unit Price'!G$1,FALSE),0)</f>
        <v>0</v>
      </c>
      <c r="J354" s="194">
        <f>IF(_1_5412845612146241046457891017[[#This Row],[Type]]&gt;0,VLOOKUP(_1_5412845612146241046457891017[[#This Row],[Type]],Main[[#All],[TYPE]:[UNIT]],'Unit Price'!H$1,FALSE),0)</f>
        <v>0</v>
      </c>
      <c r="K354" s="194">
        <f>IF(_1_5412845612146241046457891017[[#This Row],[Discount selection]]&gt;0,VLOOKUP(_1_5412845612146241046457891017[[#This Row],[Discount selection]],'Discount Structure'!$A$2:$B$30,2,"false"),0)</f>
        <v>1</v>
      </c>
      <c r="L354" s="194">
        <f>_1_5412845612146241046457891017[[#This Row],[LIST $]]*_1_5412845612146241046457891017[[#This Row],[DISCOUNT]]*_1_5412845612146241046457891017[[#This Row],[DISCOUNT 2]]</f>
        <v>0</v>
      </c>
      <c r="M354" s="194">
        <f>IF(OR(_1_5412845612146241046457891017[[#This Row],[UNIT]]&gt;0,_1_5412845612146241046457891017[[#This Row],[UNIT]]&lt;0),_1_5412845612146241046457891017[[#This Row],[UNIT]]*_1_5412845612146241046457891017[[#This Row],[COST]],0)</f>
        <v>0</v>
      </c>
      <c r="N354" s="194">
        <f t="shared" si="5"/>
        <v>1.35</v>
      </c>
      <c r="O354" s="198">
        <f>_1_5412845612146241046457891017[[#This Row],[TOTAL]]*_1_5412845612146241046457891017[[#This Row],[MARGIN]]</f>
        <v>0</v>
      </c>
      <c r="R354" s="41"/>
    </row>
    <row r="355" spans="1:18">
      <c r="A355" s="323"/>
      <c r="B355" s="353"/>
      <c r="C355" s="323"/>
      <c r="D355" s="188"/>
      <c r="F355" s="168" t="s">
        <v>6202</v>
      </c>
      <c r="G355" s="193">
        <f>IF(_1_5412845612146241046457891017[[#This Row],[Type]]&gt;0,VLOOKUP(_1_5412845612146241046457891017[[#This Row],[Type]],Main[[#All],[TYPE]:[UNIT]],'Unit Price'!C$1,FALSE),0)</f>
        <v>0</v>
      </c>
      <c r="H355" s="197">
        <f>IF(_1_5412845612146241046457891017[[#This Row],[Type]]&gt;0,VLOOKUP(_1_5412845612146241046457891017[[#This Row],[Type]],Main[[#All],[TYPE]:[UNIT]],'Unit Price'!D$1,FALSE),0)</f>
        <v>0</v>
      </c>
      <c r="I355" s="194">
        <f>IF(_1_5412845612146241046457891017[[#This Row],[Type]]&gt;0,VLOOKUP(_1_5412845612146241046457891017[[#This Row],[Type]],Main[[#All],[TYPE]:[UNIT]],'Unit Price'!G$1,FALSE),0)</f>
        <v>0</v>
      </c>
      <c r="J355" s="194">
        <f>IF(_1_5412845612146241046457891017[[#This Row],[Type]]&gt;0,VLOOKUP(_1_5412845612146241046457891017[[#This Row],[Type]],Main[[#All],[TYPE]:[UNIT]],'Unit Price'!H$1,FALSE),0)</f>
        <v>0</v>
      </c>
      <c r="K355" s="194">
        <f>IF(_1_5412845612146241046457891017[[#This Row],[Discount selection]]&gt;0,VLOOKUP(_1_5412845612146241046457891017[[#This Row],[Discount selection]],'Discount Structure'!$A$2:$B$30,2,"false"),0)</f>
        <v>1</v>
      </c>
      <c r="L355" s="194">
        <f>_1_5412845612146241046457891017[[#This Row],[LIST $]]*_1_5412845612146241046457891017[[#This Row],[DISCOUNT]]*_1_5412845612146241046457891017[[#This Row],[DISCOUNT 2]]</f>
        <v>0</v>
      </c>
      <c r="M355" s="194">
        <f>IF(OR(_1_5412845612146241046457891017[[#This Row],[UNIT]]&gt;0,_1_5412845612146241046457891017[[#This Row],[UNIT]]&lt;0),_1_5412845612146241046457891017[[#This Row],[UNIT]]*_1_5412845612146241046457891017[[#This Row],[COST]],0)</f>
        <v>0</v>
      </c>
      <c r="N355" s="194">
        <f t="shared" si="5"/>
        <v>1.35</v>
      </c>
      <c r="O355" s="198">
        <f>_1_5412845612146241046457891017[[#This Row],[TOTAL]]*_1_5412845612146241046457891017[[#This Row],[MARGIN]]</f>
        <v>0</v>
      </c>
      <c r="R355" s="41"/>
    </row>
    <row r="356" spans="1:18">
      <c r="D356" s="188"/>
      <c r="F356" s="168" t="s">
        <v>6202</v>
      </c>
      <c r="G356" s="193">
        <f>IF(_1_5412845612146241046457891017[[#This Row],[Type]]&gt;0,VLOOKUP(_1_5412845612146241046457891017[[#This Row],[Type]],Main[[#All],[TYPE]:[UNIT]],'Unit Price'!C$1,FALSE),0)</f>
        <v>0</v>
      </c>
      <c r="H356" s="197">
        <f>IF(_1_5412845612146241046457891017[[#This Row],[Type]]&gt;0,VLOOKUP(_1_5412845612146241046457891017[[#This Row],[Type]],Main[[#All],[TYPE]:[UNIT]],'Unit Price'!D$1,FALSE),0)</f>
        <v>0</v>
      </c>
      <c r="I356" s="194">
        <f>IF(_1_5412845612146241046457891017[[#This Row],[Type]]&gt;0,VLOOKUP(_1_5412845612146241046457891017[[#This Row],[Type]],Main[[#All],[TYPE]:[UNIT]],'Unit Price'!G$1,FALSE),0)</f>
        <v>0</v>
      </c>
      <c r="J356" s="194">
        <f>IF(_1_5412845612146241046457891017[[#This Row],[Type]]&gt;0,VLOOKUP(_1_5412845612146241046457891017[[#This Row],[Type]],Main[[#All],[TYPE]:[UNIT]],'Unit Price'!H$1,FALSE),0)</f>
        <v>0</v>
      </c>
      <c r="K356" s="194">
        <f>IF(_1_5412845612146241046457891017[[#This Row],[Discount selection]]&gt;0,VLOOKUP(_1_5412845612146241046457891017[[#This Row],[Discount selection]],'Discount Structure'!$A$2:$B$30,2,"false"),0)</f>
        <v>1</v>
      </c>
      <c r="L356" s="194">
        <f>_1_5412845612146241046457891017[[#This Row],[LIST $]]*_1_5412845612146241046457891017[[#This Row],[DISCOUNT]]*_1_5412845612146241046457891017[[#This Row],[DISCOUNT 2]]</f>
        <v>0</v>
      </c>
      <c r="M356" s="194">
        <f>IF(OR(_1_5412845612146241046457891017[[#This Row],[UNIT]]&gt;0,_1_5412845612146241046457891017[[#This Row],[UNIT]]&lt;0),_1_5412845612146241046457891017[[#This Row],[UNIT]]*_1_5412845612146241046457891017[[#This Row],[COST]],0)</f>
        <v>0</v>
      </c>
      <c r="N356" s="194">
        <f t="shared" si="5"/>
        <v>1.35</v>
      </c>
      <c r="O356" s="198">
        <f>_1_5412845612146241046457891017[[#This Row],[TOTAL]]*_1_5412845612146241046457891017[[#This Row],[MARGIN]]</f>
        <v>0</v>
      </c>
      <c r="R356" s="41"/>
    </row>
    <row r="357" spans="1:18">
      <c r="D357" s="188"/>
      <c r="F357" s="168" t="s">
        <v>6202</v>
      </c>
      <c r="G357" s="193">
        <f>IF(_1_5412845612146241046457891017[[#This Row],[Type]]&gt;0,VLOOKUP(_1_5412845612146241046457891017[[#This Row],[Type]],Main[[#All],[TYPE]:[UNIT]],'Unit Price'!C$1,FALSE),0)</f>
        <v>0</v>
      </c>
      <c r="H357" s="197">
        <f>IF(_1_5412845612146241046457891017[[#This Row],[Type]]&gt;0,VLOOKUP(_1_5412845612146241046457891017[[#This Row],[Type]],Main[[#All],[TYPE]:[UNIT]],'Unit Price'!D$1,FALSE),0)</f>
        <v>0</v>
      </c>
      <c r="I357" s="194">
        <f>IF(_1_5412845612146241046457891017[[#This Row],[Type]]&gt;0,VLOOKUP(_1_5412845612146241046457891017[[#This Row],[Type]],Main[[#All],[TYPE]:[UNIT]],'Unit Price'!G$1,FALSE),0)</f>
        <v>0</v>
      </c>
      <c r="J357" s="194">
        <f>IF(_1_5412845612146241046457891017[[#This Row],[Type]]&gt;0,VLOOKUP(_1_5412845612146241046457891017[[#This Row],[Type]],Main[[#All],[TYPE]:[UNIT]],'Unit Price'!H$1,FALSE),0)</f>
        <v>0</v>
      </c>
      <c r="K357" s="194">
        <f>IF(_1_5412845612146241046457891017[[#This Row],[Discount selection]]&gt;0,VLOOKUP(_1_5412845612146241046457891017[[#This Row],[Discount selection]],'Discount Structure'!$A$2:$B$30,2,"false"),0)</f>
        <v>1</v>
      </c>
      <c r="L357" s="194">
        <f>_1_5412845612146241046457891017[[#This Row],[LIST $]]*_1_5412845612146241046457891017[[#This Row],[DISCOUNT]]*_1_5412845612146241046457891017[[#This Row],[DISCOUNT 2]]</f>
        <v>0</v>
      </c>
      <c r="M357" s="194">
        <f>IF(OR(_1_5412845612146241046457891017[[#This Row],[UNIT]]&gt;0,_1_5412845612146241046457891017[[#This Row],[UNIT]]&lt;0),_1_5412845612146241046457891017[[#This Row],[UNIT]]*_1_5412845612146241046457891017[[#This Row],[COST]],0)</f>
        <v>0</v>
      </c>
      <c r="N357" s="194">
        <f t="shared" si="5"/>
        <v>1.35</v>
      </c>
      <c r="O357" s="198">
        <f>_1_5412845612146241046457891017[[#This Row],[TOTAL]]*_1_5412845612146241046457891017[[#This Row],[MARGIN]]</f>
        <v>0</v>
      </c>
      <c r="R357" s="41"/>
    </row>
    <row r="358" spans="1:18">
      <c r="A358" s="168"/>
      <c r="D358" s="188"/>
      <c r="F358" s="168" t="s">
        <v>6202</v>
      </c>
      <c r="G358" s="193">
        <f>IF(_1_5412845612146241046457891017[[#This Row],[Type]]&gt;0,VLOOKUP(_1_5412845612146241046457891017[[#This Row],[Type]],Main[[#All],[TYPE]:[UNIT]],'Unit Price'!C$1,FALSE),0)</f>
        <v>0</v>
      </c>
      <c r="H358" s="197">
        <f>IF(_1_5412845612146241046457891017[[#This Row],[Type]]&gt;0,VLOOKUP(_1_5412845612146241046457891017[[#This Row],[Type]],Main[[#All],[TYPE]:[UNIT]],'Unit Price'!D$1,FALSE),0)</f>
        <v>0</v>
      </c>
      <c r="I358" s="194">
        <f>IF(_1_5412845612146241046457891017[[#This Row],[Type]]&gt;0,VLOOKUP(_1_5412845612146241046457891017[[#This Row],[Type]],Main[[#All],[TYPE]:[UNIT]],'Unit Price'!G$1,FALSE),0)</f>
        <v>0</v>
      </c>
      <c r="J358" s="194">
        <f>IF(_1_5412845612146241046457891017[[#This Row],[Type]]&gt;0,VLOOKUP(_1_5412845612146241046457891017[[#This Row],[Type]],Main[[#All],[TYPE]:[UNIT]],'Unit Price'!H$1,FALSE),0)</f>
        <v>0</v>
      </c>
      <c r="K358" s="194">
        <f>IF(_1_5412845612146241046457891017[[#This Row],[Discount selection]]&gt;0,VLOOKUP(_1_5412845612146241046457891017[[#This Row],[Discount selection]],'Discount Structure'!$A$2:$B$30,2,"false"),0)</f>
        <v>1</v>
      </c>
      <c r="L358" s="194">
        <f>_1_5412845612146241046457891017[[#This Row],[LIST $]]*_1_5412845612146241046457891017[[#This Row],[DISCOUNT]]*_1_5412845612146241046457891017[[#This Row],[DISCOUNT 2]]</f>
        <v>0</v>
      </c>
      <c r="M358" s="194">
        <f>IF(OR(_1_5412845612146241046457891017[[#This Row],[UNIT]]&gt;0,_1_5412845612146241046457891017[[#This Row],[UNIT]]&lt;0),_1_5412845612146241046457891017[[#This Row],[UNIT]]*_1_5412845612146241046457891017[[#This Row],[COST]],0)</f>
        <v>0</v>
      </c>
      <c r="N358" s="194">
        <f t="shared" si="5"/>
        <v>1.35</v>
      </c>
      <c r="O358" s="198">
        <f>_1_5412845612146241046457891017[[#This Row],[TOTAL]]*_1_5412845612146241046457891017[[#This Row],[MARGIN]]</f>
        <v>0</v>
      </c>
      <c r="R358" s="41"/>
    </row>
    <row r="359" spans="1:18">
      <c r="D359" s="188"/>
      <c r="F359" s="168" t="s">
        <v>6202</v>
      </c>
      <c r="G359" s="193">
        <f>IF(_1_5412845612146241046457891017[[#This Row],[Type]]&gt;0,VLOOKUP(_1_5412845612146241046457891017[[#This Row],[Type]],Main[[#All],[TYPE]:[UNIT]],'Unit Price'!C$1,FALSE),0)</f>
        <v>0</v>
      </c>
      <c r="H359" s="197">
        <f>IF(_1_5412845612146241046457891017[[#This Row],[Type]]&gt;0,VLOOKUP(_1_5412845612146241046457891017[[#This Row],[Type]],Main[[#All],[TYPE]:[UNIT]],'Unit Price'!D$1,FALSE),0)</f>
        <v>0</v>
      </c>
      <c r="I359" s="194">
        <f>IF(_1_5412845612146241046457891017[[#This Row],[Type]]&gt;0,VLOOKUP(_1_5412845612146241046457891017[[#This Row],[Type]],Main[[#All],[TYPE]:[UNIT]],'Unit Price'!G$1,FALSE),0)</f>
        <v>0</v>
      </c>
      <c r="J359" s="194">
        <f>IF(_1_5412845612146241046457891017[[#This Row],[Type]]&gt;0,VLOOKUP(_1_5412845612146241046457891017[[#This Row],[Type]],Main[[#All],[TYPE]:[UNIT]],'Unit Price'!H$1,FALSE),0)</f>
        <v>0</v>
      </c>
      <c r="K359" s="194">
        <f>IF(_1_5412845612146241046457891017[[#This Row],[Discount selection]]&gt;0,VLOOKUP(_1_5412845612146241046457891017[[#This Row],[Discount selection]],'Discount Structure'!$A$2:$B$30,2,"false"),0)</f>
        <v>1</v>
      </c>
      <c r="L359" s="194">
        <f>_1_5412845612146241046457891017[[#This Row],[LIST $]]*_1_5412845612146241046457891017[[#This Row],[DISCOUNT]]*_1_5412845612146241046457891017[[#This Row],[DISCOUNT 2]]</f>
        <v>0</v>
      </c>
      <c r="M359" s="194">
        <f>IF(OR(_1_5412845612146241046457891017[[#This Row],[UNIT]]&gt;0,_1_5412845612146241046457891017[[#This Row],[UNIT]]&lt;0),_1_5412845612146241046457891017[[#This Row],[UNIT]]*_1_5412845612146241046457891017[[#This Row],[COST]],0)</f>
        <v>0</v>
      </c>
      <c r="N359" s="194">
        <f t="shared" si="5"/>
        <v>1.35</v>
      </c>
      <c r="O359" s="198">
        <f>_1_5412845612146241046457891017[[#This Row],[TOTAL]]*_1_5412845612146241046457891017[[#This Row],[MARGIN]]</f>
        <v>0</v>
      </c>
      <c r="R359" s="41"/>
    </row>
    <row r="360" spans="1:18">
      <c r="A360" s="168"/>
      <c r="B360" s="168"/>
      <c r="C360" s="168"/>
      <c r="D360" s="188"/>
      <c r="F360" s="168" t="s">
        <v>6202</v>
      </c>
      <c r="G360" s="193">
        <f>IF(_1_5412845612146241046457891017[[#This Row],[Type]]&gt;0,VLOOKUP(_1_5412845612146241046457891017[[#This Row],[Type]],Main[[#All],[TYPE]:[UNIT]],'Unit Price'!C$1,FALSE),0)</f>
        <v>0</v>
      </c>
      <c r="H360" s="197">
        <f>IF(_1_5412845612146241046457891017[[#This Row],[Type]]&gt;0,VLOOKUP(_1_5412845612146241046457891017[[#This Row],[Type]],Main[[#All],[TYPE]:[UNIT]],'Unit Price'!D$1,FALSE),0)</f>
        <v>0</v>
      </c>
      <c r="I360" s="194">
        <f>IF(_1_5412845612146241046457891017[[#This Row],[Type]]&gt;0,VLOOKUP(_1_5412845612146241046457891017[[#This Row],[Type]],Main[[#All],[TYPE]:[UNIT]],'Unit Price'!G$1,FALSE),0)</f>
        <v>0</v>
      </c>
      <c r="J360" s="194">
        <f>IF(_1_5412845612146241046457891017[[#This Row],[Type]]&gt;0,VLOOKUP(_1_5412845612146241046457891017[[#This Row],[Type]],Main[[#All],[TYPE]:[UNIT]],'Unit Price'!H$1,FALSE),0)</f>
        <v>0</v>
      </c>
      <c r="K360" s="194">
        <f>IF(_1_5412845612146241046457891017[[#This Row],[Discount selection]]&gt;0,VLOOKUP(_1_5412845612146241046457891017[[#This Row],[Discount selection]],'Discount Structure'!$A$2:$B$30,2,"false"),0)</f>
        <v>1</v>
      </c>
      <c r="L360" s="194">
        <f>_1_5412845612146241046457891017[[#This Row],[LIST $]]*_1_5412845612146241046457891017[[#This Row],[DISCOUNT]]*_1_5412845612146241046457891017[[#This Row],[DISCOUNT 2]]</f>
        <v>0</v>
      </c>
      <c r="M360" s="194">
        <f>IF(OR(_1_5412845612146241046457891017[[#This Row],[UNIT]]&gt;0,_1_5412845612146241046457891017[[#This Row],[UNIT]]&lt;0),_1_5412845612146241046457891017[[#This Row],[UNIT]]*_1_5412845612146241046457891017[[#This Row],[COST]],0)</f>
        <v>0</v>
      </c>
      <c r="N360" s="194">
        <f t="shared" si="5"/>
        <v>1.35</v>
      </c>
      <c r="O360" s="198">
        <f>_1_5412845612146241046457891017[[#This Row],[TOTAL]]*_1_5412845612146241046457891017[[#This Row],[MARGIN]]</f>
        <v>0</v>
      </c>
      <c r="R360" s="41"/>
    </row>
    <row r="361" spans="1:18">
      <c r="A361" s="323"/>
      <c r="B361" s="323"/>
      <c r="C361" s="323"/>
      <c r="D361" s="188"/>
      <c r="F361" s="168" t="s">
        <v>6202</v>
      </c>
      <c r="G361" s="193">
        <f>IF(_1_5412845612146241046457891017[[#This Row],[Type]]&gt;0,VLOOKUP(_1_5412845612146241046457891017[[#This Row],[Type]],Main[[#All],[TYPE]:[UNIT]],'Unit Price'!C$1,FALSE),0)</f>
        <v>0</v>
      </c>
      <c r="H361" s="197">
        <f>IF(_1_5412845612146241046457891017[[#This Row],[Type]]&gt;0,VLOOKUP(_1_5412845612146241046457891017[[#This Row],[Type]],Main[[#All],[TYPE]:[UNIT]],'Unit Price'!D$1,FALSE),0)</f>
        <v>0</v>
      </c>
      <c r="I361" s="194">
        <f>IF(_1_5412845612146241046457891017[[#This Row],[Type]]&gt;0,VLOOKUP(_1_5412845612146241046457891017[[#This Row],[Type]],Main[[#All],[TYPE]:[UNIT]],'Unit Price'!G$1,FALSE),0)</f>
        <v>0</v>
      </c>
      <c r="J361" s="194">
        <f>IF(_1_5412845612146241046457891017[[#This Row],[Type]]&gt;0,VLOOKUP(_1_5412845612146241046457891017[[#This Row],[Type]],Main[[#All],[TYPE]:[UNIT]],'Unit Price'!H$1,FALSE),0)</f>
        <v>0</v>
      </c>
      <c r="K361" s="194">
        <f>IF(_1_5412845612146241046457891017[[#This Row],[Discount selection]]&gt;0,VLOOKUP(_1_5412845612146241046457891017[[#This Row],[Discount selection]],'Discount Structure'!$A$2:$B$30,2,"false"),0)</f>
        <v>1</v>
      </c>
      <c r="L361" s="194">
        <f>_1_5412845612146241046457891017[[#This Row],[LIST $]]*_1_5412845612146241046457891017[[#This Row],[DISCOUNT]]*_1_5412845612146241046457891017[[#This Row],[DISCOUNT 2]]</f>
        <v>0</v>
      </c>
      <c r="M361" s="194">
        <f>IF(OR(_1_5412845612146241046457891017[[#This Row],[UNIT]]&gt;0,_1_5412845612146241046457891017[[#This Row],[UNIT]]&lt;0),_1_5412845612146241046457891017[[#This Row],[UNIT]]*_1_5412845612146241046457891017[[#This Row],[COST]],0)</f>
        <v>0</v>
      </c>
      <c r="N361" s="194">
        <f t="shared" si="5"/>
        <v>1.35</v>
      </c>
      <c r="O361" s="198">
        <f>_1_5412845612146241046457891017[[#This Row],[TOTAL]]*_1_5412845612146241046457891017[[#This Row],[MARGIN]]</f>
        <v>0</v>
      </c>
      <c r="R361" s="41"/>
    </row>
    <row r="362" spans="1:18">
      <c r="A362" s="323"/>
      <c r="B362" s="353"/>
      <c r="C362" s="323"/>
      <c r="D362" s="188"/>
      <c r="F362" s="168" t="s">
        <v>6202</v>
      </c>
      <c r="G362" s="193">
        <f>IF(_1_5412845612146241046457891017[[#This Row],[Type]]&gt;0,VLOOKUP(_1_5412845612146241046457891017[[#This Row],[Type]],Main[[#All],[TYPE]:[UNIT]],'Unit Price'!C$1,FALSE),0)</f>
        <v>0</v>
      </c>
      <c r="H362" s="197">
        <f>IF(_1_5412845612146241046457891017[[#This Row],[Type]]&gt;0,VLOOKUP(_1_5412845612146241046457891017[[#This Row],[Type]],Main[[#All],[TYPE]:[UNIT]],'Unit Price'!D$1,FALSE),0)</f>
        <v>0</v>
      </c>
      <c r="I362" s="194">
        <f>IF(_1_5412845612146241046457891017[[#This Row],[Type]]&gt;0,VLOOKUP(_1_5412845612146241046457891017[[#This Row],[Type]],Main[[#All],[TYPE]:[UNIT]],'Unit Price'!G$1,FALSE),0)</f>
        <v>0</v>
      </c>
      <c r="J362" s="194">
        <f>IF(_1_5412845612146241046457891017[[#This Row],[Type]]&gt;0,VLOOKUP(_1_5412845612146241046457891017[[#This Row],[Type]],Main[[#All],[TYPE]:[UNIT]],'Unit Price'!H$1,FALSE),0)</f>
        <v>0</v>
      </c>
      <c r="K362" s="194">
        <f>IF(_1_5412845612146241046457891017[[#This Row],[Discount selection]]&gt;0,VLOOKUP(_1_5412845612146241046457891017[[#This Row],[Discount selection]],'Discount Structure'!$A$2:$B$30,2,"false"),0)</f>
        <v>1</v>
      </c>
      <c r="L362" s="194">
        <f>_1_5412845612146241046457891017[[#This Row],[LIST $]]*_1_5412845612146241046457891017[[#This Row],[DISCOUNT]]*_1_5412845612146241046457891017[[#This Row],[DISCOUNT 2]]</f>
        <v>0</v>
      </c>
      <c r="M362" s="194">
        <f>IF(OR(_1_5412845612146241046457891017[[#This Row],[UNIT]]&gt;0,_1_5412845612146241046457891017[[#This Row],[UNIT]]&lt;0),_1_5412845612146241046457891017[[#This Row],[UNIT]]*_1_5412845612146241046457891017[[#This Row],[COST]],0)</f>
        <v>0</v>
      </c>
      <c r="N362" s="194">
        <f t="shared" si="5"/>
        <v>1.35</v>
      </c>
      <c r="O362" s="198">
        <f>_1_5412845612146241046457891017[[#This Row],[TOTAL]]*_1_5412845612146241046457891017[[#This Row],[MARGIN]]</f>
        <v>0</v>
      </c>
      <c r="R362" s="41"/>
    </row>
    <row r="363" spans="1:18">
      <c r="D363" s="188"/>
      <c r="F363" s="168" t="s">
        <v>6202</v>
      </c>
      <c r="G363" s="193">
        <f>IF(_1_5412845612146241046457891017[[#This Row],[Type]]&gt;0,VLOOKUP(_1_5412845612146241046457891017[[#This Row],[Type]],Main[[#All],[TYPE]:[UNIT]],'Unit Price'!C$1,FALSE),0)</f>
        <v>0</v>
      </c>
      <c r="H363" s="197">
        <f>IF(_1_5412845612146241046457891017[[#This Row],[Type]]&gt;0,VLOOKUP(_1_5412845612146241046457891017[[#This Row],[Type]],Main[[#All],[TYPE]:[UNIT]],'Unit Price'!D$1,FALSE),0)</f>
        <v>0</v>
      </c>
      <c r="I363" s="194">
        <f>IF(_1_5412845612146241046457891017[[#This Row],[Type]]&gt;0,VLOOKUP(_1_5412845612146241046457891017[[#This Row],[Type]],Main[[#All],[TYPE]:[UNIT]],'Unit Price'!G$1,FALSE),0)</f>
        <v>0</v>
      </c>
      <c r="J363" s="194">
        <f>IF(_1_5412845612146241046457891017[[#This Row],[Type]]&gt;0,VLOOKUP(_1_5412845612146241046457891017[[#This Row],[Type]],Main[[#All],[TYPE]:[UNIT]],'Unit Price'!H$1,FALSE),0)</f>
        <v>0</v>
      </c>
      <c r="K363" s="194">
        <f>IF(_1_5412845612146241046457891017[[#This Row],[Discount selection]]&gt;0,VLOOKUP(_1_5412845612146241046457891017[[#This Row],[Discount selection]],'Discount Structure'!$A$2:$B$30,2,"false"),0)</f>
        <v>1</v>
      </c>
      <c r="L363" s="194">
        <f>_1_5412845612146241046457891017[[#This Row],[LIST $]]*_1_5412845612146241046457891017[[#This Row],[DISCOUNT]]*_1_5412845612146241046457891017[[#This Row],[DISCOUNT 2]]</f>
        <v>0</v>
      </c>
      <c r="M363" s="194">
        <f>IF(OR(_1_5412845612146241046457891017[[#This Row],[UNIT]]&gt;0,_1_5412845612146241046457891017[[#This Row],[UNIT]]&lt;0),_1_5412845612146241046457891017[[#This Row],[UNIT]]*_1_5412845612146241046457891017[[#This Row],[COST]],0)</f>
        <v>0</v>
      </c>
      <c r="N363" s="194">
        <f t="shared" si="5"/>
        <v>1.35</v>
      </c>
      <c r="O363" s="198">
        <f>_1_5412845612146241046457891017[[#This Row],[TOTAL]]*_1_5412845612146241046457891017[[#This Row],[MARGIN]]</f>
        <v>0</v>
      </c>
      <c r="R363" s="41"/>
    </row>
    <row r="364" spans="1:18">
      <c r="D364" s="188"/>
      <c r="F364" s="168" t="s">
        <v>6202</v>
      </c>
      <c r="G364" s="193">
        <f>IF(_1_5412845612146241046457891017[[#This Row],[Type]]&gt;0,VLOOKUP(_1_5412845612146241046457891017[[#This Row],[Type]],Main[[#All],[TYPE]:[UNIT]],'Unit Price'!C$1,FALSE),0)</f>
        <v>0</v>
      </c>
      <c r="H364" s="197">
        <f>IF(_1_5412845612146241046457891017[[#This Row],[Type]]&gt;0,VLOOKUP(_1_5412845612146241046457891017[[#This Row],[Type]],Main[[#All],[TYPE]:[UNIT]],'Unit Price'!D$1,FALSE),0)</f>
        <v>0</v>
      </c>
      <c r="I364" s="194">
        <f>IF(_1_5412845612146241046457891017[[#This Row],[Type]]&gt;0,VLOOKUP(_1_5412845612146241046457891017[[#This Row],[Type]],Main[[#All],[TYPE]:[UNIT]],'Unit Price'!G$1,FALSE),0)</f>
        <v>0</v>
      </c>
      <c r="J364" s="194">
        <f>IF(_1_5412845612146241046457891017[[#This Row],[Type]]&gt;0,VLOOKUP(_1_5412845612146241046457891017[[#This Row],[Type]],Main[[#All],[TYPE]:[UNIT]],'Unit Price'!H$1,FALSE),0)</f>
        <v>0</v>
      </c>
      <c r="K364" s="194">
        <f>IF(_1_5412845612146241046457891017[[#This Row],[Discount selection]]&gt;0,VLOOKUP(_1_5412845612146241046457891017[[#This Row],[Discount selection]],'Discount Structure'!$A$2:$B$30,2,"false"),0)</f>
        <v>1</v>
      </c>
      <c r="L364" s="194">
        <f>_1_5412845612146241046457891017[[#This Row],[LIST $]]*_1_5412845612146241046457891017[[#This Row],[DISCOUNT]]*_1_5412845612146241046457891017[[#This Row],[DISCOUNT 2]]</f>
        <v>0</v>
      </c>
      <c r="M364" s="194">
        <f>IF(OR(_1_5412845612146241046457891017[[#This Row],[UNIT]]&gt;0,_1_5412845612146241046457891017[[#This Row],[UNIT]]&lt;0),_1_5412845612146241046457891017[[#This Row],[UNIT]]*_1_5412845612146241046457891017[[#This Row],[COST]],0)</f>
        <v>0</v>
      </c>
      <c r="N364" s="194">
        <f t="shared" si="5"/>
        <v>1.35</v>
      </c>
      <c r="O364" s="198">
        <f>_1_5412845612146241046457891017[[#This Row],[TOTAL]]*_1_5412845612146241046457891017[[#This Row],[MARGIN]]</f>
        <v>0</v>
      </c>
      <c r="R364" s="41"/>
    </row>
    <row r="365" spans="1:18">
      <c r="A365" s="168"/>
      <c r="D365" s="188"/>
      <c r="F365" s="168" t="s">
        <v>6202</v>
      </c>
      <c r="G365" s="193">
        <f>IF(_1_5412845612146241046457891017[[#This Row],[Type]]&gt;0,VLOOKUP(_1_5412845612146241046457891017[[#This Row],[Type]],Main[[#All],[TYPE]:[UNIT]],'Unit Price'!C$1,FALSE),0)</f>
        <v>0</v>
      </c>
      <c r="H365" s="197">
        <f>IF(_1_5412845612146241046457891017[[#This Row],[Type]]&gt;0,VLOOKUP(_1_5412845612146241046457891017[[#This Row],[Type]],Main[[#All],[TYPE]:[UNIT]],'Unit Price'!D$1,FALSE),0)</f>
        <v>0</v>
      </c>
      <c r="I365" s="194">
        <f>IF(_1_5412845612146241046457891017[[#This Row],[Type]]&gt;0,VLOOKUP(_1_5412845612146241046457891017[[#This Row],[Type]],Main[[#All],[TYPE]:[UNIT]],'Unit Price'!G$1,FALSE),0)</f>
        <v>0</v>
      </c>
      <c r="J365" s="194">
        <f>IF(_1_5412845612146241046457891017[[#This Row],[Type]]&gt;0,VLOOKUP(_1_5412845612146241046457891017[[#This Row],[Type]],Main[[#All],[TYPE]:[UNIT]],'Unit Price'!H$1,FALSE),0)</f>
        <v>0</v>
      </c>
      <c r="K365" s="194">
        <f>IF(_1_5412845612146241046457891017[[#This Row],[Discount selection]]&gt;0,VLOOKUP(_1_5412845612146241046457891017[[#This Row],[Discount selection]],'Discount Structure'!$A$2:$B$30,2,"false"),0)</f>
        <v>1</v>
      </c>
      <c r="L365" s="194">
        <f>_1_5412845612146241046457891017[[#This Row],[LIST $]]*_1_5412845612146241046457891017[[#This Row],[DISCOUNT]]*_1_5412845612146241046457891017[[#This Row],[DISCOUNT 2]]</f>
        <v>0</v>
      </c>
      <c r="M365" s="194">
        <f>IF(OR(_1_5412845612146241046457891017[[#This Row],[UNIT]]&gt;0,_1_5412845612146241046457891017[[#This Row],[UNIT]]&lt;0),_1_5412845612146241046457891017[[#This Row],[UNIT]]*_1_5412845612146241046457891017[[#This Row],[COST]],0)</f>
        <v>0</v>
      </c>
      <c r="N365" s="194">
        <f t="shared" si="5"/>
        <v>1.35</v>
      </c>
      <c r="O365" s="198">
        <f>_1_5412845612146241046457891017[[#This Row],[TOTAL]]*_1_5412845612146241046457891017[[#This Row],[MARGIN]]</f>
        <v>0</v>
      </c>
      <c r="R365" s="41"/>
    </row>
    <row r="366" spans="1:18">
      <c r="D366" s="188"/>
      <c r="F366" s="168" t="s">
        <v>6202</v>
      </c>
      <c r="G366" s="193">
        <f>IF(_1_5412845612146241046457891017[[#This Row],[Type]]&gt;0,VLOOKUP(_1_5412845612146241046457891017[[#This Row],[Type]],Main[[#All],[TYPE]:[UNIT]],'Unit Price'!C$1,FALSE),0)</f>
        <v>0</v>
      </c>
      <c r="H366" s="197">
        <f>IF(_1_5412845612146241046457891017[[#This Row],[Type]]&gt;0,VLOOKUP(_1_5412845612146241046457891017[[#This Row],[Type]],Main[[#All],[TYPE]:[UNIT]],'Unit Price'!D$1,FALSE),0)</f>
        <v>0</v>
      </c>
      <c r="I366" s="194">
        <f>IF(_1_5412845612146241046457891017[[#This Row],[Type]]&gt;0,VLOOKUP(_1_5412845612146241046457891017[[#This Row],[Type]],Main[[#All],[TYPE]:[UNIT]],'Unit Price'!G$1,FALSE),0)</f>
        <v>0</v>
      </c>
      <c r="J366" s="194">
        <f>IF(_1_5412845612146241046457891017[[#This Row],[Type]]&gt;0,VLOOKUP(_1_5412845612146241046457891017[[#This Row],[Type]],Main[[#All],[TYPE]:[UNIT]],'Unit Price'!H$1,FALSE),0)</f>
        <v>0</v>
      </c>
      <c r="K366" s="194">
        <f>IF(_1_5412845612146241046457891017[[#This Row],[Discount selection]]&gt;0,VLOOKUP(_1_5412845612146241046457891017[[#This Row],[Discount selection]],'Discount Structure'!$A$2:$B$30,2,"false"),0)</f>
        <v>1</v>
      </c>
      <c r="L366" s="194">
        <f>_1_5412845612146241046457891017[[#This Row],[LIST $]]*_1_5412845612146241046457891017[[#This Row],[DISCOUNT]]*_1_5412845612146241046457891017[[#This Row],[DISCOUNT 2]]</f>
        <v>0</v>
      </c>
      <c r="M366" s="194">
        <f>IF(OR(_1_5412845612146241046457891017[[#This Row],[UNIT]]&gt;0,_1_5412845612146241046457891017[[#This Row],[UNIT]]&lt;0),_1_5412845612146241046457891017[[#This Row],[UNIT]]*_1_5412845612146241046457891017[[#This Row],[COST]],0)</f>
        <v>0</v>
      </c>
      <c r="N366" s="194">
        <f t="shared" si="5"/>
        <v>1.35</v>
      </c>
      <c r="O366" s="198">
        <f>_1_5412845612146241046457891017[[#This Row],[TOTAL]]*_1_5412845612146241046457891017[[#This Row],[MARGIN]]</f>
        <v>0</v>
      </c>
      <c r="R366" s="41"/>
    </row>
    <row r="367" spans="1:18">
      <c r="A367" s="168"/>
      <c r="B367" s="168"/>
      <c r="C367" s="168"/>
      <c r="D367" s="188"/>
      <c r="F367" s="168" t="s">
        <v>6202</v>
      </c>
      <c r="G367" s="193">
        <f>IF(_1_5412845612146241046457891017[[#This Row],[Type]]&gt;0,VLOOKUP(_1_5412845612146241046457891017[[#This Row],[Type]],Main[[#All],[TYPE]:[UNIT]],'Unit Price'!C$1,FALSE),0)</f>
        <v>0</v>
      </c>
      <c r="H367" s="197">
        <f>IF(_1_5412845612146241046457891017[[#This Row],[Type]]&gt;0,VLOOKUP(_1_5412845612146241046457891017[[#This Row],[Type]],Main[[#All],[TYPE]:[UNIT]],'Unit Price'!D$1,FALSE),0)</f>
        <v>0</v>
      </c>
      <c r="I367" s="194">
        <f>IF(_1_5412845612146241046457891017[[#This Row],[Type]]&gt;0,VLOOKUP(_1_5412845612146241046457891017[[#This Row],[Type]],Main[[#All],[TYPE]:[UNIT]],'Unit Price'!G$1,FALSE),0)</f>
        <v>0</v>
      </c>
      <c r="J367" s="194">
        <f>IF(_1_5412845612146241046457891017[[#This Row],[Type]]&gt;0,VLOOKUP(_1_5412845612146241046457891017[[#This Row],[Type]],Main[[#All],[TYPE]:[UNIT]],'Unit Price'!H$1,FALSE),0)</f>
        <v>0</v>
      </c>
      <c r="K367" s="194">
        <f>IF(_1_5412845612146241046457891017[[#This Row],[Discount selection]]&gt;0,VLOOKUP(_1_5412845612146241046457891017[[#This Row],[Discount selection]],'Discount Structure'!$A$2:$B$30,2,"false"),0)</f>
        <v>1</v>
      </c>
      <c r="L367" s="194">
        <f>_1_5412845612146241046457891017[[#This Row],[LIST $]]*_1_5412845612146241046457891017[[#This Row],[DISCOUNT]]*_1_5412845612146241046457891017[[#This Row],[DISCOUNT 2]]</f>
        <v>0</v>
      </c>
      <c r="M367" s="194">
        <f>IF(OR(_1_5412845612146241046457891017[[#This Row],[UNIT]]&gt;0,_1_5412845612146241046457891017[[#This Row],[UNIT]]&lt;0),_1_5412845612146241046457891017[[#This Row],[UNIT]]*_1_5412845612146241046457891017[[#This Row],[COST]],0)</f>
        <v>0</v>
      </c>
      <c r="N367" s="194">
        <f t="shared" si="5"/>
        <v>1.35</v>
      </c>
      <c r="O367" s="198">
        <f>_1_5412845612146241046457891017[[#This Row],[TOTAL]]*_1_5412845612146241046457891017[[#This Row],[MARGIN]]</f>
        <v>0</v>
      </c>
      <c r="R367" s="41"/>
    </row>
    <row r="368" spans="1:18">
      <c r="A368" s="323"/>
      <c r="B368" s="323"/>
      <c r="C368" s="323"/>
      <c r="D368" s="188"/>
      <c r="F368" s="168" t="s">
        <v>6202</v>
      </c>
      <c r="G368" s="193">
        <f>IF(_1_5412845612146241046457891017[[#This Row],[Type]]&gt;0,VLOOKUP(_1_5412845612146241046457891017[[#This Row],[Type]],Main[[#All],[TYPE]:[UNIT]],'Unit Price'!C$1,FALSE),0)</f>
        <v>0</v>
      </c>
      <c r="H368" s="197">
        <f>IF(_1_5412845612146241046457891017[[#This Row],[Type]]&gt;0,VLOOKUP(_1_5412845612146241046457891017[[#This Row],[Type]],Main[[#All],[TYPE]:[UNIT]],'Unit Price'!D$1,FALSE),0)</f>
        <v>0</v>
      </c>
      <c r="I368" s="194">
        <f>IF(_1_5412845612146241046457891017[[#This Row],[Type]]&gt;0,VLOOKUP(_1_5412845612146241046457891017[[#This Row],[Type]],Main[[#All],[TYPE]:[UNIT]],'Unit Price'!G$1,FALSE),0)</f>
        <v>0</v>
      </c>
      <c r="J368" s="194">
        <f>IF(_1_5412845612146241046457891017[[#This Row],[Type]]&gt;0,VLOOKUP(_1_5412845612146241046457891017[[#This Row],[Type]],Main[[#All],[TYPE]:[UNIT]],'Unit Price'!H$1,FALSE),0)</f>
        <v>0</v>
      </c>
      <c r="K368" s="194">
        <f>IF(_1_5412845612146241046457891017[[#This Row],[Discount selection]]&gt;0,VLOOKUP(_1_5412845612146241046457891017[[#This Row],[Discount selection]],'Discount Structure'!$A$2:$B$30,2,"false"),0)</f>
        <v>1</v>
      </c>
      <c r="L368" s="194">
        <f>_1_5412845612146241046457891017[[#This Row],[LIST $]]*_1_5412845612146241046457891017[[#This Row],[DISCOUNT]]*_1_5412845612146241046457891017[[#This Row],[DISCOUNT 2]]</f>
        <v>0</v>
      </c>
      <c r="M368" s="194">
        <f>IF(OR(_1_5412845612146241046457891017[[#This Row],[UNIT]]&gt;0,_1_5412845612146241046457891017[[#This Row],[UNIT]]&lt;0),_1_5412845612146241046457891017[[#This Row],[UNIT]]*_1_5412845612146241046457891017[[#This Row],[COST]],0)</f>
        <v>0</v>
      </c>
      <c r="N368" s="194">
        <f t="shared" si="5"/>
        <v>1.35</v>
      </c>
      <c r="O368" s="198">
        <f>_1_5412845612146241046457891017[[#This Row],[TOTAL]]*_1_5412845612146241046457891017[[#This Row],[MARGIN]]</f>
        <v>0</v>
      </c>
      <c r="R368" s="41"/>
    </row>
    <row r="369" spans="1:18">
      <c r="A369" s="323"/>
      <c r="B369" s="353"/>
      <c r="C369" s="323"/>
      <c r="D369" s="188"/>
      <c r="F369" s="168" t="s">
        <v>6202</v>
      </c>
      <c r="G369" s="193">
        <f>IF(_1_5412845612146241046457891017[[#This Row],[Type]]&gt;0,VLOOKUP(_1_5412845612146241046457891017[[#This Row],[Type]],Main[[#All],[TYPE]:[UNIT]],'Unit Price'!C$1,FALSE),0)</f>
        <v>0</v>
      </c>
      <c r="H369" s="197">
        <f>IF(_1_5412845612146241046457891017[[#This Row],[Type]]&gt;0,VLOOKUP(_1_5412845612146241046457891017[[#This Row],[Type]],Main[[#All],[TYPE]:[UNIT]],'Unit Price'!D$1,FALSE),0)</f>
        <v>0</v>
      </c>
      <c r="I369" s="194">
        <f>IF(_1_5412845612146241046457891017[[#This Row],[Type]]&gt;0,VLOOKUP(_1_5412845612146241046457891017[[#This Row],[Type]],Main[[#All],[TYPE]:[UNIT]],'Unit Price'!G$1,FALSE),0)</f>
        <v>0</v>
      </c>
      <c r="J369" s="194">
        <f>IF(_1_5412845612146241046457891017[[#This Row],[Type]]&gt;0,VLOOKUP(_1_5412845612146241046457891017[[#This Row],[Type]],Main[[#All],[TYPE]:[UNIT]],'Unit Price'!H$1,FALSE),0)</f>
        <v>0</v>
      </c>
      <c r="K369" s="194">
        <f>IF(_1_5412845612146241046457891017[[#This Row],[Discount selection]]&gt;0,VLOOKUP(_1_5412845612146241046457891017[[#This Row],[Discount selection]],'Discount Structure'!$A$2:$B$30,2,"false"),0)</f>
        <v>1</v>
      </c>
      <c r="L369" s="194">
        <f>_1_5412845612146241046457891017[[#This Row],[LIST $]]*_1_5412845612146241046457891017[[#This Row],[DISCOUNT]]*_1_5412845612146241046457891017[[#This Row],[DISCOUNT 2]]</f>
        <v>0</v>
      </c>
      <c r="M369" s="194">
        <f>IF(OR(_1_5412845612146241046457891017[[#This Row],[UNIT]]&gt;0,_1_5412845612146241046457891017[[#This Row],[UNIT]]&lt;0),_1_5412845612146241046457891017[[#This Row],[UNIT]]*_1_5412845612146241046457891017[[#This Row],[COST]],0)</f>
        <v>0</v>
      </c>
      <c r="N369" s="194">
        <f t="shared" si="5"/>
        <v>1.35</v>
      </c>
      <c r="O369" s="198">
        <f>_1_5412845612146241046457891017[[#This Row],[TOTAL]]*_1_5412845612146241046457891017[[#This Row],[MARGIN]]</f>
        <v>0</v>
      </c>
      <c r="R369" s="41"/>
    </row>
    <row r="370" spans="1:18">
      <c r="D370" s="188"/>
      <c r="F370" s="168" t="s">
        <v>6202</v>
      </c>
      <c r="G370" s="193">
        <f>IF(_1_5412845612146241046457891017[[#This Row],[Type]]&gt;0,VLOOKUP(_1_5412845612146241046457891017[[#This Row],[Type]],Main[[#All],[TYPE]:[UNIT]],'Unit Price'!C$1,FALSE),0)</f>
        <v>0</v>
      </c>
      <c r="H370" s="197">
        <f>IF(_1_5412845612146241046457891017[[#This Row],[Type]]&gt;0,VLOOKUP(_1_5412845612146241046457891017[[#This Row],[Type]],Main[[#All],[TYPE]:[UNIT]],'Unit Price'!D$1,FALSE),0)</f>
        <v>0</v>
      </c>
      <c r="I370" s="194">
        <f>IF(_1_5412845612146241046457891017[[#This Row],[Type]]&gt;0,VLOOKUP(_1_5412845612146241046457891017[[#This Row],[Type]],Main[[#All],[TYPE]:[UNIT]],'Unit Price'!G$1,FALSE),0)</f>
        <v>0</v>
      </c>
      <c r="J370" s="194">
        <f>IF(_1_5412845612146241046457891017[[#This Row],[Type]]&gt;0,VLOOKUP(_1_5412845612146241046457891017[[#This Row],[Type]],Main[[#All],[TYPE]:[UNIT]],'Unit Price'!H$1,FALSE),0)</f>
        <v>0</v>
      </c>
      <c r="K370" s="194">
        <f>IF(_1_5412845612146241046457891017[[#This Row],[Discount selection]]&gt;0,VLOOKUP(_1_5412845612146241046457891017[[#This Row],[Discount selection]],'Discount Structure'!$A$2:$B$30,2,"false"),0)</f>
        <v>1</v>
      </c>
      <c r="L370" s="194">
        <f>_1_5412845612146241046457891017[[#This Row],[LIST $]]*_1_5412845612146241046457891017[[#This Row],[DISCOUNT]]*_1_5412845612146241046457891017[[#This Row],[DISCOUNT 2]]</f>
        <v>0</v>
      </c>
      <c r="M370" s="194">
        <f>IF(OR(_1_5412845612146241046457891017[[#This Row],[UNIT]]&gt;0,_1_5412845612146241046457891017[[#This Row],[UNIT]]&lt;0),_1_5412845612146241046457891017[[#This Row],[UNIT]]*_1_5412845612146241046457891017[[#This Row],[COST]],0)</f>
        <v>0</v>
      </c>
      <c r="N370" s="194">
        <f t="shared" si="5"/>
        <v>1.35</v>
      </c>
      <c r="O370" s="198">
        <f>_1_5412845612146241046457891017[[#This Row],[TOTAL]]*_1_5412845612146241046457891017[[#This Row],[MARGIN]]</f>
        <v>0</v>
      </c>
      <c r="R370" s="41"/>
    </row>
    <row r="371" spans="1:18">
      <c r="D371" s="188"/>
      <c r="F371" s="168" t="s">
        <v>6202</v>
      </c>
      <c r="G371" s="193">
        <f>IF(_1_5412845612146241046457891017[[#This Row],[Type]]&gt;0,VLOOKUP(_1_5412845612146241046457891017[[#This Row],[Type]],Main[[#All],[TYPE]:[UNIT]],'Unit Price'!C$1,FALSE),0)</f>
        <v>0</v>
      </c>
      <c r="H371" s="197">
        <f>IF(_1_5412845612146241046457891017[[#This Row],[Type]]&gt;0,VLOOKUP(_1_5412845612146241046457891017[[#This Row],[Type]],Main[[#All],[TYPE]:[UNIT]],'Unit Price'!D$1,FALSE),0)</f>
        <v>0</v>
      </c>
      <c r="I371" s="194">
        <f>IF(_1_5412845612146241046457891017[[#This Row],[Type]]&gt;0,VLOOKUP(_1_5412845612146241046457891017[[#This Row],[Type]],Main[[#All],[TYPE]:[UNIT]],'Unit Price'!G$1,FALSE),0)</f>
        <v>0</v>
      </c>
      <c r="J371" s="194">
        <f>IF(_1_5412845612146241046457891017[[#This Row],[Type]]&gt;0,VLOOKUP(_1_5412845612146241046457891017[[#This Row],[Type]],Main[[#All],[TYPE]:[UNIT]],'Unit Price'!H$1,FALSE),0)</f>
        <v>0</v>
      </c>
      <c r="K371" s="194">
        <f>IF(_1_5412845612146241046457891017[[#This Row],[Discount selection]]&gt;0,VLOOKUP(_1_5412845612146241046457891017[[#This Row],[Discount selection]],'Discount Structure'!$A$2:$B$30,2,"false"),0)</f>
        <v>1</v>
      </c>
      <c r="L371" s="194">
        <f>_1_5412845612146241046457891017[[#This Row],[LIST $]]*_1_5412845612146241046457891017[[#This Row],[DISCOUNT]]*_1_5412845612146241046457891017[[#This Row],[DISCOUNT 2]]</f>
        <v>0</v>
      </c>
      <c r="M371" s="194">
        <f>IF(OR(_1_5412845612146241046457891017[[#This Row],[UNIT]]&gt;0,_1_5412845612146241046457891017[[#This Row],[UNIT]]&lt;0),_1_5412845612146241046457891017[[#This Row],[UNIT]]*_1_5412845612146241046457891017[[#This Row],[COST]],0)</f>
        <v>0</v>
      </c>
      <c r="N371" s="194">
        <f t="shared" si="5"/>
        <v>1.35</v>
      </c>
      <c r="O371" s="198">
        <f>_1_5412845612146241046457891017[[#This Row],[TOTAL]]*_1_5412845612146241046457891017[[#This Row],[MARGIN]]</f>
        <v>0</v>
      </c>
      <c r="R371" s="41"/>
    </row>
    <row r="372" spans="1:18">
      <c r="D372" s="188"/>
      <c r="F372" s="168" t="s">
        <v>6202</v>
      </c>
      <c r="G372" s="192">
        <f>IF(_1_5412845612146241046457891017[[#This Row],[Type]]&gt;0,VLOOKUP(_1_5412845612146241046457891017[[#This Row],[Type]],Main[[#All],[TYPE]:[UNIT]],'Unit Price'!C$1,FALSE),0)</f>
        <v>0</v>
      </c>
      <c r="H372" s="197">
        <f>IF(_1_5412845612146241046457891017[[#This Row],[Type]]&gt;0,VLOOKUP(_1_5412845612146241046457891017[[#This Row],[Type]],Main[[#All],[TYPE]:[UNIT]],'Unit Price'!D$1,FALSE),0)</f>
        <v>0</v>
      </c>
      <c r="I372" s="194">
        <f>IF(_1_5412845612146241046457891017[[#This Row],[Type]]&gt;0,VLOOKUP(_1_5412845612146241046457891017[[#This Row],[Type]],Main[[#All],[TYPE]:[UNIT]],'Unit Price'!G$1,FALSE),0)</f>
        <v>0</v>
      </c>
      <c r="J372" s="194">
        <f>IF(_1_5412845612146241046457891017[[#This Row],[Type]]&gt;0,VLOOKUP(_1_5412845612146241046457891017[[#This Row],[Type]],Main[[#All],[TYPE]:[UNIT]],'Unit Price'!H$1,FALSE),0)</f>
        <v>0</v>
      </c>
      <c r="K372" s="194">
        <f>IF(_1_5412845612146241046457891017[[#This Row],[Discount selection]]&gt;0,VLOOKUP(_1_5412845612146241046457891017[[#This Row],[Discount selection]],'Discount Structure'!$A$2:$B$30,2,"false"),0)</f>
        <v>1</v>
      </c>
      <c r="L372" s="194">
        <f>_1_5412845612146241046457891017[[#This Row],[LIST $]]*_1_5412845612146241046457891017[[#This Row],[DISCOUNT]]*_1_5412845612146241046457891017[[#This Row],[DISCOUNT 2]]</f>
        <v>0</v>
      </c>
      <c r="M372" s="194">
        <f>IF(OR(_1_5412845612146241046457891017[[#This Row],[UNIT]]&gt;0,_1_5412845612146241046457891017[[#This Row],[UNIT]]&lt;0),_1_5412845612146241046457891017[[#This Row],[UNIT]]*_1_5412845612146241046457891017[[#This Row],[COST]],0)</f>
        <v>0</v>
      </c>
      <c r="N372" s="194">
        <f t="shared" si="5"/>
        <v>1.35</v>
      </c>
      <c r="O372" s="198">
        <f>_1_5412845612146241046457891017[[#This Row],[TOTAL]]*_1_5412845612146241046457891017[[#This Row],[MARGIN]]</f>
        <v>0</v>
      </c>
      <c r="R372" s="41"/>
    </row>
    <row r="373" spans="1:18">
      <c r="A373" s="327"/>
      <c r="B373" s="327"/>
      <c r="D373" s="188"/>
      <c r="F373" s="168" t="s">
        <v>6202</v>
      </c>
      <c r="G373" s="192">
        <f>IF(_1_5412845612146241046457891017[[#This Row],[Type]]&gt;0,VLOOKUP(_1_5412845612146241046457891017[[#This Row],[Type]],Main[[#All],[TYPE]:[UNIT]],'Unit Price'!C$1,FALSE),0)</f>
        <v>0</v>
      </c>
      <c r="H373" s="197">
        <f>IF(_1_5412845612146241046457891017[[#This Row],[Type]]&gt;0,VLOOKUP(_1_5412845612146241046457891017[[#This Row],[Type]],Main[[#All],[TYPE]:[UNIT]],'Unit Price'!D$1,FALSE),0)</f>
        <v>0</v>
      </c>
      <c r="I373" s="194">
        <f>IF(_1_5412845612146241046457891017[[#This Row],[Type]]&gt;0,VLOOKUP(_1_5412845612146241046457891017[[#This Row],[Type]],Main[[#All],[TYPE]:[UNIT]],'Unit Price'!G$1,FALSE),0)</f>
        <v>0</v>
      </c>
      <c r="J373" s="194">
        <f>IF(_1_5412845612146241046457891017[[#This Row],[Type]]&gt;0,VLOOKUP(_1_5412845612146241046457891017[[#This Row],[Type]],Main[[#All],[TYPE]:[UNIT]],'Unit Price'!H$1,FALSE),0)</f>
        <v>0</v>
      </c>
      <c r="K373" s="194">
        <f>IF(_1_5412845612146241046457891017[[#This Row],[Discount selection]]&gt;0,VLOOKUP(_1_5412845612146241046457891017[[#This Row],[Discount selection]],'Discount Structure'!$A$2:$B$30,2,"false"),0)</f>
        <v>1</v>
      </c>
      <c r="L373" s="194">
        <f>_1_5412845612146241046457891017[[#This Row],[LIST $]]*_1_5412845612146241046457891017[[#This Row],[DISCOUNT]]*_1_5412845612146241046457891017[[#This Row],[DISCOUNT 2]]</f>
        <v>0</v>
      </c>
      <c r="M373" s="194">
        <f>IF(OR(_1_5412845612146241046457891017[[#This Row],[UNIT]]&gt;0,_1_5412845612146241046457891017[[#This Row],[UNIT]]&lt;0),_1_5412845612146241046457891017[[#This Row],[UNIT]]*_1_5412845612146241046457891017[[#This Row],[COST]],0)</f>
        <v>0</v>
      </c>
      <c r="N373" s="194">
        <f t="shared" si="5"/>
        <v>1.35</v>
      </c>
      <c r="O373" s="198">
        <f>_1_5412845612146241046457891017[[#This Row],[TOTAL]]*_1_5412845612146241046457891017[[#This Row],[MARGIN]]</f>
        <v>0</v>
      </c>
      <c r="R373" s="41"/>
    </row>
    <row r="374" spans="1:18">
      <c r="D374" s="188"/>
      <c r="F374" s="168" t="s">
        <v>6202</v>
      </c>
      <c r="G374" s="193">
        <f>IF(_1_5412845612146241046457891017[[#This Row],[Type]]&gt;0,VLOOKUP(_1_5412845612146241046457891017[[#This Row],[Type]],Main[[#All],[TYPE]:[UNIT]],'Unit Price'!C$1,FALSE),0)</f>
        <v>0</v>
      </c>
      <c r="H374" s="197">
        <f>IF(_1_5412845612146241046457891017[[#This Row],[Type]]&gt;0,VLOOKUP(_1_5412845612146241046457891017[[#This Row],[Type]],Main[[#All],[TYPE]:[UNIT]],'Unit Price'!D$1,FALSE),0)</f>
        <v>0</v>
      </c>
      <c r="I374" s="194">
        <f>IF(_1_5412845612146241046457891017[[#This Row],[Type]]&gt;0,VLOOKUP(_1_5412845612146241046457891017[[#This Row],[Type]],Main[[#All],[TYPE]:[UNIT]],'Unit Price'!G$1,FALSE),0)</f>
        <v>0</v>
      </c>
      <c r="J374" s="194">
        <f>IF(_1_5412845612146241046457891017[[#This Row],[Type]]&gt;0,VLOOKUP(_1_5412845612146241046457891017[[#This Row],[Type]],Main[[#All],[TYPE]:[UNIT]],'Unit Price'!H$1,FALSE),0)</f>
        <v>0</v>
      </c>
      <c r="K374" s="194">
        <f>IF(_1_5412845612146241046457891017[[#This Row],[Discount selection]]&gt;0,VLOOKUP(_1_5412845612146241046457891017[[#This Row],[Discount selection]],'Discount Structure'!$A$2:$B$30,2,"false"),0)</f>
        <v>1</v>
      </c>
      <c r="L374" s="194">
        <f>_1_5412845612146241046457891017[[#This Row],[LIST $]]*_1_5412845612146241046457891017[[#This Row],[DISCOUNT]]*_1_5412845612146241046457891017[[#This Row],[DISCOUNT 2]]</f>
        <v>0</v>
      </c>
      <c r="M374" s="194">
        <f>IF(OR(_1_5412845612146241046457891017[[#This Row],[UNIT]]&gt;0,_1_5412845612146241046457891017[[#This Row],[UNIT]]&lt;0),_1_5412845612146241046457891017[[#This Row],[UNIT]]*_1_5412845612146241046457891017[[#This Row],[COST]],0)</f>
        <v>0</v>
      </c>
      <c r="N374" s="194">
        <f t="shared" si="5"/>
        <v>1.35</v>
      </c>
      <c r="O374" s="198">
        <f>_1_5412845612146241046457891017[[#This Row],[TOTAL]]*_1_5412845612146241046457891017[[#This Row],[MARGIN]]</f>
        <v>0</v>
      </c>
      <c r="R374" s="41"/>
    </row>
    <row r="375" spans="1:18">
      <c r="D375" s="188"/>
      <c r="F375" s="168" t="s">
        <v>6202</v>
      </c>
      <c r="G375" s="193">
        <f>IF(_1_5412845612146241046457891017[[#This Row],[Type]]&gt;0,VLOOKUP(_1_5412845612146241046457891017[[#This Row],[Type]],Main[[#All],[TYPE]:[UNIT]],'Unit Price'!C$1,FALSE),0)</f>
        <v>0</v>
      </c>
      <c r="H375" s="197">
        <f>IF(_1_5412845612146241046457891017[[#This Row],[Type]]&gt;0,VLOOKUP(_1_5412845612146241046457891017[[#This Row],[Type]],Main[[#All],[TYPE]:[UNIT]],'Unit Price'!D$1,FALSE),0)</f>
        <v>0</v>
      </c>
      <c r="I375" s="194">
        <f>IF(_1_5412845612146241046457891017[[#This Row],[Type]]&gt;0,VLOOKUP(_1_5412845612146241046457891017[[#This Row],[Type]],Main[[#All],[TYPE]:[UNIT]],'Unit Price'!G$1,FALSE),0)</f>
        <v>0</v>
      </c>
      <c r="J375" s="194">
        <f>IF(_1_5412845612146241046457891017[[#This Row],[Type]]&gt;0,VLOOKUP(_1_5412845612146241046457891017[[#This Row],[Type]],Main[[#All],[TYPE]:[UNIT]],'Unit Price'!H$1,FALSE),0)</f>
        <v>0</v>
      </c>
      <c r="K375" s="194">
        <f>IF(_1_5412845612146241046457891017[[#This Row],[Discount selection]]&gt;0,VLOOKUP(_1_5412845612146241046457891017[[#This Row],[Discount selection]],'Discount Structure'!$A$2:$B$30,2,"false"),0)</f>
        <v>1</v>
      </c>
      <c r="L375" s="194">
        <f>_1_5412845612146241046457891017[[#This Row],[LIST $]]*_1_5412845612146241046457891017[[#This Row],[DISCOUNT]]*_1_5412845612146241046457891017[[#This Row],[DISCOUNT 2]]</f>
        <v>0</v>
      </c>
      <c r="M375" s="194">
        <f>IF(OR(_1_5412845612146241046457891017[[#This Row],[UNIT]]&gt;0,_1_5412845612146241046457891017[[#This Row],[UNIT]]&lt;0),_1_5412845612146241046457891017[[#This Row],[UNIT]]*_1_5412845612146241046457891017[[#This Row],[COST]],0)</f>
        <v>0</v>
      </c>
      <c r="N375" s="194">
        <f t="shared" si="5"/>
        <v>1.35</v>
      </c>
      <c r="O375" s="198">
        <f>_1_5412845612146241046457891017[[#This Row],[TOTAL]]*_1_5412845612146241046457891017[[#This Row],[MARGIN]]</f>
        <v>0</v>
      </c>
      <c r="R375" s="41"/>
    </row>
    <row r="376" spans="1:18">
      <c r="D376" s="188"/>
      <c r="F376" s="168" t="s">
        <v>6202</v>
      </c>
      <c r="G376" s="193">
        <f>IF(_1_5412845612146241046457891017[[#This Row],[Type]]&gt;0,VLOOKUP(_1_5412845612146241046457891017[[#This Row],[Type]],Main[[#All],[TYPE]:[UNIT]],'Unit Price'!C$1,FALSE),0)</f>
        <v>0</v>
      </c>
      <c r="H376" s="197">
        <f>IF(_1_5412845612146241046457891017[[#This Row],[Type]]&gt;0,VLOOKUP(_1_5412845612146241046457891017[[#This Row],[Type]],Main[[#All],[TYPE]:[UNIT]],'Unit Price'!D$1,FALSE),0)</f>
        <v>0</v>
      </c>
      <c r="I376" s="194">
        <f>IF(_1_5412845612146241046457891017[[#This Row],[Type]]&gt;0,VLOOKUP(_1_5412845612146241046457891017[[#This Row],[Type]],Main[[#All],[TYPE]:[UNIT]],'Unit Price'!G$1,FALSE),0)</f>
        <v>0</v>
      </c>
      <c r="J376" s="194">
        <f>IF(_1_5412845612146241046457891017[[#This Row],[Type]]&gt;0,VLOOKUP(_1_5412845612146241046457891017[[#This Row],[Type]],Main[[#All],[TYPE]:[UNIT]],'Unit Price'!H$1,FALSE),0)</f>
        <v>0</v>
      </c>
      <c r="K376" s="194">
        <f>IF(_1_5412845612146241046457891017[[#This Row],[Discount selection]]&gt;0,VLOOKUP(_1_5412845612146241046457891017[[#This Row],[Discount selection]],'Discount Structure'!$A$2:$B$30,2,"false"),0)</f>
        <v>1</v>
      </c>
      <c r="L376" s="194">
        <f>_1_5412845612146241046457891017[[#This Row],[LIST $]]*_1_5412845612146241046457891017[[#This Row],[DISCOUNT]]*_1_5412845612146241046457891017[[#This Row],[DISCOUNT 2]]</f>
        <v>0</v>
      </c>
      <c r="M376" s="194">
        <f>IF(OR(_1_5412845612146241046457891017[[#This Row],[UNIT]]&gt;0,_1_5412845612146241046457891017[[#This Row],[UNIT]]&lt;0),_1_5412845612146241046457891017[[#This Row],[UNIT]]*_1_5412845612146241046457891017[[#This Row],[COST]],0)</f>
        <v>0</v>
      </c>
      <c r="N376" s="194">
        <f t="shared" si="5"/>
        <v>1.35</v>
      </c>
      <c r="O376" s="198">
        <f>_1_5412845612146241046457891017[[#This Row],[TOTAL]]*_1_5412845612146241046457891017[[#This Row],[MARGIN]]</f>
        <v>0</v>
      </c>
      <c r="R376" s="41"/>
    </row>
    <row r="377" spans="1:18">
      <c r="D377" s="188"/>
      <c r="F377" s="168" t="s">
        <v>6202</v>
      </c>
      <c r="G377" s="192">
        <f>IF(_1_5412845612146241046457891017[[#This Row],[Type]]&gt;0,VLOOKUP(_1_5412845612146241046457891017[[#This Row],[Type]],Main[[#All],[TYPE]:[UNIT]],'Unit Price'!C$1,FALSE),0)</f>
        <v>0</v>
      </c>
      <c r="H377" s="197">
        <f>IF(_1_5412845612146241046457891017[[#This Row],[Type]]&gt;0,VLOOKUP(_1_5412845612146241046457891017[[#This Row],[Type]],Main[[#All],[TYPE]:[UNIT]],'Unit Price'!D$1,FALSE),0)</f>
        <v>0</v>
      </c>
      <c r="I377" s="194">
        <f>IF(_1_5412845612146241046457891017[[#This Row],[Type]]&gt;0,VLOOKUP(_1_5412845612146241046457891017[[#This Row],[Type]],Main[[#All],[TYPE]:[UNIT]],'Unit Price'!G$1,FALSE),0)</f>
        <v>0</v>
      </c>
      <c r="J377" s="194">
        <f>IF(_1_5412845612146241046457891017[[#This Row],[Type]]&gt;0,VLOOKUP(_1_5412845612146241046457891017[[#This Row],[Type]],Main[[#All],[TYPE]:[UNIT]],'Unit Price'!H$1,FALSE),0)</f>
        <v>0</v>
      </c>
      <c r="K377" s="194">
        <f>IF(_1_5412845612146241046457891017[[#This Row],[Discount selection]]&gt;0,VLOOKUP(_1_5412845612146241046457891017[[#This Row],[Discount selection]],'Discount Structure'!$A$2:$B$30,2,"false"),0)</f>
        <v>1</v>
      </c>
      <c r="L377" s="194">
        <f>_1_5412845612146241046457891017[[#This Row],[LIST $]]*_1_5412845612146241046457891017[[#This Row],[DISCOUNT]]*_1_5412845612146241046457891017[[#This Row],[DISCOUNT 2]]</f>
        <v>0</v>
      </c>
      <c r="M377" s="194">
        <f>IF(OR(_1_5412845612146241046457891017[[#This Row],[UNIT]]&gt;0,_1_5412845612146241046457891017[[#This Row],[UNIT]]&lt;0),_1_5412845612146241046457891017[[#This Row],[UNIT]]*_1_5412845612146241046457891017[[#This Row],[COST]],0)</f>
        <v>0</v>
      </c>
      <c r="N377" s="194">
        <f t="shared" si="5"/>
        <v>1.35</v>
      </c>
      <c r="O377" s="198">
        <f>_1_5412845612146241046457891017[[#This Row],[TOTAL]]*_1_5412845612146241046457891017[[#This Row],[MARGIN]]</f>
        <v>0</v>
      </c>
      <c r="R377" s="41"/>
    </row>
    <row r="378" spans="1:18">
      <c r="D378" s="188"/>
      <c r="F378" s="168" t="s">
        <v>6202</v>
      </c>
      <c r="G378" s="193">
        <f>IF(_1_5412845612146241046457891017[[#This Row],[Type]]&gt;0,VLOOKUP(_1_5412845612146241046457891017[[#This Row],[Type]],Main[[#All],[TYPE]:[UNIT]],'Unit Price'!C$1,FALSE),0)</f>
        <v>0</v>
      </c>
      <c r="H378" s="197">
        <f>IF(_1_5412845612146241046457891017[[#This Row],[Type]]&gt;0,VLOOKUP(_1_5412845612146241046457891017[[#This Row],[Type]],Main[[#All],[TYPE]:[UNIT]],'Unit Price'!D$1,FALSE),0)</f>
        <v>0</v>
      </c>
      <c r="I378" s="194">
        <f>IF(_1_5412845612146241046457891017[[#This Row],[Type]]&gt;0,VLOOKUP(_1_5412845612146241046457891017[[#This Row],[Type]],Main[[#All],[TYPE]:[UNIT]],'Unit Price'!G$1,FALSE),0)</f>
        <v>0</v>
      </c>
      <c r="J378" s="194">
        <f>IF(_1_5412845612146241046457891017[[#This Row],[Type]]&gt;0,VLOOKUP(_1_5412845612146241046457891017[[#This Row],[Type]],Main[[#All],[TYPE]:[UNIT]],'Unit Price'!H$1,FALSE),0)</f>
        <v>0</v>
      </c>
      <c r="K378" s="194">
        <f>IF(_1_5412845612146241046457891017[[#This Row],[Discount selection]]&gt;0,VLOOKUP(_1_5412845612146241046457891017[[#This Row],[Discount selection]],'Discount Structure'!$A$2:$B$30,2,"false"),0)</f>
        <v>1</v>
      </c>
      <c r="L378" s="194">
        <f>_1_5412845612146241046457891017[[#This Row],[LIST $]]*_1_5412845612146241046457891017[[#This Row],[DISCOUNT]]*_1_5412845612146241046457891017[[#This Row],[DISCOUNT 2]]</f>
        <v>0</v>
      </c>
      <c r="M378" s="194">
        <f>IF(OR(_1_5412845612146241046457891017[[#This Row],[UNIT]]&gt;0,_1_5412845612146241046457891017[[#This Row],[UNIT]]&lt;0),_1_5412845612146241046457891017[[#This Row],[UNIT]]*_1_5412845612146241046457891017[[#This Row],[COST]],0)</f>
        <v>0</v>
      </c>
      <c r="N378" s="194">
        <f t="shared" si="5"/>
        <v>1.35</v>
      </c>
      <c r="O378" s="198">
        <f>_1_5412845612146241046457891017[[#This Row],[TOTAL]]*_1_5412845612146241046457891017[[#This Row],[MARGIN]]</f>
        <v>0</v>
      </c>
      <c r="R378" s="41"/>
    </row>
    <row r="379" spans="1:18">
      <c r="D379" s="188"/>
      <c r="F379" s="168" t="s">
        <v>6202</v>
      </c>
      <c r="G379" s="193">
        <f>IF(_1_5412845612146241046457891017[[#This Row],[Type]]&gt;0,VLOOKUP(_1_5412845612146241046457891017[[#This Row],[Type]],Main[[#All],[TYPE]:[UNIT]],'Unit Price'!C$1,FALSE),0)</f>
        <v>0</v>
      </c>
      <c r="H379" s="197">
        <f>IF(_1_5412845612146241046457891017[[#This Row],[Type]]&gt;0,VLOOKUP(_1_5412845612146241046457891017[[#This Row],[Type]],Main[[#All],[TYPE]:[UNIT]],'Unit Price'!D$1,FALSE),0)</f>
        <v>0</v>
      </c>
      <c r="I379" s="194">
        <f>IF(_1_5412845612146241046457891017[[#This Row],[Type]]&gt;0,VLOOKUP(_1_5412845612146241046457891017[[#This Row],[Type]],Main[[#All],[TYPE]:[UNIT]],'Unit Price'!G$1,FALSE),0)</f>
        <v>0</v>
      </c>
      <c r="J379" s="194">
        <f>IF(_1_5412845612146241046457891017[[#This Row],[Type]]&gt;0,VLOOKUP(_1_5412845612146241046457891017[[#This Row],[Type]],Main[[#All],[TYPE]:[UNIT]],'Unit Price'!H$1,FALSE),0)</f>
        <v>0</v>
      </c>
      <c r="K379" s="194">
        <f>IF(_1_5412845612146241046457891017[[#This Row],[Discount selection]]&gt;0,VLOOKUP(_1_5412845612146241046457891017[[#This Row],[Discount selection]],'Discount Structure'!$A$2:$B$30,2,"false"),0)</f>
        <v>1</v>
      </c>
      <c r="L379" s="194">
        <f>_1_5412845612146241046457891017[[#This Row],[LIST $]]*_1_5412845612146241046457891017[[#This Row],[DISCOUNT]]*_1_5412845612146241046457891017[[#This Row],[DISCOUNT 2]]</f>
        <v>0</v>
      </c>
      <c r="M379" s="194">
        <f>IF(OR(_1_5412845612146241046457891017[[#This Row],[UNIT]]&gt;0,_1_5412845612146241046457891017[[#This Row],[UNIT]]&lt;0),_1_5412845612146241046457891017[[#This Row],[UNIT]]*_1_5412845612146241046457891017[[#This Row],[COST]],0)</f>
        <v>0</v>
      </c>
      <c r="N379" s="194">
        <f t="shared" si="5"/>
        <v>1.35</v>
      </c>
      <c r="O379" s="198">
        <f>_1_5412845612146241046457891017[[#This Row],[TOTAL]]*_1_5412845612146241046457891017[[#This Row],[MARGIN]]</f>
        <v>0</v>
      </c>
      <c r="R379" s="41"/>
    </row>
    <row r="380" spans="1:18">
      <c r="A380" s="327"/>
      <c r="B380" s="327"/>
      <c r="D380" s="188"/>
      <c r="F380" s="168" t="s">
        <v>6202</v>
      </c>
      <c r="G380" s="193">
        <f>IF(_1_5412845612146241046457891017[[#This Row],[Type]]&gt;0,VLOOKUP(_1_5412845612146241046457891017[[#This Row],[Type]],Main[[#All],[TYPE]:[UNIT]],'Unit Price'!C$1,FALSE),0)</f>
        <v>0</v>
      </c>
      <c r="H380" s="197">
        <f>IF(_1_5412845612146241046457891017[[#This Row],[Type]]&gt;0,VLOOKUP(_1_5412845612146241046457891017[[#This Row],[Type]],Main[[#All],[TYPE]:[UNIT]],'Unit Price'!D$1,FALSE),0)</f>
        <v>0</v>
      </c>
      <c r="I380" s="194">
        <f>IF(_1_5412845612146241046457891017[[#This Row],[Type]]&gt;0,VLOOKUP(_1_5412845612146241046457891017[[#This Row],[Type]],Main[[#All],[TYPE]:[UNIT]],'Unit Price'!G$1,FALSE),0)</f>
        <v>0</v>
      </c>
      <c r="J380" s="194">
        <f>IF(_1_5412845612146241046457891017[[#This Row],[Type]]&gt;0,VLOOKUP(_1_5412845612146241046457891017[[#This Row],[Type]],Main[[#All],[TYPE]:[UNIT]],'Unit Price'!H$1,FALSE),0)</f>
        <v>0</v>
      </c>
      <c r="K380" s="194">
        <f>IF(_1_5412845612146241046457891017[[#This Row],[Discount selection]]&gt;0,VLOOKUP(_1_5412845612146241046457891017[[#This Row],[Discount selection]],'Discount Structure'!$A$2:$B$30,2,"false"),0)</f>
        <v>1</v>
      </c>
      <c r="L380" s="194">
        <f>_1_5412845612146241046457891017[[#This Row],[LIST $]]*_1_5412845612146241046457891017[[#This Row],[DISCOUNT]]*_1_5412845612146241046457891017[[#This Row],[DISCOUNT 2]]</f>
        <v>0</v>
      </c>
      <c r="M380" s="194">
        <f>IF(OR(_1_5412845612146241046457891017[[#This Row],[UNIT]]&gt;0,_1_5412845612146241046457891017[[#This Row],[UNIT]]&lt;0),_1_5412845612146241046457891017[[#This Row],[UNIT]]*_1_5412845612146241046457891017[[#This Row],[COST]],0)</f>
        <v>0</v>
      </c>
      <c r="N380" s="194">
        <f t="shared" si="5"/>
        <v>1.35</v>
      </c>
      <c r="O380" s="198">
        <f>_1_5412845612146241046457891017[[#This Row],[TOTAL]]*_1_5412845612146241046457891017[[#This Row],[MARGIN]]</f>
        <v>0</v>
      </c>
      <c r="R380" s="41"/>
    </row>
    <row r="381" spans="1:18">
      <c r="D381" s="188"/>
      <c r="F381" s="168" t="s">
        <v>6202</v>
      </c>
      <c r="G381" s="193">
        <f>IF(_1_5412845612146241046457891017[[#This Row],[Type]]&gt;0,VLOOKUP(_1_5412845612146241046457891017[[#This Row],[Type]],Main[[#All],[TYPE]:[UNIT]],'Unit Price'!C$1,FALSE),0)</f>
        <v>0</v>
      </c>
      <c r="H381" s="197">
        <f>IF(_1_5412845612146241046457891017[[#This Row],[Type]]&gt;0,VLOOKUP(_1_5412845612146241046457891017[[#This Row],[Type]],Main[[#All],[TYPE]:[UNIT]],'Unit Price'!D$1,FALSE),0)</f>
        <v>0</v>
      </c>
      <c r="I381" s="194">
        <f>IF(_1_5412845612146241046457891017[[#This Row],[Type]]&gt;0,VLOOKUP(_1_5412845612146241046457891017[[#This Row],[Type]],Main[[#All],[TYPE]:[UNIT]],'Unit Price'!G$1,FALSE),0)</f>
        <v>0</v>
      </c>
      <c r="J381" s="194">
        <f>IF(_1_5412845612146241046457891017[[#This Row],[Type]]&gt;0,VLOOKUP(_1_5412845612146241046457891017[[#This Row],[Type]],Main[[#All],[TYPE]:[UNIT]],'Unit Price'!H$1,FALSE),0)</f>
        <v>0</v>
      </c>
      <c r="K381" s="194">
        <f>IF(_1_5412845612146241046457891017[[#This Row],[Discount selection]]&gt;0,VLOOKUP(_1_5412845612146241046457891017[[#This Row],[Discount selection]],'Discount Structure'!$A$2:$B$30,2,"false"),0)</f>
        <v>1</v>
      </c>
      <c r="L381" s="194">
        <f>_1_5412845612146241046457891017[[#This Row],[LIST $]]*_1_5412845612146241046457891017[[#This Row],[DISCOUNT]]*_1_5412845612146241046457891017[[#This Row],[DISCOUNT 2]]</f>
        <v>0</v>
      </c>
      <c r="M381" s="194">
        <f>IF(OR(_1_5412845612146241046457891017[[#This Row],[UNIT]]&gt;0,_1_5412845612146241046457891017[[#This Row],[UNIT]]&lt;0),_1_5412845612146241046457891017[[#This Row],[UNIT]]*_1_5412845612146241046457891017[[#This Row],[COST]],0)</f>
        <v>0</v>
      </c>
      <c r="N381" s="194">
        <f t="shared" si="5"/>
        <v>1.35</v>
      </c>
      <c r="O381" s="198">
        <f>_1_5412845612146241046457891017[[#This Row],[TOTAL]]*_1_5412845612146241046457891017[[#This Row],[MARGIN]]</f>
        <v>0</v>
      </c>
      <c r="R381" s="41"/>
    </row>
    <row r="382" spans="1:18">
      <c r="D382" s="188"/>
      <c r="F382" s="168" t="s">
        <v>6202</v>
      </c>
      <c r="G382" s="192">
        <f>IF(_1_5412845612146241046457891017[[#This Row],[Type]]&gt;0,VLOOKUP(_1_5412845612146241046457891017[[#This Row],[Type]],Main[[#All],[TYPE]:[UNIT]],'Unit Price'!C$1,FALSE),0)</f>
        <v>0</v>
      </c>
      <c r="H382" s="197">
        <f>IF(_1_5412845612146241046457891017[[#This Row],[Type]]&gt;0,VLOOKUP(_1_5412845612146241046457891017[[#This Row],[Type]],Main[[#All],[TYPE]:[UNIT]],'Unit Price'!D$1,FALSE),0)</f>
        <v>0</v>
      </c>
      <c r="I382" s="194">
        <f>IF(_1_5412845612146241046457891017[[#This Row],[Type]]&gt;0,VLOOKUP(_1_5412845612146241046457891017[[#This Row],[Type]],Main[[#All],[TYPE]:[UNIT]],'Unit Price'!G$1,FALSE),0)</f>
        <v>0</v>
      </c>
      <c r="J382" s="194">
        <f>IF(_1_5412845612146241046457891017[[#This Row],[Type]]&gt;0,VLOOKUP(_1_5412845612146241046457891017[[#This Row],[Type]],Main[[#All],[TYPE]:[UNIT]],'Unit Price'!H$1,FALSE),0)</f>
        <v>0</v>
      </c>
      <c r="K382" s="194">
        <f>IF(_1_5412845612146241046457891017[[#This Row],[Discount selection]]&gt;0,VLOOKUP(_1_5412845612146241046457891017[[#This Row],[Discount selection]],'Discount Structure'!$A$2:$B$30,2,"false"),0)</f>
        <v>1</v>
      </c>
      <c r="L382" s="194">
        <f>_1_5412845612146241046457891017[[#This Row],[LIST $]]*_1_5412845612146241046457891017[[#This Row],[DISCOUNT]]*_1_5412845612146241046457891017[[#This Row],[DISCOUNT 2]]</f>
        <v>0</v>
      </c>
      <c r="M382" s="194">
        <f>IF(OR(_1_5412845612146241046457891017[[#This Row],[UNIT]]&gt;0,_1_5412845612146241046457891017[[#This Row],[UNIT]]&lt;0),_1_5412845612146241046457891017[[#This Row],[UNIT]]*_1_5412845612146241046457891017[[#This Row],[COST]],0)</f>
        <v>0</v>
      </c>
      <c r="N382" s="194">
        <f t="shared" si="5"/>
        <v>1.35</v>
      </c>
      <c r="O382" s="198">
        <f>_1_5412845612146241046457891017[[#This Row],[TOTAL]]*_1_5412845612146241046457891017[[#This Row],[MARGIN]]</f>
        <v>0</v>
      </c>
      <c r="R382" s="41"/>
    </row>
    <row r="383" spans="1:18">
      <c r="D383" s="188"/>
      <c r="F383" s="168" t="s">
        <v>6202</v>
      </c>
      <c r="G383" s="193">
        <f>IF(_1_5412845612146241046457891017[[#This Row],[Type]]&gt;0,VLOOKUP(_1_5412845612146241046457891017[[#This Row],[Type]],Main[[#All],[TYPE]:[UNIT]],'Unit Price'!C$1,FALSE),0)</f>
        <v>0</v>
      </c>
      <c r="H383" s="197">
        <f>IF(_1_5412845612146241046457891017[[#This Row],[Type]]&gt;0,VLOOKUP(_1_5412845612146241046457891017[[#This Row],[Type]],Main[[#All],[TYPE]:[UNIT]],'Unit Price'!D$1,FALSE),0)</f>
        <v>0</v>
      </c>
      <c r="I383" s="194">
        <f>IF(_1_5412845612146241046457891017[[#This Row],[Type]]&gt;0,VLOOKUP(_1_5412845612146241046457891017[[#This Row],[Type]],Main[[#All],[TYPE]:[UNIT]],'Unit Price'!G$1,FALSE),0)</f>
        <v>0</v>
      </c>
      <c r="J383" s="194">
        <f>IF(_1_5412845612146241046457891017[[#This Row],[Type]]&gt;0,VLOOKUP(_1_5412845612146241046457891017[[#This Row],[Type]],Main[[#All],[TYPE]:[UNIT]],'Unit Price'!H$1,FALSE),0)</f>
        <v>0</v>
      </c>
      <c r="K383" s="194">
        <f>IF(_1_5412845612146241046457891017[[#This Row],[Discount selection]]&gt;0,VLOOKUP(_1_5412845612146241046457891017[[#This Row],[Discount selection]],'Discount Structure'!$A$2:$B$30,2,"false"),0)</f>
        <v>1</v>
      </c>
      <c r="L383" s="194">
        <f>_1_5412845612146241046457891017[[#This Row],[LIST $]]*_1_5412845612146241046457891017[[#This Row],[DISCOUNT]]*_1_5412845612146241046457891017[[#This Row],[DISCOUNT 2]]</f>
        <v>0</v>
      </c>
      <c r="M383" s="194">
        <f>IF(OR(_1_5412845612146241046457891017[[#This Row],[UNIT]]&gt;0,_1_5412845612146241046457891017[[#This Row],[UNIT]]&lt;0),_1_5412845612146241046457891017[[#This Row],[UNIT]]*_1_5412845612146241046457891017[[#This Row],[COST]],0)</f>
        <v>0</v>
      </c>
      <c r="N383" s="194">
        <f t="shared" si="5"/>
        <v>1.35</v>
      </c>
      <c r="O383" s="198">
        <f>_1_5412845612146241046457891017[[#This Row],[TOTAL]]*_1_5412845612146241046457891017[[#This Row],[MARGIN]]</f>
        <v>0</v>
      </c>
      <c r="R383" s="41"/>
    </row>
    <row r="384" spans="1:18">
      <c r="D384" s="188"/>
      <c r="F384" s="168" t="s">
        <v>6202</v>
      </c>
      <c r="G384" s="193">
        <f>IF(_1_5412845612146241046457891017[[#This Row],[Type]]&gt;0,VLOOKUP(_1_5412845612146241046457891017[[#This Row],[Type]],Main[[#All],[TYPE]:[UNIT]],'Unit Price'!C$1,FALSE),0)</f>
        <v>0</v>
      </c>
      <c r="H384" s="197">
        <f>IF(_1_5412845612146241046457891017[[#This Row],[Type]]&gt;0,VLOOKUP(_1_5412845612146241046457891017[[#This Row],[Type]],Main[[#All],[TYPE]:[UNIT]],'Unit Price'!D$1,FALSE),0)</f>
        <v>0</v>
      </c>
      <c r="I384" s="194">
        <f>IF(_1_5412845612146241046457891017[[#This Row],[Type]]&gt;0,VLOOKUP(_1_5412845612146241046457891017[[#This Row],[Type]],Main[[#All],[TYPE]:[UNIT]],'Unit Price'!G$1,FALSE),0)</f>
        <v>0</v>
      </c>
      <c r="J384" s="194">
        <f>IF(_1_5412845612146241046457891017[[#This Row],[Type]]&gt;0,VLOOKUP(_1_5412845612146241046457891017[[#This Row],[Type]],Main[[#All],[TYPE]:[UNIT]],'Unit Price'!H$1,FALSE),0)</f>
        <v>0</v>
      </c>
      <c r="K384" s="194">
        <f>IF(_1_5412845612146241046457891017[[#This Row],[Discount selection]]&gt;0,VLOOKUP(_1_5412845612146241046457891017[[#This Row],[Discount selection]],'Discount Structure'!$A$2:$B$30,2,"false"),0)</f>
        <v>1</v>
      </c>
      <c r="L384" s="194">
        <f>_1_5412845612146241046457891017[[#This Row],[LIST $]]*_1_5412845612146241046457891017[[#This Row],[DISCOUNT]]*_1_5412845612146241046457891017[[#This Row],[DISCOUNT 2]]</f>
        <v>0</v>
      </c>
      <c r="M384" s="194">
        <f>IF(OR(_1_5412845612146241046457891017[[#This Row],[UNIT]]&gt;0,_1_5412845612146241046457891017[[#This Row],[UNIT]]&lt;0),_1_5412845612146241046457891017[[#This Row],[UNIT]]*_1_5412845612146241046457891017[[#This Row],[COST]],0)</f>
        <v>0</v>
      </c>
      <c r="N384" s="194">
        <f t="shared" si="5"/>
        <v>1.35</v>
      </c>
      <c r="O384" s="198">
        <f>_1_5412845612146241046457891017[[#This Row],[TOTAL]]*_1_5412845612146241046457891017[[#This Row],[MARGIN]]</f>
        <v>0</v>
      </c>
      <c r="R384" s="41"/>
    </row>
    <row r="385" spans="1:18">
      <c r="D385" s="188"/>
      <c r="F385" s="168" t="s">
        <v>6202</v>
      </c>
      <c r="G385" s="193">
        <f>IF(_1_5412845612146241046457891017[[#This Row],[Type]]&gt;0,VLOOKUP(_1_5412845612146241046457891017[[#This Row],[Type]],Main[[#All],[TYPE]:[UNIT]],'Unit Price'!C$1,FALSE),0)</f>
        <v>0</v>
      </c>
      <c r="H385" s="197">
        <f>IF(_1_5412845612146241046457891017[[#This Row],[Type]]&gt;0,VLOOKUP(_1_5412845612146241046457891017[[#This Row],[Type]],Main[[#All],[TYPE]:[UNIT]],'Unit Price'!D$1,FALSE),0)</f>
        <v>0</v>
      </c>
      <c r="I385" s="194">
        <f>IF(_1_5412845612146241046457891017[[#This Row],[Type]]&gt;0,VLOOKUP(_1_5412845612146241046457891017[[#This Row],[Type]],Main[[#All],[TYPE]:[UNIT]],'Unit Price'!G$1,FALSE),0)</f>
        <v>0</v>
      </c>
      <c r="J385" s="194">
        <f>IF(_1_5412845612146241046457891017[[#This Row],[Type]]&gt;0,VLOOKUP(_1_5412845612146241046457891017[[#This Row],[Type]],Main[[#All],[TYPE]:[UNIT]],'Unit Price'!H$1,FALSE),0)</f>
        <v>0</v>
      </c>
      <c r="K385" s="194">
        <f>IF(_1_5412845612146241046457891017[[#This Row],[Discount selection]]&gt;0,VLOOKUP(_1_5412845612146241046457891017[[#This Row],[Discount selection]],'Discount Structure'!$A$2:$B$30,2,"false"),0)</f>
        <v>1</v>
      </c>
      <c r="L385" s="194">
        <f>_1_5412845612146241046457891017[[#This Row],[LIST $]]*_1_5412845612146241046457891017[[#This Row],[DISCOUNT]]*_1_5412845612146241046457891017[[#This Row],[DISCOUNT 2]]</f>
        <v>0</v>
      </c>
      <c r="M385" s="194">
        <f>IF(OR(_1_5412845612146241046457891017[[#This Row],[UNIT]]&gt;0,_1_5412845612146241046457891017[[#This Row],[UNIT]]&lt;0),_1_5412845612146241046457891017[[#This Row],[UNIT]]*_1_5412845612146241046457891017[[#This Row],[COST]],0)</f>
        <v>0</v>
      </c>
      <c r="N385" s="194">
        <f t="shared" si="5"/>
        <v>1.35</v>
      </c>
      <c r="O385" s="198">
        <f>_1_5412845612146241046457891017[[#This Row],[TOTAL]]*_1_5412845612146241046457891017[[#This Row],[MARGIN]]</f>
        <v>0</v>
      </c>
      <c r="R385" s="41"/>
    </row>
    <row r="386" spans="1:18">
      <c r="D386" s="188"/>
      <c r="F386" s="168" t="s">
        <v>6202</v>
      </c>
      <c r="G386" s="193">
        <f>IF(_1_5412845612146241046457891017[[#This Row],[Type]]&gt;0,VLOOKUP(_1_5412845612146241046457891017[[#This Row],[Type]],Main[[#All],[TYPE]:[UNIT]],'Unit Price'!C$1,FALSE),0)</f>
        <v>0</v>
      </c>
      <c r="H386" s="197">
        <f>IF(_1_5412845612146241046457891017[[#This Row],[Type]]&gt;0,VLOOKUP(_1_5412845612146241046457891017[[#This Row],[Type]],Main[[#All],[TYPE]:[UNIT]],'Unit Price'!D$1,FALSE),0)</f>
        <v>0</v>
      </c>
      <c r="I386" s="194">
        <f>IF(_1_5412845612146241046457891017[[#This Row],[Type]]&gt;0,VLOOKUP(_1_5412845612146241046457891017[[#This Row],[Type]],Main[[#All],[TYPE]:[UNIT]],'Unit Price'!G$1,FALSE),0)</f>
        <v>0</v>
      </c>
      <c r="J386" s="194">
        <f>IF(_1_5412845612146241046457891017[[#This Row],[Type]]&gt;0,VLOOKUP(_1_5412845612146241046457891017[[#This Row],[Type]],Main[[#All],[TYPE]:[UNIT]],'Unit Price'!H$1,FALSE),0)</f>
        <v>0</v>
      </c>
      <c r="K386" s="194">
        <f>IF(_1_5412845612146241046457891017[[#This Row],[Discount selection]]&gt;0,VLOOKUP(_1_5412845612146241046457891017[[#This Row],[Discount selection]],'Discount Structure'!$A$2:$B$30,2,"false"),0)</f>
        <v>1</v>
      </c>
      <c r="L386" s="194">
        <f>_1_5412845612146241046457891017[[#This Row],[LIST $]]*_1_5412845612146241046457891017[[#This Row],[DISCOUNT]]*_1_5412845612146241046457891017[[#This Row],[DISCOUNT 2]]</f>
        <v>0</v>
      </c>
      <c r="M386" s="194">
        <f>IF(OR(_1_5412845612146241046457891017[[#This Row],[UNIT]]&gt;0,_1_5412845612146241046457891017[[#This Row],[UNIT]]&lt;0),_1_5412845612146241046457891017[[#This Row],[UNIT]]*_1_5412845612146241046457891017[[#This Row],[COST]],0)</f>
        <v>0</v>
      </c>
      <c r="N386" s="194">
        <f t="shared" si="5"/>
        <v>1.35</v>
      </c>
      <c r="O386" s="198">
        <f>_1_5412845612146241046457891017[[#This Row],[TOTAL]]*_1_5412845612146241046457891017[[#This Row],[MARGIN]]</f>
        <v>0</v>
      </c>
      <c r="R386" s="41"/>
    </row>
    <row r="387" spans="1:18">
      <c r="D387" s="188"/>
      <c r="F387" s="168" t="s">
        <v>6202</v>
      </c>
      <c r="G387" s="192">
        <f>IF(_1_5412845612146241046457891017[[#This Row],[Type]]&gt;0,VLOOKUP(_1_5412845612146241046457891017[[#This Row],[Type]],Main[[#All],[TYPE]:[UNIT]],'Unit Price'!C$1,FALSE),0)</f>
        <v>0</v>
      </c>
      <c r="H387" s="197">
        <f>IF(_1_5412845612146241046457891017[[#This Row],[Type]]&gt;0,VLOOKUP(_1_5412845612146241046457891017[[#This Row],[Type]],Main[[#All],[TYPE]:[UNIT]],'Unit Price'!D$1,FALSE),0)</f>
        <v>0</v>
      </c>
      <c r="I387" s="194">
        <f>IF(_1_5412845612146241046457891017[[#This Row],[Type]]&gt;0,VLOOKUP(_1_5412845612146241046457891017[[#This Row],[Type]],Main[[#All],[TYPE]:[UNIT]],'Unit Price'!G$1,FALSE),0)</f>
        <v>0</v>
      </c>
      <c r="J387" s="194">
        <f>IF(_1_5412845612146241046457891017[[#This Row],[Type]]&gt;0,VLOOKUP(_1_5412845612146241046457891017[[#This Row],[Type]],Main[[#All],[TYPE]:[UNIT]],'Unit Price'!H$1,FALSE),0)</f>
        <v>0</v>
      </c>
      <c r="K387" s="194">
        <f>IF(_1_5412845612146241046457891017[[#This Row],[Discount selection]]&gt;0,VLOOKUP(_1_5412845612146241046457891017[[#This Row],[Discount selection]],'Discount Structure'!$A$2:$B$30,2,"false"),0)</f>
        <v>1</v>
      </c>
      <c r="L387" s="194">
        <f>_1_5412845612146241046457891017[[#This Row],[LIST $]]*_1_5412845612146241046457891017[[#This Row],[DISCOUNT]]*_1_5412845612146241046457891017[[#This Row],[DISCOUNT 2]]</f>
        <v>0</v>
      </c>
      <c r="M387" s="194">
        <f>IF(OR(_1_5412845612146241046457891017[[#This Row],[UNIT]]&gt;0,_1_5412845612146241046457891017[[#This Row],[UNIT]]&lt;0),_1_5412845612146241046457891017[[#This Row],[UNIT]]*_1_5412845612146241046457891017[[#This Row],[COST]],0)</f>
        <v>0</v>
      </c>
      <c r="N387" s="194">
        <f t="shared" si="5"/>
        <v>1.35</v>
      </c>
      <c r="O387" s="198">
        <f>_1_5412845612146241046457891017[[#This Row],[TOTAL]]*_1_5412845612146241046457891017[[#This Row],[MARGIN]]</f>
        <v>0</v>
      </c>
      <c r="R387" s="41"/>
    </row>
    <row r="388" spans="1:18">
      <c r="D388" s="188"/>
      <c r="F388" s="168" t="s">
        <v>6202</v>
      </c>
      <c r="G388" s="193">
        <f>IF(_1_5412845612146241046457891017[[#This Row],[Type]]&gt;0,VLOOKUP(_1_5412845612146241046457891017[[#This Row],[Type]],Main[[#All],[TYPE]:[UNIT]],'Unit Price'!C$1,FALSE),0)</f>
        <v>0</v>
      </c>
      <c r="H388" s="197">
        <f>IF(_1_5412845612146241046457891017[[#This Row],[Type]]&gt;0,VLOOKUP(_1_5412845612146241046457891017[[#This Row],[Type]],Main[[#All],[TYPE]:[UNIT]],'Unit Price'!D$1,FALSE),0)</f>
        <v>0</v>
      </c>
      <c r="I388" s="194">
        <f>IF(_1_5412845612146241046457891017[[#This Row],[Type]]&gt;0,VLOOKUP(_1_5412845612146241046457891017[[#This Row],[Type]],Main[[#All],[TYPE]:[UNIT]],'Unit Price'!G$1,FALSE),0)</f>
        <v>0</v>
      </c>
      <c r="J388" s="194">
        <f>IF(_1_5412845612146241046457891017[[#This Row],[Type]]&gt;0,VLOOKUP(_1_5412845612146241046457891017[[#This Row],[Type]],Main[[#All],[TYPE]:[UNIT]],'Unit Price'!H$1,FALSE),0)</f>
        <v>0</v>
      </c>
      <c r="K388" s="194">
        <f>IF(_1_5412845612146241046457891017[[#This Row],[Discount selection]]&gt;0,VLOOKUP(_1_5412845612146241046457891017[[#This Row],[Discount selection]],'Discount Structure'!$A$2:$B$30,2,"false"),0)</f>
        <v>1</v>
      </c>
      <c r="L388" s="194">
        <f>_1_5412845612146241046457891017[[#This Row],[LIST $]]*_1_5412845612146241046457891017[[#This Row],[DISCOUNT]]*_1_5412845612146241046457891017[[#This Row],[DISCOUNT 2]]</f>
        <v>0</v>
      </c>
      <c r="M388" s="194">
        <f>IF(OR(_1_5412845612146241046457891017[[#This Row],[UNIT]]&gt;0,_1_5412845612146241046457891017[[#This Row],[UNIT]]&lt;0),_1_5412845612146241046457891017[[#This Row],[UNIT]]*_1_5412845612146241046457891017[[#This Row],[COST]],0)</f>
        <v>0</v>
      </c>
      <c r="N388" s="194">
        <f t="shared" si="5"/>
        <v>1.35</v>
      </c>
      <c r="O388" s="198">
        <f>_1_5412845612146241046457891017[[#This Row],[TOTAL]]*_1_5412845612146241046457891017[[#This Row],[MARGIN]]</f>
        <v>0</v>
      </c>
      <c r="R388" s="41"/>
    </row>
    <row r="389" spans="1:18">
      <c r="D389" s="188"/>
      <c r="F389" s="168" t="s">
        <v>6202</v>
      </c>
      <c r="G389" s="193">
        <f>IF(_1_5412845612146241046457891017[[#This Row],[Type]]&gt;0,VLOOKUP(_1_5412845612146241046457891017[[#This Row],[Type]],Main[[#All],[TYPE]:[UNIT]],'Unit Price'!C$1,FALSE),0)</f>
        <v>0</v>
      </c>
      <c r="H389" s="197">
        <f>IF(_1_5412845612146241046457891017[[#This Row],[Type]]&gt;0,VLOOKUP(_1_5412845612146241046457891017[[#This Row],[Type]],Main[[#All],[TYPE]:[UNIT]],'Unit Price'!D$1,FALSE),0)</f>
        <v>0</v>
      </c>
      <c r="I389" s="194">
        <f>IF(_1_5412845612146241046457891017[[#This Row],[Type]]&gt;0,VLOOKUP(_1_5412845612146241046457891017[[#This Row],[Type]],Main[[#All],[TYPE]:[UNIT]],'Unit Price'!G$1,FALSE),0)</f>
        <v>0</v>
      </c>
      <c r="J389" s="194">
        <f>IF(_1_5412845612146241046457891017[[#This Row],[Type]]&gt;0,VLOOKUP(_1_5412845612146241046457891017[[#This Row],[Type]],Main[[#All],[TYPE]:[UNIT]],'Unit Price'!H$1,FALSE),0)</f>
        <v>0</v>
      </c>
      <c r="K389" s="194">
        <f>IF(_1_5412845612146241046457891017[[#This Row],[Discount selection]]&gt;0,VLOOKUP(_1_5412845612146241046457891017[[#This Row],[Discount selection]],'Discount Structure'!$A$2:$B$30,2,"false"),0)</f>
        <v>1</v>
      </c>
      <c r="L389" s="194">
        <f>_1_5412845612146241046457891017[[#This Row],[LIST $]]*_1_5412845612146241046457891017[[#This Row],[DISCOUNT]]*_1_5412845612146241046457891017[[#This Row],[DISCOUNT 2]]</f>
        <v>0</v>
      </c>
      <c r="M389" s="194">
        <f>IF(OR(_1_5412845612146241046457891017[[#This Row],[UNIT]]&gt;0,_1_5412845612146241046457891017[[#This Row],[UNIT]]&lt;0),_1_5412845612146241046457891017[[#This Row],[UNIT]]*_1_5412845612146241046457891017[[#This Row],[COST]],0)</f>
        <v>0</v>
      </c>
      <c r="N389" s="194">
        <f t="shared" si="5"/>
        <v>1.35</v>
      </c>
      <c r="O389" s="198">
        <f>_1_5412845612146241046457891017[[#This Row],[TOTAL]]*_1_5412845612146241046457891017[[#This Row],[MARGIN]]</f>
        <v>0</v>
      </c>
      <c r="R389" s="41"/>
    </row>
    <row r="390" spans="1:18">
      <c r="D390" s="188"/>
      <c r="F390" s="168" t="s">
        <v>6202</v>
      </c>
      <c r="G390" s="193">
        <f>IF(_1_5412845612146241046457891017[[#This Row],[Type]]&gt;0,VLOOKUP(_1_5412845612146241046457891017[[#This Row],[Type]],Main[[#All],[TYPE]:[UNIT]],'Unit Price'!C$1,FALSE),0)</f>
        <v>0</v>
      </c>
      <c r="H390" s="197">
        <f>IF(_1_5412845612146241046457891017[[#This Row],[Type]]&gt;0,VLOOKUP(_1_5412845612146241046457891017[[#This Row],[Type]],Main[[#All],[TYPE]:[UNIT]],'Unit Price'!D$1,FALSE),0)</f>
        <v>0</v>
      </c>
      <c r="I390" s="194">
        <f>IF(_1_5412845612146241046457891017[[#This Row],[Type]]&gt;0,VLOOKUP(_1_5412845612146241046457891017[[#This Row],[Type]],Main[[#All],[TYPE]:[UNIT]],'Unit Price'!G$1,FALSE),0)</f>
        <v>0</v>
      </c>
      <c r="J390" s="194">
        <f>IF(_1_5412845612146241046457891017[[#This Row],[Type]]&gt;0,VLOOKUP(_1_5412845612146241046457891017[[#This Row],[Type]],Main[[#All],[TYPE]:[UNIT]],'Unit Price'!H$1,FALSE),0)</f>
        <v>0</v>
      </c>
      <c r="K390" s="194">
        <f>IF(_1_5412845612146241046457891017[[#This Row],[Discount selection]]&gt;0,VLOOKUP(_1_5412845612146241046457891017[[#This Row],[Discount selection]],'Discount Structure'!$A$2:$B$30,2,"false"),0)</f>
        <v>1</v>
      </c>
      <c r="L390" s="194">
        <f>_1_5412845612146241046457891017[[#This Row],[LIST $]]*_1_5412845612146241046457891017[[#This Row],[DISCOUNT]]*_1_5412845612146241046457891017[[#This Row],[DISCOUNT 2]]</f>
        <v>0</v>
      </c>
      <c r="M390" s="194">
        <f>IF(OR(_1_5412845612146241046457891017[[#This Row],[UNIT]]&gt;0,_1_5412845612146241046457891017[[#This Row],[UNIT]]&lt;0),_1_5412845612146241046457891017[[#This Row],[UNIT]]*_1_5412845612146241046457891017[[#This Row],[COST]],0)</f>
        <v>0</v>
      </c>
      <c r="N390" s="194">
        <f t="shared" si="5"/>
        <v>1.35</v>
      </c>
      <c r="O390" s="198">
        <f>_1_5412845612146241046457891017[[#This Row],[TOTAL]]*_1_5412845612146241046457891017[[#This Row],[MARGIN]]</f>
        <v>0</v>
      </c>
      <c r="R390" s="41"/>
    </row>
    <row r="391" spans="1:18">
      <c r="D391" s="188"/>
      <c r="F391" s="168" t="s">
        <v>6202</v>
      </c>
      <c r="G391" s="193">
        <f>IF(_1_5412845612146241046457891017[[#This Row],[Type]]&gt;0,VLOOKUP(_1_5412845612146241046457891017[[#This Row],[Type]],Main[[#All],[TYPE]:[UNIT]],'Unit Price'!C$1,FALSE),0)</f>
        <v>0</v>
      </c>
      <c r="H391" s="197">
        <f>IF(_1_5412845612146241046457891017[[#This Row],[Type]]&gt;0,VLOOKUP(_1_5412845612146241046457891017[[#This Row],[Type]],Main[[#All],[TYPE]:[UNIT]],'Unit Price'!D$1,FALSE),0)</f>
        <v>0</v>
      </c>
      <c r="I391" s="194">
        <f>IF(_1_5412845612146241046457891017[[#This Row],[Type]]&gt;0,VLOOKUP(_1_5412845612146241046457891017[[#This Row],[Type]],Main[[#All],[TYPE]:[UNIT]],'Unit Price'!G$1,FALSE),0)</f>
        <v>0</v>
      </c>
      <c r="J391" s="194">
        <f>IF(_1_5412845612146241046457891017[[#This Row],[Type]]&gt;0,VLOOKUP(_1_5412845612146241046457891017[[#This Row],[Type]],Main[[#All],[TYPE]:[UNIT]],'Unit Price'!H$1,FALSE),0)</f>
        <v>0</v>
      </c>
      <c r="K391" s="194">
        <f>IF(_1_5412845612146241046457891017[[#This Row],[Discount selection]]&gt;0,VLOOKUP(_1_5412845612146241046457891017[[#This Row],[Discount selection]],'Discount Structure'!$A$2:$B$30,2,"false"),0)</f>
        <v>1</v>
      </c>
      <c r="L391" s="194">
        <f>_1_5412845612146241046457891017[[#This Row],[LIST $]]*_1_5412845612146241046457891017[[#This Row],[DISCOUNT]]*_1_5412845612146241046457891017[[#This Row],[DISCOUNT 2]]</f>
        <v>0</v>
      </c>
      <c r="M391" s="194">
        <f>IF(OR(_1_5412845612146241046457891017[[#This Row],[UNIT]]&gt;0,_1_5412845612146241046457891017[[#This Row],[UNIT]]&lt;0),_1_5412845612146241046457891017[[#This Row],[UNIT]]*_1_5412845612146241046457891017[[#This Row],[COST]],0)</f>
        <v>0</v>
      </c>
      <c r="N391" s="194">
        <f t="shared" si="5"/>
        <v>1.35</v>
      </c>
      <c r="O391" s="198">
        <f>_1_5412845612146241046457891017[[#This Row],[TOTAL]]*_1_5412845612146241046457891017[[#This Row],[MARGIN]]</f>
        <v>0</v>
      </c>
      <c r="R391" s="41"/>
    </row>
    <row r="392" spans="1:18">
      <c r="D392" s="188"/>
      <c r="F392" s="168" t="s">
        <v>6202</v>
      </c>
      <c r="G392" s="192">
        <f>IF(_1_5412845612146241046457891017[[#This Row],[Type]]&gt;0,VLOOKUP(_1_5412845612146241046457891017[[#This Row],[Type]],Main[[#All],[TYPE]:[UNIT]],'Unit Price'!C$1,FALSE),0)</f>
        <v>0</v>
      </c>
      <c r="H392" s="197">
        <f>IF(_1_5412845612146241046457891017[[#This Row],[Type]]&gt;0,VLOOKUP(_1_5412845612146241046457891017[[#This Row],[Type]],Main[[#All],[TYPE]:[UNIT]],'Unit Price'!D$1,FALSE),0)</f>
        <v>0</v>
      </c>
      <c r="I392" s="194">
        <f>IF(_1_5412845612146241046457891017[[#This Row],[Type]]&gt;0,VLOOKUP(_1_5412845612146241046457891017[[#This Row],[Type]],Main[[#All],[TYPE]:[UNIT]],'Unit Price'!G$1,FALSE),0)</f>
        <v>0</v>
      </c>
      <c r="J392" s="194">
        <f>IF(_1_5412845612146241046457891017[[#This Row],[Type]]&gt;0,VLOOKUP(_1_5412845612146241046457891017[[#This Row],[Type]],Main[[#All],[TYPE]:[UNIT]],'Unit Price'!H$1,FALSE),0)</f>
        <v>0</v>
      </c>
      <c r="K392" s="194">
        <f>IF(_1_5412845612146241046457891017[[#This Row],[Discount selection]]&gt;0,VLOOKUP(_1_5412845612146241046457891017[[#This Row],[Discount selection]],'Discount Structure'!$A$2:$B$30,2,"false"),0)</f>
        <v>1</v>
      </c>
      <c r="L392" s="194">
        <f>_1_5412845612146241046457891017[[#This Row],[LIST $]]*_1_5412845612146241046457891017[[#This Row],[DISCOUNT]]*_1_5412845612146241046457891017[[#This Row],[DISCOUNT 2]]</f>
        <v>0</v>
      </c>
      <c r="M392" s="194">
        <f>IF(OR(_1_5412845612146241046457891017[[#This Row],[UNIT]]&gt;0,_1_5412845612146241046457891017[[#This Row],[UNIT]]&lt;0),_1_5412845612146241046457891017[[#This Row],[UNIT]]*_1_5412845612146241046457891017[[#This Row],[COST]],0)</f>
        <v>0</v>
      </c>
      <c r="N392" s="194">
        <f t="shared" si="5"/>
        <v>1.35</v>
      </c>
      <c r="O392" s="198">
        <f>_1_5412845612146241046457891017[[#This Row],[TOTAL]]*_1_5412845612146241046457891017[[#This Row],[MARGIN]]</f>
        <v>0</v>
      </c>
      <c r="R392" s="41"/>
    </row>
    <row r="393" spans="1:18">
      <c r="D393" s="188"/>
      <c r="F393" s="168" t="s">
        <v>6202</v>
      </c>
      <c r="G393" s="193">
        <f>IF(_1_5412845612146241046457891017[[#This Row],[Type]]&gt;0,VLOOKUP(_1_5412845612146241046457891017[[#This Row],[Type]],Main[[#All],[TYPE]:[UNIT]],'Unit Price'!C$1,FALSE),0)</f>
        <v>0</v>
      </c>
      <c r="H393" s="197">
        <f>IF(_1_5412845612146241046457891017[[#This Row],[Type]]&gt;0,VLOOKUP(_1_5412845612146241046457891017[[#This Row],[Type]],Main[[#All],[TYPE]:[UNIT]],'Unit Price'!D$1,FALSE),0)</f>
        <v>0</v>
      </c>
      <c r="I393" s="194">
        <f>IF(_1_5412845612146241046457891017[[#This Row],[Type]]&gt;0,VLOOKUP(_1_5412845612146241046457891017[[#This Row],[Type]],Main[[#All],[TYPE]:[UNIT]],'Unit Price'!G$1,FALSE),0)</f>
        <v>0</v>
      </c>
      <c r="J393" s="194">
        <f>IF(_1_5412845612146241046457891017[[#This Row],[Type]]&gt;0,VLOOKUP(_1_5412845612146241046457891017[[#This Row],[Type]],Main[[#All],[TYPE]:[UNIT]],'Unit Price'!H$1,FALSE),0)</f>
        <v>0</v>
      </c>
      <c r="K393" s="194">
        <f>IF(_1_5412845612146241046457891017[[#This Row],[Discount selection]]&gt;0,VLOOKUP(_1_5412845612146241046457891017[[#This Row],[Discount selection]],'Discount Structure'!$A$2:$B$30,2,"false"),0)</f>
        <v>1</v>
      </c>
      <c r="L393" s="194">
        <f>_1_5412845612146241046457891017[[#This Row],[LIST $]]*_1_5412845612146241046457891017[[#This Row],[DISCOUNT]]*_1_5412845612146241046457891017[[#This Row],[DISCOUNT 2]]</f>
        <v>0</v>
      </c>
      <c r="M393" s="194">
        <f>IF(OR(_1_5412845612146241046457891017[[#This Row],[UNIT]]&gt;0,_1_5412845612146241046457891017[[#This Row],[UNIT]]&lt;0),_1_5412845612146241046457891017[[#This Row],[UNIT]]*_1_5412845612146241046457891017[[#This Row],[COST]],0)</f>
        <v>0</v>
      </c>
      <c r="N393" s="194">
        <f t="shared" si="5"/>
        <v>1.35</v>
      </c>
      <c r="O393" s="198">
        <f>_1_5412845612146241046457891017[[#This Row],[TOTAL]]*_1_5412845612146241046457891017[[#This Row],[MARGIN]]</f>
        <v>0</v>
      </c>
      <c r="R393" s="41"/>
    </row>
    <row r="394" spans="1:18">
      <c r="A394" s="327"/>
      <c r="B394" s="327"/>
      <c r="D394" s="188"/>
      <c r="F394" s="168" t="s">
        <v>6202</v>
      </c>
      <c r="G394" s="193">
        <f>IF(_1_5412845612146241046457891017[[#This Row],[Type]]&gt;0,VLOOKUP(_1_5412845612146241046457891017[[#This Row],[Type]],Main[[#All],[TYPE]:[UNIT]],'Unit Price'!C$1,FALSE),0)</f>
        <v>0</v>
      </c>
      <c r="H394" s="197">
        <f>IF(_1_5412845612146241046457891017[[#This Row],[Type]]&gt;0,VLOOKUP(_1_5412845612146241046457891017[[#This Row],[Type]],Main[[#All],[TYPE]:[UNIT]],'Unit Price'!D$1,FALSE),0)</f>
        <v>0</v>
      </c>
      <c r="I394" s="194">
        <f>IF(_1_5412845612146241046457891017[[#This Row],[Type]]&gt;0,VLOOKUP(_1_5412845612146241046457891017[[#This Row],[Type]],Main[[#All],[TYPE]:[UNIT]],'Unit Price'!G$1,FALSE),0)</f>
        <v>0</v>
      </c>
      <c r="J394" s="194">
        <f>IF(_1_5412845612146241046457891017[[#This Row],[Type]]&gt;0,VLOOKUP(_1_5412845612146241046457891017[[#This Row],[Type]],Main[[#All],[TYPE]:[UNIT]],'Unit Price'!H$1,FALSE),0)</f>
        <v>0</v>
      </c>
      <c r="K394" s="194">
        <f>IF(_1_5412845612146241046457891017[[#This Row],[Discount selection]]&gt;0,VLOOKUP(_1_5412845612146241046457891017[[#This Row],[Discount selection]],'Discount Structure'!$A$2:$B$30,2,"false"),0)</f>
        <v>1</v>
      </c>
      <c r="L394" s="194">
        <f>_1_5412845612146241046457891017[[#This Row],[LIST $]]*_1_5412845612146241046457891017[[#This Row],[DISCOUNT]]*_1_5412845612146241046457891017[[#This Row],[DISCOUNT 2]]</f>
        <v>0</v>
      </c>
      <c r="M394" s="194">
        <f>IF(OR(_1_5412845612146241046457891017[[#This Row],[UNIT]]&gt;0,_1_5412845612146241046457891017[[#This Row],[UNIT]]&lt;0),_1_5412845612146241046457891017[[#This Row],[UNIT]]*_1_5412845612146241046457891017[[#This Row],[COST]],0)</f>
        <v>0</v>
      </c>
      <c r="N394" s="194">
        <f t="shared" ref="N394:N457" si="6">$N$7</f>
        <v>1.35</v>
      </c>
      <c r="O394" s="198">
        <f>_1_5412845612146241046457891017[[#This Row],[TOTAL]]*_1_5412845612146241046457891017[[#This Row],[MARGIN]]</f>
        <v>0</v>
      </c>
      <c r="R394" s="41"/>
    </row>
    <row r="395" spans="1:18">
      <c r="D395" s="188"/>
      <c r="F395" s="168" t="s">
        <v>6202</v>
      </c>
      <c r="G395" s="193">
        <f>IF(_1_5412845612146241046457891017[[#This Row],[Type]]&gt;0,VLOOKUP(_1_5412845612146241046457891017[[#This Row],[Type]],Main[[#All],[TYPE]:[UNIT]],'Unit Price'!C$1,FALSE),0)</f>
        <v>0</v>
      </c>
      <c r="H395" s="197">
        <f>IF(_1_5412845612146241046457891017[[#This Row],[Type]]&gt;0,VLOOKUP(_1_5412845612146241046457891017[[#This Row],[Type]],Main[[#All],[TYPE]:[UNIT]],'Unit Price'!D$1,FALSE),0)</f>
        <v>0</v>
      </c>
      <c r="I395" s="194">
        <f>IF(_1_5412845612146241046457891017[[#This Row],[Type]]&gt;0,VLOOKUP(_1_5412845612146241046457891017[[#This Row],[Type]],Main[[#All],[TYPE]:[UNIT]],'Unit Price'!G$1,FALSE),0)</f>
        <v>0</v>
      </c>
      <c r="J395" s="194">
        <f>IF(_1_5412845612146241046457891017[[#This Row],[Type]]&gt;0,VLOOKUP(_1_5412845612146241046457891017[[#This Row],[Type]],Main[[#All],[TYPE]:[UNIT]],'Unit Price'!H$1,FALSE),0)</f>
        <v>0</v>
      </c>
      <c r="K395" s="194">
        <f>IF(_1_5412845612146241046457891017[[#This Row],[Discount selection]]&gt;0,VLOOKUP(_1_5412845612146241046457891017[[#This Row],[Discount selection]],'Discount Structure'!$A$2:$B$30,2,"false"),0)</f>
        <v>1</v>
      </c>
      <c r="L395" s="194">
        <f>_1_5412845612146241046457891017[[#This Row],[LIST $]]*_1_5412845612146241046457891017[[#This Row],[DISCOUNT]]*_1_5412845612146241046457891017[[#This Row],[DISCOUNT 2]]</f>
        <v>0</v>
      </c>
      <c r="M395" s="194">
        <f>IF(OR(_1_5412845612146241046457891017[[#This Row],[UNIT]]&gt;0,_1_5412845612146241046457891017[[#This Row],[UNIT]]&lt;0),_1_5412845612146241046457891017[[#This Row],[UNIT]]*_1_5412845612146241046457891017[[#This Row],[COST]],0)</f>
        <v>0</v>
      </c>
      <c r="N395" s="194">
        <f t="shared" si="6"/>
        <v>1.35</v>
      </c>
      <c r="O395" s="198">
        <f>_1_5412845612146241046457891017[[#This Row],[TOTAL]]*_1_5412845612146241046457891017[[#This Row],[MARGIN]]</f>
        <v>0</v>
      </c>
      <c r="R395" s="41"/>
    </row>
    <row r="396" spans="1:18">
      <c r="D396" s="188"/>
      <c r="F396" s="168" t="s">
        <v>6202</v>
      </c>
      <c r="G396" s="193">
        <f>IF(_1_5412845612146241046457891017[[#This Row],[Type]]&gt;0,VLOOKUP(_1_5412845612146241046457891017[[#This Row],[Type]],Main[[#All],[TYPE]:[UNIT]],'Unit Price'!C$1,FALSE),0)</f>
        <v>0</v>
      </c>
      <c r="H396" s="197">
        <f>IF(_1_5412845612146241046457891017[[#This Row],[Type]]&gt;0,VLOOKUP(_1_5412845612146241046457891017[[#This Row],[Type]],Main[[#All],[TYPE]:[UNIT]],'Unit Price'!D$1,FALSE),0)</f>
        <v>0</v>
      </c>
      <c r="I396" s="194">
        <f>IF(_1_5412845612146241046457891017[[#This Row],[Type]]&gt;0,VLOOKUP(_1_5412845612146241046457891017[[#This Row],[Type]],Main[[#All],[TYPE]:[UNIT]],'Unit Price'!G$1,FALSE),0)</f>
        <v>0</v>
      </c>
      <c r="J396" s="194">
        <f>IF(_1_5412845612146241046457891017[[#This Row],[Type]]&gt;0,VLOOKUP(_1_5412845612146241046457891017[[#This Row],[Type]],Main[[#All],[TYPE]:[UNIT]],'Unit Price'!H$1,FALSE),0)</f>
        <v>0</v>
      </c>
      <c r="K396" s="194">
        <f>IF(_1_5412845612146241046457891017[[#This Row],[Discount selection]]&gt;0,VLOOKUP(_1_5412845612146241046457891017[[#This Row],[Discount selection]],'Discount Structure'!$A$2:$B$30,2,"false"),0)</f>
        <v>1</v>
      </c>
      <c r="L396" s="194">
        <f>_1_5412845612146241046457891017[[#This Row],[LIST $]]*_1_5412845612146241046457891017[[#This Row],[DISCOUNT]]*_1_5412845612146241046457891017[[#This Row],[DISCOUNT 2]]</f>
        <v>0</v>
      </c>
      <c r="M396" s="194">
        <f>IF(OR(_1_5412845612146241046457891017[[#This Row],[UNIT]]&gt;0,_1_5412845612146241046457891017[[#This Row],[UNIT]]&lt;0),_1_5412845612146241046457891017[[#This Row],[UNIT]]*_1_5412845612146241046457891017[[#This Row],[COST]],0)</f>
        <v>0</v>
      </c>
      <c r="N396" s="194">
        <f t="shared" si="6"/>
        <v>1.35</v>
      </c>
      <c r="O396" s="198">
        <f>_1_5412845612146241046457891017[[#This Row],[TOTAL]]*_1_5412845612146241046457891017[[#This Row],[MARGIN]]</f>
        <v>0</v>
      </c>
      <c r="R396" s="41"/>
    </row>
    <row r="397" spans="1:18">
      <c r="D397" s="188"/>
      <c r="F397" s="168" t="s">
        <v>6202</v>
      </c>
      <c r="G397" s="192">
        <f>IF(_1_5412845612146241046457891017[[#This Row],[Type]]&gt;0,VLOOKUP(_1_5412845612146241046457891017[[#This Row],[Type]],Main[[#All],[TYPE]:[UNIT]],'Unit Price'!C$1,FALSE),0)</f>
        <v>0</v>
      </c>
      <c r="H397" s="197">
        <f>IF(_1_5412845612146241046457891017[[#This Row],[Type]]&gt;0,VLOOKUP(_1_5412845612146241046457891017[[#This Row],[Type]],Main[[#All],[TYPE]:[UNIT]],'Unit Price'!D$1,FALSE),0)</f>
        <v>0</v>
      </c>
      <c r="I397" s="194">
        <f>IF(_1_5412845612146241046457891017[[#This Row],[Type]]&gt;0,VLOOKUP(_1_5412845612146241046457891017[[#This Row],[Type]],Main[[#All],[TYPE]:[UNIT]],'Unit Price'!G$1,FALSE),0)</f>
        <v>0</v>
      </c>
      <c r="J397" s="194">
        <f>IF(_1_5412845612146241046457891017[[#This Row],[Type]]&gt;0,VLOOKUP(_1_5412845612146241046457891017[[#This Row],[Type]],Main[[#All],[TYPE]:[UNIT]],'Unit Price'!H$1,FALSE),0)</f>
        <v>0</v>
      </c>
      <c r="K397" s="194">
        <f>IF(_1_5412845612146241046457891017[[#This Row],[Discount selection]]&gt;0,VLOOKUP(_1_5412845612146241046457891017[[#This Row],[Discount selection]],'Discount Structure'!$A$2:$B$30,2,"false"),0)</f>
        <v>1</v>
      </c>
      <c r="L397" s="194">
        <f>_1_5412845612146241046457891017[[#This Row],[LIST $]]*_1_5412845612146241046457891017[[#This Row],[DISCOUNT]]*_1_5412845612146241046457891017[[#This Row],[DISCOUNT 2]]</f>
        <v>0</v>
      </c>
      <c r="M397" s="194">
        <f>IF(OR(_1_5412845612146241046457891017[[#This Row],[UNIT]]&gt;0,_1_5412845612146241046457891017[[#This Row],[UNIT]]&lt;0),_1_5412845612146241046457891017[[#This Row],[UNIT]]*_1_5412845612146241046457891017[[#This Row],[COST]],0)</f>
        <v>0</v>
      </c>
      <c r="N397" s="194">
        <f t="shared" si="6"/>
        <v>1.35</v>
      </c>
      <c r="O397" s="198">
        <f>_1_5412845612146241046457891017[[#This Row],[TOTAL]]*_1_5412845612146241046457891017[[#This Row],[MARGIN]]</f>
        <v>0</v>
      </c>
      <c r="R397" s="41"/>
    </row>
    <row r="398" spans="1:18">
      <c r="D398" s="188"/>
      <c r="F398" s="168" t="s">
        <v>6202</v>
      </c>
      <c r="G398" s="193">
        <f>IF(_1_5412845612146241046457891017[[#This Row],[Type]]&gt;0,VLOOKUP(_1_5412845612146241046457891017[[#This Row],[Type]],Main[[#All],[TYPE]:[UNIT]],'Unit Price'!C$1,FALSE),0)</f>
        <v>0</v>
      </c>
      <c r="H398" s="197">
        <f>IF(_1_5412845612146241046457891017[[#This Row],[Type]]&gt;0,VLOOKUP(_1_5412845612146241046457891017[[#This Row],[Type]],Main[[#All],[TYPE]:[UNIT]],'Unit Price'!D$1,FALSE),0)</f>
        <v>0</v>
      </c>
      <c r="I398" s="194">
        <f>IF(_1_5412845612146241046457891017[[#This Row],[Type]]&gt;0,VLOOKUP(_1_5412845612146241046457891017[[#This Row],[Type]],Main[[#All],[TYPE]:[UNIT]],'Unit Price'!G$1,FALSE),0)</f>
        <v>0</v>
      </c>
      <c r="J398" s="194">
        <f>IF(_1_5412845612146241046457891017[[#This Row],[Type]]&gt;0,VLOOKUP(_1_5412845612146241046457891017[[#This Row],[Type]],Main[[#All],[TYPE]:[UNIT]],'Unit Price'!H$1,FALSE),0)</f>
        <v>0</v>
      </c>
      <c r="K398" s="194">
        <f>IF(_1_5412845612146241046457891017[[#This Row],[Discount selection]]&gt;0,VLOOKUP(_1_5412845612146241046457891017[[#This Row],[Discount selection]],'Discount Structure'!$A$2:$B$30,2,"false"),0)</f>
        <v>1</v>
      </c>
      <c r="L398" s="194">
        <f>_1_5412845612146241046457891017[[#This Row],[LIST $]]*_1_5412845612146241046457891017[[#This Row],[DISCOUNT]]*_1_5412845612146241046457891017[[#This Row],[DISCOUNT 2]]</f>
        <v>0</v>
      </c>
      <c r="M398" s="194">
        <f>IF(OR(_1_5412845612146241046457891017[[#This Row],[UNIT]]&gt;0,_1_5412845612146241046457891017[[#This Row],[UNIT]]&lt;0),_1_5412845612146241046457891017[[#This Row],[UNIT]]*_1_5412845612146241046457891017[[#This Row],[COST]],0)</f>
        <v>0</v>
      </c>
      <c r="N398" s="194">
        <f t="shared" si="6"/>
        <v>1.35</v>
      </c>
      <c r="O398" s="198">
        <f>_1_5412845612146241046457891017[[#This Row],[TOTAL]]*_1_5412845612146241046457891017[[#This Row],[MARGIN]]</f>
        <v>0</v>
      </c>
      <c r="R398" s="41"/>
    </row>
    <row r="399" spans="1:18">
      <c r="D399" s="188"/>
      <c r="F399" s="168" t="s">
        <v>6202</v>
      </c>
      <c r="G399" s="193">
        <f>IF(_1_5412845612146241046457891017[[#This Row],[Type]]&gt;0,VLOOKUP(_1_5412845612146241046457891017[[#This Row],[Type]],Main[[#All],[TYPE]:[UNIT]],'Unit Price'!C$1,FALSE),0)</f>
        <v>0</v>
      </c>
      <c r="H399" s="197">
        <f>IF(_1_5412845612146241046457891017[[#This Row],[Type]]&gt;0,VLOOKUP(_1_5412845612146241046457891017[[#This Row],[Type]],Main[[#All],[TYPE]:[UNIT]],'Unit Price'!D$1,FALSE),0)</f>
        <v>0</v>
      </c>
      <c r="I399" s="194">
        <f>IF(_1_5412845612146241046457891017[[#This Row],[Type]]&gt;0,VLOOKUP(_1_5412845612146241046457891017[[#This Row],[Type]],Main[[#All],[TYPE]:[UNIT]],'Unit Price'!G$1,FALSE),0)</f>
        <v>0</v>
      </c>
      <c r="J399" s="194">
        <f>IF(_1_5412845612146241046457891017[[#This Row],[Type]]&gt;0,VLOOKUP(_1_5412845612146241046457891017[[#This Row],[Type]],Main[[#All],[TYPE]:[UNIT]],'Unit Price'!H$1,FALSE),0)</f>
        <v>0</v>
      </c>
      <c r="K399" s="194">
        <f>IF(_1_5412845612146241046457891017[[#This Row],[Discount selection]]&gt;0,VLOOKUP(_1_5412845612146241046457891017[[#This Row],[Discount selection]],'Discount Structure'!$A$2:$B$30,2,"false"),0)</f>
        <v>1</v>
      </c>
      <c r="L399" s="194">
        <f>_1_5412845612146241046457891017[[#This Row],[LIST $]]*_1_5412845612146241046457891017[[#This Row],[DISCOUNT]]*_1_5412845612146241046457891017[[#This Row],[DISCOUNT 2]]</f>
        <v>0</v>
      </c>
      <c r="M399" s="194">
        <f>IF(OR(_1_5412845612146241046457891017[[#This Row],[UNIT]]&gt;0,_1_5412845612146241046457891017[[#This Row],[UNIT]]&lt;0),_1_5412845612146241046457891017[[#This Row],[UNIT]]*_1_5412845612146241046457891017[[#This Row],[COST]],0)</f>
        <v>0</v>
      </c>
      <c r="N399" s="194">
        <f t="shared" si="6"/>
        <v>1.35</v>
      </c>
      <c r="O399" s="198">
        <f>_1_5412845612146241046457891017[[#This Row],[TOTAL]]*_1_5412845612146241046457891017[[#This Row],[MARGIN]]</f>
        <v>0</v>
      </c>
      <c r="R399" s="41"/>
    </row>
    <row r="400" spans="1:18">
      <c r="D400" s="188"/>
      <c r="F400" s="168" t="s">
        <v>6202</v>
      </c>
      <c r="G400" s="193">
        <f>IF(_1_5412845612146241046457891017[[#This Row],[Type]]&gt;0,VLOOKUP(_1_5412845612146241046457891017[[#This Row],[Type]],Main[[#All],[TYPE]:[UNIT]],'Unit Price'!C$1,FALSE),0)</f>
        <v>0</v>
      </c>
      <c r="H400" s="197">
        <f>IF(_1_5412845612146241046457891017[[#This Row],[Type]]&gt;0,VLOOKUP(_1_5412845612146241046457891017[[#This Row],[Type]],Main[[#All],[TYPE]:[UNIT]],'Unit Price'!D$1,FALSE),0)</f>
        <v>0</v>
      </c>
      <c r="I400" s="194">
        <f>IF(_1_5412845612146241046457891017[[#This Row],[Type]]&gt;0,VLOOKUP(_1_5412845612146241046457891017[[#This Row],[Type]],Main[[#All],[TYPE]:[UNIT]],'Unit Price'!G$1,FALSE),0)</f>
        <v>0</v>
      </c>
      <c r="J400" s="194">
        <f>IF(_1_5412845612146241046457891017[[#This Row],[Type]]&gt;0,VLOOKUP(_1_5412845612146241046457891017[[#This Row],[Type]],Main[[#All],[TYPE]:[UNIT]],'Unit Price'!H$1,FALSE),0)</f>
        <v>0</v>
      </c>
      <c r="K400" s="194">
        <f>IF(_1_5412845612146241046457891017[[#This Row],[Discount selection]]&gt;0,VLOOKUP(_1_5412845612146241046457891017[[#This Row],[Discount selection]],'Discount Structure'!$A$2:$B$30,2,"false"),0)</f>
        <v>1</v>
      </c>
      <c r="L400" s="194">
        <f>_1_5412845612146241046457891017[[#This Row],[LIST $]]*_1_5412845612146241046457891017[[#This Row],[DISCOUNT]]*_1_5412845612146241046457891017[[#This Row],[DISCOUNT 2]]</f>
        <v>0</v>
      </c>
      <c r="M400" s="194">
        <f>IF(OR(_1_5412845612146241046457891017[[#This Row],[UNIT]]&gt;0,_1_5412845612146241046457891017[[#This Row],[UNIT]]&lt;0),_1_5412845612146241046457891017[[#This Row],[UNIT]]*_1_5412845612146241046457891017[[#This Row],[COST]],0)</f>
        <v>0</v>
      </c>
      <c r="N400" s="194">
        <f t="shared" si="6"/>
        <v>1.35</v>
      </c>
      <c r="O400" s="198">
        <f>_1_5412845612146241046457891017[[#This Row],[TOTAL]]*_1_5412845612146241046457891017[[#This Row],[MARGIN]]</f>
        <v>0</v>
      </c>
      <c r="R400" s="41"/>
    </row>
    <row r="401" spans="1:18">
      <c r="D401" s="188"/>
      <c r="F401" s="168" t="s">
        <v>6202</v>
      </c>
      <c r="G401" s="193">
        <f>IF(_1_5412845612146241046457891017[[#This Row],[Type]]&gt;0,VLOOKUP(_1_5412845612146241046457891017[[#This Row],[Type]],Main[[#All],[TYPE]:[UNIT]],'Unit Price'!C$1,FALSE),0)</f>
        <v>0</v>
      </c>
      <c r="H401" s="197">
        <f>IF(_1_5412845612146241046457891017[[#This Row],[Type]]&gt;0,VLOOKUP(_1_5412845612146241046457891017[[#This Row],[Type]],Main[[#All],[TYPE]:[UNIT]],'Unit Price'!D$1,FALSE),0)</f>
        <v>0</v>
      </c>
      <c r="I401" s="194">
        <f>IF(_1_5412845612146241046457891017[[#This Row],[Type]]&gt;0,VLOOKUP(_1_5412845612146241046457891017[[#This Row],[Type]],Main[[#All],[TYPE]:[UNIT]],'Unit Price'!G$1,FALSE),0)</f>
        <v>0</v>
      </c>
      <c r="J401" s="194">
        <f>IF(_1_5412845612146241046457891017[[#This Row],[Type]]&gt;0,VLOOKUP(_1_5412845612146241046457891017[[#This Row],[Type]],Main[[#All],[TYPE]:[UNIT]],'Unit Price'!H$1,FALSE),0)</f>
        <v>0</v>
      </c>
      <c r="K401" s="194">
        <f>IF(_1_5412845612146241046457891017[[#This Row],[Discount selection]]&gt;0,VLOOKUP(_1_5412845612146241046457891017[[#This Row],[Discount selection]],'Discount Structure'!$A$2:$B$30,2,"false"),0)</f>
        <v>1</v>
      </c>
      <c r="L401" s="194">
        <f>_1_5412845612146241046457891017[[#This Row],[LIST $]]*_1_5412845612146241046457891017[[#This Row],[DISCOUNT]]*_1_5412845612146241046457891017[[#This Row],[DISCOUNT 2]]</f>
        <v>0</v>
      </c>
      <c r="M401" s="194">
        <f>IF(OR(_1_5412845612146241046457891017[[#This Row],[UNIT]]&gt;0,_1_5412845612146241046457891017[[#This Row],[UNIT]]&lt;0),_1_5412845612146241046457891017[[#This Row],[UNIT]]*_1_5412845612146241046457891017[[#This Row],[COST]],0)</f>
        <v>0</v>
      </c>
      <c r="N401" s="194">
        <f t="shared" si="6"/>
        <v>1.35</v>
      </c>
      <c r="O401" s="198">
        <f>_1_5412845612146241046457891017[[#This Row],[TOTAL]]*_1_5412845612146241046457891017[[#This Row],[MARGIN]]</f>
        <v>0</v>
      </c>
      <c r="R401" s="41"/>
    </row>
    <row r="402" spans="1:18">
      <c r="D402" s="188"/>
      <c r="F402" s="168" t="s">
        <v>6202</v>
      </c>
      <c r="G402" s="192">
        <f>IF(_1_5412845612146241046457891017[[#This Row],[Type]]&gt;0,VLOOKUP(_1_5412845612146241046457891017[[#This Row],[Type]],Main[[#All],[TYPE]:[UNIT]],'Unit Price'!C$1,FALSE),0)</f>
        <v>0</v>
      </c>
      <c r="H402" s="197">
        <f>IF(_1_5412845612146241046457891017[[#This Row],[Type]]&gt;0,VLOOKUP(_1_5412845612146241046457891017[[#This Row],[Type]],Main[[#All],[TYPE]:[UNIT]],'Unit Price'!D$1,FALSE),0)</f>
        <v>0</v>
      </c>
      <c r="I402" s="194">
        <f>IF(_1_5412845612146241046457891017[[#This Row],[Type]]&gt;0,VLOOKUP(_1_5412845612146241046457891017[[#This Row],[Type]],Main[[#All],[TYPE]:[UNIT]],'Unit Price'!G$1,FALSE),0)</f>
        <v>0</v>
      </c>
      <c r="J402" s="194">
        <f>IF(_1_5412845612146241046457891017[[#This Row],[Type]]&gt;0,VLOOKUP(_1_5412845612146241046457891017[[#This Row],[Type]],Main[[#All],[TYPE]:[UNIT]],'Unit Price'!H$1,FALSE),0)</f>
        <v>0</v>
      </c>
      <c r="K402" s="194">
        <f>IF(_1_5412845612146241046457891017[[#This Row],[Discount selection]]&gt;0,VLOOKUP(_1_5412845612146241046457891017[[#This Row],[Discount selection]],'Discount Structure'!$A$2:$B$30,2,"false"),0)</f>
        <v>1</v>
      </c>
      <c r="L402" s="194">
        <f>_1_5412845612146241046457891017[[#This Row],[LIST $]]*_1_5412845612146241046457891017[[#This Row],[DISCOUNT]]*_1_5412845612146241046457891017[[#This Row],[DISCOUNT 2]]</f>
        <v>0</v>
      </c>
      <c r="M402" s="194">
        <f>IF(OR(_1_5412845612146241046457891017[[#This Row],[UNIT]]&gt;0,_1_5412845612146241046457891017[[#This Row],[UNIT]]&lt;0),_1_5412845612146241046457891017[[#This Row],[UNIT]]*_1_5412845612146241046457891017[[#This Row],[COST]],0)</f>
        <v>0</v>
      </c>
      <c r="N402" s="194">
        <f t="shared" si="6"/>
        <v>1.35</v>
      </c>
      <c r="O402" s="198">
        <f>_1_5412845612146241046457891017[[#This Row],[TOTAL]]*_1_5412845612146241046457891017[[#This Row],[MARGIN]]</f>
        <v>0</v>
      </c>
      <c r="R402" s="41"/>
    </row>
    <row r="403" spans="1:18">
      <c r="D403" s="188"/>
      <c r="F403" s="168" t="s">
        <v>6202</v>
      </c>
      <c r="G403" s="193">
        <f>IF(_1_5412845612146241046457891017[[#This Row],[Type]]&gt;0,VLOOKUP(_1_5412845612146241046457891017[[#This Row],[Type]],Main[[#All],[TYPE]:[UNIT]],'Unit Price'!C$1,FALSE),0)</f>
        <v>0</v>
      </c>
      <c r="H403" s="197">
        <f>IF(_1_5412845612146241046457891017[[#This Row],[Type]]&gt;0,VLOOKUP(_1_5412845612146241046457891017[[#This Row],[Type]],Main[[#All],[TYPE]:[UNIT]],'Unit Price'!D$1,FALSE),0)</f>
        <v>0</v>
      </c>
      <c r="I403" s="194">
        <f>IF(_1_5412845612146241046457891017[[#This Row],[Type]]&gt;0,VLOOKUP(_1_5412845612146241046457891017[[#This Row],[Type]],Main[[#All],[TYPE]:[UNIT]],'Unit Price'!G$1,FALSE),0)</f>
        <v>0</v>
      </c>
      <c r="J403" s="194">
        <f>IF(_1_5412845612146241046457891017[[#This Row],[Type]]&gt;0,VLOOKUP(_1_5412845612146241046457891017[[#This Row],[Type]],Main[[#All],[TYPE]:[UNIT]],'Unit Price'!H$1,FALSE),0)</f>
        <v>0</v>
      </c>
      <c r="K403" s="194">
        <f>IF(_1_5412845612146241046457891017[[#This Row],[Discount selection]]&gt;0,VLOOKUP(_1_5412845612146241046457891017[[#This Row],[Discount selection]],'Discount Structure'!$A$2:$B$30,2,"false"),0)</f>
        <v>1</v>
      </c>
      <c r="L403" s="194">
        <f>_1_5412845612146241046457891017[[#This Row],[LIST $]]*_1_5412845612146241046457891017[[#This Row],[DISCOUNT]]*_1_5412845612146241046457891017[[#This Row],[DISCOUNT 2]]</f>
        <v>0</v>
      </c>
      <c r="M403" s="194">
        <f>IF(OR(_1_5412845612146241046457891017[[#This Row],[UNIT]]&gt;0,_1_5412845612146241046457891017[[#This Row],[UNIT]]&lt;0),_1_5412845612146241046457891017[[#This Row],[UNIT]]*_1_5412845612146241046457891017[[#This Row],[COST]],0)</f>
        <v>0</v>
      </c>
      <c r="N403" s="194">
        <f t="shared" si="6"/>
        <v>1.35</v>
      </c>
      <c r="O403" s="198">
        <f>_1_5412845612146241046457891017[[#This Row],[TOTAL]]*_1_5412845612146241046457891017[[#This Row],[MARGIN]]</f>
        <v>0</v>
      </c>
      <c r="R403" s="41"/>
    </row>
    <row r="404" spans="1:18">
      <c r="D404" s="188"/>
      <c r="F404" s="168" t="s">
        <v>6202</v>
      </c>
      <c r="G404" s="193">
        <f>IF(_1_5412845612146241046457891017[[#This Row],[Type]]&gt;0,VLOOKUP(_1_5412845612146241046457891017[[#This Row],[Type]],Main[[#All],[TYPE]:[UNIT]],'Unit Price'!C$1,FALSE),0)</f>
        <v>0</v>
      </c>
      <c r="H404" s="197">
        <f>IF(_1_5412845612146241046457891017[[#This Row],[Type]]&gt;0,VLOOKUP(_1_5412845612146241046457891017[[#This Row],[Type]],Main[[#All],[TYPE]:[UNIT]],'Unit Price'!D$1,FALSE),0)</f>
        <v>0</v>
      </c>
      <c r="I404" s="194">
        <f>IF(_1_5412845612146241046457891017[[#This Row],[Type]]&gt;0,VLOOKUP(_1_5412845612146241046457891017[[#This Row],[Type]],Main[[#All],[TYPE]:[UNIT]],'Unit Price'!G$1,FALSE),0)</f>
        <v>0</v>
      </c>
      <c r="J404" s="194">
        <f>IF(_1_5412845612146241046457891017[[#This Row],[Type]]&gt;0,VLOOKUP(_1_5412845612146241046457891017[[#This Row],[Type]],Main[[#All],[TYPE]:[UNIT]],'Unit Price'!H$1,FALSE),0)</f>
        <v>0</v>
      </c>
      <c r="K404" s="194">
        <f>IF(_1_5412845612146241046457891017[[#This Row],[Discount selection]]&gt;0,VLOOKUP(_1_5412845612146241046457891017[[#This Row],[Discount selection]],'Discount Structure'!$A$2:$B$30,2,"false"),0)</f>
        <v>1</v>
      </c>
      <c r="L404" s="194">
        <f>_1_5412845612146241046457891017[[#This Row],[LIST $]]*_1_5412845612146241046457891017[[#This Row],[DISCOUNT]]*_1_5412845612146241046457891017[[#This Row],[DISCOUNT 2]]</f>
        <v>0</v>
      </c>
      <c r="M404" s="194">
        <f>IF(OR(_1_5412845612146241046457891017[[#This Row],[UNIT]]&gt;0,_1_5412845612146241046457891017[[#This Row],[UNIT]]&lt;0),_1_5412845612146241046457891017[[#This Row],[UNIT]]*_1_5412845612146241046457891017[[#This Row],[COST]],0)</f>
        <v>0</v>
      </c>
      <c r="N404" s="194">
        <f t="shared" si="6"/>
        <v>1.35</v>
      </c>
      <c r="O404" s="198">
        <f>_1_5412845612146241046457891017[[#This Row],[TOTAL]]*_1_5412845612146241046457891017[[#This Row],[MARGIN]]</f>
        <v>0</v>
      </c>
      <c r="R404" s="41"/>
    </row>
    <row r="405" spans="1:18">
      <c r="D405" s="188"/>
      <c r="F405" s="168" t="s">
        <v>6202</v>
      </c>
      <c r="G405" s="193">
        <f>IF(_1_5412845612146241046457891017[[#This Row],[Type]]&gt;0,VLOOKUP(_1_5412845612146241046457891017[[#This Row],[Type]],Main[[#All],[TYPE]:[UNIT]],'Unit Price'!C$1,FALSE),0)</f>
        <v>0</v>
      </c>
      <c r="H405" s="197">
        <f>IF(_1_5412845612146241046457891017[[#This Row],[Type]]&gt;0,VLOOKUP(_1_5412845612146241046457891017[[#This Row],[Type]],Main[[#All],[TYPE]:[UNIT]],'Unit Price'!D$1,FALSE),0)</f>
        <v>0</v>
      </c>
      <c r="I405" s="194">
        <f>IF(_1_5412845612146241046457891017[[#This Row],[Type]]&gt;0,VLOOKUP(_1_5412845612146241046457891017[[#This Row],[Type]],Main[[#All],[TYPE]:[UNIT]],'Unit Price'!G$1,FALSE),0)</f>
        <v>0</v>
      </c>
      <c r="J405" s="194">
        <f>IF(_1_5412845612146241046457891017[[#This Row],[Type]]&gt;0,VLOOKUP(_1_5412845612146241046457891017[[#This Row],[Type]],Main[[#All],[TYPE]:[UNIT]],'Unit Price'!H$1,FALSE),0)</f>
        <v>0</v>
      </c>
      <c r="K405" s="194">
        <f>IF(_1_5412845612146241046457891017[[#This Row],[Discount selection]]&gt;0,VLOOKUP(_1_5412845612146241046457891017[[#This Row],[Discount selection]],'Discount Structure'!$A$2:$B$30,2,"false"),0)</f>
        <v>1</v>
      </c>
      <c r="L405" s="194">
        <f>_1_5412845612146241046457891017[[#This Row],[LIST $]]*_1_5412845612146241046457891017[[#This Row],[DISCOUNT]]*_1_5412845612146241046457891017[[#This Row],[DISCOUNT 2]]</f>
        <v>0</v>
      </c>
      <c r="M405" s="194">
        <f>IF(OR(_1_5412845612146241046457891017[[#This Row],[UNIT]]&gt;0,_1_5412845612146241046457891017[[#This Row],[UNIT]]&lt;0),_1_5412845612146241046457891017[[#This Row],[UNIT]]*_1_5412845612146241046457891017[[#This Row],[COST]],0)</f>
        <v>0</v>
      </c>
      <c r="N405" s="194">
        <f t="shared" si="6"/>
        <v>1.35</v>
      </c>
      <c r="O405" s="198">
        <f>_1_5412845612146241046457891017[[#This Row],[TOTAL]]*_1_5412845612146241046457891017[[#This Row],[MARGIN]]</f>
        <v>0</v>
      </c>
      <c r="R405" s="41"/>
    </row>
    <row r="406" spans="1:18">
      <c r="D406" s="188"/>
      <c r="F406" s="168" t="s">
        <v>6202</v>
      </c>
      <c r="G406" s="193">
        <f>IF(_1_5412845612146241046457891017[[#This Row],[Type]]&gt;0,VLOOKUP(_1_5412845612146241046457891017[[#This Row],[Type]],Main[[#All],[TYPE]:[UNIT]],'Unit Price'!C$1,FALSE),0)</f>
        <v>0</v>
      </c>
      <c r="H406" s="197">
        <f>IF(_1_5412845612146241046457891017[[#This Row],[Type]]&gt;0,VLOOKUP(_1_5412845612146241046457891017[[#This Row],[Type]],Main[[#All],[TYPE]:[UNIT]],'Unit Price'!D$1,FALSE),0)</f>
        <v>0</v>
      </c>
      <c r="I406" s="194">
        <f>IF(_1_5412845612146241046457891017[[#This Row],[Type]]&gt;0,VLOOKUP(_1_5412845612146241046457891017[[#This Row],[Type]],Main[[#All],[TYPE]:[UNIT]],'Unit Price'!G$1,FALSE),0)</f>
        <v>0</v>
      </c>
      <c r="J406" s="194">
        <f>IF(_1_5412845612146241046457891017[[#This Row],[Type]]&gt;0,VLOOKUP(_1_5412845612146241046457891017[[#This Row],[Type]],Main[[#All],[TYPE]:[UNIT]],'Unit Price'!H$1,FALSE),0)</f>
        <v>0</v>
      </c>
      <c r="K406" s="194">
        <f>IF(_1_5412845612146241046457891017[[#This Row],[Discount selection]]&gt;0,VLOOKUP(_1_5412845612146241046457891017[[#This Row],[Discount selection]],'Discount Structure'!$A$2:$B$30,2,"false"),0)</f>
        <v>1</v>
      </c>
      <c r="L406" s="194">
        <f>_1_5412845612146241046457891017[[#This Row],[LIST $]]*_1_5412845612146241046457891017[[#This Row],[DISCOUNT]]*_1_5412845612146241046457891017[[#This Row],[DISCOUNT 2]]</f>
        <v>0</v>
      </c>
      <c r="M406" s="194">
        <f>IF(OR(_1_5412845612146241046457891017[[#This Row],[UNIT]]&gt;0,_1_5412845612146241046457891017[[#This Row],[UNIT]]&lt;0),_1_5412845612146241046457891017[[#This Row],[UNIT]]*_1_5412845612146241046457891017[[#This Row],[COST]],0)</f>
        <v>0</v>
      </c>
      <c r="N406" s="194">
        <f t="shared" si="6"/>
        <v>1.35</v>
      </c>
      <c r="O406" s="198">
        <f>_1_5412845612146241046457891017[[#This Row],[TOTAL]]*_1_5412845612146241046457891017[[#This Row],[MARGIN]]</f>
        <v>0</v>
      </c>
      <c r="R406" s="41"/>
    </row>
    <row r="407" spans="1:18">
      <c r="D407" s="188"/>
      <c r="F407" s="168" t="s">
        <v>6202</v>
      </c>
      <c r="G407" s="192">
        <f>IF(_1_5412845612146241046457891017[[#This Row],[Type]]&gt;0,VLOOKUP(_1_5412845612146241046457891017[[#This Row],[Type]],Main[[#All],[TYPE]:[UNIT]],'Unit Price'!C$1,FALSE),0)</f>
        <v>0</v>
      </c>
      <c r="H407" s="197">
        <f>IF(_1_5412845612146241046457891017[[#This Row],[Type]]&gt;0,VLOOKUP(_1_5412845612146241046457891017[[#This Row],[Type]],Main[[#All],[TYPE]:[UNIT]],'Unit Price'!D$1,FALSE),0)</f>
        <v>0</v>
      </c>
      <c r="I407" s="194">
        <f>IF(_1_5412845612146241046457891017[[#This Row],[Type]]&gt;0,VLOOKUP(_1_5412845612146241046457891017[[#This Row],[Type]],Main[[#All],[TYPE]:[UNIT]],'Unit Price'!G$1,FALSE),0)</f>
        <v>0</v>
      </c>
      <c r="J407" s="194">
        <f>IF(_1_5412845612146241046457891017[[#This Row],[Type]]&gt;0,VLOOKUP(_1_5412845612146241046457891017[[#This Row],[Type]],Main[[#All],[TYPE]:[UNIT]],'Unit Price'!H$1,FALSE),0)</f>
        <v>0</v>
      </c>
      <c r="K407" s="194">
        <f>IF(_1_5412845612146241046457891017[[#This Row],[Discount selection]]&gt;0,VLOOKUP(_1_5412845612146241046457891017[[#This Row],[Discount selection]],'Discount Structure'!$A$2:$B$30,2,"false"),0)</f>
        <v>1</v>
      </c>
      <c r="L407" s="194">
        <f>_1_5412845612146241046457891017[[#This Row],[LIST $]]*_1_5412845612146241046457891017[[#This Row],[DISCOUNT]]*_1_5412845612146241046457891017[[#This Row],[DISCOUNT 2]]</f>
        <v>0</v>
      </c>
      <c r="M407" s="194">
        <f>IF(OR(_1_5412845612146241046457891017[[#This Row],[UNIT]]&gt;0,_1_5412845612146241046457891017[[#This Row],[UNIT]]&lt;0),_1_5412845612146241046457891017[[#This Row],[UNIT]]*_1_5412845612146241046457891017[[#This Row],[COST]],0)</f>
        <v>0</v>
      </c>
      <c r="N407" s="194">
        <f t="shared" si="6"/>
        <v>1.35</v>
      </c>
      <c r="O407" s="198">
        <f>_1_5412845612146241046457891017[[#This Row],[TOTAL]]*_1_5412845612146241046457891017[[#This Row],[MARGIN]]</f>
        <v>0</v>
      </c>
      <c r="R407" s="41"/>
    </row>
    <row r="408" spans="1:18">
      <c r="D408" s="188"/>
      <c r="F408" s="168" t="s">
        <v>6202</v>
      </c>
      <c r="G408" s="193">
        <f>IF(_1_5412845612146241046457891017[[#This Row],[Type]]&gt;0,VLOOKUP(_1_5412845612146241046457891017[[#This Row],[Type]],Main[[#All],[TYPE]:[UNIT]],'Unit Price'!C$1,FALSE),0)</f>
        <v>0</v>
      </c>
      <c r="H408" s="197">
        <f>IF(_1_5412845612146241046457891017[[#This Row],[Type]]&gt;0,VLOOKUP(_1_5412845612146241046457891017[[#This Row],[Type]],Main[[#All],[TYPE]:[UNIT]],'Unit Price'!D$1,FALSE),0)</f>
        <v>0</v>
      </c>
      <c r="I408" s="194">
        <f>IF(_1_5412845612146241046457891017[[#This Row],[Type]]&gt;0,VLOOKUP(_1_5412845612146241046457891017[[#This Row],[Type]],Main[[#All],[TYPE]:[UNIT]],'Unit Price'!G$1,FALSE),0)</f>
        <v>0</v>
      </c>
      <c r="J408" s="194">
        <f>IF(_1_5412845612146241046457891017[[#This Row],[Type]]&gt;0,VLOOKUP(_1_5412845612146241046457891017[[#This Row],[Type]],Main[[#All],[TYPE]:[UNIT]],'Unit Price'!H$1,FALSE),0)</f>
        <v>0</v>
      </c>
      <c r="K408" s="194">
        <f>IF(_1_5412845612146241046457891017[[#This Row],[Discount selection]]&gt;0,VLOOKUP(_1_5412845612146241046457891017[[#This Row],[Discount selection]],'Discount Structure'!$A$2:$B$30,2,"false"),0)</f>
        <v>1</v>
      </c>
      <c r="L408" s="194">
        <f>_1_5412845612146241046457891017[[#This Row],[LIST $]]*_1_5412845612146241046457891017[[#This Row],[DISCOUNT]]*_1_5412845612146241046457891017[[#This Row],[DISCOUNT 2]]</f>
        <v>0</v>
      </c>
      <c r="M408" s="194">
        <f>IF(OR(_1_5412845612146241046457891017[[#This Row],[UNIT]]&gt;0,_1_5412845612146241046457891017[[#This Row],[UNIT]]&lt;0),_1_5412845612146241046457891017[[#This Row],[UNIT]]*_1_5412845612146241046457891017[[#This Row],[COST]],0)</f>
        <v>0</v>
      </c>
      <c r="N408" s="194">
        <f t="shared" si="6"/>
        <v>1.35</v>
      </c>
      <c r="O408" s="198">
        <f>_1_5412845612146241046457891017[[#This Row],[TOTAL]]*_1_5412845612146241046457891017[[#This Row],[MARGIN]]</f>
        <v>0</v>
      </c>
      <c r="R408" s="41"/>
    </row>
    <row r="409" spans="1:18">
      <c r="A409" s="168"/>
      <c r="D409" s="188"/>
      <c r="F409" s="168" t="s">
        <v>6202</v>
      </c>
      <c r="G409" s="193">
        <f>IF(_1_5412845612146241046457891017[[#This Row],[Type]]&gt;0,VLOOKUP(_1_5412845612146241046457891017[[#This Row],[Type]],Main[[#All],[TYPE]:[UNIT]],'Unit Price'!C$1,FALSE),0)</f>
        <v>0</v>
      </c>
      <c r="H409" s="197">
        <f>IF(_1_5412845612146241046457891017[[#This Row],[Type]]&gt;0,VLOOKUP(_1_5412845612146241046457891017[[#This Row],[Type]],Main[[#All],[TYPE]:[UNIT]],'Unit Price'!D$1,FALSE),0)</f>
        <v>0</v>
      </c>
      <c r="I409" s="194">
        <f>IF(_1_5412845612146241046457891017[[#This Row],[Type]]&gt;0,VLOOKUP(_1_5412845612146241046457891017[[#This Row],[Type]],Main[[#All],[TYPE]:[UNIT]],'Unit Price'!G$1,FALSE),0)</f>
        <v>0</v>
      </c>
      <c r="J409" s="194">
        <f>IF(_1_5412845612146241046457891017[[#This Row],[Type]]&gt;0,VLOOKUP(_1_5412845612146241046457891017[[#This Row],[Type]],Main[[#All],[TYPE]:[UNIT]],'Unit Price'!H$1,FALSE),0)</f>
        <v>0</v>
      </c>
      <c r="K409" s="194">
        <f>IF(_1_5412845612146241046457891017[[#This Row],[Discount selection]]&gt;0,VLOOKUP(_1_5412845612146241046457891017[[#This Row],[Discount selection]],'Discount Structure'!$A$2:$B$30,2,"false"),0)</f>
        <v>1</v>
      </c>
      <c r="L409" s="194">
        <f>_1_5412845612146241046457891017[[#This Row],[LIST $]]*_1_5412845612146241046457891017[[#This Row],[DISCOUNT]]*_1_5412845612146241046457891017[[#This Row],[DISCOUNT 2]]</f>
        <v>0</v>
      </c>
      <c r="M409" s="194">
        <f>IF(OR(_1_5412845612146241046457891017[[#This Row],[UNIT]]&gt;0,_1_5412845612146241046457891017[[#This Row],[UNIT]]&lt;0),_1_5412845612146241046457891017[[#This Row],[UNIT]]*_1_5412845612146241046457891017[[#This Row],[COST]],0)</f>
        <v>0</v>
      </c>
      <c r="N409" s="194">
        <f t="shared" si="6"/>
        <v>1.35</v>
      </c>
      <c r="O409" s="198">
        <f>_1_5412845612146241046457891017[[#This Row],[TOTAL]]*_1_5412845612146241046457891017[[#This Row],[MARGIN]]</f>
        <v>0</v>
      </c>
      <c r="R409" s="41"/>
    </row>
    <row r="410" spans="1:18">
      <c r="D410" s="188"/>
      <c r="F410" s="168" t="s">
        <v>6202</v>
      </c>
      <c r="G410" s="193">
        <f>IF(_1_5412845612146241046457891017[[#This Row],[Type]]&gt;0,VLOOKUP(_1_5412845612146241046457891017[[#This Row],[Type]],Main[[#All],[TYPE]:[UNIT]],'Unit Price'!C$1,FALSE),0)</f>
        <v>0</v>
      </c>
      <c r="H410" s="197">
        <f>IF(_1_5412845612146241046457891017[[#This Row],[Type]]&gt;0,VLOOKUP(_1_5412845612146241046457891017[[#This Row],[Type]],Main[[#All],[TYPE]:[UNIT]],'Unit Price'!D$1,FALSE),0)</f>
        <v>0</v>
      </c>
      <c r="I410" s="194">
        <f>IF(_1_5412845612146241046457891017[[#This Row],[Type]]&gt;0,VLOOKUP(_1_5412845612146241046457891017[[#This Row],[Type]],Main[[#All],[TYPE]:[UNIT]],'Unit Price'!G$1,FALSE),0)</f>
        <v>0</v>
      </c>
      <c r="J410" s="194">
        <f>IF(_1_5412845612146241046457891017[[#This Row],[Type]]&gt;0,VLOOKUP(_1_5412845612146241046457891017[[#This Row],[Type]],Main[[#All],[TYPE]:[UNIT]],'Unit Price'!H$1,FALSE),0)</f>
        <v>0</v>
      </c>
      <c r="K410" s="194">
        <f>IF(_1_5412845612146241046457891017[[#This Row],[Discount selection]]&gt;0,VLOOKUP(_1_5412845612146241046457891017[[#This Row],[Discount selection]],'Discount Structure'!$A$2:$B$30,2,"false"),0)</f>
        <v>1</v>
      </c>
      <c r="L410" s="194">
        <f>_1_5412845612146241046457891017[[#This Row],[LIST $]]*_1_5412845612146241046457891017[[#This Row],[DISCOUNT]]*_1_5412845612146241046457891017[[#This Row],[DISCOUNT 2]]</f>
        <v>0</v>
      </c>
      <c r="M410" s="194">
        <f>IF(OR(_1_5412845612146241046457891017[[#This Row],[UNIT]]&gt;0,_1_5412845612146241046457891017[[#This Row],[UNIT]]&lt;0),_1_5412845612146241046457891017[[#This Row],[UNIT]]*_1_5412845612146241046457891017[[#This Row],[COST]],0)</f>
        <v>0</v>
      </c>
      <c r="N410" s="194">
        <f t="shared" si="6"/>
        <v>1.35</v>
      </c>
      <c r="O410" s="198">
        <f>_1_5412845612146241046457891017[[#This Row],[TOTAL]]*_1_5412845612146241046457891017[[#This Row],[MARGIN]]</f>
        <v>0</v>
      </c>
      <c r="R410" s="41"/>
    </row>
    <row r="411" spans="1:18">
      <c r="D411" s="188"/>
      <c r="F411" s="168" t="s">
        <v>6202</v>
      </c>
      <c r="G411" s="193">
        <f>IF(_1_5412845612146241046457891017[[#This Row],[Type]]&gt;0,VLOOKUP(_1_5412845612146241046457891017[[#This Row],[Type]],Main[[#All],[TYPE]:[UNIT]],'Unit Price'!C$1,FALSE),0)</f>
        <v>0</v>
      </c>
      <c r="H411" s="197">
        <f>IF(_1_5412845612146241046457891017[[#This Row],[Type]]&gt;0,VLOOKUP(_1_5412845612146241046457891017[[#This Row],[Type]],Main[[#All],[TYPE]:[UNIT]],'Unit Price'!D$1,FALSE),0)</f>
        <v>0</v>
      </c>
      <c r="I411" s="194">
        <f>IF(_1_5412845612146241046457891017[[#This Row],[Type]]&gt;0,VLOOKUP(_1_5412845612146241046457891017[[#This Row],[Type]],Main[[#All],[TYPE]:[UNIT]],'Unit Price'!G$1,FALSE),0)</f>
        <v>0</v>
      </c>
      <c r="J411" s="194">
        <f>IF(_1_5412845612146241046457891017[[#This Row],[Type]]&gt;0,VLOOKUP(_1_5412845612146241046457891017[[#This Row],[Type]],Main[[#All],[TYPE]:[UNIT]],'Unit Price'!H$1,FALSE),0)</f>
        <v>0</v>
      </c>
      <c r="K411" s="194">
        <f>IF(_1_5412845612146241046457891017[[#This Row],[Discount selection]]&gt;0,VLOOKUP(_1_5412845612146241046457891017[[#This Row],[Discount selection]],'Discount Structure'!$A$2:$B$30,2,"false"),0)</f>
        <v>1</v>
      </c>
      <c r="L411" s="194">
        <f>_1_5412845612146241046457891017[[#This Row],[LIST $]]*_1_5412845612146241046457891017[[#This Row],[DISCOUNT]]*_1_5412845612146241046457891017[[#This Row],[DISCOUNT 2]]</f>
        <v>0</v>
      </c>
      <c r="M411" s="194">
        <f>IF(OR(_1_5412845612146241046457891017[[#This Row],[UNIT]]&gt;0,_1_5412845612146241046457891017[[#This Row],[UNIT]]&lt;0),_1_5412845612146241046457891017[[#This Row],[UNIT]]*_1_5412845612146241046457891017[[#This Row],[COST]],0)</f>
        <v>0</v>
      </c>
      <c r="N411" s="194">
        <f t="shared" si="6"/>
        <v>1.35</v>
      </c>
      <c r="O411" s="198">
        <f>_1_5412845612146241046457891017[[#This Row],[TOTAL]]*_1_5412845612146241046457891017[[#This Row],[MARGIN]]</f>
        <v>0</v>
      </c>
      <c r="R411" s="41"/>
    </row>
    <row r="412" spans="1:18">
      <c r="D412" s="188"/>
      <c r="F412" s="168" t="s">
        <v>6202</v>
      </c>
      <c r="G412" s="192">
        <f>IF(_1_5412845612146241046457891017[[#This Row],[Type]]&gt;0,VLOOKUP(_1_5412845612146241046457891017[[#This Row],[Type]],Main[[#All],[TYPE]:[UNIT]],'Unit Price'!C$1,FALSE),0)</f>
        <v>0</v>
      </c>
      <c r="H412" s="197">
        <f>IF(_1_5412845612146241046457891017[[#This Row],[Type]]&gt;0,VLOOKUP(_1_5412845612146241046457891017[[#This Row],[Type]],Main[[#All],[TYPE]:[UNIT]],'Unit Price'!D$1,FALSE),0)</f>
        <v>0</v>
      </c>
      <c r="I412" s="194">
        <f>IF(_1_5412845612146241046457891017[[#This Row],[Type]]&gt;0,VLOOKUP(_1_5412845612146241046457891017[[#This Row],[Type]],Main[[#All],[TYPE]:[UNIT]],'Unit Price'!G$1,FALSE),0)</f>
        <v>0</v>
      </c>
      <c r="J412" s="194">
        <f>IF(_1_5412845612146241046457891017[[#This Row],[Type]]&gt;0,VLOOKUP(_1_5412845612146241046457891017[[#This Row],[Type]],Main[[#All],[TYPE]:[UNIT]],'Unit Price'!H$1,FALSE),0)</f>
        <v>0</v>
      </c>
      <c r="K412" s="194">
        <f>IF(_1_5412845612146241046457891017[[#This Row],[Discount selection]]&gt;0,VLOOKUP(_1_5412845612146241046457891017[[#This Row],[Discount selection]],'Discount Structure'!$A$2:$B$30,2,"false"),0)</f>
        <v>1</v>
      </c>
      <c r="L412" s="194">
        <f>_1_5412845612146241046457891017[[#This Row],[LIST $]]*_1_5412845612146241046457891017[[#This Row],[DISCOUNT]]*_1_5412845612146241046457891017[[#This Row],[DISCOUNT 2]]</f>
        <v>0</v>
      </c>
      <c r="M412" s="194">
        <f>IF(OR(_1_5412845612146241046457891017[[#This Row],[UNIT]]&gt;0,_1_5412845612146241046457891017[[#This Row],[UNIT]]&lt;0),_1_5412845612146241046457891017[[#This Row],[UNIT]]*_1_5412845612146241046457891017[[#This Row],[COST]],0)</f>
        <v>0</v>
      </c>
      <c r="N412" s="194">
        <f t="shared" si="6"/>
        <v>1.35</v>
      </c>
      <c r="O412" s="198">
        <f>_1_5412845612146241046457891017[[#This Row],[TOTAL]]*_1_5412845612146241046457891017[[#This Row],[MARGIN]]</f>
        <v>0</v>
      </c>
      <c r="R412" s="41"/>
    </row>
    <row r="413" spans="1:18">
      <c r="D413" s="188"/>
      <c r="F413" s="168" t="s">
        <v>6202</v>
      </c>
      <c r="G413" s="193">
        <f>IF(_1_5412845612146241046457891017[[#This Row],[Type]]&gt;0,VLOOKUP(_1_5412845612146241046457891017[[#This Row],[Type]],Main[[#All],[TYPE]:[UNIT]],'Unit Price'!C$1,FALSE),0)</f>
        <v>0</v>
      </c>
      <c r="H413" s="197">
        <f>IF(_1_5412845612146241046457891017[[#This Row],[Type]]&gt;0,VLOOKUP(_1_5412845612146241046457891017[[#This Row],[Type]],Main[[#All],[TYPE]:[UNIT]],'Unit Price'!D$1,FALSE),0)</f>
        <v>0</v>
      </c>
      <c r="I413" s="194">
        <f>IF(_1_5412845612146241046457891017[[#This Row],[Type]]&gt;0,VLOOKUP(_1_5412845612146241046457891017[[#This Row],[Type]],Main[[#All],[TYPE]:[UNIT]],'Unit Price'!G$1,FALSE),0)</f>
        <v>0</v>
      </c>
      <c r="J413" s="194">
        <f>IF(_1_5412845612146241046457891017[[#This Row],[Type]]&gt;0,VLOOKUP(_1_5412845612146241046457891017[[#This Row],[Type]],Main[[#All],[TYPE]:[UNIT]],'Unit Price'!H$1,FALSE),0)</f>
        <v>0</v>
      </c>
      <c r="K413" s="194">
        <f>IF(_1_5412845612146241046457891017[[#This Row],[Discount selection]]&gt;0,VLOOKUP(_1_5412845612146241046457891017[[#This Row],[Discount selection]],'Discount Structure'!$A$2:$B$30,2,"false"),0)</f>
        <v>1</v>
      </c>
      <c r="L413" s="194">
        <f>_1_5412845612146241046457891017[[#This Row],[LIST $]]*_1_5412845612146241046457891017[[#This Row],[DISCOUNT]]*_1_5412845612146241046457891017[[#This Row],[DISCOUNT 2]]</f>
        <v>0</v>
      </c>
      <c r="M413" s="194">
        <f>IF(OR(_1_5412845612146241046457891017[[#This Row],[UNIT]]&gt;0,_1_5412845612146241046457891017[[#This Row],[UNIT]]&lt;0),_1_5412845612146241046457891017[[#This Row],[UNIT]]*_1_5412845612146241046457891017[[#This Row],[COST]],0)</f>
        <v>0</v>
      </c>
      <c r="N413" s="194">
        <f t="shared" si="6"/>
        <v>1.35</v>
      </c>
      <c r="O413" s="198">
        <f>_1_5412845612146241046457891017[[#This Row],[TOTAL]]*_1_5412845612146241046457891017[[#This Row],[MARGIN]]</f>
        <v>0</v>
      </c>
      <c r="R413" s="41"/>
    </row>
    <row r="414" spans="1:18">
      <c r="D414" s="188"/>
      <c r="F414" s="168" t="s">
        <v>6202</v>
      </c>
      <c r="G414" s="193">
        <f>IF(_1_5412845612146241046457891017[[#This Row],[Type]]&gt;0,VLOOKUP(_1_5412845612146241046457891017[[#This Row],[Type]],Main[[#All],[TYPE]:[UNIT]],'Unit Price'!C$1,FALSE),0)</f>
        <v>0</v>
      </c>
      <c r="H414" s="197">
        <f>IF(_1_5412845612146241046457891017[[#This Row],[Type]]&gt;0,VLOOKUP(_1_5412845612146241046457891017[[#This Row],[Type]],Main[[#All],[TYPE]:[UNIT]],'Unit Price'!D$1,FALSE),0)</f>
        <v>0</v>
      </c>
      <c r="I414" s="194">
        <f>IF(_1_5412845612146241046457891017[[#This Row],[Type]]&gt;0,VLOOKUP(_1_5412845612146241046457891017[[#This Row],[Type]],Main[[#All],[TYPE]:[UNIT]],'Unit Price'!G$1,FALSE),0)</f>
        <v>0</v>
      </c>
      <c r="J414" s="194">
        <f>IF(_1_5412845612146241046457891017[[#This Row],[Type]]&gt;0,VLOOKUP(_1_5412845612146241046457891017[[#This Row],[Type]],Main[[#All],[TYPE]:[UNIT]],'Unit Price'!H$1,FALSE),0)</f>
        <v>0</v>
      </c>
      <c r="K414" s="194">
        <f>IF(_1_5412845612146241046457891017[[#This Row],[Discount selection]]&gt;0,VLOOKUP(_1_5412845612146241046457891017[[#This Row],[Discount selection]],'Discount Structure'!$A$2:$B$30,2,"false"),0)</f>
        <v>1</v>
      </c>
      <c r="L414" s="194">
        <f>_1_5412845612146241046457891017[[#This Row],[LIST $]]*_1_5412845612146241046457891017[[#This Row],[DISCOUNT]]*_1_5412845612146241046457891017[[#This Row],[DISCOUNT 2]]</f>
        <v>0</v>
      </c>
      <c r="M414" s="194">
        <f>IF(OR(_1_5412845612146241046457891017[[#This Row],[UNIT]]&gt;0,_1_5412845612146241046457891017[[#This Row],[UNIT]]&lt;0),_1_5412845612146241046457891017[[#This Row],[UNIT]]*_1_5412845612146241046457891017[[#This Row],[COST]],0)</f>
        <v>0</v>
      </c>
      <c r="N414" s="194">
        <f t="shared" si="6"/>
        <v>1.35</v>
      </c>
      <c r="O414" s="198">
        <f>_1_5412845612146241046457891017[[#This Row],[TOTAL]]*_1_5412845612146241046457891017[[#This Row],[MARGIN]]</f>
        <v>0</v>
      </c>
      <c r="R414" s="41"/>
    </row>
    <row r="415" spans="1:18">
      <c r="D415" s="188"/>
      <c r="F415" s="168" t="s">
        <v>6202</v>
      </c>
      <c r="G415" s="193">
        <f>IF(_1_5412845612146241046457891017[[#This Row],[Type]]&gt;0,VLOOKUP(_1_5412845612146241046457891017[[#This Row],[Type]],Main[[#All],[TYPE]:[UNIT]],'Unit Price'!C$1,FALSE),0)</f>
        <v>0</v>
      </c>
      <c r="H415" s="197">
        <f>IF(_1_5412845612146241046457891017[[#This Row],[Type]]&gt;0,VLOOKUP(_1_5412845612146241046457891017[[#This Row],[Type]],Main[[#All],[TYPE]:[UNIT]],'Unit Price'!D$1,FALSE),0)</f>
        <v>0</v>
      </c>
      <c r="I415" s="194">
        <f>IF(_1_5412845612146241046457891017[[#This Row],[Type]]&gt;0,VLOOKUP(_1_5412845612146241046457891017[[#This Row],[Type]],Main[[#All],[TYPE]:[UNIT]],'Unit Price'!G$1,FALSE),0)</f>
        <v>0</v>
      </c>
      <c r="J415" s="194">
        <f>IF(_1_5412845612146241046457891017[[#This Row],[Type]]&gt;0,VLOOKUP(_1_5412845612146241046457891017[[#This Row],[Type]],Main[[#All],[TYPE]:[UNIT]],'Unit Price'!H$1,FALSE),0)</f>
        <v>0</v>
      </c>
      <c r="K415" s="194">
        <f>IF(_1_5412845612146241046457891017[[#This Row],[Discount selection]]&gt;0,VLOOKUP(_1_5412845612146241046457891017[[#This Row],[Discount selection]],'Discount Structure'!$A$2:$B$30,2,"false"),0)</f>
        <v>1</v>
      </c>
      <c r="L415" s="194">
        <f>_1_5412845612146241046457891017[[#This Row],[LIST $]]*_1_5412845612146241046457891017[[#This Row],[DISCOUNT]]*_1_5412845612146241046457891017[[#This Row],[DISCOUNT 2]]</f>
        <v>0</v>
      </c>
      <c r="M415" s="194">
        <f>IF(OR(_1_5412845612146241046457891017[[#This Row],[UNIT]]&gt;0,_1_5412845612146241046457891017[[#This Row],[UNIT]]&lt;0),_1_5412845612146241046457891017[[#This Row],[UNIT]]*_1_5412845612146241046457891017[[#This Row],[COST]],0)</f>
        <v>0</v>
      </c>
      <c r="N415" s="194">
        <f t="shared" si="6"/>
        <v>1.35</v>
      </c>
      <c r="O415" s="198">
        <f>_1_5412845612146241046457891017[[#This Row],[TOTAL]]*_1_5412845612146241046457891017[[#This Row],[MARGIN]]</f>
        <v>0</v>
      </c>
      <c r="R415" s="41"/>
    </row>
    <row r="416" spans="1:18">
      <c r="D416" s="188"/>
      <c r="F416" s="168" t="s">
        <v>6202</v>
      </c>
      <c r="G416" s="193">
        <f>IF(_1_5412845612146241046457891017[[#This Row],[Type]]&gt;0,VLOOKUP(_1_5412845612146241046457891017[[#This Row],[Type]],Main[[#All],[TYPE]:[UNIT]],'Unit Price'!C$1,FALSE),0)</f>
        <v>0</v>
      </c>
      <c r="H416" s="197">
        <f>IF(_1_5412845612146241046457891017[[#This Row],[Type]]&gt;0,VLOOKUP(_1_5412845612146241046457891017[[#This Row],[Type]],Main[[#All],[TYPE]:[UNIT]],'Unit Price'!D$1,FALSE),0)</f>
        <v>0</v>
      </c>
      <c r="I416" s="194">
        <f>IF(_1_5412845612146241046457891017[[#This Row],[Type]]&gt;0,VLOOKUP(_1_5412845612146241046457891017[[#This Row],[Type]],Main[[#All],[TYPE]:[UNIT]],'Unit Price'!G$1,FALSE),0)</f>
        <v>0</v>
      </c>
      <c r="J416" s="194">
        <f>IF(_1_5412845612146241046457891017[[#This Row],[Type]]&gt;0,VLOOKUP(_1_5412845612146241046457891017[[#This Row],[Type]],Main[[#All],[TYPE]:[UNIT]],'Unit Price'!H$1,FALSE),0)</f>
        <v>0</v>
      </c>
      <c r="K416" s="194">
        <f>IF(_1_5412845612146241046457891017[[#This Row],[Discount selection]]&gt;0,VLOOKUP(_1_5412845612146241046457891017[[#This Row],[Discount selection]],'Discount Structure'!$A$2:$B$30,2,"false"),0)</f>
        <v>1</v>
      </c>
      <c r="L416" s="194">
        <f>_1_5412845612146241046457891017[[#This Row],[LIST $]]*_1_5412845612146241046457891017[[#This Row],[DISCOUNT]]*_1_5412845612146241046457891017[[#This Row],[DISCOUNT 2]]</f>
        <v>0</v>
      </c>
      <c r="M416" s="194">
        <f>IF(OR(_1_5412845612146241046457891017[[#This Row],[UNIT]]&gt;0,_1_5412845612146241046457891017[[#This Row],[UNIT]]&lt;0),_1_5412845612146241046457891017[[#This Row],[UNIT]]*_1_5412845612146241046457891017[[#This Row],[COST]],0)</f>
        <v>0</v>
      </c>
      <c r="N416" s="194">
        <f t="shared" si="6"/>
        <v>1.35</v>
      </c>
      <c r="O416" s="198">
        <f>_1_5412845612146241046457891017[[#This Row],[TOTAL]]*_1_5412845612146241046457891017[[#This Row],[MARGIN]]</f>
        <v>0</v>
      </c>
      <c r="R416" s="41"/>
    </row>
    <row r="417" spans="1:18">
      <c r="D417" s="188"/>
      <c r="F417" s="168" t="s">
        <v>6202</v>
      </c>
      <c r="G417" s="192">
        <f>IF(_1_5412845612146241046457891017[[#This Row],[Type]]&gt;0,VLOOKUP(_1_5412845612146241046457891017[[#This Row],[Type]],Main[[#All],[TYPE]:[UNIT]],'Unit Price'!C$1,FALSE),0)</f>
        <v>0</v>
      </c>
      <c r="H417" s="197">
        <f>IF(_1_5412845612146241046457891017[[#This Row],[Type]]&gt;0,VLOOKUP(_1_5412845612146241046457891017[[#This Row],[Type]],Main[[#All],[TYPE]:[UNIT]],'Unit Price'!D$1,FALSE),0)</f>
        <v>0</v>
      </c>
      <c r="I417" s="194">
        <f>IF(_1_5412845612146241046457891017[[#This Row],[Type]]&gt;0,VLOOKUP(_1_5412845612146241046457891017[[#This Row],[Type]],Main[[#All],[TYPE]:[UNIT]],'Unit Price'!G$1,FALSE),0)</f>
        <v>0</v>
      </c>
      <c r="J417" s="194">
        <f>IF(_1_5412845612146241046457891017[[#This Row],[Type]]&gt;0,VLOOKUP(_1_5412845612146241046457891017[[#This Row],[Type]],Main[[#All],[TYPE]:[UNIT]],'Unit Price'!H$1,FALSE),0)</f>
        <v>0</v>
      </c>
      <c r="K417" s="194">
        <f>IF(_1_5412845612146241046457891017[[#This Row],[Discount selection]]&gt;0,VLOOKUP(_1_5412845612146241046457891017[[#This Row],[Discount selection]],'Discount Structure'!$A$2:$B$30,2,"false"),0)</f>
        <v>1</v>
      </c>
      <c r="L417" s="194">
        <f>_1_5412845612146241046457891017[[#This Row],[LIST $]]*_1_5412845612146241046457891017[[#This Row],[DISCOUNT]]*_1_5412845612146241046457891017[[#This Row],[DISCOUNT 2]]</f>
        <v>0</v>
      </c>
      <c r="M417" s="194">
        <f>IF(OR(_1_5412845612146241046457891017[[#This Row],[UNIT]]&gt;0,_1_5412845612146241046457891017[[#This Row],[UNIT]]&lt;0),_1_5412845612146241046457891017[[#This Row],[UNIT]]*_1_5412845612146241046457891017[[#This Row],[COST]],0)</f>
        <v>0</v>
      </c>
      <c r="N417" s="194">
        <f t="shared" si="6"/>
        <v>1.35</v>
      </c>
      <c r="O417" s="198">
        <f>_1_5412845612146241046457891017[[#This Row],[TOTAL]]*_1_5412845612146241046457891017[[#This Row],[MARGIN]]</f>
        <v>0</v>
      </c>
      <c r="R417" s="41"/>
    </row>
    <row r="418" spans="1:18">
      <c r="D418" s="188"/>
      <c r="F418" s="168" t="s">
        <v>6202</v>
      </c>
      <c r="G418" s="193">
        <f>IF(_1_5412845612146241046457891017[[#This Row],[Type]]&gt;0,VLOOKUP(_1_5412845612146241046457891017[[#This Row],[Type]],Main[[#All],[TYPE]:[UNIT]],'Unit Price'!C$1,FALSE),0)</f>
        <v>0</v>
      </c>
      <c r="H418" s="197">
        <f>IF(_1_5412845612146241046457891017[[#This Row],[Type]]&gt;0,VLOOKUP(_1_5412845612146241046457891017[[#This Row],[Type]],Main[[#All],[TYPE]:[UNIT]],'Unit Price'!D$1,FALSE),0)</f>
        <v>0</v>
      </c>
      <c r="I418" s="194">
        <f>IF(_1_5412845612146241046457891017[[#This Row],[Type]]&gt;0,VLOOKUP(_1_5412845612146241046457891017[[#This Row],[Type]],Main[[#All],[TYPE]:[UNIT]],'Unit Price'!G$1,FALSE),0)</f>
        <v>0</v>
      </c>
      <c r="J418" s="194">
        <f>IF(_1_5412845612146241046457891017[[#This Row],[Type]]&gt;0,VLOOKUP(_1_5412845612146241046457891017[[#This Row],[Type]],Main[[#All],[TYPE]:[UNIT]],'Unit Price'!H$1,FALSE),0)</f>
        <v>0</v>
      </c>
      <c r="K418" s="194">
        <f>IF(_1_5412845612146241046457891017[[#This Row],[Discount selection]]&gt;0,VLOOKUP(_1_5412845612146241046457891017[[#This Row],[Discount selection]],'Discount Structure'!$A$2:$B$30,2,"false"),0)</f>
        <v>1</v>
      </c>
      <c r="L418" s="194">
        <f>_1_5412845612146241046457891017[[#This Row],[LIST $]]*_1_5412845612146241046457891017[[#This Row],[DISCOUNT]]*_1_5412845612146241046457891017[[#This Row],[DISCOUNT 2]]</f>
        <v>0</v>
      </c>
      <c r="M418" s="194">
        <f>IF(OR(_1_5412845612146241046457891017[[#This Row],[UNIT]]&gt;0,_1_5412845612146241046457891017[[#This Row],[UNIT]]&lt;0),_1_5412845612146241046457891017[[#This Row],[UNIT]]*_1_5412845612146241046457891017[[#This Row],[COST]],0)</f>
        <v>0</v>
      </c>
      <c r="N418" s="194">
        <f t="shared" si="6"/>
        <v>1.35</v>
      </c>
      <c r="O418" s="198">
        <f>_1_5412845612146241046457891017[[#This Row],[TOTAL]]*_1_5412845612146241046457891017[[#This Row],[MARGIN]]</f>
        <v>0</v>
      </c>
      <c r="R418" s="41"/>
    </row>
    <row r="419" spans="1:18">
      <c r="D419" s="188"/>
      <c r="F419" s="168" t="s">
        <v>6202</v>
      </c>
      <c r="G419" s="193">
        <f>IF(_1_5412845612146241046457891017[[#This Row],[Type]]&gt;0,VLOOKUP(_1_5412845612146241046457891017[[#This Row],[Type]],Main[[#All],[TYPE]:[UNIT]],'Unit Price'!C$1,FALSE),0)</f>
        <v>0</v>
      </c>
      <c r="H419" s="197">
        <f>IF(_1_5412845612146241046457891017[[#This Row],[Type]]&gt;0,VLOOKUP(_1_5412845612146241046457891017[[#This Row],[Type]],Main[[#All],[TYPE]:[UNIT]],'Unit Price'!D$1,FALSE),0)</f>
        <v>0</v>
      </c>
      <c r="I419" s="194">
        <f>IF(_1_5412845612146241046457891017[[#This Row],[Type]]&gt;0,VLOOKUP(_1_5412845612146241046457891017[[#This Row],[Type]],Main[[#All],[TYPE]:[UNIT]],'Unit Price'!G$1,FALSE),0)</f>
        <v>0</v>
      </c>
      <c r="J419" s="194">
        <f>IF(_1_5412845612146241046457891017[[#This Row],[Type]]&gt;0,VLOOKUP(_1_5412845612146241046457891017[[#This Row],[Type]],Main[[#All],[TYPE]:[UNIT]],'Unit Price'!H$1,FALSE),0)</f>
        <v>0</v>
      </c>
      <c r="K419" s="194">
        <f>IF(_1_5412845612146241046457891017[[#This Row],[Discount selection]]&gt;0,VLOOKUP(_1_5412845612146241046457891017[[#This Row],[Discount selection]],'Discount Structure'!$A$2:$B$30,2,"false"),0)</f>
        <v>1</v>
      </c>
      <c r="L419" s="194">
        <f>_1_5412845612146241046457891017[[#This Row],[LIST $]]*_1_5412845612146241046457891017[[#This Row],[DISCOUNT]]*_1_5412845612146241046457891017[[#This Row],[DISCOUNT 2]]</f>
        <v>0</v>
      </c>
      <c r="M419" s="194">
        <f>IF(OR(_1_5412845612146241046457891017[[#This Row],[UNIT]]&gt;0,_1_5412845612146241046457891017[[#This Row],[UNIT]]&lt;0),_1_5412845612146241046457891017[[#This Row],[UNIT]]*_1_5412845612146241046457891017[[#This Row],[COST]],0)</f>
        <v>0</v>
      </c>
      <c r="N419" s="194">
        <f t="shared" si="6"/>
        <v>1.35</v>
      </c>
      <c r="O419" s="198">
        <f>_1_5412845612146241046457891017[[#This Row],[TOTAL]]*_1_5412845612146241046457891017[[#This Row],[MARGIN]]</f>
        <v>0</v>
      </c>
      <c r="R419" s="41"/>
    </row>
    <row r="420" spans="1:18">
      <c r="D420" s="188"/>
      <c r="F420" s="168" t="s">
        <v>6202</v>
      </c>
      <c r="G420" s="193">
        <f>IF(_1_5412845612146241046457891017[[#This Row],[Type]]&gt;0,VLOOKUP(_1_5412845612146241046457891017[[#This Row],[Type]],Main[[#All],[TYPE]:[UNIT]],'Unit Price'!C$1,FALSE),0)</f>
        <v>0</v>
      </c>
      <c r="H420" s="197">
        <f>IF(_1_5412845612146241046457891017[[#This Row],[Type]]&gt;0,VLOOKUP(_1_5412845612146241046457891017[[#This Row],[Type]],Main[[#All],[TYPE]:[UNIT]],'Unit Price'!D$1,FALSE),0)</f>
        <v>0</v>
      </c>
      <c r="I420" s="194">
        <f>IF(_1_5412845612146241046457891017[[#This Row],[Type]]&gt;0,VLOOKUP(_1_5412845612146241046457891017[[#This Row],[Type]],Main[[#All],[TYPE]:[UNIT]],'Unit Price'!G$1,FALSE),0)</f>
        <v>0</v>
      </c>
      <c r="J420" s="194">
        <f>IF(_1_5412845612146241046457891017[[#This Row],[Type]]&gt;0,VLOOKUP(_1_5412845612146241046457891017[[#This Row],[Type]],Main[[#All],[TYPE]:[UNIT]],'Unit Price'!H$1,FALSE),0)</f>
        <v>0</v>
      </c>
      <c r="K420" s="194">
        <f>IF(_1_5412845612146241046457891017[[#This Row],[Discount selection]]&gt;0,VLOOKUP(_1_5412845612146241046457891017[[#This Row],[Discount selection]],'Discount Structure'!$A$2:$B$30,2,"false"),0)</f>
        <v>1</v>
      </c>
      <c r="L420" s="194">
        <f>_1_5412845612146241046457891017[[#This Row],[LIST $]]*_1_5412845612146241046457891017[[#This Row],[DISCOUNT]]*_1_5412845612146241046457891017[[#This Row],[DISCOUNT 2]]</f>
        <v>0</v>
      </c>
      <c r="M420" s="194">
        <f>IF(OR(_1_5412845612146241046457891017[[#This Row],[UNIT]]&gt;0,_1_5412845612146241046457891017[[#This Row],[UNIT]]&lt;0),_1_5412845612146241046457891017[[#This Row],[UNIT]]*_1_5412845612146241046457891017[[#This Row],[COST]],0)</f>
        <v>0</v>
      </c>
      <c r="N420" s="194">
        <f t="shared" si="6"/>
        <v>1.35</v>
      </c>
      <c r="O420" s="198">
        <f>_1_5412845612146241046457891017[[#This Row],[TOTAL]]*_1_5412845612146241046457891017[[#This Row],[MARGIN]]</f>
        <v>0</v>
      </c>
      <c r="R420" s="41"/>
    </row>
    <row r="421" spans="1:18">
      <c r="D421" s="188"/>
      <c r="F421" s="168" t="s">
        <v>6202</v>
      </c>
      <c r="G421" s="193">
        <f>IF(_1_5412845612146241046457891017[[#This Row],[Type]]&gt;0,VLOOKUP(_1_5412845612146241046457891017[[#This Row],[Type]],Main[[#All],[TYPE]:[UNIT]],'Unit Price'!C$1,FALSE),0)</f>
        <v>0</v>
      </c>
      <c r="H421" s="197">
        <f>IF(_1_5412845612146241046457891017[[#This Row],[Type]]&gt;0,VLOOKUP(_1_5412845612146241046457891017[[#This Row],[Type]],Main[[#All],[TYPE]:[UNIT]],'Unit Price'!D$1,FALSE),0)</f>
        <v>0</v>
      </c>
      <c r="I421" s="194">
        <f>IF(_1_5412845612146241046457891017[[#This Row],[Type]]&gt;0,VLOOKUP(_1_5412845612146241046457891017[[#This Row],[Type]],Main[[#All],[TYPE]:[UNIT]],'Unit Price'!G$1,FALSE),0)</f>
        <v>0</v>
      </c>
      <c r="J421" s="194">
        <f>IF(_1_5412845612146241046457891017[[#This Row],[Type]]&gt;0,VLOOKUP(_1_5412845612146241046457891017[[#This Row],[Type]],Main[[#All],[TYPE]:[UNIT]],'Unit Price'!H$1,FALSE),0)</f>
        <v>0</v>
      </c>
      <c r="K421" s="194">
        <f>IF(_1_5412845612146241046457891017[[#This Row],[Discount selection]]&gt;0,VLOOKUP(_1_5412845612146241046457891017[[#This Row],[Discount selection]],'Discount Structure'!$A$2:$B$30,2,"false"),0)</f>
        <v>1</v>
      </c>
      <c r="L421" s="194">
        <f>_1_5412845612146241046457891017[[#This Row],[LIST $]]*_1_5412845612146241046457891017[[#This Row],[DISCOUNT]]*_1_5412845612146241046457891017[[#This Row],[DISCOUNT 2]]</f>
        <v>0</v>
      </c>
      <c r="M421" s="194">
        <f>IF(OR(_1_5412845612146241046457891017[[#This Row],[UNIT]]&gt;0,_1_5412845612146241046457891017[[#This Row],[UNIT]]&lt;0),_1_5412845612146241046457891017[[#This Row],[UNIT]]*_1_5412845612146241046457891017[[#This Row],[COST]],0)</f>
        <v>0</v>
      </c>
      <c r="N421" s="194">
        <f t="shared" si="6"/>
        <v>1.35</v>
      </c>
      <c r="O421" s="198">
        <f>_1_5412845612146241046457891017[[#This Row],[TOTAL]]*_1_5412845612146241046457891017[[#This Row],[MARGIN]]</f>
        <v>0</v>
      </c>
      <c r="R421" s="41"/>
    </row>
    <row r="422" spans="1:18">
      <c r="D422" s="188"/>
      <c r="F422" s="168" t="s">
        <v>6202</v>
      </c>
      <c r="G422" s="192">
        <f>IF(_1_5412845612146241046457891017[[#This Row],[Type]]&gt;0,VLOOKUP(_1_5412845612146241046457891017[[#This Row],[Type]],Main[[#All],[TYPE]:[UNIT]],'Unit Price'!C$1,FALSE),0)</f>
        <v>0</v>
      </c>
      <c r="H422" s="197">
        <f>IF(_1_5412845612146241046457891017[[#This Row],[Type]]&gt;0,VLOOKUP(_1_5412845612146241046457891017[[#This Row],[Type]],Main[[#All],[TYPE]:[UNIT]],'Unit Price'!D$1,FALSE),0)</f>
        <v>0</v>
      </c>
      <c r="I422" s="194">
        <f>IF(_1_5412845612146241046457891017[[#This Row],[Type]]&gt;0,VLOOKUP(_1_5412845612146241046457891017[[#This Row],[Type]],Main[[#All],[TYPE]:[UNIT]],'Unit Price'!G$1,FALSE),0)</f>
        <v>0</v>
      </c>
      <c r="J422" s="194">
        <f>IF(_1_5412845612146241046457891017[[#This Row],[Type]]&gt;0,VLOOKUP(_1_5412845612146241046457891017[[#This Row],[Type]],Main[[#All],[TYPE]:[UNIT]],'Unit Price'!H$1,FALSE),0)</f>
        <v>0</v>
      </c>
      <c r="K422" s="194">
        <f>IF(_1_5412845612146241046457891017[[#This Row],[Discount selection]]&gt;0,VLOOKUP(_1_5412845612146241046457891017[[#This Row],[Discount selection]],'Discount Structure'!$A$2:$B$30,2,"false"),0)</f>
        <v>1</v>
      </c>
      <c r="L422" s="194">
        <f>_1_5412845612146241046457891017[[#This Row],[LIST $]]*_1_5412845612146241046457891017[[#This Row],[DISCOUNT]]*_1_5412845612146241046457891017[[#This Row],[DISCOUNT 2]]</f>
        <v>0</v>
      </c>
      <c r="M422" s="194">
        <f>IF(OR(_1_5412845612146241046457891017[[#This Row],[UNIT]]&gt;0,_1_5412845612146241046457891017[[#This Row],[UNIT]]&lt;0),_1_5412845612146241046457891017[[#This Row],[UNIT]]*_1_5412845612146241046457891017[[#This Row],[COST]],0)</f>
        <v>0</v>
      </c>
      <c r="N422" s="194">
        <f t="shared" si="6"/>
        <v>1.35</v>
      </c>
      <c r="O422" s="198">
        <f>_1_5412845612146241046457891017[[#This Row],[TOTAL]]*_1_5412845612146241046457891017[[#This Row],[MARGIN]]</f>
        <v>0</v>
      </c>
      <c r="R422" s="41"/>
    </row>
    <row r="423" spans="1:18">
      <c r="D423" s="188"/>
      <c r="F423" s="168" t="s">
        <v>6202</v>
      </c>
      <c r="G423" s="193">
        <f>IF(_1_5412845612146241046457891017[[#This Row],[Type]]&gt;0,VLOOKUP(_1_5412845612146241046457891017[[#This Row],[Type]],Main[[#All],[TYPE]:[UNIT]],'Unit Price'!C$1,FALSE),0)</f>
        <v>0</v>
      </c>
      <c r="H423" s="197">
        <f>IF(_1_5412845612146241046457891017[[#This Row],[Type]]&gt;0,VLOOKUP(_1_5412845612146241046457891017[[#This Row],[Type]],Main[[#All],[TYPE]:[UNIT]],'Unit Price'!D$1,FALSE),0)</f>
        <v>0</v>
      </c>
      <c r="I423" s="194">
        <f>IF(_1_5412845612146241046457891017[[#This Row],[Type]]&gt;0,VLOOKUP(_1_5412845612146241046457891017[[#This Row],[Type]],Main[[#All],[TYPE]:[UNIT]],'Unit Price'!G$1,FALSE),0)</f>
        <v>0</v>
      </c>
      <c r="J423" s="194">
        <f>IF(_1_5412845612146241046457891017[[#This Row],[Type]]&gt;0,VLOOKUP(_1_5412845612146241046457891017[[#This Row],[Type]],Main[[#All],[TYPE]:[UNIT]],'Unit Price'!H$1,FALSE),0)</f>
        <v>0</v>
      </c>
      <c r="K423" s="194">
        <f>IF(_1_5412845612146241046457891017[[#This Row],[Discount selection]]&gt;0,VLOOKUP(_1_5412845612146241046457891017[[#This Row],[Discount selection]],'Discount Structure'!$A$2:$B$30,2,"false"),0)</f>
        <v>1</v>
      </c>
      <c r="L423" s="194">
        <f>_1_5412845612146241046457891017[[#This Row],[LIST $]]*_1_5412845612146241046457891017[[#This Row],[DISCOUNT]]*_1_5412845612146241046457891017[[#This Row],[DISCOUNT 2]]</f>
        <v>0</v>
      </c>
      <c r="M423" s="194">
        <f>IF(OR(_1_5412845612146241046457891017[[#This Row],[UNIT]]&gt;0,_1_5412845612146241046457891017[[#This Row],[UNIT]]&lt;0),_1_5412845612146241046457891017[[#This Row],[UNIT]]*_1_5412845612146241046457891017[[#This Row],[COST]],0)</f>
        <v>0</v>
      </c>
      <c r="N423" s="194">
        <f t="shared" si="6"/>
        <v>1.35</v>
      </c>
      <c r="O423" s="198">
        <f>_1_5412845612146241046457891017[[#This Row],[TOTAL]]*_1_5412845612146241046457891017[[#This Row],[MARGIN]]</f>
        <v>0</v>
      </c>
      <c r="R423" s="41"/>
    </row>
    <row r="424" spans="1:18">
      <c r="A424" s="168"/>
      <c r="D424" s="188"/>
      <c r="F424" s="168" t="s">
        <v>6202</v>
      </c>
      <c r="G424" s="193">
        <f>IF(_1_5412845612146241046457891017[[#This Row],[Type]]&gt;0,VLOOKUP(_1_5412845612146241046457891017[[#This Row],[Type]],Main[[#All],[TYPE]:[UNIT]],'Unit Price'!C$1,FALSE),0)</f>
        <v>0</v>
      </c>
      <c r="H424" s="197">
        <f>IF(_1_5412845612146241046457891017[[#This Row],[Type]]&gt;0,VLOOKUP(_1_5412845612146241046457891017[[#This Row],[Type]],Main[[#All],[TYPE]:[UNIT]],'Unit Price'!D$1,FALSE),0)</f>
        <v>0</v>
      </c>
      <c r="I424" s="194">
        <f>IF(_1_5412845612146241046457891017[[#This Row],[Type]]&gt;0,VLOOKUP(_1_5412845612146241046457891017[[#This Row],[Type]],Main[[#All],[TYPE]:[UNIT]],'Unit Price'!G$1,FALSE),0)</f>
        <v>0</v>
      </c>
      <c r="J424" s="194">
        <f>IF(_1_5412845612146241046457891017[[#This Row],[Type]]&gt;0,VLOOKUP(_1_5412845612146241046457891017[[#This Row],[Type]],Main[[#All],[TYPE]:[UNIT]],'Unit Price'!H$1,FALSE),0)</f>
        <v>0</v>
      </c>
      <c r="K424" s="194">
        <f>IF(_1_5412845612146241046457891017[[#This Row],[Discount selection]]&gt;0,VLOOKUP(_1_5412845612146241046457891017[[#This Row],[Discount selection]],'Discount Structure'!$A$2:$B$30,2,"false"),0)</f>
        <v>1</v>
      </c>
      <c r="L424" s="194">
        <f>_1_5412845612146241046457891017[[#This Row],[LIST $]]*_1_5412845612146241046457891017[[#This Row],[DISCOUNT]]*_1_5412845612146241046457891017[[#This Row],[DISCOUNT 2]]</f>
        <v>0</v>
      </c>
      <c r="M424" s="194">
        <f>IF(OR(_1_5412845612146241046457891017[[#This Row],[UNIT]]&gt;0,_1_5412845612146241046457891017[[#This Row],[UNIT]]&lt;0),_1_5412845612146241046457891017[[#This Row],[UNIT]]*_1_5412845612146241046457891017[[#This Row],[COST]],0)</f>
        <v>0</v>
      </c>
      <c r="N424" s="194">
        <f t="shared" si="6"/>
        <v>1.35</v>
      </c>
      <c r="O424" s="198">
        <f>_1_5412845612146241046457891017[[#This Row],[TOTAL]]*_1_5412845612146241046457891017[[#This Row],[MARGIN]]</f>
        <v>0</v>
      </c>
      <c r="R424" s="41"/>
    </row>
    <row r="425" spans="1:18">
      <c r="D425" s="188"/>
      <c r="F425" s="168" t="s">
        <v>6202</v>
      </c>
      <c r="G425" s="193">
        <f>IF(_1_5412845612146241046457891017[[#This Row],[Type]]&gt;0,VLOOKUP(_1_5412845612146241046457891017[[#This Row],[Type]],Main[[#All],[TYPE]:[UNIT]],'Unit Price'!C$1,FALSE),0)</f>
        <v>0</v>
      </c>
      <c r="H425" s="197">
        <f>IF(_1_5412845612146241046457891017[[#This Row],[Type]]&gt;0,VLOOKUP(_1_5412845612146241046457891017[[#This Row],[Type]],Main[[#All],[TYPE]:[UNIT]],'Unit Price'!D$1,FALSE),0)</f>
        <v>0</v>
      </c>
      <c r="I425" s="194">
        <f>IF(_1_5412845612146241046457891017[[#This Row],[Type]]&gt;0,VLOOKUP(_1_5412845612146241046457891017[[#This Row],[Type]],Main[[#All],[TYPE]:[UNIT]],'Unit Price'!G$1,FALSE),0)</f>
        <v>0</v>
      </c>
      <c r="J425" s="194">
        <f>IF(_1_5412845612146241046457891017[[#This Row],[Type]]&gt;0,VLOOKUP(_1_5412845612146241046457891017[[#This Row],[Type]],Main[[#All],[TYPE]:[UNIT]],'Unit Price'!H$1,FALSE),0)</f>
        <v>0</v>
      </c>
      <c r="K425" s="194">
        <f>IF(_1_5412845612146241046457891017[[#This Row],[Discount selection]]&gt;0,VLOOKUP(_1_5412845612146241046457891017[[#This Row],[Discount selection]],'Discount Structure'!$A$2:$B$30,2,"false"),0)</f>
        <v>1</v>
      </c>
      <c r="L425" s="194">
        <f>_1_5412845612146241046457891017[[#This Row],[LIST $]]*_1_5412845612146241046457891017[[#This Row],[DISCOUNT]]*_1_5412845612146241046457891017[[#This Row],[DISCOUNT 2]]</f>
        <v>0</v>
      </c>
      <c r="M425" s="194">
        <f>IF(OR(_1_5412845612146241046457891017[[#This Row],[UNIT]]&gt;0,_1_5412845612146241046457891017[[#This Row],[UNIT]]&lt;0),_1_5412845612146241046457891017[[#This Row],[UNIT]]*_1_5412845612146241046457891017[[#This Row],[COST]],0)</f>
        <v>0</v>
      </c>
      <c r="N425" s="194">
        <f t="shared" si="6"/>
        <v>1.35</v>
      </c>
      <c r="O425" s="198">
        <f>_1_5412845612146241046457891017[[#This Row],[TOTAL]]*_1_5412845612146241046457891017[[#This Row],[MARGIN]]</f>
        <v>0</v>
      </c>
      <c r="R425" s="41"/>
    </row>
    <row r="426" spans="1:18">
      <c r="D426" s="188"/>
      <c r="F426" s="168" t="s">
        <v>6202</v>
      </c>
      <c r="G426" s="193">
        <f>IF(_1_5412845612146241046457891017[[#This Row],[Type]]&gt;0,VLOOKUP(_1_5412845612146241046457891017[[#This Row],[Type]],Main[[#All],[TYPE]:[UNIT]],'Unit Price'!C$1,FALSE),0)</f>
        <v>0</v>
      </c>
      <c r="H426" s="197">
        <f>IF(_1_5412845612146241046457891017[[#This Row],[Type]]&gt;0,VLOOKUP(_1_5412845612146241046457891017[[#This Row],[Type]],Main[[#All],[TYPE]:[UNIT]],'Unit Price'!D$1,FALSE),0)</f>
        <v>0</v>
      </c>
      <c r="I426" s="194">
        <f>IF(_1_5412845612146241046457891017[[#This Row],[Type]]&gt;0,VLOOKUP(_1_5412845612146241046457891017[[#This Row],[Type]],Main[[#All],[TYPE]:[UNIT]],'Unit Price'!G$1,FALSE),0)</f>
        <v>0</v>
      </c>
      <c r="J426" s="194">
        <f>IF(_1_5412845612146241046457891017[[#This Row],[Type]]&gt;0,VLOOKUP(_1_5412845612146241046457891017[[#This Row],[Type]],Main[[#All],[TYPE]:[UNIT]],'Unit Price'!H$1,FALSE),0)</f>
        <v>0</v>
      </c>
      <c r="K426" s="194">
        <f>IF(_1_5412845612146241046457891017[[#This Row],[Discount selection]]&gt;0,VLOOKUP(_1_5412845612146241046457891017[[#This Row],[Discount selection]],'Discount Structure'!$A$2:$B$30,2,"false"),0)</f>
        <v>1</v>
      </c>
      <c r="L426" s="194">
        <f>_1_5412845612146241046457891017[[#This Row],[LIST $]]*_1_5412845612146241046457891017[[#This Row],[DISCOUNT]]*_1_5412845612146241046457891017[[#This Row],[DISCOUNT 2]]</f>
        <v>0</v>
      </c>
      <c r="M426" s="194">
        <f>IF(OR(_1_5412845612146241046457891017[[#This Row],[UNIT]]&gt;0,_1_5412845612146241046457891017[[#This Row],[UNIT]]&lt;0),_1_5412845612146241046457891017[[#This Row],[UNIT]]*_1_5412845612146241046457891017[[#This Row],[COST]],0)</f>
        <v>0</v>
      </c>
      <c r="N426" s="194">
        <f t="shared" si="6"/>
        <v>1.35</v>
      </c>
      <c r="O426" s="198">
        <f>_1_5412845612146241046457891017[[#This Row],[TOTAL]]*_1_5412845612146241046457891017[[#This Row],[MARGIN]]</f>
        <v>0</v>
      </c>
      <c r="R426" s="41"/>
    </row>
    <row r="427" spans="1:18">
      <c r="D427" s="188"/>
      <c r="F427" s="168" t="s">
        <v>6202</v>
      </c>
      <c r="G427" s="192">
        <f>IF(_1_5412845612146241046457891017[[#This Row],[Type]]&gt;0,VLOOKUP(_1_5412845612146241046457891017[[#This Row],[Type]],Main[[#All],[TYPE]:[UNIT]],'Unit Price'!C$1,FALSE),0)</f>
        <v>0</v>
      </c>
      <c r="H427" s="197">
        <f>IF(_1_5412845612146241046457891017[[#This Row],[Type]]&gt;0,VLOOKUP(_1_5412845612146241046457891017[[#This Row],[Type]],Main[[#All],[TYPE]:[UNIT]],'Unit Price'!D$1,FALSE),0)</f>
        <v>0</v>
      </c>
      <c r="I427" s="194">
        <f>IF(_1_5412845612146241046457891017[[#This Row],[Type]]&gt;0,VLOOKUP(_1_5412845612146241046457891017[[#This Row],[Type]],Main[[#All],[TYPE]:[UNIT]],'Unit Price'!G$1,FALSE),0)</f>
        <v>0</v>
      </c>
      <c r="J427" s="194">
        <f>IF(_1_5412845612146241046457891017[[#This Row],[Type]]&gt;0,VLOOKUP(_1_5412845612146241046457891017[[#This Row],[Type]],Main[[#All],[TYPE]:[UNIT]],'Unit Price'!H$1,FALSE),0)</f>
        <v>0</v>
      </c>
      <c r="K427" s="194">
        <f>IF(_1_5412845612146241046457891017[[#This Row],[Discount selection]]&gt;0,VLOOKUP(_1_5412845612146241046457891017[[#This Row],[Discount selection]],'Discount Structure'!$A$2:$B$30,2,"false"),0)</f>
        <v>1</v>
      </c>
      <c r="L427" s="194">
        <f>_1_5412845612146241046457891017[[#This Row],[LIST $]]*_1_5412845612146241046457891017[[#This Row],[DISCOUNT]]*_1_5412845612146241046457891017[[#This Row],[DISCOUNT 2]]</f>
        <v>0</v>
      </c>
      <c r="M427" s="194">
        <f>IF(OR(_1_5412845612146241046457891017[[#This Row],[UNIT]]&gt;0,_1_5412845612146241046457891017[[#This Row],[UNIT]]&lt;0),_1_5412845612146241046457891017[[#This Row],[UNIT]]*_1_5412845612146241046457891017[[#This Row],[COST]],0)</f>
        <v>0</v>
      </c>
      <c r="N427" s="194">
        <f t="shared" si="6"/>
        <v>1.35</v>
      </c>
      <c r="O427" s="198">
        <f>_1_5412845612146241046457891017[[#This Row],[TOTAL]]*_1_5412845612146241046457891017[[#This Row],[MARGIN]]</f>
        <v>0</v>
      </c>
      <c r="R427" s="41"/>
    </row>
    <row r="428" spans="1:18">
      <c r="D428" s="188"/>
      <c r="F428" s="168" t="s">
        <v>6202</v>
      </c>
      <c r="G428" s="193">
        <f>IF(_1_5412845612146241046457891017[[#This Row],[Type]]&gt;0,VLOOKUP(_1_5412845612146241046457891017[[#This Row],[Type]],Main[[#All],[TYPE]:[UNIT]],'Unit Price'!C$1,FALSE),0)</f>
        <v>0</v>
      </c>
      <c r="H428" s="197">
        <f>IF(_1_5412845612146241046457891017[[#This Row],[Type]]&gt;0,VLOOKUP(_1_5412845612146241046457891017[[#This Row],[Type]],Main[[#All],[TYPE]:[UNIT]],'Unit Price'!D$1,FALSE),0)</f>
        <v>0</v>
      </c>
      <c r="I428" s="194">
        <f>IF(_1_5412845612146241046457891017[[#This Row],[Type]]&gt;0,VLOOKUP(_1_5412845612146241046457891017[[#This Row],[Type]],Main[[#All],[TYPE]:[UNIT]],'Unit Price'!G$1,FALSE),0)</f>
        <v>0</v>
      </c>
      <c r="J428" s="194">
        <f>IF(_1_5412845612146241046457891017[[#This Row],[Type]]&gt;0,VLOOKUP(_1_5412845612146241046457891017[[#This Row],[Type]],Main[[#All],[TYPE]:[UNIT]],'Unit Price'!H$1,FALSE),0)</f>
        <v>0</v>
      </c>
      <c r="K428" s="194">
        <f>IF(_1_5412845612146241046457891017[[#This Row],[Discount selection]]&gt;0,VLOOKUP(_1_5412845612146241046457891017[[#This Row],[Discount selection]],'Discount Structure'!$A$2:$B$30,2,"false"),0)</f>
        <v>1</v>
      </c>
      <c r="L428" s="194">
        <f>_1_5412845612146241046457891017[[#This Row],[LIST $]]*_1_5412845612146241046457891017[[#This Row],[DISCOUNT]]*_1_5412845612146241046457891017[[#This Row],[DISCOUNT 2]]</f>
        <v>0</v>
      </c>
      <c r="M428" s="194">
        <f>IF(OR(_1_5412845612146241046457891017[[#This Row],[UNIT]]&gt;0,_1_5412845612146241046457891017[[#This Row],[UNIT]]&lt;0),_1_5412845612146241046457891017[[#This Row],[UNIT]]*_1_5412845612146241046457891017[[#This Row],[COST]],0)</f>
        <v>0</v>
      </c>
      <c r="N428" s="194">
        <f t="shared" si="6"/>
        <v>1.35</v>
      </c>
      <c r="O428" s="198">
        <f>_1_5412845612146241046457891017[[#This Row],[TOTAL]]*_1_5412845612146241046457891017[[#This Row],[MARGIN]]</f>
        <v>0</v>
      </c>
      <c r="R428" s="41"/>
    </row>
    <row r="429" spans="1:18">
      <c r="D429" s="188"/>
      <c r="F429" s="168" t="s">
        <v>6202</v>
      </c>
      <c r="G429" s="193">
        <f>IF(_1_5412845612146241046457891017[[#This Row],[Type]]&gt;0,VLOOKUP(_1_5412845612146241046457891017[[#This Row],[Type]],Main[[#All],[TYPE]:[UNIT]],'Unit Price'!C$1,FALSE),0)</f>
        <v>0</v>
      </c>
      <c r="H429" s="197">
        <f>IF(_1_5412845612146241046457891017[[#This Row],[Type]]&gt;0,VLOOKUP(_1_5412845612146241046457891017[[#This Row],[Type]],Main[[#All],[TYPE]:[UNIT]],'Unit Price'!D$1,FALSE),0)</f>
        <v>0</v>
      </c>
      <c r="I429" s="194">
        <f>IF(_1_5412845612146241046457891017[[#This Row],[Type]]&gt;0,VLOOKUP(_1_5412845612146241046457891017[[#This Row],[Type]],Main[[#All],[TYPE]:[UNIT]],'Unit Price'!G$1,FALSE),0)</f>
        <v>0</v>
      </c>
      <c r="J429" s="194">
        <f>IF(_1_5412845612146241046457891017[[#This Row],[Type]]&gt;0,VLOOKUP(_1_5412845612146241046457891017[[#This Row],[Type]],Main[[#All],[TYPE]:[UNIT]],'Unit Price'!H$1,FALSE),0)</f>
        <v>0</v>
      </c>
      <c r="K429" s="194">
        <f>IF(_1_5412845612146241046457891017[[#This Row],[Discount selection]]&gt;0,VLOOKUP(_1_5412845612146241046457891017[[#This Row],[Discount selection]],'Discount Structure'!$A$2:$B$30,2,"false"),0)</f>
        <v>1</v>
      </c>
      <c r="L429" s="194">
        <f>_1_5412845612146241046457891017[[#This Row],[LIST $]]*_1_5412845612146241046457891017[[#This Row],[DISCOUNT]]*_1_5412845612146241046457891017[[#This Row],[DISCOUNT 2]]</f>
        <v>0</v>
      </c>
      <c r="M429" s="194">
        <f>IF(OR(_1_5412845612146241046457891017[[#This Row],[UNIT]]&gt;0,_1_5412845612146241046457891017[[#This Row],[UNIT]]&lt;0),_1_5412845612146241046457891017[[#This Row],[UNIT]]*_1_5412845612146241046457891017[[#This Row],[COST]],0)</f>
        <v>0</v>
      </c>
      <c r="N429" s="194">
        <f t="shared" si="6"/>
        <v>1.35</v>
      </c>
      <c r="O429" s="198">
        <f>_1_5412845612146241046457891017[[#This Row],[TOTAL]]*_1_5412845612146241046457891017[[#This Row],[MARGIN]]</f>
        <v>0</v>
      </c>
      <c r="R429" s="41"/>
    </row>
    <row r="430" spans="1:18">
      <c r="D430" s="188"/>
      <c r="F430" s="168" t="s">
        <v>6202</v>
      </c>
      <c r="G430" s="193">
        <f>IF(_1_5412845612146241046457891017[[#This Row],[Type]]&gt;0,VLOOKUP(_1_5412845612146241046457891017[[#This Row],[Type]],Main[[#All],[TYPE]:[UNIT]],'Unit Price'!C$1,FALSE),0)</f>
        <v>0</v>
      </c>
      <c r="H430" s="197">
        <f>IF(_1_5412845612146241046457891017[[#This Row],[Type]]&gt;0,VLOOKUP(_1_5412845612146241046457891017[[#This Row],[Type]],Main[[#All],[TYPE]:[UNIT]],'Unit Price'!D$1,FALSE),0)</f>
        <v>0</v>
      </c>
      <c r="I430" s="194">
        <f>IF(_1_5412845612146241046457891017[[#This Row],[Type]]&gt;0,VLOOKUP(_1_5412845612146241046457891017[[#This Row],[Type]],Main[[#All],[TYPE]:[UNIT]],'Unit Price'!G$1,FALSE),0)</f>
        <v>0</v>
      </c>
      <c r="J430" s="194">
        <f>IF(_1_5412845612146241046457891017[[#This Row],[Type]]&gt;0,VLOOKUP(_1_5412845612146241046457891017[[#This Row],[Type]],Main[[#All],[TYPE]:[UNIT]],'Unit Price'!H$1,FALSE),0)</f>
        <v>0</v>
      </c>
      <c r="K430" s="194">
        <f>IF(_1_5412845612146241046457891017[[#This Row],[Discount selection]]&gt;0,VLOOKUP(_1_5412845612146241046457891017[[#This Row],[Discount selection]],'Discount Structure'!$A$2:$B$30,2,"false"),0)</f>
        <v>1</v>
      </c>
      <c r="L430" s="194">
        <f>_1_5412845612146241046457891017[[#This Row],[LIST $]]*_1_5412845612146241046457891017[[#This Row],[DISCOUNT]]*_1_5412845612146241046457891017[[#This Row],[DISCOUNT 2]]</f>
        <v>0</v>
      </c>
      <c r="M430" s="194">
        <f>IF(OR(_1_5412845612146241046457891017[[#This Row],[UNIT]]&gt;0,_1_5412845612146241046457891017[[#This Row],[UNIT]]&lt;0),_1_5412845612146241046457891017[[#This Row],[UNIT]]*_1_5412845612146241046457891017[[#This Row],[COST]],0)</f>
        <v>0</v>
      </c>
      <c r="N430" s="194">
        <f t="shared" si="6"/>
        <v>1.35</v>
      </c>
      <c r="O430" s="198">
        <f>_1_5412845612146241046457891017[[#This Row],[TOTAL]]*_1_5412845612146241046457891017[[#This Row],[MARGIN]]</f>
        <v>0</v>
      </c>
      <c r="R430" s="41"/>
    </row>
    <row r="431" spans="1:18">
      <c r="D431" s="188"/>
      <c r="F431" s="168" t="s">
        <v>6202</v>
      </c>
      <c r="G431" s="193">
        <f>IF(_1_5412845612146241046457891017[[#This Row],[Type]]&gt;0,VLOOKUP(_1_5412845612146241046457891017[[#This Row],[Type]],Main[[#All],[TYPE]:[UNIT]],'Unit Price'!C$1,FALSE),0)</f>
        <v>0</v>
      </c>
      <c r="H431" s="197">
        <f>IF(_1_5412845612146241046457891017[[#This Row],[Type]]&gt;0,VLOOKUP(_1_5412845612146241046457891017[[#This Row],[Type]],Main[[#All],[TYPE]:[UNIT]],'Unit Price'!D$1,FALSE),0)</f>
        <v>0</v>
      </c>
      <c r="I431" s="194">
        <f>IF(_1_5412845612146241046457891017[[#This Row],[Type]]&gt;0,VLOOKUP(_1_5412845612146241046457891017[[#This Row],[Type]],Main[[#All],[TYPE]:[UNIT]],'Unit Price'!G$1,FALSE),0)</f>
        <v>0</v>
      </c>
      <c r="J431" s="194">
        <f>IF(_1_5412845612146241046457891017[[#This Row],[Type]]&gt;0,VLOOKUP(_1_5412845612146241046457891017[[#This Row],[Type]],Main[[#All],[TYPE]:[UNIT]],'Unit Price'!H$1,FALSE),0)</f>
        <v>0</v>
      </c>
      <c r="K431" s="194">
        <f>IF(_1_5412845612146241046457891017[[#This Row],[Discount selection]]&gt;0,VLOOKUP(_1_5412845612146241046457891017[[#This Row],[Discount selection]],'Discount Structure'!$A$2:$B$30,2,"false"),0)</f>
        <v>1</v>
      </c>
      <c r="L431" s="194">
        <f>_1_5412845612146241046457891017[[#This Row],[LIST $]]*_1_5412845612146241046457891017[[#This Row],[DISCOUNT]]*_1_5412845612146241046457891017[[#This Row],[DISCOUNT 2]]</f>
        <v>0</v>
      </c>
      <c r="M431" s="194">
        <f>IF(OR(_1_5412845612146241046457891017[[#This Row],[UNIT]]&gt;0,_1_5412845612146241046457891017[[#This Row],[UNIT]]&lt;0),_1_5412845612146241046457891017[[#This Row],[UNIT]]*_1_5412845612146241046457891017[[#This Row],[COST]],0)</f>
        <v>0</v>
      </c>
      <c r="N431" s="194">
        <f t="shared" si="6"/>
        <v>1.35</v>
      </c>
      <c r="O431" s="198">
        <f>_1_5412845612146241046457891017[[#This Row],[TOTAL]]*_1_5412845612146241046457891017[[#This Row],[MARGIN]]</f>
        <v>0</v>
      </c>
      <c r="R431" s="41"/>
    </row>
    <row r="432" spans="1:18">
      <c r="D432" s="188"/>
      <c r="F432" s="168" t="s">
        <v>6202</v>
      </c>
      <c r="G432" s="192">
        <f>IF(_1_5412845612146241046457891017[[#This Row],[Type]]&gt;0,VLOOKUP(_1_5412845612146241046457891017[[#This Row],[Type]],Main[[#All],[TYPE]:[UNIT]],'Unit Price'!C$1,FALSE),0)</f>
        <v>0</v>
      </c>
      <c r="H432" s="197">
        <f>IF(_1_5412845612146241046457891017[[#This Row],[Type]]&gt;0,VLOOKUP(_1_5412845612146241046457891017[[#This Row],[Type]],Main[[#All],[TYPE]:[UNIT]],'Unit Price'!D$1,FALSE),0)</f>
        <v>0</v>
      </c>
      <c r="I432" s="194">
        <f>IF(_1_5412845612146241046457891017[[#This Row],[Type]]&gt;0,VLOOKUP(_1_5412845612146241046457891017[[#This Row],[Type]],Main[[#All],[TYPE]:[UNIT]],'Unit Price'!G$1,FALSE),0)</f>
        <v>0</v>
      </c>
      <c r="J432" s="194">
        <f>IF(_1_5412845612146241046457891017[[#This Row],[Type]]&gt;0,VLOOKUP(_1_5412845612146241046457891017[[#This Row],[Type]],Main[[#All],[TYPE]:[UNIT]],'Unit Price'!H$1,FALSE),0)</f>
        <v>0</v>
      </c>
      <c r="K432" s="194">
        <f>IF(_1_5412845612146241046457891017[[#This Row],[Discount selection]]&gt;0,VLOOKUP(_1_5412845612146241046457891017[[#This Row],[Discount selection]],'Discount Structure'!$A$2:$B$30,2,"false"),0)</f>
        <v>1</v>
      </c>
      <c r="L432" s="194">
        <f>_1_5412845612146241046457891017[[#This Row],[LIST $]]*_1_5412845612146241046457891017[[#This Row],[DISCOUNT]]*_1_5412845612146241046457891017[[#This Row],[DISCOUNT 2]]</f>
        <v>0</v>
      </c>
      <c r="M432" s="194">
        <f>IF(OR(_1_5412845612146241046457891017[[#This Row],[UNIT]]&gt;0,_1_5412845612146241046457891017[[#This Row],[UNIT]]&lt;0),_1_5412845612146241046457891017[[#This Row],[UNIT]]*_1_5412845612146241046457891017[[#This Row],[COST]],0)</f>
        <v>0</v>
      </c>
      <c r="N432" s="194">
        <f t="shared" si="6"/>
        <v>1.35</v>
      </c>
      <c r="O432" s="198">
        <f>_1_5412845612146241046457891017[[#This Row],[TOTAL]]*_1_5412845612146241046457891017[[#This Row],[MARGIN]]</f>
        <v>0</v>
      </c>
      <c r="R432" s="41"/>
    </row>
    <row r="433" spans="1:18">
      <c r="D433" s="188"/>
      <c r="F433" s="168" t="s">
        <v>6202</v>
      </c>
      <c r="G433" s="193">
        <f>IF(_1_5412845612146241046457891017[[#This Row],[Type]]&gt;0,VLOOKUP(_1_5412845612146241046457891017[[#This Row],[Type]],Main[[#All],[TYPE]:[UNIT]],'Unit Price'!C$1,FALSE),0)</f>
        <v>0</v>
      </c>
      <c r="H433" s="197">
        <f>IF(_1_5412845612146241046457891017[[#This Row],[Type]]&gt;0,VLOOKUP(_1_5412845612146241046457891017[[#This Row],[Type]],Main[[#All],[TYPE]:[UNIT]],'Unit Price'!D$1,FALSE),0)</f>
        <v>0</v>
      </c>
      <c r="I433" s="194">
        <f>IF(_1_5412845612146241046457891017[[#This Row],[Type]]&gt;0,VLOOKUP(_1_5412845612146241046457891017[[#This Row],[Type]],Main[[#All],[TYPE]:[UNIT]],'Unit Price'!G$1,FALSE),0)</f>
        <v>0</v>
      </c>
      <c r="J433" s="194">
        <f>IF(_1_5412845612146241046457891017[[#This Row],[Type]]&gt;0,VLOOKUP(_1_5412845612146241046457891017[[#This Row],[Type]],Main[[#All],[TYPE]:[UNIT]],'Unit Price'!H$1,FALSE),0)</f>
        <v>0</v>
      </c>
      <c r="K433" s="194">
        <f>IF(_1_5412845612146241046457891017[[#This Row],[Discount selection]]&gt;0,VLOOKUP(_1_5412845612146241046457891017[[#This Row],[Discount selection]],'Discount Structure'!$A$2:$B$30,2,"false"),0)</f>
        <v>1</v>
      </c>
      <c r="L433" s="194">
        <f>_1_5412845612146241046457891017[[#This Row],[LIST $]]*_1_5412845612146241046457891017[[#This Row],[DISCOUNT]]*_1_5412845612146241046457891017[[#This Row],[DISCOUNT 2]]</f>
        <v>0</v>
      </c>
      <c r="M433" s="194">
        <f>IF(OR(_1_5412845612146241046457891017[[#This Row],[UNIT]]&gt;0,_1_5412845612146241046457891017[[#This Row],[UNIT]]&lt;0),_1_5412845612146241046457891017[[#This Row],[UNIT]]*_1_5412845612146241046457891017[[#This Row],[COST]],0)</f>
        <v>0</v>
      </c>
      <c r="N433" s="194">
        <f t="shared" si="6"/>
        <v>1.35</v>
      </c>
      <c r="O433" s="198">
        <f>_1_5412845612146241046457891017[[#This Row],[TOTAL]]*_1_5412845612146241046457891017[[#This Row],[MARGIN]]</f>
        <v>0</v>
      </c>
      <c r="R433" s="41"/>
    </row>
    <row r="434" spans="1:18">
      <c r="D434" s="188"/>
      <c r="F434" s="168" t="s">
        <v>6202</v>
      </c>
      <c r="G434" s="193">
        <f>IF(_1_5412845612146241046457891017[[#This Row],[Type]]&gt;0,VLOOKUP(_1_5412845612146241046457891017[[#This Row],[Type]],Main[[#All],[TYPE]:[UNIT]],'Unit Price'!C$1,FALSE),0)</f>
        <v>0</v>
      </c>
      <c r="H434" s="197">
        <f>IF(_1_5412845612146241046457891017[[#This Row],[Type]]&gt;0,VLOOKUP(_1_5412845612146241046457891017[[#This Row],[Type]],Main[[#All],[TYPE]:[UNIT]],'Unit Price'!D$1,FALSE),0)</f>
        <v>0</v>
      </c>
      <c r="I434" s="194">
        <f>IF(_1_5412845612146241046457891017[[#This Row],[Type]]&gt;0,VLOOKUP(_1_5412845612146241046457891017[[#This Row],[Type]],Main[[#All],[TYPE]:[UNIT]],'Unit Price'!G$1,FALSE),0)</f>
        <v>0</v>
      </c>
      <c r="J434" s="194">
        <f>IF(_1_5412845612146241046457891017[[#This Row],[Type]]&gt;0,VLOOKUP(_1_5412845612146241046457891017[[#This Row],[Type]],Main[[#All],[TYPE]:[UNIT]],'Unit Price'!H$1,FALSE),0)</f>
        <v>0</v>
      </c>
      <c r="K434" s="194">
        <f>IF(_1_5412845612146241046457891017[[#This Row],[Discount selection]]&gt;0,VLOOKUP(_1_5412845612146241046457891017[[#This Row],[Discount selection]],'Discount Structure'!$A$2:$B$30,2,"false"),0)</f>
        <v>1</v>
      </c>
      <c r="L434" s="194">
        <f>_1_5412845612146241046457891017[[#This Row],[LIST $]]*_1_5412845612146241046457891017[[#This Row],[DISCOUNT]]*_1_5412845612146241046457891017[[#This Row],[DISCOUNT 2]]</f>
        <v>0</v>
      </c>
      <c r="M434" s="194">
        <f>IF(OR(_1_5412845612146241046457891017[[#This Row],[UNIT]]&gt;0,_1_5412845612146241046457891017[[#This Row],[UNIT]]&lt;0),_1_5412845612146241046457891017[[#This Row],[UNIT]]*_1_5412845612146241046457891017[[#This Row],[COST]],0)</f>
        <v>0</v>
      </c>
      <c r="N434" s="194">
        <f t="shared" si="6"/>
        <v>1.35</v>
      </c>
      <c r="O434" s="198">
        <f>_1_5412845612146241046457891017[[#This Row],[TOTAL]]*_1_5412845612146241046457891017[[#This Row],[MARGIN]]</f>
        <v>0</v>
      </c>
      <c r="R434" s="41"/>
    </row>
    <row r="435" spans="1:18">
      <c r="D435" s="188"/>
      <c r="F435" s="168" t="s">
        <v>6202</v>
      </c>
      <c r="G435" s="193">
        <f>IF(_1_5412845612146241046457891017[[#This Row],[Type]]&gt;0,VLOOKUP(_1_5412845612146241046457891017[[#This Row],[Type]],Main[[#All],[TYPE]:[UNIT]],'Unit Price'!C$1,FALSE),0)</f>
        <v>0</v>
      </c>
      <c r="H435" s="197">
        <f>IF(_1_5412845612146241046457891017[[#This Row],[Type]]&gt;0,VLOOKUP(_1_5412845612146241046457891017[[#This Row],[Type]],Main[[#All],[TYPE]:[UNIT]],'Unit Price'!D$1,FALSE),0)</f>
        <v>0</v>
      </c>
      <c r="I435" s="194">
        <f>IF(_1_5412845612146241046457891017[[#This Row],[Type]]&gt;0,VLOOKUP(_1_5412845612146241046457891017[[#This Row],[Type]],Main[[#All],[TYPE]:[UNIT]],'Unit Price'!G$1,FALSE),0)</f>
        <v>0</v>
      </c>
      <c r="J435" s="194">
        <f>IF(_1_5412845612146241046457891017[[#This Row],[Type]]&gt;0,VLOOKUP(_1_5412845612146241046457891017[[#This Row],[Type]],Main[[#All],[TYPE]:[UNIT]],'Unit Price'!H$1,FALSE),0)</f>
        <v>0</v>
      </c>
      <c r="K435" s="194">
        <f>IF(_1_5412845612146241046457891017[[#This Row],[Discount selection]]&gt;0,VLOOKUP(_1_5412845612146241046457891017[[#This Row],[Discount selection]],'Discount Structure'!$A$2:$B$30,2,"false"),0)</f>
        <v>1</v>
      </c>
      <c r="L435" s="194">
        <f>_1_5412845612146241046457891017[[#This Row],[LIST $]]*_1_5412845612146241046457891017[[#This Row],[DISCOUNT]]*_1_5412845612146241046457891017[[#This Row],[DISCOUNT 2]]</f>
        <v>0</v>
      </c>
      <c r="M435" s="194">
        <f>IF(OR(_1_5412845612146241046457891017[[#This Row],[UNIT]]&gt;0,_1_5412845612146241046457891017[[#This Row],[UNIT]]&lt;0),_1_5412845612146241046457891017[[#This Row],[UNIT]]*_1_5412845612146241046457891017[[#This Row],[COST]],0)</f>
        <v>0</v>
      </c>
      <c r="N435" s="194">
        <f t="shared" si="6"/>
        <v>1.35</v>
      </c>
      <c r="O435" s="198">
        <f>_1_5412845612146241046457891017[[#This Row],[TOTAL]]*_1_5412845612146241046457891017[[#This Row],[MARGIN]]</f>
        <v>0</v>
      </c>
      <c r="R435" s="41"/>
    </row>
    <row r="436" spans="1:18">
      <c r="A436" s="168"/>
      <c r="D436" s="188"/>
      <c r="F436" s="168" t="s">
        <v>6202</v>
      </c>
      <c r="G436" s="193">
        <f>IF(_1_5412845612146241046457891017[[#This Row],[Type]]&gt;0,VLOOKUP(_1_5412845612146241046457891017[[#This Row],[Type]],Main[[#All],[TYPE]:[UNIT]],'Unit Price'!C$1,FALSE),0)</f>
        <v>0</v>
      </c>
      <c r="H436" s="197">
        <f>IF(_1_5412845612146241046457891017[[#This Row],[Type]]&gt;0,VLOOKUP(_1_5412845612146241046457891017[[#This Row],[Type]],Main[[#All],[TYPE]:[UNIT]],'Unit Price'!D$1,FALSE),0)</f>
        <v>0</v>
      </c>
      <c r="I436" s="194">
        <f>IF(_1_5412845612146241046457891017[[#This Row],[Type]]&gt;0,VLOOKUP(_1_5412845612146241046457891017[[#This Row],[Type]],Main[[#All],[TYPE]:[UNIT]],'Unit Price'!G$1,FALSE),0)</f>
        <v>0</v>
      </c>
      <c r="J436" s="194">
        <f>IF(_1_5412845612146241046457891017[[#This Row],[Type]]&gt;0,VLOOKUP(_1_5412845612146241046457891017[[#This Row],[Type]],Main[[#All],[TYPE]:[UNIT]],'Unit Price'!H$1,FALSE),0)</f>
        <v>0</v>
      </c>
      <c r="K436" s="194">
        <f>IF(_1_5412845612146241046457891017[[#This Row],[Discount selection]]&gt;0,VLOOKUP(_1_5412845612146241046457891017[[#This Row],[Discount selection]],'Discount Structure'!$A$2:$B$30,2,"false"),0)</f>
        <v>1</v>
      </c>
      <c r="L436" s="194">
        <f>_1_5412845612146241046457891017[[#This Row],[LIST $]]*_1_5412845612146241046457891017[[#This Row],[DISCOUNT]]*_1_5412845612146241046457891017[[#This Row],[DISCOUNT 2]]</f>
        <v>0</v>
      </c>
      <c r="M436" s="194">
        <f>IF(OR(_1_5412845612146241046457891017[[#This Row],[UNIT]]&gt;0,_1_5412845612146241046457891017[[#This Row],[UNIT]]&lt;0),_1_5412845612146241046457891017[[#This Row],[UNIT]]*_1_5412845612146241046457891017[[#This Row],[COST]],0)</f>
        <v>0</v>
      </c>
      <c r="N436" s="194">
        <f t="shared" si="6"/>
        <v>1.35</v>
      </c>
      <c r="O436" s="198">
        <f>_1_5412845612146241046457891017[[#This Row],[TOTAL]]*_1_5412845612146241046457891017[[#This Row],[MARGIN]]</f>
        <v>0</v>
      </c>
      <c r="R436" s="41"/>
    </row>
    <row r="437" spans="1:18">
      <c r="B437" s="168"/>
      <c r="D437" s="188"/>
      <c r="F437" s="168" t="s">
        <v>6202</v>
      </c>
      <c r="G437" s="192">
        <f>IF(_1_5412845612146241046457891017[[#This Row],[Type]]&gt;0,VLOOKUP(_1_5412845612146241046457891017[[#This Row],[Type]],Main[[#All],[TYPE]:[UNIT]],'Unit Price'!C$1,FALSE),0)</f>
        <v>0</v>
      </c>
      <c r="H437" s="197">
        <f>IF(_1_5412845612146241046457891017[[#This Row],[Type]]&gt;0,VLOOKUP(_1_5412845612146241046457891017[[#This Row],[Type]],Main[[#All],[TYPE]:[UNIT]],'Unit Price'!D$1,FALSE),0)</f>
        <v>0</v>
      </c>
      <c r="I437" s="194">
        <f>IF(_1_5412845612146241046457891017[[#This Row],[Type]]&gt;0,VLOOKUP(_1_5412845612146241046457891017[[#This Row],[Type]],Main[[#All],[TYPE]:[UNIT]],'Unit Price'!G$1,FALSE),0)</f>
        <v>0</v>
      </c>
      <c r="J437" s="194">
        <f>IF(_1_5412845612146241046457891017[[#This Row],[Type]]&gt;0,VLOOKUP(_1_5412845612146241046457891017[[#This Row],[Type]],Main[[#All],[TYPE]:[UNIT]],'Unit Price'!H$1,FALSE),0)</f>
        <v>0</v>
      </c>
      <c r="K437" s="194">
        <f>IF(_1_5412845612146241046457891017[[#This Row],[Discount selection]]&gt;0,VLOOKUP(_1_5412845612146241046457891017[[#This Row],[Discount selection]],'Discount Structure'!$A$2:$B$30,2,"false"),0)</f>
        <v>1</v>
      </c>
      <c r="L437" s="194">
        <f>_1_5412845612146241046457891017[[#This Row],[LIST $]]*_1_5412845612146241046457891017[[#This Row],[DISCOUNT]]*_1_5412845612146241046457891017[[#This Row],[DISCOUNT 2]]</f>
        <v>0</v>
      </c>
      <c r="M437" s="194">
        <f>IF(OR(_1_5412845612146241046457891017[[#This Row],[UNIT]]&gt;0,_1_5412845612146241046457891017[[#This Row],[UNIT]]&lt;0),_1_5412845612146241046457891017[[#This Row],[UNIT]]*_1_5412845612146241046457891017[[#This Row],[COST]],0)</f>
        <v>0</v>
      </c>
      <c r="N437" s="194">
        <f t="shared" si="6"/>
        <v>1.35</v>
      </c>
      <c r="O437" s="198">
        <f>_1_5412845612146241046457891017[[#This Row],[TOTAL]]*_1_5412845612146241046457891017[[#This Row],[MARGIN]]</f>
        <v>0</v>
      </c>
      <c r="R437" s="41"/>
    </row>
    <row r="438" spans="1:18">
      <c r="D438" s="188"/>
      <c r="F438" s="168" t="s">
        <v>6202</v>
      </c>
      <c r="G438" s="193">
        <f>IF(_1_5412845612146241046457891017[[#This Row],[Type]]&gt;0,VLOOKUP(_1_5412845612146241046457891017[[#This Row],[Type]],Main[[#All],[TYPE]:[UNIT]],'Unit Price'!C$1,FALSE),0)</f>
        <v>0</v>
      </c>
      <c r="H438" s="197">
        <f>IF(_1_5412845612146241046457891017[[#This Row],[Type]]&gt;0,VLOOKUP(_1_5412845612146241046457891017[[#This Row],[Type]],Main[[#All],[TYPE]:[UNIT]],'Unit Price'!D$1,FALSE),0)</f>
        <v>0</v>
      </c>
      <c r="I438" s="194">
        <f>IF(_1_5412845612146241046457891017[[#This Row],[Type]]&gt;0,VLOOKUP(_1_5412845612146241046457891017[[#This Row],[Type]],Main[[#All],[TYPE]:[UNIT]],'Unit Price'!G$1,FALSE),0)</f>
        <v>0</v>
      </c>
      <c r="J438" s="194">
        <f>IF(_1_5412845612146241046457891017[[#This Row],[Type]]&gt;0,VLOOKUP(_1_5412845612146241046457891017[[#This Row],[Type]],Main[[#All],[TYPE]:[UNIT]],'Unit Price'!H$1,FALSE),0)</f>
        <v>0</v>
      </c>
      <c r="K438" s="194">
        <f>IF(_1_5412845612146241046457891017[[#This Row],[Discount selection]]&gt;0,VLOOKUP(_1_5412845612146241046457891017[[#This Row],[Discount selection]],'Discount Structure'!$A$2:$B$30,2,"false"),0)</f>
        <v>1</v>
      </c>
      <c r="L438" s="194">
        <f>_1_5412845612146241046457891017[[#This Row],[LIST $]]*_1_5412845612146241046457891017[[#This Row],[DISCOUNT]]*_1_5412845612146241046457891017[[#This Row],[DISCOUNT 2]]</f>
        <v>0</v>
      </c>
      <c r="M438" s="194">
        <f>IF(OR(_1_5412845612146241046457891017[[#This Row],[UNIT]]&gt;0,_1_5412845612146241046457891017[[#This Row],[UNIT]]&lt;0),_1_5412845612146241046457891017[[#This Row],[UNIT]]*_1_5412845612146241046457891017[[#This Row],[COST]],0)</f>
        <v>0</v>
      </c>
      <c r="N438" s="194">
        <f t="shared" si="6"/>
        <v>1.35</v>
      </c>
      <c r="O438" s="198">
        <f>_1_5412845612146241046457891017[[#This Row],[TOTAL]]*_1_5412845612146241046457891017[[#This Row],[MARGIN]]</f>
        <v>0</v>
      </c>
      <c r="R438" s="41"/>
    </row>
    <row r="439" spans="1:18">
      <c r="D439" s="188"/>
      <c r="F439" s="168" t="s">
        <v>6202</v>
      </c>
      <c r="G439" s="193">
        <f>IF(_1_5412845612146241046457891017[[#This Row],[Type]]&gt;0,VLOOKUP(_1_5412845612146241046457891017[[#This Row],[Type]],Main[[#All],[TYPE]:[UNIT]],'Unit Price'!C$1,FALSE),0)</f>
        <v>0</v>
      </c>
      <c r="H439" s="197">
        <f>IF(_1_5412845612146241046457891017[[#This Row],[Type]]&gt;0,VLOOKUP(_1_5412845612146241046457891017[[#This Row],[Type]],Main[[#All],[TYPE]:[UNIT]],'Unit Price'!D$1,FALSE),0)</f>
        <v>0</v>
      </c>
      <c r="I439" s="194">
        <f>IF(_1_5412845612146241046457891017[[#This Row],[Type]]&gt;0,VLOOKUP(_1_5412845612146241046457891017[[#This Row],[Type]],Main[[#All],[TYPE]:[UNIT]],'Unit Price'!G$1,FALSE),0)</f>
        <v>0</v>
      </c>
      <c r="J439" s="194">
        <f>IF(_1_5412845612146241046457891017[[#This Row],[Type]]&gt;0,VLOOKUP(_1_5412845612146241046457891017[[#This Row],[Type]],Main[[#All],[TYPE]:[UNIT]],'Unit Price'!H$1,FALSE),0)</f>
        <v>0</v>
      </c>
      <c r="K439" s="194">
        <f>IF(_1_5412845612146241046457891017[[#This Row],[Discount selection]]&gt;0,VLOOKUP(_1_5412845612146241046457891017[[#This Row],[Discount selection]],'Discount Structure'!$A$2:$B$30,2,"false"),0)</f>
        <v>1</v>
      </c>
      <c r="L439" s="194">
        <f>_1_5412845612146241046457891017[[#This Row],[LIST $]]*_1_5412845612146241046457891017[[#This Row],[DISCOUNT]]*_1_5412845612146241046457891017[[#This Row],[DISCOUNT 2]]</f>
        <v>0</v>
      </c>
      <c r="M439" s="194">
        <f>IF(OR(_1_5412845612146241046457891017[[#This Row],[UNIT]]&gt;0,_1_5412845612146241046457891017[[#This Row],[UNIT]]&lt;0),_1_5412845612146241046457891017[[#This Row],[UNIT]]*_1_5412845612146241046457891017[[#This Row],[COST]],0)</f>
        <v>0</v>
      </c>
      <c r="N439" s="194">
        <f t="shared" si="6"/>
        <v>1.35</v>
      </c>
      <c r="O439" s="198">
        <f>_1_5412845612146241046457891017[[#This Row],[TOTAL]]*_1_5412845612146241046457891017[[#This Row],[MARGIN]]</f>
        <v>0</v>
      </c>
      <c r="R439" s="41"/>
    </row>
    <row r="440" spans="1:18">
      <c r="A440" s="168"/>
      <c r="D440" s="188"/>
      <c r="F440" s="168" t="s">
        <v>6202</v>
      </c>
      <c r="G440" s="193">
        <f>IF(_1_5412845612146241046457891017[[#This Row],[Type]]&gt;0,VLOOKUP(_1_5412845612146241046457891017[[#This Row],[Type]],Main[[#All],[TYPE]:[UNIT]],'Unit Price'!C$1,FALSE),0)</f>
        <v>0</v>
      </c>
      <c r="H440" s="197">
        <f>IF(_1_5412845612146241046457891017[[#This Row],[Type]]&gt;0,VLOOKUP(_1_5412845612146241046457891017[[#This Row],[Type]],Main[[#All],[TYPE]:[UNIT]],'Unit Price'!D$1,FALSE),0)</f>
        <v>0</v>
      </c>
      <c r="I440" s="194">
        <f>IF(_1_5412845612146241046457891017[[#This Row],[Type]]&gt;0,VLOOKUP(_1_5412845612146241046457891017[[#This Row],[Type]],Main[[#All],[TYPE]:[UNIT]],'Unit Price'!G$1,FALSE),0)</f>
        <v>0</v>
      </c>
      <c r="J440" s="194">
        <f>IF(_1_5412845612146241046457891017[[#This Row],[Type]]&gt;0,VLOOKUP(_1_5412845612146241046457891017[[#This Row],[Type]],Main[[#All],[TYPE]:[UNIT]],'Unit Price'!H$1,FALSE),0)</f>
        <v>0</v>
      </c>
      <c r="K440" s="194">
        <f>IF(_1_5412845612146241046457891017[[#This Row],[Discount selection]]&gt;0,VLOOKUP(_1_5412845612146241046457891017[[#This Row],[Discount selection]],'Discount Structure'!$A$2:$B$30,2,"false"),0)</f>
        <v>1</v>
      </c>
      <c r="L440" s="194">
        <f>_1_5412845612146241046457891017[[#This Row],[LIST $]]*_1_5412845612146241046457891017[[#This Row],[DISCOUNT]]*_1_5412845612146241046457891017[[#This Row],[DISCOUNT 2]]</f>
        <v>0</v>
      </c>
      <c r="M440" s="194">
        <f>IF(OR(_1_5412845612146241046457891017[[#This Row],[UNIT]]&gt;0,_1_5412845612146241046457891017[[#This Row],[UNIT]]&lt;0),_1_5412845612146241046457891017[[#This Row],[UNIT]]*_1_5412845612146241046457891017[[#This Row],[COST]],0)</f>
        <v>0</v>
      </c>
      <c r="N440" s="194">
        <f t="shared" si="6"/>
        <v>1.35</v>
      </c>
      <c r="O440" s="198">
        <f>_1_5412845612146241046457891017[[#This Row],[TOTAL]]*_1_5412845612146241046457891017[[#This Row],[MARGIN]]</f>
        <v>0</v>
      </c>
      <c r="R440" s="41"/>
    </row>
    <row r="441" spans="1:18">
      <c r="D441" s="188"/>
      <c r="F441" s="168" t="s">
        <v>6202</v>
      </c>
      <c r="G441" s="193">
        <f>IF(_1_5412845612146241046457891017[[#This Row],[Type]]&gt;0,VLOOKUP(_1_5412845612146241046457891017[[#This Row],[Type]],Main[[#All],[TYPE]:[UNIT]],'Unit Price'!C$1,FALSE),0)</f>
        <v>0</v>
      </c>
      <c r="H441" s="197">
        <f>IF(_1_5412845612146241046457891017[[#This Row],[Type]]&gt;0,VLOOKUP(_1_5412845612146241046457891017[[#This Row],[Type]],Main[[#All],[TYPE]:[UNIT]],'Unit Price'!D$1,FALSE),0)</f>
        <v>0</v>
      </c>
      <c r="I441" s="194">
        <f>IF(_1_5412845612146241046457891017[[#This Row],[Type]]&gt;0,VLOOKUP(_1_5412845612146241046457891017[[#This Row],[Type]],Main[[#All],[TYPE]:[UNIT]],'Unit Price'!G$1,FALSE),0)</f>
        <v>0</v>
      </c>
      <c r="J441" s="194">
        <f>IF(_1_5412845612146241046457891017[[#This Row],[Type]]&gt;0,VLOOKUP(_1_5412845612146241046457891017[[#This Row],[Type]],Main[[#All],[TYPE]:[UNIT]],'Unit Price'!H$1,FALSE),0)</f>
        <v>0</v>
      </c>
      <c r="K441" s="194">
        <f>IF(_1_5412845612146241046457891017[[#This Row],[Discount selection]]&gt;0,VLOOKUP(_1_5412845612146241046457891017[[#This Row],[Discount selection]],'Discount Structure'!$A$2:$B$30,2,"false"),0)</f>
        <v>1</v>
      </c>
      <c r="L441" s="194">
        <f>_1_5412845612146241046457891017[[#This Row],[LIST $]]*_1_5412845612146241046457891017[[#This Row],[DISCOUNT]]*_1_5412845612146241046457891017[[#This Row],[DISCOUNT 2]]</f>
        <v>0</v>
      </c>
      <c r="M441" s="194">
        <f>IF(OR(_1_5412845612146241046457891017[[#This Row],[UNIT]]&gt;0,_1_5412845612146241046457891017[[#This Row],[UNIT]]&lt;0),_1_5412845612146241046457891017[[#This Row],[UNIT]]*_1_5412845612146241046457891017[[#This Row],[COST]],0)</f>
        <v>0</v>
      </c>
      <c r="N441" s="194">
        <f t="shared" si="6"/>
        <v>1.35</v>
      </c>
      <c r="O441" s="198">
        <f>_1_5412845612146241046457891017[[#This Row],[TOTAL]]*_1_5412845612146241046457891017[[#This Row],[MARGIN]]</f>
        <v>0</v>
      </c>
      <c r="R441" s="41"/>
    </row>
    <row r="442" spans="1:18">
      <c r="D442" s="188"/>
      <c r="F442" s="168" t="s">
        <v>6202</v>
      </c>
      <c r="G442" s="192">
        <f>IF(_1_5412845612146241046457891017[[#This Row],[Type]]&gt;0,VLOOKUP(_1_5412845612146241046457891017[[#This Row],[Type]],Main[[#All],[TYPE]:[UNIT]],'Unit Price'!C$1,FALSE),0)</f>
        <v>0</v>
      </c>
      <c r="H442" s="197">
        <f>IF(_1_5412845612146241046457891017[[#This Row],[Type]]&gt;0,VLOOKUP(_1_5412845612146241046457891017[[#This Row],[Type]],Main[[#All],[TYPE]:[UNIT]],'Unit Price'!D$1,FALSE),0)</f>
        <v>0</v>
      </c>
      <c r="I442" s="194">
        <f>IF(_1_5412845612146241046457891017[[#This Row],[Type]]&gt;0,VLOOKUP(_1_5412845612146241046457891017[[#This Row],[Type]],Main[[#All],[TYPE]:[UNIT]],'Unit Price'!G$1,FALSE),0)</f>
        <v>0</v>
      </c>
      <c r="J442" s="194">
        <f>IF(_1_5412845612146241046457891017[[#This Row],[Type]]&gt;0,VLOOKUP(_1_5412845612146241046457891017[[#This Row],[Type]],Main[[#All],[TYPE]:[UNIT]],'Unit Price'!H$1,FALSE),0)</f>
        <v>0</v>
      </c>
      <c r="K442" s="194">
        <f>IF(_1_5412845612146241046457891017[[#This Row],[Discount selection]]&gt;0,VLOOKUP(_1_5412845612146241046457891017[[#This Row],[Discount selection]],'Discount Structure'!$A$2:$B$30,2,"false"),0)</f>
        <v>1</v>
      </c>
      <c r="L442" s="194">
        <f>_1_5412845612146241046457891017[[#This Row],[LIST $]]*_1_5412845612146241046457891017[[#This Row],[DISCOUNT]]*_1_5412845612146241046457891017[[#This Row],[DISCOUNT 2]]</f>
        <v>0</v>
      </c>
      <c r="M442" s="194">
        <f>IF(OR(_1_5412845612146241046457891017[[#This Row],[UNIT]]&gt;0,_1_5412845612146241046457891017[[#This Row],[UNIT]]&lt;0),_1_5412845612146241046457891017[[#This Row],[UNIT]]*_1_5412845612146241046457891017[[#This Row],[COST]],0)</f>
        <v>0</v>
      </c>
      <c r="N442" s="194">
        <f t="shared" si="6"/>
        <v>1.35</v>
      </c>
      <c r="O442" s="198">
        <f>_1_5412845612146241046457891017[[#This Row],[TOTAL]]*_1_5412845612146241046457891017[[#This Row],[MARGIN]]</f>
        <v>0</v>
      </c>
      <c r="R442" s="41"/>
    </row>
    <row r="443" spans="1:18">
      <c r="D443" s="188"/>
      <c r="F443" s="168" t="s">
        <v>6202</v>
      </c>
      <c r="G443" s="193">
        <f>IF(_1_5412845612146241046457891017[[#This Row],[Type]]&gt;0,VLOOKUP(_1_5412845612146241046457891017[[#This Row],[Type]],Main[[#All],[TYPE]:[UNIT]],'Unit Price'!C$1,FALSE),0)</f>
        <v>0</v>
      </c>
      <c r="H443" s="197">
        <f>IF(_1_5412845612146241046457891017[[#This Row],[Type]]&gt;0,VLOOKUP(_1_5412845612146241046457891017[[#This Row],[Type]],Main[[#All],[TYPE]:[UNIT]],'Unit Price'!D$1,FALSE),0)</f>
        <v>0</v>
      </c>
      <c r="I443" s="194">
        <f>IF(_1_5412845612146241046457891017[[#This Row],[Type]]&gt;0,VLOOKUP(_1_5412845612146241046457891017[[#This Row],[Type]],Main[[#All],[TYPE]:[UNIT]],'Unit Price'!G$1,FALSE),0)</f>
        <v>0</v>
      </c>
      <c r="J443" s="194">
        <f>IF(_1_5412845612146241046457891017[[#This Row],[Type]]&gt;0,VLOOKUP(_1_5412845612146241046457891017[[#This Row],[Type]],Main[[#All],[TYPE]:[UNIT]],'Unit Price'!H$1,FALSE),0)</f>
        <v>0</v>
      </c>
      <c r="K443" s="194">
        <f>IF(_1_5412845612146241046457891017[[#This Row],[Discount selection]]&gt;0,VLOOKUP(_1_5412845612146241046457891017[[#This Row],[Discount selection]],'Discount Structure'!$A$2:$B$30,2,"false"),0)</f>
        <v>1</v>
      </c>
      <c r="L443" s="194">
        <f>_1_5412845612146241046457891017[[#This Row],[LIST $]]*_1_5412845612146241046457891017[[#This Row],[DISCOUNT]]*_1_5412845612146241046457891017[[#This Row],[DISCOUNT 2]]</f>
        <v>0</v>
      </c>
      <c r="M443" s="194">
        <f>IF(OR(_1_5412845612146241046457891017[[#This Row],[UNIT]]&gt;0,_1_5412845612146241046457891017[[#This Row],[UNIT]]&lt;0),_1_5412845612146241046457891017[[#This Row],[UNIT]]*_1_5412845612146241046457891017[[#This Row],[COST]],0)</f>
        <v>0</v>
      </c>
      <c r="N443" s="194">
        <f t="shared" si="6"/>
        <v>1.35</v>
      </c>
      <c r="O443" s="198">
        <f>_1_5412845612146241046457891017[[#This Row],[TOTAL]]*_1_5412845612146241046457891017[[#This Row],[MARGIN]]</f>
        <v>0</v>
      </c>
      <c r="R443" s="41"/>
    </row>
    <row r="444" spans="1:18">
      <c r="D444" s="188"/>
      <c r="F444" s="168" t="s">
        <v>6202</v>
      </c>
      <c r="G444" s="193">
        <f>IF(_1_5412845612146241046457891017[[#This Row],[Type]]&gt;0,VLOOKUP(_1_5412845612146241046457891017[[#This Row],[Type]],Main[[#All],[TYPE]:[UNIT]],'Unit Price'!C$1,FALSE),0)</f>
        <v>0</v>
      </c>
      <c r="H444" s="197">
        <f>IF(_1_5412845612146241046457891017[[#This Row],[Type]]&gt;0,VLOOKUP(_1_5412845612146241046457891017[[#This Row],[Type]],Main[[#All],[TYPE]:[UNIT]],'Unit Price'!D$1,FALSE),0)</f>
        <v>0</v>
      </c>
      <c r="I444" s="194">
        <f>IF(_1_5412845612146241046457891017[[#This Row],[Type]]&gt;0,VLOOKUP(_1_5412845612146241046457891017[[#This Row],[Type]],Main[[#All],[TYPE]:[UNIT]],'Unit Price'!G$1,FALSE),0)</f>
        <v>0</v>
      </c>
      <c r="J444" s="194">
        <f>IF(_1_5412845612146241046457891017[[#This Row],[Type]]&gt;0,VLOOKUP(_1_5412845612146241046457891017[[#This Row],[Type]],Main[[#All],[TYPE]:[UNIT]],'Unit Price'!H$1,FALSE),0)</f>
        <v>0</v>
      </c>
      <c r="K444" s="194">
        <f>IF(_1_5412845612146241046457891017[[#This Row],[Discount selection]]&gt;0,VLOOKUP(_1_5412845612146241046457891017[[#This Row],[Discount selection]],'Discount Structure'!$A$2:$B$30,2,"false"),0)</f>
        <v>1</v>
      </c>
      <c r="L444" s="194">
        <f>_1_5412845612146241046457891017[[#This Row],[LIST $]]*_1_5412845612146241046457891017[[#This Row],[DISCOUNT]]*_1_5412845612146241046457891017[[#This Row],[DISCOUNT 2]]</f>
        <v>0</v>
      </c>
      <c r="M444" s="194">
        <f>IF(OR(_1_5412845612146241046457891017[[#This Row],[UNIT]]&gt;0,_1_5412845612146241046457891017[[#This Row],[UNIT]]&lt;0),_1_5412845612146241046457891017[[#This Row],[UNIT]]*_1_5412845612146241046457891017[[#This Row],[COST]],0)</f>
        <v>0</v>
      </c>
      <c r="N444" s="194">
        <f t="shared" si="6"/>
        <v>1.35</v>
      </c>
      <c r="O444" s="198">
        <f>_1_5412845612146241046457891017[[#This Row],[TOTAL]]*_1_5412845612146241046457891017[[#This Row],[MARGIN]]</f>
        <v>0</v>
      </c>
      <c r="R444" s="41"/>
    </row>
    <row r="445" spans="1:18">
      <c r="D445" s="188"/>
      <c r="F445" s="168" t="s">
        <v>6202</v>
      </c>
      <c r="G445" s="193">
        <f>IF(_1_5412845612146241046457891017[[#This Row],[Type]]&gt;0,VLOOKUP(_1_5412845612146241046457891017[[#This Row],[Type]],Main[[#All],[TYPE]:[UNIT]],'Unit Price'!C$1,FALSE),0)</f>
        <v>0</v>
      </c>
      <c r="H445" s="197">
        <f>IF(_1_5412845612146241046457891017[[#This Row],[Type]]&gt;0,VLOOKUP(_1_5412845612146241046457891017[[#This Row],[Type]],Main[[#All],[TYPE]:[UNIT]],'Unit Price'!D$1,FALSE),0)</f>
        <v>0</v>
      </c>
      <c r="I445" s="194">
        <f>IF(_1_5412845612146241046457891017[[#This Row],[Type]]&gt;0,VLOOKUP(_1_5412845612146241046457891017[[#This Row],[Type]],Main[[#All],[TYPE]:[UNIT]],'Unit Price'!G$1,FALSE),0)</f>
        <v>0</v>
      </c>
      <c r="J445" s="194">
        <f>IF(_1_5412845612146241046457891017[[#This Row],[Type]]&gt;0,VLOOKUP(_1_5412845612146241046457891017[[#This Row],[Type]],Main[[#All],[TYPE]:[UNIT]],'Unit Price'!H$1,FALSE),0)</f>
        <v>0</v>
      </c>
      <c r="K445" s="194">
        <f>IF(_1_5412845612146241046457891017[[#This Row],[Discount selection]]&gt;0,VLOOKUP(_1_5412845612146241046457891017[[#This Row],[Discount selection]],'Discount Structure'!$A$2:$B$30,2,"false"),0)</f>
        <v>1</v>
      </c>
      <c r="L445" s="194">
        <f>_1_5412845612146241046457891017[[#This Row],[LIST $]]*_1_5412845612146241046457891017[[#This Row],[DISCOUNT]]*_1_5412845612146241046457891017[[#This Row],[DISCOUNT 2]]</f>
        <v>0</v>
      </c>
      <c r="M445" s="194">
        <f>IF(OR(_1_5412845612146241046457891017[[#This Row],[UNIT]]&gt;0,_1_5412845612146241046457891017[[#This Row],[UNIT]]&lt;0),_1_5412845612146241046457891017[[#This Row],[UNIT]]*_1_5412845612146241046457891017[[#This Row],[COST]],0)</f>
        <v>0</v>
      </c>
      <c r="N445" s="194">
        <f t="shared" si="6"/>
        <v>1.35</v>
      </c>
      <c r="O445" s="198">
        <f>_1_5412845612146241046457891017[[#This Row],[TOTAL]]*_1_5412845612146241046457891017[[#This Row],[MARGIN]]</f>
        <v>0</v>
      </c>
      <c r="R445" s="41"/>
    </row>
    <row r="446" spans="1:18">
      <c r="D446" s="188"/>
      <c r="F446" s="168" t="s">
        <v>6202</v>
      </c>
      <c r="G446" s="193">
        <f>IF(_1_5412845612146241046457891017[[#This Row],[Type]]&gt;0,VLOOKUP(_1_5412845612146241046457891017[[#This Row],[Type]],Main[[#All],[TYPE]:[UNIT]],'Unit Price'!C$1,FALSE),0)</f>
        <v>0</v>
      </c>
      <c r="H446" s="197">
        <f>IF(_1_5412845612146241046457891017[[#This Row],[Type]]&gt;0,VLOOKUP(_1_5412845612146241046457891017[[#This Row],[Type]],Main[[#All],[TYPE]:[UNIT]],'Unit Price'!D$1,FALSE),0)</f>
        <v>0</v>
      </c>
      <c r="I446" s="194">
        <f>IF(_1_5412845612146241046457891017[[#This Row],[Type]]&gt;0,VLOOKUP(_1_5412845612146241046457891017[[#This Row],[Type]],Main[[#All],[TYPE]:[UNIT]],'Unit Price'!G$1,FALSE),0)</f>
        <v>0</v>
      </c>
      <c r="J446" s="194">
        <f>IF(_1_5412845612146241046457891017[[#This Row],[Type]]&gt;0,VLOOKUP(_1_5412845612146241046457891017[[#This Row],[Type]],Main[[#All],[TYPE]:[UNIT]],'Unit Price'!H$1,FALSE),0)</f>
        <v>0</v>
      </c>
      <c r="K446" s="194">
        <f>IF(_1_5412845612146241046457891017[[#This Row],[Discount selection]]&gt;0,VLOOKUP(_1_5412845612146241046457891017[[#This Row],[Discount selection]],'Discount Structure'!$A$2:$B$30,2,"false"),0)</f>
        <v>1</v>
      </c>
      <c r="L446" s="194">
        <f>_1_5412845612146241046457891017[[#This Row],[LIST $]]*_1_5412845612146241046457891017[[#This Row],[DISCOUNT]]*_1_5412845612146241046457891017[[#This Row],[DISCOUNT 2]]</f>
        <v>0</v>
      </c>
      <c r="M446" s="194">
        <f>IF(OR(_1_5412845612146241046457891017[[#This Row],[UNIT]]&gt;0,_1_5412845612146241046457891017[[#This Row],[UNIT]]&lt;0),_1_5412845612146241046457891017[[#This Row],[UNIT]]*_1_5412845612146241046457891017[[#This Row],[COST]],0)</f>
        <v>0</v>
      </c>
      <c r="N446" s="194">
        <f t="shared" si="6"/>
        <v>1.35</v>
      </c>
      <c r="O446" s="198">
        <f>_1_5412845612146241046457891017[[#This Row],[TOTAL]]*_1_5412845612146241046457891017[[#This Row],[MARGIN]]</f>
        <v>0</v>
      </c>
      <c r="R446" s="41"/>
    </row>
    <row r="447" spans="1:18">
      <c r="B447" s="168"/>
      <c r="D447" s="188"/>
      <c r="F447" s="168" t="s">
        <v>6202</v>
      </c>
      <c r="G447" s="192">
        <f>IF(_1_5412845612146241046457891017[[#This Row],[Type]]&gt;0,VLOOKUP(_1_5412845612146241046457891017[[#This Row],[Type]],Main[[#All],[TYPE]:[UNIT]],'Unit Price'!C$1,FALSE),0)</f>
        <v>0</v>
      </c>
      <c r="H447" s="197">
        <f>IF(_1_5412845612146241046457891017[[#This Row],[Type]]&gt;0,VLOOKUP(_1_5412845612146241046457891017[[#This Row],[Type]],Main[[#All],[TYPE]:[UNIT]],'Unit Price'!D$1,FALSE),0)</f>
        <v>0</v>
      </c>
      <c r="I447" s="194">
        <f>IF(_1_5412845612146241046457891017[[#This Row],[Type]]&gt;0,VLOOKUP(_1_5412845612146241046457891017[[#This Row],[Type]],Main[[#All],[TYPE]:[UNIT]],'Unit Price'!G$1,FALSE),0)</f>
        <v>0</v>
      </c>
      <c r="J447" s="194">
        <f>IF(_1_5412845612146241046457891017[[#This Row],[Type]]&gt;0,VLOOKUP(_1_5412845612146241046457891017[[#This Row],[Type]],Main[[#All],[TYPE]:[UNIT]],'Unit Price'!H$1,FALSE),0)</f>
        <v>0</v>
      </c>
      <c r="K447" s="194">
        <f>IF(_1_5412845612146241046457891017[[#This Row],[Discount selection]]&gt;0,VLOOKUP(_1_5412845612146241046457891017[[#This Row],[Discount selection]],'Discount Structure'!$A$2:$B$30,2,"false"),0)</f>
        <v>1</v>
      </c>
      <c r="L447" s="194">
        <f>_1_5412845612146241046457891017[[#This Row],[LIST $]]*_1_5412845612146241046457891017[[#This Row],[DISCOUNT]]*_1_5412845612146241046457891017[[#This Row],[DISCOUNT 2]]</f>
        <v>0</v>
      </c>
      <c r="M447" s="194">
        <f>IF(OR(_1_5412845612146241046457891017[[#This Row],[UNIT]]&gt;0,_1_5412845612146241046457891017[[#This Row],[UNIT]]&lt;0),_1_5412845612146241046457891017[[#This Row],[UNIT]]*_1_5412845612146241046457891017[[#This Row],[COST]],0)</f>
        <v>0</v>
      </c>
      <c r="N447" s="194">
        <f t="shared" si="6"/>
        <v>1.35</v>
      </c>
      <c r="O447" s="198">
        <f>_1_5412845612146241046457891017[[#This Row],[TOTAL]]*_1_5412845612146241046457891017[[#This Row],[MARGIN]]</f>
        <v>0</v>
      </c>
      <c r="R447" s="41"/>
    </row>
    <row r="448" spans="1:18">
      <c r="D448" s="188"/>
      <c r="F448" s="168" t="s">
        <v>6202</v>
      </c>
      <c r="G448" s="193">
        <f>IF(_1_5412845612146241046457891017[[#This Row],[Type]]&gt;0,VLOOKUP(_1_5412845612146241046457891017[[#This Row],[Type]],Main[[#All],[TYPE]:[UNIT]],'Unit Price'!C$1,FALSE),0)</f>
        <v>0</v>
      </c>
      <c r="H448" s="197">
        <f>IF(_1_5412845612146241046457891017[[#This Row],[Type]]&gt;0,VLOOKUP(_1_5412845612146241046457891017[[#This Row],[Type]],Main[[#All],[TYPE]:[UNIT]],'Unit Price'!D$1,FALSE),0)</f>
        <v>0</v>
      </c>
      <c r="I448" s="194">
        <f>IF(_1_5412845612146241046457891017[[#This Row],[Type]]&gt;0,VLOOKUP(_1_5412845612146241046457891017[[#This Row],[Type]],Main[[#All],[TYPE]:[UNIT]],'Unit Price'!G$1,FALSE),0)</f>
        <v>0</v>
      </c>
      <c r="J448" s="194">
        <f>IF(_1_5412845612146241046457891017[[#This Row],[Type]]&gt;0,VLOOKUP(_1_5412845612146241046457891017[[#This Row],[Type]],Main[[#All],[TYPE]:[UNIT]],'Unit Price'!H$1,FALSE),0)</f>
        <v>0</v>
      </c>
      <c r="K448" s="194">
        <f>IF(_1_5412845612146241046457891017[[#This Row],[Discount selection]]&gt;0,VLOOKUP(_1_5412845612146241046457891017[[#This Row],[Discount selection]],'Discount Structure'!$A$2:$B$30,2,"false"),0)</f>
        <v>1</v>
      </c>
      <c r="L448" s="194">
        <f>_1_5412845612146241046457891017[[#This Row],[LIST $]]*_1_5412845612146241046457891017[[#This Row],[DISCOUNT]]*_1_5412845612146241046457891017[[#This Row],[DISCOUNT 2]]</f>
        <v>0</v>
      </c>
      <c r="M448" s="194">
        <f>IF(OR(_1_5412845612146241046457891017[[#This Row],[UNIT]]&gt;0,_1_5412845612146241046457891017[[#This Row],[UNIT]]&lt;0),_1_5412845612146241046457891017[[#This Row],[UNIT]]*_1_5412845612146241046457891017[[#This Row],[COST]],0)</f>
        <v>0</v>
      </c>
      <c r="N448" s="194">
        <f t="shared" si="6"/>
        <v>1.35</v>
      </c>
      <c r="O448" s="198">
        <f>_1_5412845612146241046457891017[[#This Row],[TOTAL]]*_1_5412845612146241046457891017[[#This Row],[MARGIN]]</f>
        <v>0</v>
      </c>
      <c r="R448" s="41"/>
    </row>
    <row r="449" spans="1:18">
      <c r="B449" s="168"/>
      <c r="D449" s="188"/>
      <c r="F449" s="168" t="s">
        <v>6202</v>
      </c>
      <c r="G449" s="193">
        <f>IF(_1_5412845612146241046457891017[[#This Row],[Type]]&gt;0,VLOOKUP(_1_5412845612146241046457891017[[#This Row],[Type]],Main[[#All],[TYPE]:[UNIT]],'Unit Price'!C$1,FALSE),0)</f>
        <v>0</v>
      </c>
      <c r="H449" s="197">
        <f>IF(_1_5412845612146241046457891017[[#This Row],[Type]]&gt;0,VLOOKUP(_1_5412845612146241046457891017[[#This Row],[Type]],Main[[#All],[TYPE]:[UNIT]],'Unit Price'!D$1,FALSE),0)</f>
        <v>0</v>
      </c>
      <c r="I449" s="194">
        <f>IF(_1_5412845612146241046457891017[[#This Row],[Type]]&gt;0,VLOOKUP(_1_5412845612146241046457891017[[#This Row],[Type]],Main[[#All],[TYPE]:[UNIT]],'Unit Price'!G$1,FALSE),0)</f>
        <v>0</v>
      </c>
      <c r="J449" s="194">
        <f>IF(_1_5412845612146241046457891017[[#This Row],[Type]]&gt;0,VLOOKUP(_1_5412845612146241046457891017[[#This Row],[Type]],Main[[#All],[TYPE]:[UNIT]],'Unit Price'!H$1,FALSE),0)</f>
        <v>0</v>
      </c>
      <c r="K449" s="194">
        <f>IF(_1_5412845612146241046457891017[[#This Row],[Discount selection]]&gt;0,VLOOKUP(_1_5412845612146241046457891017[[#This Row],[Discount selection]],'Discount Structure'!$A$2:$B$30,2,"false"),0)</f>
        <v>1</v>
      </c>
      <c r="L449" s="194">
        <f>_1_5412845612146241046457891017[[#This Row],[LIST $]]*_1_5412845612146241046457891017[[#This Row],[DISCOUNT]]*_1_5412845612146241046457891017[[#This Row],[DISCOUNT 2]]</f>
        <v>0</v>
      </c>
      <c r="M449" s="194">
        <f>IF(OR(_1_5412845612146241046457891017[[#This Row],[UNIT]]&gt;0,_1_5412845612146241046457891017[[#This Row],[UNIT]]&lt;0),_1_5412845612146241046457891017[[#This Row],[UNIT]]*_1_5412845612146241046457891017[[#This Row],[COST]],0)</f>
        <v>0</v>
      </c>
      <c r="N449" s="194">
        <f t="shared" si="6"/>
        <v>1.35</v>
      </c>
      <c r="O449" s="198">
        <f>_1_5412845612146241046457891017[[#This Row],[TOTAL]]*_1_5412845612146241046457891017[[#This Row],[MARGIN]]</f>
        <v>0</v>
      </c>
      <c r="R449" s="41"/>
    </row>
    <row r="450" spans="1:18">
      <c r="D450" s="188"/>
      <c r="F450" s="168" t="s">
        <v>6202</v>
      </c>
      <c r="G450" s="193">
        <f>IF(_1_5412845612146241046457891017[[#This Row],[Type]]&gt;0,VLOOKUP(_1_5412845612146241046457891017[[#This Row],[Type]],Main[[#All],[TYPE]:[UNIT]],'Unit Price'!C$1,FALSE),0)</f>
        <v>0</v>
      </c>
      <c r="H450" s="197">
        <f>IF(_1_5412845612146241046457891017[[#This Row],[Type]]&gt;0,VLOOKUP(_1_5412845612146241046457891017[[#This Row],[Type]],Main[[#All],[TYPE]:[UNIT]],'Unit Price'!D$1,FALSE),0)</f>
        <v>0</v>
      </c>
      <c r="I450" s="194">
        <f>IF(_1_5412845612146241046457891017[[#This Row],[Type]]&gt;0,VLOOKUP(_1_5412845612146241046457891017[[#This Row],[Type]],Main[[#All],[TYPE]:[UNIT]],'Unit Price'!G$1,FALSE),0)</f>
        <v>0</v>
      </c>
      <c r="J450" s="194">
        <f>IF(_1_5412845612146241046457891017[[#This Row],[Type]]&gt;0,VLOOKUP(_1_5412845612146241046457891017[[#This Row],[Type]],Main[[#All],[TYPE]:[UNIT]],'Unit Price'!H$1,FALSE),0)</f>
        <v>0</v>
      </c>
      <c r="K450" s="194">
        <f>IF(_1_5412845612146241046457891017[[#This Row],[Discount selection]]&gt;0,VLOOKUP(_1_5412845612146241046457891017[[#This Row],[Discount selection]],'Discount Structure'!$A$2:$B$30,2,"false"),0)</f>
        <v>1</v>
      </c>
      <c r="L450" s="194">
        <f>_1_5412845612146241046457891017[[#This Row],[LIST $]]*_1_5412845612146241046457891017[[#This Row],[DISCOUNT]]*_1_5412845612146241046457891017[[#This Row],[DISCOUNT 2]]</f>
        <v>0</v>
      </c>
      <c r="M450" s="194">
        <f>IF(OR(_1_5412845612146241046457891017[[#This Row],[UNIT]]&gt;0,_1_5412845612146241046457891017[[#This Row],[UNIT]]&lt;0),_1_5412845612146241046457891017[[#This Row],[UNIT]]*_1_5412845612146241046457891017[[#This Row],[COST]],0)</f>
        <v>0</v>
      </c>
      <c r="N450" s="194">
        <f t="shared" si="6"/>
        <v>1.35</v>
      </c>
      <c r="O450" s="198">
        <f>_1_5412845612146241046457891017[[#This Row],[TOTAL]]*_1_5412845612146241046457891017[[#This Row],[MARGIN]]</f>
        <v>0</v>
      </c>
      <c r="R450" s="41"/>
    </row>
    <row r="451" spans="1:18">
      <c r="D451" s="188"/>
      <c r="F451" s="168" t="s">
        <v>6202</v>
      </c>
      <c r="G451" s="193">
        <f>IF(_1_5412845612146241046457891017[[#This Row],[Type]]&gt;0,VLOOKUP(_1_5412845612146241046457891017[[#This Row],[Type]],Main[[#All],[TYPE]:[UNIT]],'Unit Price'!C$1,FALSE),0)</f>
        <v>0</v>
      </c>
      <c r="H451" s="197">
        <f>IF(_1_5412845612146241046457891017[[#This Row],[Type]]&gt;0,VLOOKUP(_1_5412845612146241046457891017[[#This Row],[Type]],Main[[#All],[TYPE]:[UNIT]],'Unit Price'!D$1,FALSE),0)</f>
        <v>0</v>
      </c>
      <c r="I451" s="194">
        <f>IF(_1_5412845612146241046457891017[[#This Row],[Type]]&gt;0,VLOOKUP(_1_5412845612146241046457891017[[#This Row],[Type]],Main[[#All],[TYPE]:[UNIT]],'Unit Price'!G$1,FALSE),0)</f>
        <v>0</v>
      </c>
      <c r="J451" s="194">
        <f>IF(_1_5412845612146241046457891017[[#This Row],[Type]]&gt;0,VLOOKUP(_1_5412845612146241046457891017[[#This Row],[Type]],Main[[#All],[TYPE]:[UNIT]],'Unit Price'!H$1,FALSE),0)</f>
        <v>0</v>
      </c>
      <c r="K451" s="194">
        <f>IF(_1_5412845612146241046457891017[[#This Row],[Discount selection]]&gt;0,VLOOKUP(_1_5412845612146241046457891017[[#This Row],[Discount selection]],'Discount Structure'!$A$2:$B$30,2,"false"),0)</f>
        <v>1</v>
      </c>
      <c r="L451" s="194">
        <f>_1_5412845612146241046457891017[[#This Row],[LIST $]]*_1_5412845612146241046457891017[[#This Row],[DISCOUNT]]*_1_5412845612146241046457891017[[#This Row],[DISCOUNT 2]]</f>
        <v>0</v>
      </c>
      <c r="M451" s="194">
        <f>IF(OR(_1_5412845612146241046457891017[[#This Row],[UNIT]]&gt;0,_1_5412845612146241046457891017[[#This Row],[UNIT]]&lt;0),_1_5412845612146241046457891017[[#This Row],[UNIT]]*_1_5412845612146241046457891017[[#This Row],[COST]],0)</f>
        <v>0</v>
      </c>
      <c r="N451" s="194">
        <f t="shared" si="6"/>
        <v>1.35</v>
      </c>
      <c r="O451" s="198">
        <f>_1_5412845612146241046457891017[[#This Row],[TOTAL]]*_1_5412845612146241046457891017[[#This Row],[MARGIN]]</f>
        <v>0</v>
      </c>
      <c r="R451" s="41"/>
    </row>
    <row r="452" spans="1:18">
      <c r="D452" s="188"/>
      <c r="F452" s="168" t="s">
        <v>6202</v>
      </c>
      <c r="G452" s="193">
        <f>IF(_1_5412845612146241046457891017[[#This Row],[Type]]&gt;0,VLOOKUP(_1_5412845612146241046457891017[[#This Row],[Type]],Main[[#All],[TYPE]:[UNIT]],'Unit Price'!C$1,FALSE),0)</f>
        <v>0</v>
      </c>
      <c r="H452" s="197">
        <f>IF(_1_5412845612146241046457891017[[#This Row],[Type]]&gt;0,VLOOKUP(_1_5412845612146241046457891017[[#This Row],[Type]],Main[[#All],[TYPE]:[UNIT]],'Unit Price'!D$1,FALSE),0)</f>
        <v>0</v>
      </c>
      <c r="I452" s="194">
        <f>IF(_1_5412845612146241046457891017[[#This Row],[Type]]&gt;0,VLOOKUP(_1_5412845612146241046457891017[[#This Row],[Type]],Main[[#All],[TYPE]:[UNIT]],'Unit Price'!G$1,FALSE),0)</f>
        <v>0</v>
      </c>
      <c r="J452" s="194">
        <f>IF(_1_5412845612146241046457891017[[#This Row],[Type]]&gt;0,VLOOKUP(_1_5412845612146241046457891017[[#This Row],[Type]],Main[[#All],[TYPE]:[UNIT]],'Unit Price'!H$1,FALSE),0)</f>
        <v>0</v>
      </c>
      <c r="K452" s="194">
        <f>IF(_1_5412845612146241046457891017[[#This Row],[Discount selection]]&gt;0,VLOOKUP(_1_5412845612146241046457891017[[#This Row],[Discount selection]],'Discount Structure'!$A$2:$B$30,2,"false"),0)</f>
        <v>1</v>
      </c>
      <c r="L452" s="194">
        <f>_1_5412845612146241046457891017[[#This Row],[LIST $]]*_1_5412845612146241046457891017[[#This Row],[DISCOUNT]]*_1_5412845612146241046457891017[[#This Row],[DISCOUNT 2]]</f>
        <v>0</v>
      </c>
      <c r="M452" s="194">
        <f>IF(OR(_1_5412845612146241046457891017[[#This Row],[UNIT]]&gt;0,_1_5412845612146241046457891017[[#This Row],[UNIT]]&lt;0),_1_5412845612146241046457891017[[#This Row],[UNIT]]*_1_5412845612146241046457891017[[#This Row],[COST]],0)</f>
        <v>0</v>
      </c>
      <c r="N452" s="194">
        <f t="shared" si="6"/>
        <v>1.35</v>
      </c>
      <c r="O452" s="198">
        <f>_1_5412845612146241046457891017[[#This Row],[TOTAL]]*_1_5412845612146241046457891017[[#This Row],[MARGIN]]</f>
        <v>0</v>
      </c>
      <c r="R452" s="41"/>
    </row>
    <row r="453" spans="1:18">
      <c r="D453" s="188"/>
      <c r="F453" s="168" t="s">
        <v>6202</v>
      </c>
      <c r="G453" s="193">
        <f>IF(_1_5412845612146241046457891017[[#This Row],[Type]]&gt;0,VLOOKUP(_1_5412845612146241046457891017[[#This Row],[Type]],Main[[#All],[TYPE]:[UNIT]],'Unit Price'!C$1,FALSE),0)</f>
        <v>0</v>
      </c>
      <c r="H453" s="197">
        <f>IF(_1_5412845612146241046457891017[[#This Row],[Type]]&gt;0,VLOOKUP(_1_5412845612146241046457891017[[#This Row],[Type]],Main[[#All],[TYPE]:[UNIT]],'Unit Price'!D$1,FALSE),0)</f>
        <v>0</v>
      </c>
      <c r="I453" s="194">
        <f>IF(_1_5412845612146241046457891017[[#This Row],[Type]]&gt;0,VLOOKUP(_1_5412845612146241046457891017[[#This Row],[Type]],Main[[#All],[TYPE]:[UNIT]],'Unit Price'!G$1,FALSE),0)</f>
        <v>0</v>
      </c>
      <c r="J453" s="194">
        <f>IF(_1_5412845612146241046457891017[[#This Row],[Type]]&gt;0,VLOOKUP(_1_5412845612146241046457891017[[#This Row],[Type]],Main[[#All],[TYPE]:[UNIT]],'Unit Price'!H$1,FALSE),0)</f>
        <v>0</v>
      </c>
      <c r="K453" s="194">
        <f>IF(_1_5412845612146241046457891017[[#This Row],[Discount selection]]&gt;0,VLOOKUP(_1_5412845612146241046457891017[[#This Row],[Discount selection]],'Discount Structure'!$A$2:$B$30,2,"false"),0)</f>
        <v>1</v>
      </c>
      <c r="L453" s="194">
        <f>_1_5412845612146241046457891017[[#This Row],[LIST $]]*_1_5412845612146241046457891017[[#This Row],[DISCOUNT]]*_1_5412845612146241046457891017[[#This Row],[DISCOUNT 2]]</f>
        <v>0</v>
      </c>
      <c r="M453" s="194">
        <f>IF(OR(_1_5412845612146241046457891017[[#This Row],[UNIT]]&gt;0,_1_5412845612146241046457891017[[#This Row],[UNIT]]&lt;0),_1_5412845612146241046457891017[[#This Row],[UNIT]]*_1_5412845612146241046457891017[[#This Row],[COST]],0)</f>
        <v>0</v>
      </c>
      <c r="N453" s="194">
        <f t="shared" si="6"/>
        <v>1.35</v>
      </c>
      <c r="O453" s="198">
        <f>_1_5412845612146241046457891017[[#This Row],[TOTAL]]*_1_5412845612146241046457891017[[#This Row],[MARGIN]]</f>
        <v>0</v>
      </c>
      <c r="R453" s="41"/>
    </row>
    <row r="454" spans="1:18">
      <c r="D454" s="188"/>
      <c r="F454" s="168" t="s">
        <v>6202</v>
      </c>
      <c r="G454" s="193">
        <f>IF(_1_5412845612146241046457891017[[#This Row],[Type]]&gt;0,VLOOKUP(_1_5412845612146241046457891017[[#This Row],[Type]],Main[[#All],[TYPE]:[UNIT]],'Unit Price'!C$1,FALSE),0)</f>
        <v>0</v>
      </c>
      <c r="H454" s="197">
        <f>IF(_1_5412845612146241046457891017[[#This Row],[Type]]&gt;0,VLOOKUP(_1_5412845612146241046457891017[[#This Row],[Type]],Main[[#All],[TYPE]:[UNIT]],'Unit Price'!D$1,FALSE),0)</f>
        <v>0</v>
      </c>
      <c r="I454" s="194">
        <f>IF(_1_5412845612146241046457891017[[#This Row],[Type]]&gt;0,VLOOKUP(_1_5412845612146241046457891017[[#This Row],[Type]],Main[[#All],[TYPE]:[UNIT]],'Unit Price'!G$1,FALSE),0)</f>
        <v>0</v>
      </c>
      <c r="J454" s="194">
        <f>IF(_1_5412845612146241046457891017[[#This Row],[Type]]&gt;0,VLOOKUP(_1_5412845612146241046457891017[[#This Row],[Type]],Main[[#All],[TYPE]:[UNIT]],'Unit Price'!H$1,FALSE),0)</f>
        <v>0</v>
      </c>
      <c r="K454" s="194">
        <f>IF(_1_5412845612146241046457891017[[#This Row],[Discount selection]]&gt;0,VLOOKUP(_1_5412845612146241046457891017[[#This Row],[Discount selection]],'Discount Structure'!$A$2:$B$30,2,"false"),0)</f>
        <v>1</v>
      </c>
      <c r="L454" s="194">
        <f>_1_5412845612146241046457891017[[#This Row],[LIST $]]*_1_5412845612146241046457891017[[#This Row],[DISCOUNT]]*_1_5412845612146241046457891017[[#This Row],[DISCOUNT 2]]</f>
        <v>0</v>
      </c>
      <c r="M454" s="194">
        <f>IF(OR(_1_5412845612146241046457891017[[#This Row],[UNIT]]&gt;0,_1_5412845612146241046457891017[[#This Row],[UNIT]]&lt;0),_1_5412845612146241046457891017[[#This Row],[UNIT]]*_1_5412845612146241046457891017[[#This Row],[COST]],0)</f>
        <v>0</v>
      </c>
      <c r="N454" s="194">
        <f t="shared" si="6"/>
        <v>1.35</v>
      </c>
      <c r="O454" s="198">
        <f>_1_5412845612146241046457891017[[#This Row],[TOTAL]]*_1_5412845612146241046457891017[[#This Row],[MARGIN]]</f>
        <v>0</v>
      </c>
      <c r="R454" s="41"/>
    </row>
    <row r="455" spans="1:18">
      <c r="D455" s="188"/>
      <c r="F455" s="168" t="s">
        <v>6202</v>
      </c>
      <c r="G455" s="193">
        <f>IF(_1_5412845612146241046457891017[[#This Row],[Type]]&gt;0,VLOOKUP(_1_5412845612146241046457891017[[#This Row],[Type]],Main[[#All],[TYPE]:[UNIT]],'Unit Price'!C$1,FALSE),0)</f>
        <v>0</v>
      </c>
      <c r="H455" s="197">
        <f>IF(_1_5412845612146241046457891017[[#This Row],[Type]]&gt;0,VLOOKUP(_1_5412845612146241046457891017[[#This Row],[Type]],Main[[#All],[TYPE]:[UNIT]],'Unit Price'!D$1,FALSE),0)</f>
        <v>0</v>
      </c>
      <c r="I455" s="194">
        <f>IF(_1_5412845612146241046457891017[[#This Row],[Type]]&gt;0,VLOOKUP(_1_5412845612146241046457891017[[#This Row],[Type]],Main[[#All],[TYPE]:[UNIT]],'Unit Price'!G$1,FALSE),0)</f>
        <v>0</v>
      </c>
      <c r="J455" s="194">
        <f>IF(_1_5412845612146241046457891017[[#This Row],[Type]]&gt;0,VLOOKUP(_1_5412845612146241046457891017[[#This Row],[Type]],Main[[#All],[TYPE]:[UNIT]],'Unit Price'!H$1,FALSE),0)</f>
        <v>0</v>
      </c>
      <c r="K455" s="194">
        <f>IF(_1_5412845612146241046457891017[[#This Row],[Discount selection]]&gt;0,VLOOKUP(_1_5412845612146241046457891017[[#This Row],[Discount selection]],'Discount Structure'!$A$2:$B$30,2,"false"),0)</f>
        <v>1</v>
      </c>
      <c r="L455" s="194">
        <f>_1_5412845612146241046457891017[[#This Row],[LIST $]]*_1_5412845612146241046457891017[[#This Row],[DISCOUNT]]*_1_5412845612146241046457891017[[#This Row],[DISCOUNT 2]]</f>
        <v>0</v>
      </c>
      <c r="M455" s="194">
        <f>IF(OR(_1_5412845612146241046457891017[[#This Row],[UNIT]]&gt;0,_1_5412845612146241046457891017[[#This Row],[UNIT]]&lt;0),_1_5412845612146241046457891017[[#This Row],[UNIT]]*_1_5412845612146241046457891017[[#This Row],[COST]],0)</f>
        <v>0</v>
      </c>
      <c r="N455" s="194">
        <f t="shared" si="6"/>
        <v>1.35</v>
      </c>
      <c r="O455" s="198">
        <f>_1_5412845612146241046457891017[[#This Row],[TOTAL]]*_1_5412845612146241046457891017[[#This Row],[MARGIN]]</f>
        <v>0</v>
      </c>
      <c r="R455" s="41"/>
    </row>
    <row r="456" spans="1:18">
      <c r="A456" s="168"/>
      <c r="D456" s="188"/>
      <c r="F456" s="168" t="s">
        <v>6202</v>
      </c>
      <c r="G456" s="193">
        <f>IF(_1_5412845612146241046457891017[[#This Row],[Type]]&gt;0,VLOOKUP(_1_5412845612146241046457891017[[#This Row],[Type]],Main[[#All],[TYPE]:[UNIT]],'Unit Price'!C$1,FALSE),0)</f>
        <v>0</v>
      </c>
      <c r="H456" s="197">
        <f>IF(_1_5412845612146241046457891017[[#This Row],[Type]]&gt;0,VLOOKUP(_1_5412845612146241046457891017[[#This Row],[Type]],Main[[#All],[TYPE]:[UNIT]],'Unit Price'!D$1,FALSE),0)</f>
        <v>0</v>
      </c>
      <c r="I456" s="194">
        <f>IF(_1_5412845612146241046457891017[[#This Row],[Type]]&gt;0,VLOOKUP(_1_5412845612146241046457891017[[#This Row],[Type]],Main[[#All],[TYPE]:[UNIT]],'Unit Price'!G$1,FALSE),0)</f>
        <v>0</v>
      </c>
      <c r="J456" s="194">
        <f>IF(_1_5412845612146241046457891017[[#This Row],[Type]]&gt;0,VLOOKUP(_1_5412845612146241046457891017[[#This Row],[Type]],Main[[#All],[TYPE]:[UNIT]],'Unit Price'!H$1,FALSE),0)</f>
        <v>0</v>
      </c>
      <c r="K456" s="194">
        <f>IF(_1_5412845612146241046457891017[[#This Row],[Discount selection]]&gt;0,VLOOKUP(_1_5412845612146241046457891017[[#This Row],[Discount selection]],'Discount Structure'!$A$2:$B$30,2,"false"),0)</f>
        <v>1</v>
      </c>
      <c r="L456" s="194">
        <f>_1_5412845612146241046457891017[[#This Row],[LIST $]]*_1_5412845612146241046457891017[[#This Row],[DISCOUNT]]*_1_5412845612146241046457891017[[#This Row],[DISCOUNT 2]]</f>
        <v>0</v>
      </c>
      <c r="M456" s="194">
        <f>IF(OR(_1_5412845612146241046457891017[[#This Row],[UNIT]]&gt;0,_1_5412845612146241046457891017[[#This Row],[UNIT]]&lt;0),_1_5412845612146241046457891017[[#This Row],[UNIT]]*_1_5412845612146241046457891017[[#This Row],[COST]],0)</f>
        <v>0</v>
      </c>
      <c r="N456" s="194">
        <f t="shared" si="6"/>
        <v>1.35</v>
      </c>
      <c r="O456" s="198">
        <f>_1_5412845612146241046457891017[[#This Row],[TOTAL]]*_1_5412845612146241046457891017[[#This Row],[MARGIN]]</f>
        <v>0</v>
      </c>
      <c r="R456" s="41"/>
    </row>
    <row r="457" spans="1:18">
      <c r="D457" s="188"/>
      <c r="F457" s="168" t="s">
        <v>6202</v>
      </c>
      <c r="G457" s="192">
        <f>IF(_1_5412845612146241046457891017[[#This Row],[Type]]&gt;0,VLOOKUP(_1_5412845612146241046457891017[[#This Row],[Type]],Main[[#All],[TYPE]:[UNIT]],'Unit Price'!C$1,FALSE),0)</f>
        <v>0</v>
      </c>
      <c r="H457" s="197">
        <f>IF(_1_5412845612146241046457891017[[#This Row],[Type]]&gt;0,VLOOKUP(_1_5412845612146241046457891017[[#This Row],[Type]],Main[[#All],[TYPE]:[UNIT]],'Unit Price'!D$1,FALSE),0)</f>
        <v>0</v>
      </c>
      <c r="I457" s="194">
        <f>IF(_1_5412845612146241046457891017[[#This Row],[Type]]&gt;0,VLOOKUP(_1_5412845612146241046457891017[[#This Row],[Type]],Main[[#All],[TYPE]:[UNIT]],'Unit Price'!G$1,FALSE),0)</f>
        <v>0</v>
      </c>
      <c r="J457" s="194">
        <f>IF(_1_5412845612146241046457891017[[#This Row],[Type]]&gt;0,VLOOKUP(_1_5412845612146241046457891017[[#This Row],[Type]],Main[[#All],[TYPE]:[UNIT]],'Unit Price'!H$1,FALSE),0)</f>
        <v>0</v>
      </c>
      <c r="K457" s="194">
        <f>IF(_1_5412845612146241046457891017[[#This Row],[Discount selection]]&gt;0,VLOOKUP(_1_5412845612146241046457891017[[#This Row],[Discount selection]],'Discount Structure'!$A$2:$B$30,2,"false"),0)</f>
        <v>1</v>
      </c>
      <c r="L457" s="194">
        <f>_1_5412845612146241046457891017[[#This Row],[LIST $]]*_1_5412845612146241046457891017[[#This Row],[DISCOUNT]]*_1_5412845612146241046457891017[[#This Row],[DISCOUNT 2]]</f>
        <v>0</v>
      </c>
      <c r="M457" s="194">
        <f>IF(OR(_1_5412845612146241046457891017[[#This Row],[UNIT]]&gt;0,_1_5412845612146241046457891017[[#This Row],[UNIT]]&lt;0),_1_5412845612146241046457891017[[#This Row],[UNIT]]*_1_5412845612146241046457891017[[#This Row],[COST]],0)</f>
        <v>0</v>
      </c>
      <c r="N457" s="194">
        <f t="shared" si="6"/>
        <v>1.35</v>
      </c>
      <c r="O457" s="198">
        <f>_1_5412845612146241046457891017[[#This Row],[TOTAL]]*_1_5412845612146241046457891017[[#This Row],[MARGIN]]</f>
        <v>0</v>
      </c>
      <c r="R457" s="41"/>
    </row>
    <row r="458" spans="1:18">
      <c r="D458" s="188"/>
      <c r="F458" s="168" t="s">
        <v>6202</v>
      </c>
      <c r="G458" s="193">
        <f>IF(_1_5412845612146241046457891017[[#This Row],[Type]]&gt;0,VLOOKUP(_1_5412845612146241046457891017[[#This Row],[Type]],Main[[#All],[TYPE]:[UNIT]],'Unit Price'!C$1,FALSE),0)</f>
        <v>0</v>
      </c>
      <c r="H458" s="197">
        <f>IF(_1_5412845612146241046457891017[[#This Row],[Type]]&gt;0,VLOOKUP(_1_5412845612146241046457891017[[#This Row],[Type]],Main[[#All],[TYPE]:[UNIT]],'Unit Price'!D$1,FALSE),0)</f>
        <v>0</v>
      </c>
      <c r="I458" s="194">
        <f>IF(_1_5412845612146241046457891017[[#This Row],[Type]]&gt;0,VLOOKUP(_1_5412845612146241046457891017[[#This Row],[Type]],Main[[#All],[TYPE]:[UNIT]],'Unit Price'!G$1,FALSE),0)</f>
        <v>0</v>
      </c>
      <c r="J458" s="194">
        <f>IF(_1_5412845612146241046457891017[[#This Row],[Type]]&gt;0,VLOOKUP(_1_5412845612146241046457891017[[#This Row],[Type]],Main[[#All],[TYPE]:[UNIT]],'Unit Price'!H$1,FALSE),0)</f>
        <v>0</v>
      </c>
      <c r="K458" s="194">
        <f>IF(_1_5412845612146241046457891017[[#This Row],[Discount selection]]&gt;0,VLOOKUP(_1_5412845612146241046457891017[[#This Row],[Discount selection]],'Discount Structure'!$A$2:$B$30,2,"false"),0)</f>
        <v>1</v>
      </c>
      <c r="L458" s="194">
        <f>_1_5412845612146241046457891017[[#This Row],[LIST $]]*_1_5412845612146241046457891017[[#This Row],[DISCOUNT]]*_1_5412845612146241046457891017[[#This Row],[DISCOUNT 2]]</f>
        <v>0</v>
      </c>
      <c r="M458" s="194">
        <f>IF(OR(_1_5412845612146241046457891017[[#This Row],[UNIT]]&gt;0,_1_5412845612146241046457891017[[#This Row],[UNIT]]&lt;0),_1_5412845612146241046457891017[[#This Row],[UNIT]]*_1_5412845612146241046457891017[[#This Row],[COST]],0)</f>
        <v>0</v>
      </c>
      <c r="N458" s="194">
        <f t="shared" ref="N458:N521" si="7">$N$7</f>
        <v>1.35</v>
      </c>
      <c r="O458" s="198">
        <f>_1_5412845612146241046457891017[[#This Row],[TOTAL]]*_1_5412845612146241046457891017[[#This Row],[MARGIN]]</f>
        <v>0</v>
      </c>
      <c r="R458" s="41"/>
    </row>
    <row r="459" spans="1:18">
      <c r="D459" s="188"/>
      <c r="F459" s="168" t="s">
        <v>6202</v>
      </c>
      <c r="G459" s="193">
        <f>IF(_1_5412845612146241046457891017[[#This Row],[Type]]&gt;0,VLOOKUP(_1_5412845612146241046457891017[[#This Row],[Type]],Main[[#All],[TYPE]:[UNIT]],'Unit Price'!C$1,FALSE),0)</f>
        <v>0</v>
      </c>
      <c r="H459" s="197">
        <f>IF(_1_5412845612146241046457891017[[#This Row],[Type]]&gt;0,VLOOKUP(_1_5412845612146241046457891017[[#This Row],[Type]],Main[[#All],[TYPE]:[UNIT]],'Unit Price'!D$1,FALSE),0)</f>
        <v>0</v>
      </c>
      <c r="I459" s="194">
        <f>IF(_1_5412845612146241046457891017[[#This Row],[Type]]&gt;0,VLOOKUP(_1_5412845612146241046457891017[[#This Row],[Type]],Main[[#All],[TYPE]:[UNIT]],'Unit Price'!G$1,FALSE),0)</f>
        <v>0</v>
      </c>
      <c r="J459" s="194">
        <f>IF(_1_5412845612146241046457891017[[#This Row],[Type]]&gt;0,VLOOKUP(_1_5412845612146241046457891017[[#This Row],[Type]],Main[[#All],[TYPE]:[UNIT]],'Unit Price'!H$1,FALSE),0)</f>
        <v>0</v>
      </c>
      <c r="K459" s="194">
        <f>IF(_1_5412845612146241046457891017[[#This Row],[Discount selection]]&gt;0,VLOOKUP(_1_5412845612146241046457891017[[#This Row],[Discount selection]],'Discount Structure'!$A$2:$B$30,2,"false"),0)</f>
        <v>1</v>
      </c>
      <c r="L459" s="194">
        <f>_1_5412845612146241046457891017[[#This Row],[LIST $]]*_1_5412845612146241046457891017[[#This Row],[DISCOUNT]]*_1_5412845612146241046457891017[[#This Row],[DISCOUNT 2]]</f>
        <v>0</v>
      </c>
      <c r="M459" s="194">
        <f>IF(OR(_1_5412845612146241046457891017[[#This Row],[UNIT]]&gt;0,_1_5412845612146241046457891017[[#This Row],[UNIT]]&lt;0),_1_5412845612146241046457891017[[#This Row],[UNIT]]*_1_5412845612146241046457891017[[#This Row],[COST]],0)</f>
        <v>0</v>
      </c>
      <c r="N459" s="194">
        <f t="shared" si="7"/>
        <v>1.35</v>
      </c>
      <c r="O459" s="198">
        <f>_1_5412845612146241046457891017[[#This Row],[TOTAL]]*_1_5412845612146241046457891017[[#This Row],[MARGIN]]</f>
        <v>0</v>
      </c>
      <c r="R459" s="41"/>
    </row>
    <row r="460" spans="1:18">
      <c r="D460" s="188"/>
      <c r="F460" s="168" t="s">
        <v>6202</v>
      </c>
      <c r="G460" s="193">
        <f>IF(_1_5412845612146241046457891017[[#This Row],[Type]]&gt;0,VLOOKUP(_1_5412845612146241046457891017[[#This Row],[Type]],Main[[#All],[TYPE]:[UNIT]],'Unit Price'!C$1,FALSE),0)</f>
        <v>0</v>
      </c>
      <c r="H460" s="197">
        <f>IF(_1_5412845612146241046457891017[[#This Row],[Type]]&gt;0,VLOOKUP(_1_5412845612146241046457891017[[#This Row],[Type]],Main[[#All],[TYPE]:[UNIT]],'Unit Price'!D$1,FALSE),0)</f>
        <v>0</v>
      </c>
      <c r="I460" s="194">
        <f>IF(_1_5412845612146241046457891017[[#This Row],[Type]]&gt;0,VLOOKUP(_1_5412845612146241046457891017[[#This Row],[Type]],Main[[#All],[TYPE]:[UNIT]],'Unit Price'!G$1,FALSE),0)</f>
        <v>0</v>
      </c>
      <c r="J460" s="194">
        <f>IF(_1_5412845612146241046457891017[[#This Row],[Type]]&gt;0,VLOOKUP(_1_5412845612146241046457891017[[#This Row],[Type]],Main[[#All],[TYPE]:[UNIT]],'Unit Price'!H$1,FALSE),0)</f>
        <v>0</v>
      </c>
      <c r="K460" s="194">
        <f>IF(_1_5412845612146241046457891017[[#This Row],[Discount selection]]&gt;0,VLOOKUP(_1_5412845612146241046457891017[[#This Row],[Discount selection]],'Discount Structure'!$A$2:$B$30,2,"false"),0)</f>
        <v>1</v>
      </c>
      <c r="L460" s="194">
        <f>_1_5412845612146241046457891017[[#This Row],[LIST $]]*_1_5412845612146241046457891017[[#This Row],[DISCOUNT]]*_1_5412845612146241046457891017[[#This Row],[DISCOUNT 2]]</f>
        <v>0</v>
      </c>
      <c r="M460" s="194">
        <f>IF(OR(_1_5412845612146241046457891017[[#This Row],[UNIT]]&gt;0,_1_5412845612146241046457891017[[#This Row],[UNIT]]&lt;0),_1_5412845612146241046457891017[[#This Row],[UNIT]]*_1_5412845612146241046457891017[[#This Row],[COST]],0)</f>
        <v>0</v>
      </c>
      <c r="N460" s="194">
        <f t="shared" si="7"/>
        <v>1.35</v>
      </c>
      <c r="O460" s="198">
        <f>_1_5412845612146241046457891017[[#This Row],[TOTAL]]*_1_5412845612146241046457891017[[#This Row],[MARGIN]]</f>
        <v>0</v>
      </c>
      <c r="R460" s="41"/>
    </row>
    <row r="461" spans="1:18">
      <c r="D461" s="188"/>
      <c r="F461" s="168" t="s">
        <v>6202</v>
      </c>
      <c r="G461" s="193">
        <f>IF(_1_5412845612146241046457891017[[#This Row],[Type]]&gt;0,VLOOKUP(_1_5412845612146241046457891017[[#This Row],[Type]],Main[[#All],[TYPE]:[UNIT]],'Unit Price'!C$1,FALSE),0)</f>
        <v>0</v>
      </c>
      <c r="H461" s="197">
        <f>IF(_1_5412845612146241046457891017[[#This Row],[Type]]&gt;0,VLOOKUP(_1_5412845612146241046457891017[[#This Row],[Type]],Main[[#All],[TYPE]:[UNIT]],'Unit Price'!D$1,FALSE),0)</f>
        <v>0</v>
      </c>
      <c r="I461" s="194">
        <f>IF(_1_5412845612146241046457891017[[#This Row],[Type]]&gt;0,VLOOKUP(_1_5412845612146241046457891017[[#This Row],[Type]],Main[[#All],[TYPE]:[UNIT]],'Unit Price'!G$1,FALSE),0)</f>
        <v>0</v>
      </c>
      <c r="J461" s="194">
        <f>IF(_1_5412845612146241046457891017[[#This Row],[Type]]&gt;0,VLOOKUP(_1_5412845612146241046457891017[[#This Row],[Type]],Main[[#All],[TYPE]:[UNIT]],'Unit Price'!H$1,FALSE),0)</f>
        <v>0</v>
      </c>
      <c r="K461" s="194">
        <f>IF(_1_5412845612146241046457891017[[#This Row],[Discount selection]]&gt;0,VLOOKUP(_1_5412845612146241046457891017[[#This Row],[Discount selection]],'Discount Structure'!$A$2:$B$30,2,"false"),0)</f>
        <v>1</v>
      </c>
      <c r="L461" s="194">
        <f>_1_5412845612146241046457891017[[#This Row],[LIST $]]*_1_5412845612146241046457891017[[#This Row],[DISCOUNT]]*_1_5412845612146241046457891017[[#This Row],[DISCOUNT 2]]</f>
        <v>0</v>
      </c>
      <c r="M461" s="194">
        <f>IF(OR(_1_5412845612146241046457891017[[#This Row],[UNIT]]&gt;0,_1_5412845612146241046457891017[[#This Row],[UNIT]]&lt;0),_1_5412845612146241046457891017[[#This Row],[UNIT]]*_1_5412845612146241046457891017[[#This Row],[COST]],0)</f>
        <v>0</v>
      </c>
      <c r="N461" s="194">
        <f t="shared" si="7"/>
        <v>1.35</v>
      </c>
      <c r="O461" s="198">
        <f>_1_5412845612146241046457891017[[#This Row],[TOTAL]]*_1_5412845612146241046457891017[[#This Row],[MARGIN]]</f>
        <v>0</v>
      </c>
      <c r="R461" s="41"/>
    </row>
    <row r="462" spans="1:18">
      <c r="D462" s="188"/>
      <c r="F462" s="168" t="s">
        <v>6202</v>
      </c>
      <c r="G462" s="192">
        <f>IF(_1_5412845612146241046457891017[[#This Row],[Type]]&gt;0,VLOOKUP(_1_5412845612146241046457891017[[#This Row],[Type]],Main[[#All],[TYPE]:[UNIT]],'Unit Price'!C$1,FALSE),0)</f>
        <v>0</v>
      </c>
      <c r="H462" s="197">
        <f>IF(_1_5412845612146241046457891017[[#This Row],[Type]]&gt;0,VLOOKUP(_1_5412845612146241046457891017[[#This Row],[Type]],Main[[#All],[TYPE]:[UNIT]],'Unit Price'!D$1,FALSE),0)</f>
        <v>0</v>
      </c>
      <c r="I462" s="194">
        <f>IF(_1_5412845612146241046457891017[[#This Row],[Type]]&gt;0,VLOOKUP(_1_5412845612146241046457891017[[#This Row],[Type]],Main[[#All],[TYPE]:[UNIT]],'Unit Price'!G$1,FALSE),0)</f>
        <v>0</v>
      </c>
      <c r="J462" s="194">
        <f>IF(_1_5412845612146241046457891017[[#This Row],[Type]]&gt;0,VLOOKUP(_1_5412845612146241046457891017[[#This Row],[Type]],Main[[#All],[TYPE]:[UNIT]],'Unit Price'!H$1,FALSE),0)</f>
        <v>0</v>
      </c>
      <c r="K462" s="194">
        <f>IF(_1_5412845612146241046457891017[[#This Row],[Discount selection]]&gt;0,VLOOKUP(_1_5412845612146241046457891017[[#This Row],[Discount selection]],'Discount Structure'!$A$2:$B$30,2,"false"),0)</f>
        <v>1</v>
      </c>
      <c r="L462" s="194">
        <f>_1_5412845612146241046457891017[[#This Row],[LIST $]]*_1_5412845612146241046457891017[[#This Row],[DISCOUNT]]*_1_5412845612146241046457891017[[#This Row],[DISCOUNT 2]]</f>
        <v>0</v>
      </c>
      <c r="M462" s="194">
        <f>IF(OR(_1_5412845612146241046457891017[[#This Row],[UNIT]]&gt;0,_1_5412845612146241046457891017[[#This Row],[UNIT]]&lt;0),_1_5412845612146241046457891017[[#This Row],[UNIT]]*_1_5412845612146241046457891017[[#This Row],[COST]],0)</f>
        <v>0</v>
      </c>
      <c r="N462" s="194">
        <f t="shared" si="7"/>
        <v>1.35</v>
      </c>
      <c r="O462" s="198">
        <f>_1_5412845612146241046457891017[[#This Row],[TOTAL]]*_1_5412845612146241046457891017[[#This Row],[MARGIN]]</f>
        <v>0</v>
      </c>
      <c r="R462" s="41"/>
    </row>
    <row r="463" spans="1:18">
      <c r="D463" s="188"/>
      <c r="F463" s="168" t="s">
        <v>6202</v>
      </c>
      <c r="G463" s="193">
        <f>IF(_1_5412845612146241046457891017[[#This Row],[Type]]&gt;0,VLOOKUP(_1_5412845612146241046457891017[[#This Row],[Type]],Main[[#All],[TYPE]:[UNIT]],'Unit Price'!C$1,FALSE),0)</f>
        <v>0</v>
      </c>
      <c r="H463" s="197">
        <f>IF(_1_5412845612146241046457891017[[#This Row],[Type]]&gt;0,VLOOKUP(_1_5412845612146241046457891017[[#This Row],[Type]],Main[[#All],[TYPE]:[UNIT]],'Unit Price'!D$1,FALSE),0)</f>
        <v>0</v>
      </c>
      <c r="I463" s="194">
        <f>IF(_1_5412845612146241046457891017[[#This Row],[Type]]&gt;0,VLOOKUP(_1_5412845612146241046457891017[[#This Row],[Type]],Main[[#All],[TYPE]:[UNIT]],'Unit Price'!G$1,FALSE),0)</f>
        <v>0</v>
      </c>
      <c r="J463" s="194">
        <f>IF(_1_5412845612146241046457891017[[#This Row],[Type]]&gt;0,VLOOKUP(_1_5412845612146241046457891017[[#This Row],[Type]],Main[[#All],[TYPE]:[UNIT]],'Unit Price'!H$1,FALSE),0)</f>
        <v>0</v>
      </c>
      <c r="K463" s="194">
        <f>IF(_1_5412845612146241046457891017[[#This Row],[Discount selection]]&gt;0,VLOOKUP(_1_5412845612146241046457891017[[#This Row],[Discount selection]],'Discount Structure'!$A$2:$B$30,2,"false"),0)</f>
        <v>1</v>
      </c>
      <c r="L463" s="194">
        <f>_1_5412845612146241046457891017[[#This Row],[LIST $]]*_1_5412845612146241046457891017[[#This Row],[DISCOUNT]]*_1_5412845612146241046457891017[[#This Row],[DISCOUNT 2]]</f>
        <v>0</v>
      </c>
      <c r="M463" s="194">
        <f>IF(OR(_1_5412845612146241046457891017[[#This Row],[UNIT]]&gt;0,_1_5412845612146241046457891017[[#This Row],[UNIT]]&lt;0),_1_5412845612146241046457891017[[#This Row],[UNIT]]*_1_5412845612146241046457891017[[#This Row],[COST]],0)</f>
        <v>0</v>
      </c>
      <c r="N463" s="194">
        <f t="shared" si="7"/>
        <v>1.35</v>
      </c>
      <c r="O463" s="198">
        <f>_1_5412845612146241046457891017[[#This Row],[TOTAL]]*_1_5412845612146241046457891017[[#This Row],[MARGIN]]</f>
        <v>0</v>
      </c>
      <c r="R463" s="41"/>
    </row>
    <row r="464" spans="1:18">
      <c r="D464" s="188"/>
      <c r="F464" s="168" t="s">
        <v>6202</v>
      </c>
      <c r="G464" s="193">
        <f>IF(_1_5412845612146241046457891017[[#This Row],[Type]]&gt;0,VLOOKUP(_1_5412845612146241046457891017[[#This Row],[Type]],Main[[#All],[TYPE]:[UNIT]],'Unit Price'!C$1,FALSE),0)</f>
        <v>0</v>
      </c>
      <c r="H464" s="197">
        <f>IF(_1_5412845612146241046457891017[[#This Row],[Type]]&gt;0,VLOOKUP(_1_5412845612146241046457891017[[#This Row],[Type]],Main[[#All],[TYPE]:[UNIT]],'Unit Price'!D$1,FALSE),0)</f>
        <v>0</v>
      </c>
      <c r="I464" s="194">
        <f>IF(_1_5412845612146241046457891017[[#This Row],[Type]]&gt;0,VLOOKUP(_1_5412845612146241046457891017[[#This Row],[Type]],Main[[#All],[TYPE]:[UNIT]],'Unit Price'!G$1,FALSE),0)</f>
        <v>0</v>
      </c>
      <c r="J464" s="194">
        <f>IF(_1_5412845612146241046457891017[[#This Row],[Type]]&gt;0,VLOOKUP(_1_5412845612146241046457891017[[#This Row],[Type]],Main[[#All],[TYPE]:[UNIT]],'Unit Price'!H$1,FALSE),0)</f>
        <v>0</v>
      </c>
      <c r="K464" s="194">
        <f>IF(_1_5412845612146241046457891017[[#This Row],[Discount selection]]&gt;0,VLOOKUP(_1_5412845612146241046457891017[[#This Row],[Discount selection]],'Discount Structure'!$A$2:$B$30,2,"false"),0)</f>
        <v>1</v>
      </c>
      <c r="L464" s="194">
        <f>_1_5412845612146241046457891017[[#This Row],[LIST $]]*_1_5412845612146241046457891017[[#This Row],[DISCOUNT]]*_1_5412845612146241046457891017[[#This Row],[DISCOUNT 2]]</f>
        <v>0</v>
      </c>
      <c r="M464" s="194">
        <f>IF(OR(_1_5412845612146241046457891017[[#This Row],[UNIT]]&gt;0,_1_5412845612146241046457891017[[#This Row],[UNIT]]&lt;0),_1_5412845612146241046457891017[[#This Row],[UNIT]]*_1_5412845612146241046457891017[[#This Row],[COST]],0)</f>
        <v>0</v>
      </c>
      <c r="N464" s="194">
        <f t="shared" si="7"/>
        <v>1.35</v>
      </c>
      <c r="O464" s="198">
        <f>_1_5412845612146241046457891017[[#This Row],[TOTAL]]*_1_5412845612146241046457891017[[#This Row],[MARGIN]]</f>
        <v>0</v>
      </c>
      <c r="R464" s="41"/>
    </row>
    <row r="465" spans="1:18">
      <c r="D465" s="188"/>
      <c r="F465" s="168" t="s">
        <v>6202</v>
      </c>
      <c r="G465" s="193">
        <f>IF(_1_5412845612146241046457891017[[#This Row],[Type]]&gt;0,VLOOKUP(_1_5412845612146241046457891017[[#This Row],[Type]],Main[[#All],[TYPE]:[UNIT]],'Unit Price'!C$1,FALSE),0)</f>
        <v>0</v>
      </c>
      <c r="H465" s="197">
        <f>IF(_1_5412845612146241046457891017[[#This Row],[Type]]&gt;0,VLOOKUP(_1_5412845612146241046457891017[[#This Row],[Type]],Main[[#All],[TYPE]:[UNIT]],'Unit Price'!D$1,FALSE),0)</f>
        <v>0</v>
      </c>
      <c r="I465" s="194">
        <f>IF(_1_5412845612146241046457891017[[#This Row],[Type]]&gt;0,VLOOKUP(_1_5412845612146241046457891017[[#This Row],[Type]],Main[[#All],[TYPE]:[UNIT]],'Unit Price'!G$1,FALSE),0)</f>
        <v>0</v>
      </c>
      <c r="J465" s="194">
        <f>IF(_1_5412845612146241046457891017[[#This Row],[Type]]&gt;0,VLOOKUP(_1_5412845612146241046457891017[[#This Row],[Type]],Main[[#All],[TYPE]:[UNIT]],'Unit Price'!H$1,FALSE),0)</f>
        <v>0</v>
      </c>
      <c r="K465" s="194">
        <f>IF(_1_5412845612146241046457891017[[#This Row],[Discount selection]]&gt;0,VLOOKUP(_1_5412845612146241046457891017[[#This Row],[Discount selection]],'Discount Structure'!$A$2:$B$30,2,"false"),0)</f>
        <v>1</v>
      </c>
      <c r="L465" s="194">
        <f>_1_5412845612146241046457891017[[#This Row],[LIST $]]*_1_5412845612146241046457891017[[#This Row],[DISCOUNT]]*_1_5412845612146241046457891017[[#This Row],[DISCOUNT 2]]</f>
        <v>0</v>
      </c>
      <c r="M465" s="194">
        <f>IF(OR(_1_5412845612146241046457891017[[#This Row],[UNIT]]&gt;0,_1_5412845612146241046457891017[[#This Row],[UNIT]]&lt;0),_1_5412845612146241046457891017[[#This Row],[UNIT]]*_1_5412845612146241046457891017[[#This Row],[COST]],0)</f>
        <v>0</v>
      </c>
      <c r="N465" s="194">
        <f t="shared" si="7"/>
        <v>1.35</v>
      </c>
      <c r="O465" s="198">
        <f>_1_5412845612146241046457891017[[#This Row],[TOTAL]]*_1_5412845612146241046457891017[[#This Row],[MARGIN]]</f>
        <v>0</v>
      </c>
      <c r="R465" s="41"/>
    </row>
    <row r="466" spans="1:18">
      <c r="A466" s="168"/>
      <c r="D466" s="188"/>
      <c r="F466" s="168" t="s">
        <v>6202</v>
      </c>
      <c r="G466" s="193">
        <f>IF(_1_5412845612146241046457891017[[#This Row],[Type]]&gt;0,VLOOKUP(_1_5412845612146241046457891017[[#This Row],[Type]],Main[[#All],[TYPE]:[UNIT]],'Unit Price'!C$1,FALSE),0)</f>
        <v>0</v>
      </c>
      <c r="H466" s="197">
        <f>IF(_1_5412845612146241046457891017[[#This Row],[Type]]&gt;0,VLOOKUP(_1_5412845612146241046457891017[[#This Row],[Type]],Main[[#All],[TYPE]:[UNIT]],'Unit Price'!D$1,FALSE),0)</f>
        <v>0</v>
      </c>
      <c r="I466" s="194">
        <f>IF(_1_5412845612146241046457891017[[#This Row],[Type]]&gt;0,VLOOKUP(_1_5412845612146241046457891017[[#This Row],[Type]],Main[[#All],[TYPE]:[UNIT]],'Unit Price'!G$1,FALSE),0)</f>
        <v>0</v>
      </c>
      <c r="J466" s="194">
        <f>IF(_1_5412845612146241046457891017[[#This Row],[Type]]&gt;0,VLOOKUP(_1_5412845612146241046457891017[[#This Row],[Type]],Main[[#All],[TYPE]:[UNIT]],'Unit Price'!H$1,FALSE),0)</f>
        <v>0</v>
      </c>
      <c r="K466" s="194">
        <f>IF(_1_5412845612146241046457891017[[#This Row],[Discount selection]]&gt;0,VLOOKUP(_1_5412845612146241046457891017[[#This Row],[Discount selection]],'Discount Structure'!$A$2:$B$30,2,"false"),0)</f>
        <v>1</v>
      </c>
      <c r="L466" s="194">
        <f>_1_5412845612146241046457891017[[#This Row],[LIST $]]*_1_5412845612146241046457891017[[#This Row],[DISCOUNT]]*_1_5412845612146241046457891017[[#This Row],[DISCOUNT 2]]</f>
        <v>0</v>
      </c>
      <c r="M466" s="194">
        <f>IF(OR(_1_5412845612146241046457891017[[#This Row],[UNIT]]&gt;0,_1_5412845612146241046457891017[[#This Row],[UNIT]]&lt;0),_1_5412845612146241046457891017[[#This Row],[UNIT]]*_1_5412845612146241046457891017[[#This Row],[COST]],0)</f>
        <v>0</v>
      </c>
      <c r="N466" s="194">
        <f t="shared" si="7"/>
        <v>1.35</v>
      </c>
      <c r="O466" s="198">
        <f>_1_5412845612146241046457891017[[#This Row],[TOTAL]]*_1_5412845612146241046457891017[[#This Row],[MARGIN]]</f>
        <v>0</v>
      </c>
      <c r="R466" s="41"/>
    </row>
    <row r="467" spans="1:18">
      <c r="D467" s="188"/>
      <c r="F467" s="168" t="s">
        <v>6202</v>
      </c>
      <c r="G467" s="193">
        <f>IF(_1_5412845612146241046457891017[[#This Row],[Type]]&gt;0,VLOOKUP(_1_5412845612146241046457891017[[#This Row],[Type]],Main[[#All],[TYPE]:[UNIT]],'Unit Price'!C$1,FALSE),0)</f>
        <v>0</v>
      </c>
      <c r="H467" s="197">
        <f>IF(_1_5412845612146241046457891017[[#This Row],[Type]]&gt;0,VLOOKUP(_1_5412845612146241046457891017[[#This Row],[Type]],Main[[#All],[TYPE]:[UNIT]],'Unit Price'!D$1,FALSE),0)</f>
        <v>0</v>
      </c>
      <c r="I467" s="194">
        <f>IF(_1_5412845612146241046457891017[[#This Row],[Type]]&gt;0,VLOOKUP(_1_5412845612146241046457891017[[#This Row],[Type]],Main[[#All],[TYPE]:[UNIT]],'Unit Price'!G$1,FALSE),0)</f>
        <v>0</v>
      </c>
      <c r="J467" s="194">
        <f>IF(_1_5412845612146241046457891017[[#This Row],[Type]]&gt;0,VLOOKUP(_1_5412845612146241046457891017[[#This Row],[Type]],Main[[#All],[TYPE]:[UNIT]],'Unit Price'!H$1,FALSE),0)</f>
        <v>0</v>
      </c>
      <c r="K467" s="194">
        <f>IF(_1_5412845612146241046457891017[[#This Row],[Discount selection]]&gt;0,VLOOKUP(_1_5412845612146241046457891017[[#This Row],[Discount selection]],'Discount Structure'!$A$2:$B$30,2,"false"),0)</f>
        <v>1</v>
      </c>
      <c r="L467" s="194">
        <f>_1_5412845612146241046457891017[[#This Row],[LIST $]]*_1_5412845612146241046457891017[[#This Row],[DISCOUNT]]*_1_5412845612146241046457891017[[#This Row],[DISCOUNT 2]]</f>
        <v>0</v>
      </c>
      <c r="M467" s="194">
        <f>IF(OR(_1_5412845612146241046457891017[[#This Row],[UNIT]]&gt;0,_1_5412845612146241046457891017[[#This Row],[UNIT]]&lt;0),_1_5412845612146241046457891017[[#This Row],[UNIT]]*_1_5412845612146241046457891017[[#This Row],[COST]],0)</f>
        <v>0</v>
      </c>
      <c r="N467" s="194">
        <f t="shared" si="7"/>
        <v>1.35</v>
      </c>
      <c r="O467" s="198">
        <f>_1_5412845612146241046457891017[[#This Row],[TOTAL]]*_1_5412845612146241046457891017[[#This Row],[MARGIN]]</f>
        <v>0</v>
      </c>
      <c r="R467" s="41"/>
    </row>
    <row r="468" spans="1:18">
      <c r="D468" s="188"/>
      <c r="F468" s="168" t="s">
        <v>6202</v>
      </c>
      <c r="G468" s="193">
        <f>IF(_1_5412845612146241046457891017[[#This Row],[Type]]&gt;0,VLOOKUP(_1_5412845612146241046457891017[[#This Row],[Type]],Main[[#All],[TYPE]:[UNIT]],'Unit Price'!C$1,FALSE),0)</f>
        <v>0</v>
      </c>
      <c r="H468" s="197">
        <f>IF(_1_5412845612146241046457891017[[#This Row],[Type]]&gt;0,VLOOKUP(_1_5412845612146241046457891017[[#This Row],[Type]],Main[[#All],[TYPE]:[UNIT]],'Unit Price'!D$1,FALSE),0)</f>
        <v>0</v>
      </c>
      <c r="I468" s="194">
        <f>IF(_1_5412845612146241046457891017[[#This Row],[Type]]&gt;0,VLOOKUP(_1_5412845612146241046457891017[[#This Row],[Type]],Main[[#All],[TYPE]:[UNIT]],'Unit Price'!G$1,FALSE),0)</f>
        <v>0</v>
      </c>
      <c r="J468" s="194">
        <f>IF(_1_5412845612146241046457891017[[#This Row],[Type]]&gt;0,VLOOKUP(_1_5412845612146241046457891017[[#This Row],[Type]],Main[[#All],[TYPE]:[UNIT]],'Unit Price'!H$1,FALSE),0)</f>
        <v>0</v>
      </c>
      <c r="K468" s="194">
        <f>IF(_1_5412845612146241046457891017[[#This Row],[Discount selection]]&gt;0,VLOOKUP(_1_5412845612146241046457891017[[#This Row],[Discount selection]],'Discount Structure'!$A$2:$B$30,2,"false"),0)</f>
        <v>1</v>
      </c>
      <c r="L468" s="194">
        <f>_1_5412845612146241046457891017[[#This Row],[LIST $]]*_1_5412845612146241046457891017[[#This Row],[DISCOUNT]]*_1_5412845612146241046457891017[[#This Row],[DISCOUNT 2]]</f>
        <v>0</v>
      </c>
      <c r="M468" s="194">
        <f>IF(OR(_1_5412845612146241046457891017[[#This Row],[UNIT]]&gt;0,_1_5412845612146241046457891017[[#This Row],[UNIT]]&lt;0),_1_5412845612146241046457891017[[#This Row],[UNIT]]*_1_5412845612146241046457891017[[#This Row],[COST]],0)</f>
        <v>0</v>
      </c>
      <c r="N468" s="194">
        <f t="shared" si="7"/>
        <v>1.35</v>
      </c>
      <c r="O468" s="198">
        <f>_1_5412845612146241046457891017[[#This Row],[TOTAL]]*_1_5412845612146241046457891017[[#This Row],[MARGIN]]</f>
        <v>0</v>
      </c>
      <c r="R468" s="41"/>
    </row>
    <row r="469" spans="1:18">
      <c r="B469" s="168"/>
      <c r="D469" s="188"/>
      <c r="F469" s="168" t="s">
        <v>6202</v>
      </c>
      <c r="G469" s="193">
        <f>IF(_1_5412845612146241046457891017[[#This Row],[Type]]&gt;0,VLOOKUP(_1_5412845612146241046457891017[[#This Row],[Type]],Main[[#All],[TYPE]:[UNIT]],'Unit Price'!C$1,FALSE),0)</f>
        <v>0</v>
      </c>
      <c r="H469" s="197">
        <f>IF(_1_5412845612146241046457891017[[#This Row],[Type]]&gt;0,VLOOKUP(_1_5412845612146241046457891017[[#This Row],[Type]],Main[[#All],[TYPE]:[UNIT]],'Unit Price'!D$1,FALSE),0)</f>
        <v>0</v>
      </c>
      <c r="I469" s="194">
        <f>IF(_1_5412845612146241046457891017[[#This Row],[Type]]&gt;0,VLOOKUP(_1_5412845612146241046457891017[[#This Row],[Type]],Main[[#All],[TYPE]:[UNIT]],'Unit Price'!G$1,FALSE),0)</f>
        <v>0</v>
      </c>
      <c r="J469" s="194">
        <f>IF(_1_5412845612146241046457891017[[#This Row],[Type]]&gt;0,VLOOKUP(_1_5412845612146241046457891017[[#This Row],[Type]],Main[[#All],[TYPE]:[UNIT]],'Unit Price'!H$1,FALSE),0)</f>
        <v>0</v>
      </c>
      <c r="K469" s="194">
        <f>IF(_1_5412845612146241046457891017[[#This Row],[Discount selection]]&gt;0,VLOOKUP(_1_5412845612146241046457891017[[#This Row],[Discount selection]],'Discount Structure'!$A$2:$B$30,2,"false"),0)</f>
        <v>1</v>
      </c>
      <c r="L469" s="194">
        <f>_1_5412845612146241046457891017[[#This Row],[LIST $]]*_1_5412845612146241046457891017[[#This Row],[DISCOUNT]]*_1_5412845612146241046457891017[[#This Row],[DISCOUNT 2]]</f>
        <v>0</v>
      </c>
      <c r="M469" s="194">
        <f>IF(OR(_1_5412845612146241046457891017[[#This Row],[UNIT]]&gt;0,_1_5412845612146241046457891017[[#This Row],[UNIT]]&lt;0),_1_5412845612146241046457891017[[#This Row],[UNIT]]*_1_5412845612146241046457891017[[#This Row],[COST]],0)</f>
        <v>0</v>
      </c>
      <c r="N469" s="194">
        <f t="shared" si="7"/>
        <v>1.35</v>
      </c>
      <c r="O469" s="198">
        <f>_1_5412845612146241046457891017[[#This Row],[TOTAL]]*_1_5412845612146241046457891017[[#This Row],[MARGIN]]</f>
        <v>0</v>
      </c>
      <c r="R469" s="41"/>
    </row>
    <row r="470" spans="1:18">
      <c r="A470" s="168"/>
      <c r="D470" s="188"/>
      <c r="F470" s="168" t="s">
        <v>6202</v>
      </c>
      <c r="G470" s="193">
        <f>IF(_1_5412845612146241046457891017[[#This Row],[Type]]&gt;0,VLOOKUP(_1_5412845612146241046457891017[[#This Row],[Type]],Main[[#All],[TYPE]:[UNIT]],'Unit Price'!C$1,FALSE),0)</f>
        <v>0</v>
      </c>
      <c r="H470" s="197">
        <f>IF(_1_5412845612146241046457891017[[#This Row],[Type]]&gt;0,VLOOKUP(_1_5412845612146241046457891017[[#This Row],[Type]],Main[[#All],[TYPE]:[UNIT]],'Unit Price'!D$1,FALSE),0)</f>
        <v>0</v>
      </c>
      <c r="I470" s="194">
        <f>IF(_1_5412845612146241046457891017[[#This Row],[Type]]&gt;0,VLOOKUP(_1_5412845612146241046457891017[[#This Row],[Type]],Main[[#All],[TYPE]:[UNIT]],'Unit Price'!G$1,FALSE),0)</f>
        <v>0</v>
      </c>
      <c r="J470" s="194">
        <f>IF(_1_5412845612146241046457891017[[#This Row],[Type]]&gt;0,VLOOKUP(_1_5412845612146241046457891017[[#This Row],[Type]],Main[[#All],[TYPE]:[UNIT]],'Unit Price'!H$1,FALSE),0)</f>
        <v>0</v>
      </c>
      <c r="K470" s="194">
        <f>IF(_1_5412845612146241046457891017[[#This Row],[Discount selection]]&gt;0,VLOOKUP(_1_5412845612146241046457891017[[#This Row],[Discount selection]],'Discount Structure'!$A$2:$B$30,2,"false"),0)</f>
        <v>1</v>
      </c>
      <c r="L470" s="194">
        <f>_1_5412845612146241046457891017[[#This Row],[LIST $]]*_1_5412845612146241046457891017[[#This Row],[DISCOUNT]]*_1_5412845612146241046457891017[[#This Row],[DISCOUNT 2]]</f>
        <v>0</v>
      </c>
      <c r="M470" s="194">
        <f>IF(OR(_1_5412845612146241046457891017[[#This Row],[UNIT]]&gt;0,_1_5412845612146241046457891017[[#This Row],[UNIT]]&lt;0),_1_5412845612146241046457891017[[#This Row],[UNIT]]*_1_5412845612146241046457891017[[#This Row],[COST]],0)</f>
        <v>0</v>
      </c>
      <c r="N470" s="194">
        <f t="shared" si="7"/>
        <v>1.35</v>
      </c>
      <c r="O470" s="198">
        <f>_1_5412845612146241046457891017[[#This Row],[TOTAL]]*_1_5412845612146241046457891017[[#This Row],[MARGIN]]</f>
        <v>0</v>
      </c>
      <c r="R470" s="41"/>
    </row>
    <row r="471" spans="1:18">
      <c r="D471" s="188"/>
      <c r="F471" s="168" t="s">
        <v>6202</v>
      </c>
      <c r="G471" s="193">
        <f>IF(_1_5412845612146241046457891017[[#This Row],[Type]]&gt;0,VLOOKUP(_1_5412845612146241046457891017[[#This Row],[Type]],Main[[#All],[TYPE]:[UNIT]],'Unit Price'!C$1,FALSE),0)</f>
        <v>0</v>
      </c>
      <c r="H471" s="197">
        <f>IF(_1_5412845612146241046457891017[[#This Row],[Type]]&gt;0,VLOOKUP(_1_5412845612146241046457891017[[#This Row],[Type]],Main[[#All],[TYPE]:[UNIT]],'Unit Price'!D$1,FALSE),0)</f>
        <v>0</v>
      </c>
      <c r="I471" s="194">
        <f>IF(_1_5412845612146241046457891017[[#This Row],[Type]]&gt;0,VLOOKUP(_1_5412845612146241046457891017[[#This Row],[Type]],Main[[#All],[TYPE]:[UNIT]],'Unit Price'!G$1,FALSE),0)</f>
        <v>0</v>
      </c>
      <c r="J471" s="194">
        <f>IF(_1_5412845612146241046457891017[[#This Row],[Type]]&gt;0,VLOOKUP(_1_5412845612146241046457891017[[#This Row],[Type]],Main[[#All],[TYPE]:[UNIT]],'Unit Price'!H$1,FALSE),0)</f>
        <v>0</v>
      </c>
      <c r="K471" s="194">
        <f>IF(_1_5412845612146241046457891017[[#This Row],[Discount selection]]&gt;0,VLOOKUP(_1_5412845612146241046457891017[[#This Row],[Discount selection]],'Discount Structure'!$A$2:$B$30,2,"false"),0)</f>
        <v>1</v>
      </c>
      <c r="L471" s="194">
        <f>_1_5412845612146241046457891017[[#This Row],[LIST $]]*_1_5412845612146241046457891017[[#This Row],[DISCOUNT]]*_1_5412845612146241046457891017[[#This Row],[DISCOUNT 2]]</f>
        <v>0</v>
      </c>
      <c r="M471" s="194">
        <f>IF(OR(_1_5412845612146241046457891017[[#This Row],[UNIT]]&gt;0,_1_5412845612146241046457891017[[#This Row],[UNIT]]&lt;0),_1_5412845612146241046457891017[[#This Row],[UNIT]]*_1_5412845612146241046457891017[[#This Row],[COST]],0)</f>
        <v>0</v>
      </c>
      <c r="N471" s="194">
        <f t="shared" si="7"/>
        <v>1.35</v>
      </c>
      <c r="O471" s="198">
        <f>_1_5412845612146241046457891017[[#This Row],[TOTAL]]*_1_5412845612146241046457891017[[#This Row],[MARGIN]]</f>
        <v>0</v>
      </c>
      <c r="R471" s="41"/>
    </row>
    <row r="472" spans="1:18">
      <c r="A472" s="168"/>
      <c r="D472" s="188"/>
      <c r="F472" s="168" t="s">
        <v>6202</v>
      </c>
      <c r="G472" s="193">
        <f>IF(_1_5412845612146241046457891017[[#This Row],[Type]]&gt;0,VLOOKUP(_1_5412845612146241046457891017[[#This Row],[Type]],Main[[#All],[TYPE]:[UNIT]],'Unit Price'!C$1,FALSE),0)</f>
        <v>0</v>
      </c>
      <c r="H472" s="197">
        <f>IF(_1_5412845612146241046457891017[[#This Row],[Type]]&gt;0,VLOOKUP(_1_5412845612146241046457891017[[#This Row],[Type]],Main[[#All],[TYPE]:[UNIT]],'Unit Price'!D$1,FALSE),0)</f>
        <v>0</v>
      </c>
      <c r="I472" s="194">
        <f>IF(_1_5412845612146241046457891017[[#This Row],[Type]]&gt;0,VLOOKUP(_1_5412845612146241046457891017[[#This Row],[Type]],Main[[#All],[TYPE]:[UNIT]],'Unit Price'!G$1,FALSE),0)</f>
        <v>0</v>
      </c>
      <c r="J472" s="194">
        <f>IF(_1_5412845612146241046457891017[[#This Row],[Type]]&gt;0,VLOOKUP(_1_5412845612146241046457891017[[#This Row],[Type]],Main[[#All],[TYPE]:[UNIT]],'Unit Price'!H$1,FALSE),0)</f>
        <v>0</v>
      </c>
      <c r="K472" s="194">
        <f>IF(_1_5412845612146241046457891017[[#This Row],[Discount selection]]&gt;0,VLOOKUP(_1_5412845612146241046457891017[[#This Row],[Discount selection]],'Discount Structure'!$A$2:$B$30,2,"false"),0)</f>
        <v>1</v>
      </c>
      <c r="L472" s="194">
        <f>_1_5412845612146241046457891017[[#This Row],[LIST $]]*_1_5412845612146241046457891017[[#This Row],[DISCOUNT]]*_1_5412845612146241046457891017[[#This Row],[DISCOUNT 2]]</f>
        <v>0</v>
      </c>
      <c r="M472" s="194">
        <f>IF(OR(_1_5412845612146241046457891017[[#This Row],[UNIT]]&gt;0,_1_5412845612146241046457891017[[#This Row],[UNIT]]&lt;0),_1_5412845612146241046457891017[[#This Row],[UNIT]]*_1_5412845612146241046457891017[[#This Row],[COST]],0)</f>
        <v>0</v>
      </c>
      <c r="N472" s="194">
        <f t="shared" si="7"/>
        <v>1.35</v>
      </c>
      <c r="O472" s="198">
        <f>_1_5412845612146241046457891017[[#This Row],[TOTAL]]*_1_5412845612146241046457891017[[#This Row],[MARGIN]]</f>
        <v>0</v>
      </c>
      <c r="R472" s="41"/>
    </row>
    <row r="473" spans="1:18">
      <c r="D473" s="188"/>
      <c r="F473" s="168" t="s">
        <v>6202</v>
      </c>
      <c r="G473" s="193">
        <f>IF(_1_5412845612146241046457891017[[#This Row],[Type]]&gt;0,VLOOKUP(_1_5412845612146241046457891017[[#This Row],[Type]],Main[[#All],[TYPE]:[UNIT]],'Unit Price'!C$1,FALSE),0)</f>
        <v>0</v>
      </c>
      <c r="H473" s="197">
        <f>IF(_1_5412845612146241046457891017[[#This Row],[Type]]&gt;0,VLOOKUP(_1_5412845612146241046457891017[[#This Row],[Type]],Main[[#All],[TYPE]:[UNIT]],'Unit Price'!D$1,FALSE),0)</f>
        <v>0</v>
      </c>
      <c r="I473" s="194">
        <f>IF(_1_5412845612146241046457891017[[#This Row],[Type]]&gt;0,VLOOKUP(_1_5412845612146241046457891017[[#This Row],[Type]],Main[[#All],[TYPE]:[UNIT]],'Unit Price'!G$1,FALSE),0)</f>
        <v>0</v>
      </c>
      <c r="J473" s="194">
        <f>IF(_1_5412845612146241046457891017[[#This Row],[Type]]&gt;0,VLOOKUP(_1_5412845612146241046457891017[[#This Row],[Type]],Main[[#All],[TYPE]:[UNIT]],'Unit Price'!H$1,FALSE),0)</f>
        <v>0</v>
      </c>
      <c r="K473" s="194">
        <f>IF(_1_5412845612146241046457891017[[#This Row],[Discount selection]]&gt;0,VLOOKUP(_1_5412845612146241046457891017[[#This Row],[Discount selection]],'Discount Structure'!$A$2:$B$30,2,"false"),0)</f>
        <v>1</v>
      </c>
      <c r="L473" s="194">
        <f>_1_5412845612146241046457891017[[#This Row],[LIST $]]*_1_5412845612146241046457891017[[#This Row],[DISCOUNT]]*_1_5412845612146241046457891017[[#This Row],[DISCOUNT 2]]</f>
        <v>0</v>
      </c>
      <c r="M473" s="194">
        <f>IF(OR(_1_5412845612146241046457891017[[#This Row],[UNIT]]&gt;0,_1_5412845612146241046457891017[[#This Row],[UNIT]]&lt;0),_1_5412845612146241046457891017[[#This Row],[UNIT]]*_1_5412845612146241046457891017[[#This Row],[COST]],0)</f>
        <v>0</v>
      </c>
      <c r="N473" s="194">
        <f t="shared" si="7"/>
        <v>1.35</v>
      </c>
      <c r="O473" s="198">
        <f>_1_5412845612146241046457891017[[#This Row],[TOTAL]]*_1_5412845612146241046457891017[[#This Row],[MARGIN]]</f>
        <v>0</v>
      </c>
      <c r="R473" s="41"/>
    </row>
    <row r="474" spans="1:18">
      <c r="D474" s="188"/>
      <c r="F474" s="168" t="s">
        <v>6202</v>
      </c>
      <c r="G474" s="193">
        <f>IF(_1_5412845612146241046457891017[[#This Row],[Type]]&gt;0,VLOOKUP(_1_5412845612146241046457891017[[#This Row],[Type]],Main[[#All],[TYPE]:[UNIT]],'Unit Price'!C$1,FALSE),0)</f>
        <v>0</v>
      </c>
      <c r="H474" s="197">
        <f>IF(_1_5412845612146241046457891017[[#This Row],[Type]]&gt;0,VLOOKUP(_1_5412845612146241046457891017[[#This Row],[Type]],Main[[#All],[TYPE]:[UNIT]],'Unit Price'!D$1,FALSE),0)</f>
        <v>0</v>
      </c>
      <c r="I474" s="194">
        <f>IF(_1_5412845612146241046457891017[[#This Row],[Type]]&gt;0,VLOOKUP(_1_5412845612146241046457891017[[#This Row],[Type]],Main[[#All],[TYPE]:[UNIT]],'Unit Price'!G$1,FALSE),0)</f>
        <v>0</v>
      </c>
      <c r="J474" s="194">
        <f>IF(_1_5412845612146241046457891017[[#This Row],[Type]]&gt;0,VLOOKUP(_1_5412845612146241046457891017[[#This Row],[Type]],Main[[#All],[TYPE]:[UNIT]],'Unit Price'!H$1,FALSE),0)</f>
        <v>0</v>
      </c>
      <c r="K474" s="194">
        <f>IF(_1_5412845612146241046457891017[[#This Row],[Discount selection]]&gt;0,VLOOKUP(_1_5412845612146241046457891017[[#This Row],[Discount selection]],'Discount Structure'!$A$2:$B$30,2,"false"),0)</f>
        <v>1</v>
      </c>
      <c r="L474" s="194">
        <f>_1_5412845612146241046457891017[[#This Row],[LIST $]]*_1_5412845612146241046457891017[[#This Row],[DISCOUNT]]*_1_5412845612146241046457891017[[#This Row],[DISCOUNT 2]]</f>
        <v>0</v>
      </c>
      <c r="M474" s="194">
        <f>IF(OR(_1_5412845612146241046457891017[[#This Row],[UNIT]]&gt;0,_1_5412845612146241046457891017[[#This Row],[UNIT]]&lt;0),_1_5412845612146241046457891017[[#This Row],[UNIT]]*_1_5412845612146241046457891017[[#This Row],[COST]],0)</f>
        <v>0</v>
      </c>
      <c r="N474" s="194">
        <f t="shared" si="7"/>
        <v>1.35</v>
      </c>
      <c r="O474" s="198">
        <f>_1_5412845612146241046457891017[[#This Row],[TOTAL]]*_1_5412845612146241046457891017[[#This Row],[MARGIN]]</f>
        <v>0</v>
      </c>
      <c r="R474" s="41"/>
    </row>
    <row r="475" spans="1:18">
      <c r="D475" s="188"/>
      <c r="F475" s="168" t="s">
        <v>6202</v>
      </c>
      <c r="G475" s="193">
        <f>IF(_1_5412845612146241046457891017[[#This Row],[Type]]&gt;0,VLOOKUP(_1_5412845612146241046457891017[[#This Row],[Type]],Main[[#All],[TYPE]:[UNIT]],'Unit Price'!C$1,FALSE),0)</f>
        <v>0</v>
      </c>
      <c r="H475" s="197">
        <f>IF(_1_5412845612146241046457891017[[#This Row],[Type]]&gt;0,VLOOKUP(_1_5412845612146241046457891017[[#This Row],[Type]],Main[[#All],[TYPE]:[UNIT]],'Unit Price'!D$1,FALSE),0)</f>
        <v>0</v>
      </c>
      <c r="I475" s="194">
        <f>IF(_1_5412845612146241046457891017[[#This Row],[Type]]&gt;0,VLOOKUP(_1_5412845612146241046457891017[[#This Row],[Type]],Main[[#All],[TYPE]:[UNIT]],'Unit Price'!G$1,FALSE),0)</f>
        <v>0</v>
      </c>
      <c r="J475" s="194">
        <f>IF(_1_5412845612146241046457891017[[#This Row],[Type]]&gt;0,VLOOKUP(_1_5412845612146241046457891017[[#This Row],[Type]],Main[[#All],[TYPE]:[UNIT]],'Unit Price'!H$1,FALSE),0)</f>
        <v>0</v>
      </c>
      <c r="K475" s="194">
        <f>IF(_1_5412845612146241046457891017[[#This Row],[Discount selection]]&gt;0,VLOOKUP(_1_5412845612146241046457891017[[#This Row],[Discount selection]],'Discount Structure'!$A$2:$B$30,2,"false"),0)</f>
        <v>1</v>
      </c>
      <c r="L475" s="194">
        <f>_1_5412845612146241046457891017[[#This Row],[LIST $]]*_1_5412845612146241046457891017[[#This Row],[DISCOUNT]]*_1_5412845612146241046457891017[[#This Row],[DISCOUNT 2]]</f>
        <v>0</v>
      </c>
      <c r="M475" s="194">
        <f>IF(OR(_1_5412845612146241046457891017[[#This Row],[UNIT]]&gt;0,_1_5412845612146241046457891017[[#This Row],[UNIT]]&lt;0),_1_5412845612146241046457891017[[#This Row],[UNIT]]*_1_5412845612146241046457891017[[#This Row],[COST]],0)</f>
        <v>0</v>
      </c>
      <c r="N475" s="194">
        <f t="shared" si="7"/>
        <v>1.35</v>
      </c>
      <c r="O475" s="198">
        <f>_1_5412845612146241046457891017[[#This Row],[TOTAL]]*_1_5412845612146241046457891017[[#This Row],[MARGIN]]</f>
        <v>0</v>
      </c>
      <c r="R475" s="41"/>
    </row>
    <row r="476" spans="1:18">
      <c r="D476" s="188"/>
      <c r="F476" s="168" t="s">
        <v>6202</v>
      </c>
      <c r="G476" s="192">
        <f>IF(_1_5412845612146241046457891017[[#This Row],[Type]]&gt;0,VLOOKUP(_1_5412845612146241046457891017[[#This Row],[Type]],Main[[#All],[TYPE]:[UNIT]],'Unit Price'!C$1,FALSE),0)</f>
        <v>0</v>
      </c>
      <c r="H476" s="197">
        <f>IF(_1_5412845612146241046457891017[[#This Row],[Type]]&gt;0,VLOOKUP(_1_5412845612146241046457891017[[#This Row],[Type]],Main[[#All],[TYPE]:[UNIT]],'Unit Price'!D$1,FALSE),0)</f>
        <v>0</v>
      </c>
      <c r="I476" s="194">
        <f>IF(_1_5412845612146241046457891017[[#This Row],[Type]]&gt;0,VLOOKUP(_1_5412845612146241046457891017[[#This Row],[Type]],Main[[#All],[TYPE]:[UNIT]],'Unit Price'!G$1,FALSE),0)</f>
        <v>0</v>
      </c>
      <c r="J476" s="194">
        <f>IF(_1_5412845612146241046457891017[[#This Row],[Type]]&gt;0,VLOOKUP(_1_5412845612146241046457891017[[#This Row],[Type]],Main[[#All],[TYPE]:[UNIT]],'Unit Price'!H$1,FALSE),0)</f>
        <v>0</v>
      </c>
      <c r="K476" s="194">
        <f>IF(_1_5412845612146241046457891017[[#This Row],[Discount selection]]&gt;0,VLOOKUP(_1_5412845612146241046457891017[[#This Row],[Discount selection]],'Discount Structure'!$A$2:$B$30,2,"false"),0)</f>
        <v>1</v>
      </c>
      <c r="L476" s="194">
        <f>_1_5412845612146241046457891017[[#This Row],[LIST $]]*_1_5412845612146241046457891017[[#This Row],[DISCOUNT]]*_1_5412845612146241046457891017[[#This Row],[DISCOUNT 2]]</f>
        <v>0</v>
      </c>
      <c r="M476" s="194">
        <f>IF(OR(_1_5412845612146241046457891017[[#This Row],[UNIT]]&gt;0,_1_5412845612146241046457891017[[#This Row],[UNIT]]&lt;0),_1_5412845612146241046457891017[[#This Row],[UNIT]]*_1_5412845612146241046457891017[[#This Row],[COST]],0)</f>
        <v>0</v>
      </c>
      <c r="N476" s="194">
        <f t="shared" si="7"/>
        <v>1.35</v>
      </c>
      <c r="O476" s="198">
        <f>_1_5412845612146241046457891017[[#This Row],[TOTAL]]*_1_5412845612146241046457891017[[#This Row],[MARGIN]]</f>
        <v>0</v>
      </c>
      <c r="R476" s="41"/>
    </row>
    <row r="477" spans="1:18">
      <c r="D477" s="188"/>
      <c r="F477" s="168" t="s">
        <v>6202</v>
      </c>
      <c r="G477" s="193">
        <f>IF(_1_5412845612146241046457891017[[#This Row],[Type]]&gt;0,VLOOKUP(_1_5412845612146241046457891017[[#This Row],[Type]],Main[[#All],[TYPE]:[UNIT]],'Unit Price'!C$1,FALSE),0)</f>
        <v>0</v>
      </c>
      <c r="H477" s="197">
        <f>IF(_1_5412845612146241046457891017[[#This Row],[Type]]&gt;0,VLOOKUP(_1_5412845612146241046457891017[[#This Row],[Type]],Main[[#All],[TYPE]:[UNIT]],'Unit Price'!D$1,FALSE),0)</f>
        <v>0</v>
      </c>
      <c r="I477" s="194">
        <f>IF(_1_5412845612146241046457891017[[#This Row],[Type]]&gt;0,VLOOKUP(_1_5412845612146241046457891017[[#This Row],[Type]],Main[[#All],[TYPE]:[UNIT]],'Unit Price'!G$1,FALSE),0)</f>
        <v>0</v>
      </c>
      <c r="J477" s="194">
        <f>IF(_1_5412845612146241046457891017[[#This Row],[Type]]&gt;0,VLOOKUP(_1_5412845612146241046457891017[[#This Row],[Type]],Main[[#All],[TYPE]:[UNIT]],'Unit Price'!H$1,FALSE),0)</f>
        <v>0</v>
      </c>
      <c r="K477" s="194">
        <f>IF(_1_5412845612146241046457891017[[#This Row],[Discount selection]]&gt;0,VLOOKUP(_1_5412845612146241046457891017[[#This Row],[Discount selection]],'Discount Structure'!$A$2:$B$30,2,"false"),0)</f>
        <v>1</v>
      </c>
      <c r="L477" s="194">
        <f>_1_5412845612146241046457891017[[#This Row],[LIST $]]*_1_5412845612146241046457891017[[#This Row],[DISCOUNT]]*_1_5412845612146241046457891017[[#This Row],[DISCOUNT 2]]</f>
        <v>0</v>
      </c>
      <c r="M477" s="194">
        <f>IF(OR(_1_5412845612146241046457891017[[#This Row],[UNIT]]&gt;0,_1_5412845612146241046457891017[[#This Row],[UNIT]]&lt;0),_1_5412845612146241046457891017[[#This Row],[UNIT]]*_1_5412845612146241046457891017[[#This Row],[COST]],0)</f>
        <v>0</v>
      </c>
      <c r="N477" s="194">
        <f t="shared" si="7"/>
        <v>1.35</v>
      </c>
      <c r="O477" s="198">
        <f>_1_5412845612146241046457891017[[#This Row],[TOTAL]]*_1_5412845612146241046457891017[[#This Row],[MARGIN]]</f>
        <v>0</v>
      </c>
      <c r="R477" s="41"/>
    </row>
    <row r="478" spans="1:18">
      <c r="A478" s="168"/>
      <c r="D478" s="188"/>
      <c r="F478" s="168" t="s">
        <v>6202</v>
      </c>
      <c r="G478" s="192">
        <f>IF(_1_5412845612146241046457891017[[#This Row],[Type]]&gt;0,VLOOKUP(_1_5412845612146241046457891017[[#This Row],[Type]],Main[[#All],[TYPE]:[UNIT]],'Unit Price'!C$1,FALSE),0)</f>
        <v>0</v>
      </c>
      <c r="H478" s="197">
        <f>IF(_1_5412845612146241046457891017[[#This Row],[Type]]&gt;0,VLOOKUP(_1_5412845612146241046457891017[[#This Row],[Type]],Main[[#All],[TYPE]:[UNIT]],'Unit Price'!D$1,FALSE),0)</f>
        <v>0</v>
      </c>
      <c r="I478" s="194">
        <f>IF(_1_5412845612146241046457891017[[#This Row],[Type]]&gt;0,VLOOKUP(_1_5412845612146241046457891017[[#This Row],[Type]],Main[[#All],[TYPE]:[UNIT]],'Unit Price'!G$1,FALSE),0)</f>
        <v>0</v>
      </c>
      <c r="J478" s="194">
        <f>IF(_1_5412845612146241046457891017[[#This Row],[Type]]&gt;0,VLOOKUP(_1_5412845612146241046457891017[[#This Row],[Type]],Main[[#All],[TYPE]:[UNIT]],'Unit Price'!H$1,FALSE),0)</f>
        <v>0</v>
      </c>
      <c r="K478" s="194">
        <f>IF(_1_5412845612146241046457891017[[#This Row],[Discount selection]]&gt;0,VLOOKUP(_1_5412845612146241046457891017[[#This Row],[Discount selection]],'Discount Structure'!$A$2:$B$30,2,"false"),0)</f>
        <v>1</v>
      </c>
      <c r="L478" s="194">
        <f>_1_5412845612146241046457891017[[#This Row],[LIST $]]*_1_5412845612146241046457891017[[#This Row],[DISCOUNT]]*_1_5412845612146241046457891017[[#This Row],[DISCOUNT 2]]</f>
        <v>0</v>
      </c>
      <c r="M478" s="194">
        <f>IF(OR(_1_5412845612146241046457891017[[#This Row],[UNIT]]&gt;0,_1_5412845612146241046457891017[[#This Row],[UNIT]]&lt;0),_1_5412845612146241046457891017[[#This Row],[UNIT]]*_1_5412845612146241046457891017[[#This Row],[COST]],0)</f>
        <v>0</v>
      </c>
      <c r="N478" s="194">
        <f t="shared" si="7"/>
        <v>1.35</v>
      </c>
      <c r="O478" s="198">
        <f>_1_5412845612146241046457891017[[#This Row],[TOTAL]]*_1_5412845612146241046457891017[[#This Row],[MARGIN]]</f>
        <v>0</v>
      </c>
      <c r="R478" s="41"/>
    </row>
    <row r="479" spans="1:18">
      <c r="D479" s="188"/>
      <c r="F479" s="168" t="s">
        <v>6202</v>
      </c>
      <c r="G479" s="193">
        <f>IF(_1_5412845612146241046457891017[[#This Row],[Type]]&gt;0,VLOOKUP(_1_5412845612146241046457891017[[#This Row],[Type]],Main[[#All],[TYPE]:[UNIT]],'Unit Price'!C$1,FALSE),0)</f>
        <v>0</v>
      </c>
      <c r="H479" s="197">
        <f>IF(_1_5412845612146241046457891017[[#This Row],[Type]]&gt;0,VLOOKUP(_1_5412845612146241046457891017[[#This Row],[Type]],Main[[#All],[TYPE]:[UNIT]],'Unit Price'!D$1,FALSE),0)</f>
        <v>0</v>
      </c>
      <c r="I479" s="194">
        <f>IF(_1_5412845612146241046457891017[[#This Row],[Type]]&gt;0,VLOOKUP(_1_5412845612146241046457891017[[#This Row],[Type]],Main[[#All],[TYPE]:[UNIT]],'Unit Price'!G$1,FALSE),0)</f>
        <v>0</v>
      </c>
      <c r="J479" s="194">
        <f>IF(_1_5412845612146241046457891017[[#This Row],[Type]]&gt;0,VLOOKUP(_1_5412845612146241046457891017[[#This Row],[Type]],Main[[#All],[TYPE]:[UNIT]],'Unit Price'!H$1,FALSE),0)</f>
        <v>0</v>
      </c>
      <c r="K479" s="194">
        <f>IF(_1_5412845612146241046457891017[[#This Row],[Discount selection]]&gt;0,VLOOKUP(_1_5412845612146241046457891017[[#This Row],[Discount selection]],'Discount Structure'!$A$2:$B$30,2,"false"),0)</f>
        <v>1</v>
      </c>
      <c r="L479" s="194">
        <f>_1_5412845612146241046457891017[[#This Row],[LIST $]]*_1_5412845612146241046457891017[[#This Row],[DISCOUNT]]*_1_5412845612146241046457891017[[#This Row],[DISCOUNT 2]]</f>
        <v>0</v>
      </c>
      <c r="M479" s="194">
        <f>IF(OR(_1_5412845612146241046457891017[[#This Row],[UNIT]]&gt;0,_1_5412845612146241046457891017[[#This Row],[UNIT]]&lt;0),_1_5412845612146241046457891017[[#This Row],[UNIT]]*_1_5412845612146241046457891017[[#This Row],[COST]],0)</f>
        <v>0</v>
      </c>
      <c r="N479" s="194">
        <f t="shared" si="7"/>
        <v>1.35</v>
      </c>
      <c r="O479" s="198">
        <f>_1_5412845612146241046457891017[[#This Row],[TOTAL]]*_1_5412845612146241046457891017[[#This Row],[MARGIN]]</f>
        <v>0</v>
      </c>
      <c r="R479" s="41"/>
    </row>
    <row r="480" spans="1:18">
      <c r="D480" s="188"/>
      <c r="F480" s="168" t="s">
        <v>6202</v>
      </c>
      <c r="G480" s="193">
        <f>IF(_1_5412845612146241046457891017[[#This Row],[Type]]&gt;0,VLOOKUP(_1_5412845612146241046457891017[[#This Row],[Type]],Main[[#All],[TYPE]:[UNIT]],'Unit Price'!C$1,FALSE),0)</f>
        <v>0</v>
      </c>
      <c r="H480" s="197">
        <f>IF(_1_5412845612146241046457891017[[#This Row],[Type]]&gt;0,VLOOKUP(_1_5412845612146241046457891017[[#This Row],[Type]],Main[[#All],[TYPE]:[UNIT]],'Unit Price'!D$1,FALSE),0)</f>
        <v>0</v>
      </c>
      <c r="I480" s="194">
        <f>IF(_1_5412845612146241046457891017[[#This Row],[Type]]&gt;0,VLOOKUP(_1_5412845612146241046457891017[[#This Row],[Type]],Main[[#All],[TYPE]:[UNIT]],'Unit Price'!G$1,FALSE),0)</f>
        <v>0</v>
      </c>
      <c r="J480" s="194">
        <f>IF(_1_5412845612146241046457891017[[#This Row],[Type]]&gt;0,VLOOKUP(_1_5412845612146241046457891017[[#This Row],[Type]],Main[[#All],[TYPE]:[UNIT]],'Unit Price'!H$1,FALSE),0)</f>
        <v>0</v>
      </c>
      <c r="K480" s="194">
        <f>IF(_1_5412845612146241046457891017[[#This Row],[Discount selection]]&gt;0,VLOOKUP(_1_5412845612146241046457891017[[#This Row],[Discount selection]],'Discount Structure'!$A$2:$B$30,2,"false"),0)</f>
        <v>1</v>
      </c>
      <c r="L480" s="194">
        <f>_1_5412845612146241046457891017[[#This Row],[LIST $]]*_1_5412845612146241046457891017[[#This Row],[DISCOUNT]]*_1_5412845612146241046457891017[[#This Row],[DISCOUNT 2]]</f>
        <v>0</v>
      </c>
      <c r="M480" s="194">
        <f>IF(OR(_1_5412845612146241046457891017[[#This Row],[UNIT]]&gt;0,_1_5412845612146241046457891017[[#This Row],[UNIT]]&lt;0),_1_5412845612146241046457891017[[#This Row],[UNIT]]*_1_5412845612146241046457891017[[#This Row],[COST]],0)</f>
        <v>0</v>
      </c>
      <c r="N480" s="194">
        <f t="shared" si="7"/>
        <v>1.35</v>
      </c>
      <c r="O480" s="198">
        <f>_1_5412845612146241046457891017[[#This Row],[TOTAL]]*_1_5412845612146241046457891017[[#This Row],[MARGIN]]</f>
        <v>0</v>
      </c>
      <c r="R480" s="41"/>
    </row>
    <row r="481" spans="1:18">
      <c r="D481" s="188"/>
      <c r="F481" s="168" t="s">
        <v>6202</v>
      </c>
      <c r="G481" s="193">
        <f>IF(_1_5412845612146241046457891017[[#This Row],[Type]]&gt;0,VLOOKUP(_1_5412845612146241046457891017[[#This Row],[Type]],Main[[#All],[TYPE]:[UNIT]],'Unit Price'!C$1,FALSE),0)</f>
        <v>0</v>
      </c>
      <c r="H481" s="197">
        <f>IF(_1_5412845612146241046457891017[[#This Row],[Type]]&gt;0,VLOOKUP(_1_5412845612146241046457891017[[#This Row],[Type]],Main[[#All],[TYPE]:[UNIT]],'Unit Price'!D$1,FALSE),0)</f>
        <v>0</v>
      </c>
      <c r="I481" s="194">
        <f>IF(_1_5412845612146241046457891017[[#This Row],[Type]]&gt;0,VLOOKUP(_1_5412845612146241046457891017[[#This Row],[Type]],Main[[#All],[TYPE]:[UNIT]],'Unit Price'!G$1,FALSE),0)</f>
        <v>0</v>
      </c>
      <c r="J481" s="194">
        <f>IF(_1_5412845612146241046457891017[[#This Row],[Type]]&gt;0,VLOOKUP(_1_5412845612146241046457891017[[#This Row],[Type]],Main[[#All],[TYPE]:[UNIT]],'Unit Price'!H$1,FALSE),0)</f>
        <v>0</v>
      </c>
      <c r="K481" s="194">
        <f>IF(_1_5412845612146241046457891017[[#This Row],[Discount selection]]&gt;0,VLOOKUP(_1_5412845612146241046457891017[[#This Row],[Discount selection]],'Discount Structure'!$A$2:$B$30,2,"false"),0)</f>
        <v>1</v>
      </c>
      <c r="L481" s="194">
        <f>_1_5412845612146241046457891017[[#This Row],[LIST $]]*_1_5412845612146241046457891017[[#This Row],[DISCOUNT]]*_1_5412845612146241046457891017[[#This Row],[DISCOUNT 2]]</f>
        <v>0</v>
      </c>
      <c r="M481" s="194">
        <f>IF(OR(_1_5412845612146241046457891017[[#This Row],[UNIT]]&gt;0,_1_5412845612146241046457891017[[#This Row],[UNIT]]&lt;0),_1_5412845612146241046457891017[[#This Row],[UNIT]]*_1_5412845612146241046457891017[[#This Row],[COST]],0)</f>
        <v>0</v>
      </c>
      <c r="N481" s="194">
        <f t="shared" si="7"/>
        <v>1.35</v>
      </c>
      <c r="O481" s="198">
        <f>_1_5412845612146241046457891017[[#This Row],[TOTAL]]*_1_5412845612146241046457891017[[#This Row],[MARGIN]]</f>
        <v>0</v>
      </c>
      <c r="R481" s="41"/>
    </row>
    <row r="482" spans="1:18">
      <c r="D482" s="188"/>
      <c r="F482" s="168" t="s">
        <v>6202</v>
      </c>
      <c r="G482" s="193">
        <f>IF(_1_5412845612146241046457891017[[#This Row],[Type]]&gt;0,VLOOKUP(_1_5412845612146241046457891017[[#This Row],[Type]],Main[[#All],[TYPE]:[UNIT]],'Unit Price'!C$1,FALSE),0)</f>
        <v>0</v>
      </c>
      <c r="H482" s="197">
        <f>IF(_1_5412845612146241046457891017[[#This Row],[Type]]&gt;0,VLOOKUP(_1_5412845612146241046457891017[[#This Row],[Type]],Main[[#All],[TYPE]:[UNIT]],'Unit Price'!D$1,FALSE),0)</f>
        <v>0</v>
      </c>
      <c r="I482" s="194">
        <f>IF(_1_5412845612146241046457891017[[#This Row],[Type]]&gt;0,VLOOKUP(_1_5412845612146241046457891017[[#This Row],[Type]],Main[[#All],[TYPE]:[UNIT]],'Unit Price'!G$1,FALSE),0)</f>
        <v>0</v>
      </c>
      <c r="J482" s="194">
        <f>IF(_1_5412845612146241046457891017[[#This Row],[Type]]&gt;0,VLOOKUP(_1_5412845612146241046457891017[[#This Row],[Type]],Main[[#All],[TYPE]:[UNIT]],'Unit Price'!H$1,FALSE),0)</f>
        <v>0</v>
      </c>
      <c r="K482" s="194">
        <f>IF(_1_5412845612146241046457891017[[#This Row],[Discount selection]]&gt;0,VLOOKUP(_1_5412845612146241046457891017[[#This Row],[Discount selection]],'Discount Structure'!$A$2:$B$30,2,"false"),0)</f>
        <v>1</v>
      </c>
      <c r="L482" s="194">
        <f>_1_5412845612146241046457891017[[#This Row],[LIST $]]*_1_5412845612146241046457891017[[#This Row],[DISCOUNT]]*_1_5412845612146241046457891017[[#This Row],[DISCOUNT 2]]</f>
        <v>0</v>
      </c>
      <c r="M482" s="194">
        <f>IF(OR(_1_5412845612146241046457891017[[#This Row],[UNIT]]&gt;0,_1_5412845612146241046457891017[[#This Row],[UNIT]]&lt;0),_1_5412845612146241046457891017[[#This Row],[UNIT]]*_1_5412845612146241046457891017[[#This Row],[COST]],0)</f>
        <v>0</v>
      </c>
      <c r="N482" s="194">
        <f t="shared" si="7"/>
        <v>1.35</v>
      </c>
      <c r="O482" s="198">
        <f>_1_5412845612146241046457891017[[#This Row],[TOTAL]]*_1_5412845612146241046457891017[[#This Row],[MARGIN]]</f>
        <v>0</v>
      </c>
      <c r="R482" s="41"/>
    </row>
    <row r="483" spans="1:18">
      <c r="D483" s="188"/>
      <c r="F483" s="168" t="s">
        <v>6202</v>
      </c>
      <c r="G483" s="193">
        <f>IF(_1_5412845612146241046457891017[[#This Row],[Type]]&gt;0,VLOOKUP(_1_5412845612146241046457891017[[#This Row],[Type]],Main[[#All],[TYPE]:[UNIT]],'Unit Price'!C$1,FALSE),0)</f>
        <v>0</v>
      </c>
      <c r="H483" s="197">
        <f>IF(_1_5412845612146241046457891017[[#This Row],[Type]]&gt;0,VLOOKUP(_1_5412845612146241046457891017[[#This Row],[Type]],Main[[#All],[TYPE]:[UNIT]],'Unit Price'!D$1,FALSE),0)</f>
        <v>0</v>
      </c>
      <c r="I483" s="194">
        <f>IF(_1_5412845612146241046457891017[[#This Row],[Type]]&gt;0,VLOOKUP(_1_5412845612146241046457891017[[#This Row],[Type]],Main[[#All],[TYPE]:[UNIT]],'Unit Price'!G$1,FALSE),0)</f>
        <v>0</v>
      </c>
      <c r="J483" s="194">
        <f>IF(_1_5412845612146241046457891017[[#This Row],[Type]]&gt;0,VLOOKUP(_1_5412845612146241046457891017[[#This Row],[Type]],Main[[#All],[TYPE]:[UNIT]],'Unit Price'!H$1,FALSE),0)</f>
        <v>0</v>
      </c>
      <c r="K483" s="194">
        <f>IF(_1_5412845612146241046457891017[[#This Row],[Discount selection]]&gt;0,VLOOKUP(_1_5412845612146241046457891017[[#This Row],[Discount selection]],'Discount Structure'!$A$2:$B$30,2,"false"),0)</f>
        <v>1</v>
      </c>
      <c r="L483" s="194">
        <f>_1_5412845612146241046457891017[[#This Row],[LIST $]]*_1_5412845612146241046457891017[[#This Row],[DISCOUNT]]*_1_5412845612146241046457891017[[#This Row],[DISCOUNT 2]]</f>
        <v>0</v>
      </c>
      <c r="M483" s="194">
        <f>IF(OR(_1_5412845612146241046457891017[[#This Row],[UNIT]]&gt;0,_1_5412845612146241046457891017[[#This Row],[UNIT]]&lt;0),_1_5412845612146241046457891017[[#This Row],[UNIT]]*_1_5412845612146241046457891017[[#This Row],[COST]],0)</f>
        <v>0</v>
      </c>
      <c r="N483" s="194">
        <f t="shared" si="7"/>
        <v>1.35</v>
      </c>
      <c r="O483" s="198">
        <f>_1_5412845612146241046457891017[[#This Row],[TOTAL]]*_1_5412845612146241046457891017[[#This Row],[MARGIN]]</f>
        <v>0</v>
      </c>
      <c r="R483" s="41"/>
    </row>
    <row r="484" spans="1:18">
      <c r="D484" s="188"/>
      <c r="F484" s="168" t="s">
        <v>6202</v>
      </c>
      <c r="G484" s="193">
        <f>IF(_1_5412845612146241046457891017[[#This Row],[Type]]&gt;0,VLOOKUP(_1_5412845612146241046457891017[[#This Row],[Type]],Main[[#All],[TYPE]:[UNIT]],'Unit Price'!C$1,FALSE),0)</f>
        <v>0</v>
      </c>
      <c r="H484" s="197">
        <f>IF(_1_5412845612146241046457891017[[#This Row],[Type]]&gt;0,VLOOKUP(_1_5412845612146241046457891017[[#This Row],[Type]],Main[[#All],[TYPE]:[UNIT]],'Unit Price'!D$1,FALSE),0)</f>
        <v>0</v>
      </c>
      <c r="I484" s="194">
        <f>IF(_1_5412845612146241046457891017[[#This Row],[Type]]&gt;0,VLOOKUP(_1_5412845612146241046457891017[[#This Row],[Type]],Main[[#All],[TYPE]:[UNIT]],'Unit Price'!G$1,FALSE),0)</f>
        <v>0</v>
      </c>
      <c r="J484" s="194">
        <f>IF(_1_5412845612146241046457891017[[#This Row],[Type]]&gt;0,VLOOKUP(_1_5412845612146241046457891017[[#This Row],[Type]],Main[[#All],[TYPE]:[UNIT]],'Unit Price'!H$1,FALSE),0)</f>
        <v>0</v>
      </c>
      <c r="K484" s="194">
        <f>IF(_1_5412845612146241046457891017[[#This Row],[Discount selection]]&gt;0,VLOOKUP(_1_5412845612146241046457891017[[#This Row],[Discount selection]],'Discount Structure'!$A$2:$B$30,2,"false"),0)</f>
        <v>1</v>
      </c>
      <c r="L484" s="194">
        <f>_1_5412845612146241046457891017[[#This Row],[LIST $]]*_1_5412845612146241046457891017[[#This Row],[DISCOUNT]]*_1_5412845612146241046457891017[[#This Row],[DISCOUNT 2]]</f>
        <v>0</v>
      </c>
      <c r="M484" s="194">
        <f>IF(OR(_1_5412845612146241046457891017[[#This Row],[UNIT]]&gt;0,_1_5412845612146241046457891017[[#This Row],[UNIT]]&lt;0),_1_5412845612146241046457891017[[#This Row],[UNIT]]*_1_5412845612146241046457891017[[#This Row],[COST]],0)</f>
        <v>0</v>
      </c>
      <c r="N484" s="194">
        <f t="shared" si="7"/>
        <v>1.35</v>
      </c>
      <c r="O484" s="198">
        <f>_1_5412845612146241046457891017[[#This Row],[TOTAL]]*_1_5412845612146241046457891017[[#This Row],[MARGIN]]</f>
        <v>0</v>
      </c>
      <c r="R484" s="41"/>
    </row>
    <row r="485" spans="1:18">
      <c r="D485" s="188"/>
      <c r="F485" s="168" t="s">
        <v>6202</v>
      </c>
      <c r="G485" s="193">
        <f>IF(_1_5412845612146241046457891017[[#This Row],[Type]]&gt;0,VLOOKUP(_1_5412845612146241046457891017[[#This Row],[Type]],Main[[#All],[TYPE]:[UNIT]],'Unit Price'!C$1,FALSE),0)</f>
        <v>0</v>
      </c>
      <c r="H485" s="197">
        <f>IF(_1_5412845612146241046457891017[[#This Row],[Type]]&gt;0,VLOOKUP(_1_5412845612146241046457891017[[#This Row],[Type]],Main[[#All],[TYPE]:[UNIT]],'Unit Price'!D$1,FALSE),0)</f>
        <v>0</v>
      </c>
      <c r="I485" s="194">
        <f>IF(_1_5412845612146241046457891017[[#This Row],[Type]]&gt;0,VLOOKUP(_1_5412845612146241046457891017[[#This Row],[Type]],Main[[#All],[TYPE]:[UNIT]],'Unit Price'!G$1,FALSE),0)</f>
        <v>0</v>
      </c>
      <c r="J485" s="194">
        <f>IF(_1_5412845612146241046457891017[[#This Row],[Type]]&gt;0,VLOOKUP(_1_5412845612146241046457891017[[#This Row],[Type]],Main[[#All],[TYPE]:[UNIT]],'Unit Price'!H$1,FALSE),0)</f>
        <v>0</v>
      </c>
      <c r="K485" s="194">
        <f>IF(_1_5412845612146241046457891017[[#This Row],[Discount selection]]&gt;0,VLOOKUP(_1_5412845612146241046457891017[[#This Row],[Discount selection]],'Discount Structure'!$A$2:$B$30,2,"false"),0)</f>
        <v>1</v>
      </c>
      <c r="L485" s="194">
        <f>_1_5412845612146241046457891017[[#This Row],[LIST $]]*_1_5412845612146241046457891017[[#This Row],[DISCOUNT]]*_1_5412845612146241046457891017[[#This Row],[DISCOUNT 2]]</f>
        <v>0</v>
      </c>
      <c r="M485" s="194">
        <f>IF(OR(_1_5412845612146241046457891017[[#This Row],[UNIT]]&gt;0,_1_5412845612146241046457891017[[#This Row],[UNIT]]&lt;0),_1_5412845612146241046457891017[[#This Row],[UNIT]]*_1_5412845612146241046457891017[[#This Row],[COST]],0)</f>
        <v>0</v>
      </c>
      <c r="N485" s="194">
        <f t="shared" si="7"/>
        <v>1.35</v>
      </c>
      <c r="O485" s="198">
        <f>_1_5412845612146241046457891017[[#This Row],[TOTAL]]*_1_5412845612146241046457891017[[#This Row],[MARGIN]]</f>
        <v>0</v>
      </c>
      <c r="R485" s="41"/>
    </row>
    <row r="486" spans="1:18">
      <c r="D486" s="188"/>
      <c r="F486" s="168" t="s">
        <v>6202</v>
      </c>
      <c r="G486" s="193">
        <f>IF(_1_5412845612146241046457891017[[#This Row],[Type]]&gt;0,VLOOKUP(_1_5412845612146241046457891017[[#This Row],[Type]],Main[[#All],[TYPE]:[UNIT]],'Unit Price'!C$1,FALSE),0)</f>
        <v>0</v>
      </c>
      <c r="H486" s="197">
        <f>IF(_1_5412845612146241046457891017[[#This Row],[Type]]&gt;0,VLOOKUP(_1_5412845612146241046457891017[[#This Row],[Type]],Main[[#All],[TYPE]:[UNIT]],'Unit Price'!D$1,FALSE),0)</f>
        <v>0</v>
      </c>
      <c r="I486" s="194">
        <f>IF(_1_5412845612146241046457891017[[#This Row],[Type]]&gt;0,VLOOKUP(_1_5412845612146241046457891017[[#This Row],[Type]],Main[[#All],[TYPE]:[UNIT]],'Unit Price'!G$1,FALSE),0)</f>
        <v>0</v>
      </c>
      <c r="J486" s="194">
        <f>IF(_1_5412845612146241046457891017[[#This Row],[Type]]&gt;0,VLOOKUP(_1_5412845612146241046457891017[[#This Row],[Type]],Main[[#All],[TYPE]:[UNIT]],'Unit Price'!H$1,FALSE),0)</f>
        <v>0</v>
      </c>
      <c r="K486" s="194">
        <f>IF(_1_5412845612146241046457891017[[#This Row],[Discount selection]]&gt;0,VLOOKUP(_1_5412845612146241046457891017[[#This Row],[Discount selection]],'Discount Structure'!$A$2:$B$30,2,"false"),0)</f>
        <v>1</v>
      </c>
      <c r="L486" s="194">
        <f>_1_5412845612146241046457891017[[#This Row],[LIST $]]*_1_5412845612146241046457891017[[#This Row],[DISCOUNT]]*_1_5412845612146241046457891017[[#This Row],[DISCOUNT 2]]</f>
        <v>0</v>
      </c>
      <c r="M486" s="194">
        <f>IF(OR(_1_5412845612146241046457891017[[#This Row],[UNIT]]&gt;0,_1_5412845612146241046457891017[[#This Row],[UNIT]]&lt;0),_1_5412845612146241046457891017[[#This Row],[UNIT]]*_1_5412845612146241046457891017[[#This Row],[COST]],0)</f>
        <v>0</v>
      </c>
      <c r="N486" s="194">
        <f t="shared" si="7"/>
        <v>1.35</v>
      </c>
      <c r="O486" s="198">
        <f>_1_5412845612146241046457891017[[#This Row],[TOTAL]]*_1_5412845612146241046457891017[[#This Row],[MARGIN]]</f>
        <v>0</v>
      </c>
      <c r="R486" s="41"/>
    </row>
    <row r="487" spans="1:18">
      <c r="D487" s="188"/>
      <c r="F487" s="168" t="s">
        <v>6202</v>
      </c>
      <c r="G487" s="193">
        <f>IF(_1_5412845612146241046457891017[[#This Row],[Type]]&gt;0,VLOOKUP(_1_5412845612146241046457891017[[#This Row],[Type]],Main[[#All],[TYPE]:[UNIT]],'Unit Price'!C$1,FALSE),0)</f>
        <v>0</v>
      </c>
      <c r="H487" s="197">
        <f>IF(_1_5412845612146241046457891017[[#This Row],[Type]]&gt;0,VLOOKUP(_1_5412845612146241046457891017[[#This Row],[Type]],Main[[#All],[TYPE]:[UNIT]],'Unit Price'!D$1,FALSE),0)</f>
        <v>0</v>
      </c>
      <c r="I487" s="194">
        <f>IF(_1_5412845612146241046457891017[[#This Row],[Type]]&gt;0,VLOOKUP(_1_5412845612146241046457891017[[#This Row],[Type]],Main[[#All],[TYPE]:[UNIT]],'Unit Price'!G$1,FALSE),0)</f>
        <v>0</v>
      </c>
      <c r="J487" s="194">
        <f>IF(_1_5412845612146241046457891017[[#This Row],[Type]]&gt;0,VLOOKUP(_1_5412845612146241046457891017[[#This Row],[Type]],Main[[#All],[TYPE]:[UNIT]],'Unit Price'!H$1,FALSE),0)</f>
        <v>0</v>
      </c>
      <c r="K487" s="194">
        <f>IF(_1_5412845612146241046457891017[[#This Row],[Discount selection]]&gt;0,VLOOKUP(_1_5412845612146241046457891017[[#This Row],[Discount selection]],'Discount Structure'!$A$2:$B$30,2,"false"),0)</f>
        <v>1</v>
      </c>
      <c r="L487" s="194">
        <f>_1_5412845612146241046457891017[[#This Row],[LIST $]]*_1_5412845612146241046457891017[[#This Row],[DISCOUNT]]*_1_5412845612146241046457891017[[#This Row],[DISCOUNT 2]]</f>
        <v>0</v>
      </c>
      <c r="M487" s="194">
        <f>IF(OR(_1_5412845612146241046457891017[[#This Row],[UNIT]]&gt;0,_1_5412845612146241046457891017[[#This Row],[UNIT]]&lt;0),_1_5412845612146241046457891017[[#This Row],[UNIT]]*_1_5412845612146241046457891017[[#This Row],[COST]],0)</f>
        <v>0</v>
      </c>
      <c r="N487" s="194">
        <f t="shared" si="7"/>
        <v>1.35</v>
      </c>
      <c r="O487" s="198">
        <f>_1_5412845612146241046457891017[[#This Row],[TOTAL]]*_1_5412845612146241046457891017[[#This Row],[MARGIN]]</f>
        <v>0</v>
      </c>
      <c r="R487" s="41"/>
    </row>
    <row r="488" spans="1:18">
      <c r="A488" s="168"/>
      <c r="D488" s="188"/>
      <c r="F488" s="168" t="s">
        <v>6202</v>
      </c>
      <c r="G488" s="193">
        <f>IF(_1_5412845612146241046457891017[[#This Row],[Type]]&gt;0,VLOOKUP(_1_5412845612146241046457891017[[#This Row],[Type]],Main[[#All],[TYPE]:[UNIT]],'Unit Price'!C$1,FALSE),0)</f>
        <v>0</v>
      </c>
      <c r="H488" s="197">
        <f>IF(_1_5412845612146241046457891017[[#This Row],[Type]]&gt;0,VLOOKUP(_1_5412845612146241046457891017[[#This Row],[Type]],Main[[#All],[TYPE]:[UNIT]],'Unit Price'!D$1,FALSE),0)</f>
        <v>0</v>
      </c>
      <c r="I488" s="194">
        <f>IF(_1_5412845612146241046457891017[[#This Row],[Type]]&gt;0,VLOOKUP(_1_5412845612146241046457891017[[#This Row],[Type]],Main[[#All],[TYPE]:[UNIT]],'Unit Price'!G$1,FALSE),0)</f>
        <v>0</v>
      </c>
      <c r="J488" s="194">
        <f>IF(_1_5412845612146241046457891017[[#This Row],[Type]]&gt;0,VLOOKUP(_1_5412845612146241046457891017[[#This Row],[Type]],Main[[#All],[TYPE]:[UNIT]],'Unit Price'!H$1,FALSE),0)</f>
        <v>0</v>
      </c>
      <c r="K488" s="194">
        <f>IF(_1_5412845612146241046457891017[[#This Row],[Discount selection]]&gt;0,VLOOKUP(_1_5412845612146241046457891017[[#This Row],[Discount selection]],'Discount Structure'!$A$2:$B$30,2,"false"),0)</f>
        <v>1</v>
      </c>
      <c r="L488" s="194">
        <f>_1_5412845612146241046457891017[[#This Row],[LIST $]]*_1_5412845612146241046457891017[[#This Row],[DISCOUNT]]*_1_5412845612146241046457891017[[#This Row],[DISCOUNT 2]]</f>
        <v>0</v>
      </c>
      <c r="M488" s="194">
        <f>IF(OR(_1_5412845612146241046457891017[[#This Row],[UNIT]]&gt;0,_1_5412845612146241046457891017[[#This Row],[UNIT]]&lt;0),_1_5412845612146241046457891017[[#This Row],[UNIT]]*_1_5412845612146241046457891017[[#This Row],[COST]],0)</f>
        <v>0</v>
      </c>
      <c r="N488" s="194">
        <f t="shared" si="7"/>
        <v>1.35</v>
      </c>
      <c r="O488" s="198">
        <f>_1_5412845612146241046457891017[[#This Row],[TOTAL]]*_1_5412845612146241046457891017[[#This Row],[MARGIN]]</f>
        <v>0</v>
      </c>
      <c r="R488" s="41"/>
    </row>
    <row r="489" spans="1:18">
      <c r="B489" s="168"/>
      <c r="D489" s="188"/>
      <c r="F489" s="168" t="s">
        <v>6202</v>
      </c>
      <c r="G489" s="193">
        <f>IF(_1_5412845612146241046457891017[[#This Row],[Type]]&gt;0,VLOOKUP(_1_5412845612146241046457891017[[#This Row],[Type]],Main[[#All],[TYPE]:[UNIT]],'Unit Price'!C$1,FALSE),0)</f>
        <v>0</v>
      </c>
      <c r="H489" s="197">
        <f>IF(_1_5412845612146241046457891017[[#This Row],[Type]]&gt;0,VLOOKUP(_1_5412845612146241046457891017[[#This Row],[Type]],Main[[#All],[TYPE]:[UNIT]],'Unit Price'!D$1,FALSE),0)</f>
        <v>0</v>
      </c>
      <c r="I489" s="194">
        <f>IF(_1_5412845612146241046457891017[[#This Row],[Type]]&gt;0,VLOOKUP(_1_5412845612146241046457891017[[#This Row],[Type]],Main[[#All],[TYPE]:[UNIT]],'Unit Price'!G$1,FALSE),0)</f>
        <v>0</v>
      </c>
      <c r="J489" s="194">
        <f>IF(_1_5412845612146241046457891017[[#This Row],[Type]]&gt;0,VLOOKUP(_1_5412845612146241046457891017[[#This Row],[Type]],Main[[#All],[TYPE]:[UNIT]],'Unit Price'!H$1,FALSE),0)</f>
        <v>0</v>
      </c>
      <c r="K489" s="194">
        <f>IF(_1_5412845612146241046457891017[[#This Row],[Discount selection]]&gt;0,VLOOKUP(_1_5412845612146241046457891017[[#This Row],[Discount selection]],'Discount Structure'!$A$2:$B$30,2,"false"),0)</f>
        <v>1</v>
      </c>
      <c r="L489" s="194">
        <f>_1_5412845612146241046457891017[[#This Row],[LIST $]]*_1_5412845612146241046457891017[[#This Row],[DISCOUNT]]*_1_5412845612146241046457891017[[#This Row],[DISCOUNT 2]]</f>
        <v>0</v>
      </c>
      <c r="M489" s="194">
        <f>IF(OR(_1_5412845612146241046457891017[[#This Row],[UNIT]]&gt;0,_1_5412845612146241046457891017[[#This Row],[UNIT]]&lt;0),_1_5412845612146241046457891017[[#This Row],[UNIT]]*_1_5412845612146241046457891017[[#This Row],[COST]],0)</f>
        <v>0</v>
      </c>
      <c r="N489" s="194">
        <f t="shared" si="7"/>
        <v>1.35</v>
      </c>
      <c r="O489" s="198">
        <f>_1_5412845612146241046457891017[[#This Row],[TOTAL]]*_1_5412845612146241046457891017[[#This Row],[MARGIN]]</f>
        <v>0</v>
      </c>
      <c r="R489" s="41"/>
    </row>
    <row r="490" spans="1:18">
      <c r="D490" s="188"/>
      <c r="F490" s="168" t="s">
        <v>6202</v>
      </c>
      <c r="G490" s="193">
        <f>IF(_1_5412845612146241046457891017[[#This Row],[Type]]&gt;0,VLOOKUP(_1_5412845612146241046457891017[[#This Row],[Type]],Main[[#All],[TYPE]:[UNIT]],'Unit Price'!C$1,FALSE),0)</f>
        <v>0</v>
      </c>
      <c r="H490" s="197">
        <f>IF(_1_5412845612146241046457891017[[#This Row],[Type]]&gt;0,VLOOKUP(_1_5412845612146241046457891017[[#This Row],[Type]],Main[[#All],[TYPE]:[UNIT]],'Unit Price'!D$1,FALSE),0)</f>
        <v>0</v>
      </c>
      <c r="I490" s="194">
        <f>IF(_1_5412845612146241046457891017[[#This Row],[Type]]&gt;0,VLOOKUP(_1_5412845612146241046457891017[[#This Row],[Type]],Main[[#All],[TYPE]:[UNIT]],'Unit Price'!G$1,FALSE),0)</f>
        <v>0</v>
      </c>
      <c r="J490" s="194">
        <f>IF(_1_5412845612146241046457891017[[#This Row],[Type]]&gt;0,VLOOKUP(_1_5412845612146241046457891017[[#This Row],[Type]],Main[[#All],[TYPE]:[UNIT]],'Unit Price'!H$1,FALSE),0)</f>
        <v>0</v>
      </c>
      <c r="K490" s="194">
        <f>IF(_1_5412845612146241046457891017[[#This Row],[Discount selection]]&gt;0,VLOOKUP(_1_5412845612146241046457891017[[#This Row],[Discount selection]],'Discount Structure'!$A$2:$B$30,2,"false"),0)</f>
        <v>1</v>
      </c>
      <c r="L490" s="194">
        <f>_1_5412845612146241046457891017[[#This Row],[LIST $]]*_1_5412845612146241046457891017[[#This Row],[DISCOUNT]]*_1_5412845612146241046457891017[[#This Row],[DISCOUNT 2]]</f>
        <v>0</v>
      </c>
      <c r="M490" s="194">
        <f>IF(OR(_1_5412845612146241046457891017[[#This Row],[UNIT]]&gt;0,_1_5412845612146241046457891017[[#This Row],[UNIT]]&lt;0),_1_5412845612146241046457891017[[#This Row],[UNIT]]*_1_5412845612146241046457891017[[#This Row],[COST]],0)</f>
        <v>0</v>
      </c>
      <c r="N490" s="194">
        <f t="shared" si="7"/>
        <v>1.35</v>
      </c>
      <c r="O490" s="198">
        <f>_1_5412845612146241046457891017[[#This Row],[TOTAL]]*_1_5412845612146241046457891017[[#This Row],[MARGIN]]</f>
        <v>0</v>
      </c>
      <c r="R490" s="41"/>
    </row>
    <row r="491" spans="1:18">
      <c r="D491" s="188"/>
      <c r="F491" s="168" t="s">
        <v>6202</v>
      </c>
      <c r="G491" s="193">
        <f>IF(_1_5412845612146241046457891017[[#This Row],[Type]]&gt;0,VLOOKUP(_1_5412845612146241046457891017[[#This Row],[Type]],Main[[#All],[TYPE]:[UNIT]],'Unit Price'!C$1,FALSE),0)</f>
        <v>0</v>
      </c>
      <c r="H491" s="197">
        <f>IF(_1_5412845612146241046457891017[[#This Row],[Type]]&gt;0,VLOOKUP(_1_5412845612146241046457891017[[#This Row],[Type]],Main[[#All],[TYPE]:[UNIT]],'Unit Price'!D$1,FALSE),0)</f>
        <v>0</v>
      </c>
      <c r="I491" s="194">
        <f>IF(_1_5412845612146241046457891017[[#This Row],[Type]]&gt;0,VLOOKUP(_1_5412845612146241046457891017[[#This Row],[Type]],Main[[#All],[TYPE]:[UNIT]],'Unit Price'!G$1,FALSE),0)</f>
        <v>0</v>
      </c>
      <c r="J491" s="194">
        <f>IF(_1_5412845612146241046457891017[[#This Row],[Type]]&gt;0,VLOOKUP(_1_5412845612146241046457891017[[#This Row],[Type]],Main[[#All],[TYPE]:[UNIT]],'Unit Price'!H$1,FALSE),0)</f>
        <v>0</v>
      </c>
      <c r="K491" s="194">
        <f>IF(_1_5412845612146241046457891017[[#This Row],[Discount selection]]&gt;0,VLOOKUP(_1_5412845612146241046457891017[[#This Row],[Discount selection]],'Discount Structure'!$A$2:$B$30,2,"false"),0)</f>
        <v>1</v>
      </c>
      <c r="L491" s="194">
        <f>_1_5412845612146241046457891017[[#This Row],[LIST $]]*_1_5412845612146241046457891017[[#This Row],[DISCOUNT]]*_1_5412845612146241046457891017[[#This Row],[DISCOUNT 2]]</f>
        <v>0</v>
      </c>
      <c r="M491" s="194">
        <f>IF(OR(_1_5412845612146241046457891017[[#This Row],[UNIT]]&gt;0,_1_5412845612146241046457891017[[#This Row],[UNIT]]&lt;0),_1_5412845612146241046457891017[[#This Row],[UNIT]]*_1_5412845612146241046457891017[[#This Row],[COST]],0)</f>
        <v>0</v>
      </c>
      <c r="N491" s="194">
        <f t="shared" si="7"/>
        <v>1.35</v>
      </c>
      <c r="O491" s="198">
        <f>_1_5412845612146241046457891017[[#This Row],[TOTAL]]*_1_5412845612146241046457891017[[#This Row],[MARGIN]]</f>
        <v>0</v>
      </c>
      <c r="R491" s="41"/>
    </row>
    <row r="492" spans="1:18">
      <c r="D492" s="188"/>
      <c r="F492" s="168" t="s">
        <v>6202</v>
      </c>
      <c r="G492" s="193">
        <f>IF(_1_5412845612146241046457891017[[#This Row],[Type]]&gt;0,VLOOKUP(_1_5412845612146241046457891017[[#This Row],[Type]],Main[[#All],[TYPE]:[UNIT]],'Unit Price'!C$1,FALSE),0)</f>
        <v>0</v>
      </c>
      <c r="H492" s="197">
        <f>IF(_1_5412845612146241046457891017[[#This Row],[Type]]&gt;0,VLOOKUP(_1_5412845612146241046457891017[[#This Row],[Type]],Main[[#All],[TYPE]:[UNIT]],'Unit Price'!D$1,FALSE),0)</f>
        <v>0</v>
      </c>
      <c r="I492" s="194">
        <f>IF(_1_5412845612146241046457891017[[#This Row],[Type]]&gt;0,VLOOKUP(_1_5412845612146241046457891017[[#This Row],[Type]],Main[[#All],[TYPE]:[UNIT]],'Unit Price'!G$1,FALSE),0)</f>
        <v>0</v>
      </c>
      <c r="J492" s="194">
        <f>IF(_1_5412845612146241046457891017[[#This Row],[Type]]&gt;0,VLOOKUP(_1_5412845612146241046457891017[[#This Row],[Type]],Main[[#All],[TYPE]:[UNIT]],'Unit Price'!H$1,FALSE),0)</f>
        <v>0</v>
      </c>
      <c r="K492" s="194">
        <f>IF(_1_5412845612146241046457891017[[#This Row],[Discount selection]]&gt;0,VLOOKUP(_1_5412845612146241046457891017[[#This Row],[Discount selection]],'Discount Structure'!$A$2:$B$30,2,"false"),0)</f>
        <v>1</v>
      </c>
      <c r="L492" s="194">
        <f>_1_5412845612146241046457891017[[#This Row],[LIST $]]*_1_5412845612146241046457891017[[#This Row],[DISCOUNT]]*_1_5412845612146241046457891017[[#This Row],[DISCOUNT 2]]</f>
        <v>0</v>
      </c>
      <c r="M492" s="194">
        <f>IF(OR(_1_5412845612146241046457891017[[#This Row],[UNIT]]&gt;0,_1_5412845612146241046457891017[[#This Row],[UNIT]]&lt;0),_1_5412845612146241046457891017[[#This Row],[UNIT]]*_1_5412845612146241046457891017[[#This Row],[COST]],0)</f>
        <v>0</v>
      </c>
      <c r="N492" s="194">
        <f t="shared" si="7"/>
        <v>1.35</v>
      </c>
      <c r="O492" s="198">
        <f>_1_5412845612146241046457891017[[#This Row],[TOTAL]]*_1_5412845612146241046457891017[[#This Row],[MARGIN]]</f>
        <v>0</v>
      </c>
      <c r="R492" s="41"/>
    </row>
    <row r="493" spans="1:18">
      <c r="D493" s="188"/>
      <c r="F493" s="168" t="s">
        <v>6202</v>
      </c>
      <c r="G493" s="193">
        <f>IF(_1_5412845612146241046457891017[[#This Row],[Type]]&gt;0,VLOOKUP(_1_5412845612146241046457891017[[#This Row],[Type]],Main[[#All],[TYPE]:[UNIT]],'Unit Price'!C$1,FALSE),0)</f>
        <v>0</v>
      </c>
      <c r="H493" s="197">
        <f>IF(_1_5412845612146241046457891017[[#This Row],[Type]]&gt;0,VLOOKUP(_1_5412845612146241046457891017[[#This Row],[Type]],Main[[#All],[TYPE]:[UNIT]],'Unit Price'!D$1,FALSE),0)</f>
        <v>0</v>
      </c>
      <c r="I493" s="194">
        <f>IF(_1_5412845612146241046457891017[[#This Row],[Type]]&gt;0,VLOOKUP(_1_5412845612146241046457891017[[#This Row],[Type]],Main[[#All],[TYPE]:[UNIT]],'Unit Price'!G$1,FALSE),0)</f>
        <v>0</v>
      </c>
      <c r="J493" s="194">
        <f>IF(_1_5412845612146241046457891017[[#This Row],[Type]]&gt;0,VLOOKUP(_1_5412845612146241046457891017[[#This Row],[Type]],Main[[#All],[TYPE]:[UNIT]],'Unit Price'!H$1,FALSE),0)</f>
        <v>0</v>
      </c>
      <c r="K493" s="194">
        <f>IF(_1_5412845612146241046457891017[[#This Row],[Discount selection]]&gt;0,VLOOKUP(_1_5412845612146241046457891017[[#This Row],[Discount selection]],'Discount Structure'!$A$2:$B$30,2,"false"),0)</f>
        <v>1</v>
      </c>
      <c r="L493" s="194">
        <f>_1_5412845612146241046457891017[[#This Row],[LIST $]]*_1_5412845612146241046457891017[[#This Row],[DISCOUNT]]*_1_5412845612146241046457891017[[#This Row],[DISCOUNT 2]]</f>
        <v>0</v>
      </c>
      <c r="M493" s="194">
        <f>IF(OR(_1_5412845612146241046457891017[[#This Row],[UNIT]]&gt;0,_1_5412845612146241046457891017[[#This Row],[UNIT]]&lt;0),_1_5412845612146241046457891017[[#This Row],[UNIT]]*_1_5412845612146241046457891017[[#This Row],[COST]],0)</f>
        <v>0</v>
      </c>
      <c r="N493" s="194">
        <f t="shared" si="7"/>
        <v>1.35</v>
      </c>
      <c r="O493" s="198">
        <f>_1_5412845612146241046457891017[[#This Row],[TOTAL]]*_1_5412845612146241046457891017[[#This Row],[MARGIN]]</f>
        <v>0</v>
      </c>
      <c r="R493" s="41"/>
    </row>
    <row r="494" spans="1:18">
      <c r="D494" s="188"/>
      <c r="F494" s="168" t="s">
        <v>6202</v>
      </c>
      <c r="G494" s="193">
        <f>IF(_1_5412845612146241046457891017[[#This Row],[Type]]&gt;0,VLOOKUP(_1_5412845612146241046457891017[[#This Row],[Type]],Main[[#All],[TYPE]:[UNIT]],'Unit Price'!C$1,FALSE),0)</f>
        <v>0</v>
      </c>
      <c r="H494" s="197">
        <f>IF(_1_5412845612146241046457891017[[#This Row],[Type]]&gt;0,VLOOKUP(_1_5412845612146241046457891017[[#This Row],[Type]],Main[[#All],[TYPE]:[UNIT]],'Unit Price'!D$1,FALSE),0)</f>
        <v>0</v>
      </c>
      <c r="I494" s="194">
        <f>IF(_1_5412845612146241046457891017[[#This Row],[Type]]&gt;0,VLOOKUP(_1_5412845612146241046457891017[[#This Row],[Type]],Main[[#All],[TYPE]:[UNIT]],'Unit Price'!G$1,FALSE),0)</f>
        <v>0</v>
      </c>
      <c r="J494" s="194">
        <f>IF(_1_5412845612146241046457891017[[#This Row],[Type]]&gt;0,VLOOKUP(_1_5412845612146241046457891017[[#This Row],[Type]],Main[[#All],[TYPE]:[UNIT]],'Unit Price'!H$1,FALSE),0)</f>
        <v>0</v>
      </c>
      <c r="K494" s="194">
        <f>IF(_1_5412845612146241046457891017[[#This Row],[Discount selection]]&gt;0,VLOOKUP(_1_5412845612146241046457891017[[#This Row],[Discount selection]],'Discount Structure'!$A$2:$B$30,2,"false"),0)</f>
        <v>1</v>
      </c>
      <c r="L494" s="194">
        <f>_1_5412845612146241046457891017[[#This Row],[LIST $]]*_1_5412845612146241046457891017[[#This Row],[DISCOUNT]]*_1_5412845612146241046457891017[[#This Row],[DISCOUNT 2]]</f>
        <v>0</v>
      </c>
      <c r="M494" s="194">
        <f>IF(OR(_1_5412845612146241046457891017[[#This Row],[UNIT]]&gt;0,_1_5412845612146241046457891017[[#This Row],[UNIT]]&lt;0),_1_5412845612146241046457891017[[#This Row],[UNIT]]*_1_5412845612146241046457891017[[#This Row],[COST]],0)</f>
        <v>0</v>
      </c>
      <c r="N494" s="194">
        <f t="shared" si="7"/>
        <v>1.35</v>
      </c>
      <c r="O494" s="198">
        <f>_1_5412845612146241046457891017[[#This Row],[TOTAL]]*_1_5412845612146241046457891017[[#This Row],[MARGIN]]</f>
        <v>0</v>
      </c>
      <c r="R494" s="41"/>
    </row>
    <row r="495" spans="1:18">
      <c r="D495" s="188"/>
      <c r="F495" s="168" t="s">
        <v>6202</v>
      </c>
      <c r="G495" s="193">
        <f>IF(_1_5412845612146241046457891017[[#This Row],[Type]]&gt;0,VLOOKUP(_1_5412845612146241046457891017[[#This Row],[Type]],Main[[#All],[TYPE]:[UNIT]],'Unit Price'!C$1,FALSE),0)</f>
        <v>0</v>
      </c>
      <c r="H495" s="197">
        <f>IF(_1_5412845612146241046457891017[[#This Row],[Type]]&gt;0,VLOOKUP(_1_5412845612146241046457891017[[#This Row],[Type]],Main[[#All],[TYPE]:[UNIT]],'Unit Price'!D$1,FALSE),0)</f>
        <v>0</v>
      </c>
      <c r="I495" s="194">
        <f>IF(_1_5412845612146241046457891017[[#This Row],[Type]]&gt;0,VLOOKUP(_1_5412845612146241046457891017[[#This Row],[Type]],Main[[#All],[TYPE]:[UNIT]],'Unit Price'!G$1,FALSE),0)</f>
        <v>0</v>
      </c>
      <c r="J495" s="194">
        <f>IF(_1_5412845612146241046457891017[[#This Row],[Type]]&gt;0,VLOOKUP(_1_5412845612146241046457891017[[#This Row],[Type]],Main[[#All],[TYPE]:[UNIT]],'Unit Price'!H$1,FALSE),0)</f>
        <v>0</v>
      </c>
      <c r="K495" s="194">
        <f>IF(_1_5412845612146241046457891017[[#This Row],[Discount selection]]&gt;0,VLOOKUP(_1_5412845612146241046457891017[[#This Row],[Discount selection]],'Discount Structure'!$A$2:$B$30,2,"false"),0)</f>
        <v>1</v>
      </c>
      <c r="L495" s="194">
        <f>_1_5412845612146241046457891017[[#This Row],[LIST $]]*_1_5412845612146241046457891017[[#This Row],[DISCOUNT]]*_1_5412845612146241046457891017[[#This Row],[DISCOUNT 2]]</f>
        <v>0</v>
      </c>
      <c r="M495" s="194">
        <f>IF(OR(_1_5412845612146241046457891017[[#This Row],[UNIT]]&gt;0,_1_5412845612146241046457891017[[#This Row],[UNIT]]&lt;0),_1_5412845612146241046457891017[[#This Row],[UNIT]]*_1_5412845612146241046457891017[[#This Row],[COST]],0)</f>
        <v>0</v>
      </c>
      <c r="N495" s="194">
        <f t="shared" si="7"/>
        <v>1.35</v>
      </c>
      <c r="O495" s="198">
        <f>_1_5412845612146241046457891017[[#This Row],[TOTAL]]*_1_5412845612146241046457891017[[#This Row],[MARGIN]]</f>
        <v>0</v>
      </c>
      <c r="R495" s="41"/>
    </row>
    <row r="496" spans="1:18">
      <c r="D496" s="188"/>
      <c r="F496" s="168" t="s">
        <v>6202</v>
      </c>
      <c r="G496" s="193">
        <f>IF(_1_5412845612146241046457891017[[#This Row],[Type]]&gt;0,VLOOKUP(_1_5412845612146241046457891017[[#This Row],[Type]],Main[[#All],[TYPE]:[UNIT]],'Unit Price'!C$1,FALSE),0)</f>
        <v>0</v>
      </c>
      <c r="H496" s="197">
        <f>IF(_1_5412845612146241046457891017[[#This Row],[Type]]&gt;0,VLOOKUP(_1_5412845612146241046457891017[[#This Row],[Type]],Main[[#All],[TYPE]:[UNIT]],'Unit Price'!D$1,FALSE),0)</f>
        <v>0</v>
      </c>
      <c r="I496" s="194">
        <f>IF(_1_5412845612146241046457891017[[#This Row],[Type]]&gt;0,VLOOKUP(_1_5412845612146241046457891017[[#This Row],[Type]],Main[[#All],[TYPE]:[UNIT]],'Unit Price'!G$1,FALSE),0)</f>
        <v>0</v>
      </c>
      <c r="J496" s="194">
        <f>IF(_1_5412845612146241046457891017[[#This Row],[Type]]&gt;0,VLOOKUP(_1_5412845612146241046457891017[[#This Row],[Type]],Main[[#All],[TYPE]:[UNIT]],'Unit Price'!H$1,FALSE),0)</f>
        <v>0</v>
      </c>
      <c r="K496" s="194">
        <f>IF(_1_5412845612146241046457891017[[#This Row],[Discount selection]]&gt;0,VLOOKUP(_1_5412845612146241046457891017[[#This Row],[Discount selection]],'Discount Structure'!$A$2:$B$30,2,"false"),0)</f>
        <v>1</v>
      </c>
      <c r="L496" s="194">
        <f>_1_5412845612146241046457891017[[#This Row],[LIST $]]*_1_5412845612146241046457891017[[#This Row],[DISCOUNT]]*_1_5412845612146241046457891017[[#This Row],[DISCOUNT 2]]</f>
        <v>0</v>
      </c>
      <c r="M496" s="194">
        <f>IF(OR(_1_5412845612146241046457891017[[#This Row],[UNIT]]&gt;0,_1_5412845612146241046457891017[[#This Row],[UNIT]]&lt;0),_1_5412845612146241046457891017[[#This Row],[UNIT]]*_1_5412845612146241046457891017[[#This Row],[COST]],0)</f>
        <v>0</v>
      </c>
      <c r="N496" s="194">
        <f t="shared" si="7"/>
        <v>1.35</v>
      </c>
      <c r="O496" s="198">
        <f>_1_5412845612146241046457891017[[#This Row],[TOTAL]]*_1_5412845612146241046457891017[[#This Row],[MARGIN]]</f>
        <v>0</v>
      </c>
      <c r="R496" s="41"/>
    </row>
    <row r="497" spans="1:18">
      <c r="D497" s="188"/>
      <c r="F497" s="168" t="s">
        <v>6202</v>
      </c>
      <c r="G497" s="193">
        <f>IF(_1_5412845612146241046457891017[[#This Row],[Type]]&gt;0,VLOOKUP(_1_5412845612146241046457891017[[#This Row],[Type]],Main[[#All],[TYPE]:[UNIT]],'Unit Price'!C$1,FALSE),0)</f>
        <v>0</v>
      </c>
      <c r="H497" s="197">
        <f>IF(_1_5412845612146241046457891017[[#This Row],[Type]]&gt;0,VLOOKUP(_1_5412845612146241046457891017[[#This Row],[Type]],Main[[#All],[TYPE]:[UNIT]],'Unit Price'!D$1,FALSE),0)</f>
        <v>0</v>
      </c>
      <c r="I497" s="194">
        <f>IF(_1_5412845612146241046457891017[[#This Row],[Type]]&gt;0,VLOOKUP(_1_5412845612146241046457891017[[#This Row],[Type]],Main[[#All],[TYPE]:[UNIT]],'Unit Price'!G$1,FALSE),0)</f>
        <v>0</v>
      </c>
      <c r="J497" s="194">
        <f>IF(_1_5412845612146241046457891017[[#This Row],[Type]]&gt;0,VLOOKUP(_1_5412845612146241046457891017[[#This Row],[Type]],Main[[#All],[TYPE]:[UNIT]],'Unit Price'!H$1,FALSE),0)</f>
        <v>0</v>
      </c>
      <c r="K497" s="194">
        <f>IF(_1_5412845612146241046457891017[[#This Row],[Discount selection]]&gt;0,VLOOKUP(_1_5412845612146241046457891017[[#This Row],[Discount selection]],'Discount Structure'!$A$2:$B$30,2,"false"),0)</f>
        <v>1</v>
      </c>
      <c r="L497" s="194">
        <f>_1_5412845612146241046457891017[[#This Row],[LIST $]]*_1_5412845612146241046457891017[[#This Row],[DISCOUNT]]*_1_5412845612146241046457891017[[#This Row],[DISCOUNT 2]]</f>
        <v>0</v>
      </c>
      <c r="M497" s="194">
        <f>IF(OR(_1_5412845612146241046457891017[[#This Row],[UNIT]]&gt;0,_1_5412845612146241046457891017[[#This Row],[UNIT]]&lt;0),_1_5412845612146241046457891017[[#This Row],[UNIT]]*_1_5412845612146241046457891017[[#This Row],[COST]],0)</f>
        <v>0</v>
      </c>
      <c r="N497" s="194">
        <f t="shared" si="7"/>
        <v>1.35</v>
      </c>
      <c r="O497" s="198">
        <f>_1_5412845612146241046457891017[[#This Row],[TOTAL]]*_1_5412845612146241046457891017[[#This Row],[MARGIN]]</f>
        <v>0</v>
      </c>
      <c r="R497" s="41"/>
    </row>
    <row r="498" spans="1:18">
      <c r="D498" s="188"/>
      <c r="F498" s="168" t="s">
        <v>6202</v>
      </c>
      <c r="G498" s="193">
        <f>IF(_1_5412845612146241046457891017[[#This Row],[Type]]&gt;0,VLOOKUP(_1_5412845612146241046457891017[[#This Row],[Type]],Main[[#All],[TYPE]:[UNIT]],'Unit Price'!C$1,FALSE),0)</f>
        <v>0</v>
      </c>
      <c r="H498" s="197">
        <f>IF(_1_5412845612146241046457891017[[#This Row],[Type]]&gt;0,VLOOKUP(_1_5412845612146241046457891017[[#This Row],[Type]],Main[[#All],[TYPE]:[UNIT]],'Unit Price'!D$1,FALSE),0)</f>
        <v>0</v>
      </c>
      <c r="I498" s="194">
        <f>IF(_1_5412845612146241046457891017[[#This Row],[Type]]&gt;0,VLOOKUP(_1_5412845612146241046457891017[[#This Row],[Type]],Main[[#All],[TYPE]:[UNIT]],'Unit Price'!G$1,FALSE),0)</f>
        <v>0</v>
      </c>
      <c r="J498" s="194">
        <f>IF(_1_5412845612146241046457891017[[#This Row],[Type]]&gt;0,VLOOKUP(_1_5412845612146241046457891017[[#This Row],[Type]],Main[[#All],[TYPE]:[UNIT]],'Unit Price'!H$1,FALSE),0)</f>
        <v>0</v>
      </c>
      <c r="K498" s="194">
        <f>IF(_1_5412845612146241046457891017[[#This Row],[Discount selection]]&gt;0,VLOOKUP(_1_5412845612146241046457891017[[#This Row],[Discount selection]],'Discount Structure'!$A$2:$B$30,2,"false"),0)</f>
        <v>1</v>
      </c>
      <c r="L498" s="194">
        <f>_1_5412845612146241046457891017[[#This Row],[LIST $]]*_1_5412845612146241046457891017[[#This Row],[DISCOUNT]]*_1_5412845612146241046457891017[[#This Row],[DISCOUNT 2]]</f>
        <v>0</v>
      </c>
      <c r="M498" s="194">
        <f>IF(OR(_1_5412845612146241046457891017[[#This Row],[UNIT]]&gt;0,_1_5412845612146241046457891017[[#This Row],[UNIT]]&lt;0),_1_5412845612146241046457891017[[#This Row],[UNIT]]*_1_5412845612146241046457891017[[#This Row],[COST]],0)</f>
        <v>0</v>
      </c>
      <c r="N498" s="194">
        <f t="shared" si="7"/>
        <v>1.35</v>
      </c>
      <c r="O498" s="198">
        <f>_1_5412845612146241046457891017[[#This Row],[TOTAL]]*_1_5412845612146241046457891017[[#This Row],[MARGIN]]</f>
        <v>0</v>
      </c>
      <c r="R498" s="41"/>
    </row>
    <row r="499" spans="1:18">
      <c r="A499" s="168"/>
      <c r="D499" s="188"/>
      <c r="F499" s="168" t="s">
        <v>6202</v>
      </c>
      <c r="G499" s="193">
        <f>IF(_1_5412845612146241046457891017[[#This Row],[Type]]&gt;0,VLOOKUP(_1_5412845612146241046457891017[[#This Row],[Type]],Main[[#All],[TYPE]:[UNIT]],'Unit Price'!C$1,FALSE),0)</f>
        <v>0</v>
      </c>
      <c r="H499" s="197">
        <f>IF(_1_5412845612146241046457891017[[#This Row],[Type]]&gt;0,VLOOKUP(_1_5412845612146241046457891017[[#This Row],[Type]],Main[[#All],[TYPE]:[UNIT]],'Unit Price'!D$1,FALSE),0)</f>
        <v>0</v>
      </c>
      <c r="I499" s="194">
        <f>IF(_1_5412845612146241046457891017[[#This Row],[Type]]&gt;0,VLOOKUP(_1_5412845612146241046457891017[[#This Row],[Type]],Main[[#All],[TYPE]:[UNIT]],'Unit Price'!G$1,FALSE),0)</f>
        <v>0</v>
      </c>
      <c r="J499" s="194">
        <f>IF(_1_5412845612146241046457891017[[#This Row],[Type]]&gt;0,VLOOKUP(_1_5412845612146241046457891017[[#This Row],[Type]],Main[[#All],[TYPE]:[UNIT]],'Unit Price'!H$1,FALSE),0)</f>
        <v>0</v>
      </c>
      <c r="K499" s="194">
        <f>IF(_1_5412845612146241046457891017[[#This Row],[Discount selection]]&gt;0,VLOOKUP(_1_5412845612146241046457891017[[#This Row],[Discount selection]],'Discount Structure'!$A$2:$B$30,2,"false"),0)</f>
        <v>1</v>
      </c>
      <c r="L499" s="194">
        <f>_1_5412845612146241046457891017[[#This Row],[LIST $]]*_1_5412845612146241046457891017[[#This Row],[DISCOUNT]]*_1_5412845612146241046457891017[[#This Row],[DISCOUNT 2]]</f>
        <v>0</v>
      </c>
      <c r="M499" s="194">
        <f>IF(OR(_1_5412845612146241046457891017[[#This Row],[UNIT]]&gt;0,_1_5412845612146241046457891017[[#This Row],[UNIT]]&lt;0),_1_5412845612146241046457891017[[#This Row],[UNIT]]*_1_5412845612146241046457891017[[#This Row],[COST]],0)</f>
        <v>0</v>
      </c>
      <c r="N499" s="194">
        <f t="shared" si="7"/>
        <v>1.35</v>
      </c>
      <c r="O499" s="198">
        <f>_1_5412845612146241046457891017[[#This Row],[TOTAL]]*_1_5412845612146241046457891017[[#This Row],[MARGIN]]</f>
        <v>0</v>
      </c>
      <c r="R499" s="41"/>
    </row>
    <row r="500" spans="1:18">
      <c r="D500" s="188"/>
      <c r="F500" s="168" t="s">
        <v>6202</v>
      </c>
      <c r="G500" s="193">
        <f>IF(_1_5412845612146241046457891017[[#This Row],[Type]]&gt;0,VLOOKUP(_1_5412845612146241046457891017[[#This Row],[Type]],Main[[#All],[TYPE]:[UNIT]],'Unit Price'!C$1,FALSE),0)</f>
        <v>0</v>
      </c>
      <c r="H500" s="197">
        <f>IF(_1_5412845612146241046457891017[[#This Row],[Type]]&gt;0,VLOOKUP(_1_5412845612146241046457891017[[#This Row],[Type]],Main[[#All],[TYPE]:[UNIT]],'Unit Price'!D$1,FALSE),0)</f>
        <v>0</v>
      </c>
      <c r="I500" s="194">
        <f>IF(_1_5412845612146241046457891017[[#This Row],[Type]]&gt;0,VLOOKUP(_1_5412845612146241046457891017[[#This Row],[Type]],Main[[#All],[TYPE]:[UNIT]],'Unit Price'!G$1,FALSE),0)</f>
        <v>0</v>
      </c>
      <c r="J500" s="194">
        <f>IF(_1_5412845612146241046457891017[[#This Row],[Type]]&gt;0,VLOOKUP(_1_5412845612146241046457891017[[#This Row],[Type]],Main[[#All],[TYPE]:[UNIT]],'Unit Price'!H$1,FALSE),0)</f>
        <v>0</v>
      </c>
      <c r="K500" s="194">
        <f>IF(_1_5412845612146241046457891017[[#This Row],[Discount selection]]&gt;0,VLOOKUP(_1_5412845612146241046457891017[[#This Row],[Discount selection]],'Discount Structure'!$A$2:$B$30,2,"false"),0)</f>
        <v>1</v>
      </c>
      <c r="L500" s="194">
        <f>_1_5412845612146241046457891017[[#This Row],[LIST $]]*_1_5412845612146241046457891017[[#This Row],[DISCOUNT]]*_1_5412845612146241046457891017[[#This Row],[DISCOUNT 2]]</f>
        <v>0</v>
      </c>
      <c r="M500" s="194">
        <f>IF(OR(_1_5412845612146241046457891017[[#This Row],[UNIT]]&gt;0,_1_5412845612146241046457891017[[#This Row],[UNIT]]&lt;0),_1_5412845612146241046457891017[[#This Row],[UNIT]]*_1_5412845612146241046457891017[[#This Row],[COST]],0)</f>
        <v>0</v>
      </c>
      <c r="N500" s="194">
        <f t="shared" si="7"/>
        <v>1.35</v>
      </c>
      <c r="O500" s="198">
        <f>_1_5412845612146241046457891017[[#This Row],[TOTAL]]*_1_5412845612146241046457891017[[#This Row],[MARGIN]]</f>
        <v>0</v>
      </c>
      <c r="R500" s="41"/>
    </row>
    <row r="501" spans="1:18">
      <c r="D501" s="188"/>
      <c r="F501" s="168" t="s">
        <v>6202</v>
      </c>
      <c r="G501" s="193">
        <f>IF(_1_5412845612146241046457891017[[#This Row],[Type]]&gt;0,VLOOKUP(_1_5412845612146241046457891017[[#This Row],[Type]],Main[[#All],[TYPE]:[UNIT]],'Unit Price'!C$1,FALSE),0)</f>
        <v>0</v>
      </c>
      <c r="H501" s="197">
        <f>IF(_1_5412845612146241046457891017[[#This Row],[Type]]&gt;0,VLOOKUP(_1_5412845612146241046457891017[[#This Row],[Type]],Main[[#All],[TYPE]:[UNIT]],'Unit Price'!D$1,FALSE),0)</f>
        <v>0</v>
      </c>
      <c r="I501" s="194">
        <f>IF(_1_5412845612146241046457891017[[#This Row],[Type]]&gt;0,VLOOKUP(_1_5412845612146241046457891017[[#This Row],[Type]],Main[[#All],[TYPE]:[UNIT]],'Unit Price'!G$1,FALSE),0)</f>
        <v>0</v>
      </c>
      <c r="J501" s="194">
        <f>IF(_1_5412845612146241046457891017[[#This Row],[Type]]&gt;0,VLOOKUP(_1_5412845612146241046457891017[[#This Row],[Type]],Main[[#All],[TYPE]:[UNIT]],'Unit Price'!H$1,FALSE),0)</f>
        <v>0</v>
      </c>
      <c r="K501" s="194">
        <f>IF(_1_5412845612146241046457891017[[#This Row],[Discount selection]]&gt;0,VLOOKUP(_1_5412845612146241046457891017[[#This Row],[Discount selection]],'Discount Structure'!$A$2:$B$30,2,"false"),0)</f>
        <v>1</v>
      </c>
      <c r="L501" s="194">
        <f>_1_5412845612146241046457891017[[#This Row],[LIST $]]*_1_5412845612146241046457891017[[#This Row],[DISCOUNT]]*_1_5412845612146241046457891017[[#This Row],[DISCOUNT 2]]</f>
        <v>0</v>
      </c>
      <c r="M501" s="194">
        <f>IF(OR(_1_5412845612146241046457891017[[#This Row],[UNIT]]&gt;0,_1_5412845612146241046457891017[[#This Row],[UNIT]]&lt;0),_1_5412845612146241046457891017[[#This Row],[UNIT]]*_1_5412845612146241046457891017[[#This Row],[COST]],0)</f>
        <v>0</v>
      </c>
      <c r="N501" s="194">
        <f t="shared" si="7"/>
        <v>1.35</v>
      </c>
      <c r="O501" s="198">
        <f>_1_5412845612146241046457891017[[#This Row],[TOTAL]]*_1_5412845612146241046457891017[[#This Row],[MARGIN]]</f>
        <v>0</v>
      </c>
      <c r="R501" s="41"/>
    </row>
    <row r="502" spans="1:18">
      <c r="D502" s="188"/>
      <c r="F502" s="168" t="s">
        <v>6202</v>
      </c>
      <c r="G502" s="193">
        <f>IF(_1_5412845612146241046457891017[[#This Row],[Type]]&gt;0,VLOOKUP(_1_5412845612146241046457891017[[#This Row],[Type]],Main[[#All],[TYPE]:[UNIT]],'Unit Price'!C$1,FALSE),0)</f>
        <v>0</v>
      </c>
      <c r="H502" s="197">
        <f>IF(_1_5412845612146241046457891017[[#This Row],[Type]]&gt;0,VLOOKUP(_1_5412845612146241046457891017[[#This Row],[Type]],Main[[#All],[TYPE]:[UNIT]],'Unit Price'!D$1,FALSE),0)</f>
        <v>0</v>
      </c>
      <c r="I502" s="194">
        <f>IF(_1_5412845612146241046457891017[[#This Row],[Type]]&gt;0,VLOOKUP(_1_5412845612146241046457891017[[#This Row],[Type]],Main[[#All],[TYPE]:[UNIT]],'Unit Price'!G$1,FALSE),0)</f>
        <v>0</v>
      </c>
      <c r="J502" s="194">
        <f>IF(_1_5412845612146241046457891017[[#This Row],[Type]]&gt;0,VLOOKUP(_1_5412845612146241046457891017[[#This Row],[Type]],Main[[#All],[TYPE]:[UNIT]],'Unit Price'!H$1,FALSE),0)</f>
        <v>0</v>
      </c>
      <c r="K502" s="194">
        <f>IF(_1_5412845612146241046457891017[[#This Row],[Discount selection]]&gt;0,VLOOKUP(_1_5412845612146241046457891017[[#This Row],[Discount selection]],'Discount Structure'!$A$2:$B$30,2,"false"),0)</f>
        <v>1</v>
      </c>
      <c r="L502" s="194">
        <f>_1_5412845612146241046457891017[[#This Row],[LIST $]]*_1_5412845612146241046457891017[[#This Row],[DISCOUNT]]*_1_5412845612146241046457891017[[#This Row],[DISCOUNT 2]]</f>
        <v>0</v>
      </c>
      <c r="M502" s="194">
        <f>IF(OR(_1_5412845612146241046457891017[[#This Row],[UNIT]]&gt;0,_1_5412845612146241046457891017[[#This Row],[UNIT]]&lt;0),_1_5412845612146241046457891017[[#This Row],[UNIT]]*_1_5412845612146241046457891017[[#This Row],[COST]],0)</f>
        <v>0</v>
      </c>
      <c r="N502" s="194">
        <f t="shared" si="7"/>
        <v>1.35</v>
      </c>
      <c r="O502" s="198">
        <f>_1_5412845612146241046457891017[[#This Row],[TOTAL]]*_1_5412845612146241046457891017[[#This Row],[MARGIN]]</f>
        <v>0</v>
      </c>
      <c r="R502" s="41"/>
    </row>
    <row r="503" spans="1:18">
      <c r="D503" s="188"/>
      <c r="F503" s="168" t="s">
        <v>6202</v>
      </c>
      <c r="G503" s="193">
        <f>IF(_1_5412845612146241046457891017[[#This Row],[Type]]&gt;0,VLOOKUP(_1_5412845612146241046457891017[[#This Row],[Type]],Main[[#All],[TYPE]:[UNIT]],'Unit Price'!C$1,FALSE),0)</f>
        <v>0</v>
      </c>
      <c r="H503" s="197">
        <f>IF(_1_5412845612146241046457891017[[#This Row],[Type]]&gt;0,VLOOKUP(_1_5412845612146241046457891017[[#This Row],[Type]],Main[[#All],[TYPE]:[UNIT]],'Unit Price'!D$1,FALSE),0)</f>
        <v>0</v>
      </c>
      <c r="I503" s="194">
        <f>IF(_1_5412845612146241046457891017[[#This Row],[Type]]&gt;0,VLOOKUP(_1_5412845612146241046457891017[[#This Row],[Type]],Main[[#All],[TYPE]:[UNIT]],'Unit Price'!G$1,FALSE),0)</f>
        <v>0</v>
      </c>
      <c r="J503" s="194">
        <f>IF(_1_5412845612146241046457891017[[#This Row],[Type]]&gt;0,VLOOKUP(_1_5412845612146241046457891017[[#This Row],[Type]],Main[[#All],[TYPE]:[UNIT]],'Unit Price'!H$1,FALSE),0)</f>
        <v>0</v>
      </c>
      <c r="K503" s="194">
        <f>IF(_1_5412845612146241046457891017[[#This Row],[Discount selection]]&gt;0,VLOOKUP(_1_5412845612146241046457891017[[#This Row],[Discount selection]],'Discount Structure'!$A$2:$B$30,2,"false"),0)</f>
        <v>1</v>
      </c>
      <c r="L503" s="194">
        <f>_1_5412845612146241046457891017[[#This Row],[LIST $]]*_1_5412845612146241046457891017[[#This Row],[DISCOUNT]]*_1_5412845612146241046457891017[[#This Row],[DISCOUNT 2]]</f>
        <v>0</v>
      </c>
      <c r="M503" s="194">
        <f>IF(OR(_1_5412845612146241046457891017[[#This Row],[UNIT]]&gt;0,_1_5412845612146241046457891017[[#This Row],[UNIT]]&lt;0),_1_5412845612146241046457891017[[#This Row],[UNIT]]*_1_5412845612146241046457891017[[#This Row],[COST]],0)</f>
        <v>0</v>
      </c>
      <c r="N503" s="194">
        <f t="shared" si="7"/>
        <v>1.35</v>
      </c>
      <c r="O503" s="198">
        <f>_1_5412845612146241046457891017[[#This Row],[TOTAL]]*_1_5412845612146241046457891017[[#This Row],[MARGIN]]</f>
        <v>0</v>
      </c>
      <c r="R503" s="41"/>
    </row>
    <row r="504" spans="1:18">
      <c r="D504" s="188"/>
      <c r="F504" s="168" t="s">
        <v>6202</v>
      </c>
      <c r="G504" s="193">
        <f>IF(_1_5412845612146241046457891017[[#This Row],[Type]]&gt;0,VLOOKUP(_1_5412845612146241046457891017[[#This Row],[Type]],Main[[#All],[TYPE]:[UNIT]],'Unit Price'!C$1,FALSE),0)</f>
        <v>0</v>
      </c>
      <c r="H504" s="197">
        <f>IF(_1_5412845612146241046457891017[[#This Row],[Type]]&gt;0,VLOOKUP(_1_5412845612146241046457891017[[#This Row],[Type]],Main[[#All],[TYPE]:[UNIT]],'Unit Price'!D$1,FALSE),0)</f>
        <v>0</v>
      </c>
      <c r="I504" s="194">
        <f>IF(_1_5412845612146241046457891017[[#This Row],[Type]]&gt;0,VLOOKUP(_1_5412845612146241046457891017[[#This Row],[Type]],Main[[#All],[TYPE]:[UNIT]],'Unit Price'!G$1,FALSE),0)</f>
        <v>0</v>
      </c>
      <c r="J504" s="194">
        <f>IF(_1_5412845612146241046457891017[[#This Row],[Type]]&gt;0,VLOOKUP(_1_5412845612146241046457891017[[#This Row],[Type]],Main[[#All],[TYPE]:[UNIT]],'Unit Price'!H$1,FALSE),0)</f>
        <v>0</v>
      </c>
      <c r="K504" s="194">
        <f>IF(_1_5412845612146241046457891017[[#This Row],[Discount selection]]&gt;0,VLOOKUP(_1_5412845612146241046457891017[[#This Row],[Discount selection]],'Discount Structure'!$A$2:$B$30,2,"false"),0)</f>
        <v>1</v>
      </c>
      <c r="L504" s="194">
        <f>_1_5412845612146241046457891017[[#This Row],[LIST $]]*_1_5412845612146241046457891017[[#This Row],[DISCOUNT]]*_1_5412845612146241046457891017[[#This Row],[DISCOUNT 2]]</f>
        <v>0</v>
      </c>
      <c r="M504" s="194">
        <f>IF(OR(_1_5412845612146241046457891017[[#This Row],[UNIT]]&gt;0,_1_5412845612146241046457891017[[#This Row],[UNIT]]&lt;0),_1_5412845612146241046457891017[[#This Row],[UNIT]]*_1_5412845612146241046457891017[[#This Row],[COST]],0)</f>
        <v>0</v>
      </c>
      <c r="N504" s="194">
        <f t="shared" si="7"/>
        <v>1.35</v>
      </c>
      <c r="O504" s="198">
        <f>_1_5412845612146241046457891017[[#This Row],[TOTAL]]*_1_5412845612146241046457891017[[#This Row],[MARGIN]]</f>
        <v>0</v>
      </c>
      <c r="R504" s="41"/>
    </row>
    <row r="505" spans="1:18">
      <c r="D505" s="188"/>
      <c r="F505" s="168" t="s">
        <v>6202</v>
      </c>
      <c r="G505" s="193">
        <f>IF(_1_5412845612146241046457891017[[#This Row],[Type]]&gt;0,VLOOKUP(_1_5412845612146241046457891017[[#This Row],[Type]],Main[[#All],[TYPE]:[UNIT]],'Unit Price'!C$1,FALSE),0)</f>
        <v>0</v>
      </c>
      <c r="H505" s="197">
        <f>IF(_1_5412845612146241046457891017[[#This Row],[Type]]&gt;0,VLOOKUP(_1_5412845612146241046457891017[[#This Row],[Type]],Main[[#All],[TYPE]:[UNIT]],'Unit Price'!D$1,FALSE),0)</f>
        <v>0</v>
      </c>
      <c r="I505" s="194">
        <f>IF(_1_5412845612146241046457891017[[#This Row],[Type]]&gt;0,VLOOKUP(_1_5412845612146241046457891017[[#This Row],[Type]],Main[[#All],[TYPE]:[UNIT]],'Unit Price'!G$1,FALSE),0)</f>
        <v>0</v>
      </c>
      <c r="J505" s="194">
        <f>IF(_1_5412845612146241046457891017[[#This Row],[Type]]&gt;0,VLOOKUP(_1_5412845612146241046457891017[[#This Row],[Type]],Main[[#All],[TYPE]:[UNIT]],'Unit Price'!H$1,FALSE),0)</f>
        <v>0</v>
      </c>
      <c r="K505" s="194">
        <f>IF(_1_5412845612146241046457891017[[#This Row],[Discount selection]]&gt;0,VLOOKUP(_1_5412845612146241046457891017[[#This Row],[Discount selection]],'Discount Structure'!$A$2:$B$30,2,"false"),0)</f>
        <v>1</v>
      </c>
      <c r="L505" s="194">
        <f>_1_5412845612146241046457891017[[#This Row],[LIST $]]*_1_5412845612146241046457891017[[#This Row],[DISCOUNT]]*_1_5412845612146241046457891017[[#This Row],[DISCOUNT 2]]</f>
        <v>0</v>
      </c>
      <c r="M505" s="194">
        <f>IF(OR(_1_5412845612146241046457891017[[#This Row],[UNIT]]&gt;0,_1_5412845612146241046457891017[[#This Row],[UNIT]]&lt;0),_1_5412845612146241046457891017[[#This Row],[UNIT]]*_1_5412845612146241046457891017[[#This Row],[COST]],0)</f>
        <v>0</v>
      </c>
      <c r="N505" s="194">
        <f t="shared" si="7"/>
        <v>1.35</v>
      </c>
      <c r="O505" s="198">
        <f>_1_5412845612146241046457891017[[#This Row],[TOTAL]]*_1_5412845612146241046457891017[[#This Row],[MARGIN]]</f>
        <v>0</v>
      </c>
      <c r="R505" s="41"/>
    </row>
    <row r="506" spans="1:18">
      <c r="A506" s="168"/>
      <c r="D506" s="188"/>
      <c r="F506" s="168" t="s">
        <v>6202</v>
      </c>
      <c r="G506" s="193">
        <f>IF(_1_5412845612146241046457891017[[#This Row],[Type]]&gt;0,VLOOKUP(_1_5412845612146241046457891017[[#This Row],[Type]],Main[[#All],[TYPE]:[UNIT]],'Unit Price'!C$1,FALSE),0)</f>
        <v>0</v>
      </c>
      <c r="H506" s="197">
        <f>IF(_1_5412845612146241046457891017[[#This Row],[Type]]&gt;0,VLOOKUP(_1_5412845612146241046457891017[[#This Row],[Type]],Main[[#All],[TYPE]:[UNIT]],'Unit Price'!D$1,FALSE),0)</f>
        <v>0</v>
      </c>
      <c r="I506" s="194">
        <f>IF(_1_5412845612146241046457891017[[#This Row],[Type]]&gt;0,VLOOKUP(_1_5412845612146241046457891017[[#This Row],[Type]],Main[[#All],[TYPE]:[UNIT]],'Unit Price'!G$1,FALSE),0)</f>
        <v>0</v>
      </c>
      <c r="J506" s="194">
        <f>IF(_1_5412845612146241046457891017[[#This Row],[Type]]&gt;0,VLOOKUP(_1_5412845612146241046457891017[[#This Row],[Type]],Main[[#All],[TYPE]:[UNIT]],'Unit Price'!H$1,FALSE),0)</f>
        <v>0</v>
      </c>
      <c r="K506" s="194">
        <f>IF(_1_5412845612146241046457891017[[#This Row],[Discount selection]]&gt;0,VLOOKUP(_1_5412845612146241046457891017[[#This Row],[Discount selection]],'Discount Structure'!$A$2:$B$30,2,"false"),0)</f>
        <v>1</v>
      </c>
      <c r="L506" s="194">
        <f>_1_5412845612146241046457891017[[#This Row],[LIST $]]*_1_5412845612146241046457891017[[#This Row],[DISCOUNT]]*_1_5412845612146241046457891017[[#This Row],[DISCOUNT 2]]</f>
        <v>0</v>
      </c>
      <c r="M506" s="194">
        <f>IF(OR(_1_5412845612146241046457891017[[#This Row],[UNIT]]&gt;0,_1_5412845612146241046457891017[[#This Row],[UNIT]]&lt;0),_1_5412845612146241046457891017[[#This Row],[UNIT]]*_1_5412845612146241046457891017[[#This Row],[COST]],0)</f>
        <v>0</v>
      </c>
      <c r="N506" s="194">
        <f t="shared" si="7"/>
        <v>1.35</v>
      </c>
      <c r="O506" s="198">
        <f>_1_5412845612146241046457891017[[#This Row],[TOTAL]]*_1_5412845612146241046457891017[[#This Row],[MARGIN]]</f>
        <v>0</v>
      </c>
      <c r="R506" s="41"/>
    </row>
    <row r="507" spans="1:18">
      <c r="D507" s="188"/>
      <c r="F507" s="168" t="s">
        <v>6202</v>
      </c>
      <c r="G507" s="193">
        <f>IF(_1_5412845612146241046457891017[[#This Row],[Type]]&gt;0,VLOOKUP(_1_5412845612146241046457891017[[#This Row],[Type]],Main[[#All],[TYPE]:[UNIT]],'Unit Price'!C$1,FALSE),0)</f>
        <v>0</v>
      </c>
      <c r="H507" s="197">
        <f>IF(_1_5412845612146241046457891017[[#This Row],[Type]]&gt;0,VLOOKUP(_1_5412845612146241046457891017[[#This Row],[Type]],Main[[#All],[TYPE]:[UNIT]],'Unit Price'!D$1,FALSE),0)</f>
        <v>0</v>
      </c>
      <c r="I507" s="194">
        <f>IF(_1_5412845612146241046457891017[[#This Row],[Type]]&gt;0,VLOOKUP(_1_5412845612146241046457891017[[#This Row],[Type]],Main[[#All],[TYPE]:[UNIT]],'Unit Price'!G$1,FALSE),0)</f>
        <v>0</v>
      </c>
      <c r="J507" s="194">
        <f>IF(_1_5412845612146241046457891017[[#This Row],[Type]]&gt;0,VLOOKUP(_1_5412845612146241046457891017[[#This Row],[Type]],Main[[#All],[TYPE]:[UNIT]],'Unit Price'!H$1,FALSE),0)</f>
        <v>0</v>
      </c>
      <c r="K507" s="194">
        <f>IF(_1_5412845612146241046457891017[[#This Row],[Discount selection]]&gt;0,VLOOKUP(_1_5412845612146241046457891017[[#This Row],[Discount selection]],'Discount Structure'!$A$2:$B$30,2,"false"),0)</f>
        <v>1</v>
      </c>
      <c r="L507" s="194">
        <f>_1_5412845612146241046457891017[[#This Row],[LIST $]]*_1_5412845612146241046457891017[[#This Row],[DISCOUNT]]*_1_5412845612146241046457891017[[#This Row],[DISCOUNT 2]]</f>
        <v>0</v>
      </c>
      <c r="M507" s="194">
        <f>IF(OR(_1_5412845612146241046457891017[[#This Row],[UNIT]]&gt;0,_1_5412845612146241046457891017[[#This Row],[UNIT]]&lt;0),_1_5412845612146241046457891017[[#This Row],[UNIT]]*_1_5412845612146241046457891017[[#This Row],[COST]],0)</f>
        <v>0</v>
      </c>
      <c r="N507" s="194">
        <f t="shared" si="7"/>
        <v>1.35</v>
      </c>
      <c r="O507" s="198">
        <f>_1_5412845612146241046457891017[[#This Row],[TOTAL]]*_1_5412845612146241046457891017[[#This Row],[MARGIN]]</f>
        <v>0</v>
      </c>
      <c r="R507" s="41"/>
    </row>
    <row r="508" spans="1:18">
      <c r="D508" s="188"/>
      <c r="F508" s="168" t="s">
        <v>6202</v>
      </c>
      <c r="G508" s="193">
        <f>IF(_1_5412845612146241046457891017[[#This Row],[Type]]&gt;0,VLOOKUP(_1_5412845612146241046457891017[[#This Row],[Type]],Main[[#All],[TYPE]:[UNIT]],'Unit Price'!C$1,FALSE),0)</f>
        <v>0</v>
      </c>
      <c r="H508" s="197">
        <f>IF(_1_5412845612146241046457891017[[#This Row],[Type]]&gt;0,VLOOKUP(_1_5412845612146241046457891017[[#This Row],[Type]],Main[[#All],[TYPE]:[UNIT]],'Unit Price'!D$1,FALSE),0)</f>
        <v>0</v>
      </c>
      <c r="I508" s="194">
        <f>IF(_1_5412845612146241046457891017[[#This Row],[Type]]&gt;0,VLOOKUP(_1_5412845612146241046457891017[[#This Row],[Type]],Main[[#All],[TYPE]:[UNIT]],'Unit Price'!G$1,FALSE),0)</f>
        <v>0</v>
      </c>
      <c r="J508" s="194">
        <f>IF(_1_5412845612146241046457891017[[#This Row],[Type]]&gt;0,VLOOKUP(_1_5412845612146241046457891017[[#This Row],[Type]],Main[[#All],[TYPE]:[UNIT]],'Unit Price'!H$1,FALSE),0)</f>
        <v>0</v>
      </c>
      <c r="K508" s="194">
        <f>IF(_1_5412845612146241046457891017[[#This Row],[Discount selection]]&gt;0,VLOOKUP(_1_5412845612146241046457891017[[#This Row],[Discount selection]],'Discount Structure'!$A$2:$B$30,2,"false"),0)</f>
        <v>1</v>
      </c>
      <c r="L508" s="194">
        <f>_1_5412845612146241046457891017[[#This Row],[LIST $]]*_1_5412845612146241046457891017[[#This Row],[DISCOUNT]]*_1_5412845612146241046457891017[[#This Row],[DISCOUNT 2]]</f>
        <v>0</v>
      </c>
      <c r="M508" s="194">
        <f>IF(OR(_1_5412845612146241046457891017[[#This Row],[UNIT]]&gt;0,_1_5412845612146241046457891017[[#This Row],[UNIT]]&lt;0),_1_5412845612146241046457891017[[#This Row],[UNIT]]*_1_5412845612146241046457891017[[#This Row],[COST]],0)</f>
        <v>0</v>
      </c>
      <c r="N508" s="194">
        <f t="shared" si="7"/>
        <v>1.35</v>
      </c>
      <c r="O508" s="198">
        <f>_1_5412845612146241046457891017[[#This Row],[TOTAL]]*_1_5412845612146241046457891017[[#This Row],[MARGIN]]</f>
        <v>0</v>
      </c>
      <c r="R508" s="41"/>
    </row>
    <row r="509" spans="1:18">
      <c r="D509" s="188"/>
      <c r="F509" s="168" t="s">
        <v>6202</v>
      </c>
      <c r="G509" s="193">
        <f>IF(_1_5412845612146241046457891017[[#This Row],[Type]]&gt;0,VLOOKUP(_1_5412845612146241046457891017[[#This Row],[Type]],Main[[#All],[TYPE]:[UNIT]],'Unit Price'!C$1,FALSE),0)</f>
        <v>0</v>
      </c>
      <c r="H509" s="197">
        <f>IF(_1_5412845612146241046457891017[[#This Row],[Type]]&gt;0,VLOOKUP(_1_5412845612146241046457891017[[#This Row],[Type]],Main[[#All],[TYPE]:[UNIT]],'Unit Price'!D$1,FALSE),0)</f>
        <v>0</v>
      </c>
      <c r="I509" s="194">
        <f>IF(_1_5412845612146241046457891017[[#This Row],[Type]]&gt;0,VLOOKUP(_1_5412845612146241046457891017[[#This Row],[Type]],Main[[#All],[TYPE]:[UNIT]],'Unit Price'!G$1,FALSE),0)</f>
        <v>0</v>
      </c>
      <c r="J509" s="194">
        <f>IF(_1_5412845612146241046457891017[[#This Row],[Type]]&gt;0,VLOOKUP(_1_5412845612146241046457891017[[#This Row],[Type]],Main[[#All],[TYPE]:[UNIT]],'Unit Price'!H$1,FALSE),0)</f>
        <v>0</v>
      </c>
      <c r="K509" s="194">
        <f>IF(_1_5412845612146241046457891017[[#This Row],[Discount selection]]&gt;0,VLOOKUP(_1_5412845612146241046457891017[[#This Row],[Discount selection]],'Discount Structure'!$A$2:$B$30,2,"false"),0)</f>
        <v>1</v>
      </c>
      <c r="L509" s="194">
        <f>_1_5412845612146241046457891017[[#This Row],[LIST $]]*_1_5412845612146241046457891017[[#This Row],[DISCOUNT]]*_1_5412845612146241046457891017[[#This Row],[DISCOUNT 2]]</f>
        <v>0</v>
      </c>
      <c r="M509" s="194">
        <f>IF(OR(_1_5412845612146241046457891017[[#This Row],[UNIT]]&gt;0,_1_5412845612146241046457891017[[#This Row],[UNIT]]&lt;0),_1_5412845612146241046457891017[[#This Row],[UNIT]]*_1_5412845612146241046457891017[[#This Row],[COST]],0)</f>
        <v>0</v>
      </c>
      <c r="N509" s="194">
        <f t="shared" si="7"/>
        <v>1.35</v>
      </c>
      <c r="O509" s="198">
        <f>_1_5412845612146241046457891017[[#This Row],[TOTAL]]*_1_5412845612146241046457891017[[#This Row],[MARGIN]]</f>
        <v>0</v>
      </c>
      <c r="R509" s="41"/>
    </row>
    <row r="510" spans="1:18">
      <c r="D510" s="188"/>
      <c r="F510" s="168" t="s">
        <v>6202</v>
      </c>
      <c r="G510" s="193">
        <f>IF(_1_5412845612146241046457891017[[#This Row],[Type]]&gt;0,VLOOKUP(_1_5412845612146241046457891017[[#This Row],[Type]],Main[[#All],[TYPE]:[UNIT]],'Unit Price'!C$1,FALSE),0)</f>
        <v>0</v>
      </c>
      <c r="H510" s="197">
        <f>IF(_1_5412845612146241046457891017[[#This Row],[Type]]&gt;0,VLOOKUP(_1_5412845612146241046457891017[[#This Row],[Type]],Main[[#All],[TYPE]:[UNIT]],'Unit Price'!D$1,FALSE),0)</f>
        <v>0</v>
      </c>
      <c r="I510" s="194">
        <f>IF(_1_5412845612146241046457891017[[#This Row],[Type]]&gt;0,VLOOKUP(_1_5412845612146241046457891017[[#This Row],[Type]],Main[[#All],[TYPE]:[UNIT]],'Unit Price'!G$1,FALSE),0)</f>
        <v>0</v>
      </c>
      <c r="J510" s="194">
        <f>IF(_1_5412845612146241046457891017[[#This Row],[Type]]&gt;0,VLOOKUP(_1_5412845612146241046457891017[[#This Row],[Type]],Main[[#All],[TYPE]:[UNIT]],'Unit Price'!H$1,FALSE),0)</f>
        <v>0</v>
      </c>
      <c r="K510" s="194">
        <f>IF(_1_5412845612146241046457891017[[#This Row],[Discount selection]]&gt;0,VLOOKUP(_1_5412845612146241046457891017[[#This Row],[Discount selection]],'Discount Structure'!$A$2:$B$30,2,"false"),0)</f>
        <v>1</v>
      </c>
      <c r="L510" s="194">
        <f>_1_5412845612146241046457891017[[#This Row],[LIST $]]*_1_5412845612146241046457891017[[#This Row],[DISCOUNT]]*_1_5412845612146241046457891017[[#This Row],[DISCOUNT 2]]</f>
        <v>0</v>
      </c>
      <c r="M510" s="194">
        <f>IF(OR(_1_5412845612146241046457891017[[#This Row],[UNIT]]&gt;0,_1_5412845612146241046457891017[[#This Row],[UNIT]]&lt;0),_1_5412845612146241046457891017[[#This Row],[UNIT]]*_1_5412845612146241046457891017[[#This Row],[COST]],0)</f>
        <v>0</v>
      </c>
      <c r="N510" s="194">
        <f t="shared" si="7"/>
        <v>1.35</v>
      </c>
      <c r="O510" s="198">
        <f>_1_5412845612146241046457891017[[#This Row],[TOTAL]]*_1_5412845612146241046457891017[[#This Row],[MARGIN]]</f>
        <v>0</v>
      </c>
      <c r="R510" s="41"/>
    </row>
    <row r="511" spans="1:18">
      <c r="D511" s="188"/>
      <c r="F511" s="168" t="s">
        <v>6202</v>
      </c>
      <c r="G511" s="193">
        <f>IF(_1_5412845612146241046457891017[[#This Row],[Type]]&gt;0,VLOOKUP(_1_5412845612146241046457891017[[#This Row],[Type]],Main[[#All],[TYPE]:[UNIT]],'Unit Price'!C$1,FALSE),0)</f>
        <v>0</v>
      </c>
      <c r="H511" s="197">
        <f>IF(_1_5412845612146241046457891017[[#This Row],[Type]]&gt;0,VLOOKUP(_1_5412845612146241046457891017[[#This Row],[Type]],Main[[#All],[TYPE]:[UNIT]],'Unit Price'!D$1,FALSE),0)</f>
        <v>0</v>
      </c>
      <c r="I511" s="194">
        <f>IF(_1_5412845612146241046457891017[[#This Row],[Type]]&gt;0,VLOOKUP(_1_5412845612146241046457891017[[#This Row],[Type]],Main[[#All],[TYPE]:[UNIT]],'Unit Price'!G$1,FALSE),0)</f>
        <v>0</v>
      </c>
      <c r="J511" s="194">
        <f>IF(_1_5412845612146241046457891017[[#This Row],[Type]]&gt;0,VLOOKUP(_1_5412845612146241046457891017[[#This Row],[Type]],Main[[#All],[TYPE]:[UNIT]],'Unit Price'!H$1,FALSE),0)</f>
        <v>0</v>
      </c>
      <c r="K511" s="194">
        <f>IF(_1_5412845612146241046457891017[[#This Row],[Discount selection]]&gt;0,VLOOKUP(_1_5412845612146241046457891017[[#This Row],[Discount selection]],'Discount Structure'!$A$2:$B$30,2,"false"),0)</f>
        <v>1</v>
      </c>
      <c r="L511" s="194">
        <f>_1_5412845612146241046457891017[[#This Row],[LIST $]]*_1_5412845612146241046457891017[[#This Row],[DISCOUNT]]*_1_5412845612146241046457891017[[#This Row],[DISCOUNT 2]]</f>
        <v>0</v>
      </c>
      <c r="M511" s="194">
        <f>IF(OR(_1_5412845612146241046457891017[[#This Row],[UNIT]]&gt;0,_1_5412845612146241046457891017[[#This Row],[UNIT]]&lt;0),_1_5412845612146241046457891017[[#This Row],[UNIT]]*_1_5412845612146241046457891017[[#This Row],[COST]],0)</f>
        <v>0</v>
      </c>
      <c r="N511" s="194">
        <f t="shared" si="7"/>
        <v>1.35</v>
      </c>
      <c r="O511" s="198">
        <f>_1_5412845612146241046457891017[[#This Row],[TOTAL]]*_1_5412845612146241046457891017[[#This Row],[MARGIN]]</f>
        <v>0</v>
      </c>
      <c r="R511" s="41"/>
    </row>
    <row r="512" spans="1:18">
      <c r="A512" s="168"/>
      <c r="D512" s="188"/>
      <c r="F512" s="168" t="s">
        <v>6202</v>
      </c>
      <c r="G512" s="193">
        <f>IF(_1_5412845612146241046457891017[[#This Row],[Type]]&gt;0,VLOOKUP(_1_5412845612146241046457891017[[#This Row],[Type]],Main[[#All],[TYPE]:[UNIT]],'Unit Price'!C$1,FALSE),0)</f>
        <v>0</v>
      </c>
      <c r="H512" s="197">
        <f>IF(_1_5412845612146241046457891017[[#This Row],[Type]]&gt;0,VLOOKUP(_1_5412845612146241046457891017[[#This Row],[Type]],Main[[#All],[TYPE]:[UNIT]],'Unit Price'!D$1,FALSE),0)</f>
        <v>0</v>
      </c>
      <c r="I512" s="194">
        <f>IF(_1_5412845612146241046457891017[[#This Row],[Type]]&gt;0,VLOOKUP(_1_5412845612146241046457891017[[#This Row],[Type]],Main[[#All],[TYPE]:[UNIT]],'Unit Price'!G$1,FALSE),0)</f>
        <v>0</v>
      </c>
      <c r="J512" s="194">
        <f>IF(_1_5412845612146241046457891017[[#This Row],[Type]]&gt;0,VLOOKUP(_1_5412845612146241046457891017[[#This Row],[Type]],Main[[#All],[TYPE]:[UNIT]],'Unit Price'!H$1,FALSE),0)</f>
        <v>0</v>
      </c>
      <c r="K512" s="194">
        <f>IF(_1_5412845612146241046457891017[[#This Row],[Discount selection]]&gt;0,VLOOKUP(_1_5412845612146241046457891017[[#This Row],[Discount selection]],'Discount Structure'!$A$2:$B$30,2,"false"),0)</f>
        <v>1</v>
      </c>
      <c r="L512" s="194">
        <f>_1_5412845612146241046457891017[[#This Row],[LIST $]]*_1_5412845612146241046457891017[[#This Row],[DISCOUNT]]*_1_5412845612146241046457891017[[#This Row],[DISCOUNT 2]]</f>
        <v>0</v>
      </c>
      <c r="M512" s="194">
        <f>IF(OR(_1_5412845612146241046457891017[[#This Row],[UNIT]]&gt;0,_1_5412845612146241046457891017[[#This Row],[UNIT]]&lt;0),_1_5412845612146241046457891017[[#This Row],[UNIT]]*_1_5412845612146241046457891017[[#This Row],[COST]],0)</f>
        <v>0</v>
      </c>
      <c r="N512" s="194">
        <f t="shared" si="7"/>
        <v>1.35</v>
      </c>
      <c r="O512" s="198">
        <f>_1_5412845612146241046457891017[[#This Row],[TOTAL]]*_1_5412845612146241046457891017[[#This Row],[MARGIN]]</f>
        <v>0</v>
      </c>
      <c r="R512" s="41"/>
    </row>
    <row r="513" spans="1:18">
      <c r="A513" s="168"/>
      <c r="D513" s="188"/>
      <c r="F513" s="168" t="s">
        <v>6202</v>
      </c>
      <c r="G513" s="193">
        <f>IF(_1_5412845612146241046457891017[[#This Row],[Type]]&gt;0,VLOOKUP(_1_5412845612146241046457891017[[#This Row],[Type]],Main[[#All],[TYPE]:[UNIT]],'Unit Price'!C$1,FALSE),0)</f>
        <v>0</v>
      </c>
      <c r="H513" s="197">
        <f>IF(_1_5412845612146241046457891017[[#This Row],[Type]]&gt;0,VLOOKUP(_1_5412845612146241046457891017[[#This Row],[Type]],Main[[#All],[TYPE]:[UNIT]],'Unit Price'!D$1,FALSE),0)</f>
        <v>0</v>
      </c>
      <c r="I513" s="194">
        <f>IF(_1_5412845612146241046457891017[[#This Row],[Type]]&gt;0,VLOOKUP(_1_5412845612146241046457891017[[#This Row],[Type]],Main[[#All],[TYPE]:[UNIT]],'Unit Price'!G$1,FALSE),0)</f>
        <v>0</v>
      </c>
      <c r="J513" s="194">
        <f>IF(_1_5412845612146241046457891017[[#This Row],[Type]]&gt;0,VLOOKUP(_1_5412845612146241046457891017[[#This Row],[Type]],Main[[#All],[TYPE]:[UNIT]],'Unit Price'!H$1,FALSE),0)</f>
        <v>0</v>
      </c>
      <c r="K513" s="194">
        <f>IF(_1_5412845612146241046457891017[[#This Row],[Discount selection]]&gt;0,VLOOKUP(_1_5412845612146241046457891017[[#This Row],[Discount selection]],'Discount Structure'!$A$2:$B$30,2,"false"),0)</f>
        <v>1</v>
      </c>
      <c r="L513" s="194">
        <f>_1_5412845612146241046457891017[[#This Row],[LIST $]]*_1_5412845612146241046457891017[[#This Row],[DISCOUNT]]*_1_5412845612146241046457891017[[#This Row],[DISCOUNT 2]]</f>
        <v>0</v>
      </c>
      <c r="M513" s="194">
        <f>IF(OR(_1_5412845612146241046457891017[[#This Row],[UNIT]]&gt;0,_1_5412845612146241046457891017[[#This Row],[UNIT]]&lt;0),_1_5412845612146241046457891017[[#This Row],[UNIT]]*_1_5412845612146241046457891017[[#This Row],[COST]],0)</f>
        <v>0</v>
      </c>
      <c r="N513" s="194">
        <f t="shared" si="7"/>
        <v>1.35</v>
      </c>
      <c r="O513" s="198">
        <f>_1_5412845612146241046457891017[[#This Row],[TOTAL]]*_1_5412845612146241046457891017[[#This Row],[MARGIN]]</f>
        <v>0</v>
      </c>
      <c r="R513" s="41"/>
    </row>
    <row r="514" spans="1:18">
      <c r="A514" s="168"/>
      <c r="D514" s="188"/>
      <c r="F514" s="168" t="s">
        <v>6202</v>
      </c>
      <c r="G514" s="193">
        <f>IF(_1_5412845612146241046457891017[[#This Row],[Type]]&gt;0,VLOOKUP(_1_5412845612146241046457891017[[#This Row],[Type]],Main[[#All],[TYPE]:[UNIT]],'Unit Price'!C$1,FALSE),0)</f>
        <v>0</v>
      </c>
      <c r="H514" s="197">
        <f>IF(_1_5412845612146241046457891017[[#This Row],[Type]]&gt;0,VLOOKUP(_1_5412845612146241046457891017[[#This Row],[Type]],Main[[#All],[TYPE]:[UNIT]],'Unit Price'!D$1,FALSE),0)</f>
        <v>0</v>
      </c>
      <c r="I514" s="194">
        <f>IF(_1_5412845612146241046457891017[[#This Row],[Type]]&gt;0,VLOOKUP(_1_5412845612146241046457891017[[#This Row],[Type]],Main[[#All],[TYPE]:[UNIT]],'Unit Price'!G$1,FALSE),0)</f>
        <v>0</v>
      </c>
      <c r="J514" s="194">
        <f>IF(_1_5412845612146241046457891017[[#This Row],[Type]]&gt;0,VLOOKUP(_1_5412845612146241046457891017[[#This Row],[Type]],Main[[#All],[TYPE]:[UNIT]],'Unit Price'!H$1,FALSE),0)</f>
        <v>0</v>
      </c>
      <c r="K514" s="194">
        <f>IF(_1_5412845612146241046457891017[[#This Row],[Discount selection]]&gt;0,VLOOKUP(_1_5412845612146241046457891017[[#This Row],[Discount selection]],'Discount Structure'!$A$2:$B$30,2,"false"),0)</f>
        <v>1</v>
      </c>
      <c r="L514" s="194">
        <f>_1_5412845612146241046457891017[[#This Row],[LIST $]]*_1_5412845612146241046457891017[[#This Row],[DISCOUNT]]*_1_5412845612146241046457891017[[#This Row],[DISCOUNT 2]]</f>
        <v>0</v>
      </c>
      <c r="M514" s="194">
        <f>IF(OR(_1_5412845612146241046457891017[[#This Row],[UNIT]]&gt;0,_1_5412845612146241046457891017[[#This Row],[UNIT]]&lt;0),_1_5412845612146241046457891017[[#This Row],[UNIT]]*_1_5412845612146241046457891017[[#This Row],[COST]],0)</f>
        <v>0</v>
      </c>
      <c r="N514" s="194">
        <f t="shared" si="7"/>
        <v>1.35</v>
      </c>
      <c r="O514" s="198">
        <f>_1_5412845612146241046457891017[[#This Row],[TOTAL]]*_1_5412845612146241046457891017[[#This Row],[MARGIN]]</f>
        <v>0</v>
      </c>
      <c r="R514" s="41"/>
    </row>
    <row r="515" spans="1:18">
      <c r="B515" s="168"/>
      <c r="C515" s="168"/>
      <c r="D515" s="188"/>
      <c r="F515" s="168" t="s">
        <v>6202</v>
      </c>
      <c r="G515" s="193">
        <f>IF(_1_5412845612146241046457891017[[#This Row],[Type]]&gt;0,VLOOKUP(_1_5412845612146241046457891017[[#This Row],[Type]],Main[[#All],[TYPE]:[UNIT]],'Unit Price'!C$1,FALSE),0)</f>
        <v>0</v>
      </c>
      <c r="H515" s="197">
        <f>IF(_1_5412845612146241046457891017[[#This Row],[Type]]&gt;0,VLOOKUP(_1_5412845612146241046457891017[[#This Row],[Type]],Main[[#All],[TYPE]:[UNIT]],'Unit Price'!D$1,FALSE),0)</f>
        <v>0</v>
      </c>
      <c r="I515" s="194">
        <f>IF(_1_5412845612146241046457891017[[#This Row],[Type]]&gt;0,VLOOKUP(_1_5412845612146241046457891017[[#This Row],[Type]],Main[[#All],[TYPE]:[UNIT]],'Unit Price'!G$1,FALSE),0)</f>
        <v>0</v>
      </c>
      <c r="J515" s="194">
        <f>IF(_1_5412845612146241046457891017[[#This Row],[Type]]&gt;0,VLOOKUP(_1_5412845612146241046457891017[[#This Row],[Type]],Main[[#All],[TYPE]:[UNIT]],'Unit Price'!H$1,FALSE),0)</f>
        <v>0</v>
      </c>
      <c r="K515" s="194">
        <f>IF(_1_5412845612146241046457891017[[#This Row],[Discount selection]]&gt;0,VLOOKUP(_1_5412845612146241046457891017[[#This Row],[Discount selection]],'Discount Structure'!$A$2:$B$30,2,"false"),0)</f>
        <v>1</v>
      </c>
      <c r="L515" s="194">
        <f>_1_5412845612146241046457891017[[#This Row],[LIST $]]*_1_5412845612146241046457891017[[#This Row],[DISCOUNT]]*_1_5412845612146241046457891017[[#This Row],[DISCOUNT 2]]</f>
        <v>0</v>
      </c>
      <c r="M515" s="194">
        <f>IF(OR(_1_5412845612146241046457891017[[#This Row],[UNIT]]&gt;0,_1_5412845612146241046457891017[[#This Row],[UNIT]]&lt;0),_1_5412845612146241046457891017[[#This Row],[UNIT]]*_1_5412845612146241046457891017[[#This Row],[COST]],0)</f>
        <v>0</v>
      </c>
      <c r="N515" s="194">
        <f t="shared" si="7"/>
        <v>1.35</v>
      </c>
      <c r="O515" s="198">
        <f>_1_5412845612146241046457891017[[#This Row],[TOTAL]]*_1_5412845612146241046457891017[[#This Row],[MARGIN]]</f>
        <v>0</v>
      </c>
      <c r="R515" s="41"/>
    </row>
    <row r="516" spans="1:18">
      <c r="D516" s="188"/>
      <c r="F516" s="168" t="s">
        <v>6202</v>
      </c>
      <c r="G516" s="193">
        <f>IF(_1_5412845612146241046457891017[[#This Row],[Type]]&gt;0,VLOOKUP(_1_5412845612146241046457891017[[#This Row],[Type]],Main[[#All],[TYPE]:[UNIT]],'Unit Price'!C$1,FALSE),0)</f>
        <v>0</v>
      </c>
      <c r="H516" s="197">
        <f>IF(_1_5412845612146241046457891017[[#This Row],[Type]]&gt;0,VLOOKUP(_1_5412845612146241046457891017[[#This Row],[Type]],Main[[#All],[TYPE]:[UNIT]],'Unit Price'!D$1,FALSE),0)</f>
        <v>0</v>
      </c>
      <c r="I516" s="194">
        <f>IF(_1_5412845612146241046457891017[[#This Row],[Type]]&gt;0,VLOOKUP(_1_5412845612146241046457891017[[#This Row],[Type]],Main[[#All],[TYPE]:[UNIT]],'Unit Price'!G$1,FALSE),0)</f>
        <v>0</v>
      </c>
      <c r="J516" s="194">
        <f>IF(_1_5412845612146241046457891017[[#This Row],[Type]]&gt;0,VLOOKUP(_1_5412845612146241046457891017[[#This Row],[Type]],Main[[#All],[TYPE]:[UNIT]],'Unit Price'!H$1,FALSE),0)</f>
        <v>0</v>
      </c>
      <c r="K516" s="194">
        <f>IF(_1_5412845612146241046457891017[[#This Row],[Discount selection]]&gt;0,VLOOKUP(_1_5412845612146241046457891017[[#This Row],[Discount selection]],'Discount Structure'!$A$2:$B$30,2,"false"),0)</f>
        <v>1</v>
      </c>
      <c r="L516" s="194">
        <f>_1_5412845612146241046457891017[[#This Row],[LIST $]]*_1_5412845612146241046457891017[[#This Row],[DISCOUNT]]*_1_5412845612146241046457891017[[#This Row],[DISCOUNT 2]]</f>
        <v>0</v>
      </c>
      <c r="M516" s="194">
        <f>IF(OR(_1_5412845612146241046457891017[[#This Row],[UNIT]]&gt;0,_1_5412845612146241046457891017[[#This Row],[UNIT]]&lt;0),_1_5412845612146241046457891017[[#This Row],[UNIT]]*_1_5412845612146241046457891017[[#This Row],[COST]],0)</f>
        <v>0</v>
      </c>
      <c r="N516" s="194">
        <f t="shared" si="7"/>
        <v>1.35</v>
      </c>
      <c r="O516" s="198">
        <f>_1_5412845612146241046457891017[[#This Row],[TOTAL]]*_1_5412845612146241046457891017[[#This Row],[MARGIN]]</f>
        <v>0</v>
      </c>
      <c r="R516" s="41"/>
    </row>
    <row r="517" spans="1:18">
      <c r="D517" s="188"/>
      <c r="F517" s="168" t="s">
        <v>6202</v>
      </c>
      <c r="G517" s="193">
        <f>IF(_1_5412845612146241046457891017[[#This Row],[Type]]&gt;0,VLOOKUP(_1_5412845612146241046457891017[[#This Row],[Type]],Main[[#All],[TYPE]:[UNIT]],'Unit Price'!C$1,FALSE),0)</f>
        <v>0</v>
      </c>
      <c r="H517" s="197">
        <f>IF(_1_5412845612146241046457891017[[#This Row],[Type]]&gt;0,VLOOKUP(_1_5412845612146241046457891017[[#This Row],[Type]],Main[[#All],[TYPE]:[UNIT]],'Unit Price'!D$1,FALSE),0)</f>
        <v>0</v>
      </c>
      <c r="I517" s="194">
        <f>IF(_1_5412845612146241046457891017[[#This Row],[Type]]&gt;0,VLOOKUP(_1_5412845612146241046457891017[[#This Row],[Type]],Main[[#All],[TYPE]:[UNIT]],'Unit Price'!G$1,FALSE),0)</f>
        <v>0</v>
      </c>
      <c r="J517" s="194">
        <f>IF(_1_5412845612146241046457891017[[#This Row],[Type]]&gt;0,VLOOKUP(_1_5412845612146241046457891017[[#This Row],[Type]],Main[[#All],[TYPE]:[UNIT]],'Unit Price'!H$1,FALSE),0)</f>
        <v>0</v>
      </c>
      <c r="K517" s="194">
        <f>IF(_1_5412845612146241046457891017[[#This Row],[Discount selection]]&gt;0,VLOOKUP(_1_5412845612146241046457891017[[#This Row],[Discount selection]],'Discount Structure'!$A$2:$B$30,2,"false"),0)</f>
        <v>1</v>
      </c>
      <c r="L517" s="194">
        <f>_1_5412845612146241046457891017[[#This Row],[LIST $]]*_1_5412845612146241046457891017[[#This Row],[DISCOUNT]]*_1_5412845612146241046457891017[[#This Row],[DISCOUNT 2]]</f>
        <v>0</v>
      </c>
      <c r="M517" s="194">
        <f>IF(OR(_1_5412845612146241046457891017[[#This Row],[UNIT]]&gt;0,_1_5412845612146241046457891017[[#This Row],[UNIT]]&lt;0),_1_5412845612146241046457891017[[#This Row],[UNIT]]*_1_5412845612146241046457891017[[#This Row],[COST]],0)</f>
        <v>0</v>
      </c>
      <c r="N517" s="194">
        <f t="shared" si="7"/>
        <v>1.35</v>
      </c>
      <c r="O517" s="198">
        <f>_1_5412845612146241046457891017[[#This Row],[TOTAL]]*_1_5412845612146241046457891017[[#This Row],[MARGIN]]</f>
        <v>0</v>
      </c>
      <c r="R517" s="41"/>
    </row>
    <row r="518" spans="1:18">
      <c r="D518" s="188"/>
      <c r="F518" s="168" t="s">
        <v>6202</v>
      </c>
      <c r="G518" s="193">
        <f>IF(_1_5412845612146241046457891017[[#This Row],[Type]]&gt;0,VLOOKUP(_1_5412845612146241046457891017[[#This Row],[Type]],Main[[#All],[TYPE]:[UNIT]],'Unit Price'!C$1,FALSE),0)</f>
        <v>0</v>
      </c>
      <c r="H518" s="197">
        <f>IF(_1_5412845612146241046457891017[[#This Row],[Type]]&gt;0,VLOOKUP(_1_5412845612146241046457891017[[#This Row],[Type]],Main[[#All],[TYPE]:[UNIT]],'Unit Price'!D$1,FALSE),0)</f>
        <v>0</v>
      </c>
      <c r="I518" s="194">
        <f>IF(_1_5412845612146241046457891017[[#This Row],[Type]]&gt;0,VLOOKUP(_1_5412845612146241046457891017[[#This Row],[Type]],Main[[#All],[TYPE]:[UNIT]],'Unit Price'!G$1,FALSE),0)</f>
        <v>0</v>
      </c>
      <c r="J518" s="194">
        <f>IF(_1_5412845612146241046457891017[[#This Row],[Type]]&gt;0,VLOOKUP(_1_5412845612146241046457891017[[#This Row],[Type]],Main[[#All],[TYPE]:[UNIT]],'Unit Price'!H$1,FALSE),0)</f>
        <v>0</v>
      </c>
      <c r="K518" s="194">
        <f>IF(_1_5412845612146241046457891017[[#This Row],[Discount selection]]&gt;0,VLOOKUP(_1_5412845612146241046457891017[[#This Row],[Discount selection]],'Discount Structure'!$A$2:$B$30,2,"false"),0)</f>
        <v>1</v>
      </c>
      <c r="L518" s="194">
        <f>_1_5412845612146241046457891017[[#This Row],[LIST $]]*_1_5412845612146241046457891017[[#This Row],[DISCOUNT]]*_1_5412845612146241046457891017[[#This Row],[DISCOUNT 2]]</f>
        <v>0</v>
      </c>
      <c r="M518" s="194">
        <f>IF(OR(_1_5412845612146241046457891017[[#This Row],[UNIT]]&gt;0,_1_5412845612146241046457891017[[#This Row],[UNIT]]&lt;0),_1_5412845612146241046457891017[[#This Row],[UNIT]]*_1_5412845612146241046457891017[[#This Row],[COST]],0)</f>
        <v>0</v>
      </c>
      <c r="N518" s="194">
        <f t="shared" si="7"/>
        <v>1.35</v>
      </c>
      <c r="O518" s="198">
        <f>_1_5412845612146241046457891017[[#This Row],[TOTAL]]*_1_5412845612146241046457891017[[#This Row],[MARGIN]]</f>
        <v>0</v>
      </c>
      <c r="R518" s="41"/>
    </row>
    <row r="519" spans="1:18">
      <c r="D519" s="188"/>
      <c r="F519" s="168" t="s">
        <v>6202</v>
      </c>
      <c r="G519" s="193">
        <f>IF(_1_5412845612146241046457891017[[#This Row],[Type]]&gt;0,VLOOKUP(_1_5412845612146241046457891017[[#This Row],[Type]],Main[[#All],[TYPE]:[UNIT]],'Unit Price'!C$1,FALSE),0)</f>
        <v>0</v>
      </c>
      <c r="H519" s="197">
        <f>IF(_1_5412845612146241046457891017[[#This Row],[Type]]&gt;0,VLOOKUP(_1_5412845612146241046457891017[[#This Row],[Type]],Main[[#All],[TYPE]:[UNIT]],'Unit Price'!D$1,FALSE),0)</f>
        <v>0</v>
      </c>
      <c r="I519" s="194">
        <f>IF(_1_5412845612146241046457891017[[#This Row],[Type]]&gt;0,VLOOKUP(_1_5412845612146241046457891017[[#This Row],[Type]],Main[[#All],[TYPE]:[UNIT]],'Unit Price'!G$1,FALSE),0)</f>
        <v>0</v>
      </c>
      <c r="J519" s="194">
        <f>IF(_1_5412845612146241046457891017[[#This Row],[Type]]&gt;0,VLOOKUP(_1_5412845612146241046457891017[[#This Row],[Type]],Main[[#All],[TYPE]:[UNIT]],'Unit Price'!H$1,FALSE),0)</f>
        <v>0</v>
      </c>
      <c r="K519" s="194">
        <f>IF(_1_5412845612146241046457891017[[#This Row],[Discount selection]]&gt;0,VLOOKUP(_1_5412845612146241046457891017[[#This Row],[Discount selection]],'Discount Structure'!$A$2:$B$30,2,"false"),0)</f>
        <v>1</v>
      </c>
      <c r="L519" s="194">
        <f>_1_5412845612146241046457891017[[#This Row],[LIST $]]*_1_5412845612146241046457891017[[#This Row],[DISCOUNT]]*_1_5412845612146241046457891017[[#This Row],[DISCOUNT 2]]</f>
        <v>0</v>
      </c>
      <c r="M519" s="194">
        <f>IF(OR(_1_5412845612146241046457891017[[#This Row],[UNIT]]&gt;0,_1_5412845612146241046457891017[[#This Row],[UNIT]]&lt;0),_1_5412845612146241046457891017[[#This Row],[UNIT]]*_1_5412845612146241046457891017[[#This Row],[COST]],0)</f>
        <v>0</v>
      </c>
      <c r="N519" s="194">
        <f t="shared" si="7"/>
        <v>1.35</v>
      </c>
      <c r="O519" s="198">
        <f>_1_5412845612146241046457891017[[#This Row],[TOTAL]]*_1_5412845612146241046457891017[[#This Row],[MARGIN]]</f>
        <v>0</v>
      </c>
      <c r="R519" s="41"/>
    </row>
    <row r="520" spans="1:18">
      <c r="D520" s="188"/>
      <c r="F520" s="168" t="s">
        <v>6202</v>
      </c>
      <c r="G520" s="193">
        <f>IF(_1_5412845612146241046457891017[[#This Row],[Type]]&gt;0,VLOOKUP(_1_5412845612146241046457891017[[#This Row],[Type]],Main[[#All],[TYPE]:[UNIT]],'Unit Price'!C$1,FALSE),0)</f>
        <v>0</v>
      </c>
      <c r="H520" s="197">
        <f>IF(_1_5412845612146241046457891017[[#This Row],[Type]]&gt;0,VLOOKUP(_1_5412845612146241046457891017[[#This Row],[Type]],Main[[#All],[TYPE]:[UNIT]],'Unit Price'!D$1,FALSE),0)</f>
        <v>0</v>
      </c>
      <c r="I520" s="194">
        <f>IF(_1_5412845612146241046457891017[[#This Row],[Type]]&gt;0,VLOOKUP(_1_5412845612146241046457891017[[#This Row],[Type]],Main[[#All],[TYPE]:[UNIT]],'Unit Price'!G$1,FALSE),0)</f>
        <v>0</v>
      </c>
      <c r="J520" s="194">
        <f>IF(_1_5412845612146241046457891017[[#This Row],[Type]]&gt;0,VLOOKUP(_1_5412845612146241046457891017[[#This Row],[Type]],Main[[#All],[TYPE]:[UNIT]],'Unit Price'!H$1,FALSE),0)</f>
        <v>0</v>
      </c>
      <c r="K520" s="194">
        <f>IF(_1_5412845612146241046457891017[[#This Row],[Discount selection]]&gt;0,VLOOKUP(_1_5412845612146241046457891017[[#This Row],[Discount selection]],'Discount Structure'!$A$2:$B$30,2,"false"),0)</f>
        <v>1</v>
      </c>
      <c r="L520" s="194">
        <f>_1_5412845612146241046457891017[[#This Row],[LIST $]]*_1_5412845612146241046457891017[[#This Row],[DISCOUNT]]*_1_5412845612146241046457891017[[#This Row],[DISCOUNT 2]]</f>
        <v>0</v>
      </c>
      <c r="M520" s="194">
        <f>IF(OR(_1_5412845612146241046457891017[[#This Row],[UNIT]]&gt;0,_1_5412845612146241046457891017[[#This Row],[UNIT]]&lt;0),_1_5412845612146241046457891017[[#This Row],[UNIT]]*_1_5412845612146241046457891017[[#This Row],[COST]],0)</f>
        <v>0</v>
      </c>
      <c r="N520" s="194">
        <f t="shared" si="7"/>
        <v>1.35</v>
      </c>
      <c r="O520" s="198">
        <f>_1_5412845612146241046457891017[[#This Row],[TOTAL]]*_1_5412845612146241046457891017[[#This Row],[MARGIN]]</f>
        <v>0</v>
      </c>
      <c r="R520" s="41"/>
    </row>
    <row r="521" spans="1:18">
      <c r="D521" s="188"/>
      <c r="F521" s="168" t="s">
        <v>6202</v>
      </c>
      <c r="G521" s="193">
        <f>IF(_1_5412845612146241046457891017[[#This Row],[Type]]&gt;0,VLOOKUP(_1_5412845612146241046457891017[[#This Row],[Type]],Main[[#All],[TYPE]:[UNIT]],'Unit Price'!C$1,FALSE),0)</f>
        <v>0</v>
      </c>
      <c r="H521" s="197">
        <f>IF(_1_5412845612146241046457891017[[#This Row],[Type]]&gt;0,VLOOKUP(_1_5412845612146241046457891017[[#This Row],[Type]],Main[[#All],[TYPE]:[UNIT]],'Unit Price'!D$1,FALSE),0)</f>
        <v>0</v>
      </c>
      <c r="I521" s="194">
        <f>IF(_1_5412845612146241046457891017[[#This Row],[Type]]&gt;0,VLOOKUP(_1_5412845612146241046457891017[[#This Row],[Type]],Main[[#All],[TYPE]:[UNIT]],'Unit Price'!G$1,FALSE),0)</f>
        <v>0</v>
      </c>
      <c r="J521" s="194">
        <f>IF(_1_5412845612146241046457891017[[#This Row],[Type]]&gt;0,VLOOKUP(_1_5412845612146241046457891017[[#This Row],[Type]],Main[[#All],[TYPE]:[UNIT]],'Unit Price'!H$1,FALSE),0)</f>
        <v>0</v>
      </c>
      <c r="K521" s="194">
        <f>IF(_1_5412845612146241046457891017[[#This Row],[Discount selection]]&gt;0,VLOOKUP(_1_5412845612146241046457891017[[#This Row],[Discount selection]],'Discount Structure'!$A$2:$B$30,2,"false"),0)</f>
        <v>1</v>
      </c>
      <c r="L521" s="194">
        <f>_1_5412845612146241046457891017[[#This Row],[LIST $]]*_1_5412845612146241046457891017[[#This Row],[DISCOUNT]]*_1_5412845612146241046457891017[[#This Row],[DISCOUNT 2]]</f>
        <v>0</v>
      </c>
      <c r="M521" s="194">
        <f>IF(OR(_1_5412845612146241046457891017[[#This Row],[UNIT]]&gt;0,_1_5412845612146241046457891017[[#This Row],[UNIT]]&lt;0),_1_5412845612146241046457891017[[#This Row],[UNIT]]*_1_5412845612146241046457891017[[#This Row],[COST]],0)</f>
        <v>0</v>
      </c>
      <c r="N521" s="194">
        <f t="shared" si="7"/>
        <v>1.35</v>
      </c>
      <c r="O521" s="198">
        <f>_1_5412845612146241046457891017[[#This Row],[TOTAL]]*_1_5412845612146241046457891017[[#This Row],[MARGIN]]</f>
        <v>0</v>
      </c>
      <c r="R521" s="41"/>
    </row>
    <row r="522" spans="1:18">
      <c r="A522" s="168"/>
      <c r="D522" s="188"/>
      <c r="F522" s="168" t="s">
        <v>6202</v>
      </c>
      <c r="G522" s="193">
        <f>IF(_1_5412845612146241046457891017[[#This Row],[Type]]&gt;0,VLOOKUP(_1_5412845612146241046457891017[[#This Row],[Type]],Main[[#All],[TYPE]:[UNIT]],'Unit Price'!C$1,FALSE),0)</f>
        <v>0</v>
      </c>
      <c r="H522" s="197">
        <f>IF(_1_5412845612146241046457891017[[#This Row],[Type]]&gt;0,VLOOKUP(_1_5412845612146241046457891017[[#This Row],[Type]],Main[[#All],[TYPE]:[UNIT]],'Unit Price'!D$1,FALSE),0)</f>
        <v>0</v>
      </c>
      <c r="I522" s="194">
        <f>IF(_1_5412845612146241046457891017[[#This Row],[Type]]&gt;0,VLOOKUP(_1_5412845612146241046457891017[[#This Row],[Type]],Main[[#All],[TYPE]:[UNIT]],'Unit Price'!G$1,FALSE),0)</f>
        <v>0</v>
      </c>
      <c r="J522" s="194">
        <f>IF(_1_5412845612146241046457891017[[#This Row],[Type]]&gt;0,VLOOKUP(_1_5412845612146241046457891017[[#This Row],[Type]],Main[[#All],[TYPE]:[UNIT]],'Unit Price'!H$1,FALSE),0)</f>
        <v>0</v>
      </c>
      <c r="K522" s="194">
        <f>IF(_1_5412845612146241046457891017[[#This Row],[Discount selection]]&gt;0,VLOOKUP(_1_5412845612146241046457891017[[#This Row],[Discount selection]],'Discount Structure'!$A$2:$B$30,2,"false"),0)</f>
        <v>1</v>
      </c>
      <c r="L522" s="194">
        <f>_1_5412845612146241046457891017[[#This Row],[LIST $]]*_1_5412845612146241046457891017[[#This Row],[DISCOUNT]]*_1_5412845612146241046457891017[[#This Row],[DISCOUNT 2]]</f>
        <v>0</v>
      </c>
      <c r="M522" s="194">
        <f>IF(OR(_1_5412845612146241046457891017[[#This Row],[UNIT]]&gt;0,_1_5412845612146241046457891017[[#This Row],[UNIT]]&lt;0),_1_5412845612146241046457891017[[#This Row],[UNIT]]*_1_5412845612146241046457891017[[#This Row],[COST]],0)</f>
        <v>0</v>
      </c>
      <c r="N522" s="194">
        <f t="shared" ref="N522:N585" si="8">$N$7</f>
        <v>1.35</v>
      </c>
      <c r="O522" s="198">
        <f>_1_5412845612146241046457891017[[#This Row],[TOTAL]]*_1_5412845612146241046457891017[[#This Row],[MARGIN]]</f>
        <v>0</v>
      </c>
      <c r="R522" s="41"/>
    </row>
    <row r="523" spans="1:18">
      <c r="D523" s="188"/>
      <c r="F523" s="168" t="s">
        <v>6202</v>
      </c>
      <c r="G523" s="193">
        <f>IF(_1_5412845612146241046457891017[[#This Row],[Type]]&gt;0,VLOOKUP(_1_5412845612146241046457891017[[#This Row],[Type]],Main[[#All],[TYPE]:[UNIT]],'Unit Price'!C$1,FALSE),0)</f>
        <v>0</v>
      </c>
      <c r="H523" s="197">
        <f>IF(_1_5412845612146241046457891017[[#This Row],[Type]]&gt;0,VLOOKUP(_1_5412845612146241046457891017[[#This Row],[Type]],Main[[#All],[TYPE]:[UNIT]],'Unit Price'!D$1,FALSE),0)</f>
        <v>0</v>
      </c>
      <c r="I523" s="194">
        <f>IF(_1_5412845612146241046457891017[[#This Row],[Type]]&gt;0,VLOOKUP(_1_5412845612146241046457891017[[#This Row],[Type]],Main[[#All],[TYPE]:[UNIT]],'Unit Price'!G$1,FALSE),0)</f>
        <v>0</v>
      </c>
      <c r="J523" s="194">
        <f>IF(_1_5412845612146241046457891017[[#This Row],[Type]]&gt;0,VLOOKUP(_1_5412845612146241046457891017[[#This Row],[Type]],Main[[#All],[TYPE]:[UNIT]],'Unit Price'!H$1,FALSE),0)</f>
        <v>0</v>
      </c>
      <c r="K523" s="194">
        <f>IF(_1_5412845612146241046457891017[[#This Row],[Discount selection]]&gt;0,VLOOKUP(_1_5412845612146241046457891017[[#This Row],[Discount selection]],'Discount Structure'!$A$2:$B$30,2,"false"),0)</f>
        <v>1</v>
      </c>
      <c r="L523" s="194">
        <f>_1_5412845612146241046457891017[[#This Row],[LIST $]]*_1_5412845612146241046457891017[[#This Row],[DISCOUNT]]*_1_5412845612146241046457891017[[#This Row],[DISCOUNT 2]]</f>
        <v>0</v>
      </c>
      <c r="M523" s="194">
        <f>IF(OR(_1_5412845612146241046457891017[[#This Row],[UNIT]]&gt;0,_1_5412845612146241046457891017[[#This Row],[UNIT]]&lt;0),_1_5412845612146241046457891017[[#This Row],[UNIT]]*_1_5412845612146241046457891017[[#This Row],[COST]],0)</f>
        <v>0</v>
      </c>
      <c r="N523" s="194">
        <f t="shared" si="8"/>
        <v>1.35</v>
      </c>
      <c r="O523" s="198">
        <f>_1_5412845612146241046457891017[[#This Row],[TOTAL]]*_1_5412845612146241046457891017[[#This Row],[MARGIN]]</f>
        <v>0</v>
      </c>
      <c r="R523" s="41"/>
    </row>
    <row r="524" spans="1:18">
      <c r="D524" s="188"/>
      <c r="F524" s="168" t="s">
        <v>6202</v>
      </c>
      <c r="G524" s="193">
        <f>IF(_1_5412845612146241046457891017[[#This Row],[Type]]&gt;0,VLOOKUP(_1_5412845612146241046457891017[[#This Row],[Type]],Main[[#All],[TYPE]:[UNIT]],'Unit Price'!C$1,FALSE),0)</f>
        <v>0</v>
      </c>
      <c r="H524" s="197">
        <f>IF(_1_5412845612146241046457891017[[#This Row],[Type]]&gt;0,VLOOKUP(_1_5412845612146241046457891017[[#This Row],[Type]],Main[[#All],[TYPE]:[UNIT]],'Unit Price'!D$1,FALSE),0)</f>
        <v>0</v>
      </c>
      <c r="I524" s="194">
        <f>IF(_1_5412845612146241046457891017[[#This Row],[Type]]&gt;0,VLOOKUP(_1_5412845612146241046457891017[[#This Row],[Type]],Main[[#All],[TYPE]:[UNIT]],'Unit Price'!G$1,FALSE),0)</f>
        <v>0</v>
      </c>
      <c r="J524" s="194">
        <f>IF(_1_5412845612146241046457891017[[#This Row],[Type]]&gt;0,VLOOKUP(_1_5412845612146241046457891017[[#This Row],[Type]],Main[[#All],[TYPE]:[UNIT]],'Unit Price'!H$1,FALSE),0)</f>
        <v>0</v>
      </c>
      <c r="K524" s="194">
        <f>IF(_1_5412845612146241046457891017[[#This Row],[Discount selection]]&gt;0,VLOOKUP(_1_5412845612146241046457891017[[#This Row],[Discount selection]],'Discount Structure'!$A$2:$B$30,2,"false"),0)</f>
        <v>1</v>
      </c>
      <c r="L524" s="194">
        <f>_1_5412845612146241046457891017[[#This Row],[LIST $]]*_1_5412845612146241046457891017[[#This Row],[DISCOUNT]]*_1_5412845612146241046457891017[[#This Row],[DISCOUNT 2]]</f>
        <v>0</v>
      </c>
      <c r="M524" s="194">
        <f>IF(OR(_1_5412845612146241046457891017[[#This Row],[UNIT]]&gt;0,_1_5412845612146241046457891017[[#This Row],[UNIT]]&lt;0),_1_5412845612146241046457891017[[#This Row],[UNIT]]*_1_5412845612146241046457891017[[#This Row],[COST]],0)</f>
        <v>0</v>
      </c>
      <c r="N524" s="194">
        <f t="shared" si="8"/>
        <v>1.35</v>
      </c>
      <c r="O524" s="198">
        <f>_1_5412845612146241046457891017[[#This Row],[TOTAL]]*_1_5412845612146241046457891017[[#This Row],[MARGIN]]</f>
        <v>0</v>
      </c>
      <c r="R524" s="41"/>
    </row>
    <row r="525" spans="1:18">
      <c r="D525" s="188"/>
      <c r="F525" s="168" t="s">
        <v>6202</v>
      </c>
      <c r="G525" s="193">
        <f>IF(_1_5412845612146241046457891017[[#This Row],[Type]]&gt;0,VLOOKUP(_1_5412845612146241046457891017[[#This Row],[Type]],Main[[#All],[TYPE]:[UNIT]],'Unit Price'!C$1,FALSE),0)</f>
        <v>0</v>
      </c>
      <c r="H525" s="197">
        <f>IF(_1_5412845612146241046457891017[[#This Row],[Type]]&gt;0,VLOOKUP(_1_5412845612146241046457891017[[#This Row],[Type]],Main[[#All],[TYPE]:[UNIT]],'Unit Price'!D$1,FALSE),0)</f>
        <v>0</v>
      </c>
      <c r="I525" s="194">
        <f>IF(_1_5412845612146241046457891017[[#This Row],[Type]]&gt;0,VLOOKUP(_1_5412845612146241046457891017[[#This Row],[Type]],Main[[#All],[TYPE]:[UNIT]],'Unit Price'!G$1,FALSE),0)</f>
        <v>0</v>
      </c>
      <c r="J525" s="194">
        <f>IF(_1_5412845612146241046457891017[[#This Row],[Type]]&gt;0,VLOOKUP(_1_5412845612146241046457891017[[#This Row],[Type]],Main[[#All],[TYPE]:[UNIT]],'Unit Price'!H$1,FALSE),0)</f>
        <v>0</v>
      </c>
      <c r="K525" s="194">
        <f>IF(_1_5412845612146241046457891017[[#This Row],[Discount selection]]&gt;0,VLOOKUP(_1_5412845612146241046457891017[[#This Row],[Discount selection]],'Discount Structure'!$A$2:$B$30,2,"false"),0)</f>
        <v>1</v>
      </c>
      <c r="L525" s="194">
        <f>_1_5412845612146241046457891017[[#This Row],[LIST $]]*_1_5412845612146241046457891017[[#This Row],[DISCOUNT]]*_1_5412845612146241046457891017[[#This Row],[DISCOUNT 2]]</f>
        <v>0</v>
      </c>
      <c r="M525" s="194">
        <f>IF(OR(_1_5412845612146241046457891017[[#This Row],[UNIT]]&gt;0,_1_5412845612146241046457891017[[#This Row],[UNIT]]&lt;0),_1_5412845612146241046457891017[[#This Row],[UNIT]]*_1_5412845612146241046457891017[[#This Row],[COST]],0)</f>
        <v>0</v>
      </c>
      <c r="N525" s="194">
        <f t="shared" si="8"/>
        <v>1.35</v>
      </c>
      <c r="O525" s="198">
        <f>_1_5412845612146241046457891017[[#This Row],[TOTAL]]*_1_5412845612146241046457891017[[#This Row],[MARGIN]]</f>
        <v>0</v>
      </c>
      <c r="R525" s="41"/>
    </row>
    <row r="526" spans="1:18">
      <c r="D526" s="188"/>
      <c r="F526" s="168" t="s">
        <v>6202</v>
      </c>
      <c r="G526" s="193">
        <f>IF(_1_5412845612146241046457891017[[#This Row],[Type]]&gt;0,VLOOKUP(_1_5412845612146241046457891017[[#This Row],[Type]],Main[[#All],[TYPE]:[UNIT]],'Unit Price'!C$1,FALSE),0)</f>
        <v>0</v>
      </c>
      <c r="H526" s="197">
        <f>IF(_1_5412845612146241046457891017[[#This Row],[Type]]&gt;0,VLOOKUP(_1_5412845612146241046457891017[[#This Row],[Type]],Main[[#All],[TYPE]:[UNIT]],'Unit Price'!D$1,FALSE),0)</f>
        <v>0</v>
      </c>
      <c r="I526" s="194">
        <f>IF(_1_5412845612146241046457891017[[#This Row],[Type]]&gt;0,VLOOKUP(_1_5412845612146241046457891017[[#This Row],[Type]],Main[[#All],[TYPE]:[UNIT]],'Unit Price'!G$1,FALSE),0)</f>
        <v>0</v>
      </c>
      <c r="J526" s="194">
        <f>IF(_1_5412845612146241046457891017[[#This Row],[Type]]&gt;0,VLOOKUP(_1_5412845612146241046457891017[[#This Row],[Type]],Main[[#All],[TYPE]:[UNIT]],'Unit Price'!H$1,FALSE),0)</f>
        <v>0</v>
      </c>
      <c r="K526" s="194">
        <f>IF(_1_5412845612146241046457891017[[#This Row],[Discount selection]]&gt;0,VLOOKUP(_1_5412845612146241046457891017[[#This Row],[Discount selection]],'Discount Structure'!$A$2:$B$30,2,"false"),0)</f>
        <v>1</v>
      </c>
      <c r="L526" s="194">
        <f>_1_5412845612146241046457891017[[#This Row],[LIST $]]*_1_5412845612146241046457891017[[#This Row],[DISCOUNT]]*_1_5412845612146241046457891017[[#This Row],[DISCOUNT 2]]</f>
        <v>0</v>
      </c>
      <c r="M526" s="194">
        <f>IF(OR(_1_5412845612146241046457891017[[#This Row],[UNIT]]&gt;0,_1_5412845612146241046457891017[[#This Row],[UNIT]]&lt;0),_1_5412845612146241046457891017[[#This Row],[UNIT]]*_1_5412845612146241046457891017[[#This Row],[COST]],0)</f>
        <v>0</v>
      </c>
      <c r="N526" s="194">
        <f t="shared" si="8"/>
        <v>1.35</v>
      </c>
      <c r="O526" s="198">
        <f>_1_5412845612146241046457891017[[#This Row],[TOTAL]]*_1_5412845612146241046457891017[[#This Row],[MARGIN]]</f>
        <v>0</v>
      </c>
      <c r="R526" s="41"/>
    </row>
    <row r="527" spans="1:18">
      <c r="D527" s="188"/>
      <c r="F527" s="168" t="s">
        <v>6202</v>
      </c>
      <c r="G527" s="193">
        <f>IF(_1_5412845612146241046457891017[[#This Row],[Type]]&gt;0,VLOOKUP(_1_5412845612146241046457891017[[#This Row],[Type]],Main[[#All],[TYPE]:[UNIT]],'Unit Price'!C$1,FALSE),0)</f>
        <v>0</v>
      </c>
      <c r="H527" s="197">
        <f>IF(_1_5412845612146241046457891017[[#This Row],[Type]]&gt;0,VLOOKUP(_1_5412845612146241046457891017[[#This Row],[Type]],Main[[#All],[TYPE]:[UNIT]],'Unit Price'!D$1,FALSE),0)</f>
        <v>0</v>
      </c>
      <c r="I527" s="194">
        <f>IF(_1_5412845612146241046457891017[[#This Row],[Type]]&gt;0,VLOOKUP(_1_5412845612146241046457891017[[#This Row],[Type]],Main[[#All],[TYPE]:[UNIT]],'Unit Price'!G$1,FALSE),0)</f>
        <v>0</v>
      </c>
      <c r="J527" s="194">
        <f>IF(_1_5412845612146241046457891017[[#This Row],[Type]]&gt;0,VLOOKUP(_1_5412845612146241046457891017[[#This Row],[Type]],Main[[#All],[TYPE]:[UNIT]],'Unit Price'!H$1,FALSE),0)</f>
        <v>0</v>
      </c>
      <c r="K527" s="194">
        <f>IF(_1_5412845612146241046457891017[[#This Row],[Discount selection]]&gt;0,VLOOKUP(_1_5412845612146241046457891017[[#This Row],[Discount selection]],'Discount Structure'!$A$2:$B$30,2,"false"),0)</f>
        <v>1</v>
      </c>
      <c r="L527" s="194">
        <f>_1_5412845612146241046457891017[[#This Row],[LIST $]]*_1_5412845612146241046457891017[[#This Row],[DISCOUNT]]*_1_5412845612146241046457891017[[#This Row],[DISCOUNT 2]]</f>
        <v>0</v>
      </c>
      <c r="M527" s="194">
        <f>IF(OR(_1_5412845612146241046457891017[[#This Row],[UNIT]]&gt;0,_1_5412845612146241046457891017[[#This Row],[UNIT]]&lt;0),_1_5412845612146241046457891017[[#This Row],[UNIT]]*_1_5412845612146241046457891017[[#This Row],[COST]],0)</f>
        <v>0</v>
      </c>
      <c r="N527" s="194">
        <f t="shared" si="8"/>
        <v>1.35</v>
      </c>
      <c r="O527" s="198">
        <f>_1_5412845612146241046457891017[[#This Row],[TOTAL]]*_1_5412845612146241046457891017[[#This Row],[MARGIN]]</f>
        <v>0</v>
      </c>
      <c r="R527" s="41"/>
    </row>
    <row r="528" spans="1:18">
      <c r="D528" s="188"/>
      <c r="F528" s="168" t="s">
        <v>6202</v>
      </c>
      <c r="G528" s="193">
        <f>IF(_1_5412845612146241046457891017[[#This Row],[Type]]&gt;0,VLOOKUP(_1_5412845612146241046457891017[[#This Row],[Type]],Main[[#All],[TYPE]:[UNIT]],'Unit Price'!C$1,FALSE),0)</f>
        <v>0</v>
      </c>
      <c r="H528" s="197">
        <f>IF(_1_5412845612146241046457891017[[#This Row],[Type]]&gt;0,VLOOKUP(_1_5412845612146241046457891017[[#This Row],[Type]],Main[[#All],[TYPE]:[UNIT]],'Unit Price'!D$1,FALSE),0)</f>
        <v>0</v>
      </c>
      <c r="I528" s="194">
        <f>IF(_1_5412845612146241046457891017[[#This Row],[Type]]&gt;0,VLOOKUP(_1_5412845612146241046457891017[[#This Row],[Type]],Main[[#All],[TYPE]:[UNIT]],'Unit Price'!G$1,FALSE),0)</f>
        <v>0</v>
      </c>
      <c r="J528" s="194">
        <f>IF(_1_5412845612146241046457891017[[#This Row],[Type]]&gt;0,VLOOKUP(_1_5412845612146241046457891017[[#This Row],[Type]],Main[[#All],[TYPE]:[UNIT]],'Unit Price'!H$1,FALSE),0)</f>
        <v>0</v>
      </c>
      <c r="K528" s="194">
        <f>IF(_1_5412845612146241046457891017[[#This Row],[Discount selection]]&gt;0,VLOOKUP(_1_5412845612146241046457891017[[#This Row],[Discount selection]],'Discount Structure'!$A$2:$B$30,2,"false"),0)</f>
        <v>1</v>
      </c>
      <c r="L528" s="194">
        <f>_1_5412845612146241046457891017[[#This Row],[LIST $]]*_1_5412845612146241046457891017[[#This Row],[DISCOUNT]]*_1_5412845612146241046457891017[[#This Row],[DISCOUNT 2]]</f>
        <v>0</v>
      </c>
      <c r="M528" s="194">
        <f>IF(OR(_1_5412845612146241046457891017[[#This Row],[UNIT]]&gt;0,_1_5412845612146241046457891017[[#This Row],[UNIT]]&lt;0),_1_5412845612146241046457891017[[#This Row],[UNIT]]*_1_5412845612146241046457891017[[#This Row],[COST]],0)</f>
        <v>0</v>
      </c>
      <c r="N528" s="194">
        <f t="shared" si="8"/>
        <v>1.35</v>
      </c>
      <c r="O528" s="198">
        <f>_1_5412845612146241046457891017[[#This Row],[TOTAL]]*_1_5412845612146241046457891017[[#This Row],[MARGIN]]</f>
        <v>0</v>
      </c>
      <c r="R528" s="41"/>
    </row>
    <row r="529" spans="1:18">
      <c r="D529" s="188"/>
      <c r="F529" s="168" t="s">
        <v>6202</v>
      </c>
      <c r="G529" s="193">
        <f>IF(_1_5412845612146241046457891017[[#This Row],[Type]]&gt;0,VLOOKUP(_1_5412845612146241046457891017[[#This Row],[Type]],Main[[#All],[TYPE]:[UNIT]],'Unit Price'!C$1,FALSE),0)</f>
        <v>0</v>
      </c>
      <c r="H529" s="197">
        <f>IF(_1_5412845612146241046457891017[[#This Row],[Type]]&gt;0,VLOOKUP(_1_5412845612146241046457891017[[#This Row],[Type]],Main[[#All],[TYPE]:[UNIT]],'Unit Price'!D$1,FALSE),0)</f>
        <v>0</v>
      </c>
      <c r="I529" s="194">
        <f>IF(_1_5412845612146241046457891017[[#This Row],[Type]]&gt;0,VLOOKUP(_1_5412845612146241046457891017[[#This Row],[Type]],Main[[#All],[TYPE]:[UNIT]],'Unit Price'!G$1,FALSE),0)</f>
        <v>0</v>
      </c>
      <c r="J529" s="194">
        <f>IF(_1_5412845612146241046457891017[[#This Row],[Type]]&gt;0,VLOOKUP(_1_5412845612146241046457891017[[#This Row],[Type]],Main[[#All],[TYPE]:[UNIT]],'Unit Price'!H$1,FALSE),0)</f>
        <v>0</v>
      </c>
      <c r="K529" s="194">
        <f>IF(_1_5412845612146241046457891017[[#This Row],[Discount selection]]&gt;0,VLOOKUP(_1_5412845612146241046457891017[[#This Row],[Discount selection]],'Discount Structure'!$A$2:$B$30,2,"false"),0)</f>
        <v>1</v>
      </c>
      <c r="L529" s="194">
        <f>_1_5412845612146241046457891017[[#This Row],[LIST $]]*_1_5412845612146241046457891017[[#This Row],[DISCOUNT]]*_1_5412845612146241046457891017[[#This Row],[DISCOUNT 2]]</f>
        <v>0</v>
      </c>
      <c r="M529" s="194">
        <f>IF(OR(_1_5412845612146241046457891017[[#This Row],[UNIT]]&gt;0,_1_5412845612146241046457891017[[#This Row],[UNIT]]&lt;0),_1_5412845612146241046457891017[[#This Row],[UNIT]]*_1_5412845612146241046457891017[[#This Row],[COST]],0)</f>
        <v>0</v>
      </c>
      <c r="N529" s="194">
        <f t="shared" si="8"/>
        <v>1.35</v>
      </c>
      <c r="O529" s="198">
        <f>_1_5412845612146241046457891017[[#This Row],[TOTAL]]*_1_5412845612146241046457891017[[#This Row],[MARGIN]]</f>
        <v>0</v>
      </c>
      <c r="R529" s="41"/>
    </row>
    <row r="530" spans="1:18">
      <c r="D530" s="188"/>
      <c r="F530" s="168" t="s">
        <v>6202</v>
      </c>
      <c r="G530" s="193">
        <f>IF(_1_5412845612146241046457891017[[#This Row],[Type]]&gt;0,VLOOKUP(_1_5412845612146241046457891017[[#This Row],[Type]],Main[[#All],[TYPE]:[UNIT]],'Unit Price'!C$1,FALSE),0)</f>
        <v>0</v>
      </c>
      <c r="H530" s="197">
        <f>IF(_1_5412845612146241046457891017[[#This Row],[Type]]&gt;0,VLOOKUP(_1_5412845612146241046457891017[[#This Row],[Type]],Main[[#All],[TYPE]:[UNIT]],'Unit Price'!D$1,FALSE),0)</f>
        <v>0</v>
      </c>
      <c r="I530" s="194">
        <f>IF(_1_5412845612146241046457891017[[#This Row],[Type]]&gt;0,VLOOKUP(_1_5412845612146241046457891017[[#This Row],[Type]],Main[[#All],[TYPE]:[UNIT]],'Unit Price'!G$1,FALSE),0)</f>
        <v>0</v>
      </c>
      <c r="J530" s="194">
        <f>IF(_1_5412845612146241046457891017[[#This Row],[Type]]&gt;0,VLOOKUP(_1_5412845612146241046457891017[[#This Row],[Type]],Main[[#All],[TYPE]:[UNIT]],'Unit Price'!H$1,FALSE),0)</f>
        <v>0</v>
      </c>
      <c r="K530" s="194">
        <f>IF(_1_5412845612146241046457891017[[#This Row],[Discount selection]]&gt;0,VLOOKUP(_1_5412845612146241046457891017[[#This Row],[Discount selection]],'Discount Structure'!$A$2:$B$30,2,"false"),0)</f>
        <v>1</v>
      </c>
      <c r="L530" s="194">
        <f>_1_5412845612146241046457891017[[#This Row],[LIST $]]*_1_5412845612146241046457891017[[#This Row],[DISCOUNT]]*_1_5412845612146241046457891017[[#This Row],[DISCOUNT 2]]</f>
        <v>0</v>
      </c>
      <c r="M530" s="194">
        <f>IF(OR(_1_5412845612146241046457891017[[#This Row],[UNIT]]&gt;0,_1_5412845612146241046457891017[[#This Row],[UNIT]]&lt;0),_1_5412845612146241046457891017[[#This Row],[UNIT]]*_1_5412845612146241046457891017[[#This Row],[COST]],0)</f>
        <v>0</v>
      </c>
      <c r="N530" s="194">
        <f t="shared" si="8"/>
        <v>1.35</v>
      </c>
      <c r="O530" s="198">
        <f>_1_5412845612146241046457891017[[#This Row],[TOTAL]]*_1_5412845612146241046457891017[[#This Row],[MARGIN]]</f>
        <v>0</v>
      </c>
      <c r="R530" s="41"/>
    </row>
    <row r="531" spans="1:18">
      <c r="A531" s="168"/>
      <c r="D531" s="188"/>
      <c r="F531" s="168" t="s">
        <v>6202</v>
      </c>
      <c r="G531" s="193">
        <f>IF(_1_5412845612146241046457891017[[#This Row],[Type]]&gt;0,VLOOKUP(_1_5412845612146241046457891017[[#This Row],[Type]],Main[[#All],[TYPE]:[UNIT]],'Unit Price'!C$1,FALSE),0)</f>
        <v>0</v>
      </c>
      <c r="H531" s="197">
        <f>IF(_1_5412845612146241046457891017[[#This Row],[Type]]&gt;0,VLOOKUP(_1_5412845612146241046457891017[[#This Row],[Type]],Main[[#All],[TYPE]:[UNIT]],'Unit Price'!D$1,FALSE),0)</f>
        <v>0</v>
      </c>
      <c r="I531" s="194">
        <f>IF(_1_5412845612146241046457891017[[#This Row],[Type]]&gt;0,VLOOKUP(_1_5412845612146241046457891017[[#This Row],[Type]],Main[[#All],[TYPE]:[UNIT]],'Unit Price'!G$1,FALSE),0)</f>
        <v>0</v>
      </c>
      <c r="J531" s="194">
        <f>IF(_1_5412845612146241046457891017[[#This Row],[Type]]&gt;0,VLOOKUP(_1_5412845612146241046457891017[[#This Row],[Type]],Main[[#All],[TYPE]:[UNIT]],'Unit Price'!H$1,FALSE),0)</f>
        <v>0</v>
      </c>
      <c r="K531" s="194">
        <f>IF(_1_5412845612146241046457891017[[#This Row],[Discount selection]]&gt;0,VLOOKUP(_1_5412845612146241046457891017[[#This Row],[Discount selection]],'Discount Structure'!$A$2:$B$30,2,"false"),0)</f>
        <v>1</v>
      </c>
      <c r="L531" s="194">
        <f>_1_5412845612146241046457891017[[#This Row],[LIST $]]*_1_5412845612146241046457891017[[#This Row],[DISCOUNT]]*_1_5412845612146241046457891017[[#This Row],[DISCOUNT 2]]</f>
        <v>0</v>
      </c>
      <c r="M531" s="194">
        <f>IF(OR(_1_5412845612146241046457891017[[#This Row],[UNIT]]&gt;0,_1_5412845612146241046457891017[[#This Row],[UNIT]]&lt;0),_1_5412845612146241046457891017[[#This Row],[UNIT]]*_1_5412845612146241046457891017[[#This Row],[COST]],0)</f>
        <v>0</v>
      </c>
      <c r="N531" s="194">
        <f t="shared" si="8"/>
        <v>1.35</v>
      </c>
      <c r="O531" s="198">
        <f>_1_5412845612146241046457891017[[#This Row],[TOTAL]]*_1_5412845612146241046457891017[[#This Row],[MARGIN]]</f>
        <v>0</v>
      </c>
      <c r="R531" s="41"/>
    </row>
    <row r="532" spans="1:18">
      <c r="D532" s="188"/>
      <c r="F532" s="168" t="s">
        <v>6202</v>
      </c>
      <c r="G532" s="193">
        <f>IF(_1_5412845612146241046457891017[[#This Row],[Type]]&gt;0,VLOOKUP(_1_5412845612146241046457891017[[#This Row],[Type]],Main[[#All],[TYPE]:[UNIT]],'Unit Price'!C$1,FALSE),0)</f>
        <v>0</v>
      </c>
      <c r="H532" s="197">
        <f>IF(_1_5412845612146241046457891017[[#This Row],[Type]]&gt;0,VLOOKUP(_1_5412845612146241046457891017[[#This Row],[Type]],Main[[#All],[TYPE]:[UNIT]],'Unit Price'!D$1,FALSE),0)</f>
        <v>0</v>
      </c>
      <c r="I532" s="194">
        <f>IF(_1_5412845612146241046457891017[[#This Row],[Type]]&gt;0,VLOOKUP(_1_5412845612146241046457891017[[#This Row],[Type]],Main[[#All],[TYPE]:[UNIT]],'Unit Price'!G$1,FALSE),0)</f>
        <v>0</v>
      </c>
      <c r="J532" s="194">
        <f>IF(_1_5412845612146241046457891017[[#This Row],[Type]]&gt;0,VLOOKUP(_1_5412845612146241046457891017[[#This Row],[Type]],Main[[#All],[TYPE]:[UNIT]],'Unit Price'!H$1,FALSE),0)</f>
        <v>0</v>
      </c>
      <c r="K532" s="194">
        <f>IF(_1_5412845612146241046457891017[[#This Row],[Discount selection]]&gt;0,VLOOKUP(_1_5412845612146241046457891017[[#This Row],[Discount selection]],'Discount Structure'!$A$2:$B$30,2,"false"),0)</f>
        <v>1</v>
      </c>
      <c r="L532" s="194">
        <f>_1_5412845612146241046457891017[[#This Row],[LIST $]]*_1_5412845612146241046457891017[[#This Row],[DISCOUNT]]*_1_5412845612146241046457891017[[#This Row],[DISCOUNT 2]]</f>
        <v>0</v>
      </c>
      <c r="M532" s="194">
        <f>IF(OR(_1_5412845612146241046457891017[[#This Row],[UNIT]]&gt;0,_1_5412845612146241046457891017[[#This Row],[UNIT]]&lt;0),_1_5412845612146241046457891017[[#This Row],[UNIT]]*_1_5412845612146241046457891017[[#This Row],[COST]],0)</f>
        <v>0</v>
      </c>
      <c r="N532" s="194">
        <f t="shared" si="8"/>
        <v>1.35</v>
      </c>
      <c r="O532" s="198">
        <f>_1_5412845612146241046457891017[[#This Row],[TOTAL]]*_1_5412845612146241046457891017[[#This Row],[MARGIN]]</f>
        <v>0</v>
      </c>
      <c r="R532" s="41"/>
    </row>
    <row r="533" spans="1:18">
      <c r="D533" s="188"/>
      <c r="F533" s="168" t="s">
        <v>6202</v>
      </c>
      <c r="G533" s="193">
        <f>IF(_1_5412845612146241046457891017[[#This Row],[Type]]&gt;0,VLOOKUP(_1_5412845612146241046457891017[[#This Row],[Type]],Main[[#All],[TYPE]:[UNIT]],'Unit Price'!C$1,FALSE),0)</f>
        <v>0</v>
      </c>
      <c r="H533" s="197">
        <f>IF(_1_5412845612146241046457891017[[#This Row],[Type]]&gt;0,VLOOKUP(_1_5412845612146241046457891017[[#This Row],[Type]],Main[[#All],[TYPE]:[UNIT]],'Unit Price'!D$1,FALSE),0)</f>
        <v>0</v>
      </c>
      <c r="I533" s="194">
        <f>IF(_1_5412845612146241046457891017[[#This Row],[Type]]&gt;0,VLOOKUP(_1_5412845612146241046457891017[[#This Row],[Type]],Main[[#All],[TYPE]:[UNIT]],'Unit Price'!G$1,FALSE),0)</f>
        <v>0</v>
      </c>
      <c r="J533" s="194">
        <f>IF(_1_5412845612146241046457891017[[#This Row],[Type]]&gt;0,VLOOKUP(_1_5412845612146241046457891017[[#This Row],[Type]],Main[[#All],[TYPE]:[UNIT]],'Unit Price'!H$1,FALSE),0)</f>
        <v>0</v>
      </c>
      <c r="K533" s="194">
        <f>IF(_1_5412845612146241046457891017[[#This Row],[Discount selection]]&gt;0,VLOOKUP(_1_5412845612146241046457891017[[#This Row],[Discount selection]],'Discount Structure'!$A$2:$B$30,2,"false"),0)</f>
        <v>1</v>
      </c>
      <c r="L533" s="194">
        <f>_1_5412845612146241046457891017[[#This Row],[LIST $]]*_1_5412845612146241046457891017[[#This Row],[DISCOUNT]]*_1_5412845612146241046457891017[[#This Row],[DISCOUNT 2]]</f>
        <v>0</v>
      </c>
      <c r="M533" s="194">
        <f>IF(OR(_1_5412845612146241046457891017[[#This Row],[UNIT]]&gt;0,_1_5412845612146241046457891017[[#This Row],[UNIT]]&lt;0),_1_5412845612146241046457891017[[#This Row],[UNIT]]*_1_5412845612146241046457891017[[#This Row],[COST]],0)</f>
        <v>0</v>
      </c>
      <c r="N533" s="194">
        <f t="shared" si="8"/>
        <v>1.35</v>
      </c>
      <c r="O533" s="198">
        <f>_1_5412845612146241046457891017[[#This Row],[TOTAL]]*_1_5412845612146241046457891017[[#This Row],[MARGIN]]</f>
        <v>0</v>
      </c>
      <c r="R533" s="41"/>
    </row>
    <row r="534" spans="1:18">
      <c r="D534" s="188"/>
      <c r="F534" s="168" t="s">
        <v>6202</v>
      </c>
      <c r="G534" s="193">
        <f>IF(_1_5412845612146241046457891017[[#This Row],[Type]]&gt;0,VLOOKUP(_1_5412845612146241046457891017[[#This Row],[Type]],Main[[#All],[TYPE]:[UNIT]],'Unit Price'!C$1,FALSE),0)</f>
        <v>0</v>
      </c>
      <c r="H534" s="197">
        <f>IF(_1_5412845612146241046457891017[[#This Row],[Type]]&gt;0,VLOOKUP(_1_5412845612146241046457891017[[#This Row],[Type]],Main[[#All],[TYPE]:[UNIT]],'Unit Price'!D$1,FALSE),0)</f>
        <v>0</v>
      </c>
      <c r="I534" s="194">
        <f>IF(_1_5412845612146241046457891017[[#This Row],[Type]]&gt;0,VLOOKUP(_1_5412845612146241046457891017[[#This Row],[Type]],Main[[#All],[TYPE]:[UNIT]],'Unit Price'!G$1,FALSE),0)</f>
        <v>0</v>
      </c>
      <c r="J534" s="194">
        <f>IF(_1_5412845612146241046457891017[[#This Row],[Type]]&gt;0,VLOOKUP(_1_5412845612146241046457891017[[#This Row],[Type]],Main[[#All],[TYPE]:[UNIT]],'Unit Price'!H$1,FALSE),0)</f>
        <v>0</v>
      </c>
      <c r="K534" s="194">
        <f>IF(_1_5412845612146241046457891017[[#This Row],[Discount selection]]&gt;0,VLOOKUP(_1_5412845612146241046457891017[[#This Row],[Discount selection]],'Discount Structure'!$A$2:$B$30,2,"false"),0)</f>
        <v>1</v>
      </c>
      <c r="L534" s="194">
        <f>_1_5412845612146241046457891017[[#This Row],[LIST $]]*_1_5412845612146241046457891017[[#This Row],[DISCOUNT]]*_1_5412845612146241046457891017[[#This Row],[DISCOUNT 2]]</f>
        <v>0</v>
      </c>
      <c r="M534" s="194">
        <f>IF(OR(_1_5412845612146241046457891017[[#This Row],[UNIT]]&gt;0,_1_5412845612146241046457891017[[#This Row],[UNIT]]&lt;0),_1_5412845612146241046457891017[[#This Row],[UNIT]]*_1_5412845612146241046457891017[[#This Row],[COST]],0)</f>
        <v>0</v>
      </c>
      <c r="N534" s="194">
        <f t="shared" si="8"/>
        <v>1.35</v>
      </c>
      <c r="O534" s="198">
        <f>_1_5412845612146241046457891017[[#This Row],[TOTAL]]*_1_5412845612146241046457891017[[#This Row],[MARGIN]]</f>
        <v>0</v>
      </c>
      <c r="R534" s="41"/>
    </row>
    <row r="535" spans="1:18">
      <c r="A535" s="168"/>
      <c r="D535" s="188"/>
      <c r="F535" s="168" t="s">
        <v>6202</v>
      </c>
      <c r="G535" s="193">
        <f>IF(_1_5412845612146241046457891017[[#This Row],[Type]]&gt;0,VLOOKUP(_1_5412845612146241046457891017[[#This Row],[Type]],Main[[#All],[TYPE]:[UNIT]],'Unit Price'!C$1,FALSE),0)</f>
        <v>0</v>
      </c>
      <c r="H535" s="197">
        <f>IF(_1_5412845612146241046457891017[[#This Row],[Type]]&gt;0,VLOOKUP(_1_5412845612146241046457891017[[#This Row],[Type]],Main[[#All],[TYPE]:[UNIT]],'Unit Price'!D$1,FALSE),0)</f>
        <v>0</v>
      </c>
      <c r="I535" s="194">
        <f>IF(_1_5412845612146241046457891017[[#This Row],[Type]]&gt;0,VLOOKUP(_1_5412845612146241046457891017[[#This Row],[Type]],Main[[#All],[TYPE]:[UNIT]],'Unit Price'!G$1,FALSE),0)</f>
        <v>0</v>
      </c>
      <c r="J535" s="194">
        <f>IF(_1_5412845612146241046457891017[[#This Row],[Type]]&gt;0,VLOOKUP(_1_5412845612146241046457891017[[#This Row],[Type]],Main[[#All],[TYPE]:[UNIT]],'Unit Price'!H$1,FALSE),0)</f>
        <v>0</v>
      </c>
      <c r="K535" s="194">
        <f>IF(_1_5412845612146241046457891017[[#This Row],[Discount selection]]&gt;0,VLOOKUP(_1_5412845612146241046457891017[[#This Row],[Discount selection]],'Discount Structure'!$A$2:$B$30,2,"false"),0)</f>
        <v>1</v>
      </c>
      <c r="L535" s="194">
        <f>_1_5412845612146241046457891017[[#This Row],[LIST $]]*_1_5412845612146241046457891017[[#This Row],[DISCOUNT]]*_1_5412845612146241046457891017[[#This Row],[DISCOUNT 2]]</f>
        <v>0</v>
      </c>
      <c r="M535" s="194">
        <f>IF(OR(_1_5412845612146241046457891017[[#This Row],[UNIT]]&gt;0,_1_5412845612146241046457891017[[#This Row],[UNIT]]&lt;0),_1_5412845612146241046457891017[[#This Row],[UNIT]]*_1_5412845612146241046457891017[[#This Row],[COST]],0)</f>
        <v>0</v>
      </c>
      <c r="N535" s="194">
        <f t="shared" si="8"/>
        <v>1.35</v>
      </c>
      <c r="O535" s="198">
        <f>_1_5412845612146241046457891017[[#This Row],[TOTAL]]*_1_5412845612146241046457891017[[#This Row],[MARGIN]]</f>
        <v>0</v>
      </c>
      <c r="R535" s="41"/>
    </row>
    <row r="536" spans="1:18">
      <c r="D536" s="188"/>
      <c r="F536" s="168" t="s">
        <v>6202</v>
      </c>
      <c r="G536" s="193">
        <f>IF(_1_5412845612146241046457891017[[#This Row],[Type]]&gt;0,VLOOKUP(_1_5412845612146241046457891017[[#This Row],[Type]],Main[[#All],[TYPE]:[UNIT]],'Unit Price'!C$1,FALSE),0)</f>
        <v>0</v>
      </c>
      <c r="H536" s="197">
        <f>IF(_1_5412845612146241046457891017[[#This Row],[Type]]&gt;0,VLOOKUP(_1_5412845612146241046457891017[[#This Row],[Type]],Main[[#All],[TYPE]:[UNIT]],'Unit Price'!D$1,FALSE),0)</f>
        <v>0</v>
      </c>
      <c r="I536" s="194">
        <f>IF(_1_5412845612146241046457891017[[#This Row],[Type]]&gt;0,VLOOKUP(_1_5412845612146241046457891017[[#This Row],[Type]],Main[[#All],[TYPE]:[UNIT]],'Unit Price'!G$1,FALSE),0)</f>
        <v>0</v>
      </c>
      <c r="J536" s="194">
        <f>IF(_1_5412845612146241046457891017[[#This Row],[Type]]&gt;0,VLOOKUP(_1_5412845612146241046457891017[[#This Row],[Type]],Main[[#All],[TYPE]:[UNIT]],'Unit Price'!H$1,FALSE),0)</f>
        <v>0</v>
      </c>
      <c r="K536" s="194">
        <f>IF(_1_5412845612146241046457891017[[#This Row],[Discount selection]]&gt;0,VLOOKUP(_1_5412845612146241046457891017[[#This Row],[Discount selection]],'Discount Structure'!$A$2:$B$30,2,"false"),0)</f>
        <v>1</v>
      </c>
      <c r="L536" s="194">
        <f>_1_5412845612146241046457891017[[#This Row],[LIST $]]*_1_5412845612146241046457891017[[#This Row],[DISCOUNT]]*_1_5412845612146241046457891017[[#This Row],[DISCOUNT 2]]</f>
        <v>0</v>
      </c>
      <c r="M536" s="194">
        <f>IF(OR(_1_5412845612146241046457891017[[#This Row],[UNIT]]&gt;0,_1_5412845612146241046457891017[[#This Row],[UNIT]]&lt;0),_1_5412845612146241046457891017[[#This Row],[UNIT]]*_1_5412845612146241046457891017[[#This Row],[COST]],0)</f>
        <v>0</v>
      </c>
      <c r="N536" s="194">
        <f t="shared" si="8"/>
        <v>1.35</v>
      </c>
      <c r="O536" s="198">
        <f>_1_5412845612146241046457891017[[#This Row],[TOTAL]]*_1_5412845612146241046457891017[[#This Row],[MARGIN]]</f>
        <v>0</v>
      </c>
      <c r="R536" s="41"/>
    </row>
    <row r="537" spans="1:18">
      <c r="D537" s="188"/>
      <c r="F537" s="168" t="s">
        <v>6202</v>
      </c>
      <c r="G537" s="193">
        <f>IF(_1_5412845612146241046457891017[[#This Row],[Type]]&gt;0,VLOOKUP(_1_5412845612146241046457891017[[#This Row],[Type]],Main[[#All],[TYPE]:[UNIT]],'Unit Price'!C$1,FALSE),0)</f>
        <v>0</v>
      </c>
      <c r="H537" s="197">
        <f>IF(_1_5412845612146241046457891017[[#This Row],[Type]]&gt;0,VLOOKUP(_1_5412845612146241046457891017[[#This Row],[Type]],Main[[#All],[TYPE]:[UNIT]],'Unit Price'!D$1,FALSE),0)</f>
        <v>0</v>
      </c>
      <c r="I537" s="194">
        <f>IF(_1_5412845612146241046457891017[[#This Row],[Type]]&gt;0,VLOOKUP(_1_5412845612146241046457891017[[#This Row],[Type]],Main[[#All],[TYPE]:[UNIT]],'Unit Price'!G$1,FALSE),0)</f>
        <v>0</v>
      </c>
      <c r="J537" s="194">
        <f>IF(_1_5412845612146241046457891017[[#This Row],[Type]]&gt;0,VLOOKUP(_1_5412845612146241046457891017[[#This Row],[Type]],Main[[#All],[TYPE]:[UNIT]],'Unit Price'!H$1,FALSE),0)</f>
        <v>0</v>
      </c>
      <c r="K537" s="194">
        <f>IF(_1_5412845612146241046457891017[[#This Row],[Discount selection]]&gt;0,VLOOKUP(_1_5412845612146241046457891017[[#This Row],[Discount selection]],'Discount Structure'!$A$2:$B$30,2,"false"),0)</f>
        <v>1</v>
      </c>
      <c r="L537" s="194">
        <f>_1_5412845612146241046457891017[[#This Row],[LIST $]]*_1_5412845612146241046457891017[[#This Row],[DISCOUNT]]*_1_5412845612146241046457891017[[#This Row],[DISCOUNT 2]]</f>
        <v>0</v>
      </c>
      <c r="M537" s="194">
        <f>IF(OR(_1_5412845612146241046457891017[[#This Row],[UNIT]]&gt;0,_1_5412845612146241046457891017[[#This Row],[UNIT]]&lt;0),_1_5412845612146241046457891017[[#This Row],[UNIT]]*_1_5412845612146241046457891017[[#This Row],[COST]],0)</f>
        <v>0</v>
      </c>
      <c r="N537" s="194">
        <f t="shared" si="8"/>
        <v>1.35</v>
      </c>
      <c r="O537" s="198">
        <f>_1_5412845612146241046457891017[[#This Row],[TOTAL]]*_1_5412845612146241046457891017[[#This Row],[MARGIN]]</f>
        <v>0</v>
      </c>
      <c r="R537" s="41"/>
    </row>
    <row r="538" spans="1:18">
      <c r="A538" s="168"/>
      <c r="D538" s="188"/>
      <c r="F538" s="168" t="s">
        <v>6202</v>
      </c>
      <c r="G538" s="193">
        <f>IF(_1_5412845612146241046457891017[[#This Row],[Type]]&gt;0,VLOOKUP(_1_5412845612146241046457891017[[#This Row],[Type]],Main[[#All],[TYPE]:[UNIT]],'Unit Price'!C$1,FALSE),0)</f>
        <v>0</v>
      </c>
      <c r="H538" s="197">
        <f>IF(_1_5412845612146241046457891017[[#This Row],[Type]]&gt;0,VLOOKUP(_1_5412845612146241046457891017[[#This Row],[Type]],Main[[#All],[TYPE]:[UNIT]],'Unit Price'!D$1,FALSE),0)</f>
        <v>0</v>
      </c>
      <c r="I538" s="194">
        <f>IF(_1_5412845612146241046457891017[[#This Row],[Type]]&gt;0,VLOOKUP(_1_5412845612146241046457891017[[#This Row],[Type]],Main[[#All],[TYPE]:[UNIT]],'Unit Price'!G$1,FALSE),0)</f>
        <v>0</v>
      </c>
      <c r="J538" s="194">
        <f>IF(_1_5412845612146241046457891017[[#This Row],[Type]]&gt;0,VLOOKUP(_1_5412845612146241046457891017[[#This Row],[Type]],Main[[#All],[TYPE]:[UNIT]],'Unit Price'!H$1,FALSE),0)</f>
        <v>0</v>
      </c>
      <c r="K538" s="194">
        <f>IF(_1_5412845612146241046457891017[[#This Row],[Discount selection]]&gt;0,VLOOKUP(_1_5412845612146241046457891017[[#This Row],[Discount selection]],'Discount Structure'!$A$2:$B$30,2,"false"),0)</f>
        <v>1</v>
      </c>
      <c r="L538" s="194">
        <f>_1_5412845612146241046457891017[[#This Row],[LIST $]]*_1_5412845612146241046457891017[[#This Row],[DISCOUNT]]*_1_5412845612146241046457891017[[#This Row],[DISCOUNT 2]]</f>
        <v>0</v>
      </c>
      <c r="M538" s="194">
        <f>IF(OR(_1_5412845612146241046457891017[[#This Row],[UNIT]]&gt;0,_1_5412845612146241046457891017[[#This Row],[UNIT]]&lt;0),_1_5412845612146241046457891017[[#This Row],[UNIT]]*_1_5412845612146241046457891017[[#This Row],[COST]],0)</f>
        <v>0</v>
      </c>
      <c r="N538" s="194">
        <f t="shared" si="8"/>
        <v>1.35</v>
      </c>
      <c r="O538" s="198">
        <f>_1_5412845612146241046457891017[[#This Row],[TOTAL]]*_1_5412845612146241046457891017[[#This Row],[MARGIN]]</f>
        <v>0</v>
      </c>
      <c r="R538" s="41"/>
    </row>
    <row r="539" spans="1:18">
      <c r="D539" s="188"/>
      <c r="F539" s="168" t="s">
        <v>6202</v>
      </c>
      <c r="G539" s="193">
        <f>IF(_1_5412845612146241046457891017[[#This Row],[Type]]&gt;0,VLOOKUP(_1_5412845612146241046457891017[[#This Row],[Type]],Main[[#All],[TYPE]:[UNIT]],'Unit Price'!C$1,FALSE),0)</f>
        <v>0</v>
      </c>
      <c r="H539" s="197">
        <f>IF(_1_5412845612146241046457891017[[#This Row],[Type]]&gt;0,VLOOKUP(_1_5412845612146241046457891017[[#This Row],[Type]],Main[[#All],[TYPE]:[UNIT]],'Unit Price'!D$1,FALSE),0)</f>
        <v>0</v>
      </c>
      <c r="I539" s="194">
        <f>IF(_1_5412845612146241046457891017[[#This Row],[Type]]&gt;0,VLOOKUP(_1_5412845612146241046457891017[[#This Row],[Type]],Main[[#All],[TYPE]:[UNIT]],'Unit Price'!G$1,FALSE),0)</f>
        <v>0</v>
      </c>
      <c r="J539" s="194">
        <f>IF(_1_5412845612146241046457891017[[#This Row],[Type]]&gt;0,VLOOKUP(_1_5412845612146241046457891017[[#This Row],[Type]],Main[[#All],[TYPE]:[UNIT]],'Unit Price'!H$1,FALSE),0)</f>
        <v>0</v>
      </c>
      <c r="K539" s="194">
        <f>IF(_1_5412845612146241046457891017[[#This Row],[Discount selection]]&gt;0,VLOOKUP(_1_5412845612146241046457891017[[#This Row],[Discount selection]],'Discount Structure'!$A$2:$B$30,2,"false"),0)</f>
        <v>1</v>
      </c>
      <c r="L539" s="194">
        <f>_1_5412845612146241046457891017[[#This Row],[LIST $]]*_1_5412845612146241046457891017[[#This Row],[DISCOUNT]]*_1_5412845612146241046457891017[[#This Row],[DISCOUNT 2]]</f>
        <v>0</v>
      </c>
      <c r="M539" s="194">
        <f>IF(OR(_1_5412845612146241046457891017[[#This Row],[UNIT]]&gt;0,_1_5412845612146241046457891017[[#This Row],[UNIT]]&lt;0),_1_5412845612146241046457891017[[#This Row],[UNIT]]*_1_5412845612146241046457891017[[#This Row],[COST]],0)</f>
        <v>0</v>
      </c>
      <c r="N539" s="194">
        <f t="shared" si="8"/>
        <v>1.35</v>
      </c>
      <c r="O539" s="198">
        <f>_1_5412845612146241046457891017[[#This Row],[TOTAL]]*_1_5412845612146241046457891017[[#This Row],[MARGIN]]</f>
        <v>0</v>
      </c>
      <c r="R539" s="41"/>
    </row>
    <row r="540" spans="1:18">
      <c r="D540" s="188"/>
      <c r="F540" s="168" t="s">
        <v>6202</v>
      </c>
      <c r="G540" s="193">
        <f>IF(_1_5412845612146241046457891017[[#This Row],[Type]]&gt;0,VLOOKUP(_1_5412845612146241046457891017[[#This Row],[Type]],Main[[#All],[TYPE]:[UNIT]],'Unit Price'!C$1,FALSE),0)</f>
        <v>0</v>
      </c>
      <c r="H540" s="197">
        <f>IF(_1_5412845612146241046457891017[[#This Row],[Type]]&gt;0,VLOOKUP(_1_5412845612146241046457891017[[#This Row],[Type]],Main[[#All],[TYPE]:[UNIT]],'Unit Price'!D$1,FALSE),0)</f>
        <v>0</v>
      </c>
      <c r="I540" s="194">
        <f>IF(_1_5412845612146241046457891017[[#This Row],[Type]]&gt;0,VLOOKUP(_1_5412845612146241046457891017[[#This Row],[Type]],Main[[#All],[TYPE]:[UNIT]],'Unit Price'!G$1,FALSE),0)</f>
        <v>0</v>
      </c>
      <c r="J540" s="194">
        <f>IF(_1_5412845612146241046457891017[[#This Row],[Type]]&gt;0,VLOOKUP(_1_5412845612146241046457891017[[#This Row],[Type]],Main[[#All],[TYPE]:[UNIT]],'Unit Price'!H$1,FALSE),0)</f>
        <v>0</v>
      </c>
      <c r="K540" s="194">
        <f>IF(_1_5412845612146241046457891017[[#This Row],[Discount selection]]&gt;0,VLOOKUP(_1_5412845612146241046457891017[[#This Row],[Discount selection]],'Discount Structure'!$A$2:$B$30,2,"false"),0)</f>
        <v>1</v>
      </c>
      <c r="L540" s="194">
        <f>_1_5412845612146241046457891017[[#This Row],[LIST $]]*_1_5412845612146241046457891017[[#This Row],[DISCOUNT]]*_1_5412845612146241046457891017[[#This Row],[DISCOUNT 2]]</f>
        <v>0</v>
      </c>
      <c r="M540" s="194">
        <f>IF(OR(_1_5412845612146241046457891017[[#This Row],[UNIT]]&gt;0,_1_5412845612146241046457891017[[#This Row],[UNIT]]&lt;0),_1_5412845612146241046457891017[[#This Row],[UNIT]]*_1_5412845612146241046457891017[[#This Row],[COST]],0)</f>
        <v>0</v>
      </c>
      <c r="N540" s="194">
        <f t="shared" si="8"/>
        <v>1.35</v>
      </c>
      <c r="O540" s="198">
        <f>_1_5412845612146241046457891017[[#This Row],[TOTAL]]*_1_5412845612146241046457891017[[#This Row],[MARGIN]]</f>
        <v>0</v>
      </c>
      <c r="R540" s="41"/>
    </row>
    <row r="541" spans="1:18">
      <c r="D541" s="188"/>
      <c r="F541" s="168" t="s">
        <v>6202</v>
      </c>
      <c r="G541" s="193">
        <f>IF(_1_5412845612146241046457891017[[#This Row],[Type]]&gt;0,VLOOKUP(_1_5412845612146241046457891017[[#This Row],[Type]],Main[[#All],[TYPE]:[UNIT]],'Unit Price'!C$1,FALSE),0)</f>
        <v>0</v>
      </c>
      <c r="H541" s="197">
        <f>IF(_1_5412845612146241046457891017[[#This Row],[Type]]&gt;0,VLOOKUP(_1_5412845612146241046457891017[[#This Row],[Type]],Main[[#All],[TYPE]:[UNIT]],'Unit Price'!D$1,FALSE),0)</f>
        <v>0</v>
      </c>
      <c r="I541" s="194">
        <f>IF(_1_5412845612146241046457891017[[#This Row],[Type]]&gt;0,VLOOKUP(_1_5412845612146241046457891017[[#This Row],[Type]],Main[[#All],[TYPE]:[UNIT]],'Unit Price'!G$1,FALSE),0)</f>
        <v>0</v>
      </c>
      <c r="J541" s="194">
        <f>IF(_1_5412845612146241046457891017[[#This Row],[Type]]&gt;0,VLOOKUP(_1_5412845612146241046457891017[[#This Row],[Type]],Main[[#All],[TYPE]:[UNIT]],'Unit Price'!H$1,FALSE),0)</f>
        <v>0</v>
      </c>
      <c r="K541" s="194">
        <f>IF(_1_5412845612146241046457891017[[#This Row],[Discount selection]]&gt;0,VLOOKUP(_1_5412845612146241046457891017[[#This Row],[Discount selection]],'Discount Structure'!$A$2:$B$30,2,"false"),0)</f>
        <v>1</v>
      </c>
      <c r="L541" s="194">
        <f>_1_5412845612146241046457891017[[#This Row],[LIST $]]*_1_5412845612146241046457891017[[#This Row],[DISCOUNT]]*_1_5412845612146241046457891017[[#This Row],[DISCOUNT 2]]</f>
        <v>0</v>
      </c>
      <c r="M541" s="194">
        <f>IF(OR(_1_5412845612146241046457891017[[#This Row],[UNIT]]&gt;0,_1_5412845612146241046457891017[[#This Row],[UNIT]]&lt;0),_1_5412845612146241046457891017[[#This Row],[UNIT]]*_1_5412845612146241046457891017[[#This Row],[COST]],0)</f>
        <v>0</v>
      </c>
      <c r="N541" s="194">
        <f t="shared" si="8"/>
        <v>1.35</v>
      </c>
      <c r="O541" s="198">
        <f>_1_5412845612146241046457891017[[#This Row],[TOTAL]]*_1_5412845612146241046457891017[[#This Row],[MARGIN]]</f>
        <v>0</v>
      </c>
      <c r="R541" s="41"/>
    </row>
    <row r="542" spans="1:18">
      <c r="D542" s="188"/>
      <c r="F542" s="168" t="s">
        <v>6202</v>
      </c>
      <c r="G542" s="193">
        <f>IF(_1_5412845612146241046457891017[[#This Row],[Type]]&gt;0,VLOOKUP(_1_5412845612146241046457891017[[#This Row],[Type]],Main[[#All],[TYPE]:[UNIT]],'Unit Price'!C$1,FALSE),0)</f>
        <v>0</v>
      </c>
      <c r="H542" s="197">
        <f>IF(_1_5412845612146241046457891017[[#This Row],[Type]]&gt;0,VLOOKUP(_1_5412845612146241046457891017[[#This Row],[Type]],Main[[#All],[TYPE]:[UNIT]],'Unit Price'!D$1,FALSE),0)</f>
        <v>0</v>
      </c>
      <c r="I542" s="194">
        <f>IF(_1_5412845612146241046457891017[[#This Row],[Type]]&gt;0,VLOOKUP(_1_5412845612146241046457891017[[#This Row],[Type]],Main[[#All],[TYPE]:[UNIT]],'Unit Price'!G$1,FALSE),0)</f>
        <v>0</v>
      </c>
      <c r="J542" s="194">
        <f>IF(_1_5412845612146241046457891017[[#This Row],[Type]]&gt;0,VLOOKUP(_1_5412845612146241046457891017[[#This Row],[Type]],Main[[#All],[TYPE]:[UNIT]],'Unit Price'!H$1,FALSE),0)</f>
        <v>0</v>
      </c>
      <c r="K542" s="194">
        <f>IF(_1_5412845612146241046457891017[[#This Row],[Discount selection]]&gt;0,VLOOKUP(_1_5412845612146241046457891017[[#This Row],[Discount selection]],'Discount Structure'!$A$2:$B$30,2,"false"),0)</f>
        <v>1</v>
      </c>
      <c r="L542" s="194">
        <f>_1_5412845612146241046457891017[[#This Row],[LIST $]]*_1_5412845612146241046457891017[[#This Row],[DISCOUNT]]*_1_5412845612146241046457891017[[#This Row],[DISCOUNT 2]]</f>
        <v>0</v>
      </c>
      <c r="M542" s="194">
        <f>IF(OR(_1_5412845612146241046457891017[[#This Row],[UNIT]]&gt;0,_1_5412845612146241046457891017[[#This Row],[UNIT]]&lt;0),_1_5412845612146241046457891017[[#This Row],[UNIT]]*_1_5412845612146241046457891017[[#This Row],[COST]],0)</f>
        <v>0</v>
      </c>
      <c r="N542" s="194">
        <f t="shared" si="8"/>
        <v>1.35</v>
      </c>
      <c r="O542" s="198">
        <f>_1_5412845612146241046457891017[[#This Row],[TOTAL]]*_1_5412845612146241046457891017[[#This Row],[MARGIN]]</f>
        <v>0</v>
      </c>
      <c r="R542" s="41"/>
    </row>
    <row r="543" spans="1:18">
      <c r="A543" s="168"/>
      <c r="D543" s="188"/>
      <c r="F543" s="168" t="s">
        <v>6202</v>
      </c>
      <c r="G543" s="193">
        <f>IF(_1_5412845612146241046457891017[[#This Row],[Type]]&gt;0,VLOOKUP(_1_5412845612146241046457891017[[#This Row],[Type]],Main[[#All],[TYPE]:[UNIT]],'Unit Price'!C$1,FALSE),0)</f>
        <v>0</v>
      </c>
      <c r="H543" s="197">
        <f>IF(_1_5412845612146241046457891017[[#This Row],[Type]]&gt;0,VLOOKUP(_1_5412845612146241046457891017[[#This Row],[Type]],Main[[#All],[TYPE]:[UNIT]],'Unit Price'!D$1,FALSE),0)</f>
        <v>0</v>
      </c>
      <c r="I543" s="194">
        <f>IF(_1_5412845612146241046457891017[[#This Row],[Type]]&gt;0,VLOOKUP(_1_5412845612146241046457891017[[#This Row],[Type]],Main[[#All],[TYPE]:[UNIT]],'Unit Price'!G$1,FALSE),0)</f>
        <v>0</v>
      </c>
      <c r="J543" s="194">
        <f>IF(_1_5412845612146241046457891017[[#This Row],[Type]]&gt;0,VLOOKUP(_1_5412845612146241046457891017[[#This Row],[Type]],Main[[#All],[TYPE]:[UNIT]],'Unit Price'!H$1,FALSE),0)</f>
        <v>0</v>
      </c>
      <c r="K543" s="194">
        <f>IF(_1_5412845612146241046457891017[[#This Row],[Discount selection]]&gt;0,VLOOKUP(_1_5412845612146241046457891017[[#This Row],[Discount selection]],'Discount Structure'!$A$2:$B$30,2,"false"),0)</f>
        <v>1</v>
      </c>
      <c r="L543" s="194">
        <f>_1_5412845612146241046457891017[[#This Row],[LIST $]]*_1_5412845612146241046457891017[[#This Row],[DISCOUNT]]*_1_5412845612146241046457891017[[#This Row],[DISCOUNT 2]]</f>
        <v>0</v>
      </c>
      <c r="M543" s="194">
        <f>IF(OR(_1_5412845612146241046457891017[[#This Row],[UNIT]]&gt;0,_1_5412845612146241046457891017[[#This Row],[UNIT]]&lt;0),_1_5412845612146241046457891017[[#This Row],[UNIT]]*_1_5412845612146241046457891017[[#This Row],[COST]],0)</f>
        <v>0</v>
      </c>
      <c r="N543" s="194">
        <f t="shared" si="8"/>
        <v>1.35</v>
      </c>
      <c r="O543" s="198">
        <f>_1_5412845612146241046457891017[[#This Row],[TOTAL]]*_1_5412845612146241046457891017[[#This Row],[MARGIN]]</f>
        <v>0</v>
      </c>
      <c r="R543" s="41"/>
    </row>
    <row r="544" spans="1:18">
      <c r="D544" s="188"/>
      <c r="F544" s="168" t="s">
        <v>6202</v>
      </c>
      <c r="G544" s="193">
        <f>IF(_1_5412845612146241046457891017[[#This Row],[Type]]&gt;0,VLOOKUP(_1_5412845612146241046457891017[[#This Row],[Type]],Main[[#All],[TYPE]:[UNIT]],'Unit Price'!C$1,FALSE),0)</f>
        <v>0</v>
      </c>
      <c r="H544" s="197">
        <f>IF(_1_5412845612146241046457891017[[#This Row],[Type]]&gt;0,VLOOKUP(_1_5412845612146241046457891017[[#This Row],[Type]],Main[[#All],[TYPE]:[UNIT]],'Unit Price'!D$1,FALSE),0)</f>
        <v>0</v>
      </c>
      <c r="I544" s="194">
        <f>IF(_1_5412845612146241046457891017[[#This Row],[Type]]&gt;0,VLOOKUP(_1_5412845612146241046457891017[[#This Row],[Type]],Main[[#All],[TYPE]:[UNIT]],'Unit Price'!G$1,FALSE),0)</f>
        <v>0</v>
      </c>
      <c r="J544" s="194">
        <f>IF(_1_5412845612146241046457891017[[#This Row],[Type]]&gt;0,VLOOKUP(_1_5412845612146241046457891017[[#This Row],[Type]],Main[[#All],[TYPE]:[UNIT]],'Unit Price'!H$1,FALSE),0)</f>
        <v>0</v>
      </c>
      <c r="K544" s="194">
        <f>IF(_1_5412845612146241046457891017[[#This Row],[Discount selection]]&gt;0,VLOOKUP(_1_5412845612146241046457891017[[#This Row],[Discount selection]],'Discount Structure'!$A$2:$B$30,2,"false"),0)</f>
        <v>1</v>
      </c>
      <c r="L544" s="194">
        <f>_1_5412845612146241046457891017[[#This Row],[LIST $]]*_1_5412845612146241046457891017[[#This Row],[DISCOUNT]]*_1_5412845612146241046457891017[[#This Row],[DISCOUNT 2]]</f>
        <v>0</v>
      </c>
      <c r="M544" s="194">
        <f>IF(OR(_1_5412845612146241046457891017[[#This Row],[UNIT]]&gt;0,_1_5412845612146241046457891017[[#This Row],[UNIT]]&lt;0),_1_5412845612146241046457891017[[#This Row],[UNIT]]*_1_5412845612146241046457891017[[#This Row],[COST]],0)</f>
        <v>0</v>
      </c>
      <c r="N544" s="194">
        <f t="shared" si="8"/>
        <v>1.35</v>
      </c>
      <c r="O544" s="198">
        <f>_1_5412845612146241046457891017[[#This Row],[TOTAL]]*_1_5412845612146241046457891017[[#This Row],[MARGIN]]</f>
        <v>0</v>
      </c>
      <c r="R544" s="41"/>
    </row>
    <row r="545" spans="1:18">
      <c r="D545" s="188"/>
      <c r="F545" s="168" t="s">
        <v>6202</v>
      </c>
      <c r="G545" s="193">
        <f>IF(_1_5412845612146241046457891017[[#This Row],[Type]]&gt;0,VLOOKUP(_1_5412845612146241046457891017[[#This Row],[Type]],Main[[#All],[TYPE]:[UNIT]],'Unit Price'!C$1,FALSE),0)</f>
        <v>0</v>
      </c>
      <c r="H545" s="197">
        <f>IF(_1_5412845612146241046457891017[[#This Row],[Type]]&gt;0,VLOOKUP(_1_5412845612146241046457891017[[#This Row],[Type]],Main[[#All],[TYPE]:[UNIT]],'Unit Price'!D$1,FALSE),0)</f>
        <v>0</v>
      </c>
      <c r="I545" s="194">
        <f>IF(_1_5412845612146241046457891017[[#This Row],[Type]]&gt;0,VLOOKUP(_1_5412845612146241046457891017[[#This Row],[Type]],Main[[#All],[TYPE]:[UNIT]],'Unit Price'!G$1,FALSE),0)</f>
        <v>0</v>
      </c>
      <c r="J545" s="194">
        <f>IF(_1_5412845612146241046457891017[[#This Row],[Type]]&gt;0,VLOOKUP(_1_5412845612146241046457891017[[#This Row],[Type]],Main[[#All],[TYPE]:[UNIT]],'Unit Price'!H$1,FALSE),0)</f>
        <v>0</v>
      </c>
      <c r="K545" s="194">
        <f>IF(_1_5412845612146241046457891017[[#This Row],[Discount selection]]&gt;0,VLOOKUP(_1_5412845612146241046457891017[[#This Row],[Discount selection]],'Discount Structure'!$A$2:$B$30,2,"false"),0)</f>
        <v>1</v>
      </c>
      <c r="L545" s="194">
        <f>_1_5412845612146241046457891017[[#This Row],[LIST $]]*_1_5412845612146241046457891017[[#This Row],[DISCOUNT]]*_1_5412845612146241046457891017[[#This Row],[DISCOUNT 2]]</f>
        <v>0</v>
      </c>
      <c r="M545" s="194">
        <f>IF(OR(_1_5412845612146241046457891017[[#This Row],[UNIT]]&gt;0,_1_5412845612146241046457891017[[#This Row],[UNIT]]&lt;0),_1_5412845612146241046457891017[[#This Row],[UNIT]]*_1_5412845612146241046457891017[[#This Row],[COST]],0)</f>
        <v>0</v>
      </c>
      <c r="N545" s="194">
        <f t="shared" si="8"/>
        <v>1.35</v>
      </c>
      <c r="O545" s="198">
        <f>_1_5412845612146241046457891017[[#This Row],[TOTAL]]*_1_5412845612146241046457891017[[#This Row],[MARGIN]]</f>
        <v>0</v>
      </c>
      <c r="R545" s="41"/>
    </row>
    <row r="546" spans="1:18">
      <c r="D546" s="188"/>
      <c r="F546" s="168" t="s">
        <v>6202</v>
      </c>
      <c r="G546" s="193">
        <f>IF(_1_5412845612146241046457891017[[#This Row],[Type]]&gt;0,VLOOKUP(_1_5412845612146241046457891017[[#This Row],[Type]],Main[[#All],[TYPE]:[UNIT]],'Unit Price'!C$1,FALSE),0)</f>
        <v>0</v>
      </c>
      <c r="H546" s="197">
        <f>IF(_1_5412845612146241046457891017[[#This Row],[Type]]&gt;0,VLOOKUP(_1_5412845612146241046457891017[[#This Row],[Type]],Main[[#All],[TYPE]:[UNIT]],'Unit Price'!D$1,FALSE),0)</f>
        <v>0</v>
      </c>
      <c r="I546" s="194">
        <f>IF(_1_5412845612146241046457891017[[#This Row],[Type]]&gt;0,VLOOKUP(_1_5412845612146241046457891017[[#This Row],[Type]],Main[[#All],[TYPE]:[UNIT]],'Unit Price'!G$1,FALSE),0)</f>
        <v>0</v>
      </c>
      <c r="J546" s="194">
        <f>IF(_1_5412845612146241046457891017[[#This Row],[Type]]&gt;0,VLOOKUP(_1_5412845612146241046457891017[[#This Row],[Type]],Main[[#All],[TYPE]:[UNIT]],'Unit Price'!H$1,FALSE),0)</f>
        <v>0</v>
      </c>
      <c r="K546" s="194">
        <f>IF(_1_5412845612146241046457891017[[#This Row],[Discount selection]]&gt;0,VLOOKUP(_1_5412845612146241046457891017[[#This Row],[Discount selection]],'Discount Structure'!$A$2:$B$30,2,"false"),0)</f>
        <v>1</v>
      </c>
      <c r="L546" s="194">
        <f>_1_5412845612146241046457891017[[#This Row],[LIST $]]*_1_5412845612146241046457891017[[#This Row],[DISCOUNT]]*_1_5412845612146241046457891017[[#This Row],[DISCOUNT 2]]</f>
        <v>0</v>
      </c>
      <c r="M546" s="194">
        <f>IF(OR(_1_5412845612146241046457891017[[#This Row],[UNIT]]&gt;0,_1_5412845612146241046457891017[[#This Row],[UNIT]]&lt;0),_1_5412845612146241046457891017[[#This Row],[UNIT]]*_1_5412845612146241046457891017[[#This Row],[COST]],0)</f>
        <v>0</v>
      </c>
      <c r="N546" s="194">
        <f t="shared" si="8"/>
        <v>1.35</v>
      </c>
      <c r="O546" s="198">
        <f>_1_5412845612146241046457891017[[#This Row],[TOTAL]]*_1_5412845612146241046457891017[[#This Row],[MARGIN]]</f>
        <v>0</v>
      </c>
      <c r="R546" s="41"/>
    </row>
    <row r="547" spans="1:18">
      <c r="D547" s="188"/>
      <c r="F547" s="168" t="s">
        <v>6202</v>
      </c>
      <c r="G547" s="193">
        <f>IF(_1_5412845612146241046457891017[[#This Row],[Type]]&gt;0,VLOOKUP(_1_5412845612146241046457891017[[#This Row],[Type]],Main[[#All],[TYPE]:[UNIT]],'Unit Price'!C$1,FALSE),0)</f>
        <v>0</v>
      </c>
      <c r="H547" s="197">
        <f>IF(_1_5412845612146241046457891017[[#This Row],[Type]]&gt;0,VLOOKUP(_1_5412845612146241046457891017[[#This Row],[Type]],Main[[#All],[TYPE]:[UNIT]],'Unit Price'!D$1,FALSE),0)</f>
        <v>0</v>
      </c>
      <c r="I547" s="194">
        <f>IF(_1_5412845612146241046457891017[[#This Row],[Type]]&gt;0,VLOOKUP(_1_5412845612146241046457891017[[#This Row],[Type]],Main[[#All],[TYPE]:[UNIT]],'Unit Price'!G$1,FALSE),0)</f>
        <v>0</v>
      </c>
      <c r="J547" s="194">
        <f>IF(_1_5412845612146241046457891017[[#This Row],[Type]]&gt;0,VLOOKUP(_1_5412845612146241046457891017[[#This Row],[Type]],Main[[#All],[TYPE]:[UNIT]],'Unit Price'!H$1,FALSE),0)</f>
        <v>0</v>
      </c>
      <c r="K547" s="194">
        <f>IF(_1_5412845612146241046457891017[[#This Row],[Discount selection]]&gt;0,VLOOKUP(_1_5412845612146241046457891017[[#This Row],[Discount selection]],'Discount Structure'!$A$2:$B$30,2,"false"),0)</f>
        <v>1</v>
      </c>
      <c r="L547" s="194">
        <f>_1_5412845612146241046457891017[[#This Row],[LIST $]]*_1_5412845612146241046457891017[[#This Row],[DISCOUNT]]*_1_5412845612146241046457891017[[#This Row],[DISCOUNT 2]]</f>
        <v>0</v>
      </c>
      <c r="M547" s="194">
        <f>IF(OR(_1_5412845612146241046457891017[[#This Row],[UNIT]]&gt;0,_1_5412845612146241046457891017[[#This Row],[UNIT]]&lt;0),_1_5412845612146241046457891017[[#This Row],[UNIT]]*_1_5412845612146241046457891017[[#This Row],[COST]],0)</f>
        <v>0</v>
      </c>
      <c r="N547" s="194">
        <f t="shared" si="8"/>
        <v>1.35</v>
      </c>
      <c r="O547" s="198">
        <f>_1_5412845612146241046457891017[[#This Row],[TOTAL]]*_1_5412845612146241046457891017[[#This Row],[MARGIN]]</f>
        <v>0</v>
      </c>
      <c r="R547" s="41"/>
    </row>
    <row r="548" spans="1:18">
      <c r="D548" s="188"/>
      <c r="F548" s="168" t="s">
        <v>6202</v>
      </c>
      <c r="G548" s="193">
        <f>IF(_1_5412845612146241046457891017[[#This Row],[Type]]&gt;0,VLOOKUP(_1_5412845612146241046457891017[[#This Row],[Type]],Main[[#All],[TYPE]:[UNIT]],'Unit Price'!C$1,FALSE),0)</f>
        <v>0</v>
      </c>
      <c r="H548" s="197">
        <f>IF(_1_5412845612146241046457891017[[#This Row],[Type]]&gt;0,VLOOKUP(_1_5412845612146241046457891017[[#This Row],[Type]],Main[[#All],[TYPE]:[UNIT]],'Unit Price'!D$1,FALSE),0)</f>
        <v>0</v>
      </c>
      <c r="I548" s="194">
        <f>IF(_1_5412845612146241046457891017[[#This Row],[Type]]&gt;0,VLOOKUP(_1_5412845612146241046457891017[[#This Row],[Type]],Main[[#All],[TYPE]:[UNIT]],'Unit Price'!G$1,FALSE),0)</f>
        <v>0</v>
      </c>
      <c r="J548" s="194">
        <f>IF(_1_5412845612146241046457891017[[#This Row],[Type]]&gt;0,VLOOKUP(_1_5412845612146241046457891017[[#This Row],[Type]],Main[[#All],[TYPE]:[UNIT]],'Unit Price'!H$1,FALSE),0)</f>
        <v>0</v>
      </c>
      <c r="K548" s="194">
        <f>IF(_1_5412845612146241046457891017[[#This Row],[Discount selection]]&gt;0,VLOOKUP(_1_5412845612146241046457891017[[#This Row],[Discount selection]],'Discount Structure'!$A$2:$B$30,2,"false"),0)</f>
        <v>1</v>
      </c>
      <c r="L548" s="194">
        <f>_1_5412845612146241046457891017[[#This Row],[LIST $]]*_1_5412845612146241046457891017[[#This Row],[DISCOUNT]]*_1_5412845612146241046457891017[[#This Row],[DISCOUNT 2]]</f>
        <v>0</v>
      </c>
      <c r="M548" s="194">
        <f>IF(OR(_1_5412845612146241046457891017[[#This Row],[UNIT]]&gt;0,_1_5412845612146241046457891017[[#This Row],[UNIT]]&lt;0),_1_5412845612146241046457891017[[#This Row],[UNIT]]*_1_5412845612146241046457891017[[#This Row],[COST]],0)</f>
        <v>0</v>
      </c>
      <c r="N548" s="194">
        <f t="shared" si="8"/>
        <v>1.35</v>
      </c>
      <c r="O548" s="198">
        <f>_1_5412845612146241046457891017[[#This Row],[TOTAL]]*_1_5412845612146241046457891017[[#This Row],[MARGIN]]</f>
        <v>0</v>
      </c>
      <c r="R548" s="41"/>
    </row>
    <row r="549" spans="1:18">
      <c r="A549" s="168"/>
      <c r="B549" s="168"/>
      <c r="D549" s="188"/>
      <c r="F549" s="168" t="s">
        <v>6202</v>
      </c>
      <c r="G549" s="193">
        <f>IF(_1_5412845612146241046457891017[[#This Row],[Type]]&gt;0,VLOOKUP(_1_5412845612146241046457891017[[#This Row],[Type]],Main[[#All],[TYPE]:[UNIT]],'Unit Price'!C$1,FALSE),0)</f>
        <v>0</v>
      </c>
      <c r="H549" s="197">
        <f>IF(_1_5412845612146241046457891017[[#This Row],[Type]]&gt;0,VLOOKUP(_1_5412845612146241046457891017[[#This Row],[Type]],Main[[#All],[TYPE]:[UNIT]],'Unit Price'!D$1,FALSE),0)</f>
        <v>0</v>
      </c>
      <c r="I549" s="194">
        <f>IF(_1_5412845612146241046457891017[[#This Row],[Type]]&gt;0,VLOOKUP(_1_5412845612146241046457891017[[#This Row],[Type]],Main[[#All],[TYPE]:[UNIT]],'Unit Price'!G$1,FALSE),0)</f>
        <v>0</v>
      </c>
      <c r="J549" s="194">
        <f>IF(_1_5412845612146241046457891017[[#This Row],[Type]]&gt;0,VLOOKUP(_1_5412845612146241046457891017[[#This Row],[Type]],Main[[#All],[TYPE]:[UNIT]],'Unit Price'!H$1,FALSE),0)</f>
        <v>0</v>
      </c>
      <c r="K549" s="194">
        <f>IF(_1_5412845612146241046457891017[[#This Row],[Discount selection]]&gt;0,VLOOKUP(_1_5412845612146241046457891017[[#This Row],[Discount selection]],'Discount Structure'!$A$2:$B$30,2,"false"),0)</f>
        <v>1</v>
      </c>
      <c r="L549" s="194">
        <f>_1_5412845612146241046457891017[[#This Row],[LIST $]]*_1_5412845612146241046457891017[[#This Row],[DISCOUNT]]*_1_5412845612146241046457891017[[#This Row],[DISCOUNT 2]]</f>
        <v>0</v>
      </c>
      <c r="M549" s="194">
        <f>IF(OR(_1_5412845612146241046457891017[[#This Row],[UNIT]]&gt;0,_1_5412845612146241046457891017[[#This Row],[UNIT]]&lt;0),_1_5412845612146241046457891017[[#This Row],[UNIT]]*_1_5412845612146241046457891017[[#This Row],[COST]],0)</f>
        <v>0</v>
      </c>
      <c r="N549" s="194">
        <f t="shared" si="8"/>
        <v>1.35</v>
      </c>
      <c r="O549" s="198">
        <f>_1_5412845612146241046457891017[[#This Row],[TOTAL]]*_1_5412845612146241046457891017[[#This Row],[MARGIN]]</f>
        <v>0</v>
      </c>
      <c r="R549" s="41"/>
    </row>
    <row r="550" spans="1:18">
      <c r="D550" s="188"/>
      <c r="F550" s="168" t="s">
        <v>6202</v>
      </c>
      <c r="G550" s="193">
        <f>IF(_1_5412845612146241046457891017[[#This Row],[Type]]&gt;0,VLOOKUP(_1_5412845612146241046457891017[[#This Row],[Type]],Main[[#All],[TYPE]:[UNIT]],'Unit Price'!C$1,FALSE),0)</f>
        <v>0</v>
      </c>
      <c r="H550" s="197">
        <f>IF(_1_5412845612146241046457891017[[#This Row],[Type]]&gt;0,VLOOKUP(_1_5412845612146241046457891017[[#This Row],[Type]],Main[[#All],[TYPE]:[UNIT]],'Unit Price'!D$1,FALSE),0)</f>
        <v>0</v>
      </c>
      <c r="I550" s="194">
        <f>IF(_1_5412845612146241046457891017[[#This Row],[Type]]&gt;0,VLOOKUP(_1_5412845612146241046457891017[[#This Row],[Type]],Main[[#All],[TYPE]:[UNIT]],'Unit Price'!G$1,FALSE),0)</f>
        <v>0</v>
      </c>
      <c r="J550" s="194">
        <f>IF(_1_5412845612146241046457891017[[#This Row],[Type]]&gt;0,VLOOKUP(_1_5412845612146241046457891017[[#This Row],[Type]],Main[[#All],[TYPE]:[UNIT]],'Unit Price'!H$1,FALSE),0)</f>
        <v>0</v>
      </c>
      <c r="K550" s="194">
        <f>IF(_1_5412845612146241046457891017[[#This Row],[Discount selection]]&gt;0,VLOOKUP(_1_5412845612146241046457891017[[#This Row],[Discount selection]],'Discount Structure'!$A$2:$B$30,2,"false"),0)</f>
        <v>1</v>
      </c>
      <c r="L550" s="194">
        <f>_1_5412845612146241046457891017[[#This Row],[LIST $]]*_1_5412845612146241046457891017[[#This Row],[DISCOUNT]]*_1_5412845612146241046457891017[[#This Row],[DISCOUNT 2]]</f>
        <v>0</v>
      </c>
      <c r="M550" s="194">
        <f>IF(OR(_1_5412845612146241046457891017[[#This Row],[UNIT]]&gt;0,_1_5412845612146241046457891017[[#This Row],[UNIT]]&lt;0),_1_5412845612146241046457891017[[#This Row],[UNIT]]*_1_5412845612146241046457891017[[#This Row],[COST]],0)</f>
        <v>0</v>
      </c>
      <c r="N550" s="194">
        <f t="shared" si="8"/>
        <v>1.35</v>
      </c>
      <c r="O550" s="198">
        <f>_1_5412845612146241046457891017[[#This Row],[TOTAL]]*_1_5412845612146241046457891017[[#This Row],[MARGIN]]</f>
        <v>0</v>
      </c>
      <c r="R550" s="41"/>
    </row>
    <row r="551" spans="1:18">
      <c r="D551" s="188"/>
      <c r="F551" s="168" t="s">
        <v>6202</v>
      </c>
      <c r="G551" s="193">
        <f>IF(_1_5412845612146241046457891017[[#This Row],[Type]]&gt;0,VLOOKUP(_1_5412845612146241046457891017[[#This Row],[Type]],Main[[#All],[TYPE]:[UNIT]],'Unit Price'!C$1,FALSE),0)</f>
        <v>0</v>
      </c>
      <c r="H551" s="197">
        <f>IF(_1_5412845612146241046457891017[[#This Row],[Type]]&gt;0,VLOOKUP(_1_5412845612146241046457891017[[#This Row],[Type]],Main[[#All],[TYPE]:[UNIT]],'Unit Price'!D$1,FALSE),0)</f>
        <v>0</v>
      </c>
      <c r="I551" s="194">
        <f>IF(_1_5412845612146241046457891017[[#This Row],[Type]]&gt;0,VLOOKUP(_1_5412845612146241046457891017[[#This Row],[Type]],Main[[#All],[TYPE]:[UNIT]],'Unit Price'!G$1,FALSE),0)</f>
        <v>0</v>
      </c>
      <c r="J551" s="194">
        <f>IF(_1_5412845612146241046457891017[[#This Row],[Type]]&gt;0,VLOOKUP(_1_5412845612146241046457891017[[#This Row],[Type]],Main[[#All],[TYPE]:[UNIT]],'Unit Price'!H$1,FALSE),0)</f>
        <v>0</v>
      </c>
      <c r="K551" s="194">
        <f>IF(_1_5412845612146241046457891017[[#This Row],[Discount selection]]&gt;0,VLOOKUP(_1_5412845612146241046457891017[[#This Row],[Discount selection]],'Discount Structure'!$A$2:$B$30,2,"false"),0)</f>
        <v>1</v>
      </c>
      <c r="L551" s="194">
        <f>_1_5412845612146241046457891017[[#This Row],[LIST $]]*_1_5412845612146241046457891017[[#This Row],[DISCOUNT]]*_1_5412845612146241046457891017[[#This Row],[DISCOUNT 2]]</f>
        <v>0</v>
      </c>
      <c r="M551" s="194">
        <f>IF(OR(_1_5412845612146241046457891017[[#This Row],[UNIT]]&gt;0,_1_5412845612146241046457891017[[#This Row],[UNIT]]&lt;0),_1_5412845612146241046457891017[[#This Row],[UNIT]]*_1_5412845612146241046457891017[[#This Row],[COST]],0)</f>
        <v>0</v>
      </c>
      <c r="N551" s="194">
        <f t="shared" si="8"/>
        <v>1.35</v>
      </c>
      <c r="O551" s="198">
        <f>_1_5412845612146241046457891017[[#This Row],[TOTAL]]*_1_5412845612146241046457891017[[#This Row],[MARGIN]]</f>
        <v>0</v>
      </c>
      <c r="R551" s="41"/>
    </row>
    <row r="552" spans="1:18">
      <c r="A552" s="168"/>
      <c r="D552" s="188"/>
      <c r="F552" s="168" t="s">
        <v>6202</v>
      </c>
      <c r="G552" s="193">
        <f>IF(_1_5412845612146241046457891017[[#This Row],[Type]]&gt;0,VLOOKUP(_1_5412845612146241046457891017[[#This Row],[Type]],Main[[#All],[TYPE]:[UNIT]],'Unit Price'!C$1,FALSE),0)</f>
        <v>0</v>
      </c>
      <c r="H552" s="197">
        <f>IF(_1_5412845612146241046457891017[[#This Row],[Type]]&gt;0,VLOOKUP(_1_5412845612146241046457891017[[#This Row],[Type]],Main[[#All],[TYPE]:[UNIT]],'Unit Price'!D$1,FALSE),0)</f>
        <v>0</v>
      </c>
      <c r="I552" s="194">
        <f>IF(_1_5412845612146241046457891017[[#This Row],[Type]]&gt;0,VLOOKUP(_1_5412845612146241046457891017[[#This Row],[Type]],Main[[#All],[TYPE]:[UNIT]],'Unit Price'!G$1,FALSE),0)</f>
        <v>0</v>
      </c>
      <c r="J552" s="194">
        <f>IF(_1_5412845612146241046457891017[[#This Row],[Type]]&gt;0,VLOOKUP(_1_5412845612146241046457891017[[#This Row],[Type]],Main[[#All],[TYPE]:[UNIT]],'Unit Price'!H$1,FALSE),0)</f>
        <v>0</v>
      </c>
      <c r="K552" s="194">
        <f>IF(_1_5412845612146241046457891017[[#This Row],[Discount selection]]&gt;0,VLOOKUP(_1_5412845612146241046457891017[[#This Row],[Discount selection]],'Discount Structure'!$A$2:$B$30,2,"false"),0)</f>
        <v>1</v>
      </c>
      <c r="L552" s="194">
        <f>_1_5412845612146241046457891017[[#This Row],[LIST $]]*_1_5412845612146241046457891017[[#This Row],[DISCOUNT]]*_1_5412845612146241046457891017[[#This Row],[DISCOUNT 2]]</f>
        <v>0</v>
      </c>
      <c r="M552" s="194">
        <f>IF(OR(_1_5412845612146241046457891017[[#This Row],[UNIT]]&gt;0,_1_5412845612146241046457891017[[#This Row],[UNIT]]&lt;0),_1_5412845612146241046457891017[[#This Row],[UNIT]]*_1_5412845612146241046457891017[[#This Row],[COST]],0)</f>
        <v>0</v>
      </c>
      <c r="N552" s="194">
        <f t="shared" si="8"/>
        <v>1.35</v>
      </c>
      <c r="O552" s="198">
        <f>_1_5412845612146241046457891017[[#This Row],[TOTAL]]*_1_5412845612146241046457891017[[#This Row],[MARGIN]]</f>
        <v>0</v>
      </c>
      <c r="R552" s="41"/>
    </row>
    <row r="553" spans="1:18">
      <c r="D553" s="188"/>
      <c r="F553" s="168" t="s">
        <v>6202</v>
      </c>
      <c r="G553" s="193">
        <f>IF(_1_5412845612146241046457891017[[#This Row],[Type]]&gt;0,VLOOKUP(_1_5412845612146241046457891017[[#This Row],[Type]],Main[[#All],[TYPE]:[UNIT]],'Unit Price'!C$1,FALSE),0)</f>
        <v>0</v>
      </c>
      <c r="H553" s="197">
        <f>IF(_1_5412845612146241046457891017[[#This Row],[Type]]&gt;0,VLOOKUP(_1_5412845612146241046457891017[[#This Row],[Type]],Main[[#All],[TYPE]:[UNIT]],'Unit Price'!D$1,FALSE),0)</f>
        <v>0</v>
      </c>
      <c r="I553" s="194">
        <f>IF(_1_5412845612146241046457891017[[#This Row],[Type]]&gt;0,VLOOKUP(_1_5412845612146241046457891017[[#This Row],[Type]],Main[[#All],[TYPE]:[UNIT]],'Unit Price'!G$1,FALSE),0)</f>
        <v>0</v>
      </c>
      <c r="J553" s="194">
        <f>IF(_1_5412845612146241046457891017[[#This Row],[Type]]&gt;0,VLOOKUP(_1_5412845612146241046457891017[[#This Row],[Type]],Main[[#All],[TYPE]:[UNIT]],'Unit Price'!H$1,FALSE),0)</f>
        <v>0</v>
      </c>
      <c r="K553" s="194">
        <f>IF(_1_5412845612146241046457891017[[#This Row],[Discount selection]]&gt;0,VLOOKUP(_1_5412845612146241046457891017[[#This Row],[Discount selection]],'Discount Structure'!$A$2:$B$30,2,"false"),0)</f>
        <v>1</v>
      </c>
      <c r="L553" s="194">
        <f>_1_5412845612146241046457891017[[#This Row],[LIST $]]*_1_5412845612146241046457891017[[#This Row],[DISCOUNT]]*_1_5412845612146241046457891017[[#This Row],[DISCOUNT 2]]</f>
        <v>0</v>
      </c>
      <c r="M553" s="194">
        <f>IF(OR(_1_5412845612146241046457891017[[#This Row],[UNIT]]&gt;0,_1_5412845612146241046457891017[[#This Row],[UNIT]]&lt;0),_1_5412845612146241046457891017[[#This Row],[UNIT]]*_1_5412845612146241046457891017[[#This Row],[COST]],0)</f>
        <v>0</v>
      </c>
      <c r="N553" s="194">
        <f t="shared" si="8"/>
        <v>1.35</v>
      </c>
      <c r="O553" s="198">
        <f>_1_5412845612146241046457891017[[#This Row],[TOTAL]]*_1_5412845612146241046457891017[[#This Row],[MARGIN]]</f>
        <v>0</v>
      </c>
      <c r="R553" s="41"/>
    </row>
    <row r="554" spans="1:18">
      <c r="D554" s="188"/>
      <c r="F554" s="168" t="s">
        <v>6202</v>
      </c>
      <c r="G554" s="193">
        <f>IF(_1_5412845612146241046457891017[[#This Row],[Type]]&gt;0,VLOOKUP(_1_5412845612146241046457891017[[#This Row],[Type]],Main[[#All],[TYPE]:[UNIT]],'Unit Price'!C$1,FALSE),0)</f>
        <v>0</v>
      </c>
      <c r="H554" s="197">
        <f>IF(_1_5412845612146241046457891017[[#This Row],[Type]]&gt;0,VLOOKUP(_1_5412845612146241046457891017[[#This Row],[Type]],Main[[#All],[TYPE]:[UNIT]],'Unit Price'!D$1,FALSE),0)</f>
        <v>0</v>
      </c>
      <c r="I554" s="194">
        <f>IF(_1_5412845612146241046457891017[[#This Row],[Type]]&gt;0,VLOOKUP(_1_5412845612146241046457891017[[#This Row],[Type]],Main[[#All],[TYPE]:[UNIT]],'Unit Price'!G$1,FALSE),0)</f>
        <v>0</v>
      </c>
      <c r="J554" s="194">
        <f>IF(_1_5412845612146241046457891017[[#This Row],[Type]]&gt;0,VLOOKUP(_1_5412845612146241046457891017[[#This Row],[Type]],Main[[#All],[TYPE]:[UNIT]],'Unit Price'!H$1,FALSE),0)</f>
        <v>0</v>
      </c>
      <c r="K554" s="194">
        <f>IF(_1_5412845612146241046457891017[[#This Row],[Discount selection]]&gt;0,VLOOKUP(_1_5412845612146241046457891017[[#This Row],[Discount selection]],'Discount Structure'!$A$2:$B$30,2,"false"),0)</f>
        <v>1</v>
      </c>
      <c r="L554" s="194">
        <f>_1_5412845612146241046457891017[[#This Row],[LIST $]]*_1_5412845612146241046457891017[[#This Row],[DISCOUNT]]*_1_5412845612146241046457891017[[#This Row],[DISCOUNT 2]]</f>
        <v>0</v>
      </c>
      <c r="M554" s="194">
        <f>IF(OR(_1_5412845612146241046457891017[[#This Row],[UNIT]]&gt;0,_1_5412845612146241046457891017[[#This Row],[UNIT]]&lt;0),_1_5412845612146241046457891017[[#This Row],[UNIT]]*_1_5412845612146241046457891017[[#This Row],[COST]],0)</f>
        <v>0</v>
      </c>
      <c r="N554" s="194">
        <f t="shared" si="8"/>
        <v>1.35</v>
      </c>
      <c r="O554" s="198">
        <f>_1_5412845612146241046457891017[[#This Row],[TOTAL]]*_1_5412845612146241046457891017[[#This Row],[MARGIN]]</f>
        <v>0</v>
      </c>
      <c r="R554" s="41"/>
    </row>
    <row r="555" spans="1:18">
      <c r="D555" s="188"/>
      <c r="F555" s="168" t="s">
        <v>6202</v>
      </c>
      <c r="G555" s="193">
        <f>IF(_1_5412845612146241046457891017[[#This Row],[Type]]&gt;0,VLOOKUP(_1_5412845612146241046457891017[[#This Row],[Type]],Main[[#All],[TYPE]:[UNIT]],'Unit Price'!C$1,FALSE),0)</f>
        <v>0</v>
      </c>
      <c r="H555" s="197">
        <f>IF(_1_5412845612146241046457891017[[#This Row],[Type]]&gt;0,VLOOKUP(_1_5412845612146241046457891017[[#This Row],[Type]],Main[[#All],[TYPE]:[UNIT]],'Unit Price'!D$1,FALSE),0)</f>
        <v>0</v>
      </c>
      <c r="I555" s="194">
        <f>IF(_1_5412845612146241046457891017[[#This Row],[Type]]&gt;0,VLOOKUP(_1_5412845612146241046457891017[[#This Row],[Type]],Main[[#All],[TYPE]:[UNIT]],'Unit Price'!G$1,FALSE),0)</f>
        <v>0</v>
      </c>
      <c r="J555" s="194">
        <f>IF(_1_5412845612146241046457891017[[#This Row],[Type]]&gt;0,VLOOKUP(_1_5412845612146241046457891017[[#This Row],[Type]],Main[[#All],[TYPE]:[UNIT]],'Unit Price'!H$1,FALSE),0)</f>
        <v>0</v>
      </c>
      <c r="K555" s="194">
        <f>IF(_1_5412845612146241046457891017[[#This Row],[Discount selection]]&gt;0,VLOOKUP(_1_5412845612146241046457891017[[#This Row],[Discount selection]],'Discount Structure'!$A$2:$B$30,2,"false"),0)</f>
        <v>1</v>
      </c>
      <c r="L555" s="194">
        <f>_1_5412845612146241046457891017[[#This Row],[LIST $]]*_1_5412845612146241046457891017[[#This Row],[DISCOUNT]]*_1_5412845612146241046457891017[[#This Row],[DISCOUNT 2]]</f>
        <v>0</v>
      </c>
      <c r="M555" s="194">
        <f>IF(OR(_1_5412845612146241046457891017[[#This Row],[UNIT]]&gt;0,_1_5412845612146241046457891017[[#This Row],[UNIT]]&lt;0),_1_5412845612146241046457891017[[#This Row],[UNIT]]*_1_5412845612146241046457891017[[#This Row],[COST]],0)</f>
        <v>0</v>
      </c>
      <c r="N555" s="194">
        <f t="shared" si="8"/>
        <v>1.35</v>
      </c>
      <c r="O555" s="198">
        <f>_1_5412845612146241046457891017[[#This Row],[TOTAL]]*_1_5412845612146241046457891017[[#This Row],[MARGIN]]</f>
        <v>0</v>
      </c>
      <c r="R555" s="41"/>
    </row>
    <row r="556" spans="1:18">
      <c r="D556" s="188"/>
      <c r="F556" s="168" t="s">
        <v>6202</v>
      </c>
      <c r="G556" s="193">
        <f>IF(_1_5412845612146241046457891017[[#This Row],[Type]]&gt;0,VLOOKUP(_1_5412845612146241046457891017[[#This Row],[Type]],Main[[#All],[TYPE]:[UNIT]],'Unit Price'!C$1,FALSE),0)</f>
        <v>0</v>
      </c>
      <c r="H556" s="197">
        <f>IF(_1_5412845612146241046457891017[[#This Row],[Type]]&gt;0,VLOOKUP(_1_5412845612146241046457891017[[#This Row],[Type]],Main[[#All],[TYPE]:[UNIT]],'Unit Price'!D$1,FALSE),0)</f>
        <v>0</v>
      </c>
      <c r="I556" s="194">
        <f>IF(_1_5412845612146241046457891017[[#This Row],[Type]]&gt;0,VLOOKUP(_1_5412845612146241046457891017[[#This Row],[Type]],Main[[#All],[TYPE]:[UNIT]],'Unit Price'!G$1,FALSE),0)</f>
        <v>0</v>
      </c>
      <c r="J556" s="194">
        <f>IF(_1_5412845612146241046457891017[[#This Row],[Type]]&gt;0,VLOOKUP(_1_5412845612146241046457891017[[#This Row],[Type]],Main[[#All],[TYPE]:[UNIT]],'Unit Price'!H$1,FALSE),0)</f>
        <v>0</v>
      </c>
      <c r="K556" s="194">
        <f>IF(_1_5412845612146241046457891017[[#This Row],[Discount selection]]&gt;0,VLOOKUP(_1_5412845612146241046457891017[[#This Row],[Discount selection]],'Discount Structure'!$A$2:$B$30,2,"false"),0)</f>
        <v>1</v>
      </c>
      <c r="L556" s="194">
        <f>_1_5412845612146241046457891017[[#This Row],[LIST $]]*_1_5412845612146241046457891017[[#This Row],[DISCOUNT]]*_1_5412845612146241046457891017[[#This Row],[DISCOUNT 2]]</f>
        <v>0</v>
      </c>
      <c r="M556" s="194">
        <f>IF(OR(_1_5412845612146241046457891017[[#This Row],[UNIT]]&gt;0,_1_5412845612146241046457891017[[#This Row],[UNIT]]&lt;0),_1_5412845612146241046457891017[[#This Row],[UNIT]]*_1_5412845612146241046457891017[[#This Row],[COST]],0)</f>
        <v>0</v>
      </c>
      <c r="N556" s="194">
        <f t="shared" si="8"/>
        <v>1.35</v>
      </c>
      <c r="O556" s="198">
        <f>_1_5412845612146241046457891017[[#This Row],[TOTAL]]*_1_5412845612146241046457891017[[#This Row],[MARGIN]]</f>
        <v>0</v>
      </c>
      <c r="R556" s="41"/>
    </row>
    <row r="557" spans="1:18">
      <c r="D557" s="188"/>
      <c r="F557" s="168" t="s">
        <v>6202</v>
      </c>
      <c r="G557" s="193">
        <f>IF(_1_5412845612146241046457891017[[#This Row],[Type]]&gt;0,VLOOKUP(_1_5412845612146241046457891017[[#This Row],[Type]],Main[[#All],[TYPE]:[UNIT]],'Unit Price'!C$1,FALSE),0)</f>
        <v>0</v>
      </c>
      <c r="H557" s="197">
        <f>IF(_1_5412845612146241046457891017[[#This Row],[Type]]&gt;0,VLOOKUP(_1_5412845612146241046457891017[[#This Row],[Type]],Main[[#All],[TYPE]:[UNIT]],'Unit Price'!D$1,FALSE),0)</f>
        <v>0</v>
      </c>
      <c r="I557" s="194">
        <f>IF(_1_5412845612146241046457891017[[#This Row],[Type]]&gt;0,VLOOKUP(_1_5412845612146241046457891017[[#This Row],[Type]],Main[[#All],[TYPE]:[UNIT]],'Unit Price'!G$1,FALSE),0)</f>
        <v>0</v>
      </c>
      <c r="J557" s="194">
        <f>IF(_1_5412845612146241046457891017[[#This Row],[Type]]&gt;0,VLOOKUP(_1_5412845612146241046457891017[[#This Row],[Type]],Main[[#All],[TYPE]:[UNIT]],'Unit Price'!H$1,FALSE),0)</f>
        <v>0</v>
      </c>
      <c r="K557" s="194">
        <f>IF(_1_5412845612146241046457891017[[#This Row],[Discount selection]]&gt;0,VLOOKUP(_1_5412845612146241046457891017[[#This Row],[Discount selection]],'Discount Structure'!$A$2:$B$30,2,"false"),0)</f>
        <v>1</v>
      </c>
      <c r="L557" s="194">
        <f>_1_5412845612146241046457891017[[#This Row],[LIST $]]*_1_5412845612146241046457891017[[#This Row],[DISCOUNT]]*_1_5412845612146241046457891017[[#This Row],[DISCOUNT 2]]</f>
        <v>0</v>
      </c>
      <c r="M557" s="194">
        <f>IF(OR(_1_5412845612146241046457891017[[#This Row],[UNIT]]&gt;0,_1_5412845612146241046457891017[[#This Row],[UNIT]]&lt;0),_1_5412845612146241046457891017[[#This Row],[UNIT]]*_1_5412845612146241046457891017[[#This Row],[COST]],0)</f>
        <v>0</v>
      </c>
      <c r="N557" s="194">
        <f t="shared" si="8"/>
        <v>1.35</v>
      </c>
      <c r="O557" s="198">
        <f>_1_5412845612146241046457891017[[#This Row],[TOTAL]]*_1_5412845612146241046457891017[[#This Row],[MARGIN]]</f>
        <v>0</v>
      </c>
      <c r="R557" s="41"/>
    </row>
    <row r="558" spans="1:18">
      <c r="D558" s="188"/>
      <c r="F558" s="168" t="s">
        <v>6202</v>
      </c>
      <c r="G558" s="193">
        <f>IF(_1_5412845612146241046457891017[[#This Row],[Type]]&gt;0,VLOOKUP(_1_5412845612146241046457891017[[#This Row],[Type]],Main[[#All],[TYPE]:[UNIT]],'Unit Price'!C$1,FALSE),0)</f>
        <v>0</v>
      </c>
      <c r="H558" s="197">
        <f>IF(_1_5412845612146241046457891017[[#This Row],[Type]]&gt;0,VLOOKUP(_1_5412845612146241046457891017[[#This Row],[Type]],Main[[#All],[TYPE]:[UNIT]],'Unit Price'!D$1,FALSE),0)</f>
        <v>0</v>
      </c>
      <c r="I558" s="194">
        <f>IF(_1_5412845612146241046457891017[[#This Row],[Type]]&gt;0,VLOOKUP(_1_5412845612146241046457891017[[#This Row],[Type]],Main[[#All],[TYPE]:[UNIT]],'Unit Price'!G$1,FALSE),0)</f>
        <v>0</v>
      </c>
      <c r="J558" s="194">
        <f>IF(_1_5412845612146241046457891017[[#This Row],[Type]]&gt;0,VLOOKUP(_1_5412845612146241046457891017[[#This Row],[Type]],Main[[#All],[TYPE]:[UNIT]],'Unit Price'!H$1,FALSE),0)</f>
        <v>0</v>
      </c>
      <c r="K558" s="194">
        <f>IF(_1_5412845612146241046457891017[[#This Row],[Discount selection]]&gt;0,VLOOKUP(_1_5412845612146241046457891017[[#This Row],[Discount selection]],'Discount Structure'!$A$2:$B$30,2,"false"),0)</f>
        <v>1</v>
      </c>
      <c r="L558" s="194">
        <f>_1_5412845612146241046457891017[[#This Row],[LIST $]]*_1_5412845612146241046457891017[[#This Row],[DISCOUNT]]*_1_5412845612146241046457891017[[#This Row],[DISCOUNT 2]]</f>
        <v>0</v>
      </c>
      <c r="M558" s="194">
        <f>IF(OR(_1_5412845612146241046457891017[[#This Row],[UNIT]]&gt;0,_1_5412845612146241046457891017[[#This Row],[UNIT]]&lt;0),_1_5412845612146241046457891017[[#This Row],[UNIT]]*_1_5412845612146241046457891017[[#This Row],[COST]],0)</f>
        <v>0</v>
      </c>
      <c r="N558" s="194">
        <f t="shared" si="8"/>
        <v>1.35</v>
      </c>
      <c r="O558" s="198">
        <f>_1_5412845612146241046457891017[[#This Row],[TOTAL]]*_1_5412845612146241046457891017[[#This Row],[MARGIN]]</f>
        <v>0</v>
      </c>
      <c r="R558" s="41"/>
    </row>
    <row r="559" spans="1:18">
      <c r="D559" s="188"/>
      <c r="F559" s="168" t="s">
        <v>6202</v>
      </c>
      <c r="G559" s="193">
        <f>IF(_1_5412845612146241046457891017[[#This Row],[Type]]&gt;0,VLOOKUP(_1_5412845612146241046457891017[[#This Row],[Type]],Main[[#All],[TYPE]:[UNIT]],'Unit Price'!C$1,FALSE),0)</f>
        <v>0</v>
      </c>
      <c r="H559" s="197">
        <f>IF(_1_5412845612146241046457891017[[#This Row],[Type]]&gt;0,VLOOKUP(_1_5412845612146241046457891017[[#This Row],[Type]],Main[[#All],[TYPE]:[UNIT]],'Unit Price'!D$1,FALSE),0)</f>
        <v>0</v>
      </c>
      <c r="I559" s="194">
        <f>IF(_1_5412845612146241046457891017[[#This Row],[Type]]&gt;0,VLOOKUP(_1_5412845612146241046457891017[[#This Row],[Type]],Main[[#All],[TYPE]:[UNIT]],'Unit Price'!G$1,FALSE),0)</f>
        <v>0</v>
      </c>
      <c r="J559" s="194">
        <f>IF(_1_5412845612146241046457891017[[#This Row],[Type]]&gt;0,VLOOKUP(_1_5412845612146241046457891017[[#This Row],[Type]],Main[[#All],[TYPE]:[UNIT]],'Unit Price'!H$1,FALSE),0)</f>
        <v>0</v>
      </c>
      <c r="K559" s="194">
        <f>IF(_1_5412845612146241046457891017[[#This Row],[Discount selection]]&gt;0,VLOOKUP(_1_5412845612146241046457891017[[#This Row],[Discount selection]],'Discount Structure'!$A$2:$B$30,2,"false"),0)</f>
        <v>1</v>
      </c>
      <c r="L559" s="194">
        <f>_1_5412845612146241046457891017[[#This Row],[LIST $]]*_1_5412845612146241046457891017[[#This Row],[DISCOUNT]]*_1_5412845612146241046457891017[[#This Row],[DISCOUNT 2]]</f>
        <v>0</v>
      </c>
      <c r="M559" s="194">
        <f>IF(OR(_1_5412845612146241046457891017[[#This Row],[UNIT]]&gt;0,_1_5412845612146241046457891017[[#This Row],[UNIT]]&lt;0),_1_5412845612146241046457891017[[#This Row],[UNIT]]*_1_5412845612146241046457891017[[#This Row],[COST]],0)</f>
        <v>0</v>
      </c>
      <c r="N559" s="194">
        <f t="shared" si="8"/>
        <v>1.35</v>
      </c>
      <c r="O559" s="198">
        <f>_1_5412845612146241046457891017[[#This Row],[TOTAL]]*_1_5412845612146241046457891017[[#This Row],[MARGIN]]</f>
        <v>0</v>
      </c>
      <c r="R559" s="41"/>
    </row>
    <row r="560" spans="1:18">
      <c r="A560" s="168"/>
      <c r="D560" s="188"/>
      <c r="F560" s="168" t="s">
        <v>6202</v>
      </c>
      <c r="G560" s="193">
        <f>IF(_1_5412845612146241046457891017[[#This Row],[Type]]&gt;0,VLOOKUP(_1_5412845612146241046457891017[[#This Row],[Type]],Main[[#All],[TYPE]:[UNIT]],'Unit Price'!C$1,FALSE),0)</f>
        <v>0</v>
      </c>
      <c r="H560" s="197">
        <f>IF(_1_5412845612146241046457891017[[#This Row],[Type]]&gt;0,VLOOKUP(_1_5412845612146241046457891017[[#This Row],[Type]],Main[[#All],[TYPE]:[UNIT]],'Unit Price'!D$1,FALSE),0)</f>
        <v>0</v>
      </c>
      <c r="I560" s="194">
        <f>IF(_1_5412845612146241046457891017[[#This Row],[Type]]&gt;0,VLOOKUP(_1_5412845612146241046457891017[[#This Row],[Type]],Main[[#All],[TYPE]:[UNIT]],'Unit Price'!G$1,FALSE),0)</f>
        <v>0</v>
      </c>
      <c r="J560" s="194">
        <f>IF(_1_5412845612146241046457891017[[#This Row],[Type]]&gt;0,VLOOKUP(_1_5412845612146241046457891017[[#This Row],[Type]],Main[[#All],[TYPE]:[UNIT]],'Unit Price'!H$1,FALSE),0)</f>
        <v>0</v>
      </c>
      <c r="K560" s="194">
        <f>IF(_1_5412845612146241046457891017[[#This Row],[Discount selection]]&gt;0,VLOOKUP(_1_5412845612146241046457891017[[#This Row],[Discount selection]],'Discount Structure'!$A$2:$B$30,2,"false"),0)</f>
        <v>1</v>
      </c>
      <c r="L560" s="194">
        <f>_1_5412845612146241046457891017[[#This Row],[LIST $]]*_1_5412845612146241046457891017[[#This Row],[DISCOUNT]]*_1_5412845612146241046457891017[[#This Row],[DISCOUNT 2]]</f>
        <v>0</v>
      </c>
      <c r="M560" s="194">
        <f>IF(OR(_1_5412845612146241046457891017[[#This Row],[UNIT]]&gt;0,_1_5412845612146241046457891017[[#This Row],[UNIT]]&lt;0),_1_5412845612146241046457891017[[#This Row],[UNIT]]*_1_5412845612146241046457891017[[#This Row],[COST]],0)</f>
        <v>0</v>
      </c>
      <c r="N560" s="194">
        <f t="shared" si="8"/>
        <v>1.35</v>
      </c>
      <c r="O560" s="198">
        <f>_1_5412845612146241046457891017[[#This Row],[TOTAL]]*_1_5412845612146241046457891017[[#This Row],[MARGIN]]</f>
        <v>0</v>
      </c>
      <c r="R560" s="41"/>
    </row>
    <row r="561" spans="1:18">
      <c r="D561" s="188"/>
      <c r="F561" s="168" t="s">
        <v>6202</v>
      </c>
      <c r="G561" s="193">
        <f>IF(_1_5412845612146241046457891017[[#This Row],[Type]]&gt;0,VLOOKUP(_1_5412845612146241046457891017[[#This Row],[Type]],Main[[#All],[TYPE]:[UNIT]],'Unit Price'!C$1,FALSE),0)</f>
        <v>0</v>
      </c>
      <c r="H561" s="197">
        <f>IF(_1_5412845612146241046457891017[[#This Row],[Type]]&gt;0,VLOOKUP(_1_5412845612146241046457891017[[#This Row],[Type]],Main[[#All],[TYPE]:[UNIT]],'Unit Price'!D$1,FALSE),0)</f>
        <v>0</v>
      </c>
      <c r="I561" s="194">
        <f>IF(_1_5412845612146241046457891017[[#This Row],[Type]]&gt;0,VLOOKUP(_1_5412845612146241046457891017[[#This Row],[Type]],Main[[#All],[TYPE]:[UNIT]],'Unit Price'!G$1,FALSE),0)</f>
        <v>0</v>
      </c>
      <c r="J561" s="194">
        <f>IF(_1_5412845612146241046457891017[[#This Row],[Type]]&gt;0,VLOOKUP(_1_5412845612146241046457891017[[#This Row],[Type]],Main[[#All],[TYPE]:[UNIT]],'Unit Price'!H$1,FALSE),0)</f>
        <v>0</v>
      </c>
      <c r="K561" s="194">
        <f>IF(_1_5412845612146241046457891017[[#This Row],[Discount selection]]&gt;0,VLOOKUP(_1_5412845612146241046457891017[[#This Row],[Discount selection]],'Discount Structure'!$A$2:$B$30,2,"false"),0)</f>
        <v>1</v>
      </c>
      <c r="L561" s="194">
        <f>_1_5412845612146241046457891017[[#This Row],[LIST $]]*_1_5412845612146241046457891017[[#This Row],[DISCOUNT]]*_1_5412845612146241046457891017[[#This Row],[DISCOUNT 2]]</f>
        <v>0</v>
      </c>
      <c r="M561" s="194">
        <f>IF(OR(_1_5412845612146241046457891017[[#This Row],[UNIT]]&gt;0,_1_5412845612146241046457891017[[#This Row],[UNIT]]&lt;0),_1_5412845612146241046457891017[[#This Row],[UNIT]]*_1_5412845612146241046457891017[[#This Row],[COST]],0)</f>
        <v>0</v>
      </c>
      <c r="N561" s="194">
        <f t="shared" si="8"/>
        <v>1.35</v>
      </c>
      <c r="O561" s="198">
        <f>_1_5412845612146241046457891017[[#This Row],[TOTAL]]*_1_5412845612146241046457891017[[#This Row],[MARGIN]]</f>
        <v>0</v>
      </c>
      <c r="R561" s="41"/>
    </row>
    <row r="562" spans="1:18">
      <c r="D562" s="188"/>
      <c r="F562" s="168" t="s">
        <v>6202</v>
      </c>
      <c r="G562" s="193">
        <f>IF(_1_5412845612146241046457891017[[#This Row],[Type]]&gt;0,VLOOKUP(_1_5412845612146241046457891017[[#This Row],[Type]],Main[[#All],[TYPE]:[UNIT]],'Unit Price'!C$1,FALSE),0)</f>
        <v>0</v>
      </c>
      <c r="H562" s="197">
        <f>IF(_1_5412845612146241046457891017[[#This Row],[Type]]&gt;0,VLOOKUP(_1_5412845612146241046457891017[[#This Row],[Type]],Main[[#All],[TYPE]:[UNIT]],'Unit Price'!D$1,FALSE),0)</f>
        <v>0</v>
      </c>
      <c r="I562" s="194">
        <f>IF(_1_5412845612146241046457891017[[#This Row],[Type]]&gt;0,VLOOKUP(_1_5412845612146241046457891017[[#This Row],[Type]],Main[[#All],[TYPE]:[UNIT]],'Unit Price'!G$1,FALSE),0)</f>
        <v>0</v>
      </c>
      <c r="J562" s="194">
        <f>IF(_1_5412845612146241046457891017[[#This Row],[Type]]&gt;0,VLOOKUP(_1_5412845612146241046457891017[[#This Row],[Type]],Main[[#All],[TYPE]:[UNIT]],'Unit Price'!H$1,FALSE),0)</f>
        <v>0</v>
      </c>
      <c r="K562" s="194">
        <f>IF(_1_5412845612146241046457891017[[#This Row],[Discount selection]]&gt;0,VLOOKUP(_1_5412845612146241046457891017[[#This Row],[Discount selection]],'Discount Structure'!$A$2:$B$30,2,"false"),0)</f>
        <v>1</v>
      </c>
      <c r="L562" s="194">
        <f>_1_5412845612146241046457891017[[#This Row],[LIST $]]*_1_5412845612146241046457891017[[#This Row],[DISCOUNT]]*_1_5412845612146241046457891017[[#This Row],[DISCOUNT 2]]</f>
        <v>0</v>
      </c>
      <c r="M562" s="194">
        <f>IF(OR(_1_5412845612146241046457891017[[#This Row],[UNIT]]&gt;0,_1_5412845612146241046457891017[[#This Row],[UNIT]]&lt;0),_1_5412845612146241046457891017[[#This Row],[UNIT]]*_1_5412845612146241046457891017[[#This Row],[COST]],0)</f>
        <v>0</v>
      </c>
      <c r="N562" s="194">
        <f t="shared" si="8"/>
        <v>1.35</v>
      </c>
      <c r="O562" s="198">
        <f>_1_5412845612146241046457891017[[#This Row],[TOTAL]]*_1_5412845612146241046457891017[[#This Row],[MARGIN]]</f>
        <v>0</v>
      </c>
      <c r="R562" s="41"/>
    </row>
    <row r="563" spans="1:18">
      <c r="A563" s="168"/>
      <c r="D563" s="188"/>
      <c r="F563" s="168" t="s">
        <v>6202</v>
      </c>
      <c r="G563" s="193">
        <f>IF(_1_5412845612146241046457891017[[#This Row],[Type]]&gt;0,VLOOKUP(_1_5412845612146241046457891017[[#This Row],[Type]],Main[[#All],[TYPE]:[UNIT]],'Unit Price'!C$1,FALSE),0)</f>
        <v>0</v>
      </c>
      <c r="H563" s="197">
        <f>IF(_1_5412845612146241046457891017[[#This Row],[Type]]&gt;0,VLOOKUP(_1_5412845612146241046457891017[[#This Row],[Type]],Main[[#All],[TYPE]:[UNIT]],'Unit Price'!D$1,FALSE),0)</f>
        <v>0</v>
      </c>
      <c r="I563" s="194">
        <f>IF(_1_5412845612146241046457891017[[#This Row],[Type]]&gt;0,VLOOKUP(_1_5412845612146241046457891017[[#This Row],[Type]],Main[[#All],[TYPE]:[UNIT]],'Unit Price'!G$1,FALSE),0)</f>
        <v>0</v>
      </c>
      <c r="J563" s="194">
        <f>IF(_1_5412845612146241046457891017[[#This Row],[Type]]&gt;0,VLOOKUP(_1_5412845612146241046457891017[[#This Row],[Type]],Main[[#All],[TYPE]:[UNIT]],'Unit Price'!H$1,FALSE),0)</f>
        <v>0</v>
      </c>
      <c r="K563" s="194">
        <f>IF(_1_5412845612146241046457891017[[#This Row],[Discount selection]]&gt;0,VLOOKUP(_1_5412845612146241046457891017[[#This Row],[Discount selection]],'Discount Structure'!$A$2:$B$30,2,"false"),0)</f>
        <v>1</v>
      </c>
      <c r="L563" s="194">
        <f>_1_5412845612146241046457891017[[#This Row],[LIST $]]*_1_5412845612146241046457891017[[#This Row],[DISCOUNT]]*_1_5412845612146241046457891017[[#This Row],[DISCOUNT 2]]</f>
        <v>0</v>
      </c>
      <c r="M563" s="194">
        <f>IF(OR(_1_5412845612146241046457891017[[#This Row],[UNIT]]&gt;0,_1_5412845612146241046457891017[[#This Row],[UNIT]]&lt;0),_1_5412845612146241046457891017[[#This Row],[UNIT]]*_1_5412845612146241046457891017[[#This Row],[COST]],0)</f>
        <v>0</v>
      </c>
      <c r="N563" s="194">
        <f t="shared" si="8"/>
        <v>1.35</v>
      </c>
      <c r="O563" s="198">
        <f>_1_5412845612146241046457891017[[#This Row],[TOTAL]]*_1_5412845612146241046457891017[[#This Row],[MARGIN]]</f>
        <v>0</v>
      </c>
      <c r="R563" s="41"/>
    </row>
    <row r="564" spans="1:18">
      <c r="D564" s="188"/>
      <c r="F564" s="168" t="s">
        <v>6202</v>
      </c>
      <c r="G564" s="193">
        <f>IF(_1_5412845612146241046457891017[[#This Row],[Type]]&gt;0,VLOOKUP(_1_5412845612146241046457891017[[#This Row],[Type]],Main[[#All],[TYPE]:[UNIT]],'Unit Price'!C$1,FALSE),0)</f>
        <v>0</v>
      </c>
      <c r="H564" s="197">
        <f>IF(_1_5412845612146241046457891017[[#This Row],[Type]]&gt;0,VLOOKUP(_1_5412845612146241046457891017[[#This Row],[Type]],Main[[#All],[TYPE]:[UNIT]],'Unit Price'!D$1,FALSE),0)</f>
        <v>0</v>
      </c>
      <c r="I564" s="194">
        <f>IF(_1_5412845612146241046457891017[[#This Row],[Type]]&gt;0,VLOOKUP(_1_5412845612146241046457891017[[#This Row],[Type]],Main[[#All],[TYPE]:[UNIT]],'Unit Price'!G$1,FALSE),0)</f>
        <v>0</v>
      </c>
      <c r="J564" s="194">
        <f>IF(_1_5412845612146241046457891017[[#This Row],[Type]]&gt;0,VLOOKUP(_1_5412845612146241046457891017[[#This Row],[Type]],Main[[#All],[TYPE]:[UNIT]],'Unit Price'!H$1,FALSE),0)</f>
        <v>0</v>
      </c>
      <c r="K564" s="194">
        <f>IF(_1_5412845612146241046457891017[[#This Row],[Discount selection]]&gt;0,VLOOKUP(_1_5412845612146241046457891017[[#This Row],[Discount selection]],'Discount Structure'!$A$2:$B$30,2,"false"),0)</f>
        <v>1</v>
      </c>
      <c r="L564" s="194">
        <f>_1_5412845612146241046457891017[[#This Row],[LIST $]]*_1_5412845612146241046457891017[[#This Row],[DISCOUNT]]*_1_5412845612146241046457891017[[#This Row],[DISCOUNT 2]]</f>
        <v>0</v>
      </c>
      <c r="M564" s="194">
        <f>IF(OR(_1_5412845612146241046457891017[[#This Row],[UNIT]]&gt;0,_1_5412845612146241046457891017[[#This Row],[UNIT]]&lt;0),_1_5412845612146241046457891017[[#This Row],[UNIT]]*_1_5412845612146241046457891017[[#This Row],[COST]],0)</f>
        <v>0</v>
      </c>
      <c r="N564" s="194">
        <f t="shared" si="8"/>
        <v>1.35</v>
      </c>
      <c r="O564" s="198">
        <f>_1_5412845612146241046457891017[[#This Row],[TOTAL]]*_1_5412845612146241046457891017[[#This Row],[MARGIN]]</f>
        <v>0</v>
      </c>
      <c r="R564" s="41"/>
    </row>
    <row r="565" spans="1:18">
      <c r="D565" s="188"/>
      <c r="F565" s="168" t="s">
        <v>6202</v>
      </c>
      <c r="G565" s="193">
        <f>IF(_1_5412845612146241046457891017[[#This Row],[Type]]&gt;0,VLOOKUP(_1_5412845612146241046457891017[[#This Row],[Type]],Main[[#All],[TYPE]:[UNIT]],'Unit Price'!C$1,FALSE),0)</f>
        <v>0</v>
      </c>
      <c r="H565" s="197">
        <f>IF(_1_5412845612146241046457891017[[#This Row],[Type]]&gt;0,VLOOKUP(_1_5412845612146241046457891017[[#This Row],[Type]],Main[[#All],[TYPE]:[UNIT]],'Unit Price'!D$1,FALSE),0)</f>
        <v>0</v>
      </c>
      <c r="I565" s="194">
        <f>IF(_1_5412845612146241046457891017[[#This Row],[Type]]&gt;0,VLOOKUP(_1_5412845612146241046457891017[[#This Row],[Type]],Main[[#All],[TYPE]:[UNIT]],'Unit Price'!G$1,FALSE),0)</f>
        <v>0</v>
      </c>
      <c r="J565" s="194">
        <f>IF(_1_5412845612146241046457891017[[#This Row],[Type]]&gt;0,VLOOKUP(_1_5412845612146241046457891017[[#This Row],[Type]],Main[[#All],[TYPE]:[UNIT]],'Unit Price'!H$1,FALSE),0)</f>
        <v>0</v>
      </c>
      <c r="K565" s="194">
        <f>IF(_1_5412845612146241046457891017[[#This Row],[Discount selection]]&gt;0,VLOOKUP(_1_5412845612146241046457891017[[#This Row],[Discount selection]],'Discount Structure'!$A$2:$B$30,2,"false"),0)</f>
        <v>1</v>
      </c>
      <c r="L565" s="194">
        <f>_1_5412845612146241046457891017[[#This Row],[LIST $]]*_1_5412845612146241046457891017[[#This Row],[DISCOUNT]]*_1_5412845612146241046457891017[[#This Row],[DISCOUNT 2]]</f>
        <v>0</v>
      </c>
      <c r="M565" s="194">
        <f>IF(OR(_1_5412845612146241046457891017[[#This Row],[UNIT]]&gt;0,_1_5412845612146241046457891017[[#This Row],[UNIT]]&lt;0),_1_5412845612146241046457891017[[#This Row],[UNIT]]*_1_5412845612146241046457891017[[#This Row],[COST]],0)</f>
        <v>0</v>
      </c>
      <c r="N565" s="194">
        <f t="shared" si="8"/>
        <v>1.35</v>
      </c>
      <c r="O565" s="198">
        <f>_1_5412845612146241046457891017[[#This Row],[TOTAL]]*_1_5412845612146241046457891017[[#This Row],[MARGIN]]</f>
        <v>0</v>
      </c>
      <c r="R565" s="41"/>
    </row>
    <row r="566" spans="1:18">
      <c r="A566" s="168"/>
      <c r="D566" s="188"/>
      <c r="F566" s="168" t="s">
        <v>6202</v>
      </c>
      <c r="G566" s="193">
        <f>IF(_1_5412845612146241046457891017[[#This Row],[Type]]&gt;0,VLOOKUP(_1_5412845612146241046457891017[[#This Row],[Type]],Main[[#All],[TYPE]:[UNIT]],'Unit Price'!C$1,FALSE),0)</f>
        <v>0</v>
      </c>
      <c r="H566" s="197">
        <f>IF(_1_5412845612146241046457891017[[#This Row],[Type]]&gt;0,VLOOKUP(_1_5412845612146241046457891017[[#This Row],[Type]],Main[[#All],[TYPE]:[UNIT]],'Unit Price'!D$1,FALSE),0)</f>
        <v>0</v>
      </c>
      <c r="I566" s="194">
        <f>IF(_1_5412845612146241046457891017[[#This Row],[Type]]&gt;0,VLOOKUP(_1_5412845612146241046457891017[[#This Row],[Type]],Main[[#All],[TYPE]:[UNIT]],'Unit Price'!G$1,FALSE),0)</f>
        <v>0</v>
      </c>
      <c r="J566" s="194">
        <f>IF(_1_5412845612146241046457891017[[#This Row],[Type]]&gt;0,VLOOKUP(_1_5412845612146241046457891017[[#This Row],[Type]],Main[[#All],[TYPE]:[UNIT]],'Unit Price'!H$1,FALSE),0)</f>
        <v>0</v>
      </c>
      <c r="K566" s="194">
        <f>IF(_1_5412845612146241046457891017[[#This Row],[Discount selection]]&gt;0,VLOOKUP(_1_5412845612146241046457891017[[#This Row],[Discount selection]],'Discount Structure'!$A$2:$B$30,2,"false"),0)</f>
        <v>1</v>
      </c>
      <c r="L566" s="194">
        <f>_1_5412845612146241046457891017[[#This Row],[LIST $]]*_1_5412845612146241046457891017[[#This Row],[DISCOUNT]]*_1_5412845612146241046457891017[[#This Row],[DISCOUNT 2]]</f>
        <v>0</v>
      </c>
      <c r="M566" s="194">
        <f>IF(OR(_1_5412845612146241046457891017[[#This Row],[UNIT]]&gt;0,_1_5412845612146241046457891017[[#This Row],[UNIT]]&lt;0),_1_5412845612146241046457891017[[#This Row],[UNIT]]*_1_5412845612146241046457891017[[#This Row],[COST]],0)</f>
        <v>0</v>
      </c>
      <c r="N566" s="194">
        <f t="shared" si="8"/>
        <v>1.35</v>
      </c>
      <c r="O566" s="198">
        <f>_1_5412845612146241046457891017[[#This Row],[TOTAL]]*_1_5412845612146241046457891017[[#This Row],[MARGIN]]</f>
        <v>0</v>
      </c>
      <c r="R566" s="41"/>
    </row>
    <row r="567" spans="1:18">
      <c r="D567" s="188"/>
      <c r="F567" s="168" t="s">
        <v>6202</v>
      </c>
      <c r="G567" s="193">
        <f>IF(_1_5412845612146241046457891017[[#This Row],[Type]]&gt;0,VLOOKUP(_1_5412845612146241046457891017[[#This Row],[Type]],Main[[#All],[TYPE]:[UNIT]],'Unit Price'!C$1,FALSE),0)</f>
        <v>0</v>
      </c>
      <c r="H567" s="197">
        <f>IF(_1_5412845612146241046457891017[[#This Row],[Type]]&gt;0,VLOOKUP(_1_5412845612146241046457891017[[#This Row],[Type]],Main[[#All],[TYPE]:[UNIT]],'Unit Price'!D$1,FALSE),0)</f>
        <v>0</v>
      </c>
      <c r="I567" s="194">
        <f>IF(_1_5412845612146241046457891017[[#This Row],[Type]]&gt;0,VLOOKUP(_1_5412845612146241046457891017[[#This Row],[Type]],Main[[#All],[TYPE]:[UNIT]],'Unit Price'!G$1,FALSE),0)</f>
        <v>0</v>
      </c>
      <c r="J567" s="194">
        <f>IF(_1_5412845612146241046457891017[[#This Row],[Type]]&gt;0,VLOOKUP(_1_5412845612146241046457891017[[#This Row],[Type]],Main[[#All],[TYPE]:[UNIT]],'Unit Price'!H$1,FALSE),0)</f>
        <v>0</v>
      </c>
      <c r="K567" s="194">
        <f>IF(_1_5412845612146241046457891017[[#This Row],[Discount selection]]&gt;0,VLOOKUP(_1_5412845612146241046457891017[[#This Row],[Discount selection]],'Discount Structure'!$A$2:$B$30,2,"false"),0)</f>
        <v>1</v>
      </c>
      <c r="L567" s="194">
        <f>_1_5412845612146241046457891017[[#This Row],[LIST $]]*_1_5412845612146241046457891017[[#This Row],[DISCOUNT]]*_1_5412845612146241046457891017[[#This Row],[DISCOUNT 2]]</f>
        <v>0</v>
      </c>
      <c r="M567" s="194">
        <f>IF(OR(_1_5412845612146241046457891017[[#This Row],[UNIT]]&gt;0,_1_5412845612146241046457891017[[#This Row],[UNIT]]&lt;0),_1_5412845612146241046457891017[[#This Row],[UNIT]]*_1_5412845612146241046457891017[[#This Row],[COST]],0)</f>
        <v>0</v>
      </c>
      <c r="N567" s="194">
        <f t="shared" si="8"/>
        <v>1.35</v>
      </c>
      <c r="O567" s="198">
        <f>_1_5412845612146241046457891017[[#This Row],[TOTAL]]*_1_5412845612146241046457891017[[#This Row],[MARGIN]]</f>
        <v>0</v>
      </c>
      <c r="R567" s="41"/>
    </row>
    <row r="568" spans="1:18">
      <c r="D568" s="188"/>
      <c r="F568" s="168" t="s">
        <v>6202</v>
      </c>
      <c r="G568" s="193">
        <f>IF(_1_5412845612146241046457891017[[#This Row],[Type]]&gt;0,VLOOKUP(_1_5412845612146241046457891017[[#This Row],[Type]],Main[[#All],[TYPE]:[UNIT]],'Unit Price'!C$1,FALSE),0)</f>
        <v>0</v>
      </c>
      <c r="H568" s="197">
        <f>IF(_1_5412845612146241046457891017[[#This Row],[Type]]&gt;0,VLOOKUP(_1_5412845612146241046457891017[[#This Row],[Type]],Main[[#All],[TYPE]:[UNIT]],'Unit Price'!D$1,FALSE),0)</f>
        <v>0</v>
      </c>
      <c r="I568" s="194">
        <f>IF(_1_5412845612146241046457891017[[#This Row],[Type]]&gt;0,VLOOKUP(_1_5412845612146241046457891017[[#This Row],[Type]],Main[[#All],[TYPE]:[UNIT]],'Unit Price'!G$1,FALSE),0)</f>
        <v>0</v>
      </c>
      <c r="J568" s="194">
        <f>IF(_1_5412845612146241046457891017[[#This Row],[Type]]&gt;0,VLOOKUP(_1_5412845612146241046457891017[[#This Row],[Type]],Main[[#All],[TYPE]:[UNIT]],'Unit Price'!H$1,FALSE),0)</f>
        <v>0</v>
      </c>
      <c r="K568" s="194">
        <f>IF(_1_5412845612146241046457891017[[#This Row],[Discount selection]]&gt;0,VLOOKUP(_1_5412845612146241046457891017[[#This Row],[Discount selection]],'Discount Structure'!$A$2:$B$30,2,"false"),0)</f>
        <v>1</v>
      </c>
      <c r="L568" s="194">
        <f>_1_5412845612146241046457891017[[#This Row],[LIST $]]*_1_5412845612146241046457891017[[#This Row],[DISCOUNT]]*_1_5412845612146241046457891017[[#This Row],[DISCOUNT 2]]</f>
        <v>0</v>
      </c>
      <c r="M568" s="194">
        <f>IF(OR(_1_5412845612146241046457891017[[#This Row],[UNIT]]&gt;0,_1_5412845612146241046457891017[[#This Row],[UNIT]]&lt;0),_1_5412845612146241046457891017[[#This Row],[UNIT]]*_1_5412845612146241046457891017[[#This Row],[COST]],0)</f>
        <v>0</v>
      </c>
      <c r="N568" s="194">
        <f t="shared" si="8"/>
        <v>1.35</v>
      </c>
      <c r="O568" s="198">
        <f>_1_5412845612146241046457891017[[#This Row],[TOTAL]]*_1_5412845612146241046457891017[[#This Row],[MARGIN]]</f>
        <v>0</v>
      </c>
      <c r="R568" s="41"/>
    </row>
    <row r="569" spans="1:18">
      <c r="D569" s="188"/>
      <c r="F569" s="168" t="s">
        <v>6202</v>
      </c>
      <c r="G569" s="193">
        <f>IF(_1_5412845612146241046457891017[[#This Row],[Type]]&gt;0,VLOOKUP(_1_5412845612146241046457891017[[#This Row],[Type]],Main[[#All],[TYPE]:[UNIT]],'Unit Price'!C$1,FALSE),0)</f>
        <v>0</v>
      </c>
      <c r="H569" s="197">
        <f>IF(_1_5412845612146241046457891017[[#This Row],[Type]]&gt;0,VLOOKUP(_1_5412845612146241046457891017[[#This Row],[Type]],Main[[#All],[TYPE]:[UNIT]],'Unit Price'!D$1,FALSE),0)</f>
        <v>0</v>
      </c>
      <c r="I569" s="194">
        <f>IF(_1_5412845612146241046457891017[[#This Row],[Type]]&gt;0,VLOOKUP(_1_5412845612146241046457891017[[#This Row],[Type]],Main[[#All],[TYPE]:[UNIT]],'Unit Price'!G$1,FALSE),0)</f>
        <v>0</v>
      </c>
      <c r="J569" s="194">
        <f>IF(_1_5412845612146241046457891017[[#This Row],[Type]]&gt;0,VLOOKUP(_1_5412845612146241046457891017[[#This Row],[Type]],Main[[#All],[TYPE]:[UNIT]],'Unit Price'!H$1,FALSE),0)</f>
        <v>0</v>
      </c>
      <c r="K569" s="194">
        <f>IF(_1_5412845612146241046457891017[[#This Row],[Discount selection]]&gt;0,VLOOKUP(_1_5412845612146241046457891017[[#This Row],[Discount selection]],'Discount Structure'!$A$2:$B$30,2,"false"),0)</f>
        <v>1</v>
      </c>
      <c r="L569" s="194">
        <f>_1_5412845612146241046457891017[[#This Row],[LIST $]]*_1_5412845612146241046457891017[[#This Row],[DISCOUNT]]*_1_5412845612146241046457891017[[#This Row],[DISCOUNT 2]]</f>
        <v>0</v>
      </c>
      <c r="M569" s="194">
        <f>IF(OR(_1_5412845612146241046457891017[[#This Row],[UNIT]]&gt;0,_1_5412845612146241046457891017[[#This Row],[UNIT]]&lt;0),_1_5412845612146241046457891017[[#This Row],[UNIT]]*_1_5412845612146241046457891017[[#This Row],[COST]],0)</f>
        <v>0</v>
      </c>
      <c r="N569" s="194">
        <f t="shared" si="8"/>
        <v>1.35</v>
      </c>
      <c r="O569" s="198">
        <f>_1_5412845612146241046457891017[[#This Row],[TOTAL]]*_1_5412845612146241046457891017[[#This Row],[MARGIN]]</f>
        <v>0</v>
      </c>
      <c r="R569" s="41"/>
    </row>
    <row r="570" spans="1:18">
      <c r="D570" s="188"/>
      <c r="F570" s="168" t="s">
        <v>6202</v>
      </c>
      <c r="G570" s="193">
        <f>IF(_1_5412845612146241046457891017[[#This Row],[Type]]&gt;0,VLOOKUP(_1_5412845612146241046457891017[[#This Row],[Type]],Main[[#All],[TYPE]:[UNIT]],'Unit Price'!C$1,FALSE),0)</f>
        <v>0</v>
      </c>
      <c r="H570" s="197">
        <f>IF(_1_5412845612146241046457891017[[#This Row],[Type]]&gt;0,VLOOKUP(_1_5412845612146241046457891017[[#This Row],[Type]],Main[[#All],[TYPE]:[UNIT]],'Unit Price'!D$1,FALSE),0)</f>
        <v>0</v>
      </c>
      <c r="I570" s="194">
        <f>IF(_1_5412845612146241046457891017[[#This Row],[Type]]&gt;0,VLOOKUP(_1_5412845612146241046457891017[[#This Row],[Type]],Main[[#All],[TYPE]:[UNIT]],'Unit Price'!G$1,FALSE),0)</f>
        <v>0</v>
      </c>
      <c r="J570" s="194">
        <f>IF(_1_5412845612146241046457891017[[#This Row],[Type]]&gt;0,VLOOKUP(_1_5412845612146241046457891017[[#This Row],[Type]],Main[[#All],[TYPE]:[UNIT]],'Unit Price'!H$1,FALSE),0)</f>
        <v>0</v>
      </c>
      <c r="K570" s="194">
        <f>IF(_1_5412845612146241046457891017[[#This Row],[Discount selection]]&gt;0,VLOOKUP(_1_5412845612146241046457891017[[#This Row],[Discount selection]],'Discount Structure'!$A$2:$B$30,2,"false"),0)</f>
        <v>1</v>
      </c>
      <c r="L570" s="194">
        <f>_1_5412845612146241046457891017[[#This Row],[LIST $]]*_1_5412845612146241046457891017[[#This Row],[DISCOUNT]]*_1_5412845612146241046457891017[[#This Row],[DISCOUNT 2]]</f>
        <v>0</v>
      </c>
      <c r="M570" s="194">
        <f>IF(OR(_1_5412845612146241046457891017[[#This Row],[UNIT]]&gt;0,_1_5412845612146241046457891017[[#This Row],[UNIT]]&lt;0),_1_5412845612146241046457891017[[#This Row],[UNIT]]*_1_5412845612146241046457891017[[#This Row],[COST]],0)</f>
        <v>0</v>
      </c>
      <c r="N570" s="194">
        <f t="shared" si="8"/>
        <v>1.35</v>
      </c>
      <c r="O570" s="198">
        <f>_1_5412845612146241046457891017[[#This Row],[TOTAL]]*_1_5412845612146241046457891017[[#This Row],[MARGIN]]</f>
        <v>0</v>
      </c>
      <c r="R570" s="41"/>
    </row>
    <row r="571" spans="1:18">
      <c r="D571" s="188"/>
      <c r="F571" s="168" t="s">
        <v>6202</v>
      </c>
      <c r="G571" s="193">
        <f>IF(_1_5412845612146241046457891017[[#This Row],[Type]]&gt;0,VLOOKUP(_1_5412845612146241046457891017[[#This Row],[Type]],Main[[#All],[TYPE]:[UNIT]],'Unit Price'!C$1,FALSE),0)</f>
        <v>0</v>
      </c>
      <c r="H571" s="197">
        <f>IF(_1_5412845612146241046457891017[[#This Row],[Type]]&gt;0,VLOOKUP(_1_5412845612146241046457891017[[#This Row],[Type]],Main[[#All],[TYPE]:[UNIT]],'Unit Price'!D$1,FALSE),0)</f>
        <v>0</v>
      </c>
      <c r="I571" s="194">
        <f>IF(_1_5412845612146241046457891017[[#This Row],[Type]]&gt;0,VLOOKUP(_1_5412845612146241046457891017[[#This Row],[Type]],Main[[#All],[TYPE]:[UNIT]],'Unit Price'!G$1,FALSE),0)</f>
        <v>0</v>
      </c>
      <c r="J571" s="194">
        <f>IF(_1_5412845612146241046457891017[[#This Row],[Type]]&gt;0,VLOOKUP(_1_5412845612146241046457891017[[#This Row],[Type]],Main[[#All],[TYPE]:[UNIT]],'Unit Price'!H$1,FALSE),0)</f>
        <v>0</v>
      </c>
      <c r="K571" s="194">
        <f>IF(_1_5412845612146241046457891017[[#This Row],[Discount selection]]&gt;0,VLOOKUP(_1_5412845612146241046457891017[[#This Row],[Discount selection]],'Discount Structure'!$A$2:$B$30,2,"false"),0)</f>
        <v>1</v>
      </c>
      <c r="L571" s="194">
        <f>_1_5412845612146241046457891017[[#This Row],[LIST $]]*_1_5412845612146241046457891017[[#This Row],[DISCOUNT]]*_1_5412845612146241046457891017[[#This Row],[DISCOUNT 2]]</f>
        <v>0</v>
      </c>
      <c r="M571" s="194">
        <f>IF(OR(_1_5412845612146241046457891017[[#This Row],[UNIT]]&gt;0,_1_5412845612146241046457891017[[#This Row],[UNIT]]&lt;0),_1_5412845612146241046457891017[[#This Row],[UNIT]]*_1_5412845612146241046457891017[[#This Row],[COST]],0)</f>
        <v>0</v>
      </c>
      <c r="N571" s="194">
        <f t="shared" si="8"/>
        <v>1.35</v>
      </c>
      <c r="O571" s="198">
        <f>_1_5412845612146241046457891017[[#This Row],[TOTAL]]*_1_5412845612146241046457891017[[#This Row],[MARGIN]]</f>
        <v>0</v>
      </c>
      <c r="R571" s="41"/>
    </row>
    <row r="572" spans="1:18">
      <c r="D572" s="188"/>
      <c r="F572" s="168" t="s">
        <v>6202</v>
      </c>
      <c r="G572" s="193">
        <f>IF(_1_5412845612146241046457891017[[#This Row],[Type]]&gt;0,VLOOKUP(_1_5412845612146241046457891017[[#This Row],[Type]],Main[[#All],[TYPE]:[UNIT]],'Unit Price'!C$1,FALSE),0)</f>
        <v>0</v>
      </c>
      <c r="H572" s="197">
        <f>IF(_1_5412845612146241046457891017[[#This Row],[Type]]&gt;0,VLOOKUP(_1_5412845612146241046457891017[[#This Row],[Type]],Main[[#All],[TYPE]:[UNIT]],'Unit Price'!D$1,FALSE),0)</f>
        <v>0</v>
      </c>
      <c r="I572" s="194">
        <f>IF(_1_5412845612146241046457891017[[#This Row],[Type]]&gt;0,VLOOKUP(_1_5412845612146241046457891017[[#This Row],[Type]],Main[[#All],[TYPE]:[UNIT]],'Unit Price'!G$1,FALSE),0)</f>
        <v>0</v>
      </c>
      <c r="J572" s="194">
        <f>IF(_1_5412845612146241046457891017[[#This Row],[Type]]&gt;0,VLOOKUP(_1_5412845612146241046457891017[[#This Row],[Type]],Main[[#All],[TYPE]:[UNIT]],'Unit Price'!H$1,FALSE),0)</f>
        <v>0</v>
      </c>
      <c r="K572" s="194">
        <f>IF(_1_5412845612146241046457891017[[#This Row],[Discount selection]]&gt;0,VLOOKUP(_1_5412845612146241046457891017[[#This Row],[Discount selection]],'Discount Structure'!$A$2:$B$30,2,"false"),0)</f>
        <v>1</v>
      </c>
      <c r="L572" s="194">
        <f>_1_5412845612146241046457891017[[#This Row],[LIST $]]*_1_5412845612146241046457891017[[#This Row],[DISCOUNT]]*_1_5412845612146241046457891017[[#This Row],[DISCOUNT 2]]</f>
        <v>0</v>
      </c>
      <c r="M572" s="194">
        <f>IF(OR(_1_5412845612146241046457891017[[#This Row],[UNIT]]&gt;0,_1_5412845612146241046457891017[[#This Row],[UNIT]]&lt;0),_1_5412845612146241046457891017[[#This Row],[UNIT]]*_1_5412845612146241046457891017[[#This Row],[COST]],0)</f>
        <v>0</v>
      </c>
      <c r="N572" s="194">
        <f t="shared" si="8"/>
        <v>1.35</v>
      </c>
      <c r="O572" s="198">
        <f>_1_5412845612146241046457891017[[#This Row],[TOTAL]]*_1_5412845612146241046457891017[[#This Row],[MARGIN]]</f>
        <v>0</v>
      </c>
      <c r="R572" s="41"/>
    </row>
    <row r="573" spans="1:18">
      <c r="D573" s="188"/>
      <c r="F573" s="168" t="s">
        <v>6202</v>
      </c>
      <c r="G573" s="193">
        <f>IF(_1_5412845612146241046457891017[[#This Row],[Type]]&gt;0,VLOOKUP(_1_5412845612146241046457891017[[#This Row],[Type]],Main[[#All],[TYPE]:[UNIT]],'Unit Price'!C$1,FALSE),0)</f>
        <v>0</v>
      </c>
      <c r="H573" s="197">
        <f>IF(_1_5412845612146241046457891017[[#This Row],[Type]]&gt;0,VLOOKUP(_1_5412845612146241046457891017[[#This Row],[Type]],Main[[#All],[TYPE]:[UNIT]],'Unit Price'!D$1,FALSE),0)</f>
        <v>0</v>
      </c>
      <c r="I573" s="194">
        <f>IF(_1_5412845612146241046457891017[[#This Row],[Type]]&gt;0,VLOOKUP(_1_5412845612146241046457891017[[#This Row],[Type]],Main[[#All],[TYPE]:[UNIT]],'Unit Price'!G$1,FALSE),0)</f>
        <v>0</v>
      </c>
      <c r="J573" s="194">
        <f>IF(_1_5412845612146241046457891017[[#This Row],[Type]]&gt;0,VLOOKUP(_1_5412845612146241046457891017[[#This Row],[Type]],Main[[#All],[TYPE]:[UNIT]],'Unit Price'!H$1,FALSE),0)</f>
        <v>0</v>
      </c>
      <c r="K573" s="194">
        <f>IF(_1_5412845612146241046457891017[[#This Row],[Discount selection]]&gt;0,VLOOKUP(_1_5412845612146241046457891017[[#This Row],[Discount selection]],'Discount Structure'!$A$2:$B$30,2,"false"),0)</f>
        <v>1</v>
      </c>
      <c r="L573" s="194">
        <f>_1_5412845612146241046457891017[[#This Row],[LIST $]]*_1_5412845612146241046457891017[[#This Row],[DISCOUNT]]*_1_5412845612146241046457891017[[#This Row],[DISCOUNT 2]]</f>
        <v>0</v>
      </c>
      <c r="M573" s="194">
        <f>IF(OR(_1_5412845612146241046457891017[[#This Row],[UNIT]]&gt;0,_1_5412845612146241046457891017[[#This Row],[UNIT]]&lt;0),_1_5412845612146241046457891017[[#This Row],[UNIT]]*_1_5412845612146241046457891017[[#This Row],[COST]],0)</f>
        <v>0</v>
      </c>
      <c r="N573" s="194">
        <f t="shared" si="8"/>
        <v>1.35</v>
      </c>
      <c r="O573" s="198">
        <f>_1_5412845612146241046457891017[[#This Row],[TOTAL]]*_1_5412845612146241046457891017[[#This Row],[MARGIN]]</f>
        <v>0</v>
      </c>
      <c r="R573" s="41"/>
    </row>
    <row r="574" spans="1:18">
      <c r="A574" s="168"/>
      <c r="D574" s="188"/>
      <c r="F574" s="168" t="s">
        <v>6202</v>
      </c>
      <c r="G574" s="193">
        <f>IF(_1_5412845612146241046457891017[[#This Row],[Type]]&gt;0,VLOOKUP(_1_5412845612146241046457891017[[#This Row],[Type]],Main[[#All],[TYPE]:[UNIT]],'Unit Price'!C$1,FALSE),0)</f>
        <v>0</v>
      </c>
      <c r="H574" s="197">
        <f>IF(_1_5412845612146241046457891017[[#This Row],[Type]]&gt;0,VLOOKUP(_1_5412845612146241046457891017[[#This Row],[Type]],Main[[#All],[TYPE]:[UNIT]],'Unit Price'!D$1,FALSE),0)</f>
        <v>0</v>
      </c>
      <c r="I574" s="194">
        <f>IF(_1_5412845612146241046457891017[[#This Row],[Type]]&gt;0,VLOOKUP(_1_5412845612146241046457891017[[#This Row],[Type]],Main[[#All],[TYPE]:[UNIT]],'Unit Price'!G$1,FALSE),0)</f>
        <v>0</v>
      </c>
      <c r="J574" s="194">
        <f>IF(_1_5412845612146241046457891017[[#This Row],[Type]]&gt;0,VLOOKUP(_1_5412845612146241046457891017[[#This Row],[Type]],Main[[#All],[TYPE]:[UNIT]],'Unit Price'!H$1,FALSE),0)</f>
        <v>0</v>
      </c>
      <c r="K574" s="194">
        <f>IF(_1_5412845612146241046457891017[[#This Row],[Discount selection]]&gt;0,VLOOKUP(_1_5412845612146241046457891017[[#This Row],[Discount selection]],'Discount Structure'!$A$2:$B$30,2,"false"),0)</f>
        <v>1</v>
      </c>
      <c r="L574" s="194">
        <f>_1_5412845612146241046457891017[[#This Row],[LIST $]]*_1_5412845612146241046457891017[[#This Row],[DISCOUNT]]*_1_5412845612146241046457891017[[#This Row],[DISCOUNT 2]]</f>
        <v>0</v>
      </c>
      <c r="M574" s="194">
        <f>IF(OR(_1_5412845612146241046457891017[[#This Row],[UNIT]]&gt;0,_1_5412845612146241046457891017[[#This Row],[UNIT]]&lt;0),_1_5412845612146241046457891017[[#This Row],[UNIT]]*_1_5412845612146241046457891017[[#This Row],[COST]],0)</f>
        <v>0</v>
      </c>
      <c r="N574" s="194">
        <f t="shared" si="8"/>
        <v>1.35</v>
      </c>
      <c r="O574" s="198">
        <f>_1_5412845612146241046457891017[[#This Row],[TOTAL]]*_1_5412845612146241046457891017[[#This Row],[MARGIN]]</f>
        <v>0</v>
      </c>
      <c r="R574" s="41"/>
    </row>
    <row r="575" spans="1:18">
      <c r="B575" s="168"/>
      <c r="C575" s="168"/>
      <c r="D575" s="188"/>
      <c r="F575" s="168" t="s">
        <v>6202</v>
      </c>
      <c r="G575" s="193">
        <f>IF(_1_5412845612146241046457891017[[#This Row],[Type]]&gt;0,VLOOKUP(_1_5412845612146241046457891017[[#This Row],[Type]],Main[[#All],[TYPE]:[UNIT]],'Unit Price'!C$1,FALSE),0)</f>
        <v>0</v>
      </c>
      <c r="H575" s="197">
        <f>IF(_1_5412845612146241046457891017[[#This Row],[Type]]&gt;0,VLOOKUP(_1_5412845612146241046457891017[[#This Row],[Type]],Main[[#All],[TYPE]:[UNIT]],'Unit Price'!D$1,FALSE),0)</f>
        <v>0</v>
      </c>
      <c r="I575" s="194">
        <f>IF(_1_5412845612146241046457891017[[#This Row],[Type]]&gt;0,VLOOKUP(_1_5412845612146241046457891017[[#This Row],[Type]],Main[[#All],[TYPE]:[UNIT]],'Unit Price'!G$1,FALSE),0)</f>
        <v>0</v>
      </c>
      <c r="J575" s="194">
        <f>IF(_1_5412845612146241046457891017[[#This Row],[Type]]&gt;0,VLOOKUP(_1_5412845612146241046457891017[[#This Row],[Type]],Main[[#All],[TYPE]:[UNIT]],'Unit Price'!H$1,FALSE),0)</f>
        <v>0</v>
      </c>
      <c r="K575" s="194">
        <f>IF(_1_5412845612146241046457891017[[#This Row],[Discount selection]]&gt;0,VLOOKUP(_1_5412845612146241046457891017[[#This Row],[Discount selection]],'Discount Structure'!$A$2:$B$30,2,"false"),0)</f>
        <v>1</v>
      </c>
      <c r="L575" s="194">
        <f>_1_5412845612146241046457891017[[#This Row],[LIST $]]*_1_5412845612146241046457891017[[#This Row],[DISCOUNT]]*_1_5412845612146241046457891017[[#This Row],[DISCOUNT 2]]</f>
        <v>0</v>
      </c>
      <c r="M575" s="194">
        <f>IF(OR(_1_5412845612146241046457891017[[#This Row],[UNIT]]&gt;0,_1_5412845612146241046457891017[[#This Row],[UNIT]]&lt;0),_1_5412845612146241046457891017[[#This Row],[UNIT]]*_1_5412845612146241046457891017[[#This Row],[COST]],0)</f>
        <v>0</v>
      </c>
      <c r="N575" s="194">
        <f t="shared" si="8"/>
        <v>1.35</v>
      </c>
      <c r="O575" s="198">
        <f>_1_5412845612146241046457891017[[#This Row],[TOTAL]]*_1_5412845612146241046457891017[[#This Row],[MARGIN]]</f>
        <v>0</v>
      </c>
      <c r="R575" s="41"/>
    </row>
    <row r="576" spans="1:18">
      <c r="D576" s="188"/>
      <c r="F576" s="168" t="s">
        <v>6202</v>
      </c>
      <c r="G576" s="193">
        <f>IF(_1_5412845612146241046457891017[[#This Row],[Type]]&gt;0,VLOOKUP(_1_5412845612146241046457891017[[#This Row],[Type]],Main[[#All],[TYPE]:[UNIT]],'Unit Price'!C$1,FALSE),0)</f>
        <v>0</v>
      </c>
      <c r="H576" s="197">
        <f>IF(_1_5412845612146241046457891017[[#This Row],[Type]]&gt;0,VLOOKUP(_1_5412845612146241046457891017[[#This Row],[Type]],Main[[#All],[TYPE]:[UNIT]],'Unit Price'!D$1,FALSE),0)</f>
        <v>0</v>
      </c>
      <c r="I576" s="194">
        <f>IF(_1_5412845612146241046457891017[[#This Row],[Type]]&gt;0,VLOOKUP(_1_5412845612146241046457891017[[#This Row],[Type]],Main[[#All],[TYPE]:[UNIT]],'Unit Price'!G$1,FALSE),0)</f>
        <v>0</v>
      </c>
      <c r="J576" s="194">
        <f>IF(_1_5412845612146241046457891017[[#This Row],[Type]]&gt;0,VLOOKUP(_1_5412845612146241046457891017[[#This Row],[Type]],Main[[#All],[TYPE]:[UNIT]],'Unit Price'!H$1,FALSE),0)</f>
        <v>0</v>
      </c>
      <c r="K576" s="194">
        <f>IF(_1_5412845612146241046457891017[[#This Row],[Discount selection]]&gt;0,VLOOKUP(_1_5412845612146241046457891017[[#This Row],[Discount selection]],'Discount Structure'!$A$2:$B$30,2,"false"),0)</f>
        <v>1</v>
      </c>
      <c r="L576" s="194">
        <f>_1_5412845612146241046457891017[[#This Row],[LIST $]]*_1_5412845612146241046457891017[[#This Row],[DISCOUNT]]*_1_5412845612146241046457891017[[#This Row],[DISCOUNT 2]]</f>
        <v>0</v>
      </c>
      <c r="M576" s="194">
        <f>IF(OR(_1_5412845612146241046457891017[[#This Row],[UNIT]]&gt;0,_1_5412845612146241046457891017[[#This Row],[UNIT]]&lt;0),_1_5412845612146241046457891017[[#This Row],[UNIT]]*_1_5412845612146241046457891017[[#This Row],[COST]],0)</f>
        <v>0</v>
      </c>
      <c r="N576" s="194">
        <f t="shared" si="8"/>
        <v>1.35</v>
      </c>
      <c r="O576" s="198">
        <f>_1_5412845612146241046457891017[[#This Row],[TOTAL]]*_1_5412845612146241046457891017[[#This Row],[MARGIN]]</f>
        <v>0</v>
      </c>
      <c r="R576" s="41"/>
    </row>
    <row r="577" spans="1:18">
      <c r="D577" s="188"/>
      <c r="F577" s="168" t="s">
        <v>6202</v>
      </c>
      <c r="G577" s="193">
        <f>IF(_1_5412845612146241046457891017[[#This Row],[Type]]&gt;0,VLOOKUP(_1_5412845612146241046457891017[[#This Row],[Type]],Main[[#All],[TYPE]:[UNIT]],'Unit Price'!C$1,FALSE),0)</f>
        <v>0</v>
      </c>
      <c r="H577" s="197">
        <f>IF(_1_5412845612146241046457891017[[#This Row],[Type]]&gt;0,VLOOKUP(_1_5412845612146241046457891017[[#This Row],[Type]],Main[[#All],[TYPE]:[UNIT]],'Unit Price'!D$1,FALSE),0)</f>
        <v>0</v>
      </c>
      <c r="I577" s="194">
        <f>IF(_1_5412845612146241046457891017[[#This Row],[Type]]&gt;0,VLOOKUP(_1_5412845612146241046457891017[[#This Row],[Type]],Main[[#All],[TYPE]:[UNIT]],'Unit Price'!G$1,FALSE),0)</f>
        <v>0</v>
      </c>
      <c r="J577" s="194">
        <f>IF(_1_5412845612146241046457891017[[#This Row],[Type]]&gt;0,VLOOKUP(_1_5412845612146241046457891017[[#This Row],[Type]],Main[[#All],[TYPE]:[UNIT]],'Unit Price'!H$1,FALSE),0)</f>
        <v>0</v>
      </c>
      <c r="K577" s="194">
        <f>IF(_1_5412845612146241046457891017[[#This Row],[Discount selection]]&gt;0,VLOOKUP(_1_5412845612146241046457891017[[#This Row],[Discount selection]],'Discount Structure'!$A$2:$B$30,2,"false"),0)</f>
        <v>1</v>
      </c>
      <c r="L577" s="194">
        <f>_1_5412845612146241046457891017[[#This Row],[LIST $]]*_1_5412845612146241046457891017[[#This Row],[DISCOUNT]]*_1_5412845612146241046457891017[[#This Row],[DISCOUNT 2]]</f>
        <v>0</v>
      </c>
      <c r="M577" s="194">
        <f>IF(OR(_1_5412845612146241046457891017[[#This Row],[UNIT]]&gt;0,_1_5412845612146241046457891017[[#This Row],[UNIT]]&lt;0),_1_5412845612146241046457891017[[#This Row],[UNIT]]*_1_5412845612146241046457891017[[#This Row],[COST]],0)</f>
        <v>0</v>
      </c>
      <c r="N577" s="194">
        <f t="shared" si="8"/>
        <v>1.35</v>
      </c>
      <c r="O577" s="198">
        <f>_1_5412845612146241046457891017[[#This Row],[TOTAL]]*_1_5412845612146241046457891017[[#This Row],[MARGIN]]</f>
        <v>0</v>
      </c>
      <c r="R577" s="41"/>
    </row>
    <row r="578" spans="1:18">
      <c r="D578" s="188"/>
      <c r="F578" s="168" t="s">
        <v>6202</v>
      </c>
      <c r="G578" s="193">
        <f>IF(_1_5412845612146241046457891017[[#This Row],[Type]]&gt;0,VLOOKUP(_1_5412845612146241046457891017[[#This Row],[Type]],Main[[#All],[TYPE]:[UNIT]],'Unit Price'!C$1,FALSE),0)</f>
        <v>0</v>
      </c>
      <c r="H578" s="197">
        <f>IF(_1_5412845612146241046457891017[[#This Row],[Type]]&gt;0,VLOOKUP(_1_5412845612146241046457891017[[#This Row],[Type]],Main[[#All],[TYPE]:[UNIT]],'Unit Price'!D$1,FALSE),0)</f>
        <v>0</v>
      </c>
      <c r="I578" s="194">
        <f>IF(_1_5412845612146241046457891017[[#This Row],[Type]]&gt;0,VLOOKUP(_1_5412845612146241046457891017[[#This Row],[Type]],Main[[#All],[TYPE]:[UNIT]],'Unit Price'!G$1,FALSE),0)</f>
        <v>0</v>
      </c>
      <c r="J578" s="194">
        <f>IF(_1_5412845612146241046457891017[[#This Row],[Type]]&gt;0,VLOOKUP(_1_5412845612146241046457891017[[#This Row],[Type]],Main[[#All],[TYPE]:[UNIT]],'Unit Price'!H$1,FALSE),0)</f>
        <v>0</v>
      </c>
      <c r="K578" s="194">
        <f>IF(_1_5412845612146241046457891017[[#This Row],[Discount selection]]&gt;0,VLOOKUP(_1_5412845612146241046457891017[[#This Row],[Discount selection]],'Discount Structure'!$A$2:$B$30,2,"false"),0)</f>
        <v>1</v>
      </c>
      <c r="L578" s="194">
        <f>_1_5412845612146241046457891017[[#This Row],[LIST $]]*_1_5412845612146241046457891017[[#This Row],[DISCOUNT]]*_1_5412845612146241046457891017[[#This Row],[DISCOUNT 2]]</f>
        <v>0</v>
      </c>
      <c r="M578" s="194">
        <f>IF(OR(_1_5412845612146241046457891017[[#This Row],[UNIT]]&gt;0,_1_5412845612146241046457891017[[#This Row],[UNIT]]&lt;0),_1_5412845612146241046457891017[[#This Row],[UNIT]]*_1_5412845612146241046457891017[[#This Row],[COST]],0)</f>
        <v>0</v>
      </c>
      <c r="N578" s="194">
        <f t="shared" si="8"/>
        <v>1.35</v>
      </c>
      <c r="O578" s="198">
        <f>_1_5412845612146241046457891017[[#This Row],[TOTAL]]*_1_5412845612146241046457891017[[#This Row],[MARGIN]]</f>
        <v>0</v>
      </c>
      <c r="R578" s="41"/>
    </row>
    <row r="579" spans="1:18">
      <c r="D579" s="188"/>
      <c r="F579" s="168" t="s">
        <v>6202</v>
      </c>
      <c r="G579" s="193">
        <f>IF(_1_5412845612146241046457891017[[#This Row],[Type]]&gt;0,VLOOKUP(_1_5412845612146241046457891017[[#This Row],[Type]],Main[[#All],[TYPE]:[UNIT]],'Unit Price'!C$1,FALSE),0)</f>
        <v>0</v>
      </c>
      <c r="H579" s="197">
        <f>IF(_1_5412845612146241046457891017[[#This Row],[Type]]&gt;0,VLOOKUP(_1_5412845612146241046457891017[[#This Row],[Type]],Main[[#All],[TYPE]:[UNIT]],'Unit Price'!D$1,FALSE),0)</f>
        <v>0</v>
      </c>
      <c r="I579" s="194">
        <f>IF(_1_5412845612146241046457891017[[#This Row],[Type]]&gt;0,VLOOKUP(_1_5412845612146241046457891017[[#This Row],[Type]],Main[[#All],[TYPE]:[UNIT]],'Unit Price'!G$1,FALSE),0)</f>
        <v>0</v>
      </c>
      <c r="J579" s="194">
        <f>IF(_1_5412845612146241046457891017[[#This Row],[Type]]&gt;0,VLOOKUP(_1_5412845612146241046457891017[[#This Row],[Type]],Main[[#All],[TYPE]:[UNIT]],'Unit Price'!H$1,FALSE),0)</f>
        <v>0</v>
      </c>
      <c r="K579" s="194">
        <f>IF(_1_5412845612146241046457891017[[#This Row],[Discount selection]]&gt;0,VLOOKUP(_1_5412845612146241046457891017[[#This Row],[Discount selection]],'Discount Structure'!$A$2:$B$30,2,"false"),0)</f>
        <v>1</v>
      </c>
      <c r="L579" s="194">
        <f>_1_5412845612146241046457891017[[#This Row],[LIST $]]*_1_5412845612146241046457891017[[#This Row],[DISCOUNT]]*_1_5412845612146241046457891017[[#This Row],[DISCOUNT 2]]</f>
        <v>0</v>
      </c>
      <c r="M579" s="194">
        <f>IF(OR(_1_5412845612146241046457891017[[#This Row],[UNIT]]&gt;0,_1_5412845612146241046457891017[[#This Row],[UNIT]]&lt;0),_1_5412845612146241046457891017[[#This Row],[UNIT]]*_1_5412845612146241046457891017[[#This Row],[COST]],0)</f>
        <v>0</v>
      </c>
      <c r="N579" s="194">
        <f t="shared" si="8"/>
        <v>1.35</v>
      </c>
      <c r="O579" s="198">
        <f>_1_5412845612146241046457891017[[#This Row],[TOTAL]]*_1_5412845612146241046457891017[[#This Row],[MARGIN]]</f>
        <v>0</v>
      </c>
      <c r="R579" s="41"/>
    </row>
    <row r="580" spans="1:18">
      <c r="D580" s="188"/>
      <c r="F580" s="168" t="s">
        <v>6202</v>
      </c>
      <c r="G580" s="193">
        <f>IF(_1_5412845612146241046457891017[[#This Row],[Type]]&gt;0,VLOOKUP(_1_5412845612146241046457891017[[#This Row],[Type]],Main[[#All],[TYPE]:[UNIT]],'Unit Price'!C$1,FALSE),0)</f>
        <v>0</v>
      </c>
      <c r="H580" s="197">
        <f>IF(_1_5412845612146241046457891017[[#This Row],[Type]]&gt;0,VLOOKUP(_1_5412845612146241046457891017[[#This Row],[Type]],Main[[#All],[TYPE]:[UNIT]],'Unit Price'!D$1,FALSE),0)</f>
        <v>0</v>
      </c>
      <c r="I580" s="194">
        <f>IF(_1_5412845612146241046457891017[[#This Row],[Type]]&gt;0,VLOOKUP(_1_5412845612146241046457891017[[#This Row],[Type]],Main[[#All],[TYPE]:[UNIT]],'Unit Price'!G$1,FALSE),0)</f>
        <v>0</v>
      </c>
      <c r="J580" s="194">
        <f>IF(_1_5412845612146241046457891017[[#This Row],[Type]]&gt;0,VLOOKUP(_1_5412845612146241046457891017[[#This Row],[Type]],Main[[#All],[TYPE]:[UNIT]],'Unit Price'!H$1,FALSE),0)</f>
        <v>0</v>
      </c>
      <c r="K580" s="194">
        <f>IF(_1_5412845612146241046457891017[[#This Row],[Discount selection]]&gt;0,VLOOKUP(_1_5412845612146241046457891017[[#This Row],[Discount selection]],'Discount Structure'!$A$2:$B$30,2,"false"),0)</f>
        <v>1</v>
      </c>
      <c r="L580" s="194">
        <f>_1_5412845612146241046457891017[[#This Row],[LIST $]]*_1_5412845612146241046457891017[[#This Row],[DISCOUNT]]*_1_5412845612146241046457891017[[#This Row],[DISCOUNT 2]]</f>
        <v>0</v>
      </c>
      <c r="M580" s="194">
        <f>IF(OR(_1_5412845612146241046457891017[[#This Row],[UNIT]]&gt;0,_1_5412845612146241046457891017[[#This Row],[UNIT]]&lt;0),_1_5412845612146241046457891017[[#This Row],[UNIT]]*_1_5412845612146241046457891017[[#This Row],[COST]],0)</f>
        <v>0</v>
      </c>
      <c r="N580" s="194">
        <f t="shared" si="8"/>
        <v>1.35</v>
      </c>
      <c r="O580" s="198">
        <f>_1_5412845612146241046457891017[[#This Row],[TOTAL]]*_1_5412845612146241046457891017[[#This Row],[MARGIN]]</f>
        <v>0</v>
      </c>
      <c r="R580" s="41"/>
    </row>
    <row r="581" spans="1:18">
      <c r="A581" s="168"/>
      <c r="D581" s="188"/>
      <c r="F581" s="168" t="s">
        <v>6202</v>
      </c>
      <c r="G581" s="193">
        <f>IF(_1_5412845612146241046457891017[[#This Row],[Type]]&gt;0,VLOOKUP(_1_5412845612146241046457891017[[#This Row],[Type]],Main[[#All],[TYPE]:[UNIT]],'Unit Price'!C$1,FALSE),0)</f>
        <v>0</v>
      </c>
      <c r="H581" s="197">
        <f>IF(_1_5412845612146241046457891017[[#This Row],[Type]]&gt;0,VLOOKUP(_1_5412845612146241046457891017[[#This Row],[Type]],Main[[#All],[TYPE]:[UNIT]],'Unit Price'!D$1,FALSE),0)</f>
        <v>0</v>
      </c>
      <c r="I581" s="194">
        <f>IF(_1_5412845612146241046457891017[[#This Row],[Type]]&gt;0,VLOOKUP(_1_5412845612146241046457891017[[#This Row],[Type]],Main[[#All],[TYPE]:[UNIT]],'Unit Price'!G$1,FALSE),0)</f>
        <v>0</v>
      </c>
      <c r="J581" s="194">
        <f>IF(_1_5412845612146241046457891017[[#This Row],[Type]]&gt;0,VLOOKUP(_1_5412845612146241046457891017[[#This Row],[Type]],Main[[#All],[TYPE]:[UNIT]],'Unit Price'!H$1,FALSE),0)</f>
        <v>0</v>
      </c>
      <c r="K581" s="194">
        <f>IF(_1_5412845612146241046457891017[[#This Row],[Discount selection]]&gt;0,VLOOKUP(_1_5412845612146241046457891017[[#This Row],[Discount selection]],'Discount Structure'!$A$2:$B$30,2,"false"),0)</f>
        <v>1</v>
      </c>
      <c r="L581" s="194">
        <f>_1_5412845612146241046457891017[[#This Row],[LIST $]]*_1_5412845612146241046457891017[[#This Row],[DISCOUNT]]*_1_5412845612146241046457891017[[#This Row],[DISCOUNT 2]]</f>
        <v>0</v>
      </c>
      <c r="M581" s="194">
        <f>IF(OR(_1_5412845612146241046457891017[[#This Row],[UNIT]]&gt;0,_1_5412845612146241046457891017[[#This Row],[UNIT]]&lt;0),_1_5412845612146241046457891017[[#This Row],[UNIT]]*_1_5412845612146241046457891017[[#This Row],[COST]],0)</f>
        <v>0</v>
      </c>
      <c r="N581" s="194">
        <f t="shared" si="8"/>
        <v>1.35</v>
      </c>
      <c r="O581" s="198">
        <f>_1_5412845612146241046457891017[[#This Row],[TOTAL]]*_1_5412845612146241046457891017[[#This Row],[MARGIN]]</f>
        <v>0</v>
      </c>
      <c r="R581" s="41"/>
    </row>
    <row r="582" spans="1:18">
      <c r="D582" s="188"/>
      <c r="F582" s="168" t="s">
        <v>6202</v>
      </c>
      <c r="G582" s="193">
        <f>IF(_1_5412845612146241046457891017[[#This Row],[Type]]&gt;0,VLOOKUP(_1_5412845612146241046457891017[[#This Row],[Type]],Main[[#All],[TYPE]:[UNIT]],'Unit Price'!C$1,FALSE),0)</f>
        <v>0</v>
      </c>
      <c r="H582" s="197">
        <f>IF(_1_5412845612146241046457891017[[#This Row],[Type]]&gt;0,VLOOKUP(_1_5412845612146241046457891017[[#This Row],[Type]],Main[[#All],[TYPE]:[UNIT]],'Unit Price'!D$1,FALSE),0)</f>
        <v>0</v>
      </c>
      <c r="I582" s="194">
        <f>IF(_1_5412845612146241046457891017[[#This Row],[Type]]&gt;0,VLOOKUP(_1_5412845612146241046457891017[[#This Row],[Type]],Main[[#All],[TYPE]:[UNIT]],'Unit Price'!G$1,FALSE),0)</f>
        <v>0</v>
      </c>
      <c r="J582" s="194">
        <f>IF(_1_5412845612146241046457891017[[#This Row],[Type]]&gt;0,VLOOKUP(_1_5412845612146241046457891017[[#This Row],[Type]],Main[[#All],[TYPE]:[UNIT]],'Unit Price'!H$1,FALSE),0)</f>
        <v>0</v>
      </c>
      <c r="K582" s="194">
        <f>IF(_1_5412845612146241046457891017[[#This Row],[Discount selection]]&gt;0,VLOOKUP(_1_5412845612146241046457891017[[#This Row],[Discount selection]],'Discount Structure'!$A$2:$B$30,2,"false"),0)</f>
        <v>1</v>
      </c>
      <c r="L582" s="194">
        <f>_1_5412845612146241046457891017[[#This Row],[LIST $]]*_1_5412845612146241046457891017[[#This Row],[DISCOUNT]]*_1_5412845612146241046457891017[[#This Row],[DISCOUNT 2]]</f>
        <v>0</v>
      </c>
      <c r="M582" s="194">
        <f>IF(OR(_1_5412845612146241046457891017[[#This Row],[UNIT]]&gt;0,_1_5412845612146241046457891017[[#This Row],[UNIT]]&lt;0),_1_5412845612146241046457891017[[#This Row],[UNIT]]*_1_5412845612146241046457891017[[#This Row],[COST]],0)</f>
        <v>0</v>
      </c>
      <c r="N582" s="194">
        <f t="shared" si="8"/>
        <v>1.35</v>
      </c>
      <c r="O582" s="198">
        <f>_1_5412845612146241046457891017[[#This Row],[TOTAL]]*_1_5412845612146241046457891017[[#This Row],[MARGIN]]</f>
        <v>0</v>
      </c>
      <c r="R582" s="41"/>
    </row>
    <row r="583" spans="1:18">
      <c r="D583" s="188"/>
      <c r="F583" s="168" t="s">
        <v>6202</v>
      </c>
      <c r="G583" s="193">
        <f>IF(_1_5412845612146241046457891017[[#This Row],[Type]]&gt;0,VLOOKUP(_1_5412845612146241046457891017[[#This Row],[Type]],Main[[#All],[TYPE]:[UNIT]],'Unit Price'!C$1,FALSE),0)</f>
        <v>0</v>
      </c>
      <c r="H583" s="197">
        <f>IF(_1_5412845612146241046457891017[[#This Row],[Type]]&gt;0,VLOOKUP(_1_5412845612146241046457891017[[#This Row],[Type]],Main[[#All],[TYPE]:[UNIT]],'Unit Price'!D$1,FALSE),0)</f>
        <v>0</v>
      </c>
      <c r="I583" s="194">
        <f>IF(_1_5412845612146241046457891017[[#This Row],[Type]]&gt;0,VLOOKUP(_1_5412845612146241046457891017[[#This Row],[Type]],Main[[#All],[TYPE]:[UNIT]],'Unit Price'!G$1,FALSE),0)</f>
        <v>0</v>
      </c>
      <c r="J583" s="194">
        <f>IF(_1_5412845612146241046457891017[[#This Row],[Type]]&gt;0,VLOOKUP(_1_5412845612146241046457891017[[#This Row],[Type]],Main[[#All],[TYPE]:[UNIT]],'Unit Price'!H$1,FALSE),0)</f>
        <v>0</v>
      </c>
      <c r="K583" s="194">
        <f>IF(_1_5412845612146241046457891017[[#This Row],[Discount selection]]&gt;0,VLOOKUP(_1_5412845612146241046457891017[[#This Row],[Discount selection]],'Discount Structure'!$A$2:$B$30,2,"false"),0)</f>
        <v>1</v>
      </c>
      <c r="L583" s="194">
        <f>_1_5412845612146241046457891017[[#This Row],[LIST $]]*_1_5412845612146241046457891017[[#This Row],[DISCOUNT]]*_1_5412845612146241046457891017[[#This Row],[DISCOUNT 2]]</f>
        <v>0</v>
      </c>
      <c r="M583" s="194">
        <f>IF(OR(_1_5412845612146241046457891017[[#This Row],[UNIT]]&gt;0,_1_5412845612146241046457891017[[#This Row],[UNIT]]&lt;0),_1_5412845612146241046457891017[[#This Row],[UNIT]]*_1_5412845612146241046457891017[[#This Row],[COST]],0)</f>
        <v>0</v>
      </c>
      <c r="N583" s="194">
        <f t="shared" si="8"/>
        <v>1.35</v>
      </c>
      <c r="O583" s="198">
        <f>_1_5412845612146241046457891017[[#This Row],[TOTAL]]*_1_5412845612146241046457891017[[#This Row],[MARGIN]]</f>
        <v>0</v>
      </c>
      <c r="R583" s="41"/>
    </row>
    <row r="584" spans="1:18">
      <c r="D584" s="188"/>
      <c r="F584" s="168" t="s">
        <v>6202</v>
      </c>
      <c r="G584" s="193">
        <f>IF(_1_5412845612146241046457891017[[#This Row],[Type]]&gt;0,VLOOKUP(_1_5412845612146241046457891017[[#This Row],[Type]],Main[[#All],[TYPE]:[UNIT]],'Unit Price'!C$1,FALSE),0)</f>
        <v>0</v>
      </c>
      <c r="H584" s="197">
        <f>IF(_1_5412845612146241046457891017[[#This Row],[Type]]&gt;0,VLOOKUP(_1_5412845612146241046457891017[[#This Row],[Type]],Main[[#All],[TYPE]:[UNIT]],'Unit Price'!D$1,FALSE),0)</f>
        <v>0</v>
      </c>
      <c r="I584" s="194">
        <f>IF(_1_5412845612146241046457891017[[#This Row],[Type]]&gt;0,VLOOKUP(_1_5412845612146241046457891017[[#This Row],[Type]],Main[[#All],[TYPE]:[UNIT]],'Unit Price'!G$1,FALSE),0)</f>
        <v>0</v>
      </c>
      <c r="J584" s="194">
        <f>IF(_1_5412845612146241046457891017[[#This Row],[Type]]&gt;0,VLOOKUP(_1_5412845612146241046457891017[[#This Row],[Type]],Main[[#All],[TYPE]:[UNIT]],'Unit Price'!H$1,FALSE),0)</f>
        <v>0</v>
      </c>
      <c r="K584" s="194">
        <f>IF(_1_5412845612146241046457891017[[#This Row],[Discount selection]]&gt;0,VLOOKUP(_1_5412845612146241046457891017[[#This Row],[Discount selection]],'Discount Structure'!$A$2:$B$30,2,"false"),0)</f>
        <v>1</v>
      </c>
      <c r="L584" s="194">
        <f>_1_5412845612146241046457891017[[#This Row],[LIST $]]*_1_5412845612146241046457891017[[#This Row],[DISCOUNT]]*_1_5412845612146241046457891017[[#This Row],[DISCOUNT 2]]</f>
        <v>0</v>
      </c>
      <c r="M584" s="194">
        <f>IF(OR(_1_5412845612146241046457891017[[#This Row],[UNIT]]&gt;0,_1_5412845612146241046457891017[[#This Row],[UNIT]]&lt;0),_1_5412845612146241046457891017[[#This Row],[UNIT]]*_1_5412845612146241046457891017[[#This Row],[COST]],0)</f>
        <v>0</v>
      </c>
      <c r="N584" s="194">
        <f t="shared" si="8"/>
        <v>1.35</v>
      </c>
      <c r="O584" s="198">
        <f>_1_5412845612146241046457891017[[#This Row],[TOTAL]]*_1_5412845612146241046457891017[[#This Row],[MARGIN]]</f>
        <v>0</v>
      </c>
      <c r="R584" s="41"/>
    </row>
    <row r="585" spans="1:18">
      <c r="D585" s="188"/>
      <c r="F585" s="168" t="s">
        <v>6202</v>
      </c>
      <c r="G585" s="193">
        <f>IF(_1_5412845612146241046457891017[[#This Row],[Type]]&gt;0,VLOOKUP(_1_5412845612146241046457891017[[#This Row],[Type]],Main[[#All],[TYPE]:[UNIT]],'Unit Price'!C$1,FALSE),0)</f>
        <v>0</v>
      </c>
      <c r="H585" s="197">
        <f>IF(_1_5412845612146241046457891017[[#This Row],[Type]]&gt;0,VLOOKUP(_1_5412845612146241046457891017[[#This Row],[Type]],Main[[#All],[TYPE]:[UNIT]],'Unit Price'!D$1,FALSE),0)</f>
        <v>0</v>
      </c>
      <c r="I585" s="194">
        <f>IF(_1_5412845612146241046457891017[[#This Row],[Type]]&gt;0,VLOOKUP(_1_5412845612146241046457891017[[#This Row],[Type]],Main[[#All],[TYPE]:[UNIT]],'Unit Price'!G$1,FALSE),0)</f>
        <v>0</v>
      </c>
      <c r="J585" s="194">
        <f>IF(_1_5412845612146241046457891017[[#This Row],[Type]]&gt;0,VLOOKUP(_1_5412845612146241046457891017[[#This Row],[Type]],Main[[#All],[TYPE]:[UNIT]],'Unit Price'!H$1,FALSE),0)</f>
        <v>0</v>
      </c>
      <c r="K585" s="194">
        <f>IF(_1_5412845612146241046457891017[[#This Row],[Discount selection]]&gt;0,VLOOKUP(_1_5412845612146241046457891017[[#This Row],[Discount selection]],'Discount Structure'!$A$2:$B$30,2,"false"),0)</f>
        <v>1</v>
      </c>
      <c r="L585" s="194">
        <f>_1_5412845612146241046457891017[[#This Row],[LIST $]]*_1_5412845612146241046457891017[[#This Row],[DISCOUNT]]*_1_5412845612146241046457891017[[#This Row],[DISCOUNT 2]]</f>
        <v>0</v>
      </c>
      <c r="M585" s="194">
        <f>IF(OR(_1_5412845612146241046457891017[[#This Row],[UNIT]]&gt;0,_1_5412845612146241046457891017[[#This Row],[UNIT]]&lt;0),_1_5412845612146241046457891017[[#This Row],[UNIT]]*_1_5412845612146241046457891017[[#This Row],[COST]],0)</f>
        <v>0</v>
      </c>
      <c r="N585" s="194">
        <f t="shared" si="8"/>
        <v>1.35</v>
      </c>
      <c r="O585" s="198">
        <f>_1_5412845612146241046457891017[[#This Row],[TOTAL]]*_1_5412845612146241046457891017[[#This Row],[MARGIN]]</f>
        <v>0</v>
      </c>
      <c r="R585" s="41"/>
    </row>
    <row r="586" spans="1:18">
      <c r="D586" s="188"/>
      <c r="F586" s="168" t="s">
        <v>6202</v>
      </c>
      <c r="G586" s="193">
        <f>IF(_1_5412845612146241046457891017[[#This Row],[Type]]&gt;0,VLOOKUP(_1_5412845612146241046457891017[[#This Row],[Type]],Main[[#All],[TYPE]:[UNIT]],'Unit Price'!C$1,FALSE),0)</f>
        <v>0</v>
      </c>
      <c r="H586" s="197">
        <f>IF(_1_5412845612146241046457891017[[#This Row],[Type]]&gt;0,VLOOKUP(_1_5412845612146241046457891017[[#This Row],[Type]],Main[[#All],[TYPE]:[UNIT]],'Unit Price'!D$1,FALSE),0)</f>
        <v>0</v>
      </c>
      <c r="I586" s="194">
        <f>IF(_1_5412845612146241046457891017[[#This Row],[Type]]&gt;0,VLOOKUP(_1_5412845612146241046457891017[[#This Row],[Type]],Main[[#All],[TYPE]:[UNIT]],'Unit Price'!G$1,FALSE),0)</f>
        <v>0</v>
      </c>
      <c r="J586" s="194">
        <f>IF(_1_5412845612146241046457891017[[#This Row],[Type]]&gt;0,VLOOKUP(_1_5412845612146241046457891017[[#This Row],[Type]],Main[[#All],[TYPE]:[UNIT]],'Unit Price'!H$1,FALSE),0)</f>
        <v>0</v>
      </c>
      <c r="K586" s="194">
        <f>IF(_1_5412845612146241046457891017[[#This Row],[Discount selection]]&gt;0,VLOOKUP(_1_5412845612146241046457891017[[#This Row],[Discount selection]],'Discount Structure'!$A$2:$B$30,2,"false"),0)</f>
        <v>1</v>
      </c>
      <c r="L586" s="194">
        <f>_1_5412845612146241046457891017[[#This Row],[LIST $]]*_1_5412845612146241046457891017[[#This Row],[DISCOUNT]]*_1_5412845612146241046457891017[[#This Row],[DISCOUNT 2]]</f>
        <v>0</v>
      </c>
      <c r="M586" s="194">
        <f>IF(OR(_1_5412845612146241046457891017[[#This Row],[UNIT]]&gt;0,_1_5412845612146241046457891017[[#This Row],[UNIT]]&lt;0),_1_5412845612146241046457891017[[#This Row],[UNIT]]*_1_5412845612146241046457891017[[#This Row],[COST]],0)</f>
        <v>0</v>
      </c>
      <c r="N586" s="194">
        <f t="shared" ref="N586:N649" si="9">$N$7</f>
        <v>1.35</v>
      </c>
      <c r="O586" s="198">
        <f>_1_5412845612146241046457891017[[#This Row],[TOTAL]]*_1_5412845612146241046457891017[[#This Row],[MARGIN]]</f>
        <v>0</v>
      </c>
      <c r="R586" s="41"/>
    </row>
    <row r="587" spans="1:18">
      <c r="D587" s="188"/>
      <c r="F587" s="168" t="s">
        <v>6202</v>
      </c>
      <c r="G587" s="193">
        <f>IF(_1_5412845612146241046457891017[[#This Row],[Type]]&gt;0,VLOOKUP(_1_5412845612146241046457891017[[#This Row],[Type]],Main[[#All],[TYPE]:[UNIT]],'Unit Price'!C$1,FALSE),0)</f>
        <v>0</v>
      </c>
      <c r="H587" s="197">
        <f>IF(_1_5412845612146241046457891017[[#This Row],[Type]]&gt;0,VLOOKUP(_1_5412845612146241046457891017[[#This Row],[Type]],Main[[#All],[TYPE]:[UNIT]],'Unit Price'!D$1,FALSE),0)</f>
        <v>0</v>
      </c>
      <c r="I587" s="194">
        <f>IF(_1_5412845612146241046457891017[[#This Row],[Type]]&gt;0,VLOOKUP(_1_5412845612146241046457891017[[#This Row],[Type]],Main[[#All],[TYPE]:[UNIT]],'Unit Price'!G$1,FALSE),0)</f>
        <v>0</v>
      </c>
      <c r="J587" s="194">
        <f>IF(_1_5412845612146241046457891017[[#This Row],[Type]]&gt;0,VLOOKUP(_1_5412845612146241046457891017[[#This Row],[Type]],Main[[#All],[TYPE]:[UNIT]],'Unit Price'!H$1,FALSE),0)</f>
        <v>0</v>
      </c>
      <c r="K587" s="194">
        <f>IF(_1_5412845612146241046457891017[[#This Row],[Discount selection]]&gt;0,VLOOKUP(_1_5412845612146241046457891017[[#This Row],[Discount selection]],'Discount Structure'!$A$2:$B$30,2,"false"),0)</f>
        <v>1</v>
      </c>
      <c r="L587" s="194">
        <f>_1_5412845612146241046457891017[[#This Row],[LIST $]]*_1_5412845612146241046457891017[[#This Row],[DISCOUNT]]*_1_5412845612146241046457891017[[#This Row],[DISCOUNT 2]]</f>
        <v>0</v>
      </c>
      <c r="M587" s="194">
        <f>IF(OR(_1_5412845612146241046457891017[[#This Row],[UNIT]]&gt;0,_1_5412845612146241046457891017[[#This Row],[UNIT]]&lt;0),_1_5412845612146241046457891017[[#This Row],[UNIT]]*_1_5412845612146241046457891017[[#This Row],[COST]],0)</f>
        <v>0</v>
      </c>
      <c r="N587" s="194">
        <f t="shared" si="9"/>
        <v>1.35</v>
      </c>
      <c r="O587" s="198">
        <f>_1_5412845612146241046457891017[[#This Row],[TOTAL]]*_1_5412845612146241046457891017[[#This Row],[MARGIN]]</f>
        <v>0</v>
      </c>
      <c r="R587" s="41"/>
    </row>
    <row r="588" spans="1:18">
      <c r="D588" s="188"/>
      <c r="F588" s="168" t="s">
        <v>6202</v>
      </c>
      <c r="G588" s="193">
        <f>IF(_1_5412845612146241046457891017[[#This Row],[Type]]&gt;0,VLOOKUP(_1_5412845612146241046457891017[[#This Row],[Type]],Main[[#All],[TYPE]:[UNIT]],'Unit Price'!C$1,FALSE),0)</f>
        <v>0</v>
      </c>
      <c r="H588" s="197">
        <f>IF(_1_5412845612146241046457891017[[#This Row],[Type]]&gt;0,VLOOKUP(_1_5412845612146241046457891017[[#This Row],[Type]],Main[[#All],[TYPE]:[UNIT]],'Unit Price'!D$1,FALSE),0)</f>
        <v>0</v>
      </c>
      <c r="I588" s="194">
        <f>IF(_1_5412845612146241046457891017[[#This Row],[Type]]&gt;0,VLOOKUP(_1_5412845612146241046457891017[[#This Row],[Type]],Main[[#All],[TYPE]:[UNIT]],'Unit Price'!G$1,FALSE),0)</f>
        <v>0</v>
      </c>
      <c r="J588" s="194">
        <f>IF(_1_5412845612146241046457891017[[#This Row],[Type]]&gt;0,VLOOKUP(_1_5412845612146241046457891017[[#This Row],[Type]],Main[[#All],[TYPE]:[UNIT]],'Unit Price'!H$1,FALSE),0)</f>
        <v>0</v>
      </c>
      <c r="K588" s="194">
        <f>IF(_1_5412845612146241046457891017[[#This Row],[Discount selection]]&gt;0,VLOOKUP(_1_5412845612146241046457891017[[#This Row],[Discount selection]],'Discount Structure'!$A$2:$B$30,2,"false"),0)</f>
        <v>1</v>
      </c>
      <c r="L588" s="194">
        <f>_1_5412845612146241046457891017[[#This Row],[LIST $]]*_1_5412845612146241046457891017[[#This Row],[DISCOUNT]]*_1_5412845612146241046457891017[[#This Row],[DISCOUNT 2]]</f>
        <v>0</v>
      </c>
      <c r="M588" s="194">
        <f>IF(OR(_1_5412845612146241046457891017[[#This Row],[UNIT]]&gt;0,_1_5412845612146241046457891017[[#This Row],[UNIT]]&lt;0),_1_5412845612146241046457891017[[#This Row],[UNIT]]*_1_5412845612146241046457891017[[#This Row],[COST]],0)</f>
        <v>0</v>
      </c>
      <c r="N588" s="194">
        <f t="shared" si="9"/>
        <v>1.35</v>
      </c>
      <c r="O588" s="198">
        <f>_1_5412845612146241046457891017[[#This Row],[TOTAL]]*_1_5412845612146241046457891017[[#This Row],[MARGIN]]</f>
        <v>0</v>
      </c>
      <c r="R588" s="41"/>
    </row>
    <row r="589" spans="1:18">
      <c r="D589" s="188"/>
      <c r="F589" s="168" t="s">
        <v>6202</v>
      </c>
      <c r="G589" s="193">
        <f>IF(_1_5412845612146241046457891017[[#This Row],[Type]]&gt;0,VLOOKUP(_1_5412845612146241046457891017[[#This Row],[Type]],Main[[#All],[TYPE]:[UNIT]],'Unit Price'!C$1,FALSE),0)</f>
        <v>0</v>
      </c>
      <c r="H589" s="197">
        <f>IF(_1_5412845612146241046457891017[[#This Row],[Type]]&gt;0,VLOOKUP(_1_5412845612146241046457891017[[#This Row],[Type]],Main[[#All],[TYPE]:[UNIT]],'Unit Price'!D$1,FALSE),0)</f>
        <v>0</v>
      </c>
      <c r="I589" s="194">
        <f>IF(_1_5412845612146241046457891017[[#This Row],[Type]]&gt;0,VLOOKUP(_1_5412845612146241046457891017[[#This Row],[Type]],Main[[#All],[TYPE]:[UNIT]],'Unit Price'!G$1,FALSE),0)</f>
        <v>0</v>
      </c>
      <c r="J589" s="194">
        <f>IF(_1_5412845612146241046457891017[[#This Row],[Type]]&gt;0,VLOOKUP(_1_5412845612146241046457891017[[#This Row],[Type]],Main[[#All],[TYPE]:[UNIT]],'Unit Price'!H$1,FALSE),0)</f>
        <v>0</v>
      </c>
      <c r="K589" s="194">
        <f>IF(_1_5412845612146241046457891017[[#This Row],[Discount selection]]&gt;0,VLOOKUP(_1_5412845612146241046457891017[[#This Row],[Discount selection]],'Discount Structure'!$A$2:$B$30,2,"false"),0)</f>
        <v>1</v>
      </c>
      <c r="L589" s="194">
        <f>_1_5412845612146241046457891017[[#This Row],[LIST $]]*_1_5412845612146241046457891017[[#This Row],[DISCOUNT]]*_1_5412845612146241046457891017[[#This Row],[DISCOUNT 2]]</f>
        <v>0</v>
      </c>
      <c r="M589" s="194">
        <f>IF(OR(_1_5412845612146241046457891017[[#This Row],[UNIT]]&gt;0,_1_5412845612146241046457891017[[#This Row],[UNIT]]&lt;0),_1_5412845612146241046457891017[[#This Row],[UNIT]]*_1_5412845612146241046457891017[[#This Row],[COST]],0)</f>
        <v>0</v>
      </c>
      <c r="N589" s="194">
        <f t="shared" si="9"/>
        <v>1.35</v>
      </c>
      <c r="O589" s="198">
        <f>_1_5412845612146241046457891017[[#This Row],[TOTAL]]*_1_5412845612146241046457891017[[#This Row],[MARGIN]]</f>
        <v>0</v>
      </c>
      <c r="R589" s="41"/>
    </row>
    <row r="590" spans="1:18">
      <c r="D590" s="188"/>
      <c r="F590" s="168" t="s">
        <v>6202</v>
      </c>
      <c r="G590" s="193">
        <f>IF(_1_5412845612146241046457891017[[#This Row],[Type]]&gt;0,VLOOKUP(_1_5412845612146241046457891017[[#This Row],[Type]],Main[[#All],[TYPE]:[UNIT]],'Unit Price'!C$1,FALSE),0)</f>
        <v>0</v>
      </c>
      <c r="H590" s="197">
        <f>IF(_1_5412845612146241046457891017[[#This Row],[Type]]&gt;0,VLOOKUP(_1_5412845612146241046457891017[[#This Row],[Type]],Main[[#All],[TYPE]:[UNIT]],'Unit Price'!D$1,FALSE),0)</f>
        <v>0</v>
      </c>
      <c r="I590" s="194">
        <f>IF(_1_5412845612146241046457891017[[#This Row],[Type]]&gt;0,VLOOKUP(_1_5412845612146241046457891017[[#This Row],[Type]],Main[[#All],[TYPE]:[UNIT]],'Unit Price'!G$1,FALSE),0)</f>
        <v>0</v>
      </c>
      <c r="J590" s="194">
        <f>IF(_1_5412845612146241046457891017[[#This Row],[Type]]&gt;0,VLOOKUP(_1_5412845612146241046457891017[[#This Row],[Type]],Main[[#All],[TYPE]:[UNIT]],'Unit Price'!H$1,FALSE),0)</f>
        <v>0</v>
      </c>
      <c r="K590" s="194">
        <f>IF(_1_5412845612146241046457891017[[#This Row],[Discount selection]]&gt;0,VLOOKUP(_1_5412845612146241046457891017[[#This Row],[Discount selection]],'Discount Structure'!$A$2:$B$30,2,"false"),0)</f>
        <v>1</v>
      </c>
      <c r="L590" s="194">
        <f>_1_5412845612146241046457891017[[#This Row],[LIST $]]*_1_5412845612146241046457891017[[#This Row],[DISCOUNT]]*_1_5412845612146241046457891017[[#This Row],[DISCOUNT 2]]</f>
        <v>0</v>
      </c>
      <c r="M590" s="194">
        <f>IF(OR(_1_5412845612146241046457891017[[#This Row],[UNIT]]&gt;0,_1_5412845612146241046457891017[[#This Row],[UNIT]]&lt;0),_1_5412845612146241046457891017[[#This Row],[UNIT]]*_1_5412845612146241046457891017[[#This Row],[COST]],0)</f>
        <v>0</v>
      </c>
      <c r="N590" s="194">
        <f t="shared" si="9"/>
        <v>1.35</v>
      </c>
      <c r="O590" s="198">
        <f>_1_5412845612146241046457891017[[#This Row],[TOTAL]]*_1_5412845612146241046457891017[[#This Row],[MARGIN]]</f>
        <v>0</v>
      </c>
      <c r="R590" s="41"/>
    </row>
    <row r="591" spans="1:18">
      <c r="D591" s="188"/>
      <c r="F591" s="168" t="s">
        <v>6202</v>
      </c>
      <c r="G591" s="193">
        <f>IF(_1_5412845612146241046457891017[[#This Row],[Type]]&gt;0,VLOOKUP(_1_5412845612146241046457891017[[#This Row],[Type]],Main[[#All],[TYPE]:[UNIT]],'Unit Price'!C$1,FALSE),0)</f>
        <v>0</v>
      </c>
      <c r="H591" s="197">
        <f>IF(_1_5412845612146241046457891017[[#This Row],[Type]]&gt;0,VLOOKUP(_1_5412845612146241046457891017[[#This Row],[Type]],Main[[#All],[TYPE]:[UNIT]],'Unit Price'!D$1,FALSE),0)</f>
        <v>0</v>
      </c>
      <c r="I591" s="194">
        <f>IF(_1_5412845612146241046457891017[[#This Row],[Type]]&gt;0,VLOOKUP(_1_5412845612146241046457891017[[#This Row],[Type]],Main[[#All],[TYPE]:[UNIT]],'Unit Price'!G$1,FALSE),0)</f>
        <v>0</v>
      </c>
      <c r="J591" s="194">
        <f>IF(_1_5412845612146241046457891017[[#This Row],[Type]]&gt;0,VLOOKUP(_1_5412845612146241046457891017[[#This Row],[Type]],Main[[#All],[TYPE]:[UNIT]],'Unit Price'!H$1,FALSE),0)</f>
        <v>0</v>
      </c>
      <c r="K591" s="194">
        <f>IF(_1_5412845612146241046457891017[[#This Row],[Discount selection]]&gt;0,VLOOKUP(_1_5412845612146241046457891017[[#This Row],[Discount selection]],'Discount Structure'!$A$2:$B$30,2,"false"),0)</f>
        <v>1</v>
      </c>
      <c r="L591" s="194">
        <f>_1_5412845612146241046457891017[[#This Row],[LIST $]]*_1_5412845612146241046457891017[[#This Row],[DISCOUNT]]*_1_5412845612146241046457891017[[#This Row],[DISCOUNT 2]]</f>
        <v>0</v>
      </c>
      <c r="M591" s="194">
        <f>IF(OR(_1_5412845612146241046457891017[[#This Row],[UNIT]]&gt;0,_1_5412845612146241046457891017[[#This Row],[UNIT]]&lt;0),_1_5412845612146241046457891017[[#This Row],[UNIT]]*_1_5412845612146241046457891017[[#This Row],[COST]],0)</f>
        <v>0</v>
      </c>
      <c r="N591" s="194">
        <f t="shared" si="9"/>
        <v>1.35</v>
      </c>
      <c r="O591" s="198">
        <f>_1_5412845612146241046457891017[[#This Row],[TOTAL]]*_1_5412845612146241046457891017[[#This Row],[MARGIN]]</f>
        <v>0</v>
      </c>
      <c r="R591" s="41"/>
    </row>
    <row r="592" spans="1:18">
      <c r="D592" s="188"/>
      <c r="F592" s="168" t="s">
        <v>6202</v>
      </c>
      <c r="G592" s="193">
        <f>IF(_1_5412845612146241046457891017[[#This Row],[Type]]&gt;0,VLOOKUP(_1_5412845612146241046457891017[[#This Row],[Type]],Main[[#All],[TYPE]:[UNIT]],'Unit Price'!C$1,FALSE),0)</f>
        <v>0</v>
      </c>
      <c r="H592" s="197">
        <f>IF(_1_5412845612146241046457891017[[#This Row],[Type]]&gt;0,VLOOKUP(_1_5412845612146241046457891017[[#This Row],[Type]],Main[[#All],[TYPE]:[UNIT]],'Unit Price'!D$1,FALSE),0)</f>
        <v>0</v>
      </c>
      <c r="I592" s="194">
        <f>IF(_1_5412845612146241046457891017[[#This Row],[Type]]&gt;0,VLOOKUP(_1_5412845612146241046457891017[[#This Row],[Type]],Main[[#All],[TYPE]:[UNIT]],'Unit Price'!G$1,FALSE),0)</f>
        <v>0</v>
      </c>
      <c r="J592" s="194">
        <f>IF(_1_5412845612146241046457891017[[#This Row],[Type]]&gt;0,VLOOKUP(_1_5412845612146241046457891017[[#This Row],[Type]],Main[[#All],[TYPE]:[UNIT]],'Unit Price'!H$1,FALSE),0)</f>
        <v>0</v>
      </c>
      <c r="K592" s="194">
        <f>IF(_1_5412845612146241046457891017[[#This Row],[Discount selection]]&gt;0,VLOOKUP(_1_5412845612146241046457891017[[#This Row],[Discount selection]],'Discount Structure'!$A$2:$B$30,2,"false"),0)</f>
        <v>1</v>
      </c>
      <c r="L592" s="194">
        <f>_1_5412845612146241046457891017[[#This Row],[LIST $]]*_1_5412845612146241046457891017[[#This Row],[DISCOUNT]]*_1_5412845612146241046457891017[[#This Row],[DISCOUNT 2]]</f>
        <v>0</v>
      </c>
      <c r="M592" s="194">
        <f>IF(OR(_1_5412845612146241046457891017[[#This Row],[UNIT]]&gt;0,_1_5412845612146241046457891017[[#This Row],[UNIT]]&lt;0),_1_5412845612146241046457891017[[#This Row],[UNIT]]*_1_5412845612146241046457891017[[#This Row],[COST]],0)</f>
        <v>0</v>
      </c>
      <c r="N592" s="194">
        <f t="shared" si="9"/>
        <v>1.35</v>
      </c>
      <c r="O592" s="198">
        <f>_1_5412845612146241046457891017[[#This Row],[TOTAL]]*_1_5412845612146241046457891017[[#This Row],[MARGIN]]</f>
        <v>0</v>
      </c>
      <c r="R592" s="41"/>
    </row>
    <row r="593" spans="4:18">
      <c r="D593" s="188"/>
      <c r="F593" s="168" t="s">
        <v>6202</v>
      </c>
      <c r="G593" s="193">
        <f>IF(_1_5412845612146241046457891017[[#This Row],[Type]]&gt;0,VLOOKUP(_1_5412845612146241046457891017[[#This Row],[Type]],Main[[#All],[TYPE]:[UNIT]],'Unit Price'!C$1,FALSE),0)</f>
        <v>0</v>
      </c>
      <c r="H593" s="197">
        <f>IF(_1_5412845612146241046457891017[[#This Row],[Type]]&gt;0,VLOOKUP(_1_5412845612146241046457891017[[#This Row],[Type]],Main[[#All],[TYPE]:[UNIT]],'Unit Price'!D$1,FALSE),0)</f>
        <v>0</v>
      </c>
      <c r="I593" s="194">
        <f>IF(_1_5412845612146241046457891017[[#This Row],[Type]]&gt;0,VLOOKUP(_1_5412845612146241046457891017[[#This Row],[Type]],Main[[#All],[TYPE]:[UNIT]],'Unit Price'!G$1,FALSE),0)</f>
        <v>0</v>
      </c>
      <c r="J593" s="194">
        <f>IF(_1_5412845612146241046457891017[[#This Row],[Type]]&gt;0,VLOOKUP(_1_5412845612146241046457891017[[#This Row],[Type]],Main[[#All],[TYPE]:[UNIT]],'Unit Price'!H$1,FALSE),0)</f>
        <v>0</v>
      </c>
      <c r="K593" s="194">
        <f>IF(_1_5412845612146241046457891017[[#This Row],[Discount selection]]&gt;0,VLOOKUP(_1_5412845612146241046457891017[[#This Row],[Discount selection]],'Discount Structure'!$A$2:$B$30,2,"false"),0)</f>
        <v>1</v>
      </c>
      <c r="L593" s="194">
        <f>_1_5412845612146241046457891017[[#This Row],[LIST $]]*_1_5412845612146241046457891017[[#This Row],[DISCOUNT]]*_1_5412845612146241046457891017[[#This Row],[DISCOUNT 2]]</f>
        <v>0</v>
      </c>
      <c r="M593" s="194">
        <f>IF(OR(_1_5412845612146241046457891017[[#This Row],[UNIT]]&gt;0,_1_5412845612146241046457891017[[#This Row],[UNIT]]&lt;0),_1_5412845612146241046457891017[[#This Row],[UNIT]]*_1_5412845612146241046457891017[[#This Row],[COST]],0)</f>
        <v>0</v>
      </c>
      <c r="N593" s="194">
        <f t="shared" si="9"/>
        <v>1.35</v>
      </c>
      <c r="O593" s="198">
        <f>_1_5412845612146241046457891017[[#This Row],[TOTAL]]*_1_5412845612146241046457891017[[#This Row],[MARGIN]]</f>
        <v>0</v>
      </c>
      <c r="R593" s="41"/>
    </row>
    <row r="594" spans="4:18">
      <c r="D594" s="188"/>
      <c r="F594" s="168" t="s">
        <v>6202</v>
      </c>
      <c r="G594" s="193">
        <f>IF(_1_5412845612146241046457891017[[#This Row],[Type]]&gt;0,VLOOKUP(_1_5412845612146241046457891017[[#This Row],[Type]],Main[[#All],[TYPE]:[UNIT]],'Unit Price'!C$1,FALSE),0)</f>
        <v>0</v>
      </c>
      <c r="H594" s="197">
        <f>IF(_1_5412845612146241046457891017[[#This Row],[Type]]&gt;0,VLOOKUP(_1_5412845612146241046457891017[[#This Row],[Type]],Main[[#All],[TYPE]:[UNIT]],'Unit Price'!D$1,FALSE),0)</f>
        <v>0</v>
      </c>
      <c r="I594" s="194">
        <f>IF(_1_5412845612146241046457891017[[#This Row],[Type]]&gt;0,VLOOKUP(_1_5412845612146241046457891017[[#This Row],[Type]],Main[[#All],[TYPE]:[UNIT]],'Unit Price'!G$1,FALSE),0)</f>
        <v>0</v>
      </c>
      <c r="J594" s="194">
        <f>IF(_1_5412845612146241046457891017[[#This Row],[Type]]&gt;0,VLOOKUP(_1_5412845612146241046457891017[[#This Row],[Type]],Main[[#All],[TYPE]:[UNIT]],'Unit Price'!H$1,FALSE),0)</f>
        <v>0</v>
      </c>
      <c r="K594" s="194">
        <f>IF(_1_5412845612146241046457891017[[#This Row],[Discount selection]]&gt;0,VLOOKUP(_1_5412845612146241046457891017[[#This Row],[Discount selection]],'Discount Structure'!$A$2:$B$30,2,"false"),0)</f>
        <v>1</v>
      </c>
      <c r="L594" s="194">
        <f>_1_5412845612146241046457891017[[#This Row],[LIST $]]*_1_5412845612146241046457891017[[#This Row],[DISCOUNT]]*_1_5412845612146241046457891017[[#This Row],[DISCOUNT 2]]</f>
        <v>0</v>
      </c>
      <c r="M594" s="194">
        <f>IF(OR(_1_5412845612146241046457891017[[#This Row],[UNIT]]&gt;0,_1_5412845612146241046457891017[[#This Row],[UNIT]]&lt;0),_1_5412845612146241046457891017[[#This Row],[UNIT]]*_1_5412845612146241046457891017[[#This Row],[COST]],0)</f>
        <v>0</v>
      </c>
      <c r="N594" s="194">
        <f t="shared" si="9"/>
        <v>1.35</v>
      </c>
      <c r="O594" s="198">
        <f>_1_5412845612146241046457891017[[#This Row],[TOTAL]]*_1_5412845612146241046457891017[[#This Row],[MARGIN]]</f>
        <v>0</v>
      </c>
      <c r="R594" s="41"/>
    </row>
    <row r="595" spans="4:18">
      <c r="D595" s="188"/>
      <c r="F595" s="168" t="s">
        <v>6202</v>
      </c>
      <c r="G595" s="193">
        <f>IF(_1_5412845612146241046457891017[[#This Row],[Type]]&gt;0,VLOOKUP(_1_5412845612146241046457891017[[#This Row],[Type]],Main[[#All],[TYPE]:[UNIT]],'Unit Price'!C$1,FALSE),0)</f>
        <v>0</v>
      </c>
      <c r="H595" s="197">
        <f>IF(_1_5412845612146241046457891017[[#This Row],[Type]]&gt;0,VLOOKUP(_1_5412845612146241046457891017[[#This Row],[Type]],Main[[#All],[TYPE]:[UNIT]],'Unit Price'!D$1,FALSE),0)</f>
        <v>0</v>
      </c>
      <c r="I595" s="194">
        <f>IF(_1_5412845612146241046457891017[[#This Row],[Type]]&gt;0,VLOOKUP(_1_5412845612146241046457891017[[#This Row],[Type]],Main[[#All],[TYPE]:[UNIT]],'Unit Price'!G$1,FALSE),0)</f>
        <v>0</v>
      </c>
      <c r="J595" s="194">
        <f>IF(_1_5412845612146241046457891017[[#This Row],[Type]]&gt;0,VLOOKUP(_1_5412845612146241046457891017[[#This Row],[Type]],Main[[#All],[TYPE]:[UNIT]],'Unit Price'!H$1,FALSE),0)</f>
        <v>0</v>
      </c>
      <c r="K595" s="194">
        <f>IF(_1_5412845612146241046457891017[[#This Row],[Discount selection]]&gt;0,VLOOKUP(_1_5412845612146241046457891017[[#This Row],[Discount selection]],'Discount Structure'!$A$2:$B$30,2,"false"),0)</f>
        <v>1</v>
      </c>
      <c r="L595" s="194">
        <f>_1_5412845612146241046457891017[[#This Row],[LIST $]]*_1_5412845612146241046457891017[[#This Row],[DISCOUNT]]*_1_5412845612146241046457891017[[#This Row],[DISCOUNT 2]]</f>
        <v>0</v>
      </c>
      <c r="M595" s="194">
        <f>IF(OR(_1_5412845612146241046457891017[[#This Row],[UNIT]]&gt;0,_1_5412845612146241046457891017[[#This Row],[UNIT]]&lt;0),_1_5412845612146241046457891017[[#This Row],[UNIT]]*_1_5412845612146241046457891017[[#This Row],[COST]],0)</f>
        <v>0</v>
      </c>
      <c r="N595" s="194">
        <f t="shared" si="9"/>
        <v>1.35</v>
      </c>
      <c r="O595" s="198">
        <f>_1_5412845612146241046457891017[[#This Row],[TOTAL]]*_1_5412845612146241046457891017[[#This Row],[MARGIN]]</f>
        <v>0</v>
      </c>
      <c r="R595" s="41"/>
    </row>
    <row r="596" spans="4:18">
      <c r="D596" s="188"/>
      <c r="F596" s="168" t="s">
        <v>6202</v>
      </c>
      <c r="G596" s="193">
        <f>IF(_1_5412845612146241046457891017[[#This Row],[Type]]&gt;0,VLOOKUP(_1_5412845612146241046457891017[[#This Row],[Type]],Main[[#All],[TYPE]:[UNIT]],'Unit Price'!C$1,FALSE),0)</f>
        <v>0</v>
      </c>
      <c r="H596" s="197">
        <f>IF(_1_5412845612146241046457891017[[#This Row],[Type]]&gt;0,VLOOKUP(_1_5412845612146241046457891017[[#This Row],[Type]],Main[[#All],[TYPE]:[UNIT]],'Unit Price'!D$1,FALSE),0)</f>
        <v>0</v>
      </c>
      <c r="I596" s="194">
        <f>IF(_1_5412845612146241046457891017[[#This Row],[Type]]&gt;0,VLOOKUP(_1_5412845612146241046457891017[[#This Row],[Type]],Main[[#All],[TYPE]:[UNIT]],'Unit Price'!G$1,FALSE),0)</f>
        <v>0</v>
      </c>
      <c r="J596" s="194">
        <f>IF(_1_5412845612146241046457891017[[#This Row],[Type]]&gt;0,VLOOKUP(_1_5412845612146241046457891017[[#This Row],[Type]],Main[[#All],[TYPE]:[UNIT]],'Unit Price'!H$1,FALSE),0)</f>
        <v>0</v>
      </c>
      <c r="K596" s="194">
        <f>IF(_1_5412845612146241046457891017[[#This Row],[Discount selection]]&gt;0,VLOOKUP(_1_5412845612146241046457891017[[#This Row],[Discount selection]],'Discount Structure'!$A$2:$B$30,2,"false"),0)</f>
        <v>1</v>
      </c>
      <c r="L596" s="194">
        <f>_1_5412845612146241046457891017[[#This Row],[LIST $]]*_1_5412845612146241046457891017[[#This Row],[DISCOUNT]]*_1_5412845612146241046457891017[[#This Row],[DISCOUNT 2]]</f>
        <v>0</v>
      </c>
      <c r="M596" s="194">
        <f>IF(OR(_1_5412845612146241046457891017[[#This Row],[UNIT]]&gt;0,_1_5412845612146241046457891017[[#This Row],[UNIT]]&lt;0),_1_5412845612146241046457891017[[#This Row],[UNIT]]*_1_5412845612146241046457891017[[#This Row],[COST]],0)</f>
        <v>0</v>
      </c>
      <c r="N596" s="194">
        <f t="shared" si="9"/>
        <v>1.35</v>
      </c>
      <c r="O596" s="198">
        <f>_1_5412845612146241046457891017[[#This Row],[TOTAL]]*_1_5412845612146241046457891017[[#This Row],[MARGIN]]</f>
        <v>0</v>
      </c>
      <c r="R596" s="41"/>
    </row>
    <row r="597" spans="4:18">
      <c r="D597" s="188"/>
      <c r="F597" s="168" t="s">
        <v>6202</v>
      </c>
      <c r="G597" s="193">
        <f>IF(_1_5412845612146241046457891017[[#This Row],[Type]]&gt;0,VLOOKUP(_1_5412845612146241046457891017[[#This Row],[Type]],Main[[#All],[TYPE]:[UNIT]],'Unit Price'!C$1,FALSE),0)</f>
        <v>0</v>
      </c>
      <c r="H597" s="197">
        <f>IF(_1_5412845612146241046457891017[[#This Row],[Type]]&gt;0,VLOOKUP(_1_5412845612146241046457891017[[#This Row],[Type]],Main[[#All],[TYPE]:[UNIT]],'Unit Price'!D$1,FALSE),0)</f>
        <v>0</v>
      </c>
      <c r="I597" s="194">
        <f>IF(_1_5412845612146241046457891017[[#This Row],[Type]]&gt;0,VLOOKUP(_1_5412845612146241046457891017[[#This Row],[Type]],Main[[#All],[TYPE]:[UNIT]],'Unit Price'!G$1,FALSE),0)</f>
        <v>0</v>
      </c>
      <c r="J597" s="194">
        <f>IF(_1_5412845612146241046457891017[[#This Row],[Type]]&gt;0,VLOOKUP(_1_5412845612146241046457891017[[#This Row],[Type]],Main[[#All],[TYPE]:[UNIT]],'Unit Price'!H$1,FALSE),0)</f>
        <v>0</v>
      </c>
      <c r="K597" s="194">
        <f>IF(_1_5412845612146241046457891017[[#This Row],[Discount selection]]&gt;0,VLOOKUP(_1_5412845612146241046457891017[[#This Row],[Discount selection]],'Discount Structure'!$A$2:$B$30,2,"false"),0)</f>
        <v>1</v>
      </c>
      <c r="L597" s="194">
        <f>_1_5412845612146241046457891017[[#This Row],[LIST $]]*_1_5412845612146241046457891017[[#This Row],[DISCOUNT]]*_1_5412845612146241046457891017[[#This Row],[DISCOUNT 2]]</f>
        <v>0</v>
      </c>
      <c r="M597" s="194">
        <f>IF(OR(_1_5412845612146241046457891017[[#This Row],[UNIT]]&gt;0,_1_5412845612146241046457891017[[#This Row],[UNIT]]&lt;0),_1_5412845612146241046457891017[[#This Row],[UNIT]]*_1_5412845612146241046457891017[[#This Row],[COST]],0)</f>
        <v>0</v>
      </c>
      <c r="N597" s="194">
        <f t="shared" si="9"/>
        <v>1.35</v>
      </c>
      <c r="O597" s="198">
        <f>_1_5412845612146241046457891017[[#This Row],[TOTAL]]*_1_5412845612146241046457891017[[#This Row],[MARGIN]]</f>
        <v>0</v>
      </c>
      <c r="R597" s="41"/>
    </row>
    <row r="598" spans="4:18">
      <c r="D598" s="188"/>
      <c r="F598" s="168" t="s">
        <v>6202</v>
      </c>
      <c r="G598" s="193">
        <f>IF(_1_5412845612146241046457891017[[#This Row],[Type]]&gt;0,VLOOKUP(_1_5412845612146241046457891017[[#This Row],[Type]],Main[[#All],[TYPE]:[UNIT]],'Unit Price'!C$1,FALSE),0)</f>
        <v>0</v>
      </c>
      <c r="H598" s="197">
        <f>IF(_1_5412845612146241046457891017[[#This Row],[Type]]&gt;0,VLOOKUP(_1_5412845612146241046457891017[[#This Row],[Type]],Main[[#All],[TYPE]:[UNIT]],'Unit Price'!D$1,FALSE),0)</f>
        <v>0</v>
      </c>
      <c r="I598" s="194">
        <f>IF(_1_5412845612146241046457891017[[#This Row],[Type]]&gt;0,VLOOKUP(_1_5412845612146241046457891017[[#This Row],[Type]],Main[[#All],[TYPE]:[UNIT]],'Unit Price'!G$1,FALSE),0)</f>
        <v>0</v>
      </c>
      <c r="J598" s="194">
        <f>IF(_1_5412845612146241046457891017[[#This Row],[Type]]&gt;0,VLOOKUP(_1_5412845612146241046457891017[[#This Row],[Type]],Main[[#All],[TYPE]:[UNIT]],'Unit Price'!H$1,FALSE),0)</f>
        <v>0</v>
      </c>
      <c r="K598" s="194">
        <f>IF(_1_5412845612146241046457891017[[#This Row],[Discount selection]]&gt;0,VLOOKUP(_1_5412845612146241046457891017[[#This Row],[Discount selection]],'Discount Structure'!$A$2:$B$30,2,"false"),0)</f>
        <v>1</v>
      </c>
      <c r="L598" s="194">
        <f>_1_5412845612146241046457891017[[#This Row],[LIST $]]*_1_5412845612146241046457891017[[#This Row],[DISCOUNT]]*_1_5412845612146241046457891017[[#This Row],[DISCOUNT 2]]</f>
        <v>0</v>
      </c>
      <c r="M598" s="194">
        <f>IF(OR(_1_5412845612146241046457891017[[#This Row],[UNIT]]&gt;0,_1_5412845612146241046457891017[[#This Row],[UNIT]]&lt;0),_1_5412845612146241046457891017[[#This Row],[UNIT]]*_1_5412845612146241046457891017[[#This Row],[COST]],0)</f>
        <v>0</v>
      </c>
      <c r="N598" s="194">
        <f t="shared" si="9"/>
        <v>1.35</v>
      </c>
      <c r="O598" s="198">
        <f>_1_5412845612146241046457891017[[#This Row],[TOTAL]]*_1_5412845612146241046457891017[[#This Row],[MARGIN]]</f>
        <v>0</v>
      </c>
      <c r="R598" s="41"/>
    </row>
    <row r="599" spans="4:18">
      <c r="D599" s="188"/>
      <c r="F599" s="168" t="s">
        <v>6202</v>
      </c>
      <c r="G599" s="193">
        <f>IF(_1_5412845612146241046457891017[[#This Row],[Type]]&gt;0,VLOOKUP(_1_5412845612146241046457891017[[#This Row],[Type]],Main[[#All],[TYPE]:[UNIT]],'Unit Price'!C$1,FALSE),0)</f>
        <v>0</v>
      </c>
      <c r="H599" s="197">
        <f>IF(_1_5412845612146241046457891017[[#This Row],[Type]]&gt;0,VLOOKUP(_1_5412845612146241046457891017[[#This Row],[Type]],Main[[#All],[TYPE]:[UNIT]],'Unit Price'!D$1,FALSE),0)</f>
        <v>0</v>
      </c>
      <c r="I599" s="194">
        <f>IF(_1_5412845612146241046457891017[[#This Row],[Type]]&gt;0,VLOOKUP(_1_5412845612146241046457891017[[#This Row],[Type]],Main[[#All],[TYPE]:[UNIT]],'Unit Price'!G$1,FALSE),0)</f>
        <v>0</v>
      </c>
      <c r="J599" s="194">
        <f>IF(_1_5412845612146241046457891017[[#This Row],[Type]]&gt;0,VLOOKUP(_1_5412845612146241046457891017[[#This Row],[Type]],Main[[#All],[TYPE]:[UNIT]],'Unit Price'!H$1,FALSE),0)</f>
        <v>0</v>
      </c>
      <c r="K599" s="194">
        <f>IF(_1_5412845612146241046457891017[[#This Row],[Discount selection]]&gt;0,VLOOKUP(_1_5412845612146241046457891017[[#This Row],[Discount selection]],'Discount Structure'!$A$2:$B$30,2,"false"),0)</f>
        <v>1</v>
      </c>
      <c r="L599" s="194">
        <f>_1_5412845612146241046457891017[[#This Row],[LIST $]]*_1_5412845612146241046457891017[[#This Row],[DISCOUNT]]*_1_5412845612146241046457891017[[#This Row],[DISCOUNT 2]]</f>
        <v>0</v>
      </c>
      <c r="M599" s="194">
        <f>IF(OR(_1_5412845612146241046457891017[[#This Row],[UNIT]]&gt;0,_1_5412845612146241046457891017[[#This Row],[UNIT]]&lt;0),_1_5412845612146241046457891017[[#This Row],[UNIT]]*_1_5412845612146241046457891017[[#This Row],[COST]],0)</f>
        <v>0</v>
      </c>
      <c r="N599" s="194">
        <f t="shared" si="9"/>
        <v>1.35</v>
      </c>
      <c r="O599" s="198">
        <f>_1_5412845612146241046457891017[[#This Row],[TOTAL]]*_1_5412845612146241046457891017[[#This Row],[MARGIN]]</f>
        <v>0</v>
      </c>
      <c r="R599" s="41"/>
    </row>
    <row r="600" spans="4:18">
      <c r="D600" s="188"/>
      <c r="F600" s="168" t="s">
        <v>6202</v>
      </c>
      <c r="G600" s="193">
        <f>IF(_1_5412845612146241046457891017[[#This Row],[Type]]&gt;0,VLOOKUP(_1_5412845612146241046457891017[[#This Row],[Type]],Main[[#All],[TYPE]:[UNIT]],'Unit Price'!C$1,FALSE),0)</f>
        <v>0</v>
      </c>
      <c r="H600" s="197">
        <f>IF(_1_5412845612146241046457891017[[#This Row],[Type]]&gt;0,VLOOKUP(_1_5412845612146241046457891017[[#This Row],[Type]],Main[[#All],[TYPE]:[UNIT]],'Unit Price'!D$1,FALSE),0)</f>
        <v>0</v>
      </c>
      <c r="I600" s="194">
        <f>IF(_1_5412845612146241046457891017[[#This Row],[Type]]&gt;0,VLOOKUP(_1_5412845612146241046457891017[[#This Row],[Type]],Main[[#All],[TYPE]:[UNIT]],'Unit Price'!G$1,FALSE),0)</f>
        <v>0</v>
      </c>
      <c r="J600" s="194">
        <f>IF(_1_5412845612146241046457891017[[#This Row],[Type]]&gt;0,VLOOKUP(_1_5412845612146241046457891017[[#This Row],[Type]],Main[[#All],[TYPE]:[UNIT]],'Unit Price'!H$1,FALSE),0)</f>
        <v>0</v>
      </c>
      <c r="K600" s="194">
        <f>IF(_1_5412845612146241046457891017[[#This Row],[Discount selection]]&gt;0,VLOOKUP(_1_5412845612146241046457891017[[#This Row],[Discount selection]],'Discount Structure'!$A$2:$B$30,2,"false"),0)</f>
        <v>1</v>
      </c>
      <c r="L600" s="194">
        <f>_1_5412845612146241046457891017[[#This Row],[LIST $]]*_1_5412845612146241046457891017[[#This Row],[DISCOUNT]]*_1_5412845612146241046457891017[[#This Row],[DISCOUNT 2]]</f>
        <v>0</v>
      </c>
      <c r="M600" s="194">
        <f>IF(OR(_1_5412845612146241046457891017[[#This Row],[UNIT]]&gt;0,_1_5412845612146241046457891017[[#This Row],[UNIT]]&lt;0),_1_5412845612146241046457891017[[#This Row],[UNIT]]*_1_5412845612146241046457891017[[#This Row],[COST]],0)</f>
        <v>0</v>
      </c>
      <c r="N600" s="194">
        <f t="shared" si="9"/>
        <v>1.35</v>
      </c>
      <c r="O600" s="198">
        <f>_1_5412845612146241046457891017[[#This Row],[TOTAL]]*_1_5412845612146241046457891017[[#This Row],[MARGIN]]</f>
        <v>0</v>
      </c>
      <c r="R600" s="41"/>
    </row>
    <row r="601" spans="4:18">
      <c r="D601" s="188"/>
      <c r="F601" s="168" t="s">
        <v>6202</v>
      </c>
      <c r="G601" s="193">
        <f>IF(_1_5412845612146241046457891017[[#This Row],[Type]]&gt;0,VLOOKUP(_1_5412845612146241046457891017[[#This Row],[Type]],Main[[#All],[TYPE]:[UNIT]],'Unit Price'!C$1,FALSE),0)</f>
        <v>0</v>
      </c>
      <c r="H601" s="197">
        <f>IF(_1_5412845612146241046457891017[[#This Row],[Type]]&gt;0,VLOOKUP(_1_5412845612146241046457891017[[#This Row],[Type]],Main[[#All],[TYPE]:[UNIT]],'Unit Price'!D$1,FALSE),0)</f>
        <v>0</v>
      </c>
      <c r="I601" s="194">
        <f>IF(_1_5412845612146241046457891017[[#This Row],[Type]]&gt;0,VLOOKUP(_1_5412845612146241046457891017[[#This Row],[Type]],Main[[#All],[TYPE]:[UNIT]],'Unit Price'!G$1,FALSE),0)</f>
        <v>0</v>
      </c>
      <c r="J601" s="194">
        <f>IF(_1_5412845612146241046457891017[[#This Row],[Type]]&gt;0,VLOOKUP(_1_5412845612146241046457891017[[#This Row],[Type]],Main[[#All],[TYPE]:[UNIT]],'Unit Price'!H$1,FALSE),0)</f>
        <v>0</v>
      </c>
      <c r="K601" s="194">
        <f>IF(_1_5412845612146241046457891017[[#This Row],[Discount selection]]&gt;0,VLOOKUP(_1_5412845612146241046457891017[[#This Row],[Discount selection]],'Discount Structure'!$A$2:$B$30,2,"false"),0)</f>
        <v>1</v>
      </c>
      <c r="L601" s="194">
        <f>_1_5412845612146241046457891017[[#This Row],[LIST $]]*_1_5412845612146241046457891017[[#This Row],[DISCOUNT]]*_1_5412845612146241046457891017[[#This Row],[DISCOUNT 2]]</f>
        <v>0</v>
      </c>
      <c r="M601" s="194">
        <f>IF(OR(_1_5412845612146241046457891017[[#This Row],[UNIT]]&gt;0,_1_5412845612146241046457891017[[#This Row],[UNIT]]&lt;0),_1_5412845612146241046457891017[[#This Row],[UNIT]]*_1_5412845612146241046457891017[[#This Row],[COST]],0)</f>
        <v>0</v>
      </c>
      <c r="N601" s="194">
        <f t="shared" si="9"/>
        <v>1.35</v>
      </c>
      <c r="O601" s="198">
        <f>_1_5412845612146241046457891017[[#This Row],[TOTAL]]*_1_5412845612146241046457891017[[#This Row],[MARGIN]]</f>
        <v>0</v>
      </c>
      <c r="R601" s="41"/>
    </row>
    <row r="602" spans="4:18">
      <c r="D602" s="188"/>
      <c r="F602" s="168" t="s">
        <v>6202</v>
      </c>
      <c r="G602" s="193">
        <f>IF(_1_5412845612146241046457891017[[#This Row],[Type]]&gt;0,VLOOKUP(_1_5412845612146241046457891017[[#This Row],[Type]],Main[[#All],[TYPE]:[UNIT]],'Unit Price'!C$1,FALSE),0)</f>
        <v>0</v>
      </c>
      <c r="H602" s="197">
        <f>IF(_1_5412845612146241046457891017[[#This Row],[Type]]&gt;0,VLOOKUP(_1_5412845612146241046457891017[[#This Row],[Type]],Main[[#All],[TYPE]:[UNIT]],'Unit Price'!D$1,FALSE),0)</f>
        <v>0</v>
      </c>
      <c r="I602" s="194">
        <f>IF(_1_5412845612146241046457891017[[#This Row],[Type]]&gt;0,VLOOKUP(_1_5412845612146241046457891017[[#This Row],[Type]],Main[[#All],[TYPE]:[UNIT]],'Unit Price'!G$1,FALSE),0)</f>
        <v>0</v>
      </c>
      <c r="J602" s="194">
        <f>IF(_1_5412845612146241046457891017[[#This Row],[Type]]&gt;0,VLOOKUP(_1_5412845612146241046457891017[[#This Row],[Type]],Main[[#All],[TYPE]:[UNIT]],'Unit Price'!H$1,FALSE),0)</f>
        <v>0</v>
      </c>
      <c r="K602" s="194">
        <f>IF(_1_5412845612146241046457891017[[#This Row],[Discount selection]]&gt;0,VLOOKUP(_1_5412845612146241046457891017[[#This Row],[Discount selection]],'Discount Structure'!$A$2:$B$30,2,"false"),0)</f>
        <v>1</v>
      </c>
      <c r="L602" s="194">
        <f>_1_5412845612146241046457891017[[#This Row],[LIST $]]*_1_5412845612146241046457891017[[#This Row],[DISCOUNT]]*_1_5412845612146241046457891017[[#This Row],[DISCOUNT 2]]</f>
        <v>0</v>
      </c>
      <c r="M602" s="194">
        <f>IF(OR(_1_5412845612146241046457891017[[#This Row],[UNIT]]&gt;0,_1_5412845612146241046457891017[[#This Row],[UNIT]]&lt;0),_1_5412845612146241046457891017[[#This Row],[UNIT]]*_1_5412845612146241046457891017[[#This Row],[COST]],0)</f>
        <v>0</v>
      </c>
      <c r="N602" s="194">
        <f t="shared" si="9"/>
        <v>1.35</v>
      </c>
      <c r="O602" s="198">
        <f>_1_5412845612146241046457891017[[#This Row],[TOTAL]]*_1_5412845612146241046457891017[[#This Row],[MARGIN]]</f>
        <v>0</v>
      </c>
      <c r="R602" s="41"/>
    </row>
    <row r="603" spans="4:18">
      <c r="D603" s="188"/>
      <c r="F603" s="168" t="s">
        <v>6202</v>
      </c>
      <c r="G603" s="193">
        <f>IF(_1_5412845612146241046457891017[[#This Row],[Type]]&gt;0,VLOOKUP(_1_5412845612146241046457891017[[#This Row],[Type]],Main[[#All],[TYPE]:[UNIT]],'Unit Price'!C$1,FALSE),0)</f>
        <v>0</v>
      </c>
      <c r="H603" s="197">
        <f>IF(_1_5412845612146241046457891017[[#This Row],[Type]]&gt;0,VLOOKUP(_1_5412845612146241046457891017[[#This Row],[Type]],Main[[#All],[TYPE]:[UNIT]],'Unit Price'!D$1,FALSE),0)</f>
        <v>0</v>
      </c>
      <c r="I603" s="194">
        <f>IF(_1_5412845612146241046457891017[[#This Row],[Type]]&gt;0,VLOOKUP(_1_5412845612146241046457891017[[#This Row],[Type]],Main[[#All],[TYPE]:[UNIT]],'Unit Price'!G$1,FALSE),0)</f>
        <v>0</v>
      </c>
      <c r="J603" s="194">
        <f>IF(_1_5412845612146241046457891017[[#This Row],[Type]]&gt;0,VLOOKUP(_1_5412845612146241046457891017[[#This Row],[Type]],Main[[#All],[TYPE]:[UNIT]],'Unit Price'!H$1,FALSE),0)</f>
        <v>0</v>
      </c>
      <c r="K603" s="194">
        <f>IF(_1_5412845612146241046457891017[[#This Row],[Discount selection]]&gt;0,VLOOKUP(_1_5412845612146241046457891017[[#This Row],[Discount selection]],'Discount Structure'!$A$2:$B$30,2,"false"),0)</f>
        <v>1</v>
      </c>
      <c r="L603" s="194">
        <f>_1_5412845612146241046457891017[[#This Row],[LIST $]]*_1_5412845612146241046457891017[[#This Row],[DISCOUNT]]*_1_5412845612146241046457891017[[#This Row],[DISCOUNT 2]]</f>
        <v>0</v>
      </c>
      <c r="M603" s="194">
        <f>IF(OR(_1_5412845612146241046457891017[[#This Row],[UNIT]]&gt;0,_1_5412845612146241046457891017[[#This Row],[UNIT]]&lt;0),_1_5412845612146241046457891017[[#This Row],[UNIT]]*_1_5412845612146241046457891017[[#This Row],[COST]],0)</f>
        <v>0</v>
      </c>
      <c r="N603" s="194">
        <f t="shared" si="9"/>
        <v>1.35</v>
      </c>
      <c r="O603" s="198">
        <f>_1_5412845612146241046457891017[[#This Row],[TOTAL]]*_1_5412845612146241046457891017[[#This Row],[MARGIN]]</f>
        <v>0</v>
      </c>
      <c r="R603" s="41"/>
    </row>
    <row r="604" spans="4:18">
      <c r="D604" s="188"/>
      <c r="F604" s="168" t="s">
        <v>6202</v>
      </c>
      <c r="G604" s="193">
        <f>IF(_1_5412845612146241046457891017[[#This Row],[Type]]&gt;0,VLOOKUP(_1_5412845612146241046457891017[[#This Row],[Type]],Main[[#All],[TYPE]:[UNIT]],'Unit Price'!C$1,FALSE),0)</f>
        <v>0</v>
      </c>
      <c r="H604" s="197">
        <f>IF(_1_5412845612146241046457891017[[#This Row],[Type]]&gt;0,VLOOKUP(_1_5412845612146241046457891017[[#This Row],[Type]],Main[[#All],[TYPE]:[UNIT]],'Unit Price'!D$1,FALSE),0)</f>
        <v>0</v>
      </c>
      <c r="I604" s="194">
        <f>IF(_1_5412845612146241046457891017[[#This Row],[Type]]&gt;0,VLOOKUP(_1_5412845612146241046457891017[[#This Row],[Type]],Main[[#All],[TYPE]:[UNIT]],'Unit Price'!G$1,FALSE),0)</f>
        <v>0</v>
      </c>
      <c r="J604" s="194">
        <f>IF(_1_5412845612146241046457891017[[#This Row],[Type]]&gt;0,VLOOKUP(_1_5412845612146241046457891017[[#This Row],[Type]],Main[[#All],[TYPE]:[UNIT]],'Unit Price'!H$1,FALSE),0)</f>
        <v>0</v>
      </c>
      <c r="K604" s="194">
        <f>IF(_1_5412845612146241046457891017[[#This Row],[Discount selection]]&gt;0,VLOOKUP(_1_5412845612146241046457891017[[#This Row],[Discount selection]],'Discount Structure'!$A$2:$B$30,2,"false"),0)</f>
        <v>1</v>
      </c>
      <c r="L604" s="194">
        <f>_1_5412845612146241046457891017[[#This Row],[LIST $]]*_1_5412845612146241046457891017[[#This Row],[DISCOUNT]]*_1_5412845612146241046457891017[[#This Row],[DISCOUNT 2]]</f>
        <v>0</v>
      </c>
      <c r="M604" s="194">
        <f>IF(OR(_1_5412845612146241046457891017[[#This Row],[UNIT]]&gt;0,_1_5412845612146241046457891017[[#This Row],[UNIT]]&lt;0),_1_5412845612146241046457891017[[#This Row],[UNIT]]*_1_5412845612146241046457891017[[#This Row],[COST]],0)</f>
        <v>0</v>
      </c>
      <c r="N604" s="194">
        <f t="shared" si="9"/>
        <v>1.35</v>
      </c>
      <c r="O604" s="198">
        <f>_1_5412845612146241046457891017[[#This Row],[TOTAL]]*_1_5412845612146241046457891017[[#This Row],[MARGIN]]</f>
        <v>0</v>
      </c>
      <c r="R604" s="41"/>
    </row>
    <row r="605" spans="4:18">
      <c r="D605" s="188"/>
      <c r="F605" s="168" t="s">
        <v>6202</v>
      </c>
      <c r="G605" s="193">
        <f>IF(_1_5412845612146241046457891017[[#This Row],[Type]]&gt;0,VLOOKUP(_1_5412845612146241046457891017[[#This Row],[Type]],Main[[#All],[TYPE]:[UNIT]],'Unit Price'!C$1,FALSE),0)</f>
        <v>0</v>
      </c>
      <c r="H605" s="197">
        <f>IF(_1_5412845612146241046457891017[[#This Row],[Type]]&gt;0,VLOOKUP(_1_5412845612146241046457891017[[#This Row],[Type]],Main[[#All],[TYPE]:[UNIT]],'Unit Price'!D$1,FALSE),0)</f>
        <v>0</v>
      </c>
      <c r="I605" s="194">
        <f>IF(_1_5412845612146241046457891017[[#This Row],[Type]]&gt;0,VLOOKUP(_1_5412845612146241046457891017[[#This Row],[Type]],Main[[#All],[TYPE]:[UNIT]],'Unit Price'!G$1,FALSE),0)</f>
        <v>0</v>
      </c>
      <c r="J605" s="194">
        <f>IF(_1_5412845612146241046457891017[[#This Row],[Type]]&gt;0,VLOOKUP(_1_5412845612146241046457891017[[#This Row],[Type]],Main[[#All],[TYPE]:[UNIT]],'Unit Price'!H$1,FALSE),0)</f>
        <v>0</v>
      </c>
      <c r="K605" s="194">
        <f>IF(_1_5412845612146241046457891017[[#This Row],[Discount selection]]&gt;0,VLOOKUP(_1_5412845612146241046457891017[[#This Row],[Discount selection]],'Discount Structure'!$A$2:$B$30,2,"false"),0)</f>
        <v>1</v>
      </c>
      <c r="L605" s="194">
        <f>_1_5412845612146241046457891017[[#This Row],[LIST $]]*_1_5412845612146241046457891017[[#This Row],[DISCOUNT]]*_1_5412845612146241046457891017[[#This Row],[DISCOUNT 2]]</f>
        <v>0</v>
      </c>
      <c r="M605" s="194">
        <f>IF(OR(_1_5412845612146241046457891017[[#This Row],[UNIT]]&gt;0,_1_5412845612146241046457891017[[#This Row],[UNIT]]&lt;0),_1_5412845612146241046457891017[[#This Row],[UNIT]]*_1_5412845612146241046457891017[[#This Row],[COST]],0)</f>
        <v>0</v>
      </c>
      <c r="N605" s="194">
        <f t="shared" si="9"/>
        <v>1.35</v>
      </c>
      <c r="O605" s="198">
        <f>_1_5412845612146241046457891017[[#This Row],[TOTAL]]*_1_5412845612146241046457891017[[#This Row],[MARGIN]]</f>
        <v>0</v>
      </c>
      <c r="R605" s="41"/>
    </row>
    <row r="606" spans="4:18">
      <c r="D606" s="188"/>
      <c r="F606" s="168" t="s">
        <v>6202</v>
      </c>
      <c r="G606" s="193">
        <f>IF(_1_5412845612146241046457891017[[#This Row],[Type]]&gt;0,VLOOKUP(_1_5412845612146241046457891017[[#This Row],[Type]],Main[[#All],[TYPE]:[UNIT]],'Unit Price'!C$1,FALSE),0)</f>
        <v>0</v>
      </c>
      <c r="H606" s="197">
        <f>IF(_1_5412845612146241046457891017[[#This Row],[Type]]&gt;0,VLOOKUP(_1_5412845612146241046457891017[[#This Row],[Type]],Main[[#All],[TYPE]:[UNIT]],'Unit Price'!D$1,FALSE),0)</f>
        <v>0</v>
      </c>
      <c r="I606" s="194">
        <f>IF(_1_5412845612146241046457891017[[#This Row],[Type]]&gt;0,VLOOKUP(_1_5412845612146241046457891017[[#This Row],[Type]],Main[[#All],[TYPE]:[UNIT]],'Unit Price'!G$1,FALSE),0)</f>
        <v>0</v>
      </c>
      <c r="J606" s="194">
        <f>IF(_1_5412845612146241046457891017[[#This Row],[Type]]&gt;0,VLOOKUP(_1_5412845612146241046457891017[[#This Row],[Type]],Main[[#All],[TYPE]:[UNIT]],'Unit Price'!H$1,FALSE),0)</f>
        <v>0</v>
      </c>
      <c r="K606" s="194">
        <f>IF(_1_5412845612146241046457891017[[#This Row],[Discount selection]]&gt;0,VLOOKUP(_1_5412845612146241046457891017[[#This Row],[Discount selection]],'Discount Structure'!$A$2:$B$30,2,"false"),0)</f>
        <v>1</v>
      </c>
      <c r="L606" s="194">
        <f>_1_5412845612146241046457891017[[#This Row],[LIST $]]*_1_5412845612146241046457891017[[#This Row],[DISCOUNT]]*_1_5412845612146241046457891017[[#This Row],[DISCOUNT 2]]</f>
        <v>0</v>
      </c>
      <c r="M606" s="194">
        <f>IF(OR(_1_5412845612146241046457891017[[#This Row],[UNIT]]&gt;0,_1_5412845612146241046457891017[[#This Row],[UNIT]]&lt;0),_1_5412845612146241046457891017[[#This Row],[UNIT]]*_1_5412845612146241046457891017[[#This Row],[COST]],0)</f>
        <v>0</v>
      </c>
      <c r="N606" s="194">
        <f t="shared" si="9"/>
        <v>1.35</v>
      </c>
      <c r="O606" s="198">
        <f>_1_5412845612146241046457891017[[#This Row],[TOTAL]]*_1_5412845612146241046457891017[[#This Row],[MARGIN]]</f>
        <v>0</v>
      </c>
      <c r="R606" s="41"/>
    </row>
    <row r="607" spans="4:18">
      <c r="D607" s="188"/>
      <c r="F607" s="168" t="s">
        <v>6202</v>
      </c>
      <c r="G607" s="193">
        <f>IF(_1_5412845612146241046457891017[[#This Row],[Type]]&gt;0,VLOOKUP(_1_5412845612146241046457891017[[#This Row],[Type]],Main[[#All],[TYPE]:[UNIT]],'Unit Price'!C$1,FALSE),0)</f>
        <v>0</v>
      </c>
      <c r="H607" s="197">
        <f>IF(_1_5412845612146241046457891017[[#This Row],[Type]]&gt;0,VLOOKUP(_1_5412845612146241046457891017[[#This Row],[Type]],Main[[#All],[TYPE]:[UNIT]],'Unit Price'!D$1,FALSE),0)</f>
        <v>0</v>
      </c>
      <c r="I607" s="194">
        <f>IF(_1_5412845612146241046457891017[[#This Row],[Type]]&gt;0,VLOOKUP(_1_5412845612146241046457891017[[#This Row],[Type]],Main[[#All],[TYPE]:[UNIT]],'Unit Price'!G$1,FALSE),0)</f>
        <v>0</v>
      </c>
      <c r="J607" s="194">
        <f>IF(_1_5412845612146241046457891017[[#This Row],[Type]]&gt;0,VLOOKUP(_1_5412845612146241046457891017[[#This Row],[Type]],Main[[#All],[TYPE]:[UNIT]],'Unit Price'!H$1,FALSE),0)</f>
        <v>0</v>
      </c>
      <c r="K607" s="194">
        <f>IF(_1_5412845612146241046457891017[[#This Row],[Discount selection]]&gt;0,VLOOKUP(_1_5412845612146241046457891017[[#This Row],[Discount selection]],'Discount Structure'!$A$2:$B$30,2,"false"),0)</f>
        <v>1</v>
      </c>
      <c r="L607" s="194">
        <f>_1_5412845612146241046457891017[[#This Row],[LIST $]]*_1_5412845612146241046457891017[[#This Row],[DISCOUNT]]*_1_5412845612146241046457891017[[#This Row],[DISCOUNT 2]]</f>
        <v>0</v>
      </c>
      <c r="M607" s="194">
        <f>IF(OR(_1_5412845612146241046457891017[[#This Row],[UNIT]]&gt;0,_1_5412845612146241046457891017[[#This Row],[UNIT]]&lt;0),_1_5412845612146241046457891017[[#This Row],[UNIT]]*_1_5412845612146241046457891017[[#This Row],[COST]],0)</f>
        <v>0</v>
      </c>
      <c r="N607" s="194">
        <f t="shared" si="9"/>
        <v>1.35</v>
      </c>
      <c r="O607" s="198">
        <f>_1_5412845612146241046457891017[[#This Row],[TOTAL]]*_1_5412845612146241046457891017[[#This Row],[MARGIN]]</f>
        <v>0</v>
      </c>
      <c r="R607" s="41"/>
    </row>
    <row r="608" spans="4:18">
      <c r="D608" s="188"/>
      <c r="F608" s="168" t="s">
        <v>6202</v>
      </c>
      <c r="G608" s="193">
        <f>IF(_1_5412845612146241046457891017[[#This Row],[Type]]&gt;0,VLOOKUP(_1_5412845612146241046457891017[[#This Row],[Type]],Main[[#All],[TYPE]:[UNIT]],'Unit Price'!C$1,FALSE),0)</f>
        <v>0</v>
      </c>
      <c r="H608" s="197">
        <f>IF(_1_5412845612146241046457891017[[#This Row],[Type]]&gt;0,VLOOKUP(_1_5412845612146241046457891017[[#This Row],[Type]],Main[[#All],[TYPE]:[UNIT]],'Unit Price'!D$1,FALSE),0)</f>
        <v>0</v>
      </c>
      <c r="I608" s="194">
        <f>IF(_1_5412845612146241046457891017[[#This Row],[Type]]&gt;0,VLOOKUP(_1_5412845612146241046457891017[[#This Row],[Type]],Main[[#All],[TYPE]:[UNIT]],'Unit Price'!G$1,FALSE),0)</f>
        <v>0</v>
      </c>
      <c r="J608" s="194">
        <f>IF(_1_5412845612146241046457891017[[#This Row],[Type]]&gt;0,VLOOKUP(_1_5412845612146241046457891017[[#This Row],[Type]],Main[[#All],[TYPE]:[UNIT]],'Unit Price'!H$1,FALSE),0)</f>
        <v>0</v>
      </c>
      <c r="K608" s="194">
        <f>IF(_1_5412845612146241046457891017[[#This Row],[Discount selection]]&gt;0,VLOOKUP(_1_5412845612146241046457891017[[#This Row],[Discount selection]],'Discount Structure'!$A$2:$B$30,2,"false"),0)</f>
        <v>1</v>
      </c>
      <c r="L608" s="194">
        <f>_1_5412845612146241046457891017[[#This Row],[LIST $]]*_1_5412845612146241046457891017[[#This Row],[DISCOUNT]]*_1_5412845612146241046457891017[[#This Row],[DISCOUNT 2]]</f>
        <v>0</v>
      </c>
      <c r="M608" s="194">
        <f>IF(OR(_1_5412845612146241046457891017[[#This Row],[UNIT]]&gt;0,_1_5412845612146241046457891017[[#This Row],[UNIT]]&lt;0),_1_5412845612146241046457891017[[#This Row],[UNIT]]*_1_5412845612146241046457891017[[#This Row],[COST]],0)</f>
        <v>0</v>
      </c>
      <c r="N608" s="194">
        <f t="shared" si="9"/>
        <v>1.35</v>
      </c>
      <c r="O608" s="198">
        <f>_1_5412845612146241046457891017[[#This Row],[TOTAL]]*_1_5412845612146241046457891017[[#This Row],[MARGIN]]</f>
        <v>0</v>
      </c>
      <c r="R608" s="41"/>
    </row>
    <row r="609" spans="4:18">
      <c r="D609" s="188"/>
      <c r="F609" s="168" t="s">
        <v>6202</v>
      </c>
      <c r="G609" s="193">
        <f>IF(_1_5412845612146241046457891017[[#This Row],[Type]]&gt;0,VLOOKUP(_1_5412845612146241046457891017[[#This Row],[Type]],Main[[#All],[TYPE]:[UNIT]],'Unit Price'!C$1,FALSE),0)</f>
        <v>0</v>
      </c>
      <c r="H609" s="197">
        <f>IF(_1_5412845612146241046457891017[[#This Row],[Type]]&gt;0,VLOOKUP(_1_5412845612146241046457891017[[#This Row],[Type]],Main[[#All],[TYPE]:[UNIT]],'Unit Price'!D$1,FALSE),0)</f>
        <v>0</v>
      </c>
      <c r="I609" s="194">
        <f>IF(_1_5412845612146241046457891017[[#This Row],[Type]]&gt;0,VLOOKUP(_1_5412845612146241046457891017[[#This Row],[Type]],Main[[#All],[TYPE]:[UNIT]],'Unit Price'!G$1,FALSE),0)</f>
        <v>0</v>
      </c>
      <c r="J609" s="194">
        <f>IF(_1_5412845612146241046457891017[[#This Row],[Type]]&gt;0,VLOOKUP(_1_5412845612146241046457891017[[#This Row],[Type]],Main[[#All],[TYPE]:[UNIT]],'Unit Price'!H$1,FALSE),0)</f>
        <v>0</v>
      </c>
      <c r="K609" s="194">
        <f>IF(_1_5412845612146241046457891017[[#This Row],[Discount selection]]&gt;0,VLOOKUP(_1_5412845612146241046457891017[[#This Row],[Discount selection]],'Discount Structure'!$A$2:$B$30,2,"false"),0)</f>
        <v>1</v>
      </c>
      <c r="L609" s="194">
        <f>_1_5412845612146241046457891017[[#This Row],[LIST $]]*_1_5412845612146241046457891017[[#This Row],[DISCOUNT]]*_1_5412845612146241046457891017[[#This Row],[DISCOUNT 2]]</f>
        <v>0</v>
      </c>
      <c r="M609" s="194">
        <f>IF(OR(_1_5412845612146241046457891017[[#This Row],[UNIT]]&gt;0,_1_5412845612146241046457891017[[#This Row],[UNIT]]&lt;0),_1_5412845612146241046457891017[[#This Row],[UNIT]]*_1_5412845612146241046457891017[[#This Row],[COST]],0)</f>
        <v>0</v>
      </c>
      <c r="N609" s="194">
        <f t="shared" si="9"/>
        <v>1.35</v>
      </c>
      <c r="O609" s="198">
        <f>_1_5412845612146241046457891017[[#This Row],[TOTAL]]*_1_5412845612146241046457891017[[#This Row],[MARGIN]]</f>
        <v>0</v>
      </c>
      <c r="R609" s="41"/>
    </row>
    <row r="610" spans="4:18">
      <c r="D610" s="188"/>
      <c r="F610" s="168" t="s">
        <v>6202</v>
      </c>
      <c r="G610" s="193">
        <f>IF(_1_5412845612146241046457891017[[#This Row],[Type]]&gt;0,VLOOKUP(_1_5412845612146241046457891017[[#This Row],[Type]],Main[[#All],[TYPE]:[UNIT]],'Unit Price'!C$1,FALSE),0)</f>
        <v>0</v>
      </c>
      <c r="H610" s="197">
        <f>IF(_1_5412845612146241046457891017[[#This Row],[Type]]&gt;0,VLOOKUP(_1_5412845612146241046457891017[[#This Row],[Type]],Main[[#All],[TYPE]:[UNIT]],'Unit Price'!D$1,FALSE),0)</f>
        <v>0</v>
      </c>
      <c r="I610" s="194">
        <f>IF(_1_5412845612146241046457891017[[#This Row],[Type]]&gt;0,VLOOKUP(_1_5412845612146241046457891017[[#This Row],[Type]],Main[[#All],[TYPE]:[UNIT]],'Unit Price'!G$1,FALSE),0)</f>
        <v>0</v>
      </c>
      <c r="J610" s="194">
        <f>IF(_1_5412845612146241046457891017[[#This Row],[Type]]&gt;0,VLOOKUP(_1_5412845612146241046457891017[[#This Row],[Type]],Main[[#All],[TYPE]:[UNIT]],'Unit Price'!H$1,FALSE),0)</f>
        <v>0</v>
      </c>
      <c r="K610" s="194">
        <f>IF(_1_5412845612146241046457891017[[#This Row],[Discount selection]]&gt;0,VLOOKUP(_1_5412845612146241046457891017[[#This Row],[Discount selection]],'Discount Structure'!$A$2:$B$30,2,"false"),0)</f>
        <v>1</v>
      </c>
      <c r="L610" s="194">
        <f>_1_5412845612146241046457891017[[#This Row],[LIST $]]*_1_5412845612146241046457891017[[#This Row],[DISCOUNT]]*_1_5412845612146241046457891017[[#This Row],[DISCOUNT 2]]</f>
        <v>0</v>
      </c>
      <c r="M610" s="194">
        <f>IF(OR(_1_5412845612146241046457891017[[#This Row],[UNIT]]&gt;0,_1_5412845612146241046457891017[[#This Row],[UNIT]]&lt;0),_1_5412845612146241046457891017[[#This Row],[UNIT]]*_1_5412845612146241046457891017[[#This Row],[COST]],0)</f>
        <v>0</v>
      </c>
      <c r="N610" s="194">
        <f t="shared" si="9"/>
        <v>1.35</v>
      </c>
      <c r="O610" s="198">
        <f>_1_5412845612146241046457891017[[#This Row],[TOTAL]]*_1_5412845612146241046457891017[[#This Row],[MARGIN]]</f>
        <v>0</v>
      </c>
      <c r="R610" s="41"/>
    </row>
    <row r="611" spans="4:18">
      <c r="D611" s="188"/>
      <c r="F611" s="168" t="s">
        <v>6202</v>
      </c>
      <c r="G611" s="193">
        <f>IF(_1_5412845612146241046457891017[[#This Row],[Type]]&gt;0,VLOOKUP(_1_5412845612146241046457891017[[#This Row],[Type]],Main[[#All],[TYPE]:[UNIT]],'Unit Price'!C$1,FALSE),0)</f>
        <v>0</v>
      </c>
      <c r="H611" s="197">
        <f>IF(_1_5412845612146241046457891017[[#This Row],[Type]]&gt;0,VLOOKUP(_1_5412845612146241046457891017[[#This Row],[Type]],Main[[#All],[TYPE]:[UNIT]],'Unit Price'!D$1,FALSE),0)</f>
        <v>0</v>
      </c>
      <c r="I611" s="194">
        <f>IF(_1_5412845612146241046457891017[[#This Row],[Type]]&gt;0,VLOOKUP(_1_5412845612146241046457891017[[#This Row],[Type]],Main[[#All],[TYPE]:[UNIT]],'Unit Price'!G$1,FALSE),0)</f>
        <v>0</v>
      </c>
      <c r="J611" s="194">
        <f>IF(_1_5412845612146241046457891017[[#This Row],[Type]]&gt;0,VLOOKUP(_1_5412845612146241046457891017[[#This Row],[Type]],Main[[#All],[TYPE]:[UNIT]],'Unit Price'!H$1,FALSE),0)</f>
        <v>0</v>
      </c>
      <c r="K611" s="194">
        <f>IF(_1_5412845612146241046457891017[[#This Row],[Discount selection]]&gt;0,VLOOKUP(_1_5412845612146241046457891017[[#This Row],[Discount selection]],'Discount Structure'!$A$2:$B$30,2,"false"),0)</f>
        <v>1</v>
      </c>
      <c r="L611" s="194">
        <f>_1_5412845612146241046457891017[[#This Row],[LIST $]]*_1_5412845612146241046457891017[[#This Row],[DISCOUNT]]*_1_5412845612146241046457891017[[#This Row],[DISCOUNT 2]]</f>
        <v>0</v>
      </c>
      <c r="M611" s="194">
        <f>IF(OR(_1_5412845612146241046457891017[[#This Row],[UNIT]]&gt;0,_1_5412845612146241046457891017[[#This Row],[UNIT]]&lt;0),_1_5412845612146241046457891017[[#This Row],[UNIT]]*_1_5412845612146241046457891017[[#This Row],[COST]],0)</f>
        <v>0</v>
      </c>
      <c r="N611" s="194">
        <f t="shared" si="9"/>
        <v>1.35</v>
      </c>
      <c r="O611" s="198">
        <f>_1_5412845612146241046457891017[[#This Row],[TOTAL]]*_1_5412845612146241046457891017[[#This Row],[MARGIN]]</f>
        <v>0</v>
      </c>
      <c r="R611" s="41"/>
    </row>
    <row r="612" spans="4:18">
      <c r="D612" s="188"/>
      <c r="F612" s="168" t="s">
        <v>6202</v>
      </c>
      <c r="G612" s="193">
        <f>IF(_1_5412845612146241046457891017[[#This Row],[Type]]&gt;0,VLOOKUP(_1_5412845612146241046457891017[[#This Row],[Type]],Main[[#All],[TYPE]:[UNIT]],'Unit Price'!C$1,FALSE),0)</f>
        <v>0</v>
      </c>
      <c r="H612" s="197">
        <f>IF(_1_5412845612146241046457891017[[#This Row],[Type]]&gt;0,VLOOKUP(_1_5412845612146241046457891017[[#This Row],[Type]],Main[[#All],[TYPE]:[UNIT]],'Unit Price'!D$1,FALSE),0)</f>
        <v>0</v>
      </c>
      <c r="I612" s="194">
        <f>IF(_1_5412845612146241046457891017[[#This Row],[Type]]&gt;0,VLOOKUP(_1_5412845612146241046457891017[[#This Row],[Type]],Main[[#All],[TYPE]:[UNIT]],'Unit Price'!G$1,FALSE),0)</f>
        <v>0</v>
      </c>
      <c r="J612" s="194">
        <f>IF(_1_5412845612146241046457891017[[#This Row],[Type]]&gt;0,VLOOKUP(_1_5412845612146241046457891017[[#This Row],[Type]],Main[[#All],[TYPE]:[UNIT]],'Unit Price'!H$1,FALSE),0)</f>
        <v>0</v>
      </c>
      <c r="K612" s="194">
        <f>IF(_1_5412845612146241046457891017[[#This Row],[Discount selection]]&gt;0,VLOOKUP(_1_5412845612146241046457891017[[#This Row],[Discount selection]],'Discount Structure'!$A$2:$B$30,2,"false"),0)</f>
        <v>1</v>
      </c>
      <c r="L612" s="194">
        <f>_1_5412845612146241046457891017[[#This Row],[LIST $]]*_1_5412845612146241046457891017[[#This Row],[DISCOUNT]]*_1_5412845612146241046457891017[[#This Row],[DISCOUNT 2]]</f>
        <v>0</v>
      </c>
      <c r="M612" s="194">
        <f>IF(OR(_1_5412845612146241046457891017[[#This Row],[UNIT]]&gt;0,_1_5412845612146241046457891017[[#This Row],[UNIT]]&lt;0),_1_5412845612146241046457891017[[#This Row],[UNIT]]*_1_5412845612146241046457891017[[#This Row],[COST]],0)</f>
        <v>0</v>
      </c>
      <c r="N612" s="194">
        <f t="shared" si="9"/>
        <v>1.35</v>
      </c>
      <c r="O612" s="198">
        <f>_1_5412845612146241046457891017[[#This Row],[TOTAL]]*_1_5412845612146241046457891017[[#This Row],[MARGIN]]</f>
        <v>0</v>
      </c>
      <c r="R612" s="41"/>
    </row>
    <row r="613" spans="4:18">
      <c r="D613" s="188"/>
      <c r="F613" s="168" t="s">
        <v>6202</v>
      </c>
      <c r="G613" s="193">
        <f>IF(_1_5412845612146241046457891017[[#This Row],[Type]]&gt;0,VLOOKUP(_1_5412845612146241046457891017[[#This Row],[Type]],Main[[#All],[TYPE]:[UNIT]],'Unit Price'!C$1,FALSE),0)</f>
        <v>0</v>
      </c>
      <c r="H613" s="197">
        <f>IF(_1_5412845612146241046457891017[[#This Row],[Type]]&gt;0,VLOOKUP(_1_5412845612146241046457891017[[#This Row],[Type]],Main[[#All],[TYPE]:[UNIT]],'Unit Price'!D$1,FALSE),0)</f>
        <v>0</v>
      </c>
      <c r="I613" s="194">
        <f>IF(_1_5412845612146241046457891017[[#This Row],[Type]]&gt;0,VLOOKUP(_1_5412845612146241046457891017[[#This Row],[Type]],Main[[#All],[TYPE]:[UNIT]],'Unit Price'!G$1,FALSE),0)</f>
        <v>0</v>
      </c>
      <c r="J613" s="194">
        <f>IF(_1_5412845612146241046457891017[[#This Row],[Type]]&gt;0,VLOOKUP(_1_5412845612146241046457891017[[#This Row],[Type]],Main[[#All],[TYPE]:[UNIT]],'Unit Price'!H$1,FALSE),0)</f>
        <v>0</v>
      </c>
      <c r="K613" s="194">
        <f>IF(_1_5412845612146241046457891017[[#This Row],[Discount selection]]&gt;0,VLOOKUP(_1_5412845612146241046457891017[[#This Row],[Discount selection]],'Discount Structure'!$A$2:$B$30,2,"false"),0)</f>
        <v>1</v>
      </c>
      <c r="L613" s="194">
        <f>_1_5412845612146241046457891017[[#This Row],[LIST $]]*_1_5412845612146241046457891017[[#This Row],[DISCOUNT]]*_1_5412845612146241046457891017[[#This Row],[DISCOUNT 2]]</f>
        <v>0</v>
      </c>
      <c r="M613" s="194">
        <f>IF(OR(_1_5412845612146241046457891017[[#This Row],[UNIT]]&gt;0,_1_5412845612146241046457891017[[#This Row],[UNIT]]&lt;0),_1_5412845612146241046457891017[[#This Row],[UNIT]]*_1_5412845612146241046457891017[[#This Row],[COST]],0)</f>
        <v>0</v>
      </c>
      <c r="N613" s="194">
        <f t="shared" si="9"/>
        <v>1.35</v>
      </c>
      <c r="O613" s="198">
        <f>_1_5412845612146241046457891017[[#This Row],[TOTAL]]*_1_5412845612146241046457891017[[#This Row],[MARGIN]]</f>
        <v>0</v>
      </c>
      <c r="R613" s="41"/>
    </row>
    <row r="614" spans="4:18">
      <c r="D614" s="188"/>
      <c r="F614" s="168" t="s">
        <v>6202</v>
      </c>
      <c r="G614" s="193">
        <f>IF(_1_5412845612146241046457891017[[#This Row],[Type]]&gt;0,VLOOKUP(_1_5412845612146241046457891017[[#This Row],[Type]],Main[[#All],[TYPE]:[UNIT]],'Unit Price'!C$1,FALSE),0)</f>
        <v>0</v>
      </c>
      <c r="H614" s="197">
        <f>IF(_1_5412845612146241046457891017[[#This Row],[Type]]&gt;0,VLOOKUP(_1_5412845612146241046457891017[[#This Row],[Type]],Main[[#All],[TYPE]:[UNIT]],'Unit Price'!D$1,FALSE),0)</f>
        <v>0</v>
      </c>
      <c r="I614" s="194">
        <f>IF(_1_5412845612146241046457891017[[#This Row],[Type]]&gt;0,VLOOKUP(_1_5412845612146241046457891017[[#This Row],[Type]],Main[[#All],[TYPE]:[UNIT]],'Unit Price'!G$1,FALSE),0)</f>
        <v>0</v>
      </c>
      <c r="J614" s="194">
        <f>IF(_1_5412845612146241046457891017[[#This Row],[Type]]&gt;0,VLOOKUP(_1_5412845612146241046457891017[[#This Row],[Type]],Main[[#All],[TYPE]:[UNIT]],'Unit Price'!H$1,FALSE),0)</f>
        <v>0</v>
      </c>
      <c r="K614" s="194">
        <f>IF(_1_5412845612146241046457891017[[#This Row],[Discount selection]]&gt;0,VLOOKUP(_1_5412845612146241046457891017[[#This Row],[Discount selection]],'Discount Structure'!$A$2:$B$30,2,"false"),0)</f>
        <v>1</v>
      </c>
      <c r="L614" s="194">
        <f>_1_5412845612146241046457891017[[#This Row],[LIST $]]*_1_5412845612146241046457891017[[#This Row],[DISCOUNT]]*_1_5412845612146241046457891017[[#This Row],[DISCOUNT 2]]</f>
        <v>0</v>
      </c>
      <c r="M614" s="194">
        <f>IF(OR(_1_5412845612146241046457891017[[#This Row],[UNIT]]&gt;0,_1_5412845612146241046457891017[[#This Row],[UNIT]]&lt;0),_1_5412845612146241046457891017[[#This Row],[UNIT]]*_1_5412845612146241046457891017[[#This Row],[COST]],0)</f>
        <v>0</v>
      </c>
      <c r="N614" s="194">
        <f t="shared" si="9"/>
        <v>1.35</v>
      </c>
      <c r="O614" s="198">
        <f>_1_5412845612146241046457891017[[#This Row],[TOTAL]]*_1_5412845612146241046457891017[[#This Row],[MARGIN]]</f>
        <v>0</v>
      </c>
      <c r="R614" s="41"/>
    </row>
    <row r="615" spans="4:18">
      <c r="D615" s="188"/>
      <c r="F615" s="168" t="s">
        <v>6202</v>
      </c>
      <c r="G615" s="193">
        <f>IF(_1_5412845612146241046457891017[[#This Row],[Type]]&gt;0,VLOOKUP(_1_5412845612146241046457891017[[#This Row],[Type]],Main[[#All],[TYPE]:[UNIT]],'Unit Price'!C$1,FALSE),0)</f>
        <v>0</v>
      </c>
      <c r="H615" s="197">
        <f>IF(_1_5412845612146241046457891017[[#This Row],[Type]]&gt;0,VLOOKUP(_1_5412845612146241046457891017[[#This Row],[Type]],Main[[#All],[TYPE]:[UNIT]],'Unit Price'!D$1,FALSE),0)</f>
        <v>0</v>
      </c>
      <c r="I615" s="194">
        <f>IF(_1_5412845612146241046457891017[[#This Row],[Type]]&gt;0,VLOOKUP(_1_5412845612146241046457891017[[#This Row],[Type]],Main[[#All],[TYPE]:[UNIT]],'Unit Price'!G$1,FALSE),0)</f>
        <v>0</v>
      </c>
      <c r="J615" s="194">
        <f>IF(_1_5412845612146241046457891017[[#This Row],[Type]]&gt;0,VLOOKUP(_1_5412845612146241046457891017[[#This Row],[Type]],Main[[#All],[TYPE]:[UNIT]],'Unit Price'!H$1,FALSE),0)</f>
        <v>0</v>
      </c>
      <c r="K615" s="194">
        <f>IF(_1_5412845612146241046457891017[[#This Row],[Discount selection]]&gt;0,VLOOKUP(_1_5412845612146241046457891017[[#This Row],[Discount selection]],'Discount Structure'!$A$2:$B$30,2,"false"),0)</f>
        <v>1</v>
      </c>
      <c r="L615" s="194">
        <f>_1_5412845612146241046457891017[[#This Row],[LIST $]]*_1_5412845612146241046457891017[[#This Row],[DISCOUNT]]*_1_5412845612146241046457891017[[#This Row],[DISCOUNT 2]]</f>
        <v>0</v>
      </c>
      <c r="M615" s="194">
        <f>IF(OR(_1_5412845612146241046457891017[[#This Row],[UNIT]]&gt;0,_1_5412845612146241046457891017[[#This Row],[UNIT]]&lt;0),_1_5412845612146241046457891017[[#This Row],[UNIT]]*_1_5412845612146241046457891017[[#This Row],[COST]],0)</f>
        <v>0</v>
      </c>
      <c r="N615" s="194">
        <f t="shared" si="9"/>
        <v>1.35</v>
      </c>
      <c r="O615" s="198">
        <f>_1_5412845612146241046457891017[[#This Row],[TOTAL]]*_1_5412845612146241046457891017[[#This Row],[MARGIN]]</f>
        <v>0</v>
      </c>
      <c r="R615" s="41"/>
    </row>
    <row r="616" spans="4:18">
      <c r="D616" s="188"/>
      <c r="F616" s="168" t="s">
        <v>6202</v>
      </c>
      <c r="G616" s="193">
        <f>IF(_1_5412845612146241046457891017[[#This Row],[Type]]&gt;0,VLOOKUP(_1_5412845612146241046457891017[[#This Row],[Type]],Main[[#All],[TYPE]:[UNIT]],'Unit Price'!C$1,FALSE),0)</f>
        <v>0</v>
      </c>
      <c r="H616" s="197">
        <f>IF(_1_5412845612146241046457891017[[#This Row],[Type]]&gt;0,VLOOKUP(_1_5412845612146241046457891017[[#This Row],[Type]],Main[[#All],[TYPE]:[UNIT]],'Unit Price'!D$1,FALSE),0)</f>
        <v>0</v>
      </c>
      <c r="I616" s="194">
        <f>IF(_1_5412845612146241046457891017[[#This Row],[Type]]&gt;0,VLOOKUP(_1_5412845612146241046457891017[[#This Row],[Type]],Main[[#All],[TYPE]:[UNIT]],'Unit Price'!G$1,FALSE),0)</f>
        <v>0</v>
      </c>
      <c r="J616" s="194">
        <f>IF(_1_5412845612146241046457891017[[#This Row],[Type]]&gt;0,VLOOKUP(_1_5412845612146241046457891017[[#This Row],[Type]],Main[[#All],[TYPE]:[UNIT]],'Unit Price'!H$1,FALSE),0)</f>
        <v>0</v>
      </c>
      <c r="K616" s="194">
        <f>IF(_1_5412845612146241046457891017[[#This Row],[Discount selection]]&gt;0,VLOOKUP(_1_5412845612146241046457891017[[#This Row],[Discount selection]],'Discount Structure'!$A$2:$B$30,2,"false"),0)</f>
        <v>1</v>
      </c>
      <c r="L616" s="194">
        <f>_1_5412845612146241046457891017[[#This Row],[LIST $]]*_1_5412845612146241046457891017[[#This Row],[DISCOUNT]]*_1_5412845612146241046457891017[[#This Row],[DISCOUNT 2]]</f>
        <v>0</v>
      </c>
      <c r="M616" s="194">
        <f>IF(OR(_1_5412845612146241046457891017[[#This Row],[UNIT]]&gt;0,_1_5412845612146241046457891017[[#This Row],[UNIT]]&lt;0),_1_5412845612146241046457891017[[#This Row],[UNIT]]*_1_5412845612146241046457891017[[#This Row],[COST]],0)</f>
        <v>0</v>
      </c>
      <c r="N616" s="194">
        <f t="shared" si="9"/>
        <v>1.35</v>
      </c>
      <c r="O616" s="198">
        <f>_1_5412845612146241046457891017[[#This Row],[TOTAL]]*_1_5412845612146241046457891017[[#This Row],[MARGIN]]</f>
        <v>0</v>
      </c>
      <c r="R616" s="41"/>
    </row>
    <row r="617" spans="4:18">
      <c r="D617" s="188"/>
      <c r="F617" s="168" t="s">
        <v>6202</v>
      </c>
      <c r="G617" s="193">
        <f>IF(_1_5412845612146241046457891017[[#This Row],[Type]]&gt;0,VLOOKUP(_1_5412845612146241046457891017[[#This Row],[Type]],Main[[#All],[TYPE]:[UNIT]],'Unit Price'!C$1,FALSE),0)</f>
        <v>0</v>
      </c>
      <c r="H617" s="197">
        <f>IF(_1_5412845612146241046457891017[[#This Row],[Type]]&gt;0,VLOOKUP(_1_5412845612146241046457891017[[#This Row],[Type]],Main[[#All],[TYPE]:[UNIT]],'Unit Price'!D$1,FALSE),0)</f>
        <v>0</v>
      </c>
      <c r="I617" s="194">
        <f>IF(_1_5412845612146241046457891017[[#This Row],[Type]]&gt;0,VLOOKUP(_1_5412845612146241046457891017[[#This Row],[Type]],Main[[#All],[TYPE]:[UNIT]],'Unit Price'!G$1,FALSE),0)</f>
        <v>0</v>
      </c>
      <c r="J617" s="194">
        <f>IF(_1_5412845612146241046457891017[[#This Row],[Type]]&gt;0,VLOOKUP(_1_5412845612146241046457891017[[#This Row],[Type]],Main[[#All],[TYPE]:[UNIT]],'Unit Price'!H$1,FALSE),0)</f>
        <v>0</v>
      </c>
      <c r="K617" s="194">
        <f>IF(_1_5412845612146241046457891017[[#This Row],[Discount selection]]&gt;0,VLOOKUP(_1_5412845612146241046457891017[[#This Row],[Discount selection]],'Discount Structure'!$A$2:$B$30,2,"false"),0)</f>
        <v>1</v>
      </c>
      <c r="L617" s="194">
        <f>_1_5412845612146241046457891017[[#This Row],[LIST $]]*_1_5412845612146241046457891017[[#This Row],[DISCOUNT]]*_1_5412845612146241046457891017[[#This Row],[DISCOUNT 2]]</f>
        <v>0</v>
      </c>
      <c r="M617" s="194">
        <f>IF(OR(_1_5412845612146241046457891017[[#This Row],[UNIT]]&gt;0,_1_5412845612146241046457891017[[#This Row],[UNIT]]&lt;0),_1_5412845612146241046457891017[[#This Row],[UNIT]]*_1_5412845612146241046457891017[[#This Row],[COST]],0)</f>
        <v>0</v>
      </c>
      <c r="N617" s="194">
        <f t="shared" si="9"/>
        <v>1.35</v>
      </c>
      <c r="O617" s="198">
        <f>_1_5412845612146241046457891017[[#This Row],[TOTAL]]*_1_5412845612146241046457891017[[#This Row],[MARGIN]]</f>
        <v>0</v>
      </c>
      <c r="R617" s="41"/>
    </row>
    <row r="618" spans="4:18">
      <c r="D618" s="188"/>
      <c r="F618" s="168" t="s">
        <v>6202</v>
      </c>
      <c r="G618" s="193">
        <f>IF(_1_5412845612146241046457891017[[#This Row],[Type]]&gt;0,VLOOKUP(_1_5412845612146241046457891017[[#This Row],[Type]],Main[[#All],[TYPE]:[UNIT]],'Unit Price'!C$1,FALSE),0)</f>
        <v>0</v>
      </c>
      <c r="H618" s="197">
        <f>IF(_1_5412845612146241046457891017[[#This Row],[Type]]&gt;0,VLOOKUP(_1_5412845612146241046457891017[[#This Row],[Type]],Main[[#All],[TYPE]:[UNIT]],'Unit Price'!D$1,FALSE),0)</f>
        <v>0</v>
      </c>
      <c r="I618" s="194">
        <f>IF(_1_5412845612146241046457891017[[#This Row],[Type]]&gt;0,VLOOKUP(_1_5412845612146241046457891017[[#This Row],[Type]],Main[[#All],[TYPE]:[UNIT]],'Unit Price'!G$1,FALSE),0)</f>
        <v>0</v>
      </c>
      <c r="J618" s="194">
        <f>IF(_1_5412845612146241046457891017[[#This Row],[Type]]&gt;0,VLOOKUP(_1_5412845612146241046457891017[[#This Row],[Type]],Main[[#All],[TYPE]:[UNIT]],'Unit Price'!H$1,FALSE),0)</f>
        <v>0</v>
      </c>
      <c r="K618" s="194">
        <f>IF(_1_5412845612146241046457891017[[#This Row],[Discount selection]]&gt;0,VLOOKUP(_1_5412845612146241046457891017[[#This Row],[Discount selection]],'Discount Structure'!$A$2:$B$30,2,"false"),0)</f>
        <v>1</v>
      </c>
      <c r="L618" s="194">
        <f>_1_5412845612146241046457891017[[#This Row],[LIST $]]*_1_5412845612146241046457891017[[#This Row],[DISCOUNT]]*_1_5412845612146241046457891017[[#This Row],[DISCOUNT 2]]</f>
        <v>0</v>
      </c>
      <c r="M618" s="194">
        <f>IF(OR(_1_5412845612146241046457891017[[#This Row],[UNIT]]&gt;0,_1_5412845612146241046457891017[[#This Row],[UNIT]]&lt;0),_1_5412845612146241046457891017[[#This Row],[UNIT]]*_1_5412845612146241046457891017[[#This Row],[COST]],0)</f>
        <v>0</v>
      </c>
      <c r="N618" s="194">
        <f t="shared" si="9"/>
        <v>1.35</v>
      </c>
      <c r="O618" s="198">
        <f>_1_5412845612146241046457891017[[#This Row],[TOTAL]]*_1_5412845612146241046457891017[[#This Row],[MARGIN]]</f>
        <v>0</v>
      </c>
      <c r="R618" s="41"/>
    </row>
    <row r="619" spans="4:18">
      <c r="D619" s="188"/>
      <c r="F619" s="168" t="s">
        <v>6202</v>
      </c>
      <c r="G619" s="193">
        <f>IF(_1_5412845612146241046457891017[[#This Row],[Type]]&gt;0,VLOOKUP(_1_5412845612146241046457891017[[#This Row],[Type]],Main[[#All],[TYPE]:[UNIT]],'Unit Price'!C$1,FALSE),0)</f>
        <v>0</v>
      </c>
      <c r="H619" s="197">
        <f>IF(_1_5412845612146241046457891017[[#This Row],[Type]]&gt;0,VLOOKUP(_1_5412845612146241046457891017[[#This Row],[Type]],Main[[#All],[TYPE]:[UNIT]],'Unit Price'!D$1,FALSE),0)</f>
        <v>0</v>
      </c>
      <c r="I619" s="194">
        <f>IF(_1_5412845612146241046457891017[[#This Row],[Type]]&gt;0,VLOOKUP(_1_5412845612146241046457891017[[#This Row],[Type]],Main[[#All],[TYPE]:[UNIT]],'Unit Price'!G$1,FALSE),0)</f>
        <v>0</v>
      </c>
      <c r="J619" s="194">
        <f>IF(_1_5412845612146241046457891017[[#This Row],[Type]]&gt;0,VLOOKUP(_1_5412845612146241046457891017[[#This Row],[Type]],Main[[#All],[TYPE]:[UNIT]],'Unit Price'!H$1,FALSE),0)</f>
        <v>0</v>
      </c>
      <c r="K619" s="194">
        <f>IF(_1_5412845612146241046457891017[[#This Row],[Discount selection]]&gt;0,VLOOKUP(_1_5412845612146241046457891017[[#This Row],[Discount selection]],'Discount Structure'!$A$2:$B$30,2,"false"),0)</f>
        <v>1</v>
      </c>
      <c r="L619" s="194">
        <f>_1_5412845612146241046457891017[[#This Row],[LIST $]]*_1_5412845612146241046457891017[[#This Row],[DISCOUNT]]*_1_5412845612146241046457891017[[#This Row],[DISCOUNT 2]]</f>
        <v>0</v>
      </c>
      <c r="M619" s="194">
        <f>IF(OR(_1_5412845612146241046457891017[[#This Row],[UNIT]]&gt;0,_1_5412845612146241046457891017[[#This Row],[UNIT]]&lt;0),_1_5412845612146241046457891017[[#This Row],[UNIT]]*_1_5412845612146241046457891017[[#This Row],[COST]],0)</f>
        <v>0</v>
      </c>
      <c r="N619" s="194">
        <f t="shared" si="9"/>
        <v>1.35</v>
      </c>
      <c r="O619" s="198">
        <f>_1_5412845612146241046457891017[[#This Row],[TOTAL]]*_1_5412845612146241046457891017[[#This Row],[MARGIN]]</f>
        <v>0</v>
      </c>
      <c r="R619" s="41"/>
    </row>
    <row r="620" spans="4:18">
      <c r="D620" s="188"/>
      <c r="F620" s="168" t="s">
        <v>6202</v>
      </c>
      <c r="G620" s="193">
        <f>IF(_1_5412845612146241046457891017[[#This Row],[Type]]&gt;0,VLOOKUP(_1_5412845612146241046457891017[[#This Row],[Type]],Main[[#All],[TYPE]:[UNIT]],'Unit Price'!C$1,FALSE),0)</f>
        <v>0</v>
      </c>
      <c r="H620" s="197">
        <f>IF(_1_5412845612146241046457891017[[#This Row],[Type]]&gt;0,VLOOKUP(_1_5412845612146241046457891017[[#This Row],[Type]],Main[[#All],[TYPE]:[UNIT]],'Unit Price'!D$1,FALSE),0)</f>
        <v>0</v>
      </c>
      <c r="I620" s="194">
        <f>IF(_1_5412845612146241046457891017[[#This Row],[Type]]&gt;0,VLOOKUP(_1_5412845612146241046457891017[[#This Row],[Type]],Main[[#All],[TYPE]:[UNIT]],'Unit Price'!G$1,FALSE),0)</f>
        <v>0</v>
      </c>
      <c r="J620" s="194">
        <f>IF(_1_5412845612146241046457891017[[#This Row],[Type]]&gt;0,VLOOKUP(_1_5412845612146241046457891017[[#This Row],[Type]],Main[[#All],[TYPE]:[UNIT]],'Unit Price'!H$1,FALSE),0)</f>
        <v>0</v>
      </c>
      <c r="K620" s="194">
        <f>IF(_1_5412845612146241046457891017[[#This Row],[Discount selection]]&gt;0,VLOOKUP(_1_5412845612146241046457891017[[#This Row],[Discount selection]],'Discount Structure'!$A$2:$B$30,2,"false"),0)</f>
        <v>1</v>
      </c>
      <c r="L620" s="194">
        <f>_1_5412845612146241046457891017[[#This Row],[LIST $]]*_1_5412845612146241046457891017[[#This Row],[DISCOUNT]]*_1_5412845612146241046457891017[[#This Row],[DISCOUNT 2]]</f>
        <v>0</v>
      </c>
      <c r="M620" s="194">
        <f>IF(OR(_1_5412845612146241046457891017[[#This Row],[UNIT]]&gt;0,_1_5412845612146241046457891017[[#This Row],[UNIT]]&lt;0),_1_5412845612146241046457891017[[#This Row],[UNIT]]*_1_5412845612146241046457891017[[#This Row],[COST]],0)</f>
        <v>0</v>
      </c>
      <c r="N620" s="194">
        <f t="shared" si="9"/>
        <v>1.35</v>
      </c>
      <c r="O620" s="198">
        <f>_1_5412845612146241046457891017[[#This Row],[TOTAL]]*_1_5412845612146241046457891017[[#This Row],[MARGIN]]</f>
        <v>0</v>
      </c>
      <c r="R620" s="41"/>
    </row>
    <row r="621" spans="4:18">
      <c r="D621" s="188"/>
      <c r="F621" s="168" t="s">
        <v>6202</v>
      </c>
      <c r="G621" s="193">
        <f>IF(_1_5412845612146241046457891017[[#This Row],[Type]]&gt;0,VLOOKUP(_1_5412845612146241046457891017[[#This Row],[Type]],Main[[#All],[TYPE]:[UNIT]],'Unit Price'!C$1,FALSE),0)</f>
        <v>0</v>
      </c>
      <c r="H621" s="197">
        <f>IF(_1_5412845612146241046457891017[[#This Row],[Type]]&gt;0,VLOOKUP(_1_5412845612146241046457891017[[#This Row],[Type]],Main[[#All],[TYPE]:[UNIT]],'Unit Price'!D$1,FALSE),0)</f>
        <v>0</v>
      </c>
      <c r="I621" s="194">
        <f>IF(_1_5412845612146241046457891017[[#This Row],[Type]]&gt;0,VLOOKUP(_1_5412845612146241046457891017[[#This Row],[Type]],Main[[#All],[TYPE]:[UNIT]],'Unit Price'!G$1,FALSE),0)</f>
        <v>0</v>
      </c>
      <c r="J621" s="194">
        <f>IF(_1_5412845612146241046457891017[[#This Row],[Type]]&gt;0,VLOOKUP(_1_5412845612146241046457891017[[#This Row],[Type]],Main[[#All],[TYPE]:[UNIT]],'Unit Price'!H$1,FALSE),0)</f>
        <v>0</v>
      </c>
      <c r="K621" s="194">
        <f>IF(_1_5412845612146241046457891017[[#This Row],[Discount selection]]&gt;0,VLOOKUP(_1_5412845612146241046457891017[[#This Row],[Discount selection]],'Discount Structure'!$A$2:$B$30,2,"false"),0)</f>
        <v>1</v>
      </c>
      <c r="L621" s="194">
        <f>_1_5412845612146241046457891017[[#This Row],[LIST $]]*_1_5412845612146241046457891017[[#This Row],[DISCOUNT]]*_1_5412845612146241046457891017[[#This Row],[DISCOUNT 2]]</f>
        <v>0</v>
      </c>
      <c r="M621" s="194">
        <f>IF(OR(_1_5412845612146241046457891017[[#This Row],[UNIT]]&gt;0,_1_5412845612146241046457891017[[#This Row],[UNIT]]&lt;0),_1_5412845612146241046457891017[[#This Row],[UNIT]]*_1_5412845612146241046457891017[[#This Row],[COST]],0)</f>
        <v>0</v>
      </c>
      <c r="N621" s="194">
        <f t="shared" si="9"/>
        <v>1.35</v>
      </c>
      <c r="O621" s="198">
        <f>_1_5412845612146241046457891017[[#This Row],[TOTAL]]*_1_5412845612146241046457891017[[#This Row],[MARGIN]]</f>
        <v>0</v>
      </c>
      <c r="R621" s="41"/>
    </row>
    <row r="622" spans="4:18">
      <c r="D622" s="188"/>
      <c r="F622" s="168" t="s">
        <v>6202</v>
      </c>
      <c r="G622" s="193">
        <f>IF(_1_5412845612146241046457891017[[#This Row],[Type]]&gt;0,VLOOKUP(_1_5412845612146241046457891017[[#This Row],[Type]],Main[[#All],[TYPE]:[UNIT]],'Unit Price'!C$1,FALSE),0)</f>
        <v>0</v>
      </c>
      <c r="H622" s="197">
        <f>IF(_1_5412845612146241046457891017[[#This Row],[Type]]&gt;0,VLOOKUP(_1_5412845612146241046457891017[[#This Row],[Type]],Main[[#All],[TYPE]:[UNIT]],'Unit Price'!D$1,FALSE),0)</f>
        <v>0</v>
      </c>
      <c r="I622" s="194">
        <f>IF(_1_5412845612146241046457891017[[#This Row],[Type]]&gt;0,VLOOKUP(_1_5412845612146241046457891017[[#This Row],[Type]],Main[[#All],[TYPE]:[UNIT]],'Unit Price'!G$1,FALSE),0)</f>
        <v>0</v>
      </c>
      <c r="J622" s="194">
        <f>IF(_1_5412845612146241046457891017[[#This Row],[Type]]&gt;0,VLOOKUP(_1_5412845612146241046457891017[[#This Row],[Type]],Main[[#All],[TYPE]:[UNIT]],'Unit Price'!H$1,FALSE),0)</f>
        <v>0</v>
      </c>
      <c r="K622" s="194">
        <f>IF(_1_5412845612146241046457891017[[#This Row],[Discount selection]]&gt;0,VLOOKUP(_1_5412845612146241046457891017[[#This Row],[Discount selection]],'Discount Structure'!$A$2:$B$30,2,"false"),0)</f>
        <v>1</v>
      </c>
      <c r="L622" s="194">
        <f>_1_5412845612146241046457891017[[#This Row],[LIST $]]*_1_5412845612146241046457891017[[#This Row],[DISCOUNT]]*_1_5412845612146241046457891017[[#This Row],[DISCOUNT 2]]</f>
        <v>0</v>
      </c>
      <c r="M622" s="194">
        <f>IF(OR(_1_5412845612146241046457891017[[#This Row],[UNIT]]&gt;0,_1_5412845612146241046457891017[[#This Row],[UNIT]]&lt;0),_1_5412845612146241046457891017[[#This Row],[UNIT]]*_1_5412845612146241046457891017[[#This Row],[COST]],0)</f>
        <v>0</v>
      </c>
      <c r="N622" s="194">
        <f t="shared" si="9"/>
        <v>1.35</v>
      </c>
      <c r="O622" s="198">
        <f>_1_5412845612146241046457891017[[#This Row],[TOTAL]]*_1_5412845612146241046457891017[[#This Row],[MARGIN]]</f>
        <v>0</v>
      </c>
      <c r="R622" s="41"/>
    </row>
    <row r="623" spans="4:18">
      <c r="D623" s="188"/>
      <c r="F623" s="168" t="s">
        <v>6202</v>
      </c>
      <c r="G623" s="193">
        <f>IF(_1_5412845612146241046457891017[[#This Row],[Type]]&gt;0,VLOOKUP(_1_5412845612146241046457891017[[#This Row],[Type]],Main[[#All],[TYPE]:[UNIT]],'Unit Price'!C$1,FALSE),0)</f>
        <v>0</v>
      </c>
      <c r="H623" s="197">
        <f>IF(_1_5412845612146241046457891017[[#This Row],[Type]]&gt;0,VLOOKUP(_1_5412845612146241046457891017[[#This Row],[Type]],Main[[#All],[TYPE]:[UNIT]],'Unit Price'!D$1,FALSE),0)</f>
        <v>0</v>
      </c>
      <c r="I623" s="194">
        <f>IF(_1_5412845612146241046457891017[[#This Row],[Type]]&gt;0,VLOOKUP(_1_5412845612146241046457891017[[#This Row],[Type]],Main[[#All],[TYPE]:[UNIT]],'Unit Price'!G$1,FALSE),0)</f>
        <v>0</v>
      </c>
      <c r="J623" s="194">
        <f>IF(_1_5412845612146241046457891017[[#This Row],[Type]]&gt;0,VLOOKUP(_1_5412845612146241046457891017[[#This Row],[Type]],Main[[#All],[TYPE]:[UNIT]],'Unit Price'!H$1,FALSE),0)</f>
        <v>0</v>
      </c>
      <c r="K623" s="194">
        <f>IF(_1_5412845612146241046457891017[[#This Row],[Discount selection]]&gt;0,VLOOKUP(_1_5412845612146241046457891017[[#This Row],[Discount selection]],'Discount Structure'!$A$2:$B$30,2,"false"),0)</f>
        <v>1</v>
      </c>
      <c r="L623" s="194">
        <f>_1_5412845612146241046457891017[[#This Row],[LIST $]]*_1_5412845612146241046457891017[[#This Row],[DISCOUNT]]*_1_5412845612146241046457891017[[#This Row],[DISCOUNT 2]]</f>
        <v>0</v>
      </c>
      <c r="M623" s="194">
        <f>IF(OR(_1_5412845612146241046457891017[[#This Row],[UNIT]]&gt;0,_1_5412845612146241046457891017[[#This Row],[UNIT]]&lt;0),_1_5412845612146241046457891017[[#This Row],[UNIT]]*_1_5412845612146241046457891017[[#This Row],[COST]],0)</f>
        <v>0</v>
      </c>
      <c r="N623" s="194">
        <f t="shared" si="9"/>
        <v>1.35</v>
      </c>
      <c r="O623" s="198">
        <f>_1_5412845612146241046457891017[[#This Row],[TOTAL]]*_1_5412845612146241046457891017[[#This Row],[MARGIN]]</f>
        <v>0</v>
      </c>
      <c r="R623" s="41"/>
    </row>
    <row r="624" spans="4:18">
      <c r="D624" s="188"/>
      <c r="F624" s="168" t="s">
        <v>6202</v>
      </c>
      <c r="G624" s="193">
        <f>IF(_1_5412845612146241046457891017[[#This Row],[Type]]&gt;0,VLOOKUP(_1_5412845612146241046457891017[[#This Row],[Type]],Main[[#All],[TYPE]:[UNIT]],'Unit Price'!C$1,FALSE),0)</f>
        <v>0</v>
      </c>
      <c r="H624" s="197">
        <f>IF(_1_5412845612146241046457891017[[#This Row],[Type]]&gt;0,VLOOKUP(_1_5412845612146241046457891017[[#This Row],[Type]],Main[[#All],[TYPE]:[UNIT]],'Unit Price'!D$1,FALSE),0)</f>
        <v>0</v>
      </c>
      <c r="I624" s="194">
        <f>IF(_1_5412845612146241046457891017[[#This Row],[Type]]&gt;0,VLOOKUP(_1_5412845612146241046457891017[[#This Row],[Type]],Main[[#All],[TYPE]:[UNIT]],'Unit Price'!G$1,FALSE),0)</f>
        <v>0</v>
      </c>
      <c r="J624" s="194">
        <f>IF(_1_5412845612146241046457891017[[#This Row],[Type]]&gt;0,VLOOKUP(_1_5412845612146241046457891017[[#This Row],[Type]],Main[[#All],[TYPE]:[UNIT]],'Unit Price'!H$1,FALSE),0)</f>
        <v>0</v>
      </c>
      <c r="K624" s="194">
        <f>IF(_1_5412845612146241046457891017[[#This Row],[Discount selection]]&gt;0,VLOOKUP(_1_5412845612146241046457891017[[#This Row],[Discount selection]],'Discount Structure'!$A$2:$B$30,2,"false"),0)</f>
        <v>1</v>
      </c>
      <c r="L624" s="194">
        <f>_1_5412845612146241046457891017[[#This Row],[LIST $]]*_1_5412845612146241046457891017[[#This Row],[DISCOUNT]]*_1_5412845612146241046457891017[[#This Row],[DISCOUNT 2]]</f>
        <v>0</v>
      </c>
      <c r="M624" s="194">
        <f>IF(OR(_1_5412845612146241046457891017[[#This Row],[UNIT]]&gt;0,_1_5412845612146241046457891017[[#This Row],[UNIT]]&lt;0),_1_5412845612146241046457891017[[#This Row],[UNIT]]*_1_5412845612146241046457891017[[#This Row],[COST]],0)</f>
        <v>0</v>
      </c>
      <c r="N624" s="194">
        <f t="shared" si="9"/>
        <v>1.35</v>
      </c>
      <c r="O624" s="198">
        <f>_1_5412845612146241046457891017[[#This Row],[TOTAL]]*_1_5412845612146241046457891017[[#This Row],[MARGIN]]</f>
        <v>0</v>
      </c>
      <c r="R624" s="41"/>
    </row>
    <row r="625" spans="4:18">
      <c r="D625" s="188"/>
      <c r="F625" s="168" t="s">
        <v>6202</v>
      </c>
      <c r="G625" s="193">
        <f>IF(_1_5412845612146241046457891017[[#This Row],[Type]]&gt;0,VLOOKUP(_1_5412845612146241046457891017[[#This Row],[Type]],Main[[#All],[TYPE]:[UNIT]],'Unit Price'!C$1,FALSE),0)</f>
        <v>0</v>
      </c>
      <c r="H625" s="197">
        <f>IF(_1_5412845612146241046457891017[[#This Row],[Type]]&gt;0,VLOOKUP(_1_5412845612146241046457891017[[#This Row],[Type]],Main[[#All],[TYPE]:[UNIT]],'Unit Price'!D$1,FALSE),0)</f>
        <v>0</v>
      </c>
      <c r="I625" s="194">
        <f>IF(_1_5412845612146241046457891017[[#This Row],[Type]]&gt;0,VLOOKUP(_1_5412845612146241046457891017[[#This Row],[Type]],Main[[#All],[TYPE]:[UNIT]],'Unit Price'!G$1,FALSE),0)</f>
        <v>0</v>
      </c>
      <c r="J625" s="194">
        <f>IF(_1_5412845612146241046457891017[[#This Row],[Type]]&gt;0,VLOOKUP(_1_5412845612146241046457891017[[#This Row],[Type]],Main[[#All],[TYPE]:[UNIT]],'Unit Price'!H$1,FALSE),0)</f>
        <v>0</v>
      </c>
      <c r="K625" s="194">
        <f>IF(_1_5412845612146241046457891017[[#This Row],[Discount selection]]&gt;0,VLOOKUP(_1_5412845612146241046457891017[[#This Row],[Discount selection]],'Discount Structure'!$A$2:$B$30,2,"false"),0)</f>
        <v>1</v>
      </c>
      <c r="L625" s="194">
        <f>_1_5412845612146241046457891017[[#This Row],[LIST $]]*_1_5412845612146241046457891017[[#This Row],[DISCOUNT]]*_1_5412845612146241046457891017[[#This Row],[DISCOUNT 2]]</f>
        <v>0</v>
      </c>
      <c r="M625" s="194">
        <f>IF(OR(_1_5412845612146241046457891017[[#This Row],[UNIT]]&gt;0,_1_5412845612146241046457891017[[#This Row],[UNIT]]&lt;0),_1_5412845612146241046457891017[[#This Row],[UNIT]]*_1_5412845612146241046457891017[[#This Row],[COST]],0)</f>
        <v>0</v>
      </c>
      <c r="N625" s="194">
        <f t="shared" si="9"/>
        <v>1.35</v>
      </c>
      <c r="O625" s="198">
        <f>_1_5412845612146241046457891017[[#This Row],[TOTAL]]*_1_5412845612146241046457891017[[#This Row],[MARGIN]]</f>
        <v>0</v>
      </c>
      <c r="R625" s="41"/>
    </row>
    <row r="626" spans="4:18">
      <c r="D626" s="188"/>
      <c r="F626" s="168" t="s">
        <v>6202</v>
      </c>
      <c r="G626" s="193">
        <f>IF(_1_5412845612146241046457891017[[#This Row],[Type]]&gt;0,VLOOKUP(_1_5412845612146241046457891017[[#This Row],[Type]],Main[[#All],[TYPE]:[UNIT]],'Unit Price'!C$1,FALSE),0)</f>
        <v>0</v>
      </c>
      <c r="H626" s="197">
        <f>IF(_1_5412845612146241046457891017[[#This Row],[Type]]&gt;0,VLOOKUP(_1_5412845612146241046457891017[[#This Row],[Type]],Main[[#All],[TYPE]:[UNIT]],'Unit Price'!D$1,FALSE),0)</f>
        <v>0</v>
      </c>
      <c r="I626" s="194">
        <f>IF(_1_5412845612146241046457891017[[#This Row],[Type]]&gt;0,VLOOKUP(_1_5412845612146241046457891017[[#This Row],[Type]],Main[[#All],[TYPE]:[UNIT]],'Unit Price'!G$1,FALSE),0)</f>
        <v>0</v>
      </c>
      <c r="J626" s="194">
        <f>IF(_1_5412845612146241046457891017[[#This Row],[Type]]&gt;0,VLOOKUP(_1_5412845612146241046457891017[[#This Row],[Type]],Main[[#All],[TYPE]:[UNIT]],'Unit Price'!H$1,FALSE),0)</f>
        <v>0</v>
      </c>
      <c r="K626" s="194">
        <f>IF(_1_5412845612146241046457891017[[#This Row],[Discount selection]]&gt;0,VLOOKUP(_1_5412845612146241046457891017[[#This Row],[Discount selection]],'Discount Structure'!$A$2:$B$30,2,"false"),0)</f>
        <v>1</v>
      </c>
      <c r="L626" s="194">
        <f>_1_5412845612146241046457891017[[#This Row],[LIST $]]*_1_5412845612146241046457891017[[#This Row],[DISCOUNT]]*_1_5412845612146241046457891017[[#This Row],[DISCOUNT 2]]</f>
        <v>0</v>
      </c>
      <c r="M626" s="194">
        <f>IF(OR(_1_5412845612146241046457891017[[#This Row],[UNIT]]&gt;0,_1_5412845612146241046457891017[[#This Row],[UNIT]]&lt;0),_1_5412845612146241046457891017[[#This Row],[UNIT]]*_1_5412845612146241046457891017[[#This Row],[COST]],0)</f>
        <v>0</v>
      </c>
      <c r="N626" s="194">
        <f t="shared" si="9"/>
        <v>1.35</v>
      </c>
      <c r="O626" s="198">
        <f>_1_5412845612146241046457891017[[#This Row],[TOTAL]]*_1_5412845612146241046457891017[[#This Row],[MARGIN]]</f>
        <v>0</v>
      </c>
      <c r="R626" s="41"/>
    </row>
    <row r="627" spans="4:18">
      <c r="D627" s="188"/>
      <c r="F627" s="168" t="s">
        <v>6202</v>
      </c>
      <c r="G627" s="193">
        <f>IF(_1_5412845612146241046457891017[[#This Row],[Type]]&gt;0,VLOOKUP(_1_5412845612146241046457891017[[#This Row],[Type]],Main[[#All],[TYPE]:[UNIT]],'Unit Price'!C$1,FALSE),0)</f>
        <v>0</v>
      </c>
      <c r="H627" s="197">
        <f>IF(_1_5412845612146241046457891017[[#This Row],[Type]]&gt;0,VLOOKUP(_1_5412845612146241046457891017[[#This Row],[Type]],Main[[#All],[TYPE]:[UNIT]],'Unit Price'!D$1,FALSE),0)</f>
        <v>0</v>
      </c>
      <c r="I627" s="194">
        <f>IF(_1_5412845612146241046457891017[[#This Row],[Type]]&gt;0,VLOOKUP(_1_5412845612146241046457891017[[#This Row],[Type]],Main[[#All],[TYPE]:[UNIT]],'Unit Price'!G$1,FALSE),0)</f>
        <v>0</v>
      </c>
      <c r="J627" s="194">
        <f>IF(_1_5412845612146241046457891017[[#This Row],[Type]]&gt;0,VLOOKUP(_1_5412845612146241046457891017[[#This Row],[Type]],Main[[#All],[TYPE]:[UNIT]],'Unit Price'!H$1,FALSE),0)</f>
        <v>0</v>
      </c>
      <c r="K627" s="194">
        <f>IF(_1_5412845612146241046457891017[[#This Row],[Discount selection]]&gt;0,VLOOKUP(_1_5412845612146241046457891017[[#This Row],[Discount selection]],'Discount Structure'!$A$2:$B$30,2,"false"),0)</f>
        <v>1</v>
      </c>
      <c r="L627" s="194">
        <f>_1_5412845612146241046457891017[[#This Row],[LIST $]]*_1_5412845612146241046457891017[[#This Row],[DISCOUNT]]*_1_5412845612146241046457891017[[#This Row],[DISCOUNT 2]]</f>
        <v>0</v>
      </c>
      <c r="M627" s="194">
        <f>IF(OR(_1_5412845612146241046457891017[[#This Row],[UNIT]]&gt;0,_1_5412845612146241046457891017[[#This Row],[UNIT]]&lt;0),_1_5412845612146241046457891017[[#This Row],[UNIT]]*_1_5412845612146241046457891017[[#This Row],[COST]],0)</f>
        <v>0</v>
      </c>
      <c r="N627" s="194">
        <f t="shared" si="9"/>
        <v>1.35</v>
      </c>
      <c r="O627" s="198">
        <f>_1_5412845612146241046457891017[[#This Row],[TOTAL]]*_1_5412845612146241046457891017[[#This Row],[MARGIN]]</f>
        <v>0</v>
      </c>
      <c r="R627" s="41"/>
    </row>
    <row r="628" spans="4:18">
      <c r="D628" s="188"/>
      <c r="F628" s="168" t="s">
        <v>6202</v>
      </c>
      <c r="G628" s="193">
        <f>IF(_1_5412845612146241046457891017[[#This Row],[Type]]&gt;0,VLOOKUP(_1_5412845612146241046457891017[[#This Row],[Type]],Main[[#All],[TYPE]:[UNIT]],'Unit Price'!C$1,FALSE),0)</f>
        <v>0</v>
      </c>
      <c r="H628" s="197">
        <f>IF(_1_5412845612146241046457891017[[#This Row],[Type]]&gt;0,VLOOKUP(_1_5412845612146241046457891017[[#This Row],[Type]],Main[[#All],[TYPE]:[UNIT]],'Unit Price'!D$1,FALSE),0)</f>
        <v>0</v>
      </c>
      <c r="I628" s="194">
        <f>IF(_1_5412845612146241046457891017[[#This Row],[Type]]&gt;0,VLOOKUP(_1_5412845612146241046457891017[[#This Row],[Type]],Main[[#All],[TYPE]:[UNIT]],'Unit Price'!G$1,FALSE),0)</f>
        <v>0</v>
      </c>
      <c r="J628" s="194">
        <f>IF(_1_5412845612146241046457891017[[#This Row],[Type]]&gt;0,VLOOKUP(_1_5412845612146241046457891017[[#This Row],[Type]],Main[[#All],[TYPE]:[UNIT]],'Unit Price'!H$1,FALSE),0)</f>
        <v>0</v>
      </c>
      <c r="K628" s="194">
        <f>IF(_1_5412845612146241046457891017[[#This Row],[Discount selection]]&gt;0,VLOOKUP(_1_5412845612146241046457891017[[#This Row],[Discount selection]],'Discount Structure'!$A$2:$B$30,2,"false"),0)</f>
        <v>1</v>
      </c>
      <c r="L628" s="194">
        <f>_1_5412845612146241046457891017[[#This Row],[LIST $]]*_1_5412845612146241046457891017[[#This Row],[DISCOUNT]]*_1_5412845612146241046457891017[[#This Row],[DISCOUNT 2]]</f>
        <v>0</v>
      </c>
      <c r="M628" s="194">
        <f>IF(OR(_1_5412845612146241046457891017[[#This Row],[UNIT]]&gt;0,_1_5412845612146241046457891017[[#This Row],[UNIT]]&lt;0),_1_5412845612146241046457891017[[#This Row],[UNIT]]*_1_5412845612146241046457891017[[#This Row],[COST]],0)</f>
        <v>0</v>
      </c>
      <c r="N628" s="194">
        <f t="shared" si="9"/>
        <v>1.35</v>
      </c>
      <c r="O628" s="198">
        <f>_1_5412845612146241046457891017[[#This Row],[TOTAL]]*_1_5412845612146241046457891017[[#This Row],[MARGIN]]</f>
        <v>0</v>
      </c>
      <c r="R628" s="41"/>
    </row>
    <row r="629" spans="4:18">
      <c r="D629" s="188"/>
      <c r="F629" s="168" t="s">
        <v>6202</v>
      </c>
      <c r="G629" s="193">
        <f>IF(_1_5412845612146241046457891017[[#This Row],[Type]]&gt;0,VLOOKUP(_1_5412845612146241046457891017[[#This Row],[Type]],Main[[#All],[TYPE]:[UNIT]],'Unit Price'!C$1,FALSE),0)</f>
        <v>0</v>
      </c>
      <c r="H629" s="197">
        <f>IF(_1_5412845612146241046457891017[[#This Row],[Type]]&gt;0,VLOOKUP(_1_5412845612146241046457891017[[#This Row],[Type]],Main[[#All],[TYPE]:[UNIT]],'Unit Price'!D$1,FALSE),0)</f>
        <v>0</v>
      </c>
      <c r="I629" s="194">
        <f>IF(_1_5412845612146241046457891017[[#This Row],[Type]]&gt;0,VLOOKUP(_1_5412845612146241046457891017[[#This Row],[Type]],Main[[#All],[TYPE]:[UNIT]],'Unit Price'!G$1,FALSE),0)</f>
        <v>0</v>
      </c>
      <c r="J629" s="194">
        <f>IF(_1_5412845612146241046457891017[[#This Row],[Type]]&gt;0,VLOOKUP(_1_5412845612146241046457891017[[#This Row],[Type]],Main[[#All],[TYPE]:[UNIT]],'Unit Price'!H$1,FALSE),0)</f>
        <v>0</v>
      </c>
      <c r="K629" s="194">
        <f>IF(_1_5412845612146241046457891017[[#This Row],[Discount selection]]&gt;0,VLOOKUP(_1_5412845612146241046457891017[[#This Row],[Discount selection]],'Discount Structure'!$A$2:$B$30,2,"false"),0)</f>
        <v>1</v>
      </c>
      <c r="L629" s="194">
        <f>_1_5412845612146241046457891017[[#This Row],[LIST $]]*_1_5412845612146241046457891017[[#This Row],[DISCOUNT]]*_1_5412845612146241046457891017[[#This Row],[DISCOUNT 2]]</f>
        <v>0</v>
      </c>
      <c r="M629" s="194">
        <f>IF(OR(_1_5412845612146241046457891017[[#This Row],[UNIT]]&gt;0,_1_5412845612146241046457891017[[#This Row],[UNIT]]&lt;0),_1_5412845612146241046457891017[[#This Row],[UNIT]]*_1_5412845612146241046457891017[[#This Row],[COST]],0)</f>
        <v>0</v>
      </c>
      <c r="N629" s="194">
        <f t="shared" si="9"/>
        <v>1.35</v>
      </c>
      <c r="O629" s="198">
        <f>_1_5412845612146241046457891017[[#This Row],[TOTAL]]*_1_5412845612146241046457891017[[#This Row],[MARGIN]]</f>
        <v>0</v>
      </c>
      <c r="R629" s="41"/>
    </row>
    <row r="630" spans="4:18">
      <c r="D630" s="188"/>
      <c r="F630" s="168" t="s">
        <v>6202</v>
      </c>
      <c r="G630" s="193">
        <f>IF(_1_5412845612146241046457891017[[#This Row],[Type]]&gt;0,VLOOKUP(_1_5412845612146241046457891017[[#This Row],[Type]],Main[[#All],[TYPE]:[UNIT]],'Unit Price'!C$1,FALSE),0)</f>
        <v>0</v>
      </c>
      <c r="H630" s="197">
        <f>IF(_1_5412845612146241046457891017[[#This Row],[Type]]&gt;0,VLOOKUP(_1_5412845612146241046457891017[[#This Row],[Type]],Main[[#All],[TYPE]:[UNIT]],'Unit Price'!D$1,FALSE),0)</f>
        <v>0</v>
      </c>
      <c r="I630" s="194">
        <f>IF(_1_5412845612146241046457891017[[#This Row],[Type]]&gt;0,VLOOKUP(_1_5412845612146241046457891017[[#This Row],[Type]],Main[[#All],[TYPE]:[UNIT]],'Unit Price'!G$1,FALSE),0)</f>
        <v>0</v>
      </c>
      <c r="J630" s="194">
        <f>IF(_1_5412845612146241046457891017[[#This Row],[Type]]&gt;0,VLOOKUP(_1_5412845612146241046457891017[[#This Row],[Type]],Main[[#All],[TYPE]:[UNIT]],'Unit Price'!H$1,FALSE),0)</f>
        <v>0</v>
      </c>
      <c r="K630" s="194">
        <f>IF(_1_5412845612146241046457891017[[#This Row],[Discount selection]]&gt;0,VLOOKUP(_1_5412845612146241046457891017[[#This Row],[Discount selection]],'Discount Structure'!$A$2:$B$30,2,"false"),0)</f>
        <v>1</v>
      </c>
      <c r="L630" s="194">
        <f>_1_5412845612146241046457891017[[#This Row],[LIST $]]*_1_5412845612146241046457891017[[#This Row],[DISCOUNT]]*_1_5412845612146241046457891017[[#This Row],[DISCOUNT 2]]</f>
        <v>0</v>
      </c>
      <c r="M630" s="194">
        <f>IF(OR(_1_5412845612146241046457891017[[#This Row],[UNIT]]&gt;0,_1_5412845612146241046457891017[[#This Row],[UNIT]]&lt;0),_1_5412845612146241046457891017[[#This Row],[UNIT]]*_1_5412845612146241046457891017[[#This Row],[COST]],0)</f>
        <v>0</v>
      </c>
      <c r="N630" s="194">
        <f t="shared" si="9"/>
        <v>1.35</v>
      </c>
      <c r="O630" s="198">
        <f>_1_5412845612146241046457891017[[#This Row],[TOTAL]]*_1_5412845612146241046457891017[[#This Row],[MARGIN]]</f>
        <v>0</v>
      </c>
      <c r="R630" s="41"/>
    </row>
    <row r="631" spans="4:18">
      <c r="D631" s="188"/>
      <c r="F631" s="168" t="s">
        <v>6202</v>
      </c>
      <c r="G631" s="193">
        <f>IF(_1_5412845612146241046457891017[[#This Row],[Type]]&gt;0,VLOOKUP(_1_5412845612146241046457891017[[#This Row],[Type]],Main[[#All],[TYPE]:[UNIT]],'Unit Price'!C$1,FALSE),0)</f>
        <v>0</v>
      </c>
      <c r="H631" s="197">
        <f>IF(_1_5412845612146241046457891017[[#This Row],[Type]]&gt;0,VLOOKUP(_1_5412845612146241046457891017[[#This Row],[Type]],Main[[#All],[TYPE]:[UNIT]],'Unit Price'!D$1,FALSE),0)</f>
        <v>0</v>
      </c>
      <c r="I631" s="194">
        <f>IF(_1_5412845612146241046457891017[[#This Row],[Type]]&gt;0,VLOOKUP(_1_5412845612146241046457891017[[#This Row],[Type]],Main[[#All],[TYPE]:[UNIT]],'Unit Price'!G$1,FALSE),0)</f>
        <v>0</v>
      </c>
      <c r="J631" s="194">
        <f>IF(_1_5412845612146241046457891017[[#This Row],[Type]]&gt;0,VLOOKUP(_1_5412845612146241046457891017[[#This Row],[Type]],Main[[#All],[TYPE]:[UNIT]],'Unit Price'!H$1,FALSE),0)</f>
        <v>0</v>
      </c>
      <c r="K631" s="194">
        <f>IF(_1_5412845612146241046457891017[[#This Row],[Discount selection]]&gt;0,VLOOKUP(_1_5412845612146241046457891017[[#This Row],[Discount selection]],'Discount Structure'!$A$2:$B$30,2,"false"),0)</f>
        <v>1</v>
      </c>
      <c r="L631" s="194">
        <f>_1_5412845612146241046457891017[[#This Row],[LIST $]]*_1_5412845612146241046457891017[[#This Row],[DISCOUNT]]*_1_5412845612146241046457891017[[#This Row],[DISCOUNT 2]]</f>
        <v>0</v>
      </c>
      <c r="M631" s="194">
        <f>IF(OR(_1_5412845612146241046457891017[[#This Row],[UNIT]]&gt;0,_1_5412845612146241046457891017[[#This Row],[UNIT]]&lt;0),_1_5412845612146241046457891017[[#This Row],[UNIT]]*_1_5412845612146241046457891017[[#This Row],[COST]],0)</f>
        <v>0</v>
      </c>
      <c r="N631" s="194">
        <f t="shared" si="9"/>
        <v>1.35</v>
      </c>
      <c r="O631" s="198">
        <f>_1_5412845612146241046457891017[[#This Row],[TOTAL]]*_1_5412845612146241046457891017[[#This Row],[MARGIN]]</f>
        <v>0</v>
      </c>
      <c r="R631" s="41"/>
    </row>
    <row r="632" spans="4:18">
      <c r="D632" s="188"/>
      <c r="F632" s="168" t="s">
        <v>6202</v>
      </c>
      <c r="G632" s="193">
        <f>IF(_1_5412845612146241046457891017[[#This Row],[Type]]&gt;0,VLOOKUP(_1_5412845612146241046457891017[[#This Row],[Type]],Main[[#All],[TYPE]:[UNIT]],'Unit Price'!C$1,FALSE),0)</f>
        <v>0</v>
      </c>
      <c r="H632" s="197">
        <f>IF(_1_5412845612146241046457891017[[#This Row],[Type]]&gt;0,VLOOKUP(_1_5412845612146241046457891017[[#This Row],[Type]],Main[[#All],[TYPE]:[UNIT]],'Unit Price'!D$1,FALSE),0)</f>
        <v>0</v>
      </c>
      <c r="I632" s="194">
        <f>IF(_1_5412845612146241046457891017[[#This Row],[Type]]&gt;0,VLOOKUP(_1_5412845612146241046457891017[[#This Row],[Type]],Main[[#All],[TYPE]:[UNIT]],'Unit Price'!G$1,FALSE),0)</f>
        <v>0</v>
      </c>
      <c r="J632" s="194">
        <f>IF(_1_5412845612146241046457891017[[#This Row],[Type]]&gt;0,VLOOKUP(_1_5412845612146241046457891017[[#This Row],[Type]],Main[[#All],[TYPE]:[UNIT]],'Unit Price'!H$1,FALSE),0)</f>
        <v>0</v>
      </c>
      <c r="K632" s="194">
        <f>IF(_1_5412845612146241046457891017[[#This Row],[Discount selection]]&gt;0,VLOOKUP(_1_5412845612146241046457891017[[#This Row],[Discount selection]],'Discount Structure'!$A$2:$B$30,2,"false"),0)</f>
        <v>1</v>
      </c>
      <c r="L632" s="194">
        <f>_1_5412845612146241046457891017[[#This Row],[LIST $]]*_1_5412845612146241046457891017[[#This Row],[DISCOUNT]]*_1_5412845612146241046457891017[[#This Row],[DISCOUNT 2]]</f>
        <v>0</v>
      </c>
      <c r="M632" s="194">
        <f>IF(OR(_1_5412845612146241046457891017[[#This Row],[UNIT]]&gt;0,_1_5412845612146241046457891017[[#This Row],[UNIT]]&lt;0),_1_5412845612146241046457891017[[#This Row],[UNIT]]*_1_5412845612146241046457891017[[#This Row],[COST]],0)</f>
        <v>0</v>
      </c>
      <c r="N632" s="194">
        <f t="shared" si="9"/>
        <v>1.35</v>
      </c>
      <c r="O632" s="198">
        <f>_1_5412845612146241046457891017[[#This Row],[TOTAL]]*_1_5412845612146241046457891017[[#This Row],[MARGIN]]</f>
        <v>0</v>
      </c>
      <c r="R632" s="41"/>
    </row>
    <row r="633" spans="4:18">
      <c r="D633" s="188"/>
      <c r="F633" s="168" t="s">
        <v>6202</v>
      </c>
      <c r="G633" s="193">
        <f>IF(_1_5412845612146241046457891017[[#This Row],[Type]]&gt;0,VLOOKUP(_1_5412845612146241046457891017[[#This Row],[Type]],Main[[#All],[TYPE]:[UNIT]],'Unit Price'!C$1,FALSE),0)</f>
        <v>0</v>
      </c>
      <c r="H633" s="197">
        <f>IF(_1_5412845612146241046457891017[[#This Row],[Type]]&gt;0,VLOOKUP(_1_5412845612146241046457891017[[#This Row],[Type]],Main[[#All],[TYPE]:[UNIT]],'Unit Price'!D$1,FALSE),0)</f>
        <v>0</v>
      </c>
      <c r="I633" s="194">
        <f>IF(_1_5412845612146241046457891017[[#This Row],[Type]]&gt;0,VLOOKUP(_1_5412845612146241046457891017[[#This Row],[Type]],Main[[#All],[TYPE]:[UNIT]],'Unit Price'!G$1,FALSE),0)</f>
        <v>0</v>
      </c>
      <c r="J633" s="194">
        <f>IF(_1_5412845612146241046457891017[[#This Row],[Type]]&gt;0,VLOOKUP(_1_5412845612146241046457891017[[#This Row],[Type]],Main[[#All],[TYPE]:[UNIT]],'Unit Price'!H$1,FALSE),0)</f>
        <v>0</v>
      </c>
      <c r="K633" s="194">
        <f>IF(_1_5412845612146241046457891017[[#This Row],[Discount selection]]&gt;0,VLOOKUP(_1_5412845612146241046457891017[[#This Row],[Discount selection]],'Discount Structure'!$A$2:$B$30,2,"false"),0)</f>
        <v>1</v>
      </c>
      <c r="L633" s="194">
        <f>_1_5412845612146241046457891017[[#This Row],[LIST $]]*_1_5412845612146241046457891017[[#This Row],[DISCOUNT]]*_1_5412845612146241046457891017[[#This Row],[DISCOUNT 2]]</f>
        <v>0</v>
      </c>
      <c r="M633" s="194">
        <f>IF(OR(_1_5412845612146241046457891017[[#This Row],[UNIT]]&gt;0,_1_5412845612146241046457891017[[#This Row],[UNIT]]&lt;0),_1_5412845612146241046457891017[[#This Row],[UNIT]]*_1_5412845612146241046457891017[[#This Row],[COST]],0)</f>
        <v>0</v>
      </c>
      <c r="N633" s="194">
        <f t="shared" si="9"/>
        <v>1.35</v>
      </c>
      <c r="O633" s="198">
        <f>_1_5412845612146241046457891017[[#This Row],[TOTAL]]*_1_5412845612146241046457891017[[#This Row],[MARGIN]]</f>
        <v>0</v>
      </c>
      <c r="R633" s="41"/>
    </row>
    <row r="634" spans="4:18">
      <c r="D634" s="188"/>
      <c r="F634" s="168" t="s">
        <v>6202</v>
      </c>
      <c r="G634" s="193">
        <f>IF(_1_5412845612146241046457891017[[#This Row],[Type]]&gt;0,VLOOKUP(_1_5412845612146241046457891017[[#This Row],[Type]],Main[[#All],[TYPE]:[UNIT]],'Unit Price'!C$1,FALSE),0)</f>
        <v>0</v>
      </c>
      <c r="H634" s="197">
        <f>IF(_1_5412845612146241046457891017[[#This Row],[Type]]&gt;0,VLOOKUP(_1_5412845612146241046457891017[[#This Row],[Type]],Main[[#All],[TYPE]:[UNIT]],'Unit Price'!D$1,FALSE),0)</f>
        <v>0</v>
      </c>
      <c r="I634" s="194">
        <f>IF(_1_5412845612146241046457891017[[#This Row],[Type]]&gt;0,VLOOKUP(_1_5412845612146241046457891017[[#This Row],[Type]],Main[[#All],[TYPE]:[UNIT]],'Unit Price'!G$1,FALSE),0)</f>
        <v>0</v>
      </c>
      <c r="J634" s="194">
        <f>IF(_1_5412845612146241046457891017[[#This Row],[Type]]&gt;0,VLOOKUP(_1_5412845612146241046457891017[[#This Row],[Type]],Main[[#All],[TYPE]:[UNIT]],'Unit Price'!H$1,FALSE),0)</f>
        <v>0</v>
      </c>
      <c r="K634" s="194">
        <f>IF(_1_5412845612146241046457891017[[#This Row],[Discount selection]]&gt;0,VLOOKUP(_1_5412845612146241046457891017[[#This Row],[Discount selection]],'Discount Structure'!$A$2:$B$30,2,"false"),0)</f>
        <v>1</v>
      </c>
      <c r="L634" s="194">
        <f>_1_5412845612146241046457891017[[#This Row],[LIST $]]*_1_5412845612146241046457891017[[#This Row],[DISCOUNT]]*_1_5412845612146241046457891017[[#This Row],[DISCOUNT 2]]</f>
        <v>0</v>
      </c>
      <c r="M634" s="194">
        <f>IF(OR(_1_5412845612146241046457891017[[#This Row],[UNIT]]&gt;0,_1_5412845612146241046457891017[[#This Row],[UNIT]]&lt;0),_1_5412845612146241046457891017[[#This Row],[UNIT]]*_1_5412845612146241046457891017[[#This Row],[COST]],0)</f>
        <v>0</v>
      </c>
      <c r="N634" s="194">
        <f t="shared" si="9"/>
        <v>1.35</v>
      </c>
      <c r="O634" s="198">
        <f>_1_5412845612146241046457891017[[#This Row],[TOTAL]]*_1_5412845612146241046457891017[[#This Row],[MARGIN]]</f>
        <v>0</v>
      </c>
      <c r="R634" s="41"/>
    </row>
    <row r="635" spans="4:18">
      <c r="D635" s="188"/>
      <c r="F635" s="168" t="s">
        <v>6202</v>
      </c>
      <c r="G635" s="193">
        <f>IF(_1_5412845612146241046457891017[[#This Row],[Type]]&gt;0,VLOOKUP(_1_5412845612146241046457891017[[#This Row],[Type]],Main[[#All],[TYPE]:[UNIT]],'Unit Price'!C$1,FALSE),0)</f>
        <v>0</v>
      </c>
      <c r="H635" s="197">
        <f>IF(_1_5412845612146241046457891017[[#This Row],[Type]]&gt;0,VLOOKUP(_1_5412845612146241046457891017[[#This Row],[Type]],Main[[#All],[TYPE]:[UNIT]],'Unit Price'!D$1,FALSE),0)</f>
        <v>0</v>
      </c>
      <c r="I635" s="194">
        <f>IF(_1_5412845612146241046457891017[[#This Row],[Type]]&gt;0,VLOOKUP(_1_5412845612146241046457891017[[#This Row],[Type]],Main[[#All],[TYPE]:[UNIT]],'Unit Price'!G$1,FALSE),0)</f>
        <v>0</v>
      </c>
      <c r="J635" s="194">
        <f>IF(_1_5412845612146241046457891017[[#This Row],[Type]]&gt;0,VLOOKUP(_1_5412845612146241046457891017[[#This Row],[Type]],Main[[#All],[TYPE]:[UNIT]],'Unit Price'!H$1,FALSE),0)</f>
        <v>0</v>
      </c>
      <c r="K635" s="194">
        <f>IF(_1_5412845612146241046457891017[[#This Row],[Discount selection]]&gt;0,VLOOKUP(_1_5412845612146241046457891017[[#This Row],[Discount selection]],'Discount Structure'!$A$2:$B$30,2,"false"),0)</f>
        <v>1</v>
      </c>
      <c r="L635" s="194">
        <f>_1_5412845612146241046457891017[[#This Row],[LIST $]]*_1_5412845612146241046457891017[[#This Row],[DISCOUNT]]*_1_5412845612146241046457891017[[#This Row],[DISCOUNT 2]]</f>
        <v>0</v>
      </c>
      <c r="M635" s="194">
        <f>IF(OR(_1_5412845612146241046457891017[[#This Row],[UNIT]]&gt;0,_1_5412845612146241046457891017[[#This Row],[UNIT]]&lt;0),_1_5412845612146241046457891017[[#This Row],[UNIT]]*_1_5412845612146241046457891017[[#This Row],[COST]],0)</f>
        <v>0</v>
      </c>
      <c r="N635" s="194">
        <f t="shared" si="9"/>
        <v>1.35</v>
      </c>
      <c r="O635" s="198">
        <f>_1_5412845612146241046457891017[[#This Row],[TOTAL]]*_1_5412845612146241046457891017[[#This Row],[MARGIN]]</f>
        <v>0</v>
      </c>
      <c r="R635" s="41"/>
    </row>
    <row r="636" spans="4:18">
      <c r="D636" s="188"/>
      <c r="F636" s="168" t="s">
        <v>6202</v>
      </c>
      <c r="G636" s="193">
        <f>IF(_1_5412845612146241046457891017[[#This Row],[Type]]&gt;0,VLOOKUP(_1_5412845612146241046457891017[[#This Row],[Type]],Main[[#All],[TYPE]:[UNIT]],'Unit Price'!C$1,FALSE),0)</f>
        <v>0</v>
      </c>
      <c r="H636" s="197">
        <f>IF(_1_5412845612146241046457891017[[#This Row],[Type]]&gt;0,VLOOKUP(_1_5412845612146241046457891017[[#This Row],[Type]],Main[[#All],[TYPE]:[UNIT]],'Unit Price'!D$1,FALSE),0)</f>
        <v>0</v>
      </c>
      <c r="I636" s="194">
        <f>IF(_1_5412845612146241046457891017[[#This Row],[Type]]&gt;0,VLOOKUP(_1_5412845612146241046457891017[[#This Row],[Type]],Main[[#All],[TYPE]:[UNIT]],'Unit Price'!G$1,FALSE),0)</f>
        <v>0</v>
      </c>
      <c r="J636" s="194">
        <f>IF(_1_5412845612146241046457891017[[#This Row],[Type]]&gt;0,VLOOKUP(_1_5412845612146241046457891017[[#This Row],[Type]],Main[[#All],[TYPE]:[UNIT]],'Unit Price'!H$1,FALSE),0)</f>
        <v>0</v>
      </c>
      <c r="K636" s="194">
        <f>IF(_1_5412845612146241046457891017[[#This Row],[Discount selection]]&gt;0,VLOOKUP(_1_5412845612146241046457891017[[#This Row],[Discount selection]],'Discount Structure'!$A$2:$B$30,2,"false"),0)</f>
        <v>1</v>
      </c>
      <c r="L636" s="194">
        <f>_1_5412845612146241046457891017[[#This Row],[LIST $]]*_1_5412845612146241046457891017[[#This Row],[DISCOUNT]]*_1_5412845612146241046457891017[[#This Row],[DISCOUNT 2]]</f>
        <v>0</v>
      </c>
      <c r="M636" s="194">
        <f>IF(OR(_1_5412845612146241046457891017[[#This Row],[UNIT]]&gt;0,_1_5412845612146241046457891017[[#This Row],[UNIT]]&lt;0),_1_5412845612146241046457891017[[#This Row],[UNIT]]*_1_5412845612146241046457891017[[#This Row],[COST]],0)</f>
        <v>0</v>
      </c>
      <c r="N636" s="194">
        <f t="shared" si="9"/>
        <v>1.35</v>
      </c>
      <c r="O636" s="198">
        <f>_1_5412845612146241046457891017[[#This Row],[TOTAL]]*_1_5412845612146241046457891017[[#This Row],[MARGIN]]</f>
        <v>0</v>
      </c>
      <c r="R636" s="41"/>
    </row>
    <row r="637" spans="4:18">
      <c r="D637" s="188"/>
      <c r="F637" s="168" t="s">
        <v>6202</v>
      </c>
      <c r="G637" s="193">
        <f>IF(_1_5412845612146241046457891017[[#This Row],[Type]]&gt;0,VLOOKUP(_1_5412845612146241046457891017[[#This Row],[Type]],Main[[#All],[TYPE]:[UNIT]],'Unit Price'!C$1,FALSE),0)</f>
        <v>0</v>
      </c>
      <c r="H637" s="197">
        <f>IF(_1_5412845612146241046457891017[[#This Row],[Type]]&gt;0,VLOOKUP(_1_5412845612146241046457891017[[#This Row],[Type]],Main[[#All],[TYPE]:[UNIT]],'Unit Price'!D$1,FALSE),0)</f>
        <v>0</v>
      </c>
      <c r="I637" s="194">
        <f>IF(_1_5412845612146241046457891017[[#This Row],[Type]]&gt;0,VLOOKUP(_1_5412845612146241046457891017[[#This Row],[Type]],Main[[#All],[TYPE]:[UNIT]],'Unit Price'!G$1,FALSE),0)</f>
        <v>0</v>
      </c>
      <c r="J637" s="194">
        <f>IF(_1_5412845612146241046457891017[[#This Row],[Type]]&gt;0,VLOOKUP(_1_5412845612146241046457891017[[#This Row],[Type]],Main[[#All],[TYPE]:[UNIT]],'Unit Price'!H$1,FALSE),0)</f>
        <v>0</v>
      </c>
      <c r="K637" s="194">
        <f>IF(_1_5412845612146241046457891017[[#This Row],[Discount selection]]&gt;0,VLOOKUP(_1_5412845612146241046457891017[[#This Row],[Discount selection]],'Discount Structure'!$A$2:$B$30,2,"false"),0)</f>
        <v>1</v>
      </c>
      <c r="L637" s="194">
        <f>_1_5412845612146241046457891017[[#This Row],[LIST $]]*_1_5412845612146241046457891017[[#This Row],[DISCOUNT]]*_1_5412845612146241046457891017[[#This Row],[DISCOUNT 2]]</f>
        <v>0</v>
      </c>
      <c r="M637" s="194">
        <f>IF(OR(_1_5412845612146241046457891017[[#This Row],[UNIT]]&gt;0,_1_5412845612146241046457891017[[#This Row],[UNIT]]&lt;0),_1_5412845612146241046457891017[[#This Row],[UNIT]]*_1_5412845612146241046457891017[[#This Row],[COST]],0)</f>
        <v>0</v>
      </c>
      <c r="N637" s="194">
        <f t="shared" si="9"/>
        <v>1.35</v>
      </c>
      <c r="O637" s="198">
        <f>_1_5412845612146241046457891017[[#This Row],[TOTAL]]*_1_5412845612146241046457891017[[#This Row],[MARGIN]]</f>
        <v>0</v>
      </c>
      <c r="R637" s="41"/>
    </row>
    <row r="638" spans="4:18">
      <c r="D638" s="188"/>
      <c r="F638" s="168" t="s">
        <v>6202</v>
      </c>
      <c r="G638" s="193">
        <f>IF(_1_5412845612146241046457891017[[#This Row],[Type]]&gt;0,VLOOKUP(_1_5412845612146241046457891017[[#This Row],[Type]],Main[[#All],[TYPE]:[UNIT]],'Unit Price'!C$1,FALSE),0)</f>
        <v>0</v>
      </c>
      <c r="H638" s="197">
        <f>IF(_1_5412845612146241046457891017[[#This Row],[Type]]&gt;0,VLOOKUP(_1_5412845612146241046457891017[[#This Row],[Type]],Main[[#All],[TYPE]:[UNIT]],'Unit Price'!D$1,FALSE),0)</f>
        <v>0</v>
      </c>
      <c r="I638" s="194">
        <f>IF(_1_5412845612146241046457891017[[#This Row],[Type]]&gt;0,VLOOKUP(_1_5412845612146241046457891017[[#This Row],[Type]],Main[[#All],[TYPE]:[UNIT]],'Unit Price'!G$1,FALSE),0)</f>
        <v>0</v>
      </c>
      <c r="J638" s="194">
        <f>IF(_1_5412845612146241046457891017[[#This Row],[Type]]&gt;0,VLOOKUP(_1_5412845612146241046457891017[[#This Row],[Type]],Main[[#All],[TYPE]:[UNIT]],'Unit Price'!H$1,FALSE),0)</f>
        <v>0</v>
      </c>
      <c r="K638" s="194">
        <f>IF(_1_5412845612146241046457891017[[#This Row],[Discount selection]]&gt;0,VLOOKUP(_1_5412845612146241046457891017[[#This Row],[Discount selection]],'Discount Structure'!$A$2:$B$30,2,"false"),0)</f>
        <v>1</v>
      </c>
      <c r="L638" s="194">
        <f>_1_5412845612146241046457891017[[#This Row],[LIST $]]*_1_5412845612146241046457891017[[#This Row],[DISCOUNT]]*_1_5412845612146241046457891017[[#This Row],[DISCOUNT 2]]</f>
        <v>0</v>
      </c>
      <c r="M638" s="194">
        <f>IF(OR(_1_5412845612146241046457891017[[#This Row],[UNIT]]&gt;0,_1_5412845612146241046457891017[[#This Row],[UNIT]]&lt;0),_1_5412845612146241046457891017[[#This Row],[UNIT]]*_1_5412845612146241046457891017[[#This Row],[COST]],0)</f>
        <v>0</v>
      </c>
      <c r="N638" s="194">
        <f t="shared" si="9"/>
        <v>1.35</v>
      </c>
      <c r="O638" s="198">
        <f>_1_5412845612146241046457891017[[#This Row],[TOTAL]]*_1_5412845612146241046457891017[[#This Row],[MARGIN]]</f>
        <v>0</v>
      </c>
      <c r="R638" s="41"/>
    </row>
    <row r="639" spans="4:18">
      <c r="D639" s="188"/>
      <c r="F639" s="168" t="s">
        <v>6202</v>
      </c>
      <c r="G639" s="193">
        <f>IF(_1_5412845612146241046457891017[[#This Row],[Type]]&gt;0,VLOOKUP(_1_5412845612146241046457891017[[#This Row],[Type]],Main[[#All],[TYPE]:[UNIT]],'Unit Price'!C$1,FALSE),0)</f>
        <v>0</v>
      </c>
      <c r="H639" s="197">
        <f>IF(_1_5412845612146241046457891017[[#This Row],[Type]]&gt;0,VLOOKUP(_1_5412845612146241046457891017[[#This Row],[Type]],Main[[#All],[TYPE]:[UNIT]],'Unit Price'!D$1,FALSE),0)</f>
        <v>0</v>
      </c>
      <c r="I639" s="194">
        <f>IF(_1_5412845612146241046457891017[[#This Row],[Type]]&gt;0,VLOOKUP(_1_5412845612146241046457891017[[#This Row],[Type]],Main[[#All],[TYPE]:[UNIT]],'Unit Price'!G$1,FALSE),0)</f>
        <v>0</v>
      </c>
      <c r="J639" s="194">
        <f>IF(_1_5412845612146241046457891017[[#This Row],[Type]]&gt;0,VLOOKUP(_1_5412845612146241046457891017[[#This Row],[Type]],Main[[#All],[TYPE]:[UNIT]],'Unit Price'!H$1,FALSE),0)</f>
        <v>0</v>
      </c>
      <c r="K639" s="194">
        <f>IF(_1_5412845612146241046457891017[[#This Row],[Discount selection]]&gt;0,VLOOKUP(_1_5412845612146241046457891017[[#This Row],[Discount selection]],'Discount Structure'!$A$2:$B$30,2,"false"),0)</f>
        <v>1</v>
      </c>
      <c r="L639" s="194">
        <f>_1_5412845612146241046457891017[[#This Row],[LIST $]]*_1_5412845612146241046457891017[[#This Row],[DISCOUNT]]*_1_5412845612146241046457891017[[#This Row],[DISCOUNT 2]]</f>
        <v>0</v>
      </c>
      <c r="M639" s="194">
        <f>IF(OR(_1_5412845612146241046457891017[[#This Row],[UNIT]]&gt;0,_1_5412845612146241046457891017[[#This Row],[UNIT]]&lt;0),_1_5412845612146241046457891017[[#This Row],[UNIT]]*_1_5412845612146241046457891017[[#This Row],[COST]],0)</f>
        <v>0</v>
      </c>
      <c r="N639" s="194">
        <f t="shared" si="9"/>
        <v>1.35</v>
      </c>
      <c r="O639" s="198">
        <f>_1_5412845612146241046457891017[[#This Row],[TOTAL]]*_1_5412845612146241046457891017[[#This Row],[MARGIN]]</f>
        <v>0</v>
      </c>
      <c r="R639" s="41"/>
    </row>
    <row r="640" spans="4:18">
      <c r="D640" s="188"/>
      <c r="F640" s="168" t="s">
        <v>6202</v>
      </c>
      <c r="G640" s="193">
        <f>IF(_1_5412845612146241046457891017[[#This Row],[Type]]&gt;0,VLOOKUP(_1_5412845612146241046457891017[[#This Row],[Type]],Main[[#All],[TYPE]:[UNIT]],'Unit Price'!C$1,FALSE),0)</f>
        <v>0</v>
      </c>
      <c r="H640" s="197">
        <f>IF(_1_5412845612146241046457891017[[#This Row],[Type]]&gt;0,VLOOKUP(_1_5412845612146241046457891017[[#This Row],[Type]],Main[[#All],[TYPE]:[UNIT]],'Unit Price'!D$1,FALSE),0)</f>
        <v>0</v>
      </c>
      <c r="I640" s="194">
        <f>IF(_1_5412845612146241046457891017[[#This Row],[Type]]&gt;0,VLOOKUP(_1_5412845612146241046457891017[[#This Row],[Type]],Main[[#All],[TYPE]:[UNIT]],'Unit Price'!G$1,FALSE),0)</f>
        <v>0</v>
      </c>
      <c r="J640" s="194">
        <f>IF(_1_5412845612146241046457891017[[#This Row],[Type]]&gt;0,VLOOKUP(_1_5412845612146241046457891017[[#This Row],[Type]],Main[[#All],[TYPE]:[UNIT]],'Unit Price'!H$1,FALSE),0)</f>
        <v>0</v>
      </c>
      <c r="K640" s="194">
        <f>IF(_1_5412845612146241046457891017[[#This Row],[Discount selection]]&gt;0,VLOOKUP(_1_5412845612146241046457891017[[#This Row],[Discount selection]],'Discount Structure'!$A$2:$B$30,2,"false"),0)</f>
        <v>1</v>
      </c>
      <c r="L640" s="194">
        <f>_1_5412845612146241046457891017[[#This Row],[LIST $]]*_1_5412845612146241046457891017[[#This Row],[DISCOUNT]]*_1_5412845612146241046457891017[[#This Row],[DISCOUNT 2]]</f>
        <v>0</v>
      </c>
      <c r="M640" s="194">
        <f>IF(OR(_1_5412845612146241046457891017[[#This Row],[UNIT]]&gt;0,_1_5412845612146241046457891017[[#This Row],[UNIT]]&lt;0),_1_5412845612146241046457891017[[#This Row],[UNIT]]*_1_5412845612146241046457891017[[#This Row],[COST]],0)</f>
        <v>0</v>
      </c>
      <c r="N640" s="194">
        <f t="shared" si="9"/>
        <v>1.35</v>
      </c>
      <c r="O640" s="198">
        <f>_1_5412845612146241046457891017[[#This Row],[TOTAL]]*_1_5412845612146241046457891017[[#This Row],[MARGIN]]</f>
        <v>0</v>
      </c>
      <c r="R640" s="41"/>
    </row>
    <row r="641" spans="4:18">
      <c r="D641" s="188"/>
      <c r="F641" s="168" t="s">
        <v>6202</v>
      </c>
      <c r="G641" s="193">
        <f>IF(_1_5412845612146241046457891017[[#This Row],[Type]]&gt;0,VLOOKUP(_1_5412845612146241046457891017[[#This Row],[Type]],Main[[#All],[TYPE]:[UNIT]],'Unit Price'!C$1,FALSE),0)</f>
        <v>0</v>
      </c>
      <c r="H641" s="197">
        <f>IF(_1_5412845612146241046457891017[[#This Row],[Type]]&gt;0,VLOOKUP(_1_5412845612146241046457891017[[#This Row],[Type]],Main[[#All],[TYPE]:[UNIT]],'Unit Price'!D$1,FALSE),0)</f>
        <v>0</v>
      </c>
      <c r="I641" s="194">
        <f>IF(_1_5412845612146241046457891017[[#This Row],[Type]]&gt;0,VLOOKUP(_1_5412845612146241046457891017[[#This Row],[Type]],Main[[#All],[TYPE]:[UNIT]],'Unit Price'!G$1,FALSE),0)</f>
        <v>0</v>
      </c>
      <c r="J641" s="194">
        <f>IF(_1_5412845612146241046457891017[[#This Row],[Type]]&gt;0,VLOOKUP(_1_5412845612146241046457891017[[#This Row],[Type]],Main[[#All],[TYPE]:[UNIT]],'Unit Price'!H$1,FALSE),0)</f>
        <v>0</v>
      </c>
      <c r="K641" s="194">
        <f>IF(_1_5412845612146241046457891017[[#This Row],[Discount selection]]&gt;0,VLOOKUP(_1_5412845612146241046457891017[[#This Row],[Discount selection]],'Discount Structure'!$A$2:$B$30,2,"false"),0)</f>
        <v>1</v>
      </c>
      <c r="L641" s="194">
        <f>_1_5412845612146241046457891017[[#This Row],[LIST $]]*_1_5412845612146241046457891017[[#This Row],[DISCOUNT]]*_1_5412845612146241046457891017[[#This Row],[DISCOUNT 2]]</f>
        <v>0</v>
      </c>
      <c r="M641" s="194">
        <f>IF(OR(_1_5412845612146241046457891017[[#This Row],[UNIT]]&gt;0,_1_5412845612146241046457891017[[#This Row],[UNIT]]&lt;0),_1_5412845612146241046457891017[[#This Row],[UNIT]]*_1_5412845612146241046457891017[[#This Row],[COST]],0)</f>
        <v>0</v>
      </c>
      <c r="N641" s="194">
        <f t="shared" si="9"/>
        <v>1.35</v>
      </c>
      <c r="O641" s="198">
        <f>_1_5412845612146241046457891017[[#This Row],[TOTAL]]*_1_5412845612146241046457891017[[#This Row],[MARGIN]]</f>
        <v>0</v>
      </c>
      <c r="R641" s="41"/>
    </row>
    <row r="642" spans="4:18">
      <c r="D642" s="188"/>
      <c r="F642" s="168" t="s">
        <v>6202</v>
      </c>
      <c r="G642" s="193">
        <f>IF(_1_5412845612146241046457891017[[#This Row],[Type]]&gt;0,VLOOKUP(_1_5412845612146241046457891017[[#This Row],[Type]],Main[[#All],[TYPE]:[UNIT]],'Unit Price'!C$1,FALSE),0)</f>
        <v>0</v>
      </c>
      <c r="H642" s="197">
        <f>IF(_1_5412845612146241046457891017[[#This Row],[Type]]&gt;0,VLOOKUP(_1_5412845612146241046457891017[[#This Row],[Type]],Main[[#All],[TYPE]:[UNIT]],'Unit Price'!D$1,FALSE),0)</f>
        <v>0</v>
      </c>
      <c r="I642" s="194">
        <f>IF(_1_5412845612146241046457891017[[#This Row],[Type]]&gt;0,VLOOKUP(_1_5412845612146241046457891017[[#This Row],[Type]],Main[[#All],[TYPE]:[UNIT]],'Unit Price'!G$1,FALSE),0)</f>
        <v>0</v>
      </c>
      <c r="J642" s="194">
        <f>IF(_1_5412845612146241046457891017[[#This Row],[Type]]&gt;0,VLOOKUP(_1_5412845612146241046457891017[[#This Row],[Type]],Main[[#All],[TYPE]:[UNIT]],'Unit Price'!H$1,FALSE),0)</f>
        <v>0</v>
      </c>
      <c r="K642" s="194">
        <f>IF(_1_5412845612146241046457891017[[#This Row],[Discount selection]]&gt;0,VLOOKUP(_1_5412845612146241046457891017[[#This Row],[Discount selection]],'Discount Structure'!$A$2:$B$30,2,"false"),0)</f>
        <v>1</v>
      </c>
      <c r="L642" s="194">
        <f>_1_5412845612146241046457891017[[#This Row],[LIST $]]*_1_5412845612146241046457891017[[#This Row],[DISCOUNT]]*_1_5412845612146241046457891017[[#This Row],[DISCOUNT 2]]</f>
        <v>0</v>
      </c>
      <c r="M642" s="194">
        <f>IF(OR(_1_5412845612146241046457891017[[#This Row],[UNIT]]&gt;0,_1_5412845612146241046457891017[[#This Row],[UNIT]]&lt;0),_1_5412845612146241046457891017[[#This Row],[UNIT]]*_1_5412845612146241046457891017[[#This Row],[COST]],0)</f>
        <v>0</v>
      </c>
      <c r="N642" s="194">
        <f t="shared" si="9"/>
        <v>1.35</v>
      </c>
      <c r="O642" s="198">
        <f>_1_5412845612146241046457891017[[#This Row],[TOTAL]]*_1_5412845612146241046457891017[[#This Row],[MARGIN]]</f>
        <v>0</v>
      </c>
      <c r="R642" s="41"/>
    </row>
    <row r="643" spans="4:18">
      <c r="D643" s="188"/>
      <c r="F643" s="168" t="s">
        <v>6202</v>
      </c>
      <c r="G643" s="193">
        <f>IF(_1_5412845612146241046457891017[[#This Row],[Type]]&gt;0,VLOOKUP(_1_5412845612146241046457891017[[#This Row],[Type]],Main[[#All],[TYPE]:[UNIT]],'Unit Price'!C$1,FALSE),0)</f>
        <v>0</v>
      </c>
      <c r="H643" s="197">
        <f>IF(_1_5412845612146241046457891017[[#This Row],[Type]]&gt;0,VLOOKUP(_1_5412845612146241046457891017[[#This Row],[Type]],Main[[#All],[TYPE]:[UNIT]],'Unit Price'!D$1,FALSE),0)</f>
        <v>0</v>
      </c>
      <c r="I643" s="194">
        <f>IF(_1_5412845612146241046457891017[[#This Row],[Type]]&gt;0,VLOOKUP(_1_5412845612146241046457891017[[#This Row],[Type]],Main[[#All],[TYPE]:[UNIT]],'Unit Price'!G$1,FALSE),0)</f>
        <v>0</v>
      </c>
      <c r="J643" s="194">
        <f>IF(_1_5412845612146241046457891017[[#This Row],[Type]]&gt;0,VLOOKUP(_1_5412845612146241046457891017[[#This Row],[Type]],Main[[#All],[TYPE]:[UNIT]],'Unit Price'!H$1,FALSE),0)</f>
        <v>0</v>
      </c>
      <c r="K643" s="194">
        <f>IF(_1_5412845612146241046457891017[[#This Row],[Discount selection]]&gt;0,VLOOKUP(_1_5412845612146241046457891017[[#This Row],[Discount selection]],'Discount Structure'!$A$2:$B$30,2,"false"),0)</f>
        <v>1</v>
      </c>
      <c r="L643" s="194">
        <f>_1_5412845612146241046457891017[[#This Row],[LIST $]]*_1_5412845612146241046457891017[[#This Row],[DISCOUNT]]*_1_5412845612146241046457891017[[#This Row],[DISCOUNT 2]]</f>
        <v>0</v>
      </c>
      <c r="M643" s="194">
        <f>IF(OR(_1_5412845612146241046457891017[[#This Row],[UNIT]]&gt;0,_1_5412845612146241046457891017[[#This Row],[UNIT]]&lt;0),_1_5412845612146241046457891017[[#This Row],[UNIT]]*_1_5412845612146241046457891017[[#This Row],[COST]],0)</f>
        <v>0</v>
      </c>
      <c r="N643" s="194">
        <f t="shared" si="9"/>
        <v>1.35</v>
      </c>
      <c r="O643" s="198">
        <f>_1_5412845612146241046457891017[[#This Row],[TOTAL]]*_1_5412845612146241046457891017[[#This Row],[MARGIN]]</f>
        <v>0</v>
      </c>
      <c r="R643" s="41"/>
    </row>
    <row r="644" spans="4:18">
      <c r="D644" s="188"/>
      <c r="F644" s="168" t="s">
        <v>6202</v>
      </c>
      <c r="G644" s="193">
        <f>IF(_1_5412845612146241046457891017[[#This Row],[Type]]&gt;0,VLOOKUP(_1_5412845612146241046457891017[[#This Row],[Type]],Main[[#All],[TYPE]:[UNIT]],'Unit Price'!C$1,FALSE),0)</f>
        <v>0</v>
      </c>
      <c r="H644" s="197">
        <f>IF(_1_5412845612146241046457891017[[#This Row],[Type]]&gt;0,VLOOKUP(_1_5412845612146241046457891017[[#This Row],[Type]],Main[[#All],[TYPE]:[UNIT]],'Unit Price'!D$1,FALSE),0)</f>
        <v>0</v>
      </c>
      <c r="I644" s="194">
        <f>IF(_1_5412845612146241046457891017[[#This Row],[Type]]&gt;0,VLOOKUP(_1_5412845612146241046457891017[[#This Row],[Type]],Main[[#All],[TYPE]:[UNIT]],'Unit Price'!G$1,FALSE),0)</f>
        <v>0</v>
      </c>
      <c r="J644" s="194">
        <f>IF(_1_5412845612146241046457891017[[#This Row],[Type]]&gt;0,VLOOKUP(_1_5412845612146241046457891017[[#This Row],[Type]],Main[[#All],[TYPE]:[UNIT]],'Unit Price'!H$1,FALSE),0)</f>
        <v>0</v>
      </c>
      <c r="K644" s="194">
        <f>IF(_1_5412845612146241046457891017[[#This Row],[Discount selection]]&gt;0,VLOOKUP(_1_5412845612146241046457891017[[#This Row],[Discount selection]],'Discount Structure'!$A$2:$B$30,2,"false"),0)</f>
        <v>1</v>
      </c>
      <c r="L644" s="194">
        <f>_1_5412845612146241046457891017[[#This Row],[LIST $]]*_1_5412845612146241046457891017[[#This Row],[DISCOUNT]]*_1_5412845612146241046457891017[[#This Row],[DISCOUNT 2]]</f>
        <v>0</v>
      </c>
      <c r="M644" s="194">
        <f>IF(OR(_1_5412845612146241046457891017[[#This Row],[UNIT]]&gt;0,_1_5412845612146241046457891017[[#This Row],[UNIT]]&lt;0),_1_5412845612146241046457891017[[#This Row],[UNIT]]*_1_5412845612146241046457891017[[#This Row],[COST]],0)</f>
        <v>0</v>
      </c>
      <c r="N644" s="194">
        <f t="shared" si="9"/>
        <v>1.35</v>
      </c>
      <c r="O644" s="198">
        <f>_1_5412845612146241046457891017[[#This Row],[TOTAL]]*_1_5412845612146241046457891017[[#This Row],[MARGIN]]</f>
        <v>0</v>
      </c>
      <c r="R644" s="41"/>
    </row>
    <row r="645" spans="4:18">
      <c r="D645" s="188"/>
      <c r="F645" s="168" t="s">
        <v>6202</v>
      </c>
      <c r="G645" s="193">
        <f>IF(_1_5412845612146241046457891017[[#This Row],[Type]]&gt;0,VLOOKUP(_1_5412845612146241046457891017[[#This Row],[Type]],Main[[#All],[TYPE]:[UNIT]],'Unit Price'!C$1,FALSE),0)</f>
        <v>0</v>
      </c>
      <c r="H645" s="197">
        <f>IF(_1_5412845612146241046457891017[[#This Row],[Type]]&gt;0,VLOOKUP(_1_5412845612146241046457891017[[#This Row],[Type]],Main[[#All],[TYPE]:[UNIT]],'Unit Price'!D$1,FALSE),0)</f>
        <v>0</v>
      </c>
      <c r="I645" s="194">
        <f>IF(_1_5412845612146241046457891017[[#This Row],[Type]]&gt;0,VLOOKUP(_1_5412845612146241046457891017[[#This Row],[Type]],Main[[#All],[TYPE]:[UNIT]],'Unit Price'!G$1,FALSE),0)</f>
        <v>0</v>
      </c>
      <c r="J645" s="194">
        <f>IF(_1_5412845612146241046457891017[[#This Row],[Type]]&gt;0,VLOOKUP(_1_5412845612146241046457891017[[#This Row],[Type]],Main[[#All],[TYPE]:[UNIT]],'Unit Price'!H$1,FALSE),0)</f>
        <v>0</v>
      </c>
      <c r="K645" s="194">
        <f>IF(_1_5412845612146241046457891017[[#This Row],[Discount selection]]&gt;0,VLOOKUP(_1_5412845612146241046457891017[[#This Row],[Discount selection]],'Discount Structure'!$A$2:$B$30,2,"false"),0)</f>
        <v>1</v>
      </c>
      <c r="L645" s="194">
        <f>_1_5412845612146241046457891017[[#This Row],[LIST $]]*_1_5412845612146241046457891017[[#This Row],[DISCOUNT]]*_1_5412845612146241046457891017[[#This Row],[DISCOUNT 2]]</f>
        <v>0</v>
      </c>
      <c r="M645" s="194">
        <f>IF(OR(_1_5412845612146241046457891017[[#This Row],[UNIT]]&gt;0,_1_5412845612146241046457891017[[#This Row],[UNIT]]&lt;0),_1_5412845612146241046457891017[[#This Row],[UNIT]]*_1_5412845612146241046457891017[[#This Row],[COST]],0)</f>
        <v>0</v>
      </c>
      <c r="N645" s="194">
        <f t="shared" si="9"/>
        <v>1.35</v>
      </c>
      <c r="O645" s="198">
        <f>_1_5412845612146241046457891017[[#This Row],[TOTAL]]*_1_5412845612146241046457891017[[#This Row],[MARGIN]]</f>
        <v>0</v>
      </c>
      <c r="R645" s="41"/>
    </row>
    <row r="646" spans="4:18">
      <c r="D646" s="188"/>
      <c r="F646" s="168" t="s">
        <v>6202</v>
      </c>
      <c r="G646" s="193">
        <f>IF(_1_5412845612146241046457891017[[#This Row],[Type]]&gt;0,VLOOKUP(_1_5412845612146241046457891017[[#This Row],[Type]],Main[[#All],[TYPE]:[UNIT]],'Unit Price'!C$1,FALSE),0)</f>
        <v>0</v>
      </c>
      <c r="H646" s="197">
        <f>IF(_1_5412845612146241046457891017[[#This Row],[Type]]&gt;0,VLOOKUP(_1_5412845612146241046457891017[[#This Row],[Type]],Main[[#All],[TYPE]:[UNIT]],'Unit Price'!D$1,FALSE),0)</f>
        <v>0</v>
      </c>
      <c r="I646" s="194">
        <f>IF(_1_5412845612146241046457891017[[#This Row],[Type]]&gt;0,VLOOKUP(_1_5412845612146241046457891017[[#This Row],[Type]],Main[[#All],[TYPE]:[UNIT]],'Unit Price'!G$1,FALSE),0)</f>
        <v>0</v>
      </c>
      <c r="J646" s="194">
        <f>IF(_1_5412845612146241046457891017[[#This Row],[Type]]&gt;0,VLOOKUP(_1_5412845612146241046457891017[[#This Row],[Type]],Main[[#All],[TYPE]:[UNIT]],'Unit Price'!H$1,FALSE),0)</f>
        <v>0</v>
      </c>
      <c r="K646" s="194">
        <f>IF(_1_5412845612146241046457891017[[#This Row],[Discount selection]]&gt;0,VLOOKUP(_1_5412845612146241046457891017[[#This Row],[Discount selection]],'Discount Structure'!$A$2:$B$30,2,"false"),0)</f>
        <v>1</v>
      </c>
      <c r="L646" s="194">
        <f>_1_5412845612146241046457891017[[#This Row],[LIST $]]*_1_5412845612146241046457891017[[#This Row],[DISCOUNT]]*_1_5412845612146241046457891017[[#This Row],[DISCOUNT 2]]</f>
        <v>0</v>
      </c>
      <c r="M646" s="194">
        <f>IF(OR(_1_5412845612146241046457891017[[#This Row],[UNIT]]&gt;0,_1_5412845612146241046457891017[[#This Row],[UNIT]]&lt;0),_1_5412845612146241046457891017[[#This Row],[UNIT]]*_1_5412845612146241046457891017[[#This Row],[COST]],0)</f>
        <v>0</v>
      </c>
      <c r="N646" s="194">
        <f t="shared" si="9"/>
        <v>1.35</v>
      </c>
      <c r="O646" s="198">
        <f>_1_5412845612146241046457891017[[#This Row],[TOTAL]]*_1_5412845612146241046457891017[[#This Row],[MARGIN]]</f>
        <v>0</v>
      </c>
      <c r="R646" s="41"/>
    </row>
    <row r="647" spans="4:18">
      <c r="D647" s="188"/>
      <c r="F647" s="168" t="s">
        <v>6202</v>
      </c>
      <c r="G647" s="193">
        <f>IF(_1_5412845612146241046457891017[[#This Row],[Type]]&gt;0,VLOOKUP(_1_5412845612146241046457891017[[#This Row],[Type]],Main[[#All],[TYPE]:[UNIT]],'Unit Price'!C$1,FALSE),0)</f>
        <v>0</v>
      </c>
      <c r="H647" s="197">
        <f>IF(_1_5412845612146241046457891017[[#This Row],[Type]]&gt;0,VLOOKUP(_1_5412845612146241046457891017[[#This Row],[Type]],Main[[#All],[TYPE]:[UNIT]],'Unit Price'!D$1,FALSE),0)</f>
        <v>0</v>
      </c>
      <c r="I647" s="194">
        <f>IF(_1_5412845612146241046457891017[[#This Row],[Type]]&gt;0,VLOOKUP(_1_5412845612146241046457891017[[#This Row],[Type]],Main[[#All],[TYPE]:[UNIT]],'Unit Price'!G$1,FALSE),0)</f>
        <v>0</v>
      </c>
      <c r="J647" s="194">
        <f>IF(_1_5412845612146241046457891017[[#This Row],[Type]]&gt;0,VLOOKUP(_1_5412845612146241046457891017[[#This Row],[Type]],Main[[#All],[TYPE]:[UNIT]],'Unit Price'!H$1,FALSE),0)</f>
        <v>0</v>
      </c>
      <c r="K647" s="194">
        <f>IF(_1_5412845612146241046457891017[[#This Row],[Discount selection]]&gt;0,VLOOKUP(_1_5412845612146241046457891017[[#This Row],[Discount selection]],'Discount Structure'!$A$2:$B$30,2,"false"),0)</f>
        <v>1</v>
      </c>
      <c r="L647" s="194">
        <f>_1_5412845612146241046457891017[[#This Row],[LIST $]]*_1_5412845612146241046457891017[[#This Row],[DISCOUNT]]*_1_5412845612146241046457891017[[#This Row],[DISCOUNT 2]]</f>
        <v>0</v>
      </c>
      <c r="M647" s="194">
        <f>IF(OR(_1_5412845612146241046457891017[[#This Row],[UNIT]]&gt;0,_1_5412845612146241046457891017[[#This Row],[UNIT]]&lt;0),_1_5412845612146241046457891017[[#This Row],[UNIT]]*_1_5412845612146241046457891017[[#This Row],[COST]],0)</f>
        <v>0</v>
      </c>
      <c r="N647" s="194">
        <f t="shared" si="9"/>
        <v>1.35</v>
      </c>
      <c r="O647" s="198">
        <f>_1_5412845612146241046457891017[[#This Row],[TOTAL]]*_1_5412845612146241046457891017[[#This Row],[MARGIN]]</f>
        <v>0</v>
      </c>
      <c r="R647" s="41"/>
    </row>
    <row r="648" spans="4:18">
      <c r="D648" s="188"/>
      <c r="F648" s="168" t="s">
        <v>6202</v>
      </c>
      <c r="G648" s="193">
        <f>IF(_1_5412845612146241046457891017[[#This Row],[Type]]&gt;0,VLOOKUP(_1_5412845612146241046457891017[[#This Row],[Type]],Main[[#All],[TYPE]:[UNIT]],'Unit Price'!C$1,FALSE),0)</f>
        <v>0</v>
      </c>
      <c r="H648" s="197">
        <f>IF(_1_5412845612146241046457891017[[#This Row],[Type]]&gt;0,VLOOKUP(_1_5412845612146241046457891017[[#This Row],[Type]],Main[[#All],[TYPE]:[UNIT]],'Unit Price'!D$1,FALSE),0)</f>
        <v>0</v>
      </c>
      <c r="I648" s="194">
        <f>IF(_1_5412845612146241046457891017[[#This Row],[Type]]&gt;0,VLOOKUP(_1_5412845612146241046457891017[[#This Row],[Type]],Main[[#All],[TYPE]:[UNIT]],'Unit Price'!G$1,FALSE),0)</f>
        <v>0</v>
      </c>
      <c r="J648" s="194">
        <f>IF(_1_5412845612146241046457891017[[#This Row],[Type]]&gt;0,VLOOKUP(_1_5412845612146241046457891017[[#This Row],[Type]],Main[[#All],[TYPE]:[UNIT]],'Unit Price'!H$1,FALSE),0)</f>
        <v>0</v>
      </c>
      <c r="K648" s="194">
        <f>IF(_1_5412845612146241046457891017[[#This Row],[Discount selection]]&gt;0,VLOOKUP(_1_5412845612146241046457891017[[#This Row],[Discount selection]],'Discount Structure'!$A$2:$B$30,2,"false"),0)</f>
        <v>1</v>
      </c>
      <c r="L648" s="194">
        <f>_1_5412845612146241046457891017[[#This Row],[LIST $]]*_1_5412845612146241046457891017[[#This Row],[DISCOUNT]]*_1_5412845612146241046457891017[[#This Row],[DISCOUNT 2]]</f>
        <v>0</v>
      </c>
      <c r="M648" s="194">
        <f>IF(OR(_1_5412845612146241046457891017[[#This Row],[UNIT]]&gt;0,_1_5412845612146241046457891017[[#This Row],[UNIT]]&lt;0),_1_5412845612146241046457891017[[#This Row],[UNIT]]*_1_5412845612146241046457891017[[#This Row],[COST]],0)</f>
        <v>0</v>
      </c>
      <c r="N648" s="194">
        <f t="shared" si="9"/>
        <v>1.35</v>
      </c>
      <c r="O648" s="198">
        <f>_1_5412845612146241046457891017[[#This Row],[TOTAL]]*_1_5412845612146241046457891017[[#This Row],[MARGIN]]</f>
        <v>0</v>
      </c>
      <c r="R648" s="41"/>
    </row>
    <row r="649" spans="4:18">
      <c r="D649" s="188"/>
      <c r="F649" s="168" t="s">
        <v>6202</v>
      </c>
      <c r="G649" s="193">
        <f>IF(_1_5412845612146241046457891017[[#This Row],[Type]]&gt;0,VLOOKUP(_1_5412845612146241046457891017[[#This Row],[Type]],Main[[#All],[TYPE]:[UNIT]],'Unit Price'!C$1,FALSE),0)</f>
        <v>0</v>
      </c>
      <c r="H649" s="197">
        <f>IF(_1_5412845612146241046457891017[[#This Row],[Type]]&gt;0,VLOOKUP(_1_5412845612146241046457891017[[#This Row],[Type]],Main[[#All],[TYPE]:[UNIT]],'Unit Price'!D$1,FALSE),0)</f>
        <v>0</v>
      </c>
      <c r="I649" s="194">
        <f>IF(_1_5412845612146241046457891017[[#This Row],[Type]]&gt;0,VLOOKUP(_1_5412845612146241046457891017[[#This Row],[Type]],Main[[#All],[TYPE]:[UNIT]],'Unit Price'!G$1,FALSE),0)</f>
        <v>0</v>
      </c>
      <c r="J649" s="194">
        <f>IF(_1_5412845612146241046457891017[[#This Row],[Type]]&gt;0,VLOOKUP(_1_5412845612146241046457891017[[#This Row],[Type]],Main[[#All],[TYPE]:[UNIT]],'Unit Price'!H$1,FALSE),0)</f>
        <v>0</v>
      </c>
      <c r="K649" s="194">
        <f>IF(_1_5412845612146241046457891017[[#This Row],[Discount selection]]&gt;0,VLOOKUP(_1_5412845612146241046457891017[[#This Row],[Discount selection]],'Discount Structure'!$A$2:$B$30,2,"false"),0)</f>
        <v>1</v>
      </c>
      <c r="L649" s="194">
        <f>_1_5412845612146241046457891017[[#This Row],[LIST $]]*_1_5412845612146241046457891017[[#This Row],[DISCOUNT]]*_1_5412845612146241046457891017[[#This Row],[DISCOUNT 2]]</f>
        <v>0</v>
      </c>
      <c r="M649" s="194">
        <f>IF(OR(_1_5412845612146241046457891017[[#This Row],[UNIT]]&gt;0,_1_5412845612146241046457891017[[#This Row],[UNIT]]&lt;0),_1_5412845612146241046457891017[[#This Row],[UNIT]]*_1_5412845612146241046457891017[[#This Row],[COST]],0)</f>
        <v>0</v>
      </c>
      <c r="N649" s="194">
        <f t="shared" si="9"/>
        <v>1.35</v>
      </c>
      <c r="O649" s="198">
        <f>_1_5412845612146241046457891017[[#This Row],[TOTAL]]*_1_5412845612146241046457891017[[#This Row],[MARGIN]]</f>
        <v>0</v>
      </c>
      <c r="R649" s="41"/>
    </row>
    <row r="650" spans="4:18">
      <c r="D650" s="188"/>
      <c r="F650" s="168" t="s">
        <v>6202</v>
      </c>
      <c r="G650" s="193">
        <f>IF(_1_5412845612146241046457891017[[#This Row],[Type]]&gt;0,VLOOKUP(_1_5412845612146241046457891017[[#This Row],[Type]],Main[[#All],[TYPE]:[UNIT]],'Unit Price'!C$1,FALSE),0)</f>
        <v>0</v>
      </c>
      <c r="H650" s="197">
        <f>IF(_1_5412845612146241046457891017[[#This Row],[Type]]&gt;0,VLOOKUP(_1_5412845612146241046457891017[[#This Row],[Type]],Main[[#All],[TYPE]:[UNIT]],'Unit Price'!D$1,FALSE),0)</f>
        <v>0</v>
      </c>
      <c r="I650" s="194">
        <f>IF(_1_5412845612146241046457891017[[#This Row],[Type]]&gt;0,VLOOKUP(_1_5412845612146241046457891017[[#This Row],[Type]],Main[[#All],[TYPE]:[UNIT]],'Unit Price'!G$1,FALSE),0)</f>
        <v>0</v>
      </c>
      <c r="J650" s="194">
        <f>IF(_1_5412845612146241046457891017[[#This Row],[Type]]&gt;0,VLOOKUP(_1_5412845612146241046457891017[[#This Row],[Type]],Main[[#All],[TYPE]:[UNIT]],'Unit Price'!H$1,FALSE),0)</f>
        <v>0</v>
      </c>
      <c r="K650" s="194">
        <f>IF(_1_5412845612146241046457891017[[#This Row],[Discount selection]]&gt;0,VLOOKUP(_1_5412845612146241046457891017[[#This Row],[Discount selection]],'Discount Structure'!$A$2:$B$30,2,"false"),0)</f>
        <v>1</v>
      </c>
      <c r="L650" s="194">
        <f>_1_5412845612146241046457891017[[#This Row],[LIST $]]*_1_5412845612146241046457891017[[#This Row],[DISCOUNT]]*_1_5412845612146241046457891017[[#This Row],[DISCOUNT 2]]</f>
        <v>0</v>
      </c>
      <c r="M650" s="194">
        <f>IF(OR(_1_5412845612146241046457891017[[#This Row],[UNIT]]&gt;0,_1_5412845612146241046457891017[[#This Row],[UNIT]]&lt;0),_1_5412845612146241046457891017[[#This Row],[UNIT]]*_1_5412845612146241046457891017[[#This Row],[COST]],0)</f>
        <v>0</v>
      </c>
      <c r="N650" s="194">
        <f t="shared" ref="N650:N713" si="10">$N$7</f>
        <v>1.35</v>
      </c>
      <c r="O650" s="198">
        <f>_1_5412845612146241046457891017[[#This Row],[TOTAL]]*_1_5412845612146241046457891017[[#This Row],[MARGIN]]</f>
        <v>0</v>
      </c>
      <c r="R650" s="41"/>
    </row>
    <row r="651" spans="4:18">
      <c r="D651" s="188"/>
      <c r="F651" s="168" t="s">
        <v>6202</v>
      </c>
      <c r="G651" s="193">
        <f>IF(_1_5412845612146241046457891017[[#This Row],[Type]]&gt;0,VLOOKUP(_1_5412845612146241046457891017[[#This Row],[Type]],Main[[#All],[TYPE]:[UNIT]],'Unit Price'!C$1,FALSE),0)</f>
        <v>0</v>
      </c>
      <c r="H651" s="197">
        <f>IF(_1_5412845612146241046457891017[[#This Row],[Type]]&gt;0,VLOOKUP(_1_5412845612146241046457891017[[#This Row],[Type]],Main[[#All],[TYPE]:[UNIT]],'Unit Price'!D$1,FALSE),0)</f>
        <v>0</v>
      </c>
      <c r="I651" s="194">
        <f>IF(_1_5412845612146241046457891017[[#This Row],[Type]]&gt;0,VLOOKUP(_1_5412845612146241046457891017[[#This Row],[Type]],Main[[#All],[TYPE]:[UNIT]],'Unit Price'!G$1,FALSE),0)</f>
        <v>0</v>
      </c>
      <c r="J651" s="194">
        <f>IF(_1_5412845612146241046457891017[[#This Row],[Type]]&gt;0,VLOOKUP(_1_5412845612146241046457891017[[#This Row],[Type]],Main[[#All],[TYPE]:[UNIT]],'Unit Price'!H$1,FALSE),0)</f>
        <v>0</v>
      </c>
      <c r="K651" s="194">
        <f>IF(_1_5412845612146241046457891017[[#This Row],[Discount selection]]&gt;0,VLOOKUP(_1_5412845612146241046457891017[[#This Row],[Discount selection]],'Discount Structure'!$A$2:$B$30,2,"false"),0)</f>
        <v>1</v>
      </c>
      <c r="L651" s="194">
        <f>_1_5412845612146241046457891017[[#This Row],[LIST $]]*_1_5412845612146241046457891017[[#This Row],[DISCOUNT]]*_1_5412845612146241046457891017[[#This Row],[DISCOUNT 2]]</f>
        <v>0</v>
      </c>
      <c r="M651" s="194">
        <f>IF(OR(_1_5412845612146241046457891017[[#This Row],[UNIT]]&gt;0,_1_5412845612146241046457891017[[#This Row],[UNIT]]&lt;0),_1_5412845612146241046457891017[[#This Row],[UNIT]]*_1_5412845612146241046457891017[[#This Row],[COST]],0)</f>
        <v>0</v>
      </c>
      <c r="N651" s="194">
        <f t="shared" si="10"/>
        <v>1.35</v>
      </c>
      <c r="O651" s="198">
        <f>_1_5412845612146241046457891017[[#This Row],[TOTAL]]*_1_5412845612146241046457891017[[#This Row],[MARGIN]]</f>
        <v>0</v>
      </c>
      <c r="R651" s="41"/>
    </row>
    <row r="652" spans="4:18">
      <c r="D652" s="188"/>
      <c r="F652" s="168" t="s">
        <v>6202</v>
      </c>
      <c r="G652" s="193">
        <f>IF(_1_5412845612146241046457891017[[#This Row],[Type]]&gt;0,VLOOKUP(_1_5412845612146241046457891017[[#This Row],[Type]],Main[[#All],[TYPE]:[UNIT]],'Unit Price'!C$1,FALSE),0)</f>
        <v>0</v>
      </c>
      <c r="H652" s="197">
        <f>IF(_1_5412845612146241046457891017[[#This Row],[Type]]&gt;0,VLOOKUP(_1_5412845612146241046457891017[[#This Row],[Type]],Main[[#All],[TYPE]:[UNIT]],'Unit Price'!D$1,FALSE),0)</f>
        <v>0</v>
      </c>
      <c r="I652" s="194">
        <f>IF(_1_5412845612146241046457891017[[#This Row],[Type]]&gt;0,VLOOKUP(_1_5412845612146241046457891017[[#This Row],[Type]],Main[[#All],[TYPE]:[UNIT]],'Unit Price'!G$1,FALSE),0)</f>
        <v>0</v>
      </c>
      <c r="J652" s="194">
        <f>IF(_1_5412845612146241046457891017[[#This Row],[Type]]&gt;0,VLOOKUP(_1_5412845612146241046457891017[[#This Row],[Type]],Main[[#All],[TYPE]:[UNIT]],'Unit Price'!H$1,FALSE),0)</f>
        <v>0</v>
      </c>
      <c r="K652" s="194">
        <f>IF(_1_5412845612146241046457891017[[#This Row],[Discount selection]]&gt;0,VLOOKUP(_1_5412845612146241046457891017[[#This Row],[Discount selection]],'Discount Structure'!$A$2:$B$30,2,"false"),0)</f>
        <v>1</v>
      </c>
      <c r="L652" s="194">
        <f>_1_5412845612146241046457891017[[#This Row],[LIST $]]*_1_5412845612146241046457891017[[#This Row],[DISCOUNT]]*_1_5412845612146241046457891017[[#This Row],[DISCOUNT 2]]</f>
        <v>0</v>
      </c>
      <c r="M652" s="194">
        <f>IF(OR(_1_5412845612146241046457891017[[#This Row],[UNIT]]&gt;0,_1_5412845612146241046457891017[[#This Row],[UNIT]]&lt;0),_1_5412845612146241046457891017[[#This Row],[UNIT]]*_1_5412845612146241046457891017[[#This Row],[COST]],0)</f>
        <v>0</v>
      </c>
      <c r="N652" s="194">
        <f t="shared" si="10"/>
        <v>1.35</v>
      </c>
      <c r="O652" s="198">
        <f>_1_5412845612146241046457891017[[#This Row],[TOTAL]]*_1_5412845612146241046457891017[[#This Row],[MARGIN]]</f>
        <v>0</v>
      </c>
      <c r="R652" s="41"/>
    </row>
    <row r="653" spans="4:18">
      <c r="D653" s="188"/>
      <c r="F653" s="168" t="s">
        <v>6202</v>
      </c>
      <c r="G653" s="193">
        <f>IF(_1_5412845612146241046457891017[[#This Row],[Type]]&gt;0,VLOOKUP(_1_5412845612146241046457891017[[#This Row],[Type]],Main[[#All],[TYPE]:[UNIT]],'Unit Price'!C$1,FALSE),0)</f>
        <v>0</v>
      </c>
      <c r="H653" s="197">
        <f>IF(_1_5412845612146241046457891017[[#This Row],[Type]]&gt;0,VLOOKUP(_1_5412845612146241046457891017[[#This Row],[Type]],Main[[#All],[TYPE]:[UNIT]],'Unit Price'!D$1,FALSE),0)</f>
        <v>0</v>
      </c>
      <c r="I653" s="194">
        <f>IF(_1_5412845612146241046457891017[[#This Row],[Type]]&gt;0,VLOOKUP(_1_5412845612146241046457891017[[#This Row],[Type]],Main[[#All],[TYPE]:[UNIT]],'Unit Price'!G$1,FALSE),0)</f>
        <v>0</v>
      </c>
      <c r="J653" s="194">
        <f>IF(_1_5412845612146241046457891017[[#This Row],[Type]]&gt;0,VLOOKUP(_1_5412845612146241046457891017[[#This Row],[Type]],Main[[#All],[TYPE]:[UNIT]],'Unit Price'!H$1,FALSE),0)</f>
        <v>0</v>
      </c>
      <c r="K653" s="194">
        <f>IF(_1_5412845612146241046457891017[[#This Row],[Discount selection]]&gt;0,VLOOKUP(_1_5412845612146241046457891017[[#This Row],[Discount selection]],'Discount Structure'!$A$2:$B$30,2,"false"),0)</f>
        <v>1</v>
      </c>
      <c r="L653" s="194">
        <f>_1_5412845612146241046457891017[[#This Row],[LIST $]]*_1_5412845612146241046457891017[[#This Row],[DISCOUNT]]*_1_5412845612146241046457891017[[#This Row],[DISCOUNT 2]]</f>
        <v>0</v>
      </c>
      <c r="M653" s="194">
        <f>IF(OR(_1_5412845612146241046457891017[[#This Row],[UNIT]]&gt;0,_1_5412845612146241046457891017[[#This Row],[UNIT]]&lt;0),_1_5412845612146241046457891017[[#This Row],[UNIT]]*_1_5412845612146241046457891017[[#This Row],[COST]],0)</f>
        <v>0</v>
      </c>
      <c r="N653" s="194">
        <f t="shared" si="10"/>
        <v>1.35</v>
      </c>
      <c r="O653" s="198">
        <f>_1_5412845612146241046457891017[[#This Row],[TOTAL]]*_1_5412845612146241046457891017[[#This Row],[MARGIN]]</f>
        <v>0</v>
      </c>
      <c r="R653" s="41"/>
    </row>
    <row r="654" spans="4:18">
      <c r="D654" s="188"/>
      <c r="F654" s="168" t="s">
        <v>6202</v>
      </c>
      <c r="G654" s="193">
        <f>IF(_1_5412845612146241046457891017[[#This Row],[Type]]&gt;0,VLOOKUP(_1_5412845612146241046457891017[[#This Row],[Type]],Main[[#All],[TYPE]:[UNIT]],'Unit Price'!C$1,FALSE),0)</f>
        <v>0</v>
      </c>
      <c r="H654" s="197">
        <f>IF(_1_5412845612146241046457891017[[#This Row],[Type]]&gt;0,VLOOKUP(_1_5412845612146241046457891017[[#This Row],[Type]],Main[[#All],[TYPE]:[UNIT]],'Unit Price'!D$1,FALSE),0)</f>
        <v>0</v>
      </c>
      <c r="I654" s="194">
        <f>IF(_1_5412845612146241046457891017[[#This Row],[Type]]&gt;0,VLOOKUP(_1_5412845612146241046457891017[[#This Row],[Type]],Main[[#All],[TYPE]:[UNIT]],'Unit Price'!G$1,FALSE),0)</f>
        <v>0</v>
      </c>
      <c r="J654" s="194">
        <f>IF(_1_5412845612146241046457891017[[#This Row],[Type]]&gt;0,VLOOKUP(_1_5412845612146241046457891017[[#This Row],[Type]],Main[[#All],[TYPE]:[UNIT]],'Unit Price'!H$1,FALSE),0)</f>
        <v>0</v>
      </c>
      <c r="K654" s="194">
        <f>IF(_1_5412845612146241046457891017[[#This Row],[Discount selection]]&gt;0,VLOOKUP(_1_5412845612146241046457891017[[#This Row],[Discount selection]],'Discount Structure'!$A$2:$B$30,2,"false"),0)</f>
        <v>1</v>
      </c>
      <c r="L654" s="194">
        <f>_1_5412845612146241046457891017[[#This Row],[LIST $]]*_1_5412845612146241046457891017[[#This Row],[DISCOUNT]]*_1_5412845612146241046457891017[[#This Row],[DISCOUNT 2]]</f>
        <v>0</v>
      </c>
      <c r="M654" s="194">
        <f>IF(OR(_1_5412845612146241046457891017[[#This Row],[UNIT]]&gt;0,_1_5412845612146241046457891017[[#This Row],[UNIT]]&lt;0),_1_5412845612146241046457891017[[#This Row],[UNIT]]*_1_5412845612146241046457891017[[#This Row],[COST]],0)</f>
        <v>0</v>
      </c>
      <c r="N654" s="194">
        <f t="shared" si="10"/>
        <v>1.35</v>
      </c>
      <c r="O654" s="198">
        <f>_1_5412845612146241046457891017[[#This Row],[TOTAL]]*_1_5412845612146241046457891017[[#This Row],[MARGIN]]</f>
        <v>0</v>
      </c>
      <c r="R654" s="41"/>
    </row>
    <row r="655" spans="4:18">
      <c r="D655" s="188"/>
      <c r="F655" s="168" t="s">
        <v>6202</v>
      </c>
      <c r="G655" s="193">
        <f>IF(_1_5412845612146241046457891017[[#This Row],[Type]]&gt;0,VLOOKUP(_1_5412845612146241046457891017[[#This Row],[Type]],Main[[#All],[TYPE]:[UNIT]],'Unit Price'!C$1,FALSE),0)</f>
        <v>0</v>
      </c>
      <c r="H655" s="197">
        <f>IF(_1_5412845612146241046457891017[[#This Row],[Type]]&gt;0,VLOOKUP(_1_5412845612146241046457891017[[#This Row],[Type]],Main[[#All],[TYPE]:[UNIT]],'Unit Price'!D$1,FALSE),0)</f>
        <v>0</v>
      </c>
      <c r="I655" s="194">
        <f>IF(_1_5412845612146241046457891017[[#This Row],[Type]]&gt;0,VLOOKUP(_1_5412845612146241046457891017[[#This Row],[Type]],Main[[#All],[TYPE]:[UNIT]],'Unit Price'!G$1,FALSE),0)</f>
        <v>0</v>
      </c>
      <c r="J655" s="194">
        <f>IF(_1_5412845612146241046457891017[[#This Row],[Type]]&gt;0,VLOOKUP(_1_5412845612146241046457891017[[#This Row],[Type]],Main[[#All],[TYPE]:[UNIT]],'Unit Price'!H$1,FALSE),0)</f>
        <v>0</v>
      </c>
      <c r="K655" s="194">
        <f>IF(_1_5412845612146241046457891017[[#This Row],[Discount selection]]&gt;0,VLOOKUP(_1_5412845612146241046457891017[[#This Row],[Discount selection]],'Discount Structure'!$A$2:$B$30,2,"false"),0)</f>
        <v>1</v>
      </c>
      <c r="L655" s="194">
        <f>_1_5412845612146241046457891017[[#This Row],[LIST $]]*_1_5412845612146241046457891017[[#This Row],[DISCOUNT]]*_1_5412845612146241046457891017[[#This Row],[DISCOUNT 2]]</f>
        <v>0</v>
      </c>
      <c r="M655" s="194">
        <f>IF(OR(_1_5412845612146241046457891017[[#This Row],[UNIT]]&gt;0,_1_5412845612146241046457891017[[#This Row],[UNIT]]&lt;0),_1_5412845612146241046457891017[[#This Row],[UNIT]]*_1_5412845612146241046457891017[[#This Row],[COST]],0)</f>
        <v>0</v>
      </c>
      <c r="N655" s="194">
        <f t="shared" si="10"/>
        <v>1.35</v>
      </c>
      <c r="O655" s="198">
        <f>_1_5412845612146241046457891017[[#This Row],[TOTAL]]*_1_5412845612146241046457891017[[#This Row],[MARGIN]]</f>
        <v>0</v>
      </c>
      <c r="R655" s="41"/>
    </row>
    <row r="656" spans="4:18">
      <c r="D656" s="188"/>
      <c r="F656" s="168" t="s">
        <v>6202</v>
      </c>
      <c r="G656" s="193">
        <f>IF(_1_5412845612146241046457891017[[#This Row],[Type]]&gt;0,VLOOKUP(_1_5412845612146241046457891017[[#This Row],[Type]],Main[[#All],[TYPE]:[UNIT]],'Unit Price'!C$1,FALSE),0)</f>
        <v>0</v>
      </c>
      <c r="H656" s="197">
        <f>IF(_1_5412845612146241046457891017[[#This Row],[Type]]&gt;0,VLOOKUP(_1_5412845612146241046457891017[[#This Row],[Type]],Main[[#All],[TYPE]:[UNIT]],'Unit Price'!D$1,FALSE),0)</f>
        <v>0</v>
      </c>
      <c r="I656" s="194">
        <f>IF(_1_5412845612146241046457891017[[#This Row],[Type]]&gt;0,VLOOKUP(_1_5412845612146241046457891017[[#This Row],[Type]],Main[[#All],[TYPE]:[UNIT]],'Unit Price'!G$1,FALSE),0)</f>
        <v>0</v>
      </c>
      <c r="J656" s="194">
        <f>IF(_1_5412845612146241046457891017[[#This Row],[Type]]&gt;0,VLOOKUP(_1_5412845612146241046457891017[[#This Row],[Type]],Main[[#All],[TYPE]:[UNIT]],'Unit Price'!H$1,FALSE),0)</f>
        <v>0</v>
      </c>
      <c r="K656" s="194">
        <f>IF(_1_5412845612146241046457891017[[#This Row],[Discount selection]]&gt;0,VLOOKUP(_1_5412845612146241046457891017[[#This Row],[Discount selection]],'Discount Structure'!$A$2:$B$30,2,"false"),0)</f>
        <v>1</v>
      </c>
      <c r="L656" s="194">
        <f>_1_5412845612146241046457891017[[#This Row],[LIST $]]*_1_5412845612146241046457891017[[#This Row],[DISCOUNT]]*_1_5412845612146241046457891017[[#This Row],[DISCOUNT 2]]</f>
        <v>0</v>
      </c>
      <c r="M656" s="194">
        <f>IF(OR(_1_5412845612146241046457891017[[#This Row],[UNIT]]&gt;0,_1_5412845612146241046457891017[[#This Row],[UNIT]]&lt;0),_1_5412845612146241046457891017[[#This Row],[UNIT]]*_1_5412845612146241046457891017[[#This Row],[COST]],0)</f>
        <v>0</v>
      </c>
      <c r="N656" s="194">
        <f t="shared" si="10"/>
        <v>1.35</v>
      </c>
      <c r="O656" s="198">
        <f>_1_5412845612146241046457891017[[#This Row],[TOTAL]]*_1_5412845612146241046457891017[[#This Row],[MARGIN]]</f>
        <v>0</v>
      </c>
      <c r="R656" s="41"/>
    </row>
    <row r="657" spans="4:18">
      <c r="D657" s="188"/>
      <c r="F657" s="168" t="s">
        <v>6202</v>
      </c>
      <c r="G657" s="193">
        <f>IF(_1_5412845612146241046457891017[[#This Row],[Type]]&gt;0,VLOOKUP(_1_5412845612146241046457891017[[#This Row],[Type]],Main[[#All],[TYPE]:[UNIT]],'Unit Price'!C$1,FALSE),0)</f>
        <v>0</v>
      </c>
      <c r="H657" s="197">
        <f>IF(_1_5412845612146241046457891017[[#This Row],[Type]]&gt;0,VLOOKUP(_1_5412845612146241046457891017[[#This Row],[Type]],Main[[#All],[TYPE]:[UNIT]],'Unit Price'!D$1,FALSE),0)</f>
        <v>0</v>
      </c>
      <c r="I657" s="194">
        <f>IF(_1_5412845612146241046457891017[[#This Row],[Type]]&gt;0,VLOOKUP(_1_5412845612146241046457891017[[#This Row],[Type]],Main[[#All],[TYPE]:[UNIT]],'Unit Price'!G$1,FALSE),0)</f>
        <v>0</v>
      </c>
      <c r="J657" s="194">
        <f>IF(_1_5412845612146241046457891017[[#This Row],[Type]]&gt;0,VLOOKUP(_1_5412845612146241046457891017[[#This Row],[Type]],Main[[#All],[TYPE]:[UNIT]],'Unit Price'!H$1,FALSE),0)</f>
        <v>0</v>
      </c>
      <c r="K657" s="194">
        <f>IF(_1_5412845612146241046457891017[[#This Row],[Discount selection]]&gt;0,VLOOKUP(_1_5412845612146241046457891017[[#This Row],[Discount selection]],'Discount Structure'!$A$2:$B$30,2,"false"),0)</f>
        <v>1</v>
      </c>
      <c r="L657" s="194">
        <f>_1_5412845612146241046457891017[[#This Row],[LIST $]]*_1_5412845612146241046457891017[[#This Row],[DISCOUNT]]*_1_5412845612146241046457891017[[#This Row],[DISCOUNT 2]]</f>
        <v>0</v>
      </c>
      <c r="M657" s="194">
        <f>IF(OR(_1_5412845612146241046457891017[[#This Row],[UNIT]]&gt;0,_1_5412845612146241046457891017[[#This Row],[UNIT]]&lt;0),_1_5412845612146241046457891017[[#This Row],[UNIT]]*_1_5412845612146241046457891017[[#This Row],[COST]],0)</f>
        <v>0</v>
      </c>
      <c r="N657" s="194">
        <f t="shared" si="10"/>
        <v>1.35</v>
      </c>
      <c r="O657" s="198">
        <f>_1_5412845612146241046457891017[[#This Row],[TOTAL]]*_1_5412845612146241046457891017[[#This Row],[MARGIN]]</f>
        <v>0</v>
      </c>
      <c r="R657" s="41"/>
    </row>
    <row r="658" spans="4:18">
      <c r="D658" s="188"/>
      <c r="F658" s="168" t="s">
        <v>6202</v>
      </c>
      <c r="G658" s="193">
        <f>IF(_1_5412845612146241046457891017[[#This Row],[Type]]&gt;0,VLOOKUP(_1_5412845612146241046457891017[[#This Row],[Type]],Main[[#All],[TYPE]:[UNIT]],'Unit Price'!C$1,FALSE),0)</f>
        <v>0</v>
      </c>
      <c r="H658" s="197">
        <f>IF(_1_5412845612146241046457891017[[#This Row],[Type]]&gt;0,VLOOKUP(_1_5412845612146241046457891017[[#This Row],[Type]],Main[[#All],[TYPE]:[UNIT]],'Unit Price'!D$1,FALSE),0)</f>
        <v>0</v>
      </c>
      <c r="I658" s="194">
        <f>IF(_1_5412845612146241046457891017[[#This Row],[Type]]&gt;0,VLOOKUP(_1_5412845612146241046457891017[[#This Row],[Type]],Main[[#All],[TYPE]:[UNIT]],'Unit Price'!G$1,FALSE),0)</f>
        <v>0</v>
      </c>
      <c r="J658" s="194">
        <f>IF(_1_5412845612146241046457891017[[#This Row],[Type]]&gt;0,VLOOKUP(_1_5412845612146241046457891017[[#This Row],[Type]],Main[[#All],[TYPE]:[UNIT]],'Unit Price'!H$1,FALSE),0)</f>
        <v>0</v>
      </c>
      <c r="K658" s="194">
        <f>IF(_1_5412845612146241046457891017[[#This Row],[Discount selection]]&gt;0,VLOOKUP(_1_5412845612146241046457891017[[#This Row],[Discount selection]],'Discount Structure'!$A$2:$B$30,2,"false"),0)</f>
        <v>1</v>
      </c>
      <c r="L658" s="194">
        <f>_1_5412845612146241046457891017[[#This Row],[LIST $]]*_1_5412845612146241046457891017[[#This Row],[DISCOUNT]]*_1_5412845612146241046457891017[[#This Row],[DISCOUNT 2]]</f>
        <v>0</v>
      </c>
      <c r="M658" s="194">
        <f>IF(OR(_1_5412845612146241046457891017[[#This Row],[UNIT]]&gt;0,_1_5412845612146241046457891017[[#This Row],[UNIT]]&lt;0),_1_5412845612146241046457891017[[#This Row],[UNIT]]*_1_5412845612146241046457891017[[#This Row],[COST]],0)</f>
        <v>0</v>
      </c>
      <c r="N658" s="194">
        <f t="shared" si="10"/>
        <v>1.35</v>
      </c>
      <c r="O658" s="198">
        <f>_1_5412845612146241046457891017[[#This Row],[TOTAL]]*_1_5412845612146241046457891017[[#This Row],[MARGIN]]</f>
        <v>0</v>
      </c>
      <c r="R658" s="41"/>
    </row>
    <row r="659" spans="4:18">
      <c r="D659" s="188"/>
      <c r="F659" s="168" t="s">
        <v>6202</v>
      </c>
      <c r="G659" s="193">
        <f>IF(_1_5412845612146241046457891017[[#This Row],[Type]]&gt;0,VLOOKUP(_1_5412845612146241046457891017[[#This Row],[Type]],Main[[#All],[TYPE]:[UNIT]],'Unit Price'!C$1,FALSE),0)</f>
        <v>0</v>
      </c>
      <c r="H659" s="197">
        <f>IF(_1_5412845612146241046457891017[[#This Row],[Type]]&gt;0,VLOOKUP(_1_5412845612146241046457891017[[#This Row],[Type]],Main[[#All],[TYPE]:[UNIT]],'Unit Price'!D$1,FALSE),0)</f>
        <v>0</v>
      </c>
      <c r="I659" s="194">
        <f>IF(_1_5412845612146241046457891017[[#This Row],[Type]]&gt;0,VLOOKUP(_1_5412845612146241046457891017[[#This Row],[Type]],Main[[#All],[TYPE]:[UNIT]],'Unit Price'!G$1,FALSE),0)</f>
        <v>0</v>
      </c>
      <c r="J659" s="194">
        <f>IF(_1_5412845612146241046457891017[[#This Row],[Type]]&gt;0,VLOOKUP(_1_5412845612146241046457891017[[#This Row],[Type]],Main[[#All],[TYPE]:[UNIT]],'Unit Price'!H$1,FALSE),0)</f>
        <v>0</v>
      </c>
      <c r="K659" s="194">
        <f>IF(_1_5412845612146241046457891017[[#This Row],[Discount selection]]&gt;0,VLOOKUP(_1_5412845612146241046457891017[[#This Row],[Discount selection]],'Discount Structure'!$A$2:$B$30,2,"false"),0)</f>
        <v>1</v>
      </c>
      <c r="L659" s="194">
        <f>_1_5412845612146241046457891017[[#This Row],[LIST $]]*_1_5412845612146241046457891017[[#This Row],[DISCOUNT]]*_1_5412845612146241046457891017[[#This Row],[DISCOUNT 2]]</f>
        <v>0</v>
      </c>
      <c r="M659" s="194">
        <f>IF(OR(_1_5412845612146241046457891017[[#This Row],[UNIT]]&gt;0,_1_5412845612146241046457891017[[#This Row],[UNIT]]&lt;0),_1_5412845612146241046457891017[[#This Row],[UNIT]]*_1_5412845612146241046457891017[[#This Row],[COST]],0)</f>
        <v>0</v>
      </c>
      <c r="N659" s="194">
        <f t="shared" si="10"/>
        <v>1.35</v>
      </c>
      <c r="O659" s="198">
        <f>_1_5412845612146241046457891017[[#This Row],[TOTAL]]*_1_5412845612146241046457891017[[#This Row],[MARGIN]]</f>
        <v>0</v>
      </c>
      <c r="R659" s="41"/>
    </row>
    <row r="660" spans="4:18">
      <c r="D660" s="188"/>
      <c r="F660" s="168" t="s">
        <v>6202</v>
      </c>
      <c r="G660" s="193">
        <f>IF(_1_5412845612146241046457891017[[#This Row],[Type]]&gt;0,VLOOKUP(_1_5412845612146241046457891017[[#This Row],[Type]],Main[[#All],[TYPE]:[UNIT]],'Unit Price'!C$1,FALSE),0)</f>
        <v>0</v>
      </c>
      <c r="H660" s="197">
        <f>IF(_1_5412845612146241046457891017[[#This Row],[Type]]&gt;0,VLOOKUP(_1_5412845612146241046457891017[[#This Row],[Type]],Main[[#All],[TYPE]:[UNIT]],'Unit Price'!D$1,FALSE),0)</f>
        <v>0</v>
      </c>
      <c r="I660" s="194">
        <f>IF(_1_5412845612146241046457891017[[#This Row],[Type]]&gt;0,VLOOKUP(_1_5412845612146241046457891017[[#This Row],[Type]],Main[[#All],[TYPE]:[UNIT]],'Unit Price'!G$1,FALSE),0)</f>
        <v>0</v>
      </c>
      <c r="J660" s="194">
        <f>IF(_1_5412845612146241046457891017[[#This Row],[Type]]&gt;0,VLOOKUP(_1_5412845612146241046457891017[[#This Row],[Type]],Main[[#All],[TYPE]:[UNIT]],'Unit Price'!H$1,FALSE),0)</f>
        <v>0</v>
      </c>
      <c r="K660" s="194">
        <f>IF(_1_5412845612146241046457891017[[#This Row],[Discount selection]]&gt;0,VLOOKUP(_1_5412845612146241046457891017[[#This Row],[Discount selection]],'Discount Structure'!$A$2:$B$30,2,"false"),0)</f>
        <v>1</v>
      </c>
      <c r="L660" s="194">
        <f>_1_5412845612146241046457891017[[#This Row],[LIST $]]*_1_5412845612146241046457891017[[#This Row],[DISCOUNT]]*_1_5412845612146241046457891017[[#This Row],[DISCOUNT 2]]</f>
        <v>0</v>
      </c>
      <c r="M660" s="194">
        <f>IF(OR(_1_5412845612146241046457891017[[#This Row],[UNIT]]&gt;0,_1_5412845612146241046457891017[[#This Row],[UNIT]]&lt;0),_1_5412845612146241046457891017[[#This Row],[UNIT]]*_1_5412845612146241046457891017[[#This Row],[COST]],0)</f>
        <v>0</v>
      </c>
      <c r="N660" s="194">
        <f t="shared" si="10"/>
        <v>1.35</v>
      </c>
      <c r="O660" s="198">
        <f>_1_5412845612146241046457891017[[#This Row],[TOTAL]]*_1_5412845612146241046457891017[[#This Row],[MARGIN]]</f>
        <v>0</v>
      </c>
      <c r="R660" s="41"/>
    </row>
    <row r="661" spans="4:18">
      <c r="D661" s="188"/>
      <c r="F661" s="168" t="s">
        <v>6202</v>
      </c>
      <c r="G661" s="193">
        <f>IF(_1_5412845612146241046457891017[[#This Row],[Type]]&gt;0,VLOOKUP(_1_5412845612146241046457891017[[#This Row],[Type]],Main[[#All],[TYPE]:[UNIT]],'Unit Price'!C$1,FALSE),0)</f>
        <v>0</v>
      </c>
      <c r="H661" s="197">
        <f>IF(_1_5412845612146241046457891017[[#This Row],[Type]]&gt;0,VLOOKUP(_1_5412845612146241046457891017[[#This Row],[Type]],Main[[#All],[TYPE]:[UNIT]],'Unit Price'!D$1,FALSE),0)</f>
        <v>0</v>
      </c>
      <c r="I661" s="194">
        <f>IF(_1_5412845612146241046457891017[[#This Row],[Type]]&gt;0,VLOOKUP(_1_5412845612146241046457891017[[#This Row],[Type]],Main[[#All],[TYPE]:[UNIT]],'Unit Price'!G$1,FALSE),0)</f>
        <v>0</v>
      </c>
      <c r="J661" s="194">
        <f>IF(_1_5412845612146241046457891017[[#This Row],[Type]]&gt;0,VLOOKUP(_1_5412845612146241046457891017[[#This Row],[Type]],Main[[#All],[TYPE]:[UNIT]],'Unit Price'!H$1,FALSE),0)</f>
        <v>0</v>
      </c>
      <c r="K661" s="194">
        <f>IF(_1_5412845612146241046457891017[[#This Row],[Discount selection]]&gt;0,VLOOKUP(_1_5412845612146241046457891017[[#This Row],[Discount selection]],'Discount Structure'!$A$2:$B$30,2,"false"),0)</f>
        <v>1</v>
      </c>
      <c r="L661" s="194">
        <f>_1_5412845612146241046457891017[[#This Row],[LIST $]]*_1_5412845612146241046457891017[[#This Row],[DISCOUNT]]*_1_5412845612146241046457891017[[#This Row],[DISCOUNT 2]]</f>
        <v>0</v>
      </c>
      <c r="M661" s="194">
        <f>IF(OR(_1_5412845612146241046457891017[[#This Row],[UNIT]]&gt;0,_1_5412845612146241046457891017[[#This Row],[UNIT]]&lt;0),_1_5412845612146241046457891017[[#This Row],[UNIT]]*_1_5412845612146241046457891017[[#This Row],[COST]],0)</f>
        <v>0</v>
      </c>
      <c r="N661" s="194">
        <f t="shared" si="10"/>
        <v>1.35</v>
      </c>
      <c r="O661" s="198">
        <f>_1_5412845612146241046457891017[[#This Row],[TOTAL]]*_1_5412845612146241046457891017[[#This Row],[MARGIN]]</f>
        <v>0</v>
      </c>
      <c r="R661" s="41"/>
    </row>
    <row r="662" spans="4:18">
      <c r="D662" s="188"/>
      <c r="F662" s="168" t="s">
        <v>6202</v>
      </c>
      <c r="G662" s="193">
        <f>IF(_1_5412845612146241046457891017[[#This Row],[Type]]&gt;0,VLOOKUP(_1_5412845612146241046457891017[[#This Row],[Type]],Main[[#All],[TYPE]:[UNIT]],'Unit Price'!C$1,FALSE),0)</f>
        <v>0</v>
      </c>
      <c r="H662" s="197">
        <f>IF(_1_5412845612146241046457891017[[#This Row],[Type]]&gt;0,VLOOKUP(_1_5412845612146241046457891017[[#This Row],[Type]],Main[[#All],[TYPE]:[UNIT]],'Unit Price'!D$1,FALSE),0)</f>
        <v>0</v>
      </c>
      <c r="I662" s="194">
        <f>IF(_1_5412845612146241046457891017[[#This Row],[Type]]&gt;0,VLOOKUP(_1_5412845612146241046457891017[[#This Row],[Type]],Main[[#All],[TYPE]:[UNIT]],'Unit Price'!G$1,FALSE),0)</f>
        <v>0</v>
      </c>
      <c r="J662" s="194">
        <f>IF(_1_5412845612146241046457891017[[#This Row],[Type]]&gt;0,VLOOKUP(_1_5412845612146241046457891017[[#This Row],[Type]],Main[[#All],[TYPE]:[UNIT]],'Unit Price'!H$1,FALSE),0)</f>
        <v>0</v>
      </c>
      <c r="K662" s="194">
        <f>IF(_1_5412845612146241046457891017[[#This Row],[Discount selection]]&gt;0,VLOOKUP(_1_5412845612146241046457891017[[#This Row],[Discount selection]],'Discount Structure'!$A$2:$B$30,2,"false"),0)</f>
        <v>1</v>
      </c>
      <c r="L662" s="194">
        <f>_1_5412845612146241046457891017[[#This Row],[LIST $]]*_1_5412845612146241046457891017[[#This Row],[DISCOUNT]]*_1_5412845612146241046457891017[[#This Row],[DISCOUNT 2]]</f>
        <v>0</v>
      </c>
      <c r="M662" s="194">
        <f>IF(OR(_1_5412845612146241046457891017[[#This Row],[UNIT]]&gt;0,_1_5412845612146241046457891017[[#This Row],[UNIT]]&lt;0),_1_5412845612146241046457891017[[#This Row],[UNIT]]*_1_5412845612146241046457891017[[#This Row],[COST]],0)</f>
        <v>0</v>
      </c>
      <c r="N662" s="194">
        <f t="shared" si="10"/>
        <v>1.35</v>
      </c>
      <c r="O662" s="198">
        <f>_1_5412845612146241046457891017[[#This Row],[TOTAL]]*_1_5412845612146241046457891017[[#This Row],[MARGIN]]</f>
        <v>0</v>
      </c>
      <c r="R662" s="41"/>
    </row>
    <row r="663" spans="4:18">
      <c r="D663" s="188"/>
      <c r="F663" s="168" t="s">
        <v>6202</v>
      </c>
      <c r="G663" s="193">
        <f>IF(_1_5412845612146241046457891017[[#This Row],[Type]]&gt;0,VLOOKUP(_1_5412845612146241046457891017[[#This Row],[Type]],Main[[#All],[TYPE]:[UNIT]],'Unit Price'!C$1,FALSE),0)</f>
        <v>0</v>
      </c>
      <c r="H663" s="197">
        <f>IF(_1_5412845612146241046457891017[[#This Row],[Type]]&gt;0,VLOOKUP(_1_5412845612146241046457891017[[#This Row],[Type]],Main[[#All],[TYPE]:[UNIT]],'Unit Price'!D$1,FALSE),0)</f>
        <v>0</v>
      </c>
      <c r="I663" s="194">
        <f>IF(_1_5412845612146241046457891017[[#This Row],[Type]]&gt;0,VLOOKUP(_1_5412845612146241046457891017[[#This Row],[Type]],Main[[#All],[TYPE]:[UNIT]],'Unit Price'!G$1,FALSE),0)</f>
        <v>0</v>
      </c>
      <c r="J663" s="194">
        <f>IF(_1_5412845612146241046457891017[[#This Row],[Type]]&gt;0,VLOOKUP(_1_5412845612146241046457891017[[#This Row],[Type]],Main[[#All],[TYPE]:[UNIT]],'Unit Price'!H$1,FALSE),0)</f>
        <v>0</v>
      </c>
      <c r="K663" s="194">
        <f>IF(_1_5412845612146241046457891017[[#This Row],[Discount selection]]&gt;0,VLOOKUP(_1_5412845612146241046457891017[[#This Row],[Discount selection]],'Discount Structure'!$A$2:$B$30,2,"false"),0)</f>
        <v>1</v>
      </c>
      <c r="L663" s="194">
        <f>_1_5412845612146241046457891017[[#This Row],[LIST $]]*_1_5412845612146241046457891017[[#This Row],[DISCOUNT]]*_1_5412845612146241046457891017[[#This Row],[DISCOUNT 2]]</f>
        <v>0</v>
      </c>
      <c r="M663" s="194">
        <f>IF(OR(_1_5412845612146241046457891017[[#This Row],[UNIT]]&gt;0,_1_5412845612146241046457891017[[#This Row],[UNIT]]&lt;0),_1_5412845612146241046457891017[[#This Row],[UNIT]]*_1_5412845612146241046457891017[[#This Row],[COST]],0)</f>
        <v>0</v>
      </c>
      <c r="N663" s="194">
        <f t="shared" si="10"/>
        <v>1.35</v>
      </c>
      <c r="O663" s="198">
        <f>_1_5412845612146241046457891017[[#This Row],[TOTAL]]*_1_5412845612146241046457891017[[#This Row],[MARGIN]]</f>
        <v>0</v>
      </c>
      <c r="R663" s="41"/>
    </row>
    <row r="664" spans="4:18">
      <c r="D664" s="188"/>
      <c r="F664" s="168" t="s">
        <v>6202</v>
      </c>
      <c r="G664" s="193">
        <f>IF(_1_5412845612146241046457891017[[#This Row],[Type]]&gt;0,VLOOKUP(_1_5412845612146241046457891017[[#This Row],[Type]],Main[[#All],[TYPE]:[UNIT]],'Unit Price'!C$1,FALSE),0)</f>
        <v>0</v>
      </c>
      <c r="H664" s="197">
        <f>IF(_1_5412845612146241046457891017[[#This Row],[Type]]&gt;0,VLOOKUP(_1_5412845612146241046457891017[[#This Row],[Type]],Main[[#All],[TYPE]:[UNIT]],'Unit Price'!D$1,FALSE),0)</f>
        <v>0</v>
      </c>
      <c r="I664" s="194">
        <f>IF(_1_5412845612146241046457891017[[#This Row],[Type]]&gt;0,VLOOKUP(_1_5412845612146241046457891017[[#This Row],[Type]],Main[[#All],[TYPE]:[UNIT]],'Unit Price'!G$1,FALSE),0)</f>
        <v>0</v>
      </c>
      <c r="J664" s="194">
        <f>IF(_1_5412845612146241046457891017[[#This Row],[Type]]&gt;0,VLOOKUP(_1_5412845612146241046457891017[[#This Row],[Type]],Main[[#All],[TYPE]:[UNIT]],'Unit Price'!H$1,FALSE),0)</f>
        <v>0</v>
      </c>
      <c r="K664" s="194">
        <f>IF(_1_5412845612146241046457891017[[#This Row],[Discount selection]]&gt;0,VLOOKUP(_1_5412845612146241046457891017[[#This Row],[Discount selection]],'Discount Structure'!$A$2:$B$30,2,"false"),0)</f>
        <v>1</v>
      </c>
      <c r="L664" s="194">
        <f>_1_5412845612146241046457891017[[#This Row],[LIST $]]*_1_5412845612146241046457891017[[#This Row],[DISCOUNT]]*_1_5412845612146241046457891017[[#This Row],[DISCOUNT 2]]</f>
        <v>0</v>
      </c>
      <c r="M664" s="194">
        <f>IF(OR(_1_5412845612146241046457891017[[#This Row],[UNIT]]&gt;0,_1_5412845612146241046457891017[[#This Row],[UNIT]]&lt;0),_1_5412845612146241046457891017[[#This Row],[UNIT]]*_1_5412845612146241046457891017[[#This Row],[COST]],0)</f>
        <v>0</v>
      </c>
      <c r="N664" s="194">
        <f t="shared" si="10"/>
        <v>1.35</v>
      </c>
      <c r="O664" s="198">
        <f>_1_5412845612146241046457891017[[#This Row],[TOTAL]]*_1_5412845612146241046457891017[[#This Row],[MARGIN]]</f>
        <v>0</v>
      </c>
      <c r="R664" s="41"/>
    </row>
    <row r="665" spans="4:18">
      <c r="D665" s="188"/>
      <c r="F665" s="168" t="s">
        <v>6202</v>
      </c>
      <c r="G665" s="193">
        <f>IF(_1_5412845612146241046457891017[[#This Row],[Type]]&gt;0,VLOOKUP(_1_5412845612146241046457891017[[#This Row],[Type]],Main[[#All],[TYPE]:[UNIT]],'Unit Price'!C$1,FALSE),0)</f>
        <v>0</v>
      </c>
      <c r="H665" s="197">
        <f>IF(_1_5412845612146241046457891017[[#This Row],[Type]]&gt;0,VLOOKUP(_1_5412845612146241046457891017[[#This Row],[Type]],Main[[#All],[TYPE]:[UNIT]],'Unit Price'!D$1,FALSE),0)</f>
        <v>0</v>
      </c>
      <c r="I665" s="194">
        <f>IF(_1_5412845612146241046457891017[[#This Row],[Type]]&gt;0,VLOOKUP(_1_5412845612146241046457891017[[#This Row],[Type]],Main[[#All],[TYPE]:[UNIT]],'Unit Price'!G$1,FALSE),0)</f>
        <v>0</v>
      </c>
      <c r="J665" s="194">
        <f>IF(_1_5412845612146241046457891017[[#This Row],[Type]]&gt;0,VLOOKUP(_1_5412845612146241046457891017[[#This Row],[Type]],Main[[#All],[TYPE]:[UNIT]],'Unit Price'!H$1,FALSE),0)</f>
        <v>0</v>
      </c>
      <c r="K665" s="194">
        <f>IF(_1_5412845612146241046457891017[[#This Row],[Discount selection]]&gt;0,VLOOKUP(_1_5412845612146241046457891017[[#This Row],[Discount selection]],'Discount Structure'!$A$2:$B$30,2,"false"),0)</f>
        <v>1</v>
      </c>
      <c r="L665" s="194">
        <f>_1_5412845612146241046457891017[[#This Row],[LIST $]]*_1_5412845612146241046457891017[[#This Row],[DISCOUNT]]*_1_5412845612146241046457891017[[#This Row],[DISCOUNT 2]]</f>
        <v>0</v>
      </c>
      <c r="M665" s="194">
        <f>IF(OR(_1_5412845612146241046457891017[[#This Row],[UNIT]]&gt;0,_1_5412845612146241046457891017[[#This Row],[UNIT]]&lt;0),_1_5412845612146241046457891017[[#This Row],[UNIT]]*_1_5412845612146241046457891017[[#This Row],[COST]],0)</f>
        <v>0</v>
      </c>
      <c r="N665" s="194">
        <f t="shared" si="10"/>
        <v>1.35</v>
      </c>
      <c r="O665" s="198">
        <f>_1_5412845612146241046457891017[[#This Row],[TOTAL]]*_1_5412845612146241046457891017[[#This Row],[MARGIN]]</f>
        <v>0</v>
      </c>
      <c r="R665" s="41"/>
    </row>
    <row r="666" spans="4:18">
      <c r="D666" s="188"/>
      <c r="F666" s="168" t="s">
        <v>6202</v>
      </c>
      <c r="G666" s="193">
        <f>IF(_1_5412845612146241046457891017[[#This Row],[Type]]&gt;0,VLOOKUP(_1_5412845612146241046457891017[[#This Row],[Type]],Main[[#All],[TYPE]:[UNIT]],'Unit Price'!C$1,FALSE),0)</f>
        <v>0</v>
      </c>
      <c r="H666" s="197">
        <f>IF(_1_5412845612146241046457891017[[#This Row],[Type]]&gt;0,VLOOKUP(_1_5412845612146241046457891017[[#This Row],[Type]],Main[[#All],[TYPE]:[UNIT]],'Unit Price'!D$1,FALSE),0)</f>
        <v>0</v>
      </c>
      <c r="I666" s="194">
        <f>IF(_1_5412845612146241046457891017[[#This Row],[Type]]&gt;0,VLOOKUP(_1_5412845612146241046457891017[[#This Row],[Type]],Main[[#All],[TYPE]:[UNIT]],'Unit Price'!G$1,FALSE),0)</f>
        <v>0</v>
      </c>
      <c r="J666" s="194">
        <f>IF(_1_5412845612146241046457891017[[#This Row],[Type]]&gt;0,VLOOKUP(_1_5412845612146241046457891017[[#This Row],[Type]],Main[[#All],[TYPE]:[UNIT]],'Unit Price'!H$1,FALSE),0)</f>
        <v>0</v>
      </c>
      <c r="K666" s="194">
        <f>IF(_1_5412845612146241046457891017[[#This Row],[Discount selection]]&gt;0,VLOOKUP(_1_5412845612146241046457891017[[#This Row],[Discount selection]],'Discount Structure'!$A$2:$B$30,2,"false"),0)</f>
        <v>1</v>
      </c>
      <c r="L666" s="194">
        <f>_1_5412845612146241046457891017[[#This Row],[LIST $]]*_1_5412845612146241046457891017[[#This Row],[DISCOUNT]]*_1_5412845612146241046457891017[[#This Row],[DISCOUNT 2]]</f>
        <v>0</v>
      </c>
      <c r="M666" s="194">
        <f>IF(OR(_1_5412845612146241046457891017[[#This Row],[UNIT]]&gt;0,_1_5412845612146241046457891017[[#This Row],[UNIT]]&lt;0),_1_5412845612146241046457891017[[#This Row],[UNIT]]*_1_5412845612146241046457891017[[#This Row],[COST]],0)</f>
        <v>0</v>
      </c>
      <c r="N666" s="194">
        <f t="shared" si="10"/>
        <v>1.35</v>
      </c>
      <c r="O666" s="198">
        <f>_1_5412845612146241046457891017[[#This Row],[TOTAL]]*_1_5412845612146241046457891017[[#This Row],[MARGIN]]</f>
        <v>0</v>
      </c>
      <c r="R666" s="41"/>
    </row>
    <row r="667" spans="4:18">
      <c r="D667" s="188"/>
      <c r="F667" s="168" t="s">
        <v>6202</v>
      </c>
      <c r="G667" s="193">
        <f>IF(_1_5412845612146241046457891017[[#This Row],[Type]]&gt;0,VLOOKUP(_1_5412845612146241046457891017[[#This Row],[Type]],Main[[#All],[TYPE]:[UNIT]],'Unit Price'!C$1,FALSE),0)</f>
        <v>0</v>
      </c>
      <c r="H667" s="197">
        <f>IF(_1_5412845612146241046457891017[[#This Row],[Type]]&gt;0,VLOOKUP(_1_5412845612146241046457891017[[#This Row],[Type]],Main[[#All],[TYPE]:[UNIT]],'Unit Price'!D$1,FALSE),0)</f>
        <v>0</v>
      </c>
      <c r="I667" s="194">
        <f>IF(_1_5412845612146241046457891017[[#This Row],[Type]]&gt;0,VLOOKUP(_1_5412845612146241046457891017[[#This Row],[Type]],Main[[#All],[TYPE]:[UNIT]],'Unit Price'!G$1,FALSE),0)</f>
        <v>0</v>
      </c>
      <c r="J667" s="194">
        <f>IF(_1_5412845612146241046457891017[[#This Row],[Type]]&gt;0,VLOOKUP(_1_5412845612146241046457891017[[#This Row],[Type]],Main[[#All],[TYPE]:[UNIT]],'Unit Price'!H$1,FALSE),0)</f>
        <v>0</v>
      </c>
      <c r="K667" s="194">
        <f>IF(_1_5412845612146241046457891017[[#This Row],[Discount selection]]&gt;0,VLOOKUP(_1_5412845612146241046457891017[[#This Row],[Discount selection]],'Discount Structure'!$A$2:$B$30,2,"false"),0)</f>
        <v>1</v>
      </c>
      <c r="L667" s="194">
        <f>_1_5412845612146241046457891017[[#This Row],[LIST $]]*_1_5412845612146241046457891017[[#This Row],[DISCOUNT]]*_1_5412845612146241046457891017[[#This Row],[DISCOUNT 2]]</f>
        <v>0</v>
      </c>
      <c r="M667" s="194">
        <f>IF(OR(_1_5412845612146241046457891017[[#This Row],[UNIT]]&gt;0,_1_5412845612146241046457891017[[#This Row],[UNIT]]&lt;0),_1_5412845612146241046457891017[[#This Row],[UNIT]]*_1_5412845612146241046457891017[[#This Row],[COST]],0)</f>
        <v>0</v>
      </c>
      <c r="N667" s="194">
        <f t="shared" si="10"/>
        <v>1.35</v>
      </c>
      <c r="O667" s="198">
        <f>_1_5412845612146241046457891017[[#This Row],[TOTAL]]*_1_5412845612146241046457891017[[#This Row],[MARGIN]]</f>
        <v>0</v>
      </c>
      <c r="R667" s="41"/>
    </row>
    <row r="668" spans="4:18">
      <c r="D668" s="188"/>
      <c r="F668" s="168" t="s">
        <v>6202</v>
      </c>
      <c r="G668" s="193">
        <f>IF(_1_5412845612146241046457891017[[#This Row],[Type]]&gt;0,VLOOKUP(_1_5412845612146241046457891017[[#This Row],[Type]],Main[[#All],[TYPE]:[UNIT]],'Unit Price'!C$1,FALSE),0)</f>
        <v>0</v>
      </c>
      <c r="H668" s="197">
        <f>IF(_1_5412845612146241046457891017[[#This Row],[Type]]&gt;0,VLOOKUP(_1_5412845612146241046457891017[[#This Row],[Type]],Main[[#All],[TYPE]:[UNIT]],'Unit Price'!D$1,FALSE),0)</f>
        <v>0</v>
      </c>
      <c r="I668" s="194">
        <f>IF(_1_5412845612146241046457891017[[#This Row],[Type]]&gt;0,VLOOKUP(_1_5412845612146241046457891017[[#This Row],[Type]],Main[[#All],[TYPE]:[UNIT]],'Unit Price'!G$1,FALSE),0)</f>
        <v>0</v>
      </c>
      <c r="J668" s="194">
        <f>IF(_1_5412845612146241046457891017[[#This Row],[Type]]&gt;0,VLOOKUP(_1_5412845612146241046457891017[[#This Row],[Type]],Main[[#All],[TYPE]:[UNIT]],'Unit Price'!H$1,FALSE),0)</f>
        <v>0</v>
      </c>
      <c r="K668" s="194">
        <f>IF(_1_5412845612146241046457891017[[#This Row],[Discount selection]]&gt;0,VLOOKUP(_1_5412845612146241046457891017[[#This Row],[Discount selection]],'Discount Structure'!$A$2:$B$30,2,"false"),0)</f>
        <v>1</v>
      </c>
      <c r="L668" s="194">
        <f>_1_5412845612146241046457891017[[#This Row],[LIST $]]*_1_5412845612146241046457891017[[#This Row],[DISCOUNT]]*_1_5412845612146241046457891017[[#This Row],[DISCOUNT 2]]</f>
        <v>0</v>
      </c>
      <c r="M668" s="194">
        <f>IF(OR(_1_5412845612146241046457891017[[#This Row],[UNIT]]&gt;0,_1_5412845612146241046457891017[[#This Row],[UNIT]]&lt;0),_1_5412845612146241046457891017[[#This Row],[UNIT]]*_1_5412845612146241046457891017[[#This Row],[COST]],0)</f>
        <v>0</v>
      </c>
      <c r="N668" s="194">
        <f t="shared" si="10"/>
        <v>1.35</v>
      </c>
      <c r="O668" s="198">
        <f>_1_5412845612146241046457891017[[#This Row],[TOTAL]]*_1_5412845612146241046457891017[[#This Row],[MARGIN]]</f>
        <v>0</v>
      </c>
      <c r="R668" s="41"/>
    </row>
    <row r="669" spans="4:18">
      <c r="D669" s="188"/>
      <c r="F669" s="168" t="s">
        <v>6202</v>
      </c>
      <c r="G669" s="193">
        <f>IF(_1_5412845612146241046457891017[[#This Row],[Type]]&gt;0,VLOOKUP(_1_5412845612146241046457891017[[#This Row],[Type]],Main[[#All],[TYPE]:[UNIT]],'Unit Price'!C$1,FALSE),0)</f>
        <v>0</v>
      </c>
      <c r="H669" s="197">
        <f>IF(_1_5412845612146241046457891017[[#This Row],[Type]]&gt;0,VLOOKUP(_1_5412845612146241046457891017[[#This Row],[Type]],Main[[#All],[TYPE]:[UNIT]],'Unit Price'!D$1,FALSE),0)</f>
        <v>0</v>
      </c>
      <c r="I669" s="194">
        <f>IF(_1_5412845612146241046457891017[[#This Row],[Type]]&gt;0,VLOOKUP(_1_5412845612146241046457891017[[#This Row],[Type]],Main[[#All],[TYPE]:[UNIT]],'Unit Price'!G$1,FALSE),0)</f>
        <v>0</v>
      </c>
      <c r="J669" s="194">
        <f>IF(_1_5412845612146241046457891017[[#This Row],[Type]]&gt;0,VLOOKUP(_1_5412845612146241046457891017[[#This Row],[Type]],Main[[#All],[TYPE]:[UNIT]],'Unit Price'!H$1,FALSE),0)</f>
        <v>0</v>
      </c>
      <c r="K669" s="194">
        <f>IF(_1_5412845612146241046457891017[[#This Row],[Discount selection]]&gt;0,VLOOKUP(_1_5412845612146241046457891017[[#This Row],[Discount selection]],'Discount Structure'!$A$2:$B$30,2,"false"),0)</f>
        <v>1</v>
      </c>
      <c r="L669" s="194">
        <f>_1_5412845612146241046457891017[[#This Row],[LIST $]]*_1_5412845612146241046457891017[[#This Row],[DISCOUNT]]*_1_5412845612146241046457891017[[#This Row],[DISCOUNT 2]]</f>
        <v>0</v>
      </c>
      <c r="M669" s="194">
        <f>IF(OR(_1_5412845612146241046457891017[[#This Row],[UNIT]]&gt;0,_1_5412845612146241046457891017[[#This Row],[UNIT]]&lt;0),_1_5412845612146241046457891017[[#This Row],[UNIT]]*_1_5412845612146241046457891017[[#This Row],[COST]],0)</f>
        <v>0</v>
      </c>
      <c r="N669" s="194">
        <f t="shared" si="10"/>
        <v>1.35</v>
      </c>
      <c r="O669" s="198">
        <f>_1_5412845612146241046457891017[[#This Row],[TOTAL]]*_1_5412845612146241046457891017[[#This Row],[MARGIN]]</f>
        <v>0</v>
      </c>
      <c r="R669" s="41"/>
    </row>
    <row r="670" spans="4:18">
      <c r="D670" s="188"/>
      <c r="F670" s="168" t="s">
        <v>6202</v>
      </c>
      <c r="G670" s="193">
        <f>IF(_1_5412845612146241046457891017[[#This Row],[Type]]&gt;0,VLOOKUP(_1_5412845612146241046457891017[[#This Row],[Type]],Main[[#All],[TYPE]:[UNIT]],'Unit Price'!C$1,FALSE),0)</f>
        <v>0</v>
      </c>
      <c r="H670" s="197">
        <f>IF(_1_5412845612146241046457891017[[#This Row],[Type]]&gt;0,VLOOKUP(_1_5412845612146241046457891017[[#This Row],[Type]],Main[[#All],[TYPE]:[UNIT]],'Unit Price'!D$1,FALSE),0)</f>
        <v>0</v>
      </c>
      <c r="I670" s="194">
        <f>IF(_1_5412845612146241046457891017[[#This Row],[Type]]&gt;0,VLOOKUP(_1_5412845612146241046457891017[[#This Row],[Type]],Main[[#All],[TYPE]:[UNIT]],'Unit Price'!G$1,FALSE),0)</f>
        <v>0</v>
      </c>
      <c r="J670" s="194">
        <f>IF(_1_5412845612146241046457891017[[#This Row],[Type]]&gt;0,VLOOKUP(_1_5412845612146241046457891017[[#This Row],[Type]],Main[[#All],[TYPE]:[UNIT]],'Unit Price'!H$1,FALSE),0)</f>
        <v>0</v>
      </c>
      <c r="K670" s="194">
        <f>IF(_1_5412845612146241046457891017[[#This Row],[Discount selection]]&gt;0,VLOOKUP(_1_5412845612146241046457891017[[#This Row],[Discount selection]],'Discount Structure'!$A$2:$B$30,2,"false"),0)</f>
        <v>1</v>
      </c>
      <c r="L670" s="194">
        <f>_1_5412845612146241046457891017[[#This Row],[LIST $]]*_1_5412845612146241046457891017[[#This Row],[DISCOUNT]]*_1_5412845612146241046457891017[[#This Row],[DISCOUNT 2]]</f>
        <v>0</v>
      </c>
      <c r="M670" s="194">
        <f>IF(OR(_1_5412845612146241046457891017[[#This Row],[UNIT]]&gt;0,_1_5412845612146241046457891017[[#This Row],[UNIT]]&lt;0),_1_5412845612146241046457891017[[#This Row],[UNIT]]*_1_5412845612146241046457891017[[#This Row],[COST]],0)</f>
        <v>0</v>
      </c>
      <c r="N670" s="194">
        <f t="shared" si="10"/>
        <v>1.35</v>
      </c>
      <c r="O670" s="198">
        <f>_1_5412845612146241046457891017[[#This Row],[TOTAL]]*_1_5412845612146241046457891017[[#This Row],[MARGIN]]</f>
        <v>0</v>
      </c>
      <c r="R670" s="41"/>
    </row>
    <row r="671" spans="4:18">
      <c r="D671" s="188"/>
      <c r="F671" s="168" t="s">
        <v>6202</v>
      </c>
      <c r="G671" s="193">
        <f>IF(_1_5412845612146241046457891017[[#This Row],[Type]]&gt;0,VLOOKUP(_1_5412845612146241046457891017[[#This Row],[Type]],Main[[#All],[TYPE]:[UNIT]],'Unit Price'!C$1,FALSE),0)</f>
        <v>0</v>
      </c>
      <c r="H671" s="197">
        <f>IF(_1_5412845612146241046457891017[[#This Row],[Type]]&gt;0,VLOOKUP(_1_5412845612146241046457891017[[#This Row],[Type]],Main[[#All],[TYPE]:[UNIT]],'Unit Price'!D$1,FALSE),0)</f>
        <v>0</v>
      </c>
      <c r="I671" s="194">
        <f>IF(_1_5412845612146241046457891017[[#This Row],[Type]]&gt;0,VLOOKUP(_1_5412845612146241046457891017[[#This Row],[Type]],Main[[#All],[TYPE]:[UNIT]],'Unit Price'!G$1,FALSE),0)</f>
        <v>0</v>
      </c>
      <c r="J671" s="194">
        <f>IF(_1_5412845612146241046457891017[[#This Row],[Type]]&gt;0,VLOOKUP(_1_5412845612146241046457891017[[#This Row],[Type]],Main[[#All],[TYPE]:[UNIT]],'Unit Price'!H$1,FALSE),0)</f>
        <v>0</v>
      </c>
      <c r="K671" s="194">
        <f>IF(_1_5412845612146241046457891017[[#This Row],[Discount selection]]&gt;0,VLOOKUP(_1_5412845612146241046457891017[[#This Row],[Discount selection]],'Discount Structure'!$A$2:$B$30,2,"false"),0)</f>
        <v>1</v>
      </c>
      <c r="L671" s="194">
        <f>_1_5412845612146241046457891017[[#This Row],[LIST $]]*_1_5412845612146241046457891017[[#This Row],[DISCOUNT]]*_1_5412845612146241046457891017[[#This Row],[DISCOUNT 2]]</f>
        <v>0</v>
      </c>
      <c r="M671" s="194">
        <f>IF(OR(_1_5412845612146241046457891017[[#This Row],[UNIT]]&gt;0,_1_5412845612146241046457891017[[#This Row],[UNIT]]&lt;0),_1_5412845612146241046457891017[[#This Row],[UNIT]]*_1_5412845612146241046457891017[[#This Row],[COST]],0)</f>
        <v>0</v>
      </c>
      <c r="N671" s="194">
        <f t="shared" si="10"/>
        <v>1.35</v>
      </c>
      <c r="O671" s="198">
        <f>_1_5412845612146241046457891017[[#This Row],[TOTAL]]*_1_5412845612146241046457891017[[#This Row],[MARGIN]]</f>
        <v>0</v>
      </c>
      <c r="R671" s="41"/>
    </row>
    <row r="672" spans="4:18">
      <c r="D672" s="188"/>
      <c r="F672" s="168" t="s">
        <v>6202</v>
      </c>
      <c r="G672" s="193">
        <f>IF(_1_5412845612146241046457891017[[#This Row],[Type]]&gt;0,VLOOKUP(_1_5412845612146241046457891017[[#This Row],[Type]],Main[[#All],[TYPE]:[UNIT]],'Unit Price'!C$1,FALSE),0)</f>
        <v>0</v>
      </c>
      <c r="H672" s="197">
        <f>IF(_1_5412845612146241046457891017[[#This Row],[Type]]&gt;0,VLOOKUP(_1_5412845612146241046457891017[[#This Row],[Type]],Main[[#All],[TYPE]:[UNIT]],'Unit Price'!D$1,FALSE),0)</f>
        <v>0</v>
      </c>
      <c r="I672" s="194">
        <f>IF(_1_5412845612146241046457891017[[#This Row],[Type]]&gt;0,VLOOKUP(_1_5412845612146241046457891017[[#This Row],[Type]],Main[[#All],[TYPE]:[UNIT]],'Unit Price'!G$1,FALSE),0)</f>
        <v>0</v>
      </c>
      <c r="J672" s="194">
        <f>IF(_1_5412845612146241046457891017[[#This Row],[Type]]&gt;0,VLOOKUP(_1_5412845612146241046457891017[[#This Row],[Type]],Main[[#All],[TYPE]:[UNIT]],'Unit Price'!H$1,FALSE),0)</f>
        <v>0</v>
      </c>
      <c r="K672" s="194">
        <f>IF(_1_5412845612146241046457891017[[#This Row],[Discount selection]]&gt;0,VLOOKUP(_1_5412845612146241046457891017[[#This Row],[Discount selection]],'Discount Structure'!$A$2:$B$30,2,"false"),0)</f>
        <v>1</v>
      </c>
      <c r="L672" s="194">
        <f>_1_5412845612146241046457891017[[#This Row],[LIST $]]*_1_5412845612146241046457891017[[#This Row],[DISCOUNT]]*_1_5412845612146241046457891017[[#This Row],[DISCOUNT 2]]</f>
        <v>0</v>
      </c>
      <c r="M672" s="194">
        <f>IF(OR(_1_5412845612146241046457891017[[#This Row],[UNIT]]&gt;0,_1_5412845612146241046457891017[[#This Row],[UNIT]]&lt;0),_1_5412845612146241046457891017[[#This Row],[UNIT]]*_1_5412845612146241046457891017[[#This Row],[COST]],0)</f>
        <v>0</v>
      </c>
      <c r="N672" s="194">
        <f t="shared" si="10"/>
        <v>1.35</v>
      </c>
      <c r="O672" s="198">
        <f>_1_5412845612146241046457891017[[#This Row],[TOTAL]]*_1_5412845612146241046457891017[[#This Row],[MARGIN]]</f>
        <v>0</v>
      </c>
      <c r="R672" s="41"/>
    </row>
    <row r="673" spans="4:18">
      <c r="D673" s="188"/>
      <c r="F673" s="168" t="s">
        <v>6202</v>
      </c>
      <c r="G673" s="193">
        <f>IF(_1_5412845612146241046457891017[[#This Row],[Type]]&gt;0,VLOOKUP(_1_5412845612146241046457891017[[#This Row],[Type]],Main[[#All],[TYPE]:[UNIT]],'Unit Price'!C$1,FALSE),0)</f>
        <v>0</v>
      </c>
      <c r="H673" s="197">
        <f>IF(_1_5412845612146241046457891017[[#This Row],[Type]]&gt;0,VLOOKUP(_1_5412845612146241046457891017[[#This Row],[Type]],Main[[#All],[TYPE]:[UNIT]],'Unit Price'!D$1,FALSE),0)</f>
        <v>0</v>
      </c>
      <c r="I673" s="194">
        <f>IF(_1_5412845612146241046457891017[[#This Row],[Type]]&gt;0,VLOOKUP(_1_5412845612146241046457891017[[#This Row],[Type]],Main[[#All],[TYPE]:[UNIT]],'Unit Price'!G$1,FALSE),0)</f>
        <v>0</v>
      </c>
      <c r="J673" s="194">
        <f>IF(_1_5412845612146241046457891017[[#This Row],[Type]]&gt;0,VLOOKUP(_1_5412845612146241046457891017[[#This Row],[Type]],Main[[#All],[TYPE]:[UNIT]],'Unit Price'!H$1,FALSE),0)</f>
        <v>0</v>
      </c>
      <c r="K673" s="194">
        <f>IF(_1_5412845612146241046457891017[[#This Row],[Discount selection]]&gt;0,VLOOKUP(_1_5412845612146241046457891017[[#This Row],[Discount selection]],'Discount Structure'!$A$2:$B$30,2,"false"),0)</f>
        <v>1</v>
      </c>
      <c r="L673" s="194">
        <f>_1_5412845612146241046457891017[[#This Row],[LIST $]]*_1_5412845612146241046457891017[[#This Row],[DISCOUNT]]*_1_5412845612146241046457891017[[#This Row],[DISCOUNT 2]]</f>
        <v>0</v>
      </c>
      <c r="M673" s="194">
        <f>IF(OR(_1_5412845612146241046457891017[[#This Row],[UNIT]]&gt;0,_1_5412845612146241046457891017[[#This Row],[UNIT]]&lt;0),_1_5412845612146241046457891017[[#This Row],[UNIT]]*_1_5412845612146241046457891017[[#This Row],[COST]],0)</f>
        <v>0</v>
      </c>
      <c r="N673" s="194">
        <f t="shared" si="10"/>
        <v>1.35</v>
      </c>
      <c r="O673" s="198">
        <f>_1_5412845612146241046457891017[[#This Row],[TOTAL]]*_1_5412845612146241046457891017[[#This Row],[MARGIN]]</f>
        <v>0</v>
      </c>
      <c r="R673" s="41"/>
    </row>
    <row r="674" spans="4:18">
      <c r="D674" s="188"/>
      <c r="F674" s="168" t="s">
        <v>6202</v>
      </c>
      <c r="G674" s="193">
        <f>IF(_1_5412845612146241046457891017[[#This Row],[Type]]&gt;0,VLOOKUP(_1_5412845612146241046457891017[[#This Row],[Type]],Main[[#All],[TYPE]:[UNIT]],'Unit Price'!C$1,FALSE),0)</f>
        <v>0</v>
      </c>
      <c r="H674" s="197">
        <f>IF(_1_5412845612146241046457891017[[#This Row],[Type]]&gt;0,VLOOKUP(_1_5412845612146241046457891017[[#This Row],[Type]],Main[[#All],[TYPE]:[UNIT]],'Unit Price'!D$1,FALSE),0)</f>
        <v>0</v>
      </c>
      <c r="I674" s="194">
        <f>IF(_1_5412845612146241046457891017[[#This Row],[Type]]&gt;0,VLOOKUP(_1_5412845612146241046457891017[[#This Row],[Type]],Main[[#All],[TYPE]:[UNIT]],'Unit Price'!G$1,FALSE),0)</f>
        <v>0</v>
      </c>
      <c r="J674" s="194">
        <f>IF(_1_5412845612146241046457891017[[#This Row],[Type]]&gt;0,VLOOKUP(_1_5412845612146241046457891017[[#This Row],[Type]],Main[[#All],[TYPE]:[UNIT]],'Unit Price'!H$1,FALSE),0)</f>
        <v>0</v>
      </c>
      <c r="K674" s="194">
        <f>IF(_1_5412845612146241046457891017[[#This Row],[Discount selection]]&gt;0,VLOOKUP(_1_5412845612146241046457891017[[#This Row],[Discount selection]],'Discount Structure'!$A$2:$B$30,2,"false"),0)</f>
        <v>1</v>
      </c>
      <c r="L674" s="194">
        <f>_1_5412845612146241046457891017[[#This Row],[LIST $]]*_1_5412845612146241046457891017[[#This Row],[DISCOUNT]]*_1_5412845612146241046457891017[[#This Row],[DISCOUNT 2]]</f>
        <v>0</v>
      </c>
      <c r="M674" s="194">
        <f>IF(OR(_1_5412845612146241046457891017[[#This Row],[UNIT]]&gt;0,_1_5412845612146241046457891017[[#This Row],[UNIT]]&lt;0),_1_5412845612146241046457891017[[#This Row],[UNIT]]*_1_5412845612146241046457891017[[#This Row],[COST]],0)</f>
        <v>0</v>
      </c>
      <c r="N674" s="194">
        <f t="shared" si="10"/>
        <v>1.35</v>
      </c>
      <c r="O674" s="198">
        <f>_1_5412845612146241046457891017[[#This Row],[TOTAL]]*_1_5412845612146241046457891017[[#This Row],[MARGIN]]</f>
        <v>0</v>
      </c>
      <c r="R674" s="41"/>
    </row>
    <row r="675" spans="4:18">
      <c r="D675" s="188"/>
      <c r="F675" s="168" t="s">
        <v>6202</v>
      </c>
      <c r="G675" s="193">
        <f>IF(_1_5412845612146241046457891017[[#This Row],[Type]]&gt;0,VLOOKUP(_1_5412845612146241046457891017[[#This Row],[Type]],Main[[#All],[TYPE]:[UNIT]],'Unit Price'!C$1,FALSE),0)</f>
        <v>0</v>
      </c>
      <c r="H675" s="197">
        <f>IF(_1_5412845612146241046457891017[[#This Row],[Type]]&gt;0,VLOOKUP(_1_5412845612146241046457891017[[#This Row],[Type]],Main[[#All],[TYPE]:[UNIT]],'Unit Price'!D$1,FALSE),0)</f>
        <v>0</v>
      </c>
      <c r="I675" s="194">
        <f>IF(_1_5412845612146241046457891017[[#This Row],[Type]]&gt;0,VLOOKUP(_1_5412845612146241046457891017[[#This Row],[Type]],Main[[#All],[TYPE]:[UNIT]],'Unit Price'!G$1,FALSE),0)</f>
        <v>0</v>
      </c>
      <c r="J675" s="194">
        <f>IF(_1_5412845612146241046457891017[[#This Row],[Type]]&gt;0,VLOOKUP(_1_5412845612146241046457891017[[#This Row],[Type]],Main[[#All],[TYPE]:[UNIT]],'Unit Price'!H$1,FALSE),0)</f>
        <v>0</v>
      </c>
      <c r="K675" s="194">
        <f>IF(_1_5412845612146241046457891017[[#This Row],[Discount selection]]&gt;0,VLOOKUP(_1_5412845612146241046457891017[[#This Row],[Discount selection]],'Discount Structure'!$A$2:$B$30,2,"false"),0)</f>
        <v>1</v>
      </c>
      <c r="L675" s="194">
        <f>_1_5412845612146241046457891017[[#This Row],[LIST $]]*_1_5412845612146241046457891017[[#This Row],[DISCOUNT]]*_1_5412845612146241046457891017[[#This Row],[DISCOUNT 2]]</f>
        <v>0</v>
      </c>
      <c r="M675" s="194">
        <f>IF(OR(_1_5412845612146241046457891017[[#This Row],[UNIT]]&gt;0,_1_5412845612146241046457891017[[#This Row],[UNIT]]&lt;0),_1_5412845612146241046457891017[[#This Row],[UNIT]]*_1_5412845612146241046457891017[[#This Row],[COST]],0)</f>
        <v>0</v>
      </c>
      <c r="N675" s="194">
        <f t="shared" si="10"/>
        <v>1.35</v>
      </c>
      <c r="O675" s="198">
        <f>_1_5412845612146241046457891017[[#This Row],[TOTAL]]*_1_5412845612146241046457891017[[#This Row],[MARGIN]]</f>
        <v>0</v>
      </c>
      <c r="R675" s="41"/>
    </row>
    <row r="676" spans="4:18">
      <c r="D676" s="188"/>
      <c r="F676" s="168" t="s">
        <v>6202</v>
      </c>
      <c r="G676" s="193">
        <f>IF(_1_5412845612146241046457891017[[#This Row],[Type]]&gt;0,VLOOKUP(_1_5412845612146241046457891017[[#This Row],[Type]],Main[[#All],[TYPE]:[UNIT]],'Unit Price'!C$1,FALSE),0)</f>
        <v>0</v>
      </c>
      <c r="H676" s="197">
        <f>IF(_1_5412845612146241046457891017[[#This Row],[Type]]&gt;0,VLOOKUP(_1_5412845612146241046457891017[[#This Row],[Type]],Main[[#All],[TYPE]:[UNIT]],'Unit Price'!D$1,FALSE),0)</f>
        <v>0</v>
      </c>
      <c r="I676" s="194">
        <f>IF(_1_5412845612146241046457891017[[#This Row],[Type]]&gt;0,VLOOKUP(_1_5412845612146241046457891017[[#This Row],[Type]],Main[[#All],[TYPE]:[UNIT]],'Unit Price'!G$1,FALSE),0)</f>
        <v>0</v>
      </c>
      <c r="J676" s="194">
        <f>IF(_1_5412845612146241046457891017[[#This Row],[Type]]&gt;0,VLOOKUP(_1_5412845612146241046457891017[[#This Row],[Type]],Main[[#All],[TYPE]:[UNIT]],'Unit Price'!H$1,FALSE),0)</f>
        <v>0</v>
      </c>
      <c r="K676" s="194">
        <f>IF(_1_5412845612146241046457891017[[#This Row],[Discount selection]]&gt;0,VLOOKUP(_1_5412845612146241046457891017[[#This Row],[Discount selection]],'Discount Structure'!$A$2:$B$30,2,"false"),0)</f>
        <v>1</v>
      </c>
      <c r="L676" s="194">
        <f>_1_5412845612146241046457891017[[#This Row],[LIST $]]*_1_5412845612146241046457891017[[#This Row],[DISCOUNT]]*_1_5412845612146241046457891017[[#This Row],[DISCOUNT 2]]</f>
        <v>0</v>
      </c>
      <c r="M676" s="194">
        <f>IF(OR(_1_5412845612146241046457891017[[#This Row],[UNIT]]&gt;0,_1_5412845612146241046457891017[[#This Row],[UNIT]]&lt;0),_1_5412845612146241046457891017[[#This Row],[UNIT]]*_1_5412845612146241046457891017[[#This Row],[COST]],0)</f>
        <v>0</v>
      </c>
      <c r="N676" s="194">
        <f t="shared" si="10"/>
        <v>1.35</v>
      </c>
      <c r="O676" s="198">
        <f>_1_5412845612146241046457891017[[#This Row],[TOTAL]]*_1_5412845612146241046457891017[[#This Row],[MARGIN]]</f>
        <v>0</v>
      </c>
      <c r="R676" s="41"/>
    </row>
    <row r="677" spans="4:18">
      <c r="D677" s="188"/>
      <c r="F677" s="168" t="s">
        <v>6202</v>
      </c>
      <c r="G677" s="193">
        <f>IF(_1_5412845612146241046457891017[[#This Row],[Type]]&gt;0,VLOOKUP(_1_5412845612146241046457891017[[#This Row],[Type]],Main[[#All],[TYPE]:[UNIT]],'Unit Price'!C$1,FALSE),0)</f>
        <v>0</v>
      </c>
      <c r="H677" s="197">
        <f>IF(_1_5412845612146241046457891017[[#This Row],[Type]]&gt;0,VLOOKUP(_1_5412845612146241046457891017[[#This Row],[Type]],Main[[#All],[TYPE]:[UNIT]],'Unit Price'!D$1,FALSE),0)</f>
        <v>0</v>
      </c>
      <c r="I677" s="194">
        <f>IF(_1_5412845612146241046457891017[[#This Row],[Type]]&gt;0,VLOOKUP(_1_5412845612146241046457891017[[#This Row],[Type]],Main[[#All],[TYPE]:[UNIT]],'Unit Price'!G$1,FALSE),0)</f>
        <v>0</v>
      </c>
      <c r="J677" s="194">
        <f>IF(_1_5412845612146241046457891017[[#This Row],[Type]]&gt;0,VLOOKUP(_1_5412845612146241046457891017[[#This Row],[Type]],Main[[#All],[TYPE]:[UNIT]],'Unit Price'!H$1,FALSE),0)</f>
        <v>0</v>
      </c>
      <c r="K677" s="194">
        <f>IF(_1_5412845612146241046457891017[[#This Row],[Discount selection]]&gt;0,VLOOKUP(_1_5412845612146241046457891017[[#This Row],[Discount selection]],'Discount Structure'!$A$2:$B$30,2,"false"),0)</f>
        <v>1</v>
      </c>
      <c r="L677" s="194">
        <f>_1_5412845612146241046457891017[[#This Row],[LIST $]]*_1_5412845612146241046457891017[[#This Row],[DISCOUNT]]*_1_5412845612146241046457891017[[#This Row],[DISCOUNT 2]]</f>
        <v>0</v>
      </c>
      <c r="M677" s="194">
        <f>IF(OR(_1_5412845612146241046457891017[[#This Row],[UNIT]]&gt;0,_1_5412845612146241046457891017[[#This Row],[UNIT]]&lt;0),_1_5412845612146241046457891017[[#This Row],[UNIT]]*_1_5412845612146241046457891017[[#This Row],[COST]],0)</f>
        <v>0</v>
      </c>
      <c r="N677" s="194">
        <f t="shared" si="10"/>
        <v>1.35</v>
      </c>
      <c r="O677" s="198">
        <f>_1_5412845612146241046457891017[[#This Row],[TOTAL]]*_1_5412845612146241046457891017[[#This Row],[MARGIN]]</f>
        <v>0</v>
      </c>
      <c r="R677" s="41"/>
    </row>
    <row r="678" spans="4:18">
      <c r="D678" s="188"/>
      <c r="F678" s="168" t="s">
        <v>6202</v>
      </c>
      <c r="G678" s="193">
        <f>IF(_1_5412845612146241046457891017[[#This Row],[Type]]&gt;0,VLOOKUP(_1_5412845612146241046457891017[[#This Row],[Type]],Main[[#All],[TYPE]:[UNIT]],'Unit Price'!C$1,FALSE),0)</f>
        <v>0</v>
      </c>
      <c r="H678" s="197">
        <f>IF(_1_5412845612146241046457891017[[#This Row],[Type]]&gt;0,VLOOKUP(_1_5412845612146241046457891017[[#This Row],[Type]],Main[[#All],[TYPE]:[UNIT]],'Unit Price'!D$1,FALSE),0)</f>
        <v>0</v>
      </c>
      <c r="I678" s="194">
        <f>IF(_1_5412845612146241046457891017[[#This Row],[Type]]&gt;0,VLOOKUP(_1_5412845612146241046457891017[[#This Row],[Type]],Main[[#All],[TYPE]:[UNIT]],'Unit Price'!G$1,FALSE),0)</f>
        <v>0</v>
      </c>
      <c r="J678" s="194">
        <f>IF(_1_5412845612146241046457891017[[#This Row],[Type]]&gt;0,VLOOKUP(_1_5412845612146241046457891017[[#This Row],[Type]],Main[[#All],[TYPE]:[UNIT]],'Unit Price'!H$1,FALSE),0)</f>
        <v>0</v>
      </c>
      <c r="K678" s="194">
        <f>IF(_1_5412845612146241046457891017[[#This Row],[Discount selection]]&gt;0,VLOOKUP(_1_5412845612146241046457891017[[#This Row],[Discount selection]],'Discount Structure'!$A$2:$B$30,2,"false"),0)</f>
        <v>1</v>
      </c>
      <c r="L678" s="194">
        <f>_1_5412845612146241046457891017[[#This Row],[LIST $]]*_1_5412845612146241046457891017[[#This Row],[DISCOUNT]]*_1_5412845612146241046457891017[[#This Row],[DISCOUNT 2]]</f>
        <v>0</v>
      </c>
      <c r="M678" s="194">
        <f>IF(OR(_1_5412845612146241046457891017[[#This Row],[UNIT]]&gt;0,_1_5412845612146241046457891017[[#This Row],[UNIT]]&lt;0),_1_5412845612146241046457891017[[#This Row],[UNIT]]*_1_5412845612146241046457891017[[#This Row],[COST]],0)</f>
        <v>0</v>
      </c>
      <c r="N678" s="194">
        <f t="shared" si="10"/>
        <v>1.35</v>
      </c>
      <c r="O678" s="198">
        <f>_1_5412845612146241046457891017[[#This Row],[TOTAL]]*_1_5412845612146241046457891017[[#This Row],[MARGIN]]</f>
        <v>0</v>
      </c>
      <c r="R678" s="41"/>
    </row>
    <row r="679" spans="4:18">
      <c r="D679" s="188"/>
      <c r="F679" s="168" t="s">
        <v>6202</v>
      </c>
      <c r="G679" s="193">
        <f>IF(_1_5412845612146241046457891017[[#This Row],[Type]]&gt;0,VLOOKUP(_1_5412845612146241046457891017[[#This Row],[Type]],Main[[#All],[TYPE]:[UNIT]],'Unit Price'!C$1,FALSE),0)</f>
        <v>0</v>
      </c>
      <c r="H679" s="197">
        <f>IF(_1_5412845612146241046457891017[[#This Row],[Type]]&gt;0,VLOOKUP(_1_5412845612146241046457891017[[#This Row],[Type]],Main[[#All],[TYPE]:[UNIT]],'Unit Price'!D$1,FALSE),0)</f>
        <v>0</v>
      </c>
      <c r="I679" s="194">
        <f>IF(_1_5412845612146241046457891017[[#This Row],[Type]]&gt;0,VLOOKUP(_1_5412845612146241046457891017[[#This Row],[Type]],Main[[#All],[TYPE]:[UNIT]],'Unit Price'!G$1,FALSE),0)</f>
        <v>0</v>
      </c>
      <c r="J679" s="194">
        <f>IF(_1_5412845612146241046457891017[[#This Row],[Type]]&gt;0,VLOOKUP(_1_5412845612146241046457891017[[#This Row],[Type]],Main[[#All],[TYPE]:[UNIT]],'Unit Price'!H$1,FALSE),0)</f>
        <v>0</v>
      </c>
      <c r="K679" s="194">
        <f>IF(_1_5412845612146241046457891017[[#This Row],[Discount selection]]&gt;0,VLOOKUP(_1_5412845612146241046457891017[[#This Row],[Discount selection]],'Discount Structure'!$A$2:$B$30,2,"false"),0)</f>
        <v>1</v>
      </c>
      <c r="L679" s="194">
        <f>_1_5412845612146241046457891017[[#This Row],[LIST $]]*_1_5412845612146241046457891017[[#This Row],[DISCOUNT]]*_1_5412845612146241046457891017[[#This Row],[DISCOUNT 2]]</f>
        <v>0</v>
      </c>
      <c r="M679" s="194">
        <f>IF(OR(_1_5412845612146241046457891017[[#This Row],[UNIT]]&gt;0,_1_5412845612146241046457891017[[#This Row],[UNIT]]&lt;0),_1_5412845612146241046457891017[[#This Row],[UNIT]]*_1_5412845612146241046457891017[[#This Row],[COST]],0)</f>
        <v>0</v>
      </c>
      <c r="N679" s="194">
        <f t="shared" si="10"/>
        <v>1.35</v>
      </c>
      <c r="O679" s="198">
        <f>_1_5412845612146241046457891017[[#This Row],[TOTAL]]*_1_5412845612146241046457891017[[#This Row],[MARGIN]]</f>
        <v>0</v>
      </c>
      <c r="R679" s="41"/>
    </row>
    <row r="680" spans="4:18">
      <c r="D680" s="188"/>
      <c r="F680" s="168" t="s">
        <v>6202</v>
      </c>
      <c r="G680" s="193">
        <f>IF(_1_5412845612146241046457891017[[#This Row],[Type]]&gt;0,VLOOKUP(_1_5412845612146241046457891017[[#This Row],[Type]],Main[[#All],[TYPE]:[UNIT]],'Unit Price'!C$1,FALSE),0)</f>
        <v>0</v>
      </c>
      <c r="H680" s="197">
        <f>IF(_1_5412845612146241046457891017[[#This Row],[Type]]&gt;0,VLOOKUP(_1_5412845612146241046457891017[[#This Row],[Type]],Main[[#All],[TYPE]:[UNIT]],'Unit Price'!D$1,FALSE),0)</f>
        <v>0</v>
      </c>
      <c r="I680" s="194">
        <f>IF(_1_5412845612146241046457891017[[#This Row],[Type]]&gt;0,VLOOKUP(_1_5412845612146241046457891017[[#This Row],[Type]],Main[[#All],[TYPE]:[UNIT]],'Unit Price'!G$1,FALSE),0)</f>
        <v>0</v>
      </c>
      <c r="J680" s="194">
        <f>IF(_1_5412845612146241046457891017[[#This Row],[Type]]&gt;0,VLOOKUP(_1_5412845612146241046457891017[[#This Row],[Type]],Main[[#All],[TYPE]:[UNIT]],'Unit Price'!H$1,FALSE),0)</f>
        <v>0</v>
      </c>
      <c r="K680" s="194">
        <f>IF(_1_5412845612146241046457891017[[#This Row],[Discount selection]]&gt;0,VLOOKUP(_1_5412845612146241046457891017[[#This Row],[Discount selection]],'Discount Structure'!$A$2:$B$30,2,"false"),0)</f>
        <v>1</v>
      </c>
      <c r="L680" s="194">
        <f>_1_5412845612146241046457891017[[#This Row],[LIST $]]*_1_5412845612146241046457891017[[#This Row],[DISCOUNT]]*_1_5412845612146241046457891017[[#This Row],[DISCOUNT 2]]</f>
        <v>0</v>
      </c>
      <c r="M680" s="194">
        <f>IF(OR(_1_5412845612146241046457891017[[#This Row],[UNIT]]&gt;0,_1_5412845612146241046457891017[[#This Row],[UNIT]]&lt;0),_1_5412845612146241046457891017[[#This Row],[UNIT]]*_1_5412845612146241046457891017[[#This Row],[COST]],0)</f>
        <v>0</v>
      </c>
      <c r="N680" s="194">
        <f t="shared" si="10"/>
        <v>1.35</v>
      </c>
      <c r="O680" s="198">
        <f>_1_5412845612146241046457891017[[#This Row],[TOTAL]]*_1_5412845612146241046457891017[[#This Row],[MARGIN]]</f>
        <v>0</v>
      </c>
      <c r="R680" s="41"/>
    </row>
    <row r="681" spans="4:18">
      <c r="D681" s="188"/>
      <c r="F681" s="168" t="s">
        <v>6202</v>
      </c>
      <c r="G681" s="193">
        <f>IF(_1_5412845612146241046457891017[[#This Row],[Type]]&gt;0,VLOOKUP(_1_5412845612146241046457891017[[#This Row],[Type]],Main[[#All],[TYPE]:[UNIT]],'Unit Price'!C$1,FALSE),0)</f>
        <v>0</v>
      </c>
      <c r="H681" s="197">
        <f>IF(_1_5412845612146241046457891017[[#This Row],[Type]]&gt;0,VLOOKUP(_1_5412845612146241046457891017[[#This Row],[Type]],Main[[#All],[TYPE]:[UNIT]],'Unit Price'!D$1,FALSE),0)</f>
        <v>0</v>
      </c>
      <c r="I681" s="194">
        <f>IF(_1_5412845612146241046457891017[[#This Row],[Type]]&gt;0,VLOOKUP(_1_5412845612146241046457891017[[#This Row],[Type]],Main[[#All],[TYPE]:[UNIT]],'Unit Price'!G$1,FALSE),0)</f>
        <v>0</v>
      </c>
      <c r="J681" s="194">
        <f>IF(_1_5412845612146241046457891017[[#This Row],[Type]]&gt;0,VLOOKUP(_1_5412845612146241046457891017[[#This Row],[Type]],Main[[#All],[TYPE]:[UNIT]],'Unit Price'!H$1,FALSE),0)</f>
        <v>0</v>
      </c>
      <c r="K681" s="194">
        <f>IF(_1_5412845612146241046457891017[[#This Row],[Discount selection]]&gt;0,VLOOKUP(_1_5412845612146241046457891017[[#This Row],[Discount selection]],'Discount Structure'!$A$2:$B$30,2,"false"),0)</f>
        <v>1</v>
      </c>
      <c r="L681" s="194">
        <f>_1_5412845612146241046457891017[[#This Row],[LIST $]]*_1_5412845612146241046457891017[[#This Row],[DISCOUNT]]*_1_5412845612146241046457891017[[#This Row],[DISCOUNT 2]]</f>
        <v>0</v>
      </c>
      <c r="M681" s="194">
        <f>IF(OR(_1_5412845612146241046457891017[[#This Row],[UNIT]]&gt;0,_1_5412845612146241046457891017[[#This Row],[UNIT]]&lt;0),_1_5412845612146241046457891017[[#This Row],[UNIT]]*_1_5412845612146241046457891017[[#This Row],[COST]],0)</f>
        <v>0</v>
      </c>
      <c r="N681" s="194">
        <f t="shared" si="10"/>
        <v>1.35</v>
      </c>
      <c r="O681" s="198">
        <f>_1_5412845612146241046457891017[[#This Row],[TOTAL]]*_1_5412845612146241046457891017[[#This Row],[MARGIN]]</f>
        <v>0</v>
      </c>
      <c r="R681" s="41"/>
    </row>
    <row r="682" spans="4:18">
      <c r="D682" s="188"/>
      <c r="F682" s="168" t="s">
        <v>6202</v>
      </c>
      <c r="G682" s="193">
        <f>IF(_1_5412845612146241046457891017[[#This Row],[Type]]&gt;0,VLOOKUP(_1_5412845612146241046457891017[[#This Row],[Type]],Main[[#All],[TYPE]:[UNIT]],'Unit Price'!C$1,FALSE),0)</f>
        <v>0</v>
      </c>
      <c r="H682" s="197">
        <f>IF(_1_5412845612146241046457891017[[#This Row],[Type]]&gt;0,VLOOKUP(_1_5412845612146241046457891017[[#This Row],[Type]],Main[[#All],[TYPE]:[UNIT]],'Unit Price'!D$1,FALSE),0)</f>
        <v>0</v>
      </c>
      <c r="I682" s="194">
        <f>IF(_1_5412845612146241046457891017[[#This Row],[Type]]&gt;0,VLOOKUP(_1_5412845612146241046457891017[[#This Row],[Type]],Main[[#All],[TYPE]:[UNIT]],'Unit Price'!G$1,FALSE),0)</f>
        <v>0</v>
      </c>
      <c r="J682" s="194">
        <f>IF(_1_5412845612146241046457891017[[#This Row],[Type]]&gt;0,VLOOKUP(_1_5412845612146241046457891017[[#This Row],[Type]],Main[[#All],[TYPE]:[UNIT]],'Unit Price'!H$1,FALSE),0)</f>
        <v>0</v>
      </c>
      <c r="K682" s="194">
        <f>IF(_1_5412845612146241046457891017[[#This Row],[Discount selection]]&gt;0,VLOOKUP(_1_5412845612146241046457891017[[#This Row],[Discount selection]],'Discount Structure'!$A$2:$B$30,2,"false"),0)</f>
        <v>1</v>
      </c>
      <c r="L682" s="194">
        <f>_1_5412845612146241046457891017[[#This Row],[LIST $]]*_1_5412845612146241046457891017[[#This Row],[DISCOUNT]]*_1_5412845612146241046457891017[[#This Row],[DISCOUNT 2]]</f>
        <v>0</v>
      </c>
      <c r="M682" s="194">
        <f>IF(OR(_1_5412845612146241046457891017[[#This Row],[UNIT]]&gt;0,_1_5412845612146241046457891017[[#This Row],[UNIT]]&lt;0),_1_5412845612146241046457891017[[#This Row],[UNIT]]*_1_5412845612146241046457891017[[#This Row],[COST]],0)</f>
        <v>0</v>
      </c>
      <c r="N682" s="194">
        <f t="shared" si="10"/>
        <v>1.35</v>
      </c>
      <c r="O682" s="198">
        <f>_1_5412845612146241046457891017[[#This Row],[TOTAL]]*_1_5412845612146241046457891017[[#This Row],[MARGIN]]</f>
        <v>0</v>
      </c>
      <c r="R682" s="41"/>
    </row>
    <row r="683" spans="4:18">
      <c r="D683" s="188"/>
      <c r="F683" s="168" t="s">
        <v>6202</v>
      </c>
      <c r="G683" s="193">
        <f>IF(_1_5412845612146241046457891017[[#This Row],[Type]]&gt;0,VLOOKUP(_1_5412845612146241046457891017[[#This Row],[Type]],Main[[#All],[TYPE]:[UNIT]],'Unit Price'!C$1,FALSE),0)</f>
        <v>0</v>
      </c>
      <c r="H683" s="197">
        <f>IF(_1_5412845612146241046457891017[[#This Row],[Type]]&gt;0,VLOOKUP(_1_5412845612146241046457891017[[#This Row],[Type]],Main[[#All],[TYPE]:[UNIT]],'Unit Price'!D$1,FALSE),0)</f>
        <v>0</v>
      </c>
      <c r="I683" s="194">
        <f>IF(_1_5412845612146241046457891017[[#This Row],[Type]]&gt;0,VLOOKUP(_1_5412845612146241046457891017[[#This Row],[Type]],Main[[#All],[TYPE]:[UNIT]],'Unit Price'!G$1,FALSE),0)</f>
        <v>0</v>
      </c>
      <c r="J683" s="194">
        <f>IF(_1_5412845612146241046457891017[[#This Row],[Type]]&gt;0,VLOOKUP(_1_5412845612146241046457891017[[#This Row],[Type]],Main[[#All],[TYPE]:[UNIT]],'Unit Price'!H$1,FALSE),0)</f>
        <v>0</v>
      </c>
      <c r="K683" s="194">
        <f>IF(_1_5412845612146241046457891017[[#This Row],[Discount selection]]&gt;0,VLOOKUP(_1_5412845612146241046457891017[[#This Row],[Discount selection]],'Discount Structure'!$A$2:$B$30,2,"false"),0)</f>
        <v>1</v>
      </c>
      <c r="L683" s="194">
        <f>_1_5412845612146241046457891017[[#This Row],[LIST $]]*_1_5412845612146241046457891017[[#This Row],[DISCOUNT]]*_1_5412845612146241046457891017[[#This Row],[DISCOUNT 2]]</f>
        <v>0</v>
      </c>
      <c r="M683" s="194">
        <f>IF(OR(_1_5412845612146241046457891017[[#This Row],[UNIT]]&gt;0,_1_5412845612146241046457891017[[#This Row],[UNIT]]&lt;0),_1_5412845612146241046457891017[[#This Row],[UNIT]]*_1_5412845612146241046457891017[[#This Row],[COST]],0)</f>
        <v>0</v>
      </c>
      <c r="N683" s="194">
        <f t="shared" si="10"/>
        <v>1.35</v>
      </c>
      <c r="O683" s="198">
        <f>_1_5412845612146241046457891017[[#This Row],[TOTAL]]*_1_5412845612146241046457891017[[#This Row],[MARGIN]]</f>
        <v>0</v>
      </c>
      <c r="R683" s="41"/>
    </row>
    <row r="684" spans="4:18">
      <c r="D684" s="188"/>
      <c r="F684" s="168" t="s">
        <v>6202</v>
      </c>
      <c r="G684" s="193">
        <f>IF(_1_5412845612146241046457891017[[#This Row],[Type]]&gt;0,VLOOKUP(_1_5412845612146241046457891017[[#This Row],[Type]],Main[[#All],[TYPE]:[UNIT]],'Unit Price'!C$1,FALSE),0)</f>
        <v>0</v>
      </c>
      <c r="H684" s="197">
        <f>IF(_1_5412845612146241046457891017[[#This Row],[Type]]&gt;0,VLOOKUP(_1_5412845612146241046457891017[[#This Row],[Type]],Main[[#All],[TYPE]:[UNIT]],'Unit Price'!D$1,FALSE),0)</f>
        <v>0</v>
      </c>
      <c r="I684" s="194">
        <f>IF(_1_5412845612146241046457891017[[#This Row],[Type]]&gt;0,VLOOKUP(_1_5412845612146241046457891017[[#This Row],[Type]],Main[[#All],[TYPE]:[UNIT]],'Unit Price'!G$1,FALSE),0)</f>
        <v>0</v>
      </c>
      <c r="J684" s="194">
        <f>IF(_1_5412845612146241046457891017[[#This Row],[Type]]&gt;0,VLOOKUP(_1_5412845612146241046457891017[[#This Row],[Type]],Main[[#All],[TYPE]:[UNIT]],'Unit Price'!H$1,FALSE),0)</f>
        <v>0</v>
      </c>
      <c r="K684" s="194">
        <f>IF(_1_5412845612146241046457891017[[#This Row],[Discount selection]]&gt;0,VLOOKUP(_1_5412845612146241046457891017[[#This Row],[Discount selection]],'Discount Structure'!$A$2:$B$30,2,"false"),0)</f>
        <v>1</v>
      </c>
      <c r="L684" s="194">
        <f>_1_5412845612146241046457891017[[#This Row],[LIST $]]*_1_5412845612146241046457891017[[#This Row],[DISCOUNT]]*_1_5412845612146241046457891017[[#This Row],[DISCOUNT 2]]</f>
        <v>0</v>
      </c>
      <c r="M684" s="194">
        <f>IF(OR(_1_5412845612146241046457891017[[#This Row],[UNIT]]&gt;0,_1_5412845612146241046457891017[[#This Row],[UNIT]]&lt;0),_1_5412845612146241046457891017[[#This Row],[UNIT]]*_1_5412845612146241046457891017[[#This Row],[COST]],0)</f>
        <v>0</v>
      </c>
      <c r="N684" s="194">
        <f t="shared" si="10"/>
        <v>1.35</v>
      </c>
      <c r="O684" s="198">
        <f>_1_5412845612146241046457891017[[#This Row],[TOTAL]]*_1_5412845612146241046457891017[[#This Row],[MARGIN]]</f>
        <v>0</v>
      </c>
      <c r="R684" s="41"/>
    </row>
    <row r="685" spans="4:18">
      <c r="D685" s="188"/>
      <c r="F685" s="168" t="s">
        <v>6202</v>
      </c>
      <c r="G685" s="193">
        <f>IF(_1_5412845612146241046457891017[[#This Row],[Type]]&gt;0,VLOOKUP(_1_5412845612146241046457891017[[#This Row],[Type]],Main[[#All],[TYPE]:[UNIT]],'Unit Price'!C$1,FALSE),0)</f>
        <v>0</v>
      </c>
      <c r="H685" s="197">
        <f>IF(_1_5412845612146241046457891017[[#This Row],[Type]]&gt;0,VLOOKUP(_1_5412845612146241046457891017[[#This Row],[Type]],Main[[#All],[TYPE]:[UNIT]],'Unit Price'!D$1,FALSE),0)</f>
        <v>0</v>
      </c>
      <c r="I685" s="194">
        <f>IF(_1_5412845612146241046457891017[[#This Row],[Type]]&gt;0,VLOOKUP(_1_5412845612146241046457891017[[#This Row],[Type]],Main[[#All],[TYPE]:[UNIT]],'Unit Price'!G$1,FALSE),0)</f>
        <v>0</v>
      </c>
      <c r="J685" s="194">
        <f>IF(_1_5412845612146241046457891017[[#This Row],[Type]]&gt;0,VLOOKUP(_1_5412845612146241046457891017[[#This Row],[Type]],Main[[#All],[TYPE]:[UNIT]],'Unit Price'!H$1,FALSE),0)</f>
        <v>0</v>
      </c>
      <c r="K685" s="194">
        <f>IF(_1_5412845612146241046457891017[[#This Row],[Discount selection]]&gt;0,VLOOKUP(_1_5412845612146241046457891017[[#This Row],[Discount selection]],'Discount Structure'!$A$2:$B$30,2,"false"),0)</f>
        <v>1</v>
      </c>
      <c r="L685" s="194">
        <f>_1_5412845612146241046457891017[[#This Row],[LIST $]]*_1_5412845612146241046457891017[[#This Row],[DISCOUNT]]*_1_5412845612146241046457891017[[#This Row],[DISCOUNT 2]]</f>
        <v>0</v>
      </c>
      <c r="M685" s="194">
        <f>IF(OR(_1_5412845612146241046457891017[[#This Row],[UNIT]]&gt;0,_1_5412845612146241046457891017[[#This Row],[UNIT]]&lt;0),_1_5412845612146241046457891017[[#This Row],[UNIT]]*_1_5412845612146241046457891017[[#This Row],[COST]],0)</f>
        <v>0</v>
      </c>
      <c r="N685" s="194">
        <f t="shared" si="10"/>
        <v>1.35</v>
      </c>
      <c r="O685" s="198">
        <f>_1_5412845612146241046457891017[[#This Row],[TOTAL]]*_1_5412845612146241046457891017[[#This Row],[MARGIN]]</f>
        <v>0</v>
      </c>
      <c r="R685" s="41"/>
    </row>
    <row r="686" spans="4:18">
      <c r="D686" s="188"/>
      <c r="F686" s="168" t="s">
        <v>6202</v>
      </c>
      <c r="G686" s="193">
        <f>IF(_1_5412845612146241046457891017[[#This Row],[Type]]&gt;0,VLOOKUP(_1_5412845612146241046457891017[[#This Row],[Type]],Main[[#All],[TYPE]:[UNIT]],'Unit Price'!C$1,FALSE),0)</f>
        <v>0</v>
      </c>
      <c r="H686" s="197">
        <f>IF(_1_5412845612146241046457891017[[#This Row],[Type]]&gt;0,VLOOKUP(_1_5412845612146241046457891017[[#This Row],[Type]],Main[[#All],[TYPE]:[UNIT]],'Unit Price'!D$1,FALSE),0)</f>
        <v>0</v>
      </c>
      <c r="I686" s="194">
        <f>IF(_1_5412845612146241046457891017[[#This Row],[Type]]&gt;0,VLOOKUP(_1_5412845612146241046457891017[[#This Row],[Type]],Main[[#All],[TYPE]:[UNIT]],'Unit Price'!G$1,FALSE),0)</f>
        <v>0</v>
      </c>
      <c r="J686" s="194">
        <f>IF(_1_5412845612146241046457891017[[#This Row],[Type]]&gt;0,VLOOKUP(_1_5412845612146241046457891017[[#This Row],[Type]],Main[[#All],[TYPE]:[UNIT]],'Unit Price'!H$1,FALSE),0)</f>
        <v>0</v>
      </c>
      <c r="K686" s="194">
        <f>IF(_1_5412845612146241046457891017[[#This Row],[Discount selection]]&gt;0,VLOOKUP(_1_5412845612146241046457891017[[#This Row],[Discount selection]],'Discount Structure'!$A$2:$B$30,2,"false"),0)</f>
        <v>1</v>
      </c>
      <c r="L686" s="194">
        <f>_1_5412845612146241046457891017[[#This Row],[LIST $]]*_1_5412845612146241046457891017[[#This Row],[DISCOUNT]]*_1_5412845612146241046457891017[[#This Row],[DISCOUNT 2]]</f>
        <v>0</v>
      </c>
      <c r="M686" s="194">
        <f>IF(OR(_1_5412845612146241046457891017[[#This Row],[UNIT]]&gt;0,_1_5412845612146241046457891017[[#This Row],[UNIT]]&lt;0),_1_5412845612146241046457891017[[#This Row],[UNIT]]*_1_5412845612146241046457891017[[#This Row],[COST]],0)</f>
        <v>0</v>
      </c>
      <c r="N686" s="194">
        <f t="shared" si="10"/>
        <v>1.35</v>
      </c>
      <c r="O686" s="198">
        <f>_1_5412845612146241046457891017[[#This Row],[TOTAL]]*_1_5412845612146241046457891017[[#This Row],[MARGIN]]</f>
        <v>0</v>
      </c>
      <c r="R686" s="41"/>
    </row>
    <row r="687" spans="4:18">
      <c r="D687" s="188"/>
      <c r="F687" s="168" t="s">
        <v>6202</v>
      </c>
      <c r="G687" s="193">
        <f>IF(_1_5412845612146241046457891017[[#This Row],[Type]]&gt;0,VLOOKUP(_1_5412845612146241046457891017[[#This Row],[Type]],Main[[#All],[TYPE]:[UNIT]],'Unit Price'!C$1,FALSE),0)</f>
        <v>0</v>
      </c>
      <c r="H687" s="197">
        <f>IF(_1_5412845612146241046457891017[[#This Row],[Type]]&gt;0,VLOOKUP(_1_5412845612146241046457891017[[#This Row],[Type]],Main[[#All],[TYPE]:[UNIT]],'Unit Price'!D$1,FALSE),0)</f>
        <v>0</v>
      </c>
      <c r="I687" s="194">
        <f>IF(_1_5412845612146241046457891017[[#This Row],[Type]]&gt;0,VLOOKUP(_1_5412845612146241046457891017[[#This Row],[Type]],Main[[#All],[TYPE]:[UNIT]],'Unit Price'!G$1,FALSE),0)</f>
        <v>0</v>
      </c>
      <c r="J687" s="194">
        <f>IF(_1_5412845612146241046457891017[[#This Row],[Type]]&gt;0,VLOOKUP(_1_5412845612146241046457891017[[#This Row],[Type]],Main[[#All],[TYPE]:[UNIT]],'Unit Price'!H$1,FALSE),0)</f>
        <v>0</v>
      </c>
      <c r="K687" s="194">
        <f>IF(_1_5412845612146241046457891017[[#This Row],[Discount selection]]&gt;0,VLOOKUP(_1_5412845612146241046457891017[[#This Row],[Discount selection]],'Discount Structure'!$A$2:$B$30,2,"false"),0)</f>
        <v>1</v>
      </c>
      <c r="L687" s="194">
        <f>_1_5412845612146241046457891017[[#This Row],[LIST $]]*_1_5412845612146241046457891017[[#This Row],[DISCOUNT]]*_1_5412845612146241046457891017[[#This Row],[DISCOUNT 2]]</f>
        <v>0</v>
      </c>
      <c r="M687" s="194">
        <f>IF(OR(_1_5412845612146241046457891017[[#This Row],[UNIT]]&gt;0,_1_5412845612146241046457891017[[#This Row],[UNIT]]&lt;0),_1_5412845612146241046457891017[[#This Row],[UNIT]]*_1_5412845612146241046457891017[[#This Row],[COST]],0)</f>
        <v>0</v>
      </c>
      <c r="N687" s="194">
        <f t="shared" si="10"/>
        <v>1.35</v>
      </c>
      <c r="O687" s="198">
        <f>_1_5412845612146241046457891017[[#This Row],[TOTAL]]*_1_5412845612146241046457891017[[#This Row],[MARGIN]]</f>
        <v>0</v>
      </c>
      <c r="R687" s="41"/>
    </row>
    <row r="688" spans="4:18">
      <c r="D688" s="188"/>
      <c r="F688" s="168" t="s">
        <v>6202</v>
      </c>
      <c r="G688" s="193">
        <f>IF(_1_5412845612146241046457891017[[#This Row],[Type]]&gt;0,VLOOKUP(_1_5412845612146241046457891017[[#This Row],[Type]],Main[[#All],[TYPE]:[UNIT]],'Unit Price'!C$1,FALSE),0)</f>
        <v>0</v>
      </c>
      <c r="H688" s="197">
        <f>IF(_1_5412845612146241046457891017[[#This Row],[Type]]&gt;0,VLOOKUP(_1_5412845612146241046457891017[[#This Row],[Type]],Main[[#All],[TYPE]:[UNIT]],'Unit Price'!D$1,FALSE),0)</f>
        <v>0</v>
      </c>
      <c r="I688" s="194">
        <f>IF(_1_5412845612146241046457891017[[#This Row],[Type]]&gt;0,VLOOKUP(_1_5412845612146241046457891017[[#This Row],[Type]],Main[[#All],[TYPE]:[UNIT]],'Unit Price'!G$1,FALSE),0)</f>
        <v>0</v>
      </c>
      <c r="J688" s="194">
        <f>IF(_1_5412845612146241046457891017[[#This Row],[Type]]&gt;0,VLOOKUP(_1_5412845612146241046457891017[[#This Row],[Type]],Main[[#All],[TYPE]:[UNIT]],'Unit Price'!H$1,FALSE),0)</f>
        <v>0</v>
      </c>
      <c r="K688" s="194">
        <f>IF(_1_5412845612146241046457891017[[#This Row],[Discount selection]]&gt;0,VLOOKUP(_1_5412845612146241046457891017[[#This Row],[Discount selection]],'Discount Structure'!$A$2:$B$30,2,"false"),0)</f>
        <v>1</v>
      </c>
      <c r="L688" s="194">
        <f>_1_5412845612146241046457891017[[#This Row],[LIST $]]*_1_5412845612146241046457891017[[#This Row],[DISCOUNT]]*_1_5412845612146241046457891017[[#This Row],[DISCOUNT 2]]</f>
        <v>0</v>
      </c>
      <c r="M688" s="194">
        <f>IF(OR(_1_5412845612146241046457891017[[#This Row],[UNIT]]&gt;0,_1_5412845612146241046457891017[[#This Row],[UNIT]]&lt;0),_1_5412845612146241046457891017[[#This Row],[UNIT]]*_1_5412845612146241046457891017[[#This Row],[COST]],0)</f>
        <v>0</v>
      </c>
      <c r="N688" s="194">
        <f t="shared" si="10"/>
        <v>1.35</v>
      </c>
      <c r="O688" s="198">
        <f>_1_5412845612146241046457891017[[#This Row],[TOTAL]]*_1_5412845612146241046457891017[[#This Row],[MARGIN]]</f>
        <v>0</v>
      </c>
      <c r="R688" s="41"/>
    </row>
    <row r="689" spans="4:18">
      <c r="D689" s="188"/>
      <c r="F689" s="168" t="s">
        <v>6202</v>
      </c>
      <c r="G689" s="193">
        <f>IF(_1_5412845612146241046457891017[[#This Row],[Type]]&gt;0,VLOOKUP(_1_5412845612146241046457891017[[#This Row],[Type]],Main[[#All],[TYPE]:[UNIT]],'Unit Price'!C$1,FALSE),0)</f>
        <v>0</v>
      </c>
      <c r="H689" s="197">
        <f>IF(_1_5412845612146241046457891017[[#This Row],[Type]]&gt;0,VLOOKUP(_1_5412845612146241046457891017[[#This Row],[Type]],Main[[#All],[TYPE]:[UNIT]],'Unit Price'!D$1,FALSE),0)</f>
        <v>0</v>
      </c>
      <c r="I689" s="194">
        <f>IF(_1_5412845612146241046457891017[[#This Row],[Type]]&gt;0,VLOOKUP(_1_5412845612146241046457891017[[#This Row],[Type]],Main[[#All],[TYPE]:[UNIT]],'Unit Price'!G$1,FALSE),0)</f>
        <v>0</v>
      </c>
      <c r="J689" s="194">
        <f>IF(_1_5412845612146241046457891017[[#This Row],[Type]]&gt;0,VLOOKUP(_1_5412845612146241046457891017[[#This Row],[Type]],Main[[#All],[TYPE]:[UNIT]],'Unit Price'!H$1,FALSE),0)</f>
        <v>0</v>
      </c>
      <c r="K689" s="194">
        <f>IF(_1_5412845612146241046457891017[[#This Row],[Discount selection]]&gt;0,VLOOKUP(_1_5412845612146241046457891017[[#This Row],[Discount selection]],'Discount Structure'!$A$2:$B$30,2,"false"),0)</f>
        <v>1</v>
      </c>
      <c r="L689" s="194">
        <f>_1_5412845612146241046457891017[[#This Row],[LIST $]]*_1_5412845612146241046457891017[[#This Row],[DISCOUNT]]*_1_5412845612146241046457891017[[#This Row],[DISCOUNT 2]]</f>
        <v>0</v>
      </c>
      <c r="M689" s="194">
        <f>IF(OR(_1_5412845612146241046457891017[[#This Row],[UNIT]]&gt;0,_1_5412845612146241046457891017[[#This Row],[UNIT]]&lt;0),_1_5412845612146241046457891017[[#This Row],[UNIT]]*_1_5412845612146241046457891017[[#This Row],[COST]],0)</f>
        <v>0</v>
      </c>
      <c r="N689" s="194">
        <f t="shared" si="10"/>
        <v>1.35</v>
      </c>
      <c r="O689" s="198">
        <f>_1_5412845612146241046457891017[[#This Row],[TOTAL]]*_1_5412845612146241046457891017[[#This Row],[MARGIN]]</f>
        <v>0</v>
      </c>
      <c r="R689" s="41"/>
    </row>
    <row r="690" spans="4:18">
      <c r="D690" s="188"/>
      <c r="F690" s="168" t="s">
        <v>6202</v>
      </c>
      <c r="G690" s="193">
        <f>IF(_1_5412845612146241046457891017[[#This Row],[Type]]&gt;0,VLOOKUP(_1_5412845612146241046457891017[[#This Row],[Type]],Main[[#All],[TYPE]:[UNIT]],'Unit Price'!C$1,FALSE),0)</f>
        <v>0</v>
      </c>
      <c r="H690" s="197">
        <f>IF(_1_5412845612146241046457891017[[#This Row],[Type]]&gt;0,VLOOKUP(_1_5412845612146241046457891017[[#This Row],[Type]],Main[[#All],[TYPE]:[UNIT]],'Unit Price'!D$1,FALSE),0)</f>
        <v>0</v>
      </c>
      <c r="I690" s="194">
        <f>IF(_1_5412845612146241046457891017[[#This Row],[Type]]&gt;0,VLOOKUP(_1_5412845612146241046457891017[[#This Row],[Type]],Main[[#All],[TYPE]:[UNIT]],'Unit Price'!G$1,FALSE),0)</f>
        <v>0</v>
      </c>
      <c r="J690" s="194">
        <f>IF(_1_5412845612146241046457891017[[#This Row],[Type]]&gt;0,VLOOKUP(_1_5412845612146241046457891017[[#This Row],[Type]],Main[[#All],[TYPE]:[UNIT]],'Unit Price'!H$1,FALSE),0)</f>
        <v>0</v>
      </c>
      <c r="K690" s="194">
        <f>IF(_1_5412845612146241046457891017[[#This Row],[Discount selection]]&gt;0,VLOOKUP(_1_5412845612146241046457891017[[#This Row],[Discount selection]],'Discount Structure'!$A$2:$B$30,2,"false"),0)</f>
        <v>1</v>
      </c>
      <c r="L690" s="194">
        <f>_1_5412845612146241046457891017[[#This Row],[LIST $]]*_1_5412845612146241046457891017[[#This Row],[DISCOUNT]]*_1_5412845612146241046457891017[[#This Row],[DISCOUNT 2]]</f>
        <v>0</v>
      </c>
      <c r="M690" s="194">
        <f>IF(OR(_1_5412845612146241046457891017[[#This Row],[UNIT]]&gt;0,_1_5412845612146241046457891017[[#This Row],[UNIT]]&lt;0),_1_5412845612146241046457891017[[#This Row],[UNIT]]*_1_5412845612146241046457891017[[#This Row],[COST]],0)</f>
        <v>0</v>
      </c>
      <c r="N690" s="194">
        <f t="shared" si="10"/>
        <v>1.35</v>
      </c>
      <c r="O690" s="198">
        <f>_1_5412845612146241046457891017[[#This Row],[TOTAL]]*_1_5412845612146241046457891017[[#This Row],[MARGIN]]</f>
        <v>0</v>
      </c>
      <c r="R690" s="41"/>
    </row>
    <row r="691" spans="4:18">
      <c r="D691" s="188"/>
      <c r="F691" s="168" t="s">
        <v>6202</v>
      </c>
      <c r="G691" s="193">
        <f>IF(_1_5412845612146241046457891017[[#This Row],[Type]]&gt;0,VLOOKUP(_1_5412845612146241046457891017[[#This Row],[Type]],Main[[#All],[TYPE]:[UNIT]],'Unit Price'!C$1,FALSE),0)</f>
        <v>0</v>
      </c>
      <c r="H691" s="197">
        <f>IF(_1_5412845612146241046457891017[[#This Row],[Type]]&gt;0,VLOOKUP(_1_5412845612146241046457891017[[#This Row],[Type]],Main[[#All],[TYPE]:[UNIT]],'Unit Price'!D$1,FALSE),0)</f>
        <v>0</v>
      </c>
      <c r="I691" s="194">
        <f>IF(_1_5412845612146241046457891017[[#This Row],[Type]]&gt;0,VLOOKUP(_1_5412845612146241046457891017[[#This Row],[Type]],Main[[#All],[TYPE]:[UNIT]],'Unit Price'!G$1,FALSE),0)</f>
        <v>0</v>
      </c>
      <c r="J691" s="194">
        <f>IF(_1_5412845612146241046457891017[[#This Row],[Type]]&gt;0,VLOOKUP(_1_5412845612146241046457891017[[#This Row],[Type]],Main[[#All],[TYPE]:[UNIT]],'Unit Price'!H$1,FALSE),0)</f>
        <v>0</v>
      </c>
      <c r="K691" s="194">
        <f>IF(_1_5412845612146241046457891017[[#This Row],[Discount selection]]&gt;0,VLOOKUP(_1_5412845612146241046457891017[[#This Row],[Discount selection]],'Discount Structure'!$A$2:$B$30,2,"false"),0)</f>
        <v>1</v>
      </c>
      <c r="L691" s="194">
        <f>_1_5412845612146241046457891017[[#This Row],[LIST $]]*_1_5412845612146241046457891017[[#This Row],[DISCOUNT]]*_1_5412845612146241046457891017[[#This Row],[DISCOUNT 2]]</f>
        <v>0</v>
      </c>
      <c r="M691" s="194">
        <f>IF(OR(_1_5412845612146241046457891017[[#This Row],[UNIT]]&gt;0,_1_5412845612146241046457891017[[#This Row],[UNIT]]&lt;0),_1_5412845612146241046457891017[[#This Row],[UNIT]]*_1_5412845612146241046457891017[[#This Row],[COST]],0)</f>
        <v>0</v>
      </c>
      <c r="N691" s="194">
        <f t="shared" si="10"/>
        <v>1.35</v>
      </c>
      <c r="O691" s="198">
        <f>_1_5412845612146241046457891017[[#This Row],[TOTAL]]*_1_5412845612146241046457891017[[#This Row],[MARGIN]]</f>
        <v>0</v>
      </c>
      <c r="R691" s="41"/>
    </row>
    <row r="692" spans="4:18">
      <c r="D692" s="188"/>
      <c r="F692" s="168" t="s">
        <v>6202</v>
      </c>
      <c r="G692" s="193">
        <f>IF(_1_5412845612146241046457891017[[#This Row],[Type]]&gt;0,VLOOKUP(_1_5412845612146241046457891017[[#This Row],[Type]],Main[[#All],[TYPE]:[UNIT]],'Unit Price'!C$1,FALSE),0)</f>
        <v>0</v>
      </c>
      <c r="H692" s="197">
        <f>IF(_1_5412845612146241046457891017[[#This Row],[Type]]&gt;0,VLOOKUP(_1_5412845612146241046457891017[[#This Row],[Type]],Main[[#All],[TYPE]:[UNIT]],'Unit Price'!D$1,FALSE),0)</f>
        <v>0</v>
      </c>
      <c r="I692" s="194">
        <f>IF(_1_5412845612146241046457891017[[#This Row],[Type]]&gt;0,VLOOKUP(_1_5412845612146241046457891017[[#This Row],[Type]],Main[[#All],[TYPE]:[UNIT]],'Unit Price'!G$1,FALSE),0)</f>
        <v>0</v>
      </c>
      <c r="J692" s="194">
        <f>IF(_1_5412845612146241046457891017[[#This Row],[Type]]&gt;0,VLOOKUP(_1_5412845612146241046457891017[[#This Row],[Type]],Main[[#All],[TYPE]:[UNIT]],'Unit Price'!H$1,FALSE),0)</f>
        <v>0</v>
      </c>
      <c r="K692" s="194">
        <f>IF(_1_5412845612146241046457891017[[#This Row],[Discount selection]]&gt;0,VLOOKUP(_1_5412845612146241046457891017[[#This Row],[Discount selection]],'Discount Structure'!$A$2:$B$30,2,"false"),0)</f>
        <v>1</v>
      </c>
      <c r="L692" s="194">
        <f>_1_5412845612146241046457891017[[#This Row],[LIST $]]*_1_5412845612146241046457891017[[#This Row],[DISCOUNT]]*_1_5412845612146241046457891017[[#This Row],[DISCOUNT 2]]</f>
        <v>0</v>
      </c>
      <c r="M692" s="194">
        <f>IF(OR(_1_5412845612146241046457891017[[#This Row],[UNIT]]&gt;0,_1_5412845612146241046457891017[[#This Row],[UNIT]]&lt;0),_1_5412845612146241046457891017[[#This Row],[UNIT]]*_1_5412845612146241046457891017[[#This Row],[COST]],0)</f>
        <v>0</v>
      </c>
      <c r="N692" s="194">
        <f t="shared" si="10"/>
        <v>1.35</v>
      </c>
      <c r="O692" s="198">
        <f>_1_5412845612146241046457891017[[#This Row],[TOTAL]]*_1_5412845612146241046457891017[[#This Row],[MARGIN]]</f>
        <v>0</v>
      </c>
      <c r="R692" s="41"/>
    </row>
    <row r="693" spans="4:18">
      <c r="D693" s="188"/>
      <c r="F693" s="168" t="s">
        <v>6202</v>
      </c>
      <c r="G693" s="193">
        <f>IF(_1_5412845612146241046457891017[[#This Row],[Type]]&gt;0,VLOOKUP(_1_5412845612146241046457891017[[#This Row],[Type]],Main[[#All],[TYPE]:[UNIT]],'Unit Price'!C$1,FALSE),0)</f>
        <v>0</v>
      </c>
      <c r="H693" s="197">
        <f>IF(_1_5412845612146241046457891017[[#This Row],[Type]]&gt;0,VLOOKUP(_1_5412845612146241046457891017[[#This Row],[Type]],Main[[#All],[TYPE]:[UNIT]],'Unit Price'!D$1,FALSE),0)</f>
        <v>0</v>
      </c>
      <c r="I693" s="194">
        <f>IF(_1_5412845612146241046457891017[[#This Row],[Type]]&gt;0,VLOOKUP(_1_5412845612146241046457891017[[#This Row],[Type]],Main[[#All],[TYPE]:[UNIT]],'Unit Price'!G$1,FALSE),0)</f>
        <v>0</v>
      </c>
      <c r="J693" s="194">
        <f>IF(_1_5412845612146241046457891017[[#This Row],[Type]]&gt;0,VLOOKUP(_1_5412845612146241046457891017[[#This Row],[Type]],Main[[#All],[TYPE]:[UNIT]],'Unit Price'!H$1,FALSE),0)</f>
        <v>0</v>
      </c>
      <c r="K693" s="194">
        <f>IF(_1_5412845612146241046457891017[[#This Row],[Discount selection]]&gt;0,VLOOKUP(_1_5412845612146241046457891017[[#This Row],[Discount selection]],'Discount Structure'!$A$2:$B$30,2,"false"),0)</f>
        <v>1</v>
      </c>
      <c r="L693" s="194">
        <f>_1_5412845612146241046457891017[[#This Row],[LIST $]]*_1_5412845612146241046457891017[[#This Row],[DISCOUNT]]*_1_5412845612146241046457891017[[#This Row],[DISCOUNT 2]]</f>
        <v>0</v>
      </c>
      <c r="M693" s="194">
        <f>IF(OR(_1_5412845612146241046457891017[[#This Row],[UNIT]]&gt;0,_1_5412845612146241046457891017[[#This Row],[UNIT]]&lt;0),_1_5412845612146241046457891017[[#This Row],[UNIT]]*_1_5412845612146241046457891017[[#This Row],[COST]],0)</f>
        <v>0</v>
      </c>
      <c r="N693" s="194">
        <f t="shared" si="10"/>
        <v>1.35</v>
      </c>
      <c r="O693" s="198">
        <f>_1_5412845612146241046457891017[[#This Row],[TOTAL]]*_1_5412845612146241046457891017[[#This Row],[MARGIN]]</f>
        <v>0</v>
      </c>
      <c r="R693" s="41"/>
    </row>
    <row r="694" spans="4:18">
      <c r="D694" s="188"/>
      <c r="F694" s="168" t="s">
        <v>6202</v>
      </c>
      <c r="G694" s="193">
        <f>IF(_1_5412845612146241046457891017[[#This Row],[Type]]&gt;0,VLOOKUP(_1_5412845612146241046457891017[[#This Row],[Type]],Main[[#All],[TYPE]:[UNIT]],'Unit Price'!C$1,FALSE),0)</f>
        <v>0</v>
      </c>
      <c r="H694" s="197">
        <f>IF(_1_5412845612146241046457891017[[#This Row],[Type]]&gt;0,VLOOKUP(_1_5412845612146241046457891017[[#This Row],[Type]],Main[[#All],[TYPE]:[UNIT]],'Unit Price'!D$1,FALSE),0)</f>
        <v>0</v>
      </c>
      <c r="I694" s="194">
        <f>IF(_1_5412845612146241046457891017[[#This Row],[Type]]&gt;0,VLOOKUP(_1_5412845612146241046457891017[[#This Row],[Type]],Main[[#All],[TYPE]:[UNIT]],'Unit Price'!G$1,FALSE),0)</f>
        <v>0</v>
      </c>
      <c r="J694" s="194">
        <f>IF(_1_5412845612146241046457891017[[#This Row],[Type]]&gt;0,VLOOKUP(_1_5412845612146241046457891017[[#This Row],[Type]],Main[[#All],[TYPE]:[UNIT]],'Unit Price'!H$1,FALSE),0)</f>
        <v>0</v>
      </c>
      <c r="K694" s="194">
        <f>IF(_1_5412845612146241046457891017[[#This Row],[Discount selection]]&gt;0,VLOOKUP(_1_5412845612146241046457891017[[#This Row],[Discount selection]],'Discount Structure'!$A$2:$B$30,2,"false"),0)</f>
        <v>1</v>
      </c>
      <c r="L694" s="194">
        <f>_1_5412845612146241046457891017[[#This Row],[LIST $]]*_1_5412845612146241046457891017[[#This Row],[DISCOUNT]]*_1_5412845612146241046457891017[[#This Row],[DISCOUNT 2]]</f>
        <v>0</v>
      </c>
      <c r="M694" s="194">
        <f>IF(OR(_1_5412845612146241046457891017[[#This Row],[UNIT]]&gt;0,_1_5412845612146241046457891017[[#This Row],[UNIT]]&lt;0),_1_5412845612146241046457891017[[#This Row],[UNIT]]*_1_5412845612146241046457891017[[#This Row],[COST]],0)</f>
        <v>0</v>
      </c>
      <c r="N694" s="194">
        <f t="shared" si="10"/>
        <v>1.35</v>
      </c>
      <c r="O694" s="198">
        <f>_1_5412845612146241046457891017[[#This Row],[TOTAL]]*_1_5412845612146241046457891017[[#This Row],[MARGIN]]</f>
        <v>0</v>
      </c>
      <c r="R694" s="41"/>
    </row>
    <row r="695" spans="4:18">
      <c r="D695" s="188"/>
      <c r="F695" s="168" t="s">
        <v>6202</v>
      </c>
      <c r="G695" s="193">
        <f>IF(_1_5412845612146241046457891017[[#This Row],[Type]]&gt;0,VLOOKUP(_1_5412845612146241046457891017[[#This Row],[Type]],Main[[#All],[TYPE]:[UNIT]],'Unit Price'!C$1,FALSE),0)</f>
        <v>0</v>
      </c>
      <c r="H695" s="197">
        <f>IF(_1_5412845612146241046457891017[[#This Row],[Type]]&gt;0,VLOOKUP(_1_5412845612146241046457891017[[#This Row],[Type]],Main[[#All],[TYPE]:[UNIT]],'Unit Price'!D$1,FALSE),0)</f>
        <v>0</v>
      </c>
      <c r="I695" s="194">
        <f>IF(_1_5412845612146241046457891017[[#This Row],[Type]]&gt;0,VLOOKUP(_1_5412845612146241046457891017[[#This Row],[Type]],Main[[#All],[TYPE]:[UNIT]],'Unit Price'!G$1,FALSE),0)</f>
        <v>0</v>
      </c>
      <c r="J695" s="194">
        <f>IF(_1_5412845612146241046457891017[[#This Row],[Type]]&gt;0,VLOOKUP(_1_5412845612146241046457891017[[#This Row],[Type]],Main[[#All],[TYPE]:[UNIT]],'Unit Price'!H$1,FALSE),0)</f>
        <v>0</v>
      </c>
      <c r="K695" s="194">
        <f>IF(_1_5412845612146241046457891017[[#This Row],[Discount selection]]&gt;0,VLOOKUP(_1_5412845612146241046457891017[[#This Row],[Discount selection]],'Discount Structure'!$A$2:$B$30,2,"false"),0)</f>
        <v>1</v>
      </c>
      <c r="L695" s="194">
        <f>_1_5412845612146241046457891017[[#This Row],[LIST $]]*_1_5412845612146241046457891017[[#This Row],[DISCOUNT]]*_1_5412845612146241046457891017[[#This Row],[DISCOUNT 2]]</f>
        <v>0</v>
      </c>
      <c r="M695" s="194">
        <f>IF(OR(_1_5412845612146241046457891017[[#This Row],[UNIT]]&gt;0,_1_5412845612146241046457891017[[#This Row],[UNIT]]&lt;0),_1_5412845612146241046457891017[[#This Row],[UNIT]]*_1_5412845612146241046457891017[[#This Row],[COST]],0)</f>
        <v>0</v>
      </c>
      <c r="N695" s="194">
        <f t="shared" si="10"/>
        <v>1.35</v>
      </c>
      <c r="O695" s="198">
        <f>_1_5412845612146241046457891017[[#This Row],[TOTAL]]*_1_5412845612146241046457891017[[#This Row],[MARGIN]]</f>
        <v>0</v>
      </c>
      <c r="R695" s="41"/>
    </row>
    <row r="696" spans="4:18">
      <c r="D696" s="188"/>
      <c r="F696" s="168" t="s">
        <v>6202</v>
      </c>
      <c r="G696" s="193">
        <f>IF(_1_5412845612146241046457891017[[#This Row],[Type]]&gt;0,VLOOKUP(_1_5412845612146241046457891017[[#This Row],[Type]],Main[[#All],[TYPE]:[UNIT]],'Unit Price'!C$1,FALSE),0)</f>
        <v>0</v>
      </c>
      <c r="H696" s="197">
        <f>IF(_1_5412845612146241046457891017[[#This Row],[Type]]&gt;0,VLOOKUP(_1_5412845612146241046457891017[[#This Row],[Type]],Main[[#All],[TYPE]:[UNIT]],'Unit Price'!D$1,FALSE),0)</f>
        <v>0</v>
      </c>
      <c r="I696" s="194">
        <f>IF(_1_5412845612146241046457891017[[#This Row],[Type]]&gt;0,VLOOKUP(_1_5412845612146241046457891017[[#This Row],[Type]],Main[[#All],[TYPE]:[UNIT]],'Unit Price'!G$1,FALSE),0)</f>
        <v>0</v>
      </c>
      <c r="J696" s="194">
        <f>IF(_1_5412845612146241046457891017[[#This Row],[Type]]&gt;0,VLOOKUP(_1_5412845612146241046457891017[[#This Row],[Type]],Main[[#All],[TYPE]:[UNIT]],'Unit Price'!H$1,FALSE),0)</f>
        <v>0</v>
      </c>
      <c r="K696" s="194">
        <f>IF(_1_5412845612146241046457891017[[#This Row],[Discount selection]]&gt;0,VLOOKUP(_1_5412845612146241046457891017[[#This Row],[Discount selection]],'Discount Structure'!$A$2:$B$30,2,"false"),0)</f>
        <v>1</v>
      </c>
      <c r="L696" s="194">
        <f>_1_5412845612146241046457891017[[#This Row],[LIST $]]*_1_5412845612146241046457891017[[#This Row],[DISCOUNT]]*_1_5412845612146241046457891017[[#This Row],[DISCOUNT 2]]</f>
        <v>0</v>
      </c>
      <c r="M696" s="194">
        <f>IF(OR(_1_5412845612146241046457891017[[#This Row],[UNIT]]&gt;0,_1_5412845612146241046457891017[[#This Row],[UNIT]]&lt;0),_1_5412845612146241046457891017[[#This Row],[UNIT]]*_1_5412845612146241046457891017[[#This Row],[COST]],0)</f>
        <v>0</v>
      </c>
      <c r="N696" s="194">
        <f t="shared" si="10"/>
        <v>1.35</v>
      </c>
      <c r="O696" s="198">
        <f>_1_5412845612146241046457891017[[#This Row],[TOTAL]]*_1_5412845612146241046457891017[[#This Row],[MARGIN]]</f>
        <v>0</v>
      </c>
      <c r="R696" s="41"/>
    </row>
    <row r="697" spans="4:18">
      <c r="D697" s="188"/>
      <c r="F697" s="168" t="s">
        <v>6202</v>
      </c>
      <c r="G697" s="193">
        <f>IF(_1_5412845612146241046457891017[[#This Row],[Type]]&gt;0,VLOOKUP(_1_5412845612146241046457891017[[#This Row],[Type]],Main[[#All],[TYPE]:[UNIT]],'Unit Price'!C$1,FALSE),0)</f>
        <v>0</v>
      </c>
      <c r="H697" s="197">
        <f>IF(_1_5412845612146241046457891017[[#This Row],[Type]]&gt;0,VLOOKUP(_1_5412845612146241046457891017[[#This Row],[Type]],Main[[#All],[TYPE]:[UNIT]],'Unit Price'!D$1,FALSE),0)</f>
        <v>0</v>
      </c>
      <c r="I697" s="194">
        <f>IF(_1_5412845612146241046457891017[[#This Row],[Type]]&gt;0,VLOOKUP(_1_5412845612146241046457891017[[#This Row],[Type]],Main[[#All],[TYPE]:[UNIT]],'Unit Price'!G$1,FALSE),0)</f>
        <v>0</v>
      </c>
      <c r="J697" s="194">
        <f>IF(_1_5412845612146241046457891017[[#This Row],[Type]]&gt;0,VLOOKUP(_1_5412845612146241046457891017[[#This Row],[Type]],Main[[#All],[TYPE]:[UNIT]],'Unit Price'!H$1,FALSE),0)</f>
        <v>0</v>
      </c>
      <c r="K697" s="194">
        <f>IF(_1_5412845612146241046457891017[[#This Row],[Discount selection]]&gt;0,VLOOKUP(_1_5412845612146241046457891017[[#This Row],[Discount selection]],'Discount Structure'!$A$2:$B$30,2,"false"),0)</f>
        <v>1</v>
      </c>
      <c r="L697" s="194">
        <f>_1_5412845612146241046457891017[[#This Row],[LIST $]]*_1_5412845612146241046457891017[[#This Row],[DISCOUNT]]*_1_5412845612146241046457891017[[#This Row],[DISCOUNT 2]]</f>
        <v>0</v>
      </c>
      <c r="M697" s="194">
        <f>IF(OR(_1_5412845612146241046457891017[[#This Row],[UNIT]]&gt;0,_1_5412845612146241046457891017[[#This Row],[UNIT]]&lt;0),_1_5412845612146241046457891017[[#This Row],[UNIT]]*_1_5412845612146241046457891017[[#This Row],[COST]],0)</f>
        <v>0</v>
      </c>
      <c r="N697" s="194">
        <f t="shared" si="10"/>
        <v>1.35</v>
      </c>
      <c r="O697" s="198">
        <f>_1_5412845612146241046457891017[[#This Row],[TOTAL]]*_1_5412845612146241046457891017[[#This Row],[MARGIN]]</f>
        <v>0</v>
      </c>
      <c r="R697" s="41"/>
    </row>
    <row r="698" spans="4:18">
      <c r="D698" s="188"/>
      <c r="F698" s="168" t="s">
        <v>6202</v>
      </c>
      <c r="G698" s="193">
        <f>IF(_1_5412845612146241046457891017[[#This Row],[Type]]&gt;0,VLOOKUP(_1_5412845612146241046457891017[[#This Row],[Type]],Main[[#All],[TYPE]:[UNIT]],'Unit Price'!C$1,FALSE),0)</f>
        <v>0</v>
      </c>
      <c r="H698" s="197">
        <f>IF(_1_5412845612146241046457891017[[#This Row],[Type]]&gt;0,VLOOKUP(_1_5412845612146241046457891017[[#This Row],[Type]],Main[[#All],[TYPE]:[UNIT]],'Unit Price'!D$1,FALSE),0)</f>
        <v>0</v>
      </c>
      <c r="I698" s="194">
        <f>IF(_1_5412845612146241046457891017[[#This Row],[Type]]&gt;0,VLOOKUP(_1_5412845612146241046457891017[[#This Row],[Type]],Main[[#All],[TYPE]:[UNIT]],'Unit Price'!G$1,FALSE),0)</f>
        <v>0</v>
      </c>
      <c r="J698" s="194">
        <f>IF(_1_5412845612146241046457891017[[#This Row],[Type]]&gt;0,VLOOKUP(_1_5412845612146241046457891017[[#This Row],[Type]],Main[[#All],[TYPE]:[UNIT]],'Unit Price'!H$1,FALSE),0)</f>
        <v>0</v>
      </c>
      <c r="K698" s="194">
        <f>IF(_1_5412845612146241046457891017[[#This Row],[Discount selection]]&gt;0,VLOOKUP(_1_5412845612146241046457891017[[#This Row],[Discount selection]],'Discount Structure'!$A$2:$B$30,2,"false"),0)</f>
        <v>1</v>
      </c>
      <c r="L698" s="194">
        <f>_1_5412845612146241046457891017[[#This Row],[LIST $]]*_1_5412845612146241046457891017[[#This Row],[DISCOUNT]]*_1_5412845612146241046457891017[[#This Row],[DISCOUNT 2]]</f>
        <v>0</v>
      </c>
      <c r="M698" s="194">
        <f>IF(OR(_1_5412845612146241046457891017[[#This Row],[UNIT]]&gt;0,_1_5412845612146241046457891017[[#This Row],[UNIT]]&lt;0),_1_5412845612146241046457891017[[#This Row],[UNIT]]*_1_5412845612146241046457891017[[#This Row],[COST]],0)</f>
        <v>0</v>
      </c>
      <c r="N698" s="194">
        <f t="shared" si="10"/>
        <v>1.35</v>
      </c>
      <c r="O698" s="198">
        <f>_1_5412845612146241046457891017[[#This Row],[TOTAL]]*_1_5412845612146241046457891017[[#This Row],[MARGIN]]</f>
        <v>0</v>
      </c>
      <c r="R698" s="41"/>
    </row>
    <row r="699" spans="4:18">
      <c r="D699" s="188"/>
      <c r="F699" s="168" t="s">
        <v>6202</v>
      </c>
      <c r="G699" s="193">
        <f>IF(_1_5412845612146241046457891017[[#This Row],[Type]]&gt;0,VLOOKUP(_1_5412845612146241046457891017[[#This Row],[Type]],Main[[#All],[TYPE]:[UNIT]],'Unit Price'!C$1,FALSE),0)</f>
        <v>0</v>
      </c>
      <c r="H699" s="197">
        <f>IF(_1_5412845612146241046457891017[[#This Row],[Type]]&gt;0,VLOOKUP(_1_5412845612146241046457891017[[#This Row],[Type]],Main[[#All],[TYPE]:[UNIT]],'Unit Price'!D$1,FALSE),0)</f>
        <v>0</v>
      </c>
      <c r="I699" s="194">
        <f>IF(_1_5412845612146241046457891017[[#This Row],[Type]]&gt;0,VLOOKUP(_1_5412845612146241046457891017[[#This Row],[Type]],Main[[#All],[TYPE]:[UNIT]],'Unit Price'!G$1,FALSE),0)</f>
        <v>0</v>
      </c>
      <c r="J699" s="194">
        <f>IF(_1_5412845612146241046457891017[[#This Row],[Type]]&gt;0,VLOOKUP(_1_5412845612146241046457891017[[#This Row],[Type]],Main[[#All],[TYPE]:[UNIT]],'Unit Price'!H$1,FALSE),0)</f>
        <v>0</v>
      </c>
      <c r="K699" s="194">
        <f>IF(_1_5412845612146241046457891017[[#This Row],[Discount selection]]&gt;0,VLOOKUP(_1_5412845612146241046457891017[[#This Row],[Discount selection]],'Discount Structure'!$A$2:$B$30,2,"false"),0)</f>
        <v>1</v>
      </c>
      <c r="L699" s="194">
        <f>_1_5412845612146241046457891017[[#This Row],[LIST $]]*_1_5412845612146241046457891017[[#This Row],[DISCOUNT]]*_1_5412845612146241046457891017[[#This Row],[DISCOUNT 2]]</f>
        <v>0</v>
      </c>
      <c r="M699" s="194">
        <f>IF(OR(_1_5412845612146241046457891017[[#This Row],[UNIT]]&gt;0,_1_5412845612146241046457891017[[#This Row],[UNIT]]&lt;0),_1_5412845612146241046457891017[[#This Row],[UNIT]]*_1_5412845612146241046457891017[[#This Row],[COST]],0)</f>
        <v>0</v>
      </c>
      <c r="N699" s="194">
        <f t="shared" si="10"/>
        <v>1.35</v>
      </c>
      <c r="O699" s="198">
        <f>_1_5412845612146241046457891017[[#This Row],[TOTAL]]*_1_5412845612146241046457891017[[#This Row],[MARGIN]]</f>
        <v>0</v>
      </c>
      <c r="R699" s="41"/>
    </row>
    <row r="700" spans="4:18">
      <c r="D700" s="188"/>
      <c r="F700" s="168" t="s">
        <v>6202</v>
      </c>
      <c r="G700" s="193">
        <f>IF(_1_5412845612146241046457891017[[#This Row],[Type]]&gt;0,VLOOKUP(_1_5412845612146241046457891017[[#This Row],[Type]],Main[[#All],[TYPE]:[UNIT]],'Unit Price'!C$1,FALSE),0)</f>
        <v>0</v>
      </c>
      <c r="H700" s="197">
        <f>IF(_1_5412845612146241046457891017[[#This Row],[Type]]&gt;0,VLOOKUP(_1_5412845612146241046457891017[[#This Row],[Type]],Main[[#All],[TYPE]:[UNIT]],'Unit Price'!D$1,FALSE),0)</f>
        <v>0</v>
      </c>
      <c r="I700" s="194">
        <f>IF(_1_5412845612146241046457891017[[#This Row],[Type]]&gt;0,VLOOKUP(_1_5412845612146241046457891017[[#This Row],[Type]],Main[[#All],[TYPE]:[UNIT]],'Unit Price'!G$1,FALSE),0)</f>
        <v>0</v>
      </c>
      <c r="J700" s="194">
        <f>IF(_1_5412845612146241046457891017[[#This Row],[Type]]&gt;0,VLOOKUP(_1_5412845612146241046457891017[[#This Row],[Type]],Main[[#All],[TYPE]:[UNIT]],'Unit Price'!H$1,FALSE),0)</f>
        <v>0</v>
      </c>
      <c r="K700" s="194">
        <f>IF(_1_5412845612146241046457891017[[#This Row],[Discount selection]]&gt;0,VLOOKUP(_1_5412845612146241046457891017[[#This Row],[Discount selection]],'Discount Structure'!$A$2:$B$30,2,"false"),0)</f>
        <v>1</v>
      </c>
      <c r="L700" s="194">
        <f>_1_5412845612146241046457891017[[#This Row],[LIST $]]*_1_5412845612146241046457891017[[#This Row],[DISCOUNT]]*_1_5412845612146241046457891017[[#This Row],[DISCOUNT 2]]</f>
        <v>0</v>
      </c>
      <c r="M700" s="194">
        <f>IF(OR(_1_5412845612146241046457891017[[#This Row],[UNIT]]&gt;0,_1_5412845612146241046457891017[[#This Row],[UNIT]]&lt;0),_1_5412845612146241046457891017[[#This Row],[UNIT]]*_1_5412845612146241046457891017[[#This Row],[COST]],0)</f>
        <v>0</v>
      </c>
      <c r="N700" s="194">
        <f t="shared" si="10"/>
        <v>1.35</v>
      </c>
      <c r="O700" s="198">
        <f>_1_5412845612146241046457891017[[#This Row],[TOTAL]]*_1_5412845612146241046457891017[[#This Row],[MARGIN]]</f>
        <v>0</v>
      </c>
      <c r="R700" s="41"/>
    </row>
    <row r="701" spans="4:18">
      <c r="D701" s="188"/>
      <c r="F701" s="168" t="s">
        <v>6202</v>
      </c>
      <c r="G701" s="193">
        <f>IF(_1_5412845612146241046457891017[[#This Row],[Type]]&gt;0,VLOOKUP(_1_5412845612146241046457891017[[#This Row],[Type]],Main[[#All],[TYPE]:[UNIT]],'Unit Price'!C$1,FALSE),0)</f>
        <v>0</v>
      </c>
      <c r="H701" s="197">
        <f>IF(_1_5412845612146241046457891017[[#This Row],[Type]]&gt;0,VLOOKUP(_1_5412845612146241046457891017[[#This Row],[Type]],Main[[#All],[TYPE]:[UNIT]],'Unit Price'!D$1,FALSE),0)</f>
        <v>0</v>
      </c>
      <c r="I701" s="194">
        <f>IF(_1_5412845612146241046457891017[[#This Row],[Type]]&gt;0,VLOOKUP(_1_5412845612146241046457891017[[#This Row],[Type]],Main[[#All],[TYPE]:[UNIT]],'Unit Price'!G$1,FALSE),0)</f>
        <v>0</v>
      </c>
      <c r="J701" s="194">
        <f>IF(_1_5412845612146241046457891017[[#This Row],[Type]]&gt;0,VLOOKUP(_1_5412845612146241046457891017[[#This Row],[Type]],Main[[#All],[TYPE]:[UNIT]],'Unit Price'!H$1,FALSE),0)</f>
        <v>0</v>
      </c>
      <c r="K701" s="194">
        <f>IF(_1_5412845612146241046457891017[[#This Row],[Discount selection]]&gt;0,VLOOKUP(_1_5412845612146241046457891017[[#This Row],[Discount selection]],'Discount Structure'!$A$2:$B$30,2,"false"),0)</f>
        <v>1</v>
      </c>
      <c r="L701" s="194">
        <f>_1_5412845612146241046457891017[[#This Row],[LIST $]]*_1_5412845612146241046457891017[[#This Row],[DISCOUNT]]*_1_5412845612146241046457891017[[#This Row],[DISCOUNT 2]]</f>
        <v>0</v>
      </c>
      <c r="M701" s="194">
        <f>IF(OR(_1_5412845612146241046457891017[[#This Row],[UNIT]]&gt;0,_1_5412845612146241046457891017[[#This Row],[UNIT]]&lt;0),_1_5412845612146241046457891017[[#This Row],[UNIT]]*_1_5412845612146241046457891017[[#This Row],[COST]],0)</f>
        <v>0</v>
      </c>
      <c r="N701" s="194">
        <f t="shared" si="10"/>
        <v>1.35</v>
      </c>
      <c r="O701" s="198">
        <f>_1_5412845612146241046457891017[[#This Row],[TOTAL]]*_1_5412845612146241046457891017[[#This Row],[MARGIN]]</f>
        <v>0</v>
      </c>
      <c r="R701" s="41"/>
    </row>
    <row r="702" spans="4:18">
      <c r="D702" s="188"/>
      <c r="F702" s="168" t="s">
        <v>6202</v>
      </c>
      <c r="G702" s="193">
        <f>IF(_1_5412845612146241046457891017[[#This Row],[Type]]&gt;0,VLOOKUP(_1_5412845612146241046457891017[[#This Row],[Type]],Main[[#All],[TYPE]:[UNIT]],'Unit Price'!C$1,FALSE),0)</f>
        <v>0</v>
      </c>
      <c r="H702" s="197">
        <f>IF(_1_5412845612146241046457891017[[#This Row],[Type]]&gt;0,VLOOKUP(_1_5412845612146241046457891017[[#This Row],[Type]],Main[[#All],[TYPE]:[UNIT]],'Unit Price'!D$1,FALSE),0)</f>
        <v>0</v>
      </c>
      <c r="I702" s="194">
        <f>IF(_1_5412845612146241046457891017[[#This Row],[Type]]&gt;0,VLOOKUP(_1_5412845612146241046457891017[[#This Row],[Type]],Main[[#All],[TYPE]:[UNIT]],'Unit Price'!G$1,FALSE),0)</f>
        <v>0</v>
      </c>
      <c r="J702" s="194">
        <f>IF(_1_5412845612146241046457891017[[#This Row],[Type]]&gt;0,VLOOKUP(_1_5412845612146241046457891017[[#This Row],[Type]],Main[[#All],[TYPE]:[UNIT]],'Unit Price'!H$1,FALSE),0)</f>
        <v>0</v>
      </c>
      <c r="K702" s="194">
        <f>IF(_1_5412845612146241046457891017[[#This Row],[Discount selection]]&gt;0,VLOOKUP(_1_5412845612146241046457891017[[#This Row],[Discount selection]],'Discount Structure'!$A$2:$B$30,2,"false"),0)</f>
        <v>1</v>
      </c>
      <c r="L702" s="194">
        <f>_1_5412845612146241046457891017[[#This Row],[LIST $]]*_1_5412845612146241046457891017[[#This Row],[DISCOUNT]]*_1_5412845612146241046457891017[[#This Row],[DISCOUNT 2]]</f>
        <v>0</v>
      </c>
      <c r="M702" s="194">
        <f>IF(OR(_1_5412845612146241046457891017[[#This Row],[UNIT]]&gt;0,_1_5412845612146241046457891017[[#This Row],[UNIT]]&lt;0),_1_5412845612146241046457891017[[#This Row],[UNIT]]*_1_5412845612146241046457891017[[#This Row],[COST]],0)</f>
        <v>0</v>
      </c>
      <c r="N702" s="194">
        <f t="shared" si="10"/>
        <v>1.35</v>
      </c>
      <c r="O702" s="198">
        <f>_1_5412845612146241046457891017[[#This Row],[TOTAL]]*_1_5412845612146241046457891017[[#This Row],[MARGIN]]</f>
        <v>0</v>
      </c>
      <c r="R702" s="41"/>
    </row>
    <row r="703" spans="4:18">
      <c r="D703" s="188"/>
      <c r="F703" s="168" t="s">
        <v>6202</v>
      </c>
      <c r="G703" s="193">
        <f>IF(_1_5412845612146241046457891017[[#This Row],[Type]]&gt;0,VLOOKUP(_1_5412845612146241046457891017[[#This Row],[Type]],Main[[#All],[TYPE]:[UNIT]],'Unit Price'!C$1,FALSE),0)</f>
        <v>0</v>
      </c>
      <c r="H703" s="197">
        <f>IF(_1_5412845612146241046457891017[[#This Row],[Type]]&gt;0,VLOOKUP(_1_5412845612146241046457891017[[#This Row],[Type]],Main[[#All],[TYPE]:[UNIT]],'Unit Price'!D$1,FALSE),0)</f>
        <v>0</v>
      </c>
      <c r="I703" s="194">
        <f>IF(_1_5412845612146241046457891017[[#This Row],[Type]]&gt;0,VLOOKUP(_1_5412845612146241046457891017[[#This Row],[Type]],Main[[#All],[TYPE]:[UNIT]],'Unit Price'!G$1,FALSE),0)</f>
        <v>0</v>
      </c>
      <c r="J703" s="194">
        <f>IF(_1_5412845612146241046457891017[[#This Row],[Type]]&gt;0,VLOOKUP(_1_5412845612146241046457891017[[#This Row],[Type]],Main[[#All],[TYPE]:[UNIT]],'Unit Price'!H$1,FALSE),0)</f>
        <v>0</v>
      </c>
      <c r="K703" s="194">
        <f>IF(_1_5412845612146241046457891017[[#This Row],[Discount selection]]&gt;0,VLOOKUP(_1_5412845612146241046457891017[[#This Row],[Discount selection]],'Discount Structure'!$A$2:$B$30,2,"false"),0)</f>
        <v>1</v>
      </c>
      <c r="L703" s="194">
        <f>_1_5412845612146241046457891017[[#This Row],[LIST $]]*_1_5412845612146241046457891017[[#This Row],[DISCOUNT]]*_1_5412845612146241046457891017[[#This Row],[DISCOUNT 2]]</f>
        <v>0</v>
      </c>
      <c r="M703" s="194">
        <f>IF(OR(_1_5412845612146241046457891017[[#This Row],[UNIT]]&gt;0,_1_5412845612146241046457891017[[#This Row],[UNIT]]&lt;0),_1_5412845612146241046457891017[[#This Row],[UNIT]]*_1_5412845612146241046457891017[[#This Row],[COST]],0)</f>
        <v>0</v>
      </c>
      <c r="N703" s="194">
        <f t="shared" si="10"/>
        <v>1.35</v>
      </c>
      <c r="O703" s="198">
        <f>_1_5412845612146241046457891017[[#This Row],[TOTAL]]*_1_5412845612146241046457891017[[#This Row],[MARGIN]]</f>
        <v>0</v>
      </c>
      <c r="R703" s="41"/>
    </row>
    <row r="704" spans="4:18">
      <c r="D704" s="188"/>
      <c r="F704" s="168" t="s">
        <v>6202</v>
      </c>
      <c r="G704" s="193">
        <f>IF(_1_5412845612146241046457891017[[#This Row],[Type]]&gt;0,VLOOKUP(_1_5412845612146241046457891017[[#This Row],[Type]],Main[[#All],[TYPE]:[UNIT]],'Unit Price'!C$1,FALSE),0)</f>
        <v>0</v>
      </c>
      <c r="H704" s="197">
        <f>IF(_1_5412845612146241046457891017[[#This Row],[Type]]&gt;0,VLOOKUP(_1_5412845612146241046457891017[[#This Row],[Type]],Main[[#All],[TYPE]:[UNIT]],'Unit Price'!D$1,FALSE),0)</f>
        <v>0</v>
      </c>
      <c r="I704" s="194">
        <f>IF(_1_5412845612146241046457891017[[#This Row],[Type]]&gt;0,VLOOKUP(_1_5412845612146241046457891017[[#This Row],[Type]],Main[[#All],[TYPE]:[UNIT]],'Unit Price'!G$1,FALSE),0)</f>
        <v>0</v>
      </c>
      <c r="J704" s="194">
        <f>IF(_1_5412845612146241046457891017[[#This Row],[Type]]&gt;0,VLOOKUP(_1_5412845612146241046457891017[[#This Row],[Type]],Main[[#All],[TYPE]:[UNIT]],'Unit Price'!H$1,FALSE),0)</f>
        <v>0</v>
      </c>
      <c r="K704" s="194">
        <f>IF(_1_5412845612146241046457891017[[#This Row],[Discount selection]]&gt;0,VLOOKUP(_1_5412845612146241046457891017[[#This Row],[Discount selection]],'Discount Structure'!$A$2:$B$30,2,"false"),0)</f>
        <v>1</v>
      </c>
      <c r="L704" s="194">
        <f>_1_5412845612146241046457891017[[#This Row],[LIST $]]*_1_5412845612146241046457891017[[#This Row],[DISCOUNT]]*_1_5412845612146241046457891017[[#This Row],[DISCOUNT 2]]</f>
        <v>0</v>
      </c>
      <c r="M704" s="194">
        <f>IF(OR(_1_5412845612146241046457891017[[#This Row],[UNIT]]&gt;0,_1_5412845612146241046457891017[[#This Row],[UNIT]]&lt;0),_1_5412845612146241046457891017[[#This Row],[UNIT]]*_1_5412845612146241046457891017[[#This Row],[COST]],0)</f>
        <v>0</v>
      </c>
      <c r="N704" s="194">
        <f t="shared" si="10"/>
        <v>1.35</v>
      </c>
      <c r="O704" s="198">
        <f>_1_5412845612146241046457891017[[#This Row],[TOTAL]]*_1_5412845612146241046457891017[[#This Row],[MARGIN]]</f>
        <v>0</v>
      </c>
      <c r="R704" s="41"/>
    </row>
    <row r="705" spans="4:18">
      <c r="D705" s="188"/>
      <c r="F705" s="168" t="s">
        <v>6202</v>
      </c>
      <c r="G705" s="193">
        <f>IF(_1_5412845612146241046457891017[[#This Row],[Type]]&gt;0,VLOOKUP(_1_5412845612146241046457891017[[#This Row],[Type]],Main[[#All],[TYPE]:[UNIT]],'Unit Price'!C$1,FALSE),0)</f>
        <v>0</v>
      </c>
      <c r="H705" s="197">
        <f>IF(_1_5412845612146241046457891017[[#This Row],[Type]]&gt;0,VLOOKUP(_1_5412845612146241046457891017[[#This Row],[Type]],Main[[#All],[TYPE]:[UNIT]],'Unit Price'!D$1,FALSE),0)</f>
        <v>0</v>
      </c>
      <c r="I705" s="194">
        <f>IF(_1_5412845612146241046457891017[[#This Row],[Type]]&gt;0,VLOOKUP(_1_5412845612146241046457891017[[#This Row],[Type]],Main[[#All],[TYPE]:[UNIT]],'Unit Price'!G$1,FALSE),0)</f>
        <v>0</v>
      </c>
      <c r="J705" s="194">
        <f>IF(_1_5412845612146241046457891017[[#This Row],[Type]]&gt;0,VLOOKUP(_1_5412845612146241046457891017[[#This Row],[Type]],Main[[#All],[TYPE]:[UNIT]],'Unit Price'!H$1,FALSE),0)</f>
        <v>0</v>
      </c>
      <c r="K705" s="194">
        <f>IF(_1_5412845612146241046457891017[[#This Row],[Discount selection]]&gt;0,VLOOKUP(_1_5412845612146241046457891017[[#This Row],[Discount selection]],'Discount Structure'!$A$2:$B$30,2,"false"),0)</f>
        <v>1</v>
      </c>
      <c r="L705" s="194">
        <f>_1_5412845612146241046457891017[[#This Row],[LIST $]]*_1_5412845612146241046457891017[[#This Row],[DISCOUNT]]*_1_5412845612146241046457891017[[#This Row],[DISCOUNT 2]]</f>
        <v>0</v>
      </c>
      <c r="M705" s="194">
        <f>IF(OR(_1_5412845612146241046457891017[[#This Row],[UNIT]]&gt;0,_1_5412845612146241046457891017[[#This Row],[UNIT]]&lt;0),_1_5412845612146241046457891017[[#This Row],[UNIT]]*_1_5412845612146241046457891017[[#This Row],[COST]],0)</f>
        <v>0</v>
      </c>
      <c r="N705" s="194">
        <f t="shared" si="10"/>
        <v>1.35</v>
      </c>
      <c r="O705" s="198">
        <f>_1_5412845612146241046457891017[[#This Row],[TOTAL]]*_1_5412845612146241046457891017[[#This Row],[MARGIN]]</f>
        <v>0</v>
      </c>
      <c r="R705" s="41"/>
    </row>
    <row r="706" spans="4:18">
      <c r="D706" s="188"/>
      <c r="F706" s="168" t="s">
        <v>6202</v>
      </c>
      <c r="G706" s="193">
        <f>IF(_1_5412845612146241046457891017[[#This Row],[Type]]&gt;0,VLOOKUP(_1_5412845612146241046457891017[[#This Row],[Type]],Main[[#All],[TYPE]:[UNIT]],'Unit Price'!C$1,FALSE),0)</f>
        <v>0</v>
      </c>
      <c r="H706" s="197">
        <f>IF(_1_5412845612146241046457891017[[#This Row],[Type]]&gt;0,VLOOKUP(_1_5412845612146241046457891017[[#This Row],[Type]],Main[[#All],[TYPE]:[UNIT]],'Unit Price'!D$1,FALSE),0)</f>
        <v>0</v>
      </c>
      <c r="I706" s="194">
        <f>IF(_1_5412845612146241046457891017[[#This Row],[Type]]&gt;0,VLOOKUP(_1_5412845612146241046457891017[[#This Row],[Type]],Main[[#All],[TYPE]:[UNIT]],'Unit Price'!G$1,FALSE),0)</f>
        <v>0</v>
      </c>
      <c r="J706" s="194">
        <f>IF(_1_5412845612146241046457891017[[#This Row],[Type]]&gt;0,VLOOKUP(_1_5412845612146241046457891017[[#This Row],[Type]],Main[[#All],[TYPE]:[UNIT]],'Unit Price'!H$1,FALSE),0)</f>
        <v>0</v>
      </c>
      <c r="K706" s="194">
        <f>IF(_1_5412845612146241046457891017[[#This Row],[Discount selection]]&gt;0,VLOOKUP(_1_5412845612146241046457891017[[#This Row],[Discount selection]],'Discount Structure'!$A$2:$B$30,2,"false"),0)</f>
        <v>1</v>
      </c>
      <c r="L706" s="194">
        <f>_1_5412845612146241046457891017[[#This Row],[LIST $]]*_1_5412845612146241046457891017[[#This Row],[DISCOUNT]]*_1_5412845612146241046457891017[[#This Row],[DISCOUNT 2]]</f>
        <v>0</v>
      </c>
      <c r="M706" s="194">
        <f>IF(OR(_1_5412845612146241046457891017[[#This Row],[UNIT]]&gt;0,_1_5412845612146241046457891017[[#This Row],[UNIT]]&lt;0),_1_5412845612146241046457891017[[#This Row],[UNIT]]*_1_5412845612146241046457891017[[#This Row],[COST]],0)</f>
        <v>0</v>
      </c>
      <c r="N706" s="194">
        <f t="shared" si="10"/>
        <v>1.35</v>
      </c>
      <c r="O706" s="198">
        <f>_1_5412845612146241046457891017[[#This Row],[TOTAL]]*_1_5412845612146241046457891017[[#This Row],[MARGIN]]</f>
        <v>0</v>
      </c>
      <c r="R706" s="41"/>
    </row>
    <row r="707" spans="4:18">
      <c r="D707" s="188"/>
      <c r="F707" s="168" t="s">
        <v>6202</v>
      </c>
      <c r="G707" s="193">
        <f>IF(_1_5412845612146241046457891017[[#This Row],[Type]]&gt;0,VLOOKUP(_1_5412845612146241046457891017[[#This Row],[Type]],Main[[#All],[TYPE]:[UNIT]],'Unit Price'!C$1,FALSE),0)</f>
        <v>0</v>
      </c>
      <c r="H707" s="197">
        <f>IF(_1_5412845612146241046457891017[[#This Row],[Type]]&gt;0,VLOOKUP(_1_5412845612146241046457891017[[#This Row],[Type]],Main[[#All],[TYPE]:[UNIT]],'Unit Price'!D$1,FALSE),0)</f>
        <v>0</v>
      </c>
      <c r="I707" s="194">
        <f>IF(_1_5412845612146241046457891017[[#This Row],[Type]]&gt;0,VLOOKUP(_1_5412845612146241046457891017[[#This Row],[Type]],Main[[#All],[TYPE]:[UNIT]],'Unit Price'!G$1,FALSE),0)</f>
        <v>0</v>
      </c>
      <c r="J707" s="194">
        <f>IF(_1_5412845612146241046457891017[[#This Row],[Type]]&gt;0,VLOOKUP(_1_5412845612146241046457891017[[#This Row],[Type]],Main[[#All],[TYPE]:[UNIT]],'Unit Price'!H$1,FALSE),0)</f>
        <v>0</v>
      </c>
      <c r="K707" s="194">
        <f>IF(_1_5412845612146241046457891017[[#This Row],[Discount selection]]&gt;0,VLOOKUP(_1_5412845612146241046457891017[[#This Row],[Discount selection]],'Discount Structure'!$A$2:$B$30,2,"false"),0)</f>
        <v>1</v>
      </c>
      <c r="L707" s="194">
        <f>_1_5412845612146241046457891017[[#This Row],[LIST $]]*_1_5412845612146241046457891017[[#This Row],[DISCOUNT]]*_1_5412845612146241046457891017[[#This Row],[DISCOUNT 2]]</f>
        <v>0</v>
      </c>
      <c r="M707" s="194">
        <f>IF(OR(_1_5412845612146241046457891017[[#This Row],[UNIT]]&gt;0,_1_5412845612146241046457891017[[#This Row],[UNIT]]&lt;0),_1_5412845612146241046457891017[[#This Row],[UNIT]]*_1_5412845612146241046457891017[[#This Row],[COST]],0)</f>
        <v>0</v>
      </c>
      <c r="N707" s="194">
        <f t="shared" si="10"/>
        <v>1.35</v>
      </c>
      <c r="O707" s="198">
        <f>_1_5412845612146241046457891017[[#This Row],[TOTAL]]*_1_5412845612146241046457891017[[#This Row],[MARGIN]]</f>
        <v>0</v>
      </c>
      <c r="R707" s="41"/>
    </row>
    <row r="708" spans="4:18">
      <c r="D708" s="188"/>
      <c r="F708" s="168" t="s">
        <v>6202</v>
      </c>
      <c r="G708" s="193">
        <f>IF(_1_5412845612146241046457891017[[#This Row],[Type]]&gt;0,VLOOKUP(_1_5412845612146241046457891017[[#This Row],[Type]],Main[[#All],[TYPE]:[UNIT]],'Unit Price'!C$1,FALSE),0)</f>
        <v>0</v>
      </c>
      <c r="H708" s="197">
        <f>IF(_1_5412845612146241046457891017[[#This Row],[Type]]&gt;0,VLOOKUP(_1_5412845612146241046457891017[[#This Row],[Type]],Main[[#All],[TYPE]:[UNIT]],'Unit Price'!D$1,FALSE),0)</f>
        <v>0</v>
      </c>
      <c r="I708" s="194">
        <f>IF(_1_5412845612146241046457891017[[#This Row],[Type]]&gt;0,VLOOKUP(_1_5412845612146241046457891017[[#This Row],[Type]],Main[[#All],[TYPE]:[UNIT]],'Unit Price'!G$1,FALSE),0)</f>
        <v>0</v>
      </c>
      <c r="J708" s="194">
        <f>IF(_1_5412845612146241046457891017[[#This Row],[Type]]&gt;0,VLOOKUP(_1_5412845612146241046457891017[[#This Row],[Type]],Main[[#All],[TYPE]:[UNIT]],'Unit Price'!H$1,FALSE),0)</f>
        <v>0</v>
      </c>
      <c r="K708" s="194">
        <f>IF(_1_5412845612146241046457891017[[#This Row],[Discount selection]]&gt;0,VLOOKUP(_1_5412845612146241046457891017[[#This Row],[Discount selection]],'Discount Structure'!$A$2:$B$30,2,"false"),0)</f>
        <v>1</v>
      </c>
      <c r="L708" s="194">
        <f>_1_5412845612146241046457891017[[#This Row],[LIST $]]*_1_5412845612146241046457891017[[#This Row],[DISCOUNT]]*_1_5412845612146241046457891017[[#This Row],[DISCOUNT 2]]</f>
        <v>0</v>
      </c>
      <c r="M708" s="194">
        <f>IF(OR(_1_5412845612146241046457891017[[#This Row],[UNIT]]&gt;0,_1_5412845612146241046457891017[[#This Row],[UNIT]]&lt;0),_1_5412845612146241046457891017[[#This Row],[UNIT]]*_1_5412845612146241046457891017[[#This Row],[COST]],0)</f>
        <v>0</v>
      </c>
      <c r="N708" s="194">
        <f t="shared" si="10"/>
        <v>1.35</v>
      </c>
      <c r="O708" s="198">
        <f>_1_5412845612146241046457891017[[#This Row],[TOTAL]]*_1_5412845612146241046457891017[[#This Row],[MARGIN]]</f>
        <v>0</v>
      </c>
      <c r="R708" s="41"/>
    </row>
    <row r="709" spans="4:18">
      <c r="D709" s="188"/>
      <c r="F709" s="168" t="s">
        <v>6202</v>
      </c>
      <c r="G709" s="193">
        <f>IF(_1_5412845612146241046457891017[[#This Row],[Type]]&gt;0,VLOOKUP(_1_5412845612146241046457891017[[#This Row],[Type]],Main[[#All],[TYPE]:[UNIT]],'Unit Price'!C$1,FALSE),0)</f>
        <v>0</v>
      </c>
      <c r="H709" s="197">
        <f>IF(_1_5412845612146241046457891017[[#This Row],[Type]]&gt;0,VLOOKUP(_1_5412845612146241046457891017[[#This Row],[Type]],Main[[#All],[TYPE]:[UNIT]],'Unit Price'!D$1,FALSE),0)</f>
        <v>0</v>
      </c>
      <c r="I709" s="194">
        <f>IF(_1_5412845612146241046457891017[[#This Row],[Type]]&gt;0,VLOOKUP(_1_5412845612146241046457891017[[#This Row],[Type]],Main[[#All],[TYPE]:[UNIT]],'Unit Price'!G$1,FALSE),0)</f>
        <v>0</v>
      </c>
      <c r="J709" s="194">
        <f>IF(_1_5412845612146241046457891017[[#This Row],[Type]]&gt;0,VLOOKUP(_1_5412845612146241046457891017[[#This Row],[Type]],Main[[#All],[TYPE]:[UNIT]],'Unit Price'!H$1,FALSE),0)</f>
        <v>0</v>
      </c>
      <c r="K709" s="194">
        <f>IF(_1_5412845612146241046457891017[[#This Row],[Discount selection]]&gt;0,VLOOKUP(_1_5412845612146241046457891017[[#This Row],[Discount selection]],'Discount Structure'!$A$2:$B$30,2,"false"),0)</f>
        <v>1</v>
      </c>
      <c r="L709" s="194">
        <f>_1_5412845612146241046457891017[[#This Row],[LIST $]]*_1_5412845612146241046457891017[[#This Row],[DISCOUNT]]*_1_5412845612146241046457891017[[#This Row],[DISCOUNT 2]]</f>
        <v>0</v>
      </c>
      <c r="M709" s="194">
        <f>IF(OR(_1_5412845612146241046457891017[[#This Row],[UNIT]]&gt;0,_1_5412845612146241046457891017[[#This Row],[UNIT]]&lt;0),_1_5412845612146241046457891017[[#This Row],[UNIT]]*_1_5412845612146241046457891017[[#This Row],[COST]],0)</f>
        <v>0</v>
      </c>
      <c r="N709" s="194">
        <f t="shared" si="10"/>
        <v>1.35</v>
      </c>
      <c r="O709" s="198">
        <f>_1_5412845612146241046457891017[[#This Row],[TOTAL]]*_1_5412845612146241046457891017[[#This Row],[MARGIN]]</f>
        <v>0</v>
      </c>
      <c r="R709" s="41"/>
    </row>
    <row r="710" spans="4:18">
      <c r="D710" s="188"/>
      <c r="F710" s="168" t="s">
        <v>6202</v>
      </c>
      <c r="G710" s="193">
        <f>IF(_1_5412845612146241046457891017[[#This Row],[Type]]&gt;0,VLOOKUP(_1_5412845612146241046457891017[[#This Row],[Type]],Main[[#All],[TYPE]:[UNIT]],'Unit Price'!C$1,FALSE),0)</f>
        <v>0</v>
      </c>
      <c r="H710" s="197">
        <f>IF(_1_5412845612146241046457891017[[#This Row],[Type]]&gt;0,VLOOKUP(_1_5412845612146241046457891017[[#This Row],[Type]],Main[[#All],[TYPE]:[UNIT]],'Unit Price'!D$1,FALSE),0)</f>
        <v>0</v>
      </c>
      <c r="I710" s="194">
        <f>IF(_1_5412845612146241046457891017[[#This Row],[Type]]&gt;0,VLOOKUP(_1_5412845612146241046457891017[[#This Row],[Type]],Main[[#All],[TYPE]:[UNIT]],'Unit Price'!G$1,FALSE),0)</f>
        <v>0</v>
      </c>
      <c r="J710" s="194">
        <f>IF(_1_5412845612146241046457891017[[#This Row],[Type]]&gt;0,VLOOKUP(_1_5412845612146241046457891017[[#This Row],[Type]],Main[[#All],[TYPE]:[UNIT]],'Unit Price'!H$1,FALSE),0)</f>
        <v>0</v>
      </c>
      <c r="K710" s="194">
        <f>IF(_1_5412845612146241046457891017[[#This Row],[Discount selection]]&gt;0,VLOOKUP(_1_5412845612146241046457891017[[#This Row],[Discount selection]],'Discount Structure'!$A$2:$B$30,2,"false"),0)</f>
        <v>1</v>
      </c>
      <c r="L710" s="194">
        <f>_1_5412845612146241046457891017[[#This Row],[LIST $]]*_1_5412845612146241046457891017[[#This Row],[DISCOUNT]]*_1_5412845612146241046457891017[[#This Row],[DISCOUNT 2]]</f>
        <v>0</v>
      </c>
      <c r="M710" s="194">
        <f>IF(OR(_1_5412845612146241046457891017[[#This Row],[UNIT]]&gt;0,_1_5412845612146241046457891017[[#This Row],[UNIT]]&lt;0),_1_5412845612146241046457891017[[#This Row],[UNIT]]*_1_5412845612146241046457891017[[#This Row],[COST]],0)</f>
        <v>0</v>
      </c>
      <c r="N710" s="194">
        <f t="shared" si="10"/>
        <v>1.35</v>
      </c>
      <c r="O710" s="198">
        <f>_1_5412845612146241046457891017[[#This Row],[TOTAL]]*_1_5412845612146241046457891017[[#This Row],[MARGIN]]</f>
        <v>0</v>
      </c>
      <c r="R710" s="41"/>
    </row>
    <row r="711" spans="4:18">
      <c r="D711" s="188"/>
      <c r="F711" s="168" t="s">
        <v>6202</v>
      </c>
      <c r="G711" s="193">
        <f>IF(_1_5412845612146241046457891017[[#This Row],[Type]]&gt;0,VLOOKUP(_1_5412845612146241046457891017[[#This Row],[Type]],Main[[#All],[TYPE]:[UNIT]],'Unit Price'!C$1,FALSE),0)</f>
        <v>0</v>
      </c>
      <c r="H711" s="197">
        <f>IF(_1_5412845612146241046457891017[[#This Row],[Type]]&gt;0,VLOOKUP(_1_5412845612146241046457891017[[#This Row],[Type]],Main[[#All],[TYPE]:[UNIT]],'Unit Price'!D$1,FALSE),0)</f>
        <v>0</v>
      </c>
      <c r="I711" s="194">
        <f>IF(_1_5412845612146241046457891017[[#This Row],[Type]]&gt;0,VLOOKUP(_1_5412845612146241046457891017[[#This Row],[Type]],Main[[#All],[TYPE]:[UNIT]],'Unit Price'!G$1,FALSE),0)</f>
        <v>0</v>
      </c>
      <c r="J711" s="194">
        <f>IF(_1_5412845612146241046457891017[[#This Row],[Type]]&gt;0,VLOOKUP(_1_5412845612146241046457891017[[#This Row],[Type]],Main[[#All],[TYPE]:[UNIT]],'Unit Price'!H$1,FALSE),0)</f>
        <v>0</v>
      </c>
      <c r="K711" s="194">
        <f>IF(_1_5412845612146241046457891017[[#This Row],[Discount selection]]&gt;0,VLOOKUP(_1_5412845612146241046457891017[[#This Row],[Discount selection]],'Discount Structure'!$A$2:$B$30,2,"false"),0)</f>
        <v>1</v>
      </c>
      <c r="L711" s="194">
        <f>_1_5412845612146241046457891017[[#This Row],[LIST $]]*_1_5412845612146241046457891017[[#This Row],[DISCOUNT]]*_1_5412845612146241046457891017[[#This Row],[DISCOUNT 2]]</f>
        <v>0</v>
      </c>
      <c r="M711" s="194">
        <f>IF(OR(_1_5412845612146241046457891017[[#This Row],[UNIT]]&gt;0,_1_5412845612146241046457891017[[#This Row],[UNIT]]&lt;0),_1_5412845612146241046457891017[[#This Row],[UNIT]]*_1_5412845612146241046457891017[[#This Row],[COST]],0)</f>
        <v>0</v>
      </c>
      <c r="N711" s="194">
        <f t="shared" si="10"/>
        <v>1.35</v>
      </c>
      <c r="O711" s="198">
        <f>_1_5412845612146241046457891017[[#This Row],[TOTAL]]*_1_5412845612146241046457891017[[#This Row],[MARGIN]]</f>
        <v>0</v>
      </c>
      <c r="R711" s="41"/>
    </row>
    <row r="712" spans="4:18">
      <c r="D712" s="188"/>
      <c r="F712" s="168" t="s">
        <v>6202</v>
      </c>
      <c r="G712" s="193">
        <f>IF(_1_5412845612146241046457891017[[#This Row],[Type]]&gt;0,VLOOKUP(_1_5412845612146241046457891017[[#This Row],[Type]],Main[[#All],[TYPE]:[UNIT]],'Unit Price'!C$1,FALSE),0)</f>
        <v>0</v>
      </c>
      <c r="H712" s="197">
        <f>IF(_1_5412845612146241046457891017[[#This Row],[Type]]&gt;0,VLOOKUP(_1_5412845612146241046457891017[[#This Row],[Type]],Main[[#All],[TYPE]:[UNIT]],'Unit Price'!D$1,FALSE),0)</f>
        <v>0</v>
      </c>
      <c r="I712" s="194">
        <f>IF(_1_5412845612146241046457891017[[#This Row],[Type]]&gt;0,VLOOKUP(_1_5412845612146241046457891017[[#This Row],[Type]],Main[[#All],[TYPE]:[UNIT]],'Unit Price'!G$1,FALSE),0)</f>
        <v>0</v>
      </c>
      <c r="J712" s="194">
        <f>IF(_1_5412845612146241046457891017[[#This Row],[Type]]&gt;0,VLOOKUP(_1_5412845612146241046457891017[[#This Row],[Type]],Main[[#All],[TYPE]:[UNIT]],'Unit Price'!H$1,FALSE),0)</f>
        <v>0</v>
      </c>
      <c r="K712" s="194">
        <f>IF(_1_5412845612146241046457891017[[#This Row],[Discount selection]]&gt;0,VLOOKUP(_1_5412845612146241046457891017[[#This Row],[Discount selection]],'Discount Structure'!$A$2:$B$30,2,"false"),0)</f>
        <v>1</v>
      </c>
      <c r="L712" s="194">
        <f>_1_5412845612146241046457891017[[#This Row],[LIST $]]*_1_5412845612146241046457891017[[#This Row],[DISCOUNT]]*_1_5412845612146241046457891017[[#This Row],[DISCOUNT 2]]</f>
        <v>0</v>
      </c>
      <c r="M712" s="194">
        <f>IF(OR(_1_5412845612146241046457891017[[#This Row],[UNIT]]&gt;0,_1_5412845612146241046457891017[[#This Row],[UNIT]]&lt;0),_1_5412845612146241046457891017[[#This Row],[UNIT]]*_1_5412845612146241046457891017[[#This Row],[COST]],0)</f>
        <v>0</v>
      </c>
      <c r="N712" s="194">
        <f t="shared" si="10"/>
        <v>1.35</v>
      </c>
      <c r="O712" s="198">
        <f>_1_5412845612146241046457891017[[#This Row],[TOTAL]]*_1_5412845612146241046457891017[[#This Row],[MARGIN]]</f>
        <v>0</v>
      </c>
      <c r="R712" s="41"/>
    </row>
    <row r="713" spans="4:18">
      <c r="D713" s="188"/>
      <c r="F713" s="168" t="s">
        <v>6202</v>
      </c>
      <c r="G713" s="193">
        <f>IF(_1_5412845612146241046457891017[[#This Row],[Type]]&gt;0,VLOOKUP(_1_5412845612146241046457891017[[#This Row],[Type]],Main[[#All],[TYPE]:[UNIT]],'Unit Price'!C$1,FALSE),0)</f>
        <v>0</v>
      </c>
      <c r="H713" s="197">
        <f>IF(_1_5412845612146241046457891017[[#This Row],[Type]]&gt;0,VLOOKUP(_1_5412845612146241046457891017[[#This Row],[Type]],Main[[#All],[TYPE]:[UNIT]],'Unit Price'!D$1,FALSE),0)</f>
        <v>0</v>
      </c>
      <c r="I713" s="194">
        <f>IF(_1_5412845612146241046457891017[[#This Row],[Type]]&gt;0,VLOOKUP(_1_5412845612146241046457891017[[#This Row],[Type]],Main[[#All],[TYPE]:[UNIT]],'Unit Price'!G$1,FALSE),0)</f>
        <v>0</v>
      </c>
      <c r="J713" s="194">
        <f>IF(_1_5412845612146241046457891017[[#This Row],[Type]]&gt;0,VLOOKUP(_1_5412845612146241046457891017[[#This Row],[Type]],Main[[#All],[TYPE]:[UNIT]],'Unit Price'!H$1,FALSE),0)</f>
        <v>0</v>
      </c>
      <c r="K713" s="194">
        <f>IF(_1_5412845612146241046457891017[[#This Row],[Discount selection]]&gt;0,VLOOKUP(_1_5412845612146241046457891017[[#This Row],[Discount selection]],'Discount Structure'!$A$2:$B$30,2,"false"),0)</f>
        <v>1</v>
      </c>
      <c r="L713" s="194">
        <f>_1_5412845612146241046457891017[[#This Row],[LIST $]]*_1_5412845612146241046457891017[[#This Row],[DISCOUNT]]*_1_5412845612146241046457891017[[#This Row],[DISCOUNT 2]]</f>
        <v>0</v>
      </c>
      <c r="M713" s="194">
        <f>IF(OR(_1_5412845612146241046457891017[[#This Row],[UNIT]]&gt;0,_1_5412845612146241046457891017[[#This Row],[UNIT]]&lt;0),_1_5412845612146241046457891017[[#This Row],[UNIT]]*_1_5412845612146241046457891017[[#This Row],[COST]],0)</f>
        <v>0</v>
      </c>
      <c r="N713" s="194">
        <f t="shared" si="10"/>
        <v>1.35</v>
      </c>
      <c r="O713" s="198">
        <f>_1_5412845612146241046457891017[[#This Row],[TOTAL]]*_1_5412845612146241046457891017[[#This Row],[MARGIN]]</f>
        <v>0</v>
      </c>
      <c r="R713" s="41"/>
    </row>
    <row r="714" spans="4:18">
      <c r="D714" s="188"/>
      <c r="F714" s="168" t="s">
        <v>6202</v>
      </c>
      <c r="G714" s="193">
        <f>IF(_1_5412845612146241046457891017[[#This Row],[Type]]&gt;0,VLOOKUP(_1_5412845612146241046457891017[[#This Row],[Type]],Main[[#All],[TYPE]:[UNIT]],'Unit Price'!C$1,FALSE),0)</f>
        <v>0</v>
      </c>
      <c r="H714" s="197">
        <f>IF(_1_5412845612146241046457891017[[#This Row],[Type]]&gt;0,VLOOKUP(_1_5412845612146241046457891017[[#This Row],[Type]],Main[[#All],[TYPE]:[UNIT]],'Unit Price'!D$1,FALSE),0)</f>
        <v>0</v>
      </c>
      <c r="I714" s="194">
        <f>IF(_1_5412845612146241046457891017[[#This Row],[Type]]&gt;0,VLOOKUP(_1_5412845612146241046457891017[[#This Row],[Type]],Main[[#All],[TYPE]:[UNIT]],'Unit Price'!G$1,FALSE),0)</f>
        <v>0</v>
      </c>
      <c r="J714" s="194">
        <f>IF(_1_5412845612146241046457891017[[#This Row],[Type]]&gt;0,VLOOKUP(_1_5412845612146241046457891017[[#This Row],[Type]],Main[[#All],[TYPE]:[UNIT]],'Unit Price'!H$1,FALSE),0)</f>
        <v>0</v>
      </c>
      <c r="K714" s="194">
        <f>IF(_1_5412845612146241046457891017[[#This Row],[Discount selection]]&gt;0,VLOOKUP(_1_5412845612146241046457891017[[#This Row],[Discount selection]],'Discount Structure'!$A$2:$B$30,2,"false"),0)</f>
        <v>1</v>
      </c>
      <c r="L714" s="194">
        <f>_1_5412845612146241046457891017[[#This Row],[LIST $]]*_1_5412845612146241046457891017[[#This Row],[DISCOUNT]]*_1_5412845612146241046457891017[[#This Row],[DISCOUNT 2]]</f>
        <v>0</v>
      </c>
      <c r="M714" s="194">
        <f>IF(OR(_1_5412845612146241046457891017[[#This Row],[UNIT]]&gt;0,_1_5412845612146241046457891017[[#This Row],[UNIT]]&lt;0),_1_5412845612146241046457891017[[#This Row],[UNIT]]*_1_5412845612146241046457891017[[#This Row],[COST]],0)</f>
        <v>0</v>
      </c>
      <c r="N714" s="194">
        <f t="shared" ref="N714:N777" si="11">$N$7</f>
        <v>1.35</v>
      </c>
      <c r="O714" s="198">
        <f>_1_5412845612146241046457891017[[#This Row],[TOTAL]]*_1_5412845612146241046457891017[[#This Row],[MARGIN]]</f>
        <v>0</v>
      </c>
      <c r="R714" s="41"/>
    </row>
    <row r="715" spans="4:18">
      <c r="D715" s="188"/>
      <c r="F715" s="168" t="s">
        <v>6202</v>
      </c>
      <c r="G715" s="193">
        <f>IF(_1_5412845612146241046457891017[[#This Row],[Type]]&gt;0,VLOOKUP(_1_5412845612146241046457891017[[#This Row],[Type]],Main[[#All],[TYPE]:[UNIT]],'Unit Price'!C$1,FALSE),0)</f>
        <v>0</v>
      </c>
      <c r="H715" s="197">
        <f>IF(_1_5412845612146241046457891017[[#This Row],[Type]]&gt;0,VLOOKUP(_1_5412845612146241046457891017[[#This Row],[Type]],Main[[#All],[TYPE]:[UNIT]],'Unit Price'!D$1,FALSE),0)</f>
        <v>0</v>
      </c>
      <c r="I715" s="194">
        <f>IF(_1_5412845612146241046457891017[[#This Row],[Type]]&gt;0,VLOOKUP(_1_5412845612146241046457891017[[#This Row],[Type]],Main[[#All],[TYPE]:[UNIT]],'Unit Price'!G$1,FALSE),0)</f>
        <v>0</v>
      </c>
      <c r="J715" s="194">
        <f>IF(_1_5412845612146241046457891017[[#This Row],[Type]]&gt;0,VLOOKUP(_1_5412845612146241046457891017[[#This Row],[Type]],Main[[#All],[TYPE]:[UNIT]],'Unit Price'!H$1,FALSE),0)</f>
        <v>0</v>
      </c>
      <c r="K715" s="194">
        <f>IF(_1_5412845612146241046457891017[[#This Row],[Discount selection]]&gt;0,VLOOKUP(_1_5412845612146241046457891017[[#This Row],[Discount selection]],'Discount Structure'!$A$2:$B$30,2,"false"),0)</f>
        <v>1</v>
      </c>
      <c r="L715" s="194">
        <f>_1_5412845612146241046457891017[[#This Row],[LIST $]]*_1_5412845612146241046457891017[[#This Row],[DISCOUNT]]*_1_5412845612146241046457891017[[#This Row],[DISCOUNT 2]]</f>
        <v>0</v>
      </c>
      <c r="M715" s="194">
        <f>IF(OR(_1_5412845612146241046457891017[[#This Row],[UNIT]]&gt;0,_1_5412845612146241046457891017[[#This Row],[UNIT]]&lt;0),_1_5412845612146241046457891017[[#This Row],[UNIT]]*_1_5412845612146241046457891017[[#This Row],[COST]],0)</f>
        <v>0</v>
      </c>
      <c r="N715" s="194">
        <f t="shared" si="11"/>
        <v>1.35</v>
      </c>
      <c r="O715" s="198">
        <f>_1_5412845612146241046457891017[[#This Row],[TOTAL]]*_1_5412845612146241046457891017[[#This Row],[MARGIN]]</f>
        <v>0</v>
      </c>
      <c r="R715" s="41"/>
    </row>
    <row r="716" spans="4:18">
      <c r="D716" s="188"/>
      <c r="F716" s="168" t="s">
        <v>6202</v>
      </c>
      <c r="G716" s="193">
        <f>IF(_1_5412845612146241046457891017[[#This Row],[Type]]&gt;0,VLOOKUP(_1_5412845612146241046457891017[[#This Row],[Type]],Main[[#All],[TYPE]:[UNIT]],'Unit Price'!C$1,FALSE),0)</f>
        <v>0</v>
      </c>
      <c r="H716" s="197">
        <f>IF(_1_5412845612146241046457891017[[#This Row],[Type]]&gt;0,VLOOKUP(_1_5412845612146241046457891017[[#This Row],[Type]],Main[[#All],[TYPE]:[UNIT]],'Unit Price'!D$1,FALSE),0)</f>
        <v>0</v>
      </c>
      <c r="I716" s="194">
        <f>IF(_1_5412845612146241046457891017[[#This Row],[Type]]&gt;0,VLOOKUP(_1_5412845612146241046457891017[[#This Row],[Type]],Main[[#All],[TYPE]:[UNIT]],'Unit Price'!G$1,FALSE),0)</f>
        <v>0</v>
      </c>
      <c r="J716" s="194">
        <f>IF(_1_5412845612146241046457891017[[#This Row],[Type]]&gt;0,VLOOKUP(_1_5412845612146241046457891017[[#This Row],[Type]],Main[[#All],[TYPE]:[UNIT]],'Unit Price'!H$1,FALSE),0)</f>
        <v>0</v>
      </c>
      <c r="K716" s="194">
        <f>IF(_1_5412845612146241046457891017[[#This Row],[Discount selection]]&gt;0,VLOOKUP(_1_5412845612146241046457891017[[#This Row],[Discount selection]],'Discount Structure'!$A$2:$B$30,2,"false"),0)</f>
        <v>1</v>
      </c>
      <c r="L716" s="194">
        <f>_1_5412845612146241046457891017[[#This Row],[LIST $]]*_1_5412845612146241046457891017[[#This Row],[DISCOUNT]]*_1_5412845612146241046457891017[[#This Row],[DISCOUNT 2]]</f>
        <v>0</v>
      </c>
      <c r="M716" s="194">
        <f>IF(OR(_1_5412845612146241046457891017[[#This Row],[UNIT]]&gt;0,_1_5412845612146241046457891017[[#This Row],[UNIT]]&lt;0),_1_5412845612146241046457891017[[#This Row],[UNIT]]*_1_5412845612146241046457891017[[#This Row],[COST]],0)</f>
        <v>0</v>
      </c>
      <c r="N716" s="194">
        <f t="shared" si="11"/>
        <v>1.35</v>
      </c>
      <c r="O716" s="198">
        <f>_1_5412845612146241046457891017[[#This Row],[TOTAL]]*_1_5412845612146241046457891017[[#This Row],[MARGIN]]</f>
        <v>0</v>
      </c>
      <c r="R716" s="41"/>
    </row>
    <row r="717" spans="4:18">
      <c r="D717" s="188"/>
      <c r="F717" s="168" t="s">
        <v>6202</v>
      </c>
      <c r="G717" s="193">
        <f>IF(_1_5412845612146241046457891017[[#This Row],[Type]]&gt;0,VLOOKUP(_1_5412845612146241046457891017[[#This Row],[Type]],Main[[#All],[TYPE]:[UNIT]],'Unit Price'!C$1,FALSE),0)</f>
        <v>0</v>
      </c>
      <c r="H717" s="197">
        <f>IF(_1_5412845612146241046457891017[[#This Row],[Type]]&gt;0,VLOOKUP(_1_5412845612146241046457891017[[#This Row],[Type]],Main[[#All],[TYPE]:[UNIT]],'Unit Price'!D$1,FALSE),0)</f>
        <v>0</v>
      </c>
      <c r="I717" s="194">
        <f>IF(_1_5412845612146241046457891017[[#This Row],[Type]]&gt;0,VLOOKUP(_1_5412845612146241046457891017[[#This Row],[Type]],Main[[#All],[TYPE]:[UNIT]],'Unit Price'!G$1,FALSE),0)</f>
        <v>0</v>
      </c>
      <c r="J717" s="194">
        <f>IF(_1_5412845612146241046457891017[[#This Row],[Type]]&gt;0,VLOOKUP(_1_5412845612146241046457891017[[#This Row],[Type]],Main[[#All],[TYPE]:[UNIT]],'Unit Price'!H$1,FALSE),0)</f>
        <v>0</v>
      </c>
      <c r="K717" s="194">
        <f>IF(_1_5412845612146241046457891017[[#This Row],[Discount selection]]&gt;0,VLOOKUP(_1_5412845612146241046457891017[[#This Row],[Discount selection]],'Discount Structure'!$A$2:$B$30,2,"false"),0)</f>
        <v>1</v>
      </c>
      <c r="L717" s="194">
        <f>_1_5412845612146241046457891017[[#This Row],[LIST $]]*_1_5412845612146241046457891017[[#This Row],[DISCOUNT]]*_1_5412845612146241046457891017[[#This Row],[DISCOUNT 2]]</f>
        <v>0</v>
      </c>
      <c r="M717" s="194">
        <f>IF(OR(_1_5412845612146241046457891017[[#This Row],[UNIT]]&gt;0,_1_5412845612146241046457891017[[#This Row],[UNIT]]&lt;0),_1_5412845612146241046457891017[[#This Row],[UNIT]]*_1_5412845612146241046457891017[[#This Row],[COST]],0)</f>
        <v>0</v>
      </c>
      <c r="N717" s="194">
        <f t="shared" si="11"/>
        <v>1.35</v>
      </c>
      <c r="O717" s="198">
        <f>_1_5412845612146241046457891017[[#This Row],[TOTAL]]*_1_5412845612146241046457891017[[#This Row],[MARGIN]]</f>
        <v>0</v>
      </c>
      <c r="R717" s="41"/>
    </row>
    <row r="718" spans="4:18">
      <c r="D718" s="188"/>
      <c r="F718" s="168" t="s">
        <v>6202</v>
      </c>
      <c r="G718" s="193">
        <f>IF(_1_5412845612146241046457891017[[#This Row],[Type]]&gt;0,VLOOKUP(_1_5412845612146241046457891017[[#This Row],[Type]],Main[[#All],[TYPE]:[UNIT]],'Unit Price'!C$1,FALSE),0)</f>
        <v>0</v>
      </c>
      <c r="H718" s="197">
        <f>IF(_1_5412845612146241046457891017[[#This Row],[Type]]&gt;0,VLOOKUP(_1_5412845612146241046457891017[[#This Row],[Type]],Main[[#All],[TYPE]:[UNIT]],'Unit Price'!D$1,FALSE),0)</f>
        <v>0</v>
      </c>
      <c r="I718" s="194">
        <f>IF(_1_5412845612146241046457891017[[#This Row],[Type]]&gt;0,VLOOKUP(_1_5412845612146241046457891017[[#This Row],[Type]],Main[[#All],[TYPE]:[UNIT]],'Unit Price'!G$1,FALSE),0)</f>
        <v>0</v>
      </c>
      <c r="J718" s="194">
        <f>IF(_1_5412845612146241046457891017[[#This Row],[Type]]&gt;0,VLOOKUP(_1_5412845612146241046457891017[[#This Row],[Type]],Main[[#All],[TYPE]:[UNIT]],'Unit Price'!H$1,FALSE),0)</f>
        <v>0</v>
      </c>
      <c r="K718" s="194">
        <f>IF(_1_5412845612146241046457891017[[#This Row],[Discount selection]]&gt;0,VLOOKUP(_1_5412845612146241046457891017[[#This Row],[Discount selection]],'Discount Structure'!$A$2:$B$30,2,"false"),0)</f>
        <v>1</v>
      </c>
      <c r="L718" s="194">
        <f>_1_5412845612146241046457891017[[#This Row],[LIST $]]*_1_5412845612146241046457891017[[#This Row],[DISCOUNT]]*_1_5412845612146241046457891017[[#This Row],[DISCOUNT 2]]</f>
        <v>0</v>
      </c>
      <c r="M718" s="194">
        <f>IF(OR(_1_5412845612146241046457891017[[#This Row],[UNIT]]&gt;0,_1_5412845612146241046457891017[[#This Row],[UNIT]]&lt;0),_1_5412845612146241046457891017[[#This Row],[UNIT]]*_1_5412845612146241046457891017[[#This Row],[COST]],0)</f>
        <v>0</v>
      </c>
      <c r="N718" s="194">
        <f t="shared" si="11"/>
        <v>1.35</v>
      </c>
      <c r="O718" s="198">
        <f>_1_5412845612146241046457891017[[#This Row],[TOTAL]]*_1_5412845612146241046457891017[[#This Row],[MARGIN]]</f>
        <v>0</v>
      </c>
      <c r="R718" s="41"/>
    </row>
    <row r="719" spans="4:18">
      <c r="D719" s="188"/>
      <c r="F719" s="168" t="s">
        <v>6202</v>
      </c>
      <c r="G719" s="193">
        <f>IF(_1_5412845612146241046457891017[[#This Row],[Type]]&gt;0,VLOOKUP(_1_5412845612146241046457891017[[#This Row],[Type]],Main[[#All],[TYPE]:[UNIT]],'Unit Price'!C$1,FALSE),0)</f>
        <v>0</v>
      </c>
      <c r="H719" s="197">
        <f>IF(_1_5412845612146241046457891017[[#This Row],[Type]]&gt;0,VLOOKUP(_1_5412845612146241046457891017[[#This Row],[Type]],Main[[#All],[TYPE]:[UNIT]],'Unit Price'!D$1,FALSE),0)</f>
        <v>0</v>
      </c>
      <c r="I719" s="194">
        <f>IF(_1_5412845612146241046457891017[[#This Row],[Type]]&gt;0,VLOOKUP(_1_5412845612146241046457891017[[#This Row],[Type]],Main[[#All],[TYPE]:[UNIT]],'Unit Price'!G$1,FALSE),0)</f>
        <v>0</v>
      </c>
      <c r="J719" s="194">
        <f>IF(_1_5412845612146241046457891017[[#This Row],[Type]]&gt;0,VLOOKUP(_1_5412845612146241046457891017[[#This Row],[Type]],Main[[#All],[TYPE]:[UNIT]],'Unit Price'!H$1,FALSE),0)</f>
        <v>0</v>
      </c>
      <c r="K719" s="194">
        <f>IF(_1_5412845612146241046457891017[[#This Row],[Discount selection]]&gt;0,VLOOKUP(_1_5412845612146241046457891017[[#This Row],[Discount selection]],'Discount Structure'!$A$2:$B$30,2,"false"),0)</f>
        <v>1</v>
      </c>
      <c r="L719" s="194">
        <f>_1_5412845612146241046457891017[[#This Row],[LIST $]]*_1_5412845612146241046457891017[[#This Row],[DISCOUNT]]*_1_5412845612146241046457891017[[#This Row],[DISCOUNT 2]]</f>
        <v>0</v>
      </c>
      <c r="M719" s="194">
        <f>IF(OR(_1_5412845612146241046457891017[[#This Row],[UNIT]]&gt;0,_1_5412845612146241046457891017[[#This Row],[UNIT]]&lt;0),_1_5412845612146241046457891017[[#This Row],[UNIT]]*_1_5412845612146241046457891017[[#This Row],[COST]],0)</f>
        <v>0</v>
      </c>
      <c r="N719" s="194">
        <f t="shared" si="11"/>
        <v>1.35</v>
      </c>
      <c r="O719" s="198">
        <f>_1_5412845612146241046457891017[[#This Row],[TOTAL]]*_1_5412845612146241046457891017[[#This Row],[MARGIN]]</f>
        <v>0</v>
      </c>
      <c r="R719" s="41"/>
    </row>
    <row r="720" spans="4:18">
      <c r="D720" s="188"/>
      <c r="F720" s="168" t="s">
        <v>6202</v>
      </c>
      <c r="G720" s="193">
        <f>IF(_1_5412845612146241046457891017[[#This Row],[Type]]&gt;0,VLOOKUP(_1_5412845612146241046457891017[[#This Row],[Type]],Main[[#All],[TYPE]:[UNIT]],'Unit Price'!C$1,FALSE),0)</f>
        <v>0</v>
      </c>
      <c r="H720" s="197">
        <f>IF(_1_5412845612146241046457891017[[#This Row],[Type]]&gt;0,VLOOKUP(_1_5412845612146241046457891017[[#This Row],[Type]],Main[[#All],[TYPE]:[UNIT]],'Unit Price'!D$1,FALSE),0)</f>
        <v>0</v>
      </c>
      <c r="I720" s="194">
        <f>IF(_1_5412845612146241046457891017[[#This Row],[Type]]&gt;0,VLOOKUP(_1_5412845612146241046457891017[[#This Row],[Type]],Main[[#All],[TYPE]:[UNIT]],'Unit Price'!G$1,FALSE),0)</f>
        <v>0</v>
      </c>
      <c r="J720" s="194">
        <f>IF(_1_5412845612146241046457891017[[#This Row],[Type]]&gt;0,VLOOKUP(_1_5412845612146241046457891017[[#This Row],[Type]],Main[[#All],[TYPE]:[UNIT]],'Unit Price'!H$1,FALSE),0)</f>
        <v>0</v>
      </c>
      <c r="K720" s="194">
        <f>IF(_1_5412845612146241046457891017[[#This Row],[Discount selection]]&gt;0,VLOOKUP(_1_5412845612146241046457891017[[#This Row],[Discount selection]],'Discount Structure'!$A$2:$B$30,2,"false"),0)</f>
        <v>1</v>
      </c>
      <c r="L720" s="194">
        <f>_1_5412845612146241046457891017[[#This Row],[LIST $]]*_1_5412845612146241046457891017[[#This Row],[DISCOUNT]]*_1_5412845612146241046457891017[[#This Row],[DISCOUNT 2]]</f>
        <v>0</v>
      </c>
      <c r="M720" s="194">
        <f>IF(OR(_1_5412845612146241046457891017[[#This Row],[UNIT]]&gt;0,_1_5412845612146241046457891017[[#This Row],[UNIT]]&lt;0),_1_5412845612146241046457891017[[#This Row],[UNIT]]*_1_5412845612146241046457891017[[#This Row],[COST]],0)</f>
        <v>0</v>
      </c>
      <c r="N720" s="194">
        <f t="shared" si="11"/>
        <v>1.35</v>
      </c>
      <c r="O720" s="198">
        <f>_1_5412845612146241046457891017[[#This Row],[TOTAL]]*_1_5412845612146241046457891017[[#This Row],[MARGIN]]</f>
        <v>0</v>
      </c>
      <c r="R720" s="41"/>
    </row>
    <row r="721" spans="4:18">
      <c r="D721" s="188"/>
      <c r="F721" s="168" t="s">
        <v>6202</v>
      </c>
      <c r="G721" s="193">
        <f>IF(_1_5412845612146241046457891017[[#This Row],[Type]]&gt;0,VLOOKUP(_1_5412845612146241046457891017[[#This Row],[Type]],Main[[#All],[TYPE]:[UNIT]],'Unit Price'!C$1,FALSE),0)</f>
        <v>0</v>
      </c>
      <c r="H721" s="197">
        <f>IF(_1_5412845612146241046457891017[[#This Row],[Type]]&gt;0,VLOOKUP(_1_5412845612146241046457891017[[#This Row],[Type]],Main[[#All],[TYPE]:[UNIT]],'Unit Price'!D$1,FALSE),0)</f>
        <v>0</v>
      </c>
      <c r="I721" s="194">
        <f>IF(_1_5412845612146241046457891017[[#This Row],[Type]]&gt;0,VLOOKUP(_1_5412845612146241046457891017[[#This Row],[Type]],Main[[#All],[TYPE]:[UNIT]],'Unit Price'!G$1,FALSE),0)</f>
        <v>0</v>
      </c>
      <c r="J721" s="194">
        <f>IF(_1_5412845612146241046457891017[[#This Row],[Type]]&gt;0,VLOOKUP(_1_5412845612146241046457891017[[#This Row],[Type]],Main[[#All],[TYPE]:[UNIT]],'Unit Price'!H$1,FALSE),0)</f>
        <v>0</v>
      </c>
      <c r="K721" s="194">
        <f>IF(_1_5412845612146241046457891017[[#This Row],[Discount selection]]&gt;0,VLOOKUP(_1_5412845612146241046457891017[[#This Row],[Discount selection]],'Discount Structure'!$A$2:$B$30,2,"false"),0)</f>
        <v>1</v>
      </c>
      <c r="L721" s="194">
        <f>_1_5412845612146241046457891017[[#This Row],[LIST $]]*_1_5412845612146241046457891017[[#This Row],[DISCOUNT]]*_1_5412845612146241046457891017[[#This Row],[DISCOUNT 2]]</f>
        <v>0</v>
      </c>
      <c r="M721" s="194">
        <f>IF(OR(_1_5412845612146241046457891017[[#This Row],[UNIT]]&gt;0,_1_5412845612146241046457891017[[#This Row],[UNIT]]&lt;0),_1_5412845612146241046457891017[[#This Row],[UNIT]]*_1_5412845612146241046457891017[[#This Row],[COST]],0)</f>
        <v>0</v>
      </c>
      <c r="N721" s="194">
        <f t="shared" si="11"/>
        <v>1.35</v>
      </c>
      <c r="O721" s="198">
        <f>_1_5412845612146241046457891017[[#This Row],[TOTAL]]*_1_5412845612146241046457891017[[#This Row],[MARGIN]]</f>
        <v>0</v>
      </c>
      <c r="R721" s="41"/>
    </row>
    <row r="722" spans="4:18">
      <c r="D722" s="188"/>
      <c r="F722" s="168" t="s">
        <v>6202</v>
      </c>
      <c r="G722" s="193">
        <f>IF(_1_5412845612146241046457891017[[#This Row],[Type]]&gt;0,VLOOKUP(_1_5412845612146241046457891017[[#This Row],[Type]],Main[[#All],[TYPE]:[UNIT]],'Unit Price'!C$1,FALSE),0)</f>
        <v>0</v>
      </c>
      <c r="H722" s="197">
        <f>IF(_1_5412845612146241046457891017[[#This Row],[Type]]&gt;0,VLOOKUP(_1_5412845612146241046457891017[[#This Row],[Type]],Main[[#All],[TYPE]:[UNIT]],'Unit Price'!D$1,FALSE),0)</f>
        <v>0</v>
      </c>
      <c r="I722" s="194">
        <f>IF(_1_5412845612146241046457891017[[#This Row],[Type]]&gt;0,VLOOKUP(_1_5412845612146241046457891017[[#This Row],[Type]],Main[[#All],[TYPE]:[UNIT]],'Unit Price'!G$1,FALSE),0)</f>
        <v>0</v>
      </c>
      <c r="J722" s="194">
        <f>IF(_1_5412845612146241046457891017[[#This Row],[Type]]&gt;0,VLOOKUP(_1_5412845612146241046457891017[[#This Row],[Type]],Main[[#All],[TYPE]:[UNIT]],'Unit Price'!H$1,FALSE),0)</f>
        <v>0</v>
      </c>
      <c r="K722" s="194">
        <f>IF(_1_5412845612146241046457891017[[#This Row],[Discount selection]]&gt;0,VLOOKUP(_1_5412845612146241046457891017[[#This Row],[Discount selection]],'Discount Structure'!$A$2:$B$30,2,"false"),0)</f>
        <v>1</v>
      </c>
      <c r="L722" s="194">
        <f>_1_5412845612146241046457891017[[#This Row],[LIST $]]*_1_5412845612146241046457891017[[#This Row],[DISCOUNT]]*_1_5412845612146241046457891017[[#This Row],[DISCOUNT 2]]</f>
        <v>0</v>
      </c>
      <c r="M722" s="194">
        <f>IF(OR(_1_5412845612146241046457891017[[#This Row],[UNIT]]&gt;0,_1_5412845612146241046457891017[[#This Row],[UNIT]]&lt;0),_1_5412845612146241046457891017[[#This Row],[UNIT]]*_1_5412845612146241046457891017[[#This Row],[COST]],0)</f>
        <v>0</v>
      </c>
      <c r="N722" s="194">
        <f t="shared" si="11"/>
        <v>1.35</v>
      </c>
      <c r="O722" s="198">
        <f>_1_5412845612146241046457891017[[#This Row],[TOTAL]]*_1_5412845612146241046457891017[[#This Row],[MARGIN]]</f>
        <v>0</v>
      </c>
      <c r="R722" s="41"/>
    </row>
    <row r="723" spans="4:18">
      <c r="D723" s="188"/>
      <c r="F723" s="168" t="s">
        <v>6202</v>
      </c>
      <c r="G723" s="193">
        <f>IF(_1_5412845612146241046457891017[[#This Row],[Type]]&gt;0,VLOOKUP(_1_5412845612146241046457891017[[#This Row],[Type]],Main[[#All],[TYPE]:[UNIT]],'Unit Price'!C$1,FALSE),0)</f>
        <v>0</v>
      </c>
      <c r="H723" s="197">
        <f>IF(_1_5412845612146241046457891017[[#This Row],[Type]]&gt;0,VLOOKUP(_1_5412845612146241046457891017[[#This Row],[Type]],Main[[#All],[TYPE]:[UNIT]],'Unit Price'!D$1,FALSE),0)</f>
        <v>0</v>
      </c>
      <c r="I723" s="194">
        <f>IF(_1_5412845612146241046457891017[[#This Row],[Type]]&gt;0,VLOOKUP(_1_5412845612146241046457891017[[#This Row],[Type]],Main[[#All],[TYPE]:[UNIT]],'Unit Price'!G$1,FALSE),0)</f>
        <v>0</v>
      </c>
      <c r="J723" s="194">
        <f>IF(_1_5412845612146241046457891017[[#This Row],[Type]]&gt;0,VLOOKUP(_1_5412845612146241046457891017[[#This Row],[Type]],Main[[#All],[TYPE]:[UNIT]],'Unit Price'!H$1,FALSE),0)</f>
        <v>0</v>
      </c>
      <c r="K723" s="194">
        <f>IF(_1_5412845612146241046457891017[[#This Row],[Discount selection]]&gt;0,VLOOKUP(_1_5412845612146241046457891017[[#This Row],[Discount selection]],'Discount Structure'!$A$2:$B$30,2,"false"),0)</f>
        <v>1</v>
      </c>
      <c r="L723" s="194">
        <f>_1_5412845612146241046457891017[[#This Row],[LIST $]]*_1_5412845612146241046457891017[[#This Row],[DISCOUNT]]*_1_5412845612146241046457891017[[#This Row],[DISCOUNT 2]]</f>
        <v>0</v>
      </c>
      <c r="M723" s="194">
        <f>IF(OR(_1_5412845612146241046457891017[[#This Row],[UNIT]]&gt;0,_1_5412845612146241046457891017[[#This Row],[UNIT]]&lt;0),_1_5412845612146241046457891017[[#This Row],[UNIT]]*_1_5412845612146241046457891017[[#This Row],[COST]],0)</f>
        <v>0</v>
      </c>
      <c r="N723" s="194">
        <f t="shared" si="11"/>
        <v>1.35</v>
      </c>
      <c r="O723" s="198">
        <f>_1_5412845612146241046457891017[[#This Row],[TOTAL]]*_1_5412845612146241046457891017[[#This Row],[MARGIN]]</f>
        <v>0</v>
      </c>
      <c r="R723" s="41"/>
    </row>
    <row r="724" spans="4:18">
      <c r="D724" s="188"/>
      <c r="F724" s="168" t="s">
        <v>6202</v>
      </c>
      <c r="G724" s="193">
        <f>IF(_1_5412845612146241046457891017[[#This Row],[Type]]&gt;0,VLOOKUP(_1_5412845612146241046457891017[[#This Row],[Type]],Main[[#All],[TYPE]:[UNIT]],'Unit Price'!C$1,FALSE),0)</f>
        <v>0</v>
      </c>
      <c r="H724" s="197">
        <f>IF(_1_5412845612146241046457891017[[#This Row],[Type]]&gt;0,VLOOKUP(_1_5412845612146241046457891017[[#This Row],[Type]],Main[[#All],[TYPE]:[UNIT]],'Unit Price'!D$1,FALSE),0)</f>
        <v>0</v>
      </c>
      <c r="I724" s="194">
        <f>IF(_1_5412845612146241046457891017[[#This Row],[Type]]&gt;0,VLOOKUP(_1_5412845612146241046457891017[[#This Row],[Type]],Main[[#All],[TYPE]:[UNIT]],'Unit Price'!G$1,FALSE),0)</f>
        <v>0</v>
      </c>
      <c r="J724" s="194">
        <f>IF(_1_5412845612146241046457891017[[#This Row],[Type]]&gt;0,VLOOKUP(_1_5412845612146241046457891017[[#This Row],[Type]],Main[[#All],[TYPE]:[UNIT]],'Unit Price'!H$1,FALSE),0)</f>
        <v>0</v>
      </c>
      <c r="K724" s="194">
        <f>IF(_1_5412845612146241046457891017[[#This Row],[Discount selection]]&gt;0,VLOOKUP(_1_5412845612146241046457891017[[#This Row],[Discount selection]],'Discount Structure'!$A$2:$B$30,2,"false"),0)</f>
        <v>1</v>
      </c>
      <c r="L724" s="194">
        <f>_1_5412845612146241046457891017[[#This Row],[LIST $]]*_1_5412845612146241046457891017[[#This Row],[DISCOUNT]]*_1_5412845612146241046457891017[[#This Row],[DISCOUNT 2]]</f>
        <v>0</v>
      </c>
      <c r="M724" s="194">
        <f>IF(OR(_1_5412845612146241046457891017[[#This Row],[UNIT]]&gt;0,_1_5412845612146241046457891017[[#This Row],[UNIT]]&lt;0),_1_5412845612146241046457891017[[#This Row],[UNIT]]*_1_5412845612146241046457891017[[#This Row],[COST]],0)</f>
        <v>0</v>
      </c>
      <c r="N724" s="194">
        <f t="shared" si="11"/>
        <v>1.35</v>
      </c>
      <c r="O724" s="198">
        <f>_1_5412845612146241046457891017[[#This Row],[TOTAL]]*_1_5412845612146241046457891017[[#This Row],[MARGIN]]</f>
        <v>0</v>
      </c>
      <c r="R724" s="41"/>
    </row>
    <row r="725" spans="4:18">
      <c r="D725" s="188"/>
      <c r="F725" s="168" t="s">
        <v>6202</v>
      </c>
      <c r="G725" s="193">
        <f>IF(_1_5412845612146241046457891017[[#This Row],[Type]]&gt;0,VLOOKUP(_1_5412845612146241046457891017[[#This Row],[Type]],Main[[#All],[TYPE]:[UNIT]],'Unit Price'!C$1,FALSE),0)</f>
        <v>0</v>
      </c>
      <c r="H725" s="197">
        <f>IF(_1_5412845612146241046457891017[[#This Row],[Type]]&gt;0,VLOOKUP(_1_5412845612146241046457891017[[#This Row],[Type]],Main[[#All],[TYPE]:[UNIT]],'Unit Price'!D$1,FALSE),0)</f>
        <v>0</v>
      </c>
      <c r="I725" s="194">
        <f>IF(_1_5412845612146241046457891017[[#This Row],[Type]]&gt;0,VLOOKUP(_1_5412845612146241046457891017[[#This Row],[Type]],Main[[#All],[TYPE]:[UNIT]],'Unit Price'!G$1,FALSE),0)</f>
        <v>0</v>
      </c>
      <c r="J725" s="194">
        <f>IF(_1_5412845612146241046457891017[[#This Row],[Type]]&gt;0,VLOOKUP(_1_5412845612146241046457891017[[#This Row],[Type]],Main[[#All],[TYPE]:[UNIT]],'Unit Price'!H$1,FALSE),0)</f>
        <v>0</v>
      </c>
      <c r="K725" s="194">
        <f>IF(_1_5412845612146241046457891017[[#This Row],[Discount selection]]&gt;0,VLOOKUP(_1_5412845612146241046457891017[[#This Row],[Discount selection]],'Discount Structure'!$A$2:$B$30,2,"false"),0)</f>
        <v>1</v>
      </c>
      <c r="L725" s="194">
        <f>_1_5412845612146241046457891017[[#This Row],[LIST $]]*_1_5412845612146241046457891017[[#This Row],[DISCOUNT]]*_1_5412845612146241046457891017[[#This Row],[DISCOUNT 2]]</f>
        <v>0</v>
      </c>
      <c r="M725" s="194">
        <f>IF(OR(_1_5412845612146241046457891017[[#This Row],[UNIT]]&gt;0,_1_5412845612146241046457891017[[#This Row],[UNIT]]&lt;0),_1_5412845612146241046457891017[[#This Row],[UNIT]]*_1_5412845612146241046457891017[[#This Row],[COST]],0)</f>
        <v>0</v>
      </c>
      <c r="N725" s="194">
        <f t="shared" si="11"/>
        <v>1.35</v>
      </c>
      <c r="O725" s="198">
        <f>_1_5412845612146241046457891017[[#This Row],[TOTAL]]*_1_5412845612146241046457891017[[#This Row],[MARGIN]]</f>
        <v>0</v>
      </c>
      <c r="R725" s="41"/>
    </row>
    <row r="726" spans="4:18">
      <c r="D726" s="188"/>
      <c r="F726" s="168" t="s">
        <v>6202</v>
      </c>
      <c r="G726" s="193">
        <f>IF(_1_5412845612146241046457891017[[#This Row],[Type]]&gt;0,VLOOKUP(_1_5412845612146241046457891017[[#This Row],[Type]],Main[[#All],[TYPE]:[UNIT]],'Unit Price'!C$1,FALSE),0)</f>
        <v>0</v>
      </c>
      <c r="H726" s="197">
        <f>IF(_1_5412845612146241046457891017[[#This Row],[Type]]&gt;0,VLOOKUP(_1_5412845612146241046457891017[[#This Row],[Type]],Main[[#All],[TYPE]:[UNIT]],'Unit Price'!D$1,FALSE),0)</f>
        <v>0</v>
      </c>
      <c r="I726" s="194">
        <f>IF(_1_5412845612146241046457891017[[#This Row],[Type]]&gt;0,VLOOKUP(_1_5412845612146241046457891017[[#This Row],[Type]],Main[[#All],[TYPE]:[UNIT]],'Unit Price'!G$1,FALSE),0)</f>
        <v>0</v>
      </c>
      <c r="J726" s="194">
        <f>IF(_1_5412845612146241046457891017[[#This Row],[Type]]&gt;0,VLOOKUP(_1_5412845612146241046457891017[[#This Row],[Type]],Main[[#All],[TYPE]:[UNIT]],'Unit Price'!H$1,FALSE),0)</f>
        <v>0</v>
      </c>
      <c r="K726" s="194">
        <f>IF(_1_5412845612146241046457891017[[#This Row],[Discount selection]]&gt;0,VLOOKUP(_1_5412845612146241046457891017[[#This Row],[Discount selection]],'Discount Structure'!$A$2:$B$30,2,"false"),0)</f>
        <v>1</v>
      </c>
      <c r="L726" s="194">
        <f>_1_5412845612146241046457891017[[#This Row],[LIST $]]*_1_5412845612146241046457891017[[#This Row],[DISCOUNT]]*_1_5412845612146241046457891017[[#This Row],[DISCOUNT 2]]</f>
        <v>0</v>
      </c>
      <c r="M726" s="194">
        <f>IF(OR(_1_5412845612146241046457891017[[#This Row],[UNIT]]&gt;0,_1_5412845612146241046457891017[[#This Row],[UNIT]]&lt;0),_1_5412845612146241046457891017[[#This Row],[UNIT]]*_1_5412845612146241046457891017[[#This Row],[COST]],0)</f>
        <v>0</v>
      </c>
      <c r="N726" s="194">
        <f t="shared" si="11"/>
        <v>1.35</v>
      </c>
      <c r="O726" s="198">
        <f>_1_5412845612146241046457891017[[#This Row],[TOTAL]]*_1_5412845612146241046457891017[[#This Row],[MARGIN]]</f>
        <v>0</v>
      </c>
      <c r="R726" s="41"/>
    </row>
    <row r="727" spans="4:18">
      <c r="D727" s="188"/>
      <c r="F727" s="168" t="s">
        <v>6202</v>
      </c>
      <c r="G727" s="193">
        <f>IF(_1_5412845612146241046457891017[[#This Row],[Type]]&gt;0,VLOOKUP(_1_5412845612146241046457891017[[#This Row],[Type]],Main[[#All],[TYPE]:[UNIT]],'Unit Price'!C$1,FALSE),0)</f>
        <v>0</v>
      </c>
      <c r="H727" s="197">
        <f>IF(_1_5412845612146241046457891017[[#This Row],[Type]]&gt;0,VLOOKUP(_1_5412845612146241046457891017[[#This Row],[Type]],Main[[#All],[TYPE]:[UNIT]],'Unit Price'!D$1,FALSE),0)</f>
        <v>0</v>
      </c>
      <c r="I727" s="194">
        <f>IF(_1_5412845612146241046457891017[[#This Row],[Type]]&gt;0,VLOOKUP(_1_5412845612146241046457891017[[#This Row],[Type]],Main[[#All],[TYPE]:[UNIT]],'Unit Price'!G$1,FALSE),0)</f>
        <v>0</v>
      </c>
      <c r="J727" s="194">
        <f>IF(_1_5412845612146241046457891017[[#This Row],[Type]]&gt;0,VLOOKUP(_1_5412845612146241046457891017[[#This Row],[Type]],Main[[#All],[TYPE]:[UNIT]],'Unit Price'!H$1,FALSE),0)</f>
        <v>0</v>
      </c>
      <c r="K727" s="194">
        <f>IF(_1_5412845612146241046457891017[[#This Row],[Discount selection]]&gt;0,VLOOKUP(_1_5412845612146241046457891017[[#This Row],[Discount selection]],'Discount Structure'!$A$2:$B$30,2,"false"),0)</f>
        <v>1</v>
      </c>
      <c r="L727" s="194">
        <f>_1_5412845612146241046457891017[[#This Row],[LIST $]]*_1_5412845612146241046457891017[[#This Row],[DISCOUNT]]*_1_5412845612146241046457891017[[#This Row],[DISCOUNT 2]]</f>
        <v>0</v>
      </c>
      <c r="M727" s="194">
        <f>IF(OR(_1_5412845612146241046457891017[[#This Row],[UNIT]]&gt;0,_1_5412845612146241046457891017[[#This Row],[UNIT]]&lt;0),_1_5412845612146241046457891017[[#This Row],[UNIT]]*_1_5412845612146241046457891017[[#This Row],[COST]],0)</f>
        <v>0</v>
      </c>
      <c r="N727" s="194">
        <f t="shared" si="11"/>
        <v>1.35</v>
      </c>
      <c r="O727" s="198">
        <f>_1_5412845612146241046457891017[[#This Row],[TOTAL]]*_1_5412845612146241046457891017[[#This Row],[MARGIN]]</f>
        <v>0</v>
      </c>
      <c r="R727" s="41"/>
    </row>
    <row r="728" spans="4:18">
      <c r="D728" s="188"/>
      <c r="F728" s="168" t="s">
        <v>6202</v>
      </c>
      <c r="G728" s="193">
        <f>IF(_1_5412845612146241046457891017[[#This Row],[Type]]&gt;0,VLOOKUP(_1_5412845612146241046457891017[[#This Row],[Type]],Main[[#All],[TYPE]:[UNIT]],'Unit Price'!C$1,FALSE),0)</f>
        <v>0</v>
      </c>
      <c r="H728" s="197">
        <f>IF(_1_5412845612146241046457891017[[#This Row],[Type]]&gt;0,VLOOKUP(_1_5412845612146241046457891017[[#This Row],[Type]],Main[[#All],[TYPE]:[UNIT]],'Unit Price'!D$1,FALSE),0)</f>
        <v>0</v>
      </c>
      <c r="I728" s="194">
        <f>IF(_1_5412845612146241046457891017[[#This Row],[Type]]&gt;0,VLOOKUP(_1_5412845612146241046457891017[[#This Row],[Type]],Main[[#All],[TYPE]:[UNIT]],'Unit Price'!G$1,FALSE),0)</f>
        <v>0</v>
      </c>
      <c r="J728" s="194">
        <f>IF(_1_5412845612146241046457891017[[#This Row],[Type]]&gt;0,VLOOKUP(_1_5412845612146241046457891017[[#This Row],[Type]],Main[[#All],[TYPE]:[UNIT]],'Unit Price'!H$1,FALSE),0)</f>
        <v>0</v>
      </c>
      <c r="K728" s="194">
        <f>IF(_1_5412845612146241046457891017[[#This Row],[Discount selection]]&gt;0,VLOOKUP(_1_5412845612146241046457891017[[#This Row],[Discount selection]],'Discount Structure'!$A$2:$B$30,2,"false"),0)</f>
        <v>1</v>
      </c>
      <c r="L728" s="194">
        <f>_1_5412845612146241046457891017[[#This Row],[LIST $]]*_1_5412845612146241046457891017[[#This Row],[DISCOUNT]]*_1_5412845612146241046457891017[[#This Row],[DISCOUNT 2]]</f>
        <v>0</v>
      </c>
      <c r="M728" s="194">
        <f>IF(OR(_1_5412845612146241046457891017[[#This Row],[UNIT]]&gt;0,_1_5412845612146241046457891017[[#This Row],[UNIT]]&lt;0),_1_5412845612146241046457891017[[#This Row],[UNIT]]*_1_5412845612146241046457891017[[#This Row],[COST]],0)</f>
        <v>0</v>
      </c>
      <c r="N728" s="194">
        <f t="shared" si="11"/>
        <v>1.35</v>
      </c>
      <c r="O728" s="198">
        <f>_1_5412845612146241046457891017[[#This Row],[TOTAL]]*_1_5412845612146241046457891017[[#This Row],[MARGIN]]</f>
        <v>0</v>
      </c>
      <c r="R728" s="41"/>
    </row>
    <row r="729" spans="4:18">
      <c r="D729" s="188"/>
      <c r="F729" s="168" t="s">
        <v>6202</v>
      </c>
      <c r="G729" s="193">
        <f>IF(_1_5412845612146241046457891017[[#This Row],[Type]]&gt;0,VLOOKUP(_1_5412845612146241046457891017[[#This Row],[Type]],Main[[#All],[TYPE]:[UNIT]],'Unit Price'!C$1,FALSE),0)</f>
        <v>0</v>
      </c>
      <c r="H729" s="197">
        <f>IF(_1_5412845612146241046457891017[[#This Row],[Type]]&gt;0,VLOOKUP(_1_5412845612146241046457891017[[#This Row],[Type]],Main[[#All],[TYPE]:[UNIT]],'Unit Price'!D$1,FALSE),0)</f>
        <v>0</v>
      </c>
      <c r="I729" s="194">
        <f>IF(_1_5412845612146241046457891017[[#This Row],[Type]]&gt;0,VLOOKUP(_1_5412845612146241046457891017[[#This Row],[Type]],Main[[#All],[TYPE]:[UNIT]],'Unit Price'!G$1,FALSE),0)</f>
        <v>0</v>
      </c>
      <c r="J729" s="194">
        <f>IF(_1_5412845612146241046457891017[[#This Row],[Type]]&gt;0,VLOOKUP(_1_5412845612146241046457891017[[#This Row],[Type]],Main[[#All],[TYPE]:[UNIT]],'Unit Price'!H$1,FALSE),0)</f>
        <v>0</v>
      </c>
      <c r="K729" s="194">
        <f>IF(_1_5412845612146241046457891017[[#This Row],[Discount selection]]&gt;0,VLOOKUP(_1_5412845612146241046457891017[[#This Row],[Discount selection]],'Discount Structure'!$A$2:$B$30,2,"false"),0)</f>
        <v>1</v>
      </c>
      <c r="L729" s="194">
        <f>_1_5412845612146241046457891017[[#This Row],[LIST $]]*_1_5412845612146241046457891017[[#This Row],[DISCOUNT]]*_1_5412845612146241046457891017[[#This Row],[DISCOUNT 2]]</f>
        <v>0</v>
      </c>
      <c r="M729" s="194">
        <f>IF(OR(_1_5412845612146241046457891017[[#This Row],[UNIT]]&gt;0,_1_5412845612146241046457891017[[#This Row],[UNIT]]&lt;0),_1_5412845612146241046457891017[[#This Row],[UNIT]]*_1_5412845612146241046457891017[[#This Row],[COST]],0)</f>
        <v>0</v>
      </c>
      <c r="N729" s="194">
        <f t="shared" si="11"/>
        <v>1.35</v>
      </c>
      <c r="O729" s="198">
        <f>_1_5412845612146241046457891017[[#This Row],[TOTAL]]*_1_5412845612146241046457891017[[#This Row],[MARGIN]]</f>
        <v>0</v>
      </c>
      <c r="R729" s="41"/>
    </row>
    <row r="730" spans="4:18">
      <c r="D730" s="188"/>
      <c r="F730" s="168" t="s">
        <v>6202</v>
      </c>
      <c r="G730" s="193">
        <f>IF(_1_5412845612146241046457891017[[#This Row],[Type]]&gt;0,VLOOKUP(_1_5412845612146241046457891017[[#This Row],[Type]],Main[[#All],[TYPE]:[UNIT]],'Unit Price'!C$1,FALSE),0)</f>
        <v>0</v>
      </c>
      <c r="H730" s="197">
        <f>IF(_1_5412845612146241046457891017[[#This Row],[Type]]&gt;0,VLOOKUP(_1_5412845612146241046457891017[[#This Row],[Type]],Main[[#All],[TYPE]:[UNIT]],'Unit Price'!D$1,FALSE),0)</f>
        <v>0</v>
      </c>
      <c r="I730" s="194">
        <f>IF(_1_5412845612146241046457891017[[#This Row],[Type]]&gt;0,VLOOKUP(_1_5412845612146241046457891017[[#This Row],[Type]],Main[[#All],[TYPE]:[UNIT]],'Unit Price'!G$1,FALSE),0)</f>
        <v>0</v>
      </c>
      <c r="J730" s="194">
        <f>IF(_1_5412845612146241046457891017[[#This Row],[Type]]&gt;0,VLOOKUP(_1_5412845612146241046457891017[[#This Row],[Type]],Main[[#All],[TYPE]:[UNIT]],'Unit Price'!H$1,FALSE),0)</f>
        <v>0</v>
      </c>
      <c r="K730" s="194">
        <f>IF(_1_5412845612146241046457891017[[#This Row],[Discount selection]]&gt;0,VLOOKUP(_1_5412845612146241046457891017[[#This Row],[Discount selection]],'Discount Structure'!$A$2:$B$30,2,"false"),0)</f>
        <v>1</v>
      </c>
      <c r="L730" s="194">
        <f>_1_5412845612146241046457891017[[#This Row],[LIST $]]*_1_5412845612146241046457891017[[#This Row],[DISCOUNT]]*_1_5412845612146241046457891017[[#This Row],[DISCOUNT 2]]</f>
        <v>0</v>
      </c>
      <c r="M730" s="194">
        <f>IF(OR(_1_5412845612146241046457891017[[#This Row],[UNIT]]&gt;0,_1_5412845612146241046457891017[[#This Row],[UNIT]]&lt;0),_1_5412845612146241046457891017[[#This Row],[UNIT]]*_1_5412845612146241046457891017[[#This Row],[COST]],0)</f>
        <v>0</v>
      </c>
      <c r="N730" s="194">
        <f t="shared" si="11"/>
        <v>1.35</v>
      </c>
      <c r="O730" s="198">
        <f>_1_5412845612146241046457891017[[#This Row],[TOTAL]]*_1_5412845612146241046457891017[[#This Row],[MARGIN]]</f>
        <v>0</v>
      </c>
      <c r="R730" s="41"/>
    </row>
    <row r="731" spans="4:18">
      <c r="D731" s="188"/>
      <c r="F731" s="168" t="s">
        <v>6202</v>
      </c>
      <c r="G731" s="193">
        <f>IF(_1_5412845612146241046457891017[[#This Row],[Type]]&gt;0,VLOOKUP(_1_5412845612146241046457891017[[#This Row],[Type]],Main[[#All],[TYPE]:[UNIT]],'Unit Price'!C$1,FALSE),0)</f>
        <v>0</v>
      </c>
      <c r="H731" s="197">
        <f>IF(_1_5412845612146241046457891017[[#This Row],[Type]]&gt;0,VLOOKUP(_1_5412845612146241046457891017[[#This Row],[Type]],Main[[#All],[TYPE]:[UNIT]],'Unit Price'!D$1,FALSE),0)</f>
        <v>0</v>
      </c>
      <c r="I731" s="194">
        <f>IF(_1_5412845612146241046457891017[[#This Row],[Type]]&gt;0,VLOOKUP(_1_5412845612146241046457891017[[#This Row],[Type]],Main[[#All],[TYPE]:[UNIT]],'Unit Price'!G$1,FALSE),0)</f>
        <v>0</v>
      </c>
      <c r="J731" s="194">
        <f>IF(_1_5412845612146241046457891017[[#This Row],[Type]]&gt;0,VLOOKUP(_1_5412845612146241046457891017[[#This Row],[Type]],Main[[#All],[TYPE]:[UNIT]],'Unit Price'!H$1,FALSE),0)</f>
        <v>0</v>
      </c>
      <c r="K731" s="194">
        <f>IF(_1_5412845612146241046457891017[[#This Row],[Discount selection]]&gt;0,VLOOKUP(_1_5412845612146241046457891017[[#This Row],[Discount selection]],'Discount Structure'!$A$2:$B$30,2,"false"),0)</f>
        <v>1</v>
      </c>
      <c r="L731" s="194">
        <f>_1_5412845612146241046457891017[[#This Row],[LIST $]]*_1_5412845612146241046457891017[[#This Row],[DISCOUNT]]*_1_5412845612146241046457891017[[#This Row],[DISCOUNT 2]]</f>
        <v>0</v>
      </c>
      <c r="M731" s="194">
        <f>IF(OR(_1_5412845612146241046457891017[[#This Row],[UNIT]]&gt;0,_1_5412845612146241046457891017[[#This Row],[UNIT]]&lt;0),_1_5412845612146241046457891017[[#This Row],[UNIT]]*_1_5412845612146241046457891017[[#This Row],[COST]],0)</f>
        <v>0</v>
      </c>
      <c r="N731" s="194">
        <f t="shared" si="11"/>
        <v>1.35</v>
      </c>
      <c r="O731" s="198">
        <f>_1_5412845612146241046457891017[[#This Row],[TOTAL]]*_1_5412845612146241046457891017[[#This Row],[MARGIN]]</f>
        <v>0</v>
      </c>
      <c r="R731" s="41"/>
    </row>
    <row r="732" spans="4:18">
      <c r="D732" s="188"/>
      <c r="F732" s="168" t="s">
        <v>6202</v>
      </c>
      <c r="G732" s="193">
        <f>IF(_1_5412845612146241046457891017[[#This Row],[Type]]&gt;0,VLOOKUP(_1_5412845612146241046457891017[[#This Row],[Type]],Main[[#All],[TYPE]:[UNIT]],'Unit Price'!C$1,FALSE),0)</f>
        <v>0</v>
      </c>
      <c r="H732" s="197">
        <f>IF(_1_5412845612146241046457891017[[#This Row],[Type]]&gt;0,VLOOKUP(_1_5412845612146241046457891017[[#This Row],[Type]],Main[[#All],[TYPE]:[UNIT]],'Unit Price'!D$1,FALSE),0)</f>
        <v>0</v>
      </c>
      <c r="I732" s="194">
        <f>IF(_1_5412845612146241046457891017[[#This Row],[Type]]&gt;0,VLOOKUP(_1_5412845612146241046457891017[[#This Row],[Type]],Main[[#All],[TYPE]:[UNIT]],'Unit Price'!G$1,FALSE),0)</f>
        <v>0</v>
      </c>
      <c r="J732" s="194">
        <f>IF(_1_5412845612146241046457891017[[#This Row],[Type]]&gt;0,VLOOKUP(_1_5412845612146241046457891017[[#This Row],[Type]],Main[[#All],[TYPE]:[UNIT]],'Unit Price'!H$1,FALSE),0)</f>
        <v>0</v>
      </c>
      <c r="K732" s="194">
        <f>IF(_1_5412845612146241046457891017[[#This Row],[Discount selection]]&gt;0,VLOOKUP(_1_5412845612146241046457891017[[#This Row],[Discount selection]],'Discount Structure'!$A$2:$B$30,2,"false"),0)</f>
        <v>1</v>
      </c>
      <c r="L732" s="194">
        <f>_1_5412845612146241046457891017[[#This Row],[LIST $]]*_1_5412845612146241046457891017[[#This Row],[DISCOUNT]]*_1_5412845612146241046457891017[[#This Row],[DISCOUNT 2]]</f>
        <v>0</v>
      </c>
      <c r="M732" s="194">
        <f>IF(OR(_1_5412845612146241046457891017[[#This Row],[UNIT]]&gt;0,_1_5412845612146241046457891017[[#This Row],[UNIT]]&lt;0),_1_5412845612146241046457891017[[#This Row],[UNIT]]*_1_5412845612146241046457891017[[#This Row],[COST]],0)</f>
        <v>0</v>
      </c>
      <c r="N732" s="194">
        <f t="shared" si="11"/>
        <v>1.35</v>
      </c>
      <c r="O732" s="198">
        <f>_1_5412845612146241046457891017[[#This Row],[TOTAL]]*_1_5412845612146241046457891017[[#This Row],[MARGIN]]</f>
        <v>0</v>
      </c>
      <c r="R732" s="41"/>
    </row>
    <row r="733" spans="4:18">
      <c r="D733" s="188"/>
      <c r="F733" s="168" t="s">
        <v>6202</v>
      </c>
      <c r="G733" s="193">
        <f>IF(_1_5412845612146241046457891017[[#This Row],[Type]]&gt;0,VLOOKUP(_1_5412845612146241046457891017[[#This Row],[Type]],Main[[#All],[TYPE]:[UNIT]],'Unit Price'!C$1,FALSE),0)</f>
        <v>0</v>
      </c>
      <c r="H733" s="197">
        <f>IF(_1_5412845612146241046457891017[[#This Row],[Type]]&gt;0,VLOOKUP(_1_5412845612146241046457891017[[#This Row],[Type]],Main[[#All],[TYPE]:[UNIT]],'Unit Price'!D$1,FALSE),0)</f>
        <v>0</v>
      </c>
      <c r="I733" s="194">
        <f>IF(_1_5412845612146241046457891017[[#This Row],[Type]]&gt;0,VLOOKUP(_1_5412845612146241046457891017[[#This Row],[Type]],Main[[#All],[TYPE]:[UNIT]],'Unit Price'!G$1,FALSE),0)</f>
        <v>0</v>
      </c>
      <c r="J733" s="194">
        <f>IF(_1_5412845612146241046457891017[[#This Row],[Type]]&gt;0,VLOOKUP(_1_5412845612146241046457891017[[#This Row],[Type]],Main[[#All],[TYPE]:[UNIT]],'Unit Price'!H$1,FALSE),0)</f>
        <v>0</v>
      </c>
      <c r="K733" s="194">
        <f>IF(_1_5412845612146241046457891017[[#This Row],[Discount selection]]&gt;0,VLOOKUP(_1_5412845612146241046457891017[[#This Row],[Discount selection]],'Discount Structure'!$A$2:$B$30,2,"false"),0)</f>
        <v>1</v>
      </c>
      <c r="L733" s="194">
        <f>_1_5412845612146241046457891017[[#This Row],[LIST $]]*_1_5412845612146241046457891017[[#This Row],[DISCOUNT]]*_1_5412845612146241046457891017[[#This Row],[DISCOUNT 2]]</f>
        <v>0</v>
      </c>
      <c r="M733" s="194">
        <f>IF(OR(_1_5412845612146241046457891017[[#This Row],[UNIT]]&gt;0,_1_5412845612146241046457891017[[#This Row],[UNIT]]&lt;0),_1_5412845612146241046457891017[[#This Row],[UNIT]]*_1_5412845612146241046457891017[[#This Row],[COST]],0)</f>
        <v>0</v>
      </c>
      <c r="N733" s="194">
        <f t="shared" si="11"/>
        <v>1.35</v>
      </c>
      <c r="O733" s="198">
        <f>_1_5412845612146241046457891017[[#This Row],[TOTAL]]*_1_5412845612146241046457891017[[#This Row],[MARGIN]]</f>
        <v>0</v>
      </c>
      <c r="R733" s="41"/>
    </row>
    <row r="734" spans="4:18">
      <c r="D734" s="188"/>
      <c r="F734" s="168" t="s">
        <v>6202</v>
      </c>
      <c r="G734" s="193">
        <f>IF(_1_5412845612146241046457891017[[#This Row],[Type]]&gt;0,VLOOKUP(_1_5412845612146241046457891017[[#This Row],[Type]],Main[[#All],[TYPE]:[UNIT]],'Unit Price'!C$1,FALSE),0)</f>
        <v>0</v>
      </c>
      <c r="H734" s="197">
        <f>IF(_1_5412845612146241046457891017[[#This Row],[Type]]&gt;0,VLOOKUP(_1_5412845612146241046457891017[[#This Row],[Type]],Main[[#All],[TYPE]:[UNIT]],'Unit Price'!D$1,FALSE),0)</f>
        <v>0</v>
      </c>
      <c r="I734" s="194">
        <f>IF(_1_5412845612146241046457891017[[#This Row],[Type]]&gt;0,VLOOKUP(_1_5412845612146241046457891017[[#This Row],[Type]],Main[[#All],[TYPE]:[UNIT]],'Unit Price'!G$1,FALSE),0)</f>
        <v>0</v>
      </c>
      <c r="J734" s="194">
        <f>IF(_1_5412845612146241046457891017[[#This Row],[Type]]&gt;0,VLOOKUP(_1_5412845612146241046457891017[[#This Row],[Type]],Main[[#All],[TYPE]:[UNIT]],'Unit Price'!H$1,FALSE),0)</f>
        <v>0</v>
      </c>
      <c r="K734" s="194">
        <f>IF(_1_5412845612146241046457891017[[#This Row],[Discount selection]]&gt;0,VLOOKUP(_1_5412845612146241046457891017[[#This Row],[Discount selection]],'Discount Structure'!$A$2:$B$30,2,"false"),0)</f>
        <v>1</v>
      </c>
      <c r="L734" s="194">
        <f>_1_5412845612146241046457891017[[#This Row],[LIST $]]*_1_5412845612146241046457891017[[#This Row],[DISCOUNT]]*_1_5412845612146241046457891017[[#This Row],[DISCOUNT 2]]</f>
        <v>0</v>
      </c>
      <c r="M734" s="194">
        <f>IF(OR(_1_5412845612146241046457891017[[#This Row],[UNIT]]&gt;0,_1_5412845612146241046457891017[[#This Row],[UNIT]]&lt;0),_1_5412845612146241046457891017[[#This Row],[UNIT]]*_1_5412845612146241046457891017[[#This Row],[COST]],0)</f>
        <v>0</v>
      </c>
      <c r="N734" s="194">
        <f t="shared" si="11"/>
        <v>1.35</v>
      </c>
      <c r="O734" s="198">
        <f>_1_5412845612146241046457891017[[#This Row],[TOTAL]]*_1_5412845612146241046457891017[[#This Row],[MARGIN]]</f>
        <v>0</v>
      </c>
      <c r="R734" s="41"/>
    </row>
    <row r="735" spans="4:18">
      <c r="D735" s="188"/>
      <c r="F735" s="168" t="s">
        <v>6202</v>
      </c>
      <c r="G735" s="193">
        <f>IF(_1_5412845612146241046457891017[[#This Row],[Type]]&gt;0,VLOOKUP(_1_5412845612146241046457891017[[#This Row],[Type]],Main[[#All],[TYPE]:[UNIT]],'Unit Price'!C$1,FALSE),0)</f>
        <v>0</v>
      </c>
      <c r="H735" s="197">
        <f>IF(_1_5412845612146241046457891017[[#This Row],[Type]]&gt;0,VLOOKUP(_1_5412845612146241046457891017[[#This Row],[Type]],Main[[#All],[TYPE]:[UNIT]],'Unit Price'!D$1,FALSE),0)</f>
        <v>0</v>
      </c>
      <c r="I735" s="194">
        <f>IF(_1_5412845612146241046457891017[[#This Row],[Type]]&gt;0,VLOOKUP(_1_5412845612146241046457891017[[#This Row],[Type]],Main[[#All],[TYPE]:[UNIT]],'Unit Price'!G$1,FALSE),0)</f>
        <v>0</v>
      </c>
      <c r="J735" s="194">
        <f>IF(_1_5412845612146241046457891017[[#This Row],[Type]]&gt;0,VLOOKUP(_1_5412845612146241046457891017[[#This Row],[Type]],Main[[#All],[TYPE]:[UNIT]],'Unit Price'!H$1,FALSE),0)</f>
        <v>0</v>
      </c>
      <c r="K735" s="194">
        <f>IF(_1_5412845612146241046457891017[[#This Row],[Discount selection]]&gt;0,VLOOKUP(_1_5412845612146241046457891017[[#This Row],[Discount selection]],'Discount Structure'!$A$2:$B$30,2,"false"),0)</f>
        <v>1</v>
      </c>
      <c r="L735" s="194">
        <f>_1_5412845612146241046457891017[[#This Row],[LIST $]]*_1_5412845612146241046457891017[[#This Row],[DISCOUNT]]*_1_5412845612146241046457891017[[#This Row],[DISCOUNT 2]]</f>
        <v>0</v>
      </c>
      <c r="M735" s="194">
        <f>IF(OR(_1_5412845612146241046457891017[[#This Row],[UNIT]]&gt;0,_1_5412845612146241046457891017[[#This Row],[UNIT]]&lt;0),_1_5412845612146241046457891017[[#This Row],[UNIT]]*_1_5412845612146241046457891017[[#This Row],[COST]],0)</f>
        <v>0</v>
      </c>
      <c r="N735" s="194">
        <f t="shared" si="11"/>
        <v>1.35</v>
      </c>
      <c r="O735" s="198">
        <f>_1_5412845612146241046457891017[[#This Row],[TOTAL]]*_1_5412845612146241046457891017[[#This Row],[MARGIN]]</f>
        <v>0</v>
      </c>
      <c r="R735" s="41"/>
    </row>
    <row r="736" spans="4:18">
      <c r="D736" s="188"/>
      <c r="F736" s="168" t="s">
        <v>6202</v>
      </c>
      <c r="G736" s="193">
        <f>IF(_1_5412845612146241046457891017[[#This Row],[Type]]&gt;0,VLOOKUP(_1_5412845612146241046457891017[[#This Row],[Type]],Main[[#All],[TYPE]:[UNIT]],'Unit Price'!C$1,FALSE),0)</f>
        <v>0</v>
      </c>
      <c r="H736" s="197">
        <f>IF(_1_5412845612146241046457891017[[#This Row],[Type]]&gt;0,VLOOKUP(_1_5412845612146241046457891017[[#This Row],[Type]],Main[[#All],[TYPE]:[UNIT]],'Unit Price'!D$1,FALSE),0)</f>
        <v>0</v>
      </c>
      <c r="I736" s="194">
        <f>IF(_1_5412845612146241046457891017[[#This Row],[Type]]&gt;0,VLOOKUP(_1_5412845612146241046457891017[[#This Row],[Type]],Main[[#All],[TYPE]:[UNIT]],'Unit Price'!G$1,FALSE),0)</f>
        <v>0</v>
      </c>
      <c r="J736" s="194">
        <f>IF(_1_5412845612146241046457891017[[#This Row],[Type]]&gt;0,VLOOKUP(_1_5412845612146241046457891017[[#This Row],[Type]],Main[[#All],[TYPE]:[UNIT]],'Unit Price'!H$1,FALSE),0)</f>
        <v>0</v>
      </c>
      <c r="K736" s="194">
        <f>IF(_1_5412845612146241046457891017[[#This Row],[Discount selection]]&gt;0,VLOOKUP(_1_5412845612146241046457891017[[#This Row],[Discount selection]],'Discount Structure'!$A$2:$B$30,2,"false"),0)</f>
        <v>1</v>
      </c>
      <c r="L736" s="194">
        <f>_1_5412845612146241046457891017[[#This Row],[LIST $]]*_1_5412845612146241046457891017[[#This Row],[DISCOUNT]]*_1_5412845612146241046457891017[[#This Row],[DISCOUNT 2]]</f>
        <v>0</v>
      </c>
      <c r="M736" s="194">
        <f>IF(OR(_1_5412845612146241046457891017[[#This Row],[UNIT]]&gt;0,_1_5412845612146241046457891017[[#This Row],[UNIT]]&lt;0),_1_5412845612146241046457891017[[#This Row],[UNIT]]*_1_5412845612146241046457891017[[#This Row],[COST]],0)</f>
        <v>0</v>
      </c>
      <c r="N736" s="194">
        <f t="shared" si="11"/>
        <v>1.35</v>
      </c>
      <c r="O736" s="198">
        <f>_1_5412845612146241046457891017[[#This Row],[TOTAL]]*_1_5412845612146241046457891017[[#This Row],[MARGIN]]</f>
        <v>0</v>
      </c>
      <c r="R736" s="41"/>
    </row>
    <row r="737" spans="4:18">
      <c r="D737" s="188"/>
      <c r="F737" s="168" t="s">
        <v>6202</v>
      </c>
      <c r="G737" s="193">
        <f>IF(_1_5412845612146241046457891017[[#This Row],[Type]]&gt;0,VLOOKUP(_1_5412845612146241046457891017[[#This Row],[Type]],Main[[#All],[TYPE]:[UNIT]],'Unit Price'!C$1,FALSE),0)</f>
        <v>0</v>
      </c>
      <c r="H737" s="197">
        <f>IF(_1_5412845612146241046457891017[[#This Row],[Type]]&gt;0,VLOOKUP(_1_5412845612146241046457891017[[#This Row],[Type]],Main[[#All],[TYPE]:[UNIT]],'Unit Price'!D$1,FALSE),0)</f>
        <v>0</v>
      </c>
      <c r="I737" s="194">
        <f>IF(_1_5412845612146241046457891017[[#This Row],[Type]]&gt;0,VLOOKUP(_1_5412845612146241046457891017[[#This Row],[Type]],Main[[#All],[TYPE]:[UNIT]],'Unit Price'!G$1,FALSE),0)</f>
        <v>0</v>
      </c>
      <c r="J737" s="194">
        <f>IF(_1_5412845612146241046457891017[[#This Row],[Type]]&gt;0,VLOOKUP(_1_5412845612146241046457891017[[#This Row],[Type]],Main[[#All],[TYPE]:[UNIT]],'Unit Price'!H$1,FALSE),0)</f>
        <v>0</v>
      </c>
      <c r="K737" s="194">
        <f>IF(_1_5412845612146241046457891017[[#This Row],[Discount selection]]&gt;0,VLOOKUP(_1_5412845612146241046457891017[[#This Row],[Discount selection]],'Discount Structure'!$A$2:$B$30,2,"false"),0)</f>
        <v>1</v>
      </c>
      <c r="L737" s="194">
        <f>_1_5412845612146241046457891017[[#This Row],[LIST $]]*_1_5412845612146241046457891017[[#This Row],[DISCOUNT]]*_1_5412845612146241046457891017[[#This Row],[DISCOUNT 2]]</f>
        <v>0</v>
      </c>
      <c r="M737" s="194">
        <f>IF(OR(_1_5412845612146241046457891017[[#This Row],[UNIT]]&gt;0,_1_5412845612146241046457891017[[#This Row],[UNIT]]&lt;0),_1_5412845612146241046457891017[[#This Row],[UNIT]]*_1_5412845612146241046457891017[[#This Row],[COST]],0)</f>
        <v>0</v>
      </c>
      <c r="N737" s="194">
        <f t="shared" si="11"/>
        <v>1.35</v>
      </c>
      <c r="O737" s="198">
        <f>_1_5412845612146241046457891017[[#This Row],[TOTAL]]*_1_5412845612146241046457891017[[#This Row],[MARGIN]]</f>
        <v>0</v>
      </c>
      <c r="R737" s="41"/>
    </row>
    <row r="738" spans="4:18">
      <c r="D738" s="188"/>
      <c r="F738" s="168" t="s">
        <v>6202</v>
      </c>
      <c r="G738" s="193">
        <f>IF(_1_5412845612146241046457891017[[#This Row],[Type]]&gt;0,VLOOKUP(_1_5412845612146241046457891017[[#This Row],[Type]],Main[[#All],[TYPE]:[UNIT]],'Unit Price'!C$1,FALSE),0)</f>
        <v>0</v>
      </c>
      <c r="H738" s="197">
        <f>IF(_1_5412845612146241046457891017[[#This Row],[Type]]&gt;0,VLOOKUP(_1_5412845612146241046457891017[[#This Row],[Type]],Main[[#All],[TYPE]:[UNIT]],'Unit Price'!D$1,FALSE),0)</f>
        <v>0</v>
      </c>
      <c r="I738" s="194">
        <f>IF(_1_5412845612146241046457891017[[#This Row],[Type]]&gt;0,VLOOKUP(_1_5412845612146241046457891017[[#This Row],[Type]],Main[[#All],[TYPE]:[UNIT]],'Unit Price'!G$1,FALSE),0)</f>
        <v>0</v>
      </c>
      <c r="J738" s="194">
        <f>IF(_1_5412845612146241046457891017[[#This Row],[Type]]&gt;0,VLOOKUP(_1_5412845612146241046457891017[[#This Row],[Type]],Main[[#All],[TYPE]:[UNIT]],'Unit Price'!H$1,FALSE),0)</f>
        <v>0</v>
      </c>
      <c r="K738" s="194">
        <f>IF(_1_5412845612146241046457891017[[#This Row],[Discount selection]]&gt;0,VLOOKUP(_1_5412845612146241046457891017[[#This Row],[Discount selection]],'Discount Structure'!$A$2:$B$30,2,"false"),0)</f>
        <v>1</v>
      </c>
      <c r="L738" s="194">
        <f>_1_5412845612146241046457891017[[#This Row],[LIST $]]*_1_5412845612146241046457891017[[#This Row],[DISCOUNT]]*_1_5412845612146241046457891017[[#This Row],[DISCOUNT 2]]</f>
        <v>0</v>
      </c>
      <c r="M738" s="194">
        <f>IF(OR(_1_5412845612146241046457891017[[#This Row],[UNIT]]&gt;0,_1_5412845612146241046457891017[[#This Row],[UNIT]]&lt;0),_1_5412845612146241046457891017[[#This Row],[UNIT]]*_1_5412845612146241046457891017[[#This Row],[COST]],0)</f>
        <v>0</v>
      </c>
      <c r="N738" s="194">
        <f t="shared" si="11"/>
        <v>1.35</v>
      </c>
      <c r="O738" s="198">
        <f>_1_5412845612146241046457891017[[#This Row],[TOTAL]]*_1_5412845612146241046457891017[[#This Row],[MARGIN]]</f>
        <v>0</v>
      </c>
      <c r="R738" s="41"/>
    </row>
    <row r="739" spans="4:18">
      <c r="D739" s="188"/>
      <c r="F739" s="168" t="s">
        <v>6202</v>
      </c>
      <c r="G739" s="193">
        <f>IF(_1_5412845612146241046457891017[[#This Row],[Type]]&gt;0,VLOOKUP(_1_5412845612146241046457891017[[#This Row],[Type]],Main[[#All],[TYPE]:[UNIT]],'Unit Price'!C$1,FALSE),0)</f>
        <v>0</v>
      </c>
      <c r="H739" s="197">
        <f>IF(_1_5412845612146241046457891017[[#This Row],[Type]]&gt;0,VLOOKUP(_1_5412845612146241046457891017[[#This Row],[Type]],Main[[#All],[TYPE]:[UNIT]],'Unit Price'!D$1,FALSE),0)</f>
        <v>0</v>
      </c>
      <c r="I739" s="194">
        <f>IF(_1_5412845612146241046457891017[[#This Row],[Type]]&gt;0,VLOOKUP(_1_5412845612146241046457891017[[#This Row],[Type]],Main[[#All],[TYPE]:[UNIT]],'Unit Price'!G$1,FALSE),0)</f>
        <v>0</v>
      </c>
      <c r="J739" s="194">
        <f>IF(_1_5412845612146241046457891017[[#This Row],[Type]]&gt;0,VLOOKUP(_1_5412845612146241046457891017[[#This Row],[Type]],Main[[#All],[TYPE]:[UNIT]],'Unit Price'!H$1,FALSE),0)</f>
        <v>0</v>
      </c>
      <c r="K739" s="194">
        <f>IF(_1_5412845612146241046457891017[[#This Row],[Discount selection]]&gt;0,VLOOKUP(_1_5412845612146241046457891017[[#This Row],[Discount selection]],'Discount Structure'!$A$2:$B$30,2,"false"),0)</f>
        <v>1</v>
      </c>
      <c r="L739" s="194">
        <f>_1_5412845612146241046457891017[[#This Row],[LIST $]]*_1_5412845612146241046457891017[[#This Row],[DISCOUNT]]*_1_5412845612146241046457891017[[#This Row],[DISCOUNT 2]]</f>
        <v>0</v>
      </c>
      <c r="M739" s="194">
        <f>IF(OR(_1_5412845612146241046457891017[[#This Row],[UNIT]]&gt;0,_1_5412845612146241046457891017[[#This Row],[UNIT]]&lt;0),_1_5412845612146241046457891017[[#This Row],[UNIT]]*_1_5412845612146241046457891017[[#This Row],[COST]],0)</f>
        <v>0</v>
      </c>
      <c r="N739" s="194">
        <f t="shared" si="11"/>
        <v>1.35</v>
      </c>
      <c r="O739" s="198">
        <f>_1_5412845612146241046457891017[[#This Row],[TOTAL]]*_1_5412845612146241046457891017[[#This Row],[MARGIN]]</f>
        <v>0</v>
      </c>
      <c r="R739" s="41"/>
    </row>
    <row r="740" spans="4:18">
      <c r="D740" s="188"/>
      <c r="F740" s="168" t="s">
        <v>6202</v>
      </c>
      <c r="G740" s="193">
        <f>IF(_1_5412845612146241046457891017[[#This Row],[Type]]&gt;0,VLOOKUP(_1_5412845612146241046457891017[[#This Row],[Type]],Main[[#All],[TYPE]:[UNIT]],'Unit Price'!C$1,FALSE),0)</f>
        <v>0</v>
      </c>
      <c r="H740" s="197">
        <f>IF(_1_5412845612146241046457891017[[#This Row],[Type]]&gt;0,VLOOKUP(_1_5412845612146241046457891017[[#This Row],[Type]],Main[[#All],[TYPE]:[UNIT]],'Unit Price'!D$1,FALSE),0)</f>
        <v>0</v>
      </c>
      <c r="I740" s="194">
        <f>IF(_1_5412845612146241046457891017[[#This Row],[Type]]&gt;0,VLOOKUP(_1_5412845612146241046457891017[[#This Row],[Type]],Main[[#All],[TYPE]:[UNIT]],'Unit Price'!G$1,FALSE),0)</f>
        <v>0</v>
      </c>
      <c r="J740" s="194">
        <f>IF(_1_5412845612146241046457891017[[#This Row],[Type]]&gt;0,VLOOKUP(_1_5412845612146241046457891017[[#This Row],[Type]],Main[[#All],[TYPE]:[UNIT]],'Unit Price'!H$1,FALSE),0)</f>
        <v>0</v>
      </c>
      <c r="K740" s="194">
        <f>IF(_1_5412845612146241046457891017[[#This Row],[Discount selection]]&gt;0,VLOOKUP(_1_5412845612146241046457891017[[#This Row],[Discount selection]],'Discount Structure'!$A$2:$B$30,2,"false"),0)</f>
        <v>1</v>
      </c>
      <c r="L740" s="194">
        <f>_1_5412845612146241046457891017[[#This Row],[LIST $]]*_1_5412845612146241046457891017[[#This Row],[DISCOUNT]]*_1_5412845612146241046457891017[[#This Row],[DISCOUNT 2]]</f>
        <v>0</v>
      </c>
      <c r="M740" s="194">
        <f>IF(OR(_1_5412845612146241046457891017[[#This Row],[UNIT]]&gt;0,_1_5412845612146241046457891017[[#This Row],[UNIT]]&lt;0),_1_5412845612146241046457891017[[#This Row],[UNIT]]*_1_5412845612146241046457891017[[#This Row],[COST]],0)</f>
        <v>0</v>
      </c>
      <c r="N740" s="194">
        <f t="shared" si="11"/>
        <v>1.35</v>
      </c>
      <c r="O740" s="198">
        <f>_1_5412845612146241046457891017[[#This Row],[TOTAL]]*_1_5412845612146241046457891017[[#This Row],[MARGIN]]</f>
        <v>0</v>
      </c>
      <c r="R740" s="41"/>
    </row>
    <row r="741" spans="4:18">
      <c r="D741" s="188"/>
      <c r="F741" s="168" t="s">
        <v>6202</v>
      </c>
      <c r="G741" s="193">
        <f>IF(_1_5412845612146241046457891017[[#This Row],[Type]]&gt;0,VLOOKUP(_1_5412845612146241046457891017[[#This Row],[Type]],Main[[#All],[TYPE]:[UNIT]],'Unit Price'!C$1,FALSE),0)</f>
        <v>0</v>
      </c>
      <c r="H741" s="197">
        <f>IF(_1_5412845612146241046457891017[[#This Row],[Type]]&gt;0,VLOOKUP(_1_5412845612146241046457891017[[#This Row],[Type]],Main[[#All],[TYPE]:[UNIT]],'Unit Price'!D$1,FALSE),0)</f>
        <v>0</v>
      </c>
      <c r="I741" s="194">
        <f>IF(_1_5412845612146241046457891017[[#This Row],[Type]]&gt;0,VLOOKUP(_1_5412845612146241046457891017[[#This Row],[Type]],Main[[#All],[TYPE]:[UNIT]],'Unit Price'!G$1,FALSE),0)</f>
        <v>0</v>
      </c>
      <c r="J741" s="194">
        <f>IF(_1_5412845612146241046457891017[[#This Row],[Type]]&gt;0,VLOOKUP(_1_5412845612146241046457891017[[#This Row],[Type]],Main[[#All],[TYPE]:[UNIT]],'Unit Price'!H$1,FALSE),0)</f>
        <v>0</v>
      </c>
      <c r="K741" s="194">
        <f>IF(_1_5412845612146241046457891017[[#This Row],[Discount selection]]&gt;0,VLOOKUP(_1_5412845612146241046457891017[[#This Row],[Discount selection]],'Discount Structure'!$A$2:$B$30,2,"false"),0)</f>
        <v>1</v>
      </c>
      <c r="L741" s="194">
        <f>_1_5412845612146241046457891017[[#This Row],[LIST $]]*_1_5412845612146241046457891017[[#This Row],[DISCOUNT]]*_1_5412845612146241046457891017[[#This Row],[DISCOUNT 2]]</f>
        <v>0</v>
      </c>
      <c r="M741" s="194">
        <f>IF(OR(_1_5412845612146241046457891017[[#This Row],[UNIT]]&gt;0,_1_5412845612146241046457891017[[#This Row],[UNIT]]&lt;0),_1_5412845612146241046457891017[[#This Row],[UNIT]]*_1_5412845612146241046457891017[[#This Row],[COST]],0)</f>
        <v>0</v>
      </c>
      <c r="N741" s="194">
        <f t="shared" si="11"/>
        <v>1.35</v>
      </c>
      <c r="O741" s="198">
        <f>_1_5412845612146241046457891017[[#This Row],[TOTAL]]*_1_5412845612146241046457891017[[#This Row],[MARGIN]]</f>
        <v>0</v>
      </c>
      <c r="R741" s="41"/>
    </row>
    <row r="742" spans="4:18">
      <c r="D742" s="188"/>
      <c r="F742" s="168" t="s">
        <v>6202</v>
      </c>
      <c r="G742" s="193">
        <f>IF(_1_5412845612146241046457891017[[#This Row],[Type]]&gt;0,VLOOKUP(_1_5412845612146241046457891017[[#This Row],[Type]],Main[[#All],[TYPE]:[UNIT]],'Unit Price'!C$1,FALSE),0)</f>
        <v>0</v>
      </c>
      <c r="H742" s="197">
        <f>IF(_1_5412845612146241046457891017[[#This Row],[Type]]&gt;0,VLOOKUP(_1_5412845612146241046457891017[[#This Row],[Type]],Main[[#All],[TYPE]:[UNIT]],'Unit Price'!D$1,FALSE),0)</f>
        <v>0</v>
      </c>
      <c r="I742" s="194">
        <f>IF(_1_5412845612146241046457891017[[#This Row],[Type]]&gt;0,VLOOKUP(_1_5412845612146241046457891017[[#This Row],[Type]],Main[[#All],[TYPE]:[UNIT]],'Unit Price'!G$1,FALSE),0)</f>
        <v>0</v>
      </c>
      <c r="J742" s="194">
        <f>IF(_1_5412845612146241046457891017[[#This Row],[Type]]&gt;0,VLOOKUP(_1_5412845612146241046457891017[[#This Row],[Type]],Main[[#All],[TYPE]:[UNIT]],'Unit Price'!H$1,FALSE),0)</f>
        <v>0</v>
      </c>
      <c r="K742" s="194">
        <f>IF(_1_5412845612146241046457891017[[#This Row],[Discount selection]]&gt;0,VLOOKUP(_1_5412845612146241046457891017[[#This Row],[Discount selection]],'Discount Structure'!$A$2:$B$30,2,"false"),0)</f>
        <v>1</v>
      </c>
      <c r="L742" s="194">
        <f>_1_5412845612146241046457891017[[#This Row],[LIST $]]*_1_5412845612146241046457891017[[#This Row],[DISCOUNT]]*_1_5412845612146241046457891017[[#This Row],[DISCOUNT 2]]</f>
        <v>0</v>
      </c>
      <c r="M742" s="194">
        <f>IF(OR(_1_5412845612146241046457891017[[#This Row],[UNIT]]&gt;0,_1_5412845612146241046457891017[[#This Row],[UNIT]]&lt;0),_1_5412845612146241046457891017[[#This Row],[UNIT]]*_1_5412845612146241046457891017[[#This Row],[COST]],0)</f>
        <v>0</v>
      </c>
      <c r="N742" s="194">
        <f t="shared" si="11"/>
        <v>1.35</v>
      </c>
      <c r="O742" s="198">
        <f>_1_5412845612146241046457891017[[#This Row],[TOTAL]]*_1_5412845612146241046457891017[[#This Row],[MARGIN]]</f>
        <v>0</v>
      </c>
      <c r="R742" s="41"/>
    </row>
    <row r="743" spans="4:18">
      <c r="D743" s="188"/>
      <c r="F743" s="168" t="s">
        <v>6202</v>
      </c>
      <c r="G743" s="193">
        <f>IF(_1_5412845612146241046457891017[[#This Row],[Type]]&gt;0,VLOOKUP(_1_5412845612146241046457891017[[#This Row],[Type]],Main[[#All],[TYPE]:[UNIT]],'Unit Price'!C$1,FALSE),0)</f>
        <v>0</v>
      </c>
      <c r="H743" s="197">
        <f>IF(_1_5412845612146241046457891017[[#This Row],[Type]]&gt;0,VLOOKUP(_1_5412845612146241046457891017[[#This Row],[Type]],Main[[#All],[TYPE]:[UNIT]],'Unit Price'!D$1,FALSE),0)</f>
        <v>0</v>
      </c>
      <c r="I743" s="194">
        <f>IF(_1_5412845612146241046457891017[[#This Row],[Type]]&gt;0,VLOOKUP(_1_5412845612146241046457891017[[#This Row],[Type]],Main[[#All],[TYPE]:[UNIT]],'Unit Price'!G$1,FALSE),0)</f>
        <v>0</v>
      </c>
      <c r="J743" s="194">
        <f>IF(_1_5412845612146241046457891017[[#This Row],[Type]]&gt;0,VLOOKUP(_1_5412845612146241046457891017[[#This Row],[Type]],Main[[#All],[TYPE]:[UNIT]],'Unit Price'!H$1,FALSE),0)</f>
        <v>0</v>
      </c>
      <c r="K743" s="194">
        <f>IF(_1_5412845612146241046457891017[[#This Row],[Discount selection]]&gt;0,VLOOKUP(_1_5412845612146241046457891017[[#This Row],[Discount selection]],'Discount Structure'!$A$2:$B$30,2,"false"),0)</f>
        <v>1</v>
      </c>
      <c r="L743" s="194">
        <f>_1_5412845612146241046457891017[[#This Row],[LIST $]]*_1_5412845612146241046457891017[[#This Row],[DISCOUNT]]*_1_5412845612146241046457891017[[#This Row],[DISCOUNT 2]]</f>
        <v>0</v>
      </c>
      <c r="M743" s="194">
        <f>IF(OR(_1_5412845612146241046457891017[[#This Row],[UNIT]]&gt;0,_1_5412845612146241046457891017[[#This Row],[UNIT]]&lt;0),_1_5412845612146241046457891017[[#This Row],[UNIT]]*_1_5412845612146241046457891017[[#This Row],[COST]],0)</f>
        <v>0</v>
      </c>
      <c r="N743" s="194">
        <f t="shared" si="11"/>
        <v>1.35</v>
      </c>
      <c r="O743" s="198">
        <f>_1_5412845612146241046457891017[[#This Row],[TOTAL]]*_1_5412845612146241046457891017[[#This Row],[MARGIN]]</f>
        <v>0</v>
      </c>
      <c r="R743" s="41"/>
    </row>
    <row r="744" spans="4:18">
      <c r="D744" s="188"/>
      <c r="F744" s="168" t="s">
        <v>6202</v>
      </c>
      <c r="G744" s="193">
        <f>IF(_1_5412845612146241046457891017[[#This Row],[Type]]&gt;0,VLOOKUP(_1_5412845612146241046457891017[[#This Row],[Type]],Main[[#All],[TYPE]:[UNIT]],'Unit Price'!C$1,FALSE),0)</f>
        <v>0</v>
      </c>
      <c r="H744" s="197">
        <f>IF(_1_5412845612146241046457891017[[#This Row],[Type]]&gt;0,VLOOKUP(_1_5412845612146241046457891017[[#This Row],[Type]],Main[[#All],[TYPE]:[UNIT]],'Unit Price'!D$1,FALSE),0)</f>
        <v>0</v>
      </c>
      <c r="I744" s="194">
        <f>IF(_1_5412845612146241046457891017[[#This Row],[Type]]&gt;0,VLOOKUP(_1_5412845612146241046457891017[[#This Row],[Type]],Main[[#All],[TYPE]:[UNIT]],'Unit Price'!G$1,FALSE),0)</f>
        <v>0</v>
      </c>
      <c r="J744" s="194">
        <f>IF(_1_5412845612146241046457891017[[#This Row],[Type]]&gt;0,VLOOKUP(_1_5412845612146241046457891017[[#This Row],[Type]],Main[[#All],[TYPE]:[UNIT]],'Unit Price'!H$1,FALSE),0)</f>
        <v>0</v>
      </c>
      <c r="K744" s="194">
        <f>IF(_1_5412845612146241046457891017[[#This Row],[Discount selection]]&gt;0,VLOOKUP(_1_5412845612146241046457891017[[#This Row],[Discount selection]],'Discount Structure'!$A$2:$B$30,2,"false"),0)</f>
        <v>1</v>
      </c>
      <c r="L744" s="194">
        <f>_1_5412845612146241046457891017[[#This Row],[LIST $]]*_1_5412845612146241046457891017[[#This Row],[DISCOUNT]]*_1_5412845612146241046457891017[[#This Row],[DISCOUNT 2]]</f>
        <v>0</v>
      </c>
      <c r="M744" s="194">
        <f>IF(OR(_1_5412845612146241046457891017[[#This Row],[UNIT]]&gt;0,_1_5412845612146241046457891017[[#This Row],[UNIT]]&lt;0),_1_5412845612146241046457891017[[#This Row],[UNIT]]*_1_5412845612146241046457891017[[#This Row],[COST]],0)</f>
        <v>0</v>
      </c>
      <c r="N744" s="194">
        <f t="shared" si="11"/>
        <v>1.35</v>
      </c>
      <c r="O744" s="198">
        <f>_1_5412845612146241046457891017[[#This Row],[TOTAL]]*_1_5412845612146241046457891017[[#This Row],[MARGIN]]</f>
        <v>0</v>
      </c>
      <c r="R744" s="41"/>
    </row>
    <row r="745" spans="4:18">
      <c r="D745" s="188"/>
      <c r="F745" s="168" t="s">
        <v>6202</v>
      </c>
      <c r="G745" s="193">
        <f>IF(_1_5412845612146241046457891017[[#This Row],[Type]]&gt;0,VLOOKUP(_1_5412845612146241046457891017[[#This Row],[Type]],Main[[#All],[TYPE]:[UNIT]],'Unit Price'!C$1,FALSE),0)</f>
        <v>0</v>
      </c>
      <c r="H745" s="197">
        <f>IF(_1_5412845612146241046457891017[[#This Row],[Type]]&gt;0,VLOOKUP(_1_5412845612146241046457891017[[#This Row],[Type]],Main[[#All],[TYPE]:[UNIT]],'Unit Price'!D$1,FALSE),0)</f>
        <v>0</v>
      </c>
      <c r="I745" s="194">
        <f>IF(_1_5412845612146241046457891017[[#This Row],[Type]]&gt;0,VLOOKUP(_1_5412845612146241046457891017[[#This Row],[Type]],Main[[#All],[TYPE]:[UNIT]],'Unit Price'!G$1,FALSE),0)</f>
        <v>0</v>
      </c>
      <c r="J745" s="194">
        <f>IF(_1_5412845612146241046457891017[[#This Row],[Type]]&gt;0,VLOOKUP(_1_5412845612146241046457891017[[#This Row],[Type]],Main[[#All],[TYPE]:[UNIT]],'Unit Price'!H$1,FALSE),0)</f>
        <v>0</v>
      </c>
      <c r="K745" s="194">
        <f>IF(_1_5412845612146241046457891017[[#This Row],[Discount selection]]&gt;0,VLOOKUP(_1_5412845612146241046457891017[[#This Row],[Discount selection]],'Discount Structure'!$A$2:$B$30,2,"false"),0)</f>
        <v>1</v>
      </c>
      <c r="L745" s="194">
        <f>_1_5412845612146241046457891017[[#This Row],[LIST $]]*_1_5412845612146241046457891017[[#This Row],[DISCOUNT]]*_1_5412845612146241046457891017[[#This Row],[DISCOUNT 2]]</f>
        <v>0</v>
      </c>
      <c r="M745" s="194">
        <f>IF(OR(_1_5412845612146241046457891017[[#This Row],[UNIT]]&gt;0,_1_5412845612146241046457891017[[#This Row],[UNIT]]&lt;0),_1_5412845612146241046457891017[[#This Row],[UNIT]]*_1_5412845612146241046457891017[[#This Row],[COST]],0)</f>
        <v>0</v>
      </c>
      <c r="N745" s="194">
        <f t="shared" si="11"/>
        <v>1.35</v>
      </c>
      <c r="O745" s="198">
        <f>_1_5412845612146241046457891017[[#This Row],[TOTAL]]*_1_5412845612146241046457891017[[#This Row],[MARGIN]]</f>
        <v>0</v>
      </c>
      <c r="R745" s="41"/>
    </row>
    <row r="746" spans="4:18">
      <c r="D746" s="188"/>
      <c r="F746" s="168" t="s">
        <v>6202</v>
      </c>
      <c r="G746" s="193">
        <f>IF(_1_5412845612146241046457891017[[#This Row],[Type]]&gt;0,VLOOKUP(_1_5412845612146241046457891017[[#This Row],[Type]],Main[[#All],[TYPE]:[UNIT]],'Unit Price'!C$1,FALSE),0)</f>
        <v>0</v>
      </c>
      <c r="H746" s="197">
        <f>IF(_1_5412845612146241046457891017[[#This Row],[Type]]&gt;0,VLOOKUP(_1_5412845612146241046457891017[[#This Row],[Type]],Main[[#All],[TYPE]:[UNIT]],'Unit Price'!D$1,FALSE),0)</f>
        <v>0</v>
      </c>
      <c r="I746" s="194">
        <f>IF(_1_5412845612146241046457891017[[#This Row],[Type]]&gt;0,VLOOKUP(_1_5412845612146241046457891017[[#This Row],[Type]],Main[[#All],[TYPE]:[UNIT]],'Unit Price'!G$1,FALSE),0)</f>
        <v>0</v>
      </c>
      <c r="J746" s="194">
        <f>IF(_1_5412845612146241046457891017[[#This Row],[Type]]&gt;0,VLOOKUP(_1_5412845612146241046457891017[[#This Row],[Type]],Main[[#All],[TYPE]:[UNIT]],'Unit Price'!H$1,FALSE),0)</f>
        <v>0</v>
      </c>
      <c r="K746" s="194">
        <f>IF(_1_5412845612146241046457891017[[#This Row],[Discount selection]]&gt;0,VLOOKUP(_1_5412845612146241046457891017[[#This Row],[Discount selection]],'Discount Structure'!$A$2:$B$30,2,"false"),0)</f>
        <v>1</v>
      </c>
      <c r="L746" s="194">
        <f>_1_5412845612146241046457891017[[#This Row],[LIST $]]*_1_5412845612146241046457891017[[#This Row],[DISCOUNT]]*_1_5412845612146241046457891017[[#This Row],[DISCOUNT 2]]</f>
        <v>0</v>
      </c>
      <c r="M746" s="194">
        <f>IF(OR(_1_5412845612146241046457891017[[#This Row],[UNIT]]&gt;0,_1_5412845612146241046457891017[[#This Row],[UNIT]]&lt;0),_1_5412845612146241046457891017[[#This Row],[UNIT]]*_1_5412845612146241046457891017[[#This Row],[COST]],0)</f>
        <v>0</v>
      </c>
      <c r="N746" s="194">
        <f t="shared" si="11"/>
        <v>1.35</v>
      </c>
      <c r="O746" s="198">
        <f>_1_5412845612146241046457891017[[#This Row],[TOTAL]]*_1_5412845612146241046457891017[[#This Row],[MARGIN]]</f>
        <v>0</v>
      </c>
      <c r="R746" s="41"/>
    </row>
    <row r="747" spans="4:18">
      <c r="D747" s="188"/>
      <c r="F747" s="168" t="s">
        <v>6202</v>
      </c>
      <c r="G747" s="193">
        <f>IF(_1_5412845612146241046457891017[[#This Row],[Type]]&gt;0,VLOOKUP(_1_5412845612146241046457891017[[#This Row],[Type]],Main[[#All],[TYPE]:[UNIT]],'Unit Price'!C$1,FALSE),0)</f>
        <v>0</v>
      </c>
      <c r="H747" s="197">
        <f>IF(_1_5412845612146241046457891017[[#This Row],[Type]]&gt;0,VLOOKUP(_1_5412845612146241046457891017[[#This Row],[Type]],Main[[#All],[TYPE]:[UNIT]],'Unit Price'!D$1,FALSE),0)</f>
        <v>0</v>
      </c>
      <c r="I747" s="194">
        <f>IF(_1_5412845612146241046457891017[[#This Row],[Type]]&gt;0,VLOOKUP(_1_5412845612146241046457891017[[#This Row],[Type]],Main[[#All],[TYPE]:[UNIT]],'Unit Price'!G$1,FALSE),0)</f>
        <v>0</v>
      </c>
      <c r="J747" s="194">
        <f>IF(_1_5412845612146241046457891017[[#This Row],[Type]]&gt;0,VLOOKUP(_1_5412845612146241046457891017[[#This Row],[Type]],Main[[#All],[TYPE]:[UNIT]],'Unit Price'!H$1,FALSE),0)</f>
        <v>0</v>
      </c>
      <c r="K747" s="194">
        <f>IF(_1_5412845612146241046457891017[[#This Row],[Discount selection]]&gt;0,VLOOKUP(_1_5412845612146241046457891017[[#This Row],[Discount selection]],'Discount Structure'!$A$2:$B$30,2,"false"),0)</f>
        <v>1</v>
      </c>
      <c r="L747" s="194">
        <f>_1_5412845612146241046457891017[[#This Row],[LIST $]]*_1_5412845612146241046457891017[[#This Row],[DISCOUNT]]*_1_5412845612146241046457891017[[#This Row],[DISCOUNT 2]]</f>
        <v>0</v>
      </c>
      <c r="M747" s="194">
        <f>IF(OR(_1_5412845612146241046457891017[[#This Row],[UNIT]]&gt;0,_1_5412845612146241046457891017[[#This Row],[UNIT]]&lt;0),_1_5412845612146241046457891017[[#This Row],[UNIT]]*_1_5412845612146241046457891017[[#This Row],[COST]],0)</f>
        <v>0</v>
      </c>
      <c r="N747" s="194">
        <f t="shared" si="11"/>
        <v>1.35</v>
      </c>
      <c r="O747" s="198">
        <f>_1_5412845612146241046457891017[[#This Row],[TOTAL]]*_1_5412845612146241046457891017[[#This Row],[MARGIN]]</f>
        <v>0</v>
      </c>
      <c r="R747" s="41"/>
    </row>
    <row r="748" spans="4:18">
      <c r="D748" s="188"/>
      <c r="F748" s="168" t="s">
        <v>6202</v>
      </c>
      <c r="G748" s="193">
        <f>IF(_1_5412845612146241046457891017[[#This Row],[Type]]&gt;0,VLOOKUP(_1_5412845612146241046457891017[[#This Row],[Type]],Main[[#All],[TYPE]:[UNIT]],'Unit Price'!C$1,FALSE),0)</f>
        <v>0</v>
      </c>
      <c r="H748" s="197">
        <f>IF(_1_5412845612146241046457891017[[#This Row],[Type]]&gt;0,VLOOKUP(_1_5412845612146241046457891017[[#This Row],[Type]],Main[[#All],[TYPE]:[UNIT]],'Unit Price'!D$1,FALSE),0)</f>
        <v>0</v>
      </c>
      <c r="I748" s="194">
        <f>IF(_1_5412845612146241046457891017[[#This Row],[Type]]&gt;0,VLOOKUP(_1_5412845612146241046457891017[[#This Row],[Type]],Main[[#All],[TYPE]:[UNIT]],'Unit Price'!G$1,FALSE),0)</f>
        <v>0</v>
      </c>
      <c r="J748" s="194">
        <f>IF(_1_5412845612146241046457891017[[#This Row],[Type]]&gt;0,VLOOKUP(_1_5412845612146241046457891017[[#This Row],[Type]],Main[[#All],[TYPE]:[UNIT]],'Unit Price'!H$1,FALSE),0)</f>
        <v>0</v>
      </c>
      <c r="K748" s="194">
        <f>IF(_1_5412845612146241046457891017[[#This Row],[Discount selection]]&gt;0,VLOOKUP(_1_5412845612146241046457891017[[#This Row],[Discount selection]],'Discount Structure'!$A$2:$B$30,2,"false"),0)</f>
        <v>1</v>
      </c>
      <c r="L748" s="194">
        <f>_1_5412845612146241046457891017[[#This Row],[LIST $]]*_1_5412845612146241046457891017[[#This Row],[DISCOUNT]]*_1_5412845612146241046457891017[[#This Row],[DISCOUNT 2]]</f>
        <v>0</v>
      </c>
      <c r="M748" s="194">
        <f>IF(OR(_1_5412845612146241046457891017[[#This Row],[UNIT]]&gt;0,_1_5412845612146241046457891017[[#This Row],[UNIT]]&lt;0),_1_5412845612146241046457891017[[#This Row],[UNIT]]*_1_5412845612146241046457891017[[#This Row],[COST]],0)</f>
        <v>0</v>
      </c>
      <c r="N748" s="194">
        <f t="shared" si="11"/>
        <v>1.35</v>
      </c>
      <c r="O748" s="198">
        <f>_1_5412845612146241046457891017[[#This Row],[TOTAL]]*_1_5412845612146241046457891017[[#This Row],[MARGIN]]</f>
        <v>0</v>
      </c>
      <c r="R748" s="41"/>
    </row>
    <row r="749" spans="4:18">
      <c r="D749" s="188"/>
      <c r="F749" s="168" t="s">
        <v>6202</v>
      </c>
      <c r="G749" s="193">
        <f>IF(_1_5412845612146241046457891017[[#This Row],[Type]]&gt;0,VLOOKUP(_1_5412845612146241046457891017[[#This Row],[Type]],Main[[#All],[TYPE]:[UNIT]],'Unit Price'!C$1,FALSE),0)</f>
        <v>0</v>
      </c>
      <c r="H749" s="197">
        <f>IF(_1_5412845612146241046457891017[[#This Row],[Type]]&gt;0,VLOOKUP(_1_5412845612146241046457891017[[#This Row],[Type]],Main[[#All],[TYPE]:[UNIT]],'Unit Price'!D$1,FALSE),0)</f>
        <v>0</v>
      </c>
      <c r="I749" s="194">
        <f>IF(_1_5412845612146241046457891017[[#This Row],[Type]]&gt;0,VLOOKUP(_1_5412845612146241046457891017[[#This Row],[Type]],Main[[#All],[TYPE]:[UNIT]],'Unit Price'!G$1,FALSE),0)</f>
        <v>0</v>
      </c>
      <c r="J749" s="194">
        <f>IF(_1_5412845612146241046457891017[[#This Row],[Type]]&gt;0,VLOOKUP(_1_5412845612146241046457891017[[#This Row],[Type]],Main[[#All],[TYPE]:[UNIT]],'Unit Price'!H$1,FALSE),0)</f>
        <v>0</v>
      </c>
      <c r="K749" s="194">
        <f>IF(_1_5412845612146241046457891017[[#This Row],[Discount selection]]&gt;0,VLOOKUP(_1_5412845612146241046457891017[[#This Row],[Discount selection]],'Discount Structure'!$A$2:$B$30,2,"false"),0)</f>
        <v>1</v>
      </c>
      <c r="L749" s="194">
        <f>_1_5412845612146241046457891017[[#This Row],[LIST $]]*_1_5412845612146241046457891017[[#This Row],[DISCOUNT]]*_1_5412845612146241046457891017[[#This Row],[DISCOUNT 2]]</f>
        <v>0</v>
      </c>
      <c r="M749" s="194">
        <f>IF(OR(_1_5412845612146241046457891017[[#This Row],[UNIT]]&gt;0,_1_5412845612146241046457891017[[#This Row],[UNIT]]&lt;0),_1_5412845612146241046457891017[[#This Row],[UNIT]]*_1_5412845612146241046457891017[[#This Row],[COST]],0)</f>
        <v>0</v>
      </c>
      <c r="N749" s="194">
        <f t="shared" si="11"/>
        <v>1.35</v>
      </c>
      <c r="O749" s="198">
        <f>_1_5412845612146241046457891017[[#This Row],[TOTAL]]*_1_5412845612146241046457891017[[#This Row],[MARGIN]]</f>
        <v>0</v>
      </c>
      <c r="R749" s="41"/>
    </row>
    <row r="750" spans="4:18">
      <c r="D750" s="188"/>
      <c r="F750" s="168" t="s">
        <v>6202</v>
      </c>
      <c r="G750" s="193">
        <f>IF(_1_5412845612146241046457891017[[#This Row],[Type]]&gt;0,VLOOKUP(_1_5412845612146241046457891017[[#This Row],[Type]],Main[[#All],[TYPE]:[UNIT]],'Unit Price'!C$1,FALSE),0)</f>
        <v>0</v>
      </c>
      <c r="H750" s="197">
        <f>IF(_1_5412845612146241046457891017[[#This Row],[Type]]&gt;0,VLOOKUP(_1_5412845612146241046457891017[[#This Row],[Type]],Main[[#All],[TYPE]:[UNIT]],'Unit Price'!D$1,FALSE),0)</f>
        <v>0</v>
      </c>
      <c r="I750" s="194">
        <f>IF(_1_5412845612146241046457891017[[#This Row],[Type]]&gt;0,VLOOKUP(_1_5412845612146241046457891017[[#This Row],[Type]],Main[[#All],[TYPE]:[UNIT]],'Unit Price'!G$1,FALSE),0)</f>
        <v>0</v>
      </c>
      <c r="J750" s="194">
        <f>IF(_1_5412845612146241046457891017[[#This Row],[Type]]&gt;0,VLOOKUP(_1_5412845612146241046457891017[[#This Row],[Type]],Main[[#All],[TYPE]:[UNIT]],'Unit Price'!H$1,FALSE),0)</f>
        <v>0</v>
      </c>
      <c r="K750" s="194">
        <f>IF(_1_5412845612146241046457891017[[#This Row],[Discount selection]]&gt;0,VLOOKUP(_1_5412845612146241046457891017[[#This Row],[Discount selection]],'Discount Structure'!$A$2:$B$30,2,"false"),0)</f>
        <v>1</v>
      </c>
      <c r="L750" s="194">
        <f>_1_5412845612146241046457891017[[#This Row],[LIST $]]*_1_5412845612146241046457891017[[#This Row],[DISCOUNT]]*_1_5412845612146241046457891017[[#This Row],[DISCOUNT 2]]</f>
        <v>0</v>
      </c>
      <c r="M750" s="194">
        <f>IF(OR(_1_5412845612146241046457891017[[#This Row],[UNIT]]&gt;0,_1_5412845612146241046457891017[[#This Row],[UNIT]]&lt;0),_1_5412845612146241046457891017[[#This Row],[UNIT]]*_1_5412845612146241046457891017[[#This Row],[COST]],0)</f>
        <v>0</v>
      </c>
      <c r="N750" s="194">
        <f t="shared" si="11"/>
        <v>1.35</v>
      </c>
      <c r="O750" s="198">
        <f>_1_5412845612146241046457891017[[#This Row],[TOTAL]]*_1_5412845612146241046457891017[[#This Row],[MARGIN]]</f>
        <v>0</v>
      </c>
      <c r="R750" s="41"/>
    </row>
    <row r="751" spans="4:18">
      <c r="D751" s="188"/>
      <c r="F751" s="168" t="s">
        <v>6202</v>
      </c>
      <c r="G751" s="193">
        <f>IF(_1_5412845612146241046457891017[[#This Row],[Type]]&gt;0,VLOOKUP(_1_5412845612146241046457891017[[#This Row],[Type]],Main[[#All],[TYPE]:[UNIT]],'Unit Price'!C$1,FALSE),0)</f>
        <v>0</v>
      </c>
      <c r="H751" s="197">
        <f>IF(_1_5412845612146241046457891017[[#This Row],[Type]]&gt;0,VLOOKUP(_1_5412845612146241046457891017[[#This Row],[Type]],Main[[#All],[TYPE]:[UNIT]],'Unit Price'!D$1,FALSE),0)</f>
        <v>0</v>
      </c>
      <c r="I751" s="194">
        <f>IF(_1_5412845612146241046457891017[[#This Row],[Type]]&gt;0,VLOOKUP(_1_5412845612146241046457891017[[#This Row],[Type]],Main[[#All],[TYPE]:[UNIT]],'Unit Price'!G$1,FALSE),0)</f>
        <v>0</v>
      </c>
      <c r="J751" s="194">
        <f>IF(_1_5412845612146241046457891017[[#This Row],[Type]]&gt;0,VLOOKUP(_1_5412845612146241046457891017[[#This Row],[Type]],Main[[#All],[TYPE]:[UNIT]],'Unit Price'!H$1,FALSE),0)</f>
        <v>0</v>
      </c>
      <c r="K751" s="194">
        <f>IF(_1_5412845612146241046457891017[[#This Row],[Discount selection]]&gt;0,VLOOKUP(_1_5412845612146241046457891017[[#This Row],[Discount selection]],'Discount Structure'!$A$2:$B$30,2,"false"),0)</f>
        <v>1</v>
      </c>
      <c r="L751" s="194">
        <f>_1_5412845612146241046457891017[[#This Row],[LIST $]]*_1_5412845612146241046457891017[[#This Row],[DISCOUNT]]*_1_5412845612146241046457891017[[#This Row],[DISCOUNT 2]]</f>
        <v>0</v>
      </c>
      <c r="M751" s="194">
        <f>IF(OR(_1_5412845612146241046457891017[[#This Row],[UNIT]]&gt;0,_1_5412845612146241046457891017[[#This Row],[UNIT]]&lt;0),_1_5412845612146241046457891017[[#This Row],[UNIT]]*_1_5412845612146241046457891017[[#This Row],[COST]],0)</f>
        <v>0</v>
      </c>
      <c r="N751" s="194">
        <f t="shared" si="11"/>
        <v>1.35</v>
      </c>
      <c r="O751" s="198">
        <f>_1_5412845612146241046457891017[[#This Row],[TOTAL]]*_1_5412845612146241046457891017[[#This Row],[MARGIN]]</f>
        <v>0</v>
      </c>
      <c r="R751" s="41"/>
    </row>
    <row r="752" spans="4:18">
      <c r="D752" s="188"/>
      <c r="F752" s="168" t="s">
        <v>6202</v>
      </c>
      <c r="G752" s="193">
        <f>IF(_1_5412845612146241046457891017[[#This Row],[Type]]&gt;0,VLOOKUP(_1_5412845612146241046457891017[[#This Row],[Type]],Main[[#All],[TYPE]:[UNIT]],'Unit Price'!C$1,FALSE),0)</f>
        <v>0</v>
      </c>
      <c r="H752" s="197">
        <f>IF(_1_5412845612146241046457891017[[#This Row],[Type]]&gt;0,VLOOKUP(_1_5412845612146241046457891017[[#This Row],[Type]],Main[[#All],[TYPE]:[UNIT]],'Unit Price'!D$1,FALSE),0)</f>
        <v>0</v>
      </c>
      <c r="I752" s="194">
        <f>IF(_1_5412845612146241046457891017[[#This Row],[Type]]&gt;0,VLOOKUP(_1_5412845612146241046457891017[[#This Row],[Type]],Main[[#All],[TYPE]:[UNIT]],'Unit Price'!G$1,FALSE),0)</f>
        <v>0</v>
      </c>
      <c r="J752" s="194">
        <f>IF(_1_5412845612146241046457891017[[#This Row],[Type]]&gt;0,VLOOKUP(_1_5412845612146241046457891017[[#This Row],[Type]],Main[[#All],[TYPE]:[UNIT]],'Unit Price'!H$1,FALSE),0)</f>
        <v>0</v>
      </c>
      <c r="K752" s="194">
        <f>IF(_1_5412845612146241046457891017[[#This Row],[Discount selection]]&gt;0,VLOOKUP(_1_5412845612146241046457891017[[#This Row],[Discount selection]],'Discount Structure'!$A$2:$B$30,2,"false"),0)</f>
        <v>1</v>
      </c>
      <c r="L752" s="194">
        <f>_1_5412845612146241046457891017[[#This Row],[LIST $]]*_1_5412845612146241046457891017[[#This Row],[DISCOUNT]]*_1_5412845612146241046457891017[[#This Row],[DISCOUNT 2]]</f>
        <v>0</v>
      </c>
      <c r="M752" s="194">
        <f>IF(OR(_1_5412845612146241046457891017[[#This Row],[UNIT]]&gt;0,_1_5412845612146241046457891017[[#This Row],[UNIT]]&lt;0),_1_5412845612146241046457891017[[#This Row],[UNIT]]*_1_5412845612146241046457891017[[#This Row],[COST]],0)</f>
        <v>0</v>
      </c>
      <c r="N752" s="194">
        <f t="shared" si="11"/>
        <v>1.35</v>
      </c>
      <c r="O752" s="198">
        <f>_1_5412845612146241046457891017[[#This Row],[TOTAL]]*_1_5412845612146241046457891017[[#This Row],[MARGIN]]</f>
        <v>0</v>
      </c>
      <c r="R752" s="41"/>
    </row>
    <row r="753" spans="4:18">
      <c r="D753" s="188"/>
      <c r="F753" s="168" t="s">
        <v>6202</v>
      </c>
      <c r="G753" s="193">
        <f>IF(_1_5412845612146241046457891017[[#This Row],[Type]]&gt;0,VLOOKUP(_1_5412845612146241046457891017[[#This Row],[Type]],Main[[#All],[TYPE]:[UNIT]],'Unit Price'!C$1,FALSE),0)</f>
        <v>0</v>
      </c>
      <c r="H753" s="197">
        <f>IF(_1_5412845612146241046457891017[[#This Row],[Type]]&gt;0,VLOOKUP(_1_5412845612146241046457891017[[#This Row],[Type]],Main[[#All],[TYPE]:[UNIT]],'Unit Price'!D$1,FALSE),0)</f>
        <v>0</v>
      </c>
      <c r="I753" s="194">
        <f>IF(_1_5412845612146241046457891017[[#This Row],[Type]]&gt;0,VLOOKUP(_1_5412845612146241046457891017[[#This Row],[Type]],Main[[#All],[TYPE]:[UNIT]],'Unit Price'!G$1,FALSE),0)</f>
        <v>0</v>
      </c>
      <c r="J753" s="194">
        <f>IF(_1_5412845612146241046457891017[[#This Row],[Type]]&gt;0,VLOOKUP(_1_5412845612146241046457891017[[#This Row],[Type]],Main[[#All],[TYPE]:[UNIT]],'Unit Price'!H$1,FALSE),0)</f>
        <v>0</v>
      </c>
      <c r="K753" s="194">
        <f>IF(_1_5412845612146241046457891017[[#This Row],[Discount selection]]&gt;0,VLOOKUP(_1_5412845612146241046457891017[[#This Row],[Discount selection]],'Discount Structure'!$A$2:$B$30,2,"false"),0)</f>
        <v>1</v>
      </c>
      <c r="L753" s="194">
        <f>_1_5412845612146241046457891017[[#This Row],[LIST $]]*_1_5412845612146241046457891017[[#This Row],[DISCOUNT]]*_1_5412845612146241046457891017[[#This Row],[DISCOUNT 2]]</f>
        <v>0</v>
      </c>
      <c r="M753" s="194">
        <f>IF(OR(_1_5412845612146241046457891017[[#This Row],[UNIT]]&gt;0,_1_5412845612146241046457891017[[#This Row],[UNIT]]&lt;0),_1_5412845612146241046457891017[[#This Row],[UNIT]]*_1_5412845612146241046457891017[[#This Row],[COST]],0)</f>
        <v>0</v>
      </c>
      <c r="N753" s="194">
        <f t="shared" si="11"/>
        <v>1.35</v>
      </c>
      <c r="O753" s="198">
        <f>_1_5412845612146241046457891017[[#This Row],[TOTAL]]*_1_5412845612146241046457891017[[#This Row],[MARGIN]]</f>
        <v>0</v>
      </c>
      <c r="R753" s="41"/>
    </row>
    <row r="754" spans="4:18">
      <c r="D754" s="188"/>
      <c r="F754" s="168" t="s">
        <v>6202</v>
      </c>
      <c r="G754" s="193">
        <f>IF(_1_5412845612146241046457891017[[#This Row],[Type]]&gt;0,VLOOKUP(_1_5412845612146241046457891017[[#This Row],[Type]],Main[[#All],[TYPE]:[UNIT]],'Unit Price'!C$1,FALSE),0)</f>
        <v>0</v>
      </c>
      <c r="H754" s="197">
        <f>IF(_1_5412845612146241046457891017[[#This Row],[Type]]&gt;0,VLOOKUP(_1_5412845612146241046457891017[[#This Row],[Type]],Main[[#All],[TYPE]:[UNIT]],'Unit Price'!D$1,FALSE),0)</f>
        <v>0</v>
      </c>
      <c r="I754" s="194">
        <f>IF(_1_5412845612146241046457891017[[#This Row],[Type]]&gt;0,VLOOKUP(_1_5412845612146241046457891017[[#This Row],[Type]],Main[[#All],[TYPE]:[UNIT]],'Unit Price'!G$1,FALSE),0)</f>
        <v>0</v>
      </c>
      <c r="J754" s="194">
        <f>IF(_1_5412845612146241046457891017[[#This Row],[Type]]&gt;0,VLOOKUP(_1_5412845612146241046457891017[[#This Row],[Type]],Main[[#All],[TYPE]:[UNIT]],'Unit Price'!H$1,FALSE),0)</f>
        <v>0</v>
      </c>
      <c r="K754" s="194">
        <f>IF(_1_5412845612146241046457891017[[#This Row],[Discount selection]]&gt;0,VLOOKUP(_1_5412845612146241046457891017[[#This Row],[Discount selection]],'Discount Structure'!$A$2:$B$30,2,"false"),0)</f>
        <v>1</v>
      </c>
      <c r="L754" s="194">
        <f>_1_5412845612146241046457891017[[#This Row],[LIST $]]*_1_5412845612146241046457891017[[#This Row],[DISCOUNT]]*_1_5412845612146241046457891017[[#This Row],[DISCOUNT 2]]</f>
        <v>0</v>
      </c>
      <c r="M754" s="194">
        <f>IF(OR(_1_5412845612146241046457891017[[#This Row],[UNIT]]&gt;0,_1_5412845612146241046457891017[[#This Row],[UNIT]]&lt;0),_1_5412845612146241046457891017[[#This Row],[UNIT]]*_1_5412845612146241046457891017[[#This Row],[COST]],0)</f>
        <v>0</v>
      </c>
      <c r="N754" s="194">
        <f t="shared" si="11"/>
        <v>1.35</v>
      </c>
      <c r="O754" s="198">
        <f>_1_5412845612146241046457891017[[#This Row],[TOTAL]]*_1_5412845612146241046457891017[[#This Row],[MARGIN]]</f>
        <v>0</v>
      </c>
      <c r="R754" s="41"/>
    </row>
    <row r="755" spans="4:18">
      <c r="D755" s="188"/>
      <c r="F755" s="168" t="s">
        <v>6202</v>
      </c>
      <c r="G755" s="193">
        <f>IF(_1_5412845612146241046457891017[[#This Row],[Type]]&gt;0,VLOOKUP(_1_5412845612146241046457891017[[#This Row],[Type]],Main[[#All],[TYPE]:[UNIT]],'Unit Price'!C$1,FALSE),0)</f>
        <v>0</v>
      </c>
      <c r="H755" s="197">
        <f>IF(_1_5412845612146241046457891017[[#This Row],[Type]]&gt;0,VLOOKUP(_1_5412845612146241046457891017[[#This Row],[Type]],Main[[#All],[TYPE]:[UNIT]],'Unit Price'!D$1,FALSE),0)</f>
        <v>0</v>
      </c>
      <c r="I755" s="194">
        <f>IF(_1_5412845612146241046457891017[[#This Row],[Type]]&gt;0,VLOOKUP(_1_5412845612146241046457891017[[#This Row],[Type]],Main[[#All],[TYPE]:[UNIT]],'Unit Price'!G$1,FALSE),0)</f>
        <v>0</v>
      </c>
      <c r="J755" s="194">
        <f>IF(_1_5412845612146241046457891017[[#This Row],[Type]]&gt;0,VLOOKUP(_1_5412845612146241046457891017[[#This Row],[Type]],Main[[#All],[TYPE]:[UNIT]],'Unit Price'!H$1,FALSE),0)</f>
        <v>0</v>
      </c>
      <c r="K755" s="194">
        <f>IF(_1_5412845612146241046457891017[[#This Row],[Discount selection]]&gt;0,VLOOKUP(_1_5412845612146241046457891017[[#This Row],[Discount selection]],'Discount Structure'!$A$2:$B$30,2,"false"),0)</f>
        <v>1</v>
      </c>
      <c r="L755" s="194">
        <f>_1_5412845612146241046457891017[[#This Row],[LIST $]]*_1_5412845612146241046457891017[[#This Row],[DISCOUNT]]*_1_5412845612146241046457891017[[#This Row],[DISCOUNT 2]]</f>
        <v>0</v>
      </c>
      <c r="M755" s="194">
        <f>IF(OR(_1_5412845612146241046457891017[[#This Row],[UNIT]]&gt;0,_1_5412845612146241046457891017[[#This Row],[UNIT]]&lt;0),_1_5412845612146241046457891017[[#This Row],[UNIT]]*_1_5412845612146241046457891017[[#This Row],[COST]],0)</f>
        <v>0</v>
      </c>
      <c r="N755" s="194">
        <f t="shared" si="11"/>
        <v>1.35</v>
      </c>
      <c r="O755" s="198">
        <f>_1_5412845612146241046457891017[[#This Row],[TOTAL]]*_1_5412845612146241046457891017[[#This Row],[MARGIN]]</f>
        <v>0</v>
      </c>
      <c r="R755" s="41"/>
    </row>
    <row r="756" spans="4:18">
      <c r="D756" s="188"/>
      <c r="F756" s="168" t="s">
        <v>6202</v>
      </c>
      <c r="G756" s="193">
        <f>IF(_1_5412845612146241046457891017[[#This Row],[Type]]&gt;0,VLOOKUP(_1_5412845612146241046457891017[[#This Row],[Type]],Main[[#All],[TYPE]:[UNIT]],'Unit Price'!C$1,FALSE),0)</f>
        <v>0</v>
      </c>
      <c r="H756" s="197">
        <f>IF(_1_5412845612146241046457891017[[#This Row],[Type]]&gt;0,VLOOKUP(_1_5412845612146241046457891017[[#This Row],[Type]],Main[[#All],[TYPE]:[UNIT]],'Unit Price'!D$1,FALSE),0)</f>
        <v>0</v>
      </c>
      <c r="I756" s="194">
        <f>IF(_1_5412845612146241046457891017[[#This Row],[Type]]&gt;0,VLOOKUP(_1_5412845612146241046457891017[[#This Row],[Type]],Main[[#All],[TYPE]:[UNIT]],'Unit Price'!G$1,FALSE),0)</f>
        <v>0</v>
      </c>
      <c r="J756" s="194">
        <f>IF(_1_5412845612146241046457891017[[#This Row],[Type]]&gt;0,VLOOKUP(_1_5412845612146241046457891017[[#This Row],[Type]],Main[[#All],[TYPE]:[UNIT]],'Unit Price'!H$1,FALSE),0)</f>
        <v>0</v>
      </c>
      <c r="K756" s="194">
        <f>IF(_1_5412845612146241046457891017[[#This Row],[Discount selection]]&gt;0,VLOOKUP(_1_5412845612146241046457891017[[#This Row],[Discount selection]],'Discount Structure'!$A$2:$B$30,2,"false"),0)</f>
        <v>1</v>
      </c>
      <c r="L756" s="194">
        <f>_1_5412845612146241046457891017[[#This Row],[LIST $]]*_1_5412845612146241046457891017[[#This Row],[DISCOUNT]]*_1_5412845612146241046457891017[[#This Row],[DISCOUNT 2]]</f>
        <v>0</v>
      </c>
      <c r="M756" s="194">
        <f>IF(OR(_1_5412845612146241046457891017[[#This Row],[UNIT]]&gt;0,_1_5412845612146241046457891017[[#This Row],[UNIT]]&lt;0),_1_5412845612146241046457891017[[#This Row],[UNIT]]*_1_5412845612146241046457891017[[#This Row],[COST]],0)</f>
        <v>0</v>
      </c>
      <c r="N756" s="194">
        <f t="shared" si="11"/>
        <v>1.35</v>
      </c>
      <c r="O756" s="198">
        <f>_1_5412845612146241046457891017[[#This Row],[TOTAL]]*_1_5412845612146241046457891017[[#This Row],[MARGIN]]</f>
        <v>0</v>
      </c>
      <c r="R756" s="41"/>
    </row>
    <row r="757" spans="4:18">
      <c r="D757" s="188"/>
      <c r="F757" s="168" t="s">
        <v>6202</v>
      </c>
      <c r="G757" s="193">
        <f>IF(_1_5412845612146241046457891017[[#This Row],[Type]]&gt;0,VLOOKUP(_1_5412845612146241046457891017[[#This Row],[Type]],Main[[#All],[TYPE]:[UNIT]],'Unit Price'!C$1,FALSE),0)</f>
        <v>0</v>
      </c>
      <c r="H757" s="197">
        <f>IF(_1_5412845612146241046457891017[[#This Row],[Type]]&gt;0,VLOOKUP(_1_5412845612146241046457891017[[#This Row],[Type]],Main[[#All],[TYPE]:[UNIT]],'Unit Price'!D$1,FALSE),0)</f>
        <v>0</v>
      </c>
      <c r="I757" s="194">
        <f>IF(_1_5412845612146241046457891017[[#This Row],[Type]]&gt;0,VLOOKUP(_1_5412845612146241046457891017[[#This Row],[Type]],Main[[#All],[TYPE]:[UNIT]],'Unit Price'!G$1,FALSE),0)</f>
        <v>0</v>
      </c>
      <c r="J757" s="194">
        <f>IF(_1_5412845612146241046457891017[[#This Row],[Type]]&gt;0,VLOOKUP(_1_5412845612146241046457891017[[#This Row],[Type]],Main[[#All],[TYPE]:[UNIT]],'Unit Price'!H$1,FALSE),0)</f>
        <v>0</v>
      </c>
      <c r="K757" s="194">
        <f>IF(_1_5412845612146241046457891017[[#This Row],[Discount selection]]&gt;0,VLOOKUP(_1_5412845612146241046457891017[[#This Row],[Discount selection]],'Discount Structure'!$A$2:$B$30,2,"false"),0)</f>
        <v>1</v>
      </c>
      <c r="L757" s="194">
        <f>_1_5412845612146241046457891017[[#This Row],[LIST $]]*_1_5412845612146241046457891017[[#This Row],[DISCOUNT]]*_1_5412845612146241046457891017[[#This Row],[DISCOUNT 2]]</f>
        <v>0</v>
      </c>
      <c r="M757" s="194">
        <f>IF(OR(_1_5412845612146241046457891017[[#This Row],[UNIT]]&gt;0,_1_5412845612146241046457891017[[#This Row],[UNIT]]&lt;0),_1_5412845612146241046457891017[[#This Row],[UNIT]]*_1_5412845612146241046457891017[[#This Row],[COST]],0)</f>
        <v>0</v>
      </c>
      <c r="N757" s="194">
        <f t="shared" si="11"/>
        <v>1.35</v>
      </c>
      <c r="O757" s="198">
        <f>_1_5412845612146241046457891017[[#This Row],[TOTAL]]*_1_5412845612146241046457891017[[#This Row],[MARGIN]]</f>
        <v>0</v>
      </c>
      <c r="R757" s="41"/>
    </row>
    <row r="758" spans="4:18">
      <c r="D758" s="188"/>
      <c r="F758" s="168" t="s">
        <v>6202</v>
      </c>
      <c r="G758" s="193">
        <f>IF(_1_5412845612146241046457891017[[#This Row],[Type]]&gt;0,VLOOKUP(_1_5412845612146241046457891017[[#This Row],[Type]],Main[[#All],[TYPE]:[UNIT]],'Unit Price'!C$1,FALSE),0)</f>
        <v>0</v>
      </c>
      <c r="H758" s="197">
        <f>IF(_1_5412845612146241046457891017[[#This Row],[Type]]&gt;0,VLOOKUP(_1_5412845612146241046457891017[[#This Row],[Type]],Main[[#All],[TYPE]:[UNIT]],'Unit Price'!D$1,FALSE),0)</f>
        <v>0</v>
      </c>
      <c r="I758" s="194">
        <f>IF(_1_5412845612146241046457891017[[#This Row],[Type]]&gt;0,VLOOKUP(_1_5412845612146241046457891017[[#This Row],[Type]],Main[[#All],[TYPE]:[UNIT]],'Unit Price'!G$1,FALSE),0)</f>
        <v>0</v>
      </c>
      <c r="J758" s="194">
        <f>IF(_1_5412845612146241046457891017[[#This Row],[Type]]&gt;0,VLOOKUP(_1_5412845612146241046457891017[[#This Row],[Type]],Main[[#All],[TYPE]:[UNIT]],'Unit Price'!H$1,FALSE),0)</f>
        <v>0</v>
      </c>
      <c r="K758" s="194">
        <f>IF(_1_5412845612146241046457891017[[#This Row],[Discount selection]]&gt;0,VLOOKUP(_1_5412845612146241046457891017[[#This Row],[Discount selection]],'Discount Structure'!$A$2:$B$30,2,"false"),0)</f>
        <v>1</v>
      </c>
      <c r="L758" s="194">
        <f>_1_5412845612146241046457891017[[#This Row],[LIST $]]*_1_5412845612146241046457891017[[#This Row],[DISCOUNT]]*_1_5412845612146241046457891017[[#This Row],[DISCOUNT 2]]</f>
        <v>0</v>
      </c>
      <c r="M758" s="194">
        <f>IF(OR(_1_5412845612146241046457891017[[#This Row],[UNIT]]&gt;0,_1_5412845612146241046457891017[[#This Row],[UNIT]]&lt;0),_1_5412845612146241046457891017[[#This Row],[UNIT]]*_1_5412845612146241046457891017[[#This Row],[COST]],0)</f>
        <v>0</v>
      </c>
      <c r="N758" s="194">
        <f t="shared" si="11"/>
        <v>1.35</v>
      </c>
      <c r="O758" s="198">
        <f>_1_5412845612146241046457891017[[#This Row],[TOTAL]]*_1_5412845612146241046457891017[[#This Row],[MARGIN]]</f>
        <v>0</v>
      </c>
      <c r="R758" s="41"/>
    </row>
    <row r="759" spans="4:18">
      <c r="D759" s="188"/>
      <c r="F759" s="168" t="s">
        <v>6202</v>
      </c>
      <c r="G759" s="193">
        <f>IF(_1_5412845612146241046457891017[[#This Row],[Type]]&gt;0,VLOOKUP(_1_5412845612146241046457891017[[#This Row],[Type]],Main[[#All],[TYPE]:[UNIT]],'Unit Price'!C$1,FALSE),0)</f>
        <v>0</v>
      </c>
      <c r="H759" s="197">
        <f>IF(_1_5412845612146241046457891017[[#This Row],[Type]]&gt;0,VLOOKUP(_1_5412845612146241046457891017[[#This Row],[Type]],Main[[#All],[TYPE]:[UNIT]],'Unit Price'!D$1,FALSE),0)</f>
        <v>0</v>
      </c>
      <c r="I759" s="194">
        <f>IF(_1_5412845612146241046457891017[[#This Row],[Type]]&gt;0,VLOOKUP(_1_5412845612146241046457891017[[#This Row],[Type]],Main[[#All],[TYPE]:[UNIT]],'Unit Price'!G$1,FALSE),0)</f>
        <v>0</v>
      </c>
      <c r="J759" s="194">
        <f>IF(_1_5412845612146241046457891017[[#This Row],[Type]]&gt;0,VLOOKUP(_1_5412845612146241046457891017[[#This Row],[Type]],Main[[#All],[TYPE]:[UNIT]],'Unit Price'!H$1,FALSE),0)</f>
        <v>0</v>
      </c>
      <c r="K759" s="194">
        <f>IF(_1_5412845612146241046457891017[[#This Row],[Discount selection]]&gt;0,VLOOKUP(_1_5412845612146241046457891017[[#This Row],[Discount selection]],'Discount Structure'!$A$2:$B$30,2,"false"),0)</f>
        <v>1</v>
      </c>
      <c r="L759" s="194">
        <f>_1_5412845612146241046457891017[[#This Row],[LIST $]]*_1_5412845612146241046457891017[[#This Row],[DISCOUNT]]*_1_5412845612146241046457891017[[#This Row],[DISCOUNT 2]]</f>
        <v>0</v>
      </c>
      <c r="M759" s="194">
        <f>IF(OR(_1_5412845612146241046457891017[[#This Row],[UNIT]]&gt;0,_1_5412845612146241046457891017[[#This Row],[UNIT]]&lt;0),_1_5412845612146241046457891017[[#This Row],[UNIT]]*_1_5412845612146241046457891017[[#This Row],[COST]],0)</f>
        <v>0</v>
      </c>
      <c r="N759" s="194">
        <f t="shared" si="11"/>
        <v>1.35</v>
      </c>
      <c r="O759" s="198">
        <f>_1_5412845612146241046457891017[[#This Row],[TOTAL]]*_1_5412845612146241046457891017[[#This Row],[MARGIN]]</f>
        <v>0</v>
      </c>
      <c r="R759" s="41"/>
    </row>
    <row r="760" spans="4:18">
      <c r="D760" s="188"/>
      <c r="F760" s="168" t="s">
        <v>6202</v>
      </c>
      <c r="G760" s="193">
        <f>IF(_1_5412845612146241046457891017[[#This Row],[Type]]&gt;0,VLOOKUP(_1_5412845612146241046457891017[[#This Row],[Type]],Main[[#All],[TYPE]:[UNIT]],'Unit Price'!C$1,FALSE),0)</f>
        <v>0</v>
      </c>
      <c r="H760" s="197">
        <f>IF(_1_5412845612146241046457891017[[#This Row],[Type]]&gt;0,VLOOKUP(_1_5412845612146241046457891017[[#This Row],[Type]],Main[[#All],[TYPE]:[UNIT]],'Unit Price'!D$1,FALSE),0)</f>
        <v>0</v>
      </c>
      <c r="I760" s="194">
        <f>IF(_1_5412845612146241046457891017[[#This Row],[Type]]&gt;0,VLOOKUP(_1_5412845612146241046457891017[[#This Row],[Type]],Main[[#All],[TYPE]:[UNIT]],'Unit Price'!G$1,FALSE),0)</f>
        <v>0</v>
      </c>
      <c r="J760" s="194">
        <f>IF(_1_5412845612146241046457891017[[#This Row],[Type]]&gt;0,VLOOKUP(_1_5412845612146241046457891017[[#This Row],[Type]],Main[[#All],[TYPE]:[UNIT]],'Unit Price'!H$1,FALSE),0)</f>
        <v>0</v>
      </c>
      <c r="K760" s="194">
        <f>IF(_1_5412845612146241046457891017[[#This Row],[Discount selection]]&gt;0,VLOOKUP(_1_5412845612146241046457891017[[#This Row],[Discount selection]],'Discount Structure'!$A$2:$B$30,2,"false"),0)</f>
        <v>1</v>
      </c>
      <c r="L760" s="194">
        <f>_1_5412845612146241046457891017[[#This Row],[LIST $]]*_1_5412845612146241046457891017[[#This Row],[DISCOUNT]]*_1_5412845612146241046457891017[[#This Row],[DISCOUNT 2]]</f>
        <v>0</v>
      </c>
      <c r="M760" s="194">
        <f>IF(OR(_1_5412845612146241046457891017[[#This Row],[UNIT]]&gt;0,_1_5412845612146241046457891017[[#This Row],[UNIT]]&lt;0),_1_5412845612146241046457891017[[#This Row],[UNIT]]*_1_5412845612146241046457891017[[#This Row],[COST]],0)</f>
        <v>0</v>
      </c>
      <c r="N760" s="194">
        <f t="shared" si="11"/>
        <v>1.35</v>
      </c>
      <c r="O760" s="198">
        <f>_1_5412845612146241046457891017[[#This Row],[TOTAL]]*_1_5412845612146241046457891017[[#This Row],[MARGIN]]</f>
        <v>0</v>
      </c>
      <c r="R760" s="41"/>
    </row>
    <row r="761" spans="4:18">
      <c r="D761" s="188"/>
      <c r="F761" s="168" t="s">
        <v>6202</v>
      </c>
      <c r="G761" s="193">
        <f>IF(_1_5412845612146241046457891017[[#This Row],[Type]]&gt;0,VLOOKUP(_1_5412845612146241046457891017[[#This Row],[Type]],Main[[#All],[TYPE]:[UNIT]],'Unit Price'!C$1,FALSE),0)</f>
        <v>0</v>
      </c>
      <c r="H761" s="197">
        <f>IF(_1_5412845612146241046457891017[[#This Row],[Type]]&gt;0,VLOOKUP(_1_5412845612146241046457891017[[#This Row],[Type]],Main[[#All],[TYPE]:[UNIT]],'Unit Price'!D$1,FALSE),0)</f>
        <v>0</v>
      </c>
      <c r="I761" s="194">
        <f>IF(_1_5412845612146241046457891017[[#This Row],[Type]]&gt;0,VLOOKUP(_1_5412845612146241046457891017[[#This Row],[Type]],Main[[#All],[TYPE]:[UNIT]],'Unit Price'!G$1,FALSE),0)</f>
        <v>0</v>
      </c>
      <c r="J761" s="194">
        <f>IF(_1_5412845612146241046457891017[[#This Row],[Type]]&gt;0,VLOOKUP(_1_5412845612146241046457891017[[#This Row],[Type]],Main[[#All],[TYPE]:[UNIT]],'Unit Price'!H$1,FALSE),0)</f>
        <v>0</v>
      </c>
      <c r="K761" s="194">
        <f>IF(_1_5412845612146241046457891017[[#This Row],[Discount selection]]&gt;0,VLOOKUP(_1_5412845612146241046457891017[[#This Row],[Discount selection]],'Discount Structure'!$A$2:$B$30,2,"false"),0)</f>
        <v>1</v>
      </c>
      <c r="L761" s="194">
        <f>_1_5412845612146241046457891017[[#This Row],[LIST $]]*_1_5412845612146241046457891017[[#This Row],[DISCOUNT]]*_1_5412845612146241046457891017[[#This Row],[DISCOUNT 2]]</f>
        <v>0</v>
      </c>
      <c r="M761" s="194">
        <f>IF(OR(_1_5412845612146241046457891017[[#This Row],[UNIT]]&gt;0,_1_5412845612146241046457891017[[#This Row],[UNIT]]&lt;0),_1_5412845612146241046457891017[[#This Row],[UNIT]]*_1_5412845612146241046457891017[[#This Row],[COST]],0)</f>
        <v>0</v>
      </c>
      <c r="N761" s="194">
        <f t="shared" si="11"/>
        <v>1.35</v>
      </c>
      <c r="O761" s="198">
        <f>_1_5412845612146241046457891017[[#This Row],[TOTAL]]*_1_5412845612146241046457891017[[#This Row],[MARGIN]]</f>
        <v>0</v>
      </c>
      <c r="R761" s="41"/>
    </row>
    <row r="762" spans="4:18">
      <c r="D762" s="188"/>
      <c r="F762" s="168" t="s">
        <v>6202</v>
      </c>
      <c r="G762" s="193">
        <f>IF(_1_5412845612146241046457891017[[#This Row],[Type]]&gt;0,VLOOKUP(_1_5412845612146241046457891017[[#This Row],[Type]],Main[[#All],[TYPE]:[UNIT]],'Unit Price'!C$1,FALSE),0)</f>
        <v>0</v>
      </c>
      <c r="H762" s="197">
        <f>IF(_1_5412845612146241046457891017[[#This Row],[Type]]&gt;0,VLOOKUP(_1_5412845612146241046457891017[[#This Row],[Type]],Main[[#All],[TYPE]:[UNIT]],'Unit Price'!D$1,FALSE),0)</f>
        <v>0</v>
      </c>
      <c r="I762" s="194">
        <f>IF(_1_5412845612146241046457891017[[#This Row],[Type]]&gt;0,VLOOKUP(_1_5412845612146241046457891017[[#This Row],[Type]],Main[[#All],[TYPE]:[UNIT]],'Unit Price'!G$1,FALSE),0)</f>
        <v>0</v>
      </c>
      <c r="J762" s="194">
        <f>IF(_1_5412845612146241046457891017[[#This Row],[Type]]&gt;0,VLOOKUP(_1_5412845612146241046457891017[[#This Row],[Type]],Main[[#All],[TYPE]:[UNIT]],'Unit Price'!H$1,FALSE),0)</f>
        <v>0</v>
      </c>
      <c r="K762" s="194">
        <f>IF(_1_5412845612146241046457891017[[#This Row],[Discount selection]]&gt;0,VLOOKUP(_1_5412845612146241046457891017[[#This Row],[Discount selection]],'Discount Structure'!$A$2:$B$30,2,"false"),0)</f>
        <v>1</v>
      </c>
      <c r="L762" s="194">
        <f>_1_5412845612146241046457891017[[#This Row],[LIST $]]*_1_5412845612146241046457891017[[#This Row],[DISCOUNT]]*_1_5412845612146241046457891017[[#This Row],[DISCOUNT 2]]</f>
        <v>0</v>
      </c>
      <c r="M762" s="194">
        <f>IF(OR(_1_5412845612146241046457891017[[#This Row],[UNIT]]&gt;0,_1_5412845612146241046457891017[[#This Row],[UNIT]]&lt;0),_1_5412845612146241046457891017[[#This Row],[UNIT]]*_1_5412845612146241046457891017[[#This Row],[COST]],0)</f>
        <v>0</v>
      </c>
      <c r="N762" s="194">
        <f t="shared" si="11"/>
        <v>1.35</v>
      </c>
      <c r="O762" s="198">
        <f>_1_5412845612146241046457891017[[#This Row],[TOTAL]]*_1_5412845612146241046457891017[[#This Row],[MARGIN]]</f>
        <v>0</v>
      </c>
      <c r="R762" s="41"/>
    </row>
    <row r="763" spans="4:18">
      <c r="D763" s="188"/>
      <c r="F763" s="168" t="s">
        <v>6202</v>
      </c>
      <c r="G763" s="193">
        <f>IF(_1_5412845612146241046457891017[[#This Row],[Type]]&gt;0,VLOOKUP(_1_5412845612146241046457891017[[#This Row],[Type]],Main[[#All],[TYPE]:[UNIT]],'Unit Price'!C$1,FALSE),0)</f>
        <v>0</v>
      </c>
      <c r="H763" s="197">
        <f>IF(_1_5412845612146241046457891017[[#This Row],[Type]]&gt;0,VLOOKUP(_1_5412845612146241046457891017[[#This Row],[Type]],Main[[#All],[TYPE]:[UNIT]],'Unit Price'!D$1,FALSE),0)</f>
        <v>0</v>
      </c>
      <c r="I763" s="194">
        <f>IF(_1_5412845612146241046457891017[[#This Row],[Type]]&gt;0,VLOOKUP(_1_5412845612146241046457891017[[#This Row],[Type]],Main[[#All],[TYPE]:[UNIT]],'Unit Price'!G$1,FALSE),0)</f>
        <v>0</v>
      </c>
      <c r="J763" s="194">
        <f>IF(_1_5412845612146241046457891017[[#This Row],[Type]]&gt;0,VLOOKUP(_1_5412845612146241046457891017[[#This Row],[Type]],Main[[#All],[TYPE]:[UNIT]],'Unit Price'!H$1,FALSE),0)</f>
        <v>0</v>
      </c>
      <c r="K763" s="194">
        <f>IF(_1_5412845612146241046457891017[[#This Row],[Discount selection]]&gt;0,VLOOKUP(_1_5412845612146241046457891017[[#This Row],[Discount selection]],'Discount Structure'!$A$2:$B$30,2,"false"),0)</f>
        <v>1</v>
      </c>
      <c r="L763" s="194">
        <f>_1_5412845612146241046457891017[[#This Row],[LIST $]]*_1_5412845612146241046457891017[[#This Row],[DISCOUNT]]*_1_5412845612146241046457891017[[#This Row],[DISCOUNT 2]]</f>
        <v>0</v>
      </c>
      <c r="M763" s="194">
        <f>IF(OR(_1_5412845612146241046457891017[[#This Row],[UNIT]]&gt;0,_1_5412845612146241046457891017[[#This Row],[UNIT]]&lt;0),_1_5412845612146241046457891017[[#This Row],[UNIT]]*_1_5412845612146241046457891017[[#This Row],[COST]],0)</f>
        <v>0</v>
      </c>
      <c r="N763" s="194">
        <f t="shared" si="11"/>
        <v>1.35</v>
      </c>
      <c r="O763" s="198">
        <f>_1_5412845612146241046457891017[[#This Row],[TOTAL]]*_1_5412845612146241046457891017[[#This Row],[MARGIN]]</f>
        <v>0</v>
      </c>
      <c r="R763" s="41"/>
    </row>
    <row r="764" spans="4:18">
      <c r="D764" s="188"/>
      <c r="F764" s="168" t="s">
        <v>6202</v>
      </c>
      <c r="G764" s="193">
        <f>IF(_1_5412845612146241046457891017[[#This Row],[Type]]&gt;0,VLOOKUP(_1_5412845612146241046457891017[[#This Row],[Type]],Main[[#All],[TYPE]:[UNIT]],'Unit Price'!C$1,FALSE),0)</f>
        <v>0</v>
      </c>
      <c r="H764" s="197">
        <f>IF(_1_5412845612146241046457891017[[#This Row],[Type]]&gt;0,VLOOKUP(_1_5412845612146241046457891017[[#This Row],[Type]],Main[[#All],[TYPE]:[UNIT]],'Unit Price'!D$1,FALSE),0)</f>
        <v>0</v>
      </c>
      <c r="I764" s="194">
        <f>IF(_1_5412845612146241046457891017[[#This Row],[Type]]&gt;0,VLOOKUP(_1_5412845612146241046457891017[[#This Row],[Type]],Main[[#All],[TYPE]:[UNIT]],'Unit Price'!G$1,FALSE),0)</f>
        <v>0</v>
      </c>
      <c r="J764" s="194">
        <f>IF(_1_5412845612146241046457891017[[#This Row],[Type]]&gt;0,VLOOKUP(_1_5412845612146241046457891017[[#This Row],[Type]],Main[[#All],[TYPE]:[UNIT]],'Unit Price'!H$1,FALSE),0)</f>
        <v>0</v>
      </c>
      <c r="K764" s="194">
        <f>IF(_1_5412845612146241046457891017[[#This Row],[Discount selection]]&gt;0,VLOOKUP(_1_5412845612146241046457891017[[#This Row],[Discount selection]],'Discount Structure'!$A$2:$B$30,2,"false"),0)</f>
        <v>1</v>
      </c>
      <c r="L764" s="194">
        <f>_1_5412845612146241046457891017[[#This Row],[LIST $]]*_1_5412845612146241046457891017[[#This Row],[DISCOUNT]]*_1_5412845612146241046457891017[[#This Row],[DISCOUNT 2]]</f>
        <v>0</v>
      </c>
      <c r="M764" s="194">
        <f>IF(OR(_1_5412845612146241046457891017[[#This Row],[UNIT]]&gt;0,_1_5412845612146241046457891017[[#This Row],[UNIT]]&lt;0),_1_5412845612146241046457891017[[#This Row],[UNIT]]*_1_5412845612146241046457891017[[#This Row],[COST]],0)</f>
        <v>0</v>
      </c>
      <c r="N764" s="194">
        <f t="shared" si="11"/>
        <v>1.35</v>
      </c>
      <c r="O764" s="198">
        <f>_1_5412845612146241046457891017[[#This Row],[TOTAL]]*_1_5412845612146241046457891017[[#This Row],[MARGIN]]</f>
        <v>0</v>
      </c>
      <c r="R764" s="41"/>
    </row>
    <row r="765" spans="4:18">
      <c r="D765" s="188"/>
      <c r="F765" s="168" t="s">
        <v>6202</v>
      </c>
      <c r="G765" s="193">
        <f>IF(_1_5412845612146241046457891017[[#This Row],[Type]]&gt;0,VLOOKUP(_1_5412845612146241046457891017[[#This Row],[Type]],Main[[#All],[TYPE]:[UNIT]],'Unit Price'!C$1,FALSE),0)</f>
        <v>0</v>
      </c>
      <c r="H765" s="197">
        <f>IF(_1_5412845612146241046457891017[[#This Row],[Type]]&gt;0,VLOOKUP(_1_5412845612146241046457891017[[#This Row],[Type]],Main[[#All],[TYPE]:[UNIT]],'Unit Price'!D$1,FALSE),0)</f>
        <v>0</v>
      </c>
      <c r="I765" s="194">
        <f>IF(_1_5412845612146241046457891017[[#This Row],[Type]]&gt;0,VLOOKUP(_1_5412845612146241046457891017[[#This Row],[Type]],Main[[#All],[TYPE]:[UNIT]],'Unit Price'!G$1,FALSE),0)</f>
        <v>0</v>
      </c>
      <c r="J765" s="194">
        <f>IF(_1_5412845612146241046457891017[[#This Row],[Type]]&gt;0,VLOOKUP(_1_5412845612146241046457891017[[#This Row],[Type]],Main[[#All],[TYPE]:[UNIT]],'Unit Price'!H$1,FALSE),0)</f>
        <v>0</v>
      </c>
      <c r="K765" s="194">
        <f>IF(_1_5412845612146241046457891017[[#This Row],[Discount selection]]&gt;0,VLOOKUP(_1_5412845612146241046457891017[[#This Row],[Discount selection]],'Discount Structure'!$A$2:$B$30,2,"false"),0)</f>
        <v>1</v>
      </c>
      <c r="L765" s="194">
        <f>_1_5412845612146241046457891017[[#This Row],[LIST $]]*_1_5412845612146241046457891017[[#This Row],[DISCOUNT]]*_1_5412845612146241046457891017[[#This Row],[DISCOUNT 2]]</f>
        <v>0</v>
      </c>
      <c r="M765" s="194">
        <f>IF(OR(_1_5412845612146241046457891017[[#This Row],[UNIT]]&gt;0,_1_5412845612146241046457891017[[#This Row],[UNIT]]&lt;0),_1_5412845612146241046457891017[[#This Row],[UNIT]]*_1_5412845612146241046457891017[[#This Row],[COST]],0)</f>
        <v>0</v>
      </c>
      <c r="N765" s="194">
        <f t="shared" si="11"/>
        <v>1.35</v>
      </c>
      <c r="O765" s="198">
        <f>_1_5412845612146241046457891017[[#This Row],[TOTAL]]*_1_5412845612146241046457891017[[#This Row],[MARGIN]]</f>
        <v>0</v>
      </c>
      <c r="R765" s="41"/>
    </row>
    <row r="766" spans="4:18">
      <c r="D766" s="188"/>
      <c r="F766" s="168" t="s">
        <v>6202</v>
      </c>
      <c r="G766" s="193">
        <f>IF(_1_5412845612146241046457891017[[#This Row],[Type]]&gt;0,VLOOKUP(_1_5412845612146241046457891017[[#This Row],[Type]],Main[[#All],[TYPE]:[UNIT]],'Unit Price'!C$1,FALSE),0)</f>
        <v>0</v>
      </c>
      <c r="H766" s="197">
        <f>IF(_1_5412845612146241046457891017[[#This Row],[Type]]&gt;0,VLOOKUP(_1_5412845612146241046457891017[[#This Row],[Type]],Main[[#All],[TYPE]:[UNIT]],'Unit Price'!D$1,FALSE),0)</f>
        <v>0</v>
      </c>
      <c r="I766" s="194">
        <f>IF(_1_5412845612146241046457891017[[#This Row],[Type]]&gt;0,VLOOKUP(_1_5412845612146241046457891017[[#This Row],[Type]],Main[[#All],[TYPE]:[UNIT]],'Unit Price'!G$1,FALSE),0)</f>
        <v>0</v>
      </c>
      <c r="J766" s="194">
        <f>IF(_1_5412845612146241046457891017[[#This Row],[Type]]&gt;0,VLOOKUP(_1_5412845612146241046457891017[[#This Row],[Type]],Main[[#All],[TYPE]:[UNIT]],'Unit Price'!H$1,FALSE),0)</f>
        <v>0</v>
      </c>
      <c r="K766" s="194">
        <f>IF(_1_5412845612146241046457891017[[#This Row],[Discount selection]]&gt;0,VLOOKUP(_1_5412845612146241046457891017[[#This Row],[Discount selection]],'Discount Structure'!$A$2:$B$30,2,"false"),0)</f>
        <v>1</v>
      </c>
      <c r="L766" s="194">
        <f>_1_5412845612146241046457891017[[#This Row],[LIST $]]*_1_5412845612146241046457891017[[#This Row],[DISCOUNT]]*_1_5412845612146241046457891017[[#This Row],[DISCOUNT 2]]</f>
        <v>0</v>
      </c>
      <c r="M766" s="194">
        <f>IF(OR(_1_5412845612146241046457891017[[#This Row],[UNIT]]&gt;0,_1_5412845612146241046457891017[[#This Row],[UNIT]]&lt;0),_1_5412845612146241046457891017[[#This Row],[UNIT]]*_1_5412845612146241046457891017[[#This Row],[COST]],0)</f>
        <v>0</v>
      </c>
      <c r="N766" s="194">
        <f t="shared" si="11"/>
        <v>1.35</v>
      </c>
      <c r="O766" s="198">
        <f>_1_5412845612146241046457891017[[#This Row],[TOTAL]]*_1_5412845612146241046457891017[[#This Row],[MARGIN]]</f>
        <v>0</v>
      </c>
      <c r="R766" s="41"/>
    </row>
    <row r="767" spans="4:18">
      <c r="D767" s="188"/>
      <c r="F767" s="168" t="s">
        <v>6202</v>
      </c>
      <c r="G767" s="193">
        <f>IF(_1_5412845612146241046457891017[[#This Row],[Type]]&gt;0,VLOOKUP(_1_5412845612146241046457891017[[#This Row],[Type]],Main[[#All],[TYPE]:[UNIT]],'Unit Price'!C$1,FALSE),0)</f>
        <v>0</v>
      </c>
      <c r="H767" s="197">
        <f>IF(_1_5412845612146241046457891017[[#This Row],[Type]]&gt;0,VLOOKUP(_1_5412845612146241046457891017[[#This Row],[Type]],Main[[#All],[TYPE]:[UNIT]],'Unit Price'!D$1,FALSE),0)</f>
        <v>0</v>
      </c>
      <c r="I767" s="194">
        <f>IF(_1_5412845612146241046457891017[[#This Row],[Type]]&gt;0,VLOOKUP(_1_5412845612146241046457891017[[#This Row],[Type]],Main[[#All],[TYPE]:[UNIT]],'Unit Price'!G$1,FALSE),0)</f>
        <v>0</v>
      </c>
      <c r="J767" s="194">
        <f>IF(_1_5412845612146241046457891017[[#This Row],[Type]]&gt;0,VLOOKUP(_1_5412845612146241046457891017[[#This Row],[Type]],Main[[#All],[TYPE]:[UNIT]],'Unit Price'!H$1,FALSE),0)</f>
        <v>0</v>
      </c>
      <c r="K767" s="194">
        <f>IF(_1_5412845612146241046457891017[[#This Row],[Discount selection]]&gt;0,VLOOKUP(_1_5412845612146241046457891017[[#This Row],[Discount selection]],'Discount Structure'!$A$2:$B$30,2,"false"),0)</f>
        <v>1</v>
      </c>
      <c r="L767" s="194">
        <f>_1_5412845612146241046457891017[[#This Row],[LIST $]]*_1_5412845612146241046457891017[[#This Row],[DISCOUNT]]*_1_5412845612146241046457891017[[#This Row],[DISCOUNT 2]]</f>
        <v>0</v>
      </c>
      <c r="M767" s="194">
        <f>IF(OR(_1_5412845612146241046457891017[[#This Row],[UNIT]]&gt;0,_1_5412845612146241046457891017[[#This Row],[UNIT]]&lt;0),_1_5412845612146241046457891017[[#This Row],[UNIT]]*_1_5412845612146241046457891017[[#This Row],[COST]],0)</f>
        <v>0</v>
      </c>
      <c r="N767" s="194">
        <f t="shared" si="11"/>
        <v>1.35</v>
      </c>
      <c r="O767" s="198">
        <f>_1_5412845612146241046457891017[[#This Row],[TOTAL]]*_1_5412845612146241046457891017[[#This Row],[MARGIN]]</f>
        <v>0</v>
      </c>
      <c r="R767" s="41"/>
    </row>
    <row r="768" spans="4:18">
      <c r="D768" s="188"/>
      <c r="F768" s="168" t="s">
        <v>6202</v>
      </c>
      <c r="G768" s="193">
        <f>IF(_1_5412845612146241046457891017[[#This Row],[Type]]&gt;0,VLOOKUP(_1_5412845612146241046457891017[[#This Row],[Type]],Main[[#All],[TYPE]:[UNIT]],'Unit Price'!C$1,FALSE),0)</f>
        <v>0</v>
      </c>
      <c r="H768" s="197">
        <f>IF(_1_5412845612146241046457891017[[#This Row],[Type]]&gt;0,VLOOKUP(_1_5412845612146241046457891017[[#This Row],[Type]],Main[[#All],[TYPE]:[UNIT]],'Unit Price'!D$1,FALSE),0)</f>
        <v>0</v>
      </c>
      <c r="I768" s="194">
        <f>IF(_1_5412845612146241046457891017[[#This Row],[Type]]&gt;0,VLOOKUP(_1_5412845612146241046457891017[[#This Row],[Type]],Main[[#All],[TYPE]:[UNIT]],'Unit Price'!G$1,FALSE),0)</f>
        <v>0</v>
      </c>
      <c r="J768" s="194">
        <f>IF(_1_5412845612146241046457891017[[#This Row],[Type]]&gt;0,VLOOKUP(_1_5412845612146241046457891017[[#This Row],[Type]],Main[[#All],[TYPE]:[UNIT]],'Unit Price'!H$1,FALSE),0)</f>
        <v>0</v>
      </c>
      <c r="K768" s="194">
        <f>IF(_1_5412845612146241046457891017[[#This Row],[Discount selection]]&gt;0,VLOOKUP(_1_5412845612146241046457891017[[#This Row],[Discount selection]],'Discount Structure'!$A$2:$B$30,2,"false"),0)</f>
        <v>1</v>
      </c>
      <c r="L768" s="194">
        <f>_1_5412845612146241046457891017[[#This Row],[LIST $]]*_1_5412845612146241046457891017[[#This Row],[DISCOUNT]]*_1_5412845612146241046457891017[[#This Row],[DISCOUNT 2]]</f>
        <v>0</v>
      </c>
      <c r="M768" s="194">
        <f>IF(OR(_1_5412845612146241046457891017[[#This Row],[UNIT]]&gt;0,_1_5412845612146241046457891017[[#This Row],[UNIT]]&lt;0),_1_5412845612146241046457891017[[#This Row],[UNIT]]*_1_5412845612146241046457891017[[#This Row],[COST]],0)</f>
        <v>0</v>
      </c>
      <c r="N768" s="194">
        <f t="shared" si="11"/>
        <v>1.35</v>
      </c>
      <c r="O768" s="198">
        <f>_1_5412845612146241046457891017[[#This Row],[TOTAL]]*_1_5412845612146241046457891017[[#This Row],[MARGIN]]</f>
        <v>0</v>
      </c>
      <c r="R768" s="41"/>
    </row>
    <row r="769" spans="4:18">
      <c r="D769" s="188"/>
      <c r="F769" s="168" t="s">
        <v>6202</v>
      </c>
      <c r="G769" s="193">
        <f>IF(_1_5412845612146241046457891017[[#This Row],[Type]]&gt;0,VLOOKUP(_1_5412845612146241046457891017[[#This Row],[Type]],Main[[#All],[TYPE]:[UNIT]],'Unit Price'!C$1,FALSE),0)</f>
        <v>0</v>
      </c>
      <c r="H769" s="197">
        <f>IF(_1_5412845612146241046457891017[[#This Row],[Type]]&gt;0,VLOOKUP(_1_5412845612146241046457891017[[#This Row],[Type]],Main[[#All],[TYPE]:[UNIT]],'Unit Price'!D$1,FALSE),0)</f>
        <v>0</v>
      </c>
      <c r="I769" s="194">
        <f>IF(_1_5412845612146241046457891017[[#This Row],[Type]]&gt;0,VLOOKUP(_1_5412845612146241046457891017[[#This Row],[Type]],Main[[#All],[TYPE]:[UNIT]],'Unit Price'!G$1,FALSE),0)</f>
        <v>0</v>
      </c>
      <c r="J769" s="194">
        <f>IF(_1_5412845612146241046457891017[[#This Row],[Type]]&gt;0,VLOOKUP(_1_5412845612146241046457891017[[#This Row],[Type]],Main[[#All],[TYPE]:[UNIT]],'Unit Price'!H$1,FALSE),0)</f>
        <v>0</v>
      </c>
      <c r="K769" s="194">
        <f>IF(_1_5412845612146241046457891017[[#This Row],[Discount selection]]&gt;0,VLOOKUP(_1_5412845612146241046457891017[[#This Row],[Discount selection]],'Discount Structure'!$A$2:$B$30,2,"false"),0)</f>
        <v>1</v>
      </c>
      <c r="L769" s="194">
        <f>_1_5412845612146241046457891017[[#This Row],[LIST $]]*_1_5412845612146241046457891017[[#This Row],[DISCOUNT]]*_1_5412845612146241046457891017[[#This Row],[DISCOUNT 2]]</f>
        <v>0</v>
      </c>
      <c r="M769" s="194">
        <f>IF(OR(_1_5412845612146241046457891017[[#This Row],[UNIT]]&gt;0,_1_5412845612146241046457891017[[#This Row],[UNIT]]&lt;0),_1_5412845612146241046457891017[[#This Row],[UNIT]]*_1_5412845612146241046457891017[[#This Row],[COST]],0)</f>
        <v>0</v>
      </c>
      <c r="N769" s="194">
        <f t="shared" si="11"/>
        <v>1.35</v>
      </c>
      <c r="O769" s="198">
        <f>_1_5412845612146241046457891017[[#This Row],[TOTAL]]*_1_5412845612146241046457891017[[#This Row],[MARGIN]]</f>
        <v>0</v>
      </c>
      <c r="R769" s="41"/>
    </row>
    <row r="770" spans="4:18">
      <c r="D770" s="188"/>
      <c r="F770" s="168" t="s">
        <v>6202</v>
      </c>
      <c r="G770" s="193">
        <f>IF(_1_5412845612146241046457891017[[#This Row],[Type]]&gt;0,VLOOKUP(_1_5412845612146241046457891017[[#This Row],[Type]],Main[[#All],[TYPE]:[UNIT]],'Unit Price'!C$1,FALSE),0)</f>
        <v>0</v>
      </c>
      <c r="H770" s="197">
        <f>IF(_1_5412845612146241046457891017[[#This Row],[Type]]&gt;0,VLOOKUP(_1_5412845612146241046457891017[[#This Row],[Type]],Main[[#All],[TYPE]:[UNIT]],'Unit Price'!D$1,FALSE),0)</f>
        <v>0</v>
      </c>
      <c r="I770" s="194">
        <f>IF(_1_5412845612146241046457891017[[#This Row],[Type]]&gt;0,VLOOKUP(_1_5412845612146241046457891017[[#This Row],[Type]],Main[[#All],[TYPE]:[UNIT]],'Unit Price'!G$1,FALSE),0)</f>
        <v>0</v>
      </c>
      <c r="J770" s="194">
        <f>IF(_1_5412845612146241046457891017[[#This Row],[Type]]&gt;0,VLOOKUP(_1_5412845612146241046457891017[[#This Row],[Type]],Main[[#All],[TYPE]:[UNIT]],'Unit Price'!H$1,FALSE),0)</f>
        <v>0</v>
      </c>
      <c r="K770" s="194">
        <f>IF(_1_5412845612146241046457891017[[#This Row],[Discount selection]]&gt;0,VLOOKUP(_1_5412845612146241046457891017[[#This Row],[Discount selection]],'Discount Structure'!$A$2:$B$30,2,"false"),0)</f>
        <v>1</v>
      </c>
      <c r="L770" s="194">
        <f>_1_5412845612146241046457891017[[#This Row],[LIST $]]*_1_5412845612146241046457891017[[#This Row],[DISCOUNT]]*_1_5412845612146241046457891017[[#This Row],[DISCOUNT 2]]</f>
        <v>0</v>
      </c>
      <c r="M770" s="194">
        <f>IF(OR(_1_5412845612146241046457891017[[#This Row],[UNIT]]&gt;0,_1_5412845612146241046457891017[[#This Row],[UNIT]]&lt;0),_1_5412845612146241046457891017[[#This Row],[UNIT]]*_1_5412845612146241046457891017[[#This Row],[COST]],0)</f>
        <v>0</v>
      </c>
      <c r="N770" s="194">
        <f t="shared" si="11"/>
        <v>1.35</v>
      </c>
      <c r="O770" s="198">
        <f>_1_5412845612146241046457891017[[#This Row],[TOTAL]]*_1_5412845612146241046457891017[[#This Row],[MARGIN]]</f>
        <v>0</v>
      </c>
      <c r="R770" s="41"/>
    </row>
    <row r="771" spans="4:18">
      <c r="D771" s="188"/>
      <c r="F771" s="168" t="s">
        <v>6202</v>
      </c>
      <c r="G771" s="193">
        <f>IF(_1_5412845612146241046457891017[[#This Row],[Type]]&gt;0,VLOOKUP(_1_5412845612146241046457891017[[#This Row],[Type]],Main[[#All],[TYPE]:[UNIT]],'Unit Price'!C$1,FALSE),0)</f>
        <v>0</v>
      </c>
      <c r="H771" s="197">
        <f>IF(_1_5412845612146241046457891017[[#This Row],[Type]]&gt;0,VLOOKUP(_1_5412845612146241046457891017[[#This Row],[Type]],Main[[#All],[TYPE]:[UNIT]],'Unit Price'!D$1,FALSE),0)</f>
        <v>0</v>
      </c>
      <c r="I771" s="194">
        <f>IF(_1_5412845612146241046457891017[[#This Row],[Type]]&gt;0,VLOOKUP(_1_5412845612146241046457891017[[#This Row],[Type]],Main[[#All],[TYPE]:[UNIT]],'Unit Price'!G$1,FALSE),0)</f>
        <v>0</v>
      </c>
      <c r="J771" s="194">
        <f>IF(_1_5412845612146241046457891017[[#This Row],[Type]]&gt;0,VLOOKUP(_1_5412845612146241046457891017[[#This Row],[Type]],Main[[#All],[TYPE]:[UNIT]],'Unit Price'!H$1,FALSE),0)</f>
        <v>0</v>
      </c>
      <c r="K771" s="194">
        <f>IF(_1_5412845612146241046457891017[[#This Row],[Discount selection]]&gt;0,VLOOKUP(_1_5412845612146241046457891017[[#This Row],[Discount selection]],'Discount Structure'!$A$2:$B$30,2,"false"),0)</f>
        <v>1</v>
      </c>
      <c r="L771" s="194">
        <f>_1_5412845612146241046457891017[[#This Row],[LIST $]]*_1_5412845612146241046457891017[[#This Row],[DISCOUNT]]*_1_5412845612146241046457891017[[#This Row],[DISCOUNT 2]]</f>
        <v>0</v>
      </c>
      <c r="M771" s="194">
        <f>IF(OR(_1_5412845612146241046457891017[[#This Row],[UNIT]]&gt;0,_1_5412845612146241046457891017[[#This Row],[UNIT]]&lt;0),_1_5412845612146241046457891017[[#This Row],[UNIT]]*_1_5412845612146241046457891017[[#This Row],[COST]],0)</f>
        <v>0</v>
      </c>
      <c r="N771" s="194">
        <f t="shared" si="11"/>
        <v>1.35</v>
      </c>
      <c r="O771" s="198">
        <f>_1_5412845612146241046457891017[[#This Row],[TOTAL]]*_1_5412845612146241046457891017[[#This Row],[MARGIN]]</f>
        <v>0</v>
      </c>
      <c r="R771" s="41"/>
    </row>
    <row r="772" spans="4:18">
      <c r="D772" s="188"/>
      <c r="F772" s="168" t="s">
        <v>6202</v>
      </c>
      <c r="G772" s="193">
        <f>IF(_1_5412845612146241046457891017[[#This Row],[Type]]&gt;0,VLOOKUP(_1_5412845612146241046457891017[[#This Row],[Type]],Main[[#All],[TYPE]:[UNIT]],'Unit Price'!C$1,FALSE),0)</f>
        <v>0</v>
      </c>
      <c r="H772" s="197">
        <f>IF(_1_5412845612146241046457891017[[#This Row],[Type]]&gt;0,VLOOKUP(_1_5412845612146241046457891017[[#This Row],[Type]],Main[[#All],[TYPE]:[UNIT]],'Unit Price'!D$1,FALSE),0)</f>
        <v>0</v>
      </c>
      <c r="I772" s="194">
        <f>IF(_1_5412845612146241046457891017[[#This Row],[Type]]&gt;0,VLOOKUP(_1_5412845612146241046457891017[[#This Row],[Type]],Main[[#All],[TYPE]:[UNIT]],'Unit Price'!G$1,FALSE),0)</f>
        <v>0</v>
      </c>
      <c r="J772" s="194">
        <f>IF(_1_5412845612146241046457891017[[#This Row],[Type]]&gt;0,VLOOKUP(_1_5412845612146241046457891017[[#This Row],[Type]],Main[[#All],[TYPE]:[UNIT]],'Unit Price'!H$1,FALSE),0)</f>
        <v>0</v>
      </c>
      <c r="K772" s="194">
        <f>IF(_1_5412845612146241046457891017[[#This Row],[Discount selection]]&gt;0,VLOOKUP(_1_5412845612146241046457891017[[#This Row],[Discount selection]],'Discount Structure'!$A$2:$B$30,2,"false"),0)</f>
        <v>1</v>
      </c>
      <c r="L772" s="194">
        <f>_1_5412845612146241046457891017[[#This Row],[LIST $]]*_1_5412845612146241046457891017[[#This Row],[DISCOUNT]]*_1_5412845612146241046457891017[[#This Row],[DISCOUNT 2]]</f>
        <v>0</v>
      </c>
      <c r="M772" s="194">
        <f>IF(OR(_1_5412845612146241046457891017[[#This Row],[UNIT]]&gt;0,_1_5412845612146241046457891017[[#This Row],[UNIT]]&lt;0),_1_5412845612146241046457891017[[#This Row],[UNIT]]*_1_5412845612146241046457891017[[#This Row],[COST]],0)</f>
        <v>0</v>
      </c>
      <c r="N772" s="194">
        <f t="shared" si="11"/>
        <v>1.35</v>
      </c>
      <c r="O772" s="198">
        <f>_1_5412845612146241046457891017[[#This Row],[TOTAL]]*_1_5412845612146241046457891017[[#This Row],[MARGIN]]</f>
        <v>0</v>
      </c>
      <c r="R772" s="41"/>
    </row>
    <row r="773" spans="4:18">
      <c r="D773" s="188"/>
      <c r="F773" s="168" t="s">
        <v>6202</v>
      </c>
      <c r="G773" s="193">
        <f>IF(_1_5412845612146241046457891017[[#This Row],[Type]]&gt;0,VLOOKUP(_1_5412845612146241046457891017[[#This Row],[Type]],Main[[#All],[TYPE]:[UNIT]],'Unit Price'!C$1,FALSE),0)</f>
        <v>0</v>
      </c>
      <c r="H773" s="197">
        <f>IF(_1_5412845612146241046457891017[[#This Row],[Type]]&gt;0,VLOOKUP(_1_5412845612146241046457891017[[#This Row],[Type]],Main[[#All],[TYPE]:[UNIT]],'Unit Price'!D$1,FALSE),0)</f>
        <v>0</v>
      </c>
      <c r="I773" s="194">
        <f>IF(_1_5412845612146241046457891017[[#This Row],[Type]]&gt;0,VLOOKUP(_1_5412845612146241046457891017[[#This Row],[Type]],Main[[#All],[TYPE]:[UNIT]],'Unit Price'!G$1,FALSE),0)</f>
        <v>0</v>
      </c>
      <c r="J773" s="194">
        <f>IF(_1_5412845612146241046457891017[[#This Row],[Type]]&gt;0,VLOOKUP(_1_5412845612146241046457891017[[#This Row],[Type]],Main[[#All],[TYPE]:[UNIT]],'Unit Price'!H$1,FALSE),0)</f>
        <v>0</v>
      </c>
      <c r="K773" s="194">
        <f>IF(_1_5412845612146241046457891017[[#This Row],[Discount selection]]&gt;0,VLOOKUP(_1_5412845612146241046457891017[[#This Row],[Discount selection]],'Discount Structure'!$A$2:$B$30,2,"false"),0)</f>
        <v>1</v>
      </c>
      <c r="L773" s="194">
        <f>_1_5412845612146241046457891017[[#This Row],[LIST $]]*_1_5412845612146241046457891017[[#This Row],[DISCOUNT]]*_1_5412845612146241046457891017[[#This Row],[DISCOUNT 2]]</f>
        <v>0</v>
      </c>
      <c r="M773" s="194">
        <f>IF(OR(_1_5412845612146241046457891017[[#This Row],[UNIT]]&gt;0,_1_5412845612146241046457891017[[#This Row],[UNIT]]&lt;0),_1_5412845612146241046457891017[[#This Row],[UNIT]]*_1_5412845612146241046457891017[[#This Row],[COST]],0)</f>
        <v>0</v>
      </c>
      <c r="N773" s="194">
        <f t="shared" si="11"/>
        <v>1.35</v>
      </c>
      <c r="O773" s="198">
        <f>_1_5412845612146241046457891017[[#This Row],[TOTAL]]*_1_5412845612146241046457891017[[#This Row],[MARGIN]]</f>
        <v>0</v>
      </c>
      <c r="R773" s="41"/>
    </row>
    <row r="774" spans="4:18">
      <c r="D774" s="188"/>
      <c r="F774" s="168" t="s">
        <v>6202</v>
      </c>
      <c r="G774" s="193">
        <f>IF(_1_5412845612146241046457891017[[#This Row],[Type]]&gt;0,VLOOKUP(_1_5412845612146241046457891017[[#This Row],[Type]],Main[[#All],[TYPE]:[UNIT]],'Unit Price'!C$1,FALSE),0)</f>
        <v>0</v>
      </c>
      <c r="H774" s="197">
        <f>IF(_1_5412845612146241046457891017[[#This Row],[Type]]&gt;0,VLOOKUP(_1_5412845612146241046457891017[[#This Row],[Type]],Main[[#All],[TYPE]:[UNIT]],'Unit Price'!D$1,FALSE),0)</f>
        <v>0</v>
      </c>
      <c r="I774" s="194">
        <f>IF(_1_5412845612146241046457891017[[#This Row],[Type]]&gt;0,VLOOKUP(_1_5412845612146241046457891017[[#This Row],[Type]],Main[[#All],[TYPE]:[UNIT]],'Unit Price'!G$1,FALSE),0)</f>
        <v>0</v>
      </c>
      <c r="J774" s="194">
        <f>IF(_1_5412845612146241046457891017[[#This Row],[Type]]&gt;0,VLOOKUP(_1_5412845612146241046457891017[[#This Row],[Type]],Main[[#All],[TYPE]:[UNIT]],'Unit Price'!H$1,FALSE),0)</f>
        <v>0</v>
      </c>
      <c r="K774" s="194">
        <f>IF(_1_5412845612146241046457891017[[#This Row],[Discount selection]]&gt;0,VLOOKUP(_1_5412845612146241046457891017[[#This Row],[Discount selection]],'Discount Structure'!$A$2:$B$30,2,"false"),0)</f>
        <v>1</v>
      </c>
      <c r="L774" s="194">
        <f>_1_5412845612146241046457891017[[#This Row],[LIST $]]*_1_5412845612146241046457891017[[#This Row],[DISCOUNT]]*_1_5412845612146241046457891017[[#This Row],[DISCOUNT 2]]</f>
        <v>0</v>
      </c>
      <c r="M774" s="194">
        <f>IF(OR(_1_5412845612146241046457891017[[#This Row],[UNIT]]&gt;0,_1_5412845612146241046457891017[[#This Row],[UNIT]]&lt;0),_1_5412845612146241046457891017[[#This Row],[UNIT]]*_1_5412845612146241046457891017[[#This Row],[COST]],0)</f>
        <v>0</v>
      </c>
      <c r="N774" s="194">
        <f t="shared" si="11"/>
        <v>1.35</v>
      </c>
      <c r="O774" s="198">
        <f>_1_5412845612146241046457891017[[#This Row],[TOTAL]]*_1_5412845612146241046457891017[[#This Row],[MARGIN]]</f>
        <v>0</v>
      </c>
      <c r="R774" s="41"/>
    </row>
    <row r="775" spans="4:18">
      <c r="D775" s="188"/>
      <c r="F775" s="168" t="s">
        <v>6202</v>
      </c>
      <c r="G775" s="193">
        <f>IF(_1_5412845612146241046457891017[[#This Row],[Type]]&gt;0,VLOOKUP(_1_5412845612146241046457891017[[#This Row],[Type]],Main[[#All],[TYPE]:[UNIT]],'Unit Price'!C$1,FALSE),0)</f>
        <v>0</v>
      </c>
      <c r="H775" s="197">
        <f>IF(_1_5412845612146241046457891017[[#This Row],[Type]]&gt;0,VLOOKUP(_1_5412845612146241046457891017[[#This Row],[Type]],Main[[#All],[TYPE]:[UNIT]],'Unit Price'!D$1,FALSE),0)</f>
        <v>0</v>
      </c>
      <c r="I775" s="194">
        <f>IF(_1_5412845612146241046457891017[[#This Row],[Type]]&gt;0,VLOOKUP(_1_5412845612146241046457891017[[#This Row],[Type]],Main[[#All],[TYPE]:[UNIT]],'Unit Price'!G$1,FALSE),0)</f>
        <v>0</v>
      </c>
      <c r="J775" s="194">
        <f>IF(_1_5412845612146241046457891017[[#This Row],[Type]]&gt;0,VLOOKUP(_1_5412845612146241046457891017[[#This Row],[Type]],Main[[#All],[TYPE]:[UNIT]],'Unit Price'!H$1,FALSE),0)</f>
        <v>0</v>
      </c>
      <c r="K775" s="194">
        <f>IF(_1_5412845612146241046457891017[[#This Row],[Discount selection]]&gt;0,VLOOKUP(_1_5412845612146241046457891017[[#This Row],[Discount selection]],'Discount Structure'!$A$2:$B$30,2,"false"),0)</f>
        <v>1</v>
      </c>
      <c r="L775" s="194">
        <f>_1_5412845612146241046457891017[[#This Row],[LIST $]]*_1_5412845612146241046457891017[[#This Row],[DISCOUNT]]*_1_5412845612146241046457891017[[#This Row],[DISCOUNT 2]]</f>
        <v>0</v>
      </c>
      <c r="M775" s="194">
        <f>IF(OR(_1_5412845612146241046457891017[[#This Row],[UNIT]]&gt;0,_1_5412845612146241046457891017[[#This Row],[UNIT]]&lt;0),_1_5412845612146241046457891017[[#This Row],[UNIT]]*_1_5412845612146241046457891017[[#This Row],[COST]],0)</f>
        <v>0</v>
      </c>
      <c r="N775" s="194">
        <f t="shared" si="11"/>
        <v>1.35</v>
      </c>
      <c r="O775" s="198">
        <f>_1_5412845612146241046457891017[[#This Row],[TOTAL]]*_1_5412845612146241046457891017[[#This Row],[MARGIN]]</f>
        <v>0</v>
      </c>
      <c r="R775" s="41"/>
    </row>
    <row r="776" spans="4:18">
      <c r="D776" s="188"/>
      <c r="F776" s="168" t="s">
        <v>6202</v>
      </c>
      <c r="G776" s="193">
        <f>IF(_1_5412845612146241046457891017[[#This Row],[Type]]&gt;0,VLOOKUP(_1_5412845612146241046457891017[[#This Row],[Type]],Main[[#All],[TYPE]:[UNIT]],'Unit Price'!C$1,FALSE),0)</f>
        <v>0</v>
      </c>
      <c r="H776" s="197">
        <f>IF(_1_5412845612146241046457891017[[#This Row],[Type]]&gt;0,VLOOKUP(_1_5412845612146241046457891017[[#This Row],[Type]],Main[[#All],[TYPE]:[UNIT]],'Unit Price'!D$1,FALSE),0)</f>
        <v>0</v>
      </c>
      <c r="I776" s="194">
        <f>IF(_1_5412845612146241046457891017[[#This Row],[Type]]&gt;0,VLOOKUP(_1_5412845612146241046457891017[[#This Row],[Type]],Main[[#All],[TYPE]:[UNIT]],'Unit Price'!G$1,FALSE),0)</f>
        <v>0</v>
      </c>
      <c r="J776" s="194">
        <f>IF(_1_5412845612146241046457891017[[#This Row],[Type]]&gt;0,VLOOKUP(_1_5412845612146241046457891017[[#This Row],[Type]],Main[[#All],[TYPE]:[UNIT]],'Unit Price'!H$1,FALSE),0)</f>
        <v>0</v>
      </c>
      <c r="K776" s="194">
        <f>IF(_1_5412845612146241046457891017[[#This Row],[Discount selection]]&gt;0,VLOOKUP(_1_5412845612146241046457891017[[#This Row],[Discount selection]],'Discount Structure'!$A$2:$B$30,2,"false"),0)</f>
        <v>1</v>
      </c>
      <c r="L776" s="194">
        <f>_1_5412845612146241046457891017[[#This Row],[LIST $]]*_1_5412845612146241046457891017[[#This Row],[DISCOUNT]]*_1_5412845612146241046457891017[[#This Row],[DISCOUNT 2]]</f>
        <v>0</v>
      </c>
      <c r="M776" s="194">
        <f>IF(OR(_1_5412845612146241046457891017[[#This Row],[UNIT]]&gt;0,_1_5412845612146241046457891017[[#This Row],[UNIT]]&lt;0),_1_5412845612146241046457891017[[#This Row],[UNIT]]*_1_5412845612146241046457891017[[#This Row],[COST]],0)</f>
        <v>0</v>
      </c>
      <c r="N776" s="194">
        <f t="shared" si="11"/>
        <v>1.35</v>
      </c>
      <c r="O776" s="198">
        <f>_1_5412845612146241046457891017[[#This Row],[TOTAL]]*_1_5412845612146241046457891017[[#This Row],[MARGIN]]</f>
        <v>0</v>
      </c>
      <c r="R776" s="41"/>
    </row>
    <row r="777" spans="4:18">
      <c r="D777" s="188"/>
      <c r="F777" s="168" t="s">
        <v>6202</v>
      </c>
      <c r="G777" s="193">
        <f>IF(_1_5412845612146241046457891017[[#This Row],[Type]]&gt;0,VLOOKUP(_1_5412845612146241046457891017[[#This Row],[Type]],Main[[#All],[TYPE]:[UNIT]],'Unit Price'!C$1,FALSE),0)</f>
        <v>0</v>
      </c>
      <c r="H777" s="197">
        <f>IF(_1_5412845612146241046457891017[[#This Row],[Type]]&gt;0,VLOOKUP(_1_5412845612146241046457891017[[#This Row],[Type]],Main[[#All],[TYPE]:[UNIT]],'Unit Price'!D$1,FALSE),0)</f>
        <v>0</v>
      </c>
      <c r="I777" s="194">
        <f>IF(_1_5412845612146241046457891017[[#This Row],[Type]]&gt;0,VLOOKUP(_1_5412845612146241046457891017[[#This Row],[Type]],Main[[#All],[TYPE]:[UNIT]],'Unit Price'!G$1,FALSE),0)</f>
        <v>0</v>
      </c>
      <c r="J777" s="194">
        <f>IF(_1_5412845612146241046457891017[[#This Row],[Type]]&gt;0,VLOOKUP(_1_5412845612146241046457891017[[#This Row],[Type]],Main[[#All],[TYPE]:[UNIT]],'Unit Price'!H$1,FALSE),0)</f>
        <v>0</v>
      </c>
      <c r="K777" s="194">
        <f>IF(_1_5412845612146241046457891017[[#This Row],[Discount selection]]&gt;0,VLOOKUP(_1_5412845612146241046457891017[[#This Row],[Discount selection]],'Discount Structure'!$A$2:$B$30,2,"false"),0)</f>
        <v>1</v>
      </c>
      <c r="L777" s="194">
        <f>_1_5412845612146241046457891017[[#This Row],[LIST $]]*_1_5412845612146241046457891017[[#This Row],[DISCOUNT]]*_1_5412845612146241046457891017[[#This Row],[DISCOUNT 2]]</f>
        <v>0</v>
      </c>
      <c r="M777" s="194">
        <f>IF(OR(_1_5412845612146241046457891017[[#This Row],[UNIT]]&gt;0,_1_5412845612146241046457891017[[#This Row],[UNIT]]&lt;0),_1_5412845612146241046457891017[[#This Row],[UNIT]]*_1_5412845612146241046457891017[[#This Row],[COST]],0)</f>
        <v>0</v>
      </c>
      <c r="N777" s="194">
        <f t="shared" si="11"/>
        <v>1.35</v>
      </c>
      <c r="O777" s="198">
        <f>_1_5412845612146241046457891017[[#This Row],[TOTAL]]*_1_5412845612146241046457891017[[#This Row],[MARGIN]]</f>
        <v>0</v>
      </c>
      <c r="R777" s="41"/>
    </row>
    <row r="778" spans="4:18">
      <c r="D778" s="188"/>
      <c r="F778" s="168" t="s">
        <v>6202</v>
      </c>
      <c r="G778" s="193">
        <f>IF(_1_5412845612146241046457891017[[#This Row],[Type]]&gt;0,VLOOKUP(_1_5412845612146241046457891017[[#This Row],[Type]],Main[[#All],[TYPE]:[UNIT]],'Unit Price'!C$1,FALSE),0)</f>
        <v>0</v>
      </c>
      <c r="H778" s="197">
        <f>IF(_1_5412845612146241046457891017[[#This Row],[Type]]&gt;0,VLOOKUP(_1_5412845612146241046457891017[[#This Row],[Type]],Main[[#All],[TYPE]:[UNIT]],'Unit Price'!D$1,FALSE),0)</f>
        <v>0</v>
      </c>
      <c r="I778" s="194">
        <f>IF(_1_5412845612146241046457891017[[#This Row],[Type]]&gt;0,VLOOKUP(_1_5412845612146241046457891017[[#This Row],[Type]],Main[[#All],[TYPE]:[UNIT]],'Unit Price'!G$1,FALSE),0)</f>
        <v>0</v>
      </c>
      <c r="J778" s="194">
        <f>IF(_1_5412845612146241046457891017[[#This Row],[Type]]&gt;0,VLOOKUP(_1_5412845612146241046457891017[[#This Row],[Type]],Main[[#All],[TYPE]:[UNIT]],'Unit Price'!H$1,FALSE),0)</f>
        <v>0</v>
      </c>
      <c r="K778" s="194">
        <f>IF(_1_5412845612146241046457891017[[#This Row],[Discount selection]]&gt;0,VLOOKUP(_1_5412845612146241046457891017[[#This Row],[Discount selection]],'Discount Structure'!$A$2:$B$30,2,"false"),0)</f>
        <v>1</v>
      </c>
      <c r="L778" s="194">
        <f>_1_5412845612146241046457891017[[#This Row],[LIST $]]*_1_5412845612146241046457891017[[#This Row],[DISCOUNT]]*_1_5412845612146241046457891017[[#This Row],[DISCOUNT 2]]</f>
        <v>0</v>
      </c>
      <c r="M778" s="194">
        <f>IF(OR(_1_5412845612146241046457891017[[#This Row],[UNIT]]&gt;0,_1_5412845612146241046457891017[[#This Row],[UNIT]]&lt;0),_1_5412845612146241046457891017[[#This Row],[UNIT]]*_1_5412845612146241046457891017[[#This Row],[COST]],0)</f>
        <v>0</v>
      </c>
      <c r="N778" s="194">
        <f t="shared" ref="N778:N841" si="12">$N$7</f>
        <v>1.35</v>
      </c>
      <c r="O778" s="198">
        <f>_1_5412845612146241046457891017[[#This Row],[TOTAL]]*_1_5412845612146241046457891017[[#This Row],[MARGIN]]</f>
        <v>0</v>
      </c>
      <c r="R778" s="41"/>
    </row>
    <row r="779" spans="4:18">
      <c r="D779" s="188"/>
      <c r="F779" s="168" t="s">
        <v>6202</v>
      </c>
      <c r="G779" s="193">
        <f>IF(_1_5412845612146241046457891017[[#This Row],[Type]]&gt;0,VLOOKUP(_1_5412845612146241046457891017[[#This Row],[Type]],Main[[#All],[TYPE]:[UNIT]],'Unit Price'!C$1,FALSE),0)</f>
        <v>0</v>
      </c>
      <c r="H779" s="197">
        <f>IF(_1_5412845612146241046457891017[[#This Row],[Type]]&gt;0,VLOOKUP(_1_5412845612146241046457891017[[#This Row],[Type]],Main[[#All],[TYPE]:[UNIT]],'Unit Price'!D$1,FALSE),0)</f>
        <v>0</v>
      </c>
      <c r="I779" s="194">
        <f>IF(_1_5412845612146241046457891017[[#This Row],[Type]]&gt;0,VLOOKUP(_1_5412845612146241046457891017[[#This Row],[Type]],Main[[#All],[TYPE]:[UNIT]],'Unit Price'!G$1,FALSE),0)</f>
        <v>0</v>
      </c>
      <c r="J779" s="194">
        <f>IF(_1_5412845612146241046457891017[[#This Row],[Type]]&gt;0,VLOOKUP(_1_5412845612146241046457891017[[#This Row],[Type]],Main[[#All],[TYPE]:[UNIT]],'Unit Price'!H$1,FALSE),0)</f>
        <v>0</v>
      </c>
      <c r="K779" s="194">
        <f>IF(_1_5412845612146241046457891017[[#This Row],[Discount selection]]&gt;0,VLOOKUP(_1_5412845612146241046457891017[[#This Row],[Discount selection]],'Discount Structure'!$A$2:$B$30,2,"false"),0)</f>
        <v>1</v>
      </c>
      <c r="L779" s="194">
        <f>_1_5412845612146241046457891017[[#This Row],[LIST $]]*_1_5412845612146241046457891017[[#This Row],[DISCOUNT]]*_1_5412845612146241046457891017[[#This Row],[DISCOUNT 2]]</f>
        <v>0</v>
      </c>
      <c r="M779" s="194">
        <f>IF(OR(_1_5412845612146241046457891017[[#This Row],[UNIT]]&gt;0,_1_5412845612146241046457891017[[#This Row],[UNIT]]&lt;0),_1_5412845612146241046457891017[[#This Row],[UNIT]]*_1_5412845612146241046457891017[[#This Row],[COST]],0)</f>
        <v>0</v>
      </c>
      <c r="N779" s="194">
        <f t="shared" si="12"/>
        <v>1.35</v>
      </c>
      <c r="O779" s="198">
        <f>_1_5412845612146241046457891017[[#This Row],[TOTAL]]*_1_5412845612146241046457891017[[#This Row],[MARGIN]]</f>
        <v>0</v>
      </c>
      <c r="R779" s="41"/>
    </row>
    <row r="780" spans="4:18">
      <c r="D780" s="188"/>
      <c r="F780" s="168" t="s">
        <v>6202</v>
      </c>
      <c r="G780" s="193">
        <f>IF(_1_5412845612146241046457891017[[#This Row],[Type]]&gt;0,VLOOKUP(_1_5412845612146241046457891017[[#This Row],[Type]],Main[[#All],[TYPE]:[UNIT]],'Unit Price'!C$1,FALSE),0)</f>
        <v>0</v>
      </c>
      <c r="H780" s="197">
        <f>IF(_1_5412845612146241046457891017[[#This Row],[Type]]&gt;0,VLOOKUP(_1_5412845612146241046457891017[[#This Row],[Type]],Main[[#All],[TYPE]:[UNIT]],'Unit Price'!D$1,FALSE),0)</f>
        <v>0</v>
      </c>
      <c r="I780" s="194">
        <f>IF(_1_5412845612146241046457891017[[#This Row],[Type]]&gt;0,VLOOKUP(_1_5412845612146241046457891017[[#This Row],[Type]],Main[[#All],[TYPE]:[UNIT]],'Unit Price'!G$1,FALSE),0)</f>
        <v>0</v>
      </c>
      <c r="J780" s="194">
        <f>IF(_1_5412845612146241046457891017[[#This Row],[Type]]&gt;0,VLOOKUP(_1_5412845612146241046457891017[[#This Row],[Type]],Main[[#All],[TYPE]:[UNIT]],'Unit Price'!H$1,FALSE),0)</f>
        <v>0</v>
      </c>
      <c r="K780" s="194">
        <f>IF(_1_5412845612146241046457891017[[#This Row],[Discount selection]]&gt;0,VLOOKUP(_1_5412845612146241046457891017[[#This Row],[Discount selection]],'Discount Structure'!$A$2:$B$30,2,"false"),0)</f>
        <v>1</v>
      </c>
      <c r="L780" s="194">
        <f>_1_5412845612146241046457891017[[#This Row],[LIST $]]*_1_5412845612146241046457891017[[#This Row],[DISCOUNT]]*_1_5412845612146241046457891017[[#This Row],[DISCOUNT 2]]</f>
        <v>0</v>
      </c>
      <c r="M780" s="194">
        <f>IF(OR(_1_5412845612146241046457891017[[#This Row],[UNIT]]&gt;0,_1_5412845612146241046457891017[[#This Row],[UNIT]]&lt;0),_1_5412845612146241046457891017[[#This Row],[UNIT]]*_1_5412845612146241046457891017[[#This Row],[COST]],0)</f>
        <v>0</v>
      </c>
      <c r="N780" s="194">
        <f t="shared" si="12"/>
        <v>1.35</v>
      </c>
      <c r="O780" s="198">
        <f>_1_5412845612146241046457891017[[#This Row],[TOTAL]]*_1_5412845612146241046457891017[[#This Row],[MARGIN]]</f>
        <v>0</v>
      </c>
      <c r="R780" s="41"/>
    </row>
    <row r="781" spans="4:18">
      <c r="D781" s="188"/>
      <c r="F781" s="168" t="s">
        <v>6202</v>
      </c>
      <c r="G781" s="193">
        <f>IF(_1_5412845612146241046457891017[[#This Row],[Type]]&gt;0,VLOOKUP(_1_5412845612146241046457891017[[#This Row],[Type]],Main[[#All],[TYPE]:[UNIT]],'Unit Price'!C$1,FALSE),0)</f>
        <v>0</v>
      </c>
      <c r="H781" s="197">
        <f>IF(_1_5412845612146241046457891017[[#This Row],[Type]]&gt;0,VLOOKUP(_1_5412845612146241046457891017[[#This Row],[Type]],Main[[#All],[TYPE]:[UNIT]],'Unit Price'!D$1,FALSE),0)</f>
        <v>0</v>
      </c>
      <c r="I781" s="194">
        <f>IF(_1_5412845612146241046457891017[[#This Row],[Type]]&gt;0,VLOOKUP(_1_5412845612146241046457891017[[#This Row],[Type]],Main[[#All],[TYPE]:[UNIT]],'Unit Price'!G$1,FALSE),0)</f>
        <v>0</v>
      </c>
      <c r="J781" s="194">
        <f>IF(_1_5412845612146241046457891017[[#This Row],[Type]]&gt;0,VLOOKUP(_1_5412845612146241046457891017[[#This Row],[Type]],Main[[#All],[TYPE]:[UNIT]],'Unit Price'!H$1,FALSE),0)</f>
        <v>0</v>
      </c>
      <c r="K781" s="194">
        <f>IF(_1_5412845612146241046457891017[[#This Row],[Discount selection]]&gt;0,VLOOKUP(_1_5412845612146241046457891017[[#This Row],[Discount selection]],'Discount Structure'!$A$2:$B$30,2,"false"),0)</f>
        <v>1</v>
      </c>
      <c r="L781" s="194">
        <f>_1_5412845612146241046457891017[[#This Row],[LIST $]]*_1_5412845612146241046457891017[[#This Row],[DISCOUNT]]*_1_5412845612146241046457891017[[#This Row],[DISCOUNT 2]]</f>
        <v>0</v>
      </c>
      <c r="M781" s="194">
        <f>IF(OR(_1_5412845612146241046457891017[[#This Row],[UNIT]]&gt;0,_1_5412845612146241046457891017[[#This Row],[UNIT]]&lt;0),_1_5412845612146241046457891017[[#This Row],[UNIT]]*_1_5412845612146241046457891017[[#This Row],[COST]],0)</f>
        <v>0</v>
      </c>
      <c r="N781" s="194">
        <f t="shared" si="12"/>
        <v>1.35</v>
      </c>
      <c r="O781" s="198">
        <f>_1_5412845612146241046457891017[[#This Row],[TOTAL]]*_1_5412845612146241046457891017[[#This Row],[MARGIN]]</f>
        <v>0</v>
      </c>
      <c r="R781" s="41"/>
    </row>
    <row r="782" spans="4:18">
      <c r="D782" s="188"/>
      <c r="F782" s="168" t="s">
        <v>6202</v>
      </c>
      <c r="G782" s="193">
        <f>IF(_1_5412845612146241046457891017[[#This Row],[Type]]&gt;0,VLOOKUP(_1_5412845612146241046457891017[[#This Row],[Type]],Main[[#All],[TYPE]:[UNIT]],'Unit Price'!C$1,FALSE),0)</f>
        <v>0</v>
      </c>
      <c r="H782" s="197">
        <f>IF(_1_5412845612146241046457891017[[#This Row],[Type]]&gt;0,VLOOKUP(_1_5412845612146241046457891017[[#This Row],[Type]],Main[[#All],[TYPE]:[UNIT]],'Unit Price'!D$1,FALSE),0)</f>
        <v>0</v>
      </c>
      <c r="I782" s="194">
        <f>IF(_1_5412845612146241046457891017[[#This Row],[Type]]&gt;0,VLOOKUP(_1_5412845612146241046457891017[[#This Row],[Type]],Main[[#All],[TYPE]:[UNIT]],'Unit Price'!G$1,FALSE),0)</f>
        <v>0</v>
      </c>
      <c r="J782" s="194">
        <f>IF(_1_5412845612146241046457891017[[#This Row],[Type]]&gt;0,VLOOKUP(_1_5412845612146241046457891017[[#This Row],[Type]],Main[[#All],[TYPE]:[UNIT]],'Unit Price'!H$1,FALSE),0)</f>
        <v>0</v>
      </c>
      <c r="K782" s="194">
        <f>IF(_1_5412845612146241046457891017[[#This Row],[Discount selection]]&gt;0,VLOOKUP(_1_5412845612146241046457891017[[#This Row],[Discount selection]],'Discount Structure'!$A$2:$B$30,2,"false"),0)</f>
        <v>1</v>
      </c>
      <c r="L782" s="194">
        <f>_1_5412845612146241046457891017[[#This Row],[LIST $]]*_1_5412845612146241046457891017[[#This Row],[DISCOUNT]]*_1_5412845612146241046457891017[[#This Row],[DISCOUNT 2]]</f>
        <v>0</v>
      </c>
      <c r="M782" s="194">
        <f>IF(OR(_1_5412845612146241046457891017[[#This Row],[UNIT]]&gt;0,_1_5412845612146241046457891017[[#This Row],[UNIT]]&lt;0),_1_5412845612146241046457891017[[#This Row],[UNIT]]*_1_5412845612146241046457891017[[#This Row],[COST]],0)</f>
        <v>0</v>
      </c>
      <c r="N782" s="194">
        <f t="shared" si="12"/>
        <v>1.35</v>
      </c>
      <c r="O782" s="198">
        <f>_1_5412845612146241046457891017[[#This Row],[TOTAL]]*_1_5412845612146241046457891017[[#This Row],[MARGIN]]</f>
        <v>0</v>
      </c>
      <c r="R782" s="41"/>
    </row>
    <row r="783" spans="4:18">
      <c r="D783" s="188"/>
      <c r="F783" s="168" t="s">
        <v>6202</v>
      </c>
      <c r="G783" s="193">
        <f>IF(_1_5412845612146241046457891017[[#This Row],[Type]]&gt;0,VLOOKUP(_1_5412845612146241046457891017[[#This Row],[Type]],Main[[#All],[TYPE]:[UNIT]],'Unit Price'!C$1,FALSE),0)</f>
        <v>0</v>
      </c>
      <c r="H783" s="197">
        <f>IF(_1_5412845612146241046457891017[[#This Row],[Type]]&gt;0,VLOOKUP(_1_5412845612146241046457891017[[#This Row],[Type]],Main[[#All],[TYPE]:[UNIT]],'Unit Price'!D$1,FALSE),0)</f>
        <v>0</v>
      </c>
      <c r="I783" s="194">
        <f>IF(_1_5412845612146241046457891017[[#This Row],[Type]]&gt;0,VLOOKUP(_1_5412845612146241046457891017[[#This Row],[Type]],Main[[#All],[TYPE]:[UNIT]],'Unit Price'!G$1,FALSE),0)</f>
        <v>0</v>
      </c>
      <c r="J783" s="194">
        <f>IF(_1_5412845612146241046457891017[[#This Row],[Type]]&gt;0,VLOOKUP(_1_5412845612146241046457891017[[#This Row],[Type]],Main[[#All],[TYPE]:[UNIT]],'Unit Price'!H$1,FALSE),0)</f>
        <v>0</v>
      </c>
      <c r="K783" s="194">
        <f>IF(_1_5412845612146241046457891017[[#This Row],[Discount selection]]&gt;0,VLOOKUP(_1_5412845612146241046457891017[[#This Row],[Discount selection]],'Discount Structure'!$A$2:$B$30,2,"false"),0)</f>
        <v>1</v>
      </c>
      <c r="L783" s="194">
        <f>_1_5412845612146241046457891017[[#This Row],[LIST $]]*_1_5412845612146241046457891017[[#This Row],[DISCOUNT]]*_1_5412845612146241046457891017[[#This Row],[DISCOUNT 2]]</f>
        <v>0</v>
      </c>
      <c r="M783" s="194">
        <f>IF(OR(_1_5412845612146241046457891017[[#This Row],[UNIT]]&gt;0,_1_5412845612146241046457891017[[#This Row],[UNIT]]&lt;0),_1_5412845612146241046457891017[[#This Row],[UNIT]]*_1_5412845612146241046457891017[[#This Row],[COST]],0)</f>
        <v>0</v>
      </c>
      <c r="N783" s="194">
        <f t="shared" si="12"/>
        <v>1.35</v>
      </c>
      <c r="O783" s="198">
        <f>_1_5412845612146241046457891017[[#This Row],[TOTAL]]*_1_5412845612146241046457891017[[#This Row],[MARGIN]]</f>
        <v>0</v>
      </c>
      <c r="R783" s="41"/>
    </row>
    <row r="784" spans="4:18">
      <c r="D784" s="188"/>
      <c r="F784" s="168" t="s">
        <v>6202</v>
      </c>
      <c r="G784" s="193">
        <f>IF(_1_5412845612146241046457891017[[#This Row],[Type]]&gt;0,VLOOKUP(_1_5412845612146241046457891017[[#This Row],[Type]],Main[[#All],[TYPE]:[UNIT]],'Unit Price'!C$1,FALSE),0)</f>
        <v>0</v>
      </c>
      <c r="H784" s="197">
        <f>IF(_1_5412845612146241046457891017[[#This Row],[Type]]&gt;0,VLOOKUP(_1_5412845612146241046457891017[[#This Row],[Type]],Main[[#All],[TYPE]:[UNIT]],'Unit Price'!D$1,FALSE),0)</f>
        <v>0</v>
      </c>
      <c r="I784" s="194">
        <f>IF(_1_5412845612146241046457891017[[#This Row],[Type]]&gt;0,VLOOKUP(_1_5412845612146241046457891017[[#This Row],[Type]],Main[[#All],[TYPE]:[UNIT]],'Unit Price'!G$1,FALSE),0)</f>
        <v>0</v>
      </c>
      <c r="J784" s="194">
        <f>IF(_1_5412845612146241046457891017[[#This Row],[Type]]&gt;0,VLOOKUP(_1_5412845612146241046457891017[[#This Row],[Type]],Main[[#All],[TYPE]:[UNIT]],'Unit Price'!H$1,FALSE),0)</f>
        <v>0</v>
      </c>
      <c r="K784" s="194">
        <f>IF(_1_5412845612146241046457891017[[#This Row],[Discount selection]]&gt;0,VLOOKUP(_1_5412845612146241046457891017[[#This Row],[Discount selection]],'Discount Structure'!$A$2:$B$30,2,"false"),0)</f>
        <v>1</v>
      </c>
      <c r="L784" s="194">
        <f>_1_5412845612146241046457891017[[#This Row],[LIST $]]*_1_5412845612146241046457891017[[#This Row],[DISCOUNT]]*_1_5412845612146241046457891017[[#This Row],[DISCOUNT 2]]</f>
        <v>0</v>
      </c>
      <c r="M784" s="194">
        <f>IF(OR(_1_5412845612146241046457891017[[#This Row],[UNIT]]&gt;0,_1_5412845612146241046457891017[[#This Row],[UNIT]]&lt;0),_1_5412845612146241046457891017[[#This Row],[UNIT]]*_1_5412845612146241046457891017[[#This Row],[COST]],0)</f>
        <v>0</v>
      </c>
      <c r="N784" s="194">
        <f t="shared" si="12"/>
        <v>1.35</v>
      </c>
      <c r="O784" s="198">
        <f>_1_5412845612146241046457891017[[#This Row],[TOTAL]]*_1_5412845612146241046457891017[[#This Row],[MARGIN]]</f>
        <v>0</v>
      </c>
      <c r="R784" s="41"/>
    </row>
    <row r="785" spans="4:18">
      <c r="D785" s="188"/>
      <c r="F785" s="168" t="s">
        <v>6202</v>
      </c>
      <c r="G785" s="193">
        <f>IF(_1_5412845612146241046457891017[[#This Row],[Type]]&gt;0,VLOOKUP(_1_5412845612146241046457891017[[#This Row],[Type]],Main[[#All],[TYPE]:[UNIT]],'Unit Price'!C$1,FALSE),0)</f>
        <v>0</v>
      </c>
      <c r="H785" s="197">
        <f>IF(_1_5412845612146241046457891017[[#This Row],[Type]]&gt;0,VLOOKUP(_1_5412845612146241046457891017[[#This Row],[Type]],Main[[#All],[TYPE]:[UNIT]],'Unit Price'!D$1,FALSE),0)</f>
        <v>0</v>
      </c>
      <c r="I785" s="194">
        <f>IF(_1_5412845612146241046457891017[[#This Row],[Type]]&gt;0,VLOOKUP(_1_5412845612146241046457891017[[#This Row],[Type]],Main[[#All],[TYPE]:[UNIT]],'Unit Price'!G$1,FALSE),0)</f>
        <v>0</v>
      </c>
      <c r="J785" s="194">
        <f>IF(_1_5412845612146241046457891017[[#This Row],[Type]]&gt;0,VLOOKUP(_1_5412845612146241046457891017[[#This Row],[Type]],Main[[#All],[TYPE]:[UNIT]],'Unit Price'!H$1,FALSE),0)</f>
        <v>0</v>
      </c>
      <c r="K785" s="194">
        <f>IF(_1_5412845612146241046457891017[[#This Row],[Discount selection]]&gt;0,VLOOKUP(_1_5412845612146241046457891017[[#This Row],[Discount selection]],'Discount Structure'!$A$2:$B$30,2,"false"),0)</f>
        <v>1</v>
      </c>
      <c r="L785" s="194">
        <f>_1_5412845612146241046457891017[[#This Row],[LIST $]]*_1_5412845612146241046457891017[[#This Row],[DISCOUNT]]*_1_5412845612146241046457891017[[#This Row],[DISCOUNT 2]]</f>
        <v>0</v>
      </c>
      <c r="M785" s="194">
        <f>IF(OR(_1_5412845612146241046457891017[[#This Row],[UNIT]]&gt;0,_1_5412845612146241046457891017[[#This Row],[UNIT]]&lt;0),_1_5412845612146241046457891017[[#This Row],[UNIT]]*_1_5412845612146241046457891017[[#This Row],[COST]],0)</f>
        <v>0</v>
      </c>
      <c r="N785" s="194">
        <f t="shared" si="12"/>
        <v>1.35</v>
      </c>
      <c r="O785" s="198">
        <f>_1_5412845612146241046457891017[[#This Row],[TOTAL]]*_1_5412845612146241046457891017[[#This Row],[MARGIN]]</f>
        <v>0</v>
      </c>
      <c r="R785" s="41"/>
    </row>
    <row r="786" spans="4:18">
      <c r="D786" s="188"/>
      <c r="F786" s="168" t="s">
        <v>6202</v>
      </c>
      <c r="G786" s="193">
        <f>IF(_1_5412845612146241046457891017[[#This Row],[Type]]&gt;0,VLOOKUP(_1_5412845612146241046457891017[[#This Row],[Type]],Main[[#All],[TYPE]:[UNIT]],'Unit Price'!C$1,FALSE),0)</f>
        <v>0</v>
      </c>
      <c r="H786" s="197">
        <f>IF(_1_5412845612146241046457891017[[#This Row],[Type]]&gt;0,VLOOKUP(_1_5412845612146241046457891017[[#This Row],[Type]],Main[[#All],[TYPE]:[UNIT]],'Unit Price'!D$1,FALSE),0)</f>
        <v>0</v>
      </c>
      <c r="I786" s="194">
        <f>IF(_1_5412845612146241046457891017[[#This Row],[Type]]&gt;0,VLOOKUP(_1_5412845612146241046457891017[[#This Row],[Type]],Main[[#All],[TYPE]:[UNIT]],'Unit Price'!G$1,FALSE),0)</f>
        <v>0</v>
      </c>
      <c r="J786" s="194">
        <f>IF(_1_5412845612146241046457891017[[#This Row],[Type]]&gt;0,VLOOKUP(_1_5412845612146241046457891017[[#This Row],[Type]],Main[[#All],[TYPE]:[UNIT]],'Unit Price'!H$1,FALSE),0)</f>
        <v>0</v>
      </c>
      <c r="K786" s="194">
        <f>IF(_1_5412845612146241046457891017[[#This Row],[Discount selection]]&gt;0,VLOOKUP(_1_5412845612146241046457891017[[#This Row],[Discount selection]],'Discount Structure'!$A$2:$B$30,2,"false"),0)</f>
        <v>1</v>
      </c>
      <c r="L786" s="194">
        <f>_1_5412845612146241046457891017[[#This Row],[LIST $]]*_1_5412845612146241046457891017[[#This Row],[DISCOUNT]]*_1_5412845612146241046457891017[[#This Row],[DISCOUNT 2]]</f>
        <v>0</v>
      </c>
      <c r="M786" s="194">
        <f>IF(OR(_1_5412845612146241046457891017[[#This Row],[UNIT]]&gt;0,_1_5412845612146241046457891017[[#This Row],[UNIT]]&lt;0),_1_5412845612146241046457891017[[#This Row],[UNIT]]*_1_5412845612146241046457891017[[#This Row],[COST]],0)</f>
        <v>0</v>
      </c>
      <c r="N786" s="194">
        <f t="shared" si="12"/>
        <v>1.35</v>
      </c>
      <c r="O786" s="198">
        <f>_1_5412845612146241046457891017[[#This Row],[TOTAL]]*_1_5412845612146241046457891017[[#This Row],[MARGIN]]</f>
        <v>0</v>
      </c>
      <c r="R786" s="41"/>
    </row>
    <row r="787" spans="4:18">
      <c r="D787" s="188"/>
      <c r="F787" s="168" t="s">
        <v>6202</v>
      </c>
      <c r="G787" s="193">
        <f>IF(_1_5412845612146241046457891017[[#This Row],[Type]]&gt;0,VLOOKUP(_1_5412845612146241046457891017[[#This Row],[Type]],Main[[#All],[TYPE]:[UNIT]],'Unit Price'!C$1,FALSE),0)</f>
        <v>0</v>
      </c>
      <c r="H787" s="197">
        <f>IF(_1_5412845612146241046457891017[[#This Row],[Type]]&gt;0,VLOOKUP(_1_5412845612146241046457891017[[#This Row],[Type]],Main[[#All],[TYPE]:[UNIT]],'Unit Price'!D$1,FALSE),0)</f>
        <v>0</v>
      </c>
      <c r="I787" s="194">
        <f>IF(_1_5412845612146241046457891017[[#This Row],[Type]]&gt;0,VLOOKUP(_1_5412845612146241046457891017[[#This Row],[Type]],Main[[#All],[TYPE]:[UNIT]],'Unit Price'!G$1,FALSE),0)</f>
        <v>0</v>
      </c>
      <c r="J787" s="194">
        <f>IF(_1_5412845612146241046457891017[[#This Row],[Type]]&gt;0,VLOOKUP(_1_5412845612146241046457891017[[#This Row],[Type]],Main[[#All],[TYPE]:[UNIT]],'Unit Price'!H$1,FALSE),0)</f>
        <v>0</v>
      </c>
      <c r="K787" s="194">
        <f>IF(_1_5412845612146241046457891017[[#This Row],[Discount selection]]&gt;0,VLOOKUP(_1_5412845612146241046457891017[[#This Row],[Discount selection]],'Discount Structure'!$A$2:$B$30,2,"false"),0)</f>
        <v>1</v>
      </c>
      <c r="L787" s="194">
        <f>_1_5412845612146241046457891017[[#This Row],[LIST $]]*_1_5412845612146241046457891017[[#This Row],[DISCOUNT]]*_1_5412845612146241046457891017[[#This Row],[DISCOUNT 2]]</f>
        <v>0</v>
      </c>
      <c r="M787" s="194">
        <f>IF(OR(_1_5412845612146241046457891017[[#This Row],[UNIT]]&gt;0,_1_5412845612146241046457891017[[#This Row],[UNIT]]&lt;0),_1_5412845612146241046457891017[[#This Row],[UNIT]]*_1_5412845612146241046457891017[[#This Row],[COST]],0)</f>
        <v>0</v>
      </c>
      <c r="N787" s="194">
        <f t="shared" si="12"/>
        <v>1.35</v>
      </c>
      <c r="O787" s="198">
        <f>_1_5412845612146241046457891017[[#This Row],[TOTAL]]*_1_5412845612146241046457891017[[#This Row],[MARGIN]]</f>
        <v>0</v>
      </c>
      <c r="R787" s="41"/>
    </row>
    <row r="788" spans="4:18">
      <c r="D788" s="188"/>
      <c r="F788" s="168" t="s">
        <v>6202</v>
      </c>
      <c r="G788" s="193">
        <f>IF(_1_5412845612146241046457891017[[#This Row],[Type]]&gt;0,VLOOKUP(_1_5412845612146241046457891017[[#This Row],[Type]],Main[[#All],[TYPE]:[UNIT]],'Unit Price'!C$1,FALSE),0)</f>
        <v>0</v>
      </c>
      <c r="H788" s="197">
        <f>IF(_1_5412845612146241046457891017[[#This Row],[Type]]&gt;0,VLOOKUP(_1_5412845612146241046457891017[[#This Row],[Type]],Main[[#All],[TYPE]:[UNIT]],'Unit Price'!D$1,FALSE),0)</f>
        <v>0</v>
      </c>
      <c r="I788" s="194">
        <f>IF(_1_5412845612146241046457891017[[#This Row],[Type]]&gt;0,VLOOKUP(_1_5412845612146241046457891017[[#This Row],[Type]],Main[[#All],[TYPE]:[UNIT]],'Unit Price'!G$1,FALSE),0)</f>
        <v>0</v>
      </c>
      <c r="J788" s="194">
        <f>IF(_1_5412845612146241046457891017[[#This Row],[Type]]&gt;0,VLOOKUP(_1_5412845612146241046457891017[[#This Row],[Type]],Main[[#All],[TYPE]:[UNIT]],'Unit Price'!H$1,FALSE),0)</f>
        <v>0</v>
      </c>
      <c r="K788" s="194">
        <f>IF(_1_5412845612146241046457891017[[#This Row],[Discount selection]]&gt;0,VLOOKUP(_1_5412845612146241046457891017[[#This Row],[Discount selection]],'Discount Structure'!$A$2:$B$30,2,"false"),0)</f>
        <v>1</v>
      </c>
      <c r="L788" s="194">
        <f>_1_5412845612146241046457891017[[#This Row],[LIST $]]*_1_5412845612146241046457891017[[#This Row],[DISCOUNT]]*_1_5412845612146241046457891017[[#This Row],[DISCOUNT 2]]</f>
        <v>0</v>
      </c>
      <c r="M788" s="194">
        <f>IF(OR(_1_5412845612146241046457891017[[#This Row],[UNIT]]&gt;0,_1_5412845612146241046457891017[[#This Row],[UNIT]]&lt;0),_1_5412845612146241046457891017[[#This Row],[UNIT]]*_1_5412845612146241046457891017[[#This Row],[COST]],0)</f>
        <v>0</v>
      </c>
      <c r="N788" s="194">
        <f t="shared" si="12"/>
        <v>1.35</v>
      </c>
      <c r="O788" s="198">
        <f>_1_5412845612146241046457891017[[#This Row],[TOTAL]]*_1_5412845612146241046457891017[[#This Row],[MARGIN]]</f>
        <v>0</v>
      </c>
      <c r="R788" s="41"/>
    </row>
    <row r="789" spans="4:18">
      <c r="D789" s="188"/>
      <c r="F789" s="168" t="s">
        <v>6202</v>
      </c>
      <c r="G789" s="193">
        <f>IF(_1_5412845612146241046457891017[[#This Row],[Type]]&gt;0,VLOOKUP(_1_5412845612146241046457891017[[#This Row],[Type]],Main[[#All],[TYPE]:[UNIT]],'Unit Price'!C$1,FALSE),0)</f>
        <v>0</v>
      </c>
      <c r="H789" s="197">
        <f>IF(_1_5412845612146241046457891017[[#This Row],[Type]]&gt;0,VLOOKUP(_1_5412845612146241046457891017[[#This Row],[Type]],Main[[#All],[TYPE]:[UNIT]],'Unit Price'!D$1,FALSE),0)</f>
        <v>0</v>
      </c>
      <c r="I789" s="194">
        <f>IF(_1_5412845612146241046457891017[[#This Row],[Type]]&gt;0,VLOOKUP(_1_5412845612146241046457891017[[#This Row],[Type]],Main[[#All],[TYPE]:[UNIT]],'Unit Price'!G$1,FALSE),0)</f>
        <v>0</v>
      </c>
      <c r="J789" s="194">
        <f>IF(_1_5412845612146241046457891017[[#This Row],[Type]]&gt;0,VLOOKUP(_1_5412845612146241046457891017[[#This Row],[Type]],Main[[#All],[TYPE]:[UNIT]],'Unit Price'!H$1,FALSE),0)</f>
        <v>0</v>
      </c>
      <c r="K789" s="194">
        <f>IF(_1_5412845612146241046457891017[[#This Row],[Discount selection]]&gt;0,VLOOKUP(_1_5412845612146241046457891017[[#This Row],[Discount selection]],'Discount Structure'!$A$2:$B$30,2,"false"),0)</f>
        <v>1</v>
      </c>
      <c r="L789" s="194">
        <f>_1_5412845612146241046457891017[[#This Row],[LIST $]]*_1_5412845612146241046457891017[[#This Row],[DISCOUNT]]*_1_5412845612146241046457891017[[#This Row],[DISCOUNT 2]]</f>
        <v>0</v>
      </c>
      <c r="M789" s="194">
        <f>IF(OR(_1_5412845612146241046457891017[[#This Row],[UNIT]]&gt;0,_1_5412845612146241046457891017[[#This Row],[UNIT]]&lt;0),_1_5412845612146241046457891017[[#This Row],[UNIT]]*_1_5412845612146241046457891017[[#This Row],[COST]],0)</f>
        <v>0</v>
      </c>
      <c r="N789" s="194">
        <f t="shared" si="12"/>
        <v>1.35</v>
      </c>
      <c r="O789" s="198">
        <f>_1_5412845612146241046457891017[[#This Row],[TOTAL]]*_1_5412845612146241046457891017[[#This Row],[MARGIN]]</f>
        <v>0</v>
      </c>
      <c r="R789" s="41"/>
    </row>
    <row r="790" spans="4:18">
      <c r="D790" s="188"/>
      <c r="F790" s="168" t="s">
        <v>6202</v>
      </c>
      <c r="G790" s="193">
        <f>IF(_1_5412845612146241046457891017[[#This Row],[Type]]&gt;0,VLOOKUP(_1_5412845612146241046457891017[[#This Row],[Type]],Main[[#All],[TYPE]:[UNIT]],'Unit Price'!C$1,FALSE),0)</f>
        <v>0</v>
      </c>
      <c r="H790" s="197">
        <f>IF(_1_5412845612146241046457891017[[#This Row],[Type]]&gt;0,VLOOKUP(_1_5412845612146241046457891017[[#This Row],[Type]],Main[[#All],[TYPE]:[UNIT]],'Unit Price'!D$1,FALSE),0)</f>
        <v>0</v>
      </c>
      <c r="I790" s="194">
        <f>IF(_1_5412845612146241046457891017[[#This Row],[Type]]&gt;0,VLOOKUP(_1_5412845612146241046457891017[[#This Row],[Type]],Main[[#All],[TYPE]:[UNIT]],'Unit Price'!G$1,FALSE),0)</f>
        <v>0</v>
      </c>
      <c r="J790" s="194">
        <f>IF(_1_5412845612146241046457891017[[#This Row],[Type]]&gt;0,VLOOKUP(_1_5412845612146241046457891017[[#This Row],[Type]],Main[[#All],[TYPE]:[UNIT]],'Unit Price'!H$1,FALSE),0)</f>
        <v>0</v>
      </c>
      <c r="K790" s="194">
        <f>IF(_1_5412845612146241046457891017[[#This Row],[Discount selection]]&gt;0,VLOOKUP(_1_5412845612146241046457891017[[#This Row],[Discount selection]],'Discount Structure'!$A$2:$B$30,2,"false"),0)</f>
        <v>1</v>
      </c>
      <c r="L790" s="194">
        <f>_1_5412845612146241046457891017[[#This Row],[LIST $]]*_1_5412845612146241046457891017[[#This Row],[DISCOUNT]]*_1_5412845612146241046457891017[[#This Row],[DISCOUNT 2]]</f>
        <v>0</v>
      </c>
      <c r="M790" s="194">
        <f>IF(OR(_1_5412845612146241046457891017[[#This Row],[UNIT]]&gt;0,_1_5412845612146241046457891017[[#This Row],[UNIT]]&lt;0),_1_5412845612146241046457891017[[#This Row],[UNIT]]*_1_5412845612146241046457891017[[#This Row],[COST]],0)</f>
        <v>0</v>
      </c>
      <c r="N790" s="194">
        <f t="shared" si="12"/>
        <v>1.35</v>
      </c>
      <c r="O790" s="198">
        <f>_1_5412845612146241046457891017[[#This Row],[TOTAL]]*_1_5412845612146241046457891017[[#This Row],[MARGIN]]</f>
        <v>0</v>
      </c>
      <c r="R790" s="41"/>
    </row>
    <row r="791" spans="4:18">
      <c r="D791" s="188"/>
      <c r="F791" s="168" t="s">
        <v>6202</v>
      </c>
      <c r="G791" s="193">
        <f>IF(_1_5412845612146241046457891017[[#This Row],[Type]]&gt;0,VLOOKUP(_1_5412845612146241046457891017[[#This Row],[Type]],Main[[#All],[TYPE]:[UNIT]],'Unit Price'!C$1,FALSE),0)</f>
        <v>0</v>
      </c>
      <c r="H791" s="197">
        <f>IF(_1_5412845612146241046457891017[[#This Row],[Type]]&gt;0,VLOOKUP(_1_5412845612146241046457891017[[#This Row],[Type]],Main[[#All],[TYPE]:[UNIT]],'Unit Price'!D$1,FALSE),0)</f>
        <v>0</v>
      </c>
      <c r="I791" s="194">
        <f>IF(_1_5412845612146241046457891017[[#This Row],[Type]]&gt;0,VLOOKUP(_1_5412845612146241046457891017[[#This Row],[Type]],Main[[#All],[TYPE]:[UNIT]],'Unit Price'!G$1,FALSE),0)</f>
        <v>0</v>
      </c>
      <c r="J791" s="194">
        <f>IF(_1_5412845612146241046457891017[[#This Row],[Type]]&gt;0,VLOOKUP(_1_5412845612146241046457891017[[#This Row],[Type]],Main[[#All],[TYPE]:[UNIT]],'Unit Price'!H$1,FALSE),0)</f>
        <v>0</v>
      </c>
      <c r="K791" s="194">
        <f>IF(_1_5412845612146241046457891017[[#This Row],[Discount selection]]&gt;0,VLOOKUP(_1_5412845612146241046457891017[[#This Row],[Discount selection]],'Discount Structure'!$A$2:$B$30,2,"false"),0)</f>
        <v>1</v>
      </c>
      <c r="L791" s="194">
        <f>_1_5412845612146241046457891017[[#This Row],[LIST $]]*_1_5412845612146241046457891017[[#This Row],[DISCOUNT]]*_1_5412845612146241046457891017[[#This Row],[DISCOUNT 2]]</f>
        <v>0</v>
      </c>
      <c r="M791" s="194">
        <f>IF(OR(_1_5412845612146241046457891017[[#This Row],[UNIT]]&gt;0,_1_5412845612146241046457891017[[#This Row],[UNIT]]&lt;0),_1_5412845612146241046457891017[[#This Row],[UNIT]]*_1_5412845612146241046457891017[[#This Row],[COST]],0)</f>
        <v>0</v>
      </c>
      <c r="N791" s="194">
        <f t="shared" si="12"/>
        <v>1.35</v>
      </c>
      <c r="O791" s="198">
        <f>_1_5412845612146241046457891017[[#This Row],[TOTAL]]*_1_5412845612146241046457891017[[#This Row],[MARGIN]]</f>
        <v>0</v>
      </c>
      <c r="R791" s="41"/>
    </row>
    <row r="792" spans="4:18">
      <c r="D792" s="188"/>
      <c r="F792" s="168" t="s">
        <v>6202</v>
      </c>
      <c r="G792" s="193">
        <f>IF(_1_5412845612146241046457891017[[#This Row],[Type]]&gt;0,VLOOKUP(_1_5412845612146241046457891017[[#This Row],[Type]],Main[[#All],[TYPE]:[UNIT]],'Unit Price'!C$1,FALSE),0)</f>
        <v>0</v>
      </c>
      <c r="H792" s="197">
        <f>IF(_1_5412845612146241046457891017[[#This Row],[Type]]&gt;0,VLOOKUP(_1_5412845612146241046457891017[[#This Row],[Type]],Main[[#All],[TYPE]:[UNIT]],'Unit Price'!D$1,FALSE),0)</f>
        <v>0</v>
      </c>
      <c r="I792" s="194">
        <f>IF(_1_5412845612146241046457891017[[#This Row],[Type]]&gt;0,VLOOKUP(_1_5412845612146241046457891017[[#This Row],[Type]],Main[[#All],[TYPE]:[UNIT]],'Unit Price'!G$1,FALSE),0)</f>
        <v>0</v>
      </c>
      <c r="J792" s="194">
        <f>IF(_1_5412845612146241046457891017[[#This Row],[Type]]&gt;0,VLOOKUP(_1_5412845612146241046457891017[[#This Row],[Type]],Main[[#All],[TYPE]:[UNIT]],'Unit Price'!H$1,FALSE),0)</f>
        <v>0</v>
      </c>
      <c r="K792" s="194">
        <f>IF(_1_5412845612146241046457891017[[#This Row],[Discount selection]]&gt;0,VLOOKUP(_1_5412845612146241046457891017[[#This Row],[Discount selection]],'Discount Structure'!$A$2:$B$30,2,"false"),0)</f>
        <v>1</v>
      </c>
      <c r="L792" s="194">
        <f>_1_5412845612146241046457891017[[#This Row],[LIST $]]*_1_5412845612146241046457891017[[#This Row],[DISCOUNT]]*_1_5412845612146241046457891017[[#This Row],[DISCOUNT 2]]</f>
        <v>0</v>
      </c>
      <c r="M792" s="194">
        <f>IF(OR(_1_5412845612146241046457891017[[#This Row],[UNIT]]&gt;0,_1_5412845612146241046457891017[[#This Row],[UNIT]]&lt;0),_1_5412845612146241046457891017[[#This Row],[UNIT]]*_1_5412845612146241046457891017[[#This Row],[COST]],0)</f>
        <v>0</v>
      </c>
      <c r="N792" s="194">
        <f t="shared" si="12"/>
        <v>1.35</v>
      </c>
      <c r="O792" s="198">
        <f>_1_5412845612146241046457891017[[#This Row],[TOTAL]]*_1_5412845612146241046457891017[[#This Row],[MARGIN]]</f>
        <v>0</v>
      </c>
      <c r="R792" s="41"/>
    </row>
    <row r="793" spans="4:18">
      <c r="D793" s="188"/>
      <c r="F793" s="168" t="s">
        <v>6202</v>
      </c>
      <c r="G793" s="193">
        <f>IF(_1_5412845612146241046457891017[[#This Row],[Type]]&gt;0,VLOOKUP(_1_5412845612146241046457891017[[#This Row],[Type]],Main[[#All],[TYPE]:[UNIT]],'Unit Price'!C$1,FALSE),0)</f>
        <v>0</v>
      </c>
      <c r="H793" s="197">
        <f>IF(_1_5412845612146241046457891017[[#This Row],[Type]]&gt;0,VLOOKUP(_1_5412845612146241046457891017[[#This Row],[Type]],Main[[#All],[TYPE]:[UNIT]],'Unit Price'!D$1,FALSE),0)</f>
        <v>0</v>
      </c>
      <c r="I793" s="194">
        <f>IF(_1_5412845612146241046457891017[[#This Row],[Type]]&gt;0,VLOOKUP(_1_5412845612146241046457891017[[#This Row],[Type]],Main[[#All],[TYPE]:[UNIT]],'Unit Price'!G$1,FALSE),0)</f>
        <v>0</v>
      </c>
      <c r="J793" s="194">
        <f>IF(_1_5412845612146241046457891017[[#This Row],[Type]]&gt;0,VLOOKUP(_1_5412845612146241046457891017[[#This Row],[Type]],Main[[#All],[TYPE]:[UNIT]],'Unit Price'!H$1,FALSE),0)</f>
        <v>0</v>
      </c>
      <c r="K793" s="194">
        <f>IF(_1_5412845612146241046457891017[[#This Row],[Discount selection]]&gt;0,VLOOKUP(_1_5412845612146241046457891017[[#This Row],[Discount selection]],'Discount Structure'!$A$2:$B$30,2,"false"),0)</f>
        <v>1</v>
      </c>
      <c r="L793" s="194">
        <f>_1_5412845612146241046457891017[[#This Row],[LIST $]]*_1_5412845612146241046457891017[[#This Row],[DISCOUNT]]*_1_5412845612146241046457891017[[#This Row],[DISCOUNT 2]]</f>
        <v>0</v>
      </c>
      <c r="M793" s="194">
        <f>IF(OR(_1_5412845612146241046457891017[[#This Row],[UNIT]]&gt;0,_1_5412845612146241046457891017[[#This Row],[UNIT]]&lt;0),_1_5412845612146241046457891017[[#This Row],[UNIT]]*_1_5412845612146241046457891017[[#This Row],[COST]],0)</f>
        <v>0</v>
      </c>
      <c r="N793" s="194">
        <f t="shared" si="12"/>
        <v>1.35</v>
      </c>
      <c r="O793" s="198">
        <f>_1_5412845612146241046457891017[[#This Row],[TOTAL]]*_1_5412845612146241046457891017[[#This Row],[MARGIN]]</f>
        <v>0</v>
      </c>
      <c r="R793" s="41"/>
    </row>
    <row r="794" spans="4:18">
      <c r="D794" s="188"/>
      <c r="F794" s="168" t="s">
        <v>6202</v>
      </c>
      <c r="G794" s="193">
        <f>IF(_1_5412845612146241046457891017[[#This Row],[Type]]&gt;0,VLOOKUP(_1_5412845612146241046457891017[[#This Row],[Type]],Main[[#All],[TYPE]:[UNIT]],'Unit Price'!C$1,FALSE),0)</f>
        <v>0</v>
      </c>
      <c r="H794" s="197">
        <f>IF(_1_5412845612146241046457891017[[#This Row],[Type]]&gt;0,VLOOKUP(_1_5412845612146241046457891017[[#This Row],[Type]],Main[[#All],[TYPE]:[UNIT]],'Unit Price'!D$1,FALSE),0)</f>
        <v>0</v>
      </c>
      <c r="I794" s="194">
        <f>IF(_1_5412845612146241046457891017[[#This Row],[Type]]&gt;0,VLOOKUP(_1_5412845612146241046457891017[[#This Row],[Type]],Main[[#All],[TYPE]:[UNIT]],'Unit Price'!G$1,FALSE),0)</f>
        <v>0</v>
      </c>
      <c r="J794" s="194">
        <f>IF(_1_5412845612146241046457891017[[#This Row],[Type]]&gt;0,VLOOKUP(_1_5412845612146241046457891017[[#This Row],[Type]],Main[[#All],[TYPE]:[UNIT]],'Unit Price'!H$1,FALSE),0)</f>
        <v>0</v>
      </c>
      <c r="K794" s="194">
        <f>IF(_1_5412845612146241046457891017[[#This Row],[Discount selection]]&gt;0,VLOOKUP(_1_5412845612146241046457891017[[#This Row],[Discount selection]],'Discount Structure'!$A$2:$B$30,2,"false"),0)</f>
        <v>1</v>
      </c>
      <c r="L794" s="194">
        <f>_1_5412845612146241046457891017[[#This Row],[LIST $]]*_1_5412845612146241046457891017[[#This Row],[DISCOUNT]]*_1_5412845612146241046457891017[[#This Row],[DISCOUNT 2]]</f>
        <v>0</v>
      </c>
      <c r="M794" s="194">
        <f>IF(OR(_1_5412845612146241046457891017[[#This Row],[UNIT]]&gt;0,_1_5412845612146241046457891017[[#This Row],[UNIT]]&lt;0),_1_5412845612146241046457891017[[#This Row],[UNIT]]*_1_5412845612146241046457891017[[#This Row],[COST]],0)</f>
        <v>0</v>
      </c>
      <c r="N794" s="194">
        <f t="shared" si="12"/>
        <v>1.35</v>
      </c>
      <c r="O794" s="198">
        <f>_1_5412845612146241046457891017[[#This Row],[TOTAL]]*_1_5412845612146241046457891017[[#This Row],[MARGIN]]</f>
        <v>0</v>
      </c>
      <c r="R794" s="41"/>
    </row>
    <row r="795" spans="4:18">
      <c r="D795" s="188"/>
      <c r="F795" s="168" t="s">
        <v>6202</v>
      </c>
      <c r="G795" s="193">
        <f>IF(_1_5412845612146241046457891017[[#This Row],[Type]]&gt;0,VLOOKUP(_1_5412845612146241046457891017[[#This Row],[Type]],Main[[#All],[TYPE]:[UNIT]],'Unit Price'!C$1,FALSE),0)</f>
        <v>0</v>
      </c>
      <c r="H795" s="197">
        <f>IF(_1_5412845612146241046457891017[[#This Row],[Type]]&gt;0,VLOOKUP(_1_5412845612146241046457891017[[#This Row],[Type]],Main[[#All],[TYPE]:[UNIT]],'Unit Price'!D$1,FALSE),0)</f>
        <v>0</v>
      </c>
      <c r="I795" s="194">
        <f>IF(_1_5412845612146241046457891017[[#This Row],[Type]]&gt;0,VLOOKUP(_1_5412845612146241046457891017[[#This Row],[Type]],Main[[#All],[TYPE]:[UNIT]],'Unit Price'!G$1,FALSE),0)</f>
        <v>0</v>
      </c>
      <c r="J795" s="194">
        <f>IF(_1_5412845612146241046457891017[[#This Row],[Type]]&gt;0,VLOOKUP(_1_5412845612146241046457891017[[#This Row],[Type]],Main[[#All],[TYPE]:[UNIT]],'Unit Price'!H$1,FALSE),0)</f>
        <v>0</v>
      </c>
      <c r="K795" s="194">
        <f>IF(_1_5412845612146241046457891017[[#This Row],[Discount selection]]&gt;0,VLOOKUP(_1_5412845612146241046457891017[[#This Row],[Discount selection]],'Discount Structure'!$A$2:$B$30,2,"false"),0)</f>
        <v>1</v>
      </c>
      <c r="L795" s="194">
        <f>_1_5412845612146241046457891017[[#This Row],[LIST $]]*_1_5412845612146241046457891017[[#This Row],[DISCOUNT]]*_1_5412845612146241046457891017[[#This Row],[DISCOUNT 2]]</f>
        <v>0</v>
      </c>
      <c r="M795" s="194">
        <f>IF(OR(_1_5412845612146241046457891017[[#This Row],[UNIT]]&gt;0,_1_5412845612146241046457891017[[#This Row],[UNIT]]&lt;0),_1_5412845612146241046457891017[[#This Row],[UNIT]]*_1_5412845612146241046457891017[[#This Row],[COST]],0)</f>
        <v>0</v>
      </c>
      <c r="N795" s="194">
        <f t="shared" si="12"/>
        <v>1.35</v>
      </c>
      <c r="O795" s="198">
        <f>_1_5412845612146241046457891017[[#This Row],[TOTAL]]*_1_5412845612146241046457891017[[#This Row],[MARGIN]]</f>
        <v>0</v>
      </c>
      <c r="R795" s="41"/>
    </row>
    <row r="796" spans="4:18">
      <c r="D796" s="188"/>
      <c r="F796" s="168" t="s">
        <v>6202</v>
      </c>
      <c r="G796" s="193">
        <f>IF(_1_5412845612146241046457891017[[#This Row],[Type]]&gt;0,VLOOKUP(_1_5412845612146241046457891017[[#This Row],[Type]],Main[[#All],[TYPE]:[UNIT]],'Unit Price'!C$1,FALSE),0)</f>
        <v>0</v>
      </c>
      <c r="H796" s="197">
        <f>IF(_1_5412845612146241046457891017[[#This Row],[Type]]&gt;0,VLOOKUP(_1_5412845612146241046457891017[[#This Row],[Type]],Main[[#All],[TYPE]:[UNIT]],'Unit Price'!D$1,FALSE),0)</f>
        <v>0</v>
      </c>
      <c r="I796" s="194">
        <f>IF(_1_5412845612146241046457891017[[#This Row],[Type]]&gt;0,VLOOKUP(_1_5412845612146241046457891017[[#This Row],[Type]],Main[[#All],[TYPE]:[UNIT]],'Unit Price'!G$1,FALSE),0)</f>
        <v>0</v>
      </c>
      <c r="J796" s="194">
        <f>IF(_1_5412845612146241046457891017[[#This Row],[Type]]&gt;0,VLOOKUP(_1_5412845612146241046457891017[[#This Row],[Type]],Main[[#All],[TYPE]:[UNIT]],'Unit Price'!H$1,FALSE),0)</f>
        <v>0</v>
      </c>
      <c r="K796" s="194">
        <f>IF(_1_5412845612146241046457891017[[#This Row],[Discount selection]]&gt;0,VLOOKUP(_1_5412845612146241046457891017[[#This Row],[Discount selection]],'Discount Structure'!$A$2:$B$30,2,"false"),0)</f>
        <v>1</v>
      </c>
      <c r="L796" s="194">
        <f>_1_5412845612146241046457891017[[#This Row],[LIST $]]*_1_5412845612146241046457891017[[#This Row],[DISCOUNT]]*_1_5412845612146241046457891017[[#This Row],[DISCOUNT 2]]</f>
        <v>0</v>
      </c>
      <c r="M796" s="194">
        <f>IF(OR(_1_5412845612146241046457891017[[#This Row],[UNIT]]&gt;0,_1_5412845612146241046457891017[[#This Row],[UNIT]]&lt;0),_1_5412845612146241046457891017[[#This Row],[UNIT]]*_1_5412845612146241046457891017[[#This Row],[COST]],0)</f>
        <v>0</v>
      </c>
      <c r="N796" s="194">
        <f t="shared" si="12"/>
        <v>1.35</v>
      </c>
      <c r="O796" s="198">
        <f>_1_5412845612146241046457891017[[#This Row],[TOTAL]]*_1_5412845612146241046457891017[[#This Row],[MARGIN]]</f>
        <v>0</v>
      </c>
      <c r="R796" s="41"/>
    </row>
    <row r="797" spans="4:18">
      <c r="D797" s="188"/>
      <c r="F797" s="168" t="s">
        <v>6202</v>
      </c>
      <c r="G797" s="193">
        <f>IF(_1_5412845612146241046457891017[[#This Row],[Type]]&gt;0,VLOOKUP(_1_5412845612146241046457891017[[#This Row],[Type]],Main[[#All],[TYPE]:[UNIT]],'Unit Price'!C$1,FALSE),0)</f>
        <v>0</v>
      </c>
      <c r="H797" s="197">
        <f>IF(_1_5412845612146241046457891017[[#This Row],[Type]]&gt;0,VLOOKUP(_1_5412845612146241046457891017[[#This Row],[Type]],Main[[#All],[TYPE]:[UNIT]],'Unit Price'!D$1,FALSE),0)</f>
        <v>0</v>
      </c>
      <c r="I797" s="194">
        <f>IF(_1_5412845612146241046457891017[[#This Row],[Type]]&gt;0,VLOOKUP(_1_5412845612146241046457891017[[#This Row],[Type]],Main[[#All],[TYPE]:[UNIT]],'Unit Price'!G$1,FALSE),0)</f>
        <v>0</v>
      </c>
      <c r="J797" s="194">
        <f>IF(_1_5412845612146241046457891017[[#This Row],[Type]]&gt;0,VLOOKUP(_1_5412845612146241046457891017[[#This Row],[Type]],Main[[#All],[TYPE]:[UNIT]],'Unit Price'!H$1,FALSE),0)</f>
        <v>0</v>
      </c>
      <c r="K797" s="194">
        <f>IF(_1_5412845612146241046457891017[[#This Row],[Discount selection]]&gt;0,VLOOKUP(_1_5412845612146241046457891017[[#This Row],[Discount selection]],'Discount Structure'!$A$2:$B$30,2,"false"),0)</f>
        <v>1</v>
      </c>
      <c r="L797" s="194">
        <f>_1_5412845612146241046457891017[[#This Row],[LIST $]]*_1_5412845612146241046457891017[[#This Row],[DISCOUNT]]*_1_5412845612146241046457891017[[#This Row],[DISCOUNT 2]]</f>
        <v>0</v>
      </c>
      <c r="M797" s="194">
        <f>IF(OR(_1_5412845612146241046457891017[[#This Row],[UNIT]]&gt;0,_1_5412845612146241046457891017[[#This Row],[UNIT]]&lt;0),_1_5412845612146241046457891017[[#This Row],[UNIT]]*_1_5412845612146241046457891017[[#This Row],[COST]],0)</f>
        <v>0</v>
      </c>
      <c r="N797" s="194">
        <f t="shared" si="12"/>
        <v>1.35</v>
      </c>
      <c r="O797" s="198">
        <f>_1_5412845612146241046457891017[[#This Row],[TOTAL]]*_1_5412845612146241046457891017[[#This Row],[MARGIN]]</f>
        <v>0</v>
      </c>
      <c r="R797" s="41"/>
    </row>
    <row r="798" spans="4:18">
      <c r="D798" s="188"/>
      <c r="F798" s="168" t="s">
        <v>6202</v>
      </c>
      <c r="G798" s="193">
        <f>IF(_1_5412845612146241046457891017[[#This Row],[Type]]&gt;0,VLOOKUP(_1_5412845612146241046457891017[[#This Row],[Type]],Main[[#All],[TYPE]:[UNIT]],'Unit Price'!C$1,FALSE),0)</f>
        <v>0</v>
      </c>
      <c r="H798" s="197">
        <f>IF(_1_5412845612146241046457891017[[#This Row],[Type]]&gt;0,VLOOKUP(_1_5412845612146241046457891017[[#This Row],[Type]],Main[[#All],[TYPE]:[UNIT]],'Unit Price'!D$1,FALSE),0)</f>
        <v>0</v>
      </c>
      <c r="I798" s="194">
        <f>IF(_1_5412845612146241046457891017[[#This Row],[Type]]&gt;0,VLOOKUP(_1_5412845612146241046457891017[[#This Row],[Type]],Main[[#All],[TYPE]:[UNIT]],'Unit Price'!G$1,FALSE),0)</f>
        <v>0</v>
      </c>
      <c r="J798" s="194">
        <f>IF(_1_5412845612146241046457891017[[#This Row],[Type]]&gt;0,VLOOKUP(_1_5412845612146241046457891017[[#This Row],[Type]],Main[[#All],[TYPE]:[UNIT]],'Unit Price'!H$1,FALSE),0)</f>
        <v>0</v>
      </c>
      <c r="K798" s="194">
        <f>IF(_1_5412845612146241046457891017[[#This Row],[Discount selection]]&gt;0,VLOOKUP(_1_5412845612146241046457891017[[#This Row],[Discount selection]],'Discount Structure'!$A$2:$B$30,2,"false"),0)</f>
        <v>1</v>
      </c>
      <c r="L798" s="194">
        <f>_1_5412845612146241046457891017[[#This Row],[LIST $]]*_1_5412845612146241046457891017[[#This Row],[DISCOUNT]]*_1_5412845612146241046457891017[[#This Row],[DISCOUNT 2]]</f>
        <v>0</v>
      </c>
      <c r="M798" s="194">
        <f>IF(OR(_1_5412845612146241046457891017[[#This Row],[UNIT]]&gt;0,_1_5412845612146241046457891017[[#This Row],[UNIT]]&lt;0),_1_5412845612146241046457891017[[#This Row],[UNIT]]*_1_5412845612146241046457891017[[#This Row],[COST]],0)</f>
        <v>0</v>
      </c>
      <c r="N798" s="194">
        <f t="shared" si="12"/>
        <v>1.35</v>
      </c>
      <c r="O798" s="198">
        <f>_1_5412845612146241046457891017[[#This Row],[TOTAL]]*_1_5412845612146241046457891017[[#This Row],[MARGIN]]</f>
        <v>0</v>
      </c>
      <c r="R798" s="41"/>
    </row>
    <row r="799" spans="4:18">
      <c r="D799" s="188"/>
      <c r="F799" s="168" t="s">
        <v>6202</v>
      </c>
      <c r="G799" s="193">
        <f>IF(_1_5412845612146241046457891017[[#This Row],[Type]]&gt;0,VLOOKUP(_1_5412845612146241046457891017[[#This Row],[Type]],Main[[#All],[TYPE]:[UNIT]],'Unit Price'!C$1,FALSE),0)</f>
        <v>0</v>
      </c>
      <c r="H799" s="197">
        <f>IF(_1_5412845612146241046457891017[[#This Row],[Type]]&gt;0,VLOOKUP(_1_5412845612146241046457891017[[#This Row],[Type]],Main[[#All],[TYPE]:[UNIT]],'Unit Price'!D$1,FALSE),0)</f>
        <v>0</v>
      </c>
      <c r="I799" s="194">
        <f>IF(_1_5412845612146241046457891017[[#This Row],[Type]]&gt;0,VLOOKUP(_1_5412845612146241046457891017[[#This Row],[Type]],Main[[#All],[TYPE]:[UNIT]],'Unit Price'!G$1,FALSE),0)</f>
        <v>0</v>
      </c>
      <c r="J799" s="194">
        <f>IF(_1_5412845612146241046457891017[[#This Row],[Type]]&gt;0,VLOOKUP(_1_5412845612146241046457891017[[#This Row],[Type]],Main[[#All],[TYPE]:[UNIT]],'Unit Price'!H$1,FALSE),0)</f>
        <v>0</v>
      </c>
      <c r="K799" s="194">
        <f>IF(_1_5412845612146241046457891017[[#This Row],[Discount selection]]&gt;0,VLOOKUP(_1_5412845612146241046457891017[[#This Row],[Discount selection]],'Discount Structure'!$A$2:$B$30,2,"false"),0)</f>
        <v>1</v>
      </c>
      <c r="L799" s="194">
        <f>_1_5412845612146241046457891017[[#This Row],[LIST $]]*_1_5412845612146241046457891017[[#This Row],[DISCOUNT]]*_1_5412845612146241046457891017[[#This Row],[DISCOUNT 2]]</f>
        <v>0</v>
      </c>
      <c r="M799" s="194">
        <f>IF(OR(_1_5412845612146241046457891017[[#This Row],[UNIT]]&gt;0,_1_5412845612146241046457891017[[#This Row],[UNIT]]&lt;0),_1_5412845612146241046457891017[[#This Row],[UNIT]]*_1_5412845612146241046457891017[[#This Row],[COST]],0)</f>
        <v>0</v>
      </c>
      <c r="N799" s="194">
        <f t="shared" si="12"/>
        <v>1.35</v>
      </c>
      <c r="O799" s="198">
        <f>_1_5412845612146241046457891017[[#This Row],[TOTAL]]*_1_5412845612146241046457891017[[#This Row],[MARGIN]]</f>
        <v>0</v>
      </c>
      <c r="R799" s="41"/>
    </row>
    <row r="800" spans="4:18">
      <c r="D800" s="188"/>
      <c r="F800" s="168" t="s">
        <v>6202</v>
      </c>
      <c r="G800" s="193">
        <f>IF(_1_5412845612146241046457891017[[#This Row],[Type]]&gt;0,VLOOKUP(_1_5412845612146241046457891017[[#This Row],[Type]],Main[[#All],[TYPE]:[UNIT]],'Unit Price'!C$1,FALSE),0)</f>
        <v>0</v>
      </c>
      <c r="H800" s="197">
        <f>IF(_1_5412845612146241046457891017[[#This Row],[Type]]&gt;0,VLOOKUP(_1_5412845612146241046457891017[[#This Row],[Type]],Main[[#All],[TYPE]:[UNIT]],'Unit Price'!D$1,FALSE),0)</f>
        <v>0</v>
      </c>
      <c r="I800" s="194">
        <f>IF(_1_5412845612146241046457891017[[#This Row],[Type]]&gt;0,VLOOKUP(_1_5412845612146241046457891017[[#This Row],[Type]],Main[[#All],[TYPE]:[UNIT]],'Unit Price'!G$1,FALSE),0)</f>
        <v>0</v>
      </c>
      <c r="J800" s="194">
        <f>IF(_1_5412845612146241046457891017[[#This Row],[Type]]&gt;0,VLOOKUP(_1_5412845612146241046457891017[[#This Row],[Type]],Main[[#All],[TYPE]:[UNIT]],'Unit Price'!H$1,FALSE),0)</f>
        <v>0</v>
      </c>
      <c r="K800" s="194">
        <f>IF(_1_5412845612146241046457891017[[#This Row],[Discount selection]]&gt;0,VLOOKUP(_1_5412845612146241046457891017[[#This Row],[Discount selection]],'Discount Structure'!$A$2:$B$30,2,"false"),0)</f>
        <v>1</v>
      </c>
      <c r="L800" s="194">
        <f>_1_5412845612146241046457891017[[#This Row],[LIST $]]*_1_5412845612146241046457891017[[#This Row],[DISCOUNT]]*_1_5412845612146241046457891017[[#This Row],[DISCOUNT 2]]</f>
        <v>0</v>
      </c>
      <c r="M800" s="194">
        <f>IF(OR(_1_5412845612146241046457891017[[#This Row],[UNIT]]&gt;0,_1_5412845612146241046457891017[[#This Row],[UNIT]]&lt;0),_1_5412845612146241046457891017[[#This Row],[UNIT]]*_1_5412845612146241046457891017[[#This Row],[COST]],0)</f>
        <v>0</v>
      </c>
      <c r="N800" s="194">
        <f t="shared" si="12"/>
        <v>1.35</v>
      </c>
      <c r="O800" s="198">
        <f>_1_5412845612146241046457891017[[#This Row],[TOTAL]]*_1_5412845612146241046457891017[[#This Row],[MARGIN]]</f>
        <v>0</v>
      </c>
      <c r="R800" s="41"/>
    </row>
    <row r="801" spans="4:18">
      <c r="D801" s="188"/>
      <c r="F801" s="168" t="s">
        <v>6202</v>
      </c>
      <c r="G801" s="193">
        <f>IF(_1_5412845612146241046457891017[[#This Row],[Type]]&gt;0,VLOOKUP(_1_5412845612146241046457891017[[#This Row],[Type]],Main[[#All],[TYPE]:[UNIT]],'Unit Price'!C$1,FALSE),0)</f>
        <v>0</v>
      </c>
      <c r="H801" s="197">
        <f>IF(_1_5412845612146241046457891017[[#This Row],[Type]]&gt;0,VLOOKUP(_1_5412845612146241046457891017[[#This Row],[Type]],Main[[#All],[TYPE]:[UNIT]],'Unit Price'!D$1,FALSE),0)</f>
        <v>0</v>
      </c>
      <c r="I801" s="194">
        <f>IF(_1_5412845612146241046457891017[[#This Row],[Type]]&gt;0,VLOOKUP(_1_5412845612146241046457891017[[#This Row],[Type]],Main[[#All],[TYPE]:[UNIT]],'Unit Price'!G$1,FALSE),0)</f>
        <v>0</v>
      </c>
      <c r="J801" s="194">
        <f>IF(_1_5412845612146241046457891017[[#This Row],[Type]]&gt;0,VLOOKUP(_1_5412845612146241046457891017[[#This Row],[Type]],Main[[#All],[TYPE]:[UNIT]],'Unit Price'!H$1,FALSE),0)</f>
        <v>0</v>
      </c>
      <c r="K801" s="194">
        <f>IF(_1_5412845612146241046457891017[[#This Row],[Discount selection]]&gt;0,VLOOKUP(_1_5412845612146241046457891017[[#This Row],[Discount selection]],'Discount Structure'!$A$2:$B$30,2,"false"),0)</f>
        <v>1</v>
      </c>
      <c r="L801" s="194">
        <f>_1_5412845612146241046457891017[[#This Row],[LIST $]]*_1_5412845612146241046457891017[[#This Row],[DISCOUNT]]*_1_5412845612146241046457891017[[#This Row],[DISCOUNT 2]]</f>
        <v>0</v>
      </c>
      <c r="M801" s="194">
        <f>IF(OR(_1_5412845612146241046457891017[[#This Row],[UNIT]]&gt;0,_1_5412845612146241046457891017[[#This Row],[UNIT]]&lt;0),_1_5412845612146241046457891017[[#This Row],[UNIT]]*_1_5412845612146241046457891017[[#This Row],[COST]],0)</f>
        <v>0</v>
      </c>
      <c r="N801" s="194">
        <f t="shared" si="12"/>
        <v>1.35</v>
      </c>
      <c r="O801" s="198">
        <f>_1_5412845612146241046457891017[[#This Row],[TOTAL]]*_1_5412845612146241046457891017[[#This Row],[MARGIN]]</f>
        <v>0</v>
      </c>
      <c r="R801" s="41"/>
    </row>
    <row r="802" spans="4:18">
      <c r="D802" s="188"/>
      <c r="F802" s="168" t="s">
        <v>6202</v>
      </c>
      <c r="G802" s="193">
        <f>IF(_1_5412845612146241046457891017[[#This Row],[Type]]&gt;0,VLOOKUP(_1_5412845612146241046457891017[[#This Row],[Type]],Main[[#All],[TYPE]:[UNIT]],'Unit Price'!C$1,FALSE),0)</f>
        <v>0</v>
      </c>
      <c r="H802" s="197">
        <f>IF(_1_5412845612146241046457891017[[#This Row],[Type]]&gt;0,VLOOKUP(_1_5412845612146241046457891017[[#This Row],[Type]],Main[[#All],[TYPE]:[UNIT]],'Unit Price'!D$1,FALSE),0)</f>
        <v>0</v>
      </c>
      <c r="I802" s="194">
        <f>IF(_1_5412845612146241046457891017[[#This Row],[Type]]&gt;0,VLOOKUP(_1_5412845612146241046457891017[[#This Row],[Type]],Main[[#All],[TYPE]:[UNIT]],'Unit Price'!G$1,FALSE),0)</f>
        <v>0</v>
      </c>
      <c r="J802" s="194">
        <f>IF(_1_5412845612146241046457891017[[#This Row],[Type]]&gt;0,VLOOKUP(_1_5412845612146241046457891017[[#This Row],[Type]],Main[[#All],[TYPE]:[UNIT]],'Unit Price'!H$1,FALSE),0)</f>
        <v>0</v>
      </c>
      <c r="K802" s="194">
        <f>IF(_1_5412845612146241046457891017[[#This Row],[Discount selection]]&gt;0,VLOOKUP(_1_5412845612146241046457891017[[#This Row],[Discount selection]],'Discount Structure'!$A$2:$B$30,2,"false"),0)</f>
        <v>1</v>
      </c>
      <c r="L802" s="194">
        <f>_1_5412845612146241046457891017[[#This Row],[LIST $]]*_1_5412845612146241046457891017[[#This Row],[DISCOUNT]]*_1_5412845612146241046457891017[[#This Row],[DISCOUNT 2]]</f>
        <v>0</v>
      </c>
      <c r="M802" s="194">
        <f>IF(OR(_1_5412845612146241046457891017[[#This Row],[UNIT]]&gt;0,_1_5412845612146241046457891017[[#This Row],[UNIT]]&lt;0),_1_5412845612146241046457891017[[#This Row],[UNIT]]*_1_5412845612146241046457891017[[#This Row],[COST]],0)</f>
        <v>0</v>
      </c>
      <c r="N802" s="194">
        <f t="shared" si="12"/>
        <v>1.35</v>
      </c>
      <c r="O802" s="198">
        <f>_1_5412845612146241046457891017[[#This Row],[TOTAL]]*_1_5412845612146241046457891017[[#This Row],[MARGIN]]</f>
        <v>0</v>
      </c>
      <c r="R802" s="41"/>
    </row>
    <row r="803" spans="4:18">
      <c r="D803" s="188"/>
      <c r="F803" s="168" t="s">
        <v>6202</v>
      </c>
      <c r="G803" s="193">
        <f>IF(_1_5412845612146241046457891017[[#This Row],[Type]]&gt;0,VLOOKUP(_1_5412845612146241046457891017[[#This Row],[Type]],Main[[#All],[TYPE]:[UNIT]],'Unit Price'!C$1,FALSE),0)</f>
        <v>0</v>
      </c>
      <c r="H803" s="197">
        <f>IF(_1_5412845612146241046457891017[[#This Row],[Type]]&gt;0,VLOOKUP(_1_5412845612146241046457891017[[#This Row],[Type]],Main[[#All],[TYPE]:[UNIT]],'Unit Price'!D$1,FALSE),0)</f>
        <v>0</v>
      </c>
      <c r="I803" s="194">
        <f>IF(_1_5412845612146241046457891017[[#This Row],[Type]]&gt;0,VLOOKUP(_1_5412845612146241046457891017[[#This Row],[Type]],Main[[#All],[TYPE]:[UNIT]],'Unit Price'!G$1,FALSE),0)</f>
        <v>0</v>
      </c>
      <c r="J803" s="194">
        <f>IF(_1_5412845612146241046457891017[[#This Row],[Type]]&gt;0,VLOOKUP(_1_5412845612146241046457891017[[#This Row],[Type]],Main[[#All],[TYPE]:[UNIT]],'Unit Price'!H$1,FALSE),0)</f>
        <v>0</v>
      </c>
      <c r="K803" s="194">
        <f>IF(_1_5412845612146241046457891017[[#This Row],[Discount selection]]&gt;0,VLOOKUP(_1_5412845612146241046457891017[[#This Row],[Discount selection]],'Discount Structure'!$A$2:$B$30,2,"false"),0)</f>
        <v>1</v>
      </c>
      <c r="L803" s="194">
        <f>_1_5412845612146241046457891017[[#This Row],[LIST $]]*_1_5412845612146241046457891017[[#This Row],[DISCOUNT]]*_1_5412845612146241046457891017[[#This Row],[DISCOUNT 2]]</f>
        <v>0</v>
      </c>
      <c r="M803" s="194">
        <f>IF(OR(_1_5412845612146241046457891017[[#This Row],[UNIT]]&gt;0,_1_5412845612146241046457891017[[#This Row],[UNIT]]&lt;0),_1_5412845612146241046457891017[[#This Row],[UNIT]]*_1_5412845612146241046457891017[[#This Row],[COST]],0)</f>
        <v>0</v>
      </c>
      <c r="N803" s="194">
        <f t="shared" si="12"/>
        <v>1.35</v>
      </c>
      <c r="O803" s="198">
        <f>_1_5412845612146241046457891017[[#This Row],[TOTAL]]*_1_5412845612146241046457891017[[#This Row],[MARGIN]]</f>
        <v>0</v>
      </c>
      <c r="R803" s="41"/>
    </row>
    <row r="804" spans="4:18">
      <c r="D804" s="188"/>
      <c r="F804" s="168" t="s">
        <v>6202</v>
      </c>
      <c r="G804" s="193">
        <f>IF(_1_5412845612146241046457891017[[#This Row],[Type]]&gt;0,VLOOKUP(_1_5412845612146241046457891017[[#This Row],[Type]],Main[[#All],[TYPE]:[UNIT]],'Unit Price'!C$1,FALSE),0)</f>
        <v>0</v>
      </c>
      <c r="H804" s="197">
        <f>IF(_1_5412845612146241046457891017[[#This Row],[Type]]&gt;0,VLOOKUP(_1_5412845612146241046457891017[[#This Row],[Type]],Main[[#All],[TYPE]:[UNIT]],'Unit Price'!D$1,FALSE),0)</f>
        <v>0</v>
      </c>
      <c r="I804" s="194">
        <f>IF(_1_5412845612146241046457891017[[#This Row],[Type]]&gt;0,VLOOKUP(_1_5412845612146241046457891017[[#This Row],[Type]],Main[[#All],[TYPE]:[UNIT]],'Unit Price'!G$1,FALSE),0)</f>
        <v>0</v>
      </c>
      <c r="J804" s="194">
        <f>IF(_1_5412845612146241046457891017[[#This Row],[Type]]&gt;0,VLOOKUP(_1_5412845612146241046457891017[[#This Row],[Type]],Main[[#All],[TYPE]:[UNIT]],'Unit Price'!H$1,FALSE),0)</f>
        <v>0</v>
      </c>
      <c r="K804" s="194">
        <f>IF(_1_5412845612146241046457891017[[#This Row],[Discount selection]]&gt;0,VLOOKUP(_1_5412845612146241046457891017[[#This Row],[Discount selection]],'Discount Structure'!$A$2:$B$30,2,"false"),0)</f>
        <v>1</v>
      </c>
      <c r="L804" s="194">
        <f>_1_5412845612146241046457891017[[#This Row],[LIST $]]*_1_5412845612146241046457891017[[#This Row],[DISCOUNT]]*_1_5412845612146241046457891017[[#This Row],[DISCOUNT 2]]</f>
        <v>0</v>
      </c>
      <c r="M804" s="194">
        <f>IF(OR(_1_5412845612146241046457891017[[#This Row],[UNIT]]&gt;0,_1_5412845612146241046457891017[[#This Row],[UNIT]]&lt;0),_1_5412845612146241046457891017[[#This Row],[UNIT]]*_1_5412845612146241046457891017[[#This Row],[COST]],0)</f>
        <v>0</v>
      </c>
      <c r="N804" s="194">
        <f t="shared" si="12"/>
        <v>1.35</v>
      </c>
      <c r="O804" s="198">
        <f>_1_5412845612146241046457891017[[#This Row],[TOTAL]]*_1_5412845612146241046457891017[[#This Row],[MARGIN]]</f>
        <v>0</v>
      </c>
      <c r="R804" s="41"/>
    </row>
    <row r="805" spans="4:18">
      <c r="D805" s="188"/>
      <c r="F805" s="168" t="s">
        <v>6202</v>
      </c>
      <c r="G805" s="193">
        <f>IF(_1_5412845612146241046457891017[[#This Row],[Type]]&gt;0,VLOOKUP(_1_5412845612146241046457891017[[#This Row],[Type]],Main[[#All],[TYPE]:[UNIT]],'Unit Price'!C$1,FALSE),0)</f>
        <v>0</v>
      </c>
      <c r="H805" s="197">
        <f>IF(_1_5412845612146241046457891017[[#This Row],[Type]]&gt;0,VLOOKUP(_1_5412845612146241046457891017[[#This Row],[Type]],Main[[#All],[TYPE]:[UNIT]],'Unit Price'!D$1,FALSE),0)</f>
        <v>0</v>
      </c>
      <c r="I805" s="194">
        <f>IF(_1_5412845612146241046457891017[[#This Row],[Type]]&gt;0,VLOOKUP(_1_5412845612146241046457891017[[#This Row],[Type]],Main[[#All],[TYPE]:[UNIT]],'Unit Price'!G$1,FALSE),0)</f>
        <v>0</v>
      </c>
      <c r="J805" s="194">
        <f>IF(_1_5412845612146241046457891017[[#This Row],[Type]]&gt;0,VLOOKUP(_1_5412845612146241046457891017[[#This Row],[Type]],Main[[#All],[TYPE]:[UNIT]],'Unit Price'!H$1,FALSE),0)</f>
        <v>0</v>
      </c>
      <c r="K805" s="194">
        <f>IF(_1_5412845612146241046457891017[[#This Row],[Discount selection]]&gt;0,VLOOKUP(_1_5412845612146241046457891017[[#This Row],[Discount selection]],'Discount Structure'!$A$2:$B$30,2,"false"),0)</f>
        <v>1</v>
      </c>
      <c r="L805" s="194">
        <f>_1_5412845612146241046457891017[[#This Row],[LIST $]]*_1_5412845612146241046457891017[[#This Row],[DISCOUNT]]*_1_5412845612146241046457891017[[#This Row],[DISCOUNT 2]]</f>
        <v>0</v>
      </c>
      <c r="M805" s="194">
        <f>IF(OR(_1_5412845612146241046457891017[[#This Row],[UNIT]]&gt;0,_1_5412845612146241046457891017[[#This Row],[UNIT]]&lt;0),_1_5412845612146241046457891017[[#This Row],[UNIT]]*_1_5412845612146241046457891017[[#This Row],[COST]],0)</f>
        <v>0</v>
      </c>
      <c r="N805" s="194">
        <f t="shared" si="12"/>
        <v>1.35</v>
      </c>
      <c r="O805" s="198">
        <f>_1_5412845612146241046457891017[[#This Row],[TOTAL]]*_1_5412845612146241046457891017[[#This Row],[MARGIN]]</f>
        <v>0</v>
      </c>
      <c r="R805" s="41"/>
    </row>
    <row r="806" spans="4:18">
      <c r="D806" s="188"/>
      <c r="F806" s="168" t="s">
        <v>6202</v>
      </c>
      <c r="G806" s="193">
        <f>IF(_1_5412845612146241046457891017[[#This Row],[Type]]&gt;0,VLOOKUP(_1_5412845612146241046457891017[[#This Row],[Type]],Main[[#All],[TYPE]:[UNIT]],'Unit Price'!C$1,FALSE),0)</f>
        <v>0</v>
      </c>
      <c r="H806" s="197">
        <f>IF(_1_5412845612146241046457891017[[#This Row],[Type]]&gt;0,VLOOKUP(_1_5412845612146241046457891017[[#This Row],[Type]],Main[[#All],[TYPE]:[UNIT]],'Unit Price'!D$1,FALSE),0)</f>
        <v>0</v>
      </c>
      <c r="I806" s="194">
        <f>IF(_1_5412845612146241046457891017[[#This Row],[Type]]&gt;0,VLOOKUP(_1_5412845612146241046457891017[[#This Row],[Type]],Main[[#All],[TYPE]:[UNIT]],'Unit Price'!G$1,FALSE),0)</f>
        <v>0</v>
      </c>
      <c r="J806" s="194">
        <f>IF(_1_5412845612146241046457891017[[#This Row],[Type]]&gt;0,VLOOKUP(_1_5412845612146241046457891017[[#This Row],[Type]],Main[[#All],[TYPE]:[UNIT]],'Unit Price'!H$1,FALSE),0)</f>
        <v>0</v>
      </c>
      <c r="K806" s="194">
        <f>IF(_1_5412845612146241046457891017[[#This Row],[Discount selection]]&gt;0,VLOOKUP(_1_5412845612146241046457891017[[#This Row],[Discount selection]],'Discount Structure'!$A$2:$B$30,2,"false"),0)</f>
        <v>1</v>
      </c>
      <c r="L806" s="194">
        <f>_1_5412845612146241046457891017[[#This Row],[LIST $]]*_1_5412845612146241046457891017[[#This Row],[DISCOUNT]]*_1_5412845612146241046457891017[[#This Row],[DISCOUNT 2]]</f>
        <v>0</v>
      </c>
      <c r="M806" s="194">
        <f>IF(OR(_1_5412845612146241046457891017[[#This Row],[UNIT]]&gt;0,_1_5412845612146241046457891017[[#This Row],[UNIT]]&lt;0),_1_5412845612146241046457891017[[#This Row],[UNIT]]*_1_5412845612146241046457891017[[#This Row],[COST]],0)</f>
        <v>0</v>
      </c>
      <c r="N806" s="194">
        <f t="shared" si="12"/>
        <v>1.35</v>
      </c>
      <c r="O806" s="198">
        <f>_1_5412845612146241046457891017[[#This Row],[TOTAL]]*_1_5412845612146241046457891017[[#This Row],[MARGIN]]</f>
        <v>0</v>
      </c>
      <c r="R806" s="41"/>
    </row>
    <row r="807" spans="4:18">
      <c r="D807" s="188"/>
      <c r="F807" s="168" t="s">
        <v>6202</v>
      </c>
      <c r="G807" s="193">
        <f>IF(_1_5412845612146241046457891017[[#This Row],[Type]]&gt;0,VLOOKUP(_1_5412845612146241046457891017[[#This Row],[Type]],Main[[#All],[TYPE]:[UNIT]],'Unit Price'!C$1,FALSE),0)</f>
        <v>0</v>
      </c>
      <c r="H807" s="197">
        <f>IF(_1_5412845612146241046457891017[[#This Row],[Type]]&gt;0,VLOOKUP(_1_5412845612146241046457891017[[#This Row],[Type]],Main[[#All],[TYPE]:[UNIT]],'Unit Price'!D$1,FALSE),0)</f>
        <v>0</v>
      </c>
      <c r="I807" s="194">
        <f>IF(_1_5412845612146241046457891017[[#This Row],[Type]]&gt;0,VLOOKUP(_1_5412845612146241046457891017[[#This Row],[Type]],Main[[#All],[TYPE]:[UNIT]],'Unit Price'!G$1,FALSE),0)</f>
        <v>0</v>
      </c>
      <c r="J807" s="194">
        <f>IF(_1_5412845612146241046457891017[[#This Row],[Type]]&gt;0,VLOOKUP(_1_5412845612146241046457891017[[#This Row],[Type]],Main[[#All],[TYPE]:[UNIT]],'Unit Price'!H$1,FALSE),0)</f>
        <v>0</v>
      </c>
      <c r="K807" s="194">
        <f>IF(_1_5412845612146241046457891017[[#This Row],[Discount selection]]&gt;0,VLOOKUP(_1_5412845612146241046457891017[[#This Row],[Discount selection]],'Discount Structure'!$A$2:$B$30,2,"false"),0)</f>
        <v>1</v>
      </c>
      <c r="L807" s="194">
        <f>_1_5412845612146241046457891017[[#This Row],[LIST $]]*_1_5412845612146241046457891017[[#This Row],[DISCOUNT]]*_1_5412845612146241046457891017[[#This Row],[DISCOUNT 2]]</f>
        <v>0</v>
      </c>
      <c r="M807" s="194">
        <f>IF(OR(_1_5412845612146241046457891017[[#This Row],[UNIT]]&gt;0,_1_5412845612146241046457891017[[#This Row],[UNIT]]&lt;0),_1_5412845612146241046457891017[[#This Row],[UNIT]]*_1_5412845612146241046457891017[[#This Row],[COST]],0)</f>
        <v>0</v>
      </c>
      <c r="N807" s="194">
        <f t="shared" si="12"/>
        <v>1.35</v>
      </c>
      <c r="O807" s="198">
        <f>_1_5412845612146241046457891017[[#This Row],[TOTAL]]*_1_5412845612146241046457891017[[#This Row],[MARGIN]]</f>
        <v>0</v>
      </c>
      <c r="R807" s="41"/>
    </row>
    <row r="808" spans="4:18">
      <c r="D808" s="188"/>
      <c r="F808" s="168" t="s">
        <v>6202</v>
      </c>
      <c r="G808" s="193">
        <f>IF(_1_5412845612146241046457891017[[#This Row],[Type]]&gt;0,VLOOKUP(_1_5412845612146241046457891017[[#This Row],[Type]],Main[[#All],[TYPE]:[UNIT]],'Unit Price'!C$1,FALSE),0)</f>
        <v>0</v>
      </c>
      <c r="H808" s="197">
        <f>IF(_1_5412845612146241046457891017[[#This Row],[Type]]&gt;0,VLOOKUP(_1_5412845612146241046457891017[[#This Row],[Type]],Main[[#All],[TYPE]:[UNIT]],'Unit Price'!D$1,FALSE),0)</f>
        <v>0</v>
      </c>
      <c r="I808" s="194">
        <f>IF(_1_5412845612146241046457891017[[#This Row],[Type]]&gt;0,VLOOKUP(_1_5412845612146241046457891017[[#This Row],[Type]],Main[[#All],[TYPE]:[UNIT]],'Unit Price'!G$1,FALSE),0)</f>
        <v>0</v>
      </c>
      <c r="J808" s="194">
        <f>IF(_1_5412845612146241046457891017[[#This Row],[Type]]&gt;0,VLOOKUP(_1_5412845612146241046457891017[[#This Row],[Type]],Main[[#All],[TYPE]:[UNIT]],'Unit Price'!H$1,FALSE),0)</f>
        <v>0</v>
      </c>
      <c r="K808" s="194">
        <f>IF(_1_5412845612146241046457891017[[#This Row],[Discount selection]]&gt;0,VLOOKUP(_1_5412845612146241046457891017[[#This Row],[Discount selection]],'Discount Structure'!$A$2:$B$30,2,"false"),0)</f>
        <v>1</v>
      </c>
      <c r="L808" s="194">
        <f>_1_5412845612146241046457891017[[#This Row],[LIST $]]*_1_5412845612146241046457891017[[#This Row],[DISCOUNT]]*_1_5412845612146241046457891017[[#This Row],[DISCOUNT 2]]</f>
        <v>0</v>
      </c>
      <c r="M808" s="194">
        <f>IF(OR(_1_5412845612146241046457891017[[#This Row],[UNIT]]&gt;0,_1_5412845612146241046457891017[[#This Row],[UNIT]]&lt;0),_1_5412845612146241046457891017[[#This Row],[UNIT]]*_1_5412845612146241046457891017[[#This Row],[COST]],0)</f>
        <v>0</v>
      </c>
      <c r="N808" s="194">
        <f t="shared" si="12"/>
        <v>1.35</v>
      </c>
      <c r="O808" s="198">
        <f>_1_5412845612146241046457891017[[#This Row],[TOTAL]]*_1_5412845612146241046457891017[[#This Row],[MARGIN]]</f>
        <v>0</v>
      </c>
      <c r="R808" s="41"/>
    </row>
    <row r="809" spans="4:18">
      <c r="D809" s="188"/>
      <c r="F809" s="168" t="s">
        <v>6202</v>
      </c>
      <c r="G809" s="193">
        <f>IF(_1_5412845612146241046457891017[[#This Row],[Type]]&gt;0,VLOOKUP(_1_5412845612146241046457891017[[#This Row],[Type]],Main[[#All],[TYPE]:[UNIT]],'Unit Price'!C$1,FALSE),0)</f>
        <v>0</v>
      </c>
      <c r="H809" s="197">
        <f>IF(_1_5412845612146241046457891017[[#This Row],[Type]]&gt;0,VLOOKUP(_1_5412845612146241046457891017[[#This Row],[Type]],Main[[#All],[TYPE]:[UNIT]],'Unit Price'!D$1,FALSE),0)</f>
        <v>0</v>
      </c>
      <c r="I809" s="194">
        <f>IF(_1_5412845612146241046457891017[[#This Row],[Type]]&gt;0,VLOOKUP(_1_5412845612146241046457891017[[#This Row],[Type]],Main[[#All],[TYPE]:[UNIT]],'Unit Price'!G$1,FALSE),0)</f>
        <v>0</v>
      </c>
      <c r="J809" s="194">
        <f>IF(_1_5412845612146241046457891017[[#This Row],[Type]]&gt;0,VLOOKUP(_1_5412845612146241046457891017[[#This Row],[Type]],Main[[#All],[TYPE]:[UNIT]],'Unit Price'!H$1,FALSE),0)</f>
        <v>0</v>
      </c>
      <c r="K809" s="194">
        <f>IF(_1_5412845612146241046457891017[[#This Row],[Discount selection]]&gt;0,VLOOKUP(_1_5412845612146241046457891017[[#This Row],[Discount selection]],'Discount Structure'!$A$2:$B$30,2,"false"),0)</f>
        <v>1</v>
      </c>
      <c r="L809" s="194">
        <f>_1_5412845612146241046457891017[[#This Row],[LIST $]]*_1_5412845612146241046457891017[[#This Row],[DISCOUNT]]*_1_5412845612146241046457891017[[#This Row],[DISCOUNT 2]]</f>
        <v>0</v>
      </c>
      <c r="M809" s="194">
        <f>IF(OR(_1_5412845612146241046457891017[[#This Row],[UNIT]]&gt;0,_1_5412845612146241046457891017[[#This Row],[UNIT]]&lt;0),_1_5412845612146241046457891017[[#This Row],[UNIT]]*_1_5412845612146241046457891017[[#This Row],[COST]],0)</f>
        <v>0</v>
      </c>
      <c r="N809" s="194">
        <f t="shared" si="12"/>
        <v>1.35</v>
      </c>
      <c r="O809" s="198">
        <f>_1_5412845612146241046457891017[[#This Row],[TOTAL]]*_1_5412845612146241046457891017[[#This Row],[MARGIN]]</f>
        <v>0</v>
      </c>
      <c r="R809" s="41"/>
    </row>
    <row r="810" spans="4:18">
      <c r="D810" s="188"/>
      <c r="F810" s="168" t="s">
        <v>6202</v>
      </c>
      <c r="G810" s="193">
        <f>IF(_1_5412845612146241046457891017[[#This Row],[Type]]&gt;0,VLOOKUP(_1_5412845612146241046457891017[[#This Row],[Type]],Main[[#All],[TYPE]:[UNIT]],'Unit Price'!C$1,FALSE),0)</f>
        <v>0</v>
      </c>
      <c r="H810" s="197">
        <f>IF(_1_5412845612146241046457891017[[#This Row],[Type]]&gt;0,VLOOKUP(_1_5412845612146241046457891017[[#This Row],[Type]],Main[[#All],[TYPE]:[UNIT]],'Unit Price'!D$1,FALSE),0)</f>
        <v>0</v>
      </c>
      <c r="I810" s="194">
        <f>IF(_1_5412845612146241046457891017[[#This Row],[Type]]&gt;0,VLOOKUP(_1_5412845612146241046457891017[[#This Row],[Type]],Main[[#All],[TYPE]:[UNIT]],'Unit Price'!G$1,FALSE),0)</f>
        <v>0</v>
      </c>
      <c r="J810" s="194">
        <f>IF(_1_5412845612146241046457891017[[#This Row],[Type]]&gt;0,VLOOKUP(_1_5412845612146241046457891017[[#This Row],[Type]],Main[[#All],[TYPE]:[UNIT]],'Unit Price'!H$1,FALSE),0)</f>
        <v>0</v>
      </c>
      <c r="K810" s="194">
        <f>IF(_1_5412845612146241046457891017[[#This Row],[Discount selection]]&gt;0,VLOOKUP(_1_5412845612146241046457891017[[#This Row],[Discount selection]],'Discount Structure'!$A$2:$B$30,2,"false"),0)</f>
        <v>1</v>
      </c>
      <c r="L810" s="194">
        <f>_1_5412845612146241046457891017[[#This Row],[LIST $]]*_1_5412845612146241046457891017[[#This Row],[DISCOUNT]]*_1_5412845612146241046457891017[[#This Row],[DISCOUNT 2]]</f>
        <v>0</v>
      </c>
      <c r="M810" s="194">
        <f>IF(OR(_1_5412845612146241046457891017[[#This Row],[UNIT]]&gt;0,_1_5412845612146241046457891017[[#This Row],[UNIT]]&lt;0),_1_5412845612146241046457891017[[#This Row],[UNIT]]*_1_5412845612146241046457891017[[#This Row],[COST]],0)</f>
        <v>0</v>
      </c>
      <c r="N810" s="194">
        <f t="shared" si="12"/>
        <v>1.35</v>
      </c>
      <c r="O810" s="198">
        <f>_1_5412845612146241046457891017[[#This Row],[TOTAL]]*_1_5412845612146241046457891017[[#This Row],[MARGIN]]</f>
        <v>0</v>
      </c>
      <c r="R810" s="41"/>
    </row>
    <row r="811" spans="4:18">
      <c r="D811" s="188"/>
      <c r="F811" s="168" t="s">
        <v>6202</v>
      </c>
      <c r="G811" s="193">
        <f>IF(_1_5412845612146241046457891017[[#This Row],[Type]]&gt;0,VLOOKUP(_1_5412845612146241046457891017[[#This Row],[Type]],Main[[#All],[TYPE]:[UNIT]],'Unit Price'!C$1,FALSE),0)</f>
        <v>0</v>
      </c>
      <c r="H811" s="197">
        <f>IF(_1_5412845612146241046457891017[[#This Row],[Type]]&gt;0,VLOOKUP(_1_5412845612146241046457891017[[#This Row],[Type]],Main[[#All],[TYPE]:[UNIT]],'Unit Price'!D$1,FALSE),0)</f>
        <v>0</v>
      </c>
      <c r="I811" s="194">
        <f>IF(_1_5412845612146241046457891017[[#This Row],[Type]]&gt;0,VLOOKUP(_1_5412845612146241046457891017[[#This Row],[Type]],Main[[#All],[TYPE]:[UNIT]],'Unit Price'!G$1,FALSE),0)</f>
        <v>0</v>
      </c>
      <c r="J811" s="194">
        <f>IF(_1_5412845612146241046457891017[[#This Row],[Type]]&gt;0,VLOOKUP(_1_5412845612146241046457891017[[#This Row],[Type]],Main[[#All],[TYPE]:[UNIT]],'Unit Price'!H$1,FALSE),0)</f>
        <v>0</v>
      </c>
      <c r="K811" s="194">
        <f>IF(_1_5412845612146241046457891017[[#This Row],[Discount selection]]&gt;0,VLOOKUP(_1_5412845612146241046457891017[[#This Row],[Discount selection]],'Discount Structure'!$A$2:$B$30,2,"false"),0)</f>
        <v>1</v>
      </c>
      <c r="L811" s="194">
        <f>_1_5412845612146241046457891017[[#This Row],[LIST $]]*_1_5412845612146241046457891017[[#This Row],[DISCOUNT]]*_1_5412845612146241046457891017[[#This Row],[DISCOUNT 2]]</f>
        <v>0</v>
      </c>
      <c r="M811" s="194">
        <f>IF(OR(_1_5412845612146241046457891017[[#This Row],[UNIT]]&gt;0,_1_5412845612146241046457891017[[#This Row],[UNIT]]&lt;0),_1_5412845612146241046457891017[[#This Row],[UNIT]]*_1_5412845612146241046457891017[[#This Row],[COST]],0)</f>
        <v>0</v>
      </c>
      <c r="N811" s="194">
        <f t="shared" si="12"/>
        <v>1.35</v>
      </c>
      <c r="O811" s="198">
        <f>_1_5412845612146241046457891017[[#This Row],[TOTAL]]*_1_5412845612146241046457891017[[#This Row],[MARGIN]]</f>
        <v>0</v>
      </c>
      <c r="R811" s="41"/>
    </row>
    <row r="812" spans="4:18">
      <c r="D812" s="188"/>
      <c r="F812" s="168" t="s">
        <v>6202</v>
      </c>
      <c r="G812" s="193">
        <f>IF(_1_5412845612146241046457891017[[#This Row],[Type]]&gt;0,VLOOKUP(_1_5412845612146241046457891017[[#This Row],[Type]],Main[[#All],[TYPE]:[UNIT]],'Unit Price'!C$1,FALSE),0)</f>
        <v>0</v>
      </c>
      <c r="H812" s="197">
        <f>IF(_1_5412845612146241046457891017[[#This Row],[Type]]&gt;0,VLOOKUP(_1_5412845612146241046457891017[[#This Row],[Type]],Main[[#All],[TYPE]:[UNIT]],'Unit Price'!D$1,FALSE),0)</f>
        <v>0</v>
      </c>
      <c r="I812" s="194">
        <f>IF(_1_5412845612146241046457891017[[#This Row],[Type]]&gt;0,VLOOKUP(_1_5412845612146241046457891017[[#This Row],[Type]],Main[[#All],[TYPE]:[UNIT]],'Unit Price'!G$1,FALSE),0)</f>
        <v>0</v>
      </c>
      <c r="J812" s="194">
        <f>IF(_1_5412845612146241046457891017[[#This Row],[Type]]&gt;0,VLOOKUP(_1_5412845612146241046457891017[[#This Row],[Type]],Main[[#All],[TYPE]:[UNIT]],'Unit Price'!H$1,FALSE),0)</f>
        <v>0</v>
      </c>
      <c r="K812" s="194">
        <f>IF(_1_5412845612146241046457891017[[#This Row],[Discount selection]]&gt;0,VLOOKUP(_1_5412845612146241046457891017[[#This Row],[Discount selection]],'Discount Structure'!$A$2:$B$30,2,"false"),0)</f>
        <v>1</v>
      </c>
      <c r="L812" s="194">
        <f>_1_5412845612146241046457891017[[#This Row],[LIST $]]*_1_5412845612146241046457891017[[#This Row],[DISCOUNT]]*_1_5412845612146241046457891017[[#This Row],[DISCOUNT 2]]</f>
        <v>0</v>
      </c>
      <c r="M812" s="194">
        <f>IF(OR(_1_5412845612146241046457891017[[#This Row],[UNIT]]&gt;0,_1_5412845612146241046457891017[[#This Row],[UNIT]]&lt;0),_1_5412845612146241046457891017[[#This Row],[UNIT]]*_1_5412845612146241046457891017[[#This Row],[COST]],0)</f>
        <v>0</v>
      </c>
      <c r="N812" s="194">
        <f t="shared" si="12"/>
        <v>1.35</v>
      </c>
      <c r="O812" s="198">
        <f>_1_5412845612146241046457891017[[#This Row],[TOTAL]]*_1_5412845612146241046457891017[[#This Row],[MARGIN]]</f>
        <v>0</v>
      </c>
      <c r="R812" s="41"/>
    </row>
    <row r="813" spans="4:18">
      <c r="D813" s="188"/>
      <c r="F813" s="168" t="s">
        <v>6202</v>
      </c>
      <c r="G813" s="193">
        <f>IF(_1_5412845612146241046457891017[[#This Row],[Type]]&gt;0,VLOOKUP(_1_5412845612146241046457891017[[#This Row],[Type]],Main[[#All],[TYPE]:[UNIT]],'Unit Price'!C$1,FALSE),0)</f>
        <v>0</v>
      </c>
      <c r="H813" s="197">
        <f>IF(_1_5412845612146241046457891017[[#This Row],[Type]]&gt;0,VLOOKUP(_1_5412845612146241046457891017[[#This Row],[Type]],Main[[#All],[TYPE]:[UNIT]],'Unit Price'!D$1,FALSE),0)</f>
        <v>0</v>
      </c>
      <c r="I813" s="194">
        <f>IF(_1_5412845612146241046457891017[[#This Row],[Type]]&gt;0,VLOOKUP(_1_5412845612146241046457891017[[#This Row],[Type]],Main[[#All],[TYPE]:[UNIT]],'Unit Price'!G$1,FALSE),0)</f>
        <v>0</v>
      </c>
      <c r="J813" s="194">
        <f>IF(_1_5412845612146241046457891017[[#This Row],[Type]]&gt;0,VLOOKUP(_1_5412845612146241046457891017[[#This Row],[Type]],Main[[#All],[TYPE]:[UNIT]],'Unit Price'!H$1,FALSE),0)</f>
        <v>0</v>
      </c>
      <c r="K813" s="194">
        <f>IF(_1_5412845612146241046457891017[[#This Row],[Discount selection]]&gt;0,VLOOKUP(_1_5412845612146241046457891017[[#This Row],[Discount selection]],'Discount Structure'!$A$2:$B$30,2,"false"),0)</f>
        <v>1</v>
      </c>
      <c r="L813" s="194">
        <f>_1_5412845612146241046457891017[[#This Row],[LIST $]]*_1_5412845612146241046457891017[[#This Row],[DISCOUNT]]*_1_5412845612146241046457891017[[#This Row],[DISCOUNT 2]]</f>
        <v>0</v>
      </c>
      <c r="M813" s="194">
        <f>IF(OR(_1_5412845612146241046457891017[[#This Row],[UNIT]]&gt;0,_1_5412845612146241046457891017[[#This Row],[UNIT]]&lt;0),_1_5412845612146241046457891017[[#This Row],[UNIT]]*_1_5412845612146241046457891017[[#This Row],[COST]],0)</f>
        <v>0</v>
      </c>
      <c r="N813" s="194">
        <f t="shared" si="12"/>
        <v>1.35</v>
      </c>
      <c r="O813" s="198">
        <f>_1_5412845612146241046457891017[[#This Row],[TOTAL]]*_1_5412845612146241046457891017[[#This Row],[MARGIN]]</f>
        <v>0</v>
      </c>
      <c r="R813" s="41"/>
    </row>
    <row r="814" spans="4:18">
      <c r="D814" s="188"/>
      <c r="F814" s="168" t="s">
        <v>6202</v>
      </c>
      <c r="G814" s="193">
        <f>IF(_1_5412845612146241046457891017[[#This Row],[Type]]&gt;0,VLOOKUP(_1_5412845612146241046457891017[[#This Row],[Type]],Main[[#All],[TYPE]:[UNIT]],'Unit Price'!C$1,FALSE),0)</f>
        <v>0</v>
      </c>
      <c r="H814" s="197">
        <f>IF(_1_5412845612146241046457891017[[#This Row],[Type]]&gt;0,VLOOKUP(_1_5412845612146241046457891017[[#This Row],[Type]],Main[[#All],[TYPE]:[UNIT]],'Unit Price'!D$1,FALSE),0)</f>
        <v>0</v>
      </c>
      <c r="I814" s="194">
        <f>IF(_1_5412845612146241046457891017[[#This Row],[Type]]&gt;0,VLOOKUP(_1_5412845612146241046457891017[[#This Row],[Type]],Main[[#All],[TYPE]:[UNIT]],'Unit Price'!G$1,FALSE),0)</f>
        <v>0</v>
      </c>
      <c r="J814" s="194">
        <f>IF(_1_5412845612146241046457891017[[#This Row],[Type]]&gt;0,VLOOKUP(_1_5412845612146241046457891017[[#This Row],[Type]],Main[[#All],[TYPE]:[UNIT]],'Unit Price'!H$1,FALSE),0)</f>
        <v>0</v>
      </c>
      <c r="K814" s="194">
        <f>IF(_1_5412845612146241046457891017[[#This Row],[Discount selection]]&gt;0,VLOOKUP(_1_5412845612146241046457891017[[#This Row],[Discount selection]],'Discount Structure'!$A$2:$B$30,2,"false"),0)</f>
        <v>1</v>
      </c>
      <c r="L814" s="194">
        <f>_1_5412845612146241046457891017[[#This Row],[LIST $]]*_1_5412845612146241046457891017[[#This Row],[DISCOUNT]]*_1_5412845612146241046457891017[[#This Row],[DISCOUNT 2]]</f>
        <v>0</v>
      </c>
      <c r="M814" s="194">
        <f>IF(OR(_1_5412845612146241046457891017[[#This Row],[UNIT]]&gt;0,_1_5412845612146241046457891017[[#This Row],[UNIT]]&lt;0),_1_5412845612146241046457891017[[#This Row],[UNIT]]*_1_5412845612146241046457891017[[#This Row],[COST]],0)</f>
        <v>0</v>
      </c>
      <c r="N814" s="194">
        <f t="shared" si="12"/>
        <v>1.35</v>
      </c>
      <c r="O814" s="198">
        <f>_1_5412845612146241046457891017[[#This Row],[TOTAL]]*_1_5412845612146241046457891017[[#This Row],[MARGIN]]</f>
        <v>0</v>
      </c>
      <c r="R814" s="41"/>
    </row>
    <row r="815" spans="4:18">
      <c r="D815" s="188"/>
      <c r="F815" s="168" t="s">
        <v>6202</v>
      </c>
      <c r="G815" s="193">
        <f>IF(_1_5412845612146241046457891017[[#This Row],[Type]]&gt;0,VLOOKUP(_1_5412845612146241046457891017[[#This Row],[Type]],Main[[#All],[TYPE]:[UNIT]],'Unit Price'!C$1,FALSE),0)</f>
        <v>0</v>
      </c>
      <c r="H815" s="197">
        <f>IF(_1_5412845612146241046457891017[[#This Row],[Type]]&gt;0,VLOOKUP(_1_5412845612146241046457891017[[#This Row],[Type]],Main[[#All],[TYPE]:[UNIT]],'Unit Price'!D$1,FALSE),0)</f>
        <v>0</v>
      </c>
      <c r="I815" s="194">
        <f>IF(_1_5412845612146241046457891017[[#This Row],[Type]]&gt;0,VLOOKUP(_1_5412845612146241046457891017[[#This Row],[Type]],Main[[#All],[TYPE]:[UNIT]],'Unit Price'!G$1,FALSE),0)</f>
        <v>0</v>
      </c>
      <c r="J815" s="194">
        <f>IF(_1_5412845612146241046457891017[[#This Row],[Type]]&gt;0,VLOOKUP(_1_5412845612146241046457891017[[#This Row],[Type]],Main[[#All],[TYPE]:[UNIT]],'Unit Price'!H$1,FALSE),0)</f>
        <v>0</v>
      </c>
      <c r="K815" s="194">
        <f>IF(_1_5412845612146241046457891017[[#This Row],[Discount selection]]&gt;0,VLOOKUP(_1_5412845612146241046457891017[[#This Row],[Discount selection]],'Discount Structure'!$A$2:$B$30,2,"false"),0)</f>
        <v>1</v>
      </c>
      <c r="L815" s="194">
        <f>_1_5412845612146241046457891017[[#This Row],[LIST $]]*_1_5412845612146241046457891017[[#This Row],[DISCOUNT]]*_1_5412845612146241046457891017[[#This Row],[DISCOUNT 2]]</f>
        <v>0</v>
      </c>
      <c r="M815" s="194">
        <f>IF(OR(_1_5412845612146241046457891017[[#This Row],[UNIT]]&gt;0,_1_5412845612146241046457891017[[#This Row],[UNIT]]&lt;0),_1_5412845612146241046457891017[[#This Row],[UNIT]]*_1_5412845612146241046457891017[[#This Row],[COST]],0)</f>
        <v>0</v>
      </c>
      <c r="N815" s="194">
        <f t="shared" si="12"/>
        <v>1.35</v>
      </c>
      <c r="O815" s="198">
        <f>_1_5412845612146241046457891017[[#This Row],[TOTAL]]*_1_5412845612146241046457891017[[#This Row],[MARGIN]]</f>
        <v>0</v>
      </c>
      <c r="R815" s="41"/>
    </row>
    <row r="816" spans="4:18">
      <c r="D816" s="188"/>
      <c r="F816" s="168" t="s">
        <v>6202</v>
      </c>
      <c r="G816" s="193">
        <f>IF(_1_5412845612146241046457891017[[#This Row],[Type]]&gt;0,VLOOKUP(_1_5412845612146241046457891017[[#This Row],[Type]],Main[[#All],[TYPE]:[UNIT]],'Unit Price'!C$1,FALSE),0)</f>
        <v>0</v>
      </c>
      <c r="H816" s="197">
        <f>IF(_1_5412845612146241046457891017[[#This Row],[Type]]&gt;0,VLOOKUP(_1_5412845612146241046457891017[[#This Row],[Type]],Main[[#All],[TYPE]:[UNIT]],'Unit Price'!D$1,FALSE),0)</f>
        <v>0</v>
      </c>
      <c r="I816" s="194">
        <f>IF(_1_5412845612146241046457891017[[#This Row],[Type]]&gt;0,VLOOKUP(_1_5412845612146241046457891017[[#This Row],[Type]],Main[[#All],[TYPE]:[UNIT]],'Unit Price'!G$1,FALSE),0)</f>
        <v>0</v>
      </c>
      <c r="J816" s="194">
        <f>IF(_1_5412845612146241046457891017[[#This Row],[Type]]&gt;0,VLOOKUP(_1_5412845612146241046457891017[[#This Row],[Type]],Main[[#All],[TYPE]:[UNIT]],'Unit Price'!H$1,FALSE),0)</f>
        <v>0</v>
      </c>
      <c r="K816" s="194">
        <f>IF(_1_5412845612146241046457891017[[#This Row],[Discount selection]]&gt;0,VLOOKUP(_1_5412845612146241046457891017[[#This Row],[Discount selection]],'Discount Structure'!$A$2:$B$30,2,"false"),0)</f>
        <v>1</v>
      </c>
      <c r="L816" s="194">
        <f>_1_5412845612146241046457891017[[#This Row],[LIST $]]*_1_5412845612146241046457891017[[#This Row],[DISCOUNT]]*_1_5412845612146241046457891017[[#This Row],[DISCOUNT 2]]</f>
        <v>0</v>
      </c>
      <c r="M816" s="194">
        <f>IF(OR(_1_5412845612146241046457891017[[#This Row],[UNIT]]&gt;0,_1_5412845612146241046457891017[[#This Row],[UNIT]]&lt;0),_1_5412845612146241046457891017[[#This Row],[UNIT]]*_1_5412845612146241046457891017[[#This Row],[COST]],0)</f>
        <v>0</v>
      </c>
      <c r="N816" s="194">
        <f t="shared" si="12"/>
        <v>1.35</v>
      </c>
      <c r="O816" s="198">
        <f>_1_5412845612146241046457891017[[#This Row],[TOTAL]]*_1_5412845612146241046457891017[[#This Row],[MARGIN]]</f>
        <v>0</v>
      </c>
      <c r="R816" s="41"/>
    </row>
    <row r="817" spans="4:18">
      <c r="D817" s="188"/>
      <c r="F817" s="168" t="s">
        <v>6202</v>
      </c>
      <c r="G817" s="193">
        <f>IF(_1_5412845612146241046457891017[[#This Row],[Type]]&gt;0,VLOOKUP(_1_5412845612146241046457891017[[#This Row],[Type]],Main[[#All],[TYPE]:[UNIT]],'Unit Price'!C$1,FALSE),0)</f>
        <v>0</v>
      </c>
      <c r="H817" s="197">
        <f>IF(_1_5412845612146241046457891017[[#This Row],[Type]]&gt;0,VLOOKUP(_1_5412845612146241046457891017[[#This Row],[Type]],Main[[#All],[TYPE]:[UNIT]],'Unit Price'!D$1,FALSE),0)</f>
        <v>0</v>
      </c>
      <c r="I817" s="194">
        <f>IF(_1_5412845612146241046457891017[[#This Row],[Type]]&gt;0,VLOOKUP(_1_5412845612146241046457891017[[#This Row],[Type]],Main[[#All],[TYPE]:[UNIT]],'Unit Price'!G$1,FALSE),0)</f>
        <v>0</v>
      </c>
      <c r="J817" s="194">
        <f>IF(_1_5412845612146241046457891017[[#This Row],[Type]]&gt;0,VLOOKUP(_1_5412845612146241046457891017[[#This Row],[Type]],Main[[#All],[TYPE]:[UNIT]],'Unit Price'!H$1,FALSE),0)</f>
        <v>0</v>
      </c>
      <c r="K817" s="194">
        <f>IF(_1_5412845612146241046457891017[[#This Row],[Discount selection]]&gt;0,VLOOKUP(_1_5412845612146241046457891017[[#This Row],[Discount selection]],'Discount Structure'!$A$2:$B$30,2,"false"),0)</f>
        <v>1</v>
      </c>
      <c r="L817" s="194">
        <f>_1_5412845612146241046457891017[[#This Row],[LIST $]]*_1_5412845612146241046457891017[[#This Row],[DISCOUNT]]*_1_5412845612146241046457891017[[#This Row],[DISCOUNT 2]]</f>
        <v>0</v>
      </c>
      <c r="M817" s="194">
        <f>IF(OR(_1_5412845612146241046457891017[[#This Row],[UNIT]]&gt;0,_1_5412845612146241046457891017[[#This Row],[UNIT]]&lt;0),_1_5412845612146241046457891017[[#This Row],[UNIT]]*_1_5412845612146241046457891017[[#This Row],[COST]],0)</f>
        <v>0</v>
      </c>
      <c r="N817" s="194">
        <f t="shared" si="12"/>
        <v>1.35</v>
      </c>
      <c r="O817" s="198">
        <f>_1_5412845612146241046457891017[[#This Row],[TOTAL]]*_1_5412845612146241046457891017[[#This Row],[MARGIN]]</f>
        <v>0</v>
      </c>
      <c r="R817" s="41"/>
    </row>
    <row r="818" spans="4:18">
      <c r="D818" s="188"/>
      <c r="F818" s="168" t="s">
        <v>6202</v>
      </c>
      <c r="G818" s="193">
        <f>IF(_1_5412845612146241046457891017[[#This Row],[Type]]&gt;0,VLOOKUP(_1_5412845612146241046457891017[[#This Row],[Type]],Main[[#All],[TYPE]:[UNIT]],'Unit Price'!C$1,FALSE),0)</f>
        <v>0</v>
      </c>
      <c r="H818" s="197">
        <f>IF(_1_5412845612146241046457891017[[#This Row],[Type]]&gt;0,VLOOKUP(_1_5412845612146241046457891017[[#This Row],[Type]],Main[[#All],[TYPE]:[UNIT]],'Unit Price'!D$1,FALSE),0)</f>
        <v>0</v>
      </c>
      <c r="I818" s="194">
        <f>IF(_1_5412845612146241046457891017[[#This Row],[Type]]&gt;0,VLOOKUP(_1_5412845612146241046457891017[[#This Row],[Type]],Main[[#All],[TYPE]:[UNIT]],'Unit Price'!G$1,FALSE),0)</f>
        <v>0</v>
      </c>
      <c r="J818" s="194">
        <f>IF(_1_5412845612146241046457891017[[#This Row],[Type]]&gt;0,VLOOKUP(_1_5412845612146241046457891017[[#This Row],[Type]],Main[[#All],[TYPE]:[UNIT]],'Unit Price'!H$1,FALSE),0)</f>
        <v>0</v>
      </c>
      <c r="K818" s="194">
        <f>IF(_1_5412845612146241046457891017[[#This Row],[Discount selection]]&gt;0,VLOOKUP(_1_5412845612146241046457891017[[#This Row],[Discount selection]],'Discount Structure'!$A$2:$B$30,2,"false"),0)</f>
        <v>1</v>
      </c>
      <c r="L818" s="194">
        <f>_1_5412845612146241046457891017[[#This Row],[LIST $]]*_1_5412845612146241046457891017[[#This Row],[DISCOUNT]]*_1_5412845612146241046457891017[[#This Row],[DISCOUNT 2]]</f>
        <v>0</v>
      </c>
      <c r="M818" s="194">
        <f>IF(OR(_1_5412845612146241046457891017[[#This Row],[UNIT]]&gt;0,_1_5412845612146241046457891017[[#This Row],[UNIT]]&lt;0),_1_5412845612146241046457891017[[#This Row],[UNIT]]*_1_5412845612146241046457891017[[#This Row],[COST]],0)</f>
        <v>0</v>
      </c>
      <c r="N818" s="194">
        <f t="shared" si="12"/>
        <v>1.35</v>
      </c>
      <c r="O818" s="198">
        <f>_1_5412845612146241046457891017[[#This Row],[TOTAL]]*_1_5412845612146241046457891017[[#This Row],[MARGIN]]</f>
        <v>0</v>
      </c>
      <c r="R818" s="41"/>
    </row>
    <row r="819" spans="4:18">
      <c r="D819" s="188"/>
      <c r="F819" s="168" t="s">
        <v>6202</v>
      </c>
      <c r="G819" s="193">
        <f>IF(_1_5412845612146241046457891017[[#This Row],[Type]]&gt;0,VLOOKUP(_1_5412845612146241046457891017[[#This Row],[Type]],Main[[#All],[TYPE]:[UNIT]],'Unit Price'!C$1,FALSE),0)</f>
        <v>0</v>
      </c>
      <c r="H819" s="197">
        <f>IF(_1_5412845612146241046457891017[[#This Row],[Type]]&gt;0,VLOOKUP(_1_5412845612146241046457891017[[#This Row],[Type]],Main[[#All],[TYPE]:[UNIT]],'Unit Price'!D$1,FALSE),0)</f>
        <v>0</v>
      </c>
      <c r="I819" s="194">
        <f>IF(_1_5412845612146241046457891017[[#This Row],[Type]]&gt;0,VLOOKUP(_1_5412845612146241046457891017[[#This Row],[Type]],Main[[#All],[TYPE]:[UNIT]],'Unit Price'!G$1,FALSE),0)</f>
        <v>0</v>
      </c>
      <c r="J819" s="194">
        <f>IF(_1_5412845612146241046457891017[[#This Row],[Type]]&gt;0,VLOOKUP(_1_5412845612146241046457891017[[#This Row],[Type]],Main[[#All],[TYPE]:[UNIT]],'Unit Price'!H$1,FALSE),0)</f>
        <v>0</v>
      </c>
      <c r="K819" s="194">
        <f>IF(_1_5412845612146241046457891017[[#This Row],[Discount selection]]&gt;0,VLOOKUP(_1_5412845612146241046457891017[[#This Row],[Discount selection]],'Discount Structure'!$A$2:$B$30,2,"false"),0)</f>
        <v>1</v>
      </c>
      <c r="L819" s="194">
        <f>_1_5412845612146241046457891017[[#This Row],[LIST $]]*_1_5412845612146241046457891017[[#This Row],[DISCOUNT]]*_1_5412845612146241046457891017[[#This Row],[DISCOUNT 2]]</f>
        <v>0</v>
      </c>
      <c r="M819" s="194">
        <f>IF(OR(_1_5412845612146241046457891017[[#This Row],[UNIT]]&gt;0,_1_5412845612146241046457891017[[#This Row],[UNIT]]&lt;0),_1_5412845612146241046457891017[[#This Row],[UNIT]]*_1_5412845612146241046457891017[[#This Row],[COST]],0)</f>
        <v>0</v>
      </c>
      <c r="N819" s="194">
        <f t="shared" si="12"/>
        <v>1.35</v>
      </c>
      <c r="O819" s="198">
        <f>_1_5412845612146241046457891017[[#This Row],[TOTAL]]*_1_5412845612146241046457891017[[#This Row],[MARGIN]]</f>
        <v>0</v>
      </c>
      <c r="R819" s="41"/>
    </row>
    <row r="820" spans="4:18">
      <c r="D820" s="188"/>
      <c r="F820" s="168" t="s">
        <v>6202</v>
      </c>
      <c r="G820" s="193">
        <f>IF(_1_5412845612146241046457891017[[#This Row],[Type]]&gt;0,VLOOKUP(_1_5412845612146241046457891017[[#This Row],[Type]],Main[[#All],[TYPE]:[UNIT]],'Unit Price'!C$1,FALSE),0)</f>
        <v>0</v>
      </c>
      <c r="H820" s="197">
        <f>IF(_1_5412845612146241046457891017[[#This Row],[Type]]&gt;0,VLOOKUP(_1_5412845612146241046457891017[[#This Row],[Type]],Main[[#All],[TYPE]:[UNIT]],'Unit Price'!D$1,FALSE),0)</f>
        <v>0</v>
      </c>
      <c r="I820" s="194">
        <f>IF(_1_5412845612146241046457891017[[#This Row],[Type]]&gt;0,VLOOKUP(_1_5412845612146241046457891017[[#This Row],[Type]],Main[[#All],[TYPE]:[UNIT]],'Unit Price'!G$1,FALSE),0)</f>
        <v>0</v>
      </c>
      <c r="J820" s="194">
        <f>IF(_1_5412845612146241046457891017[[#This Row],[Type]]&gt;0,VLOOKUP(_1_5412845612146241046457891017[[#This Row],[Type]],Main[[#All],[TYPE]:[UNIT]],'Unit Price'!H$1,FALSE),0)</f>
        <v>0</v>
      </c>
      <c r="K820" s="194">
        <f>IF(_1_5412845612146241046457891017[[#This Row],[Discount selection]]&gt;0,VLOOKUP(_1_5412845612146241046457891017[[#This Row],[Discount selection]],'Discount Structure'!$A$2:$B$30,2,"false"),0)</f>
        <v>1</v>
      </c>
      <c r="L820" s="194">
        <f>_1_5412845612146241046457891017[[#This Row],[LIST $]]*_1_5412845612146241046457891017[[#This Row],[DISCOUNT]]*_1_5412845612146241046457891017[[#This Row],[DISCOUNT 2]]</f>
        <v>0</v>
      </c>
      <c r="M820" s="194">
        <f>IF(OR(_1_5412845612146241046457891017[[#This Row],[UNIT]]&gt;0,_1_5412845612146241046457891017[[#This Row],[UNIT]]&lt;0),_1_5412845612146241046457891017[[#This Row],[UNIT]]*_1_5412845612146241046457891017[[#This Row],[COST]],0)</f>
        <v>0</v>
      </c>
      <c r="N820" s="194">
        <f t="shared" si="12"/>
        <v>1.35</v>
      </c>
      <c r="O820" s="198">
        <f>_1_5412845612146241046457891017[[#This Row],[TOTAL]]*_1_5412845612146241046457891017[[#This Row],[MARGIN]]</f>
        <v>0</v>
      </c>
      <c r="R820" s="41"/>
    </row>
    <row r="821" spans="4:18">
      <c r="D821" s="188"/>
      <c r="F821" s="168" t="s">
        <v>6202</v>
      </c>
      <c r="G821" s="193">
        <f>IF(_1_5412845612146241046457891017[[#This Row],[Type]]&gt;0,VLOOKUP(_1_5412845612146241046457891017[[#This Row],[Type]],Main[[#All],[TYPE]:[UNIT]],'Unit Price'!C$1,FALSE),0)</f>
        <v>0</v>
      </c>
      <c r="H821" s="197">
        <f>IF(_1_5412845612146241046457891017[[#This Row],[Type]]&gt;0,VLOOKUP(_1_5412845612146241046457891017[[#This Row],[Type]],Main[[#All],[TYPE]:[UNIT]],'Unit Price'!D$1,FALSE),0)</f>
        <v>0</v>
      </c>
      <c r="I821" s="194">
        <f>IF(_1_5412845612146241046457891017[[#This Row],[Type]]&gt;0,VLOOKUP(_1_5412845612146241046457891017[[#This Row],[Type]],Main[[#All],[TYPE]:[UNIT]],'Unit Price'!G$1,FALSE),0)</f>
        <v>0</v>
      </c>
      <c r="J821" s="194">
        <f>IF(_1_5412845612146241046457891017[[#This Row],[Type]]&gt;0,VLOOKUP(_1_5412845612146241046457891017[[#This Row],[Type]],Main[[#All],[TYPE]:[UNIT]],'Unit Price'!H$1,FALSE),0)</f>
        <v>0</v>
      </c>
      <c r="K821" s="194">
        <f>IF(_1_5412845612146241046457891017[[#This Row],[Discount selection]]&gt;0,VLOOKUP(_1_5412845612146241046457891017[[#This Row],[Discount selection]],'Discount Structure'!$A$2:$B$30,2,"false"),0)</f>
        <v>1</v>
      </c>
      <c r="L821" s="194">
        <f>_1_5412845612146241046457891017[[#This Row],[LIST $]]*_1_5412845612146241046457891017[[#This Row],[DISCOUNT]]*_1_5412845612146241046457891017[[#This Row],[DISCOUNT 2]]</f>
        <v>0</v>
      </c>
      <c r="M821" s="194">
        <f>IF(OR(_1_5412845612146241046457891017[[#This Row],[UNIT]]&gt;0,_1_5412845612146241046457891017[[#This Row],[UNIT]]&lt;0),_1_5412845612146241046457891017[[#This Row],[UNIT]]*_1_5412845612146241046457891017[[#This Row],[COST]],0)</f>
        <v>0</v>
      </c>
      <c r="N821" s="194">
        <f t="shared" si="12"/>
        <v>1.35</v>
      </c>
      <c r="O821" s="198">
        <f>_1_5412845612146241046457891017[[#This Row],[TOTAL]]*_1_5412845612146241046457891017[[#This Row],[MARGIN]]</f>
        <v>0</v>
      </c>
      <c r="R821" s="41"/>
    </row>
    <row r="822" spans="4:18">
      <c r="D822" s="188"/>
      <c r="F822" s="168" t="s">
        <v>6202</v>
      </c>
      <c r="G822" s="193">
        <f>IF(_1_5412845612146241046457891017[[#This Row],[Type]]&gt;0,VLOOKUP(_1_5412845612146241046457891017[[#This Row],[Type]],Main[[#All],[TYPE]:[UNIT]],'Unit Price'!C$1,FALSE),0)</f>
        <v>0</v>
      </c>
      <c r="H822" s="197">
        <f>IF(_1_5412845612146241046457891017[[#This Row],[Type]]&gt;0,VLOOKUP(_1_5412845612146241046457891017[[#This Row],[Type]],Main[[#All],[TYPE]:[UNIT]],'Unit Price'!D$1,FALSE),0)</f>
        <v>0</v>
      </c>
      <c r="I822" s="194">
        <f>IF(_1_5412845612146241046457891017[[#This Row],[Type]]&gt;0,VLOOKUP(_1_5412845612146241046457891017[[#This Row],[Type]],Main[[#All],[TYPE]:[UNIT]],'Unit Price'!G$1,FALSE),0)</f>
        <v>0</v>
      </c>
      <c r="J822" s="194">
        <f>IF(_1_5412845612146241046457891017[[#This Row],[Type]]&gt;0,VLOOKUP(_1_5412845612146241046457891017[[#This Row],[Type]],Main[[#All],[TYPE]:[UNIT]],'Unit Price'!H$1,FALSE),0)</f>
        <v>0</v>
      </c>
      <c r="K822" s="194">
        <f>IF(_1_5412845612146241046457891017[[#This Row],[Discount selection]]&gt;0,VLOOKUP(_1_5412845612146241046457891017[[#This Row],[Discount selection]],'Discount Structure'!$A$2:$B$30,2,"false"),0)</f>
        <v>1</v>
      </c>
      <c r="L822" s="194">
        <f>_1_5412845612146241046457891017[[#This Row],[LIST $]]*_1_5412845612146241046457891017[[#This Row],[DISCOUNT]]*_1_5412845612146241046457891017[[#This Row],[DISCOUNT 2]]</f>
        <v>0</v>
      </c>
      <c r="M822" s="194">
        <f>IF(OR(_1_5412845612146241046457891017[[#This Row],[UNIT]]&gt;0,_1_5412845612146241046457891017[[#This Row],[UNIT]]&lt;0),_1_5412845612146241046457891017[[#This Row],[UNIT]]*_1_5412845612146241046457891017[[#This Row],[COST]],0)</f>
        <v>0</v>
      </c>
      <c r="N822" s="194">
        <f t="shared" si="12"/>
        <v>1.35</v>
      </c>
      <c r="O822" s="198">
        <f>_1_5412845612146241046457891017[[#This Row],[TOTAL]]*_1_5412845612146241046457891017[[#This Row],[MARGIN]]</f>
        <v>0</v>
      </c>
      <c r="R822" s="41"/>
    </row>
    <row r="823" spans="4:18">
      <c r="D823" s="188"/>
      <c r="F823" s="168" t="s">
        <v>6202</v>
      </c>
      <c r="G823" s="193">
        <f>IF(_1_5412845612146241046457891017[[#This Row],[Type]]&gt;0,VLOOKUP(_1_5412845612146241046457891017[[#This Row],[Type]],Main[[#All],[TYPE]:[UNIT]],'Unit Price'!C$1,FALSE),0)</f>
        <v>0</v>
      </c>
      <c r="H823" s="197">
        <f>IF(_1_5412845612146241046457891017[[#This Row],[Type]]&gt;0,VLOOKUP(_1_5412845612146241046457891017[[#This Row],[Type]],Main[[#All],[TYPE]:[UNIT]],'Unit Price'!D$1,FALSE),0)</f>
        <v>0</v>
      </c>
      <c r="I823" s="194">
        <f>IF(_1_5412845612146241046457891017[[#This Row],[Type]]&gt;0,VLOOKUP(_1_5412845612146241046457891017[[#This Row],[Type]],Main[[#All],[TYPE]:[UNIT]],'Unit Price'!G$1,FALSE),0)</f>
        <v>0</v>
      </c>
      <c r="J823" s="194">
        <f>IF(_1_5412845612146241046457891017[[#This Row],[Type]]&gt;0,VLOOKUP(_1_5412845612146241046457891017[[#This Row],[Type]],Main[[#All],[TYPE]:[UNIT]],'Unit Price'!H$1,FALSE),0)</f>
        <v>0</v>
      </c>
      <c r="K823" s="194">
        <f>IF(_1_5412845612146241046457891017[[#This Row],[Discount selection]]&gt;0,VLOOKUP(_1_5412845612146241046457891017[[#This Row],[Discount selection]],'Discount Structure'!$A$2:$B$30,2,"false"),0)</f>
        <v>1</v>
      </c>
      <c r="L823" s="194">
        <f>_1_5412845612146241046457891017[[#This Row],[LIST $]]*_1_5412845612146241046457891017[[#This Row],[DISCOUNT]]*_1_5412845612146241046457891017[[#This Row],[DISCOUNT 2]]</f>
        <v>0</v>
      </c>
      <c r="M823" s="194">
        <f>IF(OR(_1_5412845612146241046457891017[[#This Row],[UNIT]]&gt;0,_1_5412845612146241046457891017[[#This Row],[UNIT]]&lt;0),_1_5412845612146241046457891017[[#This Row],[UNIT]]*_1_5412845612146241046457891017[[#This Row],[COST]],0)</f>
        <v>0</v>
      </c>
      <c r="N823" s="194">
        <f t="shared" si="12"/>
        <v>1.35</v>
      </c>
      <c r="O823" s="198">
        <f>_1_5412845612146241046457891017[[#This Row],[TOTAL]]*_1_5412845612146241046457891017[[#This Row],[MARGIN]]</f>
        <v>0</v>
      </c>
      <c r="R823" s="41"/>
    </row>
    <row r="824" spans="4:18">
      <c r="D824" s="188"/>
      <c r="F824" s="168" t="s">
        <v>6202</v>
      </c>
      <c r="G824" s="193">
        <f>IF(_1_5412845612146241046457891017[[#This Row],[Type]]&gt;0,VLOOKUP(_1_5412845612146241046457891017[[#This Row],[Type]],Main[[#All],[TYPE]:[UNIT]],'Unit Price'!C$1,FALSE),0)</f>
        <v>0</v>
      </c>
      <c r="H824" s="197">
        <f>IF(_1_5412845612146241046457891017[[#This Row],[Type]]&gt;0,VLOOKUP(_1_5412845612146241046457891017[[#This Row],[Type]],Main[[#All],[TYPE]:[UNIT]],'Unit Price'!D$1,FALSE),0)</f>
        <v>0</v>
      </c>
      <c r="I824" s="194">
        <f>IF(_1_5412845612146241046457891017[[#This Row],[Type]]&gt;0,VLOOKUP(_1_5412845612146241046457891017[[#This Row],[Type]],Main[[#All],[TYPE]:[UNIT]],'Unit Price'!G$1,FALSE),0)</f>
        <v>0</v>
      </c>
      <c r="J824" s="194">
        <f>IF(_1_5412845612146241046457891017[[#This Row],[Type]]&gt;0,VLOOKUP(_1_5412845612146241046457891017[[#This Row],[Type]],Main[[#All],[TYPE]:[UNIT]],'Unit Price'!H$1,FALSE),0)</f>
        <v>0</v>
      </c>
      <c r="K824" s="194">
        <f>IF(_1_5412845612146241046457891017[[#This Row],[Discount selection]]&gt;0,VLOOKUP(_1_5412845612146241046457891017[[#This Row],[Discount selection]],'Discount Structure'!$A$2:$B$30,2,"false"),0)</f>
        <v>1</v>
      </c>
      <c r="L824" s="194">
        <f>_1_5412845612146241046457891017[[#This Row],[LIST $]]*_1_5412845612146241046457891017[[#This Row],[DISCOUNT]]*_1_5412845612146241046457891017[[#This Row],[DISCOUNT 2]]</f>
        <v>0</v>
      </c>
      <c r="M824" s="194">
        <f>IF(OR(_1_5412845612146241046457891017[[#This Row],[UNIT]]&gt;0,_1_5412845612146241046457891017[[#This Row],[UNIT]]&lt;0),_1_5412845612146241046457891017[[#This Row],[UNIT]]*_1_5412845612146241046457891017[[#This Row],[COST]],0)</f>
        <v>0</v>
      </c>
      <c r="N824" s="194">
        <f t="shared" si="12"/>
        <v>1.35</v>
      </c>
      <c r="O824" s="198">
        <f>_1_5412845612146241046457891017[[#This Row],[TOTAL]]*_1_5412845612146241046457891017[[#This Row],[MARGIN]]</f>
        <v>0</v>
      </c>
      <c r="R824" s="41"/>
    </row>
    <row r="825" spans="4:18">
      <c r="D825" s="188"/>
      <c r="F825" s="168" t="s">
        <v>6202</v>
      </c>
      <c r="G825" s="193">
        <f>IF(_1_5412845612146241046457891017[[#This Row],[Type]]&gt;0,VLOOKUP(_1_5412845612146241046457891017[[#This Row],[Type]],Main[[#All],[TYPE]:[UNIT]],'Unit Price'!C$1,FALSE),0)</f>
        <v>0</v>
      </c>
      <c r="H825" s="197">
        <f>IF(_1_5412845612146241046457891017[[#This Row],[Type]]&gt;0,VLOOKUP(_1_5412845612146241046457891017[[#This Row],[Type]],Main[[#All],[TYPE]:[UNIT]],'Unit Price'!D$1,FALSE),0)</f>
        <v>0</v>
      </c>
      <c r="I825" s="194">
        <f>IF(_1_5412845612146241046457891017[[#This Row],[Type]]&gt;0,VLOOKUP(_1_5412845612146241046457891017[[#This Row],[Type]],Main[[#All],[TYPE]:[UNIT]],'Unit Price'!G$1,FALSE),0)</f>
        <v>0</v>
      </c>
      <c r="J825" s="194">
        <f>IF(_1_5412845612146241046457891017[[#This Row],[Type]]&gt;0,VLOOKUP(_1_5412845612146241046457891017[[#This Row],[Type]],Main[[#All],[TYPE]:[UNIT]],'Unit Price'!H$1,FALSE),0)</f>
        <v>0</v>
      </c>
      <c r="K825" s="194">
        <f>IF(_1_5412845612146241046457891017[[#This Row],[Discount selection]]&gt;0,VLOOKUP(_1_5412845612146241046457891017[[#This Row],[Discount selection]],'Discount Structure'!$A$2:$B$30,2,"false"),0)</f>
        <v>1</v>
      </c>
      <c r="L825" s="194">
        <f>_1_5412845612146241046457891017[[#This Row],[LIST $]]*_1_5412845612146241046457891017[[#This Row],[DISCOUNT]]*_1_5412845612146241046457891017[[#This Row],[DISCOUNT 2]]</f>
        <v>0</v>
      </c>
      <c r="M825" s="194">
        <f>IF(OR(_1_5412845612146241046457891017[[#This Row],[UNIT]]&gt;0,_1_5412845612146241046457891017[[#This Row],[UNIT]]&lt;0),_1_5412845612146241046457891017[[#This Row],[UNIT]]*_1_5412845612146241046457891017[[#This Row],[COST]],0)</f>
        <v>0</v>
      </c>
      <c r="N825" s="194">
        <f t="shared" si="12"/>
        <v>1.35</v>
      </c>
      <c r="O825" s="198">
        <f>_1_5412845612146241046457891017[[#This Row],[TOTAL]]*_1_5412845612146241046457891017[[#This Row],[MARGIN]]</f>
        <v>0</v>
      </c>
      <c r="R825" s="41"/>
    </row>
    <row r="826" spans="4:18">
      <c r="D826" s="188"/>
      <c r="F826" s="168" t="s">
        <v>6202</v>
      </c>
      <c r="G826" s="193">
        <f>IF(_1_5412845612146241046457891017[[#This Row],[Type]]&gt;0,VLOOKUP(_1_5412845612146241046457891017[[#This Row],[Type]],Main[[#All],[TYPE]:[UNIT]],'Unit Price'!C$1,FALSE),0)</f>
        <v>0</v>
      </c>
      <c r="H826" s="197">
        <f>IF(_1_5412845612146241046457891017[[#This Row],[Type]]&gt;0,VLOOKUP(_1_5412845612146241046457891017[[#This Row],[Type]],Main[[#All],[TYPE]:[UNIT]],'Unit Price'!D$1,FALSE),0)</f>
        <v>0</v>
      </c>
      <c r="I826" s="194">
        <f>IF(_1_5412845612146241046457891017[[#This Row],[Type]]&gt;0,VLOOKUP(_1_5412845612146241046457891017[[#This Row],[Type]],Main[[#All],[TYPE]:[UNIT]],'Unit Price'!G$1,FALSE),0)</f>
        <v>0</v>
      </c>
      <c r="J826" s="194">
        <f>IF(_1_5412845612146241046457891017[[#This Row],[Type]]&gt;0,VLOOKUP(_1_5412845612146241046457891017[[#This Row],[Type]],Main[[#All],[TYPE]:[UNIT]],'Unit Price'!H$1,FALSE),0)</f>
        <v>0</v>
      </c>
      <c r="K826" s="194">
        <f>IF(_1_5412845612146241046457891017[[#This Row],[Discount selection]]&gt;0,VLOOKUP(_1_5412845612146241046457891017[[#This Row],[Discount selection]],'Discount Structure'!$A$2:$B$30,2,"false"),0)</f>
        <v>1</v>
      </c>
      <c r="L826" s="194">
        <f>_1_5412845612146241046457891017[[#This Row],[LIST $]]*_1_5412845612146241046457891017[[#This Row],[DISCOUNT]]*_1_5412845612146241046457891017[[#This Row],[DISCOUNT 2]]</f>
        <v>0</v>
      </c>
      <c r="M826" s="194">
        <f>IF(OR(_1_5412845612146241046457891017[[#This Row],[UNIT]]&gt;0,_1_5412845612146241046457891017[[#This Row],[UNIT]]&lt;0),_1_5412845612146241046457891017[[#This Row],[UNIT]]*_1_5412845612146241046457891017[[#This Row],[COST]],0)</f>
        <v>0</v>
      </c>
      <c r="N826" s="194">
        <f t="shared" si="12"/>
        <v>1.35</v>
      </c>
      <c r="O826" s="198">
        <f>_1_5412845612146241046457891017[[#This Row],[TOTAL]]*_1_5412845612146241046457891017[[#This Row],[MARGIN]]</f>
        <v>0</v>
      </c>
      <c r="R826" s="41"/>
    </row>
    <row r="827" spans="4:18">
      <c r="D827" s="188"/>
      <c r="F827" s="168" t="s">
        <v>6202</v>
      </c>
      <c r="G827" s="193">
        <f>IF(_1_5412845612146241046457891017[[#This Row],[Type]]&gt;0,VLOOKUP(_1_5412845612146241046457891017[[#This Row],[Type]],Main[[#All],[TYPE]:[UNIT]],'Unit Price'!C$1,FALSE),0)</f>
        <v>0</v>
      </c>
      <c r="H827" s="197">
        <f>IF(_1_5412845612146241046457891017[[#This Row],[Type]]&gt;0,VLOOKUP(_1_5412845612146241046457891017[[#This Row],[Type]],Main[[#All],[TYPE]:[UNIT]],'Unit Price'!D$1,FALSE),0)</f>
        <v>0</v>
      </c>
      <c r="I827" s="194">
        <f>IF(_1_5412845612146241046457891017[[#This Row],[Type]]&gt;0,VLOOKUP(_1_5412845612146241046457891017[[#This Row],[Type]],Main[[#All],[TYPE]:[UNIT]],'Unit Price'!G$1,FALSE),0)</f>
        <v>0</v>
      </c>
      <c r="J827" s="194">
        <f>IF(_1_5412845612146241046457891017[[#This Row],[Type]]&gt;0,VLOOKUP(_1_5412845612146241046457891017[[#This Row],[Type]],Main[[#All],[TYPE]:[UNIT]],'Unit Price'!H$1,FALSE),0)</f>
        <v>0</v>
      </c>
      <c r="K827" s="194">
        <f>IF(_1_5412845612146241046457891017[[#This Row],[Discount selection]]&gt;0,VLOOKUP(_1_5412845612146241046457891017[[#This Row],[Discount selection]],'Discount Structure'!$A$2:$B$30,2,"false"),0)</f>
        <v>1</v>
      </c>
      <c r="L827" s="194">
        <f>_1_5412845612146241046457891017[[#This Row],[LIST $]]*_1_5412845612146241046457891017[[#This Row],[DISCOUNT]]*_1_5412845612146241046457891017[[#This Row],[DISCOUNT 2]]</f>
        <v>0</v>
      </c>
      <c r="M827" s="194">
        <f>IF(OR(_1_5412845612146241046457891017[[#This Row],[UNIT]]&gt;0,_1_5412845612146241046457891017[[#This Row],[UNIT]]&lt;0),_1_5412845612146241046457891017[[#This Row],[UNIT]]*_1_5412845612146241046457891017[[#This Row],[COST]],0)</f>
        <v>0</v>
      </c>
      <c r="N827" s="194">
        <f t="shared" si="12"/>
        <v>1.35</v>
      </c>
      <c r="O827" s="198">
        <f>_1_5412845612146241046457891017[[#This Row],[TOTAL]]*_1_5412845612146241046457891017[[#This Row],[MARGIN]]</f>
        <v>0</v>
      </c>
      <c r="R827" s="41"/>
    </row>
    <row r="828" spans="4:18">
      <c r="D828" s="188"/>
      <c r="F828" s="168" t="s">
        <v>6202</v>
      </c>
      <c r="G828" s="193">
        <f>IF(_1_5412845612146241046457891017[[#This Row],[Type]]&gt;0,VLOOKUP(_1_5412845612146241046457891017[[#This Row],[Type]],Main[[#All],[TYPE]:[UNIT]],'Unit Price'!C$1,FALSE),0)</f>
        <v>0</v>
      </c>
      <c r="H828" s="197">
        <f>IF(_1_5412845612146241046457891017[[#This Row],[Type]]&gt;0,VLOOKUP(_1_5412845612146241046457891017[[#This Row],[Type]],Main[[#All],[TYPE]:[UNIT]],'Unit Price'!D$1,FALSE),0)</f>
        <v>0</v>
      </c>
      <c r="I828" s="194">
        <f>IF(_1_5412845612146241046457891017[[#This Row],[Type]]&gt;0,VLOOKUP(_1_5412845612146241046457891017[[#This Row],[Type]],Main[[#All],[TYPE]:[UNIT]],'Unit Price'!G$1,FALSE),0)</f>
        <v>0</v>
      </c>
      <c r="J828" s="194">
        <f>IF(_1_5412845612146241046457891017[[#This Row],[Type]]&gt;0,VLOOKUP(_1_5412845612146241046457891017[[#This Row],[Type]],Main[[#All],[TYPE]:[UNIT]],'Unit Price'!H$1,FALSE),0)</f>
        <v>0</v>
      </c>
      <c r="K828" s="194">
        <f>IF(_1_5412845612146241046457891017[[#This Row],[Discount selection]]&gt;0,VLOOKUP(_1_5412845612146241046457891017[[#This Row],[Discount selection]],'Discount Structure'!$A$2:$B$30,2,"false"),0)</f>
        <v>1</v>
      </c>
      <c r="L828" s="194">
        <f>_1_5412845612146241046457891017[[#This Row],[LIST $]]*_1_5412845612146241046457891017[[#This Row],[DISCOUNT]]*_1_5412845612146241046457891017[[#This Row],[DISCOUNT 2]]</f>
        <v>0</v>
      </c>
      <c r="M828" s="194">
        <f>IF(OR(_1_5412845612146241046457891017[[#This Row],[UNIT]]&gt;0,_1_5412845612146241046457891017[[#This Row],[UNIT]]&lt;0),_1_5412845612146241046457891017[[#This Row],[UNIT]]*_1_5412845612146241046457891017[[#This Row],[COST]],0)</f>
        <v>0</v>
      </c>
      <c r="N828" s="194">
        <f t="shared" si="12"/>
        <v>1.35</v>
      </c>
      <c r="O828" s="198">
        <f>_1_5412845612146241046457891017[[#This Row],[TOTAL]]*_1_5412845612146241046457891017[[#This Row],[MARGIN]]</f>
        <v>0</v>
      </c>
      <c r="R828" s="41"/>
    </row>
    <row r="829" spans="4:18">
      <c r="D829" s="188"/>
      <c r="F829" s="168" t="s">
        <v>6202</v>
      </c>
      <c r="G829" s="193">
        <f>IF(_1_5412845612146241046457891017[[#This Row],[Type]]&gt;0,VLOOKUP(_1_5412845612146241046457891017[[#This Row],[Type]],Main[[#All],[TYPE]:[UNIT]],'Unit Price'!C$1,FALSE),0)</f>
        <v>0</v>
      </c>
      <c r="H829" s="197">
        <f>IF(_1_5412845612146241046457891017[[#This Row],[Type]]&gt;0,VLOOKUP(_1_5412845612146241046457891017[[#This Row],[Type]],Main[[#All],[TYPE]:[UNIT]],'Unit Price'!D$1,FALSE),0)</f>
        <v>0</v>
      </c>
      <c r="I829" s="194">
        <f>IF(_1_5412845612146241046457891017[[#This Row],[Type]]&gt;0,VLOOKUP(_1_5412845612146241046457891017[[#This Row],[Type]],Main[[#All],[TYPE]:[UNIT]],'Unit Price'!G$1,FALSE),0)</f>
        <v>0</v>
      </c>
      <c r="J829" s="194">
        <f>IF(_1_5412845612146241046457891017[[#This Row],[Type]]&gt;0,VLOOKUP(_1_5412845612146241046457891017[[#This Row],[Type]],Main[[#All],[TYPE]:[UNIT]],'Unit Price'!H$1,FALSE),0)</f>
        <v>0</v>
      </c>
      <c r="K829" s="194">
        <f>IF(_1_5412845612146241046457891017[[#This Row],[Discount selection]]&gt;0,VLOOKUP(_1_5412845612146241046457891017[[#This Row],[Discount selection]],'Discount Structure'!$A$2:$B$30,2,"false"),0)</f>
        <v>1</v>
      </c>
      <c r="L829" s="194">
        <f>_1_5412845612146241046457891017[[#This Row],[LIST $]]*_1_5412845612146241046457891017[[#This Row],[DISCOUNT]]*_1_5412845612146241046457891017[[#This Row],[DISCOUNT 2]]</f>
        <v>0</v>
      </c>
      <c r="M829" s="194">
        <f>IF(OR(_1_5412845612146241046457891017[[#This Row],[UNIT]]&gt;0,_1_5412845612146241046457891017[[#This Row],[UNIT]]&lt;0),_1_5412845612146241046457891017[[#This Row],[UNIT]]*_1_5412845612146241046457891017[[#This Row],[COST]],0)</f>
        <v>0</v>
      </c>
      <c r="N829" s="194">
        <f t="shared" si="12"/>
        <v>1.35</v>
      </c>
      <c r="O829" s="198">
        <f>_1_5412845612146241046457891017[[#This Row],[TOTAL]]*_1_5412845612146241046457891017[[#This Row],[MARGIN]]</f>
        <v>0</v>
      </c>
      <c r="R829" s="41"/>
    </row>
    <row r="830" spans="4:18">
      <c r="D830" s="188"/>
      <c r="F830" s="168" t="s">
        <v>6202</v>
      </c>
      <c r="G830" s="193">
        <f>IF(_1_5412845612146241046457891017[[#This Row],[Type]]&gt;0,VLOOKUP(_1_5412845612146241046457891017[[#This Row],[Type]],Main[[#All],[TYPE]:[UNIT]],'Unit Price'!C$1,FALSE),0)</f>
        <v>0</v>
      </c>
      <c r="H830" s="197">
        <f>IF(_1_5412845612146241046457891017[[#This Row],[Type]]&gt;0,VLOOKUP(_1_5412845612146241046457891017[[#This Row],[Type]],Main[[#All],[TYPE]:[UNIT]],'Unit Price'!D$1,FALSE),0)</f>
        <v>0</v>
      </c>
      <c r="I830" s="194">
        <f>IF(_1_5412845612146241046457891017[[#This Row],[Type]]&gt;0,VLOOKUP(_1_5412845612146241046457891017[[#This Row],[Type]],Main[[#All],[TYPE]:[UNIT]],'Unit Price'!G$1,FALSE),0)</f>
        <v>0</v>
      </c>
      <c r="J830" s="194">
        <f>IF(_1_5412845612146241046457891017[[#This Row],[Type]]&gt;0,VLOOKUP(_1_5412845612146241046457891017[[#This Row],[Type]],Main[[#All],[TYPE]:[UNIT]],'Unit Price'!H$1,FALSE),0)</f>
        <v>0</v>
      </c>
      <c r="K830" s="194">
        <f>IF(_1_5412845612146241046457891017[[#This Row],[Discount selection]]&gt;0,VLOOKUP(_1_5412845612146241046457891017[[#This Row],[Discount selection]],'Discount Structure'!$A$2:$B$30,2,"false"),0)</f>
        <v>1</v>
      </c>
      <c r="L830" s="194">
        <f>_1_5412845612146241046457891017[[#This Row],[LIST $]]*_1_5412845612146241046457891017[[#This Row],[DISCOUNT]]*_1_5412845612146241046457891017[[#This Row],[DISCOUNT 2]]</f>
        <v>0</v>
      </c>
      <c r="M830" s="194">
        <f>IF(OR(_1_5412845612146241046457891017[[#This Row],[UNIT]]&gt;0,_1_5412845612146241046457891017[[#This Row],[UNIT]]&lt;0),_1_5412845612146241046457891017[[#This Row],[UNIT]]*_1_5412845612146241046457891017[[#This Row],[COST]],0)</f>
        <v>0</v>
      </c>
      <c r="N830" s="194">
        <f t="shared" si="12"/>
        <v>1.35</v>
      </c>
      <c r="O830" s="198">
        <f>_1_5412845612146241046457891017[[#This Row],[TOTAL]]*_1_5412845612146241046457891017[[#This Row],[MARGIN]]</f>
        <v>0</v>
      </c>
      <c r="R830" s="41"/>
    </row>
    <row r="831" spans="4:18">
      <c r="D831" s="188"/>
      <c r="F831" s="168" t="s">
        <v>6202</v>
      </c>
      <c r="G831" s="193">
        <f>IF(_1_5412845612146241046457891017[[#This Row],[Type]]&gt;0,VLOOKUP(_1_5412845612146241046457891017[[#This Row],[Type]],Main[[#All],[TYPE]:[UNIT]],'Unit Price'!C$1,FALSE),0)</f>
        <v>0</v>
      </c>
      <c r="H831" s="197">
        <f>IF(_1_5412845612146241046457891017[[#This Row],[Type]]&gt;0,VLOOKUP(_1_5412845612146241046457891017[[#This Row],[Type]],Main[[#All],[TYPE]:[UNIT]],'Unit Price'!D$1,FALSE),0)</f>
        <v>0</v>
      </c>
      <c r="I831" s="194">
        <f>IF(_1_5412845612146241046457891017[[#This Row],[Type]]&gt;0,VLOOKUP(_1_5412845612146241046457891017[[#This Row],[Type]],Main[[#All],[TYPE]:[UNIT]],'Unit Price'!G$1,FALSE),0)</f>
        <v>0</v>
      </c>
      <c r="J831" s="194">
        <f>IF(_1_5412845612146241046457891017[[#This Row],[Type]]&gt;0,VLOOKUP(_1_5412845612146241046457891017[[#This Row],[Type]],Main[[#All],[TYPE]:[UNIT]],'Unit Price'!H$1,FALSE),0)</f>
        <v>0</v>
      </c>
      <c r="K831" s="194">
        <f>IF(_1_5412845612146241046457891017[[#This Row],[Discount selection]]&gt;0,VLOOKUP(_1_5412845612146241046457891017[[#This Row],[Discount selection]],'Discount Structure'!$A$2:$B$30,2,"false"),0)</f>
        <v>1</v>
      </c>
      <c r="L831" s="194">
        <f>_1_5412845612146241046457891017[[#This Row],[LIST $]]*_1_5412845612146241046457891017[[#This Row],[DISCOUNT]]*_1_5412845612146241046457891017[[#This Row],[DISCOUNT 2]]</f>
        <v>0</v>
      </c>
      <c r="M831" s="194">
        <f>IF(OR(_1_5412845612146241046457891017[[#This Row],[UNIT]]&gt;0,_1_5412845612146241046457891017[[#This Row],[UNIT]]&lt;0),_1_5412845612146241046457891017[[#This Row],[UNIT]]*_1_5412845612146241046457891017[[#This Row],[COST]],0)</f>
        <v>0</v>
      </c>
      <c r="N831" s="194">
        <f t="shared" si="12"/>
        <v>1.35</v>
      </c>
      <c r="O831" s="198">
        <f>_1_5412845612146241046457891017[[#This Row],[TOTAL]]*_1_5412845612146241046457891017[[#This Row],[MARGIN]]</f>
        <v>0</v>
      </c>
      <c r="R831" s="41"/>
    </row>
    <row r="832" spans="4:18">
      <c r="D832" s="188"/>
      <c r="F832" s="168" t="s">
        <v>6202</v>
      </c>
      <c r="G832" s="193">
        <f>IF(_1_5412845612146241046457891017[[#This Row],[Type]]&gt;0,VLOOKUP(_1_5412845612146241046457891017[[#This Row],[Type]],Main[[#All],[TYPE]:[UNIT]],'Unit Price'!C$1,FALSE),0)</f>
        <v>0</v>
      </c>
      <c r="H832" s="197">
        <f>IF(_1_5412845612146241046457891017[[#This Row],[Type]]&gt;0,VLOOKUP(_1_5412845612146241046457891017[[#This Row],[Type]],Main[[#All],[TYPE]:[UNIT]],'Unit Price'!D$1,FALSE),0)</f>
        <v>0</v>
      </c>
      <c r="I832" s="194">
        <f>IF(_1_5412845612146241046457891017[[#This Row],[Type]]&gt;0,VLOOKUP(_1_5412845612146241046457891017[[#This Row],[Type]],Main[[#All],[TYPE]:[UNIT]],'Unit Price'!G$1,FALSE),0)</f>
        <v>0</v>
      </c>
      <c r="J832" s="194">
        <f>IF(_1_5412845612146241046457891017[[#This Row],[Type]]&gt;0,VLOOKUP(_1_5412845612146241046457891017[[#This Row],[Type]],Main[[#All],[TYPE]:[UNIT]],'Unit Price'!H$1,FALSE),0)</f>
        <v>0</v>
      </c>
      <c r="K832" s="194">
        <f>IF(_1_5412845612146241046457891017[[#This Row],[Discount selection]]&gt;0,VLOOKUP(_1_5412845612146241046457891017[[#This Row],[Discount selection]],'Discount Structure'!$A$2:$B$30,2,"false"),0)</f>
        <v>1</v>
      </c>
      <c r="L832" s="194">
        <f>_1_5412845612146241046457891017[[#This Row],[LIST $]]*_1_5412845612146241046457891017[[#This Row],[DISCOUNT]]*_1_5412845612146241046457891017[[#This Row],[DISCOUNT 2]]</f>
        <v>0</v>
      </c>
      <c r="M832" s="194">
        <f>IF(OR(_1_5412845612146241046457891017[[#This Row],[UNIT]]&gt;0,_1_5412845612146241046457891017[[#This Row],[UNIT]]&lt;0),_1_5412845612146241046457891017[[#This Row],[UNIT]]*_1_5412845612146241046457891017[[#This Row],[COST]],0)</f>
        <v>0</v>
      </c>
      <c r="N832" s="194">
        <f t="shared" si="12"/>
        <v>1.35</v>
      </c>
      <c r="O832" s="198">
        <f>_1_5412845612146241046457891017[[#This Row],[TOTAL]]*_1_5412845612146241046457891017[[#This Row],[MARGIN]]</f>
        <v>0</v>
      </c>
      <c r="R832" s="41"/>
    </row>
    <row r="833" spans="4:18">
      <c r="D833" s="188"/>
      <c r="F833" s="168" t="s">
        <v>6202</v>
      </c>
      <c r="G833" s="193">
        <f>IF(_1_5412845612146241046457891017[[#This Row],[Type]]&gt;0,VLOOKUP(_1_5412845612146241046457891017[[#This Row],[Type]],Main[[#All],[TYPE]:[UNIT]],'Unit Price'!C$1,FALSE),0)</f>
        <v>0</v>
      </c>
      <c r="H833" s="197">
        <f>IF(_1_5412845612146241046457891017[[#This Row],[Type]]&gt;0,VLOOKUP(_1_5412845612146241046457891017[[#This Row],[Type]],Main[[#All],[TYPE]:[UNIT]],'Unit Price'!D$1,FALSE),0)</f>
        <v>0</v>
      </c>
      <c r="I833" s="194">
        <f>IF(_1_5412845612146241046457891017[[#This Row],[Type]]&gt;0,VLOOKUP(_1_5412845612146241046457891017[[#This Row],[Type]],Main[[#All],[TYPE]:[UNIT]],'Unit Price'!G$1,FALSE),0)</f>
        <v>0</v>
      </c>
      <c r="J833" s="194">
        <f>IF(_1_5412845612146241046457891017[[#This Row],[Type]]&gt;0,VLOOKUP(_1_5412845612146241046457891017[[#This Row],[Type]],Main[[#All],[TYPE]:[UNIT]],'Unit Price'!H$1,FALSE),0)</f>
        <v>0</v>
      </c>
      <c r="K833" s="194">
        <f>IF(_1_5412845612146241046457891017[[#This Row],[Discount selection]]&gt;0,VLOOKUP(_1_5412845612146241046457891017[[#This Row],[Discount selection]],'Discount Structure'!$A$2:$B$30,2,"false"),0)</f>
        <v>1</v>
      </c>
      <c r="L833" s="194">
        <f>_1_5412845612146241046457891017[[#This Row],[LIST $]]*_1_5412845612146241046457891017[[#This Row],[DISCOUNT]]*_1_5412845612146241046457891017[[#This Row],[DISCOUNT 2]]</f>
        <v>0</v>
      </c>
      <c r="M833" s="194">
        <f>IF(OR(_1_5412845612146241046457891017[[#This Row],[UNIT]]&gt;0,_1_5412845612146241046457891017[[#This Row],[UNIT]]&lt;0),_1_5412845612146241046457891017[[#This Row],[UNIT]]*_1_5412845612146241046457891017[[#This Row],[COST]],0)</f>
        <v>0</v>
      </c>
      <c r="N833" s="194">
        <f t="shared" si="12"/>
        <v>1.35</v>
      </c>
      <c r="O833" s="198">
        <f>_1_5412845612146241046457891017[[#This Row],[TOTAL]]*_1_5412845612146241046457891017[[#This Row],[MARGIN]]</f>
        <v>0</v>
      </c>
      <c r="R833" s="41"/>
    </row>
    <row r="834" spans="4:18">
      <c r="D834" s="188"/>
      <c r="F834" s="168" t="s">
        <v>6202</v>
      </c>
      <c r="G834" s="193">
        <f>IF(_1_5412845612146241046457891017[[#This Row],[Type]]&gt;0,VLOOKUP(_1_5412845612146241046457891017[[#This Row],[Type]],Main[[#All],[TYPE]:[UNIT]],'Unit Price'!C$1,FALSE),0)</f>
        <v>0</v>
      </c>
      <c r="H834" s="197">
        <f>IF(_1_5412845612146241046457891017[[#This Row],[Type]]&gt;0,VLOOKUP(_1_5412845612146241046457891017[[#This Row],[Type]],Main[[#All],[TYPE]:[UNIT]],'Unit Price'!D$1,FALSE),0)</f>
        <v>0</v>
      </c>
      <c r="I834" s="194">
        <f>IF(_1_5412845612146241046457891017[[#This Row],[Type]]&gt;0,VLOOKUP(_1_5412845612146241046457891017[[#This Row],[Type]],Main[[#All],[TYPE]:[UNIT]],'Unit Price'!G$1,FALSE),0)</f>
        <v>0</v>
      </c>
      <c r="J834" s="194">
        <f>IF(_1_5412845612146241046457891017[[#This Row],[Type]]&gt;0,VLOOKUP(_1_5412845612146241046457891017[[#This Row],[Type]],Main[[#All],[TYPE]:[UNIT]],'Unit Price'!H$1,FALSE),0)</f>
        <v>0</v>
      </c>
      <c r="K834" s="194">
        <f>IF(_1_5412845612146241046457891017[[#This Row],[Discount selection]]&gt;0,VLOOKUP(_1_5412845612146241046457891017[[#This Row],[Discount selection]],'Discount Structure'!$A$2:$B$30,2,"false"),0)</f>
        <v>1</v>
      </c>
      <c r="L834" s="194">
        <f>_1_5412845612146241046457891017[[#This Row],[LIST $]]*_1_5412845612146241046457891017[[#This Row],[DISCOUNT]]*_1_5412845612146241046457891017[[#This Row],[DISCOUNT 2]]</f>
        <v>0</v>
      </c>
      <c r="M834" s="194">
        <f>IF(OR(_1_5412845612146241046457891017[[#This Row],[UNIT]]&gt;0,_1_5412845612146241046457891017[[#This Row],[UNIT]]&lt;0),_1_5412845612146241046457891017[[#This Row],[UNIT]]*_1_5412845612146241046457891017[[#This Row],[COST]],0)</f>
        <v>0</v>
      </c>
      <c r="N834" s="194">
        <f t="shared" si="12"/>
        <v>1.35</v>
      </c>
      <c r="O834" s="198">
        <f>_1_5412845612146241046457891017[[#This Row],[TOTAL]]*_1_5412845612146241046457891017[[#This Row],[MARGIN]]</f>
        <v>0</v>
      </c>
      <c r="R834" s="41"/>
    </row>
    <row r="835" spans="4:18">
      <c r="D835" s="188"/>
      <c r="F835" s="168" t="s">
        <v>6202</v>
      </c>
      <c r="G835" s="193">
        <f>IF(_1_5412845612146241046457891017[[#This Row],[Type]]&gt;0,VLOOKUP(_1_5412845612146241046457891017[[#This Row],[Type]],Main[[#All],[TYPE]:[UNIT]],'Unit Price'!C$1,FALSE),0)</f>
        <v>0</v>
      </c>
      <c r="H835" s="197">
        <f>IF(_1_5412845612146241046457891017[[#This Row],[Type]]&gt;0,VLOOKUP(_1_5412845612146241046457891017[[#This Row],[Type]],Main[[#All],[TYPE]:[UNIT]],'Unit Price'!D$1,FALSE),0)</f>
        <v>0</v>
      </c>
      <c r="I835" s="194">
        <f>IF(_1_5412845612146241046457891017[[#This Row],[Type]]&gt;0,VLOOKUP(_1_5412845612146241046457891017[[#This Row],[Type]],Main[[#All],[TYPE]:[UNIT]],'Unit Price'!G$1,FALSE),0)</f>
        <v>0</v>
      </c>
      <c r="J835" s="194">
        <f>IF(_1_5412845612146241046457891017[[#This Row],[Type]]&gt;0,VLOOKUP(_1_5412845612146241046457891017[[#This Row],[Type]],Main[[#All],[TYPE]:[UNIT]],'Unit Price'!H$1,FALSE),0)</f>
        <v>0</v>
      </c>
      <c r="K835" s="194">
        <f>IF(_1_5412845612146241046457891017[[#This Row],[Discount selection]]&gt;0,VLOOKUP(_1_5412845612146241046457891017[[#This Row],[Discount selection]],'Discount Structure'!$A$2:$B$30,2,"false"),0)</f>
        <v>1</v>
      </c>
      <c r="L835" s="194">
        <f>_1_5412845612146241046457891017[[#This Row],[LIST $]]*_1_5412845612146241046457891017[[#This Row],[DISCOUNT]]*_1_5412845612146241046457891017[[#This Row],[DISCOUNT 2]]</f>
        <v>0</v>
      </c>
      <c r="M835" s="194">
        <f>IF(OR(_1_5412845612146241046457891017[[#This Row],[UNIT]]&gt;0,_1_5412845612146241046457891017[[#This Row],[UNIT]]&lt;0),_1_5412845612146241046457891017[[#This Row],[UNIT]]*_1_5412845612146241046457891017[[#This Row],[COST]],0)</f>
        <v>0</v>
      </c>
      <c r="N835" s="194">
        <f t="shared" si="12"/>
        <v>1.35</v>
      </c>
      <c r="O835" s="198">
        <f>_1_5412845612146241046457891017[[#This Row],[TOTAL]]*_1_5412845612146241046457891017[[#This Row],[MARGIN]]</f>
        <v>0</v>
      </c>
      <c r="R835" s="41"/>
    </row>
    <row r="836" spans="4:18">
      <c r="D836" s="188"/>
      <c r="F836" s="168" t="s">
        <v>6202</v>
      </c>
      <c r="G836" s="193">
        <f>IF(_1_5412845612146241046457891017[[#This Row],[Type]]&gt;0,VLOOKUP(_1_5412845612146241046457891017[[#This Row],[Type]],Main[[#All],[TYPE]:[UNIT]],'Unit Price'!C$1,FALSE),0)</f>
        <v>0</v>
      </c>
      <c r="H836" s="197">
        <f>IF(_1_5412845612146241046457891017[[#This Row],[Type]]&gt;0,VLOOKUP(_1_5412845612146241046457891017[[#This Row],[Type]],Main[[#All],[TYPE]:[UNIT]],'Unit Price'!D$1,FALSE),0)</f>
        <v>0</v>
      </c>
      <c r="I836" s="194">
        <f>IF(_1_5412845612146241046457891017[[#This Row],[Type]]&gt;0,VLOOKUP(_1_5412845612146241046457891017[[#This Row],[Type]],Main[[#All],[TYPE]:[UNIT]],'Unit Price'!G$1,FALSE),0)</f>
        <v>0</v>
      </c>
      <c r="J836" s="194">
        <f>IF(_1_5412845612146241046457891017[[#This Row],[Type]]&gt;0,VLOOKUP(_1_5412845612146241046457891017[[#This Row],[Type]],Main[[#All],[TYPE]:[UNIT]],'Unit Price'!H$1,FALSE),0)</f>
        <v>0</v>
      </c>
      <c r="K836" s="194">
        <f>IF(_1_5412845612146241046457891017[[#This Row],[Discount selection]]&gt;0,VLOOKUP(_1_5412845612146241046457891017[[#This Row],[Discount selection]],'Discount Structure'!$A$2:$B$30,2,"false"),0)</f>
        <v>1</v>
      </c>
      <c r="L836" s="194">
        <f>_1_5412845612146241046457891017[[#This Row],[LIST $]]*_1_5412845612146241046457891017[[#This Row],[DISCOUNT]]*_1_5412845612146241046457891017[[#This Row],[DISCOUNT 2]]</f>
        <v>0</v>
      </c>
      <c r="M836" s="194">
        <f>IF(OR(_1_5412845612146241046457891017[[#This Row],[UNIT]]&gt;0,_1_5412845612146241046457891017[[#This Row],[UNIT]]&lt;0),_1_5412845612146241046457891017[[#This Row],[UNIT]]*_1_5412845612146241046457891017[[#This Row],[COST]],0)</f>
        <v>0</v>
      </c>
      <c r="N836" s="194">
        <f t="shared" si="12"/>
        <v>1.35</v>
      </c>
      <c r="O836" s="198">
        <f>_1_5412845612146241046457891017[[#This Row],[TOTAL]]*_1_5412845612146241046457891017[[#This Row],[MARGIN]]</f>
        <v>0</v>
      </c>
      <c r="R836" s="41"/>
    </row>
    <row r="837" spans="4:18">
      <c r="D837" s="188"/>
      <c r="F837" s="168" t="s">
        <v>6202</v>
      </c>
      <c r="G837" s="193">
        <f>IF(_1_5412845612146241046457891017[[#This Row],[Type]]&gt;0,VLOOKUP(_1_5412845612146241046457891017[[#This Row],[Type]],Main[[#All],[TYPE]:[UNIT]],'Unit Price'!C$1,FALSE),0)</f>
        <v>0</v>
      </c>
      <c r="H837" s="197">
        <f>IF(_1_5412845612146241046457891017[[#This Row],[Type]]&gt;0,VLOOKUP(_1_5412845612146241046457891017[[#This Row],[Type]],Main[[#All],[TYPE]:[UNIT]],'Unit Price'!D$1,FALSE),0)</f>
        <v>0</v>
      </c>
      <c r="I837" s="194">
        <f>IF(_1_5412845612146241046457891017[[#This Row],[Type]]&gt;0,VLOOKUP(_1_5412845612146241046457891017[[#This Row],[Type]],Main[[#All],[TYPE]:[UNIT]],'Unit Price'!G$1,FALSE),0)</f>
        <v>0</v>
      </c>
      <c r="J837" s="194">
        <f>IF(_1_5412845612146241046457891017[[#This Row],[Type]]&gt;0,VLOOKUP(_1_5412845612146241046457891017[[#This Row],[Type]],Main[[#All],[TYPE]:[UNIT]],'Unit Price'!H$1,FALSE),0)</f>
        <v>0</v>
      </c>
      <c r="K837" s="194">
        <f>IF(_1_5412845612146241046457891017[[#This Row],[Discount selection]]&gt;0,VLOOKUP(_1_5412845612146241046457891017[[#This Row],[Discount selection]],'Discount Structure'!$A$2:$B$30,2,"false"),0)</f>
        <v>1</v>
      </c>
      <c r="L837" s="194">
        <f>_1_5412845612146241046457891017[[#This Row],[LIST $]]*_1_5412845612146241046457891017[[#This Row],[DISCOUNT]]*_1_5412845612146241046457891017[[#This Row],[DISCOUNT 2]]</f>
        <v>0</v>
      </c>
      <c r="M837" s="194">
        <f>IF(OR(_1_5412845612146241046457891017[[#This Row],[UNIT]]&gt;0,_1_5412845612146241046457891017[[#This Row],[UNIT]]&lt;0),_1_5412845612146241046457891017[[#This Row],[UNIT]]*_1_5412845612146241046457891017[[#This Row],[COST]],0)</f>
        <v>0</v>
      </c>
      <c r="N837" s="194">
        <f t="shared" si="12"/>
        <v>1.35</v>
      </c>
      <c r="O837" s="198">
        <f>_1_5412845612146241046457891017[[#This Row],[TOTAL]]*_1_5412845612146241046457891017[[#This Row],[MARGIN]]</f>
        <v>0</v>
      </c>
      <c r="R837" s="41"/>
    </row>
    <row r="838" spans="4:18">
      <c r="D838" s="188"/>
      <c r="F838" s="168" t="s">
        <v>6202</v>
      </c>
      <c r="G838" s="193">
        <f>IF(_1_5412845612146241046457891017[[#This Row],[Type]]&gt;0,VLOOKUP(_1_5412845612146241046457891017[[#This Row],[Type]],Main[[#All],[TYPE]:[UNIT]],'Unit Price'!C$1,FALSE),0)</f>
        <v>0</v>
      </c>
      <c r="H838" s="197">
        <f>IF(_1_5412845612146241046457891017[[#This Row],[Type]]&gt;0,VLOOKUP(_1_5412845612146241046457891017[[#This Row],[Type]],Main[[#All],[TYPE]:[UNIT]],'Unit Price'!D$1,FALSE),0)</f>
        <v>0</v>
      </c>
      <c r="I838" s="194">
        <f>IF(_1_5412845612146241046457891017[[#This Row],[Type]]&gt;0,VLOOKUP(_1_5412845612146241046457891017[[#This Row],[Type]],Main[[#All],[TYPE]:[UNIT]],'Unit Price'!G$1,FALSE),0)</f>
        <v>0</v>
      </c>
      <c r="J838" s="194">
        <f>IF(_1_5412845612146241046457891017[[#This Row],[Type]]&gt;0,VLOOKUP(_1_5412845612146241046457891017[[#This Row],[Type]],Main[[#All],[TYPE]:[UNIT]],'Unit Price'!H$1,FALSE),0)</f>
        <v>0</v>
      </c>
      <c r="K838" s="194">
        <f>IF(_1_5412845612146241046457891017[[#This Row],[Discount selection]]&gt;0,VLOOKUP(_1_5412845612146241046457891017[[#This Row],[Discount selection]],'Discount Structure'!$A$2:$B$30,2,"false"),0)</f>
        <v>1</v>
      </c>
      <c r="L838" s="194">
        <f>_1_5412845612146241046457891017[[#This Row],[LIST $]]*_1_5412845612146241046457891017[[#This Row],[DISCOUNT]]*_1_5412845612146241046457891017[[#This Row],[DISCOUNT 2]]</f>
        <v>0</v>
      </c>
      <c r="M838" s="194">
        <f>IF(OR(_1_5412845612146241046457891017[[#This Row],[UNIT]]&gt;0,_1_5412845612146241046457891017[[#This Row],[UNIT]]&lt;0),_1_5412845612146241046457891017[[#This Row],[UNIT]]*_1_5412845612146241046457891017[[#This Row],[COST]],0)</f>
        <v>0</v>
      </c>
      <c r="N838" s="194">
        <f t="shared" si="12"/>
        <v>1.35</v>
      </c>
      <c r="O838" s="198">
        <f>_1_5412845612146241046457891017[[#This Row],[TOTAL]]*_1_5412845612146241046457891017[[#This Row],[MARGIN]]</f>
        <v>0</v>
      </c>
      <c r="R838" s="41"/>
    </row>
    <row r="839" spans="4:18">
      <c r="D839" s="188"/>
      <c r="F839" s="168" t="s">
        <v>6202</v>
      </c>
      <c r="G839" s="193">
        <f>IF(_1_5412845612146241046457891017[[#This Row],[Type]]&gt;0,VLOOKUP(_1_5412845612146241046457891017[[#This Row],[Type]],Main[[#All],[TYPE]:[UNIT]],'Unit Price'!C$1,FALSE),0)</f>
        <v>0</v>
      </c>
      <c r="H839" s="197">
        <f>IF(_1_5412845612146241046457891017[[#This Row],[Type]]&gt;0,VLOOKUP(_1_5412845612146241046457891017[[#This Row],[Type]],Main[[#All],[TYPE]:[UNIT]],'Unit Price'!D$1,FALSE),0)</f>
        <v>0</v>
      </c>
      <c r="I839" s="194">
        <f>IF(_1_5412845612146241046457891017[[#This Row],[Type]]&gt;0,VLOOKUP(_1_5412845612146241046457891017[[#This Row],[Type]],Main[[#All],[TYPE]:[UNIT]],'Unit Price'!G$1,FALSE),0)</f>
        <v>0</v>
      </c>
      <c r="J839" s="194">
        <f>IF(_1_5412845612146241046457891017[[#This Row],[Type]]&gt;0,VLOOKUP(_1_5412845612146241046457891017[[#This Row],[Type]],Main[[#All],[TYPE]:[UNIT]],'Unit Price'!H$1,FALSE),0)</f>
        <v>0</v>
      </c>
      <c r="K839" s="194">
        <f>IF(_1_5412845612146241046457891017[[#This Row],[Discount selection]]&gt;0,VLOOKUP(_1_5412845612146241046457891017[[#This Row],[Discount selection]],'Discount Structure'!$A$2:$B$30,2,"false"),0)</f>
        <v>1</v>
      </c>
      <c r="L839" s="194">
        <f>_1_5412845612146241046457891017[[#This Row],[LIST $]]*_1_5412845612146241046457891017[[#This Row],[DISCOUNT]]*_1_5412845612146241046457891017[[#This Row],[DISCOUNT 2]]</f>
        <v>0</v>
      </c>
      <c r="M839" s="194">
        <f>IF(OR(_1_5412845612146241046457891017[[#This Row],[UNIT]]&gt;0,_1_5412845612146241046457891017[[#This Row],[UNIT]]&lt;0),_1_5412845612146241046457891017[[#This Row],[UNIT]]*_1_5412845612146241046457891017[[#This Row],[COST]],0)</f>
        <v>0</v>
      </c>
      <c r="N839" s="194">
        <f t="shared" si="12"/>
        <v>1.35</v>
      </c>
      <c r="O839" s="198">
        <f>_1_5412845612146241046457891017[[#This Row],[TOTAL]]*_1_5412845612146241046457891017[[#This Row],[MARGIN]]</f>
        <v>0</v>
      </c>
      <c r="R839" s="41"/>
    </row>
    <row r="840" spans="4:18">
      <c r="D840" s="188"/>
      <c r="F840" s="168" t="s">
        <v>6202</v>
      </c>
      <c r="G840" s="193">
        <f>IF(_1_5412845612146241046457891017[[#This Row],[Type]]&gt;0,VLOOKUP(_1_5412845612146241046457891017[[#This Row],[Type]],Main[[#All],[TYPE]:[UNIT]],'Unit Price'!C$1,FALSE),0)</f>
        <v>0</v>
      </c>
      <c r="H840" s="197">
        <f>IF(_1_5412845612146241046457891017[[#This Row],[Type]]&gt;0,VLOOKUP(_1_5412845612146241046457891017[[#This Row],[Type]],Main[[#All],[TYPE]:[UNIT]],'Unit Price'!D$1,FALSE),0)</f>
        <v>0</v>
      </c>
      <c r="I840" s="194">
        <f>IF(_1_5412845612146241046457891017[[#This Row],[Type]]&gt;0,VLOOKUP(_1_5412845612146241046457891017[[#This Row],[Type]],Main[[#All],[TYPE]:[UNIT]],'Unit Price'!G$1,FALSE),0)</f>
        <v>0</v>
      </c>
      <c r="J840" s="194">
        <f>IF(_1_5412845612146241046457891017[[#This Row],[Type]]&gt;0,VLOOKUP(_1_5412845612146241046457891017[[#This Row],[Type]],Main[[#All],[TYPE]:[UNIT]],'Unit Price'!H$1,FALSE),0)</f>
        <v>0</v>
      </c>
      <c r="K840" s="194">
        <f>IF(_1_5412845612146241046457891017[[#This Row],[Discount selection]]&gt;0,VLOOKUP(_1_5412845612146241046457891017[[#This Row],[Discount selection]],'Discount Structure'!$A$2:$B$30,2,"false"),0)</f>
        <v>1</v>
      </c>
      <c r="L840" s="194">
        <f>_1_5412845612146241046457891017[[#This Row],[LIST $]]*_1_5412845612146241046457891017[[#This Row],[DISCOUNT]]*_1_5412845612146241046457891017[[#This Row],[DISCOUNT 2]]</f>
        <v>0</v>
      </c>
      <c r="M840" s="194">
        <f>IF(OR(_1_5412845612146241046457891017[[#This Row],[UNIT]]&gt;0,_1_5412845612146241046457891017[[#This Row],[UNIT]]&lt;0),_1_5412845612146241046457891017[[#This Row],[UNIT]]*_1_5412845612146241046457891017[[#This Row],[COST]],0)</f>
        <v>0</v>
      </c>
      <c r="N840" s="194">
        <f t="shared" si="12"/>
        <v>1.35</v>
      </c>
      <c r="O840" s="198">
        <f>_1_5412845612146241046457891017[[#This Row],[TOTAL]]*_1_5412845612146241046457891017[[#This Row],[MARGIN]]</f>
        <v>0</v>
      </c>
      <c r="R840" s="41"/>
    </row>
    <row r="841" spans="4:18">
      <c r="D841" s="188"/>
      <c r="F841" s="168" t="s">
        <v>6202</v>
      </c>
      <c r="G841" s="193">
        <f>IF(_1_5412845612146241046457891017[[#This Row],[Type]]&gt;0,VLOOKUP(_1_5412845612146241046457891017[[#This Row],[Type]],Main[[#All],[TYPE]:[UNIT]],'Unit Price'!C$1,FALSE),0)</f>
        <v>0</v>
      </c>
      <c r="H841" s="197">
        <f>IF(_1_5412845612146241046457891017[[#This Row],[Type]]&gt;0,VLOOKUP(_1_5412845612146241046457891017[[#This Row],[Type]],Main[[#All],[TYPE]:[UNIT]],'Unit Price'!D$1,FALSE),0)</f>
        <v>0</v>
      </c>
      <c r="I841" s="194">
        <f>IF(_1_5412845612146241046457891017[[#This Row],[Type]]&gt;0,VLOOKUP(_1_5412845612146241046457891017[[#This Row],[Type]],Main[[#All],[TYPE]:[UNIT]],'Unit Price'!G$1,FALSE),0)</f>
        <v>0</v>
      </c>
      <c r="J841" s="194">
        <f>IF(_1_5412845612146241046457891017[[#This Row],[Type]]&gt;0,VLOOKUP(_1_5412845612146241046457891017[[#This Row],[Type]],Main[[#All],[TYPE]:[UNIT]],'Unit Price'!H$1,FALSE),0)</f>
        <v>0</v>
      </c>
      <c r="K841" s="194">
        <f>IF(_1_5412845612146241046457891017[[#This Row],[Discount selection]]&gt;0,VLOOKUP(_1_5412845612146241046457891017[[#This Row],[Discount selection]],'Discount Structure'!$A$2:$B$30,2,"false"),0)</f>
        <v>1</v>
      </c>
      <c r="L841" s="194">
        <f>_1_5412845612146241046457891017[[#This Row],[LIST $]]*_1_5412845612146241046457891017[[#This Row],[DISCOUNT]]*_1_5412845612146241046457891017[[#This Row],[DISCOUNT 2]]</f>
        <v>0</v>
      </c>
      <c r="M841" s="194">
        <f>IF(OR(_1_5412845612146241046457891017[[#This Row],[UNIT]]&gt;0,_1_5412845612146241046457891017[[#This Row],[UNIT]]&lt;0),_1_5412845612146241046457891017[[#This Row],[UNIT]]*_1_5412845612146241046457891017[[#This Row],[COST]],0)</f>
        <v>0</v>
      </c>
      <c r="N841" s="194">
        <f t="shared" si="12"/>
        <v>1.35</v>
      </c>
      <c r="O841" s="198">
        <f>_1_5412845612146241046457891017[[#This Row],[TOTAL]]*_1_5412845612146241046457891017[[#This Row],[MARGIN]]</f>
        <v>0</v>
      </c>
      <c r="R841" s="41"/>
    </row>
    <row r="842" spans="4:18">
      <c r="D842" s="188"/>
      <c r="F842" s="168" t="s">
        <v>6202</v>
      </c>
      <c r="G842" s="193">
        <f>IF(_1_5412845612146241046457891017[[#This Row],[Type]]&gt;0,VLOOKUP(_1_5412845612146241046457891017[[#This Row],[Type]],Main[[#All],[TYPE]:[UNIT]],'Unit Price'!C$1,FALSE),0)</f>
        <v>0</v>
      </c>
      <c r="H842" s="197">
        <f>IF(_1_5412845612146241046457891017[[#This Row],[Type]]&gt;0,VLOOKUP(_1_5412845612146241046457891017[[#This Row],[Type]],Main[[#All],[TYPE]:[UNIT]],'Unit Price'!D$1,FALSE),0)</f>
        <v>0</v>
      </c>
      <c r="I842" s="194">
        <f>IF(_1_5412845612146241046457891017[[#This Row],[Type]]&gt;0,VLOOKUP(_1_5412845612146241046457891017[[#This Row],[Type]],Main[[#All],[TYPE]:[UNIT]],'Unit Price'!G$1,FALSE),0)</f>
        <v>0</v>
      </c>
      <c r="J842" s="194">
        <f>IF(_1_5412845612146241046457891017[[#This Row],[Type]]&gt;0,VLOOKUP(_1_5412845612146241046457891017[[#This Row],[Type]],Main[[#All],[TYPE]:[UNIT]],'Unit Price'!H$1,FALSE),0)</f>
        <v>0</v>
      </c>
      <c r="K842" s="194">
        <f>IF(_1_5412845612146241046457891017[[#This Row],[Discount selection]]&gt;0,VLOOKUP(_1_5412845612146241046457891017[[#This Row],[Discount selection]],'Discount Structure'!$A$2:$B$30,2,"false"),0)</f>
        <v>1</v>
      </c>
      <c r="L842" s="194">
        <f>_1_5412845612146241046457891017[[#This Row],[LIST $]]*_1_5412845612146241046457891017[[#This Row],[DISCOUNT]]*_1_5412845612146241046457891017[[#This Row],[DISCOUNT 2]]</f>
        <v>0</v>
      </c>
      <c r="M842" s="194">
        <f>IF(OR(_1_5412845612146241046457891017[[#This Row],[UNIT]]&gt;0,_1_5412845612146241046457891017[[#This Row],[UNIT]]&lt;0),_1_5412845612146241046457891017[[#This Row],[UNIT]]*_1_5412845612146241046457891017[[#This Row],[COST]],0)</f>
        <v>0</v>
      </c>
      <c r="N842" s="194">
        <f t="shared" ref="N842:N905" si="13">$N$7</f>
        <v>1.35</v>
      </c>
      <c r="O842" s="198">
        <f>_1_5412845612146241046457891017[[#This Row],[TOTAL]]*_1_5412845612146241046457891017[[#This Row],[MARGIN]]</f>
        <v>0</v>
      </c>
      <c r="R842" s="41"/>
    </row>
    <row r="843" spans="4:18">
      <c r="D843" s="188"/>
      <c r="F843" s="168" t="s">
        <v>6202</v>
      </c>
      <c r="G843" s="193">
        <f>IF(_1_5412845612146241046457891017[[#This Row],[Type]]&gt;0,VLOOKUP(_1_5412845612146241046457891017[[#This Row],[Type]],Main[[#All],[TYPE]:[UNIT]],'Unit Price'!C$1,FALSE),0)</f>
        <v>0</v>
      </c>
      <c r="H843" s="197">
        <f>IF(_1_5412845612146241046457891017[[#This Row],[Type]]&gt;0,VLOOKUP(_1_5412845612146241046457891017[[#This Row],[Type]],Main[[#All],[TYPE]:[UNIT]],'Unit Price'!D$1,FALSE),0)</f>
        <v>0</v>
      </c>
      <c r="I843" s="194">
        <f>IF(_1_5412845612146241046457891017[[#This Row],[Type]]&gt;0,VLOOKUP(_1_5412845612146241046457891017[[#This Row],[Type]],Main[[#All],[TYPE]:[UNIT]],'Unit Price'!G$1,FALSE),0)</f>
        <v>0</v>
      </c>
      <c r="J843" s="194">
        <f>IF(_1_5412845612146241046457891017[[#This Row],[Type]]&gt;0,VLOOKUP(_1_5412845612146241046457891017[[#This Row],[Type]],Main[[#All],[TYPE]:[UNIT]],'Unit Price'!H$1,FALSE),0)</f>
        <v>0</v>
      </c>
      <c r="K843" s="194">
        <f>IF(_1_5412845612146241046457891017[[#This Row],[Discount selection]]&gt;0,VLOOKUP(_1_5412845612146241046457891017[[#This Row],[Discount selection]],'Discount Structure'!$A$2:$B$30,2,"false"),0)</f>
        <v>1</v>
      </c>
      <c r="L843" s="194">
        <f>_1_5412845612146241046457891017[[#This Row],[LIST $]]*_1_5412845612146241046457891017[[#This Row],[DISCOUNT]]*_1_5412845612146241046457891017[[#This Row],[DISCOUNT 2]]</f>
        <v>0</v>
      </c>
      <c r="M843" s="194">
        <f>IF(OR(_1_5412845612146241046457891017[[#This Row],[UNIT]]&gt;0,_1_5412845612146241046457891017[[#This Row],[UNIT]]&lt;0),_1_5412845612146241046457891017[[#This Row],[UNIT]]*_1_5412845612146241046457891017[[#This Row],[COST]],0)</f>
        <v>0</v>
      </c>
      <c r="N843" s="194">
        <f t="shared" si="13"/>
        <v>1.35</v>
      </c>
      <c r="O843" s="198">
        <f>_1_5412845612146241046457891017[[#This Row],[TOTAL]]*_1_5412845612146241046457891017[[#This Row],[MARGIN]]</f>
        <v>0</v>
      </c>
      <c r="R843" s="41"/>
    </row>
    <row r="844" spans="4:18">
      <c r="D844" s="188"/>
      <c r="F844" s="168" t="s">
        <v>6202</v>
      </c>
      <c r="G844" s="193">
        <f>IF(_1_5412845612146241046457891017[[#This Row],[Type]]&gt;0,VLOOKUP(_1_5412845612146241046457891017[[#This Row],[Type]],Main[[#All],[TYPE]:[UNIT]],'Unit Price'!C$1,FALSE),0)</f>
        <v>0</v>
      </c>
      <c r="H844" s="197">
        <f>IF(_1_5412845612146241046457891017[[#This Row],[Type]]&gt;0,VLOOKUP(_1_5412845612146241046457891017[[#This Row],[Type]],Main[[#All],[TYPE]:[UNIT]],'Unit Price'!D$1,FALSE),0)</f>
        <v>0</v>
      </c>
      <c r="I844" s="194">
        <f>IF(_1_5412845612146241046457891017[[#This Row],[Type]]&gt;0,VLOOKUP(_1_5412845612146241046457891017[[#This Row],[Type]],Main[[#All],[TYPE]:[UNIT]],'Unit Price'!G$1,FALSE),0)</f>
        <v>0</v>
      </c>
      <c r="J844" s="194">
        <f>IF(_1_5412845612146241046457891017[[#This Row],[Type]]&gt;0,VLOOKUP(_1_5412845612146241046457891017[[#This Row],[Type]],Main[[#All],[TYPE]:[UNIT]],'Unit Price'!H$1,FALSE),0)</f>
        <v>0</v>
      </c>
      <c r="K844" s="194">
        <f>IF(_1_5412845612146241046457891017[[#This Row],[Discount selection]]&gt;0,VLOOKUP(_1_5412845612146241046457891017[[#This Row],[Discount selection]],'Discount Structure'!$A$2:$B$30,2,"false"),0)</f>
        <v>1</v>
      </c>
      <c r="L844" s="194">
        <f>_1_5412845612146241046457891017[[#This Row],[LIST $]]*_1_5412845612146241046457891017[[#This Row],[DISCOUNT]]*_1_5412845612146241046457891017[[#This Row],[DISCOUNT 2]]</f>
        <v>0</v>
      </c>
      <c r="M844" s="194">
        <f>IF(OR(_1_5412845612146241046457891017[[#This Row],[UNIT]]&gt;0,_1_5412845612146241046457891017[[#This Row],[UNIT]]&lt;0),_1_5412845612146241046457891017[[#This Row],[UNIT]]*_1_5412845612146241046457891017[[#This Row],[COST]],0)</f>
        <v>0</v>
      </c>
      <c r="N844" s="194">
        <f t="shared" si="13"/>
        <v>1.35</v>
      </c>
      <c r="O844" s="198">
        <f>_1_5412845612146241046457891017[[#This Row],[TOTAL]]*_1_5412845612146241046457891017[[#This Row],[MARGIN]]</f>
        <v>0</v>
      </c>
      <c r="R844" s="41"/>
    </row>
    <row r="845" spans="4:18">
      <c r="D845" s="188"/>
      <c r="F845" s="168" t="s">
        <v>6202</v>
      </c>
      <c r="G845" s="193">
        <f>IF(_1_5412845612146241046457891017[[#This Row],[Type]]&gt;0,VLOOKUP(_1_5412845612146241046457891017[[#This Row],[Type]],Main[[#All],[TYPE]:[UNIT]],'Unit Price'!C$1,FALSE),0)</f>
        <v>0</v>
      </c>
      <c r="H845" s="197">
        <f>IF(_1_5412845612146241046457891017[[#This Row],[Type]]&gt;0,VLOOKUP(_1_5412845612146241046457891017[[#This Row],[Type]],Main[[#All],[TYPE]:[UNIT]],'Unit Price'!D$1,FALSE),0)</f>
        <v>0</v>
      </c>
      <c r="I845" s="194">
        <f>IF(_1_5412845612146241046457891017[[#This Row],[Type]]&gt;0,VLOOKUP(_1_5412845612146241046457891017[[#This Row],[Type]],Main[[#All],[TYPE]:[UNIT]],'Unit Price'!G$1,FALSE),0)</f>
        <v>0</v>
      </c>
      <c r="J845" s="194">
        <f>IF(_1_5412845612146241046457891017[[#This Row],[Type]]&gt;0,VLOOKUP(_1_5412845612146241046457891017[[#This Row],[Type]],Main[[#All],[TYPE]:[UNIT]],'Unit Price'!H$1,FALSE),0)</f>
        <v>0</v>
      </c>
      <c r="K845" s="194">
        <f>IF(_1_5412845612146241046457891017[[#This Row],[Discount selection]]&gt;0,VLOOKUP(_1_5412845612146241046457891017[[#This Row],[Discount selection]],'Discount Structure'!$A$2:$B$30,2,"false"),0)</f>
        <v>1</v>
      </c>
      <c r="L845" s="194">
        <f>_1_5412845612146241046457891017[[#This Row],[LIST $]]*_1_5412845612146241046457891017[[#This Row],[DISCOUNT]]*_1_5412845612146241046457891017[[#This Row],[DISCOUNT 2]]</f>
        <v>0</v>
      </c>
      <c r="M845" s="194">
        <f>IF(OR(_1_5412845612146241046457891017[[#This Row],[UNIT]]&gt;0,_1_5412845612146241046457891017[[#This Row],[UNIT]]&lt;0),_1_5412845612146241046457891017[[#This Row],[UNIT]]*_1_5412845612146241046457891017[[#This Row],[COST]],0)</f>
        <v>0</v>
      </c>
      <c r="N845" s="194">
        <f t="shared" si="13"/>
        <v>1.35</v>
      </c>
      <c r="O845" s="198">
        <f>_1_5412845612146241046457891017[[#This Row],[TOTAL]]*_1_5412845612146241046457891017[[#This Row],[MARGIN]]</f>
        <v>0</v>
      </c>
      <c r="R845" s="41"/>
    </row>
    <row r="846" spans="4:18">
      <c r="D846" s="188"/>
      <c r="F846" s="168" t="s">
        <v>6202</v>
      </c>
      <c r="G846" s="193">
        <f>IF(_1_5412845612146241046457891017[[#This Row],[Type]]&gt;0,VLOOKUP(_1_5412845612146241046457891017[[#This Row],[Type]],Main[[#All],[TYPE]:[UNIT]],'Unit Price'!C$1,FALSE),0)</f>
        <v>0</v>
      </c>
      <c r="H846" s="197">
        <f>IF(_1_5412845612146241046457891017[[#This Row],[Type]]&gt;0,VLOOKUP(_1_5412845612146241046457891017[[#This Row],[Type]],Main[[#All],[TYPE]:[UNIT]],'Unit Price'!D$1,FALSE),0)</f>
        <v>0</v>
      </c>
      <c r="I846" s="194">
        <f>IF(_1_5412845612146241046457891017[[#This Row],[Type]]&gt;0,VLOOKUP(_1_5412845612146241046457891017[[#This Row],[Type]],Main[[#All],[TYPE]:[UNIT]],'Unit Price'!G$1,FALSE),0)</f>
        <v>0</v>
      </c>
      <c r="J846" s="194">
        <f>IF(_1_5412845612146241046457891017[[#This Row],[Type]]&gt;0,VLOOKUP(_1_5412845612146241046457891017[[#This Row],[Type]],Main[[#All],[TYPE]:[UNIT]],'Unit Price'!H$1,FALSE),0)</f>
        <v>0</v>
      </c>
      <c r="K846" s="194">
        <f>IF(_1_5412845612146241046457891017[[#This Row],[Discount selection]]&gt;0,VLOOKUP(_1_5412845612146241046457891017[[#This Row],[Discount selection]],'Discount Structure'!$A$2:$B$30,2,"false"),0)</f>
        <v>1</v>
      </c>
      <c r="L846" s="194">
        <f>_1_5412845612146241046457891017[[#This Row],[LIST $]]*_1_5412845612146241046457891017[[#This Row],[DISCOUNT]]*_1_5412845612146241046457891017[[#This Row],[DISCOUNT 2]]</f>
        <v>0</v>
      </c>
      <c r="M846" s="194">
        <f>IF(OR(_1_5412845612146241046457891017[[#This Row],[UNIT]]&gt;0,_1_5412845612146241046457891017[[#This Row],[UNIT]]&lt;0),_1_5412845612146241046457891017[[#This Row],[UNIT]]*_1_5412845612146241046457891017[[#This Row],[COST]],0)</f>
        <v>0</v>
      </c>
      <c r="N846" s="194">
        <f t="shared" si="13"/>
        <v>1.35</v>
      </c>
      <c r="O846" s="198">
        <f>_1_5412845612146241046457891017[[#This Row],[TOTAL]]*_1_5412845612146241046457891017[[#This Row],[MARGIN]]</f>
        <v>0</v>
      </c>
      <c r="R846" s="41"/>
    </row>
    <row r="847" spans="4:18">
      <c r="D847" s="188"/>
      <c r="F847" s="168" t="s">
        <v>6202</v>
      </c>
      <c r="G847" s="193">
        <f>IF(_1_5412845612146241046457891017[[#This Row],[Type]]&gt;0,VLOOKUP(_1_5412845612146241046457891017[[#This Row],[Type]],Main[[#All],[TYPE]:[UNIT]],'Unit Price'!C$1,FALSE),0)</f>
        <v>0</v>
      </c>
      <c r="H847" s="197">
        <f>IF(_1_5412845612146241046457891017[[#This Row],[Type]]&gt;0,VLOOKUP(_1_5412845612146241046457891017[[#This Row],[Type]],Main[[#All],[TYPE]:[UNIT]],'Unit Price'!D$1,FALSE),0)</f>
        <v>0</v>
      </c>
      <c r="I847" s="194">
        <f>IF(_1_5412845612146241046457891017[[#This Row],[Type]]&gt;0,VLOOKUP(_1_5412845612146241046457891017[[#This Row],[Type]],Main[[#All],[TYPE]:[UNIT]],'Unit Price'!G$1,FALSE),0)</f>
        <v>0</v>
      </c>
      <c r="J847" s="194">
        <f>IF(_1_5412845612146241046457891017[[#This Row],[Type]]&gt;0,VLOOKUP(_1_5412845612146241046457891017[[#This Row],[Type]],Main[[#All],[TYPE]:[UNIT]],'Unit Price'!H$1,FALSE),0)</f>
        <v>0</v>
      </c>
      <c r="K847" s="194">
        <f>IF(_1_5412845612146241046457891017[[#This Row],[Discount selection]]&gt;0,VLOOKUP(_1_5412845612146241046457891017[[#This Row],[Discount selection]],'Discount Structure'!$A$2:$B$30,2,"false"),0)</f>
        <v>1</v>
      </c>
      <c r="L847" s="194">
        <f>_1_5412845612146241046457891017[[#This Row],[LIST $]]*_1_5412845612146241046457891017[[#This Row],[DISCOUNT]]*_1_5412845612146241046457891017[[#This Row],[DISCOUNT 2]]</f>
        <v>0</v>
      </c>
      <c r="M847" s="194">
        <f>IF(OR(_1_5412845612146241046457891017[[#This Row],[UNIT]]&gt;0,_1_5412845612146241046457891017[[#This Row],[UNIT]]&lt;0),_1_5412845612146241046457891017[[#This Row],[UNIT]]*_1_5412845612146241046457891017[[#This Row],[COST]],0)</f>
        <v>0</v>
      </c>
      <c r="N847" s="194">
        <f t="shared" si="13"/>
        <v>1.35</v>
      </c>
      <c r="O847" s="198">
        <f>_1_5412845612146241046457891017[[#This Row],[TOTAL]]*_1_5412845612146241046457891017[[#This Row],[MARGIN]]</f>
        <v>0</v>
      </c>
      <c r="R847" s="41"/>
    </row>
    <row r="848" spans="4:18">
      <c r="D848" s="188"/>
      <c r="F848" s="168" t="s">
        <v>6202</v>
      </c>
      <c r="G848" s="193">
        <f>IF(_1_5412845612146241046457891017[[#This Row],[Type]]&gt;0,VLOOKUP(_1_5412845612146241046457891017[[#This Row],[Type]],Main[[#All],[TYPE]:[UNIT]],'Unit Price'!C$1,FALSE),0)</f>
        <v>0</v>
      </c>
      <c r="H848" s="197">
        <f>IF(_1_5412845612146241046457891017[[#This Row],[Type]]&gt;0,VLOOKUP(_1_5412845612146241046457891017[[#This Row],[Type]],Main[[#All],[TYPE]:[UNIT]],'Unit Price'!D$1,FALSE),0)</f>
        <v>0</v>
      </c>
      <c r="I848" s="194">
        <f>IF(_1_5412845612146241046457891017[[#This Row],[Type]]&gt;0,VLOOKUP(_1_5412845612146241046457891017[[#This Row],[Type]],Main[[#All],[TYPE]:[UNIT]],'Unit Price'!G$1,FALSE),0)</f>
        <v>0</v>
      </c>
      <c r="J848" s="194">
        <f>IF(_1_5412845612146241046457891017[[#This Row],[Type]]&gt;0,VLOOKUP(_1_5412845612146241046457891017[[#This Row],[Type]],Main[[#All],[TYPE]:[UNIT]],'Unit Price'!H$1,FALSE),0)</f>
        <v>0</v>
      </c>
      <c r="K848" s="194">
        <f>IF(_1_5412845612146241046457891017[[#This Row],[Discount selection]]&gt;0,VLOOKUP(_1_5412845612146241046457891017[[#This Row],[Discount selection]],'Discount Structure'!$A$2:$B$30,2,"false"),0)</f>
        <v>1</v>
      </c>
      <c r="L848" s="194">
        <f>_1_5412845612146241046457891017[[#This Row],[LIST $]]*_1_5412845612146241046457891017[[#This Row],[DISCOUNT]]*_1_5412845612146241046457891017[[#This Row],[DISCOUNT 2]]</f>
        <v>0</v>
      </c>
      <c r="M848" s="194">
        <f>IF(OR(_1_5412845612146241046457891017[[#This Row],[UNIT]]&gt;0,_1_5412845612146241046457891017[[#This Row],[UNIT]]&lt;0),_1_5412845612146241046457891017[[#This Row],[UNIT]]*_1_5412845612146241046457891017[[#This Row],[COST]],0)</f>
        <v>0</v>
      </c>
      <c r="N848" s="194">
        <f t="shared" si="13"/>
        <v>1.35</v>
      </c>
      <c r="O848" s="198">
        <f>_1_5412845612146241046457891017[[#This Row],[TOTAL]]*_1_5412845612146241046457891017[[#This Row],[MARGIN]]</f>
        <v>0</v>
      </c>
      <c r="R848" s="41"/>
    </row>
    <row r="849" spans="4:18">
      <c r="D849" s="188"/>
      <c r="F849" s="168" t="s">
        <v>6202</v>
      </c>
      <c r="G849" s="193">
        <f>IF(_1_5412845612146241046457891017[[#This Row],[Type]]&gt;0,VLOOKUP(_1_5412845612146241046457891017[[#This Row],[Type]],Main[[#All],[TYPE]:[UNIT]],'Unit Price'!C$1,FALSE),0)</f>
        <v>0</v>
      </c>
      <c r="H849" s="197">
        <f>IF(_1_5412845612146241046457891017[[#This Row],[Type]]&gt;0,VLOOKUP(_1_5412845612146241046457891017[[#This Row],[Type]],Main[[#All],[TYPE]:[UNIT]],'Unit Price'!D$1,FALSE),0)</f>
        <v>0</v>
      </c>
      <c r="I849" s="194">
        <f>IF(_1_5412845612146241046457891017[[#This Row],[Type]]&gt;0,VLOOKUP(_1_5412845612146241046457891017[[#This Row],[Type]],Main[[#All],[TYPE]:[UNIT]],'Unit Price'!G$1,FALSE),0)</f>
        <v>0</v>
      </c>
      <c r="J849" s="194">
        <f>IF(_1_5412845612146241046457891017[[#This Row],[Type]]&gt;0,VLOOKUP(_1_5412845612146241046457891017[[#This Row],[Type]],Main[[#All],[TYPE]:[UNIT]],'Unit Price'!H$1,FALSE),0)</f>
        <v>0</v>
      </c>
      <c r="K849" s="194">
        <f>IF(_1_5412845612146241046457891017[[#This Row],[Discount selection]]&gt;0,VLOOKUP(_1_5412845612146241046457891017[[#This Row],[Discount selection]],'Discount Structure'!$A$2:$B$30,2,"false"),0)</f>
        <v>1</v>
      </c>
      <c r="L849" s="194">
        <f>_1_5412845612146241046457891017[[#This Row],[LIST $]]*_1_5412845612146241046457891017[[#This Row],[DISCOUNT]]*_1_5412845612146241046457891017[[#This Row],[DISCOUNT 2]]</f>
        <v>0</v>
      </c>
      <c r="M849" s="194">
        <f>IF(OR(_1_5412845612146241046457891017[[#This Row],[UNIT]]&gt;0,_1_5412845612146241046457891017[[#This Row],[UNIT]]&lt;0),_1_5412845612146241046457891017[[#This Row],[UNIT]]*_1_5412845612146241046457891017[[#This Row],[COST]],0)</f>
        <v>0</v>
      </c>
      <c r="N849" s="194">
        <f t="shared" si="13"/>
        <v>1.35</v>
      </c>
      <c r="O849" s="198">
        <f>_1_5412845612146241046457891017[[#This Row],[TOTAL]]*_1_5412845612146241046457891017[[#This Row],[MARGIN]]</f>
        <v>0</v>
      </c>
      <c r="R849" s="41"/>
    </row>
    <row r="850" spans="4:18">
      <c r="D850" s="188"/>
      <c r="F850" s="168" t="s">
        <v>6202</v>
      </c>
      <c r="G850" s="193">
        <f>IF(_1_5412845612146241046457891017[[#This Row],[Type]]&gt;0,VLOOKUP(_1_5412845612146241046457891017[[#This Row],[Type]],Main[[#All],[TYPE]:[UNIT]],'Unit Price'!C$1,FALSE),0)</f>
        <v>0</v>
      </c>
      <c r="H850" s="197">
        <f>IF(_1_5412845612146241046457891017[[#This Row],[Type]]&gt;0,VLOOKUP(_1_5412845612146241046457891017[[#This Row],[Type]],Main[[#All],[TYPE]:[UNIT]],'Unit Price'!D$1,FALSE),0)</f>
        <v>0</v>
      </c>
      <c r="I850" s="194">
        <f>IF(_1_5412845612146241046457891017[[#This Row],[Type]]&gt;0,VLOOKUP(_1_5412845612146241046457891017[[#This Row],[Type]],Main[[#All],[TYPE]:[UNIT]],'Unit Price'!G$1,FALSE),0)</f>
        <v>0</v>
      </c>
      <c r="J850" s="194">
        <f>IF(_1_5412845612146241046457891017[[#This Row],[Type]]&gt;0,VLOOKUP(_1_5412845612146241046457891017[[#This Row],[Type]],Main[[#All],[TYPE]:[UNIT]],'Unit Price'!H$1,FALSE),0)</f>
        <v>0</v>
      </c>
      <c r="K850" s="194">
        <f>IF(_1_5412845612146241046457891017[[#This Row],[Discount selection]]&gt;0,VLOOKUP(_1_5412845612146241046457891017[[#This Row],[Discount selection]],'Discount Structure'!$A$2:$B$30,2,"false"),0)</f>
        <v>1</v>
      </c>
      <c r="L850" s="194">
        <f>_1_5412845612146241046457891017[[#This Row],[LIST $]]*_1_5412845612146241046457891017[[#This Row],[DISCOUNT]]*_1_5412845612146241046457891017[[#This Row],[DISCOUNT 2]]</f>
        <v>0</v>
      </c>
      <c r="M850" s="194">
        <f>IF(OR(_1_5412845612146241046457891017[[#This Row],[UNIT]]&gt;0,_1_5412845612146241046457891017[[#This Row],[UNIT]]&lt;0),_1_5412845612146241046457891017[[#This Row],[UNIT]]*_1_5412845612146241046457891017[[#This Row],[COST]],0)</f>
        <v>0</v>
      </c>
      <c r="N850" s="194">
        <f t="shared" si="13"/>
        <v>1.35</v>
      </c>
      <c r="O850" s="198">
        <f>_1_5412845612146241046457891017[[#This Row],[TOTAL]]*_1_5412845612146241046457891017[[#This Row],[MARGIN]]</f>
        <v>0</v>
      </c>
      <c r="R850" s="41"/>
    </row>
    <row r="851" spans="4:18">
      <c r="D851" s="188"/>
      <c r="F851" s="168" t="s">
        <v>6202</v>
      </c>
      <c r="G851" s="193">
        <f>IF(_1_5412845612146241046457891017[[#This Row],[Type]]&gt;0,VLOOKUP(_1_5412845612146241046457891017[[#This Row],[Type]],Main[[#All],[TYPE]:[UNIT]],'Unit Price'!C$1,FALSE),0)</f>
        <v>0</v>
      </c>
      <c r="H851" s="197">
        <f>IF(_1_5412845612146241046457891017[[#This Row],[Type]]&gt;0,VLOOKUP(_1_5412845612146241046457891017[[#This Row],[Type]],Main[[#All],[TYPE]:[UNIT]],'Unit Price'!D$1,FALSE),0)</f>
        <v>0</v>
      </c>
      <c r="I851" s="194">
        <f>IF(_1_5412845612146241046457891017[[#This Row],[Type]]&gt;0,VLOOKUP(_1_5412845612146241046457891017[[#This Row],[Type]],Main[[#All],[TYPE]:[UNIT]],'Unit Price'!G$1,FALSE),0)</f>
        <v>0</v>
      </c>
      <c r="J851" s="194">
        <f>IF(_1_5412845612146241046457891017[[#This Row],[Type]]&gt;0,VLOOKUP(_1_5412845612146241046457891017[[#This Row],[Type]],Main[[#All],[TYPE]:[UNIT]],'Unit Price'!H$1,FALSE),0)</f>
        <v>0</v>
      </c>
      <c r="K851" s="194">
        <f>IF(_1_5412845612146241046457891017[[#This Row],[Discount selection]]&gt;0,VLOOKUP(_1_5412845612146241046457891017[[#This Row],[Discount selection]],'Discount Structure'!$A$2:$B$30,2,"false"),0)</f>
        <v>1</v>
      </c>
      <c r="L851" s="194">
        <f>_1_5412845612146241046457891017[[#This Row],[LIST $]]*_1_5412845612146241046457891017[[#This Row],[DISCOUNT]]*_1_5412845612146241046457891017[[#This Row],[DISCOUNT 2]]</f>
        <v>0</v>
      </c>
      <c r="M851" s="194">
        <f>IF(OR(_1_5412845612146241046457891017[[#This Row],[UNIT]]&gt;0,_1_5412845612146241046457891017[[#This Row],[UNIT]]&lt;0),_1_5412845612146241046457891017[[#This Row],[UNIT]]*_1_5412845612146241046457891017[[#This Row],[COST]],0)</f>
        <v>0</v>
      </c>
      <c r="N851" s="194">
        <f t="shared" si="13"/>
        <v>1.35</v>
      </c>
      <c r="O851" s="198">
        <f>_1_5412845612146241046457891017[[#This Row],[TOTAL]]*_1_5412845612146241046457891017[[#This Row],[MARGIN]]</f>
        <v>0</v>
      </c>
      <c r="R851" s="41"/>
    </row>
    <row r="852" spans="4:18">
      <c r="D852" s="188"/>
      <c r="F852" s="168" t="s">
        <v>6202</v>
      </c>
      <c r="G852" s="193">
        <f>IF(_1_5412845612146241046457891017[[#This Row],[Type]]&gt;0,VLOOKUP(_1_5412845612146241046457891017[[#This Row],[Type]],Main[[#All],[TYPE]:[UNIT]],'Unit Price'!C$1,FALSE),0)</f>
        <v>0</v>
      </c>
      <c r="H852" s="197">
        <f>IF(_1_5412845612146241046457891017[[#This Row],[Type]]&gt;0,VLOOKUP(_1_5412845612146241046457891017[[#This Row],[Type]],Main[[#All],[TYPE]:[UNIT]],'Unit Price'!D$1,FALSE),0)</f>
        <v>0</v>
      </c>
      <c r="I852" s="194">
        <f>IF(_1_5412845612146241046457891017[[#This Row],[Type]]&gt;0,VLOOKUP(_1_5412845612146241046457891017[[#This Row],[Type]],Main[[#All],[TYPE]:[UNIT]],'Unit Price'!G$1,FALSE),0)</f>
        <v>0</v>
      </c>
      <c r="J852" s="194">
        <f>IF(_1_5412845612146241046457891017[[#This Row],[Type]]&gt;0,VLOOKUP(_1_5412845612146241046457891017[[#This Row],[Type]],Main[[#All],[TYPE]:[UNIT]],'Unit Price'!H$1,FALSE),0)</f>
        <v>0</v>
      </c>
      <c r="K852" s="194">
        <f>IF(_1_5412845612146241046457891017[[#This Row],[Discount selection]]&gt;0,VLOOKUP(_1_5412845612146241046457891017[[#This Row],[Discount selection]],'Discount Structure'!$A$2:$B$30,2,"false"),0)</f>
        <v>1</v>
      </c>
      <c r="L852" s="194">
        <f>_1_5412845612146241046457891017[[#This Row],[LIST $]]*_1_5412845612146241046457891017[[#This Row],[DISCOUNT]]*_1_5412845612146241046457891017[[#This Row],[DISCOUNT 2]]</f>
        <v>0</v>
      </c>
      <c r="M852" s="194">
        <f>IF(OR(_1_5412845612146241046457891017[[#This Row],[UNIT]]&gt;0,_1_5412845612146241046457891017[[#This Row],[UNIT]]&lt;0),_1_5412845612146241046457891017[[#This Row],[UNIT]]*_1_5412845612146241046457891017[[#This Row],[COST]],0)</f>
        <v>0</v>
      </c>
      <c r="N852" s="194">
        <f t="shared" si="13"/>
        <v>1.35</v>
      </c>
      <c r="O852" s="198">
        <f>_1_5412845612146241046457891017[[#This Row],[TOTAL]]*_1_5412845612146241046457891017[[#This Row],[MARGIN]]</f>
        <v>0</v>
      </c>
      <c r="R852" s="41"/>
    </row>
    <row r="853" spans="4:18">
      <c r="D853" s="188"/>
      <c r="F853" s="168" t="s">
        <v>6202</v>
      </c>
      <c r="G853" s="193">
        <f>IF(_1_5412845612146241046457891017[[#This Row],[Type]]&gt;0,VLOOKUP(_1_5412845612146241046457891017[[#This Row],[Type]],Main[[#All],[TYPE]:[UNIT]],'Unit Price'!C$1,FALSE),0)</f>
        <v>0</v>
      </c>
      <c r="H853" s="197">
        <f>IF(_1_5412845612146241046457891017[[#This Row],[Type]]&gt;0,VLOOKUP(_1_5412845612146241046457891017[[#This Row],[Type]],Main[[#All],[TYPE]:[UNIT]],'Unit Price'!D$1,FALSE),0)</f>
        <v>0</v>
      </c>
      <c r="I853" s="194">
        <f>IF(_1_5412845612146241046457891017[[#This Row],[Type]]&gt;0,VLOOKUP(_1_5412845612146241046457891017[[#This Row],[Type]],Main[[#All],[TYPE]:[UNIT]],'Unit Price'!G$1,FALSE),0)</f>
        <v>0</v>
      </c>
      <c r="J853" s="194">
        <f>IF(_1_5412845612146241046457891017[[#This Row],[Type]]&gt;0,VLOOKUP(_1_5412845612146241046457891017[[#This Row],[Type]],Main[[#All],[TYPE]:[UNIT]],'Unit Price'!H$1,FALSE),0)</f>
        <v>0</v>
      </c>
      <c r="K853" s="194">
        <f>IF(_1_5412845612146241046457891017[[#This Row],[Discount selection]]&gt;0,VLOOKUP(_1_5412845612146241046457891017[[#This Row],[Discount selection]],'Discount Structure'!$A$2:$B$30,2,"false"),0)</f>
        <v>1</v>
      </c>
      <c r="L853" s="194">
        <f>_1_5412845612146241046457891017[[#This Row],[LIST $]]*_1_5412845612146241046457891017[[#This Row],[DISCOUNT]]*_1_5412845612146241046457891017[[#This Row],[DISCOUNT 2]]</f>
        <v>0</v>
      </c>
      <c r="M853" s="194">
        <f>IF(OR(_1_5412845612146241046457891017[[#This Row],[UNIT]]&gt;0,_1_5412845612146241046457891017[[#This Row],[UNIT]]&lt;0),_1_5412845612146241046457891017[[#This Row],[UNIT]]*_1_5412845612146241046457891017[[#This Row],[COST]],0)</f>
        <v>0</v>
      </c>
      <c r="N853" s="194">
        <f t="shared" si="13"/>
        <v>1.35</v>
      </c>
      <c r="O853" s="198">
        <f>_1_5412845612146241046457891017[[#This Row],[TOTAL]]*_1_5412845612146241046457891017[[#This Row],[MARGIN]]</f>
        <v>0</v>
      </c>
      <c r="R853" s="41"/>
    </row>
    <row r="854" spans="4:18">
      <c r="D854" s="188"/>
      <c r="F854" s="168" t="s">
        <v>6202</v>
      </c>
      <c r="G854" s="193">
        <f>IF(_1_5412845612146241046457891017[[#This Row],[Type]]&gt;0,VLOOKUP(_1_5412845612146241046457891017[[#This Row],[Type]],Main[[#All],[TYPE]:[UNIT]],'Unit Price'!C$1,FALSE),0)</f>
        <v>0</v>
      </c>
      <c r="H854" s="197">
        <f>IF(_1_5412845612146241046457891017[[#This Row],[Type]]&gt;0,VLOOKUP(_1_5412845612146241046457891017[[#This Row],[Type]],Main[[#All],[TYPE]:[UNIT]],'Unit Price'!D$1,FALSE),0)</f>
        <v>0</v>
      </c>
      <c r="I854" s="194">
        <f>IF(_1_5412845612146241046457891017[[#This Row],[Type]]&gt;0,VLOOKUP(_1_5412845612146241046457891017[[#This Row],[Type]],Main[[#All],[TYPE]:[UNIT]],'Unit Price'!G$1,FALSE),0)</f>
        <v>0</v>
      </c>
      <c r="J854" s="194">
        <f>IF(_1_5412845612146241046457891017[[#This Row],[Type]]&gt;0,VLOOKUP(_1_5412845612146241046457891017[[#This Row],[Type]],Main[[#All],[TYPE]:[UNIT]],'Unit Price'!H$1,FALSE),0)</f>
        <v>0</v>
      </c>
      <c r="K854" s="194">
        <f>IF(_1_5412845612146241046457891017[[#This Row],[Discount selection]]&gt;0,VLOOKUP(_1_5412845612146241046457891017[[#This Row],[Discount selection]],'Discount Structure'!$A$2:$B$30,2,"false"),0)</f>
        <v>1</v>
      </c>
      <c r="L854" s="194">
        <f>_1_5412845612146241046457891017[[#This Row],[LIST $]]*_1_5412845612146241046457891017[[#This Row],[DISCOUNT]]*_1_5412845612146241046457891017[[#This Row],[DISCOUNT 2]]</f>
        <v>0</v>
      </c>
      <c r="M854" s="194">
        <f>IF(OR(_1_5412845612146241046457891017[[#This Row],[UNIT]]&gt;0,_1_5412845612146241046457891017[[#This Row],[UNIT]]&lt;0),_1_5412845612146241046457891017[[#This Row],[UNIT]]*_1_5412845612146241046457891017[[#This Row],[COST]],0)</f>
        <v>0</v>
      </c>
      <c r="N854" s="194">
        <f t="shared" si="13"/>
        <v>1.35</v>
      </c>
      <c r="O854" s="198">
        <f>_1_5412845612146241046457891017[[#This Row],[TOTAL]]*_1_5412845612146241046457891017[[#This Row],[MARGIN]]</f>
        <v>0</v>
      </c>
      <c r="R854" s="41"/>
    </row>
    <row r="855" spans="4:18">
      <c r="D855" s="188"/>
      <c r="F855" s="168" t="s">
        <v>6202</v>
      </c>
      <c r="G855" s="193">
        <f>IF(_1_5412845612146241046457891017[[#This Row],[Type]]&gt;0,VLOOKUP(_1_5412845612146241046457891017[[#This Row],[Type]],Main[[#All],[TYPE]:[UNIT]],'Unit Price'!C$1,FALSE),0)</f>
        <v>0</v>
      </c>
      <c r="H855" s="197">
        <f>IF(_1_5412845612146241046457891017[[#This Row],[Type]]&gt;0,VLOOKUP(_1_5412845612146241046457891017[[#This Row],[Type]],Main[[#All],[TYPE]:[UNIT]],'Unit Price'!D$1,FALSE),0)</f>
        <v>0</v>
      </c>
      <c r="I855" s="194">
        <f>IF(_1_5412845612146241046457891017[[#This Row],[Type]]&gt;0,VLOOKUP(_1_5412845612146241046457891017[[#This Row],[Type]],Main[[#All],[TYPE]:[UNIT]],'Unit Price'!G$1,FALSE),0)</f>
        <v>0</v>
      </c>
      <c r="J855" s="194">
        <f>IF(_1_5412845612146241046457891017[[#This Row],[Type]]&gt;0,VLOOKUP(_1_5412845612146241046457891017[[#This Row],[Type]],Main[[#All],[TYPE]:[UNIT]],'Unit Price'!H$1,FALSE),0)</f>
        <v>0</v>
      </c>
      <c r="K855" s="194">
        <f>IF(_1_5412845612146241046457891017[[#This Row],[Discount selection]]&gt;0,VLOOKUP(_1_5412845612146241046457891017[[#This Row],[Discount selection]],'Discount Structure'!$A$2:$B$30,2,"false"),0)</f>
        <v>1</v>
      </c>
      <c r="L855" s="194">
        <f>_1_5412845612146241046457891017[[#This Row],[LIST $]]*_1_5412845612146241046457891017[[#This Row],[DISCOUNT]]*_1_5412845612146241046457891017[[#This Row],[DISCOUNT 2]]</f>
        <v>0</v>
      </c>
      <c r="M855" s="194">
        <f>IF(OR(_1_5412845612146241046457891017[[#This Row],[UNIT]]&gt;0,_1_5412845612146241046457891017[[#This Row],[UNIT]]&lt;0),_1_5412845612146241046457891017[[#This Row],[UNIT]]*_1_5412845612146241046457891017[[#This Row],[COST]],0)</f>
        <v>0</v>
      </c>
      <c r="N855" s="194">
        <f t="shared" si="13"/>
        <v>1.35</v>
      </c>
      <c r="O855" s="198">
        <f>_1_5412845612146241046457891017[[#This Row],[TOTAL]]*_1_5412845612146241046457891017[[#This Row],[MARGIN]]</f>
        <v>0</v>
      </c>
      <c r="R855" s="41"/>
    </row>
    <row r="856" spans="4:18">
      <c r="D856" s="188"/>
      <c r="F856" s="168" t="s">
        <v>6202</v>
      </c>
      <c r="G856" s="193">
        <f>IF(_1_5412845612146241046457891017[[#This Row],[Type]]&gt;0,VLOOKUP(_1_5412845612146241046457891017[[#This Row],[Type]],Main[[#All],[TYPE]:[UNIT]],'Unit Price'!C$1,FALSE),0)</f>
        <v>0</v>
      </c>
      <c r="H856" s="197">
        <f>IF(_1_5412845612146241046457891017[[#This Row],[Type]]&gt;0,VLOOKUP(_1_5412845612146241046457891017[[#This Row],[Type]],Main[[#All],[TYPE]:[UNIT]],'Unit Price'!D$1,FALSE),0)</f>
        <v>0</v>
      </c>
      <c r="I856" s="194">
        <f>IF(_1_5412845612146241046457891017[[#This Row],[Type]]&gt;0,VLOOKUP(_1_5412845612146241046457891017[[#This Row],[Type]],Main[[#All],[TYPE]:[UNIT]],'Unit Price'!G$1,FALSE),0)</f>
        <v>0</v>
      </c>
      <c r="J856" s="194">
        <f>IF(_1_5412845612146241046457891017[[#This Row],[Type]]&gt;0,VLOOKUP(_1_5412845612146241046457891017[[#This Row],[Type]],Main[[#All],[TYPE]:[UNIT]],'Unit Price'!H$1,FALSE),0)</f>
        <v>0</v>
      </c>
      <c r="K856" s="194">
        <f>IF(_1_5412845612146241046457891017[[#This Row],[Discount selection]]&gt;0,VLOOKUP(_1_5412845612146241046457891017[[#This Row],[Discount selection]],'Discount Structure'!$A$2:$B$30,2,"false"),0)</f>
        <v>1</v>
      </c>
      <c r="L856" s="194">
        <f>_1_5412845612146241046457891017[[#This Row],[LIST $]]*_1_5412845612146241046457891017[[#This Row],[DISCOUNT]]*_1_5412845612146241046457891017[[#This Row],[DISCOUNT 2]]</f>
        <v>0</v>
      </c>
      <c r="M856" s="194">
        <f>IF(OR(_1_5412845612146241046457891017[[#This Row],[UNIT]]&gt;0,_1_5412845612146241046457891017[[#This Row],[UNIT]]&lt;0),_1_5412845612146241046457891017[[#This Row],[UNIT]]*_1_5412845612146241046457891017[[#This Row],[COST]],0)</f>
        <v>0</v>
      </c>
      <c r="N856" s="194">
        <f t="shared" si="13"/>
        <v>1.35</v>
      </c>
      <c r="O856" s="198">
        <f>_1_5412845612146241046457891017[[#This Row],[TOTAL]]*_1_5412845612146241046457891017[[#This Row],[MARGIN]]</f>
        <v>0</v>
      </c>
      <c r="R856" s="41"/>
    </row>
    <row r="857" spans="4:18">
      <c r="D857" s="188"/>
      <c r="F857" s="168" t="s">
        <v>6202</v>
      </c>
      <c r="G857" s="193">
        <f>IF(_1_5412845612146241046457891017[[#This Row],[Type]]&gt;0,VLOOKUP(_1_5412845612146241046457891017[[#This Row],[Type]],Main[[#All],[TYPE]:[UNIT]],'Unit Price'!C$1,FALSE),0)</f>
        <v>0</v>
      </c>
      <c r="H857" s="197">
        <f>IF(_1_5412845612146241046457891017[[#This Row],[Type]]&gt;0,VLOOKUP(_1_5412845612146241046457891017[[#This Row],[Type]],Main[[#All],[TYPE]:[UNIT]],'Unit Price'!D$1,FALSE),0)</f>
        <v>0</v>
      </c>
      <c r="I857" s="194">
        <f>IF(_1_5412845612146241046457891017[[#This Row],[Type]]&gt;0,VLOOKUP(_1_5412845612146241046457891017[[#This Row],[Type]],Main[[#All],[TYPE]:[UNIT]],'Unit Price'!G$1,FALSE),0)</f>
        <v>0</v>
      </c>
      <c r="J857" s="194">
        <f>IF(_1_5412845612146241046457891017[[#This Row],[Type]]&gt;0,VLOOKUP(_1_5412845612146241046457891017[[#This Row],[Type]],Main[[#All],[TYPE]:[UNIT]],'Unit Price'!H$1,FALSE),0)</f>
        <v>0</v>
      </c>
      <c r="K857" s="194">
        <f>IF(_1_5412845612146241046457891017[[#This Row],[Discount selection]]&gt;0,VLOOKUP(_1_5412845612146241046457891017[[#This Row],[Discount selection]],'Discount Structure'!$A$2:$B$30,2,"false"),0)</f>
        <v>1</v>
      </c>
      <c r="L857" s="194">
        <f>_1_5412845612146241046457891017[[#This Row],[LIST $]]*_1_5412845612146241046457891017[[#This Row],[DISCOUNT]]*_1_5412845612146241046457891017[[#This Row],[DISCOUNT 2]]</f>
        <v>0</v>
      </c>
      <c r="M857" s="194">
        <f>IF(OR(_1_5412845612146241046457891017[[#This Row],[UNIT]]&gt;0,_1_5412845612146241046457891017[[#This Row],[UNIT]]&lt;0),_1_5412845612146241046457891017[[#This Row],[UNIT]]*_1_5412845612146241046457891017[[#This Row],[COST]],0)</f>
        <v>0</v>
      </c>
      <c r="N857" s="194">
        <f t="shared" si="13"/>
        <v>1.35</v>
      </c>
      <c r="O857" s="198">
        <f>_1_5412845612146241046457891017[[#This Row],[TOTAL]]*_1_5412845612146241046457891017[[#This Row],[MARGIN]]</f>
        <v>0</v>
      </c>
      <c r="R857" s="41"/>
    </row>
    <row r="858" spans="4:18">
      <c r="D858" s="188"/>
      <c r="F858" s="168" t="s">
        <v>6202</v>
      </c>
      <c r="G858" s="193">
        <f>IF(_1_5412845612146241046457891017[[#This Row],[Type]]&gt;0,VLOOKUP(_1_5412845612146241046457891017[[#This Row],[Type]],Main[[#All],[TYPE]:[UNIT]],'Unit Price'!C$1,FALSE),0)</f>
        <v>0</v>
      </c>
      <c r="H858" s="197">
        <f>IF(_1_5412845612146241046457891017[[#This Row],[Type]]&gt;0,VLOOKUP(_1_5412845612146241046457891017[[#This Row],[Type]],Main[[#All],[TYPE]:[UNIT]],'Unit Price'!D$1,FALSE),0)</f>
        <v>0</v>
      </c>
      <c r="I858" s="194">
        <f>IF(_1_5412845612146241046457891017[[#This Row],[Type]]&gt;0,VLOOKUP(_1_5412845612146241046457891017[[#This Row],[Type]],Main[[#All],[TYPE]:[UNIT]],'Unit Price'!G$1,FALSE),0)</f>
        <v>0</v>
      </c>
      <c r="J858" s="194">
        <f>IF(_1_5412845612146241046457891017[[#This Row],[Type]]&gt;0,VLOOKUP(_1_5412845612146241046457891017[[#This Row],[Type]],Main[[#All],[TYPE]:[UNIT]],'Unit Price'!H$1,FALSE),0)</f>
        <v>0</v>
      </c>
      <c r="K858" s="194">
        <f>IF(_1_5412845612146241046457891017[[#This Row],[Discount selection]]&gt;0,VLOOKUP(_1_5412845612146241046457891017[[#This Row],[Discount selection]],'Discount Structure'!$A$2:$B$30,2,"false"),0)</f>
        <v>1</v>
      </c>
      <c r="L858" s="194">
        <f>_1_5412845612146241046457891017[[#This Row],[LIST $]]*_1_5412845612146241046457891017[[#This Row],[DISCOUNT]]*_1_5412845612146241046457891017[[#This Row],[DISCOUNT 2]]</f>
        <v>0</v>
      </c>
      <c r="M858" s="194">
        <f>IF(OR(_1_5412845612146241046457891017[[#This Row],[UNIT]]&gt;0,_1_5412845612146241046457891017[[#This Row],[UNIT]]&lt;0),_1_5412845612146241046457891017[[#This Row],[UNIT]]*_1_5412845612146241046457891017[[#This Row],[COST]],0)</f>
        <v>0</v>
      </c>
      <c r="N858" s="194">
        <f t="shared" si="13"/>
        <v>1.35</v>
      </c>
      <c r="O858" s="198">
        <f>_1_5412845612146241046457891017[[#This Row],[TOTAL]]*_1_5412845612146241046457891017[[#This Row],[MARGIN]]</f>
        <v>0</v>
      </c>
      <c r="R858" s="41"/>
    </row>
    <row r="859" spans="4:18">
      <c r="D859" s="188"/>
      <c r="F859" s="168" t="s">
        <v>6202</v>
      </c>
      <c r="G859" s="193">
        <f>IF(_1_5412845612146241046457891017[[#This Row],[Type]]&gt;0,VLOOKUP(_1_5412845612146241046457891017[[#This Row],[Type]],Main[[#All],[TYPE]:[UNIT]],'Unit Price'!C$1,FALSE),0)</f>
        <v>0</v>
      </c>
      <c r="H859" s="197">
        <f>IF(_1_5412845612146241046457891017[[#This Row],[Type]]&gt;0,VLOOKUP(_1_5412845612146241046457891017[[#This Row],[Type]],Main[[#All],[TYPE]:[UNIT]],'Unit Price'!D$1,FALSE),0)</f>
        <v>0</v>
      </c>
      <c r="I859" s="194">
        <f>IF(_1_5412845612146241046457891017[[#This Row],[Type]]&gt;0,VLOOKUP(_1_5412845612146241046457891017[[#This Row],[Type]],Main[[#All],[TYPE]:[UNIT]],'Unit Price'!G$1,FALSE),0)</f>
        <v>0</v>
      </c>
      <c r="J859" s="194">
        <f>IF(_1_5412845612146241046457891017[[#This Row],[Type]]&gt;0,VLOOKUP(_1_5412845612146241046457891017[[#This Row],[Type]],Main[[#All],[TYPE]:[UNIT]],'Unit Price'!H$1,FALSE),0)</f>
        <v>0</v>
      </c>
      <c r="K859" s="194">
        <f>IF(_1_5412845612146241046457891017[[#This Row],[Discount selection]]&gt;0,VLOOKUP(_1_5412845612146241046457891017[[#This Row],[Discount selection]],'Discount Structure'!$A$2:$B$30,2,"false"),0)</f>
        <v>1</v>
      </c>
      <c r="L859" s="194">
        <f>_1_5412845612146241046457891017[[#This Row],[LIST $]]*_1_5412845612146241046457891017[[#This Row],[DISCOUNT]]*_1_5412845612146241046457891017[[#This Row],[DISCOUNT 2]]</f>
        <v>0</v>
      </c>
      <c r="M859" s="194">
        <f>IF(OR(_1_5412845612146241046457891017[[#This Row],[UNIT]]&gt;0,_1_5412845612146241046457891017[[#This Row],[UNIT]]&lt;0),_1_5412845612146241046457891017[[#This Row],[UNIT]]*_1_5412845612146241046457891017[[#This Row],[COST]],0)</f>
        <v>0</v>
      </c>
      <c r="N859" s="194">
        <f t="shared" si="13"/>
        <v>1.35</v>
      </c>
      <c r="O859" s="198">
        <f>_1_5412845612146241046457891017[[#This Row],[TOTAL]]*_1_5412845612146241046457891017[[#This Row],[MARGIN]]</f>
        <v>0</v>
      </c>
      <c r="R859" s="41"/>
    </row>
    <row r="860" spans="4:18">
      <c r="D860" s="188"/>
      <c r="F860" s="168" t="s">
        <v>6202</v>
      </c>
      <c r="G860" s="193">
        <f>IF(_1_5412845612146241046457891017[[#This Row],[Type]]&gt;0,VLOOKUP(_1_5412845612146241046457891017[[#This Row],[Type]],Main[[#All],[TYPE]:[UNIT]],'Unit Price'!C$1,FALSE),0)</f>
        <v>0</v>
      </c>
      <c r="H860" s="197">
        <f>IF(_1_5412845612146241046457891017[[#This Row],[Type]]&gt;0,VLOOKUP(_1_5412845612146241046457891017[[#This Row],[Type]],Main[[#All],[TYPE]:[UNIT]],'Unit Price'!D$1,FALSE),0)</f>
        <v>0</v>
      </c>
      <c r="I860" s="194">
        <f>IF(_1_5412845612146241046457891017[[#This Row],[Type]]&gt;0,VLOOKUP(_1_5412845612146241046457891017[[#This Row],[Type]],Main[[#All],[TYPE]:[UNIT]],'Unit Price'!G$1,FALSE),0)</f>
        <v>0</v>
      </c>
      <c r="J860" s="194">
        <f>IF(_1_5412845612146241046457891017[[#This Row],[Type]]&gt;0,VLOOKUP(_1_5412845612146241046457891017[[#This Row],[Type]],Main[[#All],[TYPE]:[UNIT]],'Unit Price'!H$1,FALSE),0)</f>
        <v>0</v>
      </c>
      <c r="K860" s="194">
        <f>IF(_1_5412845612146241046457891017[[#This Row],[Discount selection]]&gt;0,VLOOKUP(_1_5412845612146241046457891017[[#This Row],[Discount selection]],'Discount Structure'!$A$2:$B$30,2,"false"),0)</f>
        <v>1</v>
      </c>
      <c r="L860" s="194">
        <f>_1_5412845612146241046457891017[[#This Row],[LIST $]]*_1_5412845612146241046457891017[[#This Row],[DISCOUNT]]*_1_5412845612146241046457891017[[#This Row],[DISCOUNT 2]]</f>
        <v>0</v>
      </c>
      <c r="M860" s="194">
        <f>IF(OR(_1_5412845612146241046457891017[[#This Row],[UNIT]]&gt;0,_1_5412845612146241046457891017[[#This Row],[UNIT]]&lt;0),_1_5412845612146241046457891017[[#This Row],[UNIT]]*_1_5412845612146241046457891017[[#This Row],[COST]],0)</f>
        <v>0</v>
      </c>
      <c r="N860" s="194">
        <f t="shared" si="13"/>
        <v>1.35</v>
      </c>
      <c r="O860" s="198">
        <f>_1_5412845612146241046457891017[[#This Row],[TOTAL]]*_1_5412845612146241046457891017[[#This Row],[MARGIN]]</f>
        <v>0</v>
      </c>
      <c r="R860" s="41"/>
    </row>
    <row r="861" spans="4:18">
      <c r="D861" s="188"/>
      <c r="F861" s="168" t="s">
        <v>6202</v>
      </c>
      <c r="G861" s="193">
        <f>IF(_1_5412845612146241046457891017[[#This Row],[Type]]&gt;0,VLOOKUP(_1_5412845612146241046457891017[[#This Row],[Type]],Main[[#All],[TYPE]:[UNIT]],'Unit Price'!C$1,FALSE),0)</f>
        <v>0</v>
      </c>
      <c r="H861" s="197">
        <f>IF(_1_5412845612146241046457891017[[#This Row],[Type]]&gt;0,VLOOKUP(_1_5412845612146241046457891017[[#This Row],[Type]],Main[[#All],[TYPE]:[UNIT]],'Unit Price'!D$1,FALSE),0)</f>
        <v>0</v>
      </c>
      <c r="I861" s="194">
        <f>IF(_1_5412845612146241046457891017[[#This Row],[Type]]&gt;0,VLOOKUP(_1_5412845612146241046457891017[[#This Row],[Type]],Main[[#All],[TYPE]:[UNIT]],'Unit Price'!G$1,FALSE),0)</f>
        <v>0</v>
      </c>
      <c r="J861" s="194">
        <f>IF(_1_5412845612146241046457891017[[#This Row],[Type]]&gt;0,VLOOKUP(_1_5412845612146241046457891017[[#This Row],[Type]],Main[[#All],[TYPE]:[UNIT]],'Unit Price'!H$1,FALSE),0)</f>
        <v>0</v>
      </c>
      <c r="K861" s="194">
        <f>IF(_1_5412845612146241046457891017[[#This Row],[Discount selection]]&gt;0,VLOOKUP(_1_5412845612146241046457891017[[#This Row],[Discount selection]],'Discount Structure'!$A$2:$B$30,2,"false"),0)</f>
        <v>1</v>
      </c>
      <c r="L861" s="194">
        <f>_1_5412845612146241046457891017[[#This Row],[LIST $]]*_1_5412845612146241046457891017[[#This Row],[DISCOUNT]]*_1_5412845612146241046457891017[[#This Row],[DISCOUNT 2]]</f>
        <v>0</v>
      </c>
      <c r="M861" s="194">
        <f>IF(OR(_1_5412845612146241046457891017[[#This Row],[UNIT]]&gt;0,_1_5412845612146241046457891017[[#This Row],[UNIT]]&lt;0),_1_5412845612146241046457891017[[#This Row],[UNIT]]*_1_5412845612146241046457891017[[#This Row],[COST]],0)</f>
        <v>0</v>
      </c>
      <c r="N861" s="194">
        <f t="shared" si="13"/>
        <v>1.35</v>
      </c>
      <c r="O861" s="198">
        <f>_1_5412845612146241046457891017[[#This Row],[TOTAL]]*_1_5412845612146241046457891017[[#This Row],[MARGIN]]</f>
        <v>0</v>
      </c>
      <c r="R861" s="41"/>
    </row>
    <row r="862" spans="4:18">
      <c r="D862" s="188"/>
      <c r="F862" s="168" t="s">
        <v>6202</v>
      </c>
      <c r="G862" s="193">
        <f>IF(_1_5412845612146241046457891017[[#This Row],[Type]]&gt;0,VLOOKUP(_1_5412845612146241046457891017[[#This Row],[Type]],Main[[#All],[TYPE]:[UNIT]],'Unit Price'!C$1,FALSE),0)</f>
        <v>0</v>
      </c>
      <c r="H862" s="197">
        <f>IF(_1_5412845612146241046457891017[[#This Row],[Type]]&gt;0,VLOOKUP(_1_5412845612146241046457891017[[#This Row],[Type]],Main[[#All],[TYPE]:[UNIT]],'Unit Price'!D$1,FALSE),0)</f>
        <v>0</v>
      </c>
      <c r="I862" s="194">
        <f>IF(_1_5412845612146241046457891017[[#This Row],[Type]]&gt;0,VLOOKUP(_1_5412845612146241046457891017[[#This Row],[Type]],Main[[#All],[TYPE]:[UNIT]],'Unit Price'!G$1,FALSE),0)</f>
        <v>0</v>
      </c>
      <c r="J862" s="194">
        <f>IF(_1_5412845612146241046457891017[[#This Row],[Type]]&gt;0,VLOOKUP(_1_5412845612146241046457891017[[#This Row],[Type]],Main[[#All],[TYPE]:[UNIT]],'Unit Price'!H$1,FALSE),0)</f>
        <v>0</v>
      </c>
      <c r="K862" s="194">
        <f>IF(_1_5412845612146241046457891017[[#This Row],[Discount selection]]&gt;0,VLOOKUP(_1_5412845612146241046457891017[[#This Row],[Discount selection]],'Discount Structure'!$A$2:$B$30,2,"false"),0)</f>
        <v>1</v>
      </c>
      <c r="L862" s="194">
        <f>_1_5412845612146241046457891017[[#This Row],[LIST $]]*_1_5412845612146241046457891017[[#This Row],[DISCOUNT]]*_1_5412845612146241046457891017[[#This Row],[DISCOUNT 2]]</f>
        <v>0</v>
      </c>
      <c r="M862" s="194">
        <f>IF(OR(_1_5412845612146241046457891017[[#This Row],[UNIT]]&gt;0,_1_5412845612146241046457891017[[#This Row],[UNIT]]&lt;0),_1_5412845612146241046457891017[[#This Row],[UNIT]]*_1_5412845612146241046457891017[[#This Row],[COST]],0)</f>
        <v>0</v>
      </c>
      <c r="N862" s="194">
        <f t="shared" si="13"/>
        <v>1.35</v>
      </c>
      <c r="O862" s="198">
        <f>_1_5412845612146241046457891017[[#This Row],[TOTAL]]*_1_5412845612146241046457891017[[#This Row],[MARGIN]]</f>
        <v>0</v>
      </c>
      <c r="R862" s="41"/>
    </row>
    <row r="863" spans="4:18">
      <c r="D863" s="188"/>
      <c r="F863" s="168" t="s">
        <v>6202</v>
      </c>
      <c r="G863" s="193">
        <f>IF(_1_5412845612146241046457891017[[#This Row],[Type]]&gt;0,VLOOKUP(_1_5412845612146241046457891017[[#This Row],[Type]],Main[[#All],[TYPE]:[UNIT]],'Unit Price'!C$1,FALSE),0)</f>
        <v>0</v>
      </c>
      <c r="H863" s="197">
        <f>IF(_1_5412845612146241046457891017[[#This Row],[Type]]&gt;0,VLOOKUP(_1_5412845612146241046457891017[[#This Row],[Type]],Main[[#All],[TYPE]:[UNIT]],'Unit Price'!D$1,FALSE),0)</f>
        <v>0</v>
      </c>
      <c r="I863" s="194">
        <f>IF(_1_5412845612146241046457891017[[#This Row],[Type]]&gt;0,VLOOKUP(_1_5412845612146241046457891017[[#This Row],[Type]],Main[[#All],[TYPE]:[UNIT]],'Unit Price'!G$1,FALSE),0)</f>
        <v>0</v>
      </c>
      <c r="J863" s="194">
        <f>IF(_1_5412845612146241046457891017[[#This Row],[Type]]&gt;0,VLOOKUP(_1_5412845612146241046457891017[[#This Row],[Type]],Main[[#All],[TYPE]:[UNIT]],'Unit Price'!H$1,FALSE),0)</f>
        <v>0</v>
      </c>
      <c r="K863" s="194">
        <f>IF(_1_5412845612146241046457891017[[#This Row],[Discount selection]]&gt;0,VLOOKUP(_1_5412845612146241046457891017[[#This Row],[Discount selection]],'Discount Structure'!$A$2:$B$30,2,"false"),0)</f>
        <v>1</v>
      </c>
      <c r="L863" s="194">
        <f>_1_5412845612146241046457891017[[#This Row],[LIST $]]*_1_5412845612146241046457891017[[#This Row],[DISCOUNT]]*_1_5412845612146241046457891017[[#This Row],[DISCOUNT 2]]</f>
        <v>0</v>
      </c>
      <c r="M863" s="194">
        <f>IF(OR(_1_5412845612146241046457891017[[#This Row],[UNIT]]&gt;0,_1_5412845612146241046457891017[[#This Row],[UNIT]]&lt;0),_1_5412845612146241046457891017[[#This Row],[UNIT]]*_1_5412845612146241046457891017[[#This Row],[COST]],0)</f>
        <v>0</v>
      </c>
      <c r="N863" s="194">
        <f t="shared" si="13"/>
        <v>1.35</v>
      </c>
      <c r="O863" s="198">
        <f>_1_5412845612146241046457891017[[#This Row],[TOTAL]]*_1_5412845612146241046457891017[[#This Row],[MARGIN]]</f>
        <v>0</v>
      </c>
      <c r="R863" s="41"/>
    </row>
    <row r="864" spans="4:18">
      <c r="D864" s="188"/>
      <c r="F864" s="168" t="s">
        <v>6202</v>
      </c>
      <c r="G864" s="193">
        <f>IF(_1_5412845612146241046457891017[[#This Row],[Type]]&gt;0,VLOOKUP(_1_5412845612146241046457891017[[#This Row],[Type]],Main[[#All],[TYPE]:[UNIT]],'Unit Price'!C$1,FALSE),0)</f>
        <v>0</v>
      </c>
      <c r="H864" s="197">
        <f>IF(_1_5412845612146241046457891017[[#This Row],[Type]]&gt;0,VLOOKUP(_1_5412845612146241046457891017[[#This Row],[Type]],Main[[#All],[TYPE]:[UNIT]],'Unit Price'!D$1,FALSE),0)</f>
        <v>0</v>
      </c>
      <c r="I864" s="194">
        <f>IF(_1_5412845612146241046457891017[[#This Row],[Type]]&gt;0,VLOOKUP(_1_5412845612146241046457891017[[#This Row],[Type]],Main[[#All],[TYPE]:[UNIT]],'Unit Price'!G$1,FALSE),0)</f>
        <v>0</v>
      </c>
      <c r="J864" s="194">
        <f>IF(_1_5412845612146241046457891017[[#This Row],[Type]]&gt;0,VLOOKUP(_1_5412845612146241046457891017[[#This Row],[Type]],Main[[#All],[TYPE]:[UNIT]],'Unit Price'!H$1,FALSE),0)</f>
        <v>0</v>
      </c>
      <c r="K864" s="194">
        <f>IF(_1_5412845612146241046457891017[[#This Row],[Discount selection]]&gt;0,VLOOKUP(_1_5412845612146241046457891017[[#This Row],[Discount selection]],'Discount Structure'!$A$2:$B$30,2,"false"),0)</f>
        <v>1</v>
      </c>
      <c r="L864" s="194">
        <f>_1_5412845612146241046457891017[[#This Row],[LIST $]]*_1_5412845612146241046457891017[[#This Row],[DISCOUNT]]*_1_5412845612146241046457891017[[#This Row],[DISCOUNT 2]]</f>
        <v>0</v>
      </c>
      <c r="M864" s="194">
        <f>IF(OR(_1_5412845612146241046457891017[[#This Row],[UNIT]]&gt;0,_1_5412845612146241046457891017[[#This Row],[UNIT]]&lt;0),_1_5412845612146241046457891017[[#This Row],[UNIT]]*_1_5412845612146241046457891017[[#This Row],[COST]],0)</f>
        <v>0</v>
      </c>
      <c r="N864" s="194">
        <f t="shared" si="13"/>
        <v>1.35</v>
      </c>
      <c r="O864" s="198">
        <f>_1_5412845612146241046457891017[[#This Row],[TOTAL]]*_1_5412845612146241046457891017[[#This Row],[MARGIN]]</f>
        <v>0</v>
      </c>
      <c r="R864" s="41"/>
    </row>
    <row r="865" spans="4:18">
      <c r="D865" s="188"/>
      <c r="E865" s="42"/>
      <c r="F865" s="168" t="s">
        <v>6202</v>
      </c>
      <c r="G865" s="193">
        <f>IF(_1_5412845612146241046457891017[[#This Row],[Type]]&gt;0,VLOOKUP(_1_5412845612146241046457891017[[#This Row],[Type]],Main[[#All],[TYPE]:[UNIT]],'Unit Price'!C$1,FALSE),0)</f>
        <v>0</v>
      </c>
      <c r="H865" s="197">
        <f>IF(_1_5412845612146241046457891017[[#This Row],[Type]]&gt;0,VLOOKUP(_1_5412845612146241046457891017[[#This Row],[Type]],Main[[#All],[TYPE]:[UNIT]],'Unit Price'!D$1,FALSE),0)</f>
        <v>0</v>
      </c>
      <c r="I865" s="194">
        <f>IF(_1_5412845612146241046457891017[[#This Row],[Type]]&gt;0,VLOOKUP(_1_5412845612146241046457891017[[#This Row],[Type]],Main[[#All],[TYPE]:[UNIT]],'Unit Price'!G$1,FALSE),0)</f>
        <v>0</v>
      </c>
      <c r="J865" s="194">
        <f>IF(_1_5412845612146241046457891017[[#This Row],[Type]]&gt;0,VLOOKUP(_1_5412845612146241046457891017[[#This Row],[Type]],Main[[#All],[TYPE]:[UNIT]],'Unit Price'!H$1,FALSE),0)</f>
        <v>0</v>
      </c>
      <c r="K865" s="194">
        <f>IF(_1_5412845612146241046457891017[[#This Row],[Discount selection]]&gt;0,VLOOKUP(_1_5412845612146241046457891017[[#This Row],[Discount selection]],'Discount Structure'!$A$2:$B$30,2,"false"),0)</f>
        <v>1</v>
      </c>
      <c r="L865" s="194">
        <f>_1_5412845612146241046457891017[[#This Row],[LIST $]]*_1_5412845612146241046457891017[[#This Row],[DISCOUNT]]*_1_5412845612146241046457891017[[#This Row],[DISCOUNT 2]]</f>
        <v>0</v>
      </c>
      <c r="M865" s="194">
        <f>IF(OR(_1_5412845612146241046457891017[[#This Row],[UNIT]]&gt;0,_1_5412845612146241046457891017[[#This Row],[UNIT]]&lt;0),_1_5412845612146241046457891017[[#This Row],[UNIT]]*_1_5412845612146241046457891017[[#This Row],[COST]],0)</f>
        <v>0</v>
      </c>
      <c r="N865" s="194">
        <f t="shared" si="13"/>
        <v>1.35</v>
      </c>
      <c r="O865" s="198">
        <f>_1_5412845612146241046457891017[[#This Row],[TOTAL]]*_1_5412845612146241046457891017[[#This Row],[MARGIN]]</f>
        <v>0</v>
      </c>
      <c r="P865" s="198"/>
      <c r="R865" s="41"/>
    </row>
    <row r="866" spans="4:18">
      <c r="D866" s="188"/>
      <c r="E866" s="42"/>
      <c r="F866" s="168" t="s">
        <v>6202</v>
      </c>
      <c r="G866" s="193">
        <f>IF(_1_5412845612146241046457891017[[#This Row],[Type]]&gt;0,VLOOKUP(_1_5412845612146241046457891017[[#This Row],[Type]],Main[[#All],[TYPE]:[UNIT]],'Unit Price'!C$1,FALSE),0)</f>
        <v>0</v>
      </c>
      <c r="H866" s="197">
        <f>IF(_1_5412845612146241046457891017[[#This Row],[Type]]&gt;0,VLOOKUP(_1_5412845612146241046457891017[[#This Row],[Type]],Main[[#All],[TYPE]:[UNIT]],'Unit Price'!D$1,FALSE),0)</f>
        <v>0</v>
      </c>
      <c r="I866" s="194">
        <f>IF(_1_5412845612146241046457891017[[#This Row],[Type]]&gt;0,VLOOKUP(_1_5412845612146241046457891017[[#This Row],[Type]],Main[[#All],[TYPE]:[UNIT]],'Unit Price'!G$1,FALSE),0)</f>
        <v>0</v>
      </c>
      <c r="J866" s="194">
        <f>IF(_1_5412845612146241046457891017[[#This Row],[Type]]&gt;0,VLOOKUP(_1_5412845612146241046457891017[[#This Row],[Type]],Main[[#All],[TYPE]:[UNIT]],'Unit Price'!H$1,FALSE),0)</f>
        <v>0</v>
      </c>
      <c r="K866" s="194">
        <f>IF(_1_5412845612146241046457891017[[#This Row],[Discount selection]]&gt;0,VLOOKUP(_1_5412845612146241046457891017[[#This Row],[Discount selection]],'Discount Structure'!$A$2:$B$30,2,"false"),0)</f>
        <v>1</v>
      </c>
      <c r="L866" s="194">
        <f>_1_5412845612146241046457891017[[#This Row],[LIST $]]*_1_5412845612146241046457891017[[#This Row],[DISCOUNT]]*_1_5412845612146241046457891017[[#This Row],[DISCOUNT 2]]</f>
        <v>0</v>
      </c>
      <c r="M866" s="194">
        <f>IF(OR(_1_5412845612146241046457891017[[#This Row],[UNIT]]&gt;0,_1_5412845612146241046457891017[[#This Row],[UNIT]]&lt;0),_1_5412845612146241046457891017[[#This Row],[UNIT]]*_1_5412845612146241046457891017[[#This Row],[COST]],0)</f>
        <v>0</v>
      </c>
      <c r="N866" s="194">
        <f t="shared" si="13"/>
        <v>1.35</v>
      </c>
      <c r="O866" s="198">
        <f>_1_5412845612146241046457891017[[#This Row],[TOTAL]]*_1_5412845612146241046457891017[[#This Row],[MARGIN]]</f>
        <v>0</v>
      </c>
      <c r="P866" s="198"/>
      <c r="R866" s="41"/>
    </row>
    <row r="867" spans="4:18">
      <c r="D867" s="188"/>
      <c r="E867" s="42"/>
      <c r="F867" s="168" t="s">
        <v>6202</v>
      </c>
      <c r="G867" s="193">
        <f>IF(_1_5412845612146241046457891017[[#This Row],[Type]]&gt;0,VLOOKUP(_1_5412845612146241046457891017[[#This Row],[Type]],Main[[#All],[TYPE]:[UNIT]],'Unit Price'!C$1,FALSE),0)</f>
        <v>0</v>
      </c>
      <c r="H867" s="197">
        <f>IF(_1_5412845612146241046457891017[[#This Row],[Type]]&gt;0,VLOOKUP(_1_5412845612146241046457891017[[#This Row],[Type]],Main[[#All],[TYPE]:[UNIT]],'Unit Price'!D$1,FALSE),0)</f>
        <v>0</v>
      </c>
      <c r="I867" s="194">
        <f>IF(_1_5412845612146241046457891017[[#This Row],[Type]]&gt;0,VLOOKUP(_1_5412845612146241046457891017[[#This Row],[Type]],Main[[#All],[TYPE]:[UNIT]],'Unit Price'!G$1,FALSE),0)</f>
        <v>0</v>
      </c>
      <c r="J867" s="194">
        <f>IF(_1_5412845612146241046457891017[[#This Row],[Type]]&gt;0,VLOOKUP(_1_5412845612146241046457891017[[#This Row],[Type]],Main[[#All],[TYPE]:[UNIT]],'Unit Price'!H$1,FALSE),0)</f>
        <v>0</v>
      </c>
      <c r="K867" s="194">
        <f>IF(_1_5412845612146241046457891017[[#This Row],[Discount selection]]&gt;0,VLOOKUP(_1_5412845612146241046457891017[[#This Row],[Discount selection]],'Discount Structure'!$A$2:$B$30,2,"false"),0)</f>
        <v>1</v>
      </c>
      <c r="L867" s="194">
        <f>_1_5412845612146241046457891017[[#This Row],[LIST $]]*_1_5412845612146241046457891017[[#This Row],[DISCOUNT]]*_1_5412845612146241046457891017[[#This Row],[DISCOUNT 2]]</f>
        <v>0</v>
      </c>
      <c r="M867" s="194">
        <f>IF(OR(_1_5412845612146241046457891017[[#This Row],[UNIT]]&gt;0,_1_5412845612146241046457891017[[#This Row],[UNIT]]&lt;0),_1_5412845612146241046457891017[[#This Row],[UNIT]]*_1_5412845612146241046457891017[[#This Row],[COST]],0)</f>
        <v>0</v>
      </c>
      <c r="N867" s="194">
        <f t="shared" si="13"/>
        <v>1.35</v>
      </c>
      <c r="O867" s="198">
        <f>_1_5412845612146241046457891017[[#This Row],[TOTAL]]*_1_5412845612146241046457891017[[#This Row],[MARGIN]]</f>
        <v>0</v>
      </c>
      <c r="P867" s="198"/>
      <c r="R867" s="41"/>
    </row>
    <row r="868" spans="4:18">
      <c r="D868" s="188"/>
      <c r="E868" s="42"/>
      <c r="F868" s="168" t="s">
        <v>6202</v>
      </c>
      <c r="G868" s="193">
        <f>IF(_1_5412845612146241046457891017[[#This Row],[Type]]&gt;0,VLOOKUP(_1_5412845612146241046457891017[[#This Row],[Type]],Main[[#All],[TYPE]:[UNIT]],'Unit Price'!C$1,FALSE),0)</f>
        <v>0</v>
      </c>
      <c r="H868" s="197">
        <f>IF(_1_5412845612146241046457891017[[#This Row],[Type]]&gt;0,VLOOKUP(_1_5412845612146241046457891017[[#This Row],[Type]],Main[[#All],[TYPE]:[UNIT]],'Unit Price'!D$1,FALSE),0)</f>
        <v>0</v>
      </c>
      <c r="I868" s="194">
        <f>IF(_1_5412845612146241046457891017[[#This Row],[Type]]&gt;0,VLOOKUP(_1_5412845612146241046457891017[[#This Row],[Type]],Main[[#All],[TYPE]:[UNIT]],'Unit Price'!G$1,FALSE),0)</f>
        <v>0</v>
      </c>
      <c r="J868" s="194">
        <f>IF(_1_5412845612146241046457891017[[#This Row],[Type]]&gt;0,VLOOKUP(_1_5412845612146241046457891017[[#This Row],[Type]],Main[[#All],[TYPE]:[UNIT]],'Unit Price'!H$1,FALSE),0)</f>
        <v>0</v>
      </c>
      <c r="K868" s="194">
        <f>IF(_1_5412845612146241046457891017[[#This Row],[Discount selection]]&gt;0,VLOOKUP(_1_5412845612146241046457891017[[#This Row],[Discount selection]],'Discount Structure'!$A$2:$B$30,2,"false"),0)</f>
        <v>1</v>
      </c>
      <c r="L868" s="194">
        <f>_1_5412845612146241046457891017[[#This Row],[LIST $]]*_1_5412845612146241046457891017[[#This Row],[DISCOUNT]]*_1_5412845612146241046457891017[[#This Row],[DISCOUNT 2]]</f>
        <v>0</v>
      </c>
      <c r="M868" s="194">
        <f>IF(OR(_1_5412845612146241046457891017[[#This Row],[UNIT]]&gt;0,_1_5412845612146241046457891017[[#This Row],[UNIT]]&lt;0),_1_5412845612146241046457891017[[#This Row],[UNIT]]*_1_5412845612146241046457891017[[#This Row],[COST]],0)</f>
        <v>0</v>
      </c>
      <c r="N868" s="194">
        <f t="shared" si="13"/>
        <v>1.35</v>
      </c>
      <c r="O868" s="198">
        <f>_1_5412845612146241046457891017[[#This Row],[TOTAL]]*_1_5412845612146241046457891017[[#This Row],[MARGIN]]</f>
        <v>0</v>
      </c>
      <c r="P868" s="198"/>
      <c r="R868" s="41"/>
    </row>
    <row r="869" spans="4:18">
      <c r="D869" s="188"/>
      <c r="E869" s="42"/>
      <c r="F869" s="168" t="s">
        <v>6202</v>
      </c>
      <c r="G869" s="193">
        <f>IF(_1_5412845612146241046457891017[[#This Row],[Type]]&gt;0,VLOOKUP(_1_5412845612146241046457891017[[#This Row],[Type]],Main[[#All],[TYPE]:[UNIT]],'Unit Price'!C$1,FALSE),0)</f>
        <v>0</v>
      </c>
      <c r="H869" s="197">
        <f>IF(_1_5412845612146241046457891017[[#This Row],[Type]]&gt;0,VLOOKUP(_1_5412845612146241046457891017[[#This Row],[Type]],Main[[#All],[TYPE]:[UNIT]],'Unit Price'!D$1,FALSE),0)</f>
        <v>0</v>
      </c>
      <c r="I869" s="194">
        <f>IF(_1_5412845612146241046457891017[[#This Row],[Type]]&gt;0,VLOOKUP(_1_5412845612146241046457891017[[#This Row],[Type]],Main[[#All],[TYPE]:[UNIT]],'Unit Price'!G$1,FALSE),0)</f>
        <v>0</v>
      </c>
      <c r="J869" s="194">
        <f>IF(_1_5412845612146241046457891017[[#This Row],[Type]]&gt;0,VLOOKUP(_1_5412845612146241046457891017[[#This Row],[Type]],Main[[#All],[TYPE]:[UNIT]],'Unit Price'!H$1,FALSE),0)</f>
        <v>0</v>
      </c>
      <c r="K869" s="194">
        <f>IF(_1_5412845612146241046457891017[[#This Row],[Discount selection]]&gt;0,VLOOKUP(_1_5412845612146241046457891017[[#This Row],[Discount selection]],'Discount Structure'!$A$2:$B$30,2,"false"),0)</f>
        <v>1</v>
      </c>
      <c r="L869" s="194">
        <f>_1_5412845612146241046457891017[[#This Row],[LIST $]]*_1_5412845612146241046457891017[[#This Row],[DISCOUNT]]*_1_5412845612146241046457891017[[#This Row],[DISCOUNT 2]]</f>
        <v>0</v>
      </c>
      <c r="M869" s="194">
        <f>IF(OR(_1_5412845612146241046457891017[[#This Row],[UNIT]]&gt;0,_1_5412845612146241046457891017[[#This Row],[UNIT]]&lt;0),_1_5412845612146241046457891017[[#This Row],[UNIT]]*_1_5412845612146241046457891017[[#This Row],[COST]],0)</f>
        <v>0</v>
      </c>
      <c r="N869" s="194">
        <f t="shared" si="13"/>
        <v>1.35</v>
      </c>
      <c r="O869" s="198">
        <f>_1_5412845612146241046457891017[[#This Row],[TOTAL]]*_1_5412845612146241046457891017[[#This Row],[MARGIN]]</f>
        <v>0</v>
      </c>
      <c r="P869" s="198"/>
      <c r="R869" s="41"/>
    </row>
    <row r="870" spans="4:18">
      <c r="D870" s="188"/>
      <c r="E870" s="42"/>
      <c r="F870" s="168" t="s">
        <v>6202</v>
      </c>
      <c r="G870" s="193">
        <f>IF(_1_5412845612146241046457891017[[#This Row],[Type]]&gt;0,VLOOKUP(_1_5412845612146241046457891017[[#This Row],[Type]],Main[[#All],[TYPE]:[UNIT]],'Unit Price'!C$1,FALSE),0)</f>
        <v>0</v>
      </c>
      <c r="H870" s="197">
        <f>IF(_1_5412845612146241046457891017[[#This Row],[Type]]&gt;0,VLOOKUP(_1_5412845612146241046457891017[[#This Row],[Type]],Main[[#All],[TYPE]:[UNIT]],'Unit Price'!D$1,FALSE),0)</f>
        <v>0</v>
      </c>
      <c r="I870" s="194">
        <f>IF(_1_5412845612146241046457891017[[#This Row],[Type]]&gt;0,VLOOKUP(_1_5412845612146241046457891017[[#This Row],[Type]],Main[[#All],[TYPE]:[UNIT]],'Unit Price'!G$1,FALSE),0)</f>
        <v>0</v>
      </c>
      <c r="J870" s="194">
        <f>IF(_1_5412845612146241046457891017[[#This Row],[Type]]&gt;0,VLOOKUP(_1_5412845612146241046457891017[[#This Row],[Type]],Main[[#All],[TYPE]:[UNIT]],'Unit Price'!H$1,FALSE),0)</f>
        <v>0</v>
      </c>
      <c r="K870" s="194">
        <f>IF(_1_5412845612146241046457891017[[#This Row],[Discount selection]]&gt;0,VLOOKUP(_1_5412845612146241046457891017[[#This Row],[Discount selection]],'Discount Structure'!$A$2:$B$30,2,"false"),0)</f>
        <v>1</v>
      </c>
      <c r="L870" s="194">
        <f>_1_5412845612146241046457891017[[#This Row],[LIST $]]*_1_5412845612146241046457891017[[#This Row],[DISCOUNT]]*_1_5412845612146241046457891017[[#This Row],[DISCOUNT 2]]</f>
        <v>0</v>
      </c>
      <c r="M870" s="194">
        <f>IF(OR(_1_5412845612146241046457891017[[#This Row],[UNIT]]&gt;0,_1_5412845612146241046457891017[[#This Row],[UNIT]]&lt;0),_1_5412845612146241046457891017[[#This Row],[UNIT]]*_1_5412845612146241046457891017[[#This Row],[COST]],0)</f>
        <v>0</v>
      </c>
      <c r="N870" s="194">
        <f t="shared" si="13"/>
        <v>1.35</v>
      </c>
      <c r="O870" s="198">
        <f>_1_5412845612146241046457891017[[#This Row],[TOTAL]]*_1_5412845612146241046457891017[[#This Row],[MARGIN]]</f>
        <v>0</v>
      </c>
      <c r="P870" s="198"/>
      <c r="R870" s="41"/>
    </row>
    <row r="871" spans="4:18">
      <c r="D871" s="188"/>
      <c r="E871" s="42"/>
      <c r="F871" s="168" t="s">
        <v>6202</v>
      </c>
      <c r="G871" s="193">
        <f>IF(_1_5412845612146241046457891017[[#This Row],[Type]]&gt;0,VLOOKUP(_1_5412845612146241046457891017[[#This Row],[Type]],Main[[#All],[TYPE]:[UNIT]],'Unit Price'!C$1,FALSE),0)</f>
        <v>0</v>
      </c>
      <c r="H871" s="197">
        <f>IF(_1_5412845612146241046457891017[[#This Row],[Type]]&gt;0,VLOOKUP(_1_5412845612146241046457891017[[#This Row],[Type]],Main[[#All],[TYPE]:[UNIT]],'Unit Price'!D$1,FALSE),0)</f>
        <v>0</v>
      </c>
      <c r="I871" s="194">
        <f>IF(_1_5412845612146241046457891017[[#This Row],[Type]]&gt;0,VLOOKUP(_1_5412845612146241046457891017[[#This Row],[Type]],Main[[#All],[TYPE]:[UNIT]],'Unit Price'!G$1,FALSE),0)</f>
        <v>0</v>
      </c>
      <c r="J871" s="194">
        <f>IF(_1_5412845612146241046457891017[[#This Row],[Type]]&gt;0,VLOOKUP(_1_5412845612146241046457891017[[#This Row],[Type]],Main[[#All],[TYPE]:[UNIT]],'Unit Price'!H$1,FALSE),0)</f>
        <v>0</v>
      </c>
      <c r="K871" s="194">
        <f>IF(_1_5412845612146241046457891017[[#This Row],[Discount selection]]&gt;0,VLOOKUP(_1_5412845612146241046457891017[[#This Row],[Discount selection]],'Discount Structure'!$A$2:$B$30,2,"false"),0)</f>
        <v>1</v>
      </c>
      <c r="L871" s="194">
        <f>_1_5412845612146241046457891017[[#This Row],[LIST $]]*_1_5412845612146241046457891017[[#This Row],[DISCOUNT]]*_1_5412845612146241046457891017[[#This Row],[DISCOUNT 2]]</f>
        <v>0</v>
      </c>
      <c r="M871" s="194">
        <f>IF(OR(_1_5412845612146241046457891017[[#This Row],[UNIT]]&gt;0,_1_5412845612146241046457891017[[#This Row],[UNIT]]&lt;0),_1_5412845612146241046457891017[[#This Row],[UNIT]]*_1_5412845612146241046457891017[[#This Row],[COST]],0)</f>
        <v>0</v>
      </c>
      <c r="N871" s="194">
        <f t="shared" si="13"/>
        <v>1.35</v>
      </c>
      <c r="O871" s="198">
        <f>_1_5412845612146241046457891017[[#This Row],[TOTAL]]*_1_5412845612146241046457891017[[#This Row],[MARGIN]]</f>
        <v>0</v>
      </c>
      <c r="P871" s="198"/>
      <c r="R871" s="41"/>
    </row>
    <row r="872" spans="4:18">
      <c r="D872" s="188"/>
      <c r="E872" s="42"/>
      <c r="F872" s="168" t="s">
        <v>6202</v>
      </c>
      <c r="G872" s="193">
        <f>IF(_1_5412845612146241046457891017[[#This Row],[Type]]&gt;0,VLOOKUP(_1_5412845612146241046457891017[[#This Row],[Type]],Main[[#All],[TYPE]:[UNIT]],'Unit Price'!C$1,FALSE),0)</f>
        <v>0</v>
      </c>
      <c r="H872" s="197">
        <f>IF(_1_5412845612146241046457891017[[#This Row],[Type]]&gt;0,VLOOKUP(_1_5412845612146241046457891017[[#This Row],[Type]],Main[[#All],[TYPE]:[UNIT]],'Unit Price'!D$1,FALSE),0)</f>
        <v>0</v>
      </c>
      <c r="I872" s="194">
        <f>IF(_1_5412845612146241046457891017[[#This Row],[Type]]&gt;0,VLOOKUP(_1_5412845612146241046457891017[[#This Row],[Type]],Main[[#All],[TYPE]:[UNIT]],'Unit Price'!G$1,FALSE),0)</f>
        <v>0</v>
      </c>
      <c r="J872" s="194">
        <f>IF(_1_5412845612146241046457891017[[#This Row],[Type]]&gt;0,VLOOKUP(_1_5412845612146241046457891017[[#This Row],[Type]],Main[[#All],[TYPE]:[UNIT]],'Unit Price'!H$1,FALSE),0)</f>
        <v>0</v>
      </c>
      <c r="K872" s="194">
        <f>IF(_1_5412845612146241046457891017[[#This Row],[Discount selection]]&gt;0,VLOOKUP(_1_5412845612146241046457891017[[#This Row],[Discount selection]],'Discount Structure'!$A$2:$B$30,2,"false"),0)</f>
        <v>1</v>
      </c>
      <c r="L872" s="194">
        <f>_1_5412845612146241046457891017[[#This Row],[LIST $]]*_1_5412845612146241046457891017[[#This Row],[DISCOUNT]]*_1_5412845612146241046457891017[[#This Row],[DISCOUNT 2]]</f>
        <v>0</v>
      </c>
      <c r="M872" s="194">
        <f>IF(OR(_1_5412845612146241046457891017[[#This Row],[UNIT]]&gt;0,_1_5412845612146241046457891017[[#This Row],[UNIT]]&lt;0),_1_5412845612146241046457891017[[#This Row],[UNIT]]*_1_5412845612146241046457891017[[#This Row],[COST]],0)</f>
        <v>0</v>
      </c>
      <c r="N872" s="194">
        <f t="shared" si="13"/>
        <v>1.35</v>
      </c>
      <c r="O872" s="198">
        <f>_1_5412845612146241046457891017[[#This Row],[TOTAL]]*_1_5412845612146241046457891017[[#This Row],[MARGIN]]</f>
        <v>0</v>
      </c>
      <c r="P872" s="198"/>
      <c r="R872" s="41"/>
    </row>
    <row r="873" spans="4:18">
      <c r="D873" s="188"/>
      <c r="E873" s="42"/>
      <c r="F873" s="168" t="s">
        <v>6202</v>
      </c>
      <c r="G873" s="193">
        <f>IF(_1_5412845612146241046457891017[[#This Row],[Type]]&gt;0,VLOOKUP(_1_5412845612146241046457891017[[#This Row],[Type]],Main[[#All],[TYPE]:[UNIT]],'Unit Price'!C$1,FALSE),0)</f>
        <v>0</v>
      </c>
      <c r="H873" s="197">
        <f>IF(_1_5412845612146241046457891017[[#This Row],[Type]]&gt;0,VLOOKUP(_1_5412845612146241046457891017[[#This Row],[Type]],Main[[#All],[TYPE]:[UNIT]],'Unit Price'!D$1,FALSE),0)</f>
        <v>0</v>
      </c>
      <c r="I873" s="194">
        <f>IF(_1_5412845612146241046457891017[[#This Row],[Type]]&gt;0,VLOOKUP(_1_5412845612146241046457891017[[#This Row],[Type]],Main[[#All],[TYPE]:[UNIT]],'Unit Price'!G$1,FALSE),0)</f>
        <v>0</v>
      </c>
      <c r="J873" s="194">
        <f>IF(_1_5412845612146241046457891017[[#This Row],[Type]]&gt;0,VLOOKUP(_1_5412845612146241046457891017[[#This Row],[Type]],Main[[#All],[TYPE]:[UNIT]],'Unit Price'!H$1,FALSE),0)</f>
        <v>0</v>
      </c>
      <c r="K873" s="194">
        <f>IF(_1_5412845612146241046457891017[[#This Row],[Discount selection]]&gt;0,VLOOKUP(_1_5412845612146241046457891017[[#This Row],[Discount selection]],'Discount Structure'!$A$2:$B$30,2,"false"),0)</f>
        <v>1</v>
      </c>
      <c r="L873" s="194">
        <f>_1_5412845612146241046457891017[[#This Row],[LIST $]]*_1_5412845612146241046457891017[[#This Row],[DISCOUNT]]*_1_5412845612146241046457891017[[#This Row],[DISCOUNT 2]]</f>
        <v>0</v>
      </c>
      <c r="M873" s="194">
        <f>IF(OR(_1_5412845612146241046457891017[[#This Row],[UNIT]]&gt;0,_1_5412845612146241046457891017[[#This Row],[UNIT]]&lt;0),_1_5412845612146241046457891017[[#This Row],[UNIT]]*_1_5412845612146241046457891017[[#This Row],[COST]],0)</f>
        <v>0</v>
      </c>
      <c r="N873" s="194">
        <f t="shared" si="13"/>
        <v>1.35</v>
      </c>
      <c r="O873" s="198">
        <f>_1_5412845612146241046457891017[[#This Row],[TOTAL]]*_1_5412845612146241046457891017[[#This Row],[MARGIN]]</f>
        <v>0</v>
      </c>
      <c r="P873" s="198"/>
      <c r="R873" s="41"/>
    </row>
    <row r="874" spans="4:18">
      <c r="D874" s="188"/>
      <c r="E874" s="42"/>
      <c r="F874" s="168" t="s">
        <v>6202</v>
      </c>
      <c r="G874" s="193">
        <f>IF(_1_5412845612146241046457891017[[#This Row],[Type]]&gt;0,VLOOKUP(_1_5412845612146241046457891017[[#This Row],[Type]],Main[[#All],[TYPE]:[UNIT]],'Unit Price'!C$1,FALSE),0)</f>
        <v>0</v>
      </c>
      <c r="H874" s="197">
        <f>IF(_1_5412845612146241046457891017[[#This Row],[Type]]&gt;0,VLOOKUP(_1_5412845612146241046457891017[[#This Row],[Type]],Main[[#All],[TYPE]:[UNIT]],'Unit Price'!D$1,FALSE),0)</f>
        <v>0</v>
      </c>
      <c r="I874" s="194">
        <f>IF(_1_5412845612146241046457891017[[#This Row],[Type]]&gt;0,VLOOKUP(_1_5412845612146241046457891017[[#This Row],[Type]],Main[[#All],[TYPE]:[UNIT]],'Unit Price'!G$1,FALSE),0)</f>
        <v>0</v>
      </c>
      <c r="J874" s="194">
        <f>IF(_1_5412845612146241046457891017[[#This Row],[Type]]&gt;0,VLOOKUP(_1_5412845612146241046457891017[[#This Row],[Type]],Main[[#All],[TYPE]:[UNIT]],'Unit Price'!H$1,FALSE),0)</f>
        <v>0</v>
      </c>
      <c r="K874" s="194">
        <f>IF(_1_5412845612146241046457891017[[#This Row],[Discount selection]]&gt;0,VLOOKUP(_1_5412845612146241046457891017[[#This Row],[Discount selection]],'Discount Structure'!$A$2:$B$30,2,"false"),0)</f>
        <v>1</v>
      </c>
      <c r="L874" s="194">
        <f>_1_5412845612146241046457891017[[#This Row],[LIST $]]*_1_5412845612146241046457891017[[#This Row],[DISCOUNT]]*_1_5412845612146241046457891017[[#This Row],[DISCOUNT 2]]</f>
        <v>0</v>
      </c>
      <c r="M874" s="194">
        <f>IF(OR(_1_5412845612146241046457891017[[#This Row],[UNIT]]&gt;0,_1_5412845612146241046457891017[[#This Row],[UNIT]]&lt;0),_1_5412845612146241046457891017[[#This Row],[UNIT]]*_1_5412845612146241046457891017[[#This Row],[COST]],0)</f>
        <v>0</v>
      </c>
      <c r="N874" s="194">
        <f t="shared" si="13"/>
        <v>1.35</v>
      </c>
      <c r="O874" s="198">
        <f>_1_5412845612146241046457891017[[#This Row],[TOTAL]]*_1_5412845612146241046457891017[[#This Row],[MARGIN]]</f>
        <v>0</v>
      </c>
      <c r="P874" s="198"/>
      <c r="R874" s="41"/>
    </row>
    <row r="875" spans="4:18">
      <c r="D875" s="188"/>
      <c r="E875" s="42"/>
      <c r="F875" s="168" t="s">
        <v>6202</v>
      </c>
      <c r="G875" s="193">
        <f>IF(_1_5412845612146241046457891017[[#This Row],[Type]]&gt;0,VLOOKUP(_1_5412845612146241046457891017[[#This Row],[Type]],Main[[#All],[TYPE]:[UNIT]],'Unit Price'!C$1,FALSE),0)</f>
        <v>0</v>
      </c>
      <c r="H875" s="197">
        <f>IF(_1_5412845612146241046457891017[[#This Row],[Type]]&gt;0,VLOOKUP(_1_5412845612146241046457891017[[#This Row],[Type]],Main[[#All],[TYPE]:[UNIT]],'Unit Price'!D$1,FALSE),0)</f>
        <v>0</v>
      </c>
      <c r="I875" s="194">
        <f>IF(_1_5412845612146241046457891017[[#This Row],[Type]]&gt;0,VLOOKUP(_1_5412845612146241046457891017[[#This Row],[Type]],Main[[#All],[TYPE]:[UNIT]],'Unit Price'!G$1,FALSE),0)</f>
        <v>0</v>
      </c>
      <c r="J875" s="194">
        <f>IF(_1_5412845612146241046457891017[[#This Row],[Type]]&gt;0,VLOOKUP(_1_5412845612146241046457891017[[#This Row],[Type]],Main[[#All],[TYPE]:[UNIT]],'Unit Price'!H$1,FALSE),0)</f>
        <v>0</v>
      </c>
      <c r="K875" s="194">
        <f>IF(_1_5412845612146241046457891017[[#This Row],[Discount selection]]&gt;0,VLOOKUP(_1_5412845612146241046457891017[[#This Row],[Discount selection]],'Discount Structure'!$A$2:$B$30,2,"false"),0)</f>
        <v>1</v>
      </c>
      <c r="L875" s="194">
        <f>_1_5412845612146241046457891017[[#This Row],[LIST $]]*_1_5412845612146241046457891017[[#This Row],[DISCOUNT]]*_1_5412845612146241046457891017[[#This Row],[DISCOUNT 2]]</f>
        <v>0</v>
      </c>
      <c r="M875" s="194">
        <f>IF(OR(_1_5412845612146241046457891017[[#This Row],[UNIT]]&gt;0,_1_5412845612146241046457891017[[#This Row],[UNIT]]&lt;0),_1_5412845612146241046457891017[[#This Row],[UNIT]]*_1_5412845612146241046457891017[[#This Row],[COST]],0)</f>
        <v>0</v>
      </c>
      <c r="N875" s="194">
        <f t="shared" si="13"/>
        <v>1.35</v>
      </c>
      <c r="O875" s="198">
        <f>_1_5412845612146241046457891017[[#This Row],[TOTAL]]*_1_5412845612146241046457891017[[#This Row],[MARGIN]]</f>
        <v>0</v>
      </c>
      <c r="P875" s="198"/>
      <c r="R875" s="41"/>
    </row>
    <row r="876" spans="4:18">
      <c r="D876" s="188"/>
      <c r="E876" s="42"/>
      <c r="F876" s="168" t="s">
        <v>6202</v>
      </c>
      <c r="G876" s="193">
        <f>IF(_1_5412845612146241046457891017[[#This Row],[Type]]&gt;0,VLOOKUP(_1_5412845612146241046457891017[[#This Row],[Type]],Main[[#All],[TYPE]:[UNIT]],'Unit Price'!C$1,FALSE),0)</f>
        <v>0</v>
      </c>
      <c r="H876" s="197">
        <f>IF(_1_5412845612146241046457891017[[#This Row],[Type]]&gt;0,VLOOKUP(_1_5412845612146241046457891017[[#This Row],[Type]],Main[[#All],[TYPE]:[UNIT]],'Unit Price'!D$1,FALSE),0)</f>
        <v>0</v>
      </c>
      <c r="I876" s="194">
        <f>IF(_1_5412845612146241046457891017[[#This Row],[Type]]&gt;0,VLOOKUP(_1_5412845612146241046457891017[[#This Row],[Type]],Main[[#All],[TYPE]:[UNIT]],'Unit Price'!G$1,FALSE),0)</f>
        <v>0</v>
      </c>
      <c r="J876" s="194">
        <f>IF(_1_5412845612146241046457891017[[#This Row],[Type]]&gt;0,VLOOKUP(_1_5412845612146241046457891017[[#This Row],[Type]],Main[[#All],[TYPE]:[UNIT]],'Unit Price'!H$1,FALSE),0)</f>
        <v>0</v>
      </c>
      <c r="K876" s="194">
        <f>IF(_1_5412845612146241046457891017[[#This Row],[Discount selection]]&gt;0,VLOOKUP(_1_5412845612146241046457891017[[#This Row],[Discount selection]],'Discount Structure'!$A$2:$B$30,2,"false"),0)</f>
        <v>1</v>
      </c>
      <c r="L876" s="194">
        <f>_1_5412845612146241046457891017[[#This Row],[LIST $]]*_1_5412845612146241046457891017[[#This Row],[DISCOUNT]]*_1_5412845612146241046457891017[[#This Row],[DISCOUNT 2]]</f>
        <v>0</v>
      </c>
      <c r="M876" s="194">
        <f>IF(OR(_1_5412845612146241046457891017[[#This Row],[UNIT]]&gt;0,_1_5412845612146241046457891017[[#This Row],[UNIT]]&lt;0),_1_5412845612146241046457891017[[#This Row],[UNIT]]*_1_5412845612146241046457891017[[#This Row],[COST]],0)</f>
        <v>0</v>
      </c>
      <c r="N876" s="194">
        <f t="shared" si="13"/>
        <v>1.35</v>
      </c>
      <c r="O876" s="198">
        <f>_1_5412845612146241046457891017[[#This Row],[TOTAL]]*_1_5412845612146241046457891017[[#This Row],[MARGIN]]</f>
        <v>0</v>
      </c>
      <c r="P876" s="198"/>
      <c r="R876" s="41"/>
    </row>
    <row r="877" spans="4:18">
      <c r="D877" s="188"/>
      <c r="E877" s="42"/>
      <c r="F877" s="168" t="s">
        <v>6202</v>
      </c>
      <c r="G877" s="193">
        <f>IF(_1_5412845612146241046457891017[[#This Row],[Type]]&gt;0,VLOOKUP(_1_5412845612146241046457891017[[#This Row],[Type]],Main[[#All],[TYPE]:[UNIT]],'Unit Price'!C$1,FALSE),0)</f>
        <v>0</v>
      </c>
      <c r="H877" s="197">
        <f>IF(_1_5412845612146241046457891017[[#This Row],[Type]]&gt;0,VLOOKUP(_1_5412845612146241046457891017[[#This Row],[Type]],Main[[#All],[TYPE]:[UNIT]],'Unit Price'!D$1,FALSE),0)</f>
        <v>0</v>
      </c>
      <c r="I877" s="194">
        <f>IF(_1_5412845612146241046457891017[[#This Row],[Type]]&gt;0,VLOOKUP(_1_5412845612146241046457891017[[#This Row],[Type]],Main[[#All],[TYPE]:[UNIT]],'Unit Price'!G$1,FALSE),0)</f>
        <v>0</v>
      </c>
      <c r="J877" s="194">
        <f>IF(_1_5412845612146241046457891017[[#This Row],[Type]]&gt;0,VLOOKUP(_1_5412845612146241046457891017[[#This Row],[Type]],Main[[#All],[TYPE]:[UNIT]],'Unit Price'!H$1,FALSE),0)</f>
        <v>0</v>
      </c>
      <c r="K877" s="194">
        <f>IF(_1_5412845612146241046457891017[[#This Row],[Discount selection]]&gt;0,VLOOKUP(_1_5412845612146241046457891017[[#This Row],[Discount selection]],'Discount Structure'!$A$2:$B$30,2,"false"),0)</f>
        <v>1</v>
      </c>
      <c r="L877" s="194">
        <f>_1_5412845612146241046457891017[[#This Row],[LIST $]]*_1_5412845612146241046457891017[[#This Row],[DISCOUNT]]*_1_5412845612146241046457891017[[#This Row],[DISCOUNT 2]]</f>
        <v>0</v>
      </c>
      <c r="M877" s="194">
        <f>IF(OR(_1_5412845612146241046457891017[[#This Row],[UNIT]]&gt;0,_1_5412845612146241046457891017[[#This Row],[UNIT]]&lt;0),_1_5412845612146241046457891017[[#This Row],[UNIT]]*_1_5412845612146241046457891017[[#This Row],[COST]],0)</f>
        <v>0</v>
      </c>
      <c r="N877" s="194">
        <f t="shared" si="13"/>
        <v>1.35</v>
      </c>
      <c r="O877" s="198">
        <f>_1_5412845612146241046457891017[[#This Row],[TOTAL]]*_1_5412845612146241046457891017[[#This Row],[MARGIN]]</f>
        <v>0</v>
      </c>
      <c r="P877" s="198"/>
      <c r="R877" s="41"/>
    </row>
    <row r="878" spans="4:18">
      <c r="D878" s="188"/>
      <c r="E878" s="42"/>
      <c r="F878" s="168" t="s">
        <v>6202</v>
      </c>
      <c r="G878" s="193">
        <f>IF(_1_5412845612146241046457891017[[#This Row],[Type]]&gt;0,VLOOKUP(_1_5412845612146241046457891017[[#This Row],[Type]],Main[[#All],[TYPE]:[UNIT]],'Unit Price'!C$1,FALSE),0)</f>
        <v>0</v>
      </c>
      <c r="H878" s="197">
        <f>IF(_1_5412845612146241046457891017[[#This Row],[Type]]&gt;0,VLOOKUP(_1_5412845612146241046457891017[[#This Row],[Type]],Main[[#All],[TYPE]:[UNIT]],'Unit Price'!D$1,FALSE),0)</f>
        <v>0</v>
      </c>
      <c r="I878" s="194">
        <f>IF(_1_5412845612146241046457891017[[#This Row],[Type]]&gt;0,VLOOKUP(_1_5412845612146241046457891017[[#This Row],[Type]],Main[[#All],[TYPE]:[UNIT]],'Unit Price'!G$1,FALSE),0)</f>
        <v>0</v>
      </c>
      <c r="J878" s="194">
        <f>IF(_1_5412845612146241046457891017[[#This Row],[Type]]&gt;0,VLOOKUP(_1_5412845612146241046457891017[[#This Row],[Type]],Main[[#All],[TYPE]:[UNIT]],'Unit Price'!H$1,FALSE),0)</f>
        <v>0</v>
      </c>
      <c r="K878" s="194">
        <f>IF(_1_5412845612146241046457891017[[#This Row],[Discount selection]]&gt;0,VLOOKUP(_1_5412845612146241046457891017[[#This Row],[Discount selection]],'Discount Structure'!$A$2:$B$30,2,"false"),0)</f>
        <v>1</v>
      </c>
      <c r="L878" s="194">
        <f>_1_5412845612146241046457891017[[#This Row],[LIST $]]*_1_5412845612146241046457891017[[#This Row],[DISCOUNT]]*_1_5412845612146241046457891017[[#This Row],[DISCOUNT 2]]</f>
        <v>0</v>
      </c>
      <c r="M878" s="194">
        <f>IF(OR(_1_5412845612146241046457891017[[#This Row],[UNIT]]&gt;0,_1_5412845612146241046457891017[[#This Row],[UNIT]]&lt;0),_1_5412845612146241046457891017[[#This Row],[UNIT]]*_1_5412845612146241046457891017[[#This Row],[COST]],0)</f>
        <v>0</v>
      </c>
      <c r="N878" s="194">
        <f t="shared" si="13"/>
        <v>1.35</v>
      </c>
      <c r="O878" s="198">
        <f>_1_5412845612146241046457891017[[#This Row],[TOTAL]]*_1_5412845612146241046457891017[[#This Row],[MARGIN]]</f>
        <v>0</v>
      </c>
      <c r="P878" s="198"/>
      <c r="R878" s="41"/>
    </row>
    <row r="879" spans="4:18">
      <c r="D879" s="188"/>
      <c r="E879" s="42"/>
      <c r="F879" s="168" t="s">
        <v>6202</v>
      </c>
      <c r="G879" s="193">
        <f>IF(_1_5412845612146241046457891017[[#This Row],[Type]]&gt;0,VLOOKUP(_1_5412845612146241046457891017[[#This Row],[Type]],Main[[#All],[TYPE]:[UNIT]],'Unit Price'!C$1,FALSE),0)</f>
        <v>0</v>
      </c>
      <c r="H879" s="197">
        <f>IF(_1_5412845612146241046457891017[[#This Row],[Type]]&gt;0,VLOOKUP(_1_5412845612146241046457891017[[#This Row],[Type]],Main[[#All],[TYPE]:[UNIT]],'Unit Price'!D$1,FALSE),0)</f>
        <v>0</v>
      </c>
      <c r="I879" s="194">
        <f>IF(_1_5412845612146241046457891017[[#This Row],[Type]]&gt;0,VLOOKUP(_1_5412845612146241046457891017[[#This Row],[Type]],Main[[#All],[TYPE]:[UNIT]],'Unit Price'!G$1,FALSE),0)</f>
        <v>0</v>
      </c>
      <c r="J879" s="194">
        <f>IF(_1_5412845612146241046457891017[[#This Row],[Type]]&gt;0,VLOOKUP(_1_5412845612146241046457891017[[#This Row],[Type]],Main[[#All],[TYPE]:[UNIT]],'Unit Price'!H$1,FALSE),0)</f>
        <v>0</v>
      </c>
      <c r="K879" s="194">
        <f>IF(_1_5412845612146241046457891017[[#This Row],[Discount selection]]&gt;0,VLOOKUP(_1_5412845612146241046457891017[[#This Row],[Discount selection]],'Discount Structure'!$A$2:$B$30,2,"false"),0)</f>
        <v>1</v>
      </c>
      <c r="L879" s="194">
        <f>_1_5412845612146241046457891017[[#This Row],[LIST $]]*_1_5412845612146241046457891017[[#This Row],[DISCOUNT]]*_1_5412845612146241046457891017[[#This Row],[DISCOUNT 2]]</f>
        <v>0</v>
      </c>
      <c r="M879" s="194">
        <f>IF(OR(_1_5412845612146241046457891017[[#This Row],[UNIT]]&gt;0,_1_5412845612146241046457891017[[#This Row],[UNIT]]&lt;0),_1_5412845612146241046457891017[[#This Row],[UNIT]]*_1_5412845612146241046457891017[[#This Row],[COST]],0)</f>
        <v>0</v>
      </c>
      <c r="N879" s="194">
        <f t="shared" si="13"/>
        <v>1.35</v>
      </c>
      <c r="O879" s="198">
        <f>_1_5412845612146241046457891017[[#This Row],[TOTAL]]*_1_5412845612146241046457891017[[#This Row],[MARGIN]]</f>
        <v>0</v>
      </c>
      <c r="P879" s="198"/>
      <c r="R879" s="41"/>
    </row>
    <row r="880" spans="4:18">
      <c r="D880" s="188"/>
      <c r="E880" s="42"/>
      <c r="F880" s="168" t="s">
        <v>6202</v>
      </c>
      <c r="G880" s="193">
        <f>IF(_1_5412845612146241046457891017[[#This Row],[Type]]&gt;0,VLOOKUP(_1_5412845612146241046457891017[[#This Row],[Type]],Main[[#All],[TYPE]:[UNIT]],'Unit Price'!C$1,FALSE),0)</f>
        <v>0</v>
      </c>
      <c r="H880" s="197">
        <f>IF(_1_5412845612146241046457891017[[#This Row],[Type]]&gt;0,VLOOKUP(_1_5412845612146241046457891017[[#This Row],[Type]],Main[[#All],[TYPE]:[UNIT]],'Unit Price'!D$1,FALSE),0)</f>
        <v>0</v>
      </c>
      <c r="I880" s="194">
        <f>IF(_1_5412845612146241046457891017[[#This Row],[Type]]&gt;0,VLOOKUP(_1_5412845612146241046457891017[[#This Row],[Type]],Main[[#All],[TYPE]:[UNIT]],'Unit Price'!G$1,FALSE),0)</f>
        <v>0</v>
      </c>
      <c r="J880" s="194">
        <f>IF(_1_5412845612146241046457891017[[#This Row],[Type]]&gt;0,VLOOKUP(_1_5412845612146241046457891017[[#This Row],[Type]],Main[[#All],[TYPE]:[UNIT]],'Unit Price'!H$1,FALSE),0)</f>
        <v>0</v>
      </c>
      <c r="K880" s="194">
        <f>IF(_1_5412845612146241046457891017[[#This Row],[Discount selection]]&gt;0,VLOOKUP(_1_5412845612146241046457891017[[#This Row],[Discount selection]],'Discount Structure'!$A$2:$B$30,2,"false"),0)</f>
        <v>1</v>
      </c>
      <c r="L880" s="194">
        <f>_1_5412845612146241046457891017[[#This Row],[LIST $]]*_1_5412845612146241046457891017[[#This Row],[DISCOUNT]]*_1_5412845612146241046457891017[[#This Row],[DISCOUNT 2]]</f>
        <v>0</v>
      </c>
      <c r="M880" s="194">
        <f>IF(OR(_1_5412845612146241046457891017[[#This Row],[UNIT]]&gt;0,_1_5412845612146241046457891017[[#This Row],[UNIT]]&lt;0),_1_5412845612146241046457891017[[#This Row],[UNIT]]*_1_5412845612146241046457891017[[#This Row],[COST]],0)</f>
        <v>0</v>
      </c>
      <c r="N880" s="194">
        <f t="shared" si="13"/>
        <v>1.35</v>
      </c>
      <c r="O880" s="198">
        <f>_1_5412845612146241046457891017[[#This Row],[TOTAL]]*_1_5412845612146241046457891017[[#This Row],[MARGIN]]</f>
        <v>0</v>
      </c>
      <c r="P880" s="198"/>
      <c r="R880" s="41"/>
    </row>
    <row r="881" spans="4:18">
      <c r="D881" s="188"/>
      <c r="E881" s="42"/>
      <c r="F881" s="168" t="s">
        <v>6202</v>
      </c>
      <c r="G881" s="193">
        <f>IF(_1_5412845612146241046457891017[[#This Row],[Type]]&gt;0,VLOOKUP(_1_5412845612146241046457891017[[#This Row],[Type]],Main[[#All],[TYPE]:[UNIT]],'Unit Price'!C$1,FALSE),0)</f>
        <v>0</v>
      </c>
      <c r="H881" s="197">
        <f>IF(_1_5412845612146241046457891017[[#This Row],[Type]]&gt;0,VLOOKUP(_1_5412845612146241046457891017[[#This Row],[Type]],Main[[#All],[TYPE]:[UNIT]],'Unit Price'!D$1,FALSE),0)</f>
        <v>0</v>
      </c>
      <c r="I881" s="194">
        <f>IF(_1_5412845612146241046457891017[[#This Row],[Type]]&gt;0,VLOOKUP(_1_5412845612146241046457891017[[#This Row],[Type]],Main[[#All],[TYPE]:[UNIT]],'Unit Price'!G$1,FALSE),0)</f>
        <v>0</v>
      </c>
      <c r="J881" s="194">
        <f>IF(_1_5412845612146241046457891017[[#This Row],[Type]]&gt;0,VLOOKUP(_1_5412845612146241046457891017[[#This Row],[Type]],Main[[#All],[TYPE]:[UNIT]],'Unit Price'!H$1,FALSE),0)</f>
        <v>0</v>
      </c>
      <c r="K881" s="194">
        <f>IF(_1_5412845612146241046457891017[[#This Row],[Discount selection]]&gt;0,VLOOKUP(_1_5412845612146241046457891017[[#This Row],[Discount selection]],'Discount Structure'!$A$2:$B$30,2,"false"),0)</f>
        <v>1</v>
      </c>
      <c r="L881" s="194">
        <f>_1_5412845612146241046457891017[[#This Row],[LIST $]]*_1_5412845612146241046457891017[[#This Row],[DISCOUNT]]*_1_5412845612146241046457891017[[#This Row],[DISCOUNT 2]]</f>
        <v>0</v>
      </c>
      <c r="M881" s="194">
        <f>IF(OR(_1_5412845612146241046457891017[[#This Row],[UNIT]]&gt;0,_1_5412845612146241046457891017[[#This Row],[UNIT]]&lt;0),_1_5412845612146241046457891017[[#This Row],[UNIT]]*_1_5412845612146241046457891017[[#This Row],[COST]],0)</f>
        <v>0</v>
      </c>
      <c r="N881" s="194">
        <f t="shared" si="13"/>
        <v>1.35</v>
      </c>
      <c r="O881" s="198">
        <f>_1_5412845612146241046457891017[[#This Row],[TOTAL]]*_1_5412845612146241046457891017[[#This Row],[MARGIN]]</f>
        <v>0</v>
      </c>
      <c r="P881" s="198"/>
      <c r="R881" s="41"/>
    </row>
    <row r="882" spans="4:18">
      <c r="D882" s="188"/>
      <c r="E882" s="42"/>
      <c r="F882" s="168" t="s">
        <v>6202</v>
      </c>
      <c r="G882" s="193">
        <f>IF(_1_5412845612146241046457891017[[#This Row],[Type]]&gt;0,VLOOKUP(_1_5412845612146241046457891017[[#This Row],[Type]],Main[[#All],[TYPE]:[UNIT]],'Unit Price'!C$1,FALSE),0)</f>
        <v>0</v>
      </c>
      <c r="H882" s="197">
        <f>IF(_1_5412845612146241046457891017[[#This Row],[Type]]&gt;0,VLOOKUP(_1_5412845612146241046457891017[[#This Row],[Type]],Main[[#All],[TYPE]:[UNIT]],'Unit Price'!D$1,FALSE),0)</f>
        <v>0</v>
      </c>
      <c r="I882" s="194">
        <f>IF(_1_5412845612146241046457891017[[#This Row],[Type]]&gt;0,VLOOKUP(_1_5412845612146241046457891017[[#This Row],[Type]],Main[[#All],[TYPE]:[UNIT]],'Unit Price'!G$1,FALSE),0)</f>
        <v>0</v>
      </c>
      <c r="J882" s="194">
        <f>IF(_1_5412845612146241046457891017[[#This Row],[Type]]&gt;0,VLOOKUP(_1_5412845612146241046457891017[[#This Row],[Type]],Main[[#All],[TYPE]:[UNIT]],'Unit Price'!H$1,FALSE),0)</f>
        <v>0</v>
      </c>
      <c r="K882" s="194">
        <f>IF(_1_5412845612146241046457891017[[#This Row],[Discount selection]]&gt;0,VLOOKUP(_1_5412845612146241046457891017[[#This Row],[Discount selection]],'Discount Structure'!$A$2:$B$30,2,"false"),0)</f>
        <v>1</v>
      </c>
      <c r="L882" s="194">
        <f>_1_5412845612146241046457891017[[#This Row],[LIST $]]*_1_5412845612146241046457891017[[#This Row],[DISCOUNT]]*_1_5412845612146241046457891017[[#This Row],[DISCOUNT 2]]</f>
        <v>0</v>
      </c>
      <c r="M882" s="194">
        <f>IF(OR(_1_5412845612146241046457891017[[#This Row],[UNIT]]&gt;0,_1_5412845612146241046457891017[[#This Row],[UNIT]]&lt;0),_1_5412845612146241046457891017[[#This Row],[UNIT]]*_1_5412845612146241046457891017[[#This Row],[COST]],0)</f>
        <v>0</v>
      </c>
      <c r="N882" s="194">
        <f t="shared" si="13"/>
        <v>1.35</v>
      </c>
      <c r="O882" s="198">
        <f>_1_5412845612146241046457891017[[#This Row],[TOTAL]]*_1_5412845612146241046457891017[[#This Row],[MARGIN]]</f>
        <v>0</v>
      </c>
      <c r="P882" s="198"/>
      <c r="R882" s="41"/>
    </row>
    <row r="883" spans="4:18">
      <c r="D883" s="188"/>
      <c r="E883" s="42"/>
      <c r="F883" s="168" t="s">
        <v>6202</v>
      </c>
      <c r="G883" s="193">
        <f>IF(_1_5412845612146241046457891017[[#This Row],[Type]]&gt;0,VLOOKUP(_1_5412845612146241046457891017[[#This Row],[Type]],Main[[#All],[TYPE]:[UNIT]],'Unit Price'!C$1,FALSE),0)</f>
        <v>0</v>
      </c>
      <c r="H883" s="197">
        <f>IF(_1_5412845612146241046457891017[[#This Row],[Type]]&gt;0,VLOOKUP(_1_5412845612146241046457891017[[#This Row],[Type]],Main[[#All],[TYPE]:[UNIT]],'Unit Price'!D$1,FALSE),0)</f>
        <v>0</v>
      </c>
      <c r="I883" s="194">
        <f>IF(_1_5412845612146241046457891017[[#This Row],[Type]]&gt;0,VLOOKUP(_1_5412845612146241046457891017[[#This Row],[Type]],Main[[#All],[TYPE]:[UNIT]],'Unit Price'!G$1,FALSE),0)</f>
        <v>0</v>
      </c>
      <c r="J883" s="194">
        <f>IF(_1_5412845612146241046457891017[[#This Row],[Type]]&gt;0,VLOOKUP(_1_5412845612146241046457891017[[#This Row],[Type]],Main[[#All],[TYPE]:[UNIT]],'Unit Price'!H$1,FALSE),0)</f>
        <v>0</v>
      </c>
      <c r="K883" s="194">
        <f>IF(_1_5412845612146241046457891017[[#This Row],[Discount selection]]&gt;0,VLOOKUP(_1_5412845612146241046457891017[[#This Row],[Discount selection]],'Discount Structure'!$A$2:$B$30,2,"false"),0)</f>
        <v>1</v>
      </c>
      <c r="L883" s="194">
        <f>_1_5412845612146241046457891017[[#This Row],[LIST $]]*_1_5412845612146241046457891017[[#This Row],[DISCOUNT]]*_1_5412845612146241046457891017[[#This Row],[DISCOUNT 2]]</f>
        <v>0</v>
      </c>
      <c r="M883" s="194">
        <f>IF(OR(_1_5412845612146241046457891017[[#This Row],[UNIT]]&gt;0,_1_5412845612146241046457891017[[#This Row],[UNIT]]&lt;0),_1_5412845612146241046457891017[[#This Row],[UNIT]]*_1_5412845612146241046457891017[[#This Row],[COST]],0)</f>
        <v>0</v>
      </c>
      <c r="N883" s="194">
        <f t="shared" si="13"/>
        <v>1.35</v>
      </c>
      <c r="O883" s="198">
        <f>_1_5412845612146241046457891017[[#This Row],[TOTAL]]*_1_5412845612146241046457891017[[#This Row],[MARGIN]]</f>
        <v>0</v>
      </c>
      <c r="P883" s="198"/>
      <c r="R883" s="41"/>
    </row>
    <row r="884" spans="4:18">
      <c r="D884" s="188"/>
      <c r="E884" s="42"/>
      <c r="F884" s="168" t="s">
        <v>6202</v>
      </c>
      <c r="G884" s="193">
        <f>IF(_1_5412845612146241046457891017[[#This Row],[Type]]&gt;0,VLOOKUP(_1_5412845612146241046457891017[[#This Row],[Type]],Main[[#All],[TYPE]:[UNIT]],'Unit Price'!C$1,FALSE),0)</f>
        <v>0</v>
      </c>
      <c r="H884" s="197">
        <f>IF(_1_5412845612146241046457891017[[#This Row],[Type]]&gt;0,VLOOKUP(_1_5412845612146241046457891017[[#This Row],[Type]],Main[[#All],[TYPE]:[UNIT]],'Unit Price'!D$1,FALSE),0)</f>
        <v>0</v>
      </c>
      <c r="I884" s="194">
        <f>IF(_1_5412845612146241046457891017[[#This Row],[Type]]&gt;0,VLOOKUP(_1_5412845612146241046457891017[[#This Row],[Type]],Main[[#All],[TYPE]:[UNIT]],'Unit Price'!G$1,FALSE),0)</f>
        <v>0</v>
      </c>
      <c r="J884" s="194">
        <f>IF(_1_5412845612146241046457891017[[#This Row],[Type]]&gt;0,VLOOKUP(_1_5412845612146241046457891017[[#This Row],[Type]],Main[[#All],[TYPE]:[UNIT]],'Unit Price'!H$1,FALSE),0)</f>
        <v>0</v>
      </c>
      <c r="K884" s="194">
        <f>IF(_1_5412845612146241046457891017[[#This Row],[Discount selection]]&gt;0,VLOOKUP(_1_5412845612146241046457891017[[#This Row],[Discount selection]],'Discount Structure'!$A$2:$B$30,2,"false"),0)</f>
        <v>1</v>
      </c>
      <c r="L884" s="194">
        <f>_1_5412845612146241046457891017[[#This Row],[LIST $]]*_1_5412845612146241046457891017[[#This Row],[DISCOUNT]]*_1_5412845612146241046457891017[[#This Row],[DISCOUNT 2]]</f>
        <v>0</v>
      </c>
      <c r="M884" s="194">
        <f>IF(OR(_1_5412845612146241046457891017[[#This Row],[UNIT]]&gt;0,_1_5412845612146241046457891017[[#This Row],[UNIT]]&lt;0),_1_5412845612146241046457891017[[#This Row],[UNIT]]*_1_5412845612146241046457891017[[#This Row],[COST]],0)</f>
        <v>0</v>
      </c>
      <c r="N884" s="194">
        <f t="shared" si="13"/>
        <v>1.35</v>
      </c>
      <c r="O884" s="198">
        <f>_1_5412845612146241046457891017[[#This Row],[TOTAL]]*_1_5412845612146241046457891017[[#This Row],[MARGIN]]</f>
        <v>0</v>
      </c>
      <c r="P884" s="198"/>
      <c r="R884" s="41"/>
    </row>
    <row r="885" spans="4:18">
      <c r="D885" s="188"/>
      <c r="E885" s="42"/>
      <c r="F885" s="168" t="s">
        <v>6202</v>
      </c>
      <c r="G885" s="193">
        <f>IF(_1_5412845612146241046457891017[[#This Row],[Type]]&gt;0,VLOOKUP(_1_5412845612146241046457891017[[#This Row],[Type]],Main[[#All],[TYPE]:[UNIT]],'Unit Price'!C$1,FALSE),0)</f>
        <v>0</v>
      </c>
      <c r="H885" s="197">
        <f>IF(_1_5412845612146241046457891017[[#This Row],[Type]]&gt;0,VLOOKUP(_1_5412845612146241046457891017[[#This Row],[Type]],Main[[#All],[TYPE]:[UNIT]],'Unit Price'!D$1,FALSE),0)</f>
        <v>0</v>
      </c>
      <c r="I885" s="194">
        <f>IF(_1_5412845612146241046457891017[[#This Row],[Type]]&gt;0,VLOOKUP(_1_5412845612146241046457891017[[#This Row],[Type]],Main[[#All],[TYPE]:[UNIT]],'Unit Price'!G$1,FALSE),0)</f>
        <v>0</v>
      </c>
      <c r="J885" s="194">
        <f>IF(_1_5412845612146241046457891017[[#This Row],[Type]]&gt;0,VLOOKUP(_1_5412845612146241046457891017[[#This Row],[Type]],Main[[#All],[TYPE]:[UNIT]],'Unit Price'!H$1,FALSE),0)</f>
        <v>0</v>
      </c>
      <c r="K885" s="194">
        <f>IF(_1_5412845612146241046457891017[[#This Row],[Discount selection]]&gt;0,VLOOKUP(_1_5412845612146241046457891017[[#This Row],[Discount selection]],'Discount Structure'!$A$2:$B$30,2,"false"),0)</f>
        <v>1</v>
      </c>
      <c r="L885" s="194">
        <f>_1_5412845612146241046457891017[[#This Row],[LIST $]]*_1_5412845612146241046457891017[[#This Row],[DISCOUNT]]*_1_5412845612146241046457891017[[#This Row],[DISCOUNT 2]]</f>
        <v>0</v>
      </c>
      <c r="M885" s="194">
        <f>IF(OR(_1_5412845612146241046457891017[[#This Row],[UNIT]]&gt;0,_1_5412845612146241046457891017[[#This Row],[UNIT]]&lt;0),_1_5412845612146241046457891017[[#This Row],[UNIT]]*_1_5412845612146241046457891017[[#This Row],[COST]],0)</f>
        <v>0</v>
      </c>
      <c r="N885" s="194">
        <f t="shared" si="13"/>
        <v>1.35</v>
      </c>
      <c r="O885" s="198">
        <f>_1_5412845612146241046457891017[[#This Row],[TOTAL]]*_1_5412845612146241046457891017[[#This Row],[MARGIN]]</f>
        <v>0</v>
      </c>
      <c r="P885" s="198"/>
      <c r="R885" s="41"/>
    </row>
    <row r="886" spans="4:18">
      <c r="D886" s="188"/>
      <c r="E886" s="42"/>
      <c r="F886" s="168" t="s">
        <v>6202</v>
      </c>
      <c r="G886" s="193">
        <f>IF(_1_5412845612146241046457891017[[#This Row],[Type]]&gt;0,VLOOKUP(_1_5412845612146241046457891017[[#This Row],[Type]],Main[[#All],[TYPE]:[UNIT]],'Unit Price'!C$1,FALSE),0)</f>
        <v>0</v>
      </c>
      <c r="H886" s="197">
        <f>IF(_1_5412845612146241046457891017[[#This Row],[Type]]&gt;0,VLOOKUP(_1_5412845612146241046457891017[[#This Row],[Type]],Main[[#All],[TYPE]:[UNIT]],'Unit Price'!D$1,FALSE),0)</f>
        <v>0</v>
      </c>
      <c r="I886" s="194">
        <f>IF(_1_5412845612146241046457891017[[#This Row],[Type]]&gt;0,VLOOKUP(_1_5412845612146241046457891017[[#This Row],[Type]],Main[[#All],[TYPE]:[UNIT]],'Unit Price'!G$1,FALSE),0)</f>
        <v>0</v>
      </c>
      <c r="J886" s="194">
        <f>IF(_1_5412845612146241046457891017[[#This Row],[Type]]&gt;0,VLOOKUP(_1_5412845612146241046457891017[[#This Row],[Type]],Main[[#All],[TYPE]:[UNIT]],'Unit Price'!H$1,FALSE),0)</f>
        <v>0</v>
      </c>
      <c r="K886" s="194">
        <f>IF(_1_5412845612146241046457891017[[#This Row],[Discount selection]]&gt;0,VLOOKUP(_1_5412845612146241046457891017[[#This Row],[Discount selection]],'Discount Structure'!$A$2:$B$30,2,"false"),0)</f>
        <v>1</v>
      </c>
      <c r="L886" s="194">
        <f>_1_5412845612146241046457891017[[#This Row],[LIST $]]*_1_5412845612146241046457891017[[#This Row],[DISCOUNT]]*_1_5412845612146241046457891017[[#This Row],[DISCOUNT 2]]</f>
        <v>0</v>
      </c>
      <c r="M886" s="194">
        <f>IF(OR(_1_5412845612146241046457891017[[#This Row],[UNIT]]&gt;0,_1_5412845612146241046457891017[[#This Row],[UNIT]]&lt;0),_1_5412845612146241046457891017[[#This Row],[UNIT]]*_1_5412845612146241046457891017[[#This Row],[COST]],0)</f>
        <v>0</v>
      </c>
      <c r="N886" s="194">
        <f t="shared" si="13"/>
        <v>1.35</v>
      </c>
      <c r="O886" s="198">
        <f>_1_5412845612146241046457891017[[#This Row],[TOTAL]]*_1_5412845612146241046457891017[[#This Row],[MARGIN]]</f>
        <v>0</v>
      </c>
      <c r="P886" s="198"/>
      <c r="R886" s="41"/>
    </row>
    <row r="887" spans="4:18">
      <c r="D887" s="188"/>
      <c r="E887" s="42"/>
      <c r="F887" s="168" t="s">
        <v>6202</v>
      </c>
      <c r="G887" s="193">
        <f>IF(_1_5412845612146241046457891017[[#This Row],[Type]]&gt;0,VLOOKUP(_1_5412845612146241046457891017[[#This Row],[Type]],Main[[#All],[TYPE]:[UNIT]],'Unit Price'!C$1,FALSE),0)</f>
        <v>0</v>
      </c>
      <c r="H887" s="197">
        <f>IF(_1_5412845612146241046457891017[[#This Row],[Type]]&gt;0,VLOOKUP(_1_5412845612146241046457891017[[#This Row],[Type]],Main[[#All],[TYPE]:[UNIT]],'Unit Price'!D$1,FALSE),0)</f>
        <v>0</v>
      </c>
      <c r="I887" s="194">
        <f>IF(_1_5412845612146241046457891017[[#This Row],[Type]]&gt;0,VLOOKUP(_1_5412845612146241046457891017[[#This Row],[Type]],Main[[#All],[TYPE]:[UNIT]],'Unit Price'!G$1,FALSE),0)</f>
        <v>0</v>
      </c>
      <c r="J887" s="194">
        <f>IF(_1_5412845612146241046457891017[[#This Row],[Type]]&gt;0,VLOOKUP(_1_5412845612146241046457891017[[#This Row],[Type]],Main[[#All],[TYPE]:[UNIT]],'Unit Price'!H$1,FALSE),0)</f>
        <v>0</v>
      </c>
      <c r="K887" s="194">
        <f>IF(_1_5412845612146241046457891017[[#This Row],[Discount selection]]&gt;0,VLOOKUP(_1_5412845612146241046457891017[[#This Row],[Discount selection]],'Discount Structure'!$A$2:$B$30,2,"false"),0)</f>
        <v>1</v>
      </c>
      <c r="L887" s="194">
        <f>_1_5412845612146241046457891017[[#This Row],[LIST $]]*_1_5412845612146241046457891017[[#This Row],[DISCOUNT]]*_1_5412845612146241046457891017[[#This Row],[DISCOUNT 2]]</f>
        <v>0</v>
      </c>
      <c r="M887" s="194">
        <f>IF(OR(_1_5412845612146241046457891017[[#This Row],[UNIT]]&gt;0,_1_5412845612146241046457891017[[#This Row],[UNIT]]&lt;0),_1_5412845612146241046457891017[[#This Row],[UNIT]]*_1_5412845612146241046457891017[[#This Row],[COST]],0)</f>
        <v>0</v>
      </c>
      <c r="N887" s="194">
        <f t="shared" si="13"/>
        <v>1.35</v>
      </c>
      <c r="O887" s="198">
        <f>_1_5412845612146241046457891017[[#This Row],[TOTAL]]*_1_5412845612146241046457891017[[#This Row],[MARGIN]]</f>
        <v>0</v>
      </c>
      <c r="P887" s="198"/>
      <c r="R887" s="41"/>
    </row>
    <row r="888" spans="4:18">
      <c r="D888" s="188"/>
      <c r="E888" s="42"/>
      <c r="F888" s="168" t="s">
        <v>6202</v>
      </c>
      <c r="G888" s="193">
        <f>IF(_1_5412845612146241046457891017[[#This Row],[Type]]&gt;0,VLOOKUP(_1_5412845612146241046457891017[[#This Row],[Type]],Main[[#All],[TYPE]:[UNIT]],'Unit Price'!C$1,FALSE),0)</f>
        <v>0</v>
      </c>
      <c r="H888" s="197">
        <f>IF(_1_5412845612146241046457891017[[#This Row],[Type]]&gt;0,VLOOKUP(_1_5412845612146241046457891017[[#This Row],[Type]],Main[[#All],[TYPE]:[UNIT]],'Unit Price'!D$1,FALSE),0)</f>
        <v>0</v>
      </c>
      <c r="I888" s="194">
        <f>IF(_1_5412845612146241046457891017[[#This Row],[Type]]&gt;0,VLOOKUP(_1_5412845612146241046457891017[[#This Row],[Type]],Main[[#All],[TYPE]:[UNIT]],'Unit Price'!G$1,FALSE),0)</f>
        <v>0</v>
      </c>
      <c r="J888" s="194">
        <f>IF(_1_5412845612146241046457891017[[#This Row],[Type]]&gt;0,VLOOKUP(_1_5412845612146241046457891017[[#This Row],[Type]],Main[[#All],[TYPE]:[UNIT]],'Unit Price'!H$1,FALSE),0)</f>
        <v>0</v>
      </c>
      <c r="K888" s="194">
        <f>IF(_1_5412845612146241046457891017[[#This Row],[Discount selection]]&gt;0,VLOOKUP(_1_5412845612146241046457891017[[#This Row],[Discount selection]],'Discount Structure'!$A$2:$B$30,2,"false"),0)</f>
        <v>1</v>
      </c>
      <c r="L888" s="194">
        <f>_1_5412845612146241046457891017[[#This Row],[LIST $]]*_1_5412845612146241046457891017[[#This Row],[DISCOUNT]]*_1_5412845612146241046457891017[[#This Row],[DISCOUNT 2]]</f>
        <v>0</v>
      </c>
      <c r="M888" s="194">
        <f>IF(OR(_1_5412845612146241046457891017[[#This Row],[UNIT]]&gt;0,_1_5412845612146241046457891017[[#This Row],[UNIT]]&lt;0),_1_5412845612146241046457891017[[#This Row],[UNIT]]*_1_5412845612146241046457891017[[#This Row],[COST]],0)</f>
        <v>0</v>
      </c>
      <c r="N888" s="194">
        <f t="shared" si="13"/>
        <v>1.35</v>
      </c>
      <c r="O888" s="198">
        <f>_1_5412845612146241046457891017[[#This Row],[TOTAL]]*_1_5412845612146241046457891017[[#This Row],[MARGIN]]</f>
        <v>0</v>
      </c>
      <c r="P888" s="198"/>
      <c r="R888" s="41"/>
    </row>
    <row r="889" spans="4:18">
      <c r="D889" s="188"/>
      <c r="E889" s="42"/>
      <c r="F889" s="168" t="s">
        <v>6202</v>
      </c>
      <c r="G889" s="193">
        <f>IF(_1_5412845612146241046457891017[[#This Row],[Type]]&gt;0,VLOOKUP(_1_5412845612146241046457891017[[#This Row],[Type]],Main[[#All],[TYPE]:[UNIT]],'Unit Price'!C$1,FALSE),0)</f>
        <v>0</v>
      </c>
      <c r="H889" s="197">
        <f>IF(_1_5412845612146241046457891017[[#This Row],[Type]]&gt;0,VLOOKUP(_1_5412845612146241046457891017[[#This Row],[Type]],Main[[#All],[TYPE]:[UNIT]],'Unit Price'!D$1,FALSE),0)</f>
        <v>0</v>
      </c>
      <c r="I889" s="194">
        <f>IF(_1_5412845612146241046457891017[[#This Row],[Type]]&gt;0,VLOOKUP(_1_5412845612146241046457891017[[#This Row],[Type]],Main[[#All],[TYPE]:[UNIT]],'Unit Price'!G$1,FALSE),0)</f>
        <v>0</v>
      </c>
      <c r="J889" s="194">
        <f>IF(_1_5412845612146241046457891017[[#This Row],[Type]]&gt;0,VLOOKUP(_1_5412845612146241046457891017[[#This Row],[Type]],Main[[#All],[TYPE]:[UNIT]],'Unit Price'!H$1,FALSE),0)</f>
        <v>0</v>
      </c>
      <c r="K889" s="194">
        <f>IF(_1_5412845612146241046457891017[[#This Row],[Discount selection]]&gt;0,VLOOKUP(_1_5412845612146241046457891017[[#This Row],[Discount selection]],'Discount Structure'!$A$2:$B$30,2,"false"),0)</f>
        <v>1</v>
      </c>
      <c r="L889" s="194">
        <f>_1_5412845612146241046457891017[[#This Row],[LIST $]]*_1_5412845612146241046457891017[[#This Row],[DISCOUNT]]*_1_5412845612146241046457891017[[#This Row],[DISCOUNT 2]]</f>
        <v>0</v>
      </c>
      <c r="M889" s="194">
        <f>IF(OR(_1_5412845612146241046457891017[[#This Row],[UNIT]]&gt;0,_1_5412845612146241046457891017[[#This Row],[UNIT]]&lt;0),_1_5412845612146241046457891017[[#This Row],[UNIT]]*_1_5412845612146241046457891017[[#This Row],[COST]],0)</f>
        <v>0</v>
      </c>
      <c r="N889" s="194">
        <f t="shared" si="13"/>
        <v>1.35</v>
      </c>
      <c r="O889" s="198">
        <f>_1_5412845612146241046457891017[[#This Row],[TOTAL]]*_1_5412845612146241046457891017[[#This Row],[MARGIN]]</f>
        <v>0</v>
      </c>
      <c r="P889" s="198"/>
      <c r="R889" s="41"/>
    </row>
    <row r="890" spans="4:18">
      <c r="D890" s="188"/>
      <c r="E890" s="42"/>
      <c r="F890" s="168" t="s">
        <v>6202</v>
      </c>
      <c r="G890" s="193">
        <f>IF(_1_5412845612146241046457891017[[#This Row],[Type]]&gt;0,VLOOKUP(_1_5412845612146241046457891017[[#This Row],[Type]],Main[[#All],[TYPE]:[UNIT]],'Unit Price'!C$1,FALSE),0)</f>
        <v>0</v>
      </c>
      <c r="H890" s="197">
        <f>IF(_1_5412845612146241046457891017[[#This Row],[Type]]&gt;0,VLOOKUP(_1_5412845612146241046457891017[[#This Row],[Type]],Main[[#All],[TYPE]:[UNIT]],'Unit Price'!D$1,FALSE),0)</f>
        <v>0</v>
      </c>
      <c r="I890" s="194">
        <f>IF(_1_5412845612146241046457891017[[#This Row],[Type]]&gt;0,VLOOKUP(_1_5412845612146241046457891017[[#This Row],[Type]],Main[[#All],[TYPE]:[UNIT]],'Unit Price'!G$1,FALSE),0)</f>
        <v>0</v>
      </c>
      <c r="J890" s="194">
        <f>IF(_1_5412845612146241046457891017[[#This Row],[Type]]&gt;0,VLOOKUP(_1_5412845612146241046457891017[[#This Row],[Type]],Main[[#All],[TYPE]:[UNIT]],'Unit Price'!H$1,FALSE),0)</f>
        <v>0</v>
      </c>
      <c r="K890" s="194">
        <f>IF(_1_5412845612146241046457891017[[#This Row],[Discount selection]]&gt;0,VLOOKUP(_1_5412845612146241046457891017[[#This Row],[Discount selection]],'Discount Structure'!$A$2:$B$30,2,"false"),0)</f>
        <v>1</v>
      </c>
      <c r="L890" s="194">
        <f>_1_5412845612146241046457891017[[#This Row],[LIST $]]*_1_5412845612146241046457891017[[#This Row],[DISCOUNT]]*_1_5412845612146241046457891017[[#This Row],[DISCOUNT 2]]</f>
        <v>0</v>
      </c>
      <c r="M890" s="194">
        <f>IF(OR(_1_5412845612146241046457891017[[#This Row],[UNIT]]&gt;0,_1_5412845612146241046457891017[[#This Row],[UNIT]]&lt;0),_1_5412845612146241046457891017[[#This Row],[UNIT]]*_1_5412845612146241046457891017[[#This Row],[COST]],0)</f>
        <v>0</v>
      </c>
      <c r="N890" s="194">
        <f t="shared" si="13"/>
        <v>1.35</v>
      </c>
      <c r="O890" s="198">
        <f>_1_5412845612146241046457891017[[#This Row],[TOTAL]]*_1_5412845612146241046457891017[[#This Row],[MARGIN]]</f>
        <v>0</v>
      </c>
      <c r="P890" s="198"/>
      <c r="R890" s="41"/>
    </row>
    <row r="891" spans="4:18">
      <c r="D891" s="188"/>
      <c r="E891" s="42"/>
      <c r="F891" s="168" t="s">
        <v>6202</v>
      </c>
      <c r="G891" s="193">
        <f>IF(_1_5412845612146241046457891017[[#This Row],[Type]]&gt;0,VLOOKUP(_1_5412845612146241046457891017[[#This Row],[Type]],Main[[#All],[TYPE]:[UNIT]],'Unit Price'!C$1,FALSE),0)</f>
        <v>0</v>
      </c>
      <c r="H891" s="197">
        <f>IF(_1_5412845612146241046457891017[[#This Row],[Type]]&gt;0,VLOOKUP(_1_5412845612146241046457891017[[#This Row],[Type]],Main[[#All],[TYPE]:[UNIT]],'Unit Price'!D$1,FALSE),0)</f>
        <v>0</v>
      </c>
      <c r="I891" s="194">
        <f>IF(_1_5412845612146241046457891017[[#This Row],[Type]]&gt;0,VLOOKUP(_1_5412845612146241046457891017[[#This Row],[Type]],Main[[#All],[TYPE]:[UNIT]],'Unit Price'!G$1,FALSE),0)</f>
        <v>0</v>
      </c>
      <c r="J891" s="194">
        <f>IF(_1_5412845612146241046457891017[[#This Row],[Type]]&gt;0,VLOOKUP(_1_5412845612146241046457891017[[#This Row],[Type]],Main[[#All],[TYPE]:[UNIT]],'Unit Price'!H$1,FALSE),0)</f>
        <v>0</v>
      </c>
      <c r="K891" s="194">
        <f>IF(_1_5412845612146241046457891017[[#This Row],[Discount selection]]&gt;0,VLOOKUP(_1_5412845612146241046457891017[[#This Row],[Discount selection]],'Discount Structure'!$A$2:$B$30,2,"false"),0)</f>
        <v>1</v>
      </c>
      <c r="L891" s="194">
        <f>_1_5412845612146241046457891017[[#This Row],[LIST $]]*_1_5412845612146241046457891017[[#This Row],[DISCOUNT]]*_1_5412845612146241046457891017[[#This Row],[DISCOUNT 2]]</f>
        <v>0</v>
      </c>
      <c r="M891" s="194">
        <f>IF(OR(_1_5412845612146241046457891017[[#This Row],[UNIT]]&gt;0,_1_5412845612146241046457891017[[#This Row],[UNIT]]&lt;0),_1_5412845612146241046457891017[[#This Row],[UNIT]]*_1_5412845612146241046457891017[[#This Row],[COST]],0)</f>
        <v>0</v>
      </c>
      <c r="N891" s="194">
        <f t="shared" si="13"/>
        <v>1.35</v>
      </c>
      <c r="O891" s="198">
        <f>_1_5412845612146241046457891017[[#This Row],[TOTAL]]*_1_5412845612146241046457891017[[#This Row],[MARGIN]]</f>
        <v>0</v>
      </c>
      <c r="P891" s="198"/>
      <c r="R891" s="41"/>
    </row>
    <row r="892" spans="4:18">
      <c r="D892" s="188"/>
      <c r="E892" s="42"/>
      <c r="F892" s="168" t="s">
        <v>6202</v>
      </c>
      <c r="G892" s="193">
        <f>IF(_1_5412845612146241046457891017[[#This Row],[Type]]&gt;0,VLOOKUP(_1_5412845612146241046457891017[[#This Row],[Type]],Main[[#All],[TYPE]:[UNIT]],'Unit Price'!C$1,FALSE),0)</f>
        <v>0</v>
      </c>
      <c r="H892" s="197">
        <f>IF(_1_5412845612146241046457891017[[#This Row],[Type]]&gt;0,VLOOKUP(_1_5412845612146241046457891017[[#This Row],[Type]],Main[[#All],[TYPE]:[UNIT]],'Unit Price'!D$1,FALSE),0)</f>
        <v>0</v>
      </c>
      <c r="I892" s="194">
        <f>IF(_1_5412845612146241046457891017[[#This Row],[Type]]&gt;0,VLOOKUP(_1_5412845612146241046457891017[[#This Row],[Type]],Main[[#All],[TYPE]:[UNIT]],'Unit Price'!G$1,FALSE),0)</f>
        <v>0</v>
      </c>
      <c r="J892" s="194">
        <f>IF(_1_5412845612146241046457891017[[#This Row],[Type]]&gt;0,VLOOKUP(_1_5412845612146241046457891017[[#This Row],[Type]],Main[[#All],[TYPE]:[UNIT]],'Unit Price'!H$1,FALSE),0)</f>
        <v>0</v>
      </c>
      <c r="K892" s="194">
        <f>IF(_1_5412845612146241046457891017[[#This Row],[Discount selection]]&gt;0,VLOOKUP(_1_5412845612146241046457891017[[#This Row],[Discount selection]],'Discount Structure'!$A$2:$B$30,2,"false"),0)</f>
        <v>1</v>
      </c>
      <c r="L892" s="194">
        <f>_1_5412845612146241046457891017[[#This Row],[LIST $]]*_1_5412845612146241046457891017[[#This Row],[DISCOUNT]]*_1_5412845612146241046457891017[[#This Row],[DISCOUNT 2]]</f>
        <v>0</v>
      </c>
      <c r="M892" s="194">
        <f>IF(OR(_1_5412845612146241046457891017[[#This Row],[UNIT]]&gt;0,_1_5412845612146241046457891017[[#This Row],[UNIT]]&lt;0),_1_5412845612146241046457891017[[#This Row],[UNIT]]*_1_5412845612146241046457891017[[#This Row],[COST]],0)</f>
        <v>0</v>
      </c>
      <c r="N892" s="194">
        <f t="shared" si="13"/>
        <v>1.35</v>
      </c>
      <c r="O892" s="198">
        <f>_1_5412845612146241046457891017[[#This Row],[TOTAL]]*_1_5412845612146241046457891017[[#This Row],[MARGIN]]</f>
        <v>0</v>
      </c>
      <c r="P892" s="198"/>
      <c r="R892" s="41"/>
    </row>
    <row r="893" spans="4:18">
      <c r="D893" s="188"/>
      <c r="E893" s="42"/>
      <c r="F893" s="168" t="s">
        <v>6202</v>
      </c>
      <c r="G893" s="193">
        <f>IF(_1_5412845612146241046457891017[[#This Row],[Type]]&gt;0,VLOOKUP(_1_5412845612146241046457891017[[#This Row],[Type]],Main[[#All],[TYPE]:[UNIT]],'Unit Price'!C$1,FALSE),0)</f>
        <v>0</v>
      </c>
      <c r="H893" s="197">
        <f>IF(_1_5412845612146241046457891017[[#This Row],[Type]]&gt;0,VLOOKUP(_1_5412845612146241046457891017[[#This Row],[Type]],Main[[#All],[TYPE]:[UNIT]],'Unit Price'!D$1,FALSE),0)</f>
        <v>0</v>
      </c>
      <c r="I893" s="194">
        <f>IF(_1_5412845612146241046457891017[[#This Row],[Type]]&gt;0,VLOOKUP(_1_5412845612146241046457891017[[#This Row],[Type]],Main[[#All],[TYPE]:[UNIT]],'Unit Price'!G$1,FALSE),0)</f>
        <v>0</v>
      </c>
      <c r="J893" s="194">
        <f>IF(_1_5412845612146241046457891017[[#This Row],[Type]]&gt;0,VLOOKUP(_1_5412845612146241046457891017[[#This Row],[Type]],Main[[#All],[TYPE]:[UNIT]],'Unit Price'!H$1,FALSE),0)</f>
        <v>0</v>
      </c>
      <c r="K893" s="194">
        <f>IF(_1_5412845612146241046457891017[[#This Row],[Discount selection]]&gt;0,VLOOKUP(_1_5412845612146241046457891017[[#This Row],[Discount selection]],'Discount Structure'!$A$2:$B$30,2,"false"),0)</f>
        <v>1</v>
      </c>
      <c r="L893" s="194">
        <f>_1_5412845612146241046457891017[[#This Row],[LIST $]]*_1_5412845612146241046457891017[[#This Row],[DISCOUNT]]*_1_5412845612146241046457891017[[#This Row],[DISCOUNT 2]]</f>
        <v>0</v>
      </c>
      <c r="M893" s="194">
        <f>IF(OR(_1_5412845612146241046457891017[[#This Row],[UNIT]]&gt;0,_1_5412845612146241046457891017[[#This Row],[UNIT]]&lt;0),_1_5412845612146241046457891017[[#This Row],[UNIT]]*_1_5412845612146241046457891017[[#This Row],[COST]],0)</f>
        <v>0</v>
      </c>
      <c r="N893" s="194">
        <f t="shared" si="13"/>
        <v>1.35</v>
      </c>
      <c r="O893" s="198">
        <f>_1_5412845612146241046457891017[[#This Row],[TOTAL]]*_1_5412845612146241046457891017[[#This Row],[MARGIN]]</f>
        <v>0</v>
      </c>
      <c r="P893" s="198"/>
      <c r="R893" s="41"/>
    </row>
    <row r="894" spans="4:18">
      <c r="D894" s="188"/>
      <c r="E894" s="42"/>
      <c r="F894" s="168" t="s">
        <v>6202</v>
      </c>
      <c r="G894" s="193">
        <f>IF(_1_5412845612146241046457891017[[#This Row],[Type]]&gt;0,VLOOKUP(_1_5412845612146241046457891017[[#This Row],[Type]],Main[[#All],[TYPE]:[UNIT]],'Unit Price'!C$1,FALSE),0)</f>
        <v>0</v>
      </c>
      <c r="H894" s="197">
        <f>IF(_1_5412845612146241046457891017[[#This Row],[Type]]&gt;0,VLOOKUP(_1_5412845612146241046457891017[[#This Row],[Type]],Main[[#All],[TYPE]:[UNIT]],'Unit Price'!D$1,FALSE),0)</f>
        <v>0</v>
      </c>
      <c r="I894" s="194">
        <f>IF(_1_5412845612146241046457891017[[#This Row],[Type]]&gt;0,VLOOKUP(_1_5412845612146241046457891017[[#This Row],[Type]],Main[[#All],[TYPE]:[UNIT]],'Unit Price'!G$1,FALSE),0)</f>
        <v>0</v>
      </c>
      <c r="J894" s="194">
        <f>IF(_1_5412845612146241046457891017[[#This Row],[Type]]&gt;0,VLOOKUP(_1_5412845612146241046457891017[[#This Row],[Type]],Main[[#All],[TYPE]:[UNIT]],'Unit Price'!H$1,FALSE),0)</f>
        <v>0</v>
      </c>
      <c r="K894" s="194">
        <f>IF(_1_5412845612146241046457891017[[#This Row],[Discount selection]]&gt;0,VLOOKUP(_1_5412845612146241046457891017[[#This Row],[Discount selection]],'Discount Structure'!$A$2:$B$30,2,"false"),0)</f>
        <v>1</v>
      </c>
      <c r="L894" s="194">
        <f>_1_5412845612146241046457891017[[#This Row],[LIST $]]*_1_5412845612146241046457891017[[#This Row],[DISCOUNT]]*_1_5412845612146241046457891017[[#This Row],[DISCOUNT 2]]</f>
        <v>0</v>
      </c>
      <c r="M894" s="194">
        <f>IF(OR(_1_5412845612146241046457891017[[#This Row],[UNIT]]&gt;0,_1_5412845612146241046457891017[[#This Row],[UNIT]]&lt;0),_1_5412845612146241046457891017[[#This Row],[UNIT]]*_1_5412845612146241046457891017[[#This Row],[COST]],0)</f>
        <v>0</v>
      </c>
      <c r="N894" s="194">
        <f t="shared" si="13"/>
        <v>1.35</v>
      </c>
      <c r="O894" s="198">
        <f>_1_5412845612146241046457891017[[#This Row],[TOTAL]]*_1_5412845612146241046457891017[[#This Row],[MARGIN]]</f>
        <v>0</v>
      </c>
      <c r="P894" s="198"/>
      <c r="R894" s="41"/>
    </row>
    <row r="895" spans="4:18">
      <c r="D895" s="188"/>
      <c r="E895" s="42"/>
      <c r="F895" s="168" t="s">
        <v>6202</v>
      </c>
      <c r="G895" s="193">
        <f>IF(_1_5412845612146241046457891017[[#This Row],[Type]]&gt;0,VLOOKUP(_1_5412845612146241046457891017[[#This Row],[Type]],Main[[#All],[TYPE]:[UNIT]],'Unit Price'!C$1,FALSE),0)</f>
        <v>0</v>
      </c>
      <c r="H895" s="197">
        <f>IF(_1_5412845612146241046457891017[[#This Row],[Type]]&gt;0,VLOOKUP(_1_5412845612146241046457891017[[#This Row],[Type]],Main[[#All],[TYPE]:[UNIT]],'Unit Price'!D$1,FALSE),0)</f>
        <v>0</v>
      </c>
      <c r="I895" s="194">
        <f>IF(_1_5412845612146241046457891017[[#This Row],[Type]]&gt;0,VLOOKUP(_1_5412845612146241046457891017[[#This Row],[Type]],Main[[#All],[TYPE]:[UNIT]],'Unit Price'!G$1,FALSE),0)</f>
        <v>0</v>
      </c>
      <c r="J895" s="194">
        <f>IF(_1_5412845612146241046457891017[[#This Row],[Type]]&gt;0,VLOOKUP(_1_5412845612146241046457891017[[#This Row],[Type]],Main[[#All],[TYPE]:[UNIT]],'Unit Price'!H$1,FALSE),0)</f>
        <v>0</v>
      </c>
      <c r="K895" s="194">
        <f>IF(_1_5412845612146241046457891017[[#This Row],[Discount selection]]&gt;0,VLOOKUP(_1_5412845612146241046457891017[[#This Row],[Discount selection]],'Discount Structure'!$A$2:$B$30,2,"false"),0)</f>
        <v>1</v>
      </c>
      <c r="L895" s="194">
        <f>_1_5412845612146241046457891017[[#This Row],[LIST $]]*_1_5412845612146241046457891017[[#This Row],[DISCOUNT]]*_1_5412845612146241046457891017[[#This Row],[DISCOUNT 2]]</f>
        <v>0</v>
      </c>
      <c r="M895" s="194">
        <f>IF(OR(_1_5412845612146241046457891017[[#This Row],[UNIT]]&gt;0,_1_5412845612146241046457891017[[#This Row],[UNIT]]&lt;0),_1_5412845612146241046457891017[[#This Row],[UNIT]]*_1_5412845612146241046457891017[[#This Row],[COST]],0)</f>
        <v>0</v>
      </c>
      <c r="N895" s="194">
        <f t="shared" si="13"/>
        <v>1.35</v>
      </c>
      <c r="O895" s="198">
        <f>_1_5412845612146241046457891017[[#This Row],[TOTAL]]*_1_5412845612146241046457891017[[#This Row],[MARGIN]]</f>
        <v>0</v>
      </c>
      <c r="P895" s="198"/>
      <c r="R895" s="41"/>
    </row>
    <row r="896" spans="4:18">
      <c r="D896" s="188"/>
      <c r="E896" s="42"/>
      <c r="F896" s="168" t="s">
        <v>6202</v>
      </c>
      <c r="G896" s="193">
        <f>IF(_1_5412845612146241046457891017[[#This Row],[Type]]&gt;0,VLOOKUP(_1_5412845612146241046457891017[[#This Row],[Type]],Main[[#All],[TYPE]:[UNIT]],'Unit Price'!C$1,FALSE),0)</f>
        <v>0</v>
      </c>
      <c r="H896" s="197">
        <f>IF(_1_5412845612146241046457891017[[#This Row],[Type]]&gt;0,VLOOKUP(_1_5412845612146241046457891017[[#This Row],[Type]],Main[[#All],[TYPE]:[UNIT]],'Unit Price'!D$1,FALSE),0)</f>
        <v>0</v>
      </c>
      <c r="I896" s="194">
        <f>IF(_1_5412845612146241046457891017[[#This Row],[Type]]&gt;0,VLOOKUP(_1_5412845612146241046457891017[[#This Row],[Type]],Main[[#All],[TYPE]:[UNIT]],'Unit Price'!G$1,FALSE),0)</f>
        <v>0</v>
      </c>
      <c r="J896" s="194">
        <f>IF(_1_5412845612146241046457891017[[#This Row],[Type]]&gt;0,VLOOKUP(_1_5412845612146241046457891017[[#This Row],[Type]],Main[[#All],[TYPE]:[UNIT]],'Unit Price'!H$1,FALSE),0)</f>
        <v>0</v>
      </c>
      <c r="K896" s="194">
        <f>IF(_1_5412845612146241046457891017[[#This Row],[Discount selection]]&gt;0,VLOOKUP(_1_5412845612146241046457891017[[#This Row],[Discount selection]],'Discount Structure'!$A$2:$B$30,2,"false"),0)</f>
        <v>1</v>
      </c>
      <c r="L896" s="194">
        <f>_1_5412845612146241046457891017[[#This Row],[LIST $]]*_1_5412845612146241046457891017[[#This Row],[DISCOUNT]]*_1_5412845612146241046457891017[[#This Row],[DISCOUNT 2]]</f>
        <v>0</v>
      </c>
      <c r="M896" s="194">
        <f>IF(OR(_1_5412845612146241046457891017[[#This Row],[UNIT]]&gt;0,_1_5412845612146241046457891017[[#This Row],[UNIT]]&lt;0),_1_5412845612146241046457891017[[#This Row],[UNIT]]*_1_5412845612146241046457891017[[#This Row],[COST]],0)</f>
        <v>0</v>
      </c>
      <c r="N896" s="194">
        <f t="shared" si="13"/>
        <v>1.35</v>
      </c>
      <c r="O896" s="198">
        <f>_1_5412845612146241046457891017[[#This Row],[TOTAL]]*_1_5412845612146241046457891017[[#This Row],[MARGIN]]</f>
        <v>0</v>
      </c>
      <c r="P896" s="198"/>
      <c r="R896" s="41"/>
    </row>
    <row r="897" spans="4:18">
      <c r="D897" s="188"/>
      <c r="E897" s="42"/>
      <c r="F897" s="168" t="s">
        <v>6202</v>
      </c>
      <c r="G897" s="193">
        <f>IF(_1_5412845612146241046457891017[[#This Row],[Type]]&gt;0,VLOOKUP(_1_5412845612146241046457891017[[#This Row],[Type]],Main[[#All],[TYPE]:[UNIT]],'Unit Price'!C$1,FALSE),0)</f>
        <v>0</v>
      </c>
      <c r="H897" s="197">
        <f>IF(_1_5412845612146241046457891017[[#This Row],[Type]]&gt;0,VLOOKUP(_1_5412845612146241046457891017[[#This Row],[Type]],Main[[#All],[TYPE]:[UNIT]],'Unit Price'!D$1,FALSE),0)</f>
        <v>0</v>
      </c>
      <c r="I897" s="194">
        <f>IF(_1_5412845612146241046457891017[[#This Row],[Type]]&gt;0,VLOOKUP(_1_5412845612146241046457891017[[#This Row],[Type]],Main[[#All],[TYPE]:[UNIT]],'Unit Price'!G$1,FALSE),0)</f>
        <v>0</v>
      </c>
      <c r="J897" s="194">
        <f>IF(_1_5412845612146241046457891017[[#This Row],[Type]]&gt;0,VLOOKUP(_1_5412845612146241046457891017[[#This Row],[Type]],Main[[#All],[TYPE]:[UNIT]],'Unit Price'!H$1,FALSE),0)</f>
        <v>0</v>
      </c>
      <c r="K897" s="194">
        <f>IF(_1_5412845612146241046457891017[[#This Row],[Discount selection]]&gt;0,VLOOKUP(_1_5412845612146241046457891017[[#This Row],[Discount selection]],'Discount Structure'!$A$2:$B$30,2,"false"),0)</f>
        <v>1</v>
      </c>
      <c r="L897" s="194">
        <f>_1_5412845612146241046457891017[[#This Row],[LIST $]]*_1_5412845612146241046457891017[[#This Row],[DISCOUNT]]*_1_5412845612146241046457891017[[#This Row],[DISCOUNT 2]]</f>
        <v>0</v>
      </c>
      <c r="M897" s="194">
        <f>IF(OR(_1_5412845612146241046457891017[[#This Row],[UNIT]]&gt;0,_1_5412845612146241046457891017[[#This Row],[UNIT]]&lt;0),_1_5412845612146241046457891017[[#This Row],[UNIT]]*_1_5412845612146241046457891017[[#This Row],[COST]],0)</f>
        <v>0</v>
      </c>
      <c r="N897" s="194">
        <f t="shared" si="13"/>
        <v>1.35</v>
      </c>
      <c r="O897" s="198">
        <f>_1_5412845612146241046457891017[[#This Row],[TOTAL]]*_1_5412845612146241046457891017[[#This Row],[MARGIN]]</f>
        <v>0</v>
      </c>
      <c r="P897" s="198"/>
      <c r="R897" s="41"/>
    </row>
    <row r="898" spans="4:18">
      <c r="D898" s="188"/>
      <c r="E898" s="42"/>
      <c r="F898" s="168" t="s">
        <v>6202</v>
      </c>
      <c r="G898" s="193">
        <f>IF(_1_5412845612146241046457891017[[#This Row],[Type]]&gt;0,VLOOKUP(_1_5412845612146241046457891017[[#This Row],[Type]],Main[[#All],[TYPE]:[UNIT]],'Unit Price'!C$1,FALSE),0)</f>
        <v>0</v>
      </c>
      <c r="H898" s="197">
        <f>IF(_1_5412845612146241046457891017[[#This Row],[Type]]&gt;0,VLOOKUP(_1_5412845612146241046457891017[[#This Row],[Type]],Main[[#All],[TYPE]:[UNIT]],'Unit Price'!D$1,FALSE),0)</f>
        <v>0</v>
      </c>
      <c r="I898" s="194">
        <f>IF(_1_5412845612146241046457891017[[#This Row],[Type]]&gt;0,VLOOKUP(_1_5412845612146241046457891017[[#This Row],[Type]],Main[[#All],[TYPE]:[UNIT]],'Unit Price'!G$1,FALSE),0)</f>
        <v>0</v>
      </c>
      <c r="J898" s="194">
        <f>IF(_1_5412845612146241046457891017[[#This Row],[Type]]&gt;0,VLOOKUP(_1_5412845612146241046457891017[[#This Row],[Type]],Main[[#All],[TYPE]:[UNIT]],'Unit Price'!H$1,FALSE),0)</f>
        <v>0</v>
      </c>
      <c r="K898" s="194">
        <f>IF(_1_5412845612146241046457891017[[#This Row],[Discount selection]]&gt;0,VLOOKUP(_1_5412845612146241046457891017[[#This Row],[Discount selection]],'Discount Structure'!$A$2:$B$30,2,"false"),0)</f>
        <v>1</v>
      </c>
      <c r="L898" s="194">
        <f>_1_5412845612146241046457891017[[#This Row],[LIST $]]*_1_5412845612146241046457891017[[#This Row],[DISCOUNT]]*_1_5412845612146241046457891017[[#This Row],[DISCOUNT 2]]</f>
        <v>0</v>
      </c>
      <c r="M898" s="194">
        <f>IF(OR(_1_5412845612146241046457891017[[#This Row],[UNIT]]&gt;0,_1_5412845612146241046457891017[[#This Row],[UNIT]]&lt;0),_1_5412845612146241046457891017[[#This Row],[UNIT]]*_1_5412845612146241046457891017[[#This Row],[COST]],0)</f>
        <v>0</v>
      </c>
      <c r="N898" s="194">
        <f t="shared" si="13"/>
        <v>1.35</v>
      </c>
      <c r="O898" s="198">
        <f>_1_5412845612146241046457891017[[#This Row],[TOTAL]]*_1_5412845612146241046457891017[[#This Row],[MARGIN]]</f>
        <v>0</v>
      </c>
      <c r="P898" s="198"/>
      <c r="R898" s="41"/>
    </row>
    <row r="899" spans="4:18">
      <c r="D899" s="188"/>
      <c r="E899" s="42"/>
      <c r="F899" s="168" t="s">
        <v>6202</v>
      </c>
      <c r="G899" s="193">
        <f>IF(_1_5412845612146241046457891017[[#This Row],[Type]]&gt;0,VLOOKUP(_1_5412845612146241046457891017[[#This Row],[Type]],Main[[#All],[TYPE]:[UNIT]],'Unit Price'!C$1,FALSE),0)</f>
        <v>0</v>
      </c>
      <c r="H899" s="197">
        <f>IF(_1_5412845612146241046457891017[[#This Row],[Type]]&gt;0,VLOOKUP(_1_5412845612146241046457891017[[#This Row],[Type]],Main[[#All],[TYPE]:[UNIT]],'Unit Price'!D$1,FALSE),0)</f>
        <v>0</v>
      </c>
      <c r="I899" s="194">
        <f>IF(_1_5412845612146241046457891017[[#This Row],[Type]]&gt;0,VLOOKUP(_1_5412845612146241046457891017[[#This Row],[Type]],Main[[#All],[TYPE]:[UNIT]],'Unit Price'!G$1,FALSE),0)</f>
        <v>0</v>
      </c>
      <c r="J899" s="194">
        <f>IF(_1_5412845612146241046457891017[[#This Row],[Type]]&gt;0,VLOOKUP(_1_5412845612146241046457891017[[#This Row],[Type]],Main[[#All],[TYPE]:[UNIT]],'Unit Price'!H$1,FALSE),0)</f>
        <v>0</v>
      </c>
      <c r="K899" s="194">
        <f>IF(_1_5412845612146241046457891017[[#This Row],[Discount selection]]&gt;0,VLOOKUP(_1_5412845612146241046457891017[[#This Row],[Discount selection]],'Discount Structure'!$A$2:$B$30,2,"false"),0)</f>
        <v>1</v>
      </c>
      <c r="L899" s="194">
        <f>_1_5412845612146241046457891017[[#This Row],[LIST $]]*_1_5412845612146241046457891017[[#This Row],[DISCOUNT]]*_1_5412845612146241046457891017[[#This Row],[DISCOUNT 2]]</f>
        <v>0</v>
      </c>
      <c r="M899" s="194">
        <f>IF(OR(_1_5412845612146241046457891017[[#This Row],[UNIT]]&gt;0,_1_5412845612146241046457891017[[#This Row],[UNIT]]&lt;0),_1_5412845612146241046457891017[[#This Row],[UNIT]]*_1_5412845612146241046457891017[[#This Row],[COST]],0)</f>
        <v>0</v>
      </c>
      <c r="N899" s="194">
        <f t="shared" si="13"/>
        <v>1.35</v>
      </c>
      <c r="O899" s="198">
        <f>_1_5412845612146241046457891017[[#This Row],[TOTAL]]*_1_5412845612146241046457891017[[#This Row],[MARGIN]]</f>
        <v>0</v>
      </c>
      <c r="P899" s="198"/>
      <c r="R899" s="41"/>
    </row>
    <row r="900" spans="4:18">
      <c r="D900" s="188"/>
      <c r="E900" s="42"/>
      <c r="F900" s="168" t="s">
        <v>6202</v>
      </c>
      <c r="G900" s="193">
        <f>IF(_1_5412845612146241046457891017[[#This Row],[Type]]&gt;0,VLOOKUP(_1_5412845612146241046457891017[[#This Row],[Type]],Main[[#All],[TYPE]:[UNIT]],'Unit Price'!C$1,FALSE),0)</f>
        <v>0</v>
      </c>
      <c r="H900" s="197">
        <f>IF(_1_5412845612146241046457891017[[#This Row],[Type]]&gt;0,VLOOKUP(_1_5412845612146241046457891017[[#This Row],[Type]],Main[[#All],[TYPE]:[UNIT]],'Unit Price'!D$1,FALSE),0)</f>
        <v>0</v>
      </c>
      <c r="I900" s="194">
        <f>IF(_1_5412845612146241046457891017[[#This Row],[Type]]&gt;0,VLOOKUP(_1_5412845612146241046457891017[[#This Row],[Type]],Main[[#All],[TYPE]:[UNIT]],'Unit Price'!G$1,FALSE),0)</f>
        <v>0</v>
      </c>
      <c r="J900" s="194">
        <f>IF(_1_5412845612146241046457891017[[#This Row],[Type]]&gt;0,VLOOKUP(_1_5412845612146241046457891017[[#This Row],[Type]],Main[[#All],[TYPE]:[UNIT]],'Unit Price'!H$1,FALSE),0)</f>
        <v>0</v>
      </c>
      <c r="K900" s="194">
        <f>IF(_1_5412845612146241046457891017[[#This Row],[Discount selection]]&gt;0,VLOOKUP(_1_5412845612146241046457891017[[#This Row],[Discount selection]],'Discount Structure'!$A$2:$B$30,2,"false"),0)</f>
        <v>1</v>
      </c>
      <c r="L900" s="194">
        <f>_1_5412845612146241046457891017[[#This Row],[LIST $]]*_1_5412845612146241046457891017[[#This Row],[DISCOUNT]]*_1_5412845612146241046457891017[[#This Row],[DISCOUNT 2]]</f>
        <v>0</v>
      </c>
      <c r="M900" s="194">
        <f>IF(OR(_1_5412845612146241046457891017[[#This Row],[UNIT]]&gt;0,_1_5412845612146241046457891017[[#This Row],[UNIT]]&lt;0),_1_5412845612146241046457891017[[#This Row],[UNIT]]*_1_5412845612146241046457891017[[#This Row],[COST]],0)</f>
        <v>0</v>
      </c>
      <c r="N900" s="194">
        <f t="shared" si="13"/>
        <v>1.35</v>
      </c>
      <c r="O900" s="198">
        <f>_1_5412845612146241046457891017[[#This Row],[TOTAL]]*_1_5412845612146241046457891017[[#This Row],[MARGIN]]</f>
        <v>0</v>
      </c>
      <c r="P900" s="198"/>
      <c r="R900" s="41"/>
    </row>
    <row r="901" spans="4:18">
      <c r="D901" s="188"/>
      <c r="E901" s="42"/>
      <c r="F901" s="168" t="s">
        <v>6202</v>
      </c>
      <c r="G901" s="193">
        <f>IF(_1_5412845612146241046457891017[[#This Row],[Type]]&gt;0,VLOOKUP(_1_5412845612146241046457891017[[#This Row],[Type]],Main[[#All],[TYPE]:[UNIT]],'Unit Price'!C$1,FALSE),0)</f>
        <v>0</v>
      </c>
      <c r="H901" s="197">
        <f>IF(_1_5412845612146241046457891017[[#This Row],[Type]]&gt;0,VLOOKUP(_1_5412845612146241046457891017[[#This Row],[Type]],Main[[#All],[TYPE]:[UNIT]],'Unit Price'!D$1,FALSE),0)</f>
        <v>0</v>
      </c>
      <c r="I901" s="194">
        <f>IF(_1_5412845612146241046457891017[[#This Row],[Type]]&gt;0,VLOOKUP(_1_5412845612146241046457891017[[#This Row],[Type]],Main[[#All],[TYPE]:[UNIT]],'Unit Price'!G$1,FALSE),0)</f>
        <v>0</v>
      </c>
      <c r="J901" s="194">
        <f>IF(_1_5412845612146241046457891017[[#This Row],[Type]]&gt;0,VLOOKUP(_1_5412845612146241046457891017[[#This Row],[Type]],Main[[#All],[TYPE]:[UNIT]],'Unit Price'!H$1,FALSE),0)</f>
        <v>0</v>
      </c>
      <c r="K901" s="194">
        <f>IF(_1_5412845612146241046457891017[[#This Row],[Discount selection]]&gt;0,VLOOKUP(_1_5412845612146241046457891017[[#This Row],[Discount selection]],'Discount Structure'!$A$2:$B$30,2,"false"),0)</f>
        <v>1</v>
      </c>
      <c r="L901" s="194">
        <f>_1_5412845612146241046457891017[[#This Row],[LIST $]]*_1_5412845612146241046457891017[[#This Row],[DISCOUNT]]*_1_5412845612146241046457891017[[#This Row],[DISCOUNT 2]]</f>
        <v>0</v>
      </c>
      <c r="M901" s="194">
        <f>IF(OR(_1_5412845612146241046457891017[[#This Row],[UNIT]]&gt;0,_1_5412845612146241046457891017[[#This Row],[UNIT]]&lt;0),_1_5412845612146241046457891017[[#This Row],[UNIT]]*_1_5412845612146241046457891017[[#This Row],[COST]],0)</f>
        <v>0</v>
      </c>
      <c r="N901" s="194">
        <f t="shared" si="13"/>
        <v>1.35</v>
      </c>
      <c r="O901" s="198">
        <f>_1_5412845612146241046457891017[[#This Row],[TOTAL]]*_1_5412845612146241046457891017[[#This Row],[MARGIN]]</f>
        <v>0</v>
      </c>
      <c r="P901" s="198"/>
      <c r="R901" s="41"/>
    </row>
    <row r="902" spans="4:18">
      <c r="D902" s="188"/>
      <c r="E902" s="42"/>
      <c r="F902" s="168" t="s">
        <v>6202</v>
      </c>
      <c r="G902" s="193">
        <f>IF(_1_5412845612146241046457891017[[#This Row],[Type]]&gt;0,VLOOKUP(_1_5412845612146241046457891017[[#This Row],[Type]],Main[[#All],[TYPE]:[UNIT]],'Unit Price'!C$1,FALSE),0)</f>
        <v>0</v>
      </c>
      <c r="H902" s="197">
        <f>IF(_1_5412845612146241046457891017[[#This Row],[Type]]&gt;0,VLOOKUP(_1_5412845612146241046457891017[[#This Row],[Type]],Main[[#All],[TYPE]:[UNIT]],'Unit Price'!D$1,FALSE),0)</f>
        <v>0</v>
      </c>
      <c r="I902" s="194">
        <f>IF(_1_5412845612146241046457891017[[#This Row],[Type]]&gt;0,VLOOKUP(_1_5412845612146241046457891017[[#This Row],[Type]],Main[[#All],[TYPE]:[UNIT]],'Unit Price'!G$1,FALSE),0)</f>
        <v>0</v>
      </c>
      <c r="J902" s="194">
        <f>IF(_1_5412845612146241046457891017[[#This Row],[Type]]&gt;0,VLOOKUP(_1_5412845612146241046457891017[[#This Row],[Type]],Main[[#All],[TYPE]:[UNIT]],'Unit Price'!H$1,FALSE),0)</f>
        <v>0</v>
      </c>
      <c r="K902" s="194">
        <f>IF(_1_5412845612146241046457891017[[#This Row],[Discount selection]]&gt;0,VLOOKUP(_1_5412845612146241046457891017[[#This Row],[Discount selection]],'Discount Structure'!$A$2:$B$30,2,"false"),0)</f>
        <v>1</v>
      </c>
      <c r="L902" s="194">
        <f>_1_5412845612146241046457891017[[#This Row],[LIST $]]*_1_5412845612146241046457891017[[#This Row],[DISCOUNT]]*_1_5412845612146241046457891017[[#This Row],[DISCOUNT 2]]</f>
        <v>0</v>
      </c>
      <c r="M902" s="194">
        <f>IF(OR(_1_5412845612146241046457891017[[#This Row],[UNIT]]&gt;0,_1_5412845612146241046457891017[[#This Row],[UNIT]]&lt;0),_1_5412845612146241046457891017[[#This Row],[UNIT]]*_1_5412845612146241046457891017[[#This Row],[COST]],0)</f>
        <v>0</v>
      </c>
      <c r="N902" s="194">
        <f t="shared" si="13"/>
        <v>1.35</v>
      </c>
      <c r="O902" s="198">
        <f>_1_5412845612146241046457891017[[#This Row],[TOTAL]]*_1_5412845612146241046457891017[[#This Row],[MARGIN]]</f>
        <v>0</v>
      </c>
      <c r="P902" s="198"/>
      <c r="R902" s="41"/>
    </row>
    <row r="903" spans="4:18">
      <c r="D903" s="188"/>
      <c r="E903" s="42"/>
      <c r="F903" s="168" t="s">
        <v>6202</v>
      </c>
      <c r="G903" s="193">
        <f>IF(_1_5412845612146241046457891017[[#This Row],[Type]]&gt;0,VLOOKUP(_1_5412845612146241046457891017[[#This Row],[Type]],Main[[#All],[TYPE]:[UNIT]],'Unit Price'!C$1,FALSE),0)</f>
        <v>0</v>
      </c>
      <c r="H903" s="197">
        <f>IF(_1_5412845612146241046457891017[[#This Row],[Type]]&gt;0,VLOOKUP(_1_5412845612146241046457891017[[#This Row],[Type]],Main[[#All],[TYPE]:[UNIT]],'Unit Price'!D$1,FALSE),0)</f>
        <v>0</v>
      </c>
      <c r="I903" s="194">
        <f>IF(_1_5412845612146241046457891017[[#This Row],[Type]]&gt;0,VLOOKUP(_1_5412845612146241046457891017[[#This Row],[Type]],Main[[#All],[TYPE]:[UNIT]],'Unit Price'!G$1,FALSE),0)</f>
        <v>0</v>
      </c>
      <c r="J903" s="194">
        <f>IF(_1_5412845612146241046457891017[[#This Row],[Type]]&gt;0,VLOOKUP(_1_5412845612146241046457891017[[#This Row],[Type]],Main[[#All],[TYPE]:[UNIT]],'Unit Price'!H$1,FALSE),0)</f>
        <v>0</v>
      </c>
      <c r="K903" s="194">
        <f>IF(_1_5412845612146241046457891017[[#This Row],[Discount selection]]&gt;0,VLOOKUP(_1_5412845612146241046457891017[[#This Row],[Discount selection]],'Discount Structure'!$A$2:$B$30,2,"false"),0)</f>
        <v>1</v>
      </c>
      <c r="L903" s="194">
        <f>_1_5412845612146241046457891017[[#This Row],[LIST $]]*_1_5412845612146241046457891017[[#This Row],[DISCOUNT]]*_1_5412845612146241046457891017[[#This Row],[DISCOUNT 2]]</f>
        <v>0</v>
      </c>
      <c r="M903" s="194">
        <f>IF(OR(_1_5412845612146241046457891017[[#This Row],[UNIT]]&gt;0,_1_5412845612146241046457891017[[#This Row],[UNIT]]&lt;0),_1_5412845612146241046457891017[[#This Row],[UNIT]]*_1_5412845612146241046457891017[[#This Row],[COST]],0)</f>
        <v>0</v>
      </c>
      <c r="N903" s="194">
        <f t="shared" si="13"/>
        <v>1.35</v>
      </c>
      <c r="O903" s="198">
        <f>_1_5412845612146241046457891017[[#This Row],[TOTAL]]*_1_5412845612146241046457891017[[#This Row],[MARGIN]]</f>
        <v>0</v>
      </c>
      <c r="P903" s="198"/>
      <c r="R903" s="41"/>
    </row>
    <row r="904" spans="4:18">
      <c r="D904" s="188"/>
      <c r="E904" s="42"/>
      <c r="F904" s="168" t="s">
        <v>6202</v>
      </c>
      <c r="G904" s="193">
        <f>IF(_1_5412845612146241046457891017[[#This Row],[Type]]&gt;0,VLOOKUP(_1_5412845612146241046457891017[[#This Row],[Type]],Main[[#All],[TYPE]:[UNIT]],'Unit Price'!C$1,FALSE),0)</f>
        <v>0</v>
      </c>
      <c r="H904" s="197">
        <f>IF(_1_5412845612146241046457891017[[#This Row],[Type]]&gt;0,VLOOKUP(_1_5412845612146241046457891017[[#This Row],[Type]],Main[[#All],[TYPE]:[UNIT]],'Unit Price'!D$1,FALSE),0)</f>
        <v>0</v>
      </c>
      <c r="I904" s="194">
        <f>IF(_1_5412845612146241046457891017[[#This Row],[Type]]&gt;0,VLOOKUP(_1_5412845612146241046457891017[[#This Row],[Type]],Main[[#All],[TYPE]:[UNIT]],'Unit Price'!G$1,FALSE),0)</f>
        <v>0</v>
      </c>
      <c r="J904" s="194">
        <f>IF(_1_5412845612146241046457891017[[#This Row],[Type]]&gt;0,VLOOKUP(_1_5412845612146241046457891017[[#This Row],[Type]],Main[[#All],[TYPE]:[UNIT]],'Unit Price'!H$1,FALSE),0)</f>
        <v>0</v>
      </c>
      <c r="K904" s="194">
        <f>IF(_1_5412845612146241046457891017[[#This Row],[Discount selection]]&gt;0,VLOOKUP(_1_5412845612146241046457891017[[#This Row],[Discount selection]],'Discount Structure'!$A$2:$B$30,2,"false"),0)</f>
        <v>1</v>
      </c>
      <c r="L904" s="194">
        <f>_1_5412845612146241046457891017[[#This Row],[LIST $]]*_1_5412845612146241046457891017[[#This Row],[DISCOUNT]]*_1_5412845612146241046457891017[[#This Row],[DISCOUNT 2]]</f>
        <v>0</v>
      </c>
      <c r="M904" s="194">
        <f>IF(OR(_1_5412845612146241046457891017[[#This Row],[UNIT]]&gt;0,_1_5412845612146241046457891017[[#This Row],[UNIT]]&lt;0),_1_5412845612146241046457891017[[#This Row],[UNIT]]*_1_5412845612146241046457891017[[#This Row],[COST]],0)</f>
        <v>0</v>
      </c>
      <c r="N904" s="194">
        <f t="shared" si="13"/>
        <v>1.35</v>
      </c>
      <c r="O904" s="198">
        <f>_1_5412845612146241046457891017[[#This Row],[TOTAL]]*_1_5412845612146241046457891017[[#This Row],[MARGIN]]</f>
        <v>0</v>
      </c>
      <c r="P904" s="198"/>
      <c r="R904" s="41"/>
    </row>
    <row r="905" spans="4:18">
      <c r="D905" s="188"/>
      <c r="E905" s="42"/>
      <c r="F905" s="168" t="s">
        <v>6202</v>
      </c>
      <c r="G905" s="193">
        <f>IF(_1_5412845612146241046457891017[[#This Row],[Type]]&gt;0,VLOOKUP(_1_5412845612146241046457891017[[#This Row],[Type]],Main[[#All],[TYPE]:[UNIT]],'Unit Price'!C$1,FALSE),0)</f>
        <v>0</v>
      </c>
      <c r="H905" s="197">
        <f>IF(_1_5412845612146241046457891017[[#This Row],[Type]]&gt;0,VLOOKUP(_1_5412845612146241046457891017[[#This Row],[Type]],Main[[#All],[TYPE]:[UNIT]],'Unit Price'!D$1,FALSE),0)</f>
        <v>0</v>
      </c>
      <c r="I905" s="194">
        <f>IF(_1_5412845612146241046457891017[[#This Row],[Type]]&gt;0,VLOOKUP(_1_5412845612146241046457891017[[#This Row],[Type]],Main[[#All],[TYPE]:[UNIT]],'Unit Price'!G$1,FALSE),0)</f>
        <v>0</v>
      </c>
      <c r="J905" s="194">
        <f>IF(_1_5412845612146241046457891017[[#This Row],[Type]]&gt;0,VLOOKUP(_1_5412845612146241046457891017[[#This Row],[Type]],Main[[#All],[TYPE]:[UNIT]],'Unit Price'!H$1,FALSE),0)</f>
        <v>0</v>
      </c>
      <c r="K905" s="194">
        <f>IF(_1_5412845612146241046457891017[[#This Row],[Discount selection]]&gt;0,VLOOKUP(_1_5412845612146241046457891017[[#This Row],[Discount selection]],'Discount Structure'!$A$2:$B$30,2,"false"),0)</f>
        <v>1</v>
      </c>
      <c r="L905" s="194">
        <f>_1_5412845612146241046457891017[[#This Row],[LIST $]]*_1_5412845612146241046457891017[[#This Row],[DISCOUNT]]*_1_5412845612146241046457891017[[#This Row],[DISCOUNT 2]]</f>
        <v>0</v>
      </c>
      <c r="M905" s="194">
        <f>IF(OR(_1_5412845612146241046457891017[[#This Row],[UNIT]]&gt;0,_1_5412845612146241046457891017[[#This Row],[UNIT]]&lt;0),_1_5412845612146241046457891017[[#This Row],[UNIT]]*_1_5412845612146241046457891017[[#This Row],[COST]],0)</f>
        <v>0</v>
      </c>
      <c r="N905" s="194">
        <f t="shared" si="13"/>
        <v>1.35</v>
      </c>
      <c r="O905" s="198">
        <f>_1_5412845612146241046457891017[[#This Row],[TOTAL]]*_1_5412845612146241046457891017[[#This Row],[MARGIN]]</f>
        <v>0</v>
      </c>
      <c r="P905" s="198"/>
      <c r="R905" s="41"/>
    </row>
    <row r="906" spans="4:18">
      <c r="D906" s="188"/>
      <c r="E906" s="42"/>
      <c r="F906" s="168" t="s">
        <v>6202</v>
      </c>
      <c r="G906" s="193">
        <f>IF(_1_5412845612146241046457891017[[#This Row],[Type]]&gt;0,VLOOKUP(_1_5412845612146241046457891017[[#This Row],[Type]],Main[[#All],[TYPE]:[UNIT]],'Unit Price'!C$1,FALSE),0)</f>
        <v>0</v>
      </c>
      <c r="H906" s="197">
        <f>IF(_1_5412845612146241046457891017[[#This Row],[Type]]&gt;0,VLOOKUP(_1_5412845612146241046457891017[[#This Row],[Type]],Main[[#All],[TYPE]:[UNIT]],'Unit Price'!D$1,FALSE),0)</f>
        <v>0</v>
      </c>
      <c r="I906" s="194">
        <f>IF(_1_5412845612146241046457891017[[#This Row],[Type]]&gt;0,VLOOKUP(_1_5412845612146241046457891017[[#This Row],[Type]],Main[[#All],[TYPE]:[UNIT]],'Unit Price'!G$1,FALSE),0)</f>
        <v>0</v>
      </c>
      <c r="J906" s="194">
        <f>IF(_1_5412845612146241046457891017[[#This Row],[Type]]&gt;0,VLOOKUP(_1_5412845612146241046457891017[[#This Row],[Type]],Main[[#All],[TYPE]:[UNIT]],'Unit Price'!H$1,FALSE),0)</f>
        <v>0</v>
      </c>
      <c r="K906" s="194">
        <f>IF(_1_5412845612146241046457891017[[#This Row],[Discount selection]]&gt;0,VLOOKUP(_1_5412845612146241046457891017[[#This Row],[Discount selection]],'Discount Structure'!$A$2:$B$30,2,"false"),0)</f>
        <v>1</v>
      </c>
      <c r="L906" s="194">
        <f>_1_5412845612146241046457891017[[#This Row],[LIST $]]*_1_5412845612146241046457891017[[#This Row],[DISCOUNT]]*_1_5412845612146241046457891017[[#This Row],[DISCOUNT 2]]</f>
        <v>0</v>
      </c>
      <c r="M906" s="194">
        <f>IF(OR(_1_5412845612146241046457891017[[#This Row],[UNIT]]&gt;0,_1_5412845612146241046457891017[[#This Row],[UNIT]]&lt;0),_1_5412845612146241046457891017[[#This Row],[UNIT]]*_1_5412845612146241046457891017[[#This Row],[COST]],0)</f>
        <v>0</v>
      </c>
      <c r="N906" s="194">
        <f t="shared" ref="N906:N969" si="14">$N$7</f>
        <v>1.35</v>
      </c>
      <c r="O906" s="198">
        <f>_1_5412845612146241046457891017[[#This Row],[TOTAL]]*_1_5412845612146241046457891017[[#This Row],[MARGIN]]</f>
        <v>0</v>
      </c>
      <c r="P906" s="198"/>
      <c r="R906" s="41"/>
    </row>
    <row r="907" spans="4:18">
      <c r="D907" s="188"/>
      <c r="E907" s="42"/>
      <c r="F907" s="168" t="s">
        <v>6202</v>
      </c>
      <c r="G907" s="193">
        <f>IF(_1_5412845612146241046457891017[[#This Row],[Type]]&gt;0,VLOOKUP(_1_5412845612146241046457891017[[#This Row],[Type]],Main[[#All],[TYPE]:[UNIT]],'Unit Price'!C$1,FALSE),0)</f>
        <v>0</v>
      </c>
      <c r="H907" s="197">
        <f>IF(_1_5412845612146241046457891017[[#This Row],[Type]]&gt;0,VLOOKUP(_1_5412845612146241046457891017[[#This Row],[Type]],Main[[#All],[TYPE]:[UNIT]],'Unit Price'!D$1,FALSE),0)</f>
        <v>0</v>
      </c>
      <c r="I907" s="194">
        <f>IF(_1_5412845612146241046457891017[[#This Row],[Type]]&gt;0,VLOOKUP(_1_5412845612146241046457891017[[#This Row],[Type]],Main[[#All],[TYPE]:[UNIT]],'Unit Price'!G$1,FALSE),0)</f>
        <v>0</v>
      </c>
      <c r="J907" s="194">
        <f>IF(_1_5412845612146241046457891017[[#This Row],[Type]]&gt;0,VLOOKUP(_1_5412845612146241046457891017[[#This Row],[Type]],Main[[#All],[TYPE]:[UNIT]],'Unit Price'!H$1,FALSE),0)</f>
        <v>0</v>
      </c>
      <c r="K907" s="194">
        <f>IF(_1_5412845612146241046457891017[[#This Row],[Discount selection]]&gt;0,VLOOKUP(_1_5412845612146241046457891017[[#This Row],[Discount selection]],'Discount Structure'!$A$2:$B$30,2,"false"),0)</f>
        <v>1</v>
      </c>
      <c r="L907" s="194">
        <f>_1_5412845612146241046457891017[[#This Row],[LIST $]]*_1_5412845612146241046457891017[[#This Row],[DISCOUNT]]*_1_5412845612146241046457891017[[#This Row],[DISCOUNT 2]]</f>
        <v>0</v>
      </c>
      <c r="M907" s="194">
        <f>IF(OR(_1_5412845612146241046457891017[[#This Row],[UNIT]]&gt;0,_1_5412845612146241046457891017[[#This Row],[UNIT]]&lt;0),_1_5412845612146241046457891017[[#This Row],[UNIT]]*_1_5412845612146241046457891017[[#This Row],[COST]],0)</f>
        <v>0</v>
      </c>
      <c r="N907" s="194">
        <f t="shared" si="14"/>
        <v>1.35</v>
      </c>
      <c r="O907" s="198">
        <f>_1_5412845612146241046457891017[[#This Row],[TOTAL]]*_1_5412845612146241046457891017[[#This Row],[MARGIN]]</f>
        <v>0</v>
      </c>
      <c r="P907" s="198"/>
      <c r="R907" s="41"/>
    </row>
    <row r="908" spans="4:18">
      <c r="D908" s="188"/>
      <c r="E908" s="42"/>
      <c r="F908" s="168" t="s">
        <v>6202</v>
      </c>
      <c r="G908" s="193">
        <f>IF(_1_5412845612146241046457891017[[#This Row],[Type]]&gt;0,VLOOKUP(_1_5412845612146241046457891017[[#This Row],[Type]],Main[[#All],[TYPE]:[UNIT]],'Unit Price'!C$1,FALSE),0)</f>
        <v>0</v>
      </c>
      <c r="H908" s="197">
        <f>IF(_1_5412845612146241046457891017[[#This Row],[Type]]&gt;0,VLOOKUP(_1_5412845612146241046457891017[[#This Row],[Type]],Main[[#All],[TYPE]:[UNIT]],'Unit Price'!D$1,FALSE),0)</f>
        <v>0</v>
      </c>
      <c r="I908" s="194">
        <f>IF(_1_5412845612146241046457891017[[#This Row],[Type]]&gt;0,VLOOKUP(_1_5412845612146241046457891017[[#This Row],[Type]],Main[[#All],[TYPE]:[UNIT]],'Unit Price'!G$1,FALSE),0)</f>
        <v>0</v>
      </c>
      <c r="J908" s="194">
        <f>IF(_1_5412845612146241046457891017[[#This Row],[Type]]&gt;0,VLOOKUP(_1_5412845612146241046457891017[[#This Row],[Type]],Main[[#All],[TYPE]:[UNIT]],'Unit Price'!H$1,FALSE),0)</f>
        <v>0</v>
      </c>
      <c r="K908" s="194">
        <f>IF(_1_5412845612146241046457891017[[#This Row],[Discount selection]]&gt;0,VLOOKUP(_1_5412845612146241046457891017[[#This Row],[Discount selection]],'Discount Structure'!$A$2:$B$30,2,"false"),0)</f>
        <v>1</v>
      </c>
      <c r="L908" s="194">
        <f>_1_5412845612146241046457891017[[#This Row],[LIST $]]*_1_5412845612146241046457891017[[#This Row],[DISCOUNT]]*_1_5412845612146241046457891017[[#This Row],[DISCOUNT 2]]</f>
        <v>0</v>
      </c>
      <c r="M908" s="194">
        <f>IF(OR(_1_5412845612146241046457891017[[#This Row],[UNIT]]&gt;0,_1_5412845612146241046457891017[[#This Row],[UNIT]]&lt;0),_1_5412845612146241046457891017[[#This Row],[UNIT]]*_1_5412845612146241046457891017[[#This Row],[COST]],0)</f>
        <v>0</v>
      </c>
      <c r="N908" s="194">
        <f t="shared" si="14"/>
        <v>1.35</v>
      </c>
      <c r="O908" s="198">
        <f>_1_5412845612146241046457891017[[#This Row],[TOTAL]]*_1_5412845612146241046457891017[[#This Row],[MARGIN]]</f>
        <v>0</v>
      </c>
      <c r="P908" s="198"/>
      <c r="R908" s="41"/>
    </row>
    <row r="909" spans="4:18">
      <c r="D909" s="188"/>
      <c r="E909" s="42"/>
      <c r="F909" s="168" t="s">
        <v>6202</v>
      </c>
      <c r="G909" s="193">
        <f>IF(_1_5412845612146241046457891017[[#This Row],[Type]]&gt;0,VLOOKUP(_1_5412845612146241046457891017[[#This Row],[Type]],Main[[#All],[TYPE]:[UNIT]],'Unit Price'!C$1,FALSE),0)</f>
        <v>0</v>
      </c>
      <c r="H909" s="197">
        <f>IF(_1_5412845612146241046457891017[[#This Row],[Type]]&gt;0,VLOOKUP(_1_5412845612146241046457891017[[#This Row],[Type]],Main[[#All],[TYPE]:[UNIT]],'Unit Price'!D$1,FALSE),0)</f>
        <v>0</v>
      </c>
      <c r="I909" s="194">
        <f>IF(_1_5412845612146241046457891017[[#This Row],[Type]]&gt;0,VLOOKUP(_1_5412845612146241046457891017[[#This Row],[Type]],Main[[#All],[TYPE]:[UNIT]],'Unit Price'!G$1,FALSE),0)</f>
        <v>0</v>
      </c>
      <c r="J909" s="194">
        <f>IF(_1_5412845612146241046457891017[[#This Row],[Type]]&gt;0,VLOOKUP(_1_5412845612146241046457891017[[#This Row],[Type]],Main[[#All],[TYPE]:[UNIT]],'Unit Price'!H$1,FALSE),0)</f>
        <v>0</v>
      </c>
      <c r="K909" s="194">
        <f>IF(_1_5412845612146241046457891017[[#This Row],[Discount selection]]&gt;0,VLOOKUP(_1_5412845612146241046457891017[[#This Row],[Discount selection]],'Discount Structure'!$A$2:$B$30,2,"false"),0)</f>
        <v>1</v>
      </c>
      <c r="L909" s="194">
        <f>_1_5412845612146241046457891017[[#This Row],[LIST $]]*_1_5412845612146241046457891017[[#This Row],[DISCOUNT]]*_1_5412845612146241046457891017[[#This Row],[DISCOUNT 2]]</f>
        <v>0</v>
      </c>
      <c r="M909" s="194">
        <f>IF(OR(_1_5412845612146241046457891017[[#This Row],[UNIT]]&gt;0,_1_5412845612146241046457891017[[#This Row],[UNIT]]&lt;0),_1_5412845612146241046457891017[[#This Row],[UNIT]]*_1_5412845612146241046457891017[[#This Row],[COST]],0)</f>
        <v>0</v>
      </c>
      <c r="N909" s="194">
        <f t="shared" si="14"/>
        <v>1.35</v>
      </c>
      <c r="O909" s="198">
        <f>_1_5412845612146241046457891017[[#This Row],[TOTAL]]*_1_5412845612146241046457891017[[#This Row],[MARGIN]]</f>
        <v>0</v>
      </c>
      <c r="P909" s="198"/>
      <c r="R909" s="41"/>
    </row>
    <row r="910" spans="4:18">
      <c r="D910" s="188"/>
      <c r="E910" s="42"/>
      <c r="F910" s="168" t="s">
        <v>6202</v>
      </c>
      <c r="G910" s="193">
        <f>IF(_1_5412845612146241046457891017[[#This Row],[Type]]&gt;0,VLOOKUP(_1_5412845612146241046457891017[[#This Row],[Type]],Main[[#All],[TYPE]:[UNIT]],'Unit Price'!C$1,FALSE),0)</f>
        <v>0</v>
      </c>
      <c r="H910" s="197">
        <f>IF(_1_5412845612146241046457891017[[#This Row],[Type]]&gt;0,VLOOKUP(_1_5412845612146241046457891017[[#This Row],[Type]],Main[[#All],[TYPE]:[UNIT]],'Unit Price'!D$1,FALSE),0)</f>
        <v>0</v>
      </c>
      <c r="I910" s="194">
        <f>IF(_1_5412845612146241046457891017[[#This Row],[Type]]&gt;0,VLOOKUP(_1_5412845612146241046457891017[[#This Row],[Type]],Main[[#All],[TYPE]:[UNIT]],'Unit Price'!G$1,FALSE),0)</f>
        <v>0</v>
      </c>
      <c r="J910" s="194">
        <f>IF(_1_5412845612146241046457891017[[#This Row],[Type]]&gt;0,VLOOKUP(_1_5412845612146241046457891017[[#This Row],[Type]],Main[[#All],[TYPE]:[UNIT]],'Unit Price'!H$1,FALSE),0)</f>
        <v>0</v>
      </c>
      <c r="K910" s="194">
        <f>IF(_1_5412845612146241046457891017[[#This Row],[Discount selection]]&gt;0,VLOOKUP(_1_5412845612146241046457891017[[#This Row],[Discount selection]],'Discount Structure'!$A$2:$B$30,2,"false"),0)</f>
        <v>1</v>
      </c>
      <c r="L910" s="194">
        <f>_1_5412845612146241046457891017[[#This Row],[LIST $]]*_1_5412845612146241046457891017[[#This Row],[DISCOUNT]]*_1_5412845612146241046457891017[[#This Row],[DISCOUNT 2]]</f>
        <v>0</v>
      </c>
      <c r="M910" s="194">
        <f>IF(OR(_1_5412845612146241046457891017[[#This Row],[UNIT]]&gt;0,_1_5412845612146241046457891017[[#This Row],[UNIT]]&lt;0),_1_5412845612146241046457891017[[#This Row],[UNIT]]*_1_5412845612146241046457891017[[#This Row],[COST]],0)</f>
        <v>0</v>
      </c>
      <c r="N910" s="194">
        <f t="shared" si="14"/>
        <v>1.35</v>
      </c>
      <c r="O910" s="198">
        <f>_1_5412845612146241046457891017[[#This Row],[TOTAL]]*_1_5412845612146241046457891017[[#This Row],[MARGIN]]</f>
        <v>0</v>
      </c>
      <c r="P910" s="198"/>
      <c r="R910" s="41"/>
    </row>
    <row r="911" spans="4:18">
      <c r="D911" s="188"/>
      <c r="E911" s="42"/>
      <c r="F911" s="168" t="s">
        <v>6202</v>
      </c>
      <c r="G911" s="193">
        <f>IF(_1_5412845612146241046457891017[[#This Row],[Type]]&gt;0,VLOOKUP(_1_5412845612146241046457891017[[#This Row],[Type]],Main[[#All],[TYPE]:[UNIT]],'Unit Price'!C$1,FALSE),0)</f>
        <v>0</v>
      </c>
      <c r="H911" s="197">
        <f>IF(_1_5412845612146241046457891017[[#This Row],[Type]]&gt;0,VLOOKUP(_1_5412845612146241046457891017[[#This Row],[Type]],Main[[#All],[TYPE]:[UNIT]],'Unit Price'!D$1,FALSE),0)</f>
        <v>0</v>
      </c>
      <c r="I911" s="194">
        <f>IF(_1_5412845612146241046457891017[[#This Row],[Type]]&gt;0,VLOOKUP(_1_5412845612146241046457891017[[#This Row],[Type]],Main[[#All],[TYPE]:[UNIT]],'Unit Price'!G$1,FALSE),0)</f>
        <v>0</v>
      </c>
      <c r="J911" s="194">
        <f>IF(_1_5412845612146241046457891017[[#This Row],[Type]]&gt;0,VLOOKUP(_1_5412845612146241046457891017[[#This Row],[Type]],Main[[#All],[TYPE]:[UNIT]],'Unit Price'!H$1,FALSE),0)</f>
        <v>0</v>
      </c>
      <c r="K911" s="194">
        <f>IF(_1_5412845612146241046457891017[[#This Row],[Discount selection]]&gt;0,VLOOKUP(_1_5412845612146241046457891017[[#This Row],[Discount selection]],'Discount Structure'!$A$2:$B$30,2,"false"),0)</f>
        <v>1</v>
      </c>
      <c r="L911" s="194">
        <f>_1_5412845612146241046457891017[[#This Row],[LIST $]]*_1_5412845612146241046457891017[[#This Row],[DISCOUNT]]*_1_5412845612146241046457891017[[#This Row],[DISCOUNT 2]]</f>
        <v>0</v>
      </c>
      <c r="M911" s="194">
        <f>IF(OR(_1_5412845612146241046457891017[[#This Row],[UNIT]]&gt;0,_1_5412845612146241046457891017[[#This Row],[UNIT]]&lt;0),_1_5412845612146241046457891017[[#This Row],[UNIT]]*_1_5412845612146241046457891017[[#This Row],[COST]],0)</f>
        <v>0</v>
      </c>
      <c r="N911" s="194">
        <f t="shared" si="14"/>
        <v>1.35</v>
      </c>
      <c r="O911" s="198">
        <f>_1_5412845612146241046457891017[[#This Row],[TOTAL]]*_1_5412845612146241046457891017[[#This Row],[MARGIN]]</f>
        <v>0</v>
      </c>
      <c r="P911" s="198"/>
      <c r="R911" s="41"/>
    </row>
    <row r="912" spans="4:18">
      <c r="D912" s="188"/>
      <c r="E912" s="42"/>
      <c r="F912" s="168" t="s">
        <v>6202</v>
      </c>
      <c r="G912" s="193">
        <f>IF(_1_5412845612146241046457891017[[#This Row],[Type]]&gt;0,VLOOKUP(_1_5412845612146241046457891017[[#This Row],[Type]],Main[[#All],[TYPE]:[UNIT]],'Unit Price'!C$1,FALSE),0)</f>
        <v>0</v>
      </c>
      <c r="H912" s="197">
        <f>IF(_1_5412845612146241046457891017[[#This Row],[Type]]&gt;0,VLOOKUP(_1_5412845612146241046457891017[[#This Row],[Type]],Main[[#All],[TYPE]:[UNIT]],'Unit Price'!D$1,FALSE),0)</f>
        <v>0</v>
      </c>
      <c r="I912" s="194">
        <f>IF(_1_5412845612146241046457891017[[#This Row],[Type]]&gt;0,VLOOKUP(_1_5412845612146241046457891017[[#This Row],[Type]],Main[[#All],[TYPE]:[UNIT]],'Unit Price'!G$1,FALSE),0)</f>
        <v>0</v>
      </c>
      <c r="J912" s="194">
        <f>IF(_1_5412845612146241046457891017[[#This Row],[Type]]&gt;0,VLOOKUP(_1_5412845612146241046457891017[[#This Row],[Type]],Main[[#All],[TYPE]:[UNIT]],'Unit Price'!H$1,FALSE),0)</f>
        <v>0</v>
      </c>
      <c r="K912" s="194">
        <f>IF(_1_5412845612146241046457891017[[#This Row],[Discount selection]]&gt;0,VLOOKUP(_1_5412845612146241046457891017[[#This Row],[Discount selection]],'Discount Structure'!$A$2:$B$30,2,"false"),0)</f>
        <v>1</v>
      </c>
      <c r="L912" s="194">
        <f>_1_5412845612146241046457891017[[#This Row],[LIST $]]*_1_5412845612146241046457891017[[#This Row],[DISCOUNT]]*_1_5412845612146241046457891017[[#This Row],[DISCOUNT 2]]</f>
        <v>0</v>
      </c>
      <c r="M912" s="194">
        <f>IF(OR(_1_5412845612146241046457891017[[#This Row],[UNIT]]&gt;0,_1_5412845612146241046457891017[[#This Row],[UNIT]]&lt;0),_1_5412845612146241046457891017[[#This Row],[UNIT]]*_1_5412845612146241046457891017[[#This Row],[COST]],0)</f>
        <v>0</v>
      </c>
      <c r="N912" s="194">
        <f t="shared" si="14"/>
        <v>1.35</v>
      </c>
      <c r="O912" s="198">
        <f>_1_5412845612146241046457891017[[#This Row],[TOTAL]]*_1_5412845612146241046457891017[[#This Row],[MARGIN]]</f>
        <v>0</v>
      </c>
      <c r="P912" s="198"/>
      <c r="R912" s="41"/>
    </row>
    <row r="913" spans="4:18">
      <c r="D913" s="188"/>
      <c r="E913" s="42"/>
      <c r="F913" s="168" t="s">
        <v>6202</v>
      </c>
      <c r="G913" s="193">
        <f>IF(_1_5412845612146241046457891017[[#This Row],[Type]]&gt;0,VLOOKUP(_1_5412845612146241046457891017[[#This Row],[Type]],Main[[#All],[TYPE]:[UNIT]],'Unit Price'!C$1,FALSE),0)</f>
        <v>0</v>
      </c>
      <c r="H913" s="197">
        <f>IF(_1_5412845612146241046457891017[[#This Row],[Type]]&gt;0,VLOOKUP(_1_5412845612146241046457891017[[#This Row],[Type]],Main[[#All],[TYPE]:[UNIT]],'Unit Price'!D$1,FALSE),0)</f>
        <v>0</v>
      </c>
      <c r="I913" s="194">
        <f>IF(_1_5412845612146241046457891017[[#This Row],[Type]]&gt;0,VLOOKUP(_1_5412845612146241046457891017[[#This Row],[Type]],Main[[#All],[TYPE]:[UNIT]],'Unit Price'!G$1,FALSE),0)</f>
        <v>0</v>
      </c>
      <c r="J913" s="194">
        <f>IF(_1_5412845612146241046457891017[[#This Row],[Type]]&gt;0,VLOOKUP(_1_5412845612146241046457891017[[#This Row],[Type]],Main[[#All],[TYPE]:[UNIT]],'Unit Price'!H$1,FALSE),0)</f>
        <v>0</v>
      </c>
      <c r="K913" s="194">
        <f>IF(_1_5412845612146241046457891017[[#This Row],[Discount selection]]&gt;0,VLOOKUP(_1_5412845612146241046457891017[[#This Row],[Discount selection]],'Discount Structure'!$A$2:$B$30,2,"false"),0)</f>
        <v>1</v>
      </c>
      <c r="L913" s="194">
        <f>_1_5412845612146241046457891017[[#This Row],[LIST $]]*_1_5412845612146241046457891017[[#This Row],[DISCOUNT]]*_1_5412845612146241046457891017[[#This Row],[DISCOUNT 2]]</f>
        <v>0</v>
      </c>
      <c r="M913" s="194">
        <f>IF(OR(_1_5412845612146241046457891017[[#This Row],[UNIT]]&gt;0,_1_5412845612146241046457891017[[#This Row],[UNIT]]&lt;0),_1_5412845612146241046457891017[[#This Row],[UNIT]]*_1_5412845612146241046457891017[[#This Row],[COST]],0)</f>
        <v>0</v>
      </c>
      <c r="N913" s="194">
        <f t="shared" si="14"/>
        <v>1.35</v>
      </c>
      <c r="O913" s="198">
        <f>_1_5412845612146241046457891017[[#This Row],[TOTAL]]*_1_5412845612146241046457891017[[#This Row],[MARGIN]]</f>
        <v>0</v>
      </c>
      <c r="P913" s="198"/>
      <c r="R913" s="41"/>
    </row>
    <row r="914" spans="4:18">
      <c r="D914" s="188"/>
      <c r="E914" s="42"/>
      <c r="F914" s="168" t="s">
        <v>6202</v>
      </c>
      <c r="G914" s="193">
        <f>IF(_1_5412845612146241046457891017[[#This Row],[Type]]&gt;0,VLOOKUP(_1_5412845612146241046457891017[[#This Row],[Type]],Main[[#All],[TYPE]:[UNIT]],'Unit Price'!C$1,FALSE),0)</f>
        <v>0</v>
      </c>
      <c r="H914" s="197">
        <f>IF(_1_5412845612146241046457891017[[#This Row],[Type]]&gt;0,VLOOKUP(_1_5412845612146241046457891017[[#This Row],[Type]],Main[[#All],[TYPE]:[UNIT]],'Unit Price'!D$1,FALSE),0)</f>
        <v>0</v>
      </c>
      <c r="I914" s="194">
        <f>IF(_1_5412845612146241046457891017[[#This Row],[Type]]&gt;0,VLOOKUP(_1_5412845612146241046457891017[[#This Row],[Type]],Main[[#All],[TYPE]:[UNIT]],'Unit Price'!G$1,FALSE),0)</f>
        <v>0</v>
      </c>
      <c r="J914" s="194">
        <f>IF(_1_5412845612146241046457891017[[#This Row],[Type]]&gt;0,VLOOKUP(_1_5412845612146241046457891017[[#This Row],[Type]],Main[[#All],[TYPE]:[UNIT]],'Unit Price'!H$1,FALSE),0)</f>
        <v>0</v>
      </c>
      <c r="K914" s="194">
        <f>IF(_1_5412845612146241046457891017[[#This Row],[Discount selection]]&gt;0,VLOOKUP(_1_5412845612146241046457891017[[#This Row],[Discount selection]],'Discount Structure'!$A$2:$B$30,2,"false"),0)</f>
        <v>1</v>
      </c>
      <c r="L914" s="194">
        <f>_1_5412845612146241046457891017[[#This Row],[LIST $]]*_1_5412845612146241046457891017[[#This Row],[DISCOUNT]]*_1_5412845612146241046457891017[[#This Row],[DISCOUNT 2]]</f>
        <v>0</v>
      </c>
      <c r="M914" s="194">
        <f>IF(OR(_1_5412845612146241046457891017[[#This Row],[UNIT]]&gt;0,_1_5412845612146241046457891017[[#This Row],[UNIT]]&lt;0),_1_5412845612146241046457891017[[#This Row],[UNIT]]*_1_5412845612146241046457891017[[#This Row],[COST]],0)</f>
        <v>0</v>
      </c>
      <c r="N914" s="194">
        <f t="shared" si="14"/>
        <v>1.35</v>
      </c>
      <c r="O914" s="198">
        <f>_1_5412845612146241046457891017[[#This Row],[TOTAL]]*_1_5412845612146241046457891017[[#This Row],[MARGIN]]</f>
        <v>0</v>
      </c>
      <c r="P914" s="198"/>
      <c r="R914" s="41"/>
    </row>
    <row r="915" spans="4:18">
      <c r="D915" s="188"/>
      <c r="E915" s="42"/>
      <c r="F915" s="168" t="s">
        <v>6202</v>
      </c>
      <c r="G915" s="193">
        <f>IF(_1_5412845612146241046457891017[[#This Row],[Type]]&gt;0,VLOOKUP(_1_5412845612146241046457891017[[#This Row],[Type]],Main[[#All],[TYPE]:[UNIT]],'Unit Price'!C$1,FALSE),0)</f>
        <v>0</v>
      </c>
      <c r="H915" s="197">
        <f>IF(_1_5412845612146241046457891017[[#This Row],[Type]]&gt;0,VLOOKUP(_1_5412845612146241046457891017[[#This Row],[Type]],Main[[#All],[TYPE]:[UNIT]],'Unit Price'!D$1,FALSE),0)</f>
        <v>0</v>
      </c>
      <c r="I915" s="194">
        <f>IF(_1_5412845612146241046457891017[[#This Row],[Type]]&gt;0,VLOOKUP(_1_5412845612146241046457891017[[#This Row],[Type]],Main[[#All],[TYPE]:[UNIT]],'Unit Price'!G$1,FALSE),0)</f>
        <v>0</v>
      </c>
      <c r="J915" s="194">
        <f>IF(_1_5412845612146241046457891017[[#This Row],[Type]]&gt;0,VLOOKUP(_1_5412845612146241046457891017[[#This Row],[Type]],Main[[#All],[TYPE]:[UNIT]],'Unit Price'!H$1,FALSE),0)</f>
        <v>0</v>
      </c>
      <c r="K915" s="194">
        <f>IF(_1_5412845612146241046457891017[[#This Row],[Discount selection]]&gt;0,VLOOKUP(_1_5412845612146241046457891017[[#This Row],[Discount selection]],'Discount Structure'!$A$2:$B$30,2,"false"),0)</f>
        <v>1</v>
      </c>
      <c r="L915" s="194">
        <f>_1_5412845612146241046457891017[[#This Row],[LIST $]]*_1_5412845612146241046457891017[[#This Row],[DISCOUNT]]*_1_5412845612146241046457891017[[#This Row],[DISCOUNT 2]]</f>
        <v>0</v>
      </c>
      <c r="M915" s="194">
        <f>IF(OR(_1_5412845612146241046457891017[[#This Row],[UNIT]]&gt;0,_1_5412845612146241046457891017[[#This Row],[UNIT]]&lt;0),_1_5412845612146241046457891017[[#This Row],[UNIT]]*_1_5412845612146241046457891017[[#This Row],[COST]],0)</f>
        <v>0</v>
      </c>
      <c r="N915" s="194">
        <f t="shared" si="14"/>
        <v>1.35</v>
      </c>
      <c r="O915" s="198">
        <f>_1_5412845612146241046457891017[[#This Row],[TOTAL]]*_1_5412845612146241046457891017[[#This Row],[MARGIN]]</f>
        <v>0</v>
      </c>
      <c r="P915" s="198"/>
      <c r="R915" s="41"/>
    </row>
    <row r="916" spans="4:18">
      <c r="D916" s="188"/>
      <c r="E916" s="42"/>
      <c r="F916" s="168" t="s">
        <v>6202</v>
      </c>
      <c r="G916" s="193">
        <f>IF(_1_5412845612146241046457891017[[#This Row],[Type]]&gt;0,VLOOKUP(_1_5412845612146241046457891017[[#This Row],[Type]],Main[[#All],[TYPE]:[UNIT]],'Unit Price'!C$1,FALSE),0)</f>
        <v>0</v>
      </c>
      <c r="H916" s="197">
        <f>IF(_1_5412845612146241046457891017[[#This Row],[Type]]&gt;0,VLOOKUP(_1_5412845612146241046457891017[[#This Row],[Type]],Main[[#All],[TYPE]:[UNIT]],'Unit Price'!D$1,FALSE),0)</f>
        <v>0</v>
      </c>
      <c r="I916" s="194">
        <f>IF(_1_5412845612146241046457891017[[#This Row],[Type]]&gt;0,VLOOKUP(_1_5412845612146241046457891017[[#This Row],[Type]],Main[[#All],[TYPE]:[UNIT]],'Unit Price'!G$1,FALSE),0)</f>
        <v>0</v>
      </c>
      <c r="J916" s="194">
        <f>IF(_1_5412845612146241046457891017[[#This Row],[Type]]&gt;0,VLOOKUP(_1_5412845612146241046457891017[[#This Row],[Type]],Main[[#All],[TYPE]:[UNIT]],'Unit Price'!H$1,FALSE),0)</f>
        <v>0</v>
      </c>
      <c r="K916" s="194">
        <f>IF(_1_5412845612146241046457891017[[#This Row],[Discount selection]]&gt;0,VLOOKUP(_1_5412845612146241046457891017[[#This Row],[Discount selection]],'Discount Structure'!$A$2:$B$30,2,"false"),0)</f>
        <v>1</v>
      </c>
      <c r="L916" s="194">
        <f>_1_5412845612146241046457891017[[#This Row],[LIST $]]*_1_5412845612146241046457891017[[#This Row],[DISCOUNT]]*_1_5412845612146241046457891017[[#This Row],[DISCOUNT 2]]</f>
        <v>0</v>
      </c>
      <c r="M916" s="194">
        <f>IF(OR(_1_5412845612146241046457891017[[#This Row],[UNIT]]&gt;0,_1_5412845612146241046457891017[[#This Row],[UNIT]]&lt;0),_1_5412845612146241046457891017[[#This Row],[UNIT]]*_1_5412845612146241046457891017[[#This Row],[COST]],0)</f>
        <v>0</v>
      </c>
      <c r="N916" s="194">
        <f t="shared" si="14"/>
        <v>1.35</v>
      </c>
      <c r="O916" s="198">
        <f>_1_5412845612146241046457891017[[#This Row],[TOTAL]]*_1_5412845612146241046457891017[[#This Row],[MARGIN]]</f>
        <v>0</v>
      </c>
      <c r="P916" s="198"/>
      <c r="R916" s="41"/>
    </row>
    <row r="917" spans="4:18">
      <c r="D917" s="188"/>
      <c r="E917" s="42"/>
      <c r="F917" s="168" t="s">
        <v>6202</v>
      </c>
      <c r="G917" s="193">
        <f>IF(_1_5412845612146241046457891017[[#This Row],[Type]]&gt;0,VLOOKUP(_1_5412845612146241046457891017[[#This Row],[Type]],Main[[#All],[TYPE]:[UNIT]],'Unit Price'!C$1,FALSE),0)</f>
        <v>0</v>
      </c>
      <c r="H917" s="197">
        <f>IF(_1_5412845612146241046457891017[[#This Row],[Type]]&gt;0,VLOOKUP(_1_5412845612146241046457891017[[#This Row],[Type]],Main[[#All],[TYPE]:[UNIT]],'Unit Price'!D$1,FALSE),0)</f>
        <v>0</v>
      </c>
      <c r="I917" s="194">
        <f>IF(_1_5412845612146241046457891017[[#This Row],[Type]]&gt;0,VLOOKUP(_1_5412845612146241046457891017[[#This Row],[Type]],Main[[#All],[TYPE]:[UNIT]],'Unit Price'!G$1,FALSE),0)</f>
        <v>0</v>
      </c>
      <c r="J917" s="194">
        <f>IF(_1_5412845612146241046457891017[[#This Row],[Type]]&gt;0,VLOOKUP(_1_5412845612146241046457891017[[#This Row],[Type]],Main[[#All],[TYPE]:[UNIT]],'Unit Price'!H$1,FALSE),0)</f>
        <v>0</v>
      </c>
      <c r="K917" s="194">
        <f>IF(_1_5412845612146241046457891017[[#This Row],[Discount selection]]&gt;0,VLOOKUP(_1_5412845612146241046457891017[[#This Row],[Discount selection]],'Discount Structure'!$A$2:$B$30,2,"false"),0)</f>
        <v>1</v>
      </c>
      <c r="L917" s="194">
        <f>_1_5412845612146241046457891017[[#This Row],[LIST $]]*_1_5412845612146241046457891017[[#This Row],[DISCOUNT]]*_1_5412845612146241046457891017[[#This Row],[DISCOUNT 2]]</f>
        <v>0</v>
      </c>
      <c r="M917" s="194">
        <f>IF(OR(_1_5412845612146241046457891017[[#This Row],[UNIT]]&gt;0,_1_5412845612146241046457891017[[#This Row],[UNIT]]&lt;0),_1_5412845612146241046457891017[[#This Row],[UNIT]]*_1_5412845612146241046457891017[[#This Row],[COST]],0)</f>
        <v>0</v>
      </c>
      <c r="N917" s="194">
        <f t="shared" si="14"/>
        <v>1.35</v>
      </c>
      <c r="O917" s="198">
        <f>_1_5412845612146241046457891017[[#This Row],[TOTAL]]*_1_5412845612146241046457891017[[#This Row],[MARGIN]]</f>
        <v>0</v>
      </c>
      <c r="P917" s="198"/>
      <c r="R917" s="41"/>
    </row>
    <row r="918" spans="4:18">
      <c r="D918" s="188"/>
      <c r="E918" s="42"/>
      <c r="F918" s="168" t="s">
        <v>6202</v>
      </c>
      <c r="G918" s="193">
        <f>IF(_1_5412845612146241046457891017[[#This Row],[Type]]&gt;0,VLOOKUP(_1_5412845612146241046457891017[[#This Row],[Type]],Main[[#All],[TYPE]:[UNIT]],'Unit Price'!C$1,FALSE),0)</f>
        <v>0</v>
      </c>
      <c r="H918" s="197">
        <f>IF(_1_5412845612146241046457891017[[#This Row],[Type]]&gt;0,VLOOKUP(_1_5412845612146241046457891017[[#This Row],[Type]],Main[[#All],[TYPE]:[UNIT]],'Unit Price'!D$1,FALSE),0)</f>
        <v>0</v>
      </c>
      <c r="I918" s="194">
        <f>IF(_1_5412845612146241046457891017[[#This Row],[Type]]&gt;0,VLOOKUP(_1_5412845612146241046457891017[[#This Row],[Type]],Main[[#All],[TYPE]:[UNIT]],'Unit Price'!G$1,FALSE),0)</f>
        <v>0</v>
      </c>
      <c r="J918" s="194">
        <f>IF(_1_5412845612146241046457891017[[#This Row],[Type]]&gt;0,VLOOKUP(_1_5412845612146241046457891017[[#This Row],[Type]],Main[[#All],[TYPE]:[UNIT]],'Unit Price'!H$1,FALSE),0)</f>
        <v>0</v>
      </c>
      <c r="K918" s="194">
        <f>IF(_1_5412845612146241046457891017[[#This Row],[Discount selection]]&gt;0,VLOOKUP(_1_5412845612146241046457891017[[#This Row],[Discount selection]],'Discount Structure'!$A$2:$B$30,2,"false"),0)</f>
        <v>1</v>
      </c>
      <c r="L918" s="194">
        <f>_1_5412845612146241046457891017[[#This Row],[LIST $]]*_1_5412845612146241046457891017[[#This Row],[DISCOUNT]]*_1_5412845612146241046457891017[[#This Row],[DISCOUNT 2]]</f>
        <v>0</v>
      </c>
      <c r="M918" s="194">
        <f>IF(OR(_1_5412845612146241046457891017[[#This Row],[UNIT]]&gt;0,_1_5412845612146241046457891017[[#This Row],[UNIT]]&lt;0),_1_5412845612146241046457891017[[#This Row],[UNIT]]*_1_5412845612146241046457891017[[#This Row],[COST]],0)</f>
        <v>0</v>
      </c>
      <c r="N918" s="194">
        <f t="shared" si="14"/>
        <v>1.35</v>
      </c>
      <c r="O918" s="198">
        <f>_1_5412845612146241046457891017[[#This Row],[TOTAL]]*_1_5412845612146241046457891017[[#This Row],[MARGIN]]</f>
        <v>0</v>
      </c>
      <c r="P918" s="198"/>
      <c r="R918" s="41"/>
    </row>
    <row r="919" spans="4:18">
      <c r="D919" s="188"/>
      <c r="E919" s="42"/>
      <c r="F919" s="168" t="s">
        <v>6202</v>
      </c>
      <c r="G919" s="193">
        <f>IF(_1_5412845612146241046457891017[[#This Row],[Type]]&gt;0,VLOOKUP(_1_5412845612146241046457891017[[#This Row],[Type]],Main[[#All],[TYPE]:[UNIT]],'Unit Price'!C$1,FALSE),0)</f>
        <v>0</v>
      </c>
      <c r="H919" s="197">
        <f>IF(_1_5412845612146241046457891017[[#This Row],[Type]]&gt;0,VLOOKUP(_1_5412845612146241046457891017[[#This Row],[Type]],Main[[#All],[TYPE]:[UNIT]],'Unit Price'!D$1,FALSE),0)</f>
        <v>0</v>
      </c>
      <c r="I919" s="194">
        <f>IF(_1_5412845612146241046457891017[[#This Row],[Type]]&gt;0,VLOOKUP(_1_5412845612146241046457891017[[#This Row],[Type]],Main[[#All],[TYPE]:[UNIT]],'Unit Price'!G$1,FALSE),0)</f>
        <v>0</v>
      </c>
      <c r="J919" s="194">
        <f>IF(_1_5412845612146241046457891017[[#This Row],[Type]]&gt;0,VLOOKUP(_1_5412845612146241046457891017[[#This Row],[Type]],Main[[#All],[TYPE]:[UNIT]],'Unit Price'!H$1,FALSE),0)</f>
        <v>0</v>
      </c>
      <c r="K919" s="194">
        <f>IF(_1_5412845612146241046457891017[[#This Row],[Discount selection]]&gt;0,VLOOKUP(_1_5412845612146241046457891017[[#This Row],[Discount selection]],'Discount Structure'!$A$2:$B$30,2,"false"),0)</f>
        <v>1</v>
      </c>
      <c r="L919" s="194">
        <f>_1_5412845612146241046457891017[[#This Row],[LIST $]]*_1_5412845612146241046457891017[[#This Row],[DISCOUNT]]*_1_5412845612146241046457891017[[#This Row],[DISCOUNT 2]]</f>
        <v>0</v>
      </c>
      <c r="M919" s="194">
        <f>IF(OR(_1_5412845612146241046457891017[[#This Row],[UNIT]]&gt;0,_1_5412845612146241046457891017[[#This Row],[UNIT]]&lt;0),_1_5412845612146241046457891017[[#This Row],[UNIT]]*_1_5412845612146241046457891017[[#This Row],[COST]],0)</f>
        <v>0</v>
      </c>
      <c r="N919" s="194">
        <f t="shared" si="14"/>
        <v>1.35</v>
      </c>
      <c r="O919" s="198">
        <f>_1_5412845612146241046457891017[[#This Row],[TOTAL]]*_1_5412845612146241046457891017[[#This Row],[MARGIN]]</f>
        <v>0</v>
      </c>
      <c r="P919" s="198"/>
      <c r="R919" s="41"/>
    </row>
    <row r="920" spans="4:18">
      <c r="D920" s="188"/>
      <c r="E920" s="42"/>
      <c r="F920" s="168" t="s">
        <v>6202</v>
      </c>
      <c r="G920" s="193">
        <f>IF(_1_5412845612146241046457891017[[#This Row],[Type]]&gt;0,VLOOKUP(_1_5412845612146241046457891017[[#This Row],[Type]],Main[[#All],[TYPE]:[UNIT]],'Unit Price'!C$1,FALSE),0)</f>
        <v>0</v>
      </c>
      <c r="H920" s="197">
        <f>IF(_1_5412845612146241046457891017[[#This Row],[Type]]&gt;0,VLOOKUP(_1_5412845612146241046457891017[[#This Row],[Type]],Main[[#All],[TYPE]:[UNIT]],'Unit Price'!D$1,FALSE),0)</f>
        <v>0</v>
      </c>
      <c r="I920" s="194">
        <f>IF(_1_5412845612146241046457891017[[#This Row],[Type]]&gt;0,VLOOKUP(_1_5412845612146241046457891017[[#This Row],[Type]],Main[[#All],[TYPE]:[UNIT]],'Unit Price'!G$1,FALSE),0)</f>
        <v>0</v>
      </c>
      <c r="J920" s="194">
        <f>IF(_1_5412845612146241046457891017[[#This Row],[Type]]&gt;0,VLOOKUP(_1_5412845612146241046457891017[[#This Row],[Type]],Main[[#All],[TYPE]:[UNIT]],'Unit Price'!H$1,FALSE),0)</f>
        <v>0</v>
      </c>
      <c r="K920" s="194">
        <f>IF(_1_5412845612146241046457891017[[#This Row],[Discount selection]]&gt;0,VLOOKUP(_1_5412845612146241046457891017[[#This Row],[Discount selection]],'Discount Structure'!$A$2:$B$30,2,"false"),0)</f>
        <v>1</v>
      </c>
      <c r="L920" s="194">
        <f>_1_5412845612146241046457891017[[#This Row],[LIST $]]*_1_5412845612146241046457891017[[#This Row],[DISCOUNT]]*_1_5412845612146241046457891017[[#This Row],[DISCOUNT 2]]</f>
        <v>0</v>
      </c>
      <c r="M920" s="194">
        <f>IF(OR(_1_5412845612146241046457891017[[#This Row],[UNIT]]&gt;0,_1_5412845612146241046457891017[[#This Row],[UNIT]]&lt;0),_1_5412845612146241046457891017[[#This Row],[UNIT]]*_1_5412845612146241046457891017[[#This Row],[COST]],0)</f>
        <v>0</v>
      </c>
      <c r="N920" s="194">
        <f t="shared" si="14"/>
        <v>1.35</v>
      </c>
      <c r="O920" s="198">
        <f>_1_5412845612146241046457891017[[#This Row],[TOTAL]]*_1_5412845612146241046457891017[[#This Row],[MARGIN]]</f>
        <v>0</v>
      </c>
      <c r="P920" s="198"/>
      <c r="R920" s="41"/>
    </row>
    <row r="921" spans="4:18">
      <c r="D921" s="188"/>
      <c r="E921" s="42"/>
      <c r="F921" s="168" t="s">
        <v>6202</v>
      </c>
      <c r="G921" s="193">
        <f>IF(_1_5412845612146241046457891017[[#This Row],[Type]]&gt;0,VLOOKUP(_1_5412845612146241046457891017[[#This Row],[Type]],Main[[#All],[TYPE]:[UNIT]],'Unit Price'!C$1,FALSE),0)</f>
        <v>0</v>
      </c>
      <c r="H921" s="197">
        <f>IF(_1_5412845612146241046457891017[[#This Row],[Type]]&gt;0,VLOOKUP(_1_5412845612146241046457891017[[#This Row],[Type]],Main[[#All],[TYPE]:[UNIT]],'Unit Price'!D$1,FALSE),0)</f>
        <v>0</v>
      </c>
      <c r="I921" s="194">
        <f>IF(_1_5412845612146241046457891017[[#This Row],[Type]]&gt;0,VLOOKUP(_1_5412845612146241046457891017[[#This Row],[Type]],Main[[#All],[TYPE]:[UNIT]],'Unit Price'!G$1,FALSE),0)</f>
        <v>0</v>
      </c>
      <c r="J921" s="194">
        <f>IF(_1_5412845612146241046457891017[[#This Row],[Type]]&gt;0,VLOOKUP(_1_5412845612146241046457891017[[#This Row],[Type]],Main[[#All],[TYPE]:[UNIT]],'Unit Price'!H$1,FALSE),0)</f>
        <v>0</v>
      </c>
      <c r="K921" s="194">
        <f>IF(_1_5412845612146241046457891017[[#This Row],[Discount selection]]&gt;0,VLOOKUP(_1_5412845612146241046457891017[[#This Row],[Discount selection]],'Discount Structure'!$A$2:$B$30,2,"false"),0)</f>
        <v>1</v>
      </c>
      <c r="L921" s="194">
        <f>_1_5412845612146241046457891017[[#This Row],[LIST $]]*_1_5412845612146241046457891017[[#This Row],[DISCOUNT]]*_1_5412845612146241046457891017[[#This Row],[DISCOUNT 2]]</f>
        <v>0</v>
      </c>
      <c r="M921" s="194">
        <f>IF(OR(_1_5412845612146241046457891017[[#This Row],[UNIT]]&gt;0,_1_5412845612146241046457891017[[#This Row],[UNIT]]&lt;0),_1_5412845612146241046457891017[[#This Row],[UNIT]]*_1_5412845612146241046457891017[[#This Row],[COST]],0)</f>
        <v>0</v>
      </c>
      <c r="N921" s="194">
        <f t="shared" si="14"/>
        <v>1.35</v>
      </c>
      <c r="O921" s="198">
        <f>_1_5412845612146241046457891017[[#This Row],[TOTAL]]*_1_5412845612146241046457891017[[#This Row],[MARGIN]]</f>
        <v>0</v>
      </c>
      <c r="P921" s="198"/>
      <c r="R921" s="41"/>
    </row>
    <row r="922" spans="4:18">
      <c r="D922" s="188"/>
      <c r="E922" s="42"/>
      <c r="F922" s="168" t="s">
        <v>6202</v>
      </c>
      <c r="G922" s="193">
        <f>IF(_1_5412845612146241046457891017[[#This Row],[Type]]&gt;0,VLOOKUP(_1_5412845612146241046457891017[[#This Row],[Type]],Main[[#All],[TYPE]:[UNIT]],'Unit Price'!C$1,FALSE),0)</f>
        <v>0</v>
      </c>
      <c r="H922" s="197">
        <f>IF(_1_5412845612146241046457891017[[#This Row],[Type]]&gt;0,VLOOKUP(_1_5412845612146241046457891017[[#This Row],[Type]],Main[[#All],[TYPE]:[UNIT]],'Unit Price'!D$1,FALSE),0)</f>
        <v>0</v>
      </c>
      <c r="I922" s="194">
        <f>IF(_1_5412845612146241046457891017[[#This Row],[Type]]&gt;0,VLOOKUP(_1_5412845612146241046457891017[[#This Row],[Type]],Main[[#All],[TYPE]:[UNIT]],'Unit Price'!G$1,FALSE),0)</f>
        <v>0</v>
      </c>
      <c r="J922" s="194">
        <f>IF(_1_5412845612146241046457891017[[#This Row],[Type]]&gt;0,VLOOKUP(_1_5412845612146241046457891017[[#This Row],[Type]],Main[[#All],[TYPE]:[UNIT]],'Unit Price'!H$1,FALSE),0)</f>
        <v>0</v>
      </c>
      <c r="K922" s="194">
        <f>IF(_1_5412845612146241046457891017[[#This Row],[Discount selection]]&gt;0,VLOOKUP(_1_5412845612146241046457891017[[#This Row],[Discount selection]],'Discount Structure'!$A$2:$B$30,2,"false"),0)</f>
        <v>1</v>
      </c>
      <c r="L922" s="194">
        <f>_1_5412845612146241046457891017[[#This Row],[LIST $]]*_1_5412845612146241046457891017[[#This Row],[DISCOUNT]]*_1_5412845612146241046457891017[[#This Row],[DISCOUNT 2]]</f>
        <v>0</v>
      </c>
      <c r="M922" s="194">
        <f>IF(OR(_1_5412845612146241046457891017[[#This Row],[UNIT]]&gt;0,_1_5412845612146241046457891017[[#This Row],[UNIT]]&lt;0),_1_5412845612146241046457891017[[#This Row],[UNIT]]*_1_5412845612146241046457891017[[#This Row],[COST]],0)</f>
        <v>0</v>
      </c>
      <c r="N922" s="194">
        <f t="shared" si="14"/>
        <v>1.35</v>
      </c>
      <c r="O922" s="198">
        <f>_1_5412845612146241046457891017[[#This Row],[TOTAL]]*_1_5412845612146241046457891017[[#This Row],[MARGIN]]</f>
        <v>0</v>
      </c>
      <c r="P922" s="198"/>
      <c r="R922" s="41"/>
    </row>
    <row r="923" spans="4:18">
      <c r="D923" s="188"/>
      <c r="E923" s="42"/>
      <c r="F923" s="168" t="s">
        <v>6202</v>
      </c>
      <c r="G923" s="193">
        <f>IF(_1_5412845612146241046457891017[[#This Row],[Type]]&gt;0,VLOOKUP(_1_5412845612146241046457891017[[#This Row],[Type]],Main[[#All],[TYPE]:[UNIT]],'Unit Price'!C$1,FALSE),0)</f>
        <v>0</v>
      </c>
      <c r="H923" s="197">
        <f>IF(_1_5412845612146241046457891017[[#This Row],[Type]]&gt;0,VLOOKUP(_1_5412845612146241046457891017[[#This Row],[Type]],Main[[#All],[TYPE]:[UNIT]],'Unit Price'!D$1,FALSE),0)</f>
        <v>0</v>
      </c>
      <c r="I923" s="194">
        <f>IF(_1_5412845612146241046457891017[[#This Row],[Type]]&gt;0,VLOOKUP(_1_5412845612146241046457891017[[#This Row],[Type]],Main[[#All],[TYPE]:[UNIT]],'Unit Price'!G$1,FALSE),0)</f>
        <v>0</v>
      </c>
      <c r="J923" s="194">
        <f>IF(_1_5412845612146241046457891017[[#This Row],[Type]]&gt;0,VLOOKUP(_1_5412845612146241046457891017[[#This Row],[Type]],Main[[#All],[TYPE]:[UNIT]],'Unit Price'!H$1,FALSE),0)</f>
        <v>0</v>
      </c>
      <c r="K923" s="194">
        <f>IF(_1_5412845612146241046457891017[[#This Row],[Discount selection]]&gt;0,VLOOKUP(_1_5412845612146241046457891017[[#This Row],[Discount selection]],'Discount Structure'!$A$2:$B$30,2,"false"),0)</f>
        <v>1</v>
      </c>
      <c r="L923" s="194">
        <f>_1_5412845612146241046457891017[[#This Row],[LIST $]]*_1_5412845612146241046457891017[[#This Row],[DISCOUNT]]*_1_5412845612146241046457891017[[#This Row],[DISCOUNT 2]]</f>
        <v>0</v>
      </c>
      <c r="M923" s="194">
        <f>IF(OR(_1_5412845612146241046457891017[[#This Row],[UNIT]]&gt;0,_1_5412845612146241046457891017[[#This Row],[UNIT]]&lt;0),_1_5412845612146241046457891017[[#This Row],[UNIT]]*_1_5412845612146241046457891017[[#This Row],[COST]],0)</f>
        <v>0</v>
      </c>
      <c r="N923" s="194">
        <f t="shared" si="14"/>
        <v>1.35</v>
      </c>
      <c r="O923" s="198">
        <f>_1_5412845612146241046457891017[[#This Row],[TOTAL]]*_1_5412845612146241046457891017[[#This Row],[MARGIN]]</f>
        <v>0</v>
      </c>
      <c r="P923" s="198"/>
      <c r="R923" s="41"/>
    </row>
    <row r="924" spans="4:18">
      <c r="D924" s="188"/>
      <c r="E924" s="42"/>
      <c r="F924" s="168" t="s">
        <v>6202</v>
      </c>
      <c r="G924" s="193">
        <f>IF(_1_5412845612146241046457891017[[#This Row],[Type]]&gt;0,VLOOKUP(_1_5412845612146241046457891017[[#This Row],[Type]],Main[[#All],[TYPE]:[UNIT]],'Unit Price'!C$1,FALSE),0)</f>
        <v>0</v>
      </c>
      <c r="H924" s="197">
        <f>IF(_1_5412845612146241046457891017[[#This Row],[Type]]&gt;0,VLOOKUP(_1_5412845612146241046457891017[[#This Row],[Type]],Main[[#All],[TYPE]:[UNIT]],'Unit Price'!D$1,FALSE),0)</f>
        <v>0</v>
      </c>
      <c r="I924" s="194">
        <f>IF(_1_5412845612146241046457891017[[#This Row],[Type]]&gt;0,VLOOKUP(_1_5412845612146241046457891017[[#This Row],[Type]],Main[[#All],[TYPE]:[UNIT]],'Unit Price'!G$1,FALSE),0)</f>
        <v>0</v>
      </c>
      <c r="J924" s="194">
        <f>IF(_1_5412845612146241046457891017[[#This Row],[Type]]&gt;0,VLOOKUP(_1_5412845612146241046457891017[[#This Row],[Type]],Main[[#All],[TYPE]:[UNIT]],'Unit Price'!H$1,FALSE),0)</f>
        <v>0</v>
      </c>
      <c r="K924" s="194">
        <f>IF(_1_5412845612146241046457891017[[#This Row],[Discount selection]]&gt;0,VLOOKUP(_1_5412845612146241046457891017[[#This Row],[Discount selection]],'Discount Structure'!$A$2:$B$30,2,"false"),0)</f>
        <v>1</v>
      </c>
      <c r="L924" s="194">
        <f>_1_5412845612146241046457891017[[#This Row],[LIST $]]*_1_5412845612146241046457891017[[#This Row],[DISCOUNT]]*_1_5412845612146241046457891017[[#This Row],[DISCOUNT 2]]</f>
        <v>0</v>
      </c>
      <c r="M924" s="194">
        <f>IF(OR(_1_5412845612146241046457891017[[#This Row],[UNIT]]&gt;0,_1_5412845612146241046457891017[[#This Row],[UNIT]]&lt;0),_1_5412845612146241046457891017[[#This Row],[UNIT]]*_1_5412845612146241046457891017[[#This Row],[COST]],0)</f>
        <v>0</v>
      </c>
      <c r="N924" s="194">
        <f t="shared" si="14"/>
        <v>1.35</v>
      </c>
      <c r="O924" s="198">
        <f>_1_5412845612146241046457891017[[#This Row],[TOTAL]]*_1_5412845612146241046457891017[[#This Row],[MARGIN]]</f>
        <v>0</v>
      </c>
      <c r="P924" s="198"/>
      <c r="R924" s="41"/>
    </row>
    <row r="925" spans="4:18">
      <c r="D925" s="188"/>
      <c r="E925" s="42"/>
      <c r="F925" s="168" t="s">
        <v>6202</v>
      </c>
      <c r="G925" s="193">
        <f>IF(_1_5412845612146241046457891017[[#This Row],[Type]]&gt;0,VLOOKUP(_1_5412845612146241046457891017[[#This Row],[Type]],Main[[#All],[TYPE]:[UNIT]],'Unit Price'!C$1,FALSE),0)</f>
        <v>0</v>
      </c>
      <c r="H925" s="197">
        <f>IF(_1_5412845612146241046457891017[[#This Row],[Type]]&gt;0,VLOOKUP(_1_5412845612146241046457891017[[#This Row],[Type]],Main[[#All],[TYPE]:[UNIT]],'Unit Price'!D$1,FALSE),0)</f>
        <v>0</v>
      </c>
      <c r="I925" s="194">
        <f>IF(_1_5412845612146241046457891017[[#This Row],[Type]]&gt;0,VLOOKUP(_1_5412845612146241046457891017[[#This Row],[Type]],Main[[#All],[TYPE]:[UNIT]],'Unit Price'!G$1,FALSE),0)</f>
        <v>0</v>
      </c>
      <c r="J925" s="194">
        <f>IF(_1_5412845612146241046457891017[[#This Row],[Type]]&gt;0,VLOOKUP(_1_5412845612146241046457891017[[#This Row],[Type]],Main[[#All],[TYPE]:[UNIT]],'Unit Price'!H$1,FALSE),0)</f>
        <v>0</v>
      </c>
      <c r="K925" s="194">
        <f>IF(_1_5412845612146241046457891017[[#This Row],[Discount selection]]&gt;0,VLOOKUP(_1_5412845612146241046457891017[[#This Row],[Discount selection]],'Discount Structure'!$A$2:$B$30,2,"false"),0)</f>
        <v>1</v>
      </c>
      <c r="L925" s="194">
        <f>_1_5412845612146241046457891017[[#This Row],[LIST $]]*_1_5412845612146241046457891017[[#This Row],[DISCOUNT]]*_1_5412845612146241046457891017[[#This Row],[DISCOUNT 2]]</f>
        <v>0</v>
      </c>
      <c r="M925" s="194">
        <f>IF(OR(_1_5412845612146241046457891017[[#This Row],[UNIT]]&gt;0,_1_5412845612146241046457891017[[#This Row],[UNIT]]&lt;0),_1_5412845612146241046457891017[[#This Row],[UNIT]]*_1_5412845612146241046457891017[[#This Row],[COST]],0)</f>
        <v>0</v>
      </c>
      <c r="N925" s="194">
        <f t="shared" si="14"/>
        <v>1.35</v>
      </c>
      <c r="O925" s="198">
        <f>_1_5412845612146241046457891017[[#This Row],[TOTAL]]*_1_5412845612146241046457891017[[#This Row],[MARGIN]]</f>
        <v>0</v>
      </c>
      <c r="P925" s="198"/>
      <c r="R925" s="41"/>
    </row>
    <row r="926" spans="4:18">
      <c r="D926" s="188"/>
      <c r="E926" s="42"/>
      <c r="F926" s="168" t="s">
        <v>6202</v>
      </c>
      <c r="G926" s="193">
        <f>IF(_1_5412845612146241046457891017[[#This Row],[Type]]&gt;0,VLOOKUP(_1_5412845612146241046457891017[[#This Row],[Type]],Main[[#All],[TYPE]:[UNIT]],'Unit Price'!C$1,FALSE),0)</f>
        <v>0</v>
      </c>
      <c r="H926" s="197">
        <f>IF(_1_5412845612146241046457891017[[#This Row],[Type]]&gt;0,VLOOKUP(_1_5412845612146241046457891017[[#This Row],[Type]],Main[[#All],[TYPE]:[UNIT]],'Unit Price'!D$1,FALSE),0)</f>
        <v>0</v>
      </c>
      <c r="I926" s="194">
        <f>IF(_1_5412845612146241046457891017[[#This Row],[Type]]&gt;0,VLOOKUP(_1_5412845612146241046457891017[[#This Row],[Type]],Main[[#All],[TYPE]:[UNIT]],'Unit Price'!G$1,FALSE),0)</f>
        <v>0</v>
      </c>
      <c r="J926" s="194">
        <f>IF(_1_5412845612146241046457891017[[#This Row],[Type]]&gt;0,VLOOKUP(_1_5412845612146241046457891017[[#This Row],[Type]],Main[[#All],[TYPE]:[UNIT]],'Unit Price'!H$1,FALSE),0)</f>
        <v>0</v>
      </c>
      <c r="K926" s="194">
        <f>IF(_1_5412845612146241046457891017[[#This Row],[Discount selection]]&gt;0,VLOOKUP(_1_5412845612146241046457891017[[#This Row],[Discount selection]],'Discount Structure'!$A$2:$B$30,2,"false"),0)</f>
        <v>1</v>
      </c>
      <c r="L926" s="194">
        <f>_1_5412845612146241046457891017[[#This Row],[LIST $]]*_1_5412845612146241046457891017[[#This Row],[DISCOUNT]]*_1_5412845612146241046457891017[[#This Row],[DISCOUNT 2]]</f>
        <v>0</v>
      </c>
      <c r="M926" s="194">
        <f>IF(OR(_1_5412845612146241046457891017[[#This Row],[UNIT]]&gt;0,_1_5412845612146241046457891017[[#This Row],[UNIT]]&lt;0),_1_5412845612146241046457891017[[#This Row],[UNIT]]*_1_5412845612146241046457891017[[#This Row],[COST]],0)</f>
        <v>0</v>
      </c>
      <c r="N926" s="194">
        <f t="shared" si="14"/>
        <v>1.35</v>
      </c>
      <c r="O926" s="198">
        <f>_1_5412845612146241046457891017[[#This Row],[TOTAL]]*_1_5412845612146241046457891017[[#This Row],[MARGIN]]</f>
        <v>0</v>
      </c>
      <c r="P926" s="198"/>
      <c r="R926" s="41"/>
    </row>
    <row r="927" spans="4:18">
      <c r="D927" s="188"/>
      <c r="E927" s="42"/>
      <c r="F927" s="168" t="s">
        <v>6202</v>
      </c>
      <c r="G927" s="193">
        <f>IF(_1_5412845612146241046457891017[[#This Row],[Type]]&gt;0,VLOOKUP(_1_5412845612146241046457891017[[#This Row],[Type]],Main[[#All],[TYPE]:[UNIT]],'Unit Price'!C$1,FALSE),0)</f>
        <v>0</v>
      </c>
      <c r="H927" s="197">
        <f>IF(_1_5412845612146241046457891017[[#This Row],[Type]]&gt;0,VLOOKUP(_1_5412845612146241046457891017[[#This Row],[Type]],Main[[#All],[TYPE]:[UNIT]],'Unit Price'!D$1,FALSE),0)</f>
        <v>0</v>
      </c>
      <c r="I927" s="194">
        <f>IF(_1_5412845612146241046457891017[[#This Row],[Type]]&gt;0,VLOOKUP(_1_5412845612146241046457891017[[#This Row],[Type]],Main[[#All],[TYPE]:[UNIT]],'Unit Price'!G$1,FALSE),0)</f>
        <v>0</v>
      </c>
      <c r="J927" s="194">
        <f>IF(_1_5412845612146241046457891017[[#This Row],[Type]]&gt;0,VLOOKUP(_1_5412845612146241046457891017[[#This Row],[Type]],Main[[#All],[TYPE]:[UNIT]],'Unit Price'!H$1,FALSE),0)</f>
        <v>0</v>
      </c>
      <c r="K927" s="194">
        <f>IF(_1_5412845612146241046457891017[[#This Row],[Discount selection]]&gt;0,VLOOKUP(_1_5412845612146241046457891017[[#This Row],[Discount selection]],'Discount Structure'!$A$2:$B$30,2,"false"),0)</f>
        <v>1</v>
      </c>
      <c r="L927" s="194">
        <f>_1_5412845612146241046457891017[[#This Row],[LIST $]]*_1_5412845612146241046457891017[[#This Row],[DISCOUNT]]*_1_5412845612146241046457891017[[#This Row],[DISCOUNT 2]]</f>
        <v>0</v>
      </c>
      <c r="M927" s="194">
        <f>IF(OR(_1_5412845612146241046457891017[[#This Row],[UNIT]]&gt;0,_1_5412845612146241046457891017[[#This Row],[UNIT]]&lt;0),_1_5412845612146241046457891017[[#This Row],[UNIT]]*_1_5412845612146241046457891017[[#This Row],[COST]],0)</f>
        <v>0</v>
      </c>
      <c r="N927" s="194">
        <f t="shared" si="14"/>
        <v>1.35</v>
      </c>
      <c r="O927" s="198">
        <f>_1_5412845612146241046457891017[[#This Row],[TOTAL]]*_1_5412845612146241046457891017[[#This Row],[MARGIN]]</f>
        <v>0</v>
      </c>
      <c r="P927" s="198"/>
      <c r="R927" s="41"/>
    </row>
    <row r="928" spans="4:18">
      <c r="D928" s="188"/>
      <c r="E928" s="42"/>
      <c r="F928" s="168" t="s">
        <v>6202</v>
      </c>
      <c r="G928" s="193">
        <f>IF(_1_5412845612146241046457891017[[#This Row],[Type]]&gt;0,VLOOKUP(_1_5412845612146241046457891017[[#This Row],[Type]],Main[[#All],[TYPE]:[UNIT]],'Unit Price'!C$1,FALSE),0)</f>
        <v>0</v>
      </c>
      <c r="H928" s="197">
        <f>IF(_1_5412845612146241046457891017[[#This Row],[Type]]&gt;0,VLOOKUP(_1_5412845612146241046457891017[[#This Row],[Type]],Main[[#All],[TYPE]:[UNIT]],'Unit Price'!D$1,FALSE),0)</f>
        <v>0</v>
      </c>
      <c r="I928" s="194">
        <f>IF(_1_5412845612146241046457891017[[#This Row],[Type]]&gt;0,VLOOKUP(_1_5412845612146241046457891017[[#This Row],[Type]],Main[[#All],[TYPE]:[UNIT]],'Unit Price'!G$1,FALSE),0)</f>
        <v>0</v>
      </c>
      <c r="J928" s="194">
        <f>IF(_1_5412845612146241046457891017[[#This Row],[Type]]&gt;0,VLOOKUP(_1_5412845612146241046457891017[[#This Row],[Type]],Main[[#All],[TYPE]:[UNIT]],'Unit Price'!H$1,FALSE),0)</f>
        <v>0</v>
      </c>
      <c r="K928" s="194">
        <f>IF(_1_5412845612146241046457891017[[#This Row],[Discount selection]]&gt;0,VLOOKUP(_1_5412845612146241046457891017[[#This Row],[Discount selection]],'Discount Structure'!$A$2:$B$30,2,"false"),0)</f>
        <v>1</v>
      </c>
      <c r="L928" s="194">
        <f>_1_5412845612146241046457891017[[#This Row],[LIST $]]*_1_5412845612146241046457891017[[#This Row],[DISCOUNT]]*_1_5412845612146241046457891017[[#This Row],[DISCOUNT 2]]</f>
        <v>0</v>
      </c>
      <c r="M928" s="194">
        <f>IF(OR(_1_5412845612146241046457891017[[#This Row],[UNIT]]&gt;0,_1_5412845612146241046457891017[[#This Row],[UNIT]]&lt;0),_1_5412845612146241046457891017[[#This Row],[UNIT]]*_1_5412845612146241046457891017[[#This Row],[COST]],0)</f>
        <v>0</v>
      </c>
      <c r="N928" s="194">
        <f t="shared" si="14"/>
        <v>1.35</v>
      </c>
      <c r="O928" s="198">
        <f>_1_5412845612146241046457891017[[#This Row],[TOTAL]]*_1_5412845612146241046457891017[[#This Row],[MARGIN]]</f>
        <v>0</v>
      </c>
      <c r="P928" s="198"/>
      <c r="R928" s="41"/>
    </row>
    <row r="929" spans="4:18">
      <c r="D929" s="188"/>
      <c r="E929" s="42"/>
      <c r="F929" s="168" t="s">
        <v>6202</v>
      </c>
      <c r="G929" s="193">
        <f>IF(_1_5412845612146241046457891017[[#This Row],[Type]]&gt;0,VLOOKUP(_1_5412845612146241046457891017[[#This Row],[Type]],Main[[#All],[TYPE]:[UNIT]],'Unit Price'!C$1,FALSE),0)</f>
        <v>0</v>
      </c>
      <c r="H929" s="197">
        <f>IF(_1_5412845612146241046457891017[[#This Row],[Type]]&gt;0,VLOOKUP(_1_5412845612146241046457891017[[#This Row],[Type]],Main[[#All],[TYPE]:[UNIT]],'Unit Price'!D$1,FALSE),0)</f>
        <v>0</v>
      </c>
      <c r="I929" s="194">
        <f>IF(_1_5412845612146241046457891017[[#This Row],[Type]]&gt;0,VLOOKUP(_1_5412845612146241046457891017[[#This Row],[Type]],Main[[#All],[TYPE]:[UNIT]],'Unit Price'!G$1,FALSE),0)</f>
        <v>0</v>
      </c>
      <c r="J929" s="194">
        <f>IF(_1_5412845612146241046457891017[[#This Row],[Type]]&gt;0,VLOOKUP(_1_5412845612146241046457891017[[#This Row],[Type]],Main[[#All],[TYPE]:[UNIT]],'Unit Price'!H$1,FALSE),0)</f>
        <v>0</v>
      </c>
      <c r="K929" s="194">
        <f>IF(_1_5412845612146241046457891017[[#This Row],[Discount selection]]&gt;0,VLOOKUP(_1_5412845612146241046457891017[[#This Row],[Discount selection]],'Discount Structure'!$A$2:$B$30,2,"false"),0)</f>
        <v>1</v>
      </c>
      <c r="L929" s="194">
        <f>_1_5412845612146241046457891017[[#This Row],[LIST $]]*_1_5412845612146241046457891017[[#This Row],[DISCOUNT]]*_1_5412845612146241046457891017[[#This Row],[DISCOUNT 2]]</f>
        <v>0</v>
      </c>
      <c r="M929" s="194">
        <f>IF(OR(_1_5412845612146241046457891017[[#This Row],[UNIT]]&gt;0,_1_5412845612146241046457891017[[#This Row],[UNIT]]&lt;0),_1_5412845612146241046457891017[[#This Row],[UNIT]]*_1_5412845612146241046457891017[[#This Row],[COST]],0)</f>
        <v>0</v>
      </c>
      <c r="N929" s="194">
        <f t="shared" si="14"/>
        <v>1.35</v>
      </c>
      <c r="O929" s="198">
        <f>_1_5412845612146241046457891017[[#This Row],[TOTAL]]*_1_5412845612146241046457891017[[#This Row],[MARGIN]]</f>
        <v>0</v>
      </c>
      <c r="P929" s="198"/>
      <c r="R929" s="41"/>
    </row>
    <row r="930" spans="4:18">
      <c r="D930" s="188"/>
      <c r="E930" s="42"/>
      <c r="F930" s="168" t="s">
        <v>6202</v>
      </c>
      <c r="G930" s="193">
        <f>IF(_1_5412845612146241046457891017[[#This Row],[Type]]&gt;0,VLOOKUP(_1_5412845612146241046457891017[[#This Row],[Type]],Main[[#All],[TYPE]:[UNIT]],'Unit Price'!C$1,FALSE),0)</f>
        <v>0</v>
      </c>
      <c r="H930" s="197">
        <f>IF(_1_5412845612146241046457891017[[#This Row],[Type]]&gt;0,VLOOKUP(_1_5412845612146241046457891017[[#This Row],[Type]],Main[[#All],[TYPE]:[UNIT]],'Unit Price'!D$1,FALSE),0)</f>
        <v>0</v>
      </c>
      <c r="I930" s="194">
        <f>IF(_1_5412845612146241046457891017[[#This Row],[Type]]&gt;0,VLOOKUP(_1_5412845612146241046457891017[[#This Row],[Type]],Main[[#All],[TYPE]:[UNIT]],'Unit Price'!G$1,FALSE),0)</f>
        <v>0</v>
      </c>
      <c r="J930" s="194">
        <f>IF(_1_5412845612146241046457891017[[#This Row],[Type]]&gt;0,VLOOKUP(_1_5412845612146241046457891017[[#This Row],[Type]],Main[[#All],[TYPE]:[UNIT]],'Unit Price'!H$1,FALSE),0)</f>
        <v>0</v>
      </c>
      <c r="K930" s="194">
        <f>IF(_1_5412845612146241046457891017[[#This Row],[Discount selection]]&gt;0,VLOOKUP(_1_5412845612146241046457891017[[#This Row],[Discount selection]],'Discount Structure'!$A$2:$B$30,2,"false"),0)</f>
        <v>1</v>
      </c>
      <c r="L930" s="194">
        <f>_1_5412845612146241046457891017[[#This Row],[LIST $]]*_1_5412845612146241046457891017[[#This Row],[DISCOUNT]]*_1_5412845612146241046457891017[[#This Row],[DISCOUNT 2]]</f>
        <v>0</v>
      </c>
      <c r="M930" s="194">
        <f>IF(OR(_1_5412845612146241046457891017[[#This Row],[UNIT]]&gt;0,_1_5412845612146241046457891017[[#This Row],[UNIT]]&lt;0),_1_5412845612146241046457891017[[#This Row],[UNIT]]*_1_5412845612146241046457891017[[#This Row],[COST]],0)</f>
        <v>0</v>
      </c>
      <c r="N930" s="194">
        <f t="shared" si="14"/>
        <v>1.35</v>
      </c>
      <c r="O930" s="198">
        <f>_1_5412845612146241046457891017[[#This Row],[TOTAL]]*_1_5412845612146241046457891017[[#This Row],[MARGIN]]</f>
        <v>0</v>
      </c>
      <c r="P930" s="198"/>
      <c r="R930" s="41"/>
    </row>
    <row r="931" spans="4:18">
      <c r="D931" s="188"/>
      <c r="E931" s="42"/>
      <c r="F931" s="168" t="s">
        <v>6202</v>
      </c>
      <c r="G931" s="193">
        <f>IF(_1_5412845612146241046457891017[[#This Row],[Type]]&gt;0,VLOOKUP(_1_5412845612146241046457891017[[#This Row],[Type]],Main[[#All],[TYPE]:[UNIT]],'Unit Price'!C$1,FALSE),0)</f>
        <v>0</v>
      </c>
      <c r="H931" s="197">
        <f>IF(_1_5412845612146241046457891017[[#This Row],[Type]]&gt;0,VLOOKUP(_1_5412845612146241046457891017[[#This Row],[Type]],Main[[#All],[TYPE]:[UNIT]],'Unit Price'!D$1,FALSE),0)</f>
        <v>0</v>
      </c>
      <c r="I931" s="194">
        <f>IF(_1_5412845612146241046457891017[[#This Row],[Type]]&gt;0,VLOOKUP(_1_5412845612146241046457891017[[#This Row],[Type]],Main[[#All],[TYPE]:[UNIT]],'Unit Price'!G$1,FALSE),0)</f>
        <v>0</v>
      </c>
      <c r="J931" s="194">
        <f>IF(_1_5412845612146241046457891017[[#This Row],[Type]]&gt;0,VLOOKUP(_1_5412845612146241046457891017[[#This Row],[Type]],Main[[#All],[TYPE]:[UNIT]],'Unit Price'!H$1,FALSE),0)</f>
        <v>0</v>
      </c>
      <c r="K931" s="194">
        <f>IF(_1_5412845612146241046457891017[[#This Row],[Discount selection]]&gt;0,VLOOKUP(_1_5412845612146241046457891017[[#This Row],[Discount selection]],'Discount Structure'!$A$2:$B$30,2,"false"),0)</f>
        <v>1</v>
      </c>
      <c r="L931" s="194">
        <f>_1_5412845612146241046457891017[[#This Row],[LIST $]]*_1_5412845612146241046457891017[[#This Row],[DISCOUNT]]*_1_5412845612146241046457891017[[#This Row],[DISCOUNT 2]]</f>
        <v>0</v>
      </c>
      <c r="M931" s="194">
        <f>IF(OR(_1_5412845612146241046457891017[[#This Row],[UNIT]]&gt;0,_1_5412845612146241046457891017[[#This Row],[UNIT]]&lt;0),_1_5412845612146241046457891017[[#This Row],[UNIT]]*_1_5412845612146241046457891017[[#This Row],[COST]],0)</f>
        <v>0</v>
      </c>
      <c r="N931" s="194">
        <f t="shared" si="14"/>
        <v>1.35</v>
      </c>
      <c r="O931" s="198">
        <f>_1_5412845612146241046457891017[[#This Row],[TOTAL]]*_1_5412845612146241046457891017[[#This Row],[MARGIN]]</f>
        <v>0</v>
      </c>
      <c r="P931" s="198"/>
      <c r="R931" s="41"/>
    </row>
    <row r="932" spans="4:18">
      <c r="D932" s="188"/>
      <c r="E932" s="42"/>
      <c r="F932" s="168" t="s">
        <v>6202</v>
      </c>
      <c r="G932" s="193">
        <f>IF(_1_5412845612146241046457891017[[#This Row],[Type]]&gt;0,VLOOKUP(_1_5412845612146241046457891017[[#This Row],[Type]],Main[[#All],[TYPE]:[UNIT]],'Unit Price'!C$1,FALSE),0)</f>
        <v>0</v>
      </c>
      <c r="H932" s="197">
        <f>IF(_1_5412845612146241046457891017[[#This Row],[Type]]&gt;0,VLOOKUP(_1_5412845612146241046457891017[[#This Row],[Type]],Main[[#All],[TYPE]:[UNIT]],'Unit Price'!D$1,FALSE),0)</f>
        <v>0</v>
      </c>
      <c r="I932" s="194">
        <f>IF(_1_5412845612146241046457891017[[#This Row],[Type]]&gt;0,VLOOKUP(_1_5412845612146241046457891017[[#This Row],[Type]],Main[[#All],[TYPE]:[UNIT]],'Unit Price'!G$1,FALSE),0)</f>
        <v>0</v>
      </c>
      <c r="J932" s="194">
        <f>IF(_1_5412845612146241046457891017[[#This Row],[Type]]&gt;0,VLOOKUP(_1_5412845612146241046457891017[[#This Row],[Type]],Main[[#All],[TYPE]:[UNIT]],'Unit Price'!H$1,FALSE),0)</f>
        <v>0</v>
      </c>
      <c r="K932" s="194">
        <f>IF(_1_5412845612146241046457891017[[#This Row],[Discount selection]]&gt;0,VLOOKUP(_1_5412845612146241046457891017[[#This Row],[Discount selection]],'Discount Structure'!$A$2:$B$30,2,"false"),0)</f>
        <v>1</v>
      </c>
      <c r="L932" s="194">
        <f>_1_5412845612146241046457891017[[#This Row],[LIST $]]*_1_5412845612146241046457891017[[#This Row],[DISCOUNT]]*_1_5412845612146241046457891017[[#This Row],[DISCOUNT 2]]</f>
        <v>0</v>
      </c>
      <c r="M932" s="194">
        <f>IF(OR(_1_5412845612146241046457891017[[#This Row],[UNIT]]&gt;0,_1_5412845612146241046457891017[[#This Row],[UNIT]]&lt;0),_1_5412845612146241046457891017[[#This Row],[UNIT]]*_1_5412845612146241046457891017[[#This Row],[COST]],0)</f>
        <v>0</v>
      </c>
      <c r="N932" s="194">
        <f t="shared" si="14"/>
        <v>1.35</v>
      </c>
      <c r="O932" s="198">
        <f>_1_5412845612146241046457891017[[#This Row],[TOTAL]]*_1_5412845612146241046457891017[[#This Row],[MARGIN]]</f>
        <v>0</v>
      </c>
      <c r="P932" s="198"/>
      <c r="R932" s="41"/>
    </row>
    <row r="933" spans="4:18">
      <c r="D933" s="188"/>
      <c r="E933" s="42"/>
      <c r="F933" s="168" t="s">
        <v>6202</v>
      </c>
      <c r="G933" s="193">
        <f>IF(_1_5412845612146241046457891017[[#This Row],[Type]]&gt;0,VLOOKUP(_1_5412845612146241046457891017[[#This Row],[Type]],Main[[#All],[TYPE]:[UNIT]],'Unit Price'!C$1,FALSE),0)</f>
        <v>0</v>
      </c>
      <c r="H933" s="197">
        <f>IF(_1_5412845612146241046457891017[[#This Row],[Type]]&gt;0,VLOOKUP(_1_5412845612146241046457891017[[#This Row],[Type]],Main[[#All],[TYPE]:[UNIT]],'Unit Price'!D$1,FALSE),0)</f>
        <v>0</v>
      </c>
      <c r="I933" s="194">
        <f>IF(_1_5412845612146241046457891017[[#This Row],[Type]]&gt;0,VLOOKUP(_1_5412845612146241046457891017[[#This Row],[Type]],Main[[#All],[TYPE]:[UNIT]],'Unit Price'!G$1,FALSE),0)</f>
        <v>0</v>
      </c>
      <c r="J933" s="194">
        <f>IF(_1_5412845612146241046457891017[[#This Row],[Type]]&gt;0,VLOOKUP(_1_5412845612146241046457891017[[#This Row],[Type]],Main[[#All],[TYPE]:[UNIT]],'Unit Price'!H$1,FALSE),0)</f>
        <v>0</v>
      </c>
      <c r="K933" s="194">
        <f>IF(_1_5412845612146241046457891017[[#This Row],[Discount selection]]&gt;0,VLOOKUP(_1_5412845612146241046457891017[[#This Row],[Discount selection]],'Discount Structure'!$A$2:$B$30,2,"false"),0)</f>
        <v>1</v>
      </c>
      <c r="L933" s="194">
        <f>_1_5412845612146241046457891017[[#This Row],[LIST $]]*_1_5412845612146241046457891017[[#This Row],[DISCOUNT]]*_1_5412845612146241046457891017[[#This Row],[DISCOUNT 2]]</f>
        <v>0</v>
      </c>
      <c r="M933" s="194">
        <f>IF(OR(_1_5412845612146241046457891017[[#This Row],[UNIT]]&gt;0,_1_5412845612146241046457891017[[#This Row],[UNIT]]&lt;0),_1_5412845612146241046457891017[[#This Row],[UNIT]]*_1_5412845612146241046457891017[[#This Row],[COST]],0)</f>
        <v>0</v>
      </c>
      <c r="N933" s="194">
        <f t="shared" si="14"/>
        <v>1.35</v>
      </c>
      <c r="O933" s="198">
        <f>_1_5412845612146241046457891017[[#This Row],[TOTAL]]*_1_5412845612146241046457891017[[#This Row],[MARGIN]]</f>
        <v>0</v>
      </c>
      <c r="P933" s="198"/>
      <c r="R933" s="41"/>
    </row>
    <row r="934" spans="4:18">
      <c r="D934" s="188"/>
      <c r="E934" s="42"/>
      <c r="F934" s="168" t="s">
        <v>6202</v>
      </c>
      <c r="G934" s="193">
        <f>IF(_1_5412845612146241046457891017[[#This Row],[Type]]&gt;0,VLOOKUP(_1_5412845612146241046457891017[[#This Row],[Type]],Main[[#All],[TYPE]:[UNIT]],'Unit Price'!C$1,FALSE),0)</f>
        <v>0</v>
      </c>
      <c r="H934" s="197">
        <f>IF(_1_5412845612146241046457891017[[#This Row],[Type]]&gt;0,VLOOKUP(_1_5412845612146241046457891017[[#This Row],[Type]],Main[[#All],[TYPE]:[UNIT]],'Unit Price'!D$1,FALSE),0)</f>
        <v>0</v>
      </c>
      <c r="I934" s="194">
        <f>IF(_1_5412845612146241046457891017[[#This Row],[Type]]&gt;0,VLOOKUP(_1_5412845612146241046457891017[[#This Row],[Type]],Main[[#All],[TYPE]:[UNIT]],'Unit Price'!G$1,FALSE),0)</f>
        <v>0</v>
      </c>
      <c r="J934" s="194">
        <f>IF(_1_5412845612146241046457891017[[#This Row],[Type]]&gt;0,VLOOKUP(_1_5412845612146241046457891017[[#This Row],[Type]],Main[[#All],[TYPE]:[UNIT]],'Unit Price'!H$1,FALSE),0)</f>
        <v>0</v>
      </c>
      <c r="K934" s="194">
        <f>IF(_1_5412845612146241046457891017[[#This Row],[Discount selection]]&gt;0,VLOOKUP(_1_5412845612146241046457891017[[#This Row],[Discount selection]],'Discount Structure'!$A$2:$B$30,2,"false"),0)</f>
        <v>1</v>
      </c>
      <c r="L934" s="194">
        <f>_1_5412845612146241046457891017[[#This Row],[LIST $]]*_1_5412845612146241046457891017[[#This Row],[DISCOUNT]]*_1_5412845612146241046457891017[[#This Row],[DISCOUNT 2]]</f>
        <v>0</v>
      </c>
      <c r="M934" s="194">
        <f>IF(OR(_1_5412845612146241046457891017[[#This Row],[UNIT]]&gt;0,_1_5412845612146241046457891017[[#This Row],[UNIT]]&lt;0),_1_5412845612146241046457891017[[#This Row],[UNIT]]*_1_5412845612146241046457891017[[#This Row],[COST]],0)</f>
        <v>0</v>
      </c>
      <c r="N934" s="194">
        <f t="shared" si="14"/>
        <v>1.35</v>
      </c>
      <c r="O934" s="198">
        <f>_1_5412845612146241046457891017[[#This Row],[TOTAL]]*_1_5412845612146241046457891017[[#This Row],[MARGIN]]</f>
        <v>0</v>
      </c>
      <c r="P934" s="198"/>
      <c r="R934" s="41"/>
    </row>
    <row r="935" spans="4:18">
      <c r="D935" s="188"/>
      <c r="E935" s="42"/>
      <c r="F935" s="168" t="s">
        <v>6202</v>
      </c>
      <c r="G935" s="193">
        <f>IF(_1_5412845612146241046457891017[[#This Row],[Type]]&gt;0,VLOOKUP(_1_5412845612146241046457891017[[#This Row],[Type]],Main[[#All],[TYPE]:[UNIT]],'Unit Price'!C$1,FALSE),0)</f>
        <v>0</v>
      </c>
      <c r="H935" s="197">
        <f>IF(_1_5412845612146241046457891017[[#This Row],[Type]]&gt;0,VLOOKUP(_1_5412845612146241046457891017[[#This Row],[Type]],Main[[#All],[TYPE]:[UNIT]],'Unit Price'!D$1,FALSE),0)</f>
        <v>0</v>
      </c>
      <c r="I935" s="194">
        <f>IF(_1_5412845612146241046457891017[[#This Row],[Type]]&gt;0,VLOOKUP(_1_5412845612146241046457891017[[#This Row],[Type]],Main[[#All],[TYPE]:[UNIT]],'Unit Price'!G$1,FALSE),0)</f>
        <v>0</v>
      </c>
      <c r="J935" s="194">
        <f>IF(_1_5412845612146241046457891017[[#This Row],[Type]]&gt;0,VLOOKUP(_1_5412845612146241046457891017[[#This Row],[Type]],Main[[#All],[TYPE]:[UNIT]],'Unit Price'!H$1,FALSE),0)</f>
        <v>0</v>
      </c>
      <c r="K935" s="194">
        <f>IF(_1_5412845612146241046457891017[[#This Row],[Discount selection]]&gt;0,VLOOKUP(_1_5412845612146241046457891017[[#This Row],[Discount selection]],'Discount Structure'!$A$2:$B$30,2,"false"),0)</f>
        <v>1</v>
      </c>
      <c r="L935" s="194">
        <f>_1_5412845612146241046457891017[[#This Row],[LIST $]]*_1_5412845612146241046457891017[[#This Row],[DISCOUNT]]*_1_5412845612146241046457891017[[#This Row],[DISCOUNT 2]]</f>
        <v>0</v>
      </c>
      <c r="M935" s="194">
        <f>IF(OR(_1_5412845612146241046457891017[[#This Row],[UNIT]]&gt;0,_1_5412845612146241046457891017[[#This Row],[UNIT]]&lt;0),_1_5412845612146241046457891017[[#This Row],[UNIT]]*_1_5412845612146241046457891017[[#This Row],[COST]],0)</f>
        <v>0</v>
      </c>
      <c r="N935" s="194">
        <f t="shared" si="14"/>
        <v>1.35</v>
      </c>
      <c r="O935" s="198">
        <f>_1_5412845612146241046457891017[[#This Row],[TOTAL]]*_1_5412845612146241046457891017[[#This Row],[MARGIN]]</f>
        <v>0</v>
      </c>
      <c r="P935" s="198"/>
      <c r="R935" s="41"/>
    </row>
    <row r="936" spans="4:18">
      <c r="D936" s="188"/>
      <c r="E936" s="42"/>
      <c r="F936" s="168" t="s">
        <v>6202</v>
      </c>
      <c r="G936" s="193">
        <f>IF(_1_5412845612146241046457891017[[#This Row],[Type]]&gt;0,VLOOKUP(_1_5412845612146241046457891017[[#This Row],[Type]],Main[[#All],[TYPE]:[UNIT]],'Unit Price'!C$1,FALSE),0)</f>
        <v>0</v>
      </c>
      <c r="H936" s="197">
        <f>IF(_1_5412845612146241046457891017[[#This Row],[Type]]&gt;0,VLOOKUP(_1_5412845612146241046457891017[[#This Row],[Type]],Main[[#All],[TYPE]:[UNIT]],'Unit Price'!D$1,FALSE),0)</f>
        <v>0</v>
      </c>
      <c r="I936" s="194">
        <f>IF(_1_5412845612146241046457891017[[#This Row],[Type]]&gt;0,VLOOKUP(_1_5412845612146241046457891017[[#This Row],[Type]],Main[[#All],[TYPE]:[UNIT]],'Unit Price'!G$1,FALSE),0)</f>
        <v>0</v>
      </c>
      <c r="J936" s="194">
        <f>IF(_1_5412845612146241046457891017[[#This Row],[Type]]&gt;0,VLOOKUP(_1_5412845612146241046457891017[[#This Row],[Type]],Main[[#All],[TYPE]:[UNIT]],'Unit Price'!H$1,FALSE),0)</f>
        <v>0</v>
      </c>
      <c r="K936" s="194">
        <f>IF(_1_5412845612146241046457891017[[#This Row],[Discount selection]]&gt;0,VLOOKUP(_1_5412845612146241046457891017[[#This Row],[Discount selection]],'Discount Structure'!$A$2:$B$30,2,"false"),0)</f>
        <v>1</v>
      </c>
      <c r="L936" s="194">
        <f>_1_5412845612146241046457891017[[#This Row],[LIST $]]*_1_5412845612146241046457891017[[#This Row],[DISCOUNT]]*_1_5412845612146241046457891017[[#This Row],[DISCOUNT 2]]</f>
        <v>0</v>
      </c>
      <c r="M936" s="194">
        <f>IF(OR(_1_5412845612146241046457891017[[#This Row],[UNIT]]&gt;0,_1_5412845612146241046457891017[[#This Row],[UNIT]]&lt;0),_1_5412845612146241046457891017[[#This Row],[UNIT]]*_1_5412845612146241046457891017[[#This Row],[COST]],0)</f>
        <v>0</v>
      </c>
      <c r="N936" s="194">
        <f t="shared" si="14"/>
        <v>1.35</v>
      </c>
      <c r="O936" s="198">
        <f>_1_5412845612146241046457891017[[#This Row],[TOTAL]]*_1_5412845612146241046457891017[[#This Row],[MARGIN]]</f>
        <v>0</v>
      </c>
      <c r="P936" s="198"/>
      <c r="R936" s="41"/>
    </row>
    <row r="937" spans="4:18">
      <c r="D937" s="188"/>
      <c r="E937" s="42"/>
      <c r="F937" s="168" t="s">
        <v>6202</v>
      </c>
      <c r="G937" s="193">
        <f>IF(_1_5412845612146241046457891017[[#This Row],[Type]]&gt;0,VLOOKUP(_1_5412845612146241046457891017[[#This Row],[Type]],Main[[#All],[TYPE]:[UNIT]],'Unit Price'!C$1,FALSE),0)</f>
        <v>0</v>
      </c>
      <c r="H937" s="197">
        <f>IF(_1_5412845612146241046457891017[[#This Row],[Type]]&gt;0,VLOOKUP(_1_5412845612146241046457891017[[#This Row],[Type]],Main[[#All],[TYPE]:[UNIT]],'Unit Price'!D$1,FALSE),0)</f>
        <v>0</v>
      </c>
      <c r="I937" s="194">
        <f>IF(_1_5412845612146241046457891017[[#This Row],[Type]]&gt;0,VLOOKUP(_1_5412845612146241046457891017[[#This Row],[Type]],Main[[#All],[TYPE]:[UNIT]],'Unit Price'!G$1,FALSE),0)</f>
        <v>0</v>
      </c>
      <c r="J937" s="194">
        <f>IF(_1_5412845612146241046457891017[[#This Row],[Type]]&gt;0,VLOOKUP(_1_5412845612146241046457891017[[#This Row],[Type]],Main[[#All],[TYPE]:[UNIT]],'Unit Price'!H$1,FALSE),0)</f>
        <v>0</v>
      </c>
      <c r="K937" s="194">
        <f>IF(_1_5412845612146241046457891017[[#This Row],[Discount selection]]&gt;0,VLOOKUP(_1_5412845612146241046457891017[[#This Row],[Discount selection]],'Discount Structure'!$A$2:$B$30,2,"false"),0)</f>
        <v>1</v>
      </c>
      <c r="L937" s="194">
        <f>_1_5412845612146241046457891017[[#This Row],[LIST $]]*_1_5412845612146241046457891017[[#This Row],[DISCOUNT]]*_1_5412845612146241046457891017[[#This Row],[DISCOUNT 2]]</f>
        <v>0</v>
      </c>
      <c r="M937" s="194">
        <f>IF(OR(_1_5412845612146241046457891017[[#This Row],[UNIT]]&gt;0,_1_5412845612146241046457891017[[#This Row],[UNIT]]&lt;0),_1_5412845612146241046457891017[[#This Row],[UNIT]]*_1_5412845612146241046457891017[[#This Row],[COST]],0)</f>
        <v>0</v>
      </c>
      <c r="N937" s="194">
        <f t="shared" si="14"/>
        <v>1.35</v>
      </c>
      <c r="O937" s="198">
        <f>_1_5412845612146241046457891017[[#This Row],[TOTAL]]*_1_5412845612146241046457891017[[#This Row],[MARGIN]]</f>
        <v>0</v>
      </c>
      <c r="P937" s="198"/>
      <c r="R937" s="41"/>
    </row>
    <row r="938" spans="4:18">
      <c r="D938" s="188"/>
      <c r="E938" s="42"/>
      <c r="F938" s="168" t="s">
        <v>6202</v>
      </c>
      <c r="G938" s="193">
        <f>IF(_1_5412845612146241046457891017[[#This Row],[Type]]&gt;0,VLOOKUP(_1_5412845612146241046457891017[[#This Row],[Type]],Main[[#All],[TYPE]:[UNIT]],'Unit Price'!C$1,FALSE),0)</f>
        <v>0</v>
      </c>
      <c r="H938" s="197">
        <f>IF(_1_5412845612146241046457891017[[#This Row],[Type]]&gt;0,VLOOKUP(_1_5412845612146241046457891017[[#This Row],[Type]],Main[[#All],[TYPE]:[UNIT]],'Unit Price'!D$1,FALSE),0)</f>
        <v>0</v>
      </c>
      <c r="I938" s="194">
        <f>IF(_1_5412845612146241046457891017[[#This Row],[Type]]&gt;0,VLOOKUP(_1_5412845612146241046457891017[[#This Row],[Type]],Main[[#All],[TYPE]:[UNIT]],'Unit Price'!G$1,FALSE),0)</f>
        <v>0</v>
      </c>
      <c r="J938" s="194">
        <f>IF(_1_5412845612146241046457891017[[#This Row],[Type]]&gt;0,VLOOKUP(_1_5412845612146241046457891017[[#This Row],[Type]],Main[[#All],[TYPE]:[UNIT]],'Unit Price'!H$1,FALSE),0)</f>
        <v>0</v>
      </c>
      <c r="K938" s="194">
        <f>IF(_1_5412845612146241046457891017[[#This Row],[Discount selection]]&gt;0,VLOOKUP(_1_5412845612146241046457891017[[#This Row],[Discount selection]],'Discount Structure'!$A$2:$B$30,2,"false"),0)</f>
        <v>1</v>
      </c>
      <c r="L938" s="194">
        <f>_1_5412845612146241046457891017[[#This Row],[LIST $]]*_1_5412845612146241046457891017[[#This Row],[DISCOUNT]]*_1_5412845612146241046457891017[[#This Row],[DISCOUNT 2]]</f>
        <v>0</v>
      </c>
      <c r="M938" s="194">
        <f>IF(OR(_1_5412845612146241046457891017[[#This Row],[UNIT]]&gt;0,_1_5412845612146241046457891017[[#This Row],[UNIT]]&lt;0),_1_5412845612146241046457891017[[#This Row],[UNIT]]*_1_5412845612146241046457891017[[#This Row],[COST]],0)</f>
        <v>0</v>
      </c>
      <c r="N938" s="194">
        <f t="shared" si="14"/>
        <v>1.35</v>
      </c>
      <c r="O938" s="198">
        <f>_1_5412845612146241046457891017[[#This Row],[TOTAL]]*_1_5412845612146241046457891017[[#This Row],[MARGIN]]</f>
        <v>0</v>
      </c>
      <c r="P938" s="198"/>
      <c r="R938" s="41"/>
    </row>
    <row r="939" spans="4:18">
      <c r="D939" s="188"/>
      <c r="E939" s="42"/>
      <c r="F939" s="168" t="s">
        <v>6202</v>
      </c>
      <c r="G939" s="193">
        <f>IF(_1_5412845612146241046457891017[[#This Row],[Type]]&gt;0,VLOOKUP(_1_5412845612146241046457891017[[#This Row],[Type]],Main[[#All],[TYPE]:[UNIT]],'Unit Price'!C$1,FALSE),0)</f>
        <v>0</v>
      </c>
      <c r="H939" s="197">
        <f>IF(_1_5412845612146241046457891017[[#This Row],[Type]]&gt;0,VLOOKUP(_1_5412845612146241046457891017[[#This Row],[Type]],Main[[#All],[TYPE]:[UNIT]],'Unit Price'!D$1,FALSE),0)</f>
        <v>0</v>
      </c>
      <c r="I939" s="194">
        <f>IF(_1_5412845612146241046457891017[[#This Row],[Type]]&gt;0,VLOOKUP(_1_5412845612146241046457891017[[#This Row],[Type]],Main[[#All],[TYPE]:[UNIT]],'Unit Price'!G$1,FALSE),0)</f>
        <v>0</v>
      </c>
      <c r="J939" s="194">
        <f>IF(_1_5412845612146241046457891017[[#This Row],[Type]]&gt;0,VLOOKUP(_1_5412845612146241046457891017[[#This Row],[Type]],Main[[#All],[TYPE]:[UNIT]],'Unit Price'!H$1,FALSE),0)</f>
        <v>0</v>
      </c>
      <c r="K939" s="194">
        <f>IF(_1_5412845612146241046457891017[[#This Row],[Discount selection]]&gt;0,VLOOKUP(_1_5412845612146241046457891017[[#This Row],[Discount selection]],'Discount Structure'!$A$2:$B$30,2,"false"),0)</f>
        <v>1</v>
      </c>
      <c r="L939" s="194">
        <f>_1_5412845612146241046457891017[[#This Row],[LIST $]]*_1_5412845612146241046457891017[[#This Row],[DISCOUNT]]*_1_5412845612146241046457891017[[#This Row],[DISCOUNT 2]]</f>
        <v>0</v>
      </c>
      <c r="M939" s="194">
        <f>IF(OR(_1_5412845612146241046457891017[[#This Row],[UNIT]]&gt;0,_1_5412845612146241046457891017[[#This Row],[UNIT]]&lt;0),_1_5412845612146241046457891017[[#This Row],[UNIT]]*_1_5412845612146241046457891017[[#This Row],[COST]],0)</f>
        <v>0</v>
      </c>
      <c r="N939" s="194">
        <f t="shared" si="14"/>
        <v>1.35</v>
      </c>
      <c r="O939" s="198">
        <f>_1_5412845612146241046457891017[[#This Row],[TOTAL]]*_1_5412845612146241046457891017[[#This Row],[MARGIN]]</f>
        <v>0</v>
      </c>
      <c r="P939" s="198"/>
      <c r="R939" s="41"/>
    </row>
    <row r="940" spans="4:18">
      <c r="D940" s="188"/>
      <c r="E940" s="42"/>
      <c r="F940" s="168" t="s">
        <v>6202</v>
      </c>
      <c r="G940" s="193">
        <f>IF(_1_5412845612146241046457891017[[#This Row],[Type]]&gt;0,VLOOKUP(_1_5412845612146241046457891017[[#This Row],[Type]],Main[[#All],[TYPE]:[UNIT]],'Unit Price'!C$1,FALSE),0)</f>
        <v>0</v>
      </c>
      <c r="H940" s="197">
        <f>IF(_1_5412845612146241046457891017[[#This Row],[Type]]&gt;0,VLOOKUP(_1_5412845612146241046457891017[[#This Row],[Type]],Main[[#All],[TYPE]:[UNIT]],'Unit Price'!D$1,FALSE),0)</f>
        <v>0</v>
      </c>
      <c r="I940" s="194">
        <f>IF(_1_5412845612146241046457891017[[#This Row],[Type]]&gt;0,VLOOKUP(_1_5412845612146241046457891017[[#This Row],[Type]],Main[[#All],[TYPE]:[UNIT]],'Unit Price'!G$1,FALSE),0)</f>
        <v>0</v>
      </c>
      <c r="J940" s="194">
        <f>IF(_1_5412845612146241046457891017[[#This Row],[Type]]&gt;0,VLOOKUP(_1_5412845612146241046457891017[[#This Row],[Type]],Main[[#All],[TYPE]:[UNIT]],'Unit Price'!H$1,FALSE),0)</f>
        <v>0</v>
      </c>
      <c r="K940" s="194">
        <f>IF(_1_5412845612146241046457891017[[#This Row],[Discount selection]]&gt;0,VLOOKUP(_1_5412845612146241046457891017[[#This Row],[Discount selection]],'Discount Structure'!$A$2:$B$30,2,"false"),0)</f>
        <v>1</v>
      </c>
      <c r="L940" s="194">
        <f>_1_5412845612146241046457891017[[#This Row],[LIST $]]*_1_5412845612146241046457891017[[#This Row],[DISCOUNT]]*_1_5412845612146241046457891017[[#This Row],[DISCOUNT 2]]</f>
        <v>0</v>
      </c>
      <c r="M940" s="194">
        <f>IF(OR(_1_5412845612146241046457891017[[#This Row],[UNIT]]&gt;0,_1_5412845612146241046457891017[[#This Row],[UNIT]]&lt;0),_1_5412845612146241046457891017[[#This Row],[UNIT]]*_1_5412845612146241046457891017[[#This Row],[COST]],0)</f>
        <v>0</v>
      </c>
      <c r="N940" s="194">
        <f t="shared" si="14"/>
        <v>1.35</v>
      </c>
      <c r="O940" s="198">
        <f>_1_5412845612146241046457891017[[#This Row],[TOTAL]]*_1_5412845612146241046457891017[[#This Row],[MARGIN]]</f>
        <v>0</v>
      </c>
      <c r="P940" s="198"/>
      <c r="R940" s="41"/>
    </row>
    <row r="941" spans="4:18">
      <c r="D941" s="188"/>
      <c r="E941" s="42"/>
      <c r="F941" s="168" t="s">
        <v>6202</v>
      </c>
      <c r="G941" s="193">
        <f>IF(_1_5412845612146241046457891017[[#This Row],[Type]]&gt;0,VLOOKUP(_1_5412845612146241046457891017[[#This Row],[Type]],Main[[#All],[TYPE]:[UNIT]],'Unit Price'!C$1,FALSE),0)</f>
        <v>0</v>
      </c>
      <c r="H941" s="197">
        <f>IF(_1_5412845612146241046457891017[[#This Row],[Type]]&gt;0,VLOOKUP(_1_5412845612146241046457891017[[#This Row],[Type]],Main[[#All],[TYPE]:[UNIT]],'Unit Price'!D$1,FALSE),0)</f>
        <v>0</v>
      </c>
      <c r="I941" s="194">
        <f>IF(_1_5412845612146241046457891017[[#This Row],[Type]]&gt;0,VLOOKUP(_1_5412845612146241046457891017[[#This Row],[Type]],Main[[#All],[TYPE]:[UNIT]],'Unit Price'!G$1,FALSE),0)</f>
        <v>0</v>
      </c>
      <c r="J941" s="194">
        <f>IF(_1_5412845612146241046457891017[[#This Row],[Type]]&gt;0,VLOOKUP(_1_5412845612146241046457891017[[#This Row],[Type]],Main[[#All],[TYPE]:[UNIT]],'Unit Price'!H$1,FALSE),0)</f>
        <v>0</v>
      </c>
      <c r="K941" s="194">
        <f>IF(_1_5412845612146241046457891017[[#This Row],[Discount selection]]&gt;0,VLOOKUP(_1_5412845612146241046457891017[[#This Row],[Discount selection]],'Discount Structure'!$A$2:$B$30,2,"false"),0)</f>
        <v>1</v>
      </c>
      <c r="L941" s="194">
        <f>_1_5412845612146241046457891017[[#This Row],[LIST $]]*_1_5412845612146241046457891017[[#This Row],[DISCOUNT]]*_1_5412845612146241046457891017[[#This Row],[DISCOUNT 2]]</f>
        <v>0</v>
      </c>
      <c r="M941" s="194">
        <f>IF(OR(_1_5412845612146241046457891017[[#This Row],[UNIT]]&gt;0,_1_5412845612146241046457891017[[#This Row],[UNIT]]&lt;0),_1_5412845612146241046457891017[[#This Row],[UNIT]]*_1_5412845612146241046457891017[[#This Row],[COST]],0)</f>
        <v>0</v>
      </c>
      <c r="N941" s="194">
        <f t="shared" si="14"/>
        <v>1.35</v>
      </c>
      <c r="O941" s="198">
        <f>_1_5412845612146241046457891017[[#This Row],[TOTAL]]*_1_5412845612146241046457891017[[#This Row],[MARGIN]]</f>
        <v>0</v>
      </c>
      <c r="P941" s="198"/>
      <c r="R941" s="41"/>
    </row>
    <row r="942" spans="4:18">
      <c r="D942" s="188"/>
      <c r="E942" s="42"/>
      <c r="F942" s="168" t="s">
        <v>6202</v>
      </c>
      <c r="G942" s="193">
        <f>IF(_1_5412845612146241046457891017[[#This Row],[Type]]&gt;0,VLOOKUP(_1_5412845612146241046457891017[[#This Row],[Type]],Main[[#All],[TYPE]:[UNIT]],'Unit Price'!C$1,FALSE),0)</f>
        <v>0</v>
      </c>
      <c r="H942" s="197">
        <f>IF(_1_5412845612146241046457891017[[#This Row],[Type]]&gt;0,VLOOKUP(_1_5412845612146241046457891017[[#This Row],[Type]],Main[[#All],[TYPE]:[UNIT]],'Unit Price'!D$1,FALSE),0)</f>
        <v>0</v>
      </c>
      <c r="I942" s="194">
        <f>IF(_1_5412845612146241046457891017[[#This Row],[Type]]&gt;0,VLOOKUP(_1_5412845612146241046457891017[[#This Row],[Type]],Main[[#All],[TYPE]:[UNIT]],'Unit Price'!G$1,FALSE),0)</f>
        <v>0</v>
      </c>
      <c r="J942" s="194">
        <f>IF(_1_5412845612146241046457891017[[#This Row],[Type]]&gt;0,VLOOKUP(_1_5412845612146241046457891017[[#This Row],[Type]],Main[[#All],[TYPE]:[UNIT]],'Unit Price'!H$1,FALSE),0)</f>
        <v>0</v>
      </c>
      <c r="K942" s="194">
        <f>IF(_1_5412845612146241046457891017[[#This Row],[Discount selection]]&gt;0,VLOOKUP(_1_5412845612146241046457891017[[#This Row],[Discount selection]],'Discount Structure'!$A$2:$B$30,2,"false"),0)</f>
        <v>1</v>
      </c>
      <c r="L942" s="194">
        <f>_1_5412845612146241046457891017[[#This Row],[LIST $]]*_1_5412845612146241046457891017[[#This Row],[DISCOUNT]]*_1_5412845612146241046457891017[[#This Row],[DISCOUNT 2]]</f>
        <v>0</v>
      </c>
      <c r="M942" s="194">
        <f>IF(OR(_1_5412845612146241046457891017[[#This Row],[UNIT]]&gt;0,_1_5412845612146241046457891017[[#This Row],[UNIT]]&lt;0),_1_5412845612146241046457891017[[#This Row],[UNIT]]*_1_5412845612146241046457891017[[#This Row],[COST]],0)</f>
        <v>0</v>
      </c>
      <c r="N942" s="194">
        <f t="shared" si="14"/>
        <v>1.35</v>
      </c>
      <c r="O942" s="198">
        <f>_1_5412845612146241046457891017[[#This Row],[TOTAL]]*_1_5412845612146241046457891017[[#This Row],[MARGIN]]</f>
        <v>0</v>
      </c>
      <c r="P942" s="198"/>
      <c r="R942" s="41"/>
    </row>
    <row r="943" spans="4:18">
      <c r="D943" s="188"/>
      <c r="E943" s="42"/>
      <c r="F943" s="168" t="s">
        <v>6202</v>
      </c>
      <c r="G943" s="193">
        <f>IF(_1_5412845612146241046457891017[[#This Row],[Type]]&gt;0,VLOOKUP(_1_5412845612146241046457891017[[#This Row],[Type]],Main[[#All],[TYPE]:[UNIT]],'Unit Price'!C$1,FALSE),0)</f>
        <v>0</v>
      </c>
      <c r="H943" s="197">
        <f>IF(_1_5412845612146241046457891017[[#This Row],[Type]]&gt;0,VLOOKUP(_1_5412845612146241046457891017[[#This Row],[Type]],Main[[#All],[TYPE]:[UNIT]],'Unit Price'!D$1,FALSE),0)</f>
        <v>0</v>
      </c>
      <c r="I943" s="194">
        <f>IF(_1_5412845612146241046457891017[[#This Row],[Type]]&gt;0,VLOOKUP(_1_5412845612146241046457891017[[#This Row],[Type]],Main[[#All],[TYPE]:[UNIT]],'Unit Price'!G$1,FALSE),0)</f>
        <v>0</v>
      </c>
      <c r="J943" s="194">
        <f>IF(_1_5412845612146241046457891017[[#This Row],[Type]]&gt;0,VLOOKUP(_1_5412845612146241046457891017[[#This Row],[Type]],Main[[#All],[TYPE]:[UNIT]],'Unit Price'!H$1,FALSE),0)</f>
        <v>0</v>
      </c>
      <c r="K943" s="194">
        <f>IF(_1_5412845612146241046457891017[[#This Row],[Discount selection]]&gt;0,VLOOKUP(_1_5412845612146241046457891017[[#This Row],[Discount selection]],'Discount Structure'!$A$2:$B$30,2,"false"),0)</f>
        <v>1</v>
      </c>
      <c r="L943" s="194">
        <f>_1_5412845612146241046457891017[[#This Row],[LIST $]]*_1_5412845612146241046457891017[[#This Row],[DISCOUNT]]*_1_5412845612146241046457891017[[#This Row],[DISCOUNT 2]]</f>
        <v>0</v>
      </c>
      <c r="M943" s="194">
        <f>IF(OR(_1_5412845612146241046457891017[[#This Row],[UNIT]]&gt;0,_1_5412845612146241046457891017[[#This Row],[UNIT]]&lt;0),_1_5412845612146241046457891017[[#This Row],[UNIT]]*_1_5412845612146241046457891017[[#This Row],[COST]],0)</f>
        <v>0</v>
      </c>
      <c r="N943" s="194">
        <f t="shared" si="14"/>
        <v>1.35</v>
      </c>
      <c r="O943" s="198">
        <f>_1_5412845612146241046457891017[[#This Row],[TOTAL]]*_1_5412845612146241046457891017[[#This Row],[MARGIN]]</f>
        <v>0</v>
      </c>
      <c r="P943" s="198"/>
      <c r="R943" s="41"/>
    </row>
    <row r="944" spans="4:18">
      <c r="D944" s="188"/>
      <c r="E944" s="42"/>
      <c r="F944" s="168" t="s">
        <v>6202</v>
      </c>
      <c r="G944" s="193">
        <f>IF(_1_5412845612146241046457891017[[#This Row],[Type]]&gt;0,VLOOKUP(_1_5412845612146241046457891017[[#This Row],[Type]],Main[[#All],[TYPE]:[UNIT]],'Unit Price'!C$1,FALSE),0)</f>
        <v>0</v>
      </c>
      <c r="H944" s="197">
        <f>IF(_1_5412845612146241046457891017[[#This Row],[Type]]&gt;0,VLOOKUP(_1_5412845612146241046457891017[[#This Row],[Type]],Main[[#All],[TYPE]:[UNIT]],'Unit Price'!D$1,FALSE),0)</f>
        <v>0</v>
      </c>
      <c r="I944" s="194">
        <f>IF(_1_5412845612146241046457891017[[#This Row],[Type]]&gt;0,VLOOKUP(_1_5412845612146241046457891017[[#This Row],[Type]],Main[[#All],[TYPE]:[UNIT]],'Unit Price'!G$1,FALSE),0)</f>
        <v>0</v>
      </c>
      <c r="J944" s="194">
        <f>IF(_1_5412845612146241046457891017[[#This Row],[Type]]&gt;0,VLOOKUP(_1_5412845612146241046457891017[[#This Row],[Type]],Main[[#All],[TYPE]:[UNIT]],'Unit Price'!H$1,FALSE),0)</f>
        <v>0</v>
      </c>
      <c r="K944" s="194">
        <f>IF(_1_5412845612146241046457891017[[#This Row],[Discount selection]]&gt;0,VLOOKUP(_1_5412845612146241046457891017[[#This Row],[Discount selection]],'Discount Structure'!$A$2:$B$30,2,"false"),0)</f>
        <v>1</v>
      </c>
      <c r="L944" s="194">
        <f>_1_5412845612146241046457891017[[#This Row],[LIST $]]*_1_5412845612146241046457891017[[#This Row],[DISCOUNT]]*_1_5412845612146241046457891017[[#This Row],[DISCOUNT 2]]</f>
        <v>0</v>
      </c>
      <c r="M944" s="194">
        <f>IF(OR(_1_5412845612146241046457891017[[#This Row],[UNIT]]&gt;0,_1_5412845612146241046457891017[[#This Row],[UNIT]]&lt;0),_1_5412845612146241046457891017[[#This Row],[UNIT]]*_1_5412845612146241046457891017[[#This Row],[COST]],0)</f>
        <v>0</v>
      </c>
      <c r="N944" s="194">
        <f t="shared" si="14"/>
        <v>1.35</v>
      </c>
      <c r="O944" s="198">
        <f>_1_5412845612146241046457891017[[#This Row],[TOTAL]]*_1_5412845612146241046457891017[[#This Row],[MARGIN]]</f>
        <v>0</v>
      </c>
      <c r="P944" s="198"/>
      <c r="R944" s="41"/>
    </row>
    <row r="945" spans="4:18">
      <c r="D945" s="188"/>
      <c r="E945" s="42"/>
      <c r="F945" s="168" t="s">
        <v>6202</v>
      </c>
      <c r="G945" s="193">
        <f>IF(_1_5412845612146241046457891017[[#This Row],[Type]]&gt;0,VLOOKUP(_1_5412845612146241046457891017[[#This Row],[Type]],Main[[#All],[TYPE]:[UNIT]],'Unit Price'!C$1,FALSE),0)</f>
        <v>0</v>
      </c>
      <c r="H945" s="197">
        <f>IF(_1_5412845612146241046457891017[[#This Row],[Type]]&gt;0,VLOOKUP(_1_5412845612146241046457891017[[#This Row],[Type]],Main[[#All],[TYPE]:[UNIT]],'Unit Price'!D$1,FALSE),0)</f>
        <v>0</v>
      </c>
      <c r="I945" s="194">
        <f>IF(_1_5412845612146241046457891017[[#This Row],[Type]]&gt;0,VLOOKUP(_1_5412845612146241046457891017[[#This Row],[Type]],Main[[#All],[TYPE]:[UNIT]],'Unit Price'!G$1,FALSE),0)</f>
        <v>0</v>
      </c>
      <c r="J945" s="194">
        <f>IF(_1_5412845612146241046457891017[[#This Row],[Type]]&gt;0,VLOOKUP(_1_5412845612146241046457891017[[#This Row],[Type]],Main[[#All],[TYPE]:[UNIT]],'Unit Price'!H$1,FALSE),0)</f>
        <v>0</v>
      </c>
      <c r="K945" s="194">
        <f>IF(_1_5412845612146241046457891017[[#This Row],[Discount selection]]&gt;0,VLOOKUP(_1_5412845612146241046457891017[[#This Row],[Discount selection]],'Discount Structure'!$A$2:$B$30,2,"false"),0)</f>
        <v>1</v>
      </c>
      <c r="L945" s="194">
        <f>_1_5412845612146241046457891017[[#This Row],[LIST $]]*_1_5412845612146241046457891017[[#This Row],[DISCOUNT]]*_1_5412845612146241046457891017[[#This Row],[DISCOUNT 2]]</f>
        <v>0</v>
      </c>
      <c r="M945" s="194">
        <f>IF(OR(_1_5412845612146241046457891017[[#This Row],[UNIT]]&gt;0,_1_5412845612146241046457891017[[#This Row],[UNIT]]&lt;0),_1_5412845612146241046457891017[[#This Row],[UNIT]]*_1_5412845612146241046457891017[[#This Row],[COST]],0)</f>
        <v>0</v>
      </c>
      <c r="N945" s="194">
        <f t="shared" si="14"/>
        <v>1.35</v>
      </c>
      <c r="O945" s="198">
        <f>_1_5412845612146241046457891017[[#This Row],[TOTAL]]*_1_5412845612146241046457891017[[#This Row],[MARGIN]]</f>
        <v>0</v>
      </c>
      <c r="P945" s="198"/>
      <c r="R945" s="41"/>
    </row>
    <row r="946" spans="4:18">
      <c r="D946" s="188"/>
      <c r="E946" s="42"/>
      <c r="F946" s="168" t="s">
        <v>6202</v>
      </c>
      <c r="G946" s="193">
        <f>IF(_1_5412845612146241046457891017[[#This Row],[Type]]&gt;0,VLOOKUP(_1_5412845612146241046457891017[[#This Row],[Type]],Main[[#All],[TYPE]:[UNIT]],'Unit Price'!C$1,FALSE),0)</f>
        <v>0</v>
      </c>
      <c r="H946" s="197">
        <f>IF(_1_5412845612146241046457891017[[#This Row],[Type]]&gt;0,VLOOKUP(_1_5412845612146241046457891017[[#This Row],[Type]],Main[[#All],[TYPE]:[UNIT]],'Unit Price'!D$1,FALSE),0)</f>
        <v>0</v>
      </c>
      <c r="I946" s="194">
        <f>IF(_1_5412845612146241046457891017[[#This Row],[Type]]&gt;0,VLOOKUP(_1_5412845612146241046457891017[[#This Row],[Type]],Main[[#All],[TYPE]:[UNIT]],'Unit Price'!G$1,FALSE),0)</f>
        <v>0</v>
      </c>
      <c r="J946" s="194">
        <f>IF(_1_5412845612146241046457891017[[#This Row],[Type]]&gt;0,VLOOKUP(_1_5412845612146241046457891017[[#This Row],[Type]],Main[[#All],[TYPE]:[UNIT]],'Unit Price'!H$1,FALSE),0)</f>
        <v>0</v>
      </c>
      <c r="K946" s="194">
        <f>IF(_1_5412845612146241046457891017[[#This Row],[Discount selection]]&gt;0,VLOOKUP(_1_5412845612146241046457891017[[#This Row],[Discount selection]],'Discount Structure'!$A$2:$B$30,2,"false"),0)</f>
        <v>1</v>
      </c>
      <c r="L946" s="194">
        <f>_1_5412845612146241046457891017[[#This Row],[LIST $]]*_1_5412845612146241046457891017[[#This Row],[DISCOUNT]]*_1_5412845612146241046457891017[[#This Row],[DISCOUNT 2]]</f>
        <v>0</v>
      </c>
      <c r="M946" s="194">
        <f>IF(OR(_1_5412845612146241046457891017[[#This Row],[UNIT]]&gt;0,_1_5412845612146241046457891017[[#This Row],[UNIT]]&lt;0),_1_5412845612146241046457891017[[#This Row],[UNIT]]*_1_5412845612146241046457891017[[#This Row],[COST]],0)</f>
        <v>0</v>
      </c>
      <c r="N946" s="194">
        <f t="shared" si="14"/>
        <v>1.35</v>
      </c>
      <c r="O946" s="198">
        <f>_1_5412845612146241046457891017[[#This Row],[TOTAL]]*_1_5412845612146241046457891017[[#This Row],[MARGIN]]</f>
        <v>0</v>
      </c>
      <c r="P946" s="198"/>
      <c r="R946" s="41"/>
    </row>
    <row r="947" spans="4:18">
      <c r="D947" s="188"/>
      <c r="E947" s="42"/>
      <c r="F947" s="168" t="s">
        <v>6202</v>
      </c>
      <c r="G947" s="193">
        <f>IF(_1_5412845612146241046457891017[[#This Row],[Type]]&gt;0,VLOOKUP(_1_5412845612146241046457891017[[#This Row],[Type]],Main[[#All],[TYPE]:[UNIT]],'Unit Price'!C$1,FALSE),0)</f>
        <v>0</v>
      </c>
      <c r="H947" s="197">
        <f>IF(_1_5412845612146241046457891017[[#This Row],[Type]]&gt;0,VLOOKUP(_1_5412845612146241046457891017[[#This Row],[Type]],Main[[#All],[TYPE]:[UNIT]],'Unit Price'!D$1,FALSE),0)</f>
        <v>0</v>
      </c>
      <c r="I947" s="194">
        <f>IF(_1_5412845612146241046457891017[[#This Row],[Type]]&gt;0,VLOOKUP(_1_5412845612146241046457891017[[#This Row],[Type]],Main[[#All],[TYPE]:[UNIT]],'Unit Price'!G$1,FALSE),0)</f>
        <v>0</v>
      </c>
      <c r="J947" s="194">
        <f>IF(_1_5412845612146241046457891017[[#This Row],[Type]]&gt;0,VLOOKUP(_1_5412845612146241046457891017[[#This Row],[Type]],Main[[#All],[TYPE]:[UNIT]],'Unit Price'!H$1,FALSE),0)</f>
        <v>0</v>
      </c>
      <c r="K947" s="194">
        <f>IF(_1_5412845612146241046457891017[[#This Row],[Discount selection]]&gt;0,VLOOKUP(_1_5412845612146241046457891017[[#This Row],[Discount selection]],'Discount Structure'!$A$2:$B$30,2,"false"),0)</f>
        <v>1</v>
      </c>
      <c r="L947" s="194">
        <f>_1_5412845612146241046457891017[[#This Row],[LIST $]]*_1_5412845612146241046457891017[[#This Row],[DISCOUNT]]*_1_5412845612146241046457891017[[#This Row],[DISCOUNT 2]]</f>
        <v>0</v>
      </c>
      <c r="M947" s="194">
        <f>IF(OR(_1_5412845612146241046457891017[[#This Row],[UNIT]]&gt;0,_1_5412845612146241046457891017[[#This Row],[UNIT]]&lt;0),_1_5412845612146241046457891017[[#This Row],[UNIT]]*_1_5412845612146241046457891017[[#This Row],[COST]],0)</f>
        <v>0</v>
      </c>
      <c r="N947" s="194">
        <f t="shared" si="14"/>
        <v>1.35</v>
      </c>
      <c r="O947" s="198">
        <f>_1_5412845612146241046457891017[[#This Row],[TOTAL]]*_1_5412845612146241046457891017[[#This Row],[MARGIN]]</f>
        <v>0</v>
      </c>
      <c r="P947" s="198"/>
      <c r="R947" s="41"/>
    </row>
    <row r="948" spans="4:18">
      <c r="D948" s="188"/>
      <c r="E948" s="42"/>
      <c r="F948" s="168" t="s">
        <v>6202</v>
      </c>
      <c r="G948" s="193">
        <f>IF(_1_5412845612146241046457891017[[#This Row],[Type]]&gt;0,VLOOKUP(_1_5412845612146241046457891017[[#This Row],[Type]],Main[[#All],[TYPE]:[UNIT]],'Unit Price'!C$1,FALSE),0)</f>
        <v>0</v>
      </c>
      <c r="H948" s="197">
        <f>IF(_1_5412845612146241046457891017[[#This Row],[Type]]&gt;0,VLOOKUP(_1_5412845612146241046457891017[[#This Row],[Type]],Main[[#All],[TYPE]:[UNIT]],'Unit Price'!D$1,FALSE),0)</f>
        <v>0</v>
      </c>
      <c r="I948" s="194">
        <f>IF(_1_5412845612146241046457891017[[#This Row],[Type]]&gt;0,VLOOKUP(_1_5412845612146241046457891017[[#This Row],[Type]],Main[[#All],[TYPE]:[UNIT]],'Unit Price'!G$1,FALSE),0)</f>
        <v>0</v>
      </c>
      <c r="J948" s="194">
        <f>IF(_1_5412845612146241046457891017[[#This Row],[Type]]&gt;0,VLOOKUP(_1_5412845612146241046457891017[[#This Row],[Type]],Main[[#All],[TYPE]:[UNIT]],'Unit Price'!H$1,FALSE),0)</f>
        <v>0</v>
      </c>
      <c r="K948" s="194">
        <f>IF(_1_5412845612146241046457891017[[#This Row],[Discount selection]]&gt;0,VLOOKUP(_1_5412845612146241046457891017[[#This Row],[Discount selection]],'Discount Structure'!$A$2:$B$30,2,"false"),0)</f>
        <v>1</v>
      </c>
      <c r="L948" s="194">
        <f>_1_5412845612146241046457891017[[#This Row],[LIST $]]*_1_5412845612146241046457891017[[#This Row],[DISCOUNT]]*_1_5412845612146241046457891017[[#This Row],[DISCOUNT 2]]</f>
        <v>0</v>
      </c>
      <c r="M948" s="194">
        <f>IF(OR(_1_5412845612146241046457891017[[#This Row],[UNIT]]&gt;0,_1_5412845612146241046457891017[[#This Row],[UNIT]]&lt;0),_1_5412845612146241046457891017[[#This Row],[UNIT]]*_1_5412845612146241046457891017[[#This Row],[COST]],0)</f>
        <v>0</v>
      </c>
      <c r="N948" s="194">
        <f t="shared" si="14"/>
        <v>1.35</v>
      </c>
      <c r="O948" s="198">
        <f>_1_5412845612146241046457891017[[#This Row],[TOTAL]]*_1_5412845612146241046457891017[[#This Row],[MARGIN]]</f>
        <v>0</v>
      </c>
      <c r="P948" s="198"/>
      <c r="R948" s="41"/>
    </row>
    <row r="949" spans="4:18">
      <c r="D949" s="188"/>
      <c r="E949" s="42"/>
      <c r="F949" s="168" t="s">
        <v>6202</v>
      </c>
      <c r="G949" s="193">
        <f>IF(_1_5412845612146241046457891017[[#This Row],[Type]]&gt;0,VLOOKUP(_1_5412845612146241046457891017[[#This Row],[Type]],Main[[#All],[TYPE]:[UNIT]],'Unit Price'!C$1,FALSE),0)</f>
        <v>0</v>
      </c>
      <c r="H949" s="197">
        <f>IF(_1_5412845612146241046457891017[[#This Row],[Type]]&gt;0,VLOOKUP(_1_5412845612146241046457891017[[#This Row],[Type]],Main[[#All],[TYPE]:[UNIT]],'Unit Price'!D$1,FALSE),0)</f>
        <v>0</v>
      </c>
      <c r="I949" s="194">
        <f>IF(_1_5412845612146241046457891017[[#This Row],[Type]]&gt;0,VLOOKUP(_1_5412845612146241046457891017[[#This Row],[Type]],Main[[#All],[TYPE]:[UNIT]],'Unit Price'!G$1,FALSE),0)</f>
        <v>0</v>
      </c>
      <c r="J949" s="194">
        <f>IF(_1_5412845612146241046457891017[[#This Row],[Type]]&gt;0,VLOOKUP(_1_5412845612146241046457891017[[#This Row],[Type]],Main[[#All],[TYPE]:[UNIT]],'Unit Price'!H$1,FALSE),0)</f>
        <v>0</v>
      </c>
      <c r="K949" s="194">
        <f>IF(_1_5412845612146241046457891017[[#This Row],[Discount selection]]&gt;0,VLOOKUP(_1_5412845612146241046457891017[[#This Row],[Discount selection]],'Discount Structure'!$A$2:$B$30,2,"false"),0)</f>
        <v>1</v>
      </c>
      <c r="L949" s="194">
        <f>_1_5412845612146241046457891017[[#This Row],[LIST $]]*_1_5412845612146241046457891017[[#This Row],[DISCOUNT]]*_1_5412845612146241046457891017[[#This Row],[DISCOUNT 2]]</f>
        <v>0</v>
      </c>
      <c r="M949" s="194">
        <f>IF(OR(_1_5412845612146241046457891017[[#This Row],[UNIT]]&gt;0,_1_5412845612146241046457891017[[#This Row],[UNIT]]&lt;0),_1_5412845612146241046457891017[[#This Row],[UNIT]]*_1_5412845612146241046457891017[[#This Row],[COST]],0)</f>
        <v>0</v>
      </c>
      <c r="N949" s="194">
        <f t="shared" si="14"/>
        <v>1.35</v>
      </c>
      <c r="O949" s="198">
        <f>_1_5412845612146241046457891017[[#This Row],[TOTAL]]*_1_5412845612146241046457891017[[#This Row],[MARGIN]]</f>
        <v>0</v>
      </c>
      <c r="P949" s="198"/>
      <c r="R949" s="41"/>
    </row>
    <row r="950" spans="4:18">
      <c r="D950" s="188"/>
      <c r="E950" s="42"/>
      <c r="F950" s="168" t="s">
        <v>6202</v>
      </c>
      <c r="G950" s="193">
        <f>IF(_1_5412845612146241046457891017[[#This Row],[Type]]&gt;0,VLOOKUP(_1_5412845612146241046457891017[[#This Row],[Type]],Main[[#All],[TYPE]:[UNIT]],'Unit Price'!C$1,FALSE),0)</f>
        <v>0</v>
      </c>
      <c r="H950" s="197">
        <f>IF(_1_5412845612146241046457891017[[#This Row],[Type]]&gt;0,VLOOKUP(_1_5412845612146241046457891017[[#This Row],[Type]],Main[[#All],[TYPE]:[UNIT]],'Unit Price'!D$1,FALSE),0)</f>
        <v>0</v>
      </c>
      <c r="I950" s="194">
        <f>IF(_1_5412845612146241046457891017[[#This Row],[Type]]&gt;0,VLOOKUP(_1_5412845612146241046457891017[[#This Row],[Type]],Main[[#All],[TYPE]:[UNIT]],'Unit Price'!G$1,FALSE),0)</f>
        <v>0</v>
      </c>
      <c r="J950" s="194">
        <f>IF(_1_5412845612146241046457891017[[#This Row],[Type]]&gt;0,VLOOKUP(_1_5412845612146241046457891017[[#This Row],[Type]],Main[[#All],[TYPE]:[UNIT]],'Unit Price'!H$1,FALSE),0)</f>
        <v>0</v>
      </c>
      <c r="K950" s="194">
        <f>IF(_1_5412845612146241046457891017[[#This Row],[Discount selection]]&gt;0,VLOOKUP(_1_5412845612146241046457891017[[#This Row],[Discount selection]],'Discount Structure'!$A$2:$B$30,2,"false"),0)</f>
        <v>1</v>
      </c>
      <c r="L950" s="194">
        <f>_1_5412845612146241046457891017[[#This Row],[LIST $]]*_1_5412845612146241046457891017[[#This Row],[DISCOUNT]]*_1_5412845612146241046457891017[[#This Row],[DISCOUNT 2]]</f>
        <v>0</v>
      </c>
      <c r="M950" s="194">
        <f>IF(OR(_1_5412845612146241046457891017[[#This Row],[UNIT]]&gt;0,_1_5412845612146241046457891017[[#This Row],[UNIT]]&lt;0),_1_5412845612146241046457891017[[#This Row],[UNIT]]*_1_5412845612146241046457891017[[#This Row],[COST]],0)</f>
        <v>0</v>
      </c>
      <c r="N950" s="194">
        <f t="shared" si="14"/>
        <v>1.35</v>
      </c>
      <c r="O950" s="198">
        <f>_1_5412845612146241046457891017[[#This Row],[TOTAL]]*_1_5412845612146241046457891017[[#This Row],[MARGIN]]</f>
        <v>0</v>
      </c>
      <c r="P950" s="198"/>
      <c r="R950" s="41"/>
    </row>
    <row r="951" spans="4:18">
      <c r="D951" s="188"/>
      <c r="E951" s="42"/>
      <c r="F951" s="168" t="s">
        <v>6202</v>
      </c>
      <c r="G951" s="193">
        <f>IF(_1_5412845612146241046457891017[[#This Row],[Type]]&gt;0,VLOOKUP(_1_5412845612146241046457891017[[#This Row],[Type]],Main[[#All],[TYPE]:[UNIT]],'Unit Price'!C$1,FALSE),0)</f>
        <v>0</v>
      </c>
      <c r="H951" s="197">
        <f>IF(_1_5412845612146241046457891017[[#This Row],[Type]]&gt;0,VLOOKUP(_1_5412845612146241046457891017[[#This Row],[Type]],Main[[#All],[TYPE]:[UNIT]],'Unit Price'!D$1,FALSE),0)</f>
        <v>0</v>
      </c>
      <c r="I951" s="194">
        <f>IF(_1_5412845612146241046457891017[[#This Row],[Type]]&gt;0,VLOOKUP(_1_5412845612146241046457891017[[#This Row],[Type]],Main[[#All],[TYPE]:[UNIT]],'Unit Price'!G$1,FALSE),0)</f>
        <v>0</v>
      </c>
      <c r="J951" s="194">
        <f>IF(_1_5412845612146241046457891017[[#This Row],[Type]]&gt;0,VLOOKUP(_1_5412845612146241046457891017[[#This Row],[Type]],Main[[#All],[TYPE]:[UNIT]],'Unit Price'!H$1,FALSE),0)</f>
        <v>0</v>
      </c>
      <c r="K951" s="194">
        <f>IF(_1_5412845612146241046457891017[[#This Row],[Discount selection]]&gt;0,VLOOKUP(_1_5412845612146241046457891017[[#This Row],[Discount selection]],'Discount Structure'!$A$2:$B$30,2,"false"),0)</f>
        <v>1</v>
      </c>
      <c r="L951" s="194">
        <f>_1_5412845612146241046457891017[[#This Row],[LIST $]]*_1_5412845612146241046457891017[[#This Row],[DISCOUNT]]*_1_5412845612146241046457891017[[#This Row],[DISCOUNT 2]]</f>
        <v>0</v>
      </c>
      <c r="M951" s="194">
        <f>IF(OR(_1_5412845612146241046457891017[[#This Row],[UNIT]]&gt;0,_1_5412845612146241046457891017[[#This Row],[UNIT]]&lt;0),_1_5412845612146241046457891017[[#This Row],[UNIT]]*_1_5412845612146241046457891017[[#This Row],[COST]],0)</f>
        <v>0</v>
      </c>
      <c r="N951" s="194">
        <f t="shared" si="14"/>
        <v>1.35</v>
      </c>
      <c r="O951" s="198">
        <f>_1_5412845612146241046457891017[[#This Row],[TOTAL]]*_1_5412845612146241046457891017[[#This Row],[MARGIN]]</f>
        <v>0</v>
      </c>
      <c r="P951" s="198"/>
      <c r="R951" s="41"/>
    </row>
    <row r="952" spans="4:18">
      <c r="D952" s="188"/>
      <c r="E952" s="42"/>
      <c r="F952" s="168" t="s">
        <v>6202</v>
      </c>
      <c r="G952" s="193">
        <f>IF(_1_5412845612146241046457891017[[#This Row],[Type]]&gt;0,VLOOKUP(_1_5412845612146241046457891017[[#This Row],[Type]],Main[[#All],[TYPE]:[UNIT]],'Unit Price'!C$1,FALSE),0)</f>
        <v>0</v>
      </c>
      <c r="H952" s="197">
        <f>IF(_1_5412845612146241046457891017[[#This Row],[Type]]&gt;0,VLOOKUP(_1_5412845612146241046457891017[[#This Row],[Type]],Main[[#All],[TYPE]:[UNIT]],'Unit Price'!D$1,FALSE),0)</f>
        <v>0</v>
      </c>
      <c r="I952" s="194">
        <f>IF(_1_5412845612146241046457891017[[#This Row],[Type]]&gt;0,VLOOKUP(_1_5412845612146241046457891017[[#This Row],[Type]],Main[[#All],[TYPE]:[UNIT]],'Unit Price'!G$1,FALSE),0)</f>
        <v>0</v>
      </c>
      <c r="J952" s="194">
        <f>IF(_1_5412845612146241046457891017[[#This Row],[Type]]&gt;0,VLOOKUP(_1_5412845612146241046457891017[[#This Row],[Type]],Main[[#All],[TYPE]:[UNIT]],'Unit Price'!H$1,FALSE),0)</f>
        <v>0</v>
      </c>
      <c r="K952" s="194">
        <f>IF(_1_5412845612146241046457891017[[#This Row],[Discount selection]]&gt;0,VLOOKUP(_1_5412845612146241046457891017[[#This Row],[Discount selection]],'Discount Structure'!$A$2:$B$30,2,"false"),0)</f>
        <v>1</v>
      </c>
      <c r="L952" s="194">
        <f>_1_5412845612146241046457891017[[#This Row],[LIST $]]*_1_5412845612146241046457891017[[#This Row],[DISCOUNT]]*_1_5412845612146241046457891017[[#This Row],[DISCOUNT 2]]</f>
        <v>0</v>
      </c>
      <c r="M952" s="194">
        <f>IF(OR(_1_5412845612146241046457891017[[#This Row],[UNIT]]&gt;0,_1_5412845612146241046457891017[[#This Row],[UNIT]]&lt;0),_1_5412845612146241046457891017[[#This Row],[UNIT]]*_1_5412845612146241046457891017[[#This Row],[COST]],0)</f>
        <v>0</v>
      </c>
      <c r="N952" s="194">
        <f t="shared" si="14"/>
        <v>1.35</v>
      </c>
      <c r="O952" s="198">
        <f>_1_5412845612146241046457891017[[#This Row],[TOTAL]]*_1_5412845612146241046457891017[[#This Row],[MARGIN]]</f>
        <v>0</v>
      </c>
      <c r="P952" s="198"/>
      <c r="R952" s="41"/>
    </row>
    <row r="953" spans="4:18">
      <c r="D953" s="188"/>
      <c r="E953" s="42"/>
      <c r="F953" s="168" t="s">
        <v>6202</v>
      </c>
      <c r="G953" s="193">
        <f>IF(_1_5412845612146241046457891017[[#This Row],[Type]]&gt;0,VLOOKUP(_1_5412845612146241046457891017[[#This Row],[Type]],Main[[#All],[TYPE]:[UNIT]],'Unit Price'!C$1,FALSE),0)</f>
        <v>0</v>
      </c>
      <c r="H953" s="197">
        <f>IF(_1_5412845612146241046457891017[[#This Row],[Type]]&gt;0,VLOOKUP(_1_5412845612146241046457891017[[#This Row],[Type]],Main[[#All],[TYPE]:[UNIT]],'Unit Price'!D$1,FALSE),0)</f>
        <v>0</v>
      </c>
      <c r="I953" s="194">
        <f>IF(_1_5412845612146241046457891017[[#This Row],[Type]]&gt;0,VLOOKUP(_1_5412845612146241046457891017[[#This Row],[Type]],Main[[#All],[TYPE]:[UNIT]],'Unit Price'!G$1,FALSE),0)</f>
        <v>0</v>
      </c>
      <c r="J953" s="194">
        <f>IF(_1_5412845612146241046457891017[[#This Row],[Type]]&gt;0,VLOOKUP(_1_5412845612146241046457891017[[#This Row],[Type]],Main[[#All],[TYPE]:[UNIT]],'Unit Price'!H$1,FALSE),0)</f>
        <v>0</v>
      </c>
      <c r="K953" s="194">
        <f>IF(_1_5412845612146241046457891017[[#This Row],[Discount selection]]&gt;0,VLOOKUP(_1_5412845612146241046457891017[[#This Row],[Discount selection]],'Discount Structure'!$A$2:$B$30,2,"false"),0)</f>
        <v>1</v>
      </c>
      <c r="L953" s="194">
        <f>_1_5412845612146241046457891017[[#This Row],[LIST $]]*_1_5412845612146241046457891017[[#This Row],[DISCOUNT]]*_1_5412845612146241046457891017[[#This Row],[DISCOUNT 2]]</f>
        <v>0</v>
      </c>
      <c r="M953" s="194">
        <f>IF(OR(_1_5412845612146241046457891017[[#This Row],[UNIT]]&gt;0,_1_5412845612146241046457891017[[#This Row],[UNIT]]&lt;0),_1_5412845612146241046457891017[[#This Row],[UNIT]]*_1_5412845612146241046457891017[[#This Row],[COST]],0)</f>
        <v>0</v>
      </c>
      <c r="N953" s="194">
        <f t="shared" si="14"/>
        <v>1.35</v>
      </c>
      <c r="O953" s="198">
        <f>_1_5412845612146241046457891017[[#This Row],[TOTAL]]*_1_5412845612146241046457891017[[#This Row],[MARGIN]]</f>
        <v>0</v>
      </c>
      <c r="P953" s="198"/>
      <c r="R953" s="41"/>
    </row>
    <row r="954" spans="4:18">
      <c r="D954" s="188"/>
      <c r="E954" s="42"/>
      <c r="F954" s="168" t="s">
        <v>6202</v>
      </c>
      <c r="G954" s="193">
        <f>IF(_1_5412845612146241046457891017[[#This Row],[Type]]&gt;0,VLOOKUP(_1_5412845612146241046457891017[[#This Row],[Type]],Main[[#All],[TYPE]:[UNIT]],'Unit Price'!C$1,FALSE),0)</f>
        <v>0</v>
      </c>
      <c r="H954" s="197">
        <f>IF(_1_5412845612146241046457891017[[#This Row],[Type]]&gt;0,VLOOKUP(_1_5412845612146241046457891017[[#This Row],[Type]],Main[[#All],[TYPE]:[UNIT]],'Unit Price'!D$1,FALSE),0)</f>
        <v>0</v>
      </c>
      <c r="I954" s="194">
        <f>IF(_1_5412845612146241046457891017[[#This Row],[Type]]&gt;0,VLOOKUP(_1_5412845612146241046457891017[[#This Row],[Type]],Main[[#All],[TYPE]:[UNIT]],'Unit Price'!G$1,FALSE),0)</f>
        <v>0</v>
      </c>
      <c r="J954" s="194">
        <f>IF(_1_5412845612146241046457891017[[#This Row],[Type]]&gt;0,VLOOKUP(_1_5412845612146241046457891017[[#This Row],[Type]],Main[[#All],[TYPE]:[UNIT]],'Unit Price'!H$1,FALSE),0)</f>
        <v>0</v>
      </c>
      <c r="K954" s="194">
        <f>IF(_1_5412845612146241046457891017[[#This Row],[Discount selection]]&gt;0,VLOOKUP(_1_5412845612146241046457891017[[#This Row],[Discount selection]],'Discount Structure'!$A$2:$B$30,2,"false"),0)</f>
        <v>1</v>
      </c>
      <c r="L954" s="194">
        <f>_1_5412845612146241046457891017[[#This Row],[LIST $]]*_1_5412845612146241046457891017[[#This Row],[DISCOUNT]]*_1_5412845612146241046457891017[[#This Row],[DISCOUNT 2]]</f>
        <v>0</v>
      </c>
      <c r="M954" s="194">
        <f>IF(OR(_1_5412845612146241046457891017[[#This Row],[UNIT]]&gt;0,_1_5412845612146241046457891017[[#This Row],[UNIT]]&lt;0),_1_5412845612146241046457891017[[#This Row],[UNIT]]*_1_5412845612146241046457891017[[#This Row],[COST]],0)</f>
        <v>0</v>
      </c>
      <c r="N954" s="194">
        <f t="shared" si="14"/>
        <v>1.35</v>
      </c>
      <c r="O954" s="198">
        <f>_1_5412845612146241046457891017[[#This Row],[TOTAL]]*_1_5412845612146241046457891017[[#This Row],[MARGIN]]</f>
        <v>0</v>
      </c>
      <c r="P954" s="198"/>
      <c r="R954" s="41"/>
    </row>
    <row r="955" spans="4:18">
      <c r="D955" s="188"/>
      <c r="E955" s="42"/>
      <c r="F955" s="168" t="s">
        <v>6202</v>
      </c>
      <c r="G955" s="193">
        <f>IF(_1_5412845612146241046457891017[[#This Row],[Type]]&gt;0,VLOOKUP(_1_5412845612146241046457891017[[#This Row],[Type]],Main[[#All],[TYPE]:[UNIT]],'Unit Price'!C$1,FALSE),0)</f>
        <v>0</v>
      </c>
      <c r="H955" s="197">
        <f>IF(_1_5412845612146241046457891017[[#This Row],[Type]]&gt;0,VLOOKUP(_1_5412845612146241046457891017[[#This Row],[Type]],Main[[#All],[TYPE]:[UNIT]],'Unit Price'!D$1,FALSE),0)</f>
        <v>0</v>
      </c>
      <c r="I955" s="194">
        <f>IF(_1_5412845612146241046457891017[[#This Row],[Type]]&gt;0,VLOOKUP(_1_5412845612146241046457891017[[#This Row],[Type]],Main[[#All],[TYPE]:[UNIT]],'Unit Price'!G$1,FALSE),0)</f>
        <v>0</v>
      </c>
      <c r="J955" s="194">
        <f>IF(_1_5412845612146241046457891017[[#This Row],[Type]]&gt;0,VLOOKUP(_1_5412845612146241046457891017[[#This Row],[Type]],Main[[#All],[TYPE]:[UNIT]],'Unit Price'!H$1,FALSE),0)</f>
        <v>0</v>
      </c>
      <c r="K955" s="194">
        <f>IF(_1_5412845612146241046457891017[[#This Row],[Discount selection]]&gt;0,VLOOKUP(_1_5412845612146241046457891017[[#This Row],[Discount selection]],'Discount Structure'!$A$2:$B$30,2,"false"),0)</f>
        <v>1</v>
      </c>
      <c r="L955" s="194">
        <f>_1_5412845612146241046457891017[[#This Row],[LIST $]]*_1_5412845612146241046457891017[[#This Row],[DISCOUNT]]*_1_5412845612146241046457891017[[#This Row],[DISCOUNT 2]]</f>
        <v>0</v>
      </c>
      <c r="M955" s="194">
        <f>IF(OR(_1_5412845612146241046457891017[[#This Row],[UNIT]]&gt;0,_1_5412845612146241046457891017[[#This Row],[UNIT]]&lt;0),_1_5412845612146241046457891017[[#This Row],[UNIT]]*_1_5412845612146241046457891017[[#This Row],[COST]],0)</f>
        <v>0</v>
      </c>
      <c r="N955" s="194">
        <f t="shared" si="14"/>
        <v>1.35</v>
      </c>
      <c r="O955" s="198">
        <f>_1_5412845612146241046457891017[[#This Row],[TOTAL]]*_1_5412845612146241046457891017[[#This Row],[MARGIN]]</f>
        <v>0</v>
      </c>
      <c r="P955" s="198"/>
      <c r="R955" s="41"/>
    </row>
    <row r="956" spans="4:18">
      <c r="D956" s="188"/>
      <c r="E956" s="42"/>
      <c r="F956" s="168" t="s">
        <v>6202</v>
      </c>
      <c r="G956" s="193">
        <f>IF(_1_5412845612146241046457891017[[#This Row],[Type]]&gt;0,VLOOKUP(_1_5412845612146241046457891017[[#This Row],[Type]],Main[[#All],[TYPE]:[UNIT]],'Unit Price'!C$1,FALSE),0)</f>
        <v>0</v>
      </c>
      <c r="H956" s="197">
        <f>IF(_1_5412845612146241046457891017[[#This Row],[Type]]&gt;0,VLOOKUP(_1_5412845612146241046457891017[[#This Row],[Type]],Main[[#All],[TYPE]:[UNIT]],'Unit Price'!D$1,FALSE),0)</f>
        <v>0</v>
      </c>
      <c r="I956" s="194">
        <f>IF(_1_5412845612146241046457891017[[#This Row],[Type]]&gt;0,VLOOKUP(_1_5412845612146241046457891017[[#This Row],[Type]],Main[[#All],[TYPE]:[UNIT]],'Unit Price'!G$1,FALSE),0)</f>
        <v>0</v>
      </c>
      <c r="J956" s="194">
        <f>IF(_1_5412845612146241046457891017[[#This Row],[Type]]&gt;0,VLOOKUP(_1_5412845612146241046457891017[[#This Row],[Type]],Main[[#All],[TYPE]:[UNIT]],'Unit Price'!H$1,FALSE),0)</f>
        <v>0</v>
      </c>
      <c r="K956" s="194">
        <f>IF(_1_5412845612146241046457891017[[#This Row],[Discount selection]]&gt;0,VLOOKUP(_1_5412845612146241046457891017[[#This Row],[Discount selection]],'Discount Structure'!$A$2:$B$30,2,"false"),0)</f>
        <v>1</v>
      </c>
      <c r="L956" s="194">
        <f>_1_5412845612146241046457891017[[#This Row],[LIST $]]*_1_5412845612146241046457891017[[#This Row],[DISCOUNT]]*_1_5412845612146241046457891017[[#This Row],[DISCOUNT 2]]</f>
        <v>0</v>
      </c>
      <c r="M956" s="194">
        <f>IF(OR(_1_5412845612146241046457891017[[#This Row],[UNIT]]&gt;0,_1_5412845612146241046457891017[[#This Row],[UNIT]]&lt;0),_1_5412845612146241046457891017[[#This Row],[UNIT]]*_1_5412845612146241046457891017[[#This Row],[COST]],0)</f>
        <v>0</v>
      </c>
      <c r="N956" s="194">
        <f t="shared" si="14"/>
        <v>1.35</v>
      </c>
      <c r="O956" s="198">
        <f>_1_5412845612146241046457891017[[#This Row],[TOTAL]]*_1_5412845612146241046457891017[[#This Row],[MARGIN]]</f>
        <v>0</v>
      </c>
      <c r="P956" s="198"/>
      <c r="R956" s="41"/>
    </row>
    <row r="957" spans="4:18">
      <c r="D957" s="188"/>
      <c r="E957" s="42"/>
      <c r="F957" s="168" t="s">
        <v>6202</v>
      </c>
      <c r="G957" s="193">
        <f>IF(_1_5412845612146241046457891017[[#This Row],[Type]]&gt;0,VLOOKUP(_1_5412845612146241046457891017[[#This Row],[Type]],Main[[#All],[TYPE]:[UNIT]],'Unit Price'!C$1,FALSE),0)</f>
        <v>0</v>
      </c>
      <c r="H957" s="197">
        <f>IF(_1_5412845612146241046457891017[[#This Row],[Type]]&gt;0,VLOOKUP(_1_5412845612146241046457891017[[#This Row],[Type]],Main[[#All],[TYPE]:[UNIT]],'Unit Price'!D$1,FALSE),0)</f>
        <v>0</v>
      </c>
      <c r="I957" s="194">
        <f>IF(_1_5412845612146241046457891017[[#This Row],[Type]]&gt;0,VLOOKUP(_1_5412845612146241046457891017[[#This Row],[Type]],Main[[#All],[TYPE]:[UNIT]],'Unit Price'!G$1,FALSE),0)</f>
        <v>0</v>
      </c>
      <c r="J957" s="194">
        <f>IF(_1_5412845612146241046457891017[[#This Row],[Type]]&gt;0,VLOOKUP(_1_5412845612146241046457891017[[#This Row],[Type]],Main[[#All],[TYPE]:[UNIT]],'Unit Price'!H$1,FALSE),0)</f>
        <v>0</v>
      </c>
      <c r="K957" s="194">
        <f>IF(_1_5412845612146241046457891017[[#This Row],[Discount selection]]&gt;0,VLOOKUP(_1_5412845612146241046457891017[[#This Row],[Discount selection]],'Discount Structure'!$A$2:$B$30,2,"false"),0)</f>
        <v>1</v>
      </c>
      <c r="L957" s="194">
        <f>_1_5412845612146241046457891017[[#This Row],[LIST $]]*_1_5412845612146241046457891017[[#This Row],[DISCOUNT]]*_1_5412845612146241046457891017[[#This Row],[DISCOUNT 2]]</f>
        <v>0</v>
      </c>
      <c r="M957" s="194">
        <f>IF(OR(_1_5412845612146241046457891017[[#This Row],[UNIT]]&gt;0,_1_5412845612146241046457891017[[#This Row],[UNIT]]&lt;0),_1_5412845612146241046457891017[[#This Row],[UNIT]]*_1_5412845612146241046457891017[[#This Row],[COST]],0)</f>
        <v>0</v>
      </c>
      <c r="N957" s="194">
        <f t="shared" si="14"/>
        <v>1.35</v>
      </c>
      <c r="O957" s="198">
        <f>_1_5412845612146241046457891017[[#This Row],[TOTAL]]*_1_5412845612146241046457891017[[#This Row],[MARGIN]]</f>
        <v>0</v>
      </c>
      <c r="P957" s="198"/>
      <c r="R957" s="41"/>
    </row>
    <row r="958" spans="4:18">
      <c r="D958" s="188"/>
      <c r="E958" s="42"/>
      <c r="F958" s="168" t="s">
        <v>6202</v>
      </c>
      <c r="G958" s="193">
        <f>IF(_1_5412845612146241046457891017[[#This Row],[Type]]&gt;0,VLOOKUP(_1_5412845612146241046457891017[[#This Row],[Type]],Main[[#All],[TYPE]:[UNIT]],'Unit Price'!C$1,FALSE),0)</f>
        <v>0</v>
      </c>
      <c r="H958" s="197">
        <f>IF(_1_5412845612146241046457891017[[#This Row],[Type]]&gt;0,VLOOKUP(_1_5412845612146241046457891017[[#This Row],[Type]],Main[[#All],[TYPE]:[UNIT]],'Unit Price'!D$1,FALSE),0)</f>
        <v>0</v>
      </c>
      <c r="I958" s="194">
        <f>IF(_1_5412845612146241046457891017[[#This Row],[Type]]&gt;0,VLOOKUP(_1_5412845612146241046457891017[[#This Row],[Type]],Main[[#All],[TYPE]:[UNIT]],'Unit Price'!G$1,FALSE),0)</f>
        <v>0</v>
      </c>
      <c r="J958" s="194">
        <f>IF(_1_5412845612146241046457891017[[#This Row],[Type]]&gt;0,VLOOKUP(_1_5412845612146241046457891017[[#This Row],[Type]],Main[[#All],[TYPE]:[UNIT]],'Unit Price'!H$1,FALSE),0)</f>
        <v>0</v>
      </c>
      <c r="K958" s="194">
        <f>IF(_1_5412845612146241046457891017[[#This Row],[Discount selection]]&gt;0,VLOOKUP(_1_5412845612146241046457891017[[#This Row],[Discount selection]],'Discount Structure'!$A$2:$B$30,2,"false"),0)</f>
        <v>1</v>
      </c>
      <c r="L958" s="194">
        <f>_1_5412845612146241046457891017[[#This Row],[LIST $]]*_1_5412845612146241046457891017[[#This Row],[DISCOUNT]]*_1_5412845612146241046457891017[[#This Row],[DISCOUNT 2]]</f>
        <v>0</v>
      </c>
      <c r="M958" s="194">
        <f>IF(OR(_1_5412845612146241046457891017[[#This Row],[UNIT]]&gt;0,_1_5412845612146241046457891017[[#This Row],[UNIT]]&lt;0),_1_5412845612146241046457891017[[#This Row],[UNIT]]*_1_5412845612146241046457891017[[#This Row],[COST]],0)</f>
        <v>0</v>
      </c>
      <c r="N958" s="194">
        <f t="shared" si="14"/>
        <v>1.35</v>
      </c>
      <c r="O958" s="198">
        <f>_1_5412845612146241046457891017[[#This Row],[TOTAL]]*_1_5412845612146241046457891017[[#This Row],[MARGIN]]</f>
        <v>0</v>
      </c>
      <c r="P958" s="198"/>
      <c r="R958" s="41"/>
    </row>
    <row r="959" spans="4:18">
      <c r="D959" s="188"/>
      <c r="E959" s="42"/>
      <c r="F959" s="168" t="s">
        <v>6202</v>
      </c>
      <c r="G959" s="193">
        <f>IF(_1_5412845612146241046457891017[[#This Row],[Type]]&gt;0,VLOOKUP(_1_5412845612146241046457891017[[#This Row],[Type]],Main[[#All],[TYPE]:[UNIT]],'Unit Price'!C$1,FALSE),0)</f>
        <v>0</v>
      </c>
      <c r="H959" s="197">
        <f>IF(_1_5412845612146241046457891017[[#This Row],[Type]]&gt;0,VLOOKUP(_1_5412845612146241046457891017[[#This Row],[Type]],Main[[#All],[TYPE]:[UNIT]],'Unit Price'!D$1,FALSE),0)</f>
        <v>0</v>
      </c>
      <c r="I959" s="194">
        <f>IF(_1_5412845612146241046457891017[[#This Row],[Type]]&gt;0,VLOOKUP(_1_5412845612146241046457891017[[#This Row],[Type]],Main[[#All],[TYPE]:[UNIT]],'Unit Price'!G$1,FALSE),0)</f>
        <v>0</v>
      </c>
      <c r="J959" s="194">
        <f>IF(_1_5412845612146241046457891017[[#This Row],[Type]]&gt;0,VLOOKUP(_1_5412845612146241046457891017[[#This Row],[Type]],Main[[#All],[TYPE]:[UNIT]],'Unit Price'!H$1,FALSE),0)</f>
        <v>0</v>
      </c>
      <c r="K959" s="194">
        <f>IF(_1_5412845612146241046457891017[[#This Row],[Discount selection]]&gt;0,VLOOKUP(_1_5412845612146241046457891017[[#This Row],[Discount selection]],'Discount Structure'!$A$2:$B$30,2,"false"),0)</f>
        <v>1</v>
      </c>
      <c r="L959" s="194">
        <f>_1_5412845612146241046457891017[[#This Row],[LIST $]]*_1_5412845612146241046457891017[[#This Row],[DISCOUNT]]*_1_5412845612146241046457891017[[#This Row],[DISCOUNT 2]]</f>
        <v>0</v>
      </c>
      <c r="M959" s="194">
        <f>IF(OR(_1_5412845612146241046457891017[[#This Row],[UNIT]]&gt;0,_1_5412845612146241046457891017[[#This Row],[UNIT]]&lt;0),_1_5412845612146241046457891017[[#This Row],[UNIT]]*_1_5412845612146241046457891017[[#This Row],[COST]],0)</f>
        <v>0</v>
      </c>
      <c r="N959" s="194">
        <f t="shared" si="14"/>
        <v>1.35</v>
      </c>
      <c r="O959" s="198">
        <f>_1_5412845612146241046457891017[[#This Row],[TOTAL]]*_1_5412845612146241046457891017[[#This Row],[MARGIN]]</f>
        <v>0</v>
      </c>
      <c r="P959" s="198"/>
      <c r="R959" s="41"/>
    </row>
    <row r="960" spans="4:18">
      <c r="D960" s="188"/>
      <c r="E960" s="42"/>
      <c r="F960" s="168" t="s">
        <v>6202</v>
      </c>
      <c r="G960" s="193">
        <f>IF(_1_5412845612146241046457891017[[#This Row],[Type]]&gt;0,VLOOKUP(_1_5412845612146241046457891017[[#This Row],[Type]],Main[[#All],[TYPE]:[UNIT]],'Unit Price'!C$1,FALSE),0)</f>
        <v>0</v>
      </c>
      <c r="H960" s="197">
        <f>IF(_1_5412845612146241046457891017[[#This Row],[Type]]&gt;0,VLOOKUP(_1_5412845612146241046457891017[[#This Row],[Type]],Main[[#All],[TYPE]:[UNIT]],'Unit Price'!D$1,FALSE),0)</f>
        <v>0</v>
      </c>
      <c r="I960" s="194">
        <f>IF(_1_5412845612146241046457891017[[#This Row],[Type]]&gt;0,VLOOKUP(_1_5412845612146241046457891017[[#This Row],[Type]],Main[[#All],[TYPE]:[UNIT]],'Unit Price'!G$1,FALSE),0)</f>
        <v>0</v>
      </c>
      <c r="J960" s="194">
        <f>IF(_1_5412845612146241046457891017[[#This Row],[Type]]&gt;0,VLOOKUP(_1_5412845612146241046457891017[[#This Row],[Type]],Main[[#All],[TYPE]:[UNIT]],'Unit Price'!H$1,FALSE),0)</f>
        <v>0</v>
      </c>
      <c r="K960" s="194">
        <f>IF(_1_5412845612146241046457891017[[#This Row],[Discount selection]]&gt;0,VLOOKUP(_1_5412845612146241046457891017[[#This Row],[Discount selection]],'Discount Structure'!$A$2:$B$30,2,"false"),0)</f>
        <v>1</v>
      </c>
      <c r="L960" s="194">
        <f>_1_5412845612146241046457891017[[#This Row],[LIST $]]*_1_5412845612146241046457891017[[#This Row],[DISCOUNT]]*_1_5412845612146241046457891017[[#This Row],[DISCOUNT 2]]</f>
        <v>0</v>
      </c>
      <c r="M960" s="194">
        <f>IF(OR(_1_5412845612146241046457891017[[#This Row],[UNIT]]&gt;0,_1_5412845612146241046457891017[[#This Row],[UNIT]]&lt;0),_1_5412845612146241046457891017[[#This Row],[UNIT]]*_1_5412845612146241046457891017[[#This Row],[COST]],0)</f>
        <v>0</v>
      </c>
      <c r="N960" s="194">
        <f t="shared" si="14"/>
        <v>1.35</v>
      </c>
      <c r="O960" s="198">
        <f>_1_5412845612146241046457891017[[#This Row],[TOTAL]]*_1_5412845612146241046457891017[[#This Row],[MARGIN]]</f>
        <v>0</v>
      </c>
      <c r="P960" s="198"/>
      <c r="R960" s="41"/>
    </row>
    <row r="961" spans="4:18">
      <c r="D961" s="188"/>
      <c r="E961" s="42"/>
      <c r="F961" s="168" t="s">
        <v>6202</v>
      </c>
      <c r="G961" s="193">
        <f>IF(_1_5412845612146241046457891017[[#This Row],[Type]]&gt;0,VLOOKUP(_1_5412845612146241046457891017[[#This Row],[Type]],Main[[#All],[TYPE]:[UNIT]],'Unit Price'!C$1,FALSE),0)</f>
        <v>0</v>
      </c>
      <c r="H961" s="197">
        <f>IF(_1_5412845612146241046457891017[[#This Row],[Type]]&gt;0,VLOOKUP(_1_5412845612146241046457891017[[#This Row],[Type]],Main[[#All],[TYPE]:[UNIT]],'Unit Price'!D$1,FALSE),0)</f>
        <v>0</v>
      </c>
      <c r="I961" s="194">
        <f>IF(_1_5412845612146241046457891017[[#This Row],[Type]]&gt;0,VLOOKUP(_1_5412845612146241046457891017[[#This Row],[Type]],Main[[#All],[TYPE]:[UNIT]],'Unit Price'!G$1,FALSE),0)</f>
        <v>0</v>
      </c>
      <c r="J961" s="194">
        <f>IF(_1_5412845612146241046457891017[[#This Row],[Type]]&gt;0,VLOOKUP(_1_5412845612146241046457891017[[#This Row],[Type]],Main[[#All],[TYPE]:[UNIT]],'Unit Price'!H$1,FALSE),0)</f>
        <v>0</v>
      </c>
      <c r="K961" s="194">
        <f>IF(_1_5412845612146241046457891017[[#This Row],[Discount selection]]&gt;0,VLOOKUP(_1_5412845612146241046457891017[[#This Row],[Discount selection]],'Discount Structure'!$A$2:$B$30,2,"false"),0)</f>
        <v>1</v>
      </c>
      <c r="L961" s="194">
        <f>_1_5412845612146241046457891017[[#This Row],[LIST $]]*_1_5412845612146241046457891017[[#This Row],[DISCOUNT]]*_1_5412845612146241046457891017[[#This Row],[DISCOUNT 2]]</f>
        <v>0</v>
      </c>
      <c r="M961" s="194">
        <f>IF(OR(_1_5412845612146241046457891017[[#This Row],[UNIT]]&gt;0,_1_5412845612146241046457891017[[#This Row],[UNIT]]&lt;0),_1_5412845612146241046457891017[[#This Row],[UNIT]]*_1_5412845612146241046457891017[[#This Row],[COST]],0)</f>
        <v>0</v>
      </c>
      <c r="N961" s="194">
        <f t="shared" si="14"/>
        <v>1.35</v>
      </c>
      <c r="O961" s="198">
        <f>_1_5412845612146241046457891017[[#This Row],[TOTAL]]*_1_5412845612146241046457891017[[#This Row],[MARGIN]]</f>
        <v>0</v>
      </c>
      <c r="P961" s="198"/>
      <c r="R961" s="41"/>
    </row>
    <row r="962" spans="4:18">
      <c r="D962" s="188"/>
      <c r="E962" s="42"/>
      <c r="F962" s="168" t="s">
        <v>6202</v>
      </c>
      <c r="G962" s="193">
        <f>IF(_1_5412845612146241046457891017[[#This Row],[Type]]&gt;0,VLOOKUP(_1_5412845612146241046457891017[[#This Row],[Type]],Main[[#All],[TYPE]:[UNIT]],'Unit Price'!C$1,FALSE),0)</f>
        <v>0</v>
      </c>
      <c r="H962" s="197">
        <f>IF(_1_5412845612146241046457891017[[#This Row],[Type]]&gt;0,VLOOKUP(_1_5412845612146241046457891017[[#This Row],[Type]],Main[[#All],[TYPE]:[UNIT]],'Unit Price'!D$1,FALSE),0)</f>
        <v>0</v>
      </c>
      <c r="I962" s="194">
        <f>IF(_1_5412845612146241046457891017[[#This Row],[Type]]&gt;0,VLOOKUP(_1_5412845612146241046457891017[[#This Row],[Type]],Main[[#All],[TYPE]:[UNIT]],'Unit Price'!G$1,FALSE),0)</f>
        <v>0</v>
      </c>
      <c r="J962" s="194">
        <f>IF(_1_5412845612146241046457891017[[#This Row],[Type]]&gt;0,VLOOKUP(_1_5412845612146241046457891017[[#This Row],[Type]],Main[[#All],[TYPE]:[UNIT]],'Unit Price'!H$1,FALSE),0)</f>
        <v>0</v>
      </c>
      <c r="K962" s="194">
        <f>IF(_1_5412845612146241046457891017[[#This Row],[Discount selection]]&gt;0,VLOOKUP(_1_5412845612146241046457891017[[#This Row],[Discount selection]],'Discount Structure'!$A$2:$B$30,2,"false"),0)</f>
        <v>1</v>
      </c>
      <c r="L962" s="194">
        <f>_1_5412845612146241046457891017[[#This Row],[LIST $]]*_1_5412845612146241046457891017[[#This Row],[DISCOUNT]]*_1_5412845612146241046457891017[[#This Row],[DISCOUNT 2]]</f>
        <v>0</v>
      </c>
      <c r="M962" s="194">
        <f>IF(OR(_1_5412845612146241046457891017[[#This Row],[UNIT]]&gt;0,_1_5412845612146241046457891017[[#This Row],[UNIT]]&lt;0),_1_5412845612146241046457891017[[#This Row],[UNIT]]*_1_5412845612146241046457891017[[#This Row],[COST]],0)</f>
        <v>0</v>
      </c>
      <c r="N962" s="194">
        <f t="shared" si="14"/>
        <v>1.35</v>
      </c>
      <c r="O962" s="198">
        <f>_1_5412845612146241046457891017[[#This Row],[TOTAL]]*_1_5412845612146241046457891017[[#This Row],[MARGIN]]</f>
        <v>0</v>
      </c>
      <c r="P962" s="198"/>
      <c r="R962" s="41"/>
    </row>
    <row r="963" spans="4:18">
      <c r="D963" s="188"/>
      <c r="E963" s="42"/>
      <c r="F963" s="168" t="s">
        <v>6202</v>
      </c>
      <c r="G963" s="193">
        <f>IF(_1_5412845612146241046457891017[[#This Row],[Type]]&gt;0,VLOOKUP(_1_5412845612146241046457891017[[#This Row],[Type]],Main[[#All],[TYPE]:[UNIT]],'Unit Price'!C$1,FALSE),0)</f>
        <v>0</v>
      </c>
      <c r="H963" s="197">
        <f>IF(_1_5412845612146241046457891017[[#This Row],[Type]]&gt;0,VLOOKUP(_1_5412845612146241046457891017[[#This Row],[Type]],Main[[#All],[TYPE]:[UNIT]],'Unit Price'!D$1,FALSE),0)</f>
        <v>0</v>
      </c>
      <c r="I963" s="194">
        <f>IF(_1_5412845612146241046457891017[[#This Row],[Type]]&gt;0,VLOOKUP(_1_5412845612146241046457891017[[#This Row],[Type]],Main[[#All],[TYPE]:[UNIT]],'Unit Price'!G$1,FALSE),0)</f>
        <v>0</v>
      </c>
      <c r="J963" s="194">
        <f>IF(_1_5412845612146241046457891017[[#This Row],[Type]]&gt;0,VLOOKUP(_1_5412845612146241046457891017[[#This Row],[Type]],Main[[#All],[TYPE]:[UNIT]],'Unit Price'!H$1,FALSE),0)</f>
        <v>0</v>
      </c>
      <c r="K963" s="194">
        <f>IF(_1_5412845612146241046457891017[[#This Row],[Discount selection]]&gt;0,VLOOKUP(_1_5412845612146241046457891017[[#This Row],[Discount selection]],'Discount Structure'!$A$2:$B$30,2,"false"),0)</f>
        <v>1</v>
      </c>
      <c r="L963" s="194">
        <f>_1_5412845612146241046457891017[[#This Row],[LIST $]]*_1_5412845612146241046457891017[[#This Row],[DISCOUNT]]*_1_5412845612146241046457891017[[#This Row],[DISCOUNT 2]]</f>
        <v>0</v>
      </c>
      <c r="M963" s="194">
        <f>IF(OR(_1_5412845612146241046457891017[[#This Row],[UNIT]]&gt;0,_1_5412845612146241046457891017[[#This Row],[UNIT]]&lt;0),_1_5412845612146241046457891017[[#This Row],[UNIT]]*_1_5412845612146241046457891017[[#This Row],[COST]],0)</f>
        <v>0</v>
      </c>
      <c r="N963" s="194">
        <f t="shared" si="14"/>
        <v>1.35</v>
      </c>
      <c r="O963" s="198">
        <f>_1_5412845612146241046457891017[[#This Row],[TOTAL]]*_1_5412845612146241046457891017[[#This Row],[MARGIN]]</f>
        <v>0</v>
      </c>
      <c r="P963" s="198"/>
      <c r="R963" s="41"/>
    </row>
    <row r="964" spans="4:18">
      <c r="D964" s="188"/>
      <c r="E964" s="42"/>
      <c r="F964" s="168" t="s">
        <v>6202</v>
      </c>
      <c r="G964" s="193">
        <f>IF(_1_5412845612146241046457891017[[#This Row],[Type]]&gt;0,VLOOKUP(_1_5412845612146241046457891017[[#This Row],[Type]],Main[[#All],[TYPE]:[UNIT]],'Unit Price'!C$1,FALSE),0)</f>
        <v>0</v>
      </c>
      <c r="H964" s="197">
        <f>IF(_1_5412845612146241046457891017[[#This Row],[Type]]&gt;0,VLOOKUP(_1_5412845612146241046457891017[[#This Row],[Type]],Main[[#All],[TYPE]:[UNIT]],'Unit Price'!D$1,FALSE),0)</f>
        <v>0</v>
      </c>
      <c r="I964" s="194">
        <f>IF(_1_5412845612146241046457891017[[#This Row],[Type]]&gt;0,VLOOKUP(_1_5412845612146241046457891017[[#This Row],[Type]],Main[[#All],[TYPE]:[UNIT]],'Unit Price'!G$1,FALSE),0)</f>
        <v>0</v>
      </c>
      <c r="J964" s="194">
        <f>IF(_1_5412845612146241046457891017[[#This Row],[Type]]&gt;0,VLOOKUP(_1_5412845612146241046457891017[[#This Row],[Type]],Main[[#All],[TYPE]:[UNIT]],'Unit Price'!H$1,FALSE),0)</f>
        <v>0</v>
      </c>
      <c r="K964" s="194">
        <f>IF(_1_5412845612146241046457891017[[#This Row],[Discount selection]]&gt;0,VLOOKUP(_1_5412845612146241046457891017[[#This Row],[Discount selection]],'Discount Structure'!$A$2:$B$30,2,"false"),0)</f>
        <v>1</v>
      </c>
      <c r="L964" s="194">
        <f>_1_5412845612146241046457891017[[#This Row],[LIST $]]*_1_5412845612146241046457891017[[#This Row],[DISCOUNT]]*_1_5412845612146241046457891017[[#This Row],[DISCOUNT 2]]</f>
        <v>0</v>
      </c>
      <c r="M964" s="194">
        <f>IF(OR(_1_5412845612146241046457891017[[#This Row],[UNIT]]&gt;0,_1_5412845612146241046457891017[[#This Row],[UNIT]]&lt;0),_1_5412845612146241046457891017[[#This Row],[UNIT]]*_1_5412845612146241046457891017[[#This Row],[COST]],0)</f>
        <v>0</v>
      </c>
      <c r="N964" s="194">
        <f t="shared" si="14"/>
        <v>1.35</v>
      </c>
      <c r="O964" s="198">
        <f>_1_5412845612146241046457891017[[#This Row],[TOTAL]]*_1_5412845612146241046457891017[[#This Row],[MARGIN]]</f>
        <v>0</v>
      </c>
      <c r="P964" s="198"/>
      <c r="R964" s="41"/>
    </row>
    <row r="965" spans="4:18">
      <c r="D965" s="188"/>
      <c r="E965" s="42"/>
      <c r="F965" s="168" t="s">
        <v>6202</v>
      </c>
      <c r="G965" s="193">
        <f>IF(_1_5412845612146241046457891017[[#This Row],[Type]]&gt;0,VLOOKUP(_1_5412845612146241046457891017[[#This Row],[Type]],Main[[#All],[TYPE]:[UNIT]],'Unit Price'!C$1,FALSE),0)</f>
        <v>0</v>
      </c>
      <c r="H965" s="197">
        <f>IF(_1_5412845612146241046457891017[[#This Row],[Type]]&gt;0,VLOOKUP(_1_5412845612146241046457891017[[#This Row],[Type]],Main[[#All],[TYPE]:[UNIT]],'Unit Price'!D$1,FALSE),0)</f>
        <v>0</v>
      </c>
      <c r="I965" s="194">
        <f>IF(_1_5412845612146241046457891017[[#This Row],[Type]]&gt;0,VLOOKUP(_1_5412845612146241046457891017[[#This Row],[Type]],Main[[#All],[TYPE]:[UNIT]],'Unit Price'!G$1,FALSE),0)</f>
        <v>0</v>
      </c>
      <c r="J965" s="194">
        <f>IF(_1_5412845612146241046457891017[[#This Row],[Type]]&gt;0,VLOOKUP(_1_5412845612146241046457891017[[#This Row],[Type]],Main[[#All],[TYPE]:[UNIT]],'Unit Price'!H$1,FALSE),0)</f>
        <v>0</v>
      </c>
      <c r="K965" s="194">
        <f>IF(_1_5412845612146241046457891017[[#This Row],[Discount selection]]&gt;0,VLOOKUP(_1_5412845612146241046457891017[[#This Row],[Discount selection]],'Discount Structure'!$A$2:$B$30,2,"false"),0)</f>
        <v>1</v>
      </c>
      <c r="L965" s="194">
        <f>_1_5412845612146241046457891017[[#This Row],[LIST $]]*_1_5412845612146241046457891017[[#This Row],[DISCOUNT]]*_1_5412845612146241046457891017[[#This Row],[DISCOUNT 2]]</f>
        <v>0</v>
      </c>
      <c r="M965" s="194">
        <f>IF(OR(_1_5412845612146241046457891017[[#This Row],[UNIT]]&gt;0,_1_5412845612146241046457891017[[#This Row],[UNIT]]&lt;0),_1_5412845612146241046457891017[[#This Row],[UNIT]]*_1_5412845612146241046457891017[[#This Row],[COST]],0)</f>
        <v>0</v>
      </c>
      <c r="N965" s="194">
        <f t="shared" si="14"/>
        <v>1.35</v>
      </c>
      <c r="O965" s="198">
        <f>_1_5412845612146241046457891017[[#This Row],[TOTAL]]*_1_5412845612146241046457891017[[#This Row],[MARGIN]]</f>
        <v>0</v>
      </c>
      <c r="P965" s="198"/>
      <c r="R965" s="41"/>
    </row>
    <row r="966" spans="4:18">
      <c r="D966" s="188"/>
      <c r="E966" s="42"/>
      <c r="F966" s="168" t="s">
        <v>6202</v>
      </c>
      <c r="G966" s="193">
        <f>IF(_1_5412845612146241046457891017[[#This Row],[Type]]&gt;0,VLOOKUP(_1_5412845612146241046457891017[[#This Row],[Type]],Main[[#All],[TYPE]:[UNIT]],'Unit Price'!C$1,FALSE),0)</f>
        <v>0</v>
      </c>
      <c r="H966" s="197">
        <f>IF(_1_5412845612146241046457891017[[#This Row],[Type]]&gt;0,VLOOKUP(_1_5412845612146241046457891017[[#This Row],[Type]],Main[[#All],[TYPE]:[UNIT]],'Unit Price'!D$1,FALSE),0)</f>
        <v>0</v>
      </c>
      <c r="I966" s="194">
        <f>IF(_1_5412845612146241046457891017[[#This Row],[Type]]&gt;0,VLOOKUP(_1_5412845612146241046457891017[[#This Row],[Type]],Main[[#All],[TYPE]:[UNIT]],'Unit Price'!G$1,FALSE),0)</f>
        <v>0</v>
      </c>
      <c r="J966" s="194">
        <f>IF(_1_5412845612146241046457891017[[#This Row],[Type]]&gt;0,VLOOKUP(_1_5412845612146241046457891017[[#This Row],[Type]],Main[[#All],[TYPE]:[UNIT]],'Unit Price'!H$1,FALSE),0)</f>
        <v>0</v>
      </c>
      <c r="K966" s="194">
        <f>IF(_1_5412845612146241046457891017[[#This Row],[Discount selection]]&gt;0,VLOOKUP(_1_5412845612146241046457891017[[#This Row],[Discount selection]],'Discount Structure'!$A$2:$B$30,2,"false"),0)</f>
        <v>1</v>
      </c>
      <c r="L966" s="194">
        <f>_1_5412845612146241046457891017[[#This Row],[LIST $]]*_1_5412845612146241046457891017[[#This Row],[DISCOUNT]]*_1_5412845612146241046457891017[[#This Row],[DISCOUNT 2]]</f>
        <v>0</v>
      </c>
      <c r="M966" s="194">
        <f>IF(OR(_1_5412845612146241046457891017[[#This Row],[UNIT]]&gt;0,_1_5412845612146241046457891017[[#This Row],[UNIT]]&lt;0),_1_5412845612146241046457891017[[#This Row],[UNIT]]*_1_5412845612146241046457891017[[#This Row],[COST]],0)</f>
        <v>0</v>
      </c>
      <c r="N966" s="194">
        <f t="shared" si="14"/>
        <v>1.35</v>
      </c>
      <c r="O966" s="198">
        <f>_1_5412845612146241046457891017[[#This Row],[TOTAL]]*_1_5412845612146241046457891017[[#This Row],[MARGIN]]</f>
        <v>0</v>
      </c>
      <c r="P966" s="198"/>
      <c r="R966" s="41"/>
    </row>
    <row r="967" spans="4:18">
      <c r="D967" s="188"/>
      <c r="E967" s="42"/>
      <c r="F967" s="168" t="s">
        <v>6202</v>
      </c>
      <c r="G967" s="193">
        <f>IF(_1_5412845612146241046457891017[[#This Row],[Type]]&gt;0,VLOOKUP(_1_5412845612146241046457891017[[#This Row],[Type]],Main[[#All],[TYPE]:[UNIT]],'Unit Price'!C$1,FALSE),0)</f>
        <v>0</v>
      </c>
      <c r="H967" s="197">
        <f>IF(_1_5412845612146241046457891017[[#This Row],[Type]]&gt;0,VLOOKUP(_1_5412845612146241046457891017[[#This Row],[Type]],Main[[#All],[TYPE]:[UNIT]],'Unit Price'!D$1,FALSE),0)</f>
        <v>0</v>
      </c>
      <c r="I967" s="194">
        <f>IF(_1_5412845612146241046457891017[[#This Row],[Type]]&gt;0,VLOOKUP(_1_5412845612146241046457891017[[#This Row],[Type]],Main[[#All],[TYPE]:[UNIT]],'Unit Price'!G$1,FALSE),0)</f>
        <v>0</v>
      </c>
      <c r="J967" s="194">
        <f>IF(_1_5412845612146241046457891017[[#This Row],[Type]]&gt;0,VLOOKUP(_1_5412845612146241046457891017[[#This Row],[Type]],Main[[#All],[TYPE]:[UNIT]],'Unit Price'!H$1,FALSE),0)</f>
        <v>0</v>
      </c>
      <c r="K967" s="194">
        <f>IF(_1_5412845612146241046457891017[[#This Row],[Discount selection]]&gt;0,VLOOKUP(_1_5412845612146241046457891017[[#This Row],[Discount selection]],'Discount Structure'!$A$2:$B$30,2,"false"),0)</f>
        <v>1</v>
      </c>
      <c r="L967" s="194">
        <f>_1_5412845612146241046457891017[[#This Row],[LIST $]]*_1_5412845612146241046457891017[[#This Row],[DISCOUNT]]*_1_5412845612146241046457891017[[#This Row],[DISCOUNT 2]]</f>
        <v>0</v>
      </c>
      <c r="M967" s="194">
        <f>IF(OR(_1_5412845612146241046457891017[[#This Row],[UNIT]]&gt;0,_1_5412845612146241046457891017[[#This Row],[UNIT]]&lt;0),_1_5412845612146241046457891017[[#This Row],[UNIT]]*_1_5412845612146241046457891017[[#This Row],[COST]],0)</f>
        <v>0</v>
      </c>
      <c r="N967" s="194">
        <f t="shared" si="14"/>
        <v>1.35</v>
      </c>
      <c r="O967" s="198">
        <f>_1_5412845612146241046457891017[[#This Row],[TOTAL]]*_1_5412845612146241046457891017[[#This Row],[MARGIN]]</f>
        <v>0</v>
      </c>
      <c r="P967" s="198"/>
      <c r="R967" s="41"/>
    </row>
    <row r="968" spans="4:18">
      <c r="D968" s="188"/>
      <c r="E968" s="42"/>
      <c r="F968" s="168" t="s">
        <v>6202</v>
      </c>
      <c r="G968" s="193">
        <f>IF(_1_5412845612146241046457891017[[#This Row],[Type]]&gt;0,VLOOKUP(_1_5412845612146241046457891017[[#This Row],[Type]],Main[[#All],[TYPE]:[UNIT]],'Unit Price'!C$1,FALSE),0)</f>
        <v>0</v>
      </c>
      <c r="H968" s="197">
        <f>IF(_1_5412845612146241046457891017[[#This Row],[Type]]&gt;0,VLOOKUP(_1_5412845612146241046457891017[[#This Row],[Type]],Main[[#All],[TYPE]:[UNIT]],'Unit Price'!D$1,FALSE),0)</f>
        <v>0</v>
      </c>
      <c r="I968" s="194">
        <f>IF(_1_5412845612146241046457891017[[#This Row],[Type]]&gt;0,VLOOKUP(_1_5412845612146241046457891017[[#This Row],[Type]],Main[[#All],[TYPE]:[UNIT]],'Unit Price'!G$1,FALSE),0)</f>
        <v>0</v>
      </c>
      <c r="J968" s="194">
        <f>IF(_1_5412845612146241046457891017[[#This Row],[Type]]&gt;0,VLOOKUP(_1_5412845612146241046457891017[[#This Row],[Type]],Main[[#All],[TYPE]:[UNIT]],'Unit Price'!H$1,FALSE),0)</f>
        <v>0</v>
      </c>
      <c r="K968" s="194">
        <f>IF(_1_5412845612146241046457891017[[#This Row],[Discount selection]]&gt;0,VLOOKUP(_1_5412845612146241046457891017[[#This Row],[Discount selection]],'Discount Structure'!$A$2:$B$30,2,"false"),0)</f>
        <v>1</v>
      </c>
      <c r="L968" s="194">
        <f>_1_5412845612146241046457891017[[#This Row],[LIST $]]*_1_5412845612146241046457891017[[#This Row],[DISCOUNT]]*_1_5412845612146241046457891017[[#This Row],[DISCOUNT 2]]</f>
        <v>0</v>
      </c>
      <c r="M968" s="194">
        <f>IF(OR(_1_5412845612146241046457891017[[#This Row],[UNIT]]&gt;0,_1_5412845612146241046457891017[[#This Row],[UNIT]]&lt;0),_1_5412845612146241046457891017[[#This Row],[UNIT]]*_1_5412845612146241046457891017[[#This Row],[COST]],0)</f>
        <v>0</v>
      </c>
      <c r="N968" s="194">
        <f t="shared" si="14"/>
        <v>1.35</v>
      </c>
      <c r="O968" s="198">
        <f>_1_5412845612146241046457891017[[#This Row],[TOTAL]]*_1_5412845612146241046457891017[[#This Row],[MARGIN]]</f>
        <v>0</v>
      </c>
      <c r="P968" s="198"/>
      <c r="R968" s="41"/>
    </row>
    <row r="969" spans="4:18">
      <c r="D969" s="188"/>
      <c r="E969" s="42"/>
      <c r="F969" s="168" t="s">
        <v>6202</v>
      </c>
      <c r="G969" s="193">
        <f>IF(_1_5412845612146241046457891017[[#This Row],[Type]]&gt;0,VLOOKUP(_1_5412845612146241046457891017[[#This Row],[Type]],Main[[#All],[TYPE]:[UNIT]],'Unit Price'!C$1,FALSE),0)</f>
        <v>0</v>
      </c>
      <c r="H969" s="197">
        <f>IF(_1_5412845612146241046457891017[[#This Row],[Type]]&gt;0,VLOOKUP(_1_5412845612146241046457891017[[#This Row],[Type]],Main[[#All],[TYPE]:[UNIT]],'Unit Price'!D$1,FALSE),0)</f>
        <v>0</v>
      </c>
      <c r="I969" s="194">
        <f>IF(_1_5412845612146241046457891017[[#This Row],[Type]]&gt;0,VLOOKUP(_1_5412845612146241046457891017[[#This Row],[Type]],Main[[#All],[TYPE]:[UNIT]],'Unit Price'!G$1,FALSE),0)</f>
        <v>0</v>
      </c>
      <c r="J969" s="194">
        <f>IF(_1_5412845612146241046457891017[[#This Row],[Type]]&gt;0,VLOOKUP(_1_5412845612146241046457891017[[#This Row],[Type]],Main[[#All],[TYPE]:[UNIT]],'Unit Price'!H$1,FALSE),0)</f>
        <v>0</v>
      </c>
      <c r="K969" s="194">
        <f>IF(_1_5412845612146241046457891017[[#This Row],[Discount selection]]&gt;0,VLOOKUP(_1_5412845612146241046457891017[[#This Row],[Discount selection]],'Discount Structure'!$A$2:$B$30,2,"false"),0)</f>
        <v>1</v>
      </c>
      <c r="L969" s="194">
        <f>_1_5412845612146241046457891017[[#This Row],[LIST $]]*_1_5412845612146241046457891017[[#This Row],[DISCOUNT]]*_1_5412845612146241046457891017[[#This Row],[DISCOUNT 2]]</f>
        <v>0</v>
      </c>
      <c r="M969" s="194">
        <f>IF(OR(_1_5412845612146241046457891017[[#This Row],[UNIT]]&gt;0,_1_5412845612146241046457891017[[#This Row],[UNIT]]&lt;0),_1_5412845612146241046457891017[[#This Row],[UNIT]]*_1_5412845612146241046457891017[[#This Row],[COST]],0)</f>
        <v>0</v>
      </c>
      <c r="N969" s="194">
        <f t="shared" si="14"/>
        <v>1.35</v>
      </c>
      <c r="O969" s="198">
        <f>_1_5412845612146241046457891017[[#This Row],[TOTAL]]*_1_5412845612146241046457891017[[#This Row],[MARGIN]]</f>
        <v>0</v>
      </c>
      <c r="P969" s="198"/>
      <c r="R969" s="41"/>
    </row>
    <row r="970" spans="4:18">
      <c r="D970" s="188"/>
      <c r="E970" s="42"/>
      <c r="F970" s="168" t="s">
        <v>6202</v>
      </c>
      <c r="G970" s="193">
        <f>IF(_1_5412845612146241046457891017[[#This Row],[Type]]&gt;0,VLOOKUP(_1_5412845612146241046457891017[[#This Row],[Type]],Main[[#All],[TYPE]:[UNIT]],'Unit Price'!C$1,FALSE),0)</f>
        <v>0</v>
      </c>
      <c r="H970" s="197">
        <f>IF(_1_5412845612146241046457891017[[#This Row],[Type]]&gt;0,VLOOKUP(_1_5412845612146241046457891017[[#This Row],[Type]],Main[[#All],[TYPE]:[UNIT]],'Unit Price'!D$1,FALSE),0)</f>
        <v>0</v>
      </c>
      <c r="I970" s="194">
        <f>IF(_1_5412845612146241046457891017[[#This Row],[Type]]&gt;0,VLOOKUP(_1_5412845612146241046457891017[[#This Row],[Type]],Main[[#All],[TYPE]:[UNIT]],'Unit Price'!G$1,FALSE),0)</f>
        <v>0</v>
      </c>
      <c r="J970" s="194">
        <f>IF(_1_5412845612146241046457891017[[#This Row],[Type]]&gt;0,VLOOKUP(_1_5412845612146241046457891017[[#This Row],[Type]],Main[[#All],[TYPE]:[UNIT]],'Unit Price'!H$1,FALSE),0)</f>
        <v>0</v>
      </c>
      <c r="K970" s="194">
        <f>IF(_1_5412845612146241046457891017[[#This Row],[Discount selection]]&gt;0,VLOOKUP(_1_5412845612146241046457891017[[#This Row],[Discount selection]],'Discount Structure'!$A$2:$B$30,2,"false"),0)</f>
        <v>1</v>
      </c>
      <c r="L970" s="194">
        <f>_1_5412845612146241046457891017[[#This Row],[LIST $]]*_1_5412845612146241046457891017[[#This Row],[DISCOUNT]]*_1_5412845612146241046457891017[[#This Row],[DISCOUNT 2]]</f>
        <v>0</v>
      </c>
      <c r="M970" s="194">
        <f>IF(OR(_1_5412845612146241046457891017[[#This Row],[UNIT]]&gt;0,_1_5412845612146241046457891017[[#This Row],[UNIT]]&lt;0),_1_5412845612146241046457891017[[#This Row],[UNIT]]*_1_5412845612146241046457891017[[#This Row],[COST]],0)</f>
        <v>0</v>
      </c>
      <c r="N970" s="194">
        <f t="shared" ref="N970:N999" si="15">$N$7</f>
        <v>1.35</v>
      </c>
      <c r="O970" s="198">
        <f>_1_5412845612146241046457891017[[#This Row],[TOTAL]]*_1_5412845612146241046457891017[[#This Row],[MARGIN]]</f>
        <v>0</v>
      </c>
      <c r="P970" s="198"/>
      <c r="R970" s="41"/>
    </row>
    <row r="971" spans="4:18">
      <c r="D971" s="188"/>
      <c r="E971" s="42"/>
      <c r="F971" s="168" t="s">
        <v>6202</v>
      </c>
      <c r="G971" s="193">
        <f>IF(_1_5412845612146241046457891017[[#This Row],[Type]]&gt;0,VLOOKUP(_1_5412845612146241046457891017[[#This Row],[Type]],Main[[#All],[TYPE]:[UNIT]],'Unit Price'!C$1,FALSE),0)</f>
        <v>0</v>
      </c>
      <c r="H971" s="197">
        <f>IF(_1_5412845612146241046457891017[[#This Row],[Type]]&gt;0,VLOOKUP(_1_5412845612146241046457891017[[#This Row],[Type]],Main[[#All],[TYPE]:[UNIT]],'Unit Price'!D$1,FALSE),0)</f>
        <v>0</v>
      </c>
      <c r="I971" s="194">
        <f>IF(_1_5412845612146241046457891017[[#This Row],[Type]]&gt;0,VLOOKUP(_1_5412845612146241046457891017[[#This Row],[Type]],Main[[#All],[TYPE]:[UNIT]],'Unit Price'!G$1,FALSE),0)</f>
        <v>0</v>
      </c>
      <c r="J971" s="194">
        <f>IF(_1_5412845612146241046457891017[[#This Row],[Type]]&gt;0,VLOOKUP(_1_5412845612146241046457891017[[#This Row],[Type]],Main[[#All],[TYPE]:[UNIT]],'Unit Price'!H$1,FALSE),0)</f>
        <v>0</v>
      </c>
      <c r="K971" s="194">
        <f>IF(_1_5412845612146241046457891017[[#This Row],[Discount selection]]&gt;0,VLOOKUP(_1_5412845612146241046457891017[[#This Row],[Discount selection]],'Discount Structure'!$A$2:$B$30,2,"false"),0)</f>
        <v>1</v>
      </c>
      <c r="L971" s="194">
        <f>_1_5412845612146241046457891017[[#This Row],[LIST $]]*_1_5412845612146241046457891017[[#This Row],[DISCOUNT]]*_1_5412845612146241046457891017[[#This Row],[DISCOUNT 2]]</f>
        <v>0</v>
      </c>
      <c r="M971" s="194">
        <f>IF(OR(_1_5412845612146241046457891017[[#This Row],[UNIT]]&gt;0,_1_5412845612146241046457891017[[#This Row],[UNIT]]&lt;0),_1_5412845612146241046457891017[[#This Row],[UNIT]]*_1_5412845612146241046457891017[[#This Row],[COST]],0)</f>
        <v>0</v>
      </c>
      <c r="N971" s="194">
        <f t="shared" si="15"/>
        <v>1.35</v>
      </c>
      <c r="O971" s="198">
        <f>_1_5412845612146241046457891017[[#This Row],[TOTAL]]*_1_5412845612146241046457891017[[#This Row],[MARGIN]]</f>
        <v>0</v>
      </c>
      <c r="P971" s="198"/>
      <c r="R971" s="41"/>
    </row>
    <row r="972" spans="4:18">
      <c r="D972" s="188"/>
      <c r="E972" s="42"/>
      <c r="F972" s="168" t="s">
        <v>6202</v>
      </c>
      <c r="G972" s="193">
        <f>IF(_1_5412845612146241046457891017[[#This Row],[Type]]&gt;0,VLOOKUP(_1_5412845612146241046457891017[[#This Row],[Type]],Main[[#All],[TYPE]:[UNIT]],'Unit Price'!C$1,FALSE),0)</f>
        <v>0</v>
      </c>
      <c r="H972" s="197">
        <f>IF(_1_5412845612146241046457891017[[#This Row],[Type]]&gt;0,VLOOKUP(_1_5412845612146241046457891017[[#This Row],[Type]],Main[[#All],[TYPE]:[UNIT]],'Unit Price'!D$1,FALSE),0)</f>
        <v>0</v>
      </c>
      <c r="I972" s="194">
        <f>IF(_1_5412845612146241046457891017[[#This Row],[Type]]&gt;0,VLOOKUP(_1_5412845612146241046457891017[[#This Row],[Type]],Main[[#All],[TYPE]:[UNIT]],'Unit Price'!G$1,FALSE),0)</f>
        <v>0</v>
      </c>
      <c r="J972" s="194">
        <f>IF(_1_5412845612146241046457891017[[#This Row],[Type]]&gt;0,VLOOKUP(_1_5412845612146241046457891017[[#This Row],[Type]],Main[[#All],[TYPE]:[UNIT]],'Unit Price'!H$1,FALSE),0)</f>
        <v>0</v>
      </c>
      <c r="K972" s="194">
        <f>IF(_1_5412845612146241046457891017[[#This Row],[Discount selection]]&gt;0,VLOOKUP(_1_5412845612146241046457891017[[#This Row],[Discount selection]],'Discount Structure'!$A$2:$B$30,2,"false"),0)</f>
        <v>1</v>
      </c>
      <c r="L972" s="194">
        <f>_1_5412845612146241046457891017[[#This Row],[LIST $]]*_1_5412845612146241046457891017[[#This Row],[DISCOUNT]]*_1_5412845612146241046457891017[[#This Row],[DISCOUNT 2]]</f>
        <v>0</v>
      </c>
      <c r="M972" s="194">
        <f>IF(OR(_1_5412845612146241046457891017[[#This Row],[UNIT]]&gt;0,_1_5412845612146241046457891017[[#This Row],[UNIT]]&lt;0),_1_5412845612146241046457891017[[#This Row],[UNIT]]*_1_5412845612146241046457891017[[#This Row],[COST]],0)</f>
        <v>0</v>
      </c>
      <c r="N972" s="194">
        <f t="shared" si="15"/>
        <v>1.35</v>
      </c>
      <c r="O972" s="198">
        <f>_1_5412845612146241046457891017[[#This Row],[TOTAL]]*_1_5412845612146241046457891017[[#This Row],[MARGIN]]</f>
        <v>0</v>
      </c>
      <c r="P972" s="198"/>
      <c r="R972" s="41"/>
    </row>
    <row r="973" spans="4:18">
      <c r="D973" s="188"/>
      <c r="E973" s="42"/>
      <c r="F973" s="168" t="s">
        <v>6202</v>
      </c>
      <c r="G973" s="193">
        <f>IF(_1_5412845612146241046457891017[[#This Row],[Type]]&gt;0,VLOOKUP(_1_5412845612146241046457891017[[#This Row],[Type]],Main[[#All],[TYPE]:[UNIT]],'Unit Price'!C$1,FALSE),0)</f>
        <v>0</v>
      </c>
      <c r="H973" s="197">
        <f>IF(_1_5412845612146241046457891017[[#This Row],[Type]]&gt;0,VLOOKUP(_1_5412845612146241046457891017[[#This Row],[Type]],Main[[#All],[TYPE]:[UNIT]],'Unit Price'!D$1,FALSE),0)</f>
        <v>0</v>
      </c>
      <c r="I973" s="194">
        <f>IF(_1_5412845612146241046457891017[[#This Row],[Type]]&gt;0,VLOOKUP(_1_5412845612146241046457891017[[#This Row],[Type]],Main[[#All],[TYPE]:[UNIT]],'Unit Price'!G$1,FALSE),0)</f>
        <v>0</v>
      </c>
      <c r="J973" s="194">
        <f>IF(_1_5412845612146241046457891017[[#This Row],[Type]]&gt;0,VLOOKUP(_1_5412845612146241046457891017[[#This Row],[Type]],Main[[#All],[TYPE]:[UNIT]],'Unit Price'!H$1,FALSE),0)</f>
        <v>0</v>
      </c>
      <c r="K973" s="194">
        <f>IF(_1_5412845612146241046457891017[[#This Row],[Discount selection]]&gt;0,VLOOKUP(_1_5412845612146241046457891017[[#This Row],[Discount selection]],'Discount Structure'!$A$2:$B$30,2,"false"),0)</f>
        <v>1</v>
      </c>
      <c r="L973" s="194">
        <f>_1_5412845612146241046457891017[[#This Row],[LIST $]]*_1_5412845612146241046457891017[[#This Row],[DISCOUNT]]*_1_5412845612146241046457891017[[#This Row],[DISCOUNT 2]]</f>
        <v>0</v>
      </c>
      <c r="M973" s="194">
        <f>IF(OR(_1_5412845612146241046457891017[[#This Row],[UNIT]]&gt;0,_1_5412845612146241046457891017[[#This Row],[UNIT]]&lt;0),_1_5412845612146241046457891017[[#This Row],[UNIT]]*_1_5412845612146241046457891017[[#This Row],[COST]],0)</f>
        <v>0</v>
      </c>
      <c r="N973" s="194">
        <f t="shared" si="15"/>
        <v>1.35</v>
      </c>
      <c r="O973" s="198">
        <f>_1_5412845612146241046457891017[[#This Row],[TOTAL]]*_1_5412845612146241046457891017[[#This Row],[MARGIN]]</f>
        <v>0</v>
      </c>
      <c r="P973" s="198"/>
      <c r="R973" s="41"/>
    </row>
    <row r="974" spans="4:18">
      <c r="D974" s="188"/>
      <c r="E974" s="42"/>
      <c r="F974" s="168" t="s">
        <v>6202</v>
      </c>
      <c r="G974" s="193">
        <f>IF(_1_5412845612146241046457891017[[#This Row],[Type]]&gt;0,VLOOKUP(_1_5412845612146241046457891017[[#This Row],[Type]],Main[[#All],[TYPE]:[UNIT]],'Unit Price'!C$1,FALSE),0)</f>
        <v>0</v>
      </c>
      <c r="H974" s="197">
        <f>IF(_1_5412845612146241046457891017[[#This Row],[Type]]&gt;0,VLOOKUP(_1_5412845612146241046457891017[[#This Row],[Type]],Main[[#All],[TYPE]:[UNIT]],'Unit Price'!D$1,FALSE),0)</f>
        <v>0</v>
      </c>
      <c r="I974" s="194">
        <f>IF(_1_5412845612146241046457891017[[#This Row],[Type]]&gt;0,VLOOKUP(_1_5412845612146241046457891017[[#This Row],[Type]],Main[[#All],[TYPE]:[UNIT]],'Unit Price'!G$1,FALSE),0)</f>
        <v>0</v>
      </c>
      <c r="J974" s="194">
        <f>IF(_1_5412845612146241046457891017[[#This Row],[Type]]&gt;0,VLOOKUP(_1_5412845612146241046457891017[[#This Row],[Type]],Main[[#All],[TYPE]:[UNIT]],'Unit Price'!H$1,FALSE),0)</f>
        <v>0</v>
      </c>
      <c r="K974" s="194">
        <f>IF(_1_5412845612146241046457891017[[#This Row],[Discount selection]]&gt;0,VLOOKUP(_1_5412845612146241046457891017[[#This Row],[Discount selection]],'Discount Structure'!$A$2:$B$30,2,"false"),0)</f>
        <v>1</v>
      </c>
      <c r="L974" s="194">
        <f>_1_5412845612146241046457891017[[#This Row],[LIST $]]*_1_5412845612146241046457891017[[#This Row],[DISCOUNT]]*_1_5412845612146241046457891017[[#This Row],[DISCOUNT 2]]</f>
        <v>0</v>
      </c>
      <c r="M974" s="194">
        <f>IF(OR(_1_5412845612146241046457891017[[#This Row],[UNIT]]&gt;0,_1_5412845612146241046457891017[[#This Row],[UNIT]]&lt;0),_1_5412845612146241046457891017[[#This Row],[UNIT]]*_1_5412845612146241046457891017[[#This Row],[COST]],0)</f>
        <v>0</v>
      </c>
      <c r="N974" s="194">
        <f t="shared" si="15"/>
        <v>1.35</v>
      </c>
      <c r="O974" s="198">
        <f>_1_5412845612146241046457891017[[#This Row],[TOTAL]]*_1_5412845612146241046457891017[[#This Row],[MARGIN]]</f>
        <v>0</v>
      </c>
      <c r="P974" s="198"/>
      <c r="R974" s="41"/>
    </row>
    <row r="975" spans="4:18">
      <c r="D975" s="188"/>
      <c r="E975" s="42"/>
      <c r="F975" s="168" t="s">
        <v>6202</v>
      </c>
      <c r="G975" s="193">
        <f>IF(_1_5412845612146241046457891017[[#This Row],[Type]]&gt;0,VLOOKUP(_1_5412845612146241046457891017[[#This Row],[Type]],Main[[#All],[TYPE]:[UNIT]],'Unit Price'!C$1,FALSE),0)</f>
        <v>0</v>
      </c>
      <c r="H975" s="197">
        <f>IF(_1_5412845612146241046457891017[[#This Row],[Type]]&gt;0,VLOOKUP(_1_5412845612146241046457891017[[#This Row],[Type]],Main[[#All],[TYPE]:[UNIT]],'Unit Price'!D$1,FALSE),0)</f>
        <v>0</v>
      </c>
      <c r="I975" s="194">
        <f>IF(_1_5412845612146241046457891017[[#This Row],[Type]]&gt;0,VLOOKUP(_1_5412845612146241046457891017[[#This Row],[Type]],Main[[#All],[TYPE]:[UNIT]],'Unit Price'!G$1,FALSE),0)</f>
        <v>0</v>
      </c>
      <c r="J975" s="194">
        <f>IF(_1_5412845612146241046457891017[[#This Row],[Type]]&gt;0,VLOOKUP(_1_5412845612146241046457891017[[#This Row],[Type]],Main[[#All],[TYPE]:[UNIT]],'Unit Price'!H$1,FALSE),0)</f>
        <v>0</v>
      </c>
      <c r="K975" s="194">
        <f>IF(_1_5412845612146241046457891017[[#This Row],[Discount selection]]&gt;0,VLOOKUP(_1_5412845612146241046457891017[[#This Row],[Discount selection]],'Discount Structure'!$A$2:$B$30,2,"false"),0)</f>
        <v>1</v>
      </c>
      <c r="L975" s="194">
        <f>_1_5412845612146241046457891017[[#This Row],[LIST $]]*_1_5412845612146241046457891017[[#This Row],[DISCOUNT]]*_1_5412845612146241046457891017[[#This Row],[DISCOUNT 2]]</f>
        <v>0</v>
      </c>
      <c r="M975" s="194">
        <f>IF(OR(_1_5412845612146241046457891017[[#This Row],[UNIT]]&gt;0,_1_5412845612146241046457891017[[#This Row],[UNIT]]&lt;0),_1_5412845612146241046457891017[[#This Row],[UNIT]]*_1_5412845612146241046457891017[[#This Row],[COST]],0)</f>
        <v>0</v>
      </c>
      <c r="N975" s="194">
        <f t="shared" si="15"/>
        <v>1.35</v>
      </c>
      <c r="O975" s="198">
        <f>_1_5412845612146241046457891017[[#This Row],[TOTAL]]*_1_5412845612146241046457891017[[#This Row],[MARGIN]]</f>
        <v>0</v>
      </c>
      <c r="P975" s="198"/>
      <c r="R975" s="41"/>
    </row>
    <row r="976" spans="4:18">
      <c r="D976" s="188"/>
      <c r="E976" s="42"/>
      <c r="F976" s="168" t="s">
        <v>6202</v>
      </c>
      <c r="G976" s="193">
        <f>IF(_1_5412845612146241046457891017[[#This Row],[Type]]&gt;0,VLOOKUP(_1_5412845612146241046457891017[[#This Row],[Type]],Main[[#All],[TYPE]:[UNIT]],'Unit Price'!C$1,FALSE),0)</f>
        <v>0</v>
      </c>
      <c r="H976" s="197">
        <f>IF(_1_5412845612146241046457891017[[#This Row],[Type]]&gt;0,VLOOKUP(_1_5412845612146241046457891017[[#This Row],[Type]],Main[[#All],[TYPE]:[UNIT]],'Unit Price'!D$1,FALSE),0)</f>
        <v>0</v>
      </c>
      <c r="I976" s="194">
        <f>IF(_1_5412845612146241046457891017[[#This Row],[Type]]&gt;0,VLOOKUP(_1_5412845612146241046457891017[[#This Row],[Type]],Main[[#All],[TYPE]:[UNIT]],'Unit Price'!G$1,FALSE),0)</f>
        <v>0</v>
      </c>
      <c r="J976" s="194">
        <f>IF(_1_5412845612146241046457891017[[#This Row],[Type]]&gt;0,VLOOKUP(_1_5412845612146241046457891017[[#This Row],[Type]],Main[[#All],[TYPE]:[UNIT]],'Unit Price'!H$1,FALSE),0)</f>
        <v>0</v>
      </c>
      <c r="K976" s="194">
        <f>IF(_1_5412845612146241046457891017[[#This Row],[Discount selection]]&gt;0,VLOOKUP(_1_5412845612146241046457891017[[#This Row],[Discount selection]],'Discount Structure'!$A$2:$B$30,2,"false"),0)</f>
        <v>1</v>
      </c>
      <c r="L976" s="194">
        <f>_1_5412845612146241046457891017[[#This Row],[LIST $]]*_1_5412845612146241046457891017[[#This Row],[DISCOUNT]]*_1_5412845612146241046457891017[[#This Row],[DISCOUNT 2]]</f>
        <v>0</v>
      </c>
      <c r="M976" s="194">
        <f>IF(OR(_1_5412845612146241046457891017[[#This Row],[UNIT]]&gt;0,_1_5412845612146241046457891017[[#This Row],[UNIT]]&lt;0),_1_5412845612146241046457891017[[#This Row],[UNIT]]*_1_5412845612146241046457891017[[#This Row],[COST]],0)</f>
        <v>0</v>
      </c>
      <c r="N976" s="194">
        <f t="shared" si="15"/>
        <v>1.35</v>
      </c>
      <c r="O976" s="198">
        <f>_1_5412845612146241046457891017[[#This Row],[TOTAL]]*_1_5412845612146241046457891017[[#This Row],[MARGIN]]</f>
        <v>0</v>
      </c>
      <c r="P976" s="198"/>
      <c r="R976" s="41"/>
    </row>
    <row r="977" spans="4:18">
      <c r="D977" s="188"/>
      <c r="E977" s="42"/>
      <c r="F977" s="168" t="s">
        <v>6202</v>
      </c>
      <c r="G977" s="193">
        <f>IF(_1_5412845612146241046457891017[[#This Row],[Type]]&gt;0,VLOOKUP(_1_5412845612146241046457891017[[#This Row],[Type]],Main[[#All],[TYPE]:[UNIT]],'Unit Price'!C$1,FALSE),0)</f>
        <v>0</v>
      </c>
      <c r="H977" s="197">
        <f>IF(_1_5412845612146241046457891017[[#This Row],[Type]]&gt;0,VLOOKUP(_1_5412845612146241046457891017[[#This Row],[Type]],Main[[#All],[TYPE]:[UNIT]],'Unit Price'!D$1,FALSE),0)</f>
        <v>0</v>
      </c>
      <c r="I977" s="194">
        <f>IF(_1_5412845612146241046457891017[[#This Row],[Type]]&gt;0,VLOOKUP(_1_5412845612146241046457891017[[#This Row],[Type]],Main[[#All],[TYPE]:[UNIT]],'Unit Price'!G$1,FALSE),0)</f>
        <v>0</v>
      </c>
      <c r="J977" s="194">
        <f>IF(_1_5412845612146241046457891017[[#This Row],[Type]]&gt;0,VLOOKUP(_1_5412845612146241046457891017[[#This Row],[Type]],Main[[#All],[TYPE]:[UNIT]],'Unit Price'!H$1,FALSE),0)</f>
        <v>0</v>
      </c>
      <c r="K977" s="194">
        <f>IF(_1_5412845612146241046457891017[[#This Row],[Discount selection]]&gt;0,VLOOKUP(_1_5412845612146241046457891017[[#This Row],[Discount selection]],'Discount Structure'!$A$2:$B$30,2,"false"),0)</f>
        <v>1</v>
      </c>
      <c r="L977" s="194">
        <f>_1_5412845612146241046457891017[[#This Row],[LIST $]]*_1_5412845612146241046457891017[[#This Row],[DISCOUNT]]*_1_5412845612146241046457891017[[#This Row],[DISCOUNT 2]]</f>
        <v>0</v>
      </c>
      <c r="M977" s="194">
        <f>IF(OR(_1_5412845612146241046457891017[[#This Row],[UNIT]]&gt;0,_1_5412845612146241046457891017[[#This Row],[UNIT]]&lt;0),_1_5412845612146241046457891017[[#This Row],[UNIT]]*_1_5412845612146241046457891017[[#This Row],[COST]],0)</f>
        <v>0</v>
      </c>
      <c r="N977" s="194">
        <f t="shared" si="15"/>
        <v>1.35</v>
      </c>
      <c r="O977" s="198">
        <f>_1_5412845612146241046457891017[[#This Row],[TOTAL]]*_1_5412845612146241046457891017[[#This Row],[MARGIN]]</f>
        <v>0</v>
      </c>
      <c r="P977" s="198"/>
      <c r="R977" s="41"/>
    </row>
    <row r="978" spans="4:18">
      <c r="D978" s="188"/>
      <c r="E978" s="42"/>
      <c r="F978" s="168" t="s">
        <v>6202</v>
      </c>
      <c r="G978" s="193">
        <f>IF(_1_5412845612146241046457891017[[#This Row],[Type]]&gt;0,VLOOKUP(_1_5412845612146241046457891017[[#This Row],[Type]],Main[[#All],[TYPE]:[UNIT]],'Unit Price'!C$1,FALSE),0)</f>
        <v>0</v>
      </c>
      <c r="H978" s="197">
        <f>IF(_1_5412845612146241046457891017[[#This Row],[Type]]&gt;0,VLOOKUP(_1_5412845612146241046457891017[[#This Row],[Type]],Main[[#All],[TYPE]:[UNIT]],'Unit Price'!D$1,FALSE),0)</f>
        <v>0</v>
      </c>
      <c r="I978" s="194">
        <f>IF(_1_5412845612146241046457891017[[#This Row],[Type]]&gt;0,VLOOKUP(_1_5412845612146241046457891017[[#This Row],[Type]],Main[[#All],[TYPE]:[UNIT]],'Unit Price'!G$1,FALSE),0)</f>
        <v>0</v>
      </c>
      <c r="J978" s="194">
        <f>IF(_1_5412845612146241046457891017[[#This Row],[Type]]&gt;0,VLOOKUP(_1_5412845612146241046457891017[[#This Row],[Type]],Main[[#All],[TYPE]:[UNIT]],'Unit Price'!H$1,FALSE),0)</f>
        <v>0</v>
      </c>
      <c r="K978" s="194">
        <f>IF(_1_5412845612146241046457891017[[#This Row],[Discount selection]]&gt;0,VLOOKUP(_1_5412845612146241046457891017[[#This Row],[Discount selection]],'Discount Structure'!$A$2:$B$30,2,"false"),0)</f>
        <v>1</v>
      </c>
      <c r="L978" s="194">
        <f>_1_5412845612146241046457891017[[#This Row],[LIST $]]*_1_5412845612146241046457891017[[#This Row],[DISCOUNT]]*_1_5412845612146241046457891017[[#This Row],[DISCOUNT 2]]</f>
        <v>0</v>
      </c>
      <c r="M978" s="194">
        <f>IF(OR(_1_5412845612146241046457891017[[#This Row],[UNIT]]&gt;0,_1_5412845612146241046457891017[[#This Row],[UNIT]]&lt;0),_1_5412845612146241046457891017[[#This Row],[UNIT]]*_1_5412845612146241046457891017[[#This Row],[COST]],0)</f>
        <v>0</v>
      </c>
      <c r="N978" s="194">
        <f t="shared" si="15"/>
        <v>1.35</v>
      </c>
      <c r="O978" s="198">
        <f>_1_5412845612146241046457891017[[#This Row],[TOTAL]]*_1_5412845612146241046457891017[[#This Row],[MARGIN]]</f>
        <v>0</v>
      </c>
      <c r="P978" s="198"/>
      <c r="R978" s="41"/>
    </row>
    <row r="979" spans="4:18">
      <c r="D979" s="188"/>
      <c r="E979" s="42"/>
      <c r="F979" s="168" t="s">
        <v>6202</v>
      </c>
      <c r="G979" s="193">
        <f>IF(_1_5412845612146241046457891017[[#This Row],[Type]]&gt;0,VLOOKUP(_1_5412845612146241046457891017[[#This Row],[Type]],Main[[#All],[TYPE]:[UNIT]],'Unit Price'!C$1,FALSE),0)</f>
        <v>0</v>
      </c>
      <c r="H979" s="197">
        <f>IF(_1_5412845612146241046457891017[[#This Row],[Type]]&gt;0,VLOOKUP(_1_5412845612146241046457891017[[#This Row],[Type]],Main[[#All],[TYPE]:[UNIT]],'Unit Price'!D$1,FALSE),0)</f>
        <v>0</v>
      </c>
      <c r="I979" s="194">
        <f>IF(_1_5412845612146241046457891017[[#This Row],[Type]]&gt;0,VLOOKUP(_1_5412845612146241046457891017[[#This Row],[Type]],Main[[#All],[TYPE]:[UNIT]],'Unit Price'!G$1,FALSE),0)</f>
        <v>0</v>
      </c>
      <c r="J979" s="194">
        <f>IF(_1_5412845612146241046457891017[[#This Row],[Type]]&gt;0,VLOOKUP(_1_5412845612146241046457891017[[#This Row],[Type]],Main[[#All],[TYPE]:[UNIT]],'Unit Price'!H$1,FALSE),0)</f>
        <v>0</v>
      </c>
      <c r="K979" s="194">
        <f>IF(_1_5412845612146241046457891017[[#This Row],[Discount selection]]&gt;0,VLOOKUP(_1_5412845612146241046457891017[[#This Row],[Discount selection]],'Discount Structure'!$A$2:$B$30,2,"false"),0)</f>
        <v>1</v>
      </c>
      <c r="L979" s="194">
        <f>_1_5412845612146241046457891017[[#This Row],[LIST $]]*_1_5412845612146241046457891017[[#This Row],[DISCOUNT]]*_1_5412845612146241046457891017[[#This Row],[DISCOUNT 2]]</f>
        <v>0</v>
      </c>
      <c r="M979" s="194">
        <f>IF(OR(_1_5412845612146241046457891017[[#This Row],[UNIT]]&gt;0,_1_5412845612146241046457891017[[#This Row],[UNIT]]&lt;0),_1_5412845612146241046457891017[[#This Row],[UNIT]]*_1_5412845612146241046457891017[[#This Row],[COST]],0)</f>
        <v>0</v>
      </c>
      <c r="N979" s="194">
        <f t="shared" si="15"/>
        <v>1.35</v>
      </c>
      <c r="O979" s="198">
        <f>_1_5412845612146241046457891017[[#This Row],[TOTAL]]*_1_5412845612146241046457891017[[#This Row],[MARGIN]]</f>
        <v>0</v>
      </c>
      <c r="P979" s="198"/>
      <c r="R979" s="41"/>
    </row>
    <row r="980" spans="4:18">
      <c r="D980" s="188"/>
      <c r="E980" s="42"/>
      <c r="F980" s="168" t="s">
        <v>6202</v>
      </c>
      <c r="G980" s="193">
        <f>IF(_1_5412845612146241046457891017[[#This Row],[Type]]&gt;0,VLOOKUP(_1_5412845612146241046457891017[[#This Row],[Type]],Main[[#All],[TYPE]:[UNIT]],'Unit Price'!C$1,FALSE),0)</f>
        <v>0</v>
      </c>
      <c r="H980" s="197">
        <f>IF(_1_5412845612146241046457891017[[#This Row],[Type]]&gt;0,VLOOKUP(_1_5412845612146241046457891017[[#This Row],[Type]],Main[[#All],[TYPE]:[UNIT]],'Unit Price'!D$1,FALSE),0)</f>
        <v>0</v>
      </c>
      <c r="I980" s="194">
        <f>IF(_1_5412845612146241046457891017[[#This Row],[Type]]&gt;0,VLOOKUP(_1_5412845612146241046457891017[[#This Row],[Type]],Main[[#All],[TYPE]:[UNIT]],'Unit Price'!G$1,FALSE),0)</f>
        <v>0</v>
      </c>
      <c r="J980" s="194">
        <f>IF(_1_5412845612146241046457891017[[#This Row],[Type]]&gt;0,VLOOKUP(_1_5412845612146241046457891017[[#This Row],[Type]],Main[[#All],[TYPE]:[UNIT]],'Unit Price'!H$1,FALSE),0)</f>
        <v>0</v>
      </c>
      <c r="K980" s="194">
        <f>IF(_1_5412845612146241046457891017[[#This Row],[Discount selection]]&gt;0,VLOOKUP(_1_5412845612146241046457891017[[#This Row],[Discount selection]],'Discount Structure'!$A$2:$B$30,2,"false"),0)</f>
        <v>1</v>
      </c>
      <c r="L980" s="194">
        <f>_1_5412845612146241046457891017[[#This Row],[LIST $]]*_1_5412845612146241046457891017[[#This Row],[DISCOUNT]]*_1_5412845612146241046457891017[[#This Row],[DISCOUNT 2]]</f>
        <v>0</v>
      </c>
      <c r="M980" s="194">
        <f>IF(OR(_1_5412845612146241046457891017[[#This Row],[UNIT]]&gt;0,_1_5412845612146241046457891017[[#This Row],[UNIT]]&lt;0),_1_5412845612146241046457891017[[#This Row],[UNIT]]*_1_5412845612146241046457891017[[#This Row],[COST]],0)</f>
        <v>0</v>
      </c>
      <c r="N980" s="194">
        <f t="shared" si="15"/>
        <v>1.35</v>
      </c>
      <c r="O980" s="198">
        <f>_1_5412845612146241046457891017[[#This Row],[TOTAL]]*_1_5412845612146241046457891017[[#This Row],[MARGIN]]</f>
        <v>0</v>
      </c>
      <c r="P980" s="198"/>
      <c r="R980" s="41"/>
    </row>
    <row r="981" spans="4:18">
      <c r="D981" s="188"/>
      <c r="E981" s="42"/>
      <c r="F981" s="168" t="s">
        <v>6202</v>
      </c>
      <c r="G981" s="193">
        <f>IF(_1_5412845612146241046457891017[[#This Row],[Type]]&gt;0,VLOOKUP(_1_5412845612146241046457891017[[#This Row],[Type]],Main[[#All],[TYPE]:[UNIT]],'Unit Price'!C$1,FALSE),0)</f>
        <v>0</v>
      </c>
      <c r="H981" s="197">
        <f>IF(_1_5412845612146241046457891017[[#This Row],[Type]]&gt;0,VLOOKUP(_1_5412845612146241046457891017[[#This Row],[Type]],Main[[#All],[TYPE]:[UNIT]],'Unit Price'!D$1,FALSE),0)</f>
        <v>0</v>
      </c>
      <c r="I981" s="194">
        <f>IF(_1_5412845612146241046457891017[[#This Row],[Type]]&gt;0,VLOOKUP(_1_5412845612146241046457891017[[#This Row],[Type]],Main[[#All],[TYPE]:[UNIT]],'Unit Price'!G$1,FALSE),0)</f>
        <v>0</v>
      </c>
      <c r="J981" s="194">
        <f>IF(_1_5412845612146241046457891017[[#This Row],[Type]]&gt;0,VLOOKUP(_1_5412845612146241046457891017[[#This Row],[Type]],Main[[#All],[TYPE]:[UNIT]],'Unit Price'!H$1,FALSE),0)</f>
        <v>0</v>
      </c>
      <c r="K981" s="194">
        <f>IF(_1_5412845612146241046457891017[[#This Row],[Discount selection]]&gt;0,VLOOKUP(_1_5412845612146241046457891017[[#This Row],[Discount selection]],'Discount Structure'!$A$2:$B$30,2,"false"),0)</f>
        <v>1</v>
      </c>
      <c r="L981" s="194">
        <f>_1_5412845612146241046457891017[[#This Row],[LIST $]]*_1_5412845612146241046457891017[[#This Row],[DISCOUNT]]*_1_5412845612146241046457891017[[#This Row],[DISCOUNT 2]]</f>
        <v>0</v>
      </c>
      <c r="M981" s="194">
        <f>IF(OR(_1_5412845612146241046457891017[[#This Row],[UNIT]]&gt;0,_1_5412845612146241046457891017[[#This Row],[UNIT]]&lt;0),_1_5412845612146241046457891017[[#This Row],[UNIT]]*_1_5412845612146241046457891017[[#This Row],[COST]],0)</f>
        <v>0</v>
      </c>
      <c r="N981" s="194">
        <f t="shared" si="15"/>
        <v>1.35</v>
      </c>
      <c r="O981" s="198">
        <f>_1_5412845612146241046457891017[[#This Row],[TOTAL]]*_1_5412845612146241046457891017[[#This Row],[MARGIN]]</f>
        <v>0</v>
      </c>
      <c r="P981" s="198"/>
      <c r="R981" s="41"/>
    </row>
    <row r="982" spans="4:18">
      <c r="D982" s="188"/>
      <c r="E982" s="42"/>
      <c r="F982" s="168" t="s">
        <v>6202</v>
      </c>
      <c r="G982" s="193">
        <f>IF(_1_5412845612146241046457891017[[#This Row],[Type]]&gt;0,VLOOKUP(_1_5412845612146241046457891017[[#This Row],[Type]],Main[[#All],[TYPE]:[UNIT]],'Unit Price'!C$1,FALSE),0)</f>
        <v>0</v>
      </c>
      <c r="H982" s="197">
        <f>IF(_1_5412845612146241046457891017[[#This Row],[Type]]&gt;0,VLOOKUP(_1_5412845612146241046457891017[[#This Row],[Type]],Main[[#All],[TYPE]:[UNIT]],'Unit Price'!D$1,FALSE),0)</f>
        <v>0</v>
      </c>
      <c r="I982" s="194">
        <f>IF(_1_5412845612146241046457891017[[#This Row],[Type]]&gt;0,VLOOKUP(_1_5412845612146241046457891017[[#This Row],[Type]],Main[[#All],[TYPE]:[UNIT]],'Unit Price'!G$1,FALSE),0)</f>
        <v>0</v>
      </c>
      <c r="J982" s="194">
        <f>IF(_1_5412845612146241046457891017[[#This Row],[Type]]&gt;0,VLOOKUP(_1_5412845612146241046457891017[[#This Row],[Type]],Main[[#All],[TYPE]:[UNIT]],'Unit Price'!H$1,FALSE),0)</f>
        <v>0</v>
      </c>
      <c r="K982" s="194">
        <f>IF(_1_5412845612146241046457891017[[#This Row],[Discount selection]]&gt;0,VLOOKUP(_1_5412845612146241046457891017[[#This Row],[Discount selection]],'Discount Structure'!$A$2:$B$30,2,"false"),0)</f>
        <v>1</v>
      </c>
      <c r="L982" s="194">
        <f>_1_5412845612146241046457891017[[#This Row],[LIST $]]*_1_5412845612146241046457891017[[#This Row],[DISCOUNT]]*_1_5412845612146241046457891017[[#This Row],[DISCOUNT 2]]</f>
        <v>0</v>
      </c>
      <c r="M982" s="194">
        <f>IF(OR(_1_5412845612146241046457891017[[#This Row],[UNIT]]&gt;0,_1_5412845612146241046457891017[[#This Row],[UNIT]]&lt;0),_1_5412845612146241046457891017[[#This Row],[UNIT]]*_1_5412845612146241046457891017[[#This Row],[COST]],0)</f>
        <v>0</v>
      </c>
      <c r="N982" s="194">
        <f t="shared" si="15"/>
        <v>1.35</v>
      </c>
      <c r="O982" s="198">
        <f>_1_5412845612146241046457891017[[#This Row],[TOTAL]]*_1_5412845612146241046457891017[[#This Row],[MARGIN]]</f>
        <v>0</v>
      </c>
      <c r="P982" s="198"/>
      <c r="R982" s="41"/>
    </row>
    <row r="983" spans="4:18">
      <c r="D983" s="188"/>
      <c r="E983" s="42"/>
      <c r="F983" s="168" t="s">
        <v>6202</v>
      </c>
      <c r="G983" s="193">
        <f>IF(_1_5412845612146241046457891017[[#This Row],[Type]]&gt;0,VLOOKUP(_1_5412845612146241046457891017[[#This Row],[Type]],Main[[#All],[TYPE]:[UNIT]],'Unit Price'!C$1,FALSE),0)</f>
        <v>0</v>
      </c>
      <c r="H983" s="197">
        <f>IF(_1_5412845612146241046457891017[[#This Row],[Type]]&gt;0,VLOOKUP(_1_5412845612146241046457891017[[#This Row],[Type]],Main[[#All],[TYPE]:[UNIT]],'Unit Price'!D$1,FALSE),0)</f>
        <v>0</v>
      </c>
      <c r="I983" s="194">
        <f>IF(_1_5412845612146241046457891017[[#This Row],[Type]]&gt;0,VLOOKUP(_1_5412845612146241046457891017[[#This Row],[Type]],Main[[#All],[TYPE]:[UNIT]],'Unit Price'!G$1,FALSE),0)</f>
        <v>0</v>
      </c>
      <c r="J983" s="194">
        <f>IF(_1_5412845612146241046457891017[[#This Row],[Type]]&gt;0,VLOOKUP(_1_5412845612146241046457891017[[#This Row],[Type]],Main[[#All],[TYPE]:[UNIT]],'Unit Price'!H$1,FALSE),0)</f>
        <v>0</v>
      </c>
      <c r="K983" s="194">
        <f>IF(_1_5412845612146241046457891017[[#This Row],[Discount selection]]&gt;0,VLOOKUP(_1_5412845612146241046457891017[[#This Row],[Discount selection]],'Discount Structure'!$A$2:$B$30,2,"false"),0)</f>
        <v>1</v>
      </c>
      <c r="L983" s="194">
        <f>_1_5412845612146241046457891017[[#This Row],[LIST $]]*_1_5412845612146241046457891017[[#This Row],[DISCOUNT]]*_1_5412845612146241046457891017[[#This Row],[DISCOUNT 2]]</f>
        <v>0</v>
      </c>
      <c r="M983" s="194">
        <f>IF(OR(_1_5412845612146241046457891017[[#This Row],[UNIT]]&gt;0,_1_5412845612146241046457891017[[#This Row],[UNIT]]&lt;0),_1_5412845612146241046457891017[[#This Row],[UNIT]]*_1_5412845612146241046457891017[[#This Row],[COST]],0)</f>
        <v>0</v>
      </c>
      <c r="N983" s="194">
        <f t="shared" si="15"/>
        <v>1.35</v>
      </c>
      <c r="O983" s="198">
        <f>_1_5412845612146241046457891017[[#This Row],[TOTAL]]*_1_5412845612146241046457891017[[#This Row],[MARGIN]]</f>
        <v>0</v>
      </c>
      <c r="P983" s="198"/>
      <c r="R983" s="41"/>
    </row>
    <row r="984" spans="4:18">
      <c r="D984" s="188"/>
      <c r="E984" s="42"/>
      <c r="F984" s="168" t="s">
        <v>6202</v>
      </c>
      <c r="G984" s="193">
        <f>IF(_1_5412845612146241046457891017[[#This Row],[Type]]&gt;0,VLOOKUP(_1_5412845612146241046457891017[[#This Row],[Type]],Main[[#All],[TYPE]:[UNIT]],'Unit Price'!C$1,FALSE),0)</f>
        <v>0</v>
      </c>
      <c r="H984" s="197">
        <f>IF(_1_5412845612146241046457891017[[#This Row],[Type]]&gt;0,VLOOKUP(_1_5412845612146241046457891017[[#This Row],[Type]],Main[[#All],[TYPE]:[UNIT]],'Unit Price'!D$1,FALSE),0)</f>
        <v>0</v>
      </c>
      <c r="I984" s="194">
        <f>IF(_1_5412845612146241046457891017[[#This Row],[Type]]&gt;0,VLOOKUP(_1_5412845612146241046457891017[[#This Row],[Type]],Main[[#All],[TYPE]:[UNIT]],'Unit Price'!G$1,FALSE),0)</f>
        <v>0</v>
      </c>
      <c r="J984" s="194">
        <f>IF(_1_5412845612146241046457891017[[#This Row],[Type]]&gt;0,VLOOKUP(_1_5412845612146241046457891017[[#This Row],[Type]],Main[[#All],[TYPE]:[UNIT]],'Unit Price'!H$1,FALSE),0)</f>
        <v>0</v>
      </c>
      <c r="K984" s="194">
        <f>IF(_1_5412845612146241046457891017[[#This Row],[Discount selection]]&gt;0,VLOOKUP(_1_5412845612146241046457891017[[#This Row],[Discount selection]],'Discount Structure'!$A$2:$B$30,2,"false"),0)</f>
        <v>1</v>
      </c>
      <c r="L984" s="194">
        <f>_1_5412845612146241046457891017[[#This Row],[LIST $]]*_1_5412845612146241046457891017[[#This Row],[DISCOUNT]]*_1_5412845612146241046457891017[[#This Row],[DISCOUNT 2]]</f>
        <v>0</v>
      </c>
      <c r="M984" s="194">
        <f>IF(OR(_1_5412845612146241046457891017[[#This Row],[UNIT]]&gt;0,_1_5412845612146241046457891017[[#This Row],[UNIT]]&lt;0),_1_5412845612146241046457891017[[#This Row],[UNIT]]*_1_5412845612146241046457891017[[#This Row],[COST]],0)</f>
        <v>0</v>
      </c>
      <c r="N984" s="194">
        <f t="shared" si="15"/>
        <v>1.35</v>
      </c>
      <c r="O984" s="198">
        <f>_1_5412845612146241046457891017[[#This Row],[TOTAL]]*_1_5412845612146241046457891017[[#This Row],[MARGIN]]</f>
        <v>0</v>
      </c>
      <c r="P984" s="198"/>
      <c r="R984" s="41"/>
    </row>
    <row r="985" spans="4:18">
      <c r="D985" s="188"/>
      <c r="E985" s="42"/>
      <c r="F985" s="168" t="s">
        <v>6202</v>
      </c>
      <c r="G985" s="193">
        <f>IF(_1_5412845612146241046457891017[[#This Row],[Type]]&gt;0,VLOOKUP(_1_5412845612146241046457891017[[#This Row],[Type]],Main[[#All],[TYPE]:[UNIT]],'Unit Price'!C$1,FALSE),0)</f>
        <v>0</v>
      </c>
      <c r="H985" s="197">
        <f>IF(_1_5412845612146241046457891017[[#This Row],[Type]]&gt;0,VLOOKUP(_1_5412845612146241046457891017[[#This Row],[Type]],Main[[#All],[TYPE]:[UNIT]],'Unit Price'!D$1,FALSE),0)</f>
        <v>0</v>
      </c>
      <c r="I985" s="194">
        <f>IF(_1_5412845612146241046457891017[[#This Row],[Type]]&gt;0,VLOOKUP(_1_5412845612146241046457891017[[#This Row],[Type]],Main[[#All],[TYPE]:[UNIT]],'Unit Price'!G$1,FALSE),0)</f>
        <v>0</v>
      </c>
      <c r="J985" s="194">
        <f>IF(_1_5412845612146241046457891017[[#This Row],[Type]]&gt;0,VLOOKUP(_1_5412845612146241046457891017[[#This Row],[Type]],Main[[#All],[TYPE]:[UNIT]],'Unit Price'!H$1,FALSE),0)</f>
        <v>0</v>
      </c>
      <c r="K985" s="194">
        <f>IF(_1_5412845612146241046457891017[[#This Row],[Discount selection]]&gt;0,VLOOKUP(_1_5412845612146241046457891017[[#This Row],[Discount selection]],'Discount Structure'!$A$2:$B$30,2,"false"),0)</f>
        <v>1</v>
      </c>
      <c r="L985" s="194">
        <f>_1_5412845612146241046457891017[[#This Row],[LIST $]]*_1_5412845612146241046457891017[[#This Row],[DISCOUNT]]*_1_5412845612146241046457891017[[#This Row],[DISCOUNT 2]]</f>
        <v>0</v>
      </c>
      <c r="M985" s="194">
        <f>IF(OR(_1_5412845612146241046457891017[[#This Row],[UNIT]]&gt;0,_1_5412845612146241046457891017[[#This Row],[UNIT]]&lt;0),_1_5412845612146241046457891017[[#This Row],[UNIT]]*_1_5412845612146241046457891017[[#This Row],[COST]],0)</f>
        <v>0</v>
      </c>
      <c r="N985" s="194">
        <f t="shared" si="15"/>
        <v>1.35</v>
      </c>
      <c r="O985" s="198">
        <f>_1_5412845612146241046457891017[[#This Row],[TOTAL]]*_1_5412845612146241046457891017[[#This Row],[MARGIN]]</f>
        <v>0</v>
      </c>
      <c r="P985" s="198"/>
      <c r="R985" s="41"/>
    </row>
    <row r="986" spans="4:18">
      <c r="D986" s="188"/>
      <c r="E986" s="42"/>
      <c r="F986" s="168" t="s">
        <v>6202</v>
      </c>
      <c r="G986" s="193">
        <f>IF(_1_5412845612146241046457891017[[#This Row],[Type]]&gt;0,VLOOKUP(_1_5412845612146241046457891017[[#This Row],[Type]],Main[[#All],[TYPE]:[UNIT]],'Unit Price'!C$1,FALSE),0)</f>
        <v>0</v>
      </c>
      <c r="H986" s="197">
        <f>IF(_1_5412845612146241046457891017[[#This Row],[Type]]&gt;0,VLOOKUP(_1_5412845612146241046457891017[[#This Row],[Type]],Main[[#All],[TYPE]:[UNIT]],'Unit Price'!D$1,FALSE),0)</f>
        <v>0</v>
      </c>
      <c r="I986" s="194">
        <f>IF(_1_5412845612146241046457891017[[#This Row],[Type]]&gt;0,VLOOKUP(_1_5412845612146241046457891017[[#This Row],[Type]],Main[[#All],[TYPE]:[UNIT]],'Unit Price'!G$1,FALSE),0)</f>
        <v>0</v>
      </c>
      <c r="J986" s="194">
        <f>IF(_1_5412845612146241046457891017[[#This Row],[Type]]&gt;0,VLOOKUP(_1_5412845612146241046457891017[[#This Row],[Type]],Main[[#All],[TYPE]:[UNIT]],'Unit Price'!H$1,FALSE),0)</f>
        <v>0</v>
      </c>
      <c r="K986" s="194">
        <f>IF(_1_5412845612146241046457891017[[#This Row],[Discount selection]]&gt;0,VLOOKUP(_1_5412845612146241046457891017[[#This Row],[Discount selection]],'Discount Structure'!$A$2:$B$30,2,"false"),0)</f>
        <v>1</v>
      </c>
      <c r="L986" s="194">
        <f>_1_5412845612146241046457891017[[#This Row],[LIST $]]*_1_5412845612146241046457891017[[#This Row],[DISCOUNT]]*_1_5412845612146241046457891017[[#This Row],[DISCOUNT 2]]</f>
        <v>0</v>
      </c>
      <c r="M986" s="194">
        <f>IF(OR(_1_5412845612146241046457891017[[#This Row],[UNIT]]&gt;0,_1_5412845612146241046457891017[[#This Row],[UNIT]]&lt;0),_1_5412845612146241046457891017[[#This Row],[UNIT]]*_1_5412845612146241046457891017[[#This Row],[COST]],0)</f>
        <v>0</v>
      </c>
      <c r="N986" s="194">
        <f t="shared" si="15"/>
        <v>1.35</v>
      </c>
      <c r="O986" s="198">
        <f>_1_5412845612146241046457891017[[#This Row],[TOTAL]]*_1_5412845612146241046457891017[[#This Row],[MARGIN]]</f>
        <v>0</v>
      </c>
      <c r="P986" s="198"/>
      <c r="R986" s="41"/>
    </row>
    <row r="987" spans="4:18">
      <c r="D987" s="188"/>
      <c r="E987" s="42"/>
      <c r="F987" s="168" t="s">
        <v>6202</v>
      </c>
      <c r="G987" s="193">
        <f>IF(_1_5412845612146241046457891017[[#This Row],[Type]]&gt;0,VLOOKUP(_1_5412845612146241046457891017[[#This Row],[Type]],Main[[#All],[TYPE]:[UNIT]],'Unit Price'!C$1,FALSE),0)</f>
        <v>0</v>
      </c>
      <c r="H987" s="197">
        <f>IF(_1_5412845612146241046457891017[[#This Row],[Type]]&gt;0,VLOOKUP(_1_5412845612146241046457891017[[#This Row],[Type]],Main[[#All],[TYPE]:[UNIT]],'Unit Price'!D$1,FALSE),0)</f>
        <v>0</v>
      </c>
      <c r="I987" s="194">
        <f>IF(_1_5412845612146241046457891017[[#This Row],[Type]]&gt;0,VLOOKUP(_1_5412845612146241046457891017[[#This Row],[Type]],Main[[#All],[TYPE]:[UNIT]],'Unit Price'!G$1,FALSE),0)</f>
        <v>0</v>
      </c>
      <c r="J987" s="194">
        <f>IF(_1_5412845612146241046457891017[[#This Row],[Type]]&gt;0,VLOOKUP(_1_5412845612146241046457891017[[#This Row],[Type]],Main[[#All],[TYPE]:[UNIT]],'Unit Price'!H$1,FALSE),0)</f>
        <v>0</v>
      </c>
      <c r="K987" s="194">
        <f>IF(_1_5412845612146241046457891017[[#This Row],[Discount selection]]&gt;0,VLOOKUP(_1_5412845612146241046457891017[[#This Row],[Discount selection]],'Discount Structure'!$A$2:$B$30,2,"false"),0)</f>
        <v>1</v>
      </c>
      <c r="L987" s="194">
        <f>_1_5412845612146241046457891017[[#This Row],[LIST $]]*_1_5412845612146241046457891017[[#This Row],[DISCOUNT]]*_1_5412845612146241046457891017[[#This Row],[DISCOUNT 2]]</f>
        <v>0</v>
      </c>
      <c r="M987" s="194">
        <f>IF(OR(_1_5412845612146241046457891017[[#This Row],[UNIT]]&gt;0,_1_5412845612146241046457891017[[#This Row],[UNIT]]&lt;0),_1_5412845612146241046457891017[[#This Row],[UNIT]]*_1_5412845612146241046457891017[[#This Row],[COST]],0)</f>
        <v>0</v>
      </c>
      <c r="N987" s="194">
        <f t="shared" si="15"/>
        <v>1.35</v>
      </c>
      <c r="O987" s="198">
        <f>_1_5412845612146241046457891017[[#This Row],[TOTAL]]*_1_5412845612146241046457891017[[#This Row],[MARGIN]]</f>
        <v>0</v>
      </c>
      <c r="P987" s="198"/>
      <c r="R987" s="41"/>
    </row>
    <row r="988" spans="4:18">
      <c r="D988" s="188"/>
      <c r="E988" s="42"/>
      <c r="F988" s="168" t="s">
        <v>6202</v>
      </c>
      <c r="G988" s="193">
        <f>IF(_1_5412845612146241046457891017[[#This Row],[Type]]&gt;0,VLOOKUP(_1_5412845612146241046457891017[[#This Row],[Type]],Main[[#All],[TYPE]:[UNIT]],'Unit Price'!C$1,FALSE),0)</f>
        <v>0</v>
      </c>
      <c r="H988" s="197">
        <f>IF(_1_5412845612146241046457891017[[#This Row],[Type]]&gt;0,VLOOKUP(_1_5412845612146241046457891017[[#This Row],[Type]],Main[[#All],[TYPE]:[UNIT]],'Unit Price'!D$1,FALSE),0)</f>
        <v>0</v>
      </c>
      <c r="I988" s="194">
        <f>IF(_1_5412845612146241046457891017[[#This Row],[Type]]&gt;0,VLOOKUP(_1_5412845612146241046457891017[[#This Row],[Type]],Main[[#All],[TYPE]:[UNIT]],'Unit Price'!G$1,FALSE),0)</f>
        <v>0</v>
      </c>
      <c r="J988" s="194">
        <f>IF(_1_5412845612146241046457891017[[#This Row],[Type]]&gt;0,VLOOKUP(_1_5412845612146241046457891017[[#This Row],[Type]],Main[[#All],[TYPE]:[UNIT]],'Unit Price'!H$1,FALSE),0)</f>
        <v>0</v>
      </c>
      <c r="K988" s="194">
        <f>IF(_1_5412845612146241046457891017[[#This Row],[Discount selection]]&gt;0,VLOOKUP(_1_5412845612146241046457891017[[#This Row],[Discount selection]],'Discount Structure'!$A$2:$B$30,2,"false"),0)</f>
        <v>1</v>
      </c>
      <c r="L988" s="194">
        <f>_1_5412845612146241046457891017[[#This Row],[LIST $]]*_1_5412845612146241046457891017[[#This Row],[DISCOUNT]]*_1_5412845612146241046457891017[[#This Row],[DISCOUNT 2]]</f>
        <v>0</v>
      </c>
      <c r="M988" s="194">
        <f>IF(OR(_1_5412845612146241046457891017[[#This Row],[UNIT]]&gt;0,_1_5412845612146241046457891017[[#This Row],[UNIT]]&lt;0),_1_5412845612146241046457891017[[#This Row],[UNIT]]*_1_5412845612146241046457891017[[#This Row],[COST]],0)</f>
        <v>0</v>
      </c>
      <c r="N988" s="194">
        <f t="shared" si="15"/>
        <v>1.35</v>
      </c>
      <c r="O988" s="198">
        <f>_1_5412845612146241046457891017[[#This Row],[TOTAL]]*_1_5412845612146241046457891017[[#This Row],[MARGIN]]</f>
        <v>0</v>
      </c>
      <c r="P988" s="198"/>
      <c r="R988" s="41"/>
    </row>
    <row r="989" spans="4:18">
      <c r="D989" s="188"/>
      <c r="E989" s="42"/>
      <c r="F989" s="168" t="s">
        <v>6202</v>
      </c>
      <c r="G989" s="193">
        <f>IF(_1_5412845612146241046457891017[[#This Row],[Type]]&gt;0,VLOOKUP(_1_5412845612146241046457891017[[#This Row],[Type]],Main[[#All],[TYPE]:[UNIT]],'Unit Price'!C$1,FALSE),0)</f>
        <v>0</v>
      </c>
      <c r="H989" s="197">
        <f>IF(_1_5412845612146241046457891017[[#This Row],[Type]]&gt;0,VLOOKUP(_1_5412845612146241046457891017[[#This Row],[Type]],Main[[#All],[TYPE]:[UNIT]],'Unit Price'!D$1,FALSE),0)</f>
        <v>0</v>
      </c>
      <c r="I989" s="194">
        <f>IF(_1_5412845612146241046457891017[[#This Row],[Type]]&gt;0,VLOOKUP(_1_5412845612146241046457891017[[#This Row],[Type]],Main[[#All],[TYPE]:[UNIT]],'Unit Price'!G$1,FALSE),0)</f>
        <v>0</v>
      </c>
      <c r="J989" s="194">
        <f>IF(_1_5412845612146241046457891017[[#This Row],[Type]]&gt;0,VLOOKUP(_1_5412845612146241046457891017[[#This Row],[Type]],Main[[#All],[TYPE]:[UNIT]],'Unit Price'!H$1,FALSE),0)</f>
        <v>0</v>
      </c>
      <c r="K989" s="194">
        <f>IF(_1_5412845612146241046457891017[[#This Row],[Discount selection]]&gt;0,VLOOKUP(_1_5412845612146241046457891017[[#This Row],[Discount selection]],'Discount Structure'!$A$2:$B$30,2,"false"),0)</f>
        <v>1</v>
      </c>
      <c r="L989" s="194">
        <f>_1_5412845612146241046457891017[[#This Row],[LIST $]]*_1_5412845612146241046457891017[[#This Row],[DISCOUNT]]*_1_5412845612146241046457891017[[#This Row],[DISCOUNT 2]]</f>
        <v>0</v>
      </c>
      <c r="M989" s="194">
        <f>IF(OR(_1_5412845612146241046457891017[[#This Row],[UNIT]]&gt;0,_1_5412845612146241046457891017[[#This Row],[UNIT]]&lt;0),_1_5412845612146241046457891017[[#This Row],[UNIT]]*_1_5412845612146241046457891017[[#This Row],[COST]],0)</f>
        <v>0</v>
      </c>
      <c r="N989" s="194">
        <f t="shared" si="15"/>
        <v>1.35</v>
      </c>
      <c r="O989" s="198">
        <f>_1_5412845612146241046457891017[[#This Row],[TOTAL]]*_1_5412845612146241046457891017[[#This Row],[MARGIN]]</f>
        <v>0</v>
      </c>
      <c r="P989" s="198"/>
      <c r="R989" s="41"/>
    </row>
    <row r="990" spans="4:18">
      <c r="D990" s="188"/>
      <c r="E990" s="42"/>
      <c r="F990" s="168" t="s">
        <v>6202</v>
      </c>
      <c r="G990" s="193">
        <f>IF(_1_5412845612146241046457891017[[#This Row],[Type]]&gt;0,VLOOKUP(_1_5412845612146241046457891017[[#This Row],[Type]],Main[[#All],[TYPE]:[UNIT]],'Unit Price'!C$1,FALSE),0)</f>
        <v>0</v>
      </c>
      <c r="H990" s="197">
        <f>IF(_1_5412845612146241046457891017[[#This Row],[Type]]&gt;0,VLOOKUP(_1_5412845612146241046457891017[[#This Row],[Type]],Main[[#All],[TYPE]:[UNIT]],'Unit Price'!D$1,FALSE),0)</f>
        <v>0</v>
      </c>
      <c r="I990" s="194">
        <f>IF(_1_5412845612146241046457891017[[#This Row],[Type]]&gt;0,VLOOKUP(_1_5412845612146241046457891017[[#This Row],[Type]],Main[[#All],[TYPE]:[UNIT]],'Unit Price'!G$1,FALSE),0)</f>
        <v>0</v>
      </c>
      <c r="J990" s="194">
        <f>IF(_1_5412845612146241046457891017[[#This Row],[Type]]&gt;0,VLOOKUP(_1_5412845612146241046457891017[[#This Row],[Type]],Main[[#All],[TYPE]:[UNIT]],'Unit Price'!H$1,FALSE),0)</f>
        <v>0</v>
      </c>
      <c r="K990" s="194">
        <f>IF(_1_5412845612146241046457891017[[#This Row],[Discount selection]]&gt;0,VLOOKUP(_1_5412845612146241046457891017[[#This Row],[Discount selection]],'Discount Structure'!$A$2:$B$30,2,"false"),0)</f>
        <v>1</v>
      </c>
      <c r="L990" s="194">
        <f>_1_5412845612146241046457891017[[#This Row],[LIST $]]*_1_5412845612146241046457891017[[#This Row],[DISCOUNT]]*_1_5412845612146241046457891017[[#This Row],[DISCOUNT 2]]</f>
        <v>0</v>
      </c>
      <c r="M990" s="194">
        <f>IF(OR(_1_5412845612146241046457891017[[#This Row],[UNIT]]&gt;0,_1_5412845612146241046457891017[[#This Row],[UNIT]]&lt;0),_1_5412845612146241046457891017[[#This Row],[UNIT]]*_1_5412845612146241046457891017[[#This Row],[COST]],0)</f>
        <v>0</v>
      </c>
      <c r="N990" s="194">
        <f t="shared" si="15"/>
        <v>1.35</v>
      </c>
      <c r="O990" s="198">
        <f>_1_5412845612146241046457891017[[#This Row],[TOTAL]]*_1_5412845612146241046457891017[[#This Row],[MARGIN]]</f>
        <v>0</v>
      </c>
      <c r="P990" s="198"/>
      <c r="R990" s="41"/>
    </row>
    <row r="991" spans="4:18">
      <c r="D991" s="188"/>
      <c r="E991" s="42"/>
      <c r="F991" s="168" t="s">
        <v>6202</v>
      </c>
      <c r="G991" s="193">
        <f>IF(_1_5412845612146241046457891017[[#This Row],[Type]]&gt;0,VLOOKUP(_1_5412845612146241046457891017[[#This Row],[Type]],Main[[#All],[TYPE]:[UNIT]],'Unit Price'!C$1,FALSE),0)</f>
        <v>0</v>
      </c>
      <c r="H991" s="197">
        <f>IF(_1_5412845612146241046457891017[[#This Row],[Type]]&gt;0,VLOOKUP(_1_5412845612146241046457891017[[#This Row],[Type]],Main[[#All],[TYPE]:[UNIT]],'Unit Price'!D$1,FALSE),0)</f>
        <v>0</v>
      </c>
      <c r="I991" s="194">
        <f>IF(_1_5412845612146241046457891017[[#This Row],[Type]]&gt;0,VLOOKUP(_1_5412845612146241046457891017[[#This Row],[Type]],Main[[#All],[TYPE]:[UNIT]],'Unit Price'!G$1,FALSE),0)</f>
        <v>0</v>
      </c>
      <c r="J991" s="194">
        <f>IF(_1_5412845612146241046457891017[[#This Row],[Type]]&gt;0,VLOOKUP(_1_5412845612146241046457891017[[#This Row],[Type]],Main[[#All],[TYPE]:[UNIT]],'Unit Price'!H$1,FALSE),0)</f>
        <v>0</v>
      </c>
      <c r="K991" s="194">
        <f>IF(_1_5412845612146241046457891017[[#This Row],[Discount selection]]&gt;0,VLOOKUP(_1_5412845612146241046457891017[[#This Row],[Discount selection]],'Discount Structure'!$A$2:$B$30,2,"false"),0)</f>
        <v>1</v>
      </c>
      <c r="L991" s="194">
        <f>_1_5412845612146241046457891017[[#This Row],[LIST $]]*_1_5412845612146241046457891017[[#This Row],[DISCOUNT]]*_1_5412845612146241046457891017[[#This Row],[DISCOUNT 2]]</f>
        <v>0</v>
      </c>
      <c r="M991" s="194">
        <f>IF(OR(_1_5412845612146241046457891017[[#This Row],[UNIT]]&gt;0,_1_5412845612146241046457891017[[#This Row],[UNIT]]&lt;0),_1_5412845612146241046457891017[[#This Row],[UNIT]]*_1_5412845612146241046457891017[[#This Row],[COST]],0)</f>
        <v>0</v>
      </c>
      <c r="N991" s="194">
        <f t="shared" si="15"/>
        <v>1.35</v>
      </c>
      <c r="O991" s="198">
        <f>_1_5412845612146241046457891017[[#This Row],[TOTAL]]*_1_5412845612146241046457891017[[#This Row],[MARGIN]]</f>
        <v>0</v>
      </c>
      <c r="P991" s="198"/>
      <c r="R991" s="41"/>
    </row>
    <row r="992" spans="4:18">
      <c r="D992" s="188"/>
      <c r="E992" s="42"/>
      <c r="F992" s="168" t="s">
        <v>6202</v>
      </c>
      <c r="G992" s="193">
        <f>IF(_1_5412845612146241046457891017[[#This Row],[Type]]&gt;0,VLOOKUP(_1_5412845612146241046457891017[[#This Row],[Type]],Main[[#All],[TYPE]:[UNIT]],'Unit Price'!C$1,FALSE),0)</f>
        <v>0</v>
      </c>
      <c r="H992" s="197">
        <f>IF(_1_5412845612146241046457891017[[#This Row],[Type]]&gt;0,VLOOKUP(_1_5412845612146241046457891017[[#This Row],[Type]],Main[[#All],[TYPE]:[UNIT]],'Unit Price'!D$1,FALSE),0)</f>
        <v>0</v>
      </c>
      <c r="I992" s="194">
        <f>IF(_1_5412845612146241046457891017[[#This Row],[Type]]&gt;0,VLOOKUP(_1_5412845612146241046457891017[[#This Row],[Type]],Main[[#All],[TYPE]:[UNIT]],'Unit Price'!G$1,FALSE),0)</f>
        <v>0</v>
      </c>
      <c r="J992" s="194">
        <f>IF(_1_5412845612146241046457891017[[#This Row],[Type]]&gt;0,VLOOKUP(_1_5412845612146241046457891017[[#This Row],[Type]],Main[[#All],[TYPE]:[UNIT]],'Unit Price'!H$1,FALSE),0)</f>
        <v>0</v>
      </c>
      <c r="K992" s="194">
        <f>IF(_1_5412845612146241046457891017[[#This Row],[Discount selection]]&gt;0,VLOOKUP(_1_5412845612146241046457891017[[#This Row],[Discount selection]],'Discount Structure'!$A$2:$B$30,2,"false"),0)</f>
        <v>1</v>
      </c>
      <c r="L992" s="194">
        <f>_1_5412845612146241046457891017[[#This Row],[LIST $]]*_1_5412845612146241046457891017[[#This Row],[DISCOUNT]]*_1_5412845612146241046457891017[[#This Row],[DISCOUNT 2]]</f>
        <v>0</v>
      </c>
      <c r="M992" s="194">
        <f>IF(OR(_1_5412845612146241046457891017[[#This Row],[UNIT]]&gt;0,_1_5412845612146241046457891017[[#This Row],[UNIT]]&lt;0),_1_5412845612146241046457891017[[#This Row],[UNIT]]*_1_5412845612146241046457891017[[#This Row],[COST]],0)</f>
        <v>0</v>
      </c>
      <c r="N992" s="194">
        <f t="shared" si="15"/>
        <v>1.35</v>
      </c>
      <c r="O992" s="198">
        <f>_1_5412845612146241046457891017[[#This Row],[TOTAL]]*_1_5412845612146241046457891017[[#This Row],[MARGIN]]</f>
        <v>0</v>
      </c>
      <c r="P992" s="198"/>
      <c r="R992" s="41"/>
    </row>
    <row r="993" spans="4:18">
      <c r="D993" s="188"/>
      <c r="E993" s="42"/>
      <c r="F993" s="168" t="s">
        <v>6202</v>
      </c>
      <c r="G993" s="193">
        <f>IF(_1_5412845612146241046457891017[[#This Row],[Type]]&gt;0,VLOOKUP(_1_5412845612146241046457891017[[#This Row],[Type]],Main[[#All],[TYPE]:[UNIT]],'Unit Price'!C$1,FALSE),0)</f>
        <v>0</v>
      </c>
      <c r="H993" s="197">
        <f>IF(_1_5412845612146241046457891017[[#This Row],[Type]]&gt;0,VLOOKUP(_1_5412845612146241046457891017[[#This Row],[Type]],Main[[#All],[TYPE]:[UNIT]],'Unit Price'!D$1,FALSE),0)</f>
        <v>0</v>
      </c>
      <c r="I993" s="194">
        <f>IF(_1_5412845612146241046457891017[[#This Row],[Type]]&gt;0,VLOOKUP(_1_5412845612146241046457891017[[#This Row],[Type]],Main[[#All],[TYPE]:[UNIT]],'Unit Price'!G$1,FALSE),0)</f>
        <v>0</v>
      </c>
      <c r="J993" s="194">
        <f>IF(_1_5412845612146241046457891017[[#This Row],[Type]]&gt;0,VLOOKUP(_1_5412845612146241046457891017[[#This Row],[Type]],Main[[#All],[TYPE]:[UNIT]],'Unit Price'!H$1,FALSE),0)</f>
        <v>0</v>
      </c>
      <c r="K993" s="194">
        <f>IF(_1_5412845612146241046457891017[[#This Row],[Discount selection]]&gt;0,VLOOKUP(_1_5412845612146241046457891017[[#This Row],[Discount selection]],'Discount Structure'!$A$2:$B$30,2,"false"),0)</f>
        <v>1</v>
      </c>
      <c r="L993" s="194">
        <f>_1_5412845612146241046457891017[[#This Row],[LIST $]]*_1_5412845612146241046457891017[[#This Row],[DISCOUNT]]*_1_5412845612146241046457891017[[#This Row],[DISCOUNT 2]]</f>
        <v>0</v>
      </c>
      <c r="M993" s="194">
        <f>IF(OR(_1_5412845612146241046457891017[[#This Row],[UNIT]]&gt;0,_1_5412845612146241046457891017[[#This Row],[UNIT]]&lt;0),_1_5412845612146241046457891017[[#This Row],[UNIT]]*_1_5412845612146241046457891017[[#This Row],[COST]],0)</f>
        <v>0</v>
      </c>
      <c r="N993" s="194">
        <f t="shared" si="15"/>
        <v>1.35</v>
      </c>
      <c r="O993" s="198">
        <f>_1_5412845612146241046457891017[[#This Row],[TOTAL]]*_1_5412845612146241046457891017[[#This Row],[MARGIN]]</f>
        <v>0</v>
      </c>
      <c r="P993" s="198"/>
      <c r="R993" s="41"/>
    </row>
    <row r="994" spans="4:18">
      <c r="D994" s="188"/>
      <c r="E994" s="42"/>
      <c r="F994" s="168" t="s">
        <v>6202</v>
      </c>
      <c r="G994" s="193">
        <f>IF(_1_5412845612146241046457891017[[#This Row],[Type]]&gt;0,VLOOKUP(_1_5412845612146241046457891017[[#This Row],[Type]],Main[[#All],[TYPE]:[UNIT]],'Unit Price'!C$1,FALSE),0)</f>
        <v>0</v>
      </c>
      <c r="H994" s="197">
        <f>IF(_1_5412845612146241046457891017[[#This Row],[Type]]&gt;0,VLOOKUP(_1_5412845612146241046457891017[[#This Row],[Type]],Main[[#All],[TYPE]:[UNIT]],'Unit Price'!D$1,FALSE),0)</f>
        <v>0</v>
      </c>
      <c r="I994" s="194">
        <f>IF(_1_5412845612146241046457891017[[#This Row],[Type]]&gt;0,VLOOKUP(_1_5412845612146241046457891017[[#This Row],[Type]],Main[[#All],[TYPE]:[UNIT]],'Unit Price'!G$1,FALSE),0)</f>
        <v>0</v>
      </c>
      <c r="J994" s="194">
        <f>IF(_1_5412845612146241046457891017[[#This Row],[Type]]&gt;0,VLOOKUP(_1_5412845612146241046457891017[[#This Row],[Type]],Main[[#All],[TYPE]:[UNIT]],'Unit Price'!H$1,FALSE),0)</f>
        <v>0</v>
      </c>
      <c r="K994" s="194">
        <f>IF(_1_5412845612146241046457891017[[#This Row],[Discount selection]]&gt;0,VLOOKUP(_1_5412845612146241046457891017[[#This Row],[Discount selection]],'Discount Structure'!$A$2:$B$30,2,"false"),0)</f>
        <v>1</v>
      </c>
      <c r="L994" s="194">
        <f>_1_5412845612146241046457891017[[#This Row],[LIST $]]*_1_5412845612146241046457891017[[#This Row],[DISCOUNT]]*_1_5412845612146241046457891017[[#This Row],[DISCOUNT 2]]</f>
        <v>0</v>
      </c>
      <c r="M994" s="194">
        <f>IF(OR(_1_5412845612146241046457891017[[#This Row],[UNIT]]&gt;0,_1_5412845612146241046457891017[[#This Row],[UNIT]]&lt;0),_1_5412845612146241046457891017[[#This Row],[UNIT]]*_1_5412845612146241046457891017[[#This Row],[COST]],0)</f>
        <v>0</v>
      </c>
      <c r="N994" s="194">
        <f t="shared" si="15"/>
        <v>1.35</v>
      </c>
      <c r="O994" s="198">
        <f>_1_5412845612146241046457891017[[#This Row],[TOTAL]]*_1_5412845612146241046457891017[[#This Row],[MARGIN]]</f>
        <v>0</v>
      </c>
      <c r="P994" s="198"/>
      <c r="R994" s="41"/>
    </row>
    <row r="995" spans="4:18">
      <c r="D995" s="188"/>
      <c r="E995" s="42"/>
      <c r="F995" s="168" t="s">
        <v>6202</v>
      </c>
      <c r="G995" s="193">
        <f>IF(_1_5412845612146241046457891017[[#This Row],[Type]]&gt;0,VLOOKUP(_1_5412845612146241046457891017[[#This Row],[Type]],Main[[#All],[TYPE]:[UNIT]],'Unit Price'!C$1,FALSE),0)</f>
        <v>0</v>
      </c>
      <c r="H995" s="197">
        <f>IF(_1_5412845612146241046457891017[[#This Row],[Type]]&gt;0,VLOOKUP(_1_5412845612146241046457891017[[#This Row],[Type]],Main[[#All],[TYPE]:[UNIT]],'Unit Price'!D$1,FALSE),0)</f>
        <v>0</v>
      </c>
      <c r="I995" s="194">
        <f>IF(_1_5412845612146241046457891017[[#This Row],[Type]]&gt;0,VLOOKUP(_1_5412845612146241046457891017[[#This Row],[Type]],Main[[#All],[TYPE]:[UNIT]],'Unit Price'!G$1,FALSE),0)</f>
        <v>0</v>
      </c>
      <c r="J995" s="194">
        <f>IF(_1_5412845612146241046457891017[[#This Row],[Type]]&gt;0,VLOOKUP(_1_5412845612146241046457891017[[#This Row],[Type]],Main[[#All],[TYPE]:[UNIT]],'Unit Price'!H$1,FALSE),0)</f>
        <v>0</v>
      </c>
      <c r="K995" s="194">
        <f>IF(_1_5412845612146241046457891017[[#This Row],[Discount selection]]&gt;0,VLOOKUP(_1_5412845612146241046457891017[[#This Row],[Discount selection]],'Discount Structure'!$A$2:$B$30,2,"false"),0)</f>
        <v>1</v>
      </c>
      <c r="L995" s="194">
        <f>_1_5412845612146241046457891017[[#This Row],[LIST $]]*_1_5412845612146241046457891017[[#This Row],[DISCOUNT]]*_1_5412845612146241046457891017[[#This Row],[DISCOUNT 2]]</f>
        <v>0</v>
      </c>
      <c r="M995" s="194">
        <f>IF(OR(_1_5412845612146241046457891017[[#This Row],[UNIT]]&gt;0,_1_5412845612146241046457891017[[#This Row],[UNIT]]&lt;0),_1_5412845612146241046457891017[[#This Row],[UNIT]]*_1_5412845612146241046457891017[[#This Row],[COST]],0)</f>
        <v>0</v>
      </c>
      <c r="N995" s="194">
        <f t="shared" si="15"/>
        <v>1.35</v>
      </c>
      <c r="O995" s="198">
        <f>_1_5412845612146241046457891017[[#This Row],[TOTAL]]*_1_5412845612146241046457891017[[#This Row],[MARGIN]]</f>
        <v>0</v>
      </c>
      <c r="P995" s="198"/>
      <c r="R995" s="41"/>
    </row>
    <row r="996" spans="4:18">
      <c r="D996" s="188"/>
      <c r="E996" s="42"/>
      <c r="F996" s="168" t="s">
        <v>6202</v>
      </c>
      <c r="G996" s="193">
        <f>IF(_1_5412845612146241046457891017[[#This Row],[Type]]&gt;0,VLOOKUP(_1_5412845612146241046457891017[[#This Row],[Type]],Main[[#All],[TYPE]:[UNIT]],'Unit Price'!C$1,FALSE),0)</f>
        <v>0</v>
      </c>
      <c r="H996" s="197">
        <f>IF(_1_5412845612146241046457891017[[#This Row],[Type]]&gt;0,VLOOKUP(_1_5412845612146241046457891017[[#This Row],[Type]],Main[[#All],[TYPE]:[UNIT]],'Unit Price'!D$1,FALSE),0)</f>
        <v>0</v>
      </c>
      <c r="I996" s="194">
        <f>IF(_1_5412845612146241046457891017[[#This Row],[Type]]&gt;0,VLOOKUP(_1_5412845612146241046457891017[[#This Row],[Type]],Main[[#All],[TYPE]:[UNIT]],'Unit Price'!G$1,FALSE),0)</f>
        <v>0</v>
      </c>
      <c r="J996" s="194">
        <f>IF(_1_5412845612146241046457891017[[#This Row],[Type]]&gt;0,VLOOKUP(_1_5412845612146241046457891017[[#This Row],[Type]],Main[[#All],[TYPE]:[UNIT]],'Unit Price'!H$1,FALSE),0)</f>
        <v>0</v>
      </c>
      <c r="K996" s="194">
        <f>IF(_1_5412845612146241046457891017[[#This Row],[Discount selection]]&gt;0,VLOOKUP(_1_5412845612146241046457891017[[#This Row],[Discount selection]],'Discount Structure'!$A$2:$B$30,2,"false"),0)</f>
        <v>1</v>
      </c>
      <c r="L996" s="194">
        <f>_1_5412845612146241046457891017[[#This Row],[LIST $]]*_1_5412845612146241046457891017[[#This Row],[DISCOUNT]]*_1_5412845612146241046457891017[[#This Row],[DISCOUNT 2]]</f>
        <v>0</v>
      </c>
      <c r="M996" s="194">
        <f>IF(OR(_1_5412845612146241046457891017[[#This Row],[UNIT]]&gt;0,_1_5412845612146241046457891017[[#This Row],[UNIT]]&lt;0),_1_5412845612146241046457891017[[#This Row],[UNIT]]*_1_5412845612146241046457891017[[#This Row],[COST]],0)</f>
        <v>0</v>
      </c>
      <c r="N996" s="194">
        <f t="shared" si="15"/>
        <v>1.35</v>
      </c>
      <c r="O996" s="198">
        <f>_1_5412845612146241046457891017[[#This Row],[TOTAL]]*_1_5412845612146241046457891017[[#This Row],[MARGIN]]</f>
        <v>0</v>
      </c>
      <c r="P996" s="198"/>
      <c r="R996" s="41"/>
    </row>
    <row r="997" spans="4:18">
      <c r="D997" s="188"/>
      <c r="E997" s="42"/>
      <c r="F997" s="168" t="s">
        <v>6202</v>
      </c>
      <c r="G997" s="193">
        <f>IF(_1_5412845612146241046457891017[[#This Row],[Type]]&gt;0,VLOOKUP(_1_5412845612146241046457891017[[#This Row],[Type]],Main[[#All],[TYPE]:[UNIT]],'Unit Price'!C$1,FALSE),0)</f>
        <v>0</v>
      </c>
      <c r="H997" s="197">
        <f>IF(_1_5412845612146241046457891017[[#This Row],[Type]]&gt;0,VLOOKUP(_1_5412845612146241046457891017[[#This Row],[Type]],Main[[#All],[TYPE]:[UNIT]],'Unit Price'!D$1,FALSE),0)</f>
        <v>0</v>
      </c>
      <c r="I997" s="194">
        <f>IF(_1_5412845612146241046457891017[[#This Row],[Type]]&gt;0,VLOOKUP(_1_5412845612146241046457891017[[#This Row],[Type]],Main[[#All],[TYPE]:[UNIT]],'Unit Price'!G$1,FALSE),0)</f>
        <v>0</v>
      </c>
      <c r="J997" s="194">
        <f>IF(_1_5412845612146241046457891017[[#This Row],[Type]]&gt;0,VLOOKUP(_1_5412845612146241046457891017[[#This Row],[Type]],Main[[#All],[TYPE]:[UNIT]],'Unit Price'!H$1,FALSE),0)</f>
        <v>0</v>
      </c>
      <c r="K997" s="194">
        <f>IF(_1_5412845612146241046457891017[[#This Row],[Discount selection]]&gt;0,VLOOKUP(_1_5412845612146241046457891017[[#This Row],[Discount selection]],'Discount Structure'!$A$2:$B$30,2,"false"),0)</f>
        <v>1</v>
      </c>
      <c r="L997" s="194">
        <f>_1_5412845612146241046457891017[[#This Row],[LIST $]]*_1_5412845612146241046457891017[[#This Row],[DISCOUNT]]*_1_5412845612146241046457891017[[#This Row],[DISCOUNT 2]]</f>
        <v>0</v>
      </c>
      <c r="M997" s="194">
        <f>IF(OR(_1_5412845612146241046457891017[[#This Row],[UNIT]]&gt;0,_1_5412845612146241046457891017[[#This Row],[UNIT]]&lt;0),_1_5412845612146241046457891017[[#This Row],[UNIT]]*_1_5412845612146241046457891017[[#This Row],[COST]],0)</f>
        <v>0</v>
      </c>
      <c r="N997" s="194">
        <f t="shared" si="15"/>
        <v>1.35</v>
      </c>
      <c r="O997" s="198">
        <f>_1_5412845612146241046457891017[[#This Row],[TOTAL]]*_1_5412845612146241046457891017[[#This Row],[MARGIN]]</f>
        <v>0</v>
      </c>
      <c r="P997" s="198"/>
      <c r="R997" s="41"/>
    </row>
    <row r="998" spans="4:18">
      <c r="D998" s="188"/>
      <c r="E998" s="42"/>
      <c r="F998" s="168" t="s">
        <v>6202</v>
      </c>
      <c r="G998" s="193">
        <f>IF(_1_5412845612146241046457891017[[#This Row],[Type]]&gt;0,VLOOKUP(_1_5412845612146241046457891017[[#This Row],[Type]],Main[[#All],[TYPE]:[UNIT]],'Unit Price'!C$1,FALSE),0)</f>
        <v>0</v>
      </c>
      <c r="H998" s="197">
        <f>IF(_1_5412845612146241046457891017[[#This Row],[Type]]&gt;0,VLOOKUP(_1_5412845612146241046457891017[[#This Row],[Type]],Main[[#All],[TYPE]:[UNIT]],'Unit Price'!D$1,FALSE),0)</f>
        <v>0</v>
      </c>
      <c r="I998" s="194">
        <f>IF(_1_5412845612146241046457891017[[#This Row],[Type]]&gt;0,VLOOKUP(_1_5412845612146241046457891017[[#This Row],[Type]],Main[[#All],[TYPE]:[UNIT]],'Unit Price'!G$1,FALSE),0)</f>
        <v>0</v>
      </c>
      <c r="J998" s="194">
        <f>IF(_1_5412845612146241046457891017[[#This Row],[Type]]&gt;0,VLOOKUP(_1_5412845612146241046457891017[[#This Row],[Type]],Main[[#All],[TYPE]:[UNIT]],'Unit Price'!H$1,FALSE),0)</f>
        <v>0</v>
      </c>
      <c r="K998" s="194">
        <f>IF(_1_5412845612146241046457891017[[#This Row],[Discount selection]]&gt;0,VLOOKUP(_1_5412845612146241046457891017[[#This Row],[Discount selection]],'Discount Structure'!$A$2:$B$30,2,"false"),0)</f>
        <v>1</v>
      </c>
      <c r="L998" s="194">
        <f>_1_5412845612146241046457891017[[#This Row],[LIST $]]*_1_5412845612146241046457891017[[#This Row],[DISCOUNT]]*_1_5412845612146241046457891017[[#This Row],[DISCOUNT 2]]</f>
        <v>0</v>
      </c>
      <c r="M998" s="194">
        <f>IF(OR(_1_5412845612146241046457891017[[#This Row],[UNIT]]&gt;0,_1_5412845612146241046457891017[[#This Row],[UNIT]]&lt;0),_1_5412845612146241046457891017[[#This Row],[UNIT]]*_1_5412845612146241046457891017[[#This Row],[COST]],0)</f>
        <v>0</v>
      </c>
      <c r="N998" s="194">
        <f t="shared" si="15"/>
        <v>1.35</v>
      </c>
      <c r="O998" s="198">
        <f>_1_5412845612146241046457891017[[#This Row],[TOTAL]]*_1_5412845612146241046457891017[[#This Row],[MARGIN]]</f>
        <v>0</v>
      </c>
      <c r="P998" s="198"/>
      <c r="R998" s="41"/>
    </row>
    <row r="999" spans="4:18">
      <c r="D999" s="188"/>
      <c r="E999" s="42"/>
      <c r="F999" s="168" t="s">
        <v>6202</v>
      </c>
      <c r="G999" s="193">
        <f>IF(_1_5412845612146241046457891017[[#This Row],[Type]]&gt;0,VLOOKUP(_1_5412845612146241046457891017[[#This Row],[Type]],Main[[#All],[TYPE]:[UNIT]],'Unit Price'!C$1,FALSE),0)</f>
        <v>0</v>
      </c>
      <c r="H999" s="197">
        <f>IF(_1_5412845612146241046457891017[[#This Row],[Type]]&gt;0,VLOOKUP(_1_5412845612146241046457891017[[#This Row],[Type]],Main[[#All],[TYPE]:[UNIT]],'Unit Price'!D$1,FALSE),0)</f>
        <v>0</v>
      </c>
      <c r="I999" s="194">
        <f>IF(_1_5412845612146241046457891017[[#This Row],[Type]]&gt;0,VLOOKUP(_1_5412845612146241046457891017[[#This Row],[Type]],Main[[#All],[TYPE]:[UNIT]],'Unit Price'!G$1,FALSE),0)</f>
        <v>0</v>
      </c>
      <c r="J999" s="194">
        <f>IF(_1_5412845612146241046457891017[[#This Row],[Type]]&gt;0,VLOOKUP(_1_5412845612146241046457891017[[#This Row],[Type]],Main[[#All],[TYPE]:[UNIT]],'Unit Price'!H$1,FALSE),0)</f>
        <v>0</v>
      </c>
      <c r="K999" s="194">
        <f>IF(_1_5412845612146241046457891017[[#This Row],[Discount selection]]&gt;0,VLOOKUP(_1_5412845612146241046457891017[[#This Row],[Discount selection]],'Discount Structure'!$A$2:$B$30,2,"false"),0)</f>
        <v>1</v>
      </c>
      <c r="L999" s="194">
        <f>_1_5412845612146241046457891017[[#This Row],[LIST $]]*_1_5412845612146241046457891017[[#This Row],[DISCOUNT]]*_1_5412845612146241046457891017[[#This Row],[DISCOUNT 2]]</f>
        <v>0</v>
      </c>
      <c r="M999" s="194">
        <f>IF(OR(_1_5412845612146241046457891017[[#This Row],[UNIT]]&gt;0,_1_5412845612146241046457891017[[#This Row],[UNIT]]&lt;0),_1_5412845612146241046457891017[[#This Row],[UNIT]]*_1_5412845612146241046457891017[[#This Row],[COST]],0)</f>
        <v>0</v>
      </c>
      <c r="N999" s="194">
        <f t="shared" si="15"/>
        <v>1.35</v>
      </c>
      <c r="O999" s="198">
        <f>_1_5412845612146241046457891017[[#This Row],[TOTAL]]*_1_5412845612146241046457891017[[#This Row],[MARGIN]]</f>
        <v>0</v>
      </c>
      <c r="P999" s="198"/>
      <c r="R999" s="41"/>
    </row>
    <row r="1000" spans="4:18">
      <c r="D1000" s="188"/>
      <c r="E1000" s="42"/>
      <c r="F1000" s="168" t="s">
        <v>6202</v>
      </c>
      <c r="G1000" s="193">
        <f>IF(_1_5412845612146241046457891017[[#This Row],[Type]]&gt;0,VLOOKUP(_1_5412845612146241046457891017[[#This Row],[Type]],Main[[#All],[TYPE]:[UNIT]],'Unit Price'!C$1,FALSE),0)</f>
        <v>0</v>
      </c>
      <c r="H1000" s="197">
        <f>IF(_1_5412845612146241046457891017[[#This Row],[Type]]&gt;0,VLOOKUP(_1_5412845612146241046457891017[[#This Row],[Type]],Main[[#All],[TYPE]:[UNIT]],'Unit Price'!D$1,FALSE),0)</f>
        <v>0</v>
      </c>
      <c r="I1000" s="194">
        <f>IF(_1_5412845612146241046457891017[[#This Row],[Type]]&gt;0,VLOOKUP(_1_5412845612146241046457891017[[#This Row],[Type]],Main[[#All],[TYPE]:[UNIT]],'Unit Price'!G$1,FALSE),0)</f>
        <v>0</v>
      </c>
      <c r="J1000" s="194">
        <f>IF(_1_5412845612146241046457891017[[#This Row],[Type]]&gt;0,VLOOKUP(_1_5412845612146241046457891017[[#This Row],[Type]],Main[[#All],[TYPE]:[UNIT]],'Unit Price'!H$1,FALSE),0)</f>
        <v>0</v>
      </c>
      <c r="K1000" s="194">
        <f>IF(_1_5412845612146241046457891017[[#This Row],[Discount selection]]&gt;0,VLOOKUP(_1_5412845612146241046457891017[[#This Row],[Discount selection]],'Discount Structure'!$A$2:$B$30,2,"false"),0)</f>
        <v>1</v>
      </c>
      <c r="L1000" s="194">
        <f>_1_5412845612146241046457891017[[#This Row],[LIST $]]*_1_5412845612146241046457891017[[#This Row],[DISCOUNT]]*_1_5412845612146241046457891017[[#This Row],[DISCOUNT 2]]</f>
        <v>0</v>
      </c>
      <c r="M1000" s="194">
        <f>IF(OR(_1_5412845612146241046457891017[[#This Row],[UNIT]]&gt;0,_1_5412845612146241046457891017[[#This Row],[UNIT]]&lt;0),_1_5412845612146241046457891017[[#This Row],[UNIT]]*_1_5412845612146241046457891017[[#This Row],[COST]],0)</f>
        <v>0</v>
      </c>
      <c r="N1000" s="194">
        <f>$N$7</f>
        <v>1.35</v>
      </c>
      <c r="O1000" s="198">
        <f>_1_5412845612146241046457891017[[#This Row],[TOTAL]]*_1_5412845612146241046457891017[[#This Row],[MARGIN]]</f>
        <v>0</v>
      </c>
      <c r="P1000" s="198"/>
      <c r="R1000" s="41"/>
    </row>
    <row r="1001" spans="4:18">
      <c r="D1001" s="188"/>
      <c r="E1001" s="42"/>
      <c r="F1001" s="168" t="s">
        <v>6202</v>
      </c>
      <c r="G1001" s="193">
        <f>IF(_1_5412845612146241046457891017[[#This Row],[Type]]&gt;0,VLOOKUP(_1_5412845612146241046457891017[[#This Row],[Type]],Main[[#All],[TYPE]:[UNIT]],'Unit Price'!C$1,FALSE),0)</f>
        <v>0</v>
      </c>
      <c r="H1001" s="197">
        <f>IF(_1_5412845612146241046457891017[[#This Row],[Type]]&gt;0,VLOOKUP(_1_5412845612146241046457891017[[#This Row],[Type]],Main[[#All],[TYPE]:[UNIT]],'Unit Price'!D$1,FALSE),0)</f>
        <v>0</v>
      </c>
      <c r="I1001" s="194">
        <f>IF(_1_5412845612146241046457891017[[#This Row],[Type]]&gt;0,VLOOKUP(_1_5412845612146241046457891017[[#This Row],[Type]],Main[[#All],[TYPE]:[UNIT]],'Unit Price'!G$1,FALSE),0)</f>
        <v>0</v>
      </c>
      <c r="J1001" s="194">
        <f>IF(_1_5412845612146241046457891017[[#This Row],[Type]]&gt;0,VLOOKUP(_1_5412845612146241046457891017[[#This Row],[Type]],Main[[#All],[TYPE]:[UNIT]],'Unit Price'!H$1,FALSE),0)</f>
        <v>0</v>
      </c>
      <c r="K1001" s="194">
        <f>IF(_1_5412845612146241046457891017[[#This Row],[Discount selection]]&gt;0,VLOOKUP(_1_5412845612146241046457891017[[#This Row],[Discount selection]],'Discount Structure'!$A$2:$B$30,2,"false"),0)</f>
        <v>1</v>
      </c>
      <c r="L1001" s="194">
        <f>_1_5412845612146241046457891017[[#This Row],[LIST $]]*_1_5412845612146241046457891017[[#This Row],[DISCOUNT]]*_1_5412845612146241046457891017[[#This Row],[DISCOUNT 2]]</f>
        <v>0</v>
      </c>
      <c r="M1001" s="194">
        <f>IF(OR(_1_5412845612146241046457891017[[#This Row],[UNIT]]&gt;0,_1_5412845612146241046457891017[[#This Row],[UNIT]]&lt;0),_1_5412845612146241046457891017[[#This Row],[UNIT]]*_1_5412845612146241046457891017[[#This Row],[COST]],0)</f>
        <v>0</v>
      </c>
      <c r="N1001" s="194">
        <f>$N$7</f>
        <v>1.35</v>
      </c>
      <c r="O1001" s="198">
        <f>_1_5412845612146241046457891017[[#This Row],[TOTAL]]*_1_5412845612146241046457891017[[#This Row],[MARGIN]]</f>
        <v>0</v>
      </c>
      <c r="P1001" s="198"/>
      <c r="R1001" s="41"/>
    </row>
  </sheetData>
  <sheetProtection formatCells="0" formatColumns="0" formatRows="0" insertColumns="0" insertRows="0" deleteColumns="0" deleteRows="0"/>
  <conditionalFormatting sqref="E1:E1048576">
    <cfRule type="colorScale" priority="6">
      <colorScale>
        <cfvo type="min"/>
        <cfvo type="percentile" val="50"/>
        <cfvo type="max"/>
        <color rgb="FFFF7128"/>
        <color rgb="FFFFEB84"/>
        <color rgb="FFFFEF9C"/>
      </colorScale>
    </cfRule>
  </conditionalFormatting>
  <conditionalFormatting sqref="K1:K1048576">
    <cfRule type="cellIs" dxfId="43" priority="7" operator="equal">
      <formula>$K$7</formula>
    </cfRule>
  </conditionalFormatting>
  <conditionalFormatting sqref="N1:N1048576">
    <cfRule type="cellIs" dxfId="42" priority="8" operator="equal">
      <formula>$N$7</formula>
    </cfRule>
  </conditionalFormatting>
  <conditionalFormatting sqref="H1:H1048576">
    <cfRule type="containsText" dxfId="41" priority="1" operator="containsText" text="ABB">
      <formula>NOT(ISERROR(SEARCH("ABB",H1)))</formula>
    </cfRule>
    <cfRule type="containsText" dxfId="40" priority="2" operator="containsText" text="LS">
      <formula>NOT(ISERROR(SEARCH("LS",H1)))</formula>
    </cfRule>
    <cfRule type="containsText" dxfId="39" priority="3" operator="containsText" text="SCHNEIDER">
      <formula>NOT(ISERROR(SEARCH("SCHNEIDER",H1)))</formula>
    </cfRule>
    <cfRule type="containsText" dxfId="38" priority="4" operator="containsText" text="CHINT">
      <formula>NOT(ISERROR(SEARCH("CHINT",H1)))</formula>
    </cfRule>
    <cfRule type="containsText" dxfId="37" priority="5" operator="containsText" text="0">
      <formula>NOT(ISERROR(SEARCH("0",H1)))</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59A53DC-9CD8-4F4B-A38D-27E7CAFFDD17}">
          <x14:formula1>
            <xm:f>'Discount Structure'!$A$2:$A$30</xm:f>
          </x14:formula1>
          <xm:sqref>F9:F1001</xm:sqref>
        </x14:dataValidation>
        <x14:dataValidation type="list" allowBlank="1" showInputMessage="1" showErrorMessage="1" xr:uid="{7C054AC8-DBB3-4B3D-A8AF-3E5C64C876F0}">
          <x14:formula1>
            <xm:f>'Unit Price'!$B:$B</xm:f>
          </x14:formula1>
          <xm:sqref>D79:D1001 D9:D77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3D55-2B2D-4795-B747-D4D0B2855C3C}">
  <sheetPr codeName="Sheet220"/>
  <dimension ref="A1:R1001"/>
  <sheetViews>
    <sheetView topLeftCell="A4" zoomScale="85" zoomScaleNormal="85" workbookViewId="0">
      <selection activeCell="D27" sqref="D27"/>
    </sheetView>
  </sheetViews>
  <sheetFormatPr defaultColWidth="21.28515625" defaultRowHeight="15"/>
  <cols>
    <col min="1" max="1" width="18.85546875" style="131" bestFit="1" customWidth="1"/>
    <col min="2" max="2" width="73.42578125" style="131" bestFit="1" customWidth="1"/>
    <col min="3" max="3" width="11.85546875" style="131" customWidth="1"/>
    <col min="4" max="4" width="33.7109375" style="40" customWidth="1"/>
    <col min="5" max="5" width="10.7109375" style="41" bestFit="1" customWidth="1"/>
    <col min="6" max="6" width="19.85546875" style="42" bestFit="1" customWidth="1"/>
    <col min="7" max="7" width="44.140625" style="192" bestFit="1" customWidth="1"/>
    <col min="8" max="8" width="11.85546875" style="197" bestFit="1" customWidth="1"/>
    <col min="9" max="9" width="8.7109375" style="194" bestFit="1" customWidth="1"/>
    <col min="10" max="10" width="12.7109375" style="194" bestFit="1" customWidth="1"/>
    <col min="11" max="11" width="14.28515625" style="194" bestFit="1" customWidth="1"/>
    <col min="12" max="12" width="10.28515625" style="194" bestFit="1" customWidth="1"/>
    <col min="13" max="13" width="12.85546875" style="194" bestFit="1" customWidth="1"/>
    <col min="14" max="14" width="11" style="194" bestFit="1" customWidth="1"/>
    <col min="15" max="15" width="15.140625" style="194" bestFit="1" customWidth="1"/>
    <col min="16" max="16" width="10.28515625" style="194" bestFit="1" customWidth="1"/>
    <col min="17" max="17" width="21.28515625" style="41"/>
    <col min="18" max="18" width="21.28515625" style="43"/>
    <col min="19" max="16384" width="21.28515625" style="41"/>
  </cols>
  <sheetData>
    <row r="1" spans="1:18" ht="46.5">
      <c r="A1" s="218" t="s">
        <v>5780</v>
      </c>
      <c r="B1" s="218" t="s">
        <v>29</v>
      </c>
      <c r="C1" s="219"/>
      <c r="F1" s="41"/>
      <c r="G1" s="39"/>
      <c r="H1" s="42"/>
      <c r="I1" s="41"/>
      <c r="J1" s="41"/>
      <c r="K1" s="41"/>
      <c r="L1" s="41"/>
      <c r="M1" s="41"/>
      <c r="N1" s="41"/>
      <c r="O1" s="43"/>
      <c r="P1" s="41"/>
      <c r="R1" s="41"/>
    </row>
    <row r="2" spans="1:18" ht="23.25">
      <c r="A2" s="161" t="s">
        <v>7835</v>
      </c>
      <c r="B2" s="161" t="s">
        <v>7824</v>
      </c>
      <c r="C2" s="184"/>
      <c r="F2" s="41"/>
      <c r="G2" s="39"/>
      <c r="H2" s="42"/>
      <c r="I2" s="41"/>
      <c r="J2" s="41"/>
      <c r="K2" s="41"/>
      <c r="L2" s="41"/>
      <c r="M2" s="41"/>
      <c r="N2" s="41"/>
      <c r="O2" s="43"/>
      <c r="P2" s="41"/>
      <c r="R2" s="41"/>
    </row>
    <row r="3" spans="1:18">
      <c r="A3" s="40"/>
      <c r="B3" s="40"/>
      <c r="C3" s="40"/>
      <c r="D3" s="41"/>
      <c r="F3" s="41"/>
      <c r="G3" s="39"/>
      <c r="H3" s="42"/>
      <c r="I3" s="41"/>
      <c r="J3" s="41"/>
      <c r="K3" s="41"/>
      <c r="L3" s="41"/>
      <c r="M3" s="41"/>
      <c r="N3" s="41"/>
      <c r="O3" s="43"/>
      <c r="P3" s="41"/>
      <c r="R3" s="41"/>
    </row>
    <row r="4" spans="1:18">
      <c r="A4" s="40"/>
      <c r="B4" s="40"/>
      <c r="C4" s="40"/>
      <c r="D4" s="41"/>
      <c r="F4" s="41"/>
      <c r="G4" s="39"/>
      <c r="H4" s="42"/>
      <c r="I4" s="41"/>
      <c r="J4" s="41"/>
      <c r="K4" s="41"/>
      <c r="L4" s="41"/>
      <c r="M4" s="41"/>
      <c r="N4" s="41"/>
      <c r="O4" s="43"/>
      <c r="P4" s="41"/>
      <c r="R4" s="41"/>
    </row>
    <row r="5" spans="1:18">
      <c r="A5" s="40"/>
      <c r="B5" s="40"/>
      <c r="C5" s="40"/>
      <c r="D5" s="41"/>
      <c r="F5" s="41"/>
      <c r="G5" s="39"/>
      <c r="H5" s="42"/>
      <c r="I5" s="41"/>
      <c r="J5" s="41"/>
      <c r="K5" s="41"/>
      <c r="L5" s="41"/>
      <c r="M5" s="41"/>
      <c r="N5" s="41"/>
      <c r="O5" s="43"/>
      <c r="P5" s="41"/>
      <c r="R5" s="41"/>
    </row>
    <row r="6" spans="1:18" ht="15.75">
      <c r="A6" s="40"/>
      <c r="B6" s="40"/>
      <c r="C6" s="40"/>
      <c r="D6" s="41"/>
      <c r="F6" s="41"/>
      <c r="G6" s="39"/>
      <c r="H6" s="42"/>
      <c r="I6" s="41"/>
      <c r="J6" s="41"/>
      <c r="K6" s="41"/>
      <c r="L6" s="41"/>
      <c r="M6" s="206" t="s">
        <v>279</v>
      </c>
      <c r="N6" s="207"/>
      <c r="O6" s="208" t="s">
        <v>280</v>
      </c>
      <c r="P6" s="206" t="s">
        <v>281</v>
      </c>
      <c r="R6" s="41"/>
    </row>
    <row r="7" spans="1:18">
      <c r="F7" s="40"/>
      <c r="G7" s="39"/>
      <c r="H7" s="42"/>
      <c r="I7" s="41"/>
      <c r="J7" s="41"/>
      <c r="K7" s="41">
        <v>1</v>
      </c>
      <c r="L7" s="41"/>
      <c r="M7" s="209">
        <f>SUM(_1_54128456121462410464578910174[TOTAL])</f>
        <v>2679.7999948000001</v>
      </c>
      <c r="N7" s="41">
        <v>1.5</v>
      </c>
      <c r="O7" s="210">
        <f>SUM(_1_54128456121462410464578910174[QUOTE])</f>
        <v>4019.6999922</v>
      </c>
      <c r="P7" s="209">
        <f>O7-M7</f>
        <v>1339.8999973999998</v>
      </c>
      <c r="R7" s="41"/>
    </row>
    <row r="8" spans="1:18">
      <c r="A8" s="220" t="s">
        <v>6194</v>
      </c>
      <c r="B8" s="220" t="s">
        <v>6195</v>
      </c>
      <c r="C8" s="220" t="s">
        <v>6196</v>
      </c>
      <c r="D8" s="40" t="s">
        <v>283</v>
      </c>
      <c r="E8" s="191" t="s">
        <v>284</v>
      </c>
      <c r="F8" s="40" t="s">
        <v>6206</v>
      </c>
      <c r="G8" s="193" t="s">
        <v>278</v>
      </c>
      <c r="H8" s="199" t="s">
        <v>282</v>
      </c>
      <c r="I8" s="200" t="s">
        <v>285</v>
      </c>
      <c r="J8" s="200" t="s">
        <v>286</v>
      </c>
      <c r="K8" s="200" t="s">
        <v>287</v>
      </c>
      <c r="L8" s="201" t="s">
        <v>288</v>
      </c>
      <c r="M8" s="202" t="s">
        <v>289</v>
      </c>
      <c r="N8" s="200" t="s">
        <v>290</v>
      </c>
      <c r="O8" s="203" t="s">
        <v>291</v>
      </c>
      <c r="R8" s="41"/>
    </row>
    <row r="9" spans="1:18">
      <c r="A9" s="357"/>
      <c r="B9" s="354"/>
      <c r="C9" s="168"/>
      <c r="D9" s="311"/>
      <c r="F9" s="168" t="s">
        <v>6202</v>
      </c>
      <c r="G9" s="193">
        <f>IF(_1_54128456121462410464578910174[[#This Row],[Type]]&gt;0,VLOOKUP(_1_54128456121462410464578910174[[#This Row],[Type]],Main[[#All],[TYPE]:[UNIT]],'Unit Price'!C$1,FALSE),0)</f>
        <v>0</v>
      </c>
      <c r="H9" s="197">
        <f>IF(_1_54128456121462410464578910174[[#This Row],[Type]]&gt;0,VLOOKUP(_1_54128456121462410464578910174[[#This Row],[Type]],Main[[#All],[TYPE]:[UNIT]],'Unit Price'!D$1,FALSE),0)</f>
        <v>0</v>
      </c>
      <c r="I9" s="194">
        <f>IF(_1_54128456121462410464578910174[[#This Row],[Type]]&gt;0,VLOOKUP(_1_54128456121462410464578910174[[#This Row],[Type]],Main[[#All],[TYPE]:[UNIT]],'Unit Price'!G$1,FALSE),0)</f>
        <v>0</v>
      </c>
      <c r="J9" s="194">
        <f>IF(_1_54128456121462410464578910174[[#This Row],[Type]]&gt;0,VLOOKUP(_1_54128456121462410464578910174[[#This Row],[Type]],Main[[#All],[TYPE]:[UNIT]],'Unit Price'!H$1,FALSE),0)</f>
        <v>0</v>
      </c>
      <c r="K9" s="194">
        <f>IF(_1_54128456121462410464578910174[[#This Row],[Discount selection]]&gt;0,VLOOKUP(_1_54128456121462410464578910174[[#This Row],[Discount selection]],'Discount Structure'!$A$2:$B$30,2,"false"),0)</f>
        <v>1</v>
      </c>
      <c r="L9" s="194">
        <f>_1_54128456121462410464578910174[[#This Row],[LIST $]]*_1_54128456121462410464578910174[[#This Row],[DISCOUNT]]*_1_54128456121462410464578910174[[#This Row],[DISCOUNT 2]]</f>
        <v>0</v>
      </c>
      <c r="M9" s="194">
        <f>IF(OR(_1_54128456121462410464578910174[[#This Row],[UNIT]]&gt;0,_1_54128456121462410464578910174[[#This Row],[UNIT]]&lt;0),_1_54128456121462410464578910174[[#This Row],[UNIT]]*_1_54128456121462410464578910174[[#This Row],[COST]],0)</f>
        <v>0</v>
      </c>
      <c r="N9" s="194">
        <f t="shared" ref="N9:N73" si="0">$N$7</f>
        <v>1.5</v>
      </c>
      <c r="O9" s="198">
        <f>_1_54128456121462410464578910174[[#This Row],[TOTAL]]*_1_54128456121462410464578910174[[#This Row],[MARGIN]]</f>
        <v>0</v>
      </c>
      <c r="P9" s="198"/>
      <c r="R9" s="41"/>
    </row>
    <row r="10" spans="1:18">
      <c r="B10" s="168"/>
      <c r="C10" s="312"/>
      <c r="D10" s="311" t="s">
        <v>1569</v>
      </c>
      <c r="E10" s="41">
        <v>1</v>
      </c>
      <c r="F10" s="168" t="s">
        <v>6202</v>
      </c>
      <c r="G10" s="193" t="str">
        <f>IF(_1_54128456121462410464578910174[[#This Row],[Type]]&gt;0,VLOOKUP(_1_54128456121462410464578910174[[#This Row],[Type]],Main[[#All],[TYPE]:[UNIT]],'Unit Price'!C$1,FALSE),0)</f>
        <v>40A 3P 50kA MCCB</v>
      </c>
      <c r="H10" s="197" t="str">
        <f>IF(_1_54128456121462410464578910174[[#This Row],[Type]]&gt;0,VLOOKUP(_1_54128456121462410464578910174[[#This Row],[Type]],Main[[#All],[TYPE]:[UNIT]],'Unit Price'!D$1,FALSE),0)</f>
        <v>CHINT</v>
      </c>
      <c r="I10" s="194">
        <f>IF(_1_54128456121462410464578910174[[#This Row],[Type]]&gt;0,VLOOKUP(_1_54128456121462410464578910174[[#This Row],[Type]],Main[[#All],[TYPE]:[UNIT]],'Unit Price'!G$1,FALSE),0)</f>
        <v>501</v>
      </c>
      <c r="J10" s="194">
        <f>IF(_1_54128456121462410464578910174[[#This Row],[Type]]&gt;0,VLOOKUP(_1_54128456121462410464578910174[[#This Row],[Type]],Main[[#All],[TYPE]:[UNIT]],'Unit Price'!H$1,FALSE),0)</f>
        <v>0.47155599999999998</v>
      </c>
      <c r="K10" s="194">
        <f>IF(_1_54128456121462410464578910174[[#This Row],[Discount selection]]&gt;0,VLOOKUP(_1_54128456121462410464578910174[[#This Row],[Discount selection]],'Discount Structure'!$A$2:$B$30,2,"false"),0)</f>
        <v>1</v>
      </c>
      <c r="L10" s="194">
        <f>_1_54128456121462410464578910174[[#This Row],[LIST $]]*_1_54128456121462410464578910174[[#This Row],[DISCOUNT]]*_1_54128456121462410464578910174[[#This Row],[DISCOUNT 2]]</f>
        <v>236.24955599999998</v>
      </c>
      <c r="M10" s="194">
        <f>IF(OR(_1_54128456121462410464578910174[[#This Row],[UNIT]]&gt;0,_1_54128456121462410464578910174[[#This Row],[UNIT]]&lt;0),_1_54128456121462410464578910174[[#This Row],[UNIT]]*_1_54128456121462410464578910174[[#This Row],[COST]],0)</f>
        <v>236.24955599999998</v>
      </c>
      <c r="N10" s="194">
        <f t="shared" si="0"/>
        <v>1.5</v>
      </c>
      <c r="O10" s="198">
        <f>_1_54128456121462410464578910174[[#This Row],[TOTAL]]*_1_54128456121462410464578910174[[#This Row],[MARGIN]]</f>
        <v>354.37433399999998</v>
      </c>
      <c r="R10" s="41"/>
    </row>
    <row r="11" spans="1:18">
      <c r="D11" s="188" t="s">
        <v>331</v>
      </c>
      <c r="E11" s="41">
        <v>2</v>
      </c>
      <c r="F11" s="168" t="s">
        <v>6202</v>
      </c>
      <c r="G11" s="193" t="str">
        <f>IF(_1_54128456121462410464578910174[[#This Row],[Type]]&gt;0,VLOOKUP(_1_54128456121462410464578910174[[#This Row],[Type]],Main[[#All],[TYPE]:[UNIT]],'Unit Price'!C$1,FALSE),0)</f>
        <v>40A 4P 100mA ELCB</v>
      </c>
      <c r="H11" s="197" t="str">
        <f>IF(_1_54128456121462410464578910174[[#This Row],[Type]]&gt;0,VLOOKUP(_1_54128456121462410464578910174[[#This Row],[Type]],Main[[#All],[TYPE]:[UNIT]],'Unit Price'!D$1,FALSE),0)</f>
        <v>CHINT</v>
      </c>
      <c r="I11" s="194">
        <f>IF(_1_54128456121462410464578910174[[#This Row],[Type]]&gt;0,VLOOKUP(_1_54128456121462410464578910174[[#This Row],[Type]],Main[[#All],[TYPE]:[UNIT]],'Unit Price'!G$1,FALSE),0)</f>
        <v>154</v>
      </c>
      <c r="J11" s="194">
        <f>IF(_1_54128456121462410464578910174[[#This Row],[Type]]&gt;0,VLOOKUP(_1_54128456121462410464578910174[[#This Row],[Type]],Main[[#All],[TYPE]:[UNIT]],'Unit Price'!H$1,FALSE),0)</f>
        <v>0.47155599999999998</v>
      </c>
      <c r="K11" s="194">
        <f>IF(_1_54128456121462410464578910174[[#This Row],[Discount selection]]&gt;0,VLOOKUP(_1_54128456121462410464578910174[[#This Row],[Discount selection]],'Discount Structure'!$A$2:$B$30,2,"false"),0)</f>
        <v>1</v>
      </c>
      <c r="L11" s="194">
        <f>_1_54128456121462410464578910174[[#This Row],[LIST $]]*_1_54128456121462410464578910174[[#This Row],[DISCOUNT]]*_1_54128456121462410464578910174[[#This Row],[DISCOUNT 2]]</f>
        <v>72.619624000000002</v>
      </c>
      <c r="M11" s="194">
        <f>IF(OR(_1_54128456121462410464578910174[[#This Row],[UNIT]]&gt;0,_1_54128456121462410464578910174[[#This Row],[UNIT]]&lt;0),_1_54128456121462410464578910174[[#This Row],[UNIT]]*_1_54128456121462410464578910174[[#This Row],[COST]],0)</f>
        <v>145.239248</v>
      </c>
      <c r="N11" s="194">
        <f t="shared" si="0"/>
        <v>1.5</v>
      </c>
      <c r="O11" s="198">
        <f>_1_54128456121462410464578910174[[#This Row],[TOTAL]]*_1_54128456121462410464578910174[[#This Row],[MARGIN]]</f>
        <v>217.85887200000002</v>
      </c>
      <c r="R11" s="41"/>
    </row>
    <row r="12" spans="1:18">
      <c r="D12" s="188" t="s">
        <v>299</v>
      </c>
      <c r="E12" s="313">
        <v>16</v>
      </c>
      <c r="F12" s="168" t="s">
        <v>6202</v>
      </c>
      <c r="G12" s="193" t="str">
        <f>IF(_1_54128456121462410464578910174[[#This Row],[Type]]&gt;0,VLOOKUP(_1_54128456121462410464578910174[[#This Row],[Type]],Main[[#All],[TYPE]:[UNIT]],'Unit Price'!C$1,FALSE),0)</f>
        <v>10MM SQ PVC CABLE (40A)</v>
      </c>
      <c r="H12" s="197" t="str">
        <f>IF(_1_54128456121462410464578910174[[#This Row],[Type]]&gt;0,VLOOKUP(_1_54128456121462410464578910174[[#This Row],[Type]],Main[[#All],[TYPE]:[UNIT]],'Unit Price'!D$1,FALSE),0)</f>
        <v>UC</v>
      </c>
      <c r="I12" s="194">
        <f>IF(_1_54128456121462410464578910174[[#This Row],[Type]]&gt;0,VLOOKUP(_1_54128456121462410464578910174[[#This Row],[Type]],Main[[#All],[TYPE]:[UNIT]],'Unit Price'!G$1,FALSE),0)</f>
        <v>6</v>
      </c>
      <c r="J12" s="194">
        <f>IF(_1_54128456121462410464578910174[[#This Row],[Type]]&gt;0,VLOOKUP(_1_54128456121462410464578910174[[#This Row],[Type]],Main[[#All],[TYPE]:[UNIT]],'Unit Price'!H$1,FALSE),0)</f>
        <v>1</v>
      </c>
      <c r="K12" s="194">
        <f>IF(_1_54128456121462410464578910174[[#This Row],[Discount selection]]&gt;0,VLOOKUP(_1_54128456121462410464578910174[[#This Row],[Discount selection]],'Discount Structure'!$A$2:$B$30,2,"false"),0)</f>
        <v>1</v>
      </c>
      <c r="L12" s="194">
        <f>_1_54128456121462410464578910174[[#This Row],[LIST $]]*_1_54128456121462410464578910174[[#This Row],[DISCOUNT]]*_1_54128456121462410464578910174[[#This Row],[DISCOUNT 2]]</f>
        <v>6</v>
      </c>
      <c r="M12" s="194">
        <f>IF(OR(_1_54128456121462410464578910174[[#This Row],[UNIT]]&gt;0,_1_54128456121462410464578910174[[#This Row],[UNIT]]&lt;0),_1_54128456121462410464578910174[[#This Row],[UNIT]]*_1_54128456121462410464578910174[[#This Row],[COST]],0)</f>
        <v>96</v>
      </c>
      <c r="N12" s="194">
        <f>$N$7</f>
        <v>1.5</v>
      </c>
      <c r="O12" s="198">
        <f>_1_54128456121462410464578910174[[#This Row],[TOTAL]]*_1_54128456121462410464578910174[[#This Row],[MARGIN]]</f>
        <v>144</v>
      </c>
      <c r="R12" s="41"/>
    </row>
    <row r="13" spans="1:18">
      <c r="D13" s="188"/>
      <c r="F13" s="168" t="s">
        <v>6202</v>
      </c>
      <c r="G13" s="193">
        <f>IF(_1_54128456121462410464578910174[[#This Row],[Type]]&gt;0,VLOOKUP(_1_54128456121462410464578910174[[#This Row],[Type]],Main[[#All],[TYPE]:[UNIT]],'Unit Price'!C$1,FALSE),0)</f>
        <v>0</v>
      </c>
      <c r="H13" s="197">
        <f>IF(_1_54128456121462410464578910174[[#This Row],[Type]]&gt;0,VLOOKUP(_1_54128456121462410464578910174[[#This Row],[Type]],Main[[#All],[TYPE]:[UNIT]],'Unit Price'!D$1,FALSE),0)</f>
        <v>0</v>
      </c>
      <c r="I13" s="194">
        <f>IF(_1_54128456121462410464578910174[[#This Row],[Type]]&gt;0,VLOOKUP(_1_54128456121462410464578910174[[#This Row],[Type]],Main[[#All],[TYPE]:[UNIT]],'Unit Price'!G$1,FALSE),0)</f>
        <v>0</v>
      </c>
      <c r="J13" s="194">
        <f>IF(_1_54128456121462410464578910174[[#This Row],[Type]]&gt;0,VLOOKUP(_1_54128456121462410464578910174[[#This Row],[Type]],Main[[#All],[TYPE]:[UNIT]],'Unit Price'!H$1,FALSE),0)</f>
        <v>0</v>
      </c>
      <c r="K13" s="194">
        <f>IF(_1_54128456121462410464578910174[[#This Row],[Discount selection]]&gt;0,VLOOKUP(_1_54128456121462410464578910174[[#This Row],[Discount selection]],'Discount Structure'!$A$2:$B$30,2,"false"),0)</f>
        <v>1</v>
      </c>
      <c r="L13" s="194">
        <f>_1_54128456121462410464578910174[[#This Row],[LIST $]]*_1_54128456121462410464578910174[[#This Row],[DISCOUNT]]*_1_54128456121462410464578910174[[#This Row],[DISCOUNT 2]]</f>
        <v>0</v>
      </c>
      <c r="M13" s="194">
        <f>IF(OR(_1_54128456121462410464578910174[[#This Row],[UNIT]]&gt;0,_1_54128456121462410464578910174[[#This Row],[UNIT]]&lt;0),_1_54128456121462410464578910174[[#This Row],[UNIT]]*_1_54128456121462410464578910174[[#This Row],[COST]],0)</f>
        <v>0</v>
      </c>
      <c r="N13" s="194">
        <f t="shared" si="0"/>
        <v>1.5</v>
      </c>
      <c r="O13" s="198">
        <f>_1_54128456121462410464578910174[[#This Row],[TOTAL]]*_1_54128456121462410464578910174[[#This Row],[MARGIN]]</f>
        <v>0</v>
      </c>
      <c r="R13" s="41"/>
    </row>
    <row r="14" spans="1:18">
      <c r="A14" s="168"/>
      <c r="C14" s="168"/>
      <c r="D14" s="188" t="s">
        <v>313</v>
      </c>
      <c r="E14" s="41">
        <v>1</v>
      </c>
      <c r="F14" s="168" t="s">
        <v>6202</v>
      </c>
      <c r="G14" s="193" t="str">
        <f>IF(_1_54128456121462410464578910174[[#This Row],[Type]]&gt;0,VLOOKUP(_1_54128456121462410464578910174[[#This Row],[Type]],Main[[#All],[TYPE]:[UNIT]],'Unit Price'!C$1,FALSE),0)</f>
        <v>6A ~ 40A 1P 6kA MCB</v>
      </c>
      <c r="H14" s="197" t="str">
        <f>IF(_1_54128456121462410464578910174[[#This Row],[Type]]&gt;0,VLOOKUP(_1_54128456121462410464578910174[[#This Row],[Type]],Main[[#All],[TYPE]:[UNIT]],'Unit Price'!D$1,FALSE),0)</f>
        <v>CHINT</v>
      </c>
      <c r="I14" s="194">
        <f>IF(_1_54128456121462410464578910174[[#This Row],[Type]]&gt;0,VLOOKUP(_1_54128456121462410464578910174[[#This Row],[Type]],Main[[#All],[TYPE]:[UNIT]],'Unit Price'!G$1,FALSE),0)</f>
        <v>17.3</v>
      </c>
      <c r="J14" s="194">
        <f>IF(_1_54128456121462410464578910174[[#This Row],[Type]]&gt;0,VLOOKUP(_1_54128456121462410464578910174[[#This Row],[Type]],Main[[#All],[TYPE]:[UNIT]],'Unit Price'!H$1,FALSE),0)</f>
        <v>0.47155599999999998</v>
      </c>
      <c r="K14" s="194">
        <f>IF(_1_54128456121462410464578910174[[#This Row],[Discount selection]]&gt;0,VLOOKUP(_1_54128456121462410464578910174[[#This Row],[Discount selection]],'Discount Structure'!$A$2:$B$30,2,"false"),0)</f>
        <v>1</v>
      </c>
      <c r="L14" s="194">
        <f>_1_54128456121462410464578910174[[#This Row],[LIST $]]*_1_54128456121462410464578910174[[#This Row],[DISCOUNT]]*_1_54128456121462410464578910174[[#This Row],[DISCOUNT 2]]</f>
        <v>8.1579187999999991</v>
      </c>
      <c r="M14" s="194">
        <f>IF(OR(_1_54128456121462410464578910174[[#This Row],[UNIT]]&gt;0,_1_54128456121462410464578910174[[#This Row],[UNIT]]&lt;0),_1_54128456121462410464578910174[[#This Row],[UNIT]]*_1_54128456121462410464578910174[[#This Row],[COST]],0)</f>
        <v>8.1579187999999991</v>
      </c>
      <c r="N14" s="194">
        <f t="shared" si="0"/>
        <v>1.5</v>
      </c>
      <c r="O14" s="198">
        <f>_1_54128456121462410464578910174[[#This Row],[TOTAL]]*_1_54128456121462410464578910174[[#This Row],[MARGIN]]</f>
        <v>12.2368782</v>
      </c>
      <c r="R14" s="41"/>
    </row>
    <row r="15" spans="1:18">
      <c r="C15" s="168"/>
      <c r="D15" s="188" t="s">
        <v>1423</v>
      </c>
      <c r="E15" s="41">
        <v>6</v>
      </c>
      <c r="F15" s="168" t="s">
        <v>6202</v>
      </c>
      <c r="G15" s="193" t="str">
        <f>IF(_1_54128456121462410464578910174[[#This Row],[Type]]&gt;0,VLOOKUP(_1_54128456121462410464578910174[[#This Row],[Type]],Main[[#All],[TYPE]:[UNIT]],'Unit Price'!C$1,FALSE),0)</f>
        <v>N/O PUSH BUTTON</v>
      </c>
      <c r="H15" s="197" t="str">
        <f>IF(_1_54128456121462410464578910174[[#This Row],[Type]]&gt;0,VLOOKUP(_1_54128456121462410464578910174[[#This Row],[Type]],Main[[#All],[TYPE]:[UNIT]],'Unit Price'!D$1,FALSE),0)</f>
        <v>AMICO</v>
      </c>
      <c r="I15" s="194">
        <f>IF(_1_54128456121462410464578910174[[#This Row],[Type]]&gt;0,VLOOKUP(_1_54128456121462410464578910174[[#This Row],[Type]],Main[[#All],[TYPE]:[UNIT]],'Unit Price'!G$1,FALSE),0)</f>
        <v>6</v>
      </c>
      <c r="J15" s="194">
        <f>IF(_1_54128456121462410464578910174[[#This Row],[Type]]&gt;0,VLOOKUP(_1_54128456121462410464578910174[[#This Row],[Type]],Main[[#All],[TYPE]:[UNIT]],'Unit Price'!H$1,FALSE),0)</f>
        <v>1</v>
      </c>
      <c r="K15" s="194">
        <f>IF(_1_54128456121462410464578910174[[#This Row],[Discount selection]]&gt;0,VLOOKUP(_1_54128456121462410464578910174[[#This Row],[Discount selection]],'Discount Structure'!$A$2:$B$30,2,"false"),0)</f>
        <v>1</v>
      </c>
      <c r="L15" s="194">
        <f>_1_54128456121462410464578910174[[#This Row],[LIST $]]*_1_54128456121462410464578910174[[#This Row],[DISCOUNT]]*_1_54128456121462410464578910174[[#This Row],[DISCOUNT 2]]</f>
        <v>6</v>
      </c>
      <c r="M15" s="194">
        <f>IF(OR(_1_54128456121462410464578910174[[#This Row],[UNIT]]&gt;0,_1_54128456121462410464578910174[[#This Row],[UNIT]]&lt;0),_1_54128456121462410464578910174[[#This Row],[UNIT]]*_1_54128456121462410464578910174[[#This Row],[COST]],0)</f>
        <v>36</v>
      </c>
      <c r="N15" s="194">
        <f t="shared" si="0"/>
        <v>1.5</v>
      </c>
      <c r="O15" s="198">
        <f>_1_54128456121462410464578910174[[#This Row],[TOTAL]]*_1_54128456121462410464578910174[[#This Row],[MARGIN]]</f>
        <v>54</v>
      </c>
      <c r="R15" s="41"/>
    </row>
    <row r="16" spans="1:18">
      <c r="A16" s="168"/>
      <c r="C16" s="168"/>
      <c r="D16" s="188" t="s">
        <v>1707</v>
      </c>
      <c r="E16" s="41">
        <v>6</v>
      </c>
      <c r="F16" s="168" t="s">
        <v>6202</v>
      </c>
      <c r="G16" s="193" t="str">
        <f>IF(_1_54128456121462410464578910174[[#This Row],[Type]]&gt;0,VLOOKUP(_1_54128456121462410464578910174[[#This Row],[Type]],Main[[#All],[TYPE]:[UNIT]],'Unit Price'!C$1,FALSE),0)</f>
        <v>25A 3P CONTACTOR</v>
      </c>
      <c r="H16" s="197" t="str">
        <f>IF(_1_54128456121462410464578910174[[#This Row],[Type]]&gt;0,VLOOKUP(_1_54128456121462410464578910174[[#This Row],[Type]],Main[[#All],[TYPE]:[UNIT]],'Unit Price'!D$1,FALSE),0)</f>
        <v>CHINT</v>
      </c>
      <c r="I16" s="194">
        <f>IF(_1_54128456121462410464578910174[[#This Row],[Type]]&gt;0,VLOOKUP(_1_54128456121462410464578910174[[#This Row],[Type]],Main[[#All],[TYPE]:[UNIT]],'Unit Price'!G$1,FALSE),0)</f>
        <v>75</v>
      </c>
      <c r="J16" s="194">
        <f>IF(_1_54128456121462410464578910174[[#This Row],[Type]]&gt;0,VLOOKUP(_1_54128456121462410464578910174[[#This Row],[Type]],Main[[#All],[TYPE]:[UNIT]],'Unit Price'!H$1,FALSE),0)</f>
        <v>0.47155599999999998</v>
      </c>
      <c r="K16" s="194">
        <f>IF(_1_54128456121462410464578910174[[#This Row],[Discount selection]]&gt;0,VLOOKUP(_1_54128456121462410464578910174[[#This Row],[Discount selection]],'Discount Structure'!$A$2:$B$30,2,"false"),0)</f>
        <v>1</v>
      </c>
      <c r="L16" s="194">
        <f>_1_54128456121462410464578910174[[#This Row],[LIST $]]*_1_54128456121462410464578910174[[#This Row],[DISCOUNT]]*_1_54128456121462410464578910174[[#This Row],[DISCOUNT 2]]</f>
        <v>35.366700000000002</v>
      </c>
      <c r="M16" s="194">
        <f>IF(OR(_1_54128456121462410464578910174[[#This Row],[UNIT]]&gt;0,_1_54128456121462410464578910174[[#This Row],[UNIT]]&lt;0),_1_54128456121462410464578910174[[#This Row],[UNIT]]*_1_54128456121462410464578910174[[#This Row],[COST]],0)</f>
        <v>212.2002</v>
      </c>
      <c r="N16" s="194">
        <f t="shared" si="0"/>
        <v>1.5</v>
      </c>
      <c r="O16" s="198">
        <f>_1_54128456121462410464578910174[[#This Row],[TOTAL]]*_1_54128456121462410464578910174[[#This Row],[MARGIN]]</f>
        <v>318.30029999999999</v>
      </c>
      <c r="R16" s="41"/>
    </row>
    <row r="17" spans="1:18">
      <c r="C17" s="168"/>
      <c r="D17" s="314" t="s">
        <v>2162</v>
      </c>
      <c r="E17" s="41">
        <v>6</v>
      </c>
      <c r="F17" s="168" t="s">
        <v>6202</v>
      </c>
      <c r="G17" s="193" t="str">
        <f>IF(_1_54128456121462410464578910174[[#This Row],[Type]]&gt;0,VLOOKUP(_1_54128456121462410464578910174[[#This Row],[Type]],Main[[#All],[TYPE]:[UNIT]],'Unit Price'!C$1,FALSE),0)</f>
        <v>PILOT LAMP,240VAC</v>
      </c>
      <c r="H17" s="197" t="str">
        <f>IF(_1_54128456121462410464578910174[[#This Row],[Type]]&gt;0,VLOOKUP(_1_54128456121462410464578910174[[#This Row],[Type]],Main[[#All],[TYPE]:[UNIT]],'Unit Price'!D$1,FALSE),0)</f>
        <v>FD</v>
      </c>
      <c r="I17" s="194">
        <f>IF(_1_54128456121462410464578910174[[#This Row],[Type]]&gt;0,VLOOKUP(_1_54128456121462410464578910174[[#This Row],[Type]],Main[[#All],[TYPE]:[UNIT]],'Unit Price'!G$1,FALSE),0)</f>
        <v>4</v>
      </c>
      <c r="J17" s="194">
        <f>IF(_1_54128456121462410464578910174[[#This Row],[Type]]&gt;0,VLOOKUP(_1_54128456121462410464578910174[[#This Row],[Type]],Main[[#All],[TYPE]:[UNIT]],'Unit Price'!H$1,FALSE),0)</f>
        <v>1</v>
      </c>
      <c r="K17" s="194">
        <f>IF(_1_54128456121462410464578910174[[#This Row],[Discount selection]]&gt;0,VLOOKUP(_1_54128456121462410464578910174[[#This Row],[Discount selection]],'Discount Structure'!$A$2:$B$30,2,"false"),0)</f>
        <v>1</v>
      </c>
      <c r="L17" s="194">
        <f>_1_54128456121462410464578910174[[#This Row],[LIST $]]*_1_54128456121462410464578910174[[#This Row],[DISCOUNT]]*_1_54128456121462410464578910174[[#This Row],[DISCOUNT 2]]</f>
        <v>4</v>
      </c>
      <c r="M17" s="194">
        <f>IF(OR(_1_54128456121462410464578910174[[#This Row],[UNIT]]&gt;0,_1_54128456121462410464578910174[[#This Row],[UNIT]]&lt;0),_1_54128456121462410464578910174[[#This Row],[UNIT]]*_1_54128456121462410464578910174[[#This Row],[COST]],0)</f>
        <v>24</v>
      </c>
      <c r="N17" s="194">
        <f t="shared" si="0"/>
        <v>1.5</v>
      </c>
      <c r="O17" s="198">
        <f>_1_54128456121462410464578910174[[#This Row],[TOTAL]]*_1_54128456121462410464578910174[[#This Row],[MARGIN]]</f>
        <v>36</v>
      </c>
      <c r="R17" s="41"/>
    </row>
    <row r="18" spans="1:18">
      <c r="A18" s="168"/>
      <c r="C18" s="168"/>
      <c r="D18" s="188" t="s">
        <v>311</v>
      </c>
      <c r="E18" s="41">
        <v>30</v>
      </c>
      <c r="F18" s="168" t="s">
        <v>6202</v>
      </c>
      <c r="G18" s="193" t="str">
        <f>IF(_1_54128456121462410464578910174[[#This Row],[Type]]&gt;0,VLOOKUP(_1_54128456121462410464578910174[[#This Row],[Type]],Main[[#All],[TYPE]:[UNIT]],'Unit Price'!C$1,FALSE),0)</f>
        <v>CONTROL CABLE</v>
      </c>
      <c r="H18" s="197" t="str">
        <f>IF(_1_54128456121462410464578910174[[#This Row],[Type]]&gt;0,VLOOKUP(_1_54128456121462410464578910174[[#This Row],[Type]],Main[[#All],[TYPE]:[UNIT]],'Unit Price'!D$1,FALSE),0)</f>
        <v>UC</v>
      </c>
      <c r="I18" s="194">
        <f>IF(_1_54128456121462410464578910174[[#This Row],[Type]]&gt;0,VLOOKUP(_1_54128456121462410464578910174[[#This Row],[Type]],Main[[#All],[TYPE]:[UNIT]],'Unit Price'!G$1,FALSE),0)</f>
        <v>1</v>
      </c>
      <c r="J18" s="194">
        <f>IF(_1_54128456121462410464578910174[[#This Row],[Type]]&gt;0,VLOOKUP(_1_54128456121462410464578910174[[#This Row],[Type]],Main[[#All],[TYPE]:[UNIT]],'Unit Price'!H$1,FALSE),0)</f>
        <v>1</v>
      </c>
      <c r="K18" s="194">
        <f>IF(_1_54128456121462410464578910174[[#This Row],[Discount selection]]&gt;0,VLOOKUP(_1_54128456121462410464578910174[[#This Row],[Discount selection]],'Discount Structure'!$A$2:$B$30,2,"false"),0)</f>
        <v>1</v>
      </c>
      <c r="L18" s="194">
        <f>_1_54128456121462410464578910174[[#This Row],[LIST $]]*_1_54128456121462410464578910174[[#This Row],[DISCOUNT]]*_1_54128456121462410464578910174[[#This Row],[DISCOUNT 2]]</f>
        <v>1</v>
      </c>
      <c r="M18" s="194">
        <f>IF(OR(_1_54128456121462410464578910174[[#This Row],[UNIT]]&gt;0,_1_54128456121462410464578910174[[#This Row],[UNIT]]&lt;0),_1_54128456121462410464578910174[[#This Row],[UNIT]]*_1_54128456121462410464578910174[[#This Row],[COST]],0)</f>
        <v>30</v>
      </c>
      <c r="N18" s="194">
        <f t="shared" si="0"/>
        <v>1.5</v>
      </c>
      <c r="O18" s="198">
        <f>_1_54128456121462410464578910174[[#This Row],[TOTAL]]*_1_54128456121462410464578910174[[#This Row],[MARGIN]]</f>
        <v>45</v>
      </c>
      <c r="R18" s="41"/>
    </row>
    <row r="19" spans="1:18">
      <c r="C19" s="168"/>
      <c r="D19" s="188"/>
      <c r="F19" s="168" t="s">
        <v>6202</v>
      </c>
      <c r="G19" s="193">
        <f>IF(_1_54128456121462410464578910174[[#This Row],[Type]]&gt;0,VLOOKUP(_1_54128456121462410464578910174[[#This Row],[Type]],Main[[#All],[TYPE]:[UNIT]],'Unit Price'!C$1,FALSE),0)</f>
        <v>0</v>
      </c>
      <c r="H19" s="197">
        <f>IF(_1_54128456121462410464578910174[[#This Row],[Type]]&gt;0,VLOOKUP(_1_54128456121462410464578910174[[#This Row],[Type]],Main[[#All],[TYPE]:[UNIT]],'Unit Price'!D$1,FALSE),0)</f>
        <v>0</v>
      </c>
      <c r="I19" s="194">
        <f>IF(_1_54128456121462410464578910174[[#This Row],[Type]]&gt;0,VLOOKUP(_1_54128456121462410464578910174[[#This Row],[Type]],Main[[#All],[TYPE]:[UNIT]],'Unit Price'!G$1,FALSE),0)</f>
        <v>0</v>
      </c>
      <c r="J19" s="194">
        <f>IF(_1_54128456121462410464578910174[[#This Row],[Type]]&gt;0,VLOOKUP(_1_54128456121462410464578910174[[#This Row],[Type]],Main[[#All],[TYPE]:[UNIT]],'Unit Price'!H$1,FALSE),0)</f>
        <v>0</v>
      </c>
      <c r="K19" s="194">
        <f>IF(_1_54128456121462410464578910174[[#This Row],[Discount selection]]&gt;0,VLOOKUP(_1_54128456121462410464578910174[[#This Row],[Discount selection]],'Discount Structure'!$A$2:$B$30,2,"false"),0)</f>
        <v>1</v>
      </c>
      <c r="L19" s="194">
        <f>_1_54128456121462410464578910174[[#This Row],[LIST $]]*_1_54128456121462410464578910174[[#This Row],[DISCOUNT]]*_1_54128456121462410464578910174[[#This Row],[DISCOUNT 2]]</f>
        <v>0</v>
      </c>
      <c r="M19" s="194">
        <f>IF(OR(_1_54128456121462410464578910174[[#This Row],[UNIT]]&gt;0,_1_54128456121462410464578910174[[#This Row],[UNIT]]&lt;0),_1_54128456121462410464578910174[[#This Row],[UNIT]]*_1_54128456121462410464578910174[[#This Row],[COST]],0)</f>
        <v>0</v>
      </c>
      <c r="N19" s="194">
        <f t="shared" si="0"/>
        <v>1.5</v>
      </c>
      <c r="O19" s="198">
        <f>_1_54128456121462410464578910174[[#This Row],[TOTAL]]*_1_54128456121462410464578910174[[#This Row],[MARGIN]]</f>
        <v>0</v>
      </c>
      <c r="R19" s="41"/>
    </row>
    <row r="20" spans="1:18">
      <c r="A20" s="168"/>
      <c r="B20" s="168"/>
      <c r="C20" s="168"/>
      <c r="D20" s="188" t="s">
        <v>1521</v>
      </c>
      <c r="E20" s="41">
        <v>15</v>
      </c>
      <c r="F20" s="168" t="s">
        <v>6202</v>
      </c>
      <c r="G20" s="193" t="str">
        <f>IF(_1_54128456121462410464578910174[[#This Row],[Type]]&gt;0,VLOOKUP(_1_54128456121462410464578910174[[#This Row],[Type]],Main[[#All],[TYPE]:[UNIT]],'Unit Price'!C$1,FALSE),0)</f>
        <v>6A ~ 40A 1P 10kA MCB</v>
      </c>
      <c r="H20" s="197" t="str">
        <f>IF(_1_54128456121462410464578910174[[#This Row],[Type]]&gt;0,VLOOKUP(_1_54128456121462410464578910174[[#This Row],[Type]],Main[[#All],[TYPE]:[UNIT]],'Unit Price'!D$1,FALSE),0)</f>
        <v>CHINT</v>
      </c>
      <c r="I20" s="194">
        <f>IF(_1_54128456121462410464578910174[[#This Row],[Type]]&gt;0,VLOOKUP(_1_54128456121462410464578910174[[#This Row],[Type]],Main[[#All],[TYPE]:[UNIT]],'Unit Price'!G$1,FALSE),0)</f>
        <v>22.1</v>
      </c>
      <c r="J20" s="194">
        <f>IF(_1_54128456121462410464578910174[[#This Row],[Type]]&gt;0,VLOOKUP(_1_54128456121462410464578910174[[#This Row],[Type]],Main[[#All],[TYPE]:[UNIT]],'Unit Price'!H$1,FALSE),0)</f>
        <v>0.47155599999999998</v>
      </c>
      <c r="K20" s="194">
        <f>IF(_1_54128456121462410464578910174[[#This Row],[Discount selection]]&gt;0,VLOOKUP(_1_54128456121462410464578910174[[#This Row],[Discount selection]],'Discount Structure'!$A$2:$B$30,2,"false"),0)</f>
        <v>1</v>
      </c>
      <c r="L20" s="194">
        <f>_1_54128456121462410464578910174[[#This Row],[LIST $]]*_1_54128456121462410464578910174[[#This Row],[DISCOUNT]]*_1_54128456121462410464578910174[[#This Row],[DISCOUNT 2]]</f>
        <v>10.421387600000001</v>
      </c>
      <c r="M20" s="194">
        <f>IF(OR(_1_54128456121462410464578910174[[#This Row],[UNIT]]&gt;0,_1_54128456121462410464578910174[[#This Row],[UNIT]]&lt;0),_1_54128456121462410464578910174[[#This Row],[UNIT]]*_1_54128456121462410464578910174[[#This Row],[COST]],0)</f>
        <v>156.32081400000001</v>
      </c>
      <c r="N20" s="194">
        <f t="shared" si="0"/>
        <v>1.5</v>
      </c>
      <c r="O20" s="198">
        <f>_1_54128456121462410464578910174[[#This Row],[TOTAL]]*_1_54128456121462410464578910174[[#This Row],[MARGIN]]</f>
        <v>234.48122100000001</v>
      </c>
      <c r="R20" s="41"/>
    </row>
    <row r="21" spans="1:18">
      <c r="C21" s="168"/>
      <c r="D21" s="188" t="s">
        <v>5719</v>
      </c>
      <c r="E21" s="41">
        <v>3</v>
      </c>
      <c r="F21" s="168" t="s">
        <v>6202</v>
      </c>
      <c r="G21" s="193" t="str">
        <f>IF(_1_54128456121462410464578910174[[#This Row],[Type]]&gt;0,VLOOKUP(_1_54128456121462410464578910174[[#This Row],[Type]],Main[[#All],[TYPE]:[UNIT]],'Unit Price'!C$1,FALSE),0)</f>
        <v>16A ~ 40A 1P+N 30mA RCBO</v>
      </c>
      <c r="H21" s="197" t="str">
        <f>IF(_1_54128456121462410464578910174[[#This Row],[Type]]&gt;0,VLOOKUP(_1_54128456121462410464578910174[[#This Row],[Type]],Main[[#All],[TYPE]:[UNIT]],'Unit Price'!D$1,FALSE),0)</f>
        <v>CHINT</v>
      </c>
      <c r="I21" s="194">
        <f>IF(_1_54128456121462410464578910174[[#This Row],[Type]]&gt;0,VLOOKUP(_1_54128456121462410464578910174[[#This Row],[Type]],Main[[#All],[TYPE]:[UNIT]],'Unit Price'!G$1,FALSE),0)</f>
        <v>131</v>
      </c>
      <c r="J21" s="194">
        <f>IF(_1_54128456121462410464578910174[[#This Row],[Type]]&gt;0,VLOOKUP(_1_54128456121462410464578910174[[#This Row],[Type]],Main[[#All],[TYPE]:[UNIT]],'Unit Price'!H$1,FALSE),0)</f>
        <v>0.47155599999999998</v>
      </c>
      <c r="K21" s="194">
        <f>IF(_1_54128456121462410464578910174[[#This Row],[Discount selection]]&gt;0,VLOOKUP(_1_54128456121462410464578910174[[#This Row],[Discount selection]],'Discount Structure'!$A$2:$B$30,2,"false"),0)</f>
        <v>1</v>
      </c>
      <c r="L21" s="194">
        <f>_1_54128456121462410464578910174[[#This Row],[LIST $]]*_1_54128456121462410464578910174[[#This Row],[DISCOUNT]]*_1_54128456121462410464578910174[[#This Row],[DISCOUNT 2]]</f>
        <v>61.773835999999996</v>
      </c>
      <c r="M21" s="194">
        <f>IF(OR(_1_54128456121462410464578910174[[#This Row],[UNIT]]&gt;0,_1_54128456121462410464578910174[[#This Row],[UNIT]]&lt;0),_1_54128456121462410464578910174[[#This Row],[UNIT]]*_1_54128456121462410464578910174[[#This Row],[COST]],0)</f>
        <v>185.32150799999999</v>
      </c>
      <c r="N21" s="194">
        <f t="shared" si="0"/>
        <v>1.5</v>
      </c>
      <c r="O21" s="198">
        <f>_1_54128456121462410464578910174[[#This Row],[TOTAL]]*_1_54128456121462410464578910174[[#This Row],[MARGIN]]</f>
        <v>277.98226199999999</v>
      </c>
      <c r="R21" s="41"/>
    </row>
    <row r="22" spans="1:18">
      <c r="A22" s="168"/>
      <c r="C22" s="168"/>
      <c r="D22" s="188"/>
      <c r="F22" s="168" t="s">
        <v>6202</v>
      </c>
      <c r="G22" s="193">
        <f>IF(_1_54128456121462410464578910174[[#This Row],[Type]]&gt;0,VLOOKUP(_1_54128456121462410464578910174[[#This Row],[Type]],Main[[#All],[TYPE]:[UNIT]],'Unit Price'!C$1,FALSE),0)</f>
        <v>0</v>
      </c>
      <c r="H22" s="197">
        <f>IF(_1_54128456121462410464578910174[[#This Row],[Type]]&gt;0,VLOOKUP(_1_54128456121462410464578910174[[#This Row],[Type]],Main[[#All],[TYPE]:[UNIT]],'Unit Price'!D$1,FALSE),0)</f>
        <v>0</v>
      </c>
      <c r="I22" s="194">
        <f>IF(_1_54128456121462410464578910174[[#This Row],[Type]]&gt;0,VLOOKUP(_1_54128456121462410464578910174[[#This Row],[Type]],Main[[#All],[TYPE]:[UNIT]],'Unit Price'!G$1,FALSE),0)</f>
        <v>0</v>
      </c>
      <c r="J22" s="194">
        <f>IF(_1_54128456121462410464578910174[[#This Row],[Type]]&gt;0,VLOOKUP(_1_54128456121462410464578910174[[#This Row],[Type]],Main[[#All],[TYPE]:[UNIT]],'Unit Price'!H$1,FALSE),0)</f>
        <v>0</v>
      </c>
      <c r="K22" s="194">
        <f>IF(_1_54128456121462410464578910174[[#This Row],[Discount selection]]&gt;0,VLOOKUP(_1_54128456121462410464578910174[[#This Row],[Discount selection]],'Discount Structure'!$A$2:$B$30,2,"false"),0)</f>
        <v>1</v>
      </c>
      <c r="L22" s="194">
        <f>_1_54128456121462410464578910174[[#This Row],[LIST $]]*_1_54128456121462410464578910174[[#This Row],[DISCOUNT]]*_1_54128456121462410464578910174[[#This Row],[DISCOUNT 2]]</f>
        <v>0</v>
      </c>
      <c r="M22" s="194">
        <f>IF(OR(_1_54128456121462410464578910174[[#This Row],[UNIT]]&gt;0,_1_54128456121462410464578910174[[#This Row],[UNIT]]&lt;0),_1_54128456121462410464578910174[[#This Row],[UNIT]]*_1_54128456121462410464578910174[[#This Row],[COST]],0)</f>
        <v>0</v>
      </c>
      <c r="N22" s="194">
        <f t="shared" si="0"/>
        <v>1.5</v>
      </c>
      <c r="O22" s="198">
        <f>_1_54128456121462410464578910174[[#This Row],[TOTAL]]*_1_54128456121462410464578910174[[#This Row],[MARGIN]]</f>
        <v>0</v>
      </c>
      <c r="R22" s="41"/>
    </row>
    <row r="23" spans="1:18">
      <c r="C23" s="168"/>
      <c r="D23" s="314" t="s">
        <v>6470</v>
      </c>
      <c r="E23" s="41">
        <v>1</v>
      </c>
      <c r="F23" s="168" t="s">
        <v>6202</v>
      </c>
      <c r="G23" s="193" t="str">
        <f>IF(_1_54128456121462410464578910174[[#This Row],[Type]]&gt;0,VLOOKUP(_1_54128456121462410464578910174[[#This Row],[Type]],Main[[#All],[TYPE]:[UNIT]],'Unit Price'!C$1,FALSE),0)</f>
        <v>SSB, 1.6mm THICK
6 OUT MCCBs
900x(550+400)x250</v>
      </c>
      <c r="H23" s="197" t="str">
        <f>IF(_1_54128456121462410464578910174[[#This Row],[Type]]&gt;0,VLOOKUP(_1_54128456121462410464578910174[[#This Row],[Type]],Main[[#All],[TYPE]:[UNIT]],'Unit Price'!D$1,FALSE),0)</f>
        <v>TK</v>
      </c>
      <c r="I23" s="194">
        <f>IF(_1_54128456121462410464578910174[[#This Row],[Type]]&gt;0,VLOOKUP(_1_54128456121462410464578910174[[#This Row],[Type]],Main[[#All],[TYPE]:[UNIT]],'Unit Price'!G$1,FALSE),0)</f>
        <v>1014</v>
      </c>
      <c r="J23" s="194">
        <f>IF(_1_54128456121462410464578910174[[#This Row],[Type]]&gt;0,VLOOKUP(_1_54128456121462410464578910174[[#This Row],[Type]],Main[[#All],[TYPE]:[UNIT]],'Unit Price'!H$1,FALSE),0)</f>
        <v>1</v>
      </c>
      <c r="K23" s="194">
        <f>IF(_1_54128456121462410464578910174[[#This Row],[Discount selection]]&gt;0,VLOOKUP(_1_54128456121462410464578910174[[#This Row],[Discount selection]],'Discount Structure'!$A$2:$B$30,2,"false"),0)</f>
        <v>1</v>
      </c>
      <c r="L23" s="194">
        <f>_1_54128456121462410464578910174[[#This Row],[LIST $]]*_1_54128456121462410464578910174[[#This Row],[DISCOUNT]]*_1_54128456121462410464578910174[[#This Row],[DISCOUNT 2]]</f>
        <v>1014</v>
      </c>
      <c r="M23" s="194">
        <f>IF(OR(_1_54128456121462410464578910174[[#This Row],[UNIT]]&gt;0,_1_54128456121462410464578910174[[#This Row],[UNIT]]&lt;0),_1_54128456121462410464578910174[[#This Row],[UNIT]]*_1_54128456121462410464578910174[[#This Row],[COST]],0)</f>
        <v>1014</v>
      </c>
      <c r="N23" s="194">
        <f t="shared" si="0"/>
        <v>1.5</v>
      </c>
      <c r="O23" s="198">
        <f>_1_54128456121462410464578910174[[#This Row],[TOTAL]]*_1_54128456121462410464578910174[[#This Row],[MARGIN]]</f>
        <v>1521</v>
      </c>
      <c r="R23" s="41"/>
    </row>
    <row r="24" spans="1:18">
      <c r="C24" s="168"/>
      <c r="D24" s="188" t="s">
        <v>6375</v>
      </c>
      <c r="E24" s="41">
        <v>0.95</v>
      </c>
      <c r="F24" s="168" t="s">
        <v>6202</v>
      </c>
      <c r="G24" s="193" t="str">
        <f>IF(_1_54128456121462410464578910174[[#This Row],[Type]]&gt;0,VLOOKUP(_1_54128456121462410464578910174[[#This Row],[Type]],Main[[#All],[TYPE]:[UNIT]],'Unit Price'!C$1,FALSE),0)</f>
        <v>BUSBAR, 116A, 15kA
25mm x 3mm</v>
      </c>
      <c r="H24" s="197" t="str">
        <f>IF(_1_54128456121462410464578910174[[#This Row],[Type]]&gt;0,VLOOKUP(_1_54128456121462410464578910174[[#This Row],[Type]],Main[[#All],[TYPE]:[UNIT]],'Unit Price'!D$1,FALSE),0)</f>
        <v>LUVATA</v>
      </c>
      <c r="I24" s="194">
        <f>IF(_1_54128456121462410464578910174[[#This Row],[Type]]&gt;0,VLOOKUP(_1_54128456121462410464578910174[[#This Row],[Type]],Main[[#All],[TYPE]:[UNIT]],'Unit Price'!G$1,FALSE),0)</f>
        <v>43.484999999999999</v>
      </c>
      <c r="J24" s="194">
        <f>IF(_1_54128456121462410464578910174[[#This Row],[Type]]&gt;0,VLOOKUP(_1_54128456121462410464578910174[[#This Row],[Type]],Main[[#All],[TYPE]:[UNIT]],'Unit Price'!H$1,FALSE),0)</f>
        <v>1</v>
      </c>
      <c r="K24" s="194">
        <f>IF(_1_54128456121462410464578910174[[#This Row],[Discount selection]]&gt;0,VLOOKUP(_1_54128456121462410464578910174[[#This Row],[Discount selection]],'Discount Structure'!$A$2:$B$30,2,"false"),0)</f>
        <v>1</v>
      </c>
      <c r="L24" s="194">
        <f>_1_54128456121462410464578910174[[#This Row],[LIST $]]*_1_54128456121462410464578910174[[#This Row],[DISCOUNT]]*_1_54128456121462410464578910174[[#This Row],[DISCOUNT 2]]</f>
        <v>43.484999999999999</v>
      </c>
      <c r="M24" s="194">
        <f>IF(OR(_1_54128456121462410464578910174[[#This Row],[UNIT]]&gt;0,_1_54128456121462410464578910174[[#This Row],[UNIT]]&lt;0),_1_54128456121462410464578910174[[#This Row],[UNIT]]*_1_54128456121462410464578910174[[#This Row],[COST]],0)</f>
        <v>41.310749999999999</v>
      </c>
      <c r="N24" s="194">
        <f t="shared" si="0"/>
        <v>1.5</v>
      </c>
      <c r="O24" s="198">
        <f>_1_54128456121462410464578910174[[#This Row],[TOTAL]]*_1_54128456121462410464578910174[[#This Row],[MARGIN]]</f>
        <v>61.966124999999998</v>
      </c>
      <c r="R24" s="41"/>
    </row>
    <row r="25" spans="1:18">
      <c r="C25" s="168"/>
      <c r="D25" s="188"/>
      <c r="F25" s="168" t="s">
        <v>6202</v>
      </c>
      <c r="G25" s="193">
        <f>IF(_1_54128456121462410464578910174[[#This Row],[Type]]&gt;0,VLOOKUP(_1_54128456121462410464578910174[[#This Row],[Type]],Main[[#All],[TYPE]:[UNIT]],'Unit Price'!C$1,FALSE),0)</f>
        <v>0</v>
      </c>
      <c r="H25" s="197">
        <f>IF(_1_54128456121462410464578910174[[#This Row],[Type]]&gt;0,VLOOKUP(_1_54128456121462410464578910174[[#This Row],[Type]],Main[[#All],[TYPE]:[UNIT]],'Unit Price'!D$1,FALSE),0)</f>
        <v>0</v>
      </c>
      <c r="I25" s="194">
        <f>IF(_1_54128456121462410464578910174[[#This Row],[Type]]&gt;0,VLOOKUP(_1_54128456121462410464578910174[[#This Row],[Type]],Main[[#All],[TYPE]:[UNIT]],'Unit Price'!G$1,FALSE),0)</f>
        <v>0</v>
      </c>
      <c r="J25" s="194">
        <f>IF(_1_54128456121462410464578910174[[#This Row],[Type]]&gt;0,VLOOKUP(_1_54128456121462410464578910174[[#This Row],[Type]],Main[[#All],[TYPE]:[UNIT]],'Unit Price'!H$1,FALSE),0)</f>
        <v>0</v>
      </c>
      <c r="K25" s="194">
        <f>IF(_1_54128456121462410464578910174[[#This Row],[Discount selection]]&gt;0,VLOOKUP(_1_54128456121462410464578910174[[#This Row],[Discount selection]],'Discount Structure'!$A$2:$B$30,2,"false"),0)</f>
        <v>1</v>
      </c>
      <c r="L25" s="194">
        <f>_1_54128456121462410464578910174[[#This Row],[LIST $]]*_1_54128456121462410464578910174[[#This Row],[DISCOUNT]]*_1_54128456121462410464578910174[[#This Row],[DISCOUNT 2]]</f>
        <v>0</v>
      </c>
      <c r="M25" s="194">
        <f>IF(OR(_1_54128456121462410464578910174[[#This Row],[UNIT]]&gt;0,_1_54128456121462410464578910174[[#This Row],[UNIT]]&lt;0),_1_54128456121462410464578910174[[#This Row],[UNIT]]*_1_54128456121462410464578910174[[#This Row],[COST]],0)</f>
        <v>0</v>
      </c>
      <c r="N25" s="194">
        <f t="shared" si="0"/>
        <v>1.5</v>
      </c>
      <c r="O25" s="198">
        <f>_1_54128456121462410464578910174[[#This Row],[TOTAL]]*_1_54128456121462410464578910174[[#This Row],[MARGIN]]</f>
        <v>0</v>
      </c>
      <c r="R25" s="41"/>
    </row>
    <row r="26" spans="1:18">
      <c r="C26" s="168"/>
      <c r="D26" s="188" t="s">
        <v>1440</v>
      </c>
      <c r="E26" s="41">
        <v>6</v>
      </c>
      <c r="F26" s="168" t="s">
        <v>6202</v>
      </c>
      <c r="G26" s="193" t="str">
        <f>IF(_1_54128456121462410464578910174[[#This Row],[Type]]&gt;0,VLOOKUP(_1_54128456121462410464578910174[[#This Row],[Type]],Main[[#All],[TYPE]:[UNIT]],'Unit Price'!C$1,FALSE),0)</f>
        <v>Delay On Timer</v>
      </c>
      <c r="H26" s="197" t="str">
        <f>IF(_1_54128456121462410464578910174[[#This Row],[Type]]&gt;0,VLOOKUP(_1_54128456121462410464578910174[[#This Row],[Type]],Main[[#All],[TYPE]:[UNIT]],'Unit Price'!D$1,FALSE),0)</f>
        <v>Anly</v>
      </c>
      <c r="I26" s="194">
        <f>IF(_1_54128456121462410464578910174[[#This Row],[Type]]&gt;0,VLOOKUP(_1_54128456121462410464578910174[[#This Row],[Type]],Main[[#All],[TYPE]:[UNIT]],'Unit Price'!G$1,FALSE),0)</f>
        <v>110</v>
      </c>
      <c r="J26" s="194">
        <f>IF(_1_54128456121462410464578910174[[#This Row],[Type]]&gt;0,VLOOKUP(_1_54128456121462410464578910174[[#This Row],[Type]],Main[[#All],[TYPE]:[UNIT]],'Unit Price'!H$1,FALSE),0)</f>
        <v>0.75</v>
      </c>
      <c r="K26" s="194">
        <f>IF(_1_54128456121462410464578910174[[#This Row],[Discount selection]]&gt;0,VLOOKUP(_1_54128456121462410464578910174[[#This Row],[Discount selection]],'Discount Structure'!$A$2:$B$30,2,"false"),0)</f>
        <v>1</v>
      </c>
      <c r="L26" s="194">
        <f>_1_54128456121462410464578910174[[#This Row],[LIST $]]*_1_54128456121462410464578910174[[#This Row],[DISCOUNT]]*_1_54128456121462410464578910174[[#This Row],[DISCOUNT 2]]</f>
        <v>82.5</v>
      </c>
      <c r="M26" s="194">
        <f>IF(OR(_1_54128456121462410464578910174[[#This Row],[UNIT]]&gt;0,_1_54128456121462410464578910174[[#This Row],[UNIT]]&lt;0),_1_54128456121462410464578910174[[#This Row],[UNIT]]*_1_54128456121462410464578910174[[#This Row],[COST]],0)</f>
        <v>495</v>
      </c>
      <c r="N26" s="194">
        <f t="shared" si="0"/>
        <v>1.5</v>
      </c>
      <c r="O26" s="198">
        <f>_1_54128456121462410464578910174[[#This Row],[TOTAL]]*_1_54128456121462410464578910174[[#This Row],[MARGIN]]</f>
        <v>742.5</v>
      </c>
      <c r="R26" s="41"/>
    </row>
    <row r="27" spans="1:18">
      <c r="B27" s="168"/>
      <c r="C27" s="168"/>
      <c r="D27" s="188"/>
      <c r="F27" s="168" t="s">
        <v>6202</v>
      </c>
      <c r="G27" s="193">
        <f>IF(_1_54128456121462410464578910174[[#This Row],[Type]]&gt;0,VLOOKUP(_1_54128456121462410464578910174[[#This Row],[Type]],Main[[#All],[TYPE]:[UNIT]],'Unit Price'!C$1,FALSE),0)</f>
        <v>0</v>
      </c>
      <c r="H27" s="197">
        <f>IF(_1_54128456121462410464578910174[[#This Row],[Type]]&gt;0,VLOOKUP(_1_54128456121462410464578910174[[#This Row],[Type]],Main[[#All],[TYPE]:[UNIT]],'Unit Price'!D$1,FALSE),0)</f>
        <v>0</v>
      </c>
      <c r="I27" s="194">
        <f>IF(_1_54128456121462410464578910174[[#This Row],[Type]]&gt;0,VLOOKUP(_1_54128456121462410464578910174[[#This Row],[Type]],Main[[#All],[TYPE]:[UNIT]],'Unit Price'!G$1,FALSE),0)</f>
        <v>0</v>
      </c>
      <c r="J27" s="194">
        <f>IF(_1_54128456121462410464578910174[[#This Row],[Type]]&gt;0,VLOOKUP(_1_54128456121462410464578910174[[#This Row],[Type]],Main[[#All],[TYPE]:[UNIT]],'Unit Price'!H$1,FALSE),0)</f>
        <v>0</v>
      </c>
      <c r="K27" s="194">
        <f>IF(_1_54128456121462410464578910174[[#This Row],[Discount selection]]&gt;0,VLOOKUP(_1_54128456121462410464578910174[[#This Row],[Discount selection]],'Discount Structure'!$A$2:$B$30,2,"false"),0)</f>
        <v>1</v>
      </c>
      <c r="L27" s="194">
        <f>_1_54128456121462410464578910174[[#This Row],[LIST $]]*_1_54128456121462410464578910174[[#This Row],[DISCOUNT]]*_1_54128456121462410464578910174[[#This Row],[DISCOUNT 2]]</f>
        <v>0</v>
      </c>
      <c r="M27" s="194">
        <f>IF(OR(_1_54128456121462410464578910174[[#This Row],[UNIT]]&gt;0,_1_54128456121462410464578910174[[#This Row],[UNIT]]&lt;0),_1_54128456121462410464578910174[[#This Row],[UNIT]]*_1_54128456121462410464578910174[[#This Row],[COST]],0)</f>
        <v>0</v>
      </c>
      <c r="N27" s="194">
        <f t="shared" si="0"/>
        <v>1.5</v>
      </c>
      <c r="O27" s="198">
        <f>_1_54128456121462410464578910174[[#This Row],[TOTAL]]*_1_54128456121462410464578910174[[#This Row],[MARGIN]]</f>
        <v>0</v>
      </c>
      <c r="R27" s="41"/>
    </row>
    <row r="28" spans="1:18">
      <c r="A28" s="168"/>
      <c r="C28" s="168"/>
      <c r="D28" s="188"/>
      <c r="F28" s="168" t="s">
        <v>6202</v>
      </c>
      <c r="G28" s="193">
        <f>IF(_1_54128456121462410464578910174[[#This Row],[Type]]&gt;0,VLOOKUP(_1_54128456121462410464578910174[[#This Row],[Type]],Main[[#All],[TYPE]:[UNIT]],'Unit Price'!C$1,FALSE),0)</f>
        <v>0</v>
      </c>
      <c r="H28" s="197">
        <f>IF(_1_54128456121462410464578910174[[#This Row],[Type]]&gt;0,VLOOKUP(_1_54128456121462410464578910174[[#This Row],[Type]],Main[[#All],[TYPE]:[UNIT]],'Unit Price'!D$1,FALSE),0)</f>
        <v>0</v>
      </c>
      <c r="I28" s="194">
        <f>IF(_1_54128456121462410464578910174[[#This Row],[Type]]&gt;0,VLOOKUP(_1_54128456121462410464578910174[[#This Row],[Type]],Main[[#All],[TYPE]:[UNIT]],'Unit Price'!G$1,FALSE),0)</f>
        <v>0</v>
      </c>
      <c r="J28" s="194">
        <f>IF(_1_54128456121462410464578910174[[#This Row],[Type]]&gt;0,VLOOKUP(_1_54128456121462410464578910174[[#This Row],[Type]],Main[[#All],[TYPE]:[UNIT]],'Unit Price'!H$1,FALSE),0)</f>
        <v>0</v>
      </c>
      <c r="K28" s="194">
        <f>IF(_1_54128456121462410464578910174[[#This Row],[Discount selection]]&gt;0,VLOOKUP(_1_54128456121462410464578910174[[#This Row],[Discount selection]],'Discount Structure'!$A$2:$B$30,2,"false"),0)</f>
        <v>1</v>
      </c>
      <c r="L28" s="194">
        <f>_1_54128456121462410464578910174[[#This Row],[LIST $]]*_1_54128456121462410464578910174[[#This Row],[DISCOUNT]]*_1_54128456121462410464578910174[[#This Row],[DISCOUNT 2]]</f>
        <v>0</v>
      </c>
      <c r="M28" s="194">
        <f>IF(OR(_1_54128456121462410464578910174[[#This Row],[UNIT]]&gt;0,_1_54128456121462410464578910174[[#This Row],[UNIT]]&lt;0),_1_54128456121462410464578910174[[#This Row],[UNIT]]*_1_54128456121462410464578910174[[#This Row],[COST]],0)</f>
        <v>0</v>
      </c>
      <c r="N28" s="194">
        <f t="shared" si="0"/>
        <v>1.5</v>
      </c>
      <c r="O28" s="198">
        <f>_1_54128456121462410464578910174[[#This Row],[TOTAL]]*_1_54128456121462410464578910174[[#This Row],[MARGIN]]</f>
        <v>0</v>
      </c>
      <c r="R28" s="41"/>
    </row>
    <row r="29" spans="1:18">
      <c r="A29" s="168"/>
      <c r="C29" s="168"/>
      <c r="D29" s="188"/>
      <c r="F29" s="168" t="s">
        <v>6202</v>
      </c>
      <c r="G29" s="193">
        <f>IF(_1_54128456121462410464578910174[[#This Row],[Type]]&gt;0,VLOOKUP(_1_54128456121462410464578910174[[#This Row],[Type]],Main[[#All],[TYPE]:[UNIT]],'Unit Price'!C$1,FALSE),0)</f>
        <v>0</v>
      </c>
      <c r="H29" s="197">
        <f>IF(_1_54128456121462410464578910174[[#This Row],[Type]]&gt;0,VLOOKUP(_1_54128456121462410464578910174[[#This Row],[Type]],Main[[#All],[TYPE]:[UNIT]],'Unit Price'!D$1,FALSE),0)</f>
        <v>0</v>
      </c>
      <c r="I29" s="194">
        <f>IF(_1_54128456121462410464578910174[[#This Row],[Type]]&gt;0,VLOOKUP(_1_54128456121462410464578910174[[#This Row],[Type]],Main[[#All],[TYPE]:[UNIT]],'Unit Price'!G$1,FALSE),0)</f>
        <v>0</v>
      </c>
      <c r="J29" s="194">
        <f>IF(_1_54128456121462410464578910174[[#This Row],[Type]]&gt;0,VLOOKUP(_1_54128456121462410464578910174[[#This Row],[Type]],Main[[#All],[TYPE]:[UNIT]],'Unit Price'!H$1,FALSE),0)</f>
        <v>0</v>
      </c>
      <c r="K29" s="194">
        <f>IF(_1_54128456121462410464578910174[[#This Row],[Discount selection]]&gt;0,VLOOKUP(_1_54128456121462410464578910174[[#This Row],[Discount selection]],'Discount Structure'!$A$2:$B$30,2,"false"),0)</f>
        <v>1</v>
      </c>
      <c r="L29" s="194">
        <f>_1_54128456121462410464578910174[[#This Row],[LIST $]]*_1_54128456121462410464578910174[[#This Row],[DISCOUNT]]*_1_54128456121462410464578910174[[#This Row],[DISCOUNT 2]]</f>
        <v>0</v>
      </c>
      <c r="M29" s="194">
        <f>IF(OR(_1_54128456121462410464578910174[[#This Row],[UNIT]]&gt;0,_1_54128456121462410464578910174[[#This Row],[UNIT]]&lt;0),_1_54128456121462410464578910174[[#This Row],[UNIT]]*_1_54128456121462410464578910174[[#This Row],[COST]],0)</f>
        <v>0</v>
      </c>
      <c r="N29" s="194">
        <f t="shared" si="0"/>
        <v>1.5</v>
      </c>
      <c r="O29" s="198">
        <f>_1_54128456121462410464578910174[[#This Row],[TOTAL]]*_1_54128456121462410464578910174[[#This Row],[MARGIN]]</f>
        <v>0</v>
      </c>
      <c r="R29" s="41"/>
    </row>
    <row r="30" spans="1:18">
      <c r="A30" s="168"/>
      <c r="C30" s="168"/>
      <c r="D30" s="188"/>
      <c r="F30" s="168" t="s">
        <v>6202</v>
      </c>
      <c r="G30" s="193">
        <f>IF(_1_54128456121462410464578910174[[#This Row],[Type]]&gt;0,VLOOKUP(_1_54128456121462410464578910174[[#This Row],[Type]],Main[[#All],[TYPE]:[UNIT]],'Unit Price'!C$1,FALSE),0)</f>
        <v>0</v>
      </c>
      <c r="H30" s="197">
        <f>IF(_1_54128456121462410464578910174[[#This Row],[Type]]&gt;0,VLOOKUP(_1_54128456121462410464578910174[[#This Row],[Type]],Main[[#All],[TYPE]:[UNIT]],'Unit Price'!D$1,FALSE),0)</f>
        <v>0</v>
      </c>
      <c r="I30" s="194">
        <f>IF(_1_54128456121462410464578910174[[#This Row],[Type]]&gt;0,VLOOKUP(_1_54128456121462410464578910174[[#This Row],[Type]],Main[[#All],[TYPE]:[UNIT]],'Unit Price'!G$1,FALSE),0)</f>
        <v>0</v>
      </c>
      <c r="J30" s="194">
        <f>IF(_1_54128456121462410464578910174[[#This Row],[Type]]&gt;0,VLOOKUP(_1_54128456121462410464578910174[[#This Row],[Type]],Main[[#All],[TYPE]:[UNIT]],'Unit Price'!H$1,FALSE),0)</f>
        <v>0</v>
      </c>
      <c r="K30" s="194">
        <f>IF(_1_54128456121462410464578910174[[#This Row],[Discount selection]]&gt;0,VLOOKUP(_1_54128456121462410464578910174[[#This Row],[Discount selection]],'Discount Structure'!$A$2:$B$30,2,"false"),0)</f>
        <v>1</v>
      </c>
      <c r="L30" s="194">
        <f>_1_54128456121462410464578910174[[#This Row],[LIST $]]*_1_54128456121462410464578910174[[#This Row],[DISCOUNT]]*_1_54128456121462410464578910174[[#This Row],[DISCOUNT 2]]</f>
        <v>0</v>
      </c>
      <c r="M30" s="194">
        <f>IF(OR(_1_54128456121462410464578910174[[#This Row],[UNIT]]&gt;0,_1_54128456121462410464578910174[[#This Row],[UNIT]]&lt;0),_1_54128456121462410464578910174[[#This Row],[UNIT]]*_1_54128456121462410464578910174[[#This Row],[COST]],0)</f>
        <v>0</v>
      </c>
      <c r="N30" s="194">
        <f t="shared" si="0"/>
        <v>1.5</v>
      </c>
      <c r="O30" s="198">
        <f>_1_54128456121462410464578910174[[#This Row],[TOTAL]]*_1_54128456121462410464578910174[[#This Row],[MARGIN]]</f>
        <v>0</v>
      </c>
      <c r="R30" s="41"/>
    </row>
    <row r="31" spans="1:18">
      <c r="A31" s="168"/>
      <c r="C31" s="168"/>
      <c r="D31" s="188"/>
      <c r="F31" s="168" t="s">
        <v>6202</v>
      </c>
      <c r="G31" s="193">
        <f>IF(_1_54128456121462410464578910174[[#This Row],[Type]]&gt;0,VLOOKUP(_1_54128456121462410464578910174[[#This Row],[Type]],Main[[#All],[TYPE]:[UNIT]],'Unit Price'!C$1,FALSE),0)</f>
        <v>0</v>
      </c>
      <c r="H31" s="197">
        <f>IF(_1_54128456121462410464578910174[[#This Row],[Type]]&gt;0,VLOOKUP(_1_54128456121462410464578910174[[#This Row],[Type]],Main[[#All],[TYPE]:[UNIT]],'Unit Price'!D$1,FALSE),0)</f>
        <v>0</v>
      </c>
      <c r="I31" s="194">
        <f>IF(_1_54128456121462410464578910174[[#This Row],[Type]]&gt;0,VLOOKUP(_1_54128456121462410464578910174[[#This Row],[Type]],Main[[#All],[TYPE]:[UNIT]],'Unit Price'!G$1,FALSE),0)</f>
        <v>0</v>
      </c>
      <c r="J31" s="194">
        <f>IF(_1_54128456121462410464578910174[[#This Row],[Type]]&gt;0,VLOOKUP(_1_54128456121462410464578910174[[#This Row],[Type]],Main[[#All],[TYPE]:[UNIT]],'Unit Price'!H$1,FALSE),0)</f>
        <v>0</v>
      </c>
      <c r="K31" s="194">
        <f>IF(_1_54128456121462410464578910174[[#This Row],[Discount selection]]&gt;0,VLOOKUP(_1_54128456121462410464578910174[[#This Row],[Discount selection]],'Discount Structure'!$A$2:$B$30,2,"false"),0)</f>
        <v>1</v>
      </c>
      <c r="L31" s="194">
        <f>_1_54128456121462410464578910174[[#This Row],[LIST $]]*_1_54128456121462410464578910174[[#This Row],[DISCOUNT]]*_1_54128456121462410464578910174[[#This Row],[DISCOUNT 2]]</f>
        <v>0</v>
      </c>
      <c r="M31" s="194">
        <f>IF(OR(_1_54128456121462410464578910174[[#This Row],[UNIT]]&gt;0,_1_54128456121462410464578910174[[#This Row],[UNIT]]&lt;0),_1_54128456121462410464578910174[[#This Row],[UNIT]]*_1_54128456121462410464578910174[[#This Row],[COST]],0)</f>
        <v>0</v>
      </c>
      <c r="N31" s="194">
        <f t="shared" si="0"/>
        <v>1.5</v>
      </c>
      <c r="O31" s="198">
        <f>_1_54128456121462410464578910174[[#This Row],[TOTAL]]*_1_54128456121462410464578910174[[#This Row],[MARGIN]]</f>
        <v>0</v>
      </c>
      <c r="R31" s="41"/>
    </row>
    <row r="32" spans="1:18">
      <c r="C32" s="168"/>
      <c r="D32" s="188"/>
      <c r="F32" s="168" t="s">
        <v>6202</v>
      </c>
      <c r="G32" s="193">
        <f>IF(_1_54128456121462410464578910174[[#This Row],[Type]]&gt;0,VLOOKUP(_1_54128456121462410464578910174[[#This Row],[Type]],Main[[#All],[TYPE]:[UNIT]],'Unit Price'!C$1,FALSE),0)</f>
        <v>0</v>
      </c>
      <c r="H32" s="197">
        <f>IF(_1_54128456121462410464578910174[[#This Row],[Type]]&gt;0,VLOOKUP(_1_54128456121462410464578910174[[#This Row],[Type]],Main[[#All],[TYPE]:[UNIT]],'Unit Price'!D$1,FALSE),0)</f>
        <v>0</v>
      </c>
      <c r="I32" s="194">
        <f>IF(_1_54128456121462410464578910174[[#This Row],[Type]]&gt;0,VLOOKUP(_1_54128456121462410464578910174[[#This Row],[Type]],Main[[#All],[TYPE]:[UNIT]],'Unit Price'!G$1,FALSE),0)</f>
        <v>0</v>
      </c>
      <c r="J32" s="194">
        <f>IF(_1_54128456121462410464578910174[[#This Row],[Type]]&gt;0,VLOOKUP(_1_54128456121462410464578910174[[#This Row],[Type]],Main[[#All],[TYPE]:[UNIT]],'Unit Price'!H$1,FALSE),0)</f>
        <v>0</v>
      </c>
      <c r="K32" s="194">
        <f>IF(_1_54128456121462410464578910174[[#This Row],[Discount selection]]&gt;0,VLOOKUP(_1_54128456121462410464578910174[[#This Row],[Discount selection]],'Discount Structure'!$A$2:$B$30,2,"false"),0)</f>
        <v>1</v>
      </c>
      <c r="L32" s="194">
        <f>_1_54128456121462410464578910174[[#This Row],[LIST $]]*_1_54128456121462410464578910174[[#This Row],[DISCOUNT]]*_1_54128456121462410464578910174[[#This Row],[DISCOUNT 2]]</f>
        <v>0</v>
      </c>
      <c r="M32" s="194">
        <f>IF(OR(_1_54128456121462410464578910174[[#This Row],[UNIT]]&gt;0,_1_54128456121462410464578910174[[#This Row],[UNIT]]&lt;0),_1_54128456121462410464578910174[[#This Row],[UNIT]]*_1_54128456121462410464578910174[[#This Row],[COST]],0)</f>
        <v>0</v>
      </c>
      <c r="N32" s="194">
        <f t="shared" si="0"/>
        <v>1.5</v>
      </c>
      <c r="O32" s="198">
        <f>_1_54128456121462410464578910174[[#This Row],[TOTAL]]*_1_54128456121462410464578910174[[#This Row],[MARGIN]]</f>
        <v>0</v>
      </c>
      <c r="R32" s="41"/>
    </row>
    <row r="33" spans="1:18">
      <c r="A33" s="331"/>
      <c r="C33" s="168"/>
      <c r="D33" s="188"/>
      <c r="F33" s="168" t="s">
        <v>6202</v>
      </c>
      <c r="G33" s="193">
        <f>IF(_1_54128456121462410464578910174[[#This Row],[Type]]&gt;0,VLOOKUP(_1_54128456121462410464578910174[[#This Row],[Type]],Main[[#All],[TYPE]:[UNIT]],'Unit Price'!C$1,FALSE),0)</f>
        <v>0</v>
      </c>
      <c r="H33" s="197">
        <f>IF(_1_54128456121462410464578910174[[#This Row],[Type]]&gt;0,VLOOKUP(_1_54128456121462410464578910174[[#This Row],[Type]],Main[[#All],[TYPE]:[UNIT]],'Unit Price'!D$1,FALSE),0)</f>
        <v>0</v>
      </c>
      <c r="I33" s="194">
        <f>IF(_1_54128456121462410464578910174[[#This Row],[Type]]&gt;0,VLOOKUP(_1_54128456121462410464578910174[[#This Row],[Type]],Main[[#All],[TYPE]:[UNIT]],'Unit Price'!G$1,FALSE),0)</f>
        <v>0</v>
      </c>
      <c r="J33" s="194">
        <f>IF(_1_54128456121462410464578910174[[#This Row],[Type]]&gt;0,VLOOKUP(_1_54128456121462410464578910174[[#This Row],[Type]],Main[[#All],[TYPE]:[UNIT]],'Unit Price'!H$1,FALSE),0)</f>
        <v>0</v>
      </c>
      <c r="K33" s="194">
        <f>IF(_1_54128456121462410464578910174[[#This Row],[Discount selection]]&gt;0,VLOOKUP(_1_54128456121462410464578910174[[#This Row],[Discount selection]],'Discount Structure'!$A$2:$B$30,2,"false"),0)</f>
        <v>1</v>
      </c>
      <c r="L33" s="194">
        <f>_1_54128456121462410464578910174[[#This Row],[LIST $]]*_1_54128456121462410464578910174[[#This Row],[DISCOUNT]]*_1_54128456121462410464578910174[[#This Row],[DISCOUNT 2]]</f>
        <v>0</v>
      </c>
      <c r="M33" s="194">
        <f>IF(OR(_1_54128456121462410464578910174[[#This Row],[UNIT]]&gt;0,_1_54128456121462410464578910174[[#This Row],[UNIT]]&lt;0),_1_54128456121462410464578910174[[#This Row],[UNIT]]*_1_54128456121462410464578910174[[#This Row],[COST]],0)</f>
        <v>0</v>
      </c>
      <c r="N33" s="194">
        <f t="shared" si="0"/>
        <v>1.5</v>
      </c>
      <c r="O33" s="198">
        <f>_1_54128456121462410464578910174[[#This Row],[TOTAL]]*_1_54128456121462410464578910174[[#This Row],[MARGIN]]</f>
        <v>0</v>
      </c>
      <c r="R33" s="41"/>
    </row>
    <row r="34" spans="1:18">
      <c r="C34" s="168"/>
      <c r="D34" s="188"/>
      <c r="F34" s="168" t="s">
        <v>6202</v>
      </c>
      <c r="G34" s="193">
        <f>IF(_1_54128456121462410464578910174[[#This Row],[Type]]&gt;0,VLOOKUP(_1_54128456121462410464578910174[[#This Row],[Type]],Main[[#All],[TYPE]:[UNIT]],'Unit Price'!C$1,FALSE),0)</f>
        <v>0</v>
      </c>
      <c r="H34" s="197">
        <f>IF(_1_54128456121462410464578910174[[#This Row],[Type]]&gt;0,VLOOKUP(_1_54128456121462410464578910174[[#This Row],[Type]],Main[[#All],[TYPE]:[UNIT]],'Unit Price'!D$1,FALSE),0)</f>
        <v>0</v>
      </c>
      <c r="I34" s="194">
        <f>IF(_1_54128456121462410464578910174[[#This Row],[Type]]&gt;0,VLOOKUP(_1_54128456121462410464578910174[[#This Row],[Type]],Main[[#All],[TYPE]:[UNIT]],'Unit Price'!G$1,FALSE),0)</f>
        <v>0</v>
      </c>
      <c r="J34" s="194">
        <f>IF(_1_54128456121462410464578910174[[#This Row],[Type]]&gt;0,VLOOKUP(_1_54128456121462410464578910174[[#This Row],[Type]],Main[[#All],[TYPE]:[UNIT]],'Unit Price'!H$1,FALSE),0)</f>
        <v>0</v>
      </c>
      <c r="K34" s="194">
        <f>IF(_1_54128456121462410464578910174[[#This Row],[Discount selection]]&gt;0,VLOOKUP(_1_54128456121462410464578910174[[#This Row],[Discount selection]],'Discount Structure'!$A$2:$B$30,2,"false"),0)</f>
        <v>1</v>
      </c>
      <c r="L34" s="194">
        <f>_1_54128456121462410464578910174[[#This Row],[LIST $]]*_1_54128456121462410464578910174[[#This Row],[DISCOUNT]]*_1_54128456121462410464578910174[[#This Row],[DISCOUNT 2]]</f>
        <v>0</v>
      </c>
      <c r="M34" s="194">
        <f>IF(OR(_1_54128456121462410464578910174[[#This Row],[UNIT]]&gt;0,_1_54128456121462410464578910174[[#This Row],[UNIT]]&lt;0),_1_54128456121462410464578910174[[#This Row],[UNIT]]*_1_54128456121462410464578910174[[#This Row],[COST]],0)</f>
        <v>0</v>
      </c>
      <c r="N34" s="194">
        <f t="shared" si="0"/>
        <v>1.5</v>
      </c>
      <c r="O34" s="198">
        <f>_1_54128456121462410464578910174[[#This Row],[TOTAL]]*_1_54128456121462410464578910174[[#This Row],[MARGIN]]</f>
        <v>0</v>
      </c>
      <c r="R34" s="41"/>
    </row>
    <row r="35" spans="1:18">
      <c r="C35" s="168"/>
      <c r="D35" s="188"/>
      <c r="F35" s="168" t="s">
        <v>6202</v>
      </c>
      <c r="G35" s="193">
        <f>IF(_1_54128456121462410464578910174[[#This Row],[Type]]&gt;0,VLOOKUP(_1_54128456121462410464578910174[[#This Row],[Type]],Main[[#All],[TYPE]:[UNIT]],'Unit Price'!C$1,FALSE),0)</f>
        <v>0</v>
      </c>
      <c r="H35" s="197">
        <f>IF(_1_54128456121462410464578910174[[#This Row],[Type]]&gt;0,VLOOKUP(_1_54128456121462410464578910174[[#This Row],[Type]],Main[[#All],[TYPE]:[UNIT]],'Unit Price'!D$1,FALSE),0)</f>
        <v>0</v>
      </c>
      <c r="I35" s="194">
        <f>IF(_1_54128456121462410464578910174[[#This Row],[Type]]&gt;0,VLOOKUP(_1_54128456121462410464578910174[[#This Row],[Type]],Main[[#All],[TYPE]:[UNIT]],'Unit Price'!G$1,FALSE),0)</f>
        <v>0</v>
      </c>
      <c r="J35" s="194">
        <f>IF(_1_54128456121462410464578910174[[#This Row],[Type]]&gt;0,VLOOKUP(_1_54128456121462410464578910174[[#This Row],[Type]],Main[[#All],[TYPE]:[UNIT]],'Unit Price'!H$1,FALSE),0)</f>
        <v>0</v>
      </c>
      <c r="K35" s="194">
        <f>IF(_1_54128456121462410464578910174[[#This Row],[Discount selection]]&gt;0,VLOOKUP(_1_54128456121462410464578910174[[#This Row],[Discount selection]],'Discount Structure'!$A$2:$B$30,2,"false"),0)</f>
        <v>1</v>
      </c>
      <c r="L35" s="194">
        <f>_1_54128456121462410464578910174[[#This Row],[LIST $]]*_1_54128456121462410464578910174[[#This Row],[DISCOUNT]]*_1_54128456121462410464578910174[[#This Row],[DISCOUNT 2]]</f>
        <v>0</v>
      </c>
      <c r="M35" s="194">
        <f>IF(OR(_1_54128456121462410464578910174[[#This Row],[UNIT]]&gt;0,_1_54128456121462410464578910174[[#This Row],[UNIT]]&lt;0),_1_54128456121462410464578910174[[#This Row],[UNIT]]*_1_54128456121462410464578910174[[#This Row],[COST]],0)</f>
        <v>0</v>
      </c>
      <c r="N35" s="194">
        <f t="shared" si="0"/>
        <v>1.5</v>
      </c>
      <c r="O35" s="198">
        <f>_1_54128456121462410464578910174[[#This Row],[TOTAL]]*_1_54128456121462410464578910174[[#This Row],[MARGIN]]</f>
        <v>0</v>
      </c>
      <c r="R35" s="41"/>
    </row>
    <row r="36" spans="1:18">
      <c r="A36" s="168"/>
      <c r="B36" s="315"/>
      <c r="C36" s="168"/>
      <c r="D36" s="188"/>
      <c r="F36" s="168" t="s">
        <v>6202</v>
      </c>
      <c r="G36" s="193">
        <f>IF(_1_54128456121462410464578910174[[#This Row],[Type]]&gt;0,VLOOKUP(_1_54128456121462410464578910174[[#This Row],[Type]],Main[[#All],[TYPE]:[UNIT]],'Unit Price'!C$1,FALSE),0)</f>
        <v>0</v>
      </c>
      <c r="H36" s="197">
        <f>IF(_1_54128456121462410464578910174[[#This Row],[Type]]&gt;0,VLOOKUP(_1_54128456121462410464578910174[[#This Row],[Type]],Main[[#All],[TYPE]:[UNIT]],'Unit Price'!D$1,FALSE),0)</f>
        <v>0</v>
      </c>
      <c r="I36" s="194">
        <f>IF(_1_54128456121462410464578910174[[#This Row],[Type]]&gt;0,VLOOKUP(_1_54128456121462410464578910174[[#This Row],[Type]],Main[[#All],[TYPE]:[UNIT]],'Unit Price'!G$1,FALSE),0)</f>
        <v>0</v>
      </c>
      <c r="J36" s="194">
        <f>IF(_1_54128456121462410464578910174[[#This Row],[Type]]&gt;0,VLOOKUP(_1_54128456121462410464578910174[[#This Row],[Type]],Main[[#All],[TYPE]:[UNIT]],'Unit Price'!H$1,FALSE),0)</f>
        <v>0</v>
      </c>
      <c r="K36" s="194">
        <f>IF(_1_54128456121462410464578910174[[#This Row],[Discount selection]]&gt;0,VLOOKUP(_1_54128456121462410464578910174[[#This Row],[Discount selection]],'Discount Structure'!$A$2:$B$30,2,"false"),0)</f>
        <v>1</v>
      </c>
      <c r="L36" s="194">
        <f>_1_54128456121462410464578910174[[#This Row],[LIST $]]*_1_54128456121462410464578910174[[#This Row],[DISCOUNT]]*_1_54128456121462410464578910174[[#This Row],[DISCOUNT 2]]</f>
        <v>0</v>
      </c>
      <c r="M36" s="194">
        <f>IF(OR(_1_54128456121462410464578910174[[#This Row],[UNIT]]&gt;0,_1_54128456121462410464578910174[[#This Row],[UNIT]]&lt;0),_1_54128456121462410464578910174[[#This Row],[UNIT]]*_1_54128456121462410464578910174[[#This Row],[COST]],0)</f>
        <v>0</v>
      </c>
      <c r="N36" s="194">
        <f t="shared" si="0"/>
        <v>1.5</v>
      </c>
      <c r="O36" s="198">
        <f>_1_54128456121462410464578910174[[#This Row],[TOTAL]]*_1_54128456121462410464578910174[[#This Row],[MARGIN]]</f>
        <v>0</v>
      </c>
      <c r="R36" s="41"/>
    </row>
    <row r="37" spans="1:18">
      <c r="A37" s="168"/>
      <c r="C37" s="168"/>
      <c r="D37" s="188"/>
      <c r="F37" s="168" t="s">
        <v>6202</v>
      </c>
      <c r="G37" s="193">
        <f>IF(_1_54128456121462410464578910174[[#This Row],[Type]]&gt;0,VLOOKUP(_1_54128456121462410464578910174[[#This Row],[Type]],Main[[#All],[TYPE]:[UNIT]],'Unit Price'!C$1,FALSE),0)</f>
        <v>0</v>
      </c>
      <c r="H37" s="197">
        <f>IF(_1_54128456121462410464578910174[[#This Row],[Type]]&gt;0,VLOOKUP(_1_54128456121462410464578910174[[#This Row],[Type]],Main[[#All],[TYPE]:[UNIT]],'Unit Price'!D$1,FALSE),0)</f>
        <v>0</v>
      </c>
      <c r="I37" s="194">
        <f>IF(_1_54128456121462410464578910174[[#This Row],[Type]]&gt;0,VLOOKUP(_1_54128456121462410464578910174[[#This Row],[Type]],Main[[#All],[TYPE]:[UNIT]],'Unit Price'!G$1,FALSE),0)</f>
        <v>0</v>
      </c>
      <c r="J37" s="194">
        <f>IF(_1_54128456121462410464578910174[[#This Row],[Type]]&gt;0,VLOOKUP(_1_54128456121462410464578910174[[#This Row],[Type]],Main[[#All],[TYPE]:[UNIT]],'Unit Price'!H$1,FALSE),0)</f>
        <v>0</v>
      </c>
      <c r="K37" s="194">
        <f>IF(_1_54128456121462410464578910174[[#This Row],[Discount selection]]&gt;0,VLOOKUP(_1_54128456121462410464578910174[[#This Row],[Discount selection]],'Discount Structure'!$A$2:$B$30,2,"false"),0)</f>
        <v>1</v>
      </c>
      <c r="L37" s="194">
        <f>_1_54128456121462410464578910174[[#This Row],[LIST $]]*_1_54128456121462410464578910174[[#This Row],[DISCOUNT]]*_1_54128456121462410464578910174[[#This Row],[DISCOUNT 2]]</f>
        <v>0</v>
      </c>
      <c r="M37" s="194">
        <f>IF(OR(_1_54128456121462410464578910174[[#This Row],[UNIT]]&gt;0,_1_54128456121462410464578910174[[#This Row],[UNIT]]&lt;0),_1_54128456121462410464578910174[[#This Row],[UNIT]]*_1_54128456121462410464578910174[[#This Row],[COST]],0)</f>
        <v>0</v>
      </c>
      <c r="N37" s="194">
        <f t="shared" si="0"/>
        <v>1.5</v>
      </c>
      <c r="O37" s="198">
        <f>_1_54128456121462410464578910174[[#This Row],[TOTAL]]*_1_54128456121462410464578910174[[#This Row],[MARGIN]]</f>
        <v>0</v>
      </c>
      <c r="R37" s="41"/>
    </row>
    <row r="38" spans="1:18">
      <c r="C38" s="168"/>
      <c r="D38" s="188"/>
      <c r="F38" s="168" t="s">
        <v>6202</v>
      </c>
      <c r="G38" s="193">
        <f>IF(_1_54128456121462410464578910174[[#This Row],[Type]]&gt;0,VLOOKUP(_1_54128456121462410464578910174[[#This Row],[Type]],Main[[#All],[TYPE]:[UNIT]],'Unit Price'!C$1,FALSE),0)</f>
        <v>0</v>
      </c>
      <c r="H38" s="197">
        <f>IF(_1_54128456121462410464578910174[[#This Row],[Type]]&gt;0,VLOOKUP(_1_54128456121462410464578910174[[#This Row],[Type]],Main[[#All],[TYPE]:[UNIT]],'Unit Price'!D$1,FALSE),0)</f>
        <v>0</v>
      </c>
      <c r="I38" s="194">
        <f>IF(_1_54128456121462410464578910174[[#This Row],[Type]]&gt;0,VLOOKUP(_1_54128456121462410464578910174[[#This Row],[Type]],Main[[#All],[TYPE]:[UNIT]],'Unit Price'!G$1,FALSE),0)</f>
        <v>0</v>
      </c>
      <c r="J38" s="194">
        <f>IF(_1_54128456121462410464578910174[[#This Row],[Type]]&gt;0,VLOOKUP(_1_54128456121462410464578910174[[#This Row],[Type]],Main[[#All],[TYPE]:[UNIT]],'Unit Price'!H$1,FALSE),0)</f>
        <v>0</v>
      </c>
      <c r="K38" s="194">
        <f>IF(_1_54128456121462410464578910174[[#This Row],[Discount selection]]&gt;0,VLOOKUP(_1_54128456121462410464578910174[[#This Row],[Discount selection]],'Discount Structure'!$A$2:$B$30,2,"false"),0)</f>
        <v>1</v>
      </c>
      <c r="L38" s="194">
        <f>_1_54128456121462410464578910174[[#This Row],[LIST $]]*_1_54128456121462410464578910174[[#This Row],[DISCOUNT]]*_1_54128456121462410464578910174[[#This Row],[DISCOUNT 2]]</f>
        <v>0</v>
      </c>
      <c r="M38" s="194">
        <f>IF(OR(_1_54128456121462410464578910174[[#This Row],[UNIT]]&gt;0,_1_54128456121462410464578910174[[#This Row],[UNIT]]&lt;0),_1_54128456121462410464578910174[[#This Row],[UNIT]]*_1_54128456121462410464578910174[[#This Row],[COST]],0)</f>
        <v>0</v>
      </c>
      <c r="N38" s="194">
        <f t="shared" si="0"/>
        <v>1.5</v>
      </c>
      <c r="O38" s="198">
        <f>_1_54128456121462410464578910174[[#This Row],[TOTAL]]*_1_54128456121462410464578910174[[#This Row],[MARGIN]]</f>
        <v>0</v>
      </c>
      <c r="R38" s="41"/>
    </row>
    <row r="39" spans="1:18">
      <c r="C39" s="168"/>
      <c r="D39" s="188"/>
      <c r="F39" s="168" t="s">
        <v>6202</v>
      </c>
      <c r="G39" s="193">
        <f>IF(_1_54128456121462410464578910174[[#This Row],[Type]]&gt;0,VLOOKUP(_1_54128456121462410464578910174[[#This Row],[Type]],Main[[#All],[TYPE]:[UNIT]],'Unit Price'!C$1,FALSE),0)</f>
        <v>0</v>
      </c>
      <c r="H39" s="197">
        <f>IF(_1_54128456121462410464578910174[[#This Row],[Type]]&gt;0,VLOOKUP(_1_54128456121462410464578910174[[#This Row],[Type]],Main[[#All],[TYPE]:[UNIT]],'Unit Price'!D$1,FALSE),0)</f>
        <v>0</v>
      </c>
      <c r="I39" s="194">
        <f>IF(_1_54128456121462410464578910174[[#This Row],[Type]]&gt;0,VLOOKUP(_1_54128456121462410464578910174[[#This Row],[Type]],Main[[#All],[TYPE]:[UNIT]],'Unit Price'!G$1,FALSE),0)</f>
        <v>0</v>
      </c>
      <c r="J39" s="194">
        <f>IF(_1_54128456121462410464578910174[[#This Row],[Type]]&gt;0,VLOOKUP(_1_54128456121462410464578910174[[#This Row],[Type]],Main[[#All],[TYPE]:[UNIT]],'Unit Price'!H$1,FALSE),0)</f>
        <v>0</v>
      </c>
      <c r="K39" s="194">
        <f>IF(_1_54128456121462410464578910174[[#This Row],[Discount selection]]&gt;0,VLOOKUP(_1_54128456121462410464578910174[[#This Row],[Discount selection]],'Discount Structure'!$A$2:$B$30,2,"false"),0)</f>
        <v>1</v>
      </c>
      <c r="L39" s="194">
        <f>_1_54128456121462410464578910174[[#This Row],[LIST $]]*_1_54128456121462410464578910174[[#This Row],[DISCOUNT]]*_1_54128456121462410464578910174[[#This Row],[DISCOUNT 2]]</f>
        <v>0</v>
      </c>
      <c r="M39" s="194">
        <f>IF(OR(_1_54128456121462410464578910174[[#This Row],[UNIT]]&gt;0,_1_54128456121462410464578910174[[#This Row],[UNIT]]&lt;0),_1_54128456121462410464578910174[[#This Row],[UNIT]]*_1_54128456121462410464578910174[[#This Row],[COST]],0)</f>
        <v>0</v>
      </c>
      <c r="N39" s="194">
        <f t="shared" si="0"/>
        <v>1.5</v>
      </c>
      <c r="O39" s="198">
        <f>_1_54128456121462410464578910174[[#This Row],[TOTAL]]*_1_54128456121462410464578910174[[#This Row],[MARGIN]]</f>
        <v>0</v>
      </c>
      <c r="R39" s="41"/>
    </row>
    <row r="40" spans="1:18">
      <c r="C40" s="168"/>
      <c r="D40" s="188"/>
      <c r="F40" s="168" t="s">
        <v>6202</v>
      </c>
      <c r="G40" s="193">
        <f>IF(_1_54128456121462410464578910174[[#This Row],[Type]]&gt;0,VLOOKUP(_1_54128456121462410464578910174[[#This Row],[Type]],Main[[#All],[TYPE]:[UNIT]],'Unit Price'!C$1,FALSE),0)</f>
        <v>0</v>
      </c>
      <c r="H40" s="197">
        <f>IF(_1_54128456121462410464578910174[[#This Row],[Type]]&gt;0,VLOOKUP(_1_54128456121462410464578910174[[#This Row],[Type]],Main[[#All],[TYPE]:[UNIT]],'Unit Price'!D$1,FALSE),0)</f>
        <v>0</v>
      </c>
      <c r="I40" s="194">
        <f>IF(_1_54128456121462410464578910174[[#This Row],[Type]]&gt;0,VLOOKUP(_1_54128456121462410464578910174[[#This Row],[Type]],Main[[#All],[TYPE]:[UNIT]],'Unit Price'!G$1,FALSE),0)</f>
        <v>0</v>
      </c>
      <c r="J40" s="194">
        <f>IF(_1_54128456121462410464578910174[[#This Row],[Type]]&gt;0,VLOOKUP(_1_54128456121462410464578910174[[#This Row],[Type]],Main[[#All],[TYPE]:[UNIT]],'Unit Price'!H$1,FALSE),0)</f>
        <v>0</v>
      </c>
      <c r="K40" s="194">
        <f>IF(_1_54128456121462410464578910174[[#This Row],[Discount selection]]&gt;0,VLOOKUP(_1_54128456121462410464578910174[[#This Row],[Discount selection]],'Discount Structure'!$A$2:$B$30,2,"false"),0)</f>
        <v>1</v>
      </c>
      <c r="L40" s="194">
        <f>_1_54128456121462410464578910174[[#This Row],[LIST $]]*_1_54128456121462410464578910174[[#This Row],[DISCOUNT]]*_1_54128456121462410464578910174[[#This Row],[DISCOUNT 2]]</f>
        <v>0</v>
      </c>
      <c r="M40" s="194">
        <f>IF(OR(_1_54128456121462410464578910174[[#This Row],[UNIT]]&gt;0,_1_54128456121462410464578910174[[#This Row],[UNIT]]&lt;0),_1_54128456121462410464578910174[[#This Row],[UNIT]]*_1_54128456121462410464578910174[[#This Row],[COST]],0)</f>
        <v>0</v>
      </c>
      <c r="N40" s="194">
        <f t="shared" si="0"/>
        <v>1.5</v>
      </c>
      <c r="O40" s="198">
        <f>_1_54128456121462410464578910174[[#This Row],[TOTAL]]*_1_54128456121462410464578910174[[#This Row],[MARGIN]]</f>
        <v>0</v>
      </c>
      <c r="R40" s="41"/>
    </row>
    <row r="41" spans="1:18">
      <c r="A41" s="316"/>
      <c r="C41" s="168"/>
      <c r="D41" s="188"/>
      <c r="F41" s="168" t="s">
        <v>6202</v>
      </c>
      <c r="G41" s="193">
        <f>IF(_1_54128456121462410464578910174[[#This Row],[Type]]&gt;0,VLOOKUP(_1_54128456121462410464578910174[[#This Row],[Type]],Main[[#All],[TYPE]:[UNIT]],'Unit Price'!C$1,FALSE),0)</f>
        <v>0</v>
      </c>
      <c r="H41" s="197">
        <f>IF(_1_54128456121462410464578910174[[#This Row],[Type]]&gt;0,VLOOKUP(_1_54128456121462410464578910174[[#This Row],[Type]],Main[[#All],[TYPE]:[UNIT]],'Unit Price'!D$1,FALSE),0)</f>
        <v>0</v>
      </c>
      <c r="I41" s="194">
        <f>IF(_1_54128456121462410464578910174[[#This Row],[Type]]&gt;0,VLOOKUP(_1_54128456121462410464578910174[[#This Row],[Type]],Main[[#All],[TYPE]:[UNIT]],'Unit Price'!G$1,FALSE),0)</f>
        <v>0</v>
      </c>
      <c r="J41" s="194">
        <f>IF(_1_54128456121462410464578910174[[#This Row],[Type]]&gt;0,VLOOKUP(_1_54128456121462410464578910174[[#This Row],[Type]],Main[[#All],[TYPE]:[UNIT]],'Unit Price'!H$1,FALSE),0)</f>
        <v>0</v>
      </c>
      <c r="K41" s="194">
        <f>IF(_1_54128456121462410464578910174[[#This Row],[Discount selection]]&gt;0,VLOOKUP(_1_54128456121462410464578910174[[#This Row],[Discount selection]],'Discount Structure'!$A$2:$B$30,2,"false"),0)</f>
        <v>1</v>
      </c>
      <c r="L41" s="194">
        <f>_1_54128456121462410464578910174[[#This Row],[LIST $]]*_1_54128456121462410464578910174[[#This Row],[DISCOUNT]]*_1_54128456121462410464578910174[[#This Row],[DISCOUNT 2]]</f>
        <v>0</v>
      </c>
      <c r="M41" s="194">
        <f>IF(OR(_1_54128456121462410464578910174[[#This Row],[UNIT]]&gt;0,_1_54128456121462410464578910174[[#This Row],[UNIT]]&lt;0),_1_54128456121462410464578910174[[#This Row],[UNIT]]*_1_54128456121462410464578910174[[#This Row],[COST]],0)</f>
        <v>0</v>
      </c>
      <c r="N41" s="194">
        <f t="shared" si="0"/>
        <v>1.5</v>
      </c>
      <c r="O41" s="198">
        <f>_1_54128456121462410464578910174[[#This Row],[TOTAL]]*_1_54128456121462410464578910174[[#This Row],[MARGIN]]</f>
        <v>0</v>
      </c>
      <c r="R41" s="41"/>
    </row>
    <row r="42" spans="1:18">
      <c r="C42" s="168"/>
      <c r="D42" s="188"/>
      <c r="F42" s="168" t="s">
        <v>6202</v>
      </c>
      <c r="G42" s="193">
        <f>IF(_1_54128456121462410464578910174[[#This Row],[Type]]&gt;0,VLOOKUP(_1_54128456121462410464578910174[[#This Row],[Type]],Main[[#All],[TYPE]:[UNIT]],'Unit Price'!C$1,FALSE),0)</f>
        <v>0</v>
      </c>
      <c r="H42" s="197">
        <f>IF(_1_54128456121462410464578910174[[#This Row],[Type]]&gt;0,VLOOKUP(_1_54128456121462410464578910174[[#This Row],[Type]],Main[[#All],[TYPE]:[UNIT]],'Unit Price'!D$1,FALSE),0)</f>
        <v>0</v>
      </c>
      <c r="I42" s="194">
        <f>IF(_1_54128456121462410464578910174[[#This Row],[Type]]&gt;0,VLOOKUP(_1_54128456121462410464578910174[[#This Row],[Type]],Main[[#All],[TYPE]:[UNIT]],'Unit Price'!G$1,FALSE),0)</f>
        <v>0</v>
      </c>
      <c r="J42" s="194">
        <f>IF(_1_54128456121462410464578910174[[#This Row],[Type]]&gt;0,VLOOKUP(_1_54128456121462410464578910174[[#This Row],[Type]],Main[[#All],[TYPE]:[UNIT]],'Unit Price'!H$1,FALSE),0)</f>
        <v>0</v>
      </c>
      <c r="K42" s="194">
        <f>IF(_1_54128456121462410464578910174[[#This Row],[Discount selection]]&gt;0,VLOOKUP(_1_54128456121462410464578910174[[#This Row],[Discount selection]],'Discount Structure'!$A$2:$B$30,2,"false"),0)</f>
        <v>1</v>
      </c>
      <c r="L42" s="194">
        <f>_1_54128456121462410464578910174[[#This Row],[LIST $]]*_1_54128456121462410464578910174[[#This Row],[DISCOUNT]]*_1_54128456121462410464578910174[[#This Row],[DISCOUNT 2]]</f>
        <v>0</v>
      </c>
      <c r="M42" s="194">
        <f>IF(OR(_1_54128456121462410464578910174[[#This Row],[UNIT]]&gt;0,_1_54128456121462410464578910174[[#This Row],[UNIT]]&lt;0),_1_54128456121462410464578910174[[#This Row],[UNIT]]*_1_54128456121462410464578910174[[#This Row],[COST]],0)</f>
        <v>0</v>
      </c>
      <c r="N42" s="194">
        <f t="shared" si="0"/>
        <v>1.5</v>
      </c>
      <c r="O42" s="198">
        <f>_1_54128456121462410464578910174[[#This Row],[TOTAL]]*_1_54128456121462410464578910174[[#This Row],[MARGIN]]</f>
        <v>0</v>
      </c>
      <c r="R42" s="41"/>
    </row>
    <row r="43" spans="1:18">
      <c r="C43" s="168"/>
      <c r="D43" s="188"/>
      <c r="F43" s="168" t="s">
        <v>6202</v>
      </c>
      <c r="G43" s="193">
        <f>IF(_1_54128456121462410464578910174[[#This Row],[Type]]&gt;0,VLOOKUP(_1_54128456121462410464578910174[[#This Row],[Type]],Main[[#All],[TYPE]:[UNIT]],'Unit Price'!C$1,FALSE),0)</f>
        <v>0</v>
      </c>
      <c r="H43" s="197">
        <f>IF(_1_54128456121462410464578910174[[#This Row],[Type]]&gt;0,VLOOKUP(_1_54128456121462410464578910174[[#This Row],[Type]],Main[[#All],[TYPE]:[UNIT]],'Unit Price'!D$1,FALSE),0)</f>
        <v>0</v>
      </c>
      <c r="I43" s="194">
        <f>IF(_1_54128456121462410464578910174[[#This Row],[Type]]&gt;0,VLOOKUP(_1_54128456121462410464578910174[[#This Row],[Type]],Main[[#All],[TYPE]:[UNIT]],'Unit Price'!G$1,FALSE),0)</f>
        <v>0</v>
      </c>
      <c r="J43" s="194">
        <f>IF(_1_54128456121462410464578910174[[#This Row],[Type]]&gt;0,VLOOKUP(_1_54128456121462410464578910174[[#This Row],[Type]],Main[[#All],[TYPE]:[UNIT]],'Unit Price'!H$1,FALSE),0)</f>
        <v>0</v>
      </c>
      <c r="K43" s="194">
        <f>IF(_1_54128456121462410464578910174[[#This Row],[Discount selection]]&gt;0,VLOOKUP(_1_54128456121462410464578910174[[#This Row],[Discount selection]],'Discount Structure'!$A$2:$B$30,2,"false"),0)</f>
        <v>1</v>
      </c>
      <c r="L43" s="194">
        <f>_1_54128456121462410464578910174[[#This Row],[LIST $]]*_1_54128456121462410464578910174[[#This Row],[DISCOUNT]]*_1_54128456121462410464578910174[[#This Row],[DISCOUNT 2]]</f>
        <v>0</v>
      </c>
      <c r="M43" s="194">
        <f>IF(OR(_1_54128456121462410464578910174[[#This Row],[UNIT]]&gt;0,_1_54128456121462410464578910174[[#This Row],[UNIT]]&lt;0),_1_54128456121462410464578910174[[#This Row],[UNIT]]*_1_54128456121462410464578910174[[#This Row],[COST]],0)</f>
        <v>0</v>
      </c>
      <c r="N43" s="194">
        <f t="shared" si="0"/>
        <v>1.5</v>
      </c>
      <c r="O43" s="198">
        <f>_1_54128456121462410464578910174[[#This Row],[TOTAL]]*_1_54128456121462410464578910174[[#This Row],[MARGIN]]</f>
        <v>0</v>
      </c>
      <c r="R43" s="41"/>
    </row>
    <row r="44" spans="1:18">
      <c r="C44" s="168"/>
      <c r="D44" s="188"/>
      <c r="F44" s="168" t="s">
        <v>6202</v>
      </c>
      <c r="G44" s="193">
        <f>IF(_1_54128456121462410464578910174[[#This Row],[Type]]&gt;0,VLOOKUP(_1_54128456121462410464578910174[[#This Row],[Type]],Main[[#All],[TYPE]:[UNIT]],'Unit Price'!C$1,FALSE),0)</f>
        <v>0</v>
      </c>
      <c r="H44" s="197">
        <f>IF(_1_54128456121462410464578910174[[#This Row],[Type]]&gt;0,VLOOKUP(_1_54128456121462410464578910174[[#This Row],[Type]],Main[[#All],[TYPE]:[UNIT]],'Unit Price'!D$1,FALSE),0)</f>
        <v>0</v>
      </c>
      <c r="I44" s="194">
        <f>IF(_1_54128456121462410464578910174[[#This Row],[Type]]&gt;0,VLOOKUP(_1_54128456121462410464578910174[[#This Row],[Type]],Main[[#All],[TYPE]:[UNIT]],'Unit Price'!G$1,FALSE),0)</f>
        <v>0</v>
      </c>
      <c r="J44" s="194">
        <f>IF(_1_54128456121462410464578910174[[#This Row],[Type]]&gt;0,VLOOKUP(_1_54128456121462410464578910174[[#This Row],[Type]],Main[[#All],[TYPE]:[UNIT]],'Unit Price'!H$1,FALSE),0)</f>
        <v>0</v>
      </c>
      <c r="K44" s="194">
        <f>IF(_1_54128456121462410464578910174[[#This Row],[Discount selection]]&gt;0,VLOOKUP(_1_54128456121462410464578910174[[#This Row],[Discount selection]],'Discount Structure'!$A$2:$B$30,2,"false"),0)</f>
        <v>1</v>
      </c>
      <c r="L44" s="194">
        <f>_1_54128456121462410464578910174[[#This Row],[LIST $]]*_1_54128456121462410464578910174[[#This Row],[DISCOUNT]]*_1_54128456121462410464578910174[[#This Row],[DISCOUNT 2]]</f>
        <v>0</v>
      </c>
      <c r="M44" s="194">
        <f>IF(OR(_1_54128456121462410464578910174[[#This Row],[UNIT]]&gt;0,_1_54128456121462410464578910174[[#This Row],[UNIT]]&lt;0),_1_54128456121462410464578910174[[#This Row],[UNIT]]*_1_54128456121462410464578910174[[#This Row],[COST]],0)</f>
        <v>0</v>
      </c>
      <c r="N44" s="194">
        <f t="shared" si="0"/>
        <v>1.5</v>
      </c>
      <c r="O44" s="198">
        <f>_1_54128456121462410464578910174[[#This Row],[TOTAL]]*_1_54128456121462410464578910174[[#This Row],[MARGIN]]</f>
        <v>0</v>
      </c>
      <c r="R44" s="41"/>
    </row>
    <row r="45" spans="1:18">
      <c r="C45" s="168"/>
      <c r="D45" s="188"/>
      <c r="F45" s="168" t="s">
        <v>6202</v>
      </c>
      <c r="G45" s="193">
        <f>IF(_1_54128456121462410464578910174[[#This Row],[Type]]&gt;0,VLOOKUP(_1_54128456121462410464578910174[[#This Row],[Type]],Main[[#All],[TYPE]:[UNIT]],'Unit Price'!C$1,FALSE),0)</f>
        <v>0</v>
      </c>
      <c r="H45" s="197">
        <f>IF(_1_54128456121462410464578910174[[#This Row],[Type]]&gt;0,VLOOKUP(_1_54128456121462410464578910174[[#This Row],[Type]],Main[[#All],[TYPE]:[UNIT]],'Unit Price'!D$1,FALSE),0)</f>
        <v>0</v>
      </c>
      <c r="I45" s="194">
        <f>IF(_1_54128456121462410464578910174[[#This Row],[Type]]&gt;0,VLOOKUP(_1_54128456121462410464578910174[[#This Row],[Type]],Main[[#All],[TYPE]:[UNIT]],'Unit Price'!G$1,FALSE),0)</f>
        <v>0</v>
      </c>
      <c r="J45" s="194">
        <f>IF(_1_54128456121462410464578910174[[#This Row],[Type]]&gt;0,VLOOKUP(_1_54128456121462410464578910174[[#This Row],[Type]],Main[[#All],[TYPE]:[UNIT]],'Unit Price'!H$1,FALSE),0)</f>
        <v>0</v>
      </c>
      <c r="K45" s="194">
        <f>IF(_1_54128456121462410464578910174[[#This Row],[Discount selection]]&gt;0,VLOOKUP(_1_54128456121462410464578910174[[#This Row],[Discount selection]],'Discount Structure'!$A$2:$B$30,2,"false"),0)</f>
        <v>1</v>
      </c>
      <c r="L45" s="194">
        <f>_1_54128456121462410464578910174[[#This Row],[LIST $]]*_1_54128456121462410464578910174[[#This Row],[DISCOUNT]]*_1_54128456121462410464578910174[[#This Row],[DISCOUNT 2]]</f>
        <v>0</v>
      </c>
      <c r="M45" s="194">
        <f>IF(OR(_1_54128456121462410464578910174[[#This Row],[UNIT]]&gt;0,_1_54128456121462410464578910174[[#This Row],[UNIT]]&lt;0),_1_54128456121462410464578910174[[#This Row],[UNIT]]*_1_54128456121462410464578910174[[#This Row],[COST]],0)</f>
        <v>0</v>
      </c>
      <c r="N45" s="194">
        <f t="shared" si="0"/>
        <v>1.5</v>
      </c>
      <c r="O45" s="198">
        <f>_1_54128456121462410464578910174[[#This Row],[TOTAL]]*_1_54128456121462410464578910174[[#This Row],[MARGIN]]</f>
        <v>0</v>
      </c>
      <c r="R45" s="41"/>
    </row>
    <row r="46" spans="1:18">
      <c r="C46" s="168"/>
      <c r="D46" s="188"/>
      <c r="F46" s="168" t="s">
        <v>6202</v>
      </c>
      <c r="G46" s="193">
        <f>IF(_1_54128456121462410464578910174[[#This Row],[Type]]&gt;0,VLOOKUP(_1_54128456121462410464578910174[[#This Row],[Type]],Main[[#All],[TYPE]:[UNIT]],'Unit Price'!C$1,FALSE),0)</f>
        <v>0</v>
      </c>
      <c r="H46" s="197">
        <f>IF(_1_54128456121462410464578910174[[#This Row],[Type]]&gt;0,VLOOKUP(_1_54128456121462410464578910174[[#This Row],[Type]],Main[[#All],[TYPE]:[UNIT]],'Unit Price'!D$1,FALSE),0)</f>
        <v>0</v>
      </c>
      <c r="I46" s="194">
        <f>IF(_1_54128456121462410464578910174[[#This Row],[Type]]&gt;0,VLOOKUP(_1_54128456121462410464578910174[[#This Row],[Type]],Main[[#All],[TYPE]:[UNIT]],'Unit Price'!G$1,FALSE),0)</f>
        <v>0</v>
      </c>
      <c r="J46" s="194">
        <f>IF(_1_54128456121462410464578910174[[#This Row],[Type]]&gt;0,VLOOKUP(_1_54128456121462410464578910174[[#This Row],[Type]],Main[[#All],[TYPE]:[UNIT]],'Unit Price'!H$1,FALSE),0)</f>
        <v>0</v>
      </c>
      <c r="K46" s="194">
        <f>IF(_1_54128456121462410464578910174[[#This Row],[Discount selection]]&gt;0,VLOOKUP(_1_54128456121462410464578910174[[#This Row],[Discount selection]],'Discount Structure'!$A$2:$B$30,2,"false"),0)</f>
        <v>1</v>
      </c>
      <c r="L46" s="194">
        <f>_1_54128456121462410464578910174[[#This Row],[LIST $]]*_1_54128456121462410464578910174[[#This Row],[DISCOUNT]]*_1_54128456121462410464578910174[[#This Row],[DISCOUNT 2]]</f>
        <v>0</v>
      </c>
      <c r="M46" s="194">
        <f>IF(OR(_1_54128456121462410464578910174[[#This Row],[UNIT]]&gt;0,_1_54128456121462410464578910174[[#This Row],[UNIT]]&lt;0),_1_54128456121462410464578910174[[#This Row],[UNIT]]*_1_54128456121462410464578910174[[#This Row],[COST]],0)</f>
        <v>0</v>
      </c>
      <c r="N46" s="194">
        <f t="shared" si="0"/>
        <v>1.5</v>
      </c>
      <c r="O46" s="198">
        <f>_1_54128456121462410464578910174[[#This Row],[TOTAL]]*_1_54128456121462410464578910174[[#This Row],[MARGIN]]</f>
        <v>0</v>
      </c>
      <c r="R46" s="41"/>
    </row>
    <row r="47" spans="1:18">
      <c r="C47" s="168"/>
      <c r="D47" s="188"/>
      <c r="F47" s="168" t="s">
        <v>6202</v>
      </c>
      <c r="G47" s="193">
        <f>IF(_1_54128456121462410464578910174[[#This Row],[Type]]&gt;0,VLOOKUP(_1_54128456121462410464578910174[[#This Row],[Type]],Main[[#All],[TYPE]:[UNIT]],'Unit Price'!C$1,FALSE),0)</f>
        <v>0</v>
      </c>
      <c r="H47" s="197">
        <f>IF(_1_54128456121462410464578910174[[#This Row],[Type]]&gt;0,VLOOKUP(_1_54128456121462410464578910174[[#This Row],[Type]],Main[[#All],[TYPE]:[UNIT]],'Unit Price'!D$1,FALSE),0)</f>
        <v>0</v>
      </c>
      <c r="I47" s="194">
        <f>IF(_1_54128456121462410464578910174[[#This Row],[Type]]&gt;0,VLOOKUP(_1_54128456121462410464578910174[[#This Row],[Type]],Main[[#All],[TYPE]:[UNIT]],'Unit Price'!G$1,FALSE),0)</f>
        <v>0</v>
      </c>
      <c r="J47" s="194">
        <f>IF(_1_54128456121462410464578910174[[#This Row],[Type]]&gt;0,VLOOKUP(_1_54128456121462410464578910174[[#This Row],[Type]],Main[[#All],[TYPE]:[UNIT]],'Unit Price'!H$1,FALSE),0)</f>
        <v>0</v>
      </c>
      <c r="K47" s="194">
        <f>IF(_1_54128456121462410464578910174[[#This Row],[Discount selection]]&gt;0,VLOOKUP(_1_54128456121462410464578910174[[#This Row],[Discount selection]],'Discount Structure'!$A$2:$B$30,2,"false"),0)</f>
        <v>1</v>
      </c>
      <c r="L47" s="194">
        <f>_1_54128456121462410464578910174[[#This Row],[LIST $]]*_1_54128456121462410464578910174[[#This Row],[DISCOUNT]]*_1_54128456121462410464578910174[[#This Row],[DISCOUNT 2]]</f>
        <v>0</v>
      </c>
      <c r="M47" s="194">
        <f>IF(OR(_1_54128456121462410464578910174[[#This Row],[UNIT]]&gt;0,_1_54128456121462410464578910174[[#This Row],[UNIT]]&lt;0),_1_54128456121462410464578910174[[#This Row],[UNIT]]*_1_54128456121462410464578910174[[#This Row],[COST]],0)</f>
        <v>0</v>
      </c>
      <c r="N47" s="194">
        <f t="shared" si="0"/>
        <v>1.5</v>
      </c>
      <c r="O47" s="198">
        <f>_1_54128456121462410464578910174[[#This Row],[TOTAL]]*_1_54128456121462410464578910174[[#This Row],[MARGIN]]</f>
        <v>0</v>
      </c>
      <c r="R47" s="41"/>
    </row>
    <row r="48" spans="1:18">
      <c r="C48" s="168"/>
      <c r="D48" s="188"/>
      <c r="F48" s="168" t="s">
        <v>6202</v>
      </c>
      <c r="G48" s="193">
        <f>IF(_1_54128456121462410464578910174[[#This Row],[Type]]&gt;0,VLOOKUP(_1_54128456121462410464578910174[[#This Row],[Type]],Main[[#All],[TYPE]:[UNIT]],'Unit Price'!C$1,FALSE),0)</f>
        <v>0</v>
      </c>
      <c r="H48" s="197">
        <f>IF(_1_54128456121462410464578910174[[#This Row],[Type]]&gt;0,VLOOKUP(_1_54128456121462410464578910174[[#This Row],[Type]],Main[[#All],[TYPE]:[UNIT]],'Unit Price'!D$1,FALSE),0)</f>
        <v>0</v>
      </c>
      <c r="I48" s="194">
        <f>IF(_1_54128456121462410464578910174[[#This Row],[Type]]&gt;0,VLOOKUP(_1_54128456121462410464578910174[[#This Row],[Type]],Main[[#All],[TYPE]:[UNIT]],'Unit Price'!G$1,FALSE),0)</f>
        <v>0</v>
      </c>
      <c r="J48" s="194">
        <f>IF(_1_54128456121462410464578910174[[#This Row],[Type]]&gt;0,VLOOKUP(_1_54128456121462410464578910174[[#This Row],[Type]],Main[[#All],[TYPE]:[UNIT]],'Unit Price'!H$1,FALSE),0)</f>
        <v>0</v>
      </c>
      <c r="K48" s="194">
        <f>IF(_1_54128456121462410464578910174[[#This Row],[Discount selection]]&gt;0,VLOOKUP(_1_54128456121462410464578910174[[#This Row],[Discount selection]],'Discount Structure'!$A$2:$B$30,2,"false"),0)</f>
        <v>1</v>
      </c>
      <c r="L48" s="194">
        <f>_1_54128456121462410464578910174[[#This Row],[LIST $]]*_1_54128456121462410464578910174[[#This Row],[DISCOUNT]]*_1_54128456121462410464578910174[[#This Row],[DISCOUNT 2]]</f>
        <v>0</v>
      </c>
      <c r="M48" s="194">
        <f>IF(OR(_1_54128456121462410464578910174[[#This Row],[UNIT]]&gt;0,_1_54128456121462410464578910174[[#This Row],[UNIT]]&lt;0),_1_54128456121462410464578910174[[#This Row],[UNIT]]*_1_54128456121462410464578910174[[#This Row],[COST]],0)</f>
        <v>0</v>
      </c>
      <c r="N48" s="194">
        <f t="shared" si="0"/>
        <v>1.5</v>
      </c>
      <c r="O48" s="198">
        <f>_1_54128456121462410464578910174[[#This Row],[TOTAL]]*_1_54128456121462410464578910174[[#This Row],[MARGIN]]</f>
        <v>0</v>
      </c>
      <c r="R48" s="41"/>
    </row>
    <row r="49" spans="1:18">
      <c r="C49" s="168"/>
      <c r="D49" s="188"/>
      <c r="F49" s="168" t="s">
        <v>6202</v>
      </c>
      <c r="G49" s="193">
        <f>IF(_1_54128456121462410464578910174[[#This Row],[Type]]&gt;0,VLOOKUP(_1_54128456121462410464578910174[[#This Row],[Type]],Main[[#All],[TYPE]:[UNIT]],'Unit Price'!C$1,FALSE),0)</f>
        <v>0</v>
      </c>
      <c r="H49" s="197">
        <f>IF(_1_54128456121462410464578910174[[#This Row],[Type]]&gt;0,VLOOKUP(_1_54128456121462410464578910174[[#This Row],[Type]],Main[[#All],[TYPE]:[UNIT]],'Unit Price'!D$1,FALSE),0)</f>
        <v>0</v>
      </c>
      <c r="I49" s="194">
        <f>IF(_1_54128456121462410464578910174[[#This Row],[Type]]&gt;0,VLOOKUP(_1_54128456121462410464578910174[[#This Row],[Type]],Main[[#All],[TYPE]:[UNIT]],'Unit Price'!G$1,FALSE),0)</f>
        <v>0</v>
      </c>
      <c r="J49" s="194">
        <f>IF(_1_54128456121462410464578910174[[#This Row],[Type]]&gt;0,VLOOKUP(_1_54128456121462410464578910174[[#This Row],[Type]],Main[[#All],[TYPE]:[UNIT]],'Unit Price'!H$1,FALSE),0)</f>
        <v>0</v>
      </c>
      <c r="K49" s="194">
        <f>IF(_1_54128456121462410464578910174[[#This Row],[Discount selection]]&gt;0,VLOOKUP(_1_54128456121462410464578910174[[#This Row],[Discount selection]],'Discount Structure'!$A$2:$B$30,2,"false"),0)</f>
        <v>1</v>
      </c>
      <c r="L49" s="194">
        <f>_1_54128456121462410464578910174[[#This Row],[LIST $]]*_1_54128456121462410464578910174[[#This Row],[DISCOUNT]]*_1_54128456121462410464578910174[[#This Row],[DISCOUNT 2]]</f>
        <v>0</v>
      </c>
      <c r="M49" s="194">
        <f>IF(OR(_1_54128456121462410464578910174[[#This Row],[UNIT]]&gt;0,_1_54128456121462410464578910174[[#This Row],[UNIT]]&lt;0),_1_54128456121462410464578910174[[#This Row],[UNIT]]*_1_54128456121462410464578910174[[#This Row],[COST]],0)</f>
        <v>0</v>
      </c>
      <c r="N49" s="194">
        <f t="shared" si="0"/>
        <v>1.5</v>
      </c>
      <c r="O49" s="198">
        <f>_1_54128456121462410464578910174[[#This Row],[TOTAL]]*_1_54128456121462410464578910174[[#This Row],[MARGIN]]</f>
        <v>0</v>
      </c>
      <c r="R49" s="41"/>
    </row>
    <row r="50" spans="1:18">
      <c r="C50" s="168"/>
      <c r="D50" s="188"/>
      <c r="F50" s="168" t="s">
        <v>6202</v>
      </c>
      <c r="G50" s="193">
        <f>IF(_1_54128456121462410464578910174[[#This Row],[Type]]&gt;0,VLOOKUP(_1_54128456121462410464578910174[[#This Row],[Type]],Main[[#All],[TYPE]:[UNIT]],'Unit Price'!C$1,FALSE),0)</f>
        <v>0</v>
      </c>
      <c r="H50" s="197">
        <f>IF(_1_54128456121462410464578910174[[#This Row],[Type]]&gt;0,VLOOKUP(_1_54128456121462410464578910174[[#This Row],[Type]],Main[[#All],[TYPE]:[UNIT]],'Unit Price'!D$1,FALSE),0)</f>
        <v>0</v>
      </c>
      <c r="I50" s="194">
        <f>IF(_1_54128456121462410464578910174[[#This Row],[Type]]&gt;0,VLOOKUP(_1_54128456121462410464578910174[[#This Row],[Type]],Main[[#All],[TYPE]:[UNIT]],'Unit Price'!G$1,FALSE),0)</f>
        <v>0</v>
      </c>
      <c r="J50" s="194">
        <f>IF(_1_54128456121462410464578910174[[#This Row],[Type]]&gt;0,VLOOKUP(_1_54128456121462410464578910174[[#This Row],[Type]],Main[[#All],[TYPE]:[UNIT]],'Unit Price'!H$1,FALSE),0)</f>
        <v>0</v>
      </c>
      <c r="K50" s="194">
        <f>IF(_1_54128456121462410464578910174[[#This Row],[Discount selection]]&gt;0,VLOOKUP(_1_54128456121462410464578910174[[#This Row],[Discount selection]],'Discount Structure'!$A$2:$B$30,2,"false"),0)</f>
        <v>1</v>
      </c>
      <c r="L50" s="194">
        <f>_1_54128456121462410464578910174[[#This Row],[LIST $]]*_1_54128456121462410464578910174[[#This Row],[DISCOUNT]]*_1_54128456121462410464578910174[[#This Row],[DISCOUNT 2]]</f>
        <v>0</v>
      </c>
      <c r="M50" s="194">
        <f>IF(OR(_1_54128456121462410464578910174[[#This Row],[UNIT]]&gt;0,_1_54128456121462410464578910174[[#This Row],[UNIT]]&lt;0),_1_54128456121462410464578910174[[#This Row],[UNIT]]*_1_54128456121462410464578910174[[#This Row],[COST]],0)</f>
        <v>0</v>
      </c>
      <c r="N50" s="194">
        <f t="shared" si="0"/>
        <v>1.5</v>
      </c>
      <c r="O50" s="198">
        <f>_1_54128456121462410464578910174[[#This Row],[TOTAL]]*_1_54128456121462410464578910174[[#This Row],[MARGIN]]</f>
        <v>0</v>
      </c>
      <c r="R50" s="41"/>
    </row>
    <row r="51" spans="1:18">
      <c r="C51" s="168"/>
      <c r="D51" s="188"/>
      <c r="F51" s="168" t="s">
        <v>6202</v>
      </c>
      <c r="G51" s="193">
        <f>IF(_1_54128456121462410464578910174[[#This Row],[Type]]&gt;0,VLOOKUP(_1_54128456121462410464578910174[[#This Row],[Type]],Main[[#All],[TYPE]:[UNIT]],'Unit Price'!C$1,FALSE),0)</f>
        <v>0</v>
      </c>
      <c r="H51" s="197">
        <f>IF(_1_54128456121462410464578910174[[#This Row],[Type]]&gt;0,VLOOKUP(_1_54128456121462410464578910174[[#This Row],[Type]],Main[[#All],[TYPE]:[UNIT]],'Unit Price'!D$1,FALSE),0)</f>
        <v>0</v>
      </c>
      <c r="I51" s="194">
        <f>IF(_1_54128456121462410464578910174[[#This Row],[Type]]&gt;0,VLOOKUP(_1_54128456121462410464578910174[[#This Row],[Type]],Main[[#All],[TYPE]:[UNIT]],'Unit Price'!G$1,FALSE),0)</f>
        <v>0</v>
      </c>
      <c r="J51" s="194">
        <f>IF(_1_54128456121462410464578910174[[#This Row],[Type]]&gt;0,VLOOKUP(_1_54128456121462410464578910174[[#This Row],[Type]],Main[[#All],[TYPE]:[UNIT]],'Unit Price'!H$1,FALSE),0)</f>
        <v>0</v>
      </c>
      <c r="K51" s="194">
        <f>IF(_1_54128456121462410464578910174[[#This Row],[Discount selection]]&gt;0,VLOOKUP(_1_54128456121462410464578910174[[#This Row],[Discount selection]],'Discount Structure'!$A$2:$B$30,2,"false"),0)</f>
        <v>1</v>
      </c>
      <c r="L51" s="194">
        <f>_1_54128456121462410464578910174[[#This Row],[LIST $]]*_1_54128456121462410464578910174[[#This Row],[DISCOUNT]]*_1_54128456121462410464578910174[[#This Row],[DISCOUNT 2]]</f>
        <v>0</v>
      </c>
      <c r="M51" s="194">
        <f>IF(OR(_1_54128456121462410464578910174[[#This Row],[UNIT]]&gt;0,_1_54128456121462410464578910174[[#This Row],[UNIT]]&lt;0),_1_54128456121462410464578910174[[#This Row],[UNIT]]*_1_54128456121462410464578910174[[#This Row],[COST]],0)</f>
        <v>0</v>
      </c>
      <c r="N51" s="194">
        <f t="shared" si="0"/>
        <v>1.5</v>
      </c>
      <c r="O51" s="198">
        <f>_1_54128456121462410464578910174[[#This Row],[TOTAL]]*_1_54128456121462410464578910174[[#This Row],[MARGIN]]</f>
        <v>0</v>
      </c>
      <c r="R51" s="41"/>
    </row>
    <row r="52" spans="1:18">
      <c r="C52" s="168"/>
      <c r="D52" s="188"/>
      <c r="F52" s="168" t="s">
        <v>6202</v>
      </c>
      <c r="G52" s="193">
        <f>IF(_1_54128456121462410464578910174[[#This Row],[Type]]&gt;0,VLOOKUP(_1_54128456121462410464578910174[[#This Row],[Type]],Main[[#All],[TYPE]:[UNIT]],'Unit Price'!C$1,FALSE),0)</f>
        <v>0</v>
      </c>
      <c r="H52" s="197">
        <f>IF(_1_54128456121462410464578910174[[#This Row],[Type]]&gt;0,VLOOKUP(_1_54128456121462410464578910174[[#This Row],[Type]],Main[[#All],[TYPE]:[UNIT]],'Unit Price'!D$1,FALSE),0)</f>
        <v>0</v>
      </c>
      <c r="I52" s="194">
        <f>IF(_1_54128456121462410464578910174[[#This Row],[Type]]&gt;0,VLOOKUP(_1_54128456121462410464578910174[[#This Row],[Type]],Main[[#All],[TYPE]:[UNIT]],'Unit Price'!G$1,FALSE),0)</f>
        <v>0</v>
      </c>
      <c r="J52" s="194">
        <f>IF(_1_54128456121462410464578910174[[#This Row],[Type]]&gt;0,VLOOKUP(_1_54128456121462410464578910174[[#This Row],[Type]],Main[[#All],[TYPE]:[UNIT]],'Unit Price'!H$1,FALSE),0)</f>
        <v>0</v>
      </c>
      <c r="K52" s="194">
        <f>IF(_1_54128456121462410464578910174[[#This Row],[Discount selection]]&gt;0,VLOOKUP(_1_54128456121462410464578910174[[#This Row],[Discount selection]],'Discount Structure'!$A$2:$B$30,2,"false"),0)</f>
        <v>1</v>
      </c>
      <c r="L52" s="194">
        <f>_1_54128456121462410464578910174[[#This Row],[LIST $]]*_1_54128456121462410464578910174[[#This Row],[DISCOUNT]]*_1_54128456121462410464578910174[[#This Row],[DISCOUNT 2]]</f>
        <v>0</v>
      </c>
      <c r="M52" s="194">
        <f>IF(OR(_1_54128456121462410464578910174[[#This Row],[UNIT]]&gt;0,_1_54128456121462410464578910174[[#This Row],[UNIT]]&lt;0),_1_54128456121462410464578910174[[#This Row],[UNIT]]*_1_54128456121462410464578910174[[#This Row],[COST]],0)</f>
        <v>0</v>
      </c>
      <c r="N52" s="194">
        <f t="shared" si="0"/>
        <v>1.5</v>
      </c>
      <c r="O52" s="198">
        <f>_1_54128456121462410464578910174[[#This Row],[TOTAL]]*_1_54128456121462410464578910174[[#This Row],[MARGIN]]</f>
        <v>0</v>
      </c>
      <c r="R52" s="41"/>
    </row>
    <row r="53" spans="1:18">
      <c r="C53" s="168"/>
      <c r="D53" s="188"/>
      <c r="F53" s="168" t="s">
        <v>6202</v>
      </c>
      <c r="G53" s="193">
        <f>IF(_1_54128456121462410464578910174[[#This Row],[Type]]&gt;0,VLOOKUP(_1_54128456121462410464578910174[[#This Row],[Type]],Main[[#All],[TYPE]:[UNIT]],'Unit Price'!C$1,FALSE),0)</f>
        <v>0</v>
      </c>
      <c r="H53" s="197">
        <f>IF(_1_54128456121462410464578910174[[#This Row],[Type]]&gt;0,VLOOKUP(_1_54128456121462410464578910174[[#This Row],[Type]],Main[[#All],[TYPE]:[UNIT]],'Unit Price'!D$1,FALSE),0)</f>
        <v>0</v>
      </c>
      <c r="I53" s="194">
        <f>IF(_1_54128456121462410464578910174[[#This Row],[Type]]&gt;0,VLOOKUP(_1_54128456121462410464578910174[[#This Row],[Type]],Main[[#All],[TYPE]:[UNIT]],'Unit Price'!G$1,FALSE),0)</f>
        <v>0</v>
      </c>
      <c r="J53" s="194">
        <f>IF(_1_54128456121462410464578910174[[#This Row],[Type]]&gt;0,VLOOKUP(_1_54128456121462410464578910174[[#This Row],[Type]],Main[[#All],[TYPE]:[UNIT]],'Unit Price'!H$1,FALSE),0)</f>
        <v>0</v>
      </c>
      <c r="K53" s="194">
        <f>IF(_1_54128456121462410464578910174[[#This Row],[Discount selection]]&gt;0,VLOOKUP(_1_54128456121462410464578910174[[#This Row],[Discount selection]],'Discount Structure'!$A$2:$B$30,2,"false"),0)</f>
        <v>1</v>
      </c>
      <c r="L53" s="194">
        <f>_1_54128456121462410464578910174[[#This Row],[LIST $]]*_1_54128456121462410464578910174[[#This Row],[DISCOUNT]]*_1_54128456121462410464578910174[[#This Row],[DISCOUNT 2]]</f>
        <v>0</v>
      </c>
      <c r="M53" s="194">
        <f>IF(OR(_1_54128456121462410464578910174[[#This Row],[UNIT]]&gt;0,_1_54128456121462410464578910174[[#This Row],[UNIT]]&lt;0),_1_54128456121462410464578910174[[#This Row],[UNIT]]*_1_54128456121462410464578910174[[#This Row],[COST]],0)</f>
        <v>0</v>
      </c>
      <c r="N53" s="194">
        <f t="shared" si="0"/>
        <v>1.5</v>
      </c>
      <c r="O53" s="198">
        <f>_1_54128456121462410464578910174[[#This Row],[TOTAL]]*_1_54128456121462410464578910174[[#This Row],[MARGIN]]</f>
        <v>0</v>
      </c>
      <c r="R53" s="41"/>
    </row>
    <row r="54" spans="1:18">
      <c r="C54" s="168"/>
      <c r="D54" s="188"/>
      <c r="F54" s="168" t="s">
        <v>6202</v>
      </c>
      <c r="G54" s="193">
        <f>IF(_1_54128456121462410464578910174[[#This Row],[Type]]&gt;0,VLOOKUP(_1_54128456121462410464578910174[[#This Row],[Type]],Main[[#All],[TYPE]:[UNIT]],'Unit Price'!C$1,FALSE),0)</f>
        <v>0</v>
      </c>
      <c r="H54" s="197">
        <f>IF(_1_54128456121462410464578910174[[#This Row],[Type]]&gt;0,VLOOKUP(_1_54128456121462410464578910174[[#This Row],[Type]],Main[[#All],[TYPE]:[UNIT]],'Unit Price'!D$1,FALSE),0)</f>
        <v>0</v>
      </c>
      <c r="I54" s="194">
        <f>IF(_1_54128456121462410464578910174[[#This Row],[Type]]&gt;0,VLOOKUP(_1_54128456121462410464578910174[[#This Row],[Type]],Main[[#All],[TYPE]:[UNIT]],'Unit Price'!G$1,FALSE),0)</f>
        <v>0</v>
      </c>
      <c r="J54" s="194">
        <f>IF(_1_54128456121462410464578910174[[#This Row],[Type]]&gt;0,VLOOKUP(_1_54128456121462410464578910174[[#This Row],[Type]],Main[[#All],[TYPE]:[UNIT]],'Unit Price'!H$1,FALSE),0)</f>
        <v>0</v>
      </c>
      <c r="K54" s="194">
        <f>IF(_1_54128456121462410464578910174[[#This Row],[Discount selection]]&gt;0,VLOOKUP(_1_54128456121462410464578910174[[#This Row],[Discount selection]],'Discount Structure'!$A$2:$B$30,2,"false"),0)</f>
        <v>1</v>
      </c>
      <c r="L54" s="194">
        <f>_1_54128456121462410464578910174[[#This Row],[LIST $]]*_1_54128456121462410464578910174[[#This Row],[DISCOUNT]]*_1_54128456121462410464578910174[[#This Row],[DISCOUNT 2]]</f>
        <v>0</v>
      </c>
      <c r="M54" s="194">
        <f>IF(OR(_1_54128456121462410464578910174[[#This Row],[UNIT]]&gt;0,_1_54128456121462410464578910174[[#This Row],[UNIT]]&lt;0),_1_54128456121462410464578910174[[#This Row],[UNIT]]*_1_54128456121462410464578910174[[#This Row],[COST]],0)</f>
        <v>0</v>
      </c>
      <c r="N54" s="194">
        <f t="shared" si="0"/>
        <v>1.5</v>
      </c>
      <c r="O54" s="198">
        <f>_1_54128456121462410464578910174[[#This Row],[TOTAL]]*_1_54128456121462410464578910174[[#This Row],[MARGIN]]</f>
        <v>0</v>
      </c>
      <c r="R54" s="41"/>
    </row>
    <row r="55" spans="1:18">
      <c r="C55" s="168"/>
      <c r="D55" s="188"/>
      <c r="F55" s="168" t="s">
        <v>6202</v>
      </c>
      <c r="G55" s="193">
        <f>IF(_1_54128456121462410464578910174[[#This Row],[Type]]&gt;0,VLOOKUP(_1_54128456121462410464578910174[[#This Row],[Type]],Main[[#All],[TYPE]:[UNIT]],'Unit Price'!C$1,FALSE),0)</f>
        <v>0</v>
      </c>
      <c r="H55" s="197">
        <f>IF(_1_54128456121462410464578910174[[#This Row],[Type]]&gt;0,VLOOKUP(_1_54128456121462410464578910174[[#This Row],[Type]],Main[[#All],[TYPE]:[UNIT]],'Unit Price'!D$1,FALSE),0)</f>
        <v>0</v>
      </c>
      <c r="I55" s="194">
        <f>IF(_1_54128456121462410464578910174[[#This Row],[Type]]&gt;0,VLOOKUP(_1_54128456121462410464578910174[[#This Row],[Type]],Main[[#All],[TYPE]:[UNIT]],'Unit Price'!G$1,FALSE),0)</f>
        <v>0</v>
      </c>
      <c r="J55" s="194">
        <f>IF(_1_54128456121462410464578910174[[#This Row],[Type]]&gt;0,VLOOKUP(_1_54128456121462410464578910174[[#This Row],[Type]],Main[[#All],[TYPE]:[UNIT]],'Unit Price'!H$1,FALSE),0)</f>
        <v>0</v>
      </c>
      <c r="K55" s="194">
        <f>IF(_1_54128456121462410464578910174[[#This Row],[Discount selection]]&gt;0,VLOOKUP(_1_54128456121462410464578910174[[#This Row],[Discount selection]],'Discount Structure'!$A$2:$B$30,2,"false"),0)</f>
        <v>1</v>
      </c>
      <c r="L55" s="194">
        <f>_1_54128456121462410464578910174[[#This Row],[LIST $]]*_1_54128456121462410464578910174[[#This Row],[DISCOUNT]]*_1_54128456121462410464578910174[[#This Row],[DISCOUNT 2]]</f>
        <v>0</v>
      </c>
      <c r="M55" s="194">
        <f>IF(OR(_1_54128456121462410464578910174[[#This Row],[UNIT]]&gt;0,_1_54128456121462410464578910174[[#This Row],[UNIT]]&lt;0),_1_54128456121462410464578910174[[#This Row],[UNIT]]*_1_54128456121462410464578910174[[#This Row],[COST]],0)</f>
        <v>0</v>
      </c>
      <c r="N55" s="194">
        <f t="shared" si="0"/>
        <v>1.5</v>
      </c>
      <c r="O55" s="198">
        <f>_1_54128456121462410464578910174[[#This Row],[TOTAL]]*_1_54128456121462410464578910174[[#This Row],[MARGIN]]</f>
        <v>0</v>
      </c>
      <c r="R55" s="41"/>
    </row>
    <row r="56" spans="1:18">
      <c r="B56" s="317"/>
      <c r="C56" s="168"/>
      <c r="D56" s="188"/>
      <c r="F56" s="168" t="s">
        <v>6202</v>
      </c>
      <c r="G56" s="193">
        <f>IF(_1_54128456121462410464578910174[[#This Row],[Type]]&gt;0,VLOOKUP(_1_54128456121462410464578910174[[#This Row],[Type]],Main[[#All],[TYPE]:[UNIT]],'Unit Price'!C$1,FALSE),0)</f>
        <v>0</v>
      </c>
      <c r="H56" s="197">
        <f>IF(_1_54128456121462410464578910174[[#This Row],[Type]]&gt;0,VLOOKUP(_1_54128456121462410464578910174[[#This Row],[Type]],Main[[#All],[TYPE]:[UNIT]],'Unit Price'!D$1,FALSE),0)</f>
        <v>0</v>
      </c>
      <c r="I56" s="194">
        <f>IF(_1_54128456121462410464578910174[[#This Row],[Type]]&gt;0,VLOOKUP(_1_54128456121462410464578910174[[#This Row],[Type]],Main[[#All],[TYPE]:[UNIT]],'Unit Price'!G$1,FALSE),0)</f>
        <v>0</v>
      </c>
      <c r="J56" s="194">
        <f>IF(_1_54128456121462410464578910174[[#This Row],[Type]]&gt;0,VLOOKUP(_1_54128456121462410464578910174[[#This Row],[Type]],Main[[#All],[TYPE]:[UNIT]],'Unit Price'!H$1,FALSE),0)</f>
        <v>0</v>
      </c>
      <c r="K56" s="194">
        <f>IF(_1_54128456121462410464578910174[[#This Row],[Discount selection]]&gt;0,VLOOKUP(_1_54128456121462410464578910174[[#This Row],[Discount selection]],'Discount Structure'!$A$2:$B$30,2,"false"),0)</f>
        <v>1</v>
      </c>
      <c r="L56" s="194">
        <f>_1_54128456121462410464578910174[[#This Row],[LIST $]]*_1_54128456121462410464578910174[[#This Row],[DISCOUNT]]*_1_54128456121462410464578910174[[#This Row],[DISCOUNT 2]]</f>
        <v>0</v>
      </c>
      <c r="M56" s="194">
        <f>IF(OR(_1_54128456121462410464578910174[[#This Row],[UNIT]]&gt;0,_1_54128456121462410464578910174[[#This Row],[UNIT]]&lt;0),_1_54128456121462410464578910174[[#This Row],[UNIT]]*_1_54128456121462410464578910174[[#This Row],[COST]],0)</f>
        <v>0</v>
      </c>
      <c r="N56" s="194">
        <f t="shared" si="0"/>
        <v>1.5</v>
      </c>
      <c r="O56" s="198">
        <f>_1_54128456121462410464578910174[[#This Row],[TOTAL]]*_1_54128456121462410464578910174[[#This Row],[MARGIN]]</f>
        <v>0</v>
      </c>
      <c r="R56" s="41"/>
    </row>
    <row r="57" spans="1:18">
      <c r="A57" s="168"/>
      <c r="C57" s="168"/>
      <c r="D57" s="188"/>
      <c r="F57" s="168" t="s">
        <v>6202</v>
      </c>
      <c r="G57" s="193">
        <f>IF(_1_54128456121462410464578910174[[#This Row],[Type]]&gt;0,VLOOKUP(_1_54128456121462410464578910174[[#This Row],[Type]],Main[[#All],[TYPE]:[UNIT]],'Unit Price'!C$1,FALSE),0)</f>
        <v>0</v>
      </c>
      <c r="H57" s="197">
        <f>IF(_1_54128456121462410464578910174[[#This Row],[Type]]&gt;0,VLOOKUP(_1_54128456121462410464578910174[[#This Row],[Type]],Main[[#All],[TYPE]:[UNIT]],'Unit Price'!D$1,FALSE),0)</f>
        <v>0</v>
      </c>
      <c r="I57" s="194">
        <f>IF(_1_54128456121462410464578910174[[#This Row],[Type]]&gt;0,VLOOKUP(_1_54128456121462410464578910174[[#This Row],[Type]],Main[[#All],[TYPE]:[UNIT]],'Unit Price'!G$1,FALSE),0)</f>
        <v>0</v>
      </c>
      <c r="J57" s="194">
        <f>IF(_1_54128456121462410464578910174[[#This Row],[Type]]&gt;0,VLOOKUP(_1_54128456121462410464578910174[[#This Row],[Type]],Main[[#All],[TYPE]:[UNIT]],'Unit Price'!H$1,FALSE),0)</f>
        <v>0</v>
      </c>
      <c r="K57" s="194">
        <f>IF(_1_54128456121462410464578910174[[#This Row],[Discount selection]]&gt;0,VLOOKUP(_1_54128456121462410464578910174[[#This Row],[Discount selection]],'Discount Structure'!$A$2:$B$30,2,"false"),0)</f>
        <v>1</v>
      </c>
      <c r="L57" s="194">
        <f>_1_54128456121462410464578910174[[#This Row],[LIST $]]*_1_54128456121462410464578910174[[#This Row],[DISCOUNT]]*_1_54128456121462410464578910174[[#This Row],[DISCOUNT 2]]</f>
        <v>0</v>
      </c>
      <c r="M57" s="194">
        <f>IF(OR(_1_54128456121462410464578910174[[#This Row],[UNIT]]&gt;0,_1_54128456121462410464578910174[[#This Row],[UNIT]]&lt;0),_1_54128456121462410464578910174[[#This Row],[UNIT]]*_1_54128456121462410464578910174[[#This Row],[COST]],0)</f>
        <v>0</v>
      </c>
      <c r="N57" s="194">
        <f t="shared" si="0"/>
        <v>1.5</v>
      </c>
      <c r="O57" s="198">
        <f>_1_54128456121462410464578910174[[#This Row],[TOTAL]]*_1_54128456121462410464578910174[[#This Row],[MARGIN]]</f>
        <v>0</v>
      </c>
      <c r="R57" s="41"/>
    </row>
    <row r="58" spans="1:18">
      <c r="B58" s="317"/>
      <c r="C58" s="168"/>
      <c r="D58" s="188"/>
      <c r="F58" s="168" t="s">
        <v>6202</v>
      </c>
      <c r="G58" s="193">
        <f>IF(_1_54128456121462410464578910174[[#This Row],[Type]]&gt;0,VLOOKUP(_1_54128456121462410464578910174[[#This Row],[Type]],Main[[#All],[TYPE]:[UNIT]],'Unit Price'!C$1,FALSE),0)</f>
        <v>0</v>
      </c>
      <c r="H58" s="197">
        <f>IF(_1_54128456121462410464578910174[[#This Row],[Type]]&gt;0,VLOOKUP(_1_54128456121462410464578910174[[#This Row],[Type]],Main[[#All],[TYPE]:[UNIT]],'Unit Price'!D$1,FALSE),0)</f>
        <v>0</v>
      </c>
      <c r="I58" s="194">
        <f>IF(_1_54128456121462410464578910174[[#This Row],[Type]]&gt;0,VLOOKUP(_1_54128456121462410464578910174[[#This Row],[Type]],Main[[#All],[TYPE]:[UNIT]],'Unit Price'!G$1,FALSE),0)</f>
        <v>0</v>
      </c>
      <c r="J58" s="194">
        <f>IF(_1_54128456121462410464578910174[[#This Row],[Type]]&gt;0,VLOOKUP(_1_54128456121462410464578910174[[#This Row],[Type]],Main[[#All],[TYPE]:[UNIT]],'Unit Price'!H$1,FALSE),0)</f>
        <v>0</v>
      </c>
      <c r="K58" s="194">
        <f>IF(_1_54128456121462410464578910174[[#This Row],[Discount selection]]&gt;0,VLOOKUP(_1_54128456121462410464578910174[[#This Row],[Discount selection]],'Discount Structure'!$A$2:$B$30,2,"false"),0)</f>
        <v>1</v>
      </c>
      <c r="L58" s="194">
        <f>_1_54128456121462410464578910174[[#This Row],[LIST $]]*_1_54128456121462410464578910174[[#This Row],[DISCOUNT]]*_1_54128456121462410464578910174[[#This Row],[DISCOUNT 2]]</f>
        <v>0</v>
      </c>
      <c r="M58" s="194">
        <f>IF(OR(_1_54128456121462410464578910174[[#This Row],[UNIT]]&gt;0,_1_54128456121462410464578910174[[#This Row],[UNIT]]&lt;0),_1_54128456121462410464578910174[[#This Row],[UNIT]]*_1_54128456121462410464578910174[[#This Row],[COST]],0)</f>
        <v>0</v>
      </c>
      <c r="N58" s="194">
        <f t="shared" si="0"/>
        <v>1.5</v>
      </c>
      <c r="O58" s="198">
        <f>_1_54128456121462410464578910174[[#This Row],[TOTAL]]*_1_54128456121462410464578910174[[#This Row],[MARGIN]]</f>
        <v>0</v>
      </c>
      <c r="R58" s="41"/>
    </row>
    <row r="59" spans="1:18">
      <c r="C59" s="168"/>
      <c r="D59" s="188"/>
      <c r="F59" s="168" t="s">
        <v>6202</v>
      </c>
      <c r="G59" s="193">
        <f>IF(_1_54128456121462410464578910174[[#This Row],[Type]]&gt;0,VLOOKUP(_1_54128456121462410464578910174[[#This Row],[Type]],Main[[#All],[TYPE]:[UNIT]],'Unit Price'!C$1,FALSE),0)</f>
        <v>0</v>
      </c>
      <c r="H59" s="197">
        <f>IF(_1_54128456121462410464578910174[[#This Row],[Type]]&gt;0,VLOOKUP(_1_54128456121462410464578910174[[#This Row],[Type]],Main[[#All],[TYPE]:[UNIT]],'Unit Price'!D$1,FALSE),0)</f>
        <v>0</v>
      </c>
      <c r="I59" s="194">
        <f>IF(_1_54128456121462410464578910174[[#This Row],[Type]]&gt;0,VLOOKUP(_1_54128456121462410464578910174[[#This Row],[Type]],Main[[#All],[TYPE]:[UNIT]],'Unit Price'!G$1,FALSE),0)</f>
        <v>0</v>
      </c>
      <c r="J59" s="194">
        <f>IF(_1_54128456121462410464578910174[[#This Row],[Type]]&gt;0,VLOOKUP(_1_54128456121462410464578910174[[#This Row],[Type]],Main[[#All],[TYPE]:[UNIT]],'Unit Price'!H$1,FALSE),0)</f>
        <v>0</v>
      </c>
      <c r="K59" s="194">
        <f>IF(_1_54128456121462410464578910174[[#This Row],[Discount selection]]&gt;0,VLOOKUP(_1_54128456121462410464578910174[[#This Row],[Discount selection]],'Discount Structure'!$A$2:$B$30,2,"false"),0)</f>
        <v>1</v>
      </c>
      <c r="L59" s="194">
        <f>_1_54128456121462410464578910174[[#This Row],[LIST $]]*_1_54128456121462410464578910174[[#This Row],[DISCOUNT]]*_1_54128456121462410464578910174[[#This Row],[DISCOUNT 2]]</f>
        <v>0</v>
      </c>
      <c r="M59" s="194">
        <f>IF(OR(_1_54128456121462410464578910174[[#This Row],[UNIT]]&gt;0,_1_54128456121462410464578910174[[#This Row],[UNIT]]&lt;0),_1_54128456121462410464578910174[[#This Row],[UNIT]]*_1_54128456121462410464578910174[[#This Row],[COST]],0)</f>
        <v>0</v>
      </c>
      <c r="N59" s="194">
        <f t="shared" si="0"/>
        <v>1.5</v>
      </c>
      <c r="O59" s="198">
        <f>_1_54128456121462410464578910174[[#This Row],[TOTAL]]*_1_54128456121462410464578910174[[#This Row],[MARGIN]]</f>
        <v>0</v>
      </c>
      <c r="R59" s="41"/>
    </row>
    <row r="60" spans="1:18">
      <c r="C60" s="168"/>
      <c r="D60" s="188"/>
      <c r="F60" s="168" t="s">
        <v>6202</v>
      </c>
      <c r="G60" s="193">
        <f>IF(_1_54128456121462410464578910174[[#This Row],[Type]]&gt;0,VLOOKUP(_1_54128456121462410464578910174[[#This Row],[Type]],Main[[#All],[TYPE]:[UNIT]],'Unit Price'!C$1,FALSE),0)</f>
        <v>0</v>
      </c>
      <c r="H60" s="197">
        <f>IF(_1_54128456121462410464578910174[[#This Row],[Type]]&gt;0,VLOOKUP(_1_54128456121462410464578910174[[#This Row],[Type]],Main[[#All],[TYPE]:[UNIT]],'Unit Price'!D$1,FALSE),0)</f>
        <v>0</v>
      </c>
      <c r="I60" s="194">
        <f>IF(_1_54128456121462410464578910174[[#This Row],[Type]]&gt;0,VLOOKUP(_1_54128456121462410464578910174[[#This Row],[Type]],Main[[#All],[TYPE]:[UNIT]],'Unit Price'!G$1,FALSE),0)</f>
        <v>0</v>
      </c>
      <c r="J60" s="194">
        <f>IF(_1_54128456121462410464578910174[[#This Row],[Type]]&gt;0,VLOOKUP(_1_54128456121462410464578910174[[#This Row],[Type]],Main[[#All],[TYPE]:[UNIT]],'Unit Price'!H$1,FALSE),0)</f>
        <v>0</v>
      </c>
      <c r="K60" s="194">
        <f>IF(_1_54128456121462410464578910174[[#This Row],[Discount selection]]&gt;0,VLOOKUP(_1_54128456121462410464578910174[[#This Row],[Discount selection]],'Discount Structure'!$A$2:$B$30,2,"false"),0)</f>
        <v>1</v>
      </c>
      <c r="L60" s="194">
        <f>_1_54128456121462410464578910174[[#This Row],[LIST $]]*_1_54128456121462410464578910174[[#This Row],[DISCOUNT]]*_1_54128456121462410464578910174[[#This Row],[DISCOUNT 2]]</f>
        <v>0</v>
      </c>
      <c r="M60" s="194">
        <f>IF(OR(_1_54128456121462410464578910174[[#This Row],[UNIT]]&gt;0,_1_54128456121462410464578910174[[#This Row],[UNIT]]&lt;0),_1_54128456121462410464578910174[[#This Row],[UNIT]]*_1_54128456121462410464578910174[[#This Row],[COST]],0)</f>
        <v>0</v>
      </c>
      <c r="N60" s="194">
        <f t="shared" si="0"/>
        <v>1.5</v>
      </c>
      <c r="O60" s="198">
        <f>_1_54128456121462410464578910174[[#This Row],[TOTAL]]*_1_54128456121462410464578910174[[#This Row],[MARGIN]]</f>
        <v>0</v>
      </c>
      <c r="R60" s="41"/>
    </row>
    <row r="61" spans="1:18">
      <c r="B61" s="168"/>
      <c r="C61" s="168"/>
      <c r="D61" s="361"/>
      <c r="F61" s="168" t="s">
        <v>6202</v>
      </c>
      <c r="G61" s="193">
        <f>IF(_1_54128456121462410464578910174[[#This Row],[Type]]&gt;0,VLOOKUP(_1_54128456121462410464578910174[[#This Row],[Type]],Main[[#All],[TYPE]:[UNIT]],'Unit Price'!C$1,FALSE),0)</f>
        <v>0</v>
      </c>
      <c r="H61" s="197">
        <f>IF(_1_54128456121462410464578910174[[#This Row],[Type]]&gt;0,VLOOKUP(_1_54128456121462410464578910174[[#This Row],[Type]],Main[[#All],[TYPE]:[UNIT]],'Unit Price'!D$1,FALSE),0)</f>
        <v>0</v>
      </c>
      <c r="I61" s="194">
        <f>IF(_1_54128456121462410464578910174[[#This Row],[Type]]&gt;0,VLOOKUP(_1_54128456121462410464578910174[[#This Row],[Type]],Main[[#All],[TYPE]:[UNIT]],'Unit Price'!G$1,FALSE),0)</f>
        <v>0</v>
      </c>
      <c r="J61" s="194">
        <f>IF(_1_54128456121462410464578910174[[#This Row],[Type]]&gt;0,VLOOKUP(_1_54128456121462410464578910174[[#This Row],[Type]],Main[[#All],[TYPE]:[UNIT]],'Unit Price'!H$1,FALSE),0)</f>
        <v>0</v>
      </c>
      <c r="K61" s="194">
        <f>IF(_1_54128456121462410464578910174[[#This Row],[Discount selection]]&gt;0,VLOOKUP(_1_54128456121462410464578910174[[#This Row],[Discount selection]],'Discount Structure'!$A$2:$B$30,2,"false"),0)</f>
        <v>1</v>
      </c>
      <c r="L61" s="194">
        <f>_1_54128456121462410464578910174[[#This Row],[LIST $]]*_1_54128456121462410464578910174[[#This Row],[DISCOUNT]]*_1_54128456121462410464578910174[[#This Row],[DISCOUNT 2]]</f>
        <v>0</v>
      </c>
      <c r="M61" s="194">
        <f>IF(OR(_1_54128456121462410464578910174[[#This Row],[UNIT]]&gt;0,_1_54128456121462410464578910174[[#This Row],[UNIT]]&lt;0),_1_54128456121462410464578910174[[#This Row],[UNIT]]*_1_54128456121462410464578910174[[#This Row],[COST]],0)</f>
        <v>0</v>
      </c>
      <c r="N61" s="194">
        <f t="shared" si="0"/>
        <v>1.5</v>
      </c>
      <c r="O61" s="198">
        <f>_1_54128456121462410464578910174[[#This Row],[TOTAL]]*_1_54128456121462410464578910174[[#This Row],[MARGIN]]</f>
        <v>0</v>
      </c>
      <c r="R61" s="41"/>
    </row>
    <row r="62" spans="1:18">
      <c r="C62" s="168"/>
      <c r="D62" s="188"/>
      <c r="F62" s="168" t="s">
        <v>6202</v>
      </c>
      <c r="G62" s="193">
        <f>IF(_1_54128456121462410464578910174[[#This Row],[Type]]&gt;0,VLOOKUP(_1_54128456121462410464578910174[[#This Row],[Type]],Main[[#All],[TYPE]:[UNIT]],'Unit Price'!C$1,FALSE),0)</f>
        <v>0</v>
      </c>
      <c r="H62" s="197">
        <f>IF(_1_54128456121462410464578910174[[#This Row],[Type]]&gt;0,VLOOKUP(_1_54128456121462410464578910174[[#This Row],[Type]],Main[[#All],[TYPE]:[UNIT]],'Unit Price'!D$1,FALSE),0)</f>
        <v>0</v>
      </c>
      <c r="I62" s="194">
        <f>IF(_1_54128456121462410464578910174[[#This Row],[Type]]&gt;0,VLOOKUP(_1_54128456121462410464578910174[[#This Row],[Type]],Main[[#All],[TYPE]:[UNIT]],'Unit Price'!G$1,FALSE),0)</f>
        <v>0</v>
      </c>
      <c r="J62" s="194">
        <f>IF(_1_54128456121462410464578910174[[#This Row],[Type]]&gt;0,VLOOKUP(_1_54128456121462410464578910174[[#This Row],[Type]],Main[[#All],[TYPE]:[UNIT]],'Unit Price'!H$1,FALSE),0)</f>
        <v>0</v>
      </c>
      <c r="K62" s="194">
        <f>IF(_1_54128456121462410464578910174[[#This Row],[Discount selection]]&gt;0,VLOOKUP(_1_54128456121462410464578910174[[#This Row],[Discount selection]],'Discount Structure'!$A$2:$B$30,2,"false"),0)</f>
        <v>1</v>
      </c>
      <c r="L62" s="194">
        <f>_1_54128456121462410464578910174[[#This Row],[LIST $]]*_1_54128456121462410464578910174[[#This Row],[DISCOUNT]]*_1_54128456121462410464578910174[[#This Row],[DISCOUNT 2]]</f>
        <v>0</v>
      </c>
      <c r="M62" s="194">
        <f>IF(OR(_1_54128456121462410464578910174[[#This Row],[UNIT]]&gt;0,_1_54128456121462410464578910174[[#This Row],[UNIT]]&lt;0),_1_54128456121462410464578910174[[#This Row],[UNIT]]*_1_54128456121462410464578910174[[#This Row],[COST]],0)</f>
        <v>0</v>
      </c>
      <c r="N62" s="194">
        <f t="shared" si="0"/>
        <v>1.5</v>
      </c>
      <c r="O62" s="198">
        <f>_1_54128456121462410464578910174[[#This Row],[TOTAL]]*_1_54128456121462410464578910174[[#This Row],[MARGIN]]</f>
        <v>0</v>
      </c>
      <c r="R62" s="41"/>
    </row>
    <row r="63" spans="1:18">
      <c r="C63" s="168"/>
      <c r="D63" s="188"/>
      <c r="F63" s="168" t="s">
        <v>6202</v>
      </c>
      <c r="G63" s="193">
        <f>IF(_1_54128456121462410464578910174[[#This Row],[Type]]&gt;0,VLOOKUP(_1_54128456121462410464578910174[[#This Row],[Type]],Main[[#All],[TYPE]:[UNIT]],'Unit Price'!C$1,FALSE),0)</f>
        <v>0</v>
      </c>
      <c r="H63" s="197">
        <f>IF(_1_54128456121462410464578910174[[#This Row],[Type]]&gt;0,VLOOKUP(_1_54128456121462410464578910174[[#This Row],[Type]],Main[[#All],[TYPE]:[UNIT]],'Unit Price'!D$1,FALSE),0)</f>
        <v>0</v>
      </c>
      <c r="I63" s="194">
        <f>IF(_1_54128456121462410464578910174[[#This Row],[Type]]&gt;0,VLOOKUP(_1_54128456121462410464578910174[[#This Row],[Type]],Main[[#All],[TYPE]:[UNIT]],'Unit Price'!G$1,FALSE),0)</f>
        <v>0</v>
      </c>
      <c r="J63" s="194">
        <f>IF(_1_54128456121462410464578910174[[#This Row],[Type]]&gt;0,VLOOKUP(_1_54128456121462410464578910174[[#This Row],[Type]],Main[[#All],[TYPE]:[UNIT]],'Unit Price'!H$1,FALSE),0)</f>
        <v>0</v>
      </c>
      <c r="K63" s="194">
        <f>IF(_1_54128456121462410464578910174[[#This Row],[Discount selection]]&gt;0,VLOOKUP(_1_54128456121462410464578910174[[#This Row],[Discount selection]],'Discount Structure'!$A$2:$B$30,2,"false"),0)</f>
        <v>1</v>
      </c>
      <c r="L63" s="194">
        <f>_1_54128456121462410464578910174[[#This Row],[LIST $]]*_1_54128456121462410464578910174[[#This Row],[DISCOUNT]]*_1_54128456121462410464578910174[[#This Row],[DISCOUNT 2]]</f>
        <v>0</v>
      </c>
      <c r="M63" s="194">
        <f>IF(OR(_1_54128456121462410464578910174[[#This Row],[UNIT]]&gt;0,_1_54128456121462410464578910174[[#This Row],[UNIT]]&lt;0),_1_54128456121462410464578910174[[#This Row],[UNIT]]*_1_54128456121462410464578910174[[#This Row],[COST]],0)</f>
        <v>0</v>
      </c>
      <c r="N63" s="194">
        <f t="shared" si="0"/>
        <v>1.5</v>
      </c>
      <c r="O63" s="198">
        <f>_1_54128456121462410464578910174[[#This Row],[TOTAL]]*_1_54128456121462410464578910174[[#This Row],[MARGIN]]</f>
        <v>0</v>
      </c>
      <c r="R63" s="41"/>
    </row>
    <row r="64" spans="1:18">
      <c r="C64" s="168"/>
      <c r="D64" s="188"/>
      <c r="F64" s="168" t="s">
        <v>6202</v>
      </c>
      <c r="G64" s="193">
        <f>IF(_1_54128456121462410464578910174[[#This Row],[Type]]&gt;0,VLOOKUP(_1_54128456121462410464578910174[[#This Row],[Type]],Main[[#All],[TYPE]:[UNIT]],'Unit Price'!C$1,FALSE),0)</f>
        <v>0</v>
      </c>
      <c r="H64" s="197">
        <f>IF(_1_54128456121462410464578910174[[#This Row],[Type]]&gt;0,VLOOKUP(_1_54128456121462410464578910174[[#This Row],[Type]],Main[[#All],[TYPE]:[UNIT]],'Unit Price'!D$1,FALSE),0)</f>
        <v>0</v>
      </c>
      <c r="I64" s="194">
        <f>IF(_1_54128456121462410464578910174[[#This Row],[Type]]&gt;0,VLOOKUP(_1_54128456121462410464578910174[[#This Row],[Type]],Main[[#All],[TYPE]:[UNIT]],'Unit Price'!G$1,FALSE),0)</f>
        <v>0</v>
      </c>
      <c r="J64" s="194">
        <f>IF(_1_54128456121462410464578910174[[#This Row],[Type]]&gt;0,VLOOKUP(_1_54128456121462410464578910174[[#This Row],[Type]],Main[[#All],[TYPE]:[UNIT]],'Unit Price'!H$1,FALSE),0)</f>
        <v>0</v>
      </c>
      <c r="K64" s="194">
        <f>IF(_1_54128456121462410464578910174[[#This Row],[Discount selection]]&gt;0,VLOOKUP(_1_54128456121462410464578910174[[#This Row],[Discount selection]],'Discount Structure'!$A$2:$B$30,2,"false"),0)</f>
        <v>1</v>
      </c>
      <c r="L64" s="194">
        <f>_1_54128456121462410464578910174[[#This Row],[LIST $]]*_1_54128456121462410464578910174[[#This Row],[DISCOUNT]]*_1_54128456121462410464578910174[[#This Row],[DISCOUNT 2]]</f>
        <v>0</v>
      </c>
      <c r="M64" s="194">
        <f>IF(OR(_1_54128456121462410464578910174[[#This Row],[UNIT]]&gt;0,_1_54128456121462410464578910174[[#This Row],[UNIT]]&lt;0),_1_54128456121462410464578910174[[#This Row],[UNIT]]*_1_54128456121462410464578910174[[#This Row],[COST]],0)</f>
        <v>0</v>
      </c>
      <c r="N64" s="194">
        <f t="shared" si="0"/>
        <v>1.5</v>
      </c>
      <c r="O64" s="198">
        <f>_1_54128456121462410464578910174[[#This Row],[TOTAL]]*_1_54128456121462410464578910174[[#This Row],[MARGIN]]</f>
        <v>0</v>
      </c>
      <c r="R64" s="41"/>
    </row>
    <row r="65" spans="1:18">
      <c r="C65" s="168"/>
      <c r="D65" s="188"/>
      <c r="F65" s="168" t="s">
        <v>6202</v>
      </c>
      <c r="G65" s="193">
        <f>IF(_1_54128456121462410464578910174[[#This Row],[Type]]&gt;0,VLOOKUP(_1_54128456121462410464578910174[[#This Row],[Type]],Main[[#All],[TYPE]:[UNIT]],'Unit Price'!C$1,FALSE),0)</f>
        <v>0</v>
      </c>
      <c r="H65" s="197">
        <f>IF(_1_54128456121462410464578910174[[#This Row],[Type]]&gt;0,VLOOKUP(_1_54128456121462410464578910174[[#This Row],[Type]],Main[[#All],[TYPE]:[UNIT]],'Unit Price'!D$1,FALSE),0)</f>
        <v>0</v>
      </c>
      <c r="I65" s="194">
        <f>IF(_1_54128456121462410464578910174[[#This Row],[Type]]&gt;0,VLOOKUP(_1_54128456121462410464578910174[[#This Row],[Type]],Main[[#All],[TYPE]:[UNIT]],'Unit Price'!G$1,FALSE),0)</f>
        <v>0</v>
      </c>
      <c r="J65" s="194">
        <f>IF(_1_54128456121462410464578910174[[#This Row],[Type]]&gt;0,VLOOKUP(_1_54128456121462410464578910174[[#This Row],[Type]],Main[[#All],[TYPE]:[UNIT]],'Unit Price'!H$1,FALSE),0)</f>
        <v>0</v>
      </c>
      <c r="K65" s="194">
        <f>IF(_1_54128456121462410464578910174[[#This Row],[Discount selection]]&gt;0,VLOOKUP(_1_54128456121462410464578910174[[#This Row],[Discount selection]],'Discount Structure'!$A$2:$B$30,2,"false"),0)</f>
        <v>1</v>
      </c>
      <c r="L65" s="194">
        <f>_1_54128456121462410464578910174[[#This Row],[LIST $]]*_1_54128456121462410464578910174[[#This Row],[DISCOUNT]]*_1_54128456121462410464578910174[[#This Row],[DISCOUNT 2]]</f>
        <v>0</v>
      </c>
      <c r="M65" s="194">
        <f>IF(OR(_1_54128456121462410464578910174[[#This Row],[UNIT]]&gt;0,_1_54128456121462410464578910174[[#This Row],[UNIT]]&lt;0),_1_54128456121462410464578910174[[#This Row],[UNIT]]*_1_54128456121462410464578910174[[#This Row],[COST]],0)</f>
        <v>0</v>
      </c>
      <c r="N65" s="194">
        <f t="shared" si="0"/>
        <v>1.5</v>
      </c>
      <c r="O65" s="198">
        <f>_1_54128456121462410464578910174[[#This Row],[TOTAL]]*_1_54128456121462410464578910174[[#This Row],[MARGIN]]</f>
        <v>0</v>
      </c>
      <c r="R65" s="41"/>
    </row>
    <row r="66" spans="1:18">
      <c r="B66" s="363"/>
      <c r="C66" s="168"/>
      <c r="D66" s="188"/>
      <c r="F66" s="168" t="s">
        <v>6202</v>
      </c>
      <c r="G66" s="193">
        <f>IF(_1_54128456121462410464578910174[[#This Row],[Type]]&gt;0,VLOOKUP(_1_54128456121462410464578910174[[#This Row],[Type]],Main[[#All],[TYPE]:[UNIT]],'Unit Price'!C$1,FALSE),0)</f>
        <v>0</v>
      </c>
      <c r="H66" s="197">
        <f>IF(_1_54128456121462410464578910174[[#This Row],[Type]]&gt;0,VLOOKUP(_1_54128456121462410464578910174[[#This Row],[Type]],Main[[#All],[TYPE]:[UNIT]],'Unit Price'!D$1,FALSE),0)</f>
        <v>0</v>
      </c>
      <c r="I66" s="194">
        <f>IF(_1_54128456121462410464578910174[[#This Row],[Type]]&gt;0,VLOOKUP(_1_54128456121462410464578910174[[#This Row],[Type]],Main[[#All],[TYPE]:[UNIT]],'Unit Price'!G$1,FALSE),0)</f>
        <v>0</v>
      </c>
      <c r="J66" s="194">
        <f>IF(_1_54128456121462410464578910174[[#This Row],[Type]]&gt;0,VLOOKUP(_1_54128456121462410464578910174[[#This Row],[Type]],Main[[#All],[TYPE]:[UNIT]],'Unit Price'!H$1,FALSE),0)</f>
        <v>0</v>
      </c>
      <c r="K66" s="194">
        <f>IF(_1_54128456121462410464578910174[[#This Row],[Discount selection]]&gt;0,VLOOKUP(_1_54128456121462410464578910174[[#This Row],[Discount selection]],'Discount Structure'!$A$2:$B$30,2,"false"),0)</f>
        <v>1</v>
      </c>
      <c r="L66" s="194">
        <f>_1_54128456121462410464578910174[[#This Row],[LIST $]]*_1_54128456121462410464578910174[[#This Row],[DISCOUNT]]*_1_54128456121462410464578910174[[#This Row],[DISCOUNT 2]]</f>
        <v>0</v>
      </c>
      <c r="M66" s="194">
        <f>IF(OR(_1_54128456121462410464578910174[[#This Row],[UNIT]]&gt;0,_1_54128456121462410464578910174[[#This Row],[UNIT]]&lt;0),_1_54128456121462410464578910174[[#This Row],[UNIT]]*_1_54128456121462410464578910174[[#This Row],[COST]],0)</f>
        <v>0</v>
      </c>
      <c r="N66" s="194">
        <f t="shared" si="0"/>
        <v>1.5</v>
      </c>
      <c r="O66" s="198">
        <f>_1_54128456121462410464578910174[[#This Row],[TOTAL]]*_1_54128456121462410464578910174[[#This Row],[MARGIN]]</f>
        <v>0</v>
      </c>
      <c r="R66" s="41"/>
    </row>
    <row r="67" spans="1:18">
      <c r="C67" s="168"/>
      <c r="D67" s="188"/>
      <c r="F67" s="168" t="s">
        <v>6202</v>
      </c>
      <c r="G67" s="193">
        <f>IF(_1_54128456121462410464578910174[[#This Row],[Type]]&gt;0,VLOOKUP(_1_54128456121462410464578910174[[#This Row],[Type]],Main[[#All],[TYPE]:[UNIT]],'Unit Price'!C$1,FALSE),0)</f>
        <v>0</v>
      </c>
      <c r="H67" s="197">
        <f>IF(_1_54128456121462410464578910174[[#This Row],[Type]]&gt;0,VLOOKUP(_1_54128456121462410464578910174[[#This Row],[Type]],Main[[#All],[TYPE]:[UNIT]],'Unit Price'!D$1,FALSE),0)</f>
        <v>0</v>
      </c>
      <c r="I67" s="194">
        <f>IF(_1_54128456121462410464578910174[[#This Row],[Type]]&gt;0,VLOOKUP(_1_54128456121462410464578910174[[#This Row],[Type]],Main[[#All],[TYPE]:[UNIT]],'Unit Price'!G$1,FALSE),0)</f>
        <v>0</v>
      </c>
      <c r="J67" s="194">
        <f>IF(_1_54128456121462410464578910174[[#This Row],[Type]]&gt;0,VLOOKUP(_1_54128456121462410464578910174[[#This Row],[Type]],Main[[#All],[TYPE]:[UNIT]],'Unit Price'!H$1,FALSE),0)</f>
        <v>0</v>
      </c>
      <c r="K67" s="194">
        <f>IF(_1_54128456121462410464578910174[[#This Row],[Discount selection]]&gt;0,VLOOKUP(_1_54128456121462410464578910174[[#This Row],[Discount selection]],'Discount Structure'!$A$2:$B$30,2,"false"),0)</f>
        <v>1</v>
      </c>
      <c r="L67" s="194">
        <f>_1_54128456121462410464578910174[[#This Row],[LIST $]]*_1_54128456121462410464578910174[[#This Row],[DISCOUNT]]*_1_54128456121462410464578910174[[#This Row],[DISCOUNT 2]]</f>
        <v>0</v>
      </c>
      <c r="M67" s="194">
        <f>IF(OR(_1_54128456121462410464578910174[[#This Row],[UNIT]]&gt;0,_1_54128456121462410464578910174[[#This Row],[UNIT]]&lt;0),_1_54128456121462410464578910174[[#This Row],[UNIT]]*_1_54128456121462410464578910174[[#This Row],[COST]],0)</f>
        <v>0</v>
      </c>
      <c r="N67" s="194">
        <f t="shared" si="0"/>
        <v>1.5</v>
      </c>
      <c r="O67" s="198">
        <f>_1_54128456121462410464578910174[[#This Row],[TOTAL]]*_1_54128456121462410464578910174[[#This Row],[MARGIN]]</f>
        <v>0</v>
      </c>
      <c r="R67" s="41"/>
    </row>
    <row r="68" spans="1:18">
      <c r="A68" s="168"/>
      <c r="C68" s="168"/>
      <c r="D68" s="188"/>
      <c r="F68" s="168" t="s">
        <v>6202</v>
      </c>
      <c r="G68" s="193">
        <f>IF(_1_54128456121462410464578910174[[#This Row],[Type]]&gt;0,VLOOKUP(_1_54128456121462410464578910174[[#This Row],[Type]],Main[[#All],[TYPE]:[UNIT]],'Unit Price'!C$1,FALSE),0)</f>
        <v>0</v>
      </c>
      <c r="H68" s="197">
        <f>IF(_1_54128456121462410464578910174[[#This Row],[Type]]&gt;0,VLOOKUP(_1_54128456121462410464578910174[[#This Row],[Type]],Main[[#All],[TYPE]:[UNIT]],'Unit Price'!D$1,FALSE),0)</f>
        <v>0</v>
      </c>
      <c r="I68" s="194">
        <f>IF(_1_54128456121462410464578910174[[#This Row],[Type]]&gt;0,VLOOKUP(_1_54128456121462410464578910174[[#This Row],[Type]],Main[[#All],[TYPE]:[UNIT]],'Unit Price'!G$1,FALSE),0)</f>
        <v>0</v>
      </c>
      <c r="J68" s="194">
        <f>IF(_1_54128456121462410464578910174[[#This Row],[Type]]&gt;0,VLOOKUP(_1_54128456121462410464578910174[[#This Row],[Type]],Main[[#All],[TYPE]:[UNIT]],'Unit Price'!H$1,FALSE),0)</f>
        <v>0</v>
      </c>
      <c r="K68" s="194">
        <f>IF(_1_54128456121462410464578910174[[#This Row],[Discount selection]]&gt;0,VLOOKUP(_1_54128456121462410464578910174[[#This Row],[Discount selection]],'Discount Structure'!$A$2:$B$30,2,"false"),0)</f>
        <v>1</v>
      </c>
      <c r="L68" s="194">
        <f>_1_54128456121462410464578910174[[#This Row],[LIST $]]*_1_54128456121462410464578910174[[#This Row],[DISCOUNT]]*_1_54128456121462410464578910174[[#This Row],[DISCOUNT 2]]</f>
        <v>0</v>
      </c>
      <c r="M68" s="194">
        <f>IF(OR(_1_54128456121462410464578910174[[#This Row],[UNIT]]&gt;0,_1_54128456121462410464578910174[[#This Row],[UNIT]]&lt;0),_1_54128456121462410464578910174[[#This Row],[UNIT]]*_1_54128456121462410464578910174[[#This Row],[COST]],0)</f>
        <v>0</v>
      </c>
      <c r="N68" s="194">
        <f t="shared" si="0"/>
        <v>1.5</v>
      </c>
      <c r="O68" s="198">
        <f>_1_54128456121462410464578910174[[#This Row],[TOTAL]]*_1_54128456121462410464578910174[[#This Row],[MARGIN]]</f>
        <v>0</v>
      </c>
      <c r="R68" s="41"/>
    </row>
    <row r="69" spans="1:18">
      <c r="A69" s="168"/>
      <c r="C69" s="168"/>
      <c r="D69" s="188"/>
      <c r="F69" s="168" t="s">
        <v>6202</v>
      </c>
      <c r="G69" s="193">
        <f>IF(_1_54128456121462410464578910174[[#This Row],[Type]]&gt;0,VLOOKUP(_1_54128456121462410464578910174[[#This Row],[Type]],Main[[#All],[TYPE]:[UNIT]],'Unit Price'!C$1,FALSE),0)</f>
        <v>0</v>
      </c>
      <c r="H69" s="197">
        <f>IF(_1_54128456121462410464578910174[[#This Row],[Type]]&gt;0,VLOOKUP(_1_54128456121462410464578910174[[#This Row],[Type]],Main[[#All],[TYPE]:[UNIT]],'Unit Price'!D$1,FALSE),0)</f>
        <v>0</v>
      </c>
      <c r="I69" s="194">
        <f>IF(_1_54128456121462410464578910174[[#This Row],[Type]]&gt;0,VLOOKUP(_1_54128456121462410464578910174[[#This Row],[Type]],Main[[#All],[TYPE]:[UNIT]],'Unit Price'!G$1,FALSE),0)</f>
        <v>0</v>
      </c>
      <c r="J69" s="194">
        <f>IF(_1_54128456121462410464578910174[[#This Row],[Type]]&gt;0,VLOOKUP(_1_54128456121462410464578910174[[#This Row],[Type]],Main[[#All],[TYPE]:[UNIT]],'Unit Price'!H$1,FALSE),0)</f>
        <v>0</v>
      </c>
      <c r="K69" s="194">
        <f>IF(_1_54128456121462410464578910174[[#This Row],[Discount selection]]&gt;0,VLOOKUP(_1_54128456121462410464578910174[[#This Row],[Discount selection]],'Discount Structure'!$A$2:$B$30,2,"false"),0)</f>
        <v>1</v>
      </c>
      <c r="L69" s="194">
        <f>_1_54128456121462410464578910174[[#This Row],[LIST $]]*_1_54128456121462410464578910174[[#This Row],[DISCOUNT]]*_1_54128456121462410464578910174[[#This Row],[DISCOUNT 2]]</f>
        <v>0</v>
      </c>
      <c r="M69" s="194">
        <f>IF(OR(_1_54128456121462410464578910174[[#This Row],[UNIT]]&gt;0,_1_54128456121462410464578910174[[#This Row],[UNIT]]&lt;0),_1_54128456121462410464578910174[[#This Row],[UNIT]]*_1_54128456121462410464578910174[[#This Row],[COST]],0)</f>
        <v>0</v>
      </c>
      <c r="N69" s="194">
        <f t="shared" si="0"/>
        <v>1.5</v>
      </c>
      <c r="O69" s="198">
        <f>_1_54128456121462410464578910174[[#This Row],[TOTAL]]*_1_54128456121462410464578910174[[#This Row],[MARGIN]]</f>
        <v>0</v>
      </c>
      <c r="R69" s="41"/>
    </row>
    <row r="70" spans="1:18">
      <c r="C70" s="168"/>
      <c r="D70" s="188"/>
      <c r="F70" s="168" t="s">
        <v>6202</v>
      </c>
      <c r="G70" s="193">
        <f>IF(_1_54128456121462410464578910174[[#This Row],[Type]]&gt;0,VLOOKUP(_1_54128456121462410464578910174[[#This Row],[Type]],Main[[#All],[TYPE]:[UNIT]],'Unit Price'!C$1,FALSE),0)</f>
        <v>0</v>
      </c>
      <c r="H70" s="197">
        <f>IF(_1_54128456121462410464578910174[[#This Row],[Type]]&gt;0,VLOOKUP(_1_54128456121462410464578910174[[#This Row],[Type]],Main[[#All],[TYPE]:[UNIT]],'Unit Price'!D$1,FALSE),0)</f>
        <v>0</v>
      </c>
      <c r="I70" s="194">
        <f>IF(_1_54128456121462410464578910174[[#This Row],[Type]]&gt;0,VLOOKUP(_1_54128456121462410464578910174[[#This Row],[Type]],Main[[#All],[TYPE]:[UNIT]],'Unit Price'!G$1,FALSE),0)</f>
        <v>0</v>
      </c>
      <c r="J70" s="194">
        <f>IF(_1_54128456121462410464578910174[[#This Row],[Type]]&gt;0,VLOOKUP(_1_54128456121462410464578910174[[#This Row],[Type]],Main[[#All],[TYPE]:[UNIT]],'Unit Price'!H$1,FALSE),0)</f>
        <v>0</v>
      </c>
      <c r="K70" s="194">
        <f>IF(_1_54128456121462410464578910174[[#This Row],[Discount selection]]&gt;0,VLOOKUP(_1_54128456121462410464578910174[[#This Row],[Discount selection]],'Discount Structure'!$A$2:$B$30,2,"false"),0)</f>
        <v>1</v>
      </c>
      <c r="L70" s="194">
        <f>_1_54128456121462410464578910174[[#This Row],[LIST $]]*_1_54128456121462410464578910174[[#This Row],[DISCOUNT]]*_1_54128456121462410464578910174[[#This Row],[DISCOUNT 2]]</f>
        <v>0</v>
      </c>
      <c r="M70" s="194">
        <f>IF(OR(_1_54128456121462410464578910174[[#This Row],[UNIT]]&gt;0,_1_54128456121462410464578910174[[#This Row],[UNIT]]&lt;0),_1_54128456121462410464578910174[[#This Row],[UNIT]]*_1_54128456121462410464578910174[[#This Row],[COST]],0)</f>
        <v>0</v>
      </c>
      <c r="N70" s="194">
        <f t="shared" si="0"/>
        <v>1.5</v>
      </c>
      <c r="O70" s="198">
        <f>_1_54128456121462410464578910174[[#This Row],[TOTAL]]*_1_54128456121462410464578910174[[#This Row],[MARGIN]]</f>
        <v>0</v>
      </c>
      <c r="R70" s="41"/>
    </row>
    <row r="71" spans="1:18">
      <c r="C71" s="168"/>
      <c r="D71" s="188"/>
      <c r="F71" s="168" t="s">
        <v>6202</v>
      </c>
      <c r="G71" s="193">
        <f>IF(_1_54128456121462410464578910174[[#This Row],[Type]]&gt;0,VLOOKUP(_1_54128456121462410464578910174[[#This Row],[Type]],Main[[#All],[TYPE]:[UNIT]],'Unit Price'!C$1,FALSE),0)</f>
        <v>0</v>
      </c>
      <c r="H71" s="197">
        <f>IF(_1_54128456121462410464578910174[[#This Row],[Type]]&gt;0,VLOOKUP(_1_54128456121462410464578910174[[#This Row],[Type]],Main[[#All],[TYPE]:[UNIT]],'Unit Price'!D$1,FALSE),0)</f>
        <v>0</v>
      </c>
      <c r="I71" s="194">
        <f>IF(_1_54128456121462410464578910174[[#This Row],[Type]]&gt;0,VLOOKUP(_1_54128456121462410464578910174[[#This Row],[Type]],Main[[#All],[TYPE]:[UNIT]],'Unit Price'!G$1,FALSE),0)</f>
        <v>0</v>
      </c>
      <c r="J71" s="194">
        <f>IF(_1_54128456121462410464578910174[[#This Row],[Type]]&gt;0,VLOOKUP(_1_54128456121462410464578910174[[#This Row],[Type]],Main[[#All],[TYPE]:[UNIT]],'Unit Price'!H$1,FALSE),0)</f>
        <v>0</v>
      </c>
      <c r="K71" s="194">
        <f>IF(_1_54128456121462410464578910174[[#This Row],[Discount selection]]&gt;0,VLOOKUP(_1_54128456121462410464578910174[[#This Row],[Discount selection]],'Discount Structure'!$A$2:$B$30,2,"false"),0)</f>
        <v>1</v>
      </c>
      <c r="L71" s="194">
        <f>_1_54128456121462410464578910174[[#This Row],[LIST $]]*_1_54128456121462410464578910174[[#This Row],[DISCOUNT]]*_1_54128456121462410464578910174[[#This Row],[DISCOUNT 2]]</f>
        <v>0</v>
      </c>
      <c r="M71" s="194">
        <f>IF(OR(_1_54128456121462410464578910174[[#This Row],[UNIT]]&gt;0,_1_54128456121462410464578910174[[#This Row],[UNIT]]&lt;0),_1_54128456121462410464578910174[[#This Row],[UNIT]]*_1_54128456121462410464578910174[[#This Row],[COST]],0)</f>
        <v>0</v>
      </c>
      <c r="N71" s="194">
        <f t="shared" si="0"/>
        <v>1.5</v>
      </c>
      <c r="O71" s="198">
        <f>_1_54128456121462410464578910174[[#This Row],[TOTAL]]*_1_54128456121462410464578910174[[#This Row],[MARGIN]]</f>
        <v>0</v>
      </c>
      <c r="R71" s="41"/>
    </row>
    <row r="72" spans="1:18">
      <c r="A72" s="168"/>
      <c r="C72" s="168"/>
      <c r="D72" s="188"/>
      <c r="F72" s="168" t="s">
        <v>6202</v>
      </c>
      <c r="G72" s="193">
        <f>IF(_1_54128456121462410464578910174[[#This Row],[Type]]&gt;0,VLOOKUP(_1_54128456121462410464578910174[[#This Row],[Type]],Main[[#All],[TYPE]:[UNIT]],'Unit Price'!C$1,FALSE),0)</f>
        <v>0</v>
      </c>
      <c r="H72" s="197">
        <f>IF(_1_54128456121462410464578910174[[#This Row],[Type]]&gt;0,VLOOKUP(_1_54128456121462410464578910174[[#This Row],[Type]],Main[[#All],[TYPE]:[UNIT]],'Unit Price'!D$1,FALSE),0)</f>
        <v>0</v>
      </c>
      <c r="I72" s="194">
        <f>IF(_1_54128456121462410464578910174[[#This Row],[Type]]&gt;0,VLOOKUP(_1_54128456121462410464578910174[[#This Row],[Type]],Main[[#All],[TYPE]:[UNIT]],'Unit Price'!G$1,FALSE),0)</f>
        <v>0</v>
      </c>
      <c r="J72" s="194">
        <f>IF(_1_54128456121462410464578910174[[#This Row],[Type]]&gt;0,VLOOKUP(_1_54128456121462410464578910174[[#This Row],[Type]],Main[[#All],[TYPE]:[UNIT]],'Unit Price'!H$1,FALSE),0)</f>
        <v>0</v>
      </c>
      <c r="K72" s="194">
        <f>IF(_1_54128456121462410464578910174[[#This Row],[Discount selection]]&gt;0,VLOOKUP(_1_54128456121462410464578910174[[#This Row],[Discount selection]],'Discount Structure'!$A$2:$B$30,2,"false"),0)</f>
        <v>1</v>
      </c>
      <c r="L72" s="194">
        <f>_1_54128456121462410464578910174[[#This Row],[LIST $]]*_1_54128456121462410464578910174[[#This Row],[DISCOUNT]]*_1_54128456121462410464578910174[[#This Row],[DISCOUNT 2]]</f>
        <v>0</v>
      </c>
      <c r="M72" s="194">
        <f>IF(OR(_1_54128456121462410464578910174[[#This Row],[UNIT]]&gt;0,_1_54128456121462410464578910174[[#This Row],[UNIT]]&lt;0),_1_54128456121462410464578910174[[#This Row],[UNIT]]*_1_54128456121462410464578910174[[#This Row],[COST]],0)</f>
        <v>0</v>
      </c>
      <c r="N72" s="194">
        <f t="shared" si="0"/>
        <v>1.5</v>
      </c>
      <c r="O72" s="198">
        <f>_1_54128456121462410464578910174[[#This Row],[TOTAL]]*_1_54128456121462410464578910174[[#This Row],[MARGIN]]</f>
        <v>0</v>
      </c>
      <c r="R72" s="41"/>
    </row>
    <row r="73" spans="1:18">
      <c r="C73" s="168"/>
      <c r="D73" s="188"/>
      <c r="F73" s="168" t="s">
        <v>6202</v>
      </c>
      <c r="G73" s="193">
        <f>IF(_1_54128456121462410464578910174[[#This Row],[Type]]&gt;0,VLOOKUP(_1_54128456121462410464578910174[[#This Row],[Type]],Main[[#All],[TYPE]:[UNIT]],'Unit Price'!C$1,FALSE),0)</f>
        <v>0</v>
      </c>
      <c r="H73" s="197">
        <f>IF(_1_54128456121462410464578910174[[#This Row],[Type]]&gt;0,VLOOKUP(_1_54128456121462410464578910174[[#This Row],[Type]],Main[[#All],[TYPE]:[UNIT]],'Unit Price'!D$1,FALSE),0)</f>
        <v>0</v>
      </c>
      <c r="I73" s="194">
        <f>IF(_1_54128456121462410464578910174[[#This Row],[Type]]&gt;0,VLOOKUP(_1_54128456121462410464578910174[[#This Row],[Type]],Main[[#All],[TYPE]:[UNIT]],'Unit Price'!G$1,FALSE),0)</f>
        <v>0</v>
      </c>
      <c r="J73" s="194">
        <f>IF(_1_54128456121462410464578910174[[#This Row],[Type]]&gt;0,VLOOKUP(_1_54128456121462410464578910174[[#This Row],[Type]],Main[[#All],[TYPE]:[UNIT]],'Unit Price'!H$1,FALSE),0)</f>
        <v>0</v>
      </c>
      <c r="K73" s="194">
        <f>IF(_1_54128456121462410464578910174[[#This Row],[Discount selection]]&gt;0,VLOOKUP(_1_54128456121462410464578910174[[#This Row],[Discount selection]],'Discount Structure'!$A$2:$B$30,2,"false"),0)</f>
        <v>1</v>
      </c>
      <c r="L73" s="194">
        <f>_1_54128456121462410464578910174[[#This Row],[LIST $]]*_1_54128456121462410464578910174[[#This Row],[DISCOUNT]]*_1_54128456121462410464578910174[[#This Row],[DISCOUNT 2]]</f>
        <v>0</v>
      </c>
      <c r="M73" s="194">
        <f>IF(OR(_1_54128456121462410464578910174[[#This Row],[UNIT]]&gt;0,_1_54128456121462410464578910174[[#This Row],[UNIT]]&lt;0),_1_54128456121462410464578910174[[#This Row],[UNIT]]*_1_54128456121462410464578910174[[#This Row],[COST]],0)</f>
        <v>0</v>
      </c>
      <c r="N73" s="194">
        <f t="shared" si="0"/>
        <v>1.5</v>
      </c>
      <c r="O73" s="198">
        <f>_1_54128456121462410464578910174[[#This Row],[TOTAL]]*_1_54128456121462410464578910174[[#This Row],[MARGIN]]</f>
        <v>0</v>
      </c>
      <c r="R73" s="41"/>
    </row>
    <row r="74" spans="1:18">
      <c r="A74" s="356"/>
      <c r="C74" s="168"/>
      <c r="D74" s="188"/>
      <c r="F74" s="168" t="s">
        <v>6202</v>
      </c>
      <c r="G74" s="193">
        <f>IF(_1_54128456121462410464578910174[[#This Row],[Type]]&gt;0,VLOOKUP(_1_54128456121462410464578910174[[#This Row],[Type]],Main[[#All],[TYPE]:[UNIT]],'Unit Price'!C$1,FALSE),0)</f>
        <v>0</v>
      </c>
      <c r="H74" s="197">
        <f>IF(_1_54128456121462410464578910174[[#This Row],[Type]]&gt;0,VLOOKUP(_1_54128456121462410464578910174[[#This Row],[Type]],Main[[#All],[TYPE]:[UNIT]],'Unit Price'!D$1,FALSE),0)</f>
        <v>0</v>
      </c>
      <c r="I74" s="194">
        <f>IF(_1_54128456121462410464578910174[[#This Row],[Type]]&gt;0,VLOOKUP(_1_54128456121462410464578910174[[#This Row],[Type]],Main[[#All],[TYPE]:[UNIT]],'Unit Price'!G$1,FALSE),0)</f>
        <v>0</v>
      </c>
      <c r="J74" s="194">
        <f>IF(_1_54128456121462410464578910174[[#This Row],[Type]]&gt;0,VLOOKUP(_1_54128456121462410464578910174[[#This Row],[Type]],Main[[#All],[TYPE]:[UNIT]],'Unit Price'!H$1,FALSE),0)</f>
        <v>0</v>
      </c>
      <c r="K74" s="194">
        <f>IF(_1_54128456121462410464578910174[[#This Row],[Discount selection]]&gt;0,VLOOKUP(_1_54128456121462410464578910174[[#This Row],[Discount selection]],'Discount Structure'!$A$2:$B$30,2,"false"),0)</f>
        <v>1</v>
      </c>
      <c r="L74" s="194">
        <f>_1_54128456121462410464578910174[[#This Row],[LIST $]]*_1_54128456121462410464578910174[[#This Row],[DISCOUNT]]*_1_54128456121462410464578910174[[#This Row],[DISCOUNT 2]]</f>
        <v>0</v>
      </c>
      <c r="M74" s="194">
        <f>IF(OR(_1_54128456121462410464578910174[[#This Row],[UNIT]]&gt;0,_1_54128456121462410464578910174[[#This Row],[UNIT]]&lt;0),_1_54128456121462410464578910174[[#This Row],[UNIT]]*_1_54128456121462410464578910174[[#This Row],[COST]],0)</f>
        <v>0</v>
      </c>
      <c r="N74" s="194">
        <f t="shared" ref="N74:N137" si="1">$N$7</f>
        <v>1.5</v>
      </c>
      <c r="O74" s="198">
        <f>_1_54128456121462410464578910174[[#This Row],[TOTAL]]*_1_54128456121462410464578910174[[#This Row],[MARGIN]]</f>
        <v>0</v>
      </c>
      <c r="R74" s="41"/>
    </row>
    <row r="75" spans="1:18">
      <c r="C75" s="168"/>
      <c r="D75" s="188"/>
      <c r="F75" s="168" t="s">
        <v>6202</v>
      </c>
      <c r="G75" s="193">
        <f>IF(_1_54128456121462410464578910174[[#This Row],[Type]]&gt;0,VLOOKUP(_1_54128456121462410464578910174[[#This Row],[Type]],Main[[#All],[TYPE]:[UNIT]],'Unit Price'!C$1,FALSE),0)</f>
        <v>0</v>
      </c>
      <c r="H75" s="197">
        <f>IF(_1_54128456121462410464578910174[[#This Row],[Type]]&gt;0,VLOOKUP(_1_54128456121462410464578910174[[#This Row],[Type]],Main[[#All],[TYPE]:[UNIT]],'Unit Price'!D$1,FALSE),0)</f>
        <v>0</v>
      </c>
      <c r="I75" s="194">
        <f>IF(_1_54128456121462410464578910174[[#This Row],[Type]]&gt;0,VLOOKUP(_1_54128456121462410464578910174[[#This Row],[Type]],Main[[#All],[TYPE]:[UNIT]],'Unit Price'!G$1,FALSE),0)</f>
        <v>0</v>
      </c>
      <c r="J75" s="194">
        <f>IF(_1_54128456121462410464578910174[[#This Row],[Type]]&gt;0,VLOOKUP(_1_54128456121462410464578910174[[#This Row],[Type]],Main[[#All],[TYPE]:[UNIT]],'Unit Price'!H$1,FALSE),0)</f>
        <v>0</v>
      </c>
      <c r="K75" s="194">
        <f>IF(_1_54128456121462410464578910174[[#This Row],[Discount selection]]&gt;0,VLOOKUP(_1_54128456121462410464578910174[[#This Row],[Discount selection]],'Discount Structure'!$A$2:$B$30,2,"false"),0)</f>
        <v>1</v>
      </c>
      <c r="L75" s="194">
        <f>_1_54128456121462410464578910174[[#This Row],[LIST $]]*_1_54128456121462410464578910174[[#This Row],[DISCOUNT]]*_1_54128456121462410464578910174[[#This Row],[DISCOUNT 2]]</f>
        <v>0</v>
      </c>
      <c r="M75" s="194">
        <f>IF(OR(_1_54128456121462410464578910174[[#This Row],[UNIT]]&gt;0,_1_54128456121462410464578910174[[#This Row],[UNIT]]&lt;0),_1_54128456121462410464578910174[[#This Row],[UNIT]]*_1_54128456121462410464578910174[[#This Row],[COST]],0)</f>
        <v>0</v>
      </c>
      <c r="N75" s="194">
        <f t="shared" si="1"/>
        <v>1.5</v>
      </c>
      <c r="O75" s="198">
        <f>_1_54128456121462410464578910174[[#This Row],[TOTAL]]*_1_54128456121462410464578910174[[#This Row],[MARGIN]]</f>
        <v>0</v>
      </c>
      <c r="R75" s="41"/>
    </row>
    <row r="76" spans="1:18">
      <c r="A76" s="355"/>
      <c r="C76" s="168"/>
      <c r="D76" s="188"/>
      <c r="F76" s="168" t="s">
        <v>6202</v>
      </c>
      <c r="G76" s="193">
        <f>IF(_1_54128456121462410464578910174[[#This Row],[Type]]&gt;0,VLOOKUP(_1_54128456121462410464578910174[[#This Row],[Type]],Main[[#All],[TYPE]:[UNIT]],'Unit Price'!C$1,FALSE),0)</f>
        <v>0</v>
      </c>
      <c r="H76" s="197">
        <f>IF(_1_54128456121462410464578910174[[#This Row],[Type]]&gt;0,VLOOKUP(_1_54128456121462410464578910174[[#This Row],[Type]],Main[[#All],[TYPE]:[UNIT]],'Unit Price'!D$1,FALSE),0)</f>
        <v>0</v>
      </c>
      <c r="I76" s="194">
        <f>IF(_1_54128456121462410464578910174[[#This Row],[Type]]&gt;0,VLOOKUP(_1_54128456121462410464578910174[[#This Row],[Type]],Main[[#All],[TYPE]:[UNIT]],'Unit Price'!G$1,FALSE),0)</f>
        <v>0</v>
      </c>
      <c r="J76" s="194">
        <f>IF(_1_54128456121462410464578910174[[#This Row],[Type]]&gt;0,VLOOKUP(_1_54128456121462410464578910174[[#This Row],[Type]],Main[[#All],[TYPE]:[UNIT]],'Unit Price'!H$1,FALSE),0)</f>
        <v>0</v>
      </c>
      <c r="K76" s="194">
        <f>IF(_1_54128456121462410464578910174[[#This Row],[Discount selection]]&gt;0,VLOOKUP(_1_54128456121462410464578910174[[#This Row],[Discount selection]],'Discount Structure'!$A$2:$B$30,2,"false"),0)</f>
        <v>1</v>
      </c>
      <c r="L76" s="194">
        <f>_1_54128456121462410464578910174[[#This Row],[LIST $]]*_1_54128456121462410464578910174[[#This Row],[DISCOUNT]]*_1_54128456121462410464578910174[[#This Row],[DISCOUNT 2]]</f>
        <v>0</v>
      </c>
      <c r="M76" s="194">
        <f>IF(OR(_1_54128456121462410464578910174[[#This Row],[UNIT]]&gt;0,_1_54128456121462410464578910174[[#This Row],[UNIT]]&lt;0),_1_54128456121462410464578910174[[#This Row],[UNIT]]*_1_54128456121462410464578910174[[#This Row],[COST]],0)</f>
        <v>0</v>
      </c>
      <c r="N76" s="194">
        <f t="shared" si="1"/>
        <v>1.5</v>
      </c>
      <c r="O76" s="198">
        <f>_1_54128456121462410464578910174[[#This Row],[TOTAL]]*_1_54128456121462410464578910174[[#This Row],[MARGIN]]</f>
        <v>0</v>
      </c>
      <c r="R76" s="41"/>
    </row>
    <row r="77" spans="1:18">
      <c r="C77" s="168"/>
      <c r="D77" s="188"/>
      <c r="F77" s="168" t="s">
        <v>6202</v>
      </c>
      <c r="G77" s="193">
        <f>IF(_1_54128456121462410464578910174[[#This Row],[Type]]&gt;0,VLOOKUP(_1_54128456121462410464578910174[[#This Row],[Type]],Main[[#All],[TYPE]:[UNIT]],'Unit Price'!C$1,FALSE),0)</f>
        <v>0</v>
      </c>
      <c r="H77" s="197">
        <f>IF(_1_54128456121462410464578910174[[#This Row],[Type]]&gt;0,VLOOKUP(_1_54128456121462410464578910174[[#This Row],[Type]],Main[[#All],[TYPE]:[UNIT]],'Unit Price'!D$1,FALSE),0)</f>
        <v>0</v>
      </c>
      <c r="I77" s="194">
        <f>IF(_1_54128456121462410464578910174[[#This Row],[Type]]&gt;0,VLOOKUP(_1_54128456121462410464578910174[[#This Row],[Type]],Main[[#All],[TYPE]:[UNIT]],'Unit Price'!G$1,FALSE),0)</f>
        <v>0</v>
      </c>
      <c r="J77" s="194">
        <f>IF(_1_54128456121462410464578910174[[#This Row],[Type]]&gt;0,VLOOKUP(_1_54128456121462410464578910174[[#This Row],[Type]],Main[[#All],[TYPE]:[UNIT]],'Unit Price'!H$1,FALSE),0)</f>
        <v>0</v>
      </c>
      <c r="K77" s="194">
        <f>IF(_1_54128456121462410464578910174[[#This Row],[Discount selection]]&gt;0,VLOOKUP(_1_54128456121462410464578910174[[#This Row],[Discount selection]],'Discount Structure'!$A$2:$B$30,2,"false"),0)</f>
        <v>1</v>
      </c>
      <c r="L77" s="194">
        <f>_1_54128456121462410464578910174[[#This Row],[LIST $]]*_1_54128456121462410464578910174[[#This Row],[DISCOUNT]]*_1_54128456121462410464578910174[[#This Row],[DISCOUNT 2]]</f>
        <v>0</v>
      </c>
      <c r="M77" s="194">
        <f>IF(OR(_1_54128456121462410464578910174[[#This Row],[UNIT]]&gt;0,_1_54128456121462410464578910174[[#This Row],[UNIT]]&lt;0),_1_54128456121462410464578910174[[#This Row],[UNIT]]*_1_54128456121462410464578910174[[#This Row],[COST]],0)</f>
        <v>0</v>
      </c>
      <c r="N77" s="194">
        <f t="shared" si="1"/>
        <v>1.5</v>
      </c>
      <c r="O77" s="198">
        <f>_1_54128456121462410464578910174[[#This Row],[TOTAL]]*_1_54128456121462410464578910174[[#This Row],[MARGIN]]</f>
        <v>0</v>
      </c>
      <c r="R77" s="41"/>
    </row>
    <row r="78" spans="1:18">
      <c r="A78" s="316"/>
      <c r="C78" s="168"/>
      <c r="D78" s="311"/>
      <c r="F78" s="168" t="s">
        <v>6202</v>
      </c>
      <c r="G78" s="193">
        <f>IF(_1_54128456121462410464578910174[[#This Row],[Type]]&gt;0,VLOOKUP(_1_54128456121462410464578910174[[#This Row],[Type]],Main[[#All],[TYPE]:[UNIT]],'Unit Price'!C$1,FALSE),0)</f>
        <v>0</v>
      </c>
      <c r="H78" s="197">
        <f>IF(_1_54128456121462410464578910174[[#This Row],[Type]]&gt;0,VLOOKUP(_1_54128456121462410464578910174[[#This Row],[Type]],Main[[#All],[TYPE]:[UNIT]],'Unit Price'!D$1,FALSE),0)</f>
        <v>0</v>
      </c>
      <c r="I78" s="194">
        <f>IF(_1_54128456121462410464578910174[[#This Row],[Type]]&gt;0,VLOOKUP(_1_54128456121462410464578910174[[#This Row],[Type]],Main[[#All],[TYPE]:[UNIT]],'Unit Price'!G$1,FALSE),0)</f>
        <v>0</v>
      </c>
      <c r="J78" s="194">
        <f>IF(_1_54128456121462410464578910174[[#This Row],[Type]]&gt;0,VLOOKUP(_1_54128456121462410464578910174[[#This Row],[Type]],Main[[#All],[TYPE]:[UNIT]],'Unit Price'!H$1,FALSE),0)</f>
        <v>0</v>
      </c>
      <c r="K78" s="194">
        <f>IF(_1_54128456121462410464578910174[[#This Row],[Discount selection]]&gt;0,VLOOKUP(_1_54128456121462410464578910174[[#This Row],[Discount selection]],'Discount Structure'!$A$2:$B$30,2,"false"),0)</f>
        <v>1</v>
      </c>
      <c r="L78" s="194">
        <f>_1_54128456121462410464578910174[[#This Row],[LIST $]]*_1_54128456121462410464578910174[[#This Row],[DISCOUNT]]*_1_54128456121462410464578910174[[#This Row],[DISCOUNT 2]]</f>
        <v>0</v>
      </c>
      <c r="M78" s="194">
        <f>IF(OR(_1_54128456121462410464578910174[[#This Row],[UNIT]]&gt;0,_1_54128456121462410464578910174[[#This Row],[UNIT]]&lt;0),_1_54128456121462410464578910174[[#This Row],[UNIT]]*_1_54128456121462410464578910174[[#This Row],[COST]],0)</f>
        <v>0</v>
      </c>
      <c r="N78" s="194">
        <f t="shared" si="1"/>
        <v>1.5</v>
      </c>
      <c r="O78" s="198">
        <f>_1_54128456121462410464578910174[[#This Row],[TOTAL]]*_1_54128456121462410464578910174[[#This Row],[MARGIN]]</f>
        <v>0</v>
      </c>
      <c r="R78" s="41"/>
    </row>
    <row r="79" spans="1:18">
      <c r="C79" s="168"/>
      <c r="D79" s="188"/>
      <c r="F79" s="168" t="s">
        <v>6202</v>
      </c>
      <c r="G79" s="193">
        <f>IF(_1_54128456121462410464578910174[[#This Row],[Type]]&gt;0,VLOOKUP(_1_54128456121462410464578910174[[#This Row],[Type]],Main[[#All],[TYPE]:[UNIT]],'Unit Price'!C$1,FALSE),0)</f>
        <v>0</v>
      </c>
      <c r="H79" s="197">
        <f>IF(_1_54128456121462410464578910174[[#This Row],[Type]]&gt;0,VLOOKUP(_1_54128456121462410464578910174[[#This Row],[Type]],Main[[#All],[TYPE]:[UNIT]],'Unit Price'!D$1,FALSE),0)</f>
        <v>0</v>
      </c>
      <c r="I79" s="194">
        <f>IF(_1_54128456121462410464578910174[[#This Row],[Type]]&gt;0,VLOOKUP(_1_54128456121462410464578910174[[#This Row],[Type]],Main[[#All],[TYPE]:[UNIT]],'Unit Price'!G$1,FALSE),0)</f>
        <v>0</v>
      </c>
      <c r="J79" s="194">
        <f>IF(_1_54128456121462410464578910174[[#This Row],[Type]]&gt;0,VLOOKUP(_1_54128456121462410464578910174[[#This Row],[Type]],Main[[#All],[TYPE]:[UNIT]],'Unit Price'!H$1,FALSE),0)</f>
        <v>0</v>
      </c>
      <c r="K79" s="194">
        <f>IF(_1_54128456121462410464578910174[[#This Row],[Discount selection]]&gt;0,VLOOKUP(_1_54128456121462410464578910174[[#This Row],[Discount selection]],'Discount Structure'!$A$2:$B$30,2,"false"),0)</f>
        <v>1</v>
      </c>
      <c r="L79" s="194">
        <f>_1_54128456121462410464578910174[[#This Row],[LIST $]]*_1_54128456121462410464578910174[[#This Row],[DISCOUNT]]*_1_54128456121462410464578910174[[#This Row],[DISCOUNT 2]]</f>
        <v>0</v>
      </c>
      <c r="M79" s="194">
        <f>IF(OR(_1_54128456121462410464578910174[[#This Row],[UNIT]]&gt;0,_1_54128456121462410464578910174[[#This Row],[UNIT]]&lt;0),_1_54128456121462410464578910174[[#This Row],[UNIT]]*_1_54128456121462410464578910174[[#This Row],[COST]],0)</f>
        <v>0</v>
      </c>
      <c r="N79" s="194">
        <f t="shared" si="1"/>
        <v>1.5</v>
      </c>
      <c r="O79" s="198">
        <f>_1_54128456121462410464578910174[[#This Row],[TOTAL]]*_1_54128456121462410464578910174[[#This Row],[MARGIN]]</f>
        <v>0</v>
      </c>
      <c r="R79" s="41"/>
    </row>
    <row r="80" spans="1:18">
      <c r="A80" s="362"/>
      <c r="C80" s="168"/>
      <c r="D80" s="188"/>
      <c r="F80" s="168" t="s">
        <v>6202</v>
      </c>
      <c r="G80" s="193">
        <f>IF(_1_54128456121462410464578910174[[#This Row],[Type]]&gt;0,VLOOKUP(_1_54128456121462410464578910174[[#This Row],[Type]],Main[[#All],[TYPE]:[UNIT]],'Unit Price'!C$1,FALSE),0)</f>
        <v>0</v>
      </c>
      <c r="H80" s="197">
        <f>IF(_1_54128456121462410464578910174[[#This Row],[Type]]&gt;0,VLOOKUP(_1_54128456121462410464578910174[[#This Row],[Type]],Main[[#All],[TYPE]:[UNIT]],'Unit Price'!D$1,FALSE),0)</f>
        <v>0</v>
      </c>
      <c r="I80" s="194">
        <f>IF(_1_54128456121462410464578910174[[#This Row],[Type]]&gt;0,VLOOKUP(_1_54128456121462410464578910174[[#This Row],[Type]],Main[[#All],[TYPE]:[UNIT]],'Unit Price'!G$1,FALSE),0)</f>
        <v>0</v>
      </c>
      <c r="J80" s="194">
        <f>IF(_1_54128456121462410464578910174[[#This Row],[Type]]&gt;0,VLOOKUP(_1_54128456121462410464578910174[[#This Row],[Type]],Main[[#All],[TYPE]:[UNIT]],'Unit Price'!H$1,FALSE),0)</f>
        <v>0</v>
      </c>
      <c r="K80" s="194">
        <f>IF(_1_54128456121462410464578910174[[#This Row],[Discount selection]]&gt;0,VLOOKUP(_1_54128456121462410464578910174[[#This Row],[Discount selection]],'Discount Structure'!$A$2:$B$30,2,"false"),0)</f>
        <v>1</v>
      </c>
      <c r="L80" s="194">
        <f>_1_54128456121462410464578910174[[#This Row],[LIST $]]*_1_54128456121462410464578910174[[#This Row],[DISCOUNT]]*_1_54128456121462410464578910174[[#This Row],[DISCOUNT 2]]</f>
        <v>0</v>
      </c>
      <c r="M80" s="194">
        <f>IF(OR(_1_54128456121462410464578910174[[#This Row],[UNIT]]&gt;0,_1_54128456121462410464578910174[[#This Row],[UNIT]]&lt;0),_1_54128456121462410464578910174[[#This Row],[UNIT]]*_1_54128456121462410464578910174[[#This Row],[COST]],0)</f>
        <v>0</v>
      </c>
      <c r="N80" s="194">
        <f t="shared" si="1"/>
        <v>1.5</v>
      </c>
      <c r="O80" s="198">
        <f>_1_54128456121462410464578910174[[#This Row],[TOTAL]]*_1_54128456121462410464578910174[[#This Row],[MARGIN]]</f>
        <v>0</v>
      </c>
      <c r="R80" s="41"/>
    </row>
    <row r="81" spans="1:18">
      <c r="A81" s="362"/>
      <c r="C81" s="168"/>
      <c r="D81" s="188"/>
      <c r="F81" s="168" t="s">
        <v>6202</v>
      </c>
      <c r="G81" s="193">
        <f>IF(_1_54128456121462410464578910174[[#This Row],[Type]]&gt;0,VLOOKUP(_1_54128456121462410464578910174[[#This Row],[Type]],Main[[#All],[TYPE]:[UNIT]],'Unit Price'!C$1,FALSE),0)</f>
        <v>0</v>
      </c>
      <c r="H81" s="197">
        <f>IF(_1_54128456121462410464578910174[[#This Row],[Type]]&gt;0,VLOOKUP(_1_54128456121462410464578910174[[#This Row],[Type]],Main[[#All],[TYPE]:[UNIT]],'Unit Price'!D$1,FALSE),0)</f>
        <v>0</v>
      </c>
      <c r="I81" s="194">
        <f>IF(_1_54128456121462410464578910174[[#This Row],[Type]]&gt;0,VLOOKUP(_1_54128456121462410464578910174[[#This Row],[Type]],Main[[#All],[TYPE]:[UNIT]],'Unit Price'!G$1,FALSE),0)</f>
        <v>0</v>
      </c>
      <c r="J81" s="194">
        <f>IF(_1_54128456121462410464578910174[[#This Row],[Type]]&gt;0,VLOOKUP(_1_54128456121462410464578910174[[#This Row],[Type]],Main[[#All],[TYPE]:[UNIT]],'Unit Price'!H$1,FALSE),0)</f>
        <v>0</v>
      </c>
      <c r="K81" s="194">
        <f>IF(_1_54128456121462410464578910174[[#This Row],[Discount selection]]&gt;0,VLOOKUP(_1_54128456121462410464578910174[[#This Row],[Discount selection]],'Discount Structure'!$A$2:$B$30,2,"false"),0)</f>
        <v>1</v>
      </c>
      <c r="L81" s="194">
        <f>_1_54128456121462410464578910174[[#This Row],[LIST $]]*_1_54128456121462410464578910174[[#This Row],[DISCOUNT]]*_1_54128456121462410464578910174[[#This Row],[DISCOUNT 2]]</f>
        <v>0</v>
      </c>
      <c r="M81" s="194">
        <f>IF(OR(_1_54128456121462410464578910174[[#This Row],[UNIT]]&gt;0,_1_54128456121462410464578910174[[#This Row],[UNIT]]&lt;0),_1_54128456121462410464578910174[[#This Row],[UNIT]]*_1_54128456121462410464578910174[[#This Row],[COST]],0)</f>
        <v>0</v>
      </c>
      <c r="N81" s="194">
        <f t="shared" si="1"/>
        <v>1.5</v>
      </c>
      <c r="O81" s="198">
        <f>_1_54128456121462410464578910174[[#This Row],[TOTAL]]*_1_54128456121462410464578910174[[#This Row],[MARGIN]]</f>
        <v>0</v>
      </c>
      <c r="R81" s="41"/>
    </row>
    <row r="82" spans="1:18">
      <c r="A82" s="329"/>
      <c r="C82" s="168"/>
      <c r="D82" s="188"/>
      <c r="F82" s="168" t="s">
        <v>6202</v>
      </c>
      <c r="G82" s="193">
        <f>IF(_1_54128456121462410464578910174[[#This Row],[Type]]&gt;0,VLOOKUP(_1_54128456121462410464578910174[[#This Row],[Type]],Main[[#All],[TYPE]:[UNIT]],'Unit Price'!C$1,FALSE),0)</f>
        <v>0</v>
      </c>
      <c r="H82" s="197">
        <f>IF(_1_54128456121462410464578910174[[#This Row],[Type]]&gt;0,VLOOKUP(_1_54128456121462410464578910174[[#This Row],[Type]],Main[[#All],[TYPE]:[UNIT]],'Unit Price'!D$1,FALSE),0)</f>
        <v>0</v>
      </c>
      <c r="I82" s="194">
        <f>IF(_1_54128456121462410464578910174[[#This Row],[Type]]&gt;0,VLOOKUP(_1_54128456121462410464578910174[[#This Row],[Type]],Main[[#All],[TYPE]:[UNIT]],'Unit Price'!G$1,FALSE),0)</f>
        <v>0</v>
      </c>
      <c r="J82" s="194">
        <f>IF(_1_54128456121462410464578910174[[#This Row],[Type]]&gt;0,VLOOKUP(_1_54128456121462410464578910174[[#This Row],[Type]],Main[[#All],[TYPE]:[UNIT]],'Unit Price'!H$1,FALSE),0)</f>
        <v>0</v>
      </c>
      <c r="K82" s="194">
        <f>IF(_1_54128456121462410464578910174[[#This Row],[Discount selection]]&gt;0,VLOOKUP(_1_54128456121462410464578910174[[#This Row],[Discount selection]],'Discount Structure'!$A$2:$B$30,2,"false"),0)</f>
        <v>1</v>
      </c>
      <c r="L82" s="194">
        <f>_1_54128456121462410464578910174[[#This Row],[LIST $]]*_1_54128456121462410464578910174[[#This Row],[DISCOUNT]]*_1_54128456121462410464578910174[[#This Row],[DISCOUNT 2]]</f>
        <v>0</v>
      </c>
      <c r="M82" s="194">
        <f>IF(OR(_1_54128456121462410464578910174[[#This Row],[UNIT]]&gt;0,_1_54128456121462410464578910174[[#This Row],[UNIT]]&lt;0),_1_54128456121462410464578910174[[#This Row],[UNIT]]*_1_54128456121462410464578910174[[#This Row],[COST]],0)</f>
        <v>0</v>
      </c>
      <c r="N82" s="194">
        <f t="shared" si="1"/>
        <v>1.5</v>
      </c>
      <c r="O82" s="198">
        <f>_1_54128456121462410464578910174[[#This Row],[TOTAL]]*_1_54128456121462410464578910174[[#This Row],[MARGIN]]</f>
        <v>0</v>
      </c>
      <c r="R82" s="41"/>
    </row>
    <row r="83" spans="1:18">
      <c r="A83" s="329"/>
      <c r="C83" s="168"/>
      <c r="D83" s="188"/>
      <c r="F83" s="168" t="s">
        <v>6202</v>
      </c>
      <c r="G83" s="193">
        <f>IF(_1_54128456121462410464578910174[[#This Row],[Type]]&gt;0,VLOOKUP(_1_54128456121462410464578910174[[#This Row],[Type]],Main[[#All],[TYPE]:[UNIT]],'Unit Price'!C$1,FALSE),0)</f>
        <v>0</v>
      </c>
      <c r="H83" s="197">
        <f>IF(_1_54128456121462410464578910174[[#This Row],[Type]]&gt;0,VLOOKUP(_1_54128456121462410464578910174[[#This Row],[Type]],Main[[#All],[TYPE]:[UNIT]],'Unit Price'!D$1,FALSE),0)</f>
        <v>0</v>
      </c>
      <c r="I83" s="194">
        <f>IF(_1_54128456121462410464578910174[[#This Row],[Type]]&gt;0,VLOOKUP(_1_54128456121462410464578910174[[#This Row],[Type]],Main[[#All],[TYPE]:[UNIT]],'Unit Price'!G$1,FALSE),0)</f>
        <v>0</v>
      </c>
      <c r="J83" s="194">
        <f>IF(_1_54128456121462410464578910174[[#This Row],[Type]]&gt;0,VLOOKUP(_1_54128456121462410464578910174[[#This Row],[Type]],Main[[#All],[TYPE]:[UNIT]],'Unit Price'!H$1,FALSE),0)</f>
        <v>0</v>
      </c>
      <c r="K83" s="194">
        <f>IF(_1_54128456121462410464578910174[[#This Row],[Discount selection]]&gt;0,VLOOKUP(_1_54128456121462410464578910174[[#This Row],[Discount selection]],'Discount Structure'!$A$2:$B$30,2,"false"),0)</f>
        <v>1</v>
      </c>
      <c r="L83" s="194">
        <f>_1_54128456121462410464578910174[[#This Row],[LIST $]]*_1_54128456121462410464578910174[[#This Row],[DISCOUNT]]*_1_54128456121462410464578910174[[#This Row],[DISCOUNT 2]]</f>
        <v>0</v>
      </c>
      <c r="M83" s="194">
        <f>IF(OR(_1_54128456121462410464578910174[[#This Row],[UNIT]]&gt;0,_1_54128456121462410464578910174[[#This Row],[UNIT]]&lt;0),_1_54128456121462410464578910174[[#This Row],[UNIT]]*_1_54128456121462410464578910174[[#This Row],[COST]],0)</f>
        <v>0</v>
      </c>
      <c r="N83" s="194">
        <f t="shared" si="1"/>
        <v>1.5</v>
      </c>
      <c r="O83" s="198">
        <f>_1_54128456121462410464578910174[[#This Row],[TOTAL]]*_1_54128456121462410464578910174[[#This Row],[MARGIN]]</f>
        <v>0</v>
      </c>
      <c r="R83" s="41"/>
    </row>
    <row r="84" spans="1:18">
      <c r="A84" s="364"/>
      <c r="C84" s="168"/>
      <c r="D84" s="188"/>
      <c r="F84" s="168" t="s">
        <v>6202</v>
      </c>
      <c r="G84" s="193">
        <f>IF(_1_54128456121462410464578910174[[#This Row],[Type]]&gt;0,VLOOKUP(_1_54128456121462410464578910174[[#This Row],[Type]],Main[[#All],[TYPE]:[UNIT]],'Unit Price'!C$1,FALSE),0)</f>
        <v>0</v>
      </c>
      <c r="H84" s="197">
        <f>IF(_1_54128456121462410464578910174[[#This Row],[Type]]&gt;0,VLOOKUP(_1_54128456121462410464578910174[[#This Row],[Type]],Main[[#All],[TYPE]:[UNIT]],'Unit Price'!D$1,FALSE),0)</f>
        <v>0</v>
      </c>
      <c r="I84" s="194">
        <f>IF(_1_54128456121462410464578910174[[#This Row],[Type]]&gt;0,VLOOKUP(_1_54128456121462410464578910174[[#This Row],[Type]],Main[[#All],[TYPE]:[UNIT]],'Unit Price'!G$1,FALSE),0)</f>
        <v>0</v>
      </c>
      <c r="J84" s="194">
        <f>IF(_1_54128456121462410464578910174[[#This Row],[Type]]&gt;0,VLOOKUP(_1_54128456121462410464578910174[[#This Row],[Type]],Main[[#All],[TYPE]:[UNIT]],'Unit Price'!H$1,FALSE),0)</f>
        <v>0</v>
      </c>
      <c r="K84" s="194">
        <f>IF(_1_54128456121462410464578910174[[#This Row],[Discount selection]]&gt;0,VLOOKUP(_1_54128456121462410464578910174[[#This Row],[Discount selection]],'Discount Structure'!$A$2:$B$30,2,"false"),0)</f>
        <v>1</v>
      </c>
      <c r="L84" s="194">
        <f>_1_54128456121462410464578910174[[#This Row],[LIST $]]*_1_54128456121462410464578910174[[#This Row],[DISCOUNT]]*_1_54128456121462410464578910174[[#This Row],[DISCOUNT 2]]</f>
        <v>0</v>
      </c>
      <c r="M84" s="194">
        <f>IF(OR(_1_54128456121462410464578910174[[#This Row],[UNIT]]&gt;0,_1_54128456121462410464578910174[[#This Row],[UNIT]]&lt;0),_1_54128456121462410464578910174[[#This Row],[UNIT]]*_1_54128456121462410464578910174[[#This Row],[COST]],0)</f>
        <v>0</v>
      </c>
      <c r="N84" s="194">
        <f t="shared" si="1"/>
        <v>1.5</v>
      </c>
      <c r="O84" s="198">
        <f>_1_54128456121462410464578910174[[#This Row],[TOTAL]]*_1_54128456121462410464578910174[[#This Row],[MARGIN]]</f>
        <v>0</v>
      </c>
      <c r="R84" s="41"/>
    </row>
    <row r="85" spans="1:18">
      <c r="C85" s="168"/>
      <c r="D85" s="188"/>
      <c r="F85" s="168" t="s">
        <v>6202</v>
      </c>
      <c r="G85" s="193">
        <f>IF(_1_54128456121462410464578910174[[#This Row],[Type]]&gt;0,VLOOKUP(_1_54128456121462410464578910174[[#This Row],[Type]],Main[[#All],[TYPE]:[UNIT]],'Unit Price'!C$1,FALSE),0)</f>
        <v>0</v>
      </c>
      <c r="H85" s="197">
        <f>IF(_1_54128456121462410464578910174[[#This Row],[Type]]&gt;0,VLOOKUP(_1_54128456121462410464578910174[[#This Row],[Type]],Main[[#All],[TYPE]:[UNIT]],'Unit Price'!D$1,FALSE),0)</f>
        <v>0</v>
      </c>
      <c r="I85" s="194">
        <f>IF(_1_54128456121462410464578910174[[#This Row],[Type]]&gt;0,VLOOKUP(_1_54128456121462410464578910174[[#This Row],[Type]],Main[[#All],[TYPE]:[UNIT]],'Unit Price'!G$1,FALSE),0)</f>
        <v>0</v>
      </c>
      <c r="J85" s="194">
        <f>IF(_1_54128456121462410464578910174[[#This Row],[Type]]&gt;0,VLOOKUP(_1_54128456121462410464578910174[[#This Row],[Type]],Main[[#All],[TYPE]:[UNIT]],'Unit Price'!H$1,FALSE),0)</f>
        <v>0</v>
      </c>
      <c r="K85" s="194">
        <f>IF(_1_54128456121462410464578910174[[#This Row],[Discount selection]]&gt;0,VLOOKUP(_1_54128456121462410464578910174[[#This Row],[Discount selection]],'Discount Structure'!$A$2:$B$30,2,"false"),0)</f>
        <v>1</v>
      </c>
      <c r="L85" s="194">
        <f>_1_54128456121462410464578910174[[#This Row],[LIST $]]*_1_54128456121462410464578910174[[#This Row],[DISCOUNT]]*_1_54128456121462410464578910174[[#This Row],[DISCOUNT 2]]</f>
        <v>0</v>
      </c>
      <c r="M85" s="194">
        <f>IF(OR(_1_54128456121462410464578910174[[#This Row],[UNIT]]&gt;0,_1_54128456121462410464578910174[[#This Row],[UNIT]]&lt;0),_1_54128456121462410464578910174[[#This Row],[UNIT]]*_1_54128456121462410464578910174[[#This Row],[COST]],0)</f>
        <v>0</v>
      </c>
      <c r="N85" s="194">
        <f t="shared" si="1"/>
        <v>1.5</v>
      </c>
      <c r="O85" s="198">
        <f>_1_54128456121462410464578910174[[#This Row],[TOTAL]]*_1_54128456121462410464578910174[[#This Row],[MARGIN]]</f>
        <v>0</v>
      </c>
      <c r="R85" s="41"/>
    </row>
    <row r="86" spans="1:18">
      <c r="C86" s="168"/>
      <c r="D86" s="188"/>
      <c r="F86" s="168" t="s">
        <v>6202</v>
      </c>
      <c r="G86" s="193">
        <f>IF(_1_54128456121462410464578910174[[#This Row],[Type]]&gt;0,VLOOKUP(_1_54128456121462410464578910174[[#This Row],[Type]],Main[[#All],[TYPE]:[UNIT]],'Unit Price'!C$1,FALSE),0)</f>
        <v>0</v>
      </c>
      <c r="H86" s="197">
        <f>IF(_1_54128456121462410464578910174[[#This Row],[Type]]&gt;0,VLOOKUP(_1_54128456121462410464578910174[[#This Row],[Type]],Main[[#All],[TYPE]:[UNIT]],'Unit Price'!D$1,FALSE),0)</f>
        <v>0</v>
      </c>
      <c r="I86" s="194">
        <f>IF(_1_54128456121462410464578910174[[#This Row],[Type]]&gt;0,VLOOKUP(_1_54128456121462410464578910174[[#This Row],[Type]],Main[[#All],[TYPE]:[UNIT]],'Unit Price'!G$1,FALSE),0)</f>
        <v>0</v>
      </c>
      <c r="J86" s="194">
        <f>IF(_1_54128456121462410464578910174[[#This Row],[Type]]&gt;0,VLOOKUP(_1_54128456121462410464578910174[[#This Row],[Type]],Main[[#All],[TYPE]:[UNIT]],'Unit Price'!H$1,FALSE),0)</f>
        <v>0</v>
      </c>
      <c r="K86" s="194">
        <f>IF(_1_54128456121462410464578910174[[#This Row],[Discount selection]]&gt;0,VLOOKUP(_1_54128456121462410464578910174[[#This Row],[Discount selection]],'Discount Structure'!$A$2:$B$30,2,"false"),0)</f>
        <v>1</v>
      </c>
      <c r="L86" s="194">
        <f>_1_54128456121462410464578910174[[#This Row],[LIST $]]*_1_54128456121462410464578910174[[#This Row],[DISCOUNT]]*_1_54128456121462410464578910174[[#This Row],[DISCOUNT 2]]</f>
        <v>0</v>
      </c>
      <c r="M86" s="194">
        <f>IF(OR(_1_54128456121462410464578910174[[#This Row],[UNIT]]&gt;0,_1_54128456121462410464578910174[[#This Row],[UNIT]]&lt;0),_1_54128456121462410464578910174[[#This Row],[UNIT]]*_1_54128456121462410464578910174[[#This Row],[COST]],0)</f>
        <v>0</v>
      </c>
      <c r="N86" s="194">
        <f t="shared" si="1"/>
        <v>1.5</v>
      </c>
      <c r="O86" s="198">
        <f>_1_54128456121462410464578910174[[#This Row],[TOTAL]]*_1_54128456121462410464578910174[[#This Row],[MARGIN]]</f>
        <v>0</v>
      </c>
      <c r="R86" s="41"/>
    </row>
    <row r="87" spans="1:18">
      <c r="C87" s="168"/>
      <c r="D87" s="188"/>
      <c r="F87" s="168" t="s">
        <v>6202</v>
      </c>
      <c r="G87" s="193">
        <f>IF(_1_54128456121462410464578910174[[#This Row],[Type]]&gt;0,VLOOKUP(_1_54128456121462410464578910174[[#This Row],[Type]],Main[[#All],[TYPE]:[UNIT]],'Unit Price'!C$1,FALSE),0)</f>
        <v>0</v>
      </c>
      <c r="H87" s="197">
        <f>IF(_1_54128456121462410464578910174[[#This Row],[Type]]&gt;0,VLOOKUP(_1_54128456121462410464578910174[[#This Row],[Type]],Main[[#All],[TYPE]:[UNIT]],'Unit Price'!D$1,FALSE),0)</f>
        <v>0</v>
      </c>
      <c r="I87" s="194">
        <f>IF(_1_54128456121462410464578910174[[#This Row],[Type]]&gt;0,VLOOKUP(_1_54128456121462410464578910174[[#This Row],[Type]],Main[[#All],[TYPE]:[UNIT]],'Unit Price'!G$1,FALSE),0)</f>
        <v>0</v>
      </c>
      <c r="J87" s="194">
        <f>IF(_1_54128456121462410464578910174[[#This Row],[Type]]&gt;0,VLOOKUP(_1_54128456121462410464578910174[[#This Row],[Type]],Main[[#All],[TYPE]:[UNIT]],'Unit Price'!H$1,FALSE),0)</f>
        <v>0</v>
      </c>
      <c r="K87" s="194">
        <f>IF(_1_54128456121462410464578910174[[#This Row],[Discount selection]]&gt;0,VLOOKUP(_1_54128456121462410464578910174[[#This Row],[Discount selection]],'Discount Structure'!$A$2:$B$30,2,"false"),0)</f>
        <v>1</v>
      </c>
      <c r="L87" s="194">
        <f>_1_54128456121462410464578910174[[#This Row],[LIST $]]*_1_54128456121462410464578910174[[#This Row],[DISCOUNT]]*_1_54128456121462410464578910174[[#This Row],[DISCOUNT 2]]</f>
        <v>0</v>
      </c>
      <c r="M87" s="194">
        <f>IF(OR(_1_54128456121462410464578910174[[#This Row],[UNIT]]&gt;0,_1_54128456121462410464578910174[[#This Row],[UNIT]]&lt;0),_1_54128456121462410464578910174[[#This Row],[UNIT]]*_1_54128456121462410464578910174[[#This Row],[COST]],0)</f>
        <v>0</v>
      </c>
      <c r="N87" s="194">
        <f t="shared" si="1"/>
        <v>1.5</v>
      </c>
      <c r="O87" s="198">
        <f>_1_54128456121462410464578910174[[#This Row],[TOTAL]]*_1_54128456121462410464578910174[[#This Row],[MARGIN]]</f>
        <v>0</v>
      </c>
      <c r="R87" s="41"/>
    </row>
    <row r="88" spans="1:18">
      <c r="C88" s="168"/>
      <c r="D88" s="188"/>
      <c r="F88" s="168" t="s">
        <v>6202</v>
      </c>
      <c r="G88" s="193">
        <f>IF(_1_54128456121462410464578910174[[#This Row],[Type]]&gt;0,VLOOKUP(_1_54128456121462410464578910174[[#This Row],[Type]],Main[[#All],[TYPE]:[UNIT]],'Unit Price'!C$1,FALSE),0)</f>
        <v>0</v>
      </c>
      <c r="H88" s="197">
        <f>IF(_1_54128456121462410464578910174[[#This Row],[Type]]&gt;0,VLOOKUP(_1_54128456121462410464578910174[[#This Row],[Type]],Main[[#All],[TYPE]:[UNIT]],'Unit Price'!D$1,FALSE),0)</f>
        <v>0</v>
      </c>
      <c r="I88" s="194">
        <f>IF(_1_54128456121462410464578910174[[#This Row],[Type]]&gt;0,VLOOKUP(_1_54128456121462410464578910174[[#This Row],[Type]],Main[[#All],[TYPE]:[UNIT]],'Unit Price'!G$1,FALSE),0)</f>
        <v>0</v>
      </c>
      <c r="J88" s="194">
        <f>IF(_1_54128456121462410464578910174[[#This Row],[Type]]&gt;0,VLOOKUP(_1_54128456121462410464578910174[[#This Row],[Type]],Main[[#All],[TYPE]:[UNIT]],'Unit Price'!H$1,FALSE),0)</f>
        <v>0</v>
      </c>
      <c r="K88" s="194">
        <f>IF(_1_54128456121462410464578910174[[#This Row],[Discount selection]]&gt;0,VLOOKUP(_1_54128456121462410464578910174[[#This Row],[Discount selection]],'Discount Structure'!$A$2:$B$30,2,"false"),0)</f>
        <v>1</v>
      </c>
      <c r="L88" s="194">
        <f>_1_54128456121462410464578910174[[#This Row],[LIST $]]*_1_54128456121462410464578910174[[#This Row],[DISCOUNT]]*_1_54128456121462410464578910174[[#This Row],[DISCOUNT 2]]</f>
        <v>0</v>
      </c>
      <c r="M88" s="194">
        <f>IF(OR(_1_54128456121462410464578910174[[#This Row],[UNIT]]&gt;0,_1_54128456121462410464578910174[[#This Row],[UNIT]]&lt;0),_1_54128456121462410464578910174[[#This Row],[UNIT]]*_1_54128456121462410464578910174[[#This Row],[COST]],0)</f>
        <v>0</v>
      </c>
      <c r="N88" s="194">
        <f t="shared" si="1"/>
        <v>1.5</v>
      </c>
      <c r="O88" s="198">
        <f>_1_54128456121462410464578910174[[#This Row],[TOTAL]]*_1_54128456121462410464578910174[[#This Row],[MARGIN]]</f>
        <v>0</v>
      </c>
      <c r="R88" s="41"/>
    </row>
    <row r="89" spans="1:18">
      <c r="C89" s="168"/>
      <c r="D89" s="188"/>
      <c r="F89" s="168" t="s">
        <v>6202</v>
      </c>
      <c r="G89" s="193">
        <f>IF(_1_54128456121462410464578910174[[#This Row],[Type]]&gt;0,VLOOKUP(_1_54128456121462410464578910174[[#This Row],[Type]],Main[[#All],[TYPE]:[UNIT]],'Unit Price'!C$1,FALSE),0)</f>
        <v>0</v>
      </c>
      <c r="H89" s="197">
        <f>IF(_1_54128456121462410464578910174[[#This Row],[Type]]&gt;0,VLOOKUP(_1_54128456121462410464578910174[[#This Row],[Type]],Main[[#All],[TYPE]:[UNIT]],'Unit Price'!D$1,FALSE),0)</f>
        <v>0</v>
      </c>
      <c r="I89" s="194">
        <f>IF(_1_54128456121462410464578910174[[#This Row],[Type]]&gt;0,VLOOKUP(_1_54128456121462410464578910174[[#This Row],[Type]],Main[[#All],[TYPE]:[UNIT]],'Unit Price'!G$1,FALSE),0)</f>
        <v>0</v>
      </c>
      <c r="J89" s="194">
        <f>IF(_1_54128456121462410464578910174[[#This Row],[Type]]&gt;0,VLOOKUP(_1_54128456121462410464578910174[[#This Row],[Type]],Main[[#All],[TYPE]:[UNIT]],'Unit Price'!H$1,FALSE),0)</f>
        <v>0</v>
      </c>
      <c r="K89" s="194">
        <f>IF(_1_54128456121462410464578910174[[#This Row],[Discount selection]]&gt;0,VLOOKUP(_1_54128456121462410464578910174[[#This Row],[Discount selection]],'Discount Structure'!$A$2:$B$30,2,"false"),0)</f>
        <v>1</v>
      </c>
      <c r="L89" s="194">
        <f>_1_54128456121462410464578910174[[#This Row],[LIST $]]*_1_54128456121462410464578910174[[#This Row],[DISCOUNT]]*_1_54128456121462410464578910174[[#This Row],[DISCOUNT 2]]</f>
        <v>0</v>
      </c>
      <c r="M89" s="194">
        <f>IF(OR(_1_54128456121462410464578910174[[#This Row],[UNIT]]&gt;0,_1_54128456121462410464578910174[[#This Row],[UNIT]]&lt;0),_1_54128456121462410464578910174[[#This Row],[UNIT]]*_1_54128456121462410464578910174[[#This Row],[COST]],0)</f>
        <v>0</v>
      </c>
      <c r="N89" s="194">
        <f t="shared" si="1"/>
        <v>1.5</v>
      </c>
      <c r="O89" s="198">
        <f>_1_54128456121462410464578910174[[#This Row],[TOTAL]]*_1_54128456121462410464578910174[[#This Row],[MARGIN]]</f>
        <v>0</v>
      </c>
      <c r="R89" s="41"/>
    </row>
    <row r="90" spans="1:18">
      <c r="C90" s="168"/>
      <c r="D90" s="188"/>
      <c r="F90" s="168" t="s">
        <v>6202</v>
      </c>
      <c r="G90" s="193">
        <f>IF(_1_54128456121462410464578910174[[#This Row],[Type]]&gt;0,VLOOKUP(_1_54128456121462410464578910174[[#This Row],[Type]],Main[[#All],[TYPE]:[UNIT]],'Unit Price'!C$1,FALSE),0)</f>
        <v>0</v>
      </c>
      <c r="H90" s="197">
        <f>IF(_1_54128456121462410464578910174[[#This Row],[Type]]&gt;0,VLOOKUP(_1_54128456121462410464578910174[[#This Row],[Type]],Main[[#All],[TYPE]:[UNIT]],'Unit Price'!D$1,FALSE),0)</f>
        <v>0</v>
      </c>
      <c r="I90" s="194">
        <f>IF(_1_54128456121462410464578910174[[#This Row],[Type]]&gt;0,VLOOKUP(_1_54128456121462410464578910174[[#This Row],[Type]],Main[[#All],[TYPE]:[UNIT]],'Unit Price'!G$1,FALSE),0)</f>
        <v>0</v>
      </c>
      <c r="J90" s="194">
        <f>IF(_1_54128456121462410464578910174[[#This Row],[Type]]&gt;0,VLOOKUP(_1_54128456121462410464578910174[[#This Row],[Type]],Main[[#All],[TYPE]:[UNIT]],'Unit Price'!H$1,FALSE),0)</f>
        <v>0</v>
      </c>
      <c r="K90" s="194">
        <f>IF(_1_54128456121462410464578910174[[#This Row],[Discount selection]]&gt;0,VLOOKUP(_1_54128456121462410464578910174[[#This Row],[Discount selection]],'Discount Structure'!$A$2:$B$30,2,"false"),0)</f>
        <v>1</v>
      </c>
      <c r="L90" s="194">
        <f>_1_54128456121462410464578910174[[#This Row],[LIST $]]*_1_54128456121462410464578910174[[#This Row],[DISCOUNT]]*_1_54128456121462410464578910174[[#This Row],[DISCOUNT 2]]</f>
        <v>0</v>
      </c>
      <c r="M90" s="194">
        <f>IF(OR(_1_54128456121462410464578910174[[#This Row],[UNIT]]&gt;0,_1_54128456121462410464578910174[[#This Row],[UNIT]]&lt;0),_1_54128456121462410464578910174[[#This Row],[UNIT]]*_1_54128456121462410464578910174[[#This Row],[COST]],0)</f>
        <v>0</v>
      </c>
      <c r="N90" s="194">
        <f t="shared" si="1"/>
        <v>1.5</v>
      </c>
      <c r="O90" s="198">
        <f>_1_54128456121462410464578910174[[#This Row],[TOTAL]]*_1_54128456121462410464578910174[[#This Row],[MARGIN]]</f>
        <v>0</v>
      </c>
      <c r="R90" s="41"/>
    </row>
    <row r="91" spans="1:18">
      <c r="A91" s="168"/>
      <c r="B91" s="168"/>
      <c r="C91" s="168"/>
      <c r="D91" s="188"/>
      <c r="F91" s="168" t="s">
        <v>6202</v>
      </c>
      <c r="G91" s="193">
        <f>IF(_1_54128456121462410464578910174[[#This Row],[Type]]&gt;0,VLOOKUP(_1_54128456121462410464578910174[[#This Row],[Type]],Main[[#All],[TYPE]:[UNIT]],'Unit Price'!C$1,FALSE),0)</f>
        <v>0</v>
      </c>
      <c r="H91" s="197">
        <f>IF(_1_54128456121462410464578910174[[#This Row],[Type]]&gt;0,VLOOKUP(_1_54128456121462410464578910174[[#This Row],[Type]],Main[[#All],[TYPE]:[UNIT]],'Unit Price'!D$1,FALSE),0)</f>
        <v>0</v>
      </c>
      <c r="I91" s="194">
        <f>IF(_1_54128456121462410464578910174[[#This Row],[Type]]&gt;0,VLOOKUP(_1_54128456121462410464578910174[[#This Row],[Type]],Main[[#All],[TYPE]:[UNIT]],'Unit Price'!G$1,FALSE),0)</f>
        <v>0</v>
      </c>
      <c r="J91" s="194">
        <f>IF(_1_54128456121462410464578910174[[#This Row],[Type]]&gt;0,VLOOKUP(_1_54128456121462410464578910174[[#This Row],[Type]],Main[[#All],[TYPE]:[UNIT]],'Unit Price'!H$1,FALSE),0)</f>
        <v>0</v>
      </c>
      <c r="K91" s="194">
        <f>IF(_1_54128456121462410464578910174[[#This Row],[Discount selection]]&gt;0,VLOOKUP(_1_54128456121462410464578910174[[#This Row],[Discount selection]],'Discount Structure'!$A$2:$B$30,2,"false"),0)</f>
        <v>1</v>
      </c>
      <c r="L91" s="194">
        <f>_1_54128456121462410464578910174[[#This Row],[LIST $]]*_1_54128456121462410464578910174[[#This Row],[DISCOUNT]]*_1_54128456121462410464578910174[[#This Row],[DISCOUNT 2]]</f>
        <v>0</v>
      </c>
      <c r="M91" s="194">
        <f>IF(OR(_1_54128456121462410464578910174[[#This Row],[UNIT]]&gt;0,_1_54128456121462410464578910174[[#This Row],[UNIT]]&lt;0),_1_54128456121462410464578910174[[#This Row],[UNIT]]*_1_54128456121462410464578910174[[#This Row],[COST]],0)</f>
        <v>0</v>
      </c>
      <c r="N91" s="194">
        <f t="shared" si="1"/>
        <v>1.5</v>
      </c>
      <c r="O91" s="198">
        <f>_1_54128456121462410464578910174[[#This Row],[TOTAL]]*_1_54128456121462410464578910174[[#This Row],[MARGIN]]</f>
        <v>0</v>
      </c>
      <c r="R91" s="41"/>
    </row>
    <row r="92" spans="1:18">
      <c r="A92" s="168"/>
      <c r="C92" s="168"/>
      <c r="D92" s="188"/>
      <c r="F92" s="168" t="s">
        <v>6202</v>
      </c>
      <c r="G92" s="193">
        <f>IF(_1_54128456121462410464578910174[[#This Row],[Type]]&gt;0,VLOOKUP(_1_54128456121462410464578910174[[#This Row],[Type]],Main[[#All],[TYPE]:[UNIT]],'Unit Price'!C$1,FALSE),0)</f>
        <v>0</v>
      </c>
      <c r="H92" s="197">
        <f>IF(_1_54128456121462410464578910174[[#This Row],[Type]]&gt;0,VLOOKUP(_1_54128456121462410464578910174[[#This Row],[Type]],Main[[#All],[TYPE]:[UNIT]],'Unit Price'!D$1,FALSE),0)</f>
        <v>0</v>
      </c>
      <c r="I92" s="194">
        <f>IF(_1_54128456121462410464578910174[[#This Row],[Type]]&gt;0,VLOOKUP(_1_54128456121462410464578910174[[#This Row],[Type]],Main[[#All],[TYPE]:[UNIT]],'Unit Price'!G$1,FALSE),0)</f>
        <v>0</v>
      </c>
      <c r="J92" s="194">
        <f>IF(_1_54128456121462410464578910174[[#This Row],[Type]]&gt;0,VLOOKUP(_1_54128456121462410464578910174[[#This Row],[Type]],Main[[#All],[TYPE]:[UNIT]],'Unit Price'!H$1,FALSE),0)</f>
        <v>0</v>
      </c>
      <c r="K92" s="194">
        <f>IF(_1_54128456121462410464578910174[[#This Row],[Discount selection]]&gt;0,VLOOKUP(_1_54128456121462410464578910174[[#This Row],[Discount selection]],'Discount Structure'!$A$2:$B$30,2,"false"),0)</f>
        <v>1</v>
      </c>
      <c r="L92" s="194">
        <f>_1_54128456121462410464578910174[[#This Row],[LIST $]]*_1_54128456121462410464578910174[[#This Row],[DISCOUNT]]*_1_54128456121462410464578910174[[#This Row],[DISCOUNT 2]]</f>
        <v>0</v>
      </c>
      <c r="M92" s="194">
        <f>IF(OR(_1_54128456121462410464578910174[[#This Row],[UNIT]]&gt;0,_1_54128456121462410464578910174[[#This Row],[UNIT]]&lt;0),_1_54128456121462410464578910174[[#This Row],[UNIT]]*_1_54128456121462410464578910174[[#This Row],[COST]],0)</f>
        <v>0</v>
      </c>
      <c r="N92" s="194">
        <f t="shared" si="1"/>
        <v>1.5</v>
      </c>
      <c r="O92" s="198">
        <f>_1_54128456121462410464578910174[[#This Row],[TOTAL]]*_1_54128456121462410464578910174[[#This Row],[MARGIN]]</f>
        <v>0</v>
      </c>
      <c r="R92" s="41"/>
    </row>
    <row r="93" spans="1:18">
      <c r="A93" s="168"/>
      <c r="B93" s="168"/>
      <c r="C93" s="168"/>
      <c r="D93" s="188"/>
      <c r="F93" s="168" t="s">
        <v>6202</v>
      </c>
      <c r="G93" s="193">
        <f>IF(_1_54128456121462410464578910174[[#This Row],[Type]]&gt;0,VLOOKUP(_1_54128456121462410464578910174[[#This Row],[Type]],Main[[#All],[TYPE]:[UNIT]],'Unit Price'!C$1,FALSE),0)</f>
        <v>0</v>
      </c>
      <c r="H93" s="197">
        <f>IF(_1_54128456121462410464578910174[[#This Row],[Type]]&gt;0,VLOOKUP(_1_54128456121462410464578910174[[#This Row],[Type]],Main[[#All],[TYPE]:[UNIT]],'Unit Price'!D$1,FALSE),0)</f>
        <v>0</v>
      </c>
      <c r="I93" s="194">
        <f>IF(_1_54128456121462410464578910174[[#This Row],[Type]]&gt;0,VLOOKUP(_1_54128456121462410464578910174[[#This Row],[Type]],Main[[#All],[TYPE]:[UNIT]],'Unit Price'!G$1,FALSE),0)</f>
        <v>0</v>
      </c>
      <c r="J93" s="194">
        <f>IF(_1_54128456121462410464578910174[[#This Row],[Type]]&gt;0,VLOOKUP(_1_54128456121462410464578910174[[#This Row],[Type]],Main[[#All],[TYPE]:[UNIT]],'Unit Price'!H$1,FALSE),0)</f>
        <v>0</v>
      </c>
      <c r="K93" s="194">
        <f>IF(_1_54128456121462410464578910174[[#This Row],[Discount selection]]&gt;0,VLOOKUP(_1_54128456121462410464578910174[[#This Row],[Discount selection]],'Discount Structure'!$A$2:$B$30,2,"false"),0)</f>
        <v>1</v>
      </c>
      <c r="L93" s="194">
        <f>_1_54128456121462410464578910174[[#This Row],[LIST $]]*_1_54128456121462410464578910174[[#This Row],[DISCOUNT]]*_1_54128456121462410464578910174[[#This Row],[DISCOUNT 2]]</f>
        <v>0</v>
      </c>
      <c r="M93" s="194">
        <f>IF(OR(_1_54128456121462410464578910174[[#This Row],[UNIT]]&gt;0,_1_54128456121462410464578910174[[#This Row],[UNIT]]&lt;0),_1_54128456121462410464578910174[[#This Row],[UNIT]]*_1_54128456121462410464578910174[[#This Row],[COST]],0)</f>
        <v>0</v>
      </c>
      <c r="N93" s="194">
        <f t="shared" si="1"/>
        <v>1.5</v>
      </c>
      <c r="O93" s="198">
        <f>_1_54128456121462410464578910174[[#This Row],[TOTAL]]*_1_54128456121462410464578910174[[#This Row],[MARGIN]]</f>
        <v>0</v>
      </c>
      <c r="R93" s="41"/>
    </row>
    <row r="94" spans="1:18">
      <c r="A94" s="168"/>
      <c r="B94" s="168"/>
      <c r="C94" s="168"/>
      <c r="D94" s="188"/>
      <c r="F94" s="168" t="s">
        <v>6202</v>
      </c>
      <c r="G94" s="193">
        <f>IF(_1_54128456121462410464578910174[[#This Row],[Type]]&gt;0,VLOOKUP(_1_54128456121462410464578910174[[#This Row],[Type]],Main[[#All],[TYPE]:[UNIT]],'Unit Price'!C$1,FALSE),0)</f>
        <v>0</v>
      </c>
      <c r="H94" s="197">
        <f>IF(_1_54128456121462410464578910174[[#This Row],[Type]]&gt;0,VLOOKUP(_1_54128456121462410464578910174[[#This Row],[Type]],Main[[#All],[TYPE]:[UNIT]],'Unit Price'!D$1,FALSE),0)</f>
        <v>0</v>
      </c>
      <c r="I94" s="194">
        <f>IF(_1_54128456121462410464578910174[[#This Row],[Type]]&gt;0,VLOOKUP(_1_54128456121462410464578910174[[#This Row],[Type]],Main[[#All],[TYPE]:[UNIT]],'Unit Price'!G$1,FALSE),0)</f>
        <v>0</v>
      </c>
      <c r="J94" s="194">
        <f>IF(_1_54128456121462410464578910174[[#This Row],[Type]]&gt;0,VLOOKUP(_1_54128456121462410464578910174[[#This Row],[Type]],Main[[#All],[TYPE]:[UNIT]],'Unit Price'!H$1,FALSE),0)</f>
        <v>0</v>
      </c>
      <c r="K94" s="194">
        <f>IF(_1_54128456121462410464578910174[[#This Row],[Discount selection]]&gt;0,VLOOKUP(_1_54128456121462410464578910174[[#This Row],[Discount selection]],'Discount Structure'!$A$2:$B$30,2,"false"),0)</f>
        <v>1</v>
      </c>
      <c r="L94" s="194">
        <f>_1_54128456121462410464578910174[[#This Row],[LIST $]]*_1_54128456121462410464578910174[[#This Row],[DISCOUNT]]*_1_54128456121462410464578910174[[#This Row],[DISCOUNT 2]]</f>
        <v>0</v>
      </c>
      <c r="M94" s="194">
        <f>IF(OR(_1_54128456121462410464578910174[[#This Row],[UNIT]]&gt;0,_1_54128456121462410464578910174[[#This Row],[UNIT]]&lt;0),_1_54128456121462410464578910174[[#This Row],[UNIT]]*_1_54128456121462410464578910174[[#This Row],[COST]],0)</f>
        <v>0</v>
      </c>
      <c r="N94" s="194">
        <f t="shared" si="1"/>
        <v>1.5</v>
      </c>
      <c r="O94" s="198">
        <f>_1_54128456121462410464578910174[[#This Row],[TOTAL]]*_1_54128456121462410464578910174[[#This Row],[MARGIN]]</f>
        <v>0</v>
      </c>
      <c r="R94" s="41"/>
    </row>
    <row r="95" spans="1:18">
      <c r="A95" s="168"/>
      <c r="C95" s="168"/>
      <c r="D95" s="188"/>
      <c r="F95" s="168" t="s">
        <v>6202</v>
      </c>
      <c r="G95" s="193">
        <f>IF(_1_54128456121462410464578910174[[#This Row],[Type]]&gt;0,VLOOKUP(_1_54128456121462410464578910174[[#This Row],[Type]],Main[[#All],[TYPE]:[UNIT]],'Unit Price'!C$1,FALSE),0)</f>
        <v>0</v>
      </c>
      <c r="H95" s="197">
        <f>IF(_1_54128456121462410464578910174[[#This Row],[Type]]&gt;0,VLOOKUP(_1_54128456121462410464578910174[[#This Row],[Type]],Main[[#All],[TYPE]:[UNIT]],'Unit Price'!D$1,FALSE),0)</f>
        <v>0</v>
      </c>
      <c r="I95" s="194">
        <f>IF(_1_54128456121462410464578910174[[#This Row],[Type]]&gt;0,VLOOKUP(_1_54128456121462410464578910174[[#This Row],[Type]],Main[[#All],[TYPE]:[UNIT]],'Unit Price'!G$1,FALSE),0)</f>
        <v>0</v>
      </c>
      <c r="J95" s="194">
        <f>IF(_1_54128456121462410464578910174[[#This Row],[Type]]&gt;0,VLOOKUP(_1_54128456121462410464578910174[[#This Row],[Type]],Main[[#All],[TYPE]:[UNIT]],'Unit Price'!H$1,FALSE),0)</f>
        <v>0</v>
      </c>
      <c r="K95" s="194">
        <f>IF(_1_54128456121462410464578910174[[#This Row],[Discount selection]]&gt;0,VLOOKUP(_1_54128456121462410464578910174[[#This Row],[Discount selection]],'Discount Structure'!$A$2:$B$30,2,"false"),0)</f>
        <v>1</v>
      </c>
      <c r="L95" s="194">
        <f>_1_54128456121462410464578910174[[#This Row],[LIST $]]*_1_54128456121462410464578910174[[#This Row],[DISCOUNT]]*_1_54128456121462410464578910174[[#This Row],[DISCOUNT 2]]</f>
        <v>0</v>
      </c>
      <c r="M95" s="194">
        <f>IF(OR(_1_54128456121462410464578910174[[#This Row],[UNIT]]&gt;0,_1_54128456121462410464578910174[[#This Row],[UNIT]]&lt;0),_1_54128456121462410464578910174[[#This Row],[UNIT]]*_1_54128456121462410464578910174[[#This Row],[COST]],0)</f>
        <v>0</v>
      </c>
      <c r="N95" s="194">
        <f t="shared" si="1"/>
        <v>1.5</v>
      </c>
      <c r="O95" s="198">
        <f>_1_54128456121462410464578910174[[#This Row],[TOTAL]]*_1_54128456121462410464578910174[[#This Row],[MARGIN]]</f>
        <v>0</v>
      </c>
      <c r="R95" s="41"/>
    </row>
    <row r="96" spans="1:18">
      <c r="A96" s="320"/>
      <c r="B96" s="351"/>
      <c r="C96" s="168"/>
      <c r="D96" s="188"/>
      <c r="E96" s="313"/>
      <c r="F96" s="168" t="s">
        <v>6202</v>
      </c>
      <c r="G96" s="193">
        <f>IF(_1_54128456121462410464578910174[[#This Row],[Type]]&gt;0,VLOOKUP(_1_54128456121462410464578910174[[#This Row],[Type]],Main[[#All],[TYPE]:[UNIT]],'Unit Price'!C$1,FALSE),0)</f>
        <v>0</v>
      </c>
      <c r="H96" s="197">
        <f>IF(_1_54128456121462410464578910174[[#This Row],[Type]]&gt;0,VLOOKUP(_1_54128456121462410464578910174[[#This Row],[Type]],Main[[#All],[TYPE]:[UNIT]],'Unit Price'!D$1,FALSE),0)</f>
        <v>0</v>
      </c>
      <c r="I96" s="194">
        <f>IF(_1_54128456121462410464578910174[[#This Row],[Type]]&gt;0,VLOOKUP(_1_54128456121462410464578910174[[#This Row],[Type]],Main[[#All],[TYPE]:[UNIT]],'Unit Price'!G$1,FALSE),0)</f>
        <v>0</v>
      </c>
      <c r="J96" s="194">
        <f>IF(_1_54128456121462410464578910174[[#This Row],[Type]]&gt;0,VLOOKUP(_1_54128456121462410464578910174[[#This Row],[Type]],Main[[#All],[TYPE]:[UNIT]],'Unit Price'!H$1,FALSE),0)</f>
        <v>0</v>
      </c>
      <c r="K96" s="194">
        <f>IF(_1_54128456121462410464578910174[[#This Row],[Discount selection]]&gt;0,VLOOKUP(_1_54128456121462410464578910174[[#This Row],[Discount selection]],'Discount Structure'!$A$2:$B$30,2,"false"),0)</f>
        <v>1</v>
      </c>
      <c r="L96" s="194">
        <f>_1_54128456121462410464578910174[[#This Row],[LIST $]]*_1_54128456121462410464578910174[[#This Row],[DISCOUNT]]*_1_54128456121462410464578910174[[#This Row],[DISCOUNT 2]]</f>
        <v>0</v>
      </c>
      <c r="M96" s="194">
        <f>IF(OR(_1_54128456121462410464578910174[[#This Row],[UNIT]]&gt;0,_1_54128456121462410464578910174[[#This Row],[UNIT]]&lt;0),_1_54128456121462410464578910174[[#This Row],[UNIT]]*_1_54128456121462410464578910174[[#This Row],[COST]],0)</f>
        <v>0</v>
      </c>
      <c r="N96" s="194">
        <f t="shared" si="1"/>
        <v>1.5</v>
      </c>
      <c r="O96" s="198">
        <f>_1_54128456121462410464578910174[[#This Row],[TOTAL]]*_1_54128456121462410464578910174[[#This Row],[MARGIN]]</f>
        <v>0</v>
      </c>
      <c r="R96" s="41"/>
    </row>
    <row r="97" spans="1:18">
      <c r="A97" s="340"/>
      <c r="B97" s="168"/>
      <c r="C97" s="168"/>
      <c r="D97" s="188"/>
      <c r="F97" s="168" t="s">
        <v>6202</v>
      </c>
      <c r="G97" s="193">
        <f>IF(_1_54128456121462410464578910174[[#This Row],[Type]]&gt;0,VLOOKUP(_1_54128456121462410464578910174[[#This Row],[Type]],Main[[#All],[TYPE]:[UNIT]],'Unit Price'!C$1,FALSE),0)</f>
        <v>0</v>
      </c>
      <c r="H97" s="197">
        <f>IF(_1_54128456121462410464578910174[[#This Row],[Type]]&gt;0,VLOOKUP(_1_54128456121462410464578910174[[#This Row],[Type]],Main[[#All],[TYPE]:[UNIT]],'Unit Price'!D$1,FALSE),0)</f>
        <v>0</v>
      </c>
      <c r="I97" s="194">
        <f>IF(_1_54128456121462410464578910174[[#This Row],[Type]]&gt;0,VLOOKUP(_1_54128456121462410464578910174[[#This Row],[Type]],Main[[#All],[TYPE]:[UNIT]],'Unit Price'!G$1,FALSE),0)</f>
        <v>0</v>
      </c>
      <c r="J97" s="194">
        <f>IF(_1_54128456121462410464578910174[[#This Row],[Type]]&gt;0,VLOOKUP(_1_54128456121462410464578910174[[#This Row],[Type]],Main[[#All],[TYPE]:[UNIT]],'Unit Price'!H$1,FALSE),0)</f>
        <v>0</v>
      </c>
      <c r="K97" s="194">
        <f>IF(_1_54128456121462410464578910174[[#This Row],[Discount selection]]&gt;0,VLOOKUP(_1_54128456121462410464578910174[[#This Row],[Discount selection]],'Discount Structure'!$A$2:$B$30,2,"false"),0)</f>
        <v>1</v>
      </c>
      <c r="L97" s="194">
        <f>_1_54128456121462410464578910174[[#This Row],[LIST $]]*_1_54128456121462410464578910174[[#This Row],[DISCOUNT]]*_1_54128456121462410464578910174[[#This Row],[DISCOUNT 2]]</f>
        <v>0</v>
      </c>
      <c r="M97" s="194">
        <f>IF(OR(_1_54128456121462410464578910174[[#This Row],[UNIT]]&gt;0,_1_54128456121462410464578910174[[#This Row],[UNIT]]&lt;0),_1_54128456121462410464578910174[[#This Row],[UNIT]]*_1_54128456121462410464578910174[[#This Row],[COST]],0)</f>
        <v>0</v>
      </c>
      <c r="N97" s="194">
        <f t="shared" si="1"/>
        <v>1.5</v>
      </c>
      <c r="O97" s="198">
        <f>_1_54128456121462410464578910174[[#This Row],[TOTAL]]*_1_54128456121462410464578910174[[#This Row],[MARGIN]]</f>
        <v>0</v>
      </c>
      <c r="R97" s="41"/>
    </row>
    <row r="98" spans="1:18">
      <c r="A98" s="168"/>
      <c r="C98" s="168"/>
      <c r="D98" s="188"/>
      <c r="F98" s="168" t="s">
        <v>6202</v>
      </c>
      <c r="G98" s="193">
        <f>IF(_1_54128456121462410464578910174[[#This Row],[Type]]&gt;0,VLOOKUP(_1_54128456121462410464578910174[[#This Row],[Type]],Main[[#All],[TYPE]:[UNIT]],'Unit Price'!C$1,FALSE),0)</f>
        <v>0</v>
      </c>
      <c r="H98" s="197">
        <f>IF(_1_54128456121462410464578910174[[#This Row],[Type]]&gt;0,VLOOKUP(_1_54128456121462410464578910174[[#This Row],[Type]],Main[[#All],[TYPE]:[UNIT]],'Unit Price'!D$1,FALSE),0)</f>
        <v>0</v>
      </c>
      <c r="I98" s="194">
        <f>IF(_1_54128456121462410464578910174[[#This Row],[Type]]&gt;0,VLOOKUP(_1_54128456121462410464578910174[[#This Row],[Type]],Main[[#All],[TYPE]:[UNIT]],'Unit Price'!G$1,FALSE),0)</f>
        <v>0</v>
      </c>
      <c r="J98" s="194">
        <f>IF(_1_54128456121462410464578910174[[#This Row],[Type]]&gt;0,VLOOKUP(_1_54128456121462410464578910174[[#This Row],[Type]],Main[[#All],[TYPE]:[UNIT]],'Unit Price'!H$1,FALSE),0)</f>
        <v>0</v>
      </c>
      <c r="K98" s="194">
        <f>IF(_1_54128456121462410464578910174[[#This Row],[Discount selection]]&gt;0,VLOOKUP(_1_54128456121462410464578910174[[#This Row],[Discount selection]],'Discount Structure'!$A$2:$B$30,2,"false"),0)</f>
        <v>1</v>
      </c>
      <c r="L98" s="194">
        <f>_1_54128456121462410464578910174[[#This Row],[LIST $]]*_1_54128456121462410464578910174[[#This Row],[DISCOUNT]]*_1_54128456121462410464578910174[[#This Row],[DISCOUNT 2]]</f>
        <v>0</v>
      </c>
      <c r="M98" s="194">
        <f>IF(OR(_1_54128456121462410464578910174[[#This Row],[UNIT]]&gt;0,_1_54128456121462410464578910174[[#This Row],[UNIT]]&lt;0),_1_54128456121462410464578910174[[#This Row],[UNIT]]*_1_54128456121462410464578910174[[#This Row],[COST]],0)</f>
        <v>0</v>
      </c>
      <c r="N98" s="194">
        <f t="shared" si="1"/>
        <v>1.5</v>
      </c>
      <c r="O98" s="198">
        <f>_1_54128456121462410464578910174[[#This Row],[TOTAL]]*_1_54128456121462410464578910174[[#This Row],[MARGIN]]</f>
        <v>0</v>
      </c>
      <c r="R98" s="41"/>
    </row>
    <row r="99" spans="1:18">
      <c r="C99" s="168"/>
      <c r="D99" s="188"/>
      <c r="F99" s="168" t="s">
        <v>6202</v>
      </c>
      <c r="G99" s="193">
        <f>IF(_1_54128456121462410464578910174[[#This Row],[Type]]&gt;0,VLOOKUP(_1_54128456121462410464578910174[[#This Row],[Type]],Main[[#All],[TYPE]:[UNIT]],'Unit Price'!C$1,FALSE),0)</f>
        <v>0</v>
      </c>
      <c r="H99" s="197">
        <f>IF(_1_54128456121462410464578910174[[#This Row],[Type]]&gt;0,VLOOKUP(_1_54128456121462410464578910174[[#This Row],[Type]],Main[[#All],[TYPE]:[UNIT]],'Unit Price'!D$1,FALSE),0)</f>
        <v>0</v>
      </c>
      <c r="I99" s="194">
        <f>IF(_1_54128456121462410464578910174[[#This Row],[Type]]&gt;0,VLOOKUP(_1_54128456121462410464578910174[[#This Row],[Type]],Main[[#All],[TYPE]:[UNIT]],'Unit Price'!G$1,FALSE),0)</f>
        <v>0</v>
      </c>
      <c r="J99" s="194">
        <f>IF(_1_54128456121462410464578910174[[#This Row],[Type]]&gt;0,VLOOKUP(_1_54128456121462410464578910174[[#This Row],[Type]],Main[[#All],[TYPE]:[UNIT]],'Unit Price'!H$1,FALSE),0)</f>
        <v>0</v>
      </c>
      <c r="K99" s="194">
        <f>IF(_1_54128456121462410464578910174[[#This Row],[Discount selection]]&gt;0,VLOOKUP(_1_54128456121462410464578910174[[#This Row],[Discount selection]],'Discount Structure'!$A$2:$B$30,2,"false"),0)</f>
        <v>1</v>
      </c>
      <c r="L99" s="194">
        <f>_1_54128456121462410464578910174[[#This Row],[LIST $]]*_1_54128456121462410464578910174[[#This Row],[DISCOUNT]]*_1_54128456121462410464578910174[[#This Row],[DISCOUNT 2]]</f>
        <v>0</v>
      </c>
      <c r="M99" s="194">
        <f>IF(OR(_1_54128456121462410464578910174[[#This Row],[UNIT]]&gt;0,_1_54128456121462410464578910174[[#This Row],[UNIT]]&lt;0),_1_54128456121462410464578910174[[#This Row],[UNIT]]*_1_54128456121462410464578910174[[#This Row],[COST]],0)</f>
        <v>0</v>
      </c>
      <c r="N99" s="194">
        <f t="shared" si="1"/>
        <v>1.5</v>
      </c>
      <c r="O99" s="198">
        <f>_1_54128456121462410464578910174[[#This Row],[TOTAL]]*_1_54128456121462410464578910174[[#This Row],[MARGIN]]</f>
        <v>0</v>
      </c>
      <c r="R99" s="41"/>
    </row>
    <row r="100" spans="1:18">
      <c r="C100" s="168"/>
      <c r="D100" s="188"/>
      <c r="F100" s="168" t="s">
        <v>6202</v>
      </c>
      <c r="G100" s="193">
        <f>IF(_1_54128456121462410464578910174[[#This Row],[Type]]&gt;0,VLOOKUP(_1_54128456121462410464578910174[[#This Row],[Type]],Main[[#All],[TYPE]:[UNIT]],'Unit Price'!C$1,FALSE),0)</f>
        <v>0</v>
      </c>
      <c r="H100" s="197">
        <f>IF(_1_54128456121462410464578910174[[#This Row],[Type]]&gt;0,VLOOKUP(_1_54128456121462410464578910174[[#This Row],[Type]],Main[[#All],[TYPE]:[UNIT]],'Unit Price'!D$1,FALSE),0)</f>
        <v>0</v>
      </c>
      <c r="I100" s="194">
        <f>IF(_1_54128456121462410464578910174[[#This Row],[Type]]&gt;0,VLOOKUP(_1_54128456121462410464578910174[[#This Row],[Type]],Main[[#All],[TYPE]:[UNIT]],'Unit Price'!G$1,FALSE),0)</f>
        <v>0</v>
      </c>
      <c r="J100" s="194">
        <f>IF(_1_54128456121462410464578910174[[#This Row],[Type]]&gt;0,VLOOKUP(_1_54128456121462410464578910174[[#This Row],[Type]],Main[[#All],[TYPE]:[UNIT]],'Unit Price'!H$1,FALSE),0)</f>
        <v>0</v>
      </c>
      <c r="K100" s="194">
        <f>IF(_1_54128456121462410464578910174[[#This Row],[Discount selection]]&gt;0,VLOOKUP(_1_54128456121462410464578910174[[#This Row],[Discount selection]],'Discount Structure'!$A$2:$B$30,2,"false"),0)</f>
        <v>1</v>
      </c>
      <c r="L100" s="194">
        <f>_1_54128456121462410464578910174[[#This Row],[LIST $]]*_1_54128456121462410464578910174[[#This Row],[DISCOUNT]]*_1_54128456121462410464578910174[[#This Row],[DISCOUNT 2]]</f>
        <v>0</v>
      </c>
      <c r="M100" s="194">
        <f>IF(OR(_1_54128456121462410464578910174[[#This Row],[UNIT]]&gt;0,_1_54128456121462410464578910174[[#This Row],[UNIT]]&lt;0),_1_54128456121462410464578910174[[#This Row],[UNIT]]*_1_54128456121462410464578910174[[#This Row],[COST]],0)</f>
        <v>0</v>
      </c>
      <c r="N100" s="194">
        <f t="shared" si="1"/>
        <v>1.5</v>
      </c>
      <c r="O100" s="198">
        <f>_1_54128456121462410464578910174[[#This Row],[TOTAL]]*_1_54128456121462410464578910174[[#This Row],[MARGIN]]</f>
        <v>0</v>
      </c>
      <c r="R100" s="41"/>
    </row>
    <row r="101" spans="1:18">
      <c r="B101" s="168"/>
      <c r="C101" s="168"/>
      <c r="D101" s="188"/>
      <c r="F101" s="168" t="s">
        <v>6202</v>
      </c>
      <c r="G101" s="193">
        <f>IF(_1_54128456121462410464578910174[[#This Row],[Type]]&gt;0,VLOOKUP(_1_54128456121462410464578910174[[#This Row],[Type]],Main[[#All],[TYPE]:[UNIT]],'Unit Price'!C$1,FALSE),0)</f>
        <v>0</v>
      </c>
      <c r="H101" s="197">
        <f>IF(_1_54128456121462410464578910174[[#This Row],[Type]]&gt;0,VLOOKUP(_1_54128456121462410464578910174[[#This Row],[Type]],Main[[#All],[TYPE]:[UNIT]],'Unit Price'!D$1,FALSE),0)</f>
        <v>0</v>
      </c>
      <c r="I101" s="194">
        <f>IF(_1_54128456121462410464578910174[[#This Row],[Type]]&gt;0,VLOOKUP(_1_54128456121462410464578910174[[#This Row],[Type]],Main[[#All],[TYPE]:[UNIT]],'Unit Price'!G$1,FALSE),0)</f>
        <v>0</v>
      </c>
      <c r="J101" s="194">
        <f>IF(_1_54128456121462410464578910174[[#This Row],[Type]]&gt;0,VLOOKUP(_1_54128456121462410464578910174[[#This Row],[Type]],Main[[#All],[TYPE]:[UNIT]],'Unit Price'!H$1,FALSE),0)</f>
        <v>0</v>
      </c>
      <c r="K101" s="194">
        <f>IF(_1_54128456121462410464578910174[[#This Row],[Discount selection]]&gt;0,VLOOKUP(_1_54128456121462410464578910174[[#This Row],[Discount selection]],'Discount Structure'!$A$2:$B$30,2,"false"),0)</f>
        <v>1</v>
      </c>
      <c r="L101" s="194">
        <f>_1_54128456121462410464578910174[[#This Row],[LIST $]]*_1_54128456121462410464578910174[[#This Row],[DISCOUNT]]*_1_54128456121462410464578910174[[#This Row],[DISCOUNT 2]]</f>
        <v>0</v>
      </c>
      <c r="M101" s="194">
        <f>IF(OR(_1_54128456121462410464578910174[[#This Row],[UNIT]]&gt;0,_1_54128456121462410464578910174[[#This Row],[UNIT]]&lt;0),_1_54128456121462410464578910174[[#This Row],[UNIT]]*_1_54128456121462410464578910174[[#This Row],[COST]],0)</f>
        <v>0</v>
      </c>
      <c r="N101" s="194">
        <f t="shared" si="1"/>
        <v>1.5</v>
      </c>
      <c r="O101" s="198">
        <f>_1_54128456121462410464578910174[[#This Row],[TOTAL]]*_1_54128456121462410464578910174[[#This Row],[MARGIN]]</f>
        <v>0</v>
      </c>
      <c r="R101" s="41"/>
    </row>
    <row r="102" spans="1:18">
      <c r="A102" s="168"/>
      <c r="C102" s="168"/>
      <c r="D102" s="188"/>
      <c r="F102" s="168" t="s">
        <v>6202</v>
      </c>
      <c r="G102" s="193">
        <f>IF(_1_54128456121462410464578910174[[#This Row],[Type]]&gt;0,VLOOKUP(_1_54128456121462410464578910174[[#This Row],[Type]],Main[[#All],[TYPE]:[UNIT]],'Unit Price'!C$1,FALSE),0)</f>
        <v>0</v>
      </c>
      <c r="H102" s="197">
        <f>IF(_1_54128456121462410464578910174[[#This Row],[Type]]&gt;0,VLOOKUP(_1_54128456121462410464578910174[[#This Row],[Type]],Main[[#All],[TYPE]:[UNIT]],'Unit Price'!D$1,FALSE),0)</f>
        <v>0</v>
      </c>
      <c r="I102" s="194">
        <f>IF(_1_54128456121462410464578910174[[#This Row],[Type]]&gt;0,VLOOKUP(_1_54128456121462410464578910174[[#This Row],[Type]],Main[[#All],[TYPE]:[UNIT]],'Unit Price'!G$1,FALSE),0)</f>
        <v>0</v>
      </c>
      <c r="J102" s="194">
        <f>IF(_1_54128456121462410464578910174[[#This Row],[Type]]&gt;0,VLOOKUP(_1_54128456121462410464578910174[[#This Row],[Type]],Main[[#All],[TYPE]:[UNIT]],'Unit Price'!H$1,FALSE),0)</f>
        <v>0</v>
      </c>
      <c r="K102" s="194">
        <f>IF(_1_54128456121462410464578910174[[#This Row],[Discount selection]]&gt;0,VLOOKUP(_1_54128456121462410464578910174[[#This Row],[Discount selection]],'Discount Structure'!$A$2:$B$30,2,"false"),0)</f>
        <v>1</v>
      </c>
      <c r="L102" s="194">
        <f>_1_54128456121462410464578910174[[#This Row],[LIST $]]*_1_54128456121462410464578910174[[#This Row],[DISCOUNT]]*_1_54128456121462410464578910174[[#This Row],[DISCOUNT 2]]</f>
        <v>0</v>
      </c>
      <c r="M102" s="194">
        <f>IF(OR(_1_54128456121462410464578910174[[#This Row],[UNIT]]&gt;0,_1_54128456121462410464578910174[[#This Row],[UNIT]]&lt;0),_1_54128456121462410464578910174[[#This Row],[UNIT]]*_1_54128456121462410464578910174[[#This Row],[COST]],0)</f>
        <v>0</v>
      </c>
      <c r="N102" s="194">
        <f t="shared" si="1"/>
        <v>1.5</v>
      </c>
      <c r="O102" s="198">
        <f>_1_54128456121462410464578910174[[#This Row],[TOTAL]]*_1_54128456121462410464578910174[[#This Row],[MARGIN]]</f>
        <v>0</v>
      </c>
      <c r="R102" s="41"/>
    </row>
    <row r="103" spans="1:18">
      <c r="A103" s="168"/>
      <c r="B103" s="168"/>
      <c r="C103" s="168"/>
      <c r="D103" s="188"/>
      <c r="F103" s="168" t="s">
        <v>6202</v>
      </c>
      <c r="G103" s="193">
        <f>IF(_1_54128456121462410464578910174[[#This Row],[Type]]&gt;0,VLOOKUP(_1_54128456121462410464578910174[[#This Row],[Type]],Main[[#All],[TYPE]:[UNIT]],'Unit Price'!C$1,FALSE),0)</f>
        <v>0</v>
      </c>
      <c r="H103" s="197">
        <f>IF(_1_54128456121462410464578910174[[#This Row],[Type]]&gt;0,VLOOKUP(_1_54128456121462410464578910174[[#This Row],[Type]],Main[[#All],[TYPE]:[UNIT]],'Unit Price'!D$1,FALSE),0)</f>
        <v>0</v>
      </c>
      <c r="I103" s="194">
        <f>IF(_1_54128456121462410464578910174[[#This Row],[Type]]&gt;0,VLOOKUP(_1_54128456121462410464578910174[[#This Row],[Type]],Main[[#All],[TYPE]:[UNIT]],'Unit Price'!G$1,FALSE),0)</f>
        <v>0</v>
      </c>
      <c r="J103" s="194">
        <f>IF(_1_54128456121462410464578910174[[#This Row],[Type]]&gt;0,VLOOKUP(_1_54128456121462410464578910174[[#This Row],[Type]],Main[[#All],[TYPE]:[UNIT]],'Unit Price'!H$1,FALSE),0)</f>
        <v>0</v>
      </c>
      <c r="K103" s="194">
        <f>IF(_1_54128456121462410464578910174[[#This Row],[Discount selection]]&gt;0,VLOOKUP(_1_54128456121462410464578910174[[#This Row],[Discount selection]],'Discount Structure'!$A$2:$B$30,2,"false"),0)</f>
        <v>1</v>
      </c>
      <c r="L103" s="194">
        <f>_1_54128456121462410464578910174[[#This Row],[LIST $]]*_1_54128456121462410464578910174[[#This Row],[DISCOUNT]]*_1_54128456121462410464578910174[[#This Row],[DISCOUNT 2]]</f>
        <v>0</v>
      </c>
      <c r="M103" s="194">
        <f>IF(OR(_1_54128456121462410464578910174[[#This Row],[UNIT]]&gt;0,_1_54128456121462410464578910174[[#This Row],[UNIT]]&lt;0),_1_54128456121462410464578910174[[#This Row],[UNIT]]*_1_54128456121462410464578910174[[#This Row],[COST]],0)</f>
        <v>0</v>
      </c>
      <c r="N103" s="194">
        <f t="shared" si="1"/>
        <v>1.5</v>
      </c>
      <c r="O103" s="198">
        <f>_1_54128456121462410464578910174[[#This Row],[TOTAL]]*_1_54128456121462410464578910174[[#This Row],[MARGIN]]</f>
        <v>0</v>
      </c>
      <c r="R103" s="41"/>
    </row>
    <row r="104" spans="1:18">
      <c r="B104" s="168"/>
      <c r="C104" s="168"/>
      <c r="D104" s="188"/>
      <c r="F104" s="168" t="s">
        <v>6202</v>
      </c>
      <c r="G104" s="204">
        <f>IF(_1_54128456121462410464578910174[[#This Row],[Type]]&gt;0,VLOOKUP(_1_54128456121462410464578910174[[#This Row],[Type]],Main[[#All],[TYPE]:[UNIT]],'Unit Price'!C$1,FALSE),0)</f>
        <v>0</v>
      </c>
      <c r="H104" s="197">
        <f>IF(_1_54128456121462410464578910174[[#This Row],[Type]]&gt;0,VLOOKUP(_1_54128456121462410464578910174[[#This Row],[Type]],Main[[#All],[TYPE]:[UNIT]],'Unit Price'!D$1,FALSE),0)</f>
        <v>0</v>
      </c>
      <c r="I104" s="194">
        <f>IF(_1_54128456121462410464578910174[[#This Row],[Type]]&gt;0,VLOOKUP(_1_54128456121462410464578910174[[#This Row],[Type]],Main[[#All],[TYPE]:[UNIT]],'Unit Price'!G$1,FALSE),0)</f>
        <v>0</v>
      </c>
      <c r="J104" s="194">
        <f>IF(_1_54128456121462410464578910174[[#This Row],[Type]]&gt;0,VLOOKUP(_1_54128456121462410464578910174[[#This Row],[Type]],Main[[#All],[TYPE]:[UNIT]],'Unit Price'!H$1,FALSE),0)</f>
        <v>0</v>
      </c>
      <c r="K104" s="194">
        <f>IF(_1_54128456121462410464578910174[[#This Row],[Discount selection]]&gt;0,VLOOKUP(_1_54128456121462410464578910174[[#This Row],[Discount selection]],'Discount Structure'!$A$2:$B$30,2,"false"),0)</f>
        <v>1</v>
      </c>
      <c r="L104" s="194">
        <f>_1_54128456121462410464578910174[[#This Row],[LIST $]]*_1_54128456121462410464578910174[[#This Row],[DISCOUNT]]*_1_54128456121462410464578910174[[#This Row],[DISCOUNT 2]]</f>
        <v>0</v>
      </c>
      <c r="M104" s="194">
        <f>IF(OR(_1_54128456121462410464578910174[[#This Row],[UNIT]]&gt;0,_1_54128456121462410464578910174[[#This Row],[UNIT]]&lt;0),_1_54128456121462410464578910174[[#This Row],[UNIT]]*_1_54128456121462410464578910174[[#This Row],[COST]],0)</f>
        <v>0</v>
      </c>
      <c r="N104" s="194">
        <f t="shared" si="1"/>
        <v>1.5</v>
      </c>
      <c r="O104" s="198">
        <f>_1_54128456121462410464578910174[[#This Row],[TOTAL]]*_1_54128456121462410464578910174[[#This Row],[MARGIN]]</f>
        <v>0</v>
      </c>
      <c r="R104" s="41"/>
    </row>
    <row r="105" spans="1:18">
      <c r="B105" s="168"/>
      <c r="C105" s="168"/>
      <c r="D105" s="188"/>
      <c r="F105" s="168" t="s">
        <v>6202</v>
      </c>
      <c r="G105" s="193">
        <f>IF(_1_54128456121462410464578910174[[#This Row],[Type]]&gt;0,VLOOKUP(_1_54128456121462410464578910174[[#This Row],[Type]],Main[[#All],[TYPE]:[UNIT]],'Unit Price'!C$1,FALSE),0)</f>
        <v>0</v>
      </c>
      <c r="H105" s="197">
        <f>IF(_1_54128456121462410464578910174[[#This Row],[Type]]&gt;0,VLOOKUP(_1_54128456121462410464578910174[[#This Row],[Type]],Main[[#All],[TYPE]:[UNIT]],'Unit Price'!D$1,FALSE),0)</f>
        <v>0</v>
      </c>
      <c r="I105" s="194">
        <f>IF(_1_54128456121462410464578910174[[#This Row],[Type]]&gt;0,VLOOKUP(_1_54128456121462410464578910174[[#This Row],[Type]],Main[[#All],[TYPE]:[UNIT]],'Unit Price'!G$1,FALSE),0)</f>
        <v>0</v>
      </c>
      <c r="J105" s="194">
        <f>IF(_1_54128456121462410464578910174[[#This Row],[Type]]&gt;0,VLOOKUP(_1_54128456121462410464578910174[[#This Row],[Type]],Main[[#All],[TYPE]:[UNIT]],'Unit Price'!H$1,FALSE),0)</f>
        <v>0</v>
      </c>
      <c r="K105" s="194">
        <f>IF(_1_54128456121462410464578910174[[#This Row],[Discount selection]]&gt;0,VLOOKUP(_1_54128456121462410464578910174[[#This Row],[Discount selection]],'Discount Structure'!$A$2:$B$30,2,"false"),0)</f>
        <v>1</v>
      </c>
      <c r="L105" s="194">
        <f>_1_54128456121462410464578910174[[#This Row],[LIST $]]*_1_54128456121462410464578910174[[#This Row],[DISCOUNT]]*_1_54128456121462410464578910174[[#This Row],[DISCOUNT 2]]</f>
        <v>0</v>
      </c>
      <c r="M105" s="194">
        <f>IF(OR(_1_54128456121462410464578910174[[#This Row],[UNIT]]&gt;0,_1_54128456121462410464578910174[[#This Row],[UNIT]]&lt;0),_1_54128456121462410464578910174[[#This Row],[UNIT]]*_1_54128456121462410464578910174[[#This Row],[COST]],0)</f>
        <v>0</v>
      </c>
      <c r="N105" s="194">
        <f t="shared" si="1"/>
        <v>1.5</v>
      </c>
      <c r="O105" s="198">
        <f>_1_54128456121462410464578910174[[#This Row],[TOTAL]]*_1_54128456121462410464578910174[[#This Row],[MARGIN]]</f>
        <v>0</v>
      </c>
      <c r="R105" s="41"/>
    </row>
    <row r="106" spans="1:18">
      <c r="B106" s="318"/>
      <c r="C106" s="168"/>
      <c r="D106" s="188"/>
      <c r="F106" s="168" t="s">
        <v>6202</v>
      </c>
      <c r="G106" s="204">
        <f>IF(_1_54128456121462410464578910174[[#This Row],[Type]]&gt;0,VLOOKUP(_1_54128456121462410464578910174[[#This Row],[Type]],Main[[#All],[TYPE]:[UNIT]],'Unit Price'!C$1,FALSE),0)</f>
        <v>0</v>
      </c>
      <c r="H106" s="197">
        <f>IF(_1_54128456121462410464578910174[[#This Row],[Type]]&gt;0,VLOOKUP(_1_54128456121462410464578910174[[#This Row],[Type]],Main[[#All],[TYPE]:[UNIT]],'Unit Price'!D$1,FALSE),0)</f>
        <v>0</v>
      </c>
      <c r="I106" s="194">
        <f>IF(_1_54128456121462410464578910174[[#This Row],[Type]]&gt;0,VLOOKUP(_1_54128456121462410464578910174[[#This Row],[Type]],Main[[#All],[TYPE]:[UNIT]],'Unit Price'!G$1,FALSE),0)</f>
        <v>0</v>
      </c>
      <c r="J106" s="194">
        <f>IF(_1_54128456121462410464578910174[[#This Row],[Type]]&gt;0,VLOOKUP(_1_54128456121462410464578910174[[#This Row],[Type]],Main[[#All],[TYPE]:[UNIT]],'Unit Price'!H$1,FALSE),0)</f>
        <v>0</v>
      </c>
      <c r="K106" s="194">
        <f>IF(_1_54128456121462410464578910174[[#This Row],[Discount selection]]&gt;0,VLOOKUP(_1_54128456121462410464578910174[[#This Row],[Discount selection]],'Discount Structure'!$A$2:$B$30,2,"false"),0)</f>
        <v>1</v>
      </c>
      <c r="L106" s="194">
        <f>_1_54128456121462410464578910174[[#This Row],[LIST $]]*_1_54128456121462410464578910174[[#This Row],[DISCOUNT]]*_1_54128456121462410464578910174[[#This Row],[DISCOUNT 2]]</f>
        <v>0</v>
      </c>
      <c r="M106" s="194">
        <f>IF(OR(_1_54128456121462410464578910174[[#This Row],[UNIT]]&gt;0,_1_54128456121462410464578910174[[#This Row],[UNIT]]&lt;0),_1_54128456121462410464578910174[[#This Row],[UNIT]]*_1_54128456121462410464578910174[[#This Row],[COST]],0)</f>
        <v>0</v>
      </c>
      <c r="N106" s="194">
        <f t="shared" si="1"/>
        <v>1.5</v>
      </c>
      <c r="O106" s="198">
        <f>_1_54128456121462410464578910174[[#This Row],[TOTAL]]*_1_54128456121462410464578910174[[#This Row],[MARGIN]]</f>
        <v>0</v>
      </c>
      <c r="R106" s="41"/>
    </row>
    <row r="107" spans="1:18">
      <c r="A107" s="341"/>
      <c r="C107" s="168"/>
      <c r="D107" s="188"/>
      <c r="F107" s="168" t="s">
        <v>6202</v>
      </c>
      <c r="G107" s="193">
        <f>IF(_1_54128456121462410464578910174[[#This Row],[Type]]&gt;0,VLOOKUP(_1_54128456121462410464578910174[[#This Row],[Type]],Main[[#All],[TYPE]:[UNIT]],'Unit Price'!C$1,FALSE),0)</f>
        <v>0</v>
      </c>
      <c r="H107" s="197">
        <f>IF(_1_54128456121462410464578910174[[#This Row],[Type]]&gt;0,VLOOKUP(_1_54128456121462410464578910174[[#This Row],[Type]],Main[[#All],[TYPE]:[UNIT]],'Unit Price'!D$1,FALSE),0)</f>
        <v>0</v>
      </c>
      <c r="I107" s="194">
        <f>IF(_1_54128456121462410464578910174[[#This Row],[Type]]&gt;0,VLOOKUP(_1_54128456121462410464578910174[[#This Row],[Type]],Main[[#All],[TYPE]:[UNIT]],'Unit Price'!G$1,FALSE),0)</f>
        <v>0</v>
      </c>
      <c r="J107" s="194">
        <f>IF(_1_54128456121462410464578910174[[#This Row],[Type]]&gt;0,VLOOKUP(_1_54128456121462410464578910174[[#This Row],[Type]],Main[[#All],[TYPE]:[UNIT]],'Unit Price'!H$1,FALSE),0)</f>
        <v>0</v>
      </c>
      <c r="K107" s="194">
        <f>IF(_1_54128456121462410464578910174[[#This Row],[Discount selection]]&gt;0,VLOOKUP(_1_54128456121462410464578910174[[#This Row],[Discount selection]],'Discount Structure'!$A$2:$B$30,2,"false"),0)</f>
        <v>1</v>
      </c>
      <c r="L107" s="194">
        <f>_1_54128456121462410464578910174[[#This Row],[LIST $]]*_1_54128456121462410464578910174[[#This Row],[DISCOUNT]]*_1_54128456121462410464578910174[[#This Row],[DISCOUNT 2]]</f>
        <v>0</v>
      </c>
      <c r="M107" s="194">
        <f>IF(OR(_1_54128456121462410464578910174[[#This Row],[UNIT]]&gt;0,_1_54128456121462410464578910174[[#This Row],[UNIT]]&lt;0),_1_54128456121462410464578910174[[#This Row],[UNIT]]*_1_54128456121462410464578910174[[#This Row],[COST]],0)</f>
        <v>0</v>
      </c>
      <c r="N107" s="194">
        <f t="shared" si="1"/>
        <v>1.5</v>
      </c>
      <c r="O107" s="198">
        <f>_1_54128456121462410464578910174[[#This Row],[TOTAL]]*_1_54128456121462410464578910174[[#This Row],[MARGIN]]</f>
        <v>0</v>
      </c>
      <c r="R107" s="41"/>
    </row>
    <row r="108" spans="1:18">
      <c r="B108" s="318"/>
      <c r="C108" s="168"/>
      <c r="D108" s="188"/>
      <c r="F108" s="168" t="s">
        <v>6202</v>
      </c>
      <c r="G108" s="204">
        <f>IF(_1_54128456121462410464578910174[[#This Row],[Type]]&gt;0,VLOOKUP(_1_54128456121462410464578910174[[#This Row],[Type]],Main[[#All],[TYPE]:[UNIT]],'Unit Price'!C$1,FALSE),0)</f>
        <v>0</v>
      </c>
      <c r="H108" s="197">
        <f>IF(_1_54128456121462410464578910174[[#This Row],[Type]]&gt;0,VLOOKUP(_1_54128456121462410464578910174[[#This Row],[Type]],Main[[#All],[TYPE]:[UNIT]],'Unit Price'!D$1,FALSE),0)</f>
        <v>0</v>
      </c>
      <c r="I108" s="194">
        <f>IF(_1_54128456121462410464578910174[[#This Row],[Type]]&gt;0,VLOOKUP(_1_54128456121462410464578910174[[#This Row],[Type]],Main[[#All],[TYPE]:[UNIT]],'Unit Price'!G$1,FALSE),0)</f>
        <v>0</v>
      </c>
      <c r="J108" s="194">
        <f>IF(_1_54128456121462410464578910174[[#This Row],[Type]]&gt;0,VLOOKUP(_1_54128456121462410464578910174[[#This Row],[Type]],Main[[#All],[TYPE]:[UNIT]],'Unit Price'!H$1,FALSE),0)</f>
        <v>0</v>
      </c>
      <c r="K108" s="194">
        <f>IF(_1_54128456121462410464578910174[[#This Row],[Discount selection]]&gt;0,VLOOKUP(_1_54128456121462410464578910174[[#This Row],[Discount selection]],'Discount Structure'!$A$2:$B$30,2,"false"),0)</f>
        <v>1</v>
      </c>
      <c r="L108" s="194">
        <f>_1_54128456121462410464578910174[[#This Row],[LIST $]]*_1_54128456121462410464578910174[[#This Row],[DISCOUNT]]*_1_54128456121462410464578910174[[#This Row],[DISCOUNT 2]]</f>
        <v>0</v>
      </c>
      <c r="M108" s="194">
        <f>IF(OR(_1_54128456121462410464578910174[[#This Row],[UNIT]]&gt;0,_1_54128456121462410464578910174[[#This Row],[UNIT]]&lt;0),_1_54128456121462410464578910174[[#This Row],[UNIT]]*_1_54128456121462410464578910174[[#This Row],[COST]],0)</f>
        <v>0</v>
      </c>
      <c r="N108" s="194">
        <f t="shared" si="1"/>
        <v>1.5</v>
      </c>
      <c r="O108" s="198">
        <f>_1_54128456121462410464578910174[[#This Row],[TOTAL]]*_1_54128456121462410464578910174[[#This Row],[MARGIN]]</f>
        <v>0</v>
      </c>
      <c r="R108" s="41"/>
    </row>
    <row r="109" spans="1:18">
      <c r="A109" s="312"/>
      <c r="B109" s="321"/>
      <c r="C109" s="168"/>
      <c r="D109" s="188"/>
      <c r="F109" s="168" t="s">
        <v>6202</v>
      </c>
      <c r="G109" s="193">
        <f>IF(_1_54128456121462410464578910174[[#This Row],[Type]]&gt;0,VLOOKUP(_1_54128456121462410464578910174[[#This Row],[Type]],Main[[#All],[TYPE]:[UNIT]],'Unit Price'!C$1,FALSE),0)</f>
        <v>0</v>
      </c>
      <c r="H109" s="197">
        <f>IF(_1_54128456121462410464578910174[[#This Row],[Type]]&gt;0,VLOOKUP(_1_54128456121462410464578910174[[#This Row],[Type]],Main[[#All],[TYPE]:[UNIT]],'Unit Price'!D$1,FALSE),0)</f>
        <v>0</v>
      </c>
      <c r="I109" s="194">
        <f>IF(_1_54128456121462410464578910174[[#This Row],[Type]]&gt;0,VLOOKUP(_1_54128456121462410464578910174[[#This Row],[Type]],Main[[#All],[TYPE]:[UNIT]],'Unit Price'!G$1,FALSE),0)</f>
        <v>0</v>
      </c>
      <c r="J109" s="194">
        <f>IF(_1_54128456121462410464578910174[[#This Row],[Type]]&gt;0,VLOOKUP(_1_54128456121462410464578910174[[#This Row],[Type]],Main[[#All],[TYPE]:[UNIT]],'Unit Price'!H$1,FALSE),0)</f>
        <v>0</v>
      </c>
      <c r="K109" s="194">
        <f>IF(_1_54128456121462410464578910174[[#This Row],[Discount selection]]&gt;0,VLOOKUP(_1_54128456121462410464578910174[[#This Row],[Discount selection]],'Discount Structure'!$A$2:$B$30,2,"false"),0)</f>
        <v>1</v>
      </c>
      <c r="L109" s="194">
        <f>_1_54128456121462410464578910174[[#This Row],[LIST $]]*_1_54128456121462410464578910174[[#This Row],[DISCOUNT]]*_1_54128456121462410464578910174[[#This Row],[DISCOUNT 2]]</f>
        <v>0</v>
      </c>
      <c r="M109" s="194">
        <f>IF(OR(_1_54128456121462410464578910174[[#This Row],[UNIT]]&gt;0,_1_54128456121462410464578910174[[#This Row],[UNIT]]&lt;0),_1_54128456121462410464578910174[[#This Row],[UNIT]]*_1_54128456121462410464578910174[[#This Row],[COST]],0)</f>
        <v>0</v>
      </c>
      <c r="N109" s="194">
        <f t="shared" si="1"/>
        <v>1.5</v>
      </c>
      <c r="O109" s="198">
        <f>_1_54128456121462410464578910174[[#This Row],[TOTAL]]*_1_54128456121462410464578910174[[#This Row],[MARGIN]]</f>
        <v>0</v>
      </c>
      <c r="R109" s="41"/>
    </row>
    <row r="110" spans="1:18">
      <c r="B110" s="322"/>
      <c r="C110" s="168"/>
      <c r="D110" s="188"/>
      <c r="F110" s="168" t="s">
        <v>6202</v>
      </c>
      <c r="G110" s="193">
        <f>IF(_1_54128456121462410464578910174[[#This Row],[Type]]&gt;0,VLOOKUP(_1_54128456121462410464578910174[[#This Row],[Type]],Main[[#All],[TYPE]:[UNIT]],'Unit Price'!C$1,FALSE),0)</f>
        <v>0</v>
      </c>
      <c r="H110" s="197">
        <f>IF(_1_54128456121462410464578910174[[#This Row],[Type]]&gt;0,VLOOKUP(_1_54128456121462410464578910174[[#This Row],[Type]],Main[[#All],[TYPE]:[UNIT]],'Unit Price'!D$1,FALSE),0)</f>
        <v>0</v>
      </c>
      <c r="I110" s="194">
        <f>IF(_1_54128456121462410464578910174[[#This Row],[Type]]&gt;0,VLOOKUP(_1_54128456121462410464578910174[[#This Row],[Type]],Main[[#All],[TYPE]:[UNIT]],'Unit Price'!G$1,FALSE),0)</f>
        <v>0</v>
      </c>
      <c r="J110" s="194">
        <f>IF(_1_54128456121462410464578910174[[#This Row],[Type]]&gt;0,VLOOKUP(_1_54128456121462410464578910174[[#This Row],[Type]],Main[[#All],[TYPE]:[UNIT]],'Unit Price'!H$1,FALSE),0)</f>
        <v>0</v>
      </c>
      <c r="K110" s="194">
        <f>IF(_1_54128456121462410464578910174[[#This Row],[Discount selection]]&gt;0,VLOOKUP(_1_54128456121462410464578910174[[#This Row],[Discount selection]],'Discount Structure'!$A$2:$B$30,2,"false"),0)</f>
        <v>1</v>
      </c>
      <c r="L110" s="194">
        <f>_1_54128456121462410464578910174[[#This Row],[LIST $]]*_1_54128456121462410464578910174[[#This Row],[DISCOUNT]]*_1_54128456121462410464578910174[[#This Row],[DISCOUNT 2]]</f>
        <v>0</v>
      </c>
      <c r="M110" s="194">
        <f>IF(OR(_1_54128456121462410464578910174[[#This Row],[UNIT]]&gt;0,_1_54128456121462410464578910174[[#This Row],[UNIT]]&lt;0),_1_54128456121462410464578910174[[#This Row],[UNIT]]*_1_54128456121462410464578910174[[#This Row],[COST]],0)</f>
        <v>0</v>
      </c>
      <c r="N110" s="194">
        <f t="shared" si="1"/>
        <v>1.5</v>
      </c>
      <c r="O110" s="198">
        <f>_1_54128456121462410464578910174[[#This Row],[TOTAL]]*_1_54128456121462410464578910174[[#This Row],[MARGIN]]</f>
        <v>0</v>
      </c>
      <c r="R110" s="41"/>
    </row>
    <row r="111" spans="1:18">
      <c r="C111" s="168"/>
      <c r="D111" s="188"/>
      <c r="F111" s="168" t="s">
        <v>6202</v>
      </c>
      <c r="G111" s="193">
        <f>IF(_1_54128456121462410464578910174[[#This Row],[Type]]&gt;0,VLOOKUP(_1_54128456121462410464578910174[[#This Row],[Type]],Main[[#All],[TYPE]:[UNIT]],'Unit Price'!C$1,FALSE),0)</f>
        <v>0</v>
      </c>
      <c r="H111" s="197">
        <f>IF(_1_54128456121462410464578910174[[#This Row],[Type]]&gt;0,VLOOKUP(_1_54128456121462410464578910174[[#This Row],[Type]],Main[[#All],[TYPE]:[UNIT]],'Unit Price'!D$1,FALSE),0)</f>
        <v>0</v>
      </c>
      <c r="I111" s="194">
        <f>IF(_1_54128456121462410464578910174[[#This Row],[Type]]&gt;0,VLOOKUP(_1_54128456121462410464578910174[[#This Row],[Type]],Main[[#All],[TYPE]:[UNIT]],'Unit Price'!G$1,FALSE),0)</f>
        <v>0</v>
      </c>
      <c r="J111" s="194">
        <f>IF(_1_54128456121462410464578910174[[#This Row],[Type]]&gt;0,VLOOKUP(_1_54128456121462410464578910174[[#This Row],[Type]],Main[[#All],[TYPE]:[UNIT]],'Unit Price'!H$1,FALSE),0)</f>
        <v>0</v>
      </c>
      <c r="K111" s="194">
        <f>IF(_1_54128456121462410464578910174[[#This Row],[Discount selection]]&gt;0,VLOOKUP(_1_54128456121462410464578910174[[#This Row],[Discount selection]],'Discount Structure'!$A$2:$B$30,2,"false"),0)</f>
        <v>1</v>
      </c>
      <c r="L111" s="194">
        <f>_1_54128456121462410464578910174[[#This Row],[LIST $]]*_1_54128456121462410464578910174[[#This Row],[DISCOUNT]]*_1_54128456121462410464578910174[[#This Row],[DISCOUNT 2]]</f>
        <v>0</v>
      </c>
      <c r="M111" s="194">
        <f>IF(OR(_1_54128456121462410464578910174[[#This Row],[UNIT]]&gt;0,_1_54128456121462410464578910174[[#This Row],[UNIT]]&lt;0),_1_54128456121462410464578910174[[#This Row],[UNIT]]*_1_54128456121462410464578910174[[#This Row],[COST]],0)</f>
        <v>0</v>
      </c>
      <c r="N111" s="194">
        <f t="shared" si="1"/>
        <v>1.5</v>
      </c>
      <c r="O111" s="198">
        <f>_1_54128456121462410464578910174[[#This Row],[TOTAL]]*_1_54128456121462410464578910174[[#This Row],[MARGIN]]</f>
        <v>0</v>
      </c>
      <c r="R111" s="41"/>
    </row>
    <row r="112" spans="1:18">
      <c r="C112" s="168"/>
      <c r="D112" s="188"/>
      <c r="F112" s="168" t="s">
        <v>6202</v>
      </c>
      <c r="G112" s="193">
        <f>IF(_1_54128456121462410464578910174[[#This Row],[Type]]&gt;0,VLOOKUP(_1_54128456121462410464578910174[[#This Row],[Type]],Main[[#All],[TYPE]:[UNIT]],'Unit Price'!C$1,FALSE),0)</f>
        <v>0</v>
      </c>
      <c r="H112" s="197">
        <f>IF(_1_54128456121462410464578910174[[#This Row],[Type]]&gt;0,VLOOKUP(_1_54128456121462410464578910174[[#This Row],[Type]],Main[[#All],[TYPE]:[UNIT]],'Unit Price'!D$1,FALSE),0)</f>
        <v>0</v>
      </c>
      <c r="I112" s="194">
        <f>IF(_1_54128456121462410464578910174[[#This Row],[Type]]&gt;0,VLOOKUP(_1_54128456121462410464578910174[[#This Row],[Type]],Main[[#All],[TYPE]:[UNIT]],'Unit Price'!G$1,FALSE),0)</f>
        <v>0</v>
      </c>
      <c r="J112" s="194">
        <f>IF(_1_54128456121462410464578910174[[#This Row],[Type]]&gt;0,VLOOKUP(_1_54128456121462410464578910174[[#This Row],[Type]],Main[[#All],[TYPE]:[UNIT]],'Unit Price'!H$1,FALSE),0)</f>
        <v>0</v>
      </c>
      <c r="K112" s="194">
        <f>IF(_1_54128456121462410464578910174[[#This Row],[Discount selection]]&gt;0,VLOOKUP(_1_54128456121462410464578910174[[#This Row],[Discount selection]],'Discount Structure'!$A$2:$B$30,2,"false"),0)</f>
        <v>1</v>
      </c>
      <c r="L112" s="194">
        <f>_1_54128456121462410464578910174[[#This Row],[LIST $]]*_1_54128456121462410464578910174[[#This Row],[DISCOUNT]]*_1_54128456121462410464578910174[[#This Row],[DISCOUNT 2]]</f>
        <v>0</v>
      </c>
      <c r="M112" s="194">
        <f>IF(OR(_1_54128456121462410464578910174[[#This Row],[UNIT]]&gt;0,_1_54128456121462410464578910174[[#This Row],[UNIT]]&lt;0),_1_54128456121462410464578910174[[#This Row],[UNIT]]*_1_54128456121462410464578910174[[#This Row],[COST]],0)</f>
        <v>0</v>
      </c>
      <c r="N112" s="194">
        <f t="shared" si="1"/>
        <v>1.5</v>
      </c>
      <c r="O112" s="198">
        <f>_1_54128456121462410464578910174[[#This Row],[TOTAL]]*_1_54128456121462410464578910174[[#This Row],[MARGIN]]</f>
        <v>0</v>
      </c>
      <c r="R112" s="41"/>
    </row>
    <row r="113" spans="1:18">
      <c r="A113" s="168"/>
      <c r="C113" s="168"/>
      <c r="D113" s="188"/>
      <c r="F113" s="168" t="s">
        <v>6202</v>
      </c>
      <c r="G113" s="193">
        <f>IF(_1_54128456121462410464578910174[[#This Row],[Type]]&gt;0,VLOOKUP(_1_54128456121462410464578910174[[#This Row],[Type]],Main[[#All],[TYPE]:[UNIT]],'Unit Price'!C$1,FALSE),0)</f>
        <v>0</v>
      </c>
      <c r="H113" s="197">
        <f>IF(_1_54128456121462410464578910174[[#This Row],[Type]]&gt;0,VLOOKUP(_1_54128456121462410464578910174[[#This Row],[Type]],Main[[#All],[TYPE]:[UNIT]],'Unit Price'!D$1,FALSE),0)</f>
        <v>0</v>
      </c>
      <c r="I113" s="194">
        <f>IF(_1_54128456121462410464578910174[[#This Row],[Type]]&gt;0,VLOOKUP(_1_54128456121462410464578910174[[#This Row],[Type]],Main[[#All],[TYPE]:[UNIT]],'Unit Price'!G$1,FALSE),0)</f>
        <v>0</v>
      </c>
      <c r="J113" s="194">
        <f>IF(_1_54128456121462410464578910174[[#This Row],[Type]]&gt;0,VLOOKUP(_1_54128456121462410464578910174[[#This Row],[Type]],Main[[#All],[TYPE]:[UNIT]],'Unit Price'!H$1,FALSE),0)</f>
        <v>0</v>
      </c>
      <c r="K113" s="194">
        <f>IF(_1_54128456121462410464578910174[[#This Row],[Discount selection]]&gt;0,VLOOKUP(_1_54128456121462410464578910174[[#This Row],[Discount selection]],'Discount Structure'!$A$2:$B$30,2,"false"),0)</f>
        <v>1</v>
      </c>
      <c r="L113" s="194">
        <f>_1_54128456121462410464578910174[[#This Row],[LIST $]]*_1_54128456121462410464578910174[[#This Row],[DISCOUNT]]*_1_54128456121462410464578910174[[#This Row],[DISCOUNT 2]]</f>
        <v>0</v>
      </c>
      <c r="M113" s="194">
        <f>IF(OR(_1_54128456121462410464578910174[[#This Row],[UNIT]]&gt;0,_1_54128456121462410464578910174[[#This Row],[UNIT]]&lt;0),_1_54128456121462410464578910174[[#This Row],[UNIT]]*_1_54128456121462410464578910174[[#This Row],[COST]],0)</f>
        <v>0</v>
      </c>
      <c r="N113" s="194">
        <f t="shared" si="1"/>
        <v>1.5</v>
      </c>
      <c r="O113" s="198">
        <f>_1_54128456121462410464578910174[[#This Row],[TOTAL]]*_1_54128456121462410464578910174[[#This Row],[MARGIN]]</f>
        <v>0</v>
      </c>
      <c r="R113" s="41"/>
    </row>
    <row r="114" spans="1:18">
      <c r="C114" s="168"/>
      <c r="D114" s="188"/>
      <c r="F114" s="168" t="s">
        <v>6202</v>
      </c>
      <c r="G114" s="193">
        <f>IF(_1_54128456121462410464578910174[[#This Row],[Type]]&gt;0,VLOOKUP(_1_54128456121462410464578910174[[#This Row],[Type]],Main[[#All],[TYPE]:[UNIT]],'Unit Price'!C$1,FALSE),0)</f>
        <v>0</v>
      </c>
      <c r="H114" s="197">
        <f>IF(_1_54128456121462410464578910174[[#This Row],[Type]]&gt;0,VLOOKUP(_1_54128456121462410464578910174[[#This Row],[Type]],Main[[#All],[TYPE]:[UNIT]],'Unit Price'!D$1,FALSE),0)</f>
        <v>0</v>
      </c>
      <c r="I114" s="194">
        <f>IF(_1_54128456121462410464578910174[[#This Row],[Type]]&gt;0,VLOOKUP(_1_54128456121462410464578910174[[#This Row],[Type]],Main[[#All],[TYPE]:[UNIT]],'Unit Price'!G$1,FALSE),0)</f>
        <v>0</v>
      </c>
      <c r="J114" s="194">
        <f>IF(_1_54128456121462410464578910174[[#This Row],[Type]]&gt;0,VLOOKUP(_1_54128456121462410464578910174[[#This Row],[Type]],Main[[#All],[TYPE]:[UNIT]],'Unit Price'!H$1,FALSE),0)</f>
        <v>0</v>
      </c>
      <c r="K114" s="194">
        <f>IF(_1_54128456121462410464578910174[[#This Row],[Discount selection]]&gt;0,VLOOKUP(_1_54128456121462410464578910174[[#This Row],[Discount selection]],'Discount Structure'!$A$2:$B$30,2,"false"),0)</f>
        <v>1</v>
      </c>
      <c r="L114" s="194">
        <f>_1_54128456121462410464578910174[[#This Row],[LIST $]]*_1_54128456121462410464578910174[[#This Row],[DISCOUNT]]*_1_54128456121462410464578910174[[#This Row],[DISCOUNT 2]]</f>
        <v>0</v>
      </c>
      <c r="M114" s="194">
        <f>IF(OR(_1_54128456121462410464578910174[[#This Row],[UNIT]]&gt;0,_1_54128456121462410464578910174[[#This Row],[UNIT]]&lt;0),_1_54128456121462410464578910174[[#This Row],[UNIT]]*_1_54128456121462410464578910174[[#This Row],[COST]],0)</f>
        <v>0</v>
      </c>
      <c r="N114" s="194">
        <f t="shared" si="1"/>
        <v>1.5</v>
      </c>
      <c r="O114" s="198">
        <f>_1_54128456121462410464578910174[[#This Row],[TOTAL]]*_1_54128456121462410464578910174[[#This Row],[MARGIN]]</f>
        <v>0</v>
      </c>
      <c r="R114" s="41"/>
    </row>
    <row r="115" spans="1:18">
      <c r="C115" s="168"/>
      <c r="D115" s="188"/>
      <c r="F115" s="168" t="s">
        <v>6202</v>
      </c>
      <c r="G115" s="193">
        <f>IF(_1_54128456121462410464578910174[[#This Row],[Type]]&gt;0,VLOOKUP(_1_54128456121462410464578910174[[#This Row],[Type]],Main[[#All],[TYPE]:[UNIT]],'Unit Price'!C$1,FALSE),0)</f>
        <v>0</v>
      </c>
      <c r="H115" s="197">
        <f>IF(_1_54128456121462410464578910174[[#This Row],[Type]]&gt;0,VLOOKUP(_1_54128456121462410464578910174[[#This Row],[Type]],Main[[#All],[TYPE]:[UNIT]],'Unit Price'!D$1,FALSE),0)</f>
        <v>0</v>
      </c>
      <c r="I115" s="194">
        <f>IF(_1_54128456121462410464578910174[[#This Row],[Type]]&gt;0,VLOOKUP(_1_54128456121462410464578910174[[#This Row],[Type]],Main[[#All],[TYPE]:[UNIT]],'Unit Price'!G$1,FALSE),0)</f>
        <v>0</v>
      </c>
      <c r="J115" s="194">
        <f>IF(_1_54128456121462410464578910174[[#This Row],[Type]]&gt;0,VLOOKUP(_1_54128456121462410464578910174[[#This Row],[Type]],Main[[#All],[TYPE]:[UNIT]],'Unit Price'!H$1,FALSE),0)</f>
        <v>0</v>
      </c>
      <c r="K115" s="194">
        <f>IF(_1_54128456121462410464578910174[[#This Row],[Discount selection]]&gt;0,VLOOKUP(_1_54128456121462410464578910174[[#This Row],[Discount selection]],'Discount Structure'!$A$2:$B$30,2,"false"),0)</f>
        <v>1</v>
      </c>
      <c r="L115" s="194">
        <f>_1_54128456121462410464578910174[[#This Row],[LIST $]]*_1_54128456121462410464578910174[[#This Row],[DISCOUNT]]*_1_54128456121462410464578910174[[#This Row],[DISCOUNT 2]]</f>
        <v>0</v>
      </c>
      <c r="M115" s="194">
        <f>IF(OR(_1_54128456121462410464578910174[[#This Row],[UNIT]]&gt;0,_1_54128456121462410464578910174[[#This Row],[UNIT]]&lt;0),_1_54128456121462410464578910174[[#This Row],[UNIT]]*_1_54128456121462410464578910174[[#This Row],[COST]],0)</f>
        <v>0</v>
      </c>
      <c r="N115" s="194">
        <f t="shared" si="1"/>
        <v>1.5</v>
      </c>
      <c r="O115" s="198">
        <f>_1_54128456121462410464578910174[[#This Row],[TOTAL]]*_1_54128456121462410464578910174[[#This Row],[MARGIN]]</f>
        <v>0</v>
      </c>
      <c r="R115" s="41"/>
    </row>
    <row r="116" spans="1:18">
      <c r="A116" s="339"/>
      <c r="C116" s="168"/>
      <c r="D116" s="188"/>
      <c r="F116" s="168" t="s">
        <v>6202</v>
      </c>
      <c r="G116" s="193">
        <f>IF(_1_54128456121462410464578910174[[#This Row],[Type]]&gt;0,VLOOKUP(_1_54128456121462410464578910174[[#This Row],[Type]],Main[[#All],[TYPE]:[UNIT]],'Unit Price'!C$1,FALSE),0)</f>
        <v>0</v>
      </c>
      <c r="H116" s="197">
        <f>IF(_1_54128456121462410464578910174[[#This Row],[Type]]&gt;0,VLOOKUP(_1_54128456121462410464578910174[[#This Row],[Type]],Main[[#All],[TYPE]:[UNIT]],'Unit Price'!D$1,FALSE),0)</f>
        <v>0</v>
      </c>
      <c r="I116" s="194">
        <f>IF(_1_54128456121462410464578910174[[#This Row],[Type]]&gt;0,VLOOKUP(_1_54128456121462410464578910174[[#This Row],[Type]],Main[[#All],[TYPE]:[UNIT]],'Unit Price'!G$1,FALSE),0)</f>
        <v>0</v>
      </c>
      <c r="J116" s="194">
        <f>IF(_1_54128456121462410464578910174[[#This Row],[Type]]&gt;0,VLOOKUP(_1_54128456121462410464578910174[[#This Row],[Type]],Main[[#All],[TYPE]:[UNIT]],'Unit Price'!H$1,FALSE),0)</f>
        <v>0</v>
      </c>
      <c r="K116" s="194">
        <f>IF(_1_54128456121462410464578910174[[#This Row],[Discount selection]]&gt;0,VLOOKUP(_1_54128456121462410464578910174[[#This Row],[Discount selection]],'Discount Structure'!$A$2:$B$30,2,"false"),0)</f>
        <v>1</v>
      </c>
      <c r="L116" s="194">
        <f>_1_54128456121462410464578910174[[#This Row],[LIST $]]*_1_54128456121462410464578910174[[#This Row],[DISCOUNT]]*_1_54128456121462410464578910174[[#This Row],[DISCOUNT 2]]</f>
        <v>0</v>
      </c>
      <c r="M116" s="194">
        <f>IF(OR(_1_54128456121462410464578910174[[#This Row],[UNIT]]&gt;0,_1_54128456121462410464578910174[[#This Row],[UNIT]]&lt;0),_1_54128456121462410464578910174[[#This Row],[UNIT]]*_1_54128456121462410464578910174[[#This Row],[COST]],0)</f>
        <v>0</v>
      </c>
      <c r="N116" s="194">
        <f t="shared" si="1"/>
        <v>1.5</v>
      </c>
      <c r="O116" s="198">
        <f>_1_54128456121462410464578910174[[#This Row],[TOTAL]]*_1_54128456121462410464578910174[[#This Row],[MARGIN]]</f>
        <v>0</v>
      </c>
      <c r="R116" s="41"/>
    </row>
    <row r="117" spans="1:18">
      <c r="C117" s="168"/>
      <c r="D117" s="188"/>
      <c r="F117" s="168" t="s">
        <v>6202</v>
      </c>
      <c r="G117" s="193">
        <f>IF(_1_54128456121462410464578910174[[#This Row],[Type]]&gt;0,VLOOKUP(_1_54128456121462410464578910174[[#This Row],[Type]],Main[[#All],[TYPE]:[UNIT]],'Unit Price'!C$1,FALSE),0)</f>
        <v>0</v>
      </c>
      <c r="H117" s="197">
        <f>IF(_1_54128456121462410464578910174[[#This Row],[Type]]&gt;0,VLOOKUP(_1_54128456121462410464578910174[[#This Row],[Type]],Main[[#All],[TYPE]:[UNIT]],'Unit Price'!D$1,FALSE),0)</f>
        <v>0</v>
      </c>
      <c r="I117" s="194">
        <f>IF(_1_54128456121462410464578910174[[#This Row],[Type]]&gt;0,VLOOKUP(_1_54128456121462410464578910174[[#This Row],[Type]],Main[[#All],[TYPE]:[UNIT]],'Unit Price'!G$1,FALSE),0)</f>
        <v>0</v>
      </c>
      <c r="J117" s="194">
        <f>IF(_1_54128456121462410464578910174[[#This Row],[Type]]&gt;0,VLOOKUP(_1_54128456121462410464578910174[[#This Row],[Type]],Main[[#All],[TYPE]:[UNIT]],'Unit Price'!H$1,FALSE),0)</f>
        <v>0</v>
      </c>
      <c r="K117" s="194">
        <f>IF(_1_54128456121462410464578910174[[#This Row],[Discount selection]]&gt;0,VLOOKUP(_1_54128456121462410464578910174[[#This Row],[Discount selection]],'Discount Structure'!$A$2:$B$30,2,"false"),0)</f>
        <v>1</v>
      </c>
      <c r="L117" s="194">
        <f>_1_54128456121462410464578910174[[#This Row],[LIST $]]*_1_54128456121462410464578910174[[#This Row],[DISCOUNT]]*_1_54128456121462410464578910174[[#This Row],[DISCOUNT 2]]</f>
        <v>0</v>
      </c>
      <c r="M117" s="194">
        <f>IF(OR(_1_54128456121462410464578910174[[#This Row],[UNIT]]&gt;0,_1_54128456121462410464578910174[[#This Row],[UNIT]]&lt;0),_1_54128456121462410464578910174[[#This Row],[UNIT]]*_1_54128456121462410464578910174[[#This Row],[COST]],0)</f>
        <v>0</v>
      </c>
      <c r="N117" s="194">
        <f t="shared" si="1"/>
        <v>1.5</v>
      </c>
      <c r="O117" s="198">
        <f>_1_54128456121462410464578910174[[#This Row],[TOTAL]]*_1_54128456121462410464578910174[[#This Row],[MARGIN]]</f>
        <v>0</v>
      </c>
      <c r="R117" s="41"/>
    </row>
    <row r="118" spans="1:18">
      <c r="A118" s="329"/>
      <c r="C118" s="168"/>
      <c r="D118" s="188"/>
      <c r="F118" s="168" t="s">
        <v>6202</v>
      </c>
      <c r="G118" s="193">
        <f>IF(_1_54128456121462410464578910174[[#This Row],[Type]]&gt;0,VLOOKUP(_1_54128456121462410464578910174[[#This Row],[Type]],Main[[#All],[TYPE]:[UNIT]],'Unit Price'!C$1,FALSE),0)</f>
        <v>0</v>
      </c>
      <c r="H118" s="197">
        <f>IF(_1_54128456121462410464578910174[[#This Row],[Type]]&gt;0,VLOOKUP(_1_54128456121462410464578910174[[#This Row],[Type]],Main[[#All],[TYPE]:[UNIT]],'Unit Price'!D$1,FALSE),0)</f>
        <v>0</v>
      </c>
      <c r="I118" s="194">
        <f>IF(_1_54128456121462410464578910174[[#This Row],[Type]]&gt;0,VLOOKUP(_1_54128456121462410464578910174[[#This Row],[Type]],Main[[#All],[TYPE]:[UNIT]],'Unit Price'!G$1,FALSE),0)</f>
        <v>0</v>
      </c>
      <c r="J118" s="194">
        <f>IF(_1_54128456121462410464578910174[[#This Row],[Type]]&gt;0,VLOOKUP(_1_54128456121462410464578910174[[#This Row],[Type]],Main[[#All],[TYPE]:[UNIT]],'Unit Price'!H$1,FALSE),0)</f>
        <v>0</v>
      </c>
      <c r="K118" s="194">
        <f>IF(_1_54128456121462410464578910174[[#This Row],[Discount selection]]&gt;0,VLOOKUP(_1_54128456121462410464578910174[[#This Row],[Discount selection]],'Discount Structure'!$A$2:$B$30,2,"false"),0)</f>
        <v>1</v>
      </c>
      <c r="L118" s="194">
        <f>_1_54128456121462410464578910174[[#This Row],[LIST $]]*_1_54128456121462410464578910174[[#This Row],[DISCOUNT]]*_1_54128456121462410464578910174[[#This Row],[DISCOUNT 2]]</f>
        <v>0</v>
      </c>
      <c r="M118" s="194">
        <f>IF(OR(_1_54128456121462410464578910174[[#This Row],[UNIT]]&gt;0,_1_54128456121462410464578910174[[#This Row],[UNIT]]&lt;0),_1_54128456121462410464578910174[[#This Row],[UNIT]]*_1_54128456121462410464578910174[[#This Row],[COST]],0)</f>
        <v>0</v>
      </c>
      <c r="N118" s="194">
        <f t="shared" si="1"/>
        <v>1.5</v>
      </c>
      <c r="O118" s="198">
        <f>_1_54128456121462410464578910174[[#This Row],[TOTAL]]*_1_54128456121462410464578910174[[#This Row],[MARGIN]]</f>
        <v>0</v>
      </c>
      <c r="R118" s="41"/>
    </row>
    <row r="119" spans="1:18">
      <c r="B119" s="329"/>
      <c r="C119" s="168"/>
      <c r="D119" s="188"/>
      <c r="F119" s="168" t="s">
        <v>6202</v>
      </c>
      <c r="G119" s="193">
        <f>IF(_1_54128456121462410464578910174[[#This Row],[Type]]&gt;0,VLOOKUP(_1_54128456121462410464578910174[[#This Row],[Type]],Main[[#All],[TYPE]:[UNIT]],'Unit Price'!C$1,FALSE),0)</f>
        <v>0</v>
      </c>
      <c r="H119" s="197">
        <f>IF(_1_54128456121462410464578910174[[#This Row],[Type]]&gt;0,VLOOKUP(_1_54128456121462410464578910174[[#This Row],[Type]],Main[[#All],[TYPE]:[UNIT]],'Unit Price'!D$1,FALSE),0)</f>
        <v>0</v>
      </c>
      <c r="I119" s="194">
        <f>IF(_1_54128456121462410464578910174[[#This Row],[Type]]&gt;0,VLOOKUP(_1_54128456121462410464578910174[[#This Row],[Type]],Main[[#All],[TYPE]:[UNIT]],'Unit Price'!G$1,FALSE),0)</f>
        <v>0</v>
      </c>
      <c r="J119" s="194">
        <f>IF(_1_54128456121462410464578910174[[#This Row],[Type]]&gt;0,VLOOKUP(_1_54128456121462410464578910174[[#This Row],[Type]],Main[[#All],[TYPE]:[UNIT]],'Unit Price'!H$1,FALSE),0)</f>
        <v>0</v>
      </c>
      <c r="K119" s="194">
        <f>IF(_1_54128456121462410464578910174[[#This Row],[Discount selection]]&gt;0,VLOOKUP(_1_54128456121462410464578910174[[#This Row],[Discount selection]],'Discount Structure'!$A$2:$B$30,2,"false"),0)</f>
        <v>1</v>
      </c>
      <c r="L119" s="194">
        <f>_1_54128456121462410464578910174[[#This Row],[LIST $]]*_1_54128456121462410464578910174[[#This Row],[DISCOUNT]]*_1_54128456121462410464578910174[[#This Row],[DISCOUNT 2]]</f>
        <v>0</v>
      </c>
      <c r="M119" s="194">
        <f>IF(OR(_1_54128456121462410464578910174[[#This Row],[UNIT]]&gt;0,_1_54128456121462410464578910174[[#This Row],[UNIT]]&lt;0),_1_54128456121462410464578910174[[#This Row],[UNIT]]*_1_54128456121462410464578910174[[#This Row],[COST]],0)</f>
        <v>0</v>
      </c>
      <c r="N119" s="194">
        <f t="shared" si="1"/>
        <v>1.5</v>
      </c>
      <c r="O119" s="198">
        <f>_1_54128456121462410464578910174[[#This Row],[TOTAL]]*_1_54128456121462410464578910174[[#This Row],[MARGIN]]</f>
        <v>0</v>
      </c>
      <c r="R119" s="41"/>
    </row>
    <row r="120" spans="1:18">
      <c r="C120" s="168"/>
      <c r="D120" s="188"/>
      <c r="F120" s="168" t="s">
        <v>6202</v>
      </c>
      <c r="G120" s="193">
        <f>IF(_1_54128456121462410464578910174[[#This Row],[Type]]&gt;0,VLOOKUP(_1_54128456121462410464578910174[[#This Row],[Type]],Main[[#All],[TYPE]:[UNIT]],'Unit Price'!C$1,FALSE),0)</f>
        <v>0</v>
      </c>
      <c r="H120" s="197">
        <f>IF(_1_54128456121462410464578910174[[#This Row],[Type]]&gt;0,VLOOKUP(_1_54128456121462410464578910174[[#This Row],[Type]],Main[[#All],[TYPE]:[UNIT]],'Unit Price'!D$1,FALSE),0)</f>
        <v>0</v>
      </c>
      <c r="I120" s="194">
        <f>IF(_1_54128456121462410464578910174[[#This Row],[Type]]&gt;0,VLOOKUP(_1_54128456121462410464578910174[[#This Row],[Type]],Main[[#All],[TYPE]:[UNIT]],'Unit Price'!G$1,FALSE),0)</f>
        <v>0</v>
      </c>
      <c r="J120" s="194">
        <f>IF(_1_54128456121462410464578910174[[#This Row],[Type]]&gt;0,VLOOKUP(_1_54128456121462410464578910174[[#This Row],[Type]],Main[[#All],[TYPE]:[UNIT]],'Unit Price'!H$1,FALSE),0)</f>
        <v>0</v>
      </c>
      <c r="K120" s="194">
        <f>IF(_1_54128456121462410464578910174[[#This Row],[Discount selection]]&gt;0,VLOOKUP(_1_54128456121462410464578910174[[#This Row],[Discount selection]],'Discount Structure'!$A$2:$B$30,2,"false"),0)</f>
        <v>1</v>
      </c>
      <c r="L120" s="194">
        <f>_1_54128456121462410464578910174[[#This Row],[LIST $]]*_1_54128456121462410464578910174[[#This Row],[DISCOUNT]]*_1_54128456121462410464578910174[[#This Row],[DISCOUNT 2]]</f>
        <v>0</v>
      </c>
      <c r="M120" s="194">
        <f>IF(OR(_1_54128456121462410464578910174[[#This Row],[UNIT]]&gt;0,_1_54128456121462410464578910174[[#This Row],[UNIT]]&lt;0),_1_54128456121462410464578910174[[#This Row],[UNIT]]*_1_54128456121462410464578910174[[#This Row],[COST]],0)</f>
        <v>0</v>
      </c>
      <c r="N120" s="194">
        <f t="shared" si="1"/>
        <v>1.5</v>
      </c>
      <c r="O120" s="198">
        <f>_1_54128456121462410464578910174[[#This Row],[TOTAL]]*_1_54128456121462410464578910174[[#This Row],[MARGIN]]</f>
        <v>0</v>
      </c>
      <c r="R120" s="41"/>
    </row>
    <row r="121" spans="1:18">
      <c r="C121" s="168"/>
      <c r="D121" s="188"/>
      <c r="F121" s="168" t="s">
        <v>6202</v>
      </c>
      <c r="G121" s="193">
        <f>IF(_1_54128456121462410464578910174[[#This Row],[Type]]&gt;0,VLOOKUP(_1_54128456121462410464578910174[[#This Row],[Type]],Main[[#All],[TYPE]:[UNIT]],'Unit Price'!C$1,FALSE),0)</f>
        <v>0</v>
      </c>
      <c r="H121" s="197">
        <f>IF(_1_54128456121462410464578910174[[#This Row],[Type]]&gt;0,VLOOKUP(_1_54128456121462410464578910174[[#This Row],[Type]],Main[[#All],[TYPE]:[UNIT]],'Unit Price'!D$1,FALSE),0)</f>
        <v>0</v>
      </c>
      <c r="I121" s="194">
        <f>IF(_1_54128456121462410464578910174[[#This Row],[Type]]&gt;0,VLOOKUP(_1_54128456121462410464578910174[[#This Row],[Type]],Main[[#All],[TYPE]:[UNIT]],'Unit Price'!G$1,FALSE),0)</f>
        <v>0</v>
      </c>
      <c r="J121" s="194">
        <f>IF(_1_54128456121462410464578910174[[#This Row],[Type]]&gt;0,VLOOKUP(_1_54128456121462410464578910174[[#This Row],[Type]],Main[[#All],[TYPE]:[UNIT]],'Unit Price'!H$1,FALSE),0)</f>
        <v>0</v>
      </c>
      <c r="K121" s="194">
        <f>IF(_1_54128456121462410464578910174[[#This Row],[Discount selection]]&gt;0,VLOOKUP(_1_54128456121462410464578910174[[#This Row],[Discount selection]],'Discount Structure'!$A$2:$B$30,2,"false"),0)</f>
        <v>1</v>
      </c>
      <c r="L121" s="194">
        <f>_1_54128456121462410464578910174[[#This Row],[LIST $]]*_1_54128456121462410464578910174[[#This Row],[DISCOUNT]]*_1_54128456121462410464578910174[[#This Row],[DISCOUNT 2]]</f>
        <v>0</v>
      </c>
      <c r="M121" s="194">
        <f>IF(OR(_1_54128456121462410464578910174[[#This Row],[UNIT]]&gt;0,_1_54128456121462410464578910174[[#This Row],[UNIT]]&lt;0),_1_54128456121462410464578910174[[#This Row],[UNIT]]*_1_54128456121462410464578910174[[#This Row],[COST]],0)</f>
        <v>0</v>
      </c>
      <c r="N121" s="194">
        <f t="shared" si="1"/>
        <v>1.5</v>
      </c>
      <c r="O121" s="198">
        <f>_1_54128456121462410464578910174[[#This Row],[TOTAL]]*_1_54128456121462410464578910174[[#This Row],[MARGIN]]</f>
        <v>0</v>
      </c>
      <c r="R121" s="41"/>
    </row>
    <row r="122" spans="1:18">
      <c r="C122" s="168"/>
      <c r="D122" s="188"/>
      <c r="F122" s="168" t="s">
        <v>6202</v>
      </c>
      <c r="G122" s="193">
        <f>IF(_1_54128456121462410464578910174[[#This Row],[Type]]&gt;0,VLOOKUP(_1_54128456121462410464578910174[[#This Row],[Type]],Main[[#All],[TYPE]:[UNIT]],'Unit Price'!C$1,FALSE),0)</f>
        <v>0</v>
      </c>
      <c r="H122" s="197">
        <f>IF(_1_54128456121462410464578910174[[#This Row],[Type]]&gt;0,VLOOKUP(_1_54128456121462410464578910174[[#This Row],[Type]],Main[[#All],[TYPE]:[UNIT]],'Unit Price'!D$1,FALSE),0)</f>
        <v>0</v>
      </c>
      <c r="I122" s="194">
        <f>IF(_1_54128456121462410464578910174[[#This Row],[Type]]&gt;0,VLOOKUP(_1_54128456121462410464578910174[[#This Row],[Type]],Main[[#All],[TYPE]:[UNIT]],'Unit Price'!G$1,FALSE),0)</f>
        <v>0</v>
      </c>
      <c r="J122" s="194">
        <f>IF(_1_54128456121462410464578910174[[#This Row],[Type]]&gt;0,VLOOKUP(_1_54128456121462410464578910174[[#This Row],[Type]],Main[[#All],[TYPE]:[UNIT]],'Unit Price'!H$1,FALSE),0)</f>
        <v>0</v>
      </c>
      <c r="K122" s="194">
        <f>IF(_1_54128456121462410464578910174[[#This Row],[Discount selection]]&gt;0,VLOOKUP(_1_54128456121462410464578910174[[#This Row],[Discount selection]],'Discount Structure'!$A$2:$B$30,2,"false"),0)</f>
        <v>1</v>
      </c>
      <c r="L122" s="194">
        <f>_1_54128456121462410464578910174[[#This Row],[LIST $]]*_1_54128456121462410464578910174[[#This Row],[DISCOUNT]]*_1_54128456121462410464578910174[[#This Row],[DISCOUNT 2]]</f>
        <v>0</v>
      </c>
      <c r="M122" s="194">
        <f>IF(OR(_1_54128456121462410464578910174[[#This Row],[UNIT]]&gt;0,_1_54128456121462410464578910174[[#This Row],[UNIT]]&lt;0),_1_54128456121462410464578910174[[#This Row],[UNIT]]*_1_54128456121462410464578910174[[#This Row],[COST]],0)</f>
        <v>0</v>
      </c>
      <c r="N122" s="194">
        <f t="shared" si="1"/>
        <v>1.5</v>
      </c>
      <c r="O122" s="198">
        <f>_1_54128456121462410464578910174[[#This Row],[TOTAL]]*_1_54128456121462410464578910174[[#This Row],[MARGIN]]</f>
        <v>0</v>
      </c>
      <c r="R122" s="41"/>
    </row>
    <row r="123" spans="1:18">
      <c r="C123" s="168"/>
      <c r="D123" s="188"/>
      <c r="F123" s="168" t="s">
        <v>6202</v>
      </c>
      <c r="G123" s="193">
        <f>IF(_1_54128456121462410464578910174[[#This Row],[Type]]&gt;0,VLOOKUP(_1_54128456121462410464578910174[[#This Row],[Type]],Main[[#All],[TYPE]:[UNIT]],'Unit Price'!C$1,FALSE),0)</f>
        <v>0</v>
      </c>
      <c r="H123" s="197">
        <f>IF(_1_54128456121462410464578910174[[#This Row],[Type]]&gt;0,VLOOKUP(_1_54128456121462410464578910174[[#This Row],[Type]],Main[[#All],[TYPE]:[UNIT]],'Unit Price'!D$1,FALSE),0)</f>
        <v>0</v>
      </c>
      <c r="I123" s="194">
        <f>IF(_1_54128456121462410464578910174[[#This Row],[Type]]&gt;0,VLOOKUP(_1_54128456121462410464578910174[[#This Row],[Type]],Main[[#All],[TYPE]:[UNIT]],'Unit Price'!G$1,FALSE),0)</f>
        <v>0</v>
      </c>
      <c r="J123" s="194">
        <f>IF(_1_54128456121462410464578910174[[#This Row],[Type]]&gt;0,VLOOKUP(_1_54128456121462410464578910174[[#This Row],[Type]],Main[[#All],[TYPE]:[UNIT]],'Unit Price'!H$1,FALSE),0)</f>
        <v>0</v>
      </c>
      <c r="K123" s="194">
        <f>IF(_1_54128456121462410464578910174[[#This Row],[Discount selection]]&gt;0,VLOOKUP(_1_54128456121462410464578910174[[#This Row],[Discount selection]],'Discount Structure'!$A$2:$B$30,2,"false"),0)</f>
        <v>1</v>
      </c>
      <c r="L123" s="194">
        <f>_1_54128456121462410464578910174[[#This Row],[LIST $]]*_1_54128456121462410464578910174[[#This Row],[DISCOUNT]]*_1_54128456121462410464578910174[[#This Row],[DISCOUNT 2]]</f>
        <v>0</v>
      </c>
      <c r="M123" s="194">
        <f>IF(OR(_1_54128456121462410464578910174[[#This Row],[UNIT]]&gt;0,_1_54128456121462410464578910174[[#This Row],[UNIT]]&lt;0),_1_54128456121462410464578910174[[#This Row],[UNIT]]*_1_54128456121462410464578910174[[#This Row],[COST]],0)</f>
        <v>0</v>
      </c>
      <c r="N123" s="194">
        <f t="shared" si="1"/>
        <v>1.5</v>
      </c>
      <c r="O123" s="198">
        <f>_1_54128456121462410464578910174[[#This Row],[TOTAL]]*_1_54128456121462410464578910174[[#This Row],[MARGIN]]</f>
        <v>0</v>
      </c>
      <c r="R123" s="41"/>
    </row>
    <row r="124" spans="1:18">
      <c r="C124" s="168"/>
      <c r="D124" s="188"/>
      <c r="F124" s="168" t="s">
        <v>6202</v>
      </c>
      <c r="G124" s="193">
        <f>IF(_1_54128456121462410464578910174[[#This Row],[Type]]&gt;0,VLOOKUP(_1_54128456121462410464578910174[[#This Row],[Type]],Main[[#All],[TYPE]:[UNIT]],'Unit Price'!C$1,FALSE),0)</f>
        <v>0</v>
      </c>
      <c r="H124" s="197">
        <f>IF(_1_54128456121462410464578910174[[#This Row],[Type]]&gt;0,VLOOKUP(_1_54128456121462410464578910174[[#This Row],[Type]],Main[[#All],[TYPE]:[UNIT]],'Unit Price'!D$1,FALSE),0)</f>
        <v>0</v>
      </c>
      <c r="I124" s="194">
        <f>IF(_1_54128456121462410464578910174[[#This Row],[Type]]&gt;0,VLOOKUP(_1_54128456121462410464578910174[[#This Row],[Type]],Main[[#All],[TYPE]:[UNIT]],'Unit Price'!G$1,FALSE),0)</f>
        <v>0</v>
      </c>
      <c r="J124" s="194">
        <f>IF(_1_54128456121462410464578910174[[#This Row],[Type]]&gt;0,VLOOKUP(_1_54128456121462410464578910174[[#This Row],[Type]],Main[[#All],[TYPE]:[UNIT]],'Unit Price'!H$1,FALSE),0)</f>
        <v>0</v>
      </c>
      <c r="K124" s="194">
        <f>IF(_1_54128456121462410464578910174[[#This Row],[Discount selection]]&gt;0,VLOOKUP(_1_54128456121462410464578910174[[#This Row],[Discount selection]],'Discount Structure'!$A$2:$B$30,2,"false"),0)</f>
        <v>1</v>
      </c>
      <c r="L124" s="194">
        <f>_1_54128456121462410464578910174[[#This Row],[LIST $]]*_1_54128456121462410464578910174[[#This Row],[DISCOUNT]]*_1_54128456121462410464578910174[[#This Row],[DISCOUNT 2]]</f>
        <v>0</v>
      </c>
      <c r="M124" s="194">
        <f>IF(OR(_1_54128456121462410464578910174[[#This Row],[UNIT]]&gt;0,_1_54128456121462410464578910174[[#This Row],[UNIT]]&lt;0),_1_54128456121462410464578910174[[#This Row],[UNIT]]*_1_54128456121462410464578910174[[#This Row],[COST]],0)</f>
        <v>0</v>
      </c>
      <c r="N124" s="194">
        <f t="shared" si="1"/>
        <v>1.5</v>
      </c>
      <c r="O124" s="198">
        <f>_1_54128456121462410464578910174[[#This Row],[TOTAL]]*_1_54128456121462410464578910174[[#This Row],[MARGIN]]</f>
        <v>0</v>
      </c>
      <c r="R124" s="41"/>
    </row>
    <row r="125" spans="1:18">
      <c r="C125" s="168"/>
      <c r="D125" s="188"/>
      <c r="F125" s="168" t="s">
        <v>6202</v>
      </c>
      <c r="G125" s="193">
        <f>IF(_1_54128456121462410464578910174[[#This Row],[Type]]&gt;0,VLOOKUP(_1_54128456121462410464578910174[[#This Row],[Type]],Main[[#All],[TYPE]:[UNIT]],'Unit Price'!C$1,FALSE),0)</f>
        <v>0</v>
      </c>
      <c r="H125" s="197">
        <f>IF(_1_54128456121462410464578910174[[#This Row],[Type]]&gt;0,VLOOKUP(_1_54128456121462410464578910174[[#This Row],[Type]],Main[[#All],[TYPE]:[UNIT]],'Unit Price'!D$1,FALSE),0)</f>
        <v>0</v>
      </c>
      <c r="I125" s="194">
        <f>IF(_1_54128456121462410464578910174[[#This Row],[Type]]&gt;0,VLOOKUP(_1_54128456121462410464578910174[[#This Row],[Type]],Main[[#All],[TYPE]:[UNIT]],'Unit Price'!G$1,FALSE),0)</f>
        <v>0</v>
      </c>
      <c r="J125" s="194">
        <f>IF(_1_54128456121462410464578910174[[#This Row],[Type]]&gt;0,VLOOKUP(_1_54128456121462410464578910174[[#This Row],[Type]],Main[[#All],[TYPE]:[UNIT]],'Unit Price'!H$1,FALSE),0)</f>
        <v>0</v>
      </c>
      <c r="K125" s="194">
        <f>IF(_1_54128456121462410464578910174[[#This Row],[Discount selection]]&gt;0,VLOOKUP(_1_54128456121462410464578910174[[#This Row],[Discount selection]],'Discount Structure'!$A$2:$B$30,2,"false"),0)</f>
        <v>1</v>
      </c>
      <c r="L125" s="194">
        <f>_1_54128456121462410464578910174[[#This Row],[LIST $]]*_1_54128456121462410464578910174[[#This Row],[DISCOUNT]]*_1_54128456121462410464578910174[[#This Row],[DISCOUNT 2]]</f>
        <v>0</v>
      </c>
      <c r="M125" s="194">
        <f>IF(OR(_1_54128456121462410464578910174[[#This Row],[UNIT]]&gt;0,_1_54128456121462410464578910174[[#This Row],[UNIT]]&lt;0),_1_54128456121462410464578910174[[#This Row],[UNIT]]*_1_54128456121462410464578910174[[#This Row],[COST]],0)</f>
        <v>0</v>
      </c>
      <c r="N125" s="194">
        <f t="shared" si="1"/>
        <v>1.5</v>
      </c>
      <c r="O125" s="198">
        <f>_1_54128456121462410464578910174[[#This Row],[TOTAL]]*_1_54128456121462410464578910174[[#This Row],[MARGIN]]</f>
        <v>0</v>
      </c>
      <c r="R125" s="41"/>
    </row>
    <row r="126" spans="1:18">
      <c r="C126" s="168"/>
      <c r="D126" s="188"/>
      <c r="F126" s="168" t="s">
        <v>6202</v>
      </c>
      <c r="G126" s="193">
        <f>IF(_1_54128456121462410464578910174[[#This Row],[Type]]&gt;0,VLOOKUP(_1_54128456121462410464578910174[[#This Row],[Type]],Main[[#All],[TYPE]:[UNIT]],'Unit Price'!C$1,FALSE),0)</f>
        <v>0</v>
      </c>
      <c r="H126" s="197">
        <f>IF(_1_54128456121462410464578910174[[#This Row],[Type]]&gt;0,VLOOKUP(_1_54128456121462410464578910174[[#This Row],[Type]],Main[[#All],[TYPE]:[UNIT]],'Unit Price'!D$1,FALSE),0)</f>
        <v>0</v>
      </c>
      <c r="I126" s="194">
        <f>IF(_1_54128456121462410464578910174[[#This Row],[Type]]&gt;0,VLOOKUP(_1_54128456121462410464578910174[[#This Row],[Type]],Main[[#All],[TYPE]:[UNIT]],'Unit Price'!G$1,FALSE),0)</f>
        <v>0</v>
      </c>
      <c r="J126" s="194">
        <f>IF(_1_54128456121462410464578910174[[#This Row],[Type]]&gt;0,VLOOKUP(_1_54128456121462410464578910174[[#This Row],[Type]],Main[[#All],[TYPE]:[UNIT]],'Unit Price'!H$1,FALSE),0)</f>
        <v>0</v>
      </c>
      <c r="K126" s="194">
        <f>IF(_1_54128456121462410464578910174[[#This Row],[Discount selection]]&gt;0,VLOOKUP(_1_54128456121462410464578910174[[#This Row],[Discount selection]],'Discount Structure'!$A$2:$B$30,2,"false"),0)</f>
        <v>1</v>
      </c>
      <c r="L126" s="194">
        <f>_1_54128456121462410464578910174[[#This Row],[LIST $]]*_1_54128456121462410464578910174[[#This Row],[DISCOUNT]]*_1_54128456121462410464578910174[[#This Row],[DISCOUNT 2]]</f>
        <v>0</v>
      </c>
      <c r="M126" s="194">
        <f>IF(OR(_1_54128456121462410464578910174[[#This Row],[UNIT]]&gt;0,_1_54128456121462410464578910174[[#This Row],[UNIT]]&lt;0),_1_54128456121462410464578910174[[#This Row],[UNIT]]*_1_54128456121462410464578910174[[#This Row],[COST]],0)</f>
        <v>0</v>
      </c>
      <c r="N126" s="194">
        <f t="shared" si="1"/>
        <v>1.5</v>
      </c>
      <c r="O126" s="198">
        <f>_1_54128456121462410464578910174[[#This Row],[TOTAL]]*_1_54128456121462410464578910174[[#This Row],[MARGIN]]</f>
        <v>0</v>
      </c>
      <c r="R126" s="41"/>
    </row>
    <row r="127" spans="1:18">
      <c r="C127" s="168"/>
      <c r="D127" s="188"/>
      <c r="F127" s="168" t="s">
        <v>6202</v>
      </c>
      <c r="G127" s="193">
        <f>IF(_1_54128456121462410464578910174[[#This Row],[Type]]&gt;0,VLOOKUP(_1_54128456121462410464578910174[[#This Row],[Type]],Main[[#All],[TYPE]:[UNIT]],'Unit Price'!C$1,FALSE),0)</f>
        <v>0</v>
      </c>
      <c r="H127" s="197">
        <f>IF(_1_54128456121462410464578910174[[#This Row],[Type]]&gt;0,VLOOKUP(_1_54128456121462410464578910174[[#This Row],[Type]],Main[[#All],[TYPE]:[UNIT]],'Unit Price'!D$1,FALSE),0)</f>
        <v>0</v>
      </c>
      <c r="I127" s="194">
        <f>IF(_1_54128456121462410464578910174[[#This Row],[Type]]&gt;0,VLOOKUP(_1_54128456121462410464578910174[[#This Row],[Type]],Main[[#All],[TYPE]:[UNIT]],'Unit Price'!G$1,FALSE),0)</f>
        <v>0</v>
      </c>
      <c r="J127" s="194">
        <f>IF(_1_54128456121462410464578910174[[#This Row],[Type]]&gt;0,VLOOKUP(_1_54128456121462410464578910174[[#This Row],[Type]],Main[[#All],[TYPE]:[UNIT]],'Unit Price'!H$1,FALSE),0)</f>
        <v>0</v>
      </c>
      <c r="K127" s="194">
        <f>IF(_1_54128456121462410464578910174[[#This Row],[Discount selection]]&gt;0,VLOOKUP(_1_54128456121462410464578910174[[#This Row],[Discount selection]],'Discount Structure'!$A$2:$B$30,2,"false"),0)</f>
        <v>1</v>
      </c>
      <c r="L127" s="194">
        <f>_1_54128456121462410464578910174[[#This Row],[LIST $]]*_1_54128456121462410464578910174[[#This Row],[DISCOUNT]]*_1_54128456121462410464578910174[[#This Row],[DISCOUNT 2]]</f>
        <v>0</v>
      </c>
      <c r="M127" s="194">
        <f>IF(OR(_1_54128456121462410464578910174[[#This Row],[UNIT]]&gt;0,_1_54128456121462410464578910174[[#This Row],[UNIT]]&lt;0),_1_54128456121462410464578910174[[#This Row],[UNIT]]*_1_54128456121462410464578910174[[#This Row],[COST]],0)</f>
        <v>0</v>
      </c>
      <c r="N127" s="194">
        <f t="shared" si="1"/>
        <v>1.5</v>
      </c>
      <c r="O127" s="198">
        <f>_1_54128456121462410464578910174[[#This Row],[TOTAL]]*_1_54128456121462410464578910174[[#This Row],[MARGIN]]</f>
        <v>0</v>
      </c>
      <c r="R127" s="41"/>
    </row>
    <row r="128" spans="1:18">
      <c r="C128" s="168"/>
      <c r="D128" s="188"/>
      <c r="F128" s="168" t="s">
        <v>6202</v>
      </c>
      <c r="G128" s="193">
        <f>IF(_1_54128456121462410464578910174[[#This Row],[Type]]&gt;0,VLOOKUP(_1_54128456121462410464578910174[[#This Row],[Type]],Main[[#All],[TYPE]:[UNIT]],'Unit Price'!C$1,FALSE),0)</f>
        <v>0</v>
      </c>
      <c r="H128" s="197">
        <f>IF(_1_54128456121462410464578910174[[#This Row],[Type]]&gt;0,VLOOKUP(_1_54128456121462410464578910174[[#This Row],[Type]],Main[[#All],[TYPE]:[UNIT]],'Unit Price'!D$1,FALSE),0)</f>
        <v>0</v>
      </c>
      <c r="I128" s="194">
        <f>IF(_1_54128456121462410464578910174[[#This Row],[Type]]&gt;0,VLOOKUP(_1_54128456121462410464578910174[[#This Row],[Type]],Main[[#All],[TYPE]:[UNIT]],'Unit Price'!G$1,FALSE),0)</f>
        <v>0</v>
      </c>
      <c r="J128" s="194">
        <f>IF(_1_54128456121462410464578910174[[#This Row],[Type]]&gt;0,VLOOKUP(_1_54128456121462410464578910174[[#This Row],[Type]],Main[[#All],[TYPE]:[UNIT]],'Unit Price'!H$1,FALSE),0)</f>
        <v>0</v>
      </c>
      <c r="K128" s="194">
        <f>IF(_1_54128456121462410464578910174[[#This Row],[Discount selection]]&gt;0,VLOOKUP(_1_54128456121462410464578910174[[#This Row],[Discount selection]],'Discount Structure'!$A$2:$B$30,2,"false"),0)</f>
        <v>1</v>
      </c>
      <c r="L128" s="194">
        <f>_1_54128456121462410464578910174[[#This Row],[LIST $]]*_1_54128456121462410464578910174[[#This Row],[DISCOUNT]]*_1_54128456121462410464578910174[[#This Row],[DISCOUNT 2]]</f>
        <v>0</v>
      </c>
      <c r="M128" s="194">
        <f>IF(OR(_1_54128456121462410464578910174[[#This Row],[UNIT]]&gt;0,_1_54128456121462410464578910174[[#This Row],[UNIT]]&lt;0),_1_54128456121462410464578910174[[#This Row],[UNIT]]*_1_54128456121462410464578910174[[#This Row],[COST]],0)</f>
        <v>0</v>
      </c>
      <c r="N128" s="194">
        <f t="shared" si="1"/>
        <v>1.5</v>
      </c>
      <c r="O128" s="198">
        <f>_1_54128456121462410464578910174[[#This Row],[TOTAL]]*_1_54128456121462410464578910174[[#This Row],[MARGIN]]</f>
        <v>0</v>
      </c>
      <c r="R128" s="41"/>
    </row>
    <row r="129" spans="1:18">
      <c r="C129" s="168"/>
      <c r="D129" s="188"/>
      <c r="F129" s="168" t="s">
        <v>6202</v>
      </c>
      <c r="G129" s="193">
        <f>IF(_1_54128456121462410464578910174[[#This Row],[Type]]&gt;0,VLOOKUP(_1_54128456121462410464578910174[[#This Row],[Type]],Main[[#All],[TYPE]:[UNIT]],'Unit Price'!C$1,FALSE),0)</f>
        <v>0</v>
      </c>
      <c r="H129" s="197">
        <f>IF(_1_54128456121462410464578910174[[#This Row],[Type]]&gt;0,VLOOKUP(_1_54128456121462410464578910174[[#This Row],[Type]],Main[[#All],[TYPE]:[UNIT]],'Unit Price'!D$1,FALSE),0)</f>
        <v>0</v>
      </c>
      <c r="I129" s="194">
        <f>IF(_1_54128456121462410464578910174[[#This Row],[Type]]&gt;0,VLOOKUP(_1_54128456121462410464578910174[[#This Row],[Type]],Main[[#All],[TYPE]:[UNIT]],'Unit Price'!G$1,FALSE),0)</f>
        <v>0</v>
      </c>
      <c r="J129" s="194">
        <f>IF(_1_54128456121462410464578910174[[#This Row],[Type]]&gt;0,VLOOKUP(_1_54128456121462410464578910174[[#This Row],[Type]],Main[[#All],[TYPE]:[UNIT]],'Unit Price'!H$1,FALSE),0)</f>
        <v>0</v>
      </c>
      <c r="K129" s="194">
        <f>IF(_1_54128456121462410464578910174[[#This Row],[Discount selection]]&gt;0,VLOOKUP(_1_54128456121462410464578910174[[#This Row],[Discount selection]],'Discount Structure'!$A$2:$B$30,2,"false"),0)</f>
        <v>1</v>
      </c>
      <c r="L129" s="194">
        <f>_1_54128456121462410464578910174[[#This Row],[LIST $]]*_1_54128456121462410464578910174[[#This Row],[DISCOUNT]]*_1_54128456121462410464578910174[[#This Row],[DISCOUNT 2]]</f>
        <v>0</v>
      </c>
      <c r="M129" s="194">
        <f>IF(OR(_1_54128456121462410464578910174[[#This Row],[UNIT]]&gt;0,_1_54128456121462410464578910174[[#This Row],[UNIT]]&lt;0),_1_54128456121462410464578910174[[#This Row],[UNIT]]*_1_54128456121462410464578910174[[#This Row],[COST]],0)</f>
        <v>0</v>
      </c>
      <c r="N129" s="194">
        <f t="shared" si="1"/>
        <v>1.5</v>
      </c>
      <c r="O129" s="198">
        <f>_1_54128456121462410464578910174[[#This Row],[TOTAL]]*_1_54128456121462410464578910174[[#This Row],[MARGIN]]</f>
        <v>0</v>
      </c>
      <c r="R129" s="41"/>
    </row>
    <row r="130" spans="1:18">
      <c r="C130" s="168"/>
      <c r="D130" s="188"/>
      <c r="F130" s="168" t="s">
        <v>6202</v>
      </c>
      <c r="G130" s="193">
        <f>IF(_1_54128456121462410464578910174[[#This Row],[Type]]&gt;0,VLOOKUP(_1_54128456121462410464578910174[[#This Row],[Type]],Main[[#All],[TYPE]:[UNIT]],'Unit Price'!C$1,FALSE),0)</f>
        <v>0</v>
      </c>
      <c r="H130" s="197">
        <f>IF(_1_54128456121462410464578910174[[#This Row],[Type]]&gt;0,VLOOKUP(_1_54128456121462410464578910174[[#This Row],[Type]],Main[[#All],[TYPE]:[UNIT]],'Unit Price'!D$1,FALSE),0)</f>
        <v>0</v>
      </c>
      <c r="I130" s="194">
        <f>IF(_1_54128456121462410464578910174[[#This Row],[Type]]&gt;0,VLOOKUP(_1_54128456121462410464578910174[[#This Row],[Type]],Main[[#All],[TYPE]:[UNIT]],'Unit Price'!G$1,FALSE),0)</f>
        <v>0</v>
      </c>
      <c r="J130" s="194">
        <f>IF(_1_54128456121462410464578910174[[#This Row],[Type]]&gt;0,VLOOKUP(_1_54128456121462410464578910174[[#This Row],[Type]],Main[[#All],[TYPE]:[UNIT]],'Unit Price'!H$1,FALSE),0)</f>
        <v>0</v>
      </c>
      <c r="K130" s="194">
        <f>IF(_1_54128456121462410464578910174[[#This Row],[Discount selection]]&gt;0,VLOOKUP(_1_54128456121462410464578910174[[#This Row],[Discount selection]],'Discount Structure'!$A$2:$B$30,2,"false"),0)</f>
        <v>1</v>
      </c>
      <c r="L130" s="194">
        <f>_1_54128456121462410464578910174[[#This Row],[LIST $]]*_1_54128456121462410464578910174[[#This Row],[DISCOUNT]]*_1_54128456121462410464578910174[[#This Row],[DISCOUNT 2]]</f>
        <v>0</v>
      </c>
      <c r="M130" s="194">
        <f>IF(OR(_1_54128456121462410464578910174[[#This Row],[UNIT]]&gt;0,_1_54128456121462410464578910174[[#This Row],[UNIT]]&lt;0),_1_54128456121462410464578910174[[#This Row],[UNIT]]*_1_54128456121462410464578910174[[#This Row],[COST]],0)</f>
        <v>0</v>
      </c>
      <c r="N130" s="194">
        <f t="shared" si="1"/>
        <v>1.5</v>
      </c>
      <c r="O130" s="198">
        <f>_1_54128456121462410464578910174[[#This Row],[TOTAL]]*_1_54128456121462410464578910174[[#This Row],[MARGIN]]</f>
        <v>0</v>
      </c>
      <c r="R130" s="41"/>
    </row>
    <row r="131" spans="1:18">
      <c r="C131" s="168"/>
      <c r="D131" s="188"/>
      <c r="F131" s="168" t="s">
        <v>6202</v>
      </c>
      <c r="G131" s="193">
        <f>IF(_1_54128456121462410464578910174[[#This Row],[Type]]&gt;0,VLOOKUP(_1_54128456121462410464578910174[[#This Row],[Type]],Main[[#All],[TYPE]:[UNIT]],'Unit Price'!C$1,FALSE),0)</f>
        <v>0</v>
      </c>
      <c r="H131" s="197">
        <f>IF(_1_54128456121462410464578910174[[#This Row],[Type]]&gt;0,VLOOKUP(_1_54128456121462410464578910174[[#This Row],[Type]],Main[[#All],[TYPE]:[UNIT]],'Unit Price'!D$1,FALSE),0)</f>
        <v>0</v>
      </c>
      <c r="I131" s="194">
        <f>IF(_1_54128456121462410464578910174[[#This Row],[Type]]&gt;0,VLOOKUP(_1_54128456121462410464578910174[[#This Row],[Type]],Main[[#All],[TYPE]:[UNIT]],'Unit Price'!G$1,FALSE),0)</f>
        <v>0</v>
      </c>
      <c r="J131" s="194">
        <f>IF(_1_54128456121462410464578910174[[#This Row],[Type]]&gt;0,VLOOKUP(_1_54128456121462410464578910174[[#This Row],[Type]],Main[[#All],[TYPE]:[UNIT]],'Unit Price'!H$1,FALSE),0)</f>
        <v>0</v>
      </c>
      <c r="K131" s="194">
        <f>IF(_1_54128456121462410464578910174[[#This Row],[Discount selection]]&gt;0,VLOOKUP(_1_54128456121462410464578910174[[#This Row],[Discount selection]],'Discount Structure'!$A$2:$B$30,2,"false"),0)</f>
        <v>1</v>
      </c>
      <c r="L131" s="194">
        <f>_1_54128456121462410464578910174[[#This Row],[LIST $]]*_1_54128456121462410464578910174[[#This Row],[DISCOUNT]]*_1_54128456121462410464578910174[[#This Row],[DISCOUNT 2]]</f>
        <v>0</v>
      </c>
      <c r="M131" s="194">
        <f>IF(OR(_1_54128456121462410464578910174[[#This Row],[UNIT]]&gt;0,_1_54128456121462410464578910174[[#This Row],[UNIT]]&lt;0),_1_54128456121462410464578910174[[#This Row],[UNIT]]*_1_54128456121462410464578910174[[#This Row],[COST]],0)</f>
        <v>0</v>
      </c>
      <c r="N131" s="194">
        <f t="shared" si="1"/>
        <v>1.5</v>
      </c>
      <c r="O131" s="198">
        <f>_1_54128456121462410464578910174[[#This Row],[TOTAL]]*_1_54128456121462410464578910174[[#This Row],[MARGIN]]</f>
        <v>0</v>
      </c>
      <c r="R131" s="41"/>
    </row>
    <row r="132" spans="1:18">
      <c r="C132" s="168"/>
      <c r="D132" s="188"/>
      <c r="F132" s="168" t="s">
        <v>6202</v>
      </c>
      <c r="G132" s="193">
        <f>IF(_1_54128456121462410464578910174[[#This Row],[Type]]&gt;0,VLOOKUP(_1_54128456121462410464578910174[[#This Row],[Type]],Main[[#All],[TYPE]:[UNIT]],'Unit Price'!C$1,FALSE),0)</f>
        <v>0</v>
      </c>
      <c r="H132" s="197">
        <f>IF(_1_54128456121462410464578910174[[#This Row],[Type]]&gt;0,VLOOKUP(_1_54128456121462410464578910174[[#This Row],[Type]],Main[[#All],[TYPE]:[UNIT]],'Unit Price'!D$1,FALSE),0)</f>
        <v>0</v>
      </c>
      <c r="I132" s="194">
        <f>IF(_1_54128456121462410464578910174[[#This Row],[Type]]&gt;0,VLOOKUP(_1_54128456121462410464578910174[[#This Row],[Type]],Main[[#All],[TYPE]:[UNIT]],'Unit Price'!G$1,FALSE),0)</f>
        <v>0</v>
      </c>
      <c r="J132" s="194">
        <f>IF(_1_54128456121462410464578910174[[#This Row],[Type]]&gt;0,VLOOKUP(_1_54128456121462410464578910174[[#This Row],[Type]],Main[[#All],[TYPE]:[UNIT]],'Unit Price'!H$1,FALSE),0)</f>
        <v>0</v>
      </c>
      <c r="K132" s="194">
        <f>IF(_1_54128456121462410464578910174[[#This Row],[Discount selection]]&gt;0,VLOOKUP(_1_54128456121462410464578910174[[#This Row],[Discount selection]],'Discount Structure'!$A$2:$B$30,2,"false"),0)</f>
        <v>1</v>
      </c>
      <c r="L132" s="194">
        <f>_1_54128456121462410464578910174[[#This Row],[LIST $]]*_1_54128456121462410464578910174[[#This Row],[DISCOUNT]]*_1_54128456121462410464578910174[[#This Row],[DISCOUNT 2]]</f>
        <v>0</v>
      </c>
      <c r="M132" s="194">
        <f>IF(OR(_1_54128456121462410464578910174[[#This Row],[UNIT]]&gt;0,_1_54128456121462410464578910174[[#This Row],[UNIT]]&lt;0),_1_54128456121462410464578910174[[#This Row],[UNIT]]*_1_54128456121462410464578910174[[#This Row],[COST]],0)</f>
        <v>0</v>
      </c>
      <c r="N132" s="194">
        <f t="shared" si="1"/>
        <v>1.5</v>
      </c>
      <c r="O132" s="198">
        <f>_1_54128456121462410464578910174[[#This Row],[TOTAL]]*_1_54128456121462410464578910174[[#This Row],[MARGIN]]</f>
        <v>0</v>
      </c>
      <c r="R132" s="41"/>
    </row>
    <row r="133" spans="1:18">
      <c r="C133" s="168"/>
      <c r="D133" s="188"/>
      <c r="F133" s="168" t="s">
        <v>6202</v>
      </c>
      <c r="G133" s="193">
        <f>IF(_1_54128456121462410464578910174[[#This Row],[Type]]&gt;0,VLOOKUP(_1_54128456121462410464578910174[[#This Row],[Type]],Main[[#All],[TYPE]:[UNIT]],'Unit Price'!C$1,FALSE),0)</f>
        <v>0</v>
      </c>
      <c r="H133" s="197">
        <f>IF(_1_54128456121462410464578910174[[#This Row],[Type]]&gt;0,VLOOKUP(_1_54128456121462410464578910174[[#This Row],[Type]],Main[[#All],[TYPE]:[UNIT]],'Unit Price'!D$1,FALSE),0)</f>
        <v>0</v>
      </c>
      <c r="I133" s="194">
        <f>IF(_1_54128456121462410464578910174[[#This Row],[Type]]&gt;0,VLOOKUP(_1_54128456121462410464578910174[[#This Row],[Type]],Main[[#All],[TYPE]:[UNIT]],'Unit Price'!G$1,FALSE),0)</f>
        <v>0</v>
      </c>
      <c r="J133" s="194">
        <f>IF(_1_54128456121462410464578910174[[#This Row],[Type]]&gt;0,VLOOKUP(_1_54128456121462410464578910174[[#This Row],[Type]],Main[[#All],[TYPE]:[UNIT]],'Unit Price'!H$1,FALSE),0)</f>
        <v>0</v>
      </c>
      <c r="K133" s="194">
        <f>IF(_1_54128456121462410464578910174[[#This Row],[Discount selection]]&gt;0,VLOOKUP(_1_54128456121462410464578910174[[#This Row],[Discount selection]],'Discount Structure'!$A$2:$B$30,2,"false"),0)</f>
        <v>1</v>
      </c>
      <c r="L133" s="194">
        <f>_1_54128456121462410464578910174[[#This Row],[LIST $]]*_1_54128456121462410464578910174[[#This Row],[DISCOUNT]]*_1_54128456121462410464578910174[[#This Row],[DISCOUNT 2]]</f>
        <v>0</v>
      </c>
      <c r="M133" s="194">
        <f>IF(OR(_1_54128456121462410464578910174[[#This Row],[UNIT]]&gt;0,_1_54128456121462410464578910174[[#This Row],[UNIT]]&lt;0),_1_54128456121462410464578910174[[#This Row],[UNIT]]*_1_54128456121462410464578910174[[#This Row],[COST]],0)</f>
        <v>0</v>
      </c>
      <c r="N133" s="194">
        <f t="shared" si="1"/>
        <v>1.5</v>
      </c>
      <c r="O133" s="198">
        <f>_1_54128456121462410464578910174[[#This Row],[TOTAL]]*_1_54128456121462410464578910174[[#This Row],[MARGIN]]</f>
        <v>0</v>
      </c>
      <c r="R133" s="41"/>
    </row>
    <row r="134" spans="1:18">
      <c r="C134" s="168"/>
      <c r="D134" s="188"/>
      <c r="F134" s="168" t="s">
        <v>6202</v>
      </c>
      <c r="G134" s="193">
        <f>IF(_1_54128456121462410464578910174[[#This Row],[Type]]&gt;0,VLOOKUP(_1_54128456121462410464578910174[[#This Row],[Type]],Main[[#All],[TYPE]:[UNIT]],'Unit Price'!C$1,FALSE),0)</f>
        <v>0</v>
      </c>
      <c r="H134" s="197">
        <f>IF(_1_54128456121462410464578910174[[#This Row],[Type]]&gt;0,VLOOKUP(_1_54128456121462410464578910174[[#This Row],[Type]],Main[[#All],[TYPE]:[UNIT]],'Unit Price'!D$1,FALSE),0)</f>
        <v>0</v>
      </c>
      <c r="I134" s="194">
        <f>IF(_1_54128456121462410464578910174[[#This Row],[Type]]&gt;0,VLOOKUP(_1_54128456121462410464578910174[[#This Row],[Type]],Main[[#All],[TYPE]:[UNIT]],'Unit Price'!G$1,FALSE),0)</f>
        <v>0</v>
      </c>
      <c r="J134" s="194">
        <f>IF(_1_54128456121462410464578910174[[#This Row],[Type]]&gt;0,VLOOKUP(_1_54128456121462410464578910174[[#This Row],[Type]],Main[[#All],[TYPE]:[UNIT]],'Unit Price'!H$1,FALSE),0)</f>
        <v>0</v>
      </c>
      <c r="K134" s="194">
        <f>IF(_1_54128456121462410464578910174[[#This Row],[Discount selection]]&gt;0,VLOOKUP(_1_54128456121462410464578910174[[#This Row],[Discount selection]],'Discount Structure'!$A$2:$B$30,2,"false"),0)</f>
        <v>1</v>
      </c>
      <c r="L134" s="194">
        <f>_1_54128456121462410464578910174[[#This Row],[LIST $]]*_1_54128456121462410464578910174[[#This Row],[DISCOUNT]]*_1_54128456121462410464578910174[[#This Row],[DISCOUNT 2]]</f>
        <v>0</v>
      </c>
      <c r="M134" s="194">
        <f>IF(OR(_1_54128456121462410464578910174[[#This Row],[UNIT]]&gt;0,_1_54128456121462410464578910174[[#This Row],[UNIT]]&lt;0),_1_54128456121462410464578910174[[#This Row],[UNIT]]*_1_54128456121462410464578910174[[#This Row],[COST]],0)</f>
        <v>0</v>
      </c>
      <c r="N134" s="194">
        <f t="shared" si="1"/>
        <v>1.5</v>
      </c>
      <c r="O134" s="198">
        <f>_1_54128456121462410464578910174[[#This Row],[TOTAL]]*_1_54128456121462410464578910174[[#This Row],[MARGIN]]</f>
        <v>0</v>
      </c>
      <c r="R134" s="41"/>
    </row>
    <row r="135" spans="1:18">
      <c r="C135" s="168"/>
      <c r="D135" s="188"/>
      <c r="F135" s="168" t="s">
        <v>6202</v>
      </c>
      <c r="G135" s="193">
        <f>IF(_1_54128456121462410464578910174[[#This Row],[Type]]&gt;0,VLOOKUP(_1_54128456121462410464578910174[[#This Row],[Type]],Main[[#All],[TYPE]:[UNIT]],'Unit Price'!C$1,FALSE),0)</f>
        <v>0</v>
      </c>
      <c r="H135" s="197">
        <f>IF(_1_54128456121462410464578910174[[#This Row],[Type]]&gt;0,VLOOKUP(_1_54128456121462410464578910174[[#This Row],[Type]],Main[[#All],[TYPE]:[UNIT]],'Unit Price'!D$1,FALSE),0)</f>
        <v>0</v>
      </c>
      <c r="I135" s="194">
        <f>IF(_1_54128456121462410464578910174[[#This Row],[Type]]&gt;0,VLOOKUP(_1_54128456121462410464578910174[[#This Row],[Type]],Main[[#All],[TYPE]:[UNIT]],'Unit Price'!G$1,FALSE),0)</f>
        <v>0</v>
      </c>
      <c r="J135" s="194">
        <f>IF(_1_54128456121462410464578910174[[#This Row],[Type]]&gt;0,VLOOKUP(_1_54128456121462410464578910174[[#This Row],[Type]],Main[[#All],[TYPE]:[UNIT]],'Unit Price'!H$1,FALSE),0)</f>
        <v>0</v>
      </c>
      <c r="K135" s="194">
        <f>IF(_1_54128456121462410464578910174[[#This Row],[Discount selection]]&gt;0,VLOOKUP(_1_54128456121462410464578910174[[#This Row],[Discount selection]],'Discount Structure'!$A$2:$B$30,2,"false"),0)</f>
        <v>1</v>
      </c>
      <c r="L135" s="194">
        <f>_1_54128456121462410464578910174[[#This Row],[LIST $]]*_1_54128456121462410464578910174[[#This Row],[DISCOUNT]]*_1_54128456121462410464578910174[[#This Row],[DISCOUNT 2]]</f>
        <v>0</v>
      </c>
      <c r="M135" s="194">
        <f>IF(OR(_1_54128456121462410464578910174[[#This Row],[UNIT]]&gt;0,_1_54128456121462410464578910174[[#This Row],[UNIT]]&lt;0),_1_54128456121462410464578910174[[#This Row],[UNIT]]*_1_54128456121462410464578910174[[#This Row],[COST]],0)</f>
        <v>0</v>
      </c>
      <c r="N135" s="194">
        <f t="shared" si="1"/>
        <v>1.5</v>
      </c>
      <c r="O135" s="198">
        <f>_1_54128456121462410464578910174[[#This Row],[TOTAL]]*_1_54128456121462410464578910174[[#This Row],[MARGIN]]</f>
        <v>0</v>
      </c>
      <c r="R135" s="41"/>
    </row>
    <row r="136" spans="1:18">
      <c r="C136" s="168"/>
      <c r="D136" s="188"/>
      <c r="F136" s="168" t="s">
        <v>6202</v>
      </c>
      <c r="G136" s="193">
        <f>IF(_1_54128456121462410464578910174[[#This Row],[Type]]&gt;0,VLOOKUP(_1_54128456121462410464578910174[[#This Row],[Type]],Main[[#All],[TYPE]:[UNIT]],'Unit Price'!C$1,FALSE),0)</f>
        <v>0</v>
      </c>
      <c r="H136" s="197">
        <f>IF(_1_54128456121462410464578910174[[#This Row],[Type]]&gt;0,VLOOKUP(_1_54128456121462410464578910174[[#This Row],[Type]],Main[[#All],[TYPE]:[UNIT]],'Unit Price'!D$1,FALSE),0)</f>
        <v>0</v>
      </c>
      <c r="I136" s="194">
        <f>IF(_1_54128456121462410464578910174[[#This Row],[Type]]&gt;0,VLOOKUP(_1_54128456121462410464578910174[[#This Row],[Type]],Main[[#All],[TYPE]:[UNIT]],'Unit Price'!G$1,FALSE),0)</f>
        <v>0</v>
      </c>
      <c r="J136" s="194">
        <f>IF(_1_54128456121462410464578910174[[#This Row],[Type]]&gt;0,VLOOKUP(_1_54128456121462410464578910174[[#This Row],[Type]],Main[[#All],[TYPE]:[UNIT]],'Unit Price'!H$1,FALSE),0)</f>
        <v>0</v>
      </c>
      <c r="K136" s="194">
        <f>IF(_1_54128456121462410464578910174[[#This Row],[Discount selection]]&gt;0,VLOOKUP(_1_54128456121462410464578910174[[#This Row],[Discount selection]],'Discount Structure'!$A$2:$B$30,2,"false"),0)</f>
        <v>1</v>
      </c>
      <c r="L136" s="194">
        <f>_1_54128456121462410464578910174[[#This Row],[LIST $]]*_1_54128456121462410464578910174[[#This Row],[DISCOUNT]]*_1_54128456121462410464578910174[[#This Row],[DISCOUNT 2]]</f>
        <v>0</v>
      </c>
      <c r="M136" s="194">
        <f>IF(OR(_1_54128456121462410464578910174[[#This Row],[UNIT]]&gt;0,_1_54128456121462410464578910174[[#This Row],[UNIT]]&lt;0),_1_54128456121462410464578910174[[#This Row],[UNIT]]*_1_54128456121462410464578910174[[#This Row],[COST]],0)</f>
        <v>0</v>
      </c>
      <c r="N136" s="194">
        <f t="shared" si="1"/>
        <v>1.5</v>
      </c>
      <c r="O136" s="198">
        <f>_1_54128456121462410464578910174[[#This Row],[TOTAL]]*_1_54128456121462410464578910174[[#This Row],[MARGIN]]</f>
        <v>0</v>
      </c>
      <c r="R136" s="41"/>
    </row>
    <row r="137" spans="1:18">
      <c r="A137" s="168"/>
      <c r="C137" s="168"/>
      <c r="D137" s="188"/>
      <c r="F137" s="168" t="s">
        <v>6202</v>
      </c>
      <c r="G137" s="193">
        <f>IF(_1_54128456121462410464578910174[[#This Row],[Type]]&gt;0,VLOOKUP(_1_54128456121462410464578910174[[#This Row],[Type]],Main[[#All],[TYPE]:[UNIT]],'Unit Price'!C$1,FALSE),0)</f>
        <v>0</v>
      </c>
      <c r="H137" s="197">
        <f>IF(_1_54128456121462410464578910174[[#This Row],[Type]]&gt;0,VLOOKUP(_1_54128456121462410464578910174[[#This Row],[Type]],Main[[#All],[TYPE]:[UNIT]],'Unit Price'!D$1,FALSE),0)</f>
        <v>0</v>
      </c>
      <c r="I137" s="194">
        <f>IF(_1_54128456121462410464578910174[[#This Row],[Type]]&gt;0,VLOOKUP(_1_54128456121462410464578910174[[#This Row],[Type]],Main[[#All],[TYPE]:[UNIT]],'Unit Price'!G$1,FALSE),0)</f>
        <v>0</v>
      </c>
      <c r="J137" s="194">
        <f>IF(_1_54128456121462410464578910174[[#This Row],[Type]]&gt;0,VLOOKUP(_1_54128456121462410464578910174[[#This Row],[Type]],Main[[#All],[TYPE]:[UNIT]],'Unit Price'!H$1,FALSE),0)</f>
        <v>0</v>
      </c>
      <c r="K137" s="194">
        <f>IF(_1_54128456121462410464578910174[[#This Row],[Discount selection]]&gt;0,VLOOKUP(_1_54128456121462410464578910174[[#This Row],[Discount selection]],'Discount Structure'!$A$2:$B$30,2,"false"),0)</f>
        <v>1</v>
      </c>
      <c r="L137" s="194">
        <f>_1_54128456121462410464578910174[[#This Row],[LIST $]]*_1_54128456121462410464578910174[[#This Row],[DISCOUNT]]*_1_54128456121462410464578910174[[#This Row],[DISCOUNT 2]]</f>
        <v>0</v>
      </c>
      <c r="M137" s="194">
        <f>IF(OR(_1_54128456121462410464578910174[[#This Row],[UNIT]]&gt;0,_1_54128456121462410464578910174[[#This Row],[UNIT]]&lt;0),_1_54128456121462410464578910174[[#This Row],[UNIT]]*_1_54128456121462410464578910174[[#This Row],[COST]],0)</f>
        <v>0</v>
      </c>
      <c r="N137" s="194">
        <f t="shared" si="1"/>
        <v>1.5</v>
      </c>
      <c r="O137" s="198">
        <f>_1_54128456121462410464578910174[[#This Row],[TOTAL]]*_1_54128456121462410464578910174[[#This Row],[MARGIN]]</f>
        <v>0</v>
      </c>
      <c r="R137" s="41"/>
    </row>
    <row r="138" spans="1:18">
      <c r="B138" s="168"/>
      <c r="C138" s="168"/>
      <c r="D138" s="188"/>
      <c r="E138" s="313"/>
      <c r="F138" s="168" t="s">
        <v>6202</v>
      </c>
      <c r="G138" s="193">
        <f>IF(_1_54128456121462410464578910174[[#This Row],[Type]]&gt;0,VLOOKUP(_1_54128456121462410464578910174[[#This Row],[Type]],Main[[#All],[TYPE]:[UNIT]],'Unit Price'!C$1,FALSE),0)</f>
        <v>0</v>
      </c>
      <c r="H138" s="197">
        <f>IF(_1_54128456121462410464578910174[[#This Row],[Type]]&gt;0,VLOOKUP(_1_54128456121462410464578910174[[#This Row],[Type]],Main[[#All],[TYPE]:[UNIT]],'Unit Price'!D$1,FALSE),0)</f>
        <v>0</v>
      </c>
      <c r="I138" s="194">
        <f>IF(_1_54128456121462410464578910174[[#This Row],[Type]]&gt;0,VLOOKUP(_1_54128456121462410464578910174[[#This Row],[Type]],Main[[#All],[TYPE]:[UNIT]],'Unit Price'!G$1,FALSE),0)</f>
        <v>0</v>
      </c>
      <c r="J138" s="194">
        <f>IF(_1_54128456121462410464578910174[[#This Row],[Type]]&gt;0,VLOOKUP(_1_54128456121462410464578910174[[#This Row],[Type]],Main[[#All],[TYPE]:[UNIT]],'Unit Price'!H$1,FALSE),0)</f>
        <v>0</v>
      </c>
      <c r="K138" s="194">
        <f>IF(_1_54128456121462410464578910174[[#This Row],[Discount selection]]&gt;0,VLOOKUP(_1_54128456121462410464578910174[[#This Row],[Discount selection]],'Discount Structure'!$A$2:$B$30,2,"false"),0)</f>
        <v>1</v>
      </c>
      <c r="L138" s="194">
        <f>_1_54128456121462410464578910174[[#This Row],[LIST $]]*_1_54128456121462410464578910174[[#This Row],[DISCOUNT]]*_1_54128456121462410464578910174[[#This Row],[DISCOUNT 2]]</f>
        <v>0</v>
      </c>
      <c r="M138" s="194">
        <f>IF(OR(_1_54128456121462410464578910174[[#This Row],[UNIT]]&gt;0,_1_54128456121462410464578910174[[#This Row],[UNIT]]&lt;0),_1_54128456121462410464578910174[[#This Row],[UNIT]]*_1_54128456121462410464578910174[[#This Row],[COST]],0)</f>
        <v>0</v>
      </c>
      <c r="N138" s="194">
        <f t="shared" ref="N138:N201" si="2">$N$7</f>
        <v>1.5</v>
      </c>
      <c r="O138" s="198">
        <f>_1_54128456121462410464578910174[[#This Row],[TOTAL]]*_1_54128456121462410464578910174[[#This Row],[MARGIN]]</f>
        <v>0</v>
      </c>
      <c r="R138" s="41"/>
    </row>
    <row r="139" spans="1:18">
      <c r="A139" s="168"/>
      <c r="C139" s="168"/>
      <c r="D139" s="188"/>
      <c r="F139" s="168" t="s">
        <v>6202</v>
      </c>
      <c r="G139" s="193">
        <f>IF(_1_54128456121462410464578910174[[#This Row],[Type]]&gt;0,VLOOKUP(_1_54128456121462410464578910174[[#This Row],[Type]],Main[[#All],[TYPE]:[UNIT]],'Unit Price'!C$1,FALSE),0)</f>
        <v>0</v>
      </c>
      <c r="H139" s="197">
        <f>IF(_1_54128456121462410464578910174[[#This Row],[Type]]&gt;0,VLOOKUP(_1_54128456121462410464578910174[[#This Row],[Type]],Main[[#All],[TYPE]:[UNIT]],'Unit Price'!D$1,FALSE),0)</f>
        <v>0</v>
      </c>
      <c r="I139" s="194">
        <f>IF(_1_54128456121462410464578910174[[#This Row],[Type]]&gt;0,VLOOKUP(_1_54128456121462410464578910174[[#This Row],[Type]],Main[[#All],[TYPE]:[UNIT]],'Unit Price'!G$1,FALSE),0)</f>
        <v>0</v>
      </c>
      <c r="J139" s="194">
        <f>IF(_1_54128456121462410464578910174[[#This Row],[Type]]&gt;0,VLOOKUP(_1_54128456121462410464578910174[[#This Row],[Type]],Main[[#All],[TYPE]:[UNIT]],'Unit Price'!H$1,FALSE),0)</f>
        <v>0</v>
      </c>
      <c r="K139" s="194">
        <f>IF(_1_54128456121462410464578910174[[#This Row],[Discount selection]]&gt;0,VLOOKUP(_1_54128456121462410464578910174[[#This Row],[Discount selection]],'Discount Structure'!$A$2:$B$30,2,"false"),0)</f>
        <v>1</v>
      </c>
      <c r="L139" s="194">
        <f>_1_54128456121462410464578910174[[#This Row],[LIST $]]*_1_54128456121462410464578910174[[#This Row],[DISCOUNT]]*_1_54128456121462410464578910174[[#This Row],[DISCOUNT 2]]</f>
        <v>0</v>
      </c>
      <c r="M139" s="194">
        <f>IF(OR(_1_54128456121462410464578910174[[#This Row],[UNIT]]&gt;0,_1_54128456121462410464578910174[[#This Row],[UNIT]]&lt;0),_1_54128456121462410464578910174[[#This Row],[UNIT]]*_1_54128456121462410464578910174[[#This Row],[COST]],0)</f>
        <v>0</v>
      </c>
      <c r="N139" s="194">
        <f t="shared" si="2"/>
        <v>1.5</v>
      </c>
      <c r="O139" s="198">
        <f>_1_54128456121462410464578910174[[#This Row],[TOTAL]]*_1_54128456121462410464578910174[[#This Row],[MARGIN]]</f>
        <v>0</v>
      </c>
      <c r="R139" s="41"/>
    </row>
    <row r="140" spans="1:18">
      <c r="A140" s="168"/>
      <c r="B140" s="168"/>
      <c r="C140" s="168"/>
      <c r="D140" s="188"/>
      <c r="F140" s="168" t="s">
        <v>6202</v>
      </c>
      <c r="G140" s="193">
        <f>IF(_1_54128456121462410464578910174[[#This Row],[Type]]&gt;0,VLOOKUP(_1_54128456121462410464578910174[[#This Row],[Type]],Main[[#All],[TYPE]:[UNIT]],'Unit Price'!C$1,FALSE),0)</f>
        <v>0</v>
      </c>
      <c r="H140" s="197">
        <f>IF(_1_54128456121462410464578910174[[#This Row],[Type]]&gt;0,VLOOKUP(_1_54128456121462410464578910174[[#This Row],[Type]],Main[[#All],[TYPE]:[UNIT]],'Unit Price'!D$1,FALSE),0)</f>
        <v>0</v>
      </c>
      <c r="I140" s="194">
        <f>IF(_1_54128456121462410464578910174[[#This Row],[Type]]&gt;0,VLOOKUP(_1_54128456121462410464578910174[[#This Row],[Type]],Main[[#All],[TYPE]:[UNIT]],'Unit Price'!G$1,FALSE),0)</f>
        <v>0</v>
      </c>
      <c r="J140" s="194">
        <f>IF(_1_54128456121462410464578910174[[#This Row],[Type]]&gt;0,VLOOKUP(_1_54128456121462410464578910174[[#This Row],[Type]],Main[[#All],[TYPE]:[UNIT]],'Unit Price'!H$1,FALSE),0)</f>
        <v>0</v>
      </c>
      <c r="K140" s="194">
        <f>IF(_1_54128456121462410464578910174[[#This Row],[Discount selection]]&gt;0,VLOOKUP(_1_54128456121462410464578910174[[#This Row],[Discount selection]],'Discount Structure'!$A$2:$B$30,2,"false"),0)</f>
        <v>1</v>
      </c>
      <c r="L140" s="194">
        <f>_1_54128456121462410464578910174[[#This Row],[LIST $]]*_1_54128456121462410464578910174[[#This Row],[DISCOUNT]]*_1_54128456121462410464578910174[[#This Row],[DISCOUNT 2]]</f>
        <v>0</v>
      </c>
      <c r="M140" s="194">
        <f>IF(OR(_1_54128456121462410464578910174[[#This Row],[UNIT]]&gt;0,_1_54128456121462410464578910174[[#This Row],[UNIT]]&lt;0),_1_54128456121462410464578910174[[#This Row],[UNIT]]*_1_54128456121462410464578910174[[#This Row],[COST]],0)</f>
        <v>0</v>
      </c>
      <c r="N140" s="194">
        <f t="shared" si="2"/>
        <v>1.5</v>
      </c>
      <c r="O140" s="198">
        <f>_1_54128456121462410464578910174[[#This Row],[TOTAL]]*_1_54128456121462410464578910174[[#This Row],[MARGIN]]</f>
        <v>0</v>
      </c>
      <c r="R140" s="41"/>
    </row>
    <row r="141" spans="1:18">
      <c r="C141" s="168"/>
      <c r="D141" s="188"/>
      <c r="F141" s="168" t="s">
        <v>6202</v>
      </c>
      <c r="G141" s="193">
        <f>IF(_1_54128456121462410464578910174[[#This Row],[Type]]&gt;0,VLOOKUP(_1_54128456121462410464578910174[[#This Row],[Type]],Main[[#All],[TYPE]:[UNIT]],'Unit Price'!C$1,FALSE),0)</f>
        <v>0</v>
      </c>
      <c r="H141" s="197">
        <f>IF(_1_54128456121462410464578910174[[#This Row],[Type]]&gt;0,VLOOKUP(_1_54128456121462410464578910174[[#This Row],[Type]],Main[[#All],[TYPE]:[UNIT]],'Unit Price'!D$1,FALSE),0)</f>
        <v>0</v>
      </c>
      <c r="I141" s="194">
        <f>IF(_1_54128456121462410464578910174[[#This Row],[Type]]&gt;0,VLOOKUP(_1_54128456121462410464578910174[[#This Row],[Type]],Main[[#All],[TYPE]:[UNIT]],'Unit Price'!G$1,FALSE),0)</f>
        <v>0</v>
      </c>
      <c r="J141" s="194">
        <f>IF(_1_54128456121462410464578910174[[#This Row],[Type]]&gt;0,VLOOKUP(_1_54128456121462410464578910174[[#This Row],[Type]],Main[[#All],[TYPE]:[UNIT]],'Unit Price'!H$1,FALSE),0)</f>
        <v>0</v>
      </c>
      <c r="K141" s="194">
        <f>IF(_1_54128456121462410464578910174[[#This Row],[Discount selection]]&gt;0,VLOOKUP(_1_54128456121462410464578910174[[#This Row],[Discount selection]],'Discount Structure'!$A$2:$B$30,2,"false"),0)</f>
        <v>1</v>
      </c>
      <c r="L141" s="194">
        <f>_1_54128456121462410464578910174[[#This Row],[LIST $]]*_1_54128456121462410464578910174[[#This Row],[DISCOUNT]]*_1_54128456121462410464578910174[[#This Row],[DISCOUNT 2]]</f>
        <v>0</v>
      </c>
      <c r="M141" s="194">
        <f>IF(OR(_1_54128456121462410464578910174[[#This Row],[UNIT]]&gt;0,_1_54128456121462410464578910174[[#This Row],[UNIT]]&lt;0),_1_54128456121462410464578910174[[#This Row],[UNIT]]*_1_54128456121462410464578910174[[#This Row],[COST]],0)</f>
        <v>0</v>
      </c>
      <c r="N141" s="194">
        <f t="shared" si="2"/>
        <v>1.5</v>
      </c>
      <c r="O141" s="198">
        <f>_1_54128456121462410464578910174[[#This Row],[TOTAL]]*_1_54128456121462410464578910174[[#This Row],[MARGIN]]</f>
        <v>0</v>
      </c>
      <c r="R141" s="41"/>
    </row>
    <row r="142" spans="1:18">
      <c r="C142" s="168"/>
      <c r="D142" s="188"/>
      <c r="F142" s="168" t="s">
        <v>6202</v>
      </c>
      <c r="G142" s="193">
        <f>IF(_1_54128456121462410464578910174[[#This Row],[Type]]&gt;0,VLOOKUP(_1_54128456121462410464578910174[[#This Row],[Type]],Main[[#All],[TYPE]:[UNIT]],'Unit Price'!C$1,FALSE),0)</f>
        <v>0</v>
      </c>
      <c r="H142" s="197">
        <f>IF(_1_54128456121462410464578910174[[#This Row],[Type]]&gt;0,VLOOKUP(_1_54128456121462410464578910174[[#This Row],[Type]],Main[[#All],[TYPE]:[UNIT]],'Unit Price'!D$1,FALSE),0)</f>
        <v>0</v>
      </c>
      <c r="I142" s="194">
        <f>IF(_1_54128456121462410464578910174[[#This Row],[Type]]&gt;0,VLOOKUP(_1_54128456121462410464578910174[[#This Row],[Type]],Main[[#All],[TYPE]:[UNIT]],'Unit Price'!G$1,FALSE),0)</f>
        <v>0</v>
      </c>
      <c r="J142" s="194">
        <f>IF(_1_54128456121462410464578910174[[#This Row],[Type]]&gt;0,VLOOKUP(_1_54128456121462410464578910174[[#This Row],[Type]],Main[[#All],[TYPE]:[UNIT]],'Unit Price'!H$1,FALSE),0)</f>
        <v>0</v>
      </c>
      <c r="K142" s="194">
        <f>IF(_1_54128456121462410464578910174[[#This Row],[Discount selection]]&gt;0,VLOOKUP(_1_54128456121462410464578910174[[#This Row],[Discount selection]],'Discount Structure'!$A$2:$B$30,2,"false"),0)</f>
        <v>1</v>
      </c>
      <c r="L142" s="194">
        <f>_1_54128456121462410464578910174[[#This Row],[LIST $]]*_1_54128456121462410464578910174[[#This Row],[DISCOUNT]]*_1_54128456121462410464578910174[[#This Row],[DISCOUNT 2]]</f>
        <v>0</v>
      </c>
      <c r="M142" s="194">
        <f>IF(OR(_1_54128456121462410464578910174[[#This Row],[UNIT]]&gt;0,_1_54128456121462410464578910174[[#This Row],[UNIT]]&lt;0),_1_54128456121462410464578910174[[#This Row],[UNIT]]*_1_54128456121462410464578910174[[#This Row],[COST]],0)</f>
        <v>0</v>
      </c>
      <c r="N142" s="194">
        <f t="shared" si="2"/>
        <v>1.5</v>
      </c>
      <c r="O142" s="198">
        <f>_1_54128456121462410464578910174[[#This Row],[TOTAL]]*_1_54128456121462410464578910174[[#This Row],[MARGIN]]</f>
        <v>0</v>
      </c>
      <c r="R142" s="41"/>
    </row>
    <row r="143" spans="1:18">
      <c r="C143" s="168"/>
      <c r="D143" s="188"/>
      <c r="F143" s="168" t="s">
        <v>6202</v>
      </c>
      <c r="G143" s="193">
        <f>IF(_1_54128456121462410464578910174[[#This Row],[Type]]&gt;0,VLOOKUP(_1_54128456121462410464578910174[[#This Row],[Type]],Main[[#All],[TYPE]:[UNIT]],'Unit Price'!C$1,FALSE),0)</f>
        <v>0</v>
      </c>
      <c r="H143" s="197">
        <f>IF(_1_54128456121462410464578910174[[#This Row],[Type]]&gt;0,VLOOKUP(_1_54128456121462410464578910174[[#This Row],[Type]],Main[[#All],[TYPE]:[UNIT]],'Unit Price'!D$1,FALSE),0)</f>
        <v>0</v>
      </c>
      <c r="I143" s="194">
        <f>IF(_1_54128456121462410464578910174[[#This Row],[Type]]&gt;0,VLOOKUP(_1_54128456121462410464578910174[[#This Row],[Type]],Main[[#All],[TYPE]:[UNIT]],'Unit Price'!G$1,FALSE),0)</f>
        <v>0</v>
      </c>
      <c r="J143" s="194">
        <f>IF(_1_54128456121462410464578910174[[#This Row],[Type]]&gt;0,VLOOKUP(_1_54128456121462410464578910174[[#This Row],[Type]],Main[[#All],[TYPE]:[UNIT]],'Unit Price'!H$1,FALSE),0)</f>
        <v>0</v>
      </c>
      <c r="K143" s="194">
        <f>IF(_1_54128456121462410464578910174[[#This Row],[Discount selection]]&gt;0,VLOOKUP(_1_54128456121462410464578910174[[#This Row],[Discount selection]],'Discount Structure'!$A$2:$B$30,2,"false"),0)</f>
        <v>1</v>
      </c>
      <c r="L143" s="194">
        <f>_1_54128456121462410464578910174[[#This Row],[LIST $]]*_1_54128456121462410464578910174[[#This Row],[DISCOUNT]]*_1_54128456121462410464578910174[[#This Row],[DISCOUNT 2]]</f>
        <v>0</v>
      </c>
      <c r="M143" s="194">
        <f>IF(OR(_1_54128456121462410464578910174[[#This Row],[UNIT]]&gt;0,_1_54128456121462410464578910174[[#This Row],[UNIT]]&lt;0),_1_54128456121462410464578910174[[#This Row],[UNIT]]*_1_54128456121462410464578910174[[#This Row],[COST]],0)</f>
        <v>0</v>
      </c>
      <c r="N143" s="194">
        <f t="shared" si="2"/>
        <v>1.5</v>
      </c>
      <c r="O143" s="198">
        <f>_1_54128456121462410464578910174[[#This Row],[TOTAL]]*_1_54128456121462410464578910174[[#This Row],[MARGIN]]</f>
        <v>0</v>
      </c>
      <c r="R143" s="41"/>
    </row>
    <row r="144" spans="1:18">
      <c r="C144" s="168"/>
      <c r="D144" s="188"/>
      <c r="F144" s="168" t="s">
        <v>6202</v>
      </c>
      <c r="G144" s="193">
        <f>IF(_1_54128456121462410464578910174[[#This Row],[Type]]&gt;0,VLOOKUP(_1_54128456121462410464578910174[[#This Row],[Type]],Main[[#All],[TYPE]:[UNIT]],'Unit Price'!C$1,FALSE),0)</f>
        <v>0</v>
      </c>
      <c r="H144" s="197">
        <f>IF(_1_54128456121462410464578910174[[#This Row],[Type]]&gt;0,VLOOKUP(_1_54128456121462410464578910174[[#This Row],[Type]],Main[[#All],[TYPE]:[UNIT]],'Unit Price'!D$1,FALSE),0)</f>
        <v>0</v>
      </c>
      <c r="I144" s="194">
        <f>IF(_1_54128456121462410464578910174[[#This Row],[Type]]&gt;0,VLOOKUP(_1_54128456121462410464578910174[[#This Row],[Type]],Main[[#All],[TYPE]:[UNIT]],'Unit Price'!G$1,FALSE),0)</f>
        <v>0</v>
      </c>
      <c r="J144" s="194">
        <f>IF(_1_54128456121462410464578910174[[#This Row],[Type]]&gt;0,VLOOKUP(_1_54128456121462410464578910174[[#This Row],[Type]],Main[[#All],[TYPE]:[UNIT]],'Unit Price'!H$1,FALSE),0)</f>
        <v>0</v>
      </c>
      <c r="K144" s="194">
        <f>IF(_1_54128456121462410464578910174[[#This Row],[Discount selection]]&gt;0,VLOOKUP(_1_54128456121462410464578910174[[#This Row],[Discount selection]],'Discount Structure'!$A$2:$B$30,2,"false"),0)</f>
        <v>1</v>
      </c>
      <c r="L144" s="194">
        <f>_1_54128456121462410464578910174[[#This Row],[LIST $]]*_1_54128456121462410464578910174[[#This Row],[DISCOUNT]]*_1_54128456121462410464578910174[[#This Row],[DISCOUNT 2]]</f>
        <v>0</v>
      </c>
      <c r="M144" s="194">
        <f>IF(OR(_1_54128456121462410464578910174[[#This Row],[UNIT]]&gt;0,_1_54128456121462410464578910174[[#This Row],[UNIT]]&lt;0),_1_54128456121462410464578910174[[#This Row],[UNIT]]*_1_54128456121462410464578910174[[#This Row],[COST]],0)</f>
        <v>0</v>
      </c>
      <c r="N144" s="194">
        <f t="shared" si="2"/>
        <v>1.5</v>
      </c>
      <c r="O144" s="198">
        <f>_1_54128456121462410464578910174[[#This Row],[TOTAL]]*_1_54128456121462410464578910174[[#This Row],[MARGIN]]</f>
        <v>0</v>
      </c>
      <c r="R144" s="41"/>
    </row>
    <row r="145" spans="1:18">
      <c r="C145" s="168"/>
      <c r="D145" s="188"/>
      <c r="F145" s="168" t="s">
        <v>6202</v>
      </c>
      <c r="G145" s="193">
        <f>IF(_1_54128456121462410464578910174[[#This Row],[Type]]&gt;0,VLOOKUP(_1_54128456121462410464578910174[[#This Row],[Type]],Main[[#All],[TYPE]:[UNIT]],'Unit Price'!C$1,FALSE),0)</f>
        <v>0</v>
      </c>
      <c r="H145" s="197">
        <f>IF(_1_54128456121462410464578910174[[#This Row],[Type]]&gt;0,VLOOKUP(_1_54128456121462410464578910174[[#This Row],[Type]],Main[[#All],[TYPE]:[UNIT]],'Unit Price'!D$1,FALSE),0)</f>
        <v>0</v>
      </c>
      <c r="I145" s="194">
        <f>IF(_1_54128456121462410464578910174[[#This Row],[Type]]&gt;0,VLOOKUP(_1_54128456121462410464578910174[[#This Row],[Type]],Main[[#All],[TYPE]:[UNIT]],'Unit Price'!G$1,FALSE),0)</f>
        <v>0</v>
      </c>
      <c r="J145" s="194">
        <f>IF(_1_54128456121462410464578910174[[#This Row],[Type]]&gt;0,VLOOKUP(_1_54128456121462410464578910174[[#This Row],[Type]],Main[[#All],[TYPE]:[UNIT]],'Unit Price'!H$1,FALSE),0)</f>
        <v>0</v>
      </c>
      <c r="K145" s="194">
        <f>IF(_1_54128456121462410464578910174[[#This Row],[Discount selection]]&gt;0,VLOOKUP(_1_54128456121462410464578910174[[#This Row],[Discount selection]],'Discount Structure'!$A$2:$B$30,2,"false"),0)</f>
        <v>1</v>
      </c>
      <c r="L145" s="194">
        <f>_1_54128456121462410464578910174[[#This Row],[LIST $]]*_1_54128456121462410464578910174[[#This Row],[DISCOUNT]]*_1_54128456121462410464578910174[[#This Row],[DISCOUNT 2]]</f>
        <v>0</v>
      </c>
      <c r="M145" s="194">
        <f>IF(OR(_1_54128456121462410464578910174[[#This Row],[UNIT]]&gt;0,_1_54128456121462410464578910174[[#This Row],[UNIT]]&lt;0),_1_54128456121462410464578910174[[#This Row],[UNIT]]*_1_54128456121462410464578910174[[#This Row],[COST]],0)</f>
        <v>0</v>
      </c>
      <c r="N145" s="194">
        <f t="shared" si="2"/>
        <v>1.5</v>
      </c>
      <c r="O145" s="198">
        <f>_1_54128456121462410464578910174[[#This Row],[TOTAL]]*_1_54128456121462410464578910174[[#This Row],[MARGIN]]</f>
        <v>0</v>
      </c>
      <c r="R145" s="41"/>
    </row>
    <row r="146" spans="1:18">
      <c r="C146" s="168"/>
      <c r="D146" s="188"/>
      <c r="F146" s="168" t="s">
        <v>6202</v>
      </c>
      <c r="G146" s="193">
        <f>IF(_1_54128456121462410464578910174[[#This Row],[Type]]&gt;0,VLOOKUP(_1_54128456121462410464578910174[[#This Row],[Type]],Main[[#All],[TYPE]:[UNIT]],'Unit Price'!C$1,FALSE),0)</f>
        <v>0</v>
      </c>
      <c r="H146" s="197">
        <f>IF(_1_54128456121462410464578910174[[#This Row],[Type]]&gt;0,VLOOKUP(_1_54128456121462410464578910174[[#This Row],[Type]],Main[[#All],[TYPE]:[UNIT]],'Unit Price'!D$1,FALSE),0)</f>
        <v>0</v>
      </c>
      <c r="I146" s="194">
        <f>IF(_1_54128456121462410464578910174[[#This Row],[Type]]&gt;0,VLOOKUP(_1_54128456121462410464578910174[[#This Row],[Type]],Main[[#All],[TYPE]:[UNIT]],'Unit Price'!G$1,FALSE),0)</f>
        <v>0</v>
      </c>
      <c r="J146" s="194">
        <f>IF(_1_54128456121462410464578910174[[#This Row],[Type]]&gt;0,VLOOKUP(_1_54128456121462410464578910174[[#This Row],[Type]],Main[[#All],[TYPE]:[UNIT]],'Unit Price'!H$1,FALSE),0)</f>
        <v>0</v>
      </c>
      <c r="K146" s="194">
        <f>IF(_1_54128456121462410464578910174[[#This Row],[Discount selection]]&gt;0,VLOOKUP(_1_54128456121462410464578910174[[#This Row],[Discount selection]],'Discount Structure'!$A$2:$B$30,2,"false"),0)</f>
        <v>1</v>
      </c>
      <c r="L146" s="194">
        <f>_1_54128456121462410464578910174[[#This Row],[LIST $]]*_1_54128456121462410464578910174[[#This Row],[DISCOUNT]]*_1_54128456121462410464578910174[[#This Row],[DISCOUNT 2]]</f>
        <v>0</v>
      </c>
      <c r="M146" s="194">
        <f>IF(OR(_1_54128456121462410464578910174[[#This Row],[UNIT]]&gt;0,_1_54128456121462410464578910174[[#This Row],[UNIT]]&lt;0),_1_54128456121462410464578910174[[#This Row],[UNIT]]*_1_54128456121462410464578910174[[#This Row],[COST]],0)</f>
        <v>0</v>
      </c>
      <c r="N146" s="194">
        <f t="shared" si="2"/>
        <v>1.5</v>
      </c>
      <c r="O146" s="198">
        <f>_1_54128456121462410464578910174[[#This Row],[TOTAL]]*_1_54128456121462410464578910174[[#This Row],[MARGIN]]</f>
        <v>0</v>
      </c>
      <c r="R146" s="41"/>
    </row>
    <row r="147" spans="1:18">
      <c r="C147" s="168"/>
      <c r="D147" s="188"/>
      <c r="F147" s="168" t="s">
        <v>6202</v>
      </c>
      <c r="G147" s="193">
        <f>IF(_1_54128456121462410464578910174[[#This Row],[Type]]&gt;0,VLOOKUP(_1_54128456121462410464578910174[[#This Row],[Type]],Main[[#All],[TYPE]:[UNIT]],'Unit Price'!C$1,FALSE),0)</f>
        <v>0</v>
      </c>
      <c r="H147" s="197">
        <f>IF(_1_54128456121462410464578910174[[#This Row],[Type]]&gt;0,VLOOKUP(_1_54128456121462410464578910174[[#This Row],[Type]],Main[[#All],[TYPE]:[UNIT]],'Unit Price'!D$1,FALSE),0)</f>
        <v>0</v>
      </c>
      <c r="I147" s="194">
        <f>IF(_1_54128456121462410464578910174[[#This Row],[Type]]&gt;0,VLOOKUP(_1_54128456121462410464578910174[[#This Row],[Type]],Main[[#All],[TYPE]:[UNIT]],'Unit Price'!G$1,FALSE),0)</f>
        <v>0</v>
      </c>
      <c r="J147" s="194">
        <f>IF(_1_54128456121462410464578910174[[#This Row],[Type]]&gt;0,VLOOKUP(_1_54128456121462410464578910174[[#This Row],[Type]],Main[[#All],[TYPE]:[UNIT]],'Unit Price'!H$1,FALSE),0)</f>
        <v>0</v>
      </c>
      <c r="K147" s="194">
        <f>IF(_1_54128456121462410464578910174[[#This Row],[Discount selection]]&gt;0,VLOOKUP(_1_54128456121462410464578910174[[#This Row],[Discount selection]],'Discount Structure'!$A$2:$B$30,2,"false"),0)</f>
        <v>1</v>
      </c>
      <c r="L147" s="194">
        <f>_1_54128456121462410464578910174[[#This Row],[LIST $]]*_1_54128456121462410464578910174[[#This Row],[DISCOUNT]]*_1_54128456121462410464578910174[[#This Row],[DISCOUNT 2]]</f>
        <v>0</v>
      </c>
      <c r="M147" s="194">
        <f>IF(OR(_1_54128456121462410464578910174[[#This Row],[UNIT]]&gt;0,_1_54128456121462410464578910174[[#This Row],[UNIT]]&lt;0),_1_54128456121462410464578910174[[#This Row],[UNIT]]*_1_54128456121462410464578910174[[#This Row],[COST]],0)</f>
        <v>0</v>
      </c>
      <c r="N147" s="194">
        <f t="shared" si="2"/>
        <v>1.5</v>
      </c>
      <c r="O147" s="198">
        <f>_1_54128456121462410464578910174[[#This Row],[TOTAL]]*_1_54128456121462410464578910174[[#This Row],[MARGIN]]</f>
        <v>0</v>
      </c>
      <c r="R147" s="41"/>
    </row>
    <row r="148" spans="1:18">
      <c r="C148" s="168"/>
      <c r="D148" s="188"/>
      <c r="F148" s="168" t="s">
        <v>6202</v>
      </c>
      <c r="G148" s="193">
        <f>IF(_1_54128456121462410464578910174[[#This Row],[Type]]&gt;0,VLOOKUP(_1_54128456121462410464578910174[[#This Row],[Type]],Main[[#All],[TYPE]:[UNIT]],'Unit Price'!C$1,FALSE),0)</f>
        <v>0</v>
      </c>
      <c r="H148" s="197">
        <f>IF(_1_54128456121462410464578910174[[#This Row],[Type]]&gt;0,VLOOKUP(_1_54128456121462410464578910174[[#This Row],[Type]],Main[[#All],[TYPE]:[UNIT]],'Unit Price'!D$1,FALSE),0)</f>
        <v>0</v>
      </c>
      <c r="I148" s="194">
        <f>IF(_1_54128456121462410464578910174[[#This Row],[Type]]&gt;0,VLOOKUP(_1_54128456121462410464578910174[[#This Row],[Type]],Main[[#All],[TYPE]:[UNIT]],'Unit Price'!G$1,FALSE),0)</f>
        <v>0</v>
      </c>
      <c r="J148" s="194">
        <f>IF(_1_54128456121462410464578910174[[#This Row],[Type]]&gt;0,VLOOKUP(_1_54128456121462410464578910174[[#This Row],[Type]],Main[[#All],[TYPE]:[UNIT]],'Unit Price'!H$1,FALSE),0)</f>
        <v>0</v>
      </c>
      <c r="K148" s="194">
        <f>IF(_1_54128456121462410464578910174[[#This Row],[Discount selection]]&gt;0,VLOOKUP(_1_54128456121462410464578910174[[#This Row],[Discount selection]],'Discount Structure'!$A$2:$B$30,2,"false"),0)</f>
        <v>1</v>
      </c>
      <c r="L148" s="194">
        <f>_1_54128456121462410464578910174[[#This Row],[LIST $]]*_1_54128456121462410464578910174[[#This Row],[DISCOUNT]]*_1_54128456121462410464578910174[[#This Row],[DISCOUNT 2]]</f>
        <v>0</v>
      </c>
      <c r="M148" s="194">
        <f>IF(OR(_1_54128456121462410464578910174[[#This Row],[UNIT]]&gt;0,_1_54128456121462410464578910174[[#This Row],[UNIT]]&lt;0),_1_54128456121462410464578910174[[#This Row],[UNIT]]*_1_54128456121462410464578910174[[#This Row],[COST]],0)</f>
        <v>0</v>
      </c>
      <c r="N148" s="194">
        <f t="shared" si="2"/>
        <v>1.5</v>
      </c>
      <c r="O148" s="198">
        <f>_1_54128456121462410464578910174[[#This Row],[TOTAL]]*_1_54128456121462410464578910174[[#This Row],[MARGIN]]</f>
        <v>0</v>
      </c>
      <c r="R148" s="41"/>
    </row>
    <row r="149" spans="1:18">
      <c r="C149" s="168"/>
      <c r="D149" s="188"/>
      <c r="F149" s="168" t="s">
        <v>6202</v>
      </c>
      <c r="G149" s="193">
        <f>IF(_1_54128456121462410464578910174[[#This Row],[Type]]&gt;0,VLOOKUP(_1_54128456121462410464578910174[[#This Row],[Type]],Main[[#All],[TYPE]:[UNIT]],'Unit Price'!C$1,FALSE),0)</f>
        <v>0</v>
      </c>
      <c r="H149" s="197">
        <f>IF(_1_54128456121462410464578910174[[#This Row],[Type]]&gt;0,VLOOKUP(_1_54128456121462410464578910174[[#This Row],[Type]],Main[[#All],[TYPE]:[UNIT]],'Unit Price'!D$1,FALSE),0)</f>
        <v>0</v>
      </c>
      <c r="I149" s="194">
        <f>IF(_1_54128456121462410464578910174[[#This Row],[Type]]&gt;0,VLOOKUP(_1_54128456121462410464578910174[[#This Row],[Type]],Main[[#All],[TYPE]:[UNIT]],'Unit Price'!G$1,FALSE),0)</f>
        <v>0</v>
      </c>
      <c r="J149" s="194">
        <f>IF(_1_54128456121462410464578910174[[#This Row],[Type]]&gt;0,VLOOKUP(_1_54128456121462410464578910174[[#This Row],[Type]],Main[[#All],[TYPE]:[UNIT]],'Unit Price'!H$1,FALSE),0)</f>
        <v>0</v>
      </c>
      <c r="K149" s="194">
        <f>IF(_1_54128456121462410464578910174[[#This Row],[Discount selection]]&gt;0,VLOOKUP(_1_54128456121462410464578910174[[#This Row],[Discount selection]],'Discount Structure'!$A$2:$B$30,2,"false"),0)</f>
        <v>1</v>
      </c>
      <c r="L149" s="194">
        <f>_1_54128456121462410464578910174[[#This Row],[LIST $]]*_1_54128456121462410464578910174[[#This Row],[DISCOUNT]]*_1_54128456121462410464578910174[[#This Row],[DISCOUNT 2]]</f>
        <v>0</v>
      </c>
      <c r="M149" s="194">
        <f>IF(OR(_1_54128456121462410464578910174[[#This Row],[UNIT]]&gt;0,_1_54128456121462410464578910174[[#This Row],[UNIT]]&lt;0),_1_54128456121462410464578910174[[#This Row],[UNIT]]*_1_54128456121462410464578910174[[#This Row],[COST]],0)</f>
        <v>0</v>
      </c>
      <c r="N149" s="194">
        <f t="shared" si="2"/>
        <v>1.5</v>
      </c>
      <c r="O149" s="198">
        <f>_1_54128456121462410464578910174[[#This Row],[TOTAL]]*_1_54128456121462410464578910174[[#This Row],[MARGIN]]</f>
        <v>0</v>
      </c>
      <c r="R149" s="41"/>
    </row>
    <row r="150" spans="1:18">
      <c r="B150" s="168"/>
      <c r="C150" s="168"/>
      <c r="D150" s="188"/>
      <c r="F150" s="168" t="s">
        <v>6202</v>
      </c>
      <c r="G150" s="193">
        <f>IF(_1_54128456121462410464578910174[[#This Row],[Type]]&gt;0,VLOOKUP(_1_54128456121462410464578910174[[#This Row],[Type]],Main[[#All],[TYPE]:[UNIT]],'Unit Price'!C$1,FALSE),0)</f>
        <v>0</v>
      </c>
      <c r="H150" s="197">
        <f>IF(_1_54128456121462410464578910174[[#This Row],[Type]]&gt;0,VLOOKUP(_1_54128456121462410464578910174[[#This Row],[Type]],Main[[#All],[TYPE]:[UNIT]],'Unit Price'!D$1,FALSE),0)</f>
        <v>0</v>
      </c>
      <c r="I150" s="194">
        <f>IF(_1_54128456121462410464578910174[[#This Row],[Type]]&gt;0,VLOOKUP(_1_54128456121462410464578910174[[#This Row],[Type]],Main[[#All],[TYPE]:[UNIT]],'Unit Price'!G$1,FALSE),0)</f>
        <v>0</v>
      </c>
      <c r="J150" s="194">
        <f>IF(_1_54128456121462410464578910174[[#This Row],[Type]]&gt;0,VLOOKUP(_1_54128456121462410464578910174[[#This Row],[Type]],Main[[#All],[TYPE]:[UNIT]],'Unit Price'!H$1,FALSE),0)</f>
        <v>0</v>
      </c>
      <c r="K150" s="194">
        <f>IF(_1_54128456121462410464578910174[[#This Row],[Discount selection]]&gt;0,VLOOKUP(_1_54128456121462410464578910174[[#This Row],[Discount selection]],'Discount Structure'!$A$2:$B$30,2,"false"),0)</f>
        <v>1</v>
      </c>
      <c r="L150" s="194">
        <f>_1_54128456121462410464578910174[[#This Row],[LIST $]]*_1_54128456121462410464578910174[[#This Row],[DISCOUNT]]*_1_54128456121462410464578910174[[#This Row],[DISCOUNT 2]]</f>
        <v>0</v>
      </c>
      <c r="M150" s="194">
        <f>IF(OR(_1_54128456121462410464578910174[[#This Row],[UNIT]]&gt;0,_1_54128456121462410464578910174[[#This Row],[UNIT]]&lt;0),_1_54128456121462410464578910174[[#This Row],[UNIT]]*_1_54128456121462410464578910174[[#This Row],[COST]],0)</f>
        <v>0</v>
      </c>
      <c r="N150" s="194">
        <f t="shared" si="2"/>
        <v>1.5</v>
      </c>
      <c r="O150" s="198">
        <f>_1_54128456121462410464578910174[[#This Row],[TOTAL]]*_1_54128456121462410464578910174[[#This Row],[MARGIN]]</f>
        <v>0</v>
      </c>
      <c r="R150" s="41"/>
    </row>
    <row r="151" spans="1:18">
      <c r="C151" s="168"/>
      <c r="D151" s="188"/>
      <c r="F151" s="168" t="s">
        <v>6202</v>
      </c>
      <c r="G151" s="193">
        <f>IF(_1_54128456121462410464578910174[[#This Row],[Type]]&gt;0,VLOOKUP(_1_54128456121462410464578910174[[#This Row],[Type]],Main[[#All],[TYPE]:[UNIT]],'Unit Price'!C$1,FALSE),0)</f>
        <v>0</v>
      </c>
      <c r="H151" s="197">
        <f>IF(_1_54128456121462410464578910174[[#This Row],[Type]]&gt;0,VLOOKUP(_1_54128456121462410464578910174[[#This Row],[Type]],Main[[#All],[TYPE]:[UNIT]],'Unit Price'!D$1,FALSE),0)</f>
        <v>0</v>
      </c>
      <c r="I151" s="194">
        <f>IF(_1_54128456121462410464578910174[[#This Row],[Type]]&gt;0,VLOOKUP(_1_54128456121462410464578910174[[#This Row],[Type]],Main[[#All],[TYPE]:[UNIT]],'Unit Price'!G$1,FALSE),0)</f>
        <v>0</v>
      </c>
      <c r="J151" s="194">
        <f>IF(_1_54128456121462410464578910174[[#This Row],[Type]]&gt;0,VLOOKUP(_1_54128456121462410464578910174[[#This Row],[Type]],Main[[#All],[TYPE]:[UNIT]],'Unit Price'!H$1,FALSE),0)</f>
        <v>0</v>
      </c>
      <c r="K151" s="194">
        <f>IF(_1_54128456121462410464578910174[[#This Row],[Discount selection]]&gt;0,VLOOKUP(_1_54128456121462410464578910174[[#This Row],[Discount selection]],'Discount Structure'!$A$2:$B$30,2,"false"),0)</f>
        <v>1</v>
      </c>
      <c r="L151" s="194">
        <f>_1_54128456121462410464578910174[[#This Row],[LIST $]]*_1_54128456121462410464578910174[[#This Row],[DISCOUNT]]*_1_54128456121462410464578910174[[#This Row],[DISCOUNT 2]]</f>
        <v>0</v>
      </c>
      <c r="M151" s="194">
        <f>IF(OR(_1_54128456121462410464578910174[[#This Row],[UNIT]]&gt;0,_1_54128456121462410464578910174[[#This Row],[UNIT]]&lt;0),_1_54128456121462410464578910174[[#This Row],[UNIT]]*_1_54128456121462410464578910174[[#This Row],[COST]],0)</f>
        <v>0</v>
      </c>
      <c r="N151" s="194">
        <f t="shared" si="2"/>
        <v>1.5</v>
      </c>
      <c r="O151" s="198">
        <f>_1_54128456121462410464578910174[[#This Row],[TOTAL]]*_1_54128456121462410464578910174[[#This Row],[MARGIN]]</f>
        <v>0</v>
      </c>
      <c r="R151" s="41"/>
    </row>
    <row r="152" spans="1:18">
      <c r="C152" s="168"/>
      <c r="D152" s="188"/>
      <c r="F152" s="168" t="s">
        <v>6202</v>
      </c>
      <c r="G152" s="193">
        <f>IF(_1_54128456121462410464578910174[[#This Row],[Type]]&gt;0,VLOOKUP(_1_54128456121462410464578910174[[#This Row],[Type]],Main[[#All],[TYPE]:[UNIT]],'Unit Price'!C$1,FALSE),0)</f>
        <v>0</v>
      </c>
      <c r="H152" s="197">
        <f>IF(_1_54128456121462410464578910174[[#This Row],[Type]]&gt;0,VLOOKUP(_1_54128456121462410464578910174[[#This Row],[Type]],Main[[#All],[TYPE]:[UNIT]],'Unit Price'!D$1,FALSE),0)</f>
        <v>0</v>
      </c>
      <c r="I152" s="194">
        <f>IF(_1_54128456121462410464578910174[[#This Row],[Type]]&gt;0,VLOOKUP(_1_54128456121462410464578910174[[#This Row],[Type]],Main[[#All],[TYPE]:[UNIT]],'Unit Price'!G$1,FALSE),0)</f>
        <v>0</v>
      </c>
      <c r="J152" s="194">
        <f>IF(_1_54128456121462410464578910174[[#This Row],[Type]]&gt;0,VLOOKUP(_1_54128456121462410464578910174[[#This Row],[Type]],Main[[#All],[TYPE]:[UNIT]],'Unit Price'!H$1,FALSE),0)</f>
        <v>0</v>
      </c>
      <c r="K152" s="194">
        <f>IF(_1_54128456121462410464578910174[[#This Row],[Discount selection]]&gt;0,VLOOKUP(_1_54128456121462410464578910174[[#This Row],[Discount selection]],'Discount Structure'!$A$2:$B$30,2,"false"),0)</f>
        <v>1</v>
      </c>
      <c r="L152" s="194">
        <f>_1_54128456121462410464578910174[[#This Row],[LIST $]]*_1_54128456121462410464578910174[[#This Row],[DISCOUNT]]*_1_54128456121462410464578910174[[#This Row],[DISCOUNT 2]]</f>
        <v>0</v>
      </c>
      <c r="M152" s="194">
        <f>IF(OR(_1_54128456121462410464578910174[[#This Row],[UNIT]]&gt;0,_1_54128456121462410464578910174[[#This Row],[UNIT]]&lt;0),_1_54128456121462410464578910174[[#This Row],[UNIT]]*_1_54128456121462410464578910174[[#This Row],[COST]],0)</f>
        <v>0</v>
      </c>
      <c r="N152" s="194">
        <f t="shared" si="2"/>
        <v>1.5</v>
      </c>
      <c r="O152" s="198">
        <f>_1_54128456121462410464578910174[[#This Row],[TOTAL]]*_1_54128456121462410464578910174[[#This Row],[MARGIN]]</f>
        <v>0</v>
      </c>
      <c r="R152" s="41"/>
    </row>
    <row r="153" spans="1:18">
      <c r="A153" s="168"/>
      <c r="C153" s="168"/>
      <c r="D153" s="188"/>
      <c r="F153" s="168" t="s">
        <v>6202</v>
      </c>
      <c r="G153" s="193">
        <f>IF(_1_54128456121462410464578910174[[#This Row],[Type]]&gt;0,VLOOKUP(_1_54128456121462410464578910174[[#This Row],[Type]],Main[[#All],[TYPE]:[UNIT]],'Unit Price'!C$1,FALSE),0)</f>
        <v>0</v>
      </c>
      <c r="H153" s="197">
        <f>IF(_1_54128456121462410464578910174[[#This Row],[Type]]&gt;0,VLOOKUP(_1_54128456121462410464578910174[[#This Row],[Type]],Main[[#All],[TYPE]:[UNIT]],'Unit Price'!D$1,FALSE),0)</f>
        <v>0</v>
      </c>
      <c r="I153" s="194">
        <f>IF(_1_54128456121462410464578910174[[#This Row],[Type]]&gt;0,VLOOKUP(_1_54128456121462410464578910174[[#This Row],[Type]],Main[[#All],[TYPE]:[UNIT]],'Unit Price'!G$1,FALSE),0)</f>
        <v>0</v>
      </c>
      <c r="J153" s="194">
        <f>IF(_1_54128456121462410464578910174[[#This Row],[Type]]&gt;0,VLOOKUP(_1_54128456121462410464578910174[[#This Row],[Type]],Main[[#All],[TYPE]:[UNIT]],'Unit Price'!H$1,FALSE),0)</f>
        <v>0</v>
      </c>
      <c r="K153" s="194">
        <f>IF(_1_54128456121462410464578910174[[#This Row],[Discount selection]]&gt;0,VLOOKUP(_1_54128456121462410464578910174[[#This Row],[Discount selection]],'Discount Structure'!$A$2:$B$30,2,"false"),0)</f>
        <v>1</v>
      </c>
      <c r="L153" s="194">
        <f>_1_54128456121462410464578910174[[#This Row],[LIST $]]*_1_54128456121462410464578910174[[#This Row],[DISCOUNT]]*_1_54128456121462410464578910174[[#This Row],[DISCOUNT 2]]</f>
        <v>0</v>
      </c>
      <c r="M153" s="194">
        <f>IF(OR(_1_54128456121462410464578910174[[#This Row],[UNIT]]&gt;0,_1_54128456121462410464578910174[[#This Row],[UNIT]]&lt;0),_1_54128456121462410464578910174[[#This Row],[UNIT]]*_1_54128456121462410464578910174[[#This Row],[COST]],0)</f>
        <v>0</v>
      </c>
      <c r="N153" s="194">
        <f t="shared" si="2"/>
        <v>1.5</v>
      </c>
      <c r="O153" s="198">
        <f>_1_54128456121462410464578910174[[#This Row],[TOTAL]]*_1_54128456121462410464578910174[[#This Row],[MARGIN]]</f>
        <v>0</v>
      </c>
      <c r="R153" s="41"/>
    </row>
    <row r="154" spans="1:18">
      <c r="A154" s="168"/>
      <c r="C154" s="168"/>
      <c r="D154" s="188"/>
      <c r="F154" s="168" t="s">
        <v>6202</v>
      </c>
      <c r="G154" s="193">
        <f>IF(_1_54128456121462410464578910174[[#This Row],[Type]]&gt;0,VLOOKUP(_1_54128456121462410464578910174[[#This Row],[Type]],Main[[#All],[TYPE]:[UNIT]],'Unit Price'!C$1,FALSE),0)</f>
        <v>0</v>
      </c>
      <c r="H154" s="197">
        <f>IF(_1_54128456121462410464578910174[[#This Row],[Type]]&gt;0,VLOOKUP(_1_54128456121462410464578910174[[#This Row],[Type]],Main[[#All],[TYPE]:[UNIT]],'Unit Price'!D$1,FALSE),0)</f>
        <v>0</v>
      </c>
      <c r="I154" s="194">
        <f>IF(_1_54128456121462410464578910174[[#This Row],[Type]]&gt;0,VLOOKUP(_1_54128456121462410464578910174[[#This Row],[Type]],Main[[#All],[TYPE]:[UNIT]],'Unit Price'!G$1,FALSE),0)</f>
        <v>0</v>
      </c>
      <c r="J154" s="194">
        <f>IF(_1_54128456121462410464578910174[[#This Row],[Type]]&gt;0,VLOOKUP(_1_54128456121462410464578910174[[#This Row],[Type]],Main[[#All],[TYPE]:[UNIT]],'Unit Price'!H$1,FALSE),0)</f>
        <v>0</v>
      </c>
      <c r="K154" s="194">
        <f>IF(_1_54128456121462410464578910174[[#This Row],[Discount selection]]&gt;0,VLOOKUP(_1_54128456121462410464578910174[[#This Row],[Discount selection]],'Discount Structure'!$A$2:$B$30,2,"false"),0)</f>
        <v>1</v>
      </c>
      <c r="L154" s="194">
        <f>_1_54128456121462410464578910174[[#This Row],[LIST $]]*_1_54128456121462410464578910174[[#This Row],[DISCOUNT]]*_1_54128456121462410464578910174[[#This Row],[DISCOUNT 2]]</f>
        <v>0</v>
      </c>
      <c r="M154" s="194">
        <f>IF(OR(_1_54128456121462410464578910174[[#This Row],[UNIT]]&gt;0,_1_54128456121462410464578910174[[#This Row],[UNIT]]&lt;0),_1_54128456121462410464578910174[[#This Row],[UNIT]]*_1_54128456121462410464578910174[[#This Row],[COST]],0)</f>
        <v>0</v>
      </c>
      <c r="N154" s="194">
        <f t="shared" si="2"/>
        <v>1.5</v>
      </c>
      <c r="O154" s="198">
        <f>_1_54128456121462410464578910174[[#This Row],[TOTAL]]*_1_54128456121462410464578910174[[#This Row],[MARGIN]]</f>
        <v>0</v>
      </c>
      <c r="R154" s="41"/>
    </row>
    <row r="155" spans="1:18">
      <c r="B155" s="168"/>
      <c r="C155" s="168"/>
      <c r="D155" s="188"/>
      <c r="F155" s="168" t="s">
        <v>6202</v>
      </c>
      <c r="G155" s="193">
        <f>IF(_1_54128456121462410464578910174[[#This Row],[Type]]&gt;0,VLOOKUP(_1_54128456121462410464578910174[[#This Row],[Type]],Main[[#All],[TYPE]:[UNIT]],'Unit Price'!C$1,FALSE),0)</f>
        <v>0</v>
      </c>
      <c r="H155" s="197">
        <f>IF(_1_54128456121462410464578910174[[#This Row],[Type]]&gt;0,VLOOKUP(_1_54128456121462410464578910174[[#This Row],[Type]],Main[[#All],[TYPE]:[UNIT]],'Unit Price'!D$1,FALSE),0)</f>
        <v>0</v>
      </c>
      <c r="I155" s="194">
        <f>IF(_1_54128456121462410464578910174[[#This Row],[Type]]&gt;0,VLOOKUP(_1_54128456121462410464578910174[[#This Row],[Type]],Main[[#All],[TYPE]:[UNIT]],'Unit Price'!G$1,FALSE),0)</f>
        <v>0</v>
      </c>
      <c r="J155" s="194">
        <f>IF(_1_54128456121462410464578910174[[#This Row],[Type]]&gt;0,VLOOKUP(_1_54128456121462410464578910174[[#This Row],[Type]],Main[[#All],[TYPE]:[UNIT]],'Unit Price'!H$1,FALSE),0)</f>
        <v>0</v>
      </c>
      <c r="K155" s="194">
        <f>IF(_1_54128456121462410464578910174[[#This Row],[Discount selection]]&gt;0,VLOOKUP(_1_54128456121462410464578910174[[#This Row],[Discount selection]],'Discount Structure'!$A$2:$B$30,2,"false"),0)</f>
        <v>1</v>
      </c>
      <c r="L155" s="194">
        <f>_1_54128456121462410464578910174[[#This Row],[LIST $]]*_1_54128456121462410464578910174[[#This Row],[DISCOUNT]]*_1_54128456121462410464578910174[[#This Row],[DISCOUNT 2]]</f>
        <v>0</v>
      </c>
      <c r="M155" s="194">
        <f>IF(OR(_1_54128456121462410464578910174[[#This Row],[UNIT]]&gt;0,_1_54128456121462410464578910174[[#This Row],[UNIT]]&lt;0),_1_54128456121462410464578910174[[#This Row],[UNIT]]*_1_54128456121462410464578910174[[#This Row],[COST]],0)</f>
        <v>0</v>
      </c>
      <c r="N155" s="194">
        <f t="shared" si="2"/>
        <v>1.5</v>
      </c>
      <c r="O155" s="198">
        <f>_1_54128456121462410464578910174[[#This Row],[TOTAL]]*_1_54128456121462410464578910174[[#This Row],[MARGIN]]</f>
        <v>0</v>
      </c>
      <c r="R155" s="41"/>
    </row>
    <row r="156" spans="1:18">
      <c r="C156" s="168"/>
      <c r="D156" s="188"/>
      <c r="F156" s="168" t="s">
        <v>6202</v>
      </c>
      <c r="G156" s="193">
        <f>IF(_1_54128456121462410464578910174[[#This Row],[Type]]&gt;0,VLOOKUP(_1_54128456121462410464578910174[[#This Row],[Type]],Main[[#All],[TYPE]:[UNIT]],'Unit Price'!C$1,FALSE),0)</f>
        <v>0</v>
      </c>
      <c r="H156" s="197">
        <f>IF(_1_54128456121462410464578910174[[#This Row],[Type]]&gt;0,VLOOKUP(_1_54128456121462410464578910174[[#This Row],[Type]],Main[[#All],[TYPE]:[UNIT]],'Unit Price'!D$1,FALSE),0)</f>
        <v>0</v>
      </c>
      <c r="I156" s="194">
        <f>IF(_1_54128456121462410464578910174[[#This Row],[Type]]&gt;0,VLOOKUP(_1_54128456121462410464578910174[[#This Row],[Type]],Main[[#All],[TYPE]:[UNIT]],'Unit Price'!G$1,FALSE),0)</f>
        <v>0</v>
      </c>
      <c r="J156" s="194">
        <f>IF(_1_54128456121462410464578910174[[#This Row],[Type]]&gt;0,VLOOKUP(_1_54128456121462410464578910174[[#This Row],[Type]],Main[[#All],[TYPE]:[UNIT]],'Unit Price'!H$1,FALSE),0)</f>
        <v>0</v>
      </c>
      <c r="K156" s="194">
        <f>IF(_1_54128456121462410464578910174[[#This Row],[Discount selection]]&gt;0,VLOOKUP(_1_54128456121462410464578910174[[#This Row],[Discount selection]],'Discount Structure'!$A$2:$B$30,2,"false"),0)</f>
        <v>1</v>
      </c>
      <c r="L156" s="194">
        <f>_1_54128456121462410464578910174[[#This Row],[LIST $]]*_1_54128456121462410464578910174[[#This Row],[DISCOUNT]]*_1_54128456121462410464578910174[[#This Row],[DISCOUNT 2]]</f>
        <v>0</v>
      </c>
      <c r="M156" s="194">
        <f>IF(OR(_1_54128456121462410464578910174[[#This Row],[UNIT]]&gt;0,_1_54128456121462410464578910174[[#This Row],[UNIT]]&lt;0),_1_54128456121462410464578910174[[#This Row],[UNIT]]*_1_54128456121462410464578910174[[#This Row],[COST]],0)</f>
        <v>0</v>
      </c>
      <c r="N156" s="194">
        <f t="shared" si="2"/>
        <v>1.5</v>
      </c>
      <c r="O156" s="198">
        <f>_1_54128456121462410464578910174[[#This Row],[TOTAL]]*_1_54128456121462410464578910174[[#This Row],[MARGIN]]</f>
        <v>0</v>
      </c>
      <c r="R156" s="41"/>
    </row>
    <row r="157" spans="1:18">
      <c r="C157" s="168"/>
      <c r="D157" s="188"/>
      <c r="F157" s="168" t="s">
        <v>6202</v>
      </c>
      <c r="G157" s="193">
        <f>IF(_1_54128456121462410464578910174[[#This Row],[Type]]&gt;0,VLOOKUP(_1_54128456121462410464578910174[[#This Row],[Type]],Main[[#All],[TYPE]:[UNIT]],'Unit Price'!C$1,FALSE),0)</f>
        <v>0</v>
      </c>
      <c r="H157" s="197">
        <f>IF(_1_54128456121462410464578910174[[#This Row],[Type]]&gt;0,VLOOKUP(_1_54128456121462410464578910174[[#This Row],[Type]],Main[[#All],[TYPE]:[UNIT]],'Unit Price'!D$1,FALSE),0)</f>
        <v>0</v>
      </c>
      <c r="I157" s="194">
        <f>IF(_1_54128456121462410464578910174[[#This Row],[Type]]&gt;0,VLOOKUP(_1_54128456121462410464578910174[[#This Row],[Type]],Main[[#All],[TYPE]:[UNIT]],'Unit Price'!G$1,FALSE),0)</f>
        <v>0</v>
      </c>
      <c r="J157" s="194">
        <f>IF(_1_54128456121462410464578910174[[#This Row],[Type]]&gt;0,VLOOKUP(_1_54128456121462410464578910174[[#This Row],[Type]],Main[[#All],[TYPE]:[UNIT]],'Unit Price'!H$1,FALSE),0)</f>
        <v>0</v>
      </c>
      <c r="K157" s="194">
        <f>IF(_1_54128456121462410464578910174[[#This Row],[Discount selection]]&gt;0,VLOOKUP(_1_54128456121462410464578910174[[#This Row],[Discount selection]],'Discount Structure'!$A$2:$B$30,2,"false"),0)</f>
        <v>1</v>
      </c>
      <c r="L157" s="194">
        <f>_1_54128456121462410464578910174[[#This Row],[LIST $]]*_1_54128456121462410464578910174[[#This Row],[DISCOUNT]]*_1_54128456121462410464578910174[[#This Row],[DISCOUNT 2]]</f>
        <v>0</v>
      </c>
      <c r="M157" s="194">
        <f>IF(OR(_1_54128456121462410464578910174[[#This Row],[UNIT]]&gt;0,_1_54128456121462410464578910174[[#This Row],[UNIT]]&lt;0),_1_54128456121462410464578910174[[#This Row],[UNIT]]*_1_54128456121462410464578910174[[#This Row],[COST]],0)</f>
        <v>0</v>
      </c>
      <c r="N157" s="194">
        <f t="shared" si="2"/>
        <v>1.5</v>
      </c>
      <c r="O157" s="198">
        <f>_1_54128456121462410464578910174[[#This Row],[TOTAL]]*_1_54128456121462410464578910174[[#This Row],[MARGIN]]</f>
        <v>0</v>
      </c>
      <c r="R157" s="41"/>
    </row>
    <row r="158" spans="1:18">
      <c r="C158" s="168"/>
      <c r="D158" s="188"/>
      <c r="F158" s="168" t="s">
        <v>6202</v>
      </c>
      <c r="G158" s="193">
        <f>IF(_1_54128456121462410464578910174[[#This Row],[Type]]&gt;0,VLOOKUP(_1_54128456121462410464578910174[[#This Row],[Type]],Main[[#All],[TYPE]:[UNIT]],'Unit Price'!C$1,FALSE),0)</f>
        <v>0</v>
      </c>
      <c r="H158" s="197">
        <f>IF(_1_54128456121462410464578910174[[#This Row],[Type]]&gt;0,VLOOKUP(_1_54128456121462410464578910174[[#This Row],[Type]],Main[[#All],[TYPE]:[UNIT]],'Unit Price'!D$1,FALSE),0)</f>
        <v>0</v>
      </c>
      <c r="I158" s="194">
        <f>IF(_1_54128456121462410464578910174[[#This Row],[Type]]&gt;0,VLOOKUP(_1_54128456121462410464578910174[[#This Row],[Type]],Main[[#All],[TYPE]:[UNIT]],'Unit Price'!G$1,FALSE),0)</f>
        <v>0</v>
      </c>
      <c r="J158" s="194">
        <f>IF(_1_54128456121462410464578910174[[#This Row],[Type]]&gt;0,VLOOKUP(_1_54128456121462410464578910174[[#This Row],[Type]],Main[[#All],[TYPE]:[UNIT]],'Unit Price'!H$1,FALSE),0)</f>
        <v>0</v>
      </c>
      <c r="K158" s="194">
        <f>IF(_1_54128456121462410464578910174[[#This Row],[Discount selection]]&gt;0,VLOOKUP(_1_54128456121462410464578910174[[#This Row],[Discount selection]],'Discount Structure'!$A$2:$B$30,2,"false"),0)</f>
        <v>1</v>
      </c>
      <c r="L158" s="194">
        <f>_1_54128456121462410464578910174[[#This Row],[LIST $]]*_1_54128456121462410464578910174[[#This Row],[DISCOUNT]]*_1_54128456121462410464578910174[[#This Row],[DISCOUNT 2]]</f>
        <v>0</v>
      </c>
      <c r="M158" s="194">
        <f>IF(OR(_1_54128456121462410464578910174[[#This Row],[UNIT]]&gt;0,_1_54128456121462410464578910174[[#This Row],[UNIT]]&lt;0),_1_54128456121462410464578910174[[#This Row],[UNIT]]*_1_54128456121462410464578910174[[#This Row],[COST]],0)</f>
        <v>0</v>
      </c>
      <c r="N158" s="194">
        <f t="shared" si="2"/>
        <v>1.5</v>
      </c>
      <c r="O158" s="198">
        <f>_1_54128456121462410464578910174[[#This Row],[TOTAL]]*_1_54128456121462410464578910174[[#This Row],[MARGIN]]</f>
        <v>0</v>
      </c>
      <c r="R158" s="41"/>
    </row>
    <row r="159" spans="1:18">
      <c r="C159" s="168"/>
      <c r="D159" s="188"/>
      <c r="F159" s="168" t="s">
        <v>6202</v>
      </c>
      <c r="G159" s="193">
        <f>IF(_1_54128456121462410464578910174[[#This Row],[Type]]&gt;0,VLOOKUP(_1_54128456121462410464578910174[[#This Row],[Type]],Main[[#All],[TYPE]:[UNIT]],'Unit Price'!C$1,FALSE),0)</f>
        <v>0</v>
      </c>
      <c r="H159" s="197">
        <f>IF(_1_54128456121462410464578910174[[#This Row],[Type]]&gt;0,VLOOKUP(_1_54128456121462410464578910174[[#This Row],[Type]],Main[[#All],[TYPE]:[UNIT]],'Unit Price'!D$1,FALSE),0)</f>
        <v>0</v>
      </c>
      <c r="I159" s="194">
        <f>IF(_1_54128456121462410464578910174[[#This Row],[Type]]&gt;0,VLOOKUP(_1_54128456121462410464578910174[[#This Row],[Type]],Main[[#All],[TYPE]:[UNIT]],'Unit Price'!G$1,FALSE),0)</f>
        <v>0</v>
      </c>
      <c r="J159" s="194">
        <f>IF(_1_54128456121462410464578910174[[#This Row],[Type]]&gt;0,VLOOKUP(_1_54128456121462410464578910174[[#This Row],[Type]],Main[[#All],[TYPE]:[UNIT]],'Unit Price'!H$1,FALSE),0)</f>
        <v>0</v>
      </c>
      <c r="K159" s="194">
        <f>IF(_1_54128456121462410464578910174[[#This Row],[Discount selection]]&gt;0,VLOOKUP(_1_54128456121462410464578910174[[#This Row],[Discount selection]],'Discount Structure'!$A$2:$B$30,2,"false"),0)</f>
        <v>1</v>
      </c>
      <c r="L159" s="194">
        <f>_1_54128456121462410464578910174[[#This Row],[LIST $]]*_1_54128456121462410464578910174[[#This Row],[DISCOUNT]]*_1_54128456121462410464578910174[[#This Row],[DISCOUNT 2]]</f>
        <v>0</v>
      </c>
      <c r="M159" s="194">
        <f>IF(OR(_1_54128456121462410464578910174[[#This Row],[UNIT]]&gt;0,_1_54128456121462410464578910174[[#This Row],[UNIT]]&lt;0),_1_54128456121462410464578910174[[#This Row],[UNIT]]*_1_54128456121462410464578910174[[#This Row],[COST]],0)</f>
        <v>0</v>
      </c>
      <c r="N159" s="194">
        <f t="shared" si="2"/>
        <v>1.5</v>
      </c>
      <c r="O159" s="198">
        <f>_1_54128456121462410464578910174[[#This Row],[TOTAL]]*_1_54128456121462410464578910174[[#This Row],[MARGIN]]</f>
        <v>0</v>
      </c>
      <c r="R159" s="41"/>
    </row>
    <row r="160" spans="1:18">
      <c r="C160" s="168"/>
      <c r="D160" s="188"/>
      <c r="F160" s="168" t="s">
        <v>6202</v>
      </c>
      <c r="G160" s="193">
        <f>IF(_1_54128456121462410464578910174[[#This Row],[Type]]&gt;0,VLOOKUP(_1_54128456121462410464578910174[[#This Row],[Type]],Main[[#All],[TYPE]:[UNIT]],'Unit Price'!C$1,FALSE),0)</f>
        <v>0</v>
      </c>
      <c r="H160" s="197">
        <f>IF(_1_54128456121462410464578910174[[#This Row],[Type]]&gt;0,VLOOKUP(_1_54128456121462410464578910174[[#This Row],[Type]],Main[[#All],[TYPE]:[UNIT]],'Unit Price'!D$1,FALSE),0)</f>
        <v>0</v>
      </c>
      <c r="I160" s="194">
        <f>IF(_1_54128456121462410464578910174[[#This Row],[Type]]&gt;0,VLOOKUP(_1_54128456121462410464578910174[[#This Row],[Type]],Main[[#All],[TYPE]:[UNIT]],'Unit Price'!G$1,FALSE),0)</f>
        <v>0</v>
      </c>
      <c r="J160" s="194">
        <f>IF(_1_54128456121462410464578910174[[#This Row],[Type]]&gt;0,VLOOKUP(_1_54128456121462410464578910174[[#This Row],[Type]],Main[[#All],[TYPE]:[UNIT]],'Unit Price'!H$1,FALSE),0)</f>
        <v>0</v>
      </c>
      <c r="K160" s="194">
        <f>IF(_1_54128456121462410464578910174[[#This Row],[Discount selection]]&gt;0,VLOOKUP(_1_54128456121462410464578910174[[#This Row],[Discount selection]],'Discount Structure'!$A$2:$B$30,2,"false"),0)</f>
        <v>1</v>
      </c>
      <c r="L160" s="194">
        <f>_1_54128456121462410464578910174[[#This Row],[LIST $]]*_1_54128456121462410464578910174[[#This Row],[DISCOUNT]]*_1_54128456121462410464578910174[[#This Row],[DISCOUNT 2]]</f>
        <v>0</v>
      </c>
      <c r="M160" s="194">
        <f>IF(OR(_1_54128456121462410464578910174[[#This Row],[UNIT]]&gt;0,_1_54128456121462410464578910174[[#This Row],[UNIT]]&lt;0),_1_54128456121462410464578910174[[#This Row],[UNIT]]*_1_54128456121462410464578910174[[#This Row],[COST]],0)</f>
        <v>0</v>
      </c>
      <c r="N160" s="194">
        <f t="shared" si="2"/>
        <v>1.5</v>
      </c>
      <c r="O160" s="198">
        <f>_1_54128456121462410464578910174[[#This Row],[TOTAL]]*_1_54128456121462410464578910174[[#This Row],[MARGIN]]</f>
        <v>0</v>
      </c>
      <c r="R160" s="41"/>
    </row>
    <row r="161" spans="1:18">
      <c r="A161" s="168"/>
      <c r="C161" s="168"/>
      <c r="D161" s="188"/>
      <c r="F161" s="168" t="s">
        <v>6202</v>
      </c>
      <c r="G161" s="193">
        <f>IF(_1_54128456121462410464578910174[[#This Row],[Type]]&gt;0,VLOOKUP(_1_54128456121462410464578910174[[#This Row],[Type]],Main[[#All],[TYPE]:[UNIT]],'Unit Price'!C$1,FALSE),0)</f>
        <v>0</v>
      </c>
      <c r="H161" s="197">
        <f>IF(_1_54128456121462410464578910174[[#This Row],[Type]]&gt;0,VLOOKUP(_1_54128456121462410464578910174[[#This Row],[Type]],Main[[#All],[TYPE]:[UNIT]],'Unit Price'!D$1,FALSE),0)</f>
        <v>0</v>
      </c>
      <c r="I161" s="194">
        <f>IF(_1_54128456121462410464578910174[[#This Row],[Type]]&gt;0,VLOOKUP(_1_54128456121462410464578910174[[#This Row],[Type]],Main[[#All],[TYPE]:[UNIT]],'Unit Price'!G$1,FALSE),0)</f>
        <v>0</v>
      </c>
      <c r="J161" s="194">
        <f>IF(_1_54128456121462410464578910174[[#This Row],[Type]]&gt;0,VLOOKUP(_1_54128456121462410464578910174[[#This Row],[Type]],Main[[#All],[TYPE]:[UNIT]],'Unit Price'!H$1,FALSE),0)</f>
        <v>0</v>
      </c>
      <c r="K161" s="194">
        <f>IF(_1_54128456121462410464578910174[[#This Row],[Discount selection]]&gt;0,VLOOKUP(_1_54128456121462410464578910174[[#This Row],[Discount selection]],'Discount Structure'!$A$2:$B$30,2,"false"),0)</f>
        <v>1</v>
      </c>
      <c r="L161" s="194">
        <f>_1_54128456121462410464578910174[[#This Row],[LIST $]]*_1_54128456121462410464578910174[[#This Row],[DISCOUNT]]*_1_54128456121462410464578910174[[#This Row],[DISCOUNT 2]]</f>
        <v>0</v>
      </c>
      <c r="M161" s="194">
        <f>IF(OR(_1_54128456121462410464578910174[[#This Row],[UNIT]]&gt;0,_1_54128456121462410464578910174[[#This Row],[UNIT]]&lt;0),_1_54128456121462410464578910174[[#This Row],[UNIT]]*_1_54128456121462410464578910174[[#This Row],[COST]],0)</f>
        <v>0</v>
      </c>
      <c r="N161" s="194">
        <f t="shared" si="2"/>
        <v>1.5</v>
      </c>
      <c r="O161" s="198">
        <f>_1_54128456121462410464578910174[[#This Row],[TOTAL]]*_1_54128456121462410464578910174[[#This Row],[MARGIN]]</f>
        <v>0</v>
      </c>
      <c r="R161" s="41"/>
    </row>
    <row r="162" spans="1:18">
      <c r="B162" s="168"/>
      <c r="C162" s="168"/>
      <c r="D162" s="188"/>
      <c r="F162" s="168" t="s">
        <v>6202</v>
      </c>
      <c r="G162" s="193">
        <f>IF(_1_54128456121462410464578910174[[#This Row],[Type]]&gt;0,VLOOKUP(_1_54128456121462410464578910174[[#This Row],[Type]],Main[[#All],[TYPE]:[UNIT]],'Unit Price'!C$1,FALSE),0)</f>
        <v>0</v>
      </c>
      <c r="H162" s="197">
        <f>IF(_1_54128456121462410464578910174[[#This Row],[Type]]&gt;0,VLOOKUP(_1_54128456121462410464578910174[[#This Row],[Type]],Main[[#All],[TYPE]:[UNIT]],'Unit Price'!D$1,FALSE),0)</f>
        <v>0</v>
      </c>
      <c r="I162" s="194">
        <f>IF(_1_54128456121462410464578910174[[#This Row],[Type]]&gt;0,VLOOKUP(_1_54128456121462410464578910174[[#This Row],[Type]],Main[[#All],[TYPE]:[UNIT]],'Unit Price'!G$1,FALSE),0)</f>
        <v>0</v>
      </c>
      <c r="J162" s="194">
        <f>IF(_1_54128456121462410464578910174[[#This Row],[Type]]&gt;0,VLOOKUP(_1_54128456121462410464578910174[[#This Row],[Type]],Main[[#All],[TYPE]:[UNIT]],'Unit Price'!H$1,FALSE),0)</f>
        <v>0</v>
      </c>
      <c r="K162" s="194">
        <f>IF(_1_54128456121462410464578910174[[#This Row],[Discount selection]]&gt;0,VLOOKUP(_1_54128456121462410464578910174[[#This Row],[Discount selection]],'Discount Structure'!$A$2:$B$30,2,"false"),0)</f>
        <v>1</v>
      </c>
      <c r="L162" s="194">
        <f>_1_54128456121462410464578910174[[#This Row],[LIST $]]*_1_54128456121462410464578910174[[#This Row],[DISCOUNT]]*_1_54128456121462410464578910174[[#This Row],[DISCOUNT 2]]</f>
        <v>0</v>
      </c>
      <c r="M162" s="194">
        <f>IF(OR(_1_54128456121462410464578910174[[#This Row],[UNIT]]&gt;0,_1_54128456121462410464578910174[[#This Row],[UNIT]]&lt;0),_1_54128456121462410464578910174[[#This Row],[UNIT]]*_1_54128456121462410464578910174[[#This Row],[COST]],0)</f>
        <v>0</v>
      </c>
      <c r="N162" s="194">
        <f t="shared" si="2"/>
        <v>1.5</v>
      </c>
      <c r="O162" s="198">
        <f>_1_54128456121462410464578910174[[#This Row],[TOTAL]]*_1_54128456121462410464578910174[[#This Row],[MARGIN]]</f>
        <v>0</v>
      </c>
      <c r="R162" s="41"/>
    </row>
    <row r="163" spans="1:18">
      <c r="A163" s="168"/>
      <c r="C163" s="168"/>
      <c r="D163" s="188"/>
      <c r="F163" s="168" t="s">
        <v>6202</v>
      </c>
      <c r="G163" s="193">
        <f>IF(_1_54128456121462410464578910174[[#This Row],[Type]]&gt;0,VLOOKUP(_1_54128456121462410464578910174[[#This Row],[Type]],Main[[#All],[TYPE]:[UNIT]],'Unit Price'!C$1,FALSE),0)</f>
        <v>0</v>
      </c>
      <c r="H163" s="197">
        <f>IF(_1_54128456121462410464578910174[[#This Row],[Type]]&gt;0,VLOOKUP(_1_54128456121462410464578910174[[#This Row],[Type]],Main[[#All],[TYPE]:[UNIT]],'Unit Price'!D$1,FALSE),0)</f>
        <v>0</v>
      </c>
      <c r="I163" s="194">
        <f>IF(_1_54128456121462410464578910174[[#This Row],[Type]]&gt;0,VLOOKUP(_1_54128456121462410464578910174[[#This Row],[Type]],Main[[#All],[TYPE]:[UNIT]],'Unit Price'!G$1,FALSE),0)</f>
        <v>0</v>
      </c>
      <c r="J163" s="194">
        <f>IF(_1_54128456121462410464578910174[[#This Row],[Type]]&gt;0,VLOOKUP(_1_54128456121462410464578910174[[#This Row],[Type]],Main[[#All],[TYPE]:[UNIT]],'Unit Price'!H$1,FALSE),0)</f>
        <v>0</v>
      </c>
      <c r="K163" s="194">
        <f>IF(_1_54128456121462410464578910174[[#This Row],[Discount selection]]&gt;0,VLOOKUP(_1_54128456121462410464578910174[[#This Row],[Discount selection]],'Discount Structure'!$A$2:$B$30,2,"false"),0)</f>
        <v>1</v>
      </c>
      <c r="L163" s="194">
        <f>_1_54128456121462410464578910174[[#This Row],[LIST $]]*_1_54128456121462410464578910174[[#This Row],[DISCOUNT]]*_1_54128456121462410464578910174[[#This Row],[DISCOUNT 2]]</f>
        <v>0</v>
      </c>
      <c r="M163" s="194">
        <f>IF(OR(_1_54128456121462410464578910174[[#This Row],[UNIT]]&gt;0,_1_54128456121462410464578910174[[#This Row],[UNIT]]&lt;0),_1_54128456121462410464578910174[[#This Row],[UNIT]]*_1_54128456121462410464578910174[[#This Row],[COST]],0)</f>
        <v>0</v>
      </c>
      <c r="N163" s="194">
        <f t="shared" si="2"/>
        <v>1.5</v>
      </c>
      <c r="O163" s="198">
        <f>_1_54128456121462410464578910174[[#This Row],[TOTAL]]*_1_54128456121462410464578910174[[#This Row],[MARGIN]]</f>
        <v>0</v>
      </c>
      <c r="R163" s="41"/>
    </row>
    <row r="164" spans="1:18">
      <c r="B164" s="168"/>
      <c r="C164" s="168"/>
      <c r="D164" s="188"/>
      <c r="F164" s="168" t="s">
        <v>6202</v>
      </c>
      <c r="G164" s="193">
        <f>IF(_1_54128456121462410464578910174[[#This Row],[Type]]&gt;0,VLOOKUP(_1_54128456121462410464578910174[[#This Row],[Type]],Main[[#All],[TYPE]:[UNIT]],'Unit Price'!C$1,FALSE),0)</f>
        <v>0</v>
      </c>
      <c r="H164" s="197">
        <f>IF(_1_54128456121462410464578910174[[#This Row],[Type]]&gt;0,VLOOKUP(_1_54128456121462410464578910174[[#This Row],[Type]],Main[[#All],[TYPE]:[UNIT]],'Unit Price'!D$1,FALSE),0)</f>
        <v>0</v>
      </c>
      <c r="I164" s="194">
        <f>IF(_1_54128456121462410464578910174[[#This Row],[Type]]&gt;0,VLOOKUP(_1_54128456121462410464578910174[[#This Row],[Type]],Main[[#All],[TYPE]:[UNIT]],'Unit Price'!G$1,FALSE),0)</f>
        <v>0</v>
      </c>
      <c r="J164" s="194">
        <f>IF(_1_54128456121462410464578910174[[#This Row],[Type]]&gt;0,VLOOKUP(_1_54128456121462410464578910174[[#This Row],[Type]],Main[[#All],[TYPE]:[UNIT]],'Unit Price'!H$1,FALSE),0)</f>
        <v>0</v>
      </c>
      <c r="K164" s="194">
        <f>IF(_1_54128456121462410464578910174[[#This Row],[Discount selection]]&gt;0,VLOOKUP(_1_54128456121462410464578910174[[#This Row],[Discount selection]],'Discount Structure'!$A$2:$B$30,2,"false"),0)</f>
        <v>1</v>
      </c>
      <c r="L164" s="194">
        <f>_1_54128456121462410464578910174[[#This Row],[LIST $]]*_1_54128456121462410464578910174[[#This Row],[DISCOUNT]]*_1_54128456121462410464578910174[[#This Row],[DISCOUNT 2]]</f>
        <v>0</v>
      </c>
      <c r="M164" s="194">
        <f>IF(OR(_1_54128456121462410464578910174[[#This Row],[UNIT]]&gt;0,_1_54128456121462410464578910174[[#This Row],[UNIT]]&lt;0),_1_54128456121462410464578910174[[#This Row],[UNIT]]*_1_54128456121462410464578910174[[#This Row],[COST]],0)</f>
        <v>0</v>
      </c>
      <c r="N164" s="194">
        <f t="shared" si="2"/>
        <v>1.5</v>
      </c>
      <c r="O164" s="198">
        <f>_1_54128456121462410464578910174[[#This Row],[TOTAL]]*_1_54128456121462410464578910174[[#This Row],[MARGIN]]</f>
        <v>0</v>
      </c>
      <c r="R164" s="41"/>
    </row>
    <row r="165" spans="1:18">
      <c r="A165" s="168"/>
      <c r="C165" s="168"/>
      <c r="D165" s="188"/>
      <c r="F165" s="168" t="s">
        <v>6202</v>
      </c>
      <c r="G165" s="193">
        <f>IF(_1_54128456121462410464578910174[[#This Row],[Type]]&gt;0,VLOOKUP(_1_54128456121462410464578910174[[#This Row],[Type]],Main[[#All],[TYPE]:[UNIT]],'Unit Price'!C$1,FALSE),0)</f>
        <v>0</v>
      </c>
      <c r="H165" s="197">
        <f>IF(_1_54128456121462410464578910174[[#This Row],[Type]]&gt;0,VLOOKUP(_1_54128456121462410464578910174[[#This Row],[Type]],Main[[#All],[TYPE]:[UNIT]],'Unit Price'!D$1,FALSE),0)</f>
        <v>0</v>
      </c>
      <c r="I165" s="194">
        <f>IF(_1_54128456121462410464578910174[[#This Row],[Type]]&gt;0,VLOOKUP(_1_54128456121462410464578910174[[#This Row],[Type]],Main[[#All],[TYPE]:[UNIT]],'Unit Price'!G$1,FALSE),0)</f>
        <v>0</v>
      </c>
      <c r="J165" s="194">
        <f>IF(_1_54128456121462410464578910174[[#This Row],[Type]]&gt;0,VLOOKUP(_1_54128456121462410464578910174[[#This Row],[Type]],Main[[#All],[TYPE]:[UNIT]],'Unit Price'!H$1,FALSE),0)</f>
        <v>0</v>
      </c>
      <c r="K165" s="194">
        <f>IF(_1_54128456121462410464578910174[[#This Row],[Discount selection]]&gt;0,VLOOKUP(_1_54128456121462410464578910174[[#This Row],[Discount selection]],'Discount Structure'!$A$2:$B$30,2,"false"),0)</f>
        <v>1</v>
      </c>
      <c r="L165" s="194">
        <f>_1_54128456121462410464578910174[[#This Row],[LIST $]]*_1_54128456121462410464578910174[[#This Row],[DISCOUNT]]*_1_54128456121462410464578910174[[#This Row],[DISCOUNT 2]]</f>
        <v>0</v>
      </c>
      <c r="M165" s="194">
        <f>IF(OR(_1_54128456121462410464578910174[[#This Row],[UNIT]]&gt;0,_1_54128456121462410464578910174[[#This Row],[UNIT]]&lt;0),_1_54128456121462410464578910174[[#This Row],[UNIT]]*_1_54128456121462410464578910174[[#This Row],[COST]],0)</f>
        <v>0</v>
      </c>
      <c r="N165" s="194">
        <f t="shared" si="2"/>
        <v>1.5</v>
      </c>
      <c r="O165" s="198">
        <f>_1_54128456121462410464578910174[[#This Row],[TOTAL]]*_1_54128456121462410464578910174[[#This Row],[MARGIN]]</f>
        <v>0</v>
      </c>
      <c r="R165" s="41"/>
    </row>
    <row r="166" spans="1:18">
      <c r="B166" s="168"/>
      <c r="C166" s="168"/>
      <c r="D166" s="188"/>
      <c r="F166" s="168" t="s">
        <v>6202</v>
      </c>
      <c r="G166" s="193">
        <f>IF(_1_54128456121462410464578910174[[#This Row],[Type]]&gt;0,VLOOKUP(_1_54128456121462410464578910174[[#This Row],[Type]],Main[[#All],[TYPE]:[UNIT]],'Unit Price'!C$1,FALSE),0)</f>
        <v>0</v>
      </c>
      <c r="H166" s="197">
        <f>IF(_1_54128456121462410464578910174[[#This Row],[Type]]&gt;0,VLOOKUP(_1_54128456121462410464578910174[[#This Row],[Type]],Main[[#All],[TYPE]:[UNIT]],'Unit Price'!D$1,FALSE),0)</f>
        <v>0</v>
      </c>
      <c r="I166" s="194">
        <f>IF(_1_54128456121462410464578910174[[#This Row],[Type]]&gt;0,VLOOKUP(_1_54128456121462410464578910174[[#This Row],[Type]],Main[[#All],[TYPE]:[UNIT]],'Unit Price'!G$1,FALSE),0)</f>
        <v>0</v>
      </c>
      <c r="J166" s="194">
        <f>IF(_1_54128456121462410464578910174[[#This Row],[Type]]&gt;0,VLOOKUP(_1_54128456121462410464578910174[[#This Row],[Type]],Main[[#All],[TYPE]:[UNIT]],'Unit Price'!H$1,FALSE),0)</f>
        <v>0</v>
      </c>
      <c r="K166" s="194">
        <f>IF(_1_54128456121462410464578910174[[#This Row],[Discount selection]]&gt;0,VLOOKUP(_1_54128456121462410464578910174[[#This Row],[Discount selection]],'Discount Structure'!$A$2:$B$30,2,"false"),0)</f>
        <v>1</v>
      </c>
      <c r="L166" s="194">
        <f>_1_54128456121462410464578910174[[#This Row],[LIST $]]*_1_54128456121462410464578910174[[#This Row],[DISCOUNT]]*_1_54128456121462410464578910174[[#This Row],[DISCOUNT 2]]</f>
        <v>0</v>
      </c>
      <c r="M166" s="194">
        <f>IF(OR(_1_54128456121462410464578910174[[#This Row],[UNIT]]&gt;0,_1_54128456121462410464578910174[[#This Row],[UNIT]]&lt;0),_1_54128456121462410464578910174[[#This Row],[UNIT]]*_1_54128456121462410464578910174[[#This Row],[COST]],0)</f>
        <v>0</v>
      </c>
      <c r="N166" s="194">
        <f t="shared" si="2"/>
        <v>1.5</v>
      </c>
      <c r="O166" s="198">
        <f>_1_54128456121462410464578910174[[#This Row],[TOTAL]]*_1_54128456121462410464578910174[[#This Row],[MARGIN]]</f>
        <v>0</v>
      </c>
      <c r="R166" s="41"/>
    </row>
    <row r="167" spans="1:18">
      <c r="A167" s="168"/>
      <c r="C167" s="168"/>
      <c r="D167" s="188"/>
      <c r="F167" s="168" t="s">
        <v>6202</v>
      </c>
      <c r="G167" s="193">
        <f>IF(_1_54128456121462410464578910174[[#This Row],[Type]]&gt;0,VLOOKUP(_1_54128456121462410464578910174[[#This Row],[Type]],Main[[#All],[TYPE]:[UNIT]],'Unit Price'!C$1,FALSE),0)</f>
        <v>0</v>
      </c>
      <c r="H167" s="197">
        <f>IF(_1_54128456121462410464578910174[[#This Row],[Type]]&gt;0,VLOOKUP(_1_54128456121462410464578910174[[#This Row],[Type]],Main[[#All],[TYPE]:[UNIT]],'Unit Price'!D$1,FALSE),0)</f>
        <v>0</v>
      </c>
      <c r="I167" s="194">
        <f>IF(_1_54128456121462410464578910174[[#This Row],[Type]]&gt;0,VLOOKUP(_1_54128456121462410464578910174[[#This Row],[Type]],Main[[#All],[TYPE]:[UNIT]],'Unit Price'!G$1,FALSE),0)</f>
        <v>0</v>
      </c>
      <c r="J167" s="194">
        <f>IF(_1_54128456121462410464578910174[[#This Row],[Type]]&gt;0,VLOOKUP(_1_54128456121462410464578910174[[#This Row],[Type]],Main[[#All],[TYPE]:[UNIT]],'Unit Price'!H$1,FALSE),0)</f>
        <v>0</v>
      </c>
      <c r="K167" s="194">
        <f>IF(_1_54128456121462410464578910174[[#This Row],[Discount selection]]&gt;0,VLOOKUP(_1_54128456121462410464578910174[[#This Row],[Discount selection]],'Discount Structure'!$A$2:$B$30,2,"false"),0)</f>
        <v>1</v>
      </c>
      <c r="L167" s="194">
        <f>_1_54128456121462410464578910174[[#This Row],[LIST $]]*_1_54128456121462410464578910174[[#This Row],[DISCOUNT]]*_1_54128456121462410464578910174[[#This Row],[DISCOUNT 2]]</f>
        <v>0</v>
      </c>
      <c r="M167" s="194">
        <f>IF(OR(_1_54128456121462410464578910174[[#This Row],[UNIT]]&gt;0,_1_54128456121462410464578910174[[#This Row],[UNIT]]&lt;0),_1_54128456121462410464578910174[[#This Row],[UNIT]]*_1_54128456121462410464578910174[[#This Row],[COST]],0)</f>
        <v>0</v>
      </c>
      <c r="N167" s="194">
        <f t="shared" si="2"/>
        <v>1.5</v>
      </c>
      <c r="O167" s="198">
        <f>_1_54128456121462410464578910174[[#This Row],[TOTAL]]*_1_54128456121462410464578910174[[#This Row],[MARGIN]]</f>
        <v>0</v>
      </c>
      <c r="R167" s="41"/>
    </row>
    <row r="168" spans="1:18">
      <c r="B168" s="168"/>
      <c r="C168" s="168"/>
      <c r="D168" s="188"/>
      <c r="F168" s="168" t="s">
        <v>6202</v>
      </c>
      <c r="G168" s="193">
        <f>IF(_1_54128456121462410464578910174[[#This Row],[Type]]&gt;0,VLOOKUP(_1_54128456121462410464578910174[[#This Row],[Type]],Main[[#All],[TYPE]:[UNIT]],'Unit Price'!C$1,FALSE),0)</f>
        <v>0</v>
      </c>
      <c r="H168" s="197">
        <f>IF(_1_54128456121462410464578910174[[#This Row],[Type]]&gt;0,VLOOKUP(_1_54128456121462410464578910174[[#This Row],[Type]],Main[[#All],[TYPE]:[UNIT]],'Unit Price'!D$1,FALSE),0)</f>
        <v>0</v>
      </c>
      <c r="I168" s="194">
        <f>IF(_1_54128456121462410464578910174[[#This Row],[Type]]&gt;0,VLOOKUP(_1_54128456121462410464578910174[[#This Row],[Type]],Main[[#All],[TYPE]:[UNIT]],'Unit Price'!G$1,FALSE),0)</f>
        <v>0</v>
      </c>
      <c r="J168" s="194">
        <f>IF(_1_54128456121462410464578910174[[#This Row],[Type]]&gt;0,VLOOKUP(_1_54128456121462410464578910174[[#This Row],[Type]],Main[[#All],[TYPE]:[UNIT]],'Unit Price'!H$1,FALSE),0)</f>
        <v>0</v>
      </c>
      <c r="K168" s="194">
        <f>IF(_1_54128456121462410464578910174[[#This Row],[Discount selection]]&gt;0,VLOOKUP(_1_54128456121462410464578910174[[#This Row],[Discount selection]],'Discount Structure'!$A$2:$B$30,2,"false"),0)</f>
        <v>1</v>
      </c>
      <c r="L168" s="194">
        <f>_1_54128456121462410464578910174[[#This Row],[LIST $]]*_1_54128456121462410464578910174[[#This Row],[DISCOUNT]]*_1_54128456121462410464578910174[[#This Row],[DISCOUNT 2]]</f>
        <v>0</v>
      </c>
      <c r="M168" s="194">
        <f>IF(OR(_1_54128456121462410464578910174[[#This Row],[UNIT]]&gt;0,_1_54128456121462410464578910174[[#This Row],[UNIT]]&lt;0),_1_54128456121462410464578910174[[#This Row],[UNIT]]*_1_54128456121462410464578910174[[#This Row],[COST]],0)</f>
        <v>0</v>
      </c>
      <c r="N168" s="194">
        <f t="shared" si="2"/>
        <v>1.5</v>
      </c>
      <c r="O168" s="198">
        <f>_1_54128456121462410464578910174[[#This Row],[TOTAL]]*_1_54128456121462410464578910174[[#This Row],[MARGIN]]</f>
        <v>0</v>
      </c>
      <c r="R168" s="41"/>
    </row>
    <row r="169" spans="1:18">
      <c r="A169" s="168"/>
      <c r="C169" s="168"/>
      <c r="D169" s="188"/>
      <c r="F169" s="168" t="s">
        <v>6202</v>
      </c>
      <c r="G169" s="193">
        <f>IF(_1_54128456121462410464578910174[[#This Row],[Type]]&gt;0,VLOOKUP(_1_54128456121462410464578910174[[#This Row],[Type]],Main[[#All],[TYPE]:[UNIT]],'Unit Price'!C$1,FALSE),0)</f>
        <v>0</v>
      </c>
      <c r="H169" s="197">
        <f>IF(_1_54128456121462410464578910174[[#This Row],[Type]]&gt;0,VLOOKUP(_1_54128456121462410464578910174[[#This Row],[Type]],Main[[#All],[TYPE]:[UNIT]],'Unit Price'!D$1,FALSE),0)</f>
        <v>0</v>
      </c>
      <c r="I169" s="194">
        <f>IF(_1_54128456121462410464578910174[[#This Row],[Type]]&gt;0,VLOOKUP(_1_54128456121462410464578910174[[#This Row],[Type]],Main[[#All],[TYPE]:[UNIT]],'Unit Price'!G$1,FALSE),0)</f>
        <v>0</v>
      </c>
      <c r="J169" s="194">
        <f>IF(_1_54128456121462410464578910174[[#This Row],[Type]]&gt;0,VLOOKUP(_1_54128456121462410464578910174[[#This Row],[Type]],Main[[#All],[TYPE]:[UNIT]],'Unit Price'!H$1,FALSE),0)</f>
        <v>0</v>
      </c>
      <c r="K169" s="194">
        <f>IF(_1_54128456121462410464578910174[[#This Row],[Discount selection]]&gt;0,VLOOKUP(_1_54128456121462410464578910174[[#This Row],[Discount selection]],'Discount Structure'!$A$2:$B$30,2,"false"),0)</f>
        <v>1</v>
      </c>
      <c r="L169" s="194">
        <f>_1_54128456121462410464578910174[[#This Row],[LIST $]]*_1_54128456121462410464578910174[[#This Row],[DISCOUNT]]*_1_54128456121462410464578910174[[#This Row],[DISCOUNT 2]]</f>
        <v>0</v>
      </c>
      <c r="M169" s="194">
        <f>IF(OR(_1_54128456121462410464578910174[[#This Row],[UNIT]]&gt;0,_1_54128456121462410464578910174[[#This Row],[UNIT]]&lt;0),_1_54128456121462410464578910174[[#This Row],[UNIT]]*_1_54128456121462410464578910174[[#This Row],[COST]],0)</f>
        <v>0</v>
      </c>
      <c r="N169" s="194">
        <f t="shared" si="2"/>
        <v>1.5</v>
      </c>
      <c r="O169" s="198">
        <f>_1_54128456121462410464578910174[[#This Row],[TOTAL]]*_1_54128456121462410464578910174[[#This Row],[MARGIN]]</f>
        <v>0</v>
      </c>
      <c r="R169" s="41"/>
    </row>
    <row r="170" spans="1:18">
      <c r="B170" s="168"/>
      <c r="C170" s="168"/>
      <c r="D170" s="188"/>
      <c r="F170" s="168" t="s">
        <v>6202</v>
      </c>
      <c r="G170" s="193">
        <f>IF(_1_54128456121462410464578910174[[#This Row],[Type]]&gt;0,VLOOKUP(_1_54128456121462410464578910174[[#This Row],[Type]],Main[[#All],[TYPE]:[UNIT]],'Unit Price'!C$1,FALSE),0)</f>
        <v>0</v>
      </c>
      <c r="H170" s="197">
        <f>IF(_1_54128456121462410464578910174[[#This Row],[Type]]&gt;0,VLOOKUP(_1_54128456121462410464578910174[[#This Row],[Type]],Main[[#All],[TYPE]:[UNIT]],'Unit Price'!D$1,FALSE),0)</f>
        <v>0</v>
      </c>
      <c r="I170" s="194">
        <f>IF(_1_54128456121462410464578910174[[#This Row],[Type]]&gt;0,VLOOKUP(_1_54128456121462410464578910174[[#This Row],[Type]],Main[[#All],[TYPE]:[UNIT]],'Unit Price'!G$1,FALSE),0)</f>
        <v>0</v>
      </c>
      <c r="J170" s="194">
        <f>IF(_1_54128456121462410464578910174[[#This Row],[Type]]&gt;0,VLOOKUP(_1_54128456121462410464578910174[[#This Row],[Type]],Main[[#All],[TYPE]:[UNIT]],'Unit Price'!H$1,FALSE),0)</f>
        <v>0</v>
      </c>
      <c r="K170" s="194">
        <f>IF(_1_54128456121462410464578910174[[#This Row],[Discount selection]]&gt;0,VLOOKUP(_1_54128456121462410464578910174[[#This Row],[Discount selection]],'Discount Structure'!$A$2:$B$30,2,"false"),0)</f>
        <v>1</v>
      </c>
      <c r="L170" s="194">
        <f>_1_54128456121462410464578910174[[#This Row],[LIST $]]*_1_54128456121462410464578910174[[#This Row],[DISCOUNT]]*_1_54128456121462410464578910174[[#This Row],[DISCOUNT 2]]</f>
        <v>0</v>
      </c>
      <c r="M170" s="194">
        <f>IF(OR(_1_54128456121462410464578910174[[#This Row],[UNIT]]&gt;0,_1_54128456121462410464578910174[[#This Row],[UNIT]]&lt;0),_1_54128456121462410464578910174[[#This Row],[UNIT]]*_1_54128456121462410464578910174[[#This Row],[COST]],0)</f>
        <v>0</v>
      </c>
      <c r="N170" s="194">
        <f t="shared" si="2"/>
        <v>1.5</v>
      </c>
      <c r="O170" s="198">
        <f>_1_54128456121462410464578910174[[#This Row],[TOTAL]]*_1_54128456121462410464578910174[[#This Row],[MARGIN]]</f>
        <v>0</v>
      </c>
      <c r="R170" s="41"/>
    </row>
    <row r="171" spans="1:18">
      <c r="C171" s="168"/>
      <c r="D171" s="188"/>
      <c r="F171" s="168" t="s">
        <v>6202</v>
      </c>
      <c r="G171" s="193">
        <f>IF(_1_54128456121462410464578910174[[#This Row],[Type]]&gt;0,VLOOKUP(_1_54128456121462410464578910174[[#This Row],[Type]],Main[[#All],[TYPE]:[UNIT]],'Unit Price'!C$1,FALSE),0)</f>
        <v>0</v>
      </c>
      <c r="H171" s="197">
        <f>IF(_1_54128456121462410464578910174[[#This Row],[Type]]&gt;0,VLOOKUP(_1_54128456121462410464578910174[[#This Row],[Type]],Main[[#All],[TYPE]:[UNIT]],'Unit Price'!D$1,FALSE),0)</f>
        <v>0</v>
      </c>
      <c r="I171" s="194">
        <f>IF(_1_54128456121462410464578910174[[#This Row],[Type]]&gt;0,VLOOKUP(_1_54128456121462410464578910174[[#This Row],[Type]],Main[[#All],[TYPE]:[UNIT]],'Unit Price'!G$1,FALSE),0)</f>
        <v>0</v>
      </c>
      <c r="J171" s="194">
        <f>IF(_1_54128456121462410464578910174[[#This Row],[Type]]&gt;0,VLOOKUP(_1_54128456121462410464578910174[[#This Row],[Type]],Main[[#All],[TYPE]:[UNIT]],'Unit Price'!H$1,FALSE),0)</f>
        <v>0</v>
      </c>
      <c r="K171" s="194">
        <f>IF(_1_54128456121462410464578910174[[#This Row],[Discount selection]]&gt;0,VLOOKUP(_1_54128456121462410464578910174[[#This Row],[Discount selection]],'Discount Structure'!$A$2:$B$30,2,"false"),0)</f>
        <v>1</v>
      </c>
      <c r="L171" s="194">
        <f>_1_54128456121462410464578910174[[#This Row],[LIST $]]*_1_54128456121462410464578910174[[#This Row],[DISCOUNT]]*_1_54128456121462410464578910174[[#This Row],[DISCOUNT 2]]</f>
        <v>0</v>
      </c>
      <c r="M171" s="194">
        <f>IF(OR(_1_54128456121462410464578910174[[#This Row],[UNIT]]&gt;0,_1_54128456121462410464578910174[[#This Row],[UNIT]]&lt;0),_1_54128456121462410464578910174[[#This Row],[UNIT]]*_1_54128456121462410464578910174[[#This Row],[COST]],0)</f>
        <v>0</v>
      </c>
      <c r="N171" s="194">
        <f t="shared" si="2"/>
        <v>1.5</v>
      </c>
      <c r="O171" s="198">
        <f>_1_54128456121462410464578910174[[#This Row],[TOTAL]]*_1_54128456121462410464578910174[[#This Row],[MARGIN]]</f>
        <v>0</v>
      </c>
      <c r="R171" s="41"/>
    </row>
    <row r="172" spans="1:18">
      <c r="C172" s="168"/>
      <c r="D172" s="188"/>
      <c r="F172" s="168" t="s">
        <v>6202</v>
      </c>
      <c r="G172" s="193">
        <f>IF(_1_54128456121462410464578910174[[#This Row],[Type]]&gt;0,VLOOKUP(_1_54128456121462410464578910174[[#This Row],[Type]],Main[[#All],[TYPE]:[UNIT]],'Unit Price'!C$1,FALSE),0)</f>
        <v>0</v>
      </c>
      <c r="H172" s="197">
        <f>IF(_1_54128456121462410464578910174[[#This Row],[Type]]&gt;0,VLOOKUP(_1_54128456121462410464578910174[[#This Row],[Type]],Main[[#All],[TYPE]:[UNIT]],'Unit Price'!D$1,FALSE),0)</f>
        <v>0</v>
      </c>
      <c r="I172" s="194">
        <f>IF(_1_54128456121462410464578910174[[#This Row],[Type]]&gt;0,VLOOKUP(_1_54128456121462410464578910174[[#This Row],[Type]],Main[[#All],[TYPE]:[UNIT]],'Unit Price'!G$1,FALSE),0)</f>
        <v>0</v>
      </c>
      <c r="J172" s="194">
        <f>IF(_1_54128456121462410464578910174[[#This Row],[Type]]&gt;0,VLOOKUP(_1_54128456121462410464578910174[[#This Row],[Type]],Main[[#All],[TYPE]:[UNIT]],'Unit Price'!H$1,FALSE),0)</f>
        <v>0</v>
      </c>
      <c r="K172" s="194">
        <f>IF(_1_54128456121462410464578910174[[#This Row],[Discount selection]]&gt;0,VLOOKUP(_1_54128456121462410464578910174[[#This Row],[Discount selection]],'Discount Structure'!$A$2:$B$30,2,"false"),0)</f>
        <v>1</v>
      </c>
      <c r="L172" s="194">
        <f>_1_54128456121462410464578910174[[#This Row],[LIST $]]*_1_54128456121462410464578910174[[#This Row],[DISCOUNT]]*_1_54128456121462410464578910174[[#This Row],[DISCOUNT 2]]</f>
        <v>0</v>
      </c>
      <c r="M172" s="194">
        <f>IF(OR(_1_54128456121462410464578910174[[#This Row],[UNIT]]&gt;0,_1_54128456121462410464578910174[[#This Row],[UNIT]]&lt;0),_1_54128456121462410464578910174[[#This Row],[UNIT]]*_1_54128456121462410464578910174[[#This Row],[COST]],0)</f>
        <v>0</v>
      </c>
      <c r="N172" s="194">
        <f t="shared" si="2"/>
        <v>1.5</v>
      </c>
      <c r="O172" s="198">
        <f>_1_54128456121462410464578910174[[#This Row],[TOTAL]]*_1_54128456121462410464578910174[[#This Row],[MARGIN]]</f>
        <v>0</v>
      </c>
      <c r="R172" s="41"/>
    </row>
    <row r="173" spans="1:18">
      <c r="C173" s="168"/>
      <c r="D173" s="188"/>
      <c r="F173" s="168" t="s">
        <v>6202</v>
      </c>
      <c r="G173" s="193">
        <f>IF(_1_54128456121462410464578910174[[#This Row],[Type]]&gt;0,VLOOKUP(_1_54128456121462410464578910174[[#This Row],[Type]],Main[[#All],[TYPE]:[UNIT]],'Unit Price'!C$1,FALSE),0)</f>
        <v>0</v>
      </c>
      <c r="H173" s="197">
        <f>IF(_1_54128456121462410464578910174[[#This Row],[Type]]&gt;0,VLOOKUP(_1_54128456121462410464578910174[[#This Row],[Type]],Main[[#All],[TYPE]:[UNIT]],'Unit Price'!D$1,FALSE),0)</f>
        <v>0</v>
      </c>
      <c r="I173" s="194">
        <f>IF(_1_54128456121462410464578910174[[#This Row],[Type]]&gt;0,VLOOKUP(_1_54128456121462410464578910174[[#This Row],[Type]],Main[[#All],[TYPE]:[UNIT]],'Unit Price'!G$1,FALSE),0)</f>
        <v>0</v>
      </c>
      <c r="J173" s="194">
        <f>IF(_1_54128456121462410464578910174[[#This Row],[Type]]&gt;0,VLOOKUP(_1_54128456121462410464578910174[[#This Row],[Type]],Main[[#All],[TYPE]:[UNIT]],'Unit Price'!H$1,FALSE),0)</f>
        <v>0</v>
      </c>
      <c r="K173" s="194">
        <f>IF(_1_54128456121462410464578910174[[#This Row],[Discount selection]]&gt;0,VLOOKUP(_1_54128456121462410464578910174[[#This Row],[Discount selection]],'Discount Structure'!$A$2:$B$30,2,"false"),0)</f>
        <v>1</v>
      </c>
      <c r="L173" s="194">
        <f>_1_54128456121462410464578910174[[#This Row],[LIST $]]*_1_54128456121462410464578910174[[#This Row],[DISCOUNT]]*_1_54128456121462410464578910174[[#This Row],[DISCOUNT 2]]</f>
        <v>0</v>
      </c>
      <c r="M173" s="194">
        <f>IF(OR(_1_54128456121462410464578910174[[#This Row],[UNIT]]&gt;0,_1_54128456121462410464578910174[[#This Row],[UNIT]]&lt;0),_1_54128456121462410464578910174[[#This Row],[UNIT]]*_1_54128456121462410464578910174[[#This Row],[COST]],0)</f>
        <v>0</v>
      </c>
      <c r="N173" s="194">
        <f t="shared" si="2"/>
        <v>1.5</v>
      </c>
      <c r="O173" s="198">
        <f>_1_54128456121462410464578910174[[#This Row],[TOTAL]]*_1_54128456121462410464578910174[[#This Row],[MARGIN]]</f>
        <v>0</v>
      </c>
      <c r="R173" s="41"/>
    </row>
    <row r="174" spans="1:18">
      <c r="C174" s="168"/>
      <c r="D174" s="188"/>
      <c r="F174" s="168" t="s">
        <v>6202</v>
      </c>
      <c r="G174" s="193">
        <f>IF(_1_54128456121462410464578910174[[#This Row],[Type]]&gt;0,VLOOKUP(_1_54128456121462410464578910174[[#This Row],[Type]],Main[[#All],[TYPE]:[UNIT]],'Unit Price'!C$1,FALSE),0)</f>
        <v>0</v>
      </c>
      <c r="H174" s="197">
        <f>IF(_1_54128456121462410464578910174[[#This Row],[Type]]&gt;0,VLOOKUP(_1_54128456121462410464578910174[[#This Row],[Type]],Main[[#All],[TYPE]:[UNIT]],'Unit Price'!D$1,FALSE),0)</f>
        <v>0</v>
      </c>
      <c r="I174" s="194">
        <f>IF(_1_54128456121462410464578910174[[#This Row],[Type]]&gt;0,VLOOKUP(_1_54128456121462410464578910174[[#This Row],[Type]],Main[[#All],[TYPE]:[UNIT]],'Unit Price'!G$1,FALSE),0)</f>
        <v>0</v>
      </c>
      <c r="J174" s="194">
        <f>IF(_1_54128456121462410464578910174[[#This Row],[Type]]&gt;0,VLOOKUP(_1_54128456121462410464578910174[[#This Row],[Type]],Main[[#All],[TYPE]:[UNIT]],'Unit Price'!H$1,FALSE),0)</f>
        <v>0</v>
      </c>
      <c r="K174" s="194">
        <f>IF(_1_54128456121462410464578910174[[#This Row],[Discount selection]]&gt;0,VLOOKUP(_1_54128456121462410464578910174[[#This Row],[Discount selection]],'Discount Structure'!$A$2:$B$30,2,"false"),0)</f>
        <v>1</v>
      </c>
      <c r="L174" s="194">
        <f>_1_54128456121462410464578910174[[#This Row],[LIST $]]*_1_54128456121462410464578910174[[#This Row],[DISCOUNT]]*_1_54128456121462410464578910174[[#This Row],[DISCOUNT 2]]</f>
        <v>0</v>
      </c>
      <c r="M174" s="194">
        <f>IF(OR(_1_54128456121462410464578910174[[#This Row],[UNIT]]&gt;0,_1_54128456121462410464578910174[[#This Row],[UNIT]]&lt;0),_1_54128456121462410464578910174[[#This Row],[UNIT]]*_1_54128456121462410464578910174[[#This Row],[COST]],0)</f>
        <v>0</v>
      </c>
      <c r="N174" s="194">
        <f t="shared" si="2"/>
        <v>1.5</v>
      </c>
      <c r="O174" s="198">
        <f>_1_54128456121462410464578910174[[#This Row],[TOTAL]]*_1_54128456121462410464578910174[[#This Row],[MARGIN]]</f>
        <v>0</v>
      </c>
      <c r="R174" s="41"/>
    </row>
    <row r="175" spans="1:18">
      <c r="C175" s="168"/>
      <c r="D175" s="188"/>
      <c r="F175" s="168" t="s">
        <v>6202</v>
      </c>
      <c r="G175" s="193">
        <f>IF(_1_54128456121462410464578910174[[#This Row],[Type]]&gt;0,VLOOKUP(_1_54128456121462410464578910174[[#This Row],[Type]],Main[[#All],[TYPE]:[UNIT]],'Unit Price'!C$1,FALSE),0)</f>
        <v>0</v>
      </c>
      <c r="H175" s="197">
        <f>IF(_1_54128456121462410464578910174[[#This Row],[Type]]&gt;0,VLOOKUP(_1_54128456121462410464578910174[[#This Row],[Type]],Main[[#All],[TYPE]:[UNIT]],'Unit Price'!D$1,FALSE),0)</f>
        <v>0</v>
      </c>
      <c r="I175" s="194">
        <f>IF(_1_54128456121462410464578910174[[#This Row],[Type]]&gt;0,VLOOKUP(_1_54128456121462410464578910174[[#This Row],[Type]],Main[[#All],[TYPE]:[UNIT]],'Unit Price'!G$1,FALSE),0)</f>
        <v>0</v>
      </c>
      <c r="J175" s="194">
        <f>IF(_1_54128456121462410464578910174[[#This Row],[Type]]&gt;0,VLOOKUP(_1_54128456121462410464578910174[[#This Row],[Type]],Main[[#All],[TYPE]:[UNIT]],'Unit Price'!H$1,FALSE),0)</f>
        <v>0</v>
      </c>
      <c r="K175" s="194">
        <f>IF(_1_54128456121462410464578910174[[#This Row],[Discount selection]]&gt;0,VLOOKUP(_1_54128456121462410464578910174[[#This Row],[Discount selection]],'Discount Structure'!$A$2:$B$30,2,"false"),0)</f>
        <v>1</v>
      </c>
      <c r="L175" s="194">
        <f>_1_54128456121462410464578910174[[#This Row],[LIST $]]*_1_54128456121462410464578910174[[#This Row],[DISCOUNT]]*_1_54128456121462410464578910174[[#This Row],[DISCOUNT 2]]</f>
        <v>0</v>
      </c>
      <c r="M175" s="194">
        <f>IF(OR(_1_54128456121462410464578910174[[#This Row],[UNIT]]&gt;0,_1_54128456121462410464578910174[[#This Row],[UNIT]]&lt;0),_1_54128456121462410464578910174[[#This Row],[UNIT]]*_1_54128456121462410464578910174[[#This Row],[COST]],0)</f>
        <v>0</v>
      </c>
      <c r="N175" s="194">
        <f t="shared" si="2"/>
        <v>1.5</v>
      </c>
      <c r="O175" s="198">
        <f>_1_54128456121462410464578910174[[#This Row],[TOTAL]]*_1_54128456121462410464578910174[[#This Row],[MARGIN]]</f>
        <v>0</v>
      </c>
      <c r="R175" s="41"/>
    </row>
    <row r="176" spans="1:18">
      <c r="C176" s="168"/>
      <c r="D176" s="188"/>
      <c r="F176" s="168" t="s">
        <v>6202</v>
      </c>
      <c r="G176" s="193">
        <f>IF(_1_54128456121462410464578910174[[#This Row],[Type]]&gt;0,VLOOKUP(_1_54128456121462410464578910174[[#This Row],[Type]],Main[[#All],[TYPE]:[UNIT]],'Unit Price'!C$1,FALSE),0)</f>
        <v>0</v>
      </c>
      <c r="H176" s="197">
        <f>IF(_1_54128456121462410464578910174[[#This Row],[Type]]&gt;0,VLOOKUP(_1_54128456121462410464578910174[[#This Row],[Type]],Main[[#All],[TYPE]:[UNIT]],'Unit Price'!D$1,FALSE),0)</f>
        <v>0</v>
      </c>
      <c r="I176" s="194">
        <f>IF(_1_54128456121462410464578910174[[#This Row],[Type]]&gt;0,VLOOKUP(_1_54128456121462410464578910174[[#This Row],[Type]],Main[[#All],[TYPE]:[UNIT]],'Unit Price'!G$1,FALSE),0)</f>
        <v>0</v>
      </c>
      <c r="J176" s="194">
        <f>IF(_1_54128456121462410464578910174[[#This Row],[Type]]&gt;0,VLOOKUP(_1_54128456121462410464578910174[[#This Row],[Type]],Main[[#All],[TYPE]:[UNIT]],'Unit Price'!H$1,FALSE),0)</f>
        <v>0</v>
      </c>
      <c r="K176" s="194">
        <f>IF(_1_54128456121462410464578910174[[#This Row],[Discount selection]]&gt;0,VLOOKUP(_1_54128456121462410464578910174[[#This Row],[Discount selection]],'Discount Structure'!$A$2:$B$30,2,"false"),0)</f>
        <v>1</v>
      </c>
      <c r="L176" s="194">
        <f>_1_54128456121462410464578910174[[#This Row],[LIST $]]*_1_54128456121462410464578910174[[#This Row],[DISCOUNT]]*_1_54128456121462410464578910174[[#This Row],[DISCOUNT 2]]</f>
        <v>0</v>
      </c>
      <c r="M176" s="194">
        <f>IF(OR(_1_54128456121462410464578910174[[#This Row],[UNIT]]&gt;0,_1_54128456121462410464578910174[[#This Row],[UNIT]]&lt;0),_1_54128456121462410464578910174[[#This Row],[UNIT]]*_1_54128456121462410464578910174[[#This Row],[COST]],0)</f>
        <v>0</v>
      </c>
      <c r="N176" s="194">
        <f t="shared" si="2"/>
        <v>1.5</v>
      </c>
      <c r="O176" s="198">
        <f>_1_54128456121462410464578910174[[#This Row],[TOTAL]]*_1_54128456121462410464578910174[[#This Row],[MARGIN]]</f>
        <v>0</v>
      </c>
      <c r="R176" s="41"/>
    </row>
    <row r="177" spans="2:18">
      <c r="C177" s="168"/>
      <c r="D177" s="188"/>
      <c r="F177" s="168" t="s">
        <v>6202</v>
      </c>
      <c r="G177" s="193">
        <f>IF(_1_54128456121462410464578910174[[#This Row],[Type]]&gt;0,VLOOKUP(_1_54128456121462410464578910174[[#This Row],[Type]],Main[[#All],[TYPE]:[UNIT]],'Unit Price'!C$1,FALSE),0)</f>
        <v>0</v>
      </c>
      <c r="H177" s="197">
        <f>IF(_1_54128456121462410464578910174[[#This Row],[Type]]&gt;0,VLOOKUP(_1_54128456121462410464578910174[[#This Row],[Type]],Main[[#All],[TYPE]:[UNIT]],'Unit Price'!D$1,FALSE),0)</f>
        <v>0</v>
      </c>
      <c r="I177" s="194">
        <f>IF(_1_54128456121462410464578910174[[#This Row],[Type]]&gt;0,VLOOKUP(_1_54128456121462410464578910174[[#This Row],[Type]],Main[[#All],[TYPE]:[UNIT]],'Unit Price'!G$1,FALSE),0)</f>
        <v>0</v>
      </c>
      <c r="J177" s="194">
        <f>IF(_1_54128456121462410464578910174[[#This Row],[Type]]&gt;0,VLOOKUP(_1_54128456121462410464578910174[[#This Row],[Type]],Main[[#All],[TYPE]:[UNIT]],'Unit Price'!H$1,FALSE),0)</f>
        <v>0</v>
      </c>
      <c r="K177" s="194">
        <f>IF(_1_54128456121462410464578910174[[#This Row],[Discount selection]]&gt;0,VLOOKUP(_1_54128456121462410464578910174[[#This Row],[Discount selection]],'Discount Structure'!$A$2:$B$30,2,"false"),0)</f>
        <v>1</v>
      </c>
      <c r="L177" s="194">
        <f>_1_54128456121462410464578910174[[#This Row],[LIST $]]*_1_54128456121462410464578910174[[#This Row],[DISCOUNT]]*_1_54128456121462410464578910174[[#This Row],[DISCOUNT 2]]</f>
        <v>0</v>
      </c>
      <c r="M177" s="194">
        <f>IF(OR(_1_54128456121462410464578910174[[#This Row],[UNIT]]&gt;0,_1_54128456121462410464578910174[[#This Row],[UNIT]]&lt;0),_1_54128456121462410464578910174[[#This Row],[UNIT]]*_1_54128456121462410464578910174[[#This Row],[COST]],0)</f>
        <v>0</v>
      </c>
      <c r="N177" s="194">
        <f t="shared" si="2"/>
        <v>1.5</v>
      </c>
      <c r="O177" s="198">
        <f>_1_54128456121462410464578910174[[#This Row],[TOTAL]]*_1_54128456121462410464578910174[[#This Row],[MARGIN]]</f>
        <v>0</v>
      </c>
      <c r="R177" s="41"/>
    </row>
    <row r="178" spans="2:18">
      <c r="C178" s="168"/>
      <c r="D178" s="188"/>
      <c r="F178" s="168" t="s">
        <v>6202</v>
      </c>
      <c r="G178" s="193">
        <f>IF(_1_54128456121462410464578910174[[#This Row],[Type]]&gt;0,VLOOKUP(_1_54128456121462410464578910174[[#This Row],[Type]],Main[[#All],[TYPE]:[UNIT]],'Unit Price'!C$1,FALSE),0)</f>
        <v>0</v>
      </c>
      <c r="H178" s="197">
        <f>IF(_1_54128456121462410464578910174[[#This Row],[Type]]&gt;0,VLOOKUP(_1_54128456121462410464578910174[[#This Row],[Type]],Main[[#All],[TYPE]:[UNIT]],'Unit Price'!D$1,FALSE),0)</f>
        <v>0</v>
      </c>
      <c r="I178" s="194">
        <f>IF(_1_54128456121462410464578910174[[#This Row],[Type]]&gt;0,VLOOKUP(_1_54128456121462410464578910174[[#This Row],[Type]],Main[[#All],[TYPE]:[UNIT]],'Unit Price'!G$1,FALSE),0)</f>
        <v>0</v>
      </c>
      <c r="J178" s="194">
        <f>IF(_1_54128456121462410464578910174[[#This Row],[Type]]&gt;0,VLOOKUP(_1_54128456121462410464578910174[[#This Row],[Type]],Main[[#All],[TYPE]:[UNIT]],'Unit Price'!H$1,FALSE),0)</f>
        <v>0</v>
      </c>
      <c r="K178" s="194">
        <f>IF(_1_54128456121462410464578910174[[#This Row],[Discount selection]]&gt;0,VLOOKUP(_1_54128456121462410464578910174[[#This Row],[Discount selection]],'Discount Structure'!$A$2:$B$30,2,"false"),0)</f>
        <v>1</v>
      </c>
      <c r="L178" s="194">
        <f>_1_54128456121462410464578910174[[#This Row],[LIST $]]*_1_54128456121462410464578910174[[#This Row],[DISCOUNT]]*_1_54128456121462410464578910174[[#This Row],[DISCOUNT 2]]</f>
        <v>0</v>
      </c>
      <c r="M178" s="194">
        <f>IF(OR(_1_54128456121462410464578910174[[#This Row],[UNIT]]&gt;0,_1_54128456121462410464578910174[[#This Row],[UNIT]]&lt;0),_1_54128456121462410464578910174[[#This Row],[UNIT]]*_1_54128456121462410464578910174[[#This Row],[COST]],0)</f>
        <v>0</v>
      </c>
      <c r="N178" s="194">
        <f t="shared" si="2"/>
        <v>1.5</v>
      </c>
      <c r="O178" s="198">
        <f>_1_54128456121462410464578910174[[#This Row],[TOTAL]]*_1_54128456121462410464578910174[[#This Row],[MARGIN]]</f>
        <v>0</v>
      </c>
      <c r="R178" s="41"/>
    </row>
    <row r="179" spans="2:18">
      <c r="C179" s="168"/>
      <c r="D179" s="188"/>
      <c r="F179" s="168" t="s">
        <v>6202</v>
      </c>
      <c r="G179" s="193">
        <f>IF(_1_54128456121462410464578910174[[#This Row],[Type]]&gt;0,VLOOKUP(_1_54128456121462410464578910174[[#This Row],[Type]],Main[[#All],[TYPE]:[UNIT]],'Unit Price'!C$1,FALSE),0)</f>
        <v>0</v>
      </c>
      <c r="H179" s="197">
        <f>IF(_1_54128456121462410464578910174[[#This Row],[Type]]&gt;0,VLOOKUP(_1_54128456121462410464578910174[[#This Row],[Type]],Main[[#All],[TYPE]:[UNIT]],'Unit Price'!D$1,FALSE),0)</f>
        <v>0</v>
      </c>
      <c r="I179" s="194">
        <f>IF(_1_54128456121462410464578910174[[#This Row],[Type]]&gt;0,VLOOKUP(_1_54128456121462410464578910174[[#This Row],[Type]],Main[[#All],[TYPE]:[UNIT]],'Unit Price'!G$1,FALSE),0)</f>
        <v>0</v>
      </c>
      <c r="J179" s="194">
        <f>IF(_1_54128456121462410464578910174[[#This Row],[Type]]&gt;0,VLOOKUP(_1_54128456121462410464578910174[[#This Row],[Type]],Main[[#All],[TYPE]:[UNIT]],'Unit Price'!H$1,FALSE),0)</f>
        <v>0</v>
      </c>
      <c r="K179" s="194">
        <f>IF(_1_54128456121462410464578910174[[#This Row],[Discount selection]]&gt;0,VLOOKUP(_1_54128456121462410464578910174[[#This Row],[Discount selection]],'Discount Structure'!$A$2:$B$30,2,"false"),0)</f>
        <v>1</v>
      </c>
      <c r="L179" s="194">
        <f>_1_54128456121462410464578910174[[#This Row],[LIST $]]*_1_54128456121462410464578910174[[#This Row],[DISCOUNT]]*_1_54128456121462410464578910174[[#This Row],[DISCOUNT 2]]</f>
        <v>0</v>
      </c>
      <c r="M179" s="194">
        <f>IF(OR(_1_54128456121462410464578910174[[#This Row],[UNIT]]&gt;0,_1_54128456121462410464578910174[[#This Row],[UNIT]]&lt;0),_1_54128456121462410464578910174[[#This Row],[UNIT]]*_1_54128456121462410464578910174[[#This Row],[COST]],0)</f>
        <v>0</v>
      </c>
      <c r="N179" s="194">
        <f t="shared" si="2"/>
        <v>1.5</v>
      </c>
      <c r="O179" s="198">
        <f>_1_54128456121462410464578910174[[#This Row],[TOTAL]]*_1_54128456121462410464578910174[[#This Row],[MARGIN]]</f>
        <v>0</v>
      </c>
      <c r="R179" s="41"/>
    </row>
    <row r="180" spans="2:18">
      <c r="C180" s="168"/>
      <c r="D180" s="188"/>
      <c r="F180" s="168" t="s">
        <v>6202</v>
      </c>
      <c r="G180" s="193">
        <f>IF(_1_54128456121462410464578910174[[#This Row],[Type]]&gt;0,VLOOKUP(_1_54128456121462410464578910174[[#This Row],[Type]],Main[[#All],[TYPE]:[UNIT]],'Unit Price'!C$1,FALSE),0)</f>
        <v>0</v>
      </c>
      <c r="H180" s="197">
        <f>IF(_1_54128456121462410464578910174[[#This Row],[Type]]&gt;0,VLOOKUP(_1_54128456121462410464578910174[[#This Row],[Type]],Main[[#All],[TYPE]:[UNIT]],'Unit Price'!D$1,FALSE),0)</f>
        <v>0</v>
      </c>
      <c r="I180" s="194">
        <f>IF(_1_54128456121462410464578910174[[#This Row],[Type]]&gt;0,VLOOKUP(_1_54128456121462410464578910174[[#This Row],[Type]],Main[[#All],[TYPE]:[UNIT]],'Unit Price'!G$1,FALSE),0)</f>
        <v>0</v>
      </c>
      <c r="J180" s="194">
        <f>IF(_1_54128456121462410464578910174[[#This Row],[Type]]&gt;0,VLOOKUP(_1_54128456121462410464578910174[[#This Row],[Type]],Main[[#All],[TYPE]:[UNIT]],'Unit Price'!H$1,FALSE),0)</f>
        <v>0</v>
      </c>
      <c r="K180" s="194">
        <f>IF(_1_54128456121462410464578910174[[#This Row],[Discount selection]]&gt;0,VLOOKUP(_1_54128456121462410464578910174[[#This Row],[Discount selection]],'Discount Structure'!$A$2:$B$30,2,"false"),0)</f>
        <v>1</v>
      </c>
      <c r="L180" s="194">
        <f>_1_54128456121462410464578910174[[#This Row],[LIST $]]*_1_54128456121462410464578910174[[#This Row],[DISCOUNT]]*_1_54128456121462410464578910174[[#This Row],[DISCOUNT 2]]</f>
        <v>0</v>
      </c>
      <c r="M180" s="194">
        <f>IF(OR(_1_54128456121462410464578910174[[#This Row],[UNIT]]&gt;0,_1_54128456121462410464578910174[[#This Row],[UNIT]]&lt;0),_1_54128456121462410464578910174[[#This Row],[UNIT]]*_1_54128456121462410464578910174[[#This Row],[COST]],0)</f>
        <v>0</v>
      </c>
      <c r="N180" s="194">
        <f t="shared" si="2"/>
        <v>1.5</v>
      </c>
      <c r="O180" s="198">
        <f>_1_54128456121462410464578910174[[#This Row],[TOTAL]]*_1_54128456121462410464578910174[[#This Row],[MARGIN]]</f>
        <v>0</v>
      </c>
      <c r="R180" s="41"/>
    </row>
    <row r="181" spans="2:18">
      <c r="C181" s="168"/>
      <c r="D181" s="188"/>
      <c r="F181" s="168" t="s">
        <v>6202</v>
      </c>
      <c r="G181" s="193">
        <f>IF(_1_54128456121462410464578910174[[#This Row],[Type]]&gt;0,VLOOKUP(_1_54128456121462410464578910174[[#This Row],[Type]],Main[[#All],[TYPE]:[UNIT]],'Unit Price'!C$1,FALSE),0)</f>
        <v>0</v>
      </c>
      <c r="H181" s="197">
        <f>IF(_1_54128456121462410464578910174[[#This Row],[Type]]&gt;0,VLOOKUP(_1_54128456121462410464578910174[[#This Row],[Type]],Main[[#All],[TYPE]:[UNIT]],'Unit Price'!D$1,FALSE),0)</f>
        <v>0</v>
      </c>
      <c r="I181" s="194">
        <f>IF(_1_54128456121462410464578910174[[#This Row],[Type]]&gt;0,VLOOKUP(_1_54128456121462410464578910174[[#This Row],[Type]],Main[[#All],[TYPE]:[UNIT]],'Unit Price'!G$1,FALSE),0)</f>
        <v>0</v>
      </c>
      <c r="J181" s="194">
        <f>IF(_1_54128456121462410464578910174[[#This Row],[Type]]&gt;0,VLOOKUP(_1_54128456121462410464578910174[[#This Row],[Type]],Main[[#All],[TYPE]:[UNIT]],'Unit Price'!H$1,FALSE),0)</f>
        <v>0</v>
      </c>
      <c r="K181" s="194">
        <f>IF(_1_54128456121462410464578910174[[#This Row],[Discount selection]]&gt;0,VLOOKUP(_1_54128456121462410464578910174[[#This Row],[Discount selection]],'Discount Structure'!$A$2:$B$30,2,"false"),0)</f>
        <v>1</v>
      </c>
      <c r="L181" s="194">
        <f>_1_54128456121462410464578910174[[#This Row],[LIST $]]*_1_54128456121462410464578910174[[#This Row],[DISCOUNT]]*_1_54128456121462410464578910174[[#This Row],[DISCOUNT 2]]</f>
        <v>0</v>
      </c>
      <c r="M181" s="194">
        <f>IF(OR(_1_54128456121462410464578910174[[#This Row],[UNIT]]&gt;0,_1_54128456121462410464578910174[[#This Row],[UNIT]]&lt;0),_1_54128456121462410464578910174[[#This Row],[UNIT]]*_1_54128456121462410464578910174[[#This Row],[COST]],0)</f>
        <v>0</v>
      </c>
      <c r="N181" s="194">
        <f t="shared" si="2"/>
        <v>1.5</v>
      </c>
      <c r="O181" s="198">
        <f>_1_54128456121462410464578910174[[#This Row],[TOTAL]]*_1_54128456121462410464578910174[[#This Row],[MARGIN]]</f>
        <v>0</v>
      </c>
      <c r="R181" s="41"/>
    </row>
    <row r="182" spans="2:18">
      <c r="C182" s="168"/>
      <c r="D182" s="188"/>
      <c r="F182" s="168" t="s">
        <v>6202</v>
      </c>
      <c r="G182" s="193">
        <f>IF(_1_54128456121462410464578910174[[#This Row],[Type]]&gt;0,VLOOKUP(_1_54128456121462410464578910174[[#This Row],[Type]],Main[[#All],[TYPE]:[UNIT]],'Unit Price'!C$1,FALSE),0)</f>
        <v>0</v>
      </c>
      <c r="H182" s="197">
        <f>IF(_1_54128456121462410464578910174[[#This Row],[Type]]&gt;0,VLOOKUP(_1_54128456121462410464578910174[[#This Row],[Type]],Main[[#All],[TYPE]:[UNIT]],'Unit Price'!D$1,FALSE),0)</f>
        <v>0</v>
      </c>
      <c r="I182" s="194">
        <f>IF(_1_54128456121462410464578910174[[#This Row],[Type]]&gt;0,VLOOKUP(_1_54128456121462410464578910174[[#This Row],[Type]],Main[[#All],[TYPE]:[UNIT]],'Unit Price'!G$1,FALSE),0)</f>
        <v>0</v>
      </c>
      <c r="J182" s="194">
        <f>IF(_1_54128456121462410464578910174[[#This Row],[Type]]&gt;0,VLOOKUP(_1_54128456121462410464578910174[[#This Row],[Type]],Main[[#All],[TYPE]:[UNIT]],'Unit Price'!H$1,FALSE),0)</f>
        <v>0</v>
      </c>
      <c r="K182" s="194">
        <f>IF(_1_54128456121462410464578910174[[#This Row],[Discount selection]]&gt;0,VLOOKUP(_1_54128456121462410464578910174[[#This Row],[Discount selection]],'Discount Structure'!$A$2:$B$30,2,"false"),0)</f>
        <v>1</v>
      </c>
      <c r="L182" s="194">
        <f>_1_54128456121462410464578910174[[#This Row],[LIST $]]*_1_54128456121462410464578910174[[#This Row],[DISCOUNT]]*_1_54128456121462410464578910174[[#This Row],[DISCOUNT 2]]</f>
        <v>0</v>
      </c>
      <c r="M182" s="194">
        <f>IF(OR(_1_54128456121462410464578910174[[#This Row],[UNIT]]&gt;0,_1_54128456121462410464578910174[[#This Row],[UNIT]]&lt;0),_1_54128456121462410464578910174[[#This Row],[UNIT]]*_1_54128456121462410464578910174[[#This Row],[COST]],0)</f>
        <v>0</v>
      </c>
      <c r="N182" s="194">
        <f t="shared" si="2"/>
        <v>1.5</v>
      </c>
      <c r="O182" s="198">
        <f>_1_54128456121462410464578910174[[#This Row],[TOTAL]]*_1_54128456121462410464578910174[[#This Row],[MARGIN]]</f>
        <v>0</v>
      </c>
      <c r="R182" s="41"/>
    </row>
    <row r="183" spans="2:18">
      <c r="C183" s="168"/>
      <c r="D183" s="188"/>
      <c r="F183" s="168" t="s">
        <v>6202</v>
      </c>
      <c r="G183" s="193">
        <f>IF(_1_54128456121462410464578910174[[#This Row],[Type]]&gt;0,VLOOKUP(_1_54128456121462410464578910174[[#This Row],[Type]],Main[[#All],[TYPE]:[UNIT]],'Unit Price'!C$1,FALSE),0)</f>
        <v>0</v>
      </c>
      <c r="H183" s="197">
        <f>IF(_1_54128456121462410464578910174[[#This Row],[Type]]&gt;0,VLOOKUP(_1_54128456121462410464578910174[[#This Row],[Type]],Main[[#All],[TYPE]:[UNIT]],'Unit Price'!D$1,FALSE),0)</f>
        <v>0</v>
      </c>
      <c r="I183" s="194">
        <f>IF(_1_54128456121462410464578910174[[#This Row],[Type]]&gt;0,VLOOKUP(_1_54128456121462410464578910174[[#This Row],[Type]],Main[[#All],[TYPE]:[UNIT]],'Unit Price'!G$1,FALSE),0)</f>
        <v>0</v>
      </c>
      <c r="J183" s="194">
        <f>IF(_1_54128456121462410464578910174[[#This Row],[Type]]&gt;0,VLOOKUP(_1_54128456121462410464578910174[[#This Row],[Type]],Main[[#All],[TYPE]:[UNIT]],'Unit Price'!H$1,FALSE),0)</f>
        <v>0</v>
      </c>
      <c r="K183" s="194">
        <f>IF(_1_54128456121462410464578910174[[#This Row],[Discount selection]]&gt;0,VLOOKUP(_1_54128456121462410464578910174[[#This Row],[Discount selection]],'Discount Structure'!$A$2:$B$30,2,"false"),0)</f>
        <v>1</v>
      </c>
      <c r="L183" s="194">
        <f>_1_54128456121462410464578910174[[#This Row],[LIST $]]*_1_54128456121462410464578910174[[#This Row],[DISCOUNT]]*_1_54128456121462410464578910174[[#This Row],[DISCOUNT 2]]</f>
        <v>0</v>
      </c>
      <c r="M183" s="194">
        <f>IF(OR(_1_54128456121462410464578910174[[#This Row],[UNIT]]&gt;0,_1_54128456121462410464578910174[[#This Row],[UNIT]]&lt;0),_1_54128456121462410464578910174[[#This Row],[UNIT]]*_1_54128456121462410464578910174[[#This Row],[COST]],0)</f>
        <v>0</v>
      </c>
      <c r="N183" s="194">
        <f t="shared" si="2"/>
        <v>1.5</v>
      </c>
      <c r="O183" s="198">
        <f>_1_54128456121462410464578910174[[#This Row],[TOTAL]]*_1_54128456121462410464578910174[[#This Row],[MARGIN]]</f>
        <v>0</v>
      </c>
      <c r="R183" s="41"/>
    </row>
    <row r="184" spans="2:18">
      <c r="C184" s="168"/>
      <c r="D184" s="188"/>
      <c r="F184" s="168" t="s">
        <v>6202</v>
      </c>
      <c r="G184" s="193">
        <f>IF(_1_54128456121462410464578910174[[#This Row],[Type]]&gt;0,VLOOKUP(_1_54128456121462410464578910174[[#This Row],[Type]],Main[[#All],[TYPE]:[UNIT]],'Unit Price'!C$1,FALSE),0)</f>
        <v>0</v>
      </c>
      <c r="H184" s="197">
        <f>IF(_1_54128456121462410464578910174[[#This Row],[Type]]&gt;0,VLOOKUP(_1_54128456121462410464578910174[[#This Row],[Type]],Main[[#All],[TYPE]:[UNIT]],'Unit Price'!D$1,FALSE),0)</f>
        <v>0</v>
      </c>
      <c r="I184" s="194">
        <f>IF(_1_54128456121462410464578910174[[#This Row],[Type]]&gt;0,VLOOKUP(_1_54128456121462410464578910174[[#This Row],[Type]],Main[[#All],[TYPE]:[UNIT]],'Unit Price'!G$1,FALSE),0)</f>
        <v>0</v>
      </c>
      <c r="J184" s="194">
        <f>IF(_1_54128456121462410464578910174[[#This Row],[Type]]&gt;0,VLOOKUP(_1_54128456121462410464578910174[[#This Row],[Type]],Main[[#All],[TYPE]:[UNIT]],'Unit Price'!H$1,FALSE),0)</f>
        <v>0</v>
      </c>
      <c r="K184" s="194">
        <f>IF(_1_54128456121462410464578910174[[#This Row],[Discount selection]]&gt;0,VLOOKUP(_1_54128456121462410464578910174[[#This Row],[Discount selection]],'Discount Structure'!$A$2:$B$30,2,"false"),0)</f>
        <v>1</v>
      </c>
      <c r="L184" s="194">
        <f>_1_54128456121462410464578910174[[#This Row],[LIST $]]*_1_54128456121462410464578910174[[#This Row],[DISCOUNT]]*_1_54128456121462410464578910174[[#This Row],[DISCOUNT 2]]</f>
        <v>0</v>
      </c>
      <c r="M184" s="194">
        <f>IF(OR(_1_54128456121462410464578910174[[#This Row],[UNIT]]&gt;0,_1_54128456121462410464578910174[[#This Row],[UNIT]]&lt;0),_1_54128456121462410464578910174[[#This Row],[UNIT]]*_1_54128456121462410464578910174[[#This Row],[COST]],0)</f>
        <v>0</v>
      </c>
      <c r="N184" s="194">
        <f t="shared" si="2"/>
        <v>1.5</v>
      </c>
      <c r="O184" s="198">
        <f>_1_54128456121462410464578910174[[#This Row],[TOTAL]]*_1_54128456121462410464578910174[[#This Row],[MARGIN]]</f>
        <v>0</v>
      </c>
      <c r="R184" s="41"/>
    </row>
    <row r="185" spans="2:18">
      <c r="C185" s="168"/>
      <c r="D185" s="188"/>
      <c r="F185" s="168" t="s">
        <v>6202</v>
      </c>
      <c r="G185" s="193">
        <f>IF(_1_54128456121462410464578910174[[#This Row],[Type]]&gt;0,VLOOKUP(_1_54128456121462410464578910174[[#This Row],[Type]],Main[[#All],[TYPE]:[UNIT]],'Unit Price'!C$1,FALSE),0)</f>
        <v>0</v>
      </c>
      <c r="H185" s="197">
        <f>IF(_1_54128456121462410464578910174[[#This Row],[Type]]&gt;0,VLOOKUP(_1_54128456121462410464578910174[[#This Row],[Type]],Main[[#All],[TYPE]:[UNIT]],'Unit Price'!D$1,FALSE),0)</f>
        <v>0</v>
      </c>
      <c r="I185" s="194">
        <f>IF(_1_54128456121462410464578910174[[#This Row],[Type]]&gt;0,VLOOKUP(_1_54128456121462410464578910174[[#This Row],[Type]],Main[[#All],[TYPE]:[UNIT]],'Unit Price'!G$1,FALSE),0)</f>
        <v>0</v>
      </c>
      <c r="J185" s="194">
        <f>IF(_1_54128456121462410464578910174[[#This Row],[Type]]&gt;0,VLOOKUP(_1_54128456121462410464578910174[[#This Row],[Type]],Main[[#All],[TYPE]:[UNIT]],'Unit Price'!H$1,FALSE),0)</f>
        <v>0</v>
      </c>
      <c r="K185" s="194">
        <f>IF(_1_54128456121462410464578910174[[#This Row],[Discount selection]]&gt;0,VLOOKUP(_1_54128456121462410464578910174[[#This Row],[Discount selection]],'Discount Structure'!$A$2:$B$30,2,"false"),0)</f>
        <v>1</v>
      </c>
      <c r="L185" s="194">
        <f>_1_54128456121462410464578910174[[#This Row],[LIST $]]*_1_54128456121462410464578910174[[#This Row],[DISCOUNT]]*_1_54128456121462410464578910174[[#This Row],[DISCOUNT 2]]</f>
        <v>0</v>
      </c>
      <c r="M185" s="194">
        <f>IF(OR(_1_54128456121462410464578910174[[#This Row],[UNIT]]&gt;0,_1_54128456121462410464578910174[[#This Row],[UNIT]]&lt;0),_1_54128456121462410464578910174[[#This Row],[UNIT]]*_1_54128456121462410464578910174[[#This Row],[COST]],0)</f>
        <v>0</v>
      </c>
      <c r="N185" s="194">
        <f t="shared" si="2"/>
        <v>1.5</v>
      </c>
      <c r="O185" s="198">
        <f>_1_54128456121462410464578910174[[#This Row],[TOTAL]]*_1_54128456121462410464578910174[[#This Row],[MARGIN]]</f>
        <v>0</v>
      </c>
      <c r="R185" s="41"/>
    </row>
    <row r="186" spans="2:18">
      <c r="C186" s="168"/>
      <c r="D186" s="188"/>
      <c r="F186" s="168" t="s">
        <v>6202</v>
      </c>
      <c r="G186" s="193">
        <f>IF(_1_54128456121462410464578910174[[#This Row],[Type]]&gt;0,VLOOKUP(_1_54128456121462410464578910174[[#This Row],[Type]],Main[[#All],[TYPE]:[UNIT]],'Unit Price'!C$1,FALSE),0)</f>
        <v>0</v>
      </c>
      <c r="H186" s="197">
        <f>IF(_1_54128456121462410464578910174[[#This Row],[Type]]&gt;0,VLOOKUP(_1_54128456121462410464578910174[[#This Row],[Type]],Main[[#All],[TYPE]:[UNIT]],'Unit Price'!D$1,FALSE),0)</f>
        <v>0</v>
      </c>
      <c r="I186" s="194">
        <f>IF(_1_54128456121462410464578910174[[#This Row],[Type]]&gt;0,VLOOKUP(_1_54128456121462410464578910174[[#This Row],[Type]],Main[[#All],[TYPE]:[UNIT]],'Unit Price'!G$1,FALSE),0)</f>
        <v>0</v>
      </c>
      <c r="J186" s="194">
        <f>IF(_1_54128456121462410464578910174[[#This Row],[Type]]&gt;0,VLOOKUP(_1_54128456121462410464578910174[[#This Row],[Type]],Main[[#All],[TYPE]:[UNIT]],'Unit Price'!H$1,FALSE),0)</f>
        <v>0</v>
      </c>
      <c r="K186" s="194">
        <f>IF(_1_54128456121462410464578910174[[#This Row],[Discount selection]]&gt;0,VLOOKUP(_1_54128456121462410464578910174[[#This Row],[Discount selection]],'Discount Structure'!$A$2:$B$30,2,"false"),0)</f>
        <v>1</v>
      </c>
      <c r="L186" s="194">
        <f>_1_54128456121462410464578910174[[#This Row],[LIST $]]*_1_54128456121462410464578910174[[#This Row],[DISCOUNT]]*_1_54128456121462410464578910174[[#This Row],[DISCOUNT 2]]</f>
        <v>0</v>
      </c>
      <c r="M186" s="194">
        <f>IF(OR(_1_54128456121462410464578910174[[#This Row],[UNIT]]&gt;0,_1_54128456121462410464578910174[[#This Row],[UNIT]]&lt;0),_1_54128456121462410464578910174[[#This Row],[UNIT]]*_1_54128456121462410464578910174[[#This Row],[COST]],0)</f>
        <v>0</v>
      </c>
      <c r="N186" s="194">
        <f t="shared" si="2"/>
        <v>1.5</v>
      </c>
      <c r="O186" s="198">
        <f>_1_54128456121462410464578910174[[#This Row],[TOTAL]]*_1_54128456121462410464578910174[[#This Row],[MARGIN]]</f>
        <v>0</v>
      </c>
      <c r="R186" s="41"/>
    </row>
    <row r="187" spans="2:18">
      <c r="C187" s="168"/>
      <c r="D187" s="188"/>
      <c r="F187" s="168" t="s">
        <v>6202</v>
      </c>
      <c r="G187" s="193">
        <f>IF(_1_54128456121462410464578910174[[#This Row],[Type]]&gt;0,VLOOKUP(_1_54128456121462410464578910174[[#This Row],[Type]],Main[[#All],[TYPE]:[UNIT]],'Unit Price'!C$1,FALSE),0)</f>
        <v>0</v>
      </c>
      <c r="H187" s="197">
        <f>IF(_1_54128456121462410464578910174[[#This Row],[Type]]&gt;0,VLOOKUP(_1_54128456121462410464578910174[[#This Row],[Type]],Main[[#All],[TYPE]:[UNIT]],'Unit Price'!D$1,FALSE),0)</f>
        <v>0</v>
      </c>
      <c r="I187" s="194">
        <f>IF(_1_54128456121462410464578910174[[#This Row],[Type]]&gt;0,VLOOKUP(_1_54128456121462410464578910174[[#This Row],[Type]],Main[[#All],[TYPE]:[UNIT]],'Unit Price'!G$1,FALSE),0)</f>
        <v>0</v>
      </c>
      <c r="J187" s="194">
        <f>IF(_1_54128456121462410464578910174[[#This Row],[Type]]&gt;0,VLOOKUP(_1_54128456121462410464578910174[[#This Row],[Type]],Main[[#All],[TYPE]:[UNIT]],'Unit Price'!H$1,FALSE),0)</f>
        <v>0</v>
      </c>
      <c r="K187" s="194">
        <f>IF(_1_54128456121462410464578910174[[#This Row],[Discount selection]]&gt;0,VLOOKUP(_1_54128456121462410464578910174[[#This Row],[Discount selection]],'Discount Structure'!$A$2:$B$30,2,"false"),0)</f>
        <v>1</v>
      </c>
      <c r="L187" s="194">
        <f>_1_54128456121462410464578910174[[#This Row],[LIST $]]*_1_54128456121462410464578910174[[#This Row],[DISCOUNT]]*_1_54128456121462410464578910174[[#This Row],[DISCOUNT 2]]</f>
        <v>0</v>
      </c>
      <c r="M187" s="194">
        <f>IF(OR(_1_54128456121462410464578910174[[#This Row],[UNIT]]&gt;0,_1_54128456121462410464578910174[[#This Row],[UNIT]]&lt;0),_1_54128456121462410464578910174[[#This Row],[UNIT]]*_1_54128456121462410464578910174[[#This Row],[COST]],0)</f>
        <v>0</v>
      </c>
      <c r="N187" s="194">
        <f t="shared" si="2"/>
        <v>1.5</v>
      </c>
      <c r="O187" s="198">
        <f>_1_54128456121462410464578910174[[#This Row],[TOTAL]]*_1_54128456121462410464578910174[[#This Row],[MARGIN]]</f>
        <v>0</v>
      </c>
      <c r="R187" s="41"/>
    </row>
    <row r="188" spans="2:18">
      <c r="B188" s="168"/>
      <c r="C188" s="168"/>
      <c r="D188" s="188"/>
      <c r="F188" s="168" t="s">
        <v>6202</v>
      </c>
      <c r="G188" s="193">
        <f>IF(_1_54128456121462410464578910174[[#This Row],[Type]]&gt;0,VLOOKUP(_1_54128456121462410464578910174[[#This Row],[Type]],Main[[#All],[TYPE]:[UNIT]],'Unit Price'!C$1,FALSE),0)</f>
        <v>0</v>
      </c>
      <c r="H188" s="197">
        <f>IF(_1_54128456121462410464578910174[[#This Row],[Type]]&gt;0,VLOOKUP(_1_54128456121462410464578910174[[#This Row],[Type]],Main[[#All],[TYPE]:[UNIT]],'Unit Price'!D$1,FALSE),0)</f>
        <v>0</v>
      </c>
      <c r="I188" s="194">
        <f>IF(_1_54128456121462410464578910174[[#This Row],[Type]]&gt;0,VLOOKUP(_1_54128456121462410464578910174[[#This Row],[Type]],Main[[#All],[TYPE]:[UNIT]],'Unit Price'!G$1,FALSE),0)</f>
        <v>0</v>
      </c>
      <c r="J188" s="194">
        <f>IF(_1_54128456121462410464578910174[[#This Row],[Type]]&gt;0,VLOOKUP(_1_54128456121462410464578910174[[#This Row],[Type]],Main[[#All],[TYPE]:[UNIT]],'Unit Price'!H$1,FALSE),0)</f>
        <v>0</v>
      </c>
      <c r="K188" s="194">
        <f>IF(_1_54128456121462410464578910174[[#This Row],[Discount selection]]&gt;0,VLOOKUP(_1_54128456121462410464578910174[[#This Row],[Discount selection]],'Discount Structure'!$A$2:$B$30,2,"false"),0)</f>
        <v>1</v>
      </c>
      <c r="L188" s="194">
        <f>_1_54128456121462410464578910174[[#This Row],[LIST $]]*_1_54128456121462410464578910174[[#This Row],[DISCOUNT]]*_1_54128456121462410464578910174[[#This Row],[DISCOUNT 2]]</f>
        <v>0</v>
      </c>
      <c r="M188" s="194">
        <f>IF(OR(_1_54128456121462410464578910174[[#This Row],[UNIT]]&gt;0,_1_54128456121462410464578910174[[#This Row],[UNIT]]&lt;0),_1_54128456121462410464578910174[[#This Row],[UNIT]]*_1_54128456121462410464578910174[[#This Row],[COST]],0)</f>
        <v>0</v>
      </c>
      <c r="N188" s="194">
        <f t="shared" si="2"/>
        <v>1.5</v>
      </c>
      <c r="O188" s="198">
        <f>_1_54128456121462410464578910174[[#This Row],[TOTAL]]*_1_54128456121462410464578910174[[#This Row],[MARGIN]]</f>
        <v>0</v>
      </c>
      <c r="R188" s="41"/>
    </row>
    <row r="189" spans="2:18">
      <c r="C189" s="168"/>
      <c r="D189" s="188"/>
      <c r="F189" s="168" t="s">
        <v>6202</v>
      </c>
      <c r="G189" s="193">
        <f>IF(_1_54128456121462410464578910174[[#This Row],[Type]]&gt;0,VLOOKUP(_1_54128456121462410464578910174[[#This Row],[Type]],Main[[#All],[TYPE]:[UNIT]],'Unit Price'!C$1,FALSE),0)</f>
        <v>0</v>
      </c>
      <c r="H189" s="197">
        <f>IF(_1_54128456121462410464578910174[[#This Row],[Type]]&gt;0,VLOOKUP(_1_54128456121462410464578910174[[#This Row],[Type]],Main[[#All],[TYPE]:[UNIT]],'Unit Price'!D$1,FALSE),0)</f>
        <v>0</v>
      </c>
      <c r="I189" s="194">
        <f>IF(_1_54128456121462410464578910174[[#This Row],[Type]]&gt;0,VLOOKUP(_1_54128456121462410464578910174[[#This Row],[Type]],Main[[#All],[TYPE]:[UNIT]],'Unit Price'!G$1,FALSE),0)</f>
        <v>0</v>
      </c>
      <c r="J189" s="194">
        <f>IF(_1_54128456121462410464578910174[[#This Row],[Type]]&gt;0,VLOOKUP(_1_54128456121462410464578910174[[#This Row],[Type]],Main[[#All],[TYPE]:[UNIT]],'Unit Price'!H$1,FALSE),0)</f>
        <v>0</v>
      </c>
      <c r="K189" s="194">
        <f>IF(_1_54128456121462410464578910174[[#This Row],[Discount selection]]&gt;0,VLOOKUP(_1_54128456121462410464578910174[[#This Row],[Discount selection]],'Discount Structure'!$A$2:$B$30,2,"false"),0)</f>
        <v>1</v>
      </c>
      <c r="L189" s="194">
        <f>_1_54128456121462410464578910174[[#This Row],[LIST $]]*_1_54128456121462410464578910174[[#This Row],[DISCOUNT]]*_1_54128456121462410464578910174[[#This Row],[DISCOUNT 2]]</f>
        <v>0</v>
      </c>
      <c r="M189" s="194">
        <f>IF(OR(_1_54128456121462410464578910174[[#This Row],[UNIT]]&gt;0,_1_54128456121462410464578910174[[#This Row],[UNIT]]&lt;0),_1_54128456121462410464578910174[[#This Row],[UNIT]]*_1_54128456121462410464578910174[[#This Row],[COST]],0)</f>
        <v>0</v>
      </c>
      <c r="N189" s="194">
        <f t="shared" si="2"/>
        <v>1.5</v>
      </c>
      <c r="O189" s="198">
        <f>_1_54128456121462410464578910174[[#This Row],[TOTAL]]*_1_54128456121462410464578910174[[#This Row],[MARGIN]]</f>
        <v>0</v>
      </c>
      <c r="R189" s="41"/>
    </row>
    <row r="190" spans="2:18">
      <c r="C190" s="168"/>
      <c r="D190" s="188"/>
      <c r="F190" s="168" t="s">
        <v>6202</v>
      </c>
      <c r="G190" s="193">
        <f>IF(_1_54128456121462410464578910174[[#This Row],[Type]]&gt;0,VLOOKUP(_1_54128456121462410464578910174[[#This Row],[Type]],Main[[#All],[TYPE]:[UNIT]],'Unit Price'!C$1,FALSE),0)</f>
        <v>0</v>
      </c>
      <c r="H190" s="197">
        <f>IF(_1_54128456121462410464578910174[[#This Row],[Type]]&gt;0,VLOOKUP(_1_54128456121462410464578910174[[#This Row],[Type]],Main[[#All],[TYPE]:[UNIT]],'Unit Price'!D$1,FALSE),0)</f>
        <v>0</v>
      </c>
      <c r="I190" s="194">
        <f>IF(_1_54128456121462410464578910174[[#This Row],[Type]]&gt;0,VLOOKUP(_1_54128456121462410464578910174[[#This Row],[Type]],Main[[#All],[TYPE]:[UNIT]],'Unit Price'!G$1,FALSE),0)</f>
        <v>0</v>
      </c>
      <c r="J190" s="194">
        <f>IF(_1_54128456121462410464578910174[[#This Row],[Type]]&gt;0,VLOOKUP(_1_54128456121462410464578910174[[#This Row],[Type]],Main[[#All],[TYPE]:[UNIT]],'Unit Price'!H$1,FALSE),0)</f>
        <v>0</v>
      </c>
      <c r="K190" s="194">
        <f>IF(_1_54128456121462410464578910174[[#This Row],[Discount selection]]&gt;0,VLOOKUP(_1_54128456121462410464578910174[[#This Row],[Discount selection]],'Discount Structure'!$A$2:$B$30,2,"false"),0)</f>
        <v>1</v>
      </c>
      <c r="L190" s="194">
        <f>_1_54128456121462410464578910174[[#This Row],[LIST $]]*_1_54128456121462410464578910174[[#This Row],[DISCOUNT]]*_1_54128456121462410464578910174[[#This Row],[DISCOUNT 2]]</f>
        <v>0</v>
      </c>
      <c r="M190" s="194">
        <f>IF(OR(_1_54128456121462410464578910174[[#This Row],[UNIT]]&gt;0,_1_54128456121462410464578910174[[#This Row],[UNIT]]&lt;0),_1_54128456121462410464578910174[[#This Row],[UNIT]]*_1_54128456121462410464578910174[[#This Row],[COST]],0)</f>
        <v>0</v>
      </c>
      <c r="N190" s="194">
        <f t="shared" si="2"/>
        <v>1.5</v>
      </c>
      <c r="O190" s="198">
        <f>_1_54128456121462410464578910174[[#This Row],[TOTAL]]*_1_54128456121462410464578910174[[#This Row],[MARGIN]]</f>
        <v>0</v>
      </c>
      <c r="R190" s="41"/>
    </row>
    <row r="191" spans="2:18">
      <c r="C191" s="168"/>
      <c r="D191" s="188"/>
      <c r="F191" s="168" t="s">
        <v>6202</v>
      </c>
      <c r="G191" s="193">
        <f>IF(_1_54128456121462410464578910174[[#This Row],[Type]]&gt;0,VLOOKUP(_1_54128456121462410464578910174[[#This Row],[Type]],Main[[#All],[TYPE]:[UNIT]],'Unit Price'!C$1,FALSE),0)</f>
        <v>0</v>
      </c>
      <c r="H191" s="197">
        <f>IF(_1_54128456121462410464578910174[[#This Row],[Type]]&gt;0,VLOOKUP(_1_54128456121462410464578910174[[#This Row],[Type]],Main[[#All],[TYPE]:[UNIT]],'Unit Price'!D$1,FALSE),0)</f>
        <v>0</v>
      </c>
      <c r="I191" s="194">
        <f>IF(_1_54128456121462410464578910174[[#This Row],[Type]]&gt;0,VLOOKUP(_1_54128456121462410464578910174[[#This Row],[Type]],Main[[#All],[TYPE]:[UNIT]],'Unit Price'!G$1,FALSE),0)</f>
        <v>0</v>
      </c>
      <c r="J191" s="194">
        <f>IF(_1_54128456121462410464578910174[[#This Row],[Type]]&gt;0,VLOOKUP(_1_54128456121462410464578910174[[#This Row],[Type]],Main[[#All],[TYPE]:[UNIT]],'Unit Price'!H$1,FALSE),0)</f>
        <v>0</v>
      </c>
      <c r="K191" s="194">
        <f>IF(_1_54128456121462410464578910174[[#This Row],[Discount selection]]&gt;0,VLOOKUP(_1_54128456121462410464578910174[[#This Row],[Discount selection]],'Discount Structure'!$A$2:$B$30,2,"false"),0)</f>
        <v>1</v>
      </c>
      <c r="L191" s="194">
        <f>_1_54128456121462410464578910174[[#This Row],[LIST $]]*_1_54128456121462410464578910174[[#This Row],[DISCOUNT]]*_1_54128456121462410464578910174[[#This Row],[DISCOUNT 2]]</f>
        <v>0</v>
      </c>
      <c r="M191" s="194">
        <f>IF(OR(_1_54128456121462410464578910174[[#This Row],[UNIT]]&gt;0,_1_54128456121462410464578910174[[#This Row],[UNIT]]&lt;0),_1_54128456121462410464578910174[[#This Row],[UNIT]]*_1_54128456121462410464578910174[[#This Row],[COST]],0)</f>
        <v>0</v>
      </c>
      <c r="N191" s="194">
        <f t="shared" si="2"/>
        <v>1.5</v>
      </c>
      <c r="O191" s="198">
        <f>_1_54128456121462410464578910174[[#This Row],[TOTAL]]*_1_54128456121462410464578910174[[#This Row],[MARGIN]]</f>
        <v>0</v>
      </c>
      <c r="R191" s="41"/>
    </row>
    <row r="192" spans="2:18">
      <c r="C192" s="168"/>
      <c r="D192" s="188"/>
      <c r="F192" s="168" t="s">
        <v>6202</v>
      </c>
      <c r="G192" s="193">
        <f>IF(_1_54128456121462410464578910174[[#This Row],[Type]]&gt;0,VLOOKUP(_1_54128456121462410464578910174[[#This Row],[Type]],Main[[#All],[TYPE]:[UNIT]],'Unit Price'!C$1,FALSE),0)</f>
        <v>0</v>
      </c>
      <c r="H192" s="197">
        <f>IF(_1_54128456121462410464578910174[[#This Row],[Type]]&gt;0,VLOOKUP(_1_54128456121462410464578910174[[#This Row],[Type]],Main[[#All],[TYPE]:[UNIT]],'Unit Price'!D$1,FALSE),0)</f>
        <v>0</v>
      </c>
      <c r="I192" s="194">
        <f>IF(_1_54128456121462410464578910174[[#This Row],[Type]]&gt;0,VLOOKUP(_1_54128456121462410464578910174[[#This Row],[Type]],Main[[#All],[TYPE]:[UNIT]],'Unit Price'!G$1,FALSE),0)</f>
        <v>0</v>
      </c>
      <c r="J192" s="194">
        <f>IF(_1_54128456121462410464578910174[[#This Row],[Type]]&gt;0,VLOOKUP(_1_54128456121462410464578910174[[#This Row],[Type]],Main[[#All],[TYPE]:[UNIT]],'Unit Price'!H$1,FALSE),0)</f>
        <v>0</v>
      </c>
      <c r="K192" s="194">
        <f>IF(_1_54128456121462410464578910174[[#This Row],[Discount selection]]&gt;0,VLOOKUP(_1_54128456121462410464578910174[[#This Row],[Discount selection]],'Discount Structure'!$A$2:$B$30,2,"false"),0)</f>
        <v>1</v>
      </c>
      <c r="L192" s="194">
        <f>_1_54128456121462410464578910174[[#This Row],[LIST $]]*_1_54128456121462410464578910174[[#This Row],[DISCOUNT]]*_1_54128456121462410464578910174[[#This Row],[DISCOUNT 2]]</f>
        <v>0</v>
      </c>
      <c r="M192" s="194">
        <f>IF(OR(_1_54128456121462410464578910174[[#This Row],[UNIT]]&gt;0,_1_54128456121462410464578910174[[#This Row],[UNIT]]&lt;0),_1_54128456121462410464578910174[[#This Row],[UNIT]]*_1_54128456121462410464578910174[[#This Row],[COST]],0)</f>
        <v>0</v>
      </c>
      <c r="N192" s="194">
        <f t="shared" si="2"/>
        <v>1.5</v>
      </c>
      <c r="O192" s="198">
        <f>_1_54128456121462410464578910174[[#This Row],[TOTAL]]*_1_54128456121462410464578910174[[#This Row],[MARGIN]]</f>
        <v>0</v>
      </c>
      <c r="R192" s="41"/>
    </row>
    <row r="193" spans="1:18">
      <c r="A193" s="168"/>
      <c r="C193" s="168"/>
      <c r="D193" s="188"/>
      <c r="F193" s="168" t="s">
        <v>6202</v>
      </c>
      <c r="G193" s="193">
        <f>IF(_1_54128456121462410464578910174[[#This Row],[Type]]&gt;0,VLOOKUP(_1_54128456121462410464578910174[[#This Row],[Type]],Main[[#All],[TYPE]:[UNIT]],'Unit Price'!C$1,FALSE),0)</f>
        <v>0</v>
      </c>
      <c r="H193" s="197">
        <f>IF(_1_54128456121462410464578910174[[#This Row],[Type]]&gt;0,VLOOKUP(_1_54128456121462410464578910174[[#This Row],[Type]],Main[[#All],[TYPE]:[UNIT]],'Unit Price'!D$1,FALSE),0)</f>
        <v>0</v>
      </c>
      <c r="I193" s="194">
        <f>IF(_1_54128456121462410464578910174[[#This Row],[Type]]&gt;0,VLOOKUP(_1_54128456121462410464578910174[[#This Row],[Type]],Main[[#All],[TYPE]:[UNIT]],'Unit Price'!G$1,FALSE),0)</f>
        <v>0</v>
      </c>
      <c r="J193" s="194">
        <f>IF(_1_54128456121462410464578910174[[#This Row],[Type]]&gt;0,VLOOKUP(_1_54128456121462410464578910174[[#This Row],[Type]],Main[[#All],[TYPE]:[UNIT]],'Unit Price'!H$1,FALSE),0)</f>
        <v>0</v>
      </c>
      <c r="K193" s="194">
        <f>IF(_1_54128456121462410464578910174[[#This Row],[Discount selection]]&gt;0,VLOOKUP(_1_54128456121462410464578910174[[#This Row],[Discount selection]],'Discount Structure'!$A$2:$B$30,2,"false"),0)</f>
        <v>1</v>
      </c>
      <c r="L193" s="194">
        <f>_1_54128456121462410464578910174[[#This Row],[LIST $]]*_1_54128456121462410464578910174[[#This Row],[DISCOUNT]]*_1_54128456121462410464578910174[[#This Row],[DISCOUNT 2]]</f>
        <v>0</v>
      </c>
      <c r="M193" s="194">
        <f>IF(OR(_1_54128456121462410464578910174[[#This Row],[UNIT]]&gt;0,_1_54128456121462410464578910174[[#This Row],[UNIT]]&lt;0),_1_54128456121462410464578910174[[#This Row],[UNIT]]*_1_54128456121462410464578910174[[#This Row],[COST]],0)</f>
        <v>0</v>
      </c>
      <c r="N193" s="194">
        <f t="shared" si="2"/>
        <v>1.5</v>
      </c>
      <c r="O193" s="198">
        <f>_1_54128456121462410464578910174[[#This Row],[TOTAL]]*_1_54128456121462410464578910174[[#This Row],[MARGIN]]</f>
        <v>0</v>
      </c>
      <c r="R193" s="41"/>
    </row>
    <row r="194" spans="1:18">
      <c r="C194" s="168"/>
      <c r="D194" s="188"/>
      <c r="F194" s="168" t="s">
        <v>6202</v>
      </c>
      <c r="G194" s="193">
        <f>IF(_1_54128456121462410464578910174[[#This Row],[Type]]&gt;0,VLOOKUP(_1_54128456121462410464578910174[[#This Row],[Type]],Main[[#All],[TYPE]:[UNIT]],'Unit Price'!C$1,FALSE),0)</f>
        <v>0</v>
      </c>
      <c r="H194" s="197">
        <f>IF(_1_54128456121462410464578910174[[#This Row],[Type]]&gt;0,VLOOKUP(_1_54128456121462410464578910174[[#This Row],[Type]],Main[[#All],[TYPE]:[UNIT]],'Unit Price'!D$1,FALSE),0)</f>
        <v>0</v>
      </c>
      <c r="I194" s="194">
        <f>IF(_1_54128456121462410464578910174[[#This Row],[Type]]&gt;0,VLOOKUP(_1_54128456121462410464578910174[[#This Row],[Type]],Main[[#All],[TYPE]:[UNIT]],'Unit Price'!G$1,FALSE),0)</f>
        <v>0</v>
      </c>
      <c r="J194" s="194">
        <f>IF(_1_54128456121462410464578910174[[#This Row],[Type]]&gt;0,VLOOKUP(_1_54128456121462410464578910174[[#This Row],[Type]],Main[[#All],[TYPE]:[UNIT]],'Unit Price'!H$1,FALSE),0)</f>
        <v>0</v>
      </c>
      <c r="K194" s="194">
        <f>IF(_1_54128456121462410464578910174[[#This Row],[Discount selection]]&gt;0,VLOOKUP(_1_54128456121462410464578910174[[#This Row],[Discount selection]],'Discount Structure'!$A$2:$B$30,2,"false"),0)</f>
        <v>1</v>
      </c>
      <c r="L194" s="194">
        <f>_1_54128456121462410464578910174[[#This Row],[LIST $]]*_1_54128456121462410464578910174[[#This Row],[DISCOUNT]]*_1_54128456121462410464578910174[[#This Row],[DISCOUNT 2]]</f>
        <v>0</v>
      </c>
      <c r="M194" s="194">
        <f>IF(OR(_1_54128456121462410464578910174[[#This Row],[UNIT]]&gt;0,_1_54128456121462410464578910174[[#This Row],[UNIT]]&lt;0),_1_54128456121462410464578910174[[#This Row],[UNIT]]*_1_54128456121462410464578910174[[#This Row],[COST]],0)</f>
        <v>0</v>
      </c>
      <c r="N194" s="194">
        <f t="shared" si="2"/>
        <v>1.5</v>
      </c>
      <c r="O194" s="198">
        <f>_1_54128456121462410464578910174[[#This Row],[TOTAL]]*_1_54128456121462410464578910174[[#This Row],[MARGIN]]</f>
        <v>0</v>
      </c>
      <c r="R194" s="41"/>
    </row>
    <row r="195" spans="1:18">
      <c r="C195" s="168"/>
      <c r="D195" s="188"/>
      <c r="F195" s="168" t="s">
        <v>6202</v>
      </c>
      <c r="G195" s="193">
        <f>IF(_1_54128456121462410464578910174[[#This Row],[Type]]&gt;0,VLOOKUP(_1_54128456121462410464578910174[[#This Row],[Type]],Main[[#All],[TYPE]:[UNIT]],'Unit Price'!C$1,FALSE),0)</f>
        <v>0</v>
      </c>
      <c r="H195" s="197">
        <f>IF(_1_54128456121462410464578910174[[#This Row],[Type]]&gt;0,VLOOKUP(_1_54128456121462410464578910174[[#This Row],[Type]],Main[[#All],[TYPE]:[UNIT]],'Unit Price'!D$1,FALSE),0)</f>
        <v>0</v>
      </c>
      <c r="I195" s="194">
        <f>IF(_1_54128456121462410464578910174[[#This Row],[Type]]&gt;0,VLOOKUP(_1_54128456121462410464578910174[[#This Row],[Type]],Main[[#All],[TYPE]:[UNIT]],'Unit Price'!G$1,FALSE),0)</f>
        <v>0</v>
      </c>
      <c r="J195" s="194">
        <f>IF(_1_54128456121462410464578910174[[#This Row],[Type]]&gt;0,VLOOKUP(_1_54128456121462410464578910174[[#This Row],[Type]],Main[[#All],[TYPE]:[UNIT]],'Unit Price'!H$1,FALSE),0)</f>
        <v>0</v>
      </c>
      <c r="K195" s="194">
        <f>IF(_1_54128456121462410464578910174[[#This Row],[Discount selection]]&gt;0,VLOOKUP(_1_54128456121462410464578910174[[#This Row],[Discount selection]],'Discount Structure'!$A$2:$B$30,2,"false"),0)</f>
        <v>1</v>
      </c>
      <c r="L195" s="194">
        <f>_1_54128456121462410464578910174[[#This Row],[LIST $]]*_1_54128456121462410464578910174[[#This Row],[DISCOUNT]]*_1_54128456121462410464578910174[[#This Row],[DISCOUNT 2]]</f>
        <v>0</v>
      </c>
      <c r="M195" s="194">
        <f>IF(OR(_1_54128456121462410464578910174[[#This Row],[UNIT]]&gt;0,_1_54128456121462410464578910174[[#This Row],[UNIT]]&lt;0),_1_54128456121462410464578910174[[#This Row],[UNIT]]*_1_54128456121462410464578910174[[#This Row],[COST]],0)</f>
        <v>0</v>
      </c>
      <c r="N195" s="194">
        <f t="shared" si="2"/>
        <v>1.5</v>
      </c>
      <c r="O195" s="198">
        <f>_1_54128456121462410464578910174[[#This Row],[TOTAL]]*_1_54128456121462410464578910174[[#This Row],[MARGIN]]</f>
        <v>0</v>
      </c>
      <c r="R195" s="41"/>
    </row>
    <row r="196" spans="1:18">
      <c r="C196" s="168"/>
      <c r="D196" s="188"/>
      <c r="F196" s="168" t="s">
        <v>6202</v>
      </c>
      <c r="G196" s="193">
        <f>IF(_1_54128456121462410464578910174[[#This Row],[Type]]&gt;0,VLOOKUP(_1_54128456121462410464578910174[[#This Row],[Type]],Main[[#All],[TYPE]:[UNIT]],'Unit Price'!C$1,FALSE),0)</f>
        <v>0</v>
      </c>
      <c r="H196" s="197">
        <f>IF(_1_54128456121462410464578910174[[#This Row],[Type]]&gt;0,VLOOKUP(_1_54128456121462410464578910174[[#This Row],[Type]],Main[[#All],[TYPE]:[UNIT]],'Unit Price'!D$1,FALSE),0)</f>
        <v>0</v>
      </c>
      <c r="I196" s="194">
        <f>IF(_1_54128456121462410464578910174[[#This Row],[Type]]&gt;0,VLOOKUP(_1_54128456121462410464578910174[[#This Row],[Type]],Main[[#All],[TYPE]:[UNIT]],'Unit Price'!G$1,FALSE),0)</f>
        <v>0</v>
      </c>
      <c r="J196" s="194">
        <f>IF(_1_54128456121462410464578910174[[#This Row],[Type]]&gt;0,VLOOKUP(_1_54128456121462410464578910174[[#This Row],[Type]],Main[[#All],[TYPE]:[UNIT]],'Unit Price'!H$1,FALSE),0)</f>
        <v>0</v>
      </c>
      <c r="K196" s="194">
        <f>IF(_1_54128456121462410464578910174[[#This Row],[Discount selection]]&gt;0,VLOOKUP(_1_54128456121462410464578910174[[#This Row],[Discount selection]],'Discount Structure'!$A$2:$B$30,2,"false"),0)</f>
        <v>1</v>
      </c>
      <c r="L196" s="194">
        <f>_1_54128456121462410464578910174[[#This Row],[LIST $]]*_1_54128456121462410464578910174[[#This Row],[DISCOUNT]]*_1_54128456121462410464578910174[[#This Row],[DISCOUNT 2]]</f>
        <v>0</v>
      </c>
      <c r="M196" s="194">
        <f>IF(OR(_1_54128456121462410464578910174[[#This Row],[UNIT]]&gt;0,_1_54128456121462410464578910174[[#This Row],[UNIT]]&lt;0),_1_54128456121462410464578910174[[#This Row],[UNIT]]*_1_54128456121462410464578910174[[#This Row],[COST]],0)</f>
        <v>0</v>
      </c>
      <c r="N196" s="194">
        <f t="shared" si="2"/>
        <v>1.5</v>
      </c>
      <c r="O196" s="198">
        <f>_1_54128456121462410464578910174[[#This Row],[TOTAL]]*_1_54128456121462410464578910174[[#This Row],[MARGIN]]</f>
        <v>0</v>
      </c>
      <c r="R196" s="41"/>
    </row>
    <row r="197" spans="1:18">
      <c r="A197" s="168"/>
      <c r="C197" s="168"/>
      <c r="D197" s="188"/>
      <c r="F197" s="168" t="s">
        <v>6202</v>
      </c>
      <c r="G197" s="193">
        <f>IF(_1_54128456121462410464578910174[[#This Row],[Type]]&gt;0,VLOOKUP(_1_54128456121462410464578910174[[#This Row],[Type]],Main[[#All],[TYPE]:[UNIT]],'Unit Price'!C$1,FALSE),0)</f>
        <v>0</v>
      </c>
      <c r="H197" s="197">
        <f>IF(_1_54128456121462410464578910174[[#This Row],[Type]]&gt;0,VLOOKUP(_1_54128456121462410464578910174[[#This Row],[Type]],Main[[#All],[TYPE]:[UNIT]],'Unit Price'!D$1,FALSE),0)</f>
        <v>0</v>
      </c>
      <c r="I197" s="194">
        <f>IF(_1_54128456121462410464578910174[[#This Row],[Type]]&gt;0,VLOOKUP(_1_54128456121462410464578910174[[#This Row],[Type]],Main[[#All],[TYPE]:[UNIT]],'Unit Price'!G$1,FALSE),0)</f>
        <v>0</v>
      </c>
      <c r="J197" s="194">
        <f>IF(_1_54128456121462410464578910174[[#This Row],[Type]]&gt;0,VLOOKUP(_1_54128456121462410464578910174[[#This Row],[Type]],Main[[#All],[TYPE]:[UNIT]],'Unit Price'!H$1,FALSE),0)</f>
        <v>0</v>
      </c>
      <c r="K197" s="194">
        <f>IF(_1_54128456121462410464578910174[[#This Row],[Discount selection]]&gt;0,VLOOKUP(_1_54128456121462410464578910174[[#This Row],[Discount selection]],'Discount Structure'!$A$2:$B$30,2,"false"),0)</f>
        <v>1</v>
      </c>
      <c r="L197" s="194">
        <f>_1_54128456121462410464578910174[[#This Row],[LIST $]]*_1_54128456121462410464578910174[[#This Row],[DISCOUNT]]*_1_54128456121462410464578910174[[#This Row],[DISCOUNT 2]]</f>
        <v>0</v>
      </c>
      <c r="M197" s="194">
        <f>IF(OR(_1_54128456121462410464578910174[[#This Row],[UNIT]]&gt;0,_1_54128456121462410464578910174[[#This Row],[UNIT]]&lt;0),_1_54128456121462410464578910174[[#This Row],[UNIT]]*_1_54128456121462410464578910174[[#This Row],[COST]],0)</f>
        <v>0</v>
      </c>
      <c r="N197" s="194">
        <f t="shared" si="2"/>
        <v>1.5</v>
      </c>
      <c r="O197" s="198">
        <f>_1_54128456121462410464578910174[[#This Row],[TOTAL]]*_1_54128456121462410464578910174[[#This Row],[MARGIN]]</f>
        <v>0</v>
      </c>
      <c r="R197" s="41"/>
    </row>
    <row r="198" spans="1:18">
      <c r="C198" s="168"/>
      <c r="D198" s="188"/>
      <c r="F198" s="168" t="s">
        <v>6202</v>
      </c>
      <c r="G198" s="193">
        <f>IF(_1_54128456121462410464578910174[[#This Row],[Type]]&gt;0,VLOOKUP(_1_54128456121462410464578910174[[#This Row],[Type]],Main[[#All],[TYPE]:[UNIT]],'Unit Price'!C$1,FALSE),0)</f>
        <v>0</v>
      </c>
      <c r="H198" s="197">
        <f>IF(_1_54128456121462410464578910174[[#This Row],[Type]]&gt;0,VLOOKUP(_1_54128456121462410464578910174[[#This Row],[Type]],Main[[#All],[TYPE]:[UNIT]],'Unit Price'!D$1,FALSE),0)</f>
        <v>0</v>
      </c>
      <c r="I198" s="194">
        <f>IF(_1_54128456121462410464578910174[[#This Row],[Type]]&gt;0,VLOOKUP(_1_54128456121462410464578910174[[#This Row],[Type]],Main[[#All],[TYPE]:[UNIT]],'Unit Price'!G$1,FALSE),0)</f>
        <v>0</v>
      </c>
      <c r="J198" s="194">
        <f>IF(_1_54128456121462410464578910174[[#This Row],[Type]]&gt;0,VLOOKUP(_1_54128456121462410464578910174[[#This Row],[Type]],Main[[#All],[TYPE]:[UNIT]],'Unit Price'!H$1,FALSE),0)</f>
        <v>0</v>
      </c>
      <c r="K198" s="194">
        <f>IF(_1_54128456121462410464578910174[[#This Row],[Discount selection]]&gt;0,VLOOKUP(_1_54128456121462410464578910174[[#This Row],[Discount selection]],'Discount Structure'!$A$2:$B$30,2,"false"),0)</f>
        <v>1</v>
      </c>
      <c r="L198" s="194">
        <f>_1_54128456121462410464578910174[[#This Row],[LIST $]]*_1_54128456121462410464578910174[[#This Row],[DISCOUNT]]*_1_54128456121462410464578910174[[#This Row],[DISCOUNT 2]]</f>
        <v>0</v>
      </c>
      <c r="M198" s="194">
        <f>IF(OR(_1_54128456121462410464578910174[[#This Row],[UNIT]]&gt;0,_1_54128456121462410464578910174[[#This Row],[UNIT]]&lt;0),_1_54128456121462410464578910174[[#This Row],[UNIT]]*_1_54128456121462410464578910174[[#This Row],[COST]],0)</f>
        <v>0</v>
      </c>
      <c r="N198" s="194">
        <f t="shared" si="2"/>
        <v>1.5</v>
      </c>
      <c r="O198" s="198">
        <f>_1_54128456121462410464578910174[[#This Row],[TOTAL]]*_1_54128456121462410464578910174[[#This Row],[MARGIN]]</f>
        <v>0</v>
      </c>
      <c r="R198" s="41"/>
    </row>
    <row r="199" spans="1:18">
      <c r="C199" s="168"/>
      <c r="D199" s="188"/>
      <c r="F199" s="168" t="s">
        <v>6202</v>
      </c>
      <c r="G199" s="193">
        <f>IF(_1_54128456121462410464578910174[[#This Row],[Type]]&gt;0,VLOOKUP(_1_54128456121462410464578910174[[#This Row],[Type]],Main[[#All],[TYPE]:[UNIT]],'Unit Price'!C$1,FALSE),0)</f>
        <v>0</v>
      </c>
      <c r="H199" s="197">
        <f>IF(_1_54128456121462410464578910174[[#This Row],[Type]]&gt;0,VLOOKUP(_1_54128456121462410464578910174[[#This Row],[Type]],Main[[#All],[TYPE]:[UNIT]],'Unit Price'!D$1,FALSE),0)</f>
        <v>0</v>
      </c>
      <c r="I199" s="194">
        <f>IF(_1_54128456121462410464578910174[[#This Row],[Type]]&gt;0,VLOOKUP(_1_54128456121462410464578910174[[#This Row],[Type]],Main[[#All],[TYPE]:[UNIT]],'Unit Price'!G$1,FALSE),0)</f>
        <v>0</v>
      </c>
      <c r="J199" s="194">
        <f>IF(_1_54128456121462410464578910174[[#This Row],[Type]]&gt;0,VLOOKUP(_1_54128456121462410464578910174[[#This Row],[Type]],Main[[#All],[TYPE]:[UNIT]],'Unit Price'!H$1,FALSE),0)</f>
        <v>0</v>
      </c>
      <c r="K199" s="194">
        <f>IF(_1_54128456121462410464578910174[[#This Row],[Discount selection]]&gt;0,VLOOKUP(_1_54128456121462410464578910174[[#This Row],[Discount selection]],'Discount Structure'!$A$2:$B$30,2,"false"),0)</f>
        <v>1</v>
      </c>
      <c r="L199" s="194">
        <f>_1_54128456121462410464578910174[[#This Row],[LIST $]]*_1_54128456121462410464578910174[[#This Row],[DISCOUNT]]*_1_54128456121462410464578910174[[#This Row],[DISCOUNT 2]]</f>
        <v>0</v>
      </c>
      <c r="M199" s="194">
        <f>IF(OR(_1_54128456121462410464578910174[[#This Row],[UNIT]]&gt;0,_1_54128456121462410464578910174[[#This Row],[UNIT]]&lt;0),_1_54128456121462410464578910174[[#This Row],[UNIT]]*_1_54128456121462410464578910174[[#This Row],[COST]],0)</f>
        <v>0</v>
      </c>
      <c r="N199" s="194">
        <f t="shared" si="2"/>
        <v>1.5</v>
      </c>
      <c r="O199" s="198">
        <f>_1_54128456121462410464578910174[[#This Row],[TOTAL]]*_1_54128456121462410464578910174[[#This Row],[MARGIN]]</f>
        <v>0</v>
      </c>
      <c r="R199" s="41"/>
    </row>
    <row r="200" spans="1:18">
      <c r="A200" s="168"/>
      <c r="C200" s="168"/>
      <c r="D200" s="188"/>
      <c r="F200" s="168" t="s">
        <v>6202</v>
      </c>
      <c r="G200" s="193">
        <f>IF(_1_54128456121462410464578910174[[#This Row],[Type]]&gt;0,VLOOKUP(_1_54128456121462410464578910174[[#This Row],[Type]],Main[[#All],[TYPE]:[UNIT]],'Unit Price'!C$1,FALSE),0)</f>
        <v>0</v>
      </c>
      <c r="H200" s="197">
        <f>IF(_1_54128456121462410464578910174[[#This Row],[Type]]&gt;0,VLOOKUP(_1_54128456121462410464578910174[[#This Row],[Type]],Main[[#All],[TYPE]:[UNIT]],'Unit Price'!D$1,FALSE),0)</f>
        <v>0</v>
      </c>
      <c r="I200" s="194">
        <f>IF(_1_54128456121462410464578910174[[#This Row],[Type]]&gt;0,VLOOKUP(_1_54128456121462410464578910174[[#This Row],[Type]],Main[[#All],[TYPE]:[UNIT]],'Unit Price'!G$1,FALSE),0)</f>
        <v>0</v>
      </c>
      <c r="J200" s="194">
        <f>IF(_1_54128456121462410464578910174[[#This Row],[Type]]&gt;0,VLOOKUP(_1_54128456121462410464578910174[[#This Row],[Type]],Main[[#All],[TYPE]:[UNIT]],'Unit Price'!H$1,FALSE),0)</f>
        <v>0</v>
      </c>
      <c r="K200" s="194">
        <f>IF(_1_54128456121462410464578910174[[#This Row],[Discount selection]]&gt;0,VLOOKUP(_1_54128456121462410464578910174[[#This Row],[Discount selection]],'Discount Structure'!$A$2:$B$30,2,"false"),0)</f>
        <v>1</v>
      </c>
      <c r="L200" s="194">
        <f>_1_54128456121462410464578910174[[#This Row],[LIST $]]*_1_54128456121462410464578910174[[#This Row],[DISCOUNT]]*_1_54128456121462410464578910174[[#This Row],[DISCOUNT 2]]</f>
        <v>0</v>
      </c>
      <c r="M200" s="194">
        <f>IF(OR(_1_54128456121462410464578910174[[#This Row],[UNIT]]&gt;0,_1_54128456121462410464578910174[[#This Row],[UNIT]]&lt;0),_1_54128456121462410464578910174[[#This Row],[UNIT]]*_1_54128456121462410464578910174[[#This Row],[COST]],0)</f>
        <v>0</v>
      </c>
      <c r="N200" s="194">
        <f t="shared" si="2"/>
        <v>1.5</v>
      </c>
      <c r="O200" s="198">
        <f>_1_54128456121462410464578910174[[#This Row],[TOTAL]]*_1_54128456121462410464578910174[[#This Row],[MARGIN]]</f>
        <v>0</v>
      </c>
      <c r="R200" s="41"/>
    </row>
    <row r="201" spans="1:18">
      <c r="B201" s="168"/>
      <c r="C201" s="168"/>
      <c r="D201" s="188"/>
      <c r="F201" s="168" t="s">
        <v>6202</v>
      </c>
      <c r="G201" s="193">
        <f>IF(_1_54128456121462410464578910174[[#This Row],[Type]]&gt;0,VLOOKUP(_1_54128456121462410464578910174[[#This Row],[Type]],Main[[#All],[TYPE]:[UNIT]],'Unit Price'!C$1,FALSE),0)</f>
        <v>0</v>
      </c>
      <c r="H201" s="197">
        <f>IF(_1_54128456121462410464578910174[[#This Row],[Type]]&gt;0,VLOOKUP(_1_54128456121462410464578910174[[#This Row],[Type]],Main[[#All],[TYPE]:[UNIT]],'Unit Price'!D$1,FALSE),0)</f>
        <v>0</v>
      </c>
      <c r="I201" s="194">
        <f>IF(_1_54128456121462410464578910174[[#This Row],[Type]]&gt;0,VLOOKUP(_1_54128456121462410464578910174[[#This Row],[Type]],Main[[#All],[TYPE]:[UNIT]],'Unit Price'!G$1,FALSE),0)</f>
        <v>0</v>
      </c>
      <c r="J201" s="194">
        <f>IF(_1_54128456121462410464578910174[[#This Row],[Type]]&gt;0,VLOOKUP(_1_54128456121462410464578910174[[#This Row],[Type]],Main[[#All],[TYPE]:[UNIT]],'Unit Price'!H$1,FALSE),0)</f>
        <v>0</v>
      </c>
      <c r="K201" s="194">
        <f>IF(_1_54128456121462410464578910174[[#This Row],[Discount selection]]&gt;0,VLOOKUP(_1_54128456121462410464578910174[[#This Row],[Discount selection]],'Discount Structure'!$A$2:$B$30,2,"false"),0)</f>
        <v>1</v>
      </c>
      <c r="L201" s="194">
        <f>_1_54128456121462410464578910174[[#This Row],[LIST $]]*_1_54128456121462410464578910174[[#This Row],[DISCOUNT]]*_1_54128456121462410464578910174[[#This Row],[DISCOUNT 2]]</f>
        <v>0</v>
      </c>
      <c r="M201" s="194">
        <f>IF(OR(_1_54128456121462410464578910174[[#This Row],[UNIT]]&gt;0,_1_54128456121462410464578910174[[#This Row],[UNIT]]&lt;0),_1_54128456121462410464578910174[[#This Row],[UNIT]]*_1_54128456121462410464578910174[[#This Row],[COST]],0)</f>
        <v>0</v>
      </c>
      <c r="N201" s="194">
        <f t="shared" si="2"/>
        <v>1.5</v>
      </c>
      <c r="O201" s="198">
        <f>_1_54128456121462410464578910174[[#This Row],[TOTAL]]*_1_54128456121462410464578910174[[#This Row],[MARGIN]]</f>
        <v>0</v>
      </c>
      <c r="R201" s="41"/>
    </row>
    <row r="202" spans="1:18">
      <c r="C202" s="168"/>
      <c r="D202" s="188"/>
      <c r="F202" s="168" t="s">
        <v>6202</v>
      </c>
      <c r="G202" s="193">
        <f>IF(_1_54128456121462410464578910174[[#This Row],[Type]]&gt;0,VLOOKUP(_1_54128456121462410464578910174[[#This Row],[Type]],Main[[#All],[TYPE]:[UNIT]],'Unit Price'!C$1,FALSE),0)</f>
        <v>0</v>
      </c>
      <c r="H202" s="197">
        <f>IF(_1_54128456121462410464578910174[[#This Row],[Type]]&gt;0,VLOOKUP(_1_54128456121462410464578910174[[#This Row],[Type]],Main[[#All],[TYPE]:[UNIT]],'Unit Price'!D$1,FALSE),0)</f>
        <v>0</v>
      </c>
      <c r="I202" s="194">
        <f>IF(_1_54128456121462410464578910174[[#This Row],[Type]]&gt;0,VLOOKUP(_1_54128456121462410464578910174[[#This Row],[Type]],Main[[#All],[TYPE]:[UNIT]],'Unit Price'!G$1,FALSE),0)</f>
        <v>0</v>
      </c>
      <c r="J202" s="194">
        <f>IF(_1_54128456121462410464578910174[[#This Row],[Type]]&gt;0,VLOOKUP(_1_54128456121462410464578910174[[#This Row],[Type]],Main[[#All],[TYPE]:[UNIT]],'Unit Price'!H$1,FALSE),0)</f>
        <v>0</v>
      </c>
      <c r="K202" s="194">
        <f>IF(_1_54128456121462410464578910174[[#This Row],[Discount selection]]&gt;0,VLOOKUP(_1_54128456121462410464578910174[[#This Row],[Discount selection]],'Discount Structure'!$A$2:$B$30,2,"false"),0)</f>
        <v>1</v>
      </c>
      <c r="L202" s="194">
        <f>_1_54128456121462410464578910174[[#This Row],[LIST $]]*_1_54128456121462410464578910174[[#This Row],[DISCOUNT]]*_1_54128456121462410464578910174[[#This Row],[DISCOUNT 2]]</f>
        <v>0</v>
      </c>
      <c r="M202" s="194">
        <f>IF(OR(_1_54128456121462410464578910174[[#This Row],[UNIT]]&gt;0,_1_54128456121462410464578910174[[#This Row],[UNIT]]&lt;0),_1_54128456121462410464578910174[[#This Row],[UNIT]]*_1_54128456121462410464578910174[[#This Row],[COST]],0)</f>
        <v>0</v>
      </c>
      <c r="N202" s="194">
        <f t="shared" ref="N202:N265" si="3">$N$7</f>
        <v>1.5</v>
      </c>
      <c r="O202" s="198">
        <f>_1_54128456121462410464578910174[[#This Row],[TOTAL]]*_1_54128456121462410464578910174[[#This Row],[MARGIN]]</f>
        <v>0</v>
      </c>
      <c r="R202" s="41"/>
    </row>
    <row r="203" spans="1:18">
      <c r="A203" s="168"/>
      <c r="C203" s="168"/>
      <c r="D203" s="188"/>
      <c r="F203" s="168" t="s">
        <v>6202</v>
      </c>
      <c r="G203" s="193">
        <f>IF(_1_54128456121462410464578910174[[#This Row],[Type]]&gt;0,VLOOKUP(_1_54128456121462410464578910174[[#This Row],[Type]],Main[[#All],[TYPE]:[UNIT]],'Unit Price'!C$1,FALSE),0)</f>
        <v>0</v>
      </c>
      <c r="H203" s="197">
        <f>IF(_1_54128456121462410464578910174[[#This Row],[Type]]&gt;0,VLOOKUP(_1_54128456121462410464578910174[[#This Row],[Type]],Main[[#All],[TYPE]:[UNIT]],'Unit Price'!D$1,FALSE),0)</f>
        <v>0</v>
      </c>
      <c r="I203" s="194">
        <f>IF(_1_54128456121462410464578910174[[#This Row],[Type]]&gt;0,VLOOKUP(_1_54128456121462410464578910174[[#This Row],[Type]],Main[[#All],[TYPE]:[UNIT]],'Unit Price'!G$1,FALSE),0)</f>
        <v>0</v>
      </c>
      <c r="J203" s="194">
        <f>IF(_1_54128456121462410464578910174[[#This Row],[Type]]&gt;0,VLOOKUP(_1_54128456121462410464578910174[[#This Row],[Type]],Main[[#All],[TYPE]:[UNIT]],'Unit Price'!H$1,FALSE),0)</f>
        <v>0</v>
      </c>
      <c r="K203" s="194">
        <f>IF(_1_54128456121462410464578910174[[#This Row],[Discount selection]]&gt;0,VLOOKUP(_1_54128456121462410464578910174[[#This Row],[Discount selection]],'Discount Structure'!$A$2:$B$30,2,"false"),0)</f>
        <v>1</v>
      </c>
      <c r="L203" s="194">
        <f>_1_54128456121462410464578910174[[#This Row],[LIST $]]*_1_54128456121462410464578910174[[#This Row],[DISCOUNT]]*_1_54128456121462410464578910174[[#This Row],[DISCOUNT 2]]</f>
        <v>0</v>
      </c>
      <c r="M203" s="194">
        <f>IF(OR(_1_54128456121462410464578910174[[#This Row],[UNIT]]&gt;0,_1_54128456121462410464578910174[[#This Row],[UNIT]]&lt;0),_1_54128456121462410464578910174[[#This Row],[UNIT]]*_1_54128456121462410464578910174[[#This Row],[COST]],0)</f>
        <v>0</v>
      </c>
      <c r="N203" s="194">
        <f t="shared" si="3"/>
        <v>1.5</v>
      </c>
      <c r="O203" s="198">
        <f>_1_54128456121462410464578910174[[#This Row],[TOTAL]]*_1_54128456121462410464578910174[[#This Row],[MARGIN]]</f>
        <v>0</v>
      </c>
      <c r="R203" s="41"/>
    </row>
    <row r="204" spans="1:18">
      <c r="C204" s="168"/>
      <c r="D204" s="188"/>
      <c r="F204" s="168" t="s">
        <v>6202</v>
      </c>
      <c r="G204" s="193">
        <f>IF(_1_54128456121462410464578910174[[#This Row],[Type]]&gt;0,VLOOKUP(_1_54128456121462410464578910174[[#This Row],[Type]],Main[[#All],[TYPE]:[UNIT]],'Unit Price'!C$1,FALSE),0)</f>
        <v>0</v>
      </c>
      <c r="H204" s="197">
        <f>IF(_1_54128456121462410464578910174[[#This Row],[Type]]&gt;0,VLOOKUP(_1_54128456121462410464578910174[[#This Row],[Type]],Main[[#All],[TYPE]:[UNIT]],'Unit Price'!D$1,FALSE),0)</f>
        <v>0</v>
      </c>
      <c r="I204" s="194">
        <f>IF(_1_54128456121462410464578910174[[#This Row],[Type]]&gt;0,VLOOKUP(_1_54128456121462410464578910174[[#This Row],[Type]],Main[[#All],[TYPE]:[UNIT]],'Unit Price'!G$1,FALSE),0)</f>
        <v>0</v>
      </c>
      <c r="J204" s="194">
        <f>IF(_1_54128456121462410464578910174[[#This Row],[Type]]&gt;0,VLOOKUP(_1_54128456121462410464578910174[[#This Row],[Type]],Main[[#All],[TYPE]:[UNIT]],'Unit Price'!H$1,FALSE),0)</f>
        <v>0</v>
      </c>
      <c r="K204" s="194">
        <f>IF(_1_54128456121462410464578910174[[#This Row],[Discount selection]]&gt;0,VLOOKUP(_1_54128456121462410464578910174[[#This Row],[Discount selection]],'Discount Structure'!$A$2:$B$30,2,"false"),0)</f>
        <v>1</v>
      </c>
      <c r="L204" s="194">
        <f>_1_54128456121462410464578910174[[#This Row],[LIST $]]*_1_54128456121462410464578910174[[#This Row],[DISCOUNT]]*_1_54128456121462410464578910174[[#This Row],[DISCOUNT 2]]</f>
        <v>0</v>
      </c>
      <c r="M204" s="194">
        <f>IF(OR(_1_54128456121462410464578910174[[#This Row],[UNIT]]&gt;0,_1_54128456121462410464578910174[[#This Row],[UNIT]]&lt;0),_1_54128456121462410464578910174[[#This Row],[UNIT]]*_1_54128456121462410464578910174[[#This Row],[COST]],0)</f>
        <v>0</v>
      </c>
      <c r="N204" s="194">
        <f t="shared" si="3"/>
        <v>1.5</v>
      </c>
      <c r="O204" s="198">
        <f>_1_54128456121462410464578910174[[#This Row],[TOTAL]]*_1_54128456121462410464578910174[[#This Row],[MARGIN]]</f>
        <v>0</v>
      </c>
      <c r="R204" s="41"/>
    </row>
    <row r="205" spans="1:18">
      <c r="C205" s="168"/>
      <c r="D205" s="188"/>
      <c r="F205" s="168" t="s">
        <v>6202</v>
      </c>
      <c r="G205" s="193">
        <f>IF(_1_54128456121462410464578910174[[#This Row],[Type]]&gt;0,VLOOKUP(_1_54128456121462410464578910174[[#This Row],[Type]],Main[[#All],[TYPE]:[UNIT]],'Unit Price'!C$1,FALSE),0)</f>
        <v>0</v>
      </c>
      <c r="H205" s="197">
        <f>IF(_1_54128456121462410464578910174[[#This Row],[Type]]&gt;0,VLOOKUP(_1_54128456121462410464578910174[[#This Row],[Type]],Main[[#All],[TYPE]:[UNIT]],'Unit Price'!D$1,FALSE),0)</f>
        <v>0</v>
      </c>
      <c r="I205" s="194">
        <f>IF(_1_54128456121462410464578910174[[#This Row],[Type]]&gt;0,VLOOKUP(_1_54128456121462410464578910174[[#This Row],[Type]],Main[[#All],[TYPE]:[UNIT]],'Unit Price'!G$1,FALSE),0)</f>
        <v>0</v>
      </c>
      <c r="J205" s="194">
        <f>IF(_1_54128456121462410464578910174[[#This Row],[Type]]&gt;0,VLOOKUP(_1_54128456121462410464578910174[[#This Row],[Type]],Main[[#All],[TYPE]:[UNIT]],'Unit Price'!H$1,FALSE),0)</f>
        <v>0</v>
      </c>
      <c r="K205" s="194">
        <f>IF(_1_54128456121462410464578910174[[#This Row],[Discount selection]]&gt;0,VLOOKUP(_1_54128456121462410464578910174[[#This Row],[Discount selection]],'Discount Structure'!$A$2:$B$30,2,"false"),0)</f>
        <v>1</v>
      </c>
      <c r="L205" s="194">
        <f>_1_54128456121462410464578910174[[#This Row],[LIST $]]*_1_54128456121462410464578910174[[#This Row],[DISCOUNT]]*_1_54128456121462410464578910174[[#This Row],[DISCOUNT 2]]</f>
        <v>0</v>
      </c>
      <c r="M205" s="194">
        <f>IF(OR(_1_54128456121462410464578910174[[#This Row],[UNIT]]&gt;0,_1_54128456121462410464578910174[[#This Row],[UNIT]]&lt;0),_1_54128456121462410464578910174[[#This Row],[UNIT]]*_1_54128456121462410464578910174[[#This Row],[COST]],0)</f>
        <v>0</v>
      </c>
      <c r="N205" s="194">
        <f t="shared" si="3"/>
        <v>1.5</v>
      </c>
      <c r="O205" s="198">
        <f>_1_54128456121462410464578910174[[#This Row],[TOTAL]]*_1_54128456121462410464578910174[[#This Row],[MARGIN]]</f>
        <v>0</v>
      </c>
      <c r="R205" s="41"/>
    </row>
    <row r="206" spans="1:18">
      <c r="C206" s="168"/>
      <c r="D206" s="188"/>
      <c r="F206" s="168" t="s">
        <v>6202</v>
      </c>
      <c r="G206" s="193">
        <f>IF(_1_54128456121462410464578910174[[#This Row],[Type]]&gt;0,VLOOKUP(_1_54128456121462410464578910174[[#This Row],[Type]],Main[[#All],[TYPE]:[UNIT]],'Unit Price'!C$1,FALSE),0)</f>
        <v>0</v>
      </c>
      <c r="H206" s="197">
        <f>IF(_1_54128456121462410464578910174[[#This Row],[Type]]&gt;0,VLOOKUP(_1_54128456121462410464578910174[[#This Row],[Type]],Main[[#All],[TYPE]:[UNIT]],'Unit Price'!D$1,FALSE),0)</f>
        <v>0</v>
      </c>
      <c r="I206" s="194">
        <f>IF(_1_54128456121462410464578910174[[#This Row],[Type]]&gt;0,VLOOKUP(_1_54128456121462410464578910174[[#This Row],[Type]],Main[[#All],[TYPE]:[UNIT]],'Unit Price'!G$1,FALSE),0)</f>
        <v>0</v>
      </c>
      <c r="J206" s="194">
        <f>IF(_1_54128456121462410464578910174[[#This Row],[Type]]&gt;0,VLOOKUP(_1_54128456121462410464578910174[[#This Row],[Type]],Main[[#All],[TYPE]:[UNIT]],'Unit Price'!H$1,FALSE),0)</f>
        <v>0</v>
      </c>
      <c r="K206" s="194">
        <f>IF(_1_54128456121462410464578910174[[#This Row],[Discount selection]]&gt;0,VLOOKUP(_1_54128456121462410464578910174[[#This Row],[Discount selection]],'Discount Structure'!$A$2:$B$30,2,"false"),0)</f>
        <v>1</v>
      </c>
      <c r="L206" s="194">
        <f>_1_54128456121462410464578910174[[#This Row],[LIST $]]*_1_54128456121462410464578910174[[#This Row],[DISCOUNT]]*_1_54128456121462410464578910174[[#This Row],[DISCOUNT 2]]</f>
        <v>0</v>
      </c>
      <c r="M206" s="194">
        <f>IF(OR(_1_54128456121462410464578910174[[#This Row],[UNIT]]&gt;0,_1_54128456121462410464578910174[[#This Row],[UNIT]]&lt;0),_1_54128456121462410464578910174[[#This Row],[UNIT]]*_1_54128456121462410464578910174[[#This Row],[COST]],0)</f>
        <v>0</v>
      </c>
      <c r="N206" s="194">
        <f t="shared" si="3"/>
        <v>1.5</v>
      </c>
      <c r="O206" s="198">
        <f>_1_54128456121462410464578910174[[#This Row],[TOTAL]]*_1_54128456121462410464578910174[[#This Row],[MARGIN]]</f>
        <v>0</v>
      </c>
      <c r="R206" s="41"/>
    </row>
    <row r="207" spans="1:18">
      <c r="C207" s="168"/>
      <c r="D207" s="188"/>
      <c r="F207" s="168" t="s">
        <v>6202</v>
      </c>
      <c r="G207" s="193">
        <f>IF(_1_54128456121462410464578910174[[#This Row],[Type]]&gt;0,VLOOKUP(_1_54128456121462410464578910174[[#This Row],[Type]],Main[[#All],[TYPE]:[UNIT]],'Unit Price'!C$1,FALSE),0)</f>
        <v>0</v>
      </c>
      <c r="H207" s="197">
        <f>IF(_1_54128456121462410464578910174[[#This Row],[Type]]&gt;0,VLOOKUP(_1_54128456121462410464578910174[[#This Row],[Type]],Main[[#All],[TYPE]:[UNIT]],'Unit Price'!D$1,FALSE),0)</f>
        <v>0</v>
      </c>
      <c r="I207" s="194">
        <f>IF(_1_54128456121462410464578910174[[#This Row],[Type]]&gt;0,VLOOKUP(_1_54128456121462410464578910174[[#This Row],[Type]],Main[[#All],[TYPE]:[UNIT]],'Unit Price'!G$1,FALSE),0)</f>
        <v>0</v>
      </c>
      <c r="J207" s="194">
        <f>IF(_1_54128456121462410464578910174[[#This Row],[Type]]&gt;0,VLOOKUP(_1_54128456121462410464578910174[[#This Row],[Type]],Main[[#All],[TYPE]:[UNIT]],'Unit Price'!H$1,FALSE),0)</f>
        <v>0</v>
      </c>
      <c r="K207" s="194">
        <f>IF(_1_54128456121462410464578910174[[#This Row],[Discount selection]]&gt;0,VLOOKUP(_1_54128456121462410464578910174[[#This Row],[Discount selection]],'Discount Structure'!$A$2:$B$30,2,"false"),0)</f>
        <v>1</v>
      </c>
      <c r="L207" s="194">
        <f>_1_54128456121462410464578910174[[#This Row],[LIST $]]*_1_54128456121462410464578910174[[#This Row],[DISCOUNT]]*_1_54128456121462410464578910174[[#This Row],[DISCOUNT 2]]</f>
        <v>0</v>
      </c>
      <c r="M207" s="194">
        <f>IF(OR(_1_54128456121462410464578910174[[#This Row],[UNIT]]&gt;0,_1_54128456121462410464578910174[[#This Row],[UNIT]]&lt;0),_1_54128456121462410464578910174[[#This Row],[UNIT]]*_1_54128456121462410464578910174[[#This Row],[COST]],0)</f>
        <v>0</v>
      </c>
      <c r="N207" s="194">
        <f t="shared" si="3"/>
        <v>1.5</v>
      </c>
      <c r="O207" s="198">
        <f>_1_54128456121462410464578910174[[#This Row],[TOTAL]]*_1_54128456121462410464578910174[[#This Row],[MARGIN]]</f>
        <v>0</v>
      </c>
      <c r="R207" s="41"/>
    </row>
    <row r="208" spans="1:18">
      <c r="C208" s="168"/>
      <c r="D208" s="188"/>
      <c r="F208" s="168" t="s">
        <v>6202</v>
      </c>
      <c r="G208" s="193">
        <f>IF(_1_54128456121462410464578910174[[#This Row],[Type]]&gt;0,VLOOKUP(_1_54128456121462410464578910174[[#This Row],[Type]],Main[[#All],[TYPE]:[UNIT]],'Unit Price'!C$1,FALSE),0)</f>
        <v>0</v>
      </c>
      <c r="H208" s="197">
        <f>IF(_1_54128456121462410464578910174[[#This Row],[Type]]&gt;0,VLOOKUP(_1_54128456121462410464578910174[[#This Row],[Type]],Main[[#All],[TYPE]:[UNIT]],'Unit Price'!D$1,FALSE),0)</f>
        <v>0</v>
      </c>
      <c r="I208" s="194">
        <f>IF(_1_54128456121462410464578910174[[#This Row],[Type]]&gt;0,VLOOKUP(_1_54128456121462410464578910174[[#This Row],[Type]],Main[[#All],[TYPE]:[UNIT]],'Unit Price'!G$1,FALSE),0)</f>
        <v>0</v>
      </c>
      <c r="J208" s="194">
        <f>IF(_1_54128456121462410464578910174[[#This Row],[Type]]&gt;0,VLOOKUP(_1_54128456121462410464578910174[[#This Row],[Type]],Main[[#All],[TYPE]:[UNIT]],'Unit Price'!H$1,FALSE),0)</f>
        <v>0</v>
      </c>
      <c r="K208" s="194">
        <f>IF(_1_54128456121462410464578910174[[#This Row],[Discount selection]]&gt;0,VLOOKUP(_1_54128456121462410464578910174[[#This Row],[Discount selection]],'Discount Structure'!$A$2:$B$30,2,"false"),0)</f>
        <v>1</v>
      </c>
      <c r="L208" s="194">
        <f>_1_54128456121462410464578910174[[#This Row],[LIST $]]*_1_54128456121462410464578910174[[#This Row],[DISCOUNT]]*_1_54128456121462410464578910174[[#This Row],[DISCOUNT 2]]</f>
        <v>0</v>
      </c>
      <c r="M208" s="194">
        <f>IF(OR(_1_54128456121462410464578910174[[#This Row],[UNIT]]&gt;0,_1_54128456121462410464578910174[[#This Row],[UNIT]]&lt;0),_1_54128456121462410464578910174[[#This Row],[UNIT]]*_1_54128456121462410464578910174[[#This Row],[COST]],0)</f>
        <v>0</v>
      </c>
      <c r="N208" s="194">
        <f t="shared" si="3"/>
        <v>1.5</v>
      </c>
      <c r="O208" s="198">
        <f>_1_54128456121462410464578910174[[#This Row],[TOTAL]]*_1_54128456121462410464578910174[[#This Row],[MARGIN]]</f>
        <v>0</v>
      </c>
      <c r="R208" s="41"/>
    </row>
    <row r="209" spans="3:18">
      <c r="C209" s="168"/>
      <c r="D209" s="188"/>
      <c r="F209" s="168" t="s">
        <v>6202</v>
      </c>
      <c r="G209" s="193">
        <f>IF(_1_54128456121462410464578910174[[#This Row],[Type]]&gt;0,VLOOKUP(_1_54128456121462410464578910174[[#This Row],[Type]],Main[[#All],[TYPE]:[UNIT]],'Unit Price'!C$1,FALSE),0)</f>
        <v>0</v>
      </c>
      <c r="H209" s="197">
        <f>IF(_1_54128456121462410464578910174[[#This Row],[Type]]&gt;0,VLOOKUP(_1_54128456121462410464578910174[[#This Row],[Type]],Main[[#All],[TYPE]:[UNIT]],'Unit Price'!D$1,FALSE),0)</f>
        <v>0</v>
      </c>
      <c r="I209" s="194">
        <f>IF(_1_54128456121462410464578910174[[#This Row],[Type]]&gt;0,VLOOKUP(_1_54128456121462410464578910174[[#This Row],[Type]],Main[[#All],[TYPE]:[UNIT]],'Unit Price'!G$1,FALSE),0)</f>
        <v>0</v>
      </c>
      <c r="J209" s="194">
        <f>IF(_1_54128456121462410464578910174[[#This Row],[Type]]&gt;0,VLOOKUP(_1_54128456121462410464578910174[[#This Row],[Type]],Main[[#All],[TYPE]:[UNIT]],'Unit Price'!H$1,FALSE),0)</f>
        <v>0</v>
      </c>
      <c r="K209" s="194">
        <f>IF(_1_54128456121462410464578910174[[#This Row],[Discount selection]]&gt;0,VLOOKUP(_1_54128456121462410464578910174[[#This Row],[Discount selection]],'Discount Structure'!$A$2:$B$30,2,"false"),0)</f>
        <v>1</v>
      </c>
      <c r="L209" s="194">
        <f>_1_54128456121462410464578910174[[#This Row],[LIST $]]*_1_54128456121462410464578910174[[#This Row],[DISCOUNT]]*_1_54128456121462410464578910174[[#This Row],[DISCOUNT 2]]</f>
        <v>0</v>
      </c>
      <c r="M209" s="194">
        <f>IF(OR(_1_54128456121462410464578910174[[#This Row],[UNIT]]&gt;0,_1_54128456121462410464578910174[[#This Row],[UNIT]]&lt;0),_1_54128456121462410464578910174[[#This Row],[UNIT]]*_1_54128456121462410464578910174[[#This Row],[COST]],0)</f>
        <v>0</v>
      </c>
      <c r="N209" s="194">
        <f t="shared" si="3"/>
        <v>1.5</v>
      </c>
      <c r="O209" s="198">
        <f>_1_54128456121462410464578910174[[#This Row],[TOTAL]]*_1_54128456121462410464578910174[[#This Row],[MARGIN]]</f>
        <v>0</v>
      </c>
      <c r="R209" s="41"/>
    </row>
    <row r="210" spans="3:18">
      <c r="C210" s="168"/>
      <c r="D210" s="188"/>
      <c r="F210" s="168" t="s">
        <v>6202</v>
      </c>
      <c r="G210" s="193">
        <f>IF(_1_54128456121462410464578910174[[#This Row],[Type]]&gt;0,VLOOKUP(_1_54128456121462410464578910174[[#This Row],[Type]],Main[[#All],[TYPE]:[UNIT]],'Unit Price'!C$1,FALSE),0)</f>
        <v>0</v>
      </c>
      <c r="H210" s="197">
        <f>IF(_1_54128456121462410464578910174[[#This Row],[Type]]&gt;0,VLOOKUP(_1_54128456121462410464578910174[[#This Row],[Type]],Main[[#All],[TYPE]:[UNIT]],'Unit Price'!D$1,FALSE),0)</f>
        <v>0</v>
      </c>
      <c r="I210" s="194">
        <f>IF(_1_54128456121462410464578910174[[#This Row],[Type]]&gt;0,VLOOKUP(_1_54128456121462410464578910174[[#This Row],[Type]],Main[[#All],[TYPE]:[UNIT]],'Unit Price'!G$1,FALSE),0)</f>
        <v>0</v>
      </c>
      <c r="J210" s="194">
        <f>IF(_1_54128456121462410464578910174[[#This Row],[Type]]&gt;0,VLOOKUP(_1_54128456121462410464578910174[[#This Row],[Type]],Main[[#All],[TYPE]:[UNIT]],'Unit Price'!H$1,FALSE),0)</f>
        <v>0</v>
      </c>
      <c r="K210" s="194">
        <f>IF(_1_54128456121462410464578910174[[#This Row],[Discount selection]]&gt;0,VLOOKUP(_1_54128456121462410464578910174[[#This Row],[Discount selection]],'Discount Structure'!$A$2:$B$30,2,"false"),0)</f>
        <v>1</v>
      </c>
      <c r="L210" s="194">
        <f>_1_54128456121462410464578910174[[#This Row],[LIST $]]*_1_54128456121462410464578910174[[#This Row],[DISCOUNT]]*_1_54128456121462410464578910174[[#This Row],[DISCOUNT 2]]</f>
        <v>0</v>
      </c>
      <c r="M210" s="194">
        <f>IF(OR(_1_54128456121462410464578910174[[#This Row],[UNIT]]&gt;0,_1_54128456121462410464578910174[[#This Row],[UNIT]]&lt;0),_1_54128456121462410464578910174[[#This Row],[UNIT]]*_1_54128456121462410464578910174[[#This Row],[COST]],0)</f>
        <v>0</v>
      </c>
      <c r="N210" s="194">
        <f t="shared" si="3"/>
        <v>1.5</v>
      </c>
      <c r="O210" s="198">
        <f>_1_54128456121462410464578910174[[#This Row],[TOTAL]]*_1_54128456121462410464578910174[[#This Row],[MARGIN]]</f>
        <v>0</v>
      </c>
      <c r="R210" s="41"/>
    </row>
    <row r="211" spans="3:18">
      <c r="C211" s="168"/>
      <c r="D211" s="188"/>
      <c r="F211" s="168" t="s">
        <v>6202</v>
      </c>
      <c r="G211" s="193">
        <f>IF(_1_54128456121462410464578910174[[#This Row],[Type]]&gt;0,VLOOKUP(_1_54128456121462410464578910174[[#This Row],[Type]],Main[[#All],[TYPE]:[UNIT]],'Unit Price'!C$1,FALSE),0)</f>
        <v>0</v>
      </c>
      <c r="H211" s="197">
        <f>IF(_1_54128456121462410464578910174[[#This Row],[Type]]&gt;0,VLOOKUP(_1_54128456121462410464578910174[[#This Row],[Type]],Main[[#All],[TYPE]:[UNIT]],'Unit Price'!D$1,FALSE),0)</f>
        <v>0</v>
      </c>
      <c r="I211" s="194">
        <f>IF(_1_54128456121462410464578910174[[#This Row],[Type]]&gt;0,VLOOKUP(_1_54128456121462410464578910174[[#This Row],[Type]],Main[[#All],[TYPE]:[UNIT]],'Unit Price'!G$1,FALSE),0)</f>
        <v>0</v>
      </c>
      <c r="J211" s="194">
        <f>IF(_1_54128456121462410464578910174[[#This Row],[Type]]&gt;0,VLOOKUP(_1_54128456121462410464578910174[[#This Row],[Type]],Main[[#All],[TYPE]:[UNIT]],'Unit Price'!H$1,FALSE),0)</f>
        <v>0</v>
      </c>
      <c r="K211" s="194">
        <f>IF(_1_54128456121462410464578910174[[#This Row],[Discount selection]]&gt;0,VLOOKUP(_1_54128456121462410464578910174[[#This Row],[Discount selection]],'Discount Structure'!$A$2:$B$30,2,"false"),0)</f>
        <v>1</v>
      </c>
      <c r="L211" s="194">
        <f>_1_54128456121462410464578910174[[#This Row],[LIST $]]*_1_54128456121462410464578910174[[#This Row],[DISCOUNT]]*_1_54128456121462410464578910174[[#This Row],[DISCOUNT 2]]</f>
        <v>0</v>
      </c>
      <c r="M211" s="194">
        <f>IF(OR(_1_54128456121462410464578910174[[#This Row],[UNIT]]&gt;0,_1_54128456121462410464578910174[[#This Row],[UNIT]]&lt;0),_1_54128456121462410464578910174[[#This Row],[UNIT]]*_1_54128456121462410464578910174[[#This Row],[COST]],0)</f>
        <v>0</v>
      </c>
      <c r="N211" s="194">
        <f t="shared" si="3"/>
        <v>1.5</v>
      </c>
      <c r="O211" s="198">
        <f>_1_54128456121462410464578910174[[#This Row],[TOTAL]]*_1_54128456121462410464578910174[[#This Row],[MARGIN]]</f>
        <v>0</v>
      </c>
      <c r="R211" s="41"/>
    </row>
    <row r="212" spans="3:18">
      <c r="C212" s="168"/>
      <c r="D212" s="188"/>
      <c r="F212" s="168" t="s">
        <v>6202</v>
      </c>
      <c r="G212" s="193">
        <f>IF(_1_54128456121462410464578910174[[#This Row],[Type]]&gt;0,VLOOKUP(_1_54128456121462410464578910174[[#This Row],[Type]],Main[[#All],[TYPE]:[UNIT]],'Unit Price'!C$1,FALSE),0)</f>
        <v>0</v>
      </c>
      <c r="H212" s="197">
        <f>IF(_1_54128456121462410464578910174[[#This Row],[Type]]&gt;0,VLOOKUP(_1_54128456121462410464578910174[[#This Row],[Type]],Main[[#All],[TYPE]:[UNIT]],'Unit Price'!D$1,FALSE),0)</f>
        <v>0</v>
      </c>
      <c r="I212" s="194">
        <f>IF(_1_54128456121462410464578910174[[#This Row],[Type]]&gt;0,VLOOKUP(_1_54128456121462410464578910174[[#This Row],[Type]],Main[[#All],[TYPE]:[UNIT]],'Unit Price'!G$1,FALSE),0)</f>
        <v>0</v>
      </c>
      <c r="J212" s="194">
        <f>IF(_1_54128456121462410464578910174[[#This Row],[Type]]&gt;0,VLOOKUP(_1_54128456121462410464578910174[[#This Row],[Type]],Main[[#All],[TYPE]:[UNIT]],'Unit Price'!H$1,FALSE),0)</f>
        <v>0</v>
      </c>
      <c r="K212" s="194">
        <f>IF(_1_54128456121462410464578910174[[#This Row],[Discount selection]]&gt;0,VLOOKUP(_1_54128456121462410464578910174[[#This Row],[Discount selection]],'Discount Structure'!$A$2:$B$30,2,"false"),0)</f>
        <v>1</v>
      </c>
      <c r="L212" s="194">
        <f>_1_54128456121462410464578910174[[#This Row],[LIST $]]*_1_54128456121462410464578910174[[#This Row],[DISCOUNT]]*_1_54128456121462410464578910174[[#This Row],[DISCOUNT 2]]</f>
        <v>0</v>
      </c>
      <c r="M212" s="194">
        <f>IF(OR(_1_54128456121462410464578910174[[#This Row],[UNIT]]&gt;0,_1_54128456121462410464578910174[[#This Row],[UNIT]]&lt;0),_1_54128456121462410464578910174[[#This Row],[UNIT]]*_1_54128456121462410464578910174[[#This Row],[COST]],0)</f>
        <v>0</v>
      </c>
      <c r="N212" s="194">
        <f t="shared" si="3"/>
        <v>1.5</v>
      </c>
      <c r="O212" s="198">
        <f>_1_54128456121462410464578910174[[#This Row],[TOTAL]]*_1_54128456121462410464578910174[[#This Row],[MARGIN]]</f>
        <v>0</v>
      </c>
      <c r="R212" s="41"/>
    </row>
    <row r="213" spans="3:18">
      <c r="C213" s="168"/>
      <c r="D213" s="188"/>
      <c r="F213" s="168" t="s">
        <v>6202</v>
      </c>
      <c r="G213" s="193">
        <f>IF(_1_54128456121462410464578910174[[#This Row],[Type]]&gt;0,VLOOKUP(_1_54128456121462410464578910174[[#This Row],[Type]],Main[[#All],[TYPE]:[UNIT]],'Unit Price'!C$1,FALSE),0)</f>
        <v>0</v>
      </c>
      <c r="H213" s="197">
        <f>IF(_1_54128456121462410464578910174[[#This Row],[Type]]&gt;0,VLOOKUP(_1_54128456121462410464578910174[[#This Row],[Type]],Main[[#All],[TYPE]:[UNIT]],'Unit Price'!D$1,FALSE),0)</f>
        <v>0</v>
      </c>
      <c r="I213" s="194">
        <f>IF(_1_54128456121462410464578910174[[#This Row],[Type]]&gt;0,VLOOKUP(_1_54128456121462410464578910174[[#This Row],[Type]],Main[[#All],[TYPE]:[UNIT]],'Unit Price'!G$1,FALSE),0)</f>
        <v>0</v>
      </c>
      <c r="J213" s="194">
        <f>IF(_1_54128456121462410464578910174[[#This Row],[Type]]&gt;0,VLOOKUP(_1_54128456121462410464578910174[[#This Row],[Type]],Main[[#All],[TYPE]:[UNIT]],'Unit Price'!H$1,FALSE),0)</f>
        <v>0</v>
      </c>
      <c r="K213" s="194">
        <f>IF(_1_54128456121462410464578910174[[#This Row],[Discount selection]]&gt;0,VLOOKUP(_1_54128456121462410464578910174[[#This Row],[Discount selection]],'Discount Structure'!$A$2:$B$30,2,"false"),0)</f>
        <v>1</v>
      </c>
      <c r="L213" s="194">
        <f>_1_54128456121462410464578910174[[#This Row],[LIST $]]*_1_54128456121462410464578910174[[#This Row],[DISCOUNT]]*_1_54128456121462410464578910174[[#This Row],[DISCOUNT 2]]</f>
        <v>0</v>
      </c>
      <c r="M213" s="194">
        <f>IF(OR(_1_54128456121462410464578910174[[#This Row],[UNIT]]&gt;0,_1_54128456121462410464578910174[[#This Row],[UNIT]]&lt;0),_1_54128456121462410464578910174[[#This Row],[UNIT]]*_1_54128456121462410464578910174[[#This Row],[COST]],0)</f>
        <v>0</v>
      </c>
      <c r="N213" s="194">
        <f t="shared" si="3"/>
        <v>1.5</v>
      </c>
      <c r="O213" s="198">
        <f>_1_54128456121462410464578910174[[#This Row],[TOTAL]]*_1_54128456121462410464578910174[[#This Row],[MARGIN]]</f>
        <v>0</v>
      </c>
      <c r="R213" s="41"/>
    </row>
    <row r="214" spans="3:18">
      <c r="C214" s="168"/>
      <c r="D214" s="188"/>
      <c r="F214" s="168" t="s">
        <v>6202</v>
      </c>
      <c r="G214" s="193">
        <f>IF(_1_54128456121462410464578910174[[#This Row],[Type]]&gt;0,VLOOKUP(_1_54128456121462410464578910174[[#This Row],[Type]],Main[[#All],[TYPE]:[UNIT]],'Unit Price'!C$1,FALSE),0)</f>
        <v>0</v>
      </c>
      <c r="H214" s="197">
        <f>IF(_1_54128456121462410464578910174[[#This Row],[Type]]&gt;0,VLOOKUP(_1_54128456121462410464578910174[[#This Row],[Type]],Main[[#All],[TYPE]:[UNIT]],'Unit Price'!D$1,FALSE),0)</f>
        <v>0</v>
      </c>
      <c r="I214" s="194">
        <f>IF(_1_54128456121462410464578910174[[#This Row],[Type]]&gt;0,VLOOKUP(_1_54128456121462410464578910174[[#This Row],[Type]],Main[[#All],[TYPE]:[UNIT]],'Unit Price'!G$1,FALSE),0)</f>
        <v>0</v>
      </c>
      <c r="J214" s="194">
        <f>IF(_1_54128456121462410464578910174[[#This Row],[Type]]&gt;0,VLOOKUP(_1_54128456121462410464578910174[[#This Row],[Type]],Main[[#All],[TYPE]:[UNIT]],'Unit Price'!H$1,FALSE),0)</f>
        <v>0</v>
      </c>
      <c r="K214" s="194">
        <f>IF(_1_54128456121462410464578910174[[#This Row],[Discount selection]]&gt;0,VLOOKUP(_1_54128456121462410464578910174[[#This Row],[Discount selection]],'Discount Structure'!$A$2:$B$30,2,"false"),0)</f>
        <v>1</v>
      </c>
      <c r="L214" s="194">
        <f>_1_54128456121462410464578910174[[#This Row],[LIST $]]*_1_54128456121462410464578910174[[#This Row],[DISCOUNT]]*_1_54128456121462410464578910174[[#This Row],[DISCOUNT 2]]</f>
        <v>0</v>
      </c>
      <c r="M214" s="194">
        <f>IF(OR(_1_54128456121462410464578910174[[#This Row],[UNIT]]&gt;0,_1_54128456121462410464578910174[[#This Row],[UNIT]]&lt;0),_1_54128456121462410464578910174[[#This Row],[UNIT]]*_1_54128456121462410464578910174[[#This Row],[COST]],0)</f>
        <v>0</v>
      </c>
      <c r="N214" s="194">
        <f t="shared" si="3"/>
        <v>1.5</v>
      </c>
      <c r="O214" s="198">
        <f>_1_54128456121462410464578910174[[#This Row],[TOTAL]]*_1_54128456121462410464578910174[[#This Row],[MARGIN]]</f>
        <v>0</v>
      </c>
      <c r="R214" s="41"/>
    </row>
    <row r="215" spans="3:18">
      <c r="C215" s="168"/>
      <c r="D215" s="188"/>
      <c r="F215" s="168" t="s">
        <v>6202</v>
      </c>
      <c r="G215" s="193">
        <f>IF(_1_54128456121462410464578910174[[#This Row],[Type]]&gt;0,VLOOKUP(_1_54128456121462410464578910174[[#This Row],[Type]],Main[[#All],[TYPE]:[UNIT]],'Unit Price'!C$1,FALSE),0)</f>
        <v>0</v>
      </c>
      <c r="H215" s="197">
        <f>IF(_1_54128456121462410464578910174[[#This Row],[Type]]&gt;0,VLOOKUP(_1_54128456121462410464578910174[[#This Row],[Type]],Main[[#All],[TYPE]:[UNIT]],'Unit Price'!D$1,FALSE),0)</f>
        <v>0</v>
      </c>
      <c r="I215" s="194">
        <f>IF(_1_54128456121462410464578910174[[#This Row],[Type]]&gt;0,VLOOKUP(_1_54128456121462410464578910174[[#This Row],[Type]],Main[[#All],[TYPE]:[UNIT]],'Unit Price'!G$1,FALSE),0)</f>
        <v>0</v>
      </c>
      <c r="J215" s="194">
        <f>IF(_1_54128456121462410464578910174[[#This Row],[Type]]&gt;0,VLOOKUP(_1_54128456121462410464578910174[[#This Row],[Type]],Main[[#All],[TYPE]:[UNIT]],'Unit Price'!H$1,FALSE),0)</f>
        <v>0</v>
      </c>
      <c r="K215" s="194">
        <f>IF(_1_54128456121462410464578910174[[#This Row],[Discount selection]]&gt;0,VLOOKUP(_1_54128456121462410464578910174[[#This Row],[Discount selection]],'Discount Structure'!$A$2:$B$30,2,"false"),0)</f>
        <v>1</v>
      </c>
      <c r="L215" s="194">
        <f>_1_54128456121462410464578910174[[#This Row],[LIST $]]*_1_54128456121462410464578910174[[#This Row],[DISCOUNT]]*_1_54128456121462410464578910174[[#This Row],[DISCOUNT 2]]</f>
        <v>0</v>
      </c>
      <c r="M215" s="194">
        <f>IF(OR(_1_54128456121462410464578910174[[#This Row],[UNIT]]&gt;0,_1_54128456121462410464578910174[[#This Row],[UNIT]]&lt;0),_1_54128456121462410464578910174[[#This Row],[UNIT]]*_1_54128456121462410464578910174[[#This Row],[COST]],0)</f>
        <v>0</v>
      </c>
      <c r="N215" s="194">
        <f t="shared" si="3"/>
        <v>1.5</v>
      </c>
      <c r="O215" s="198">
        <f>_1_54128456121462410464578910174[[#This Row],[TOTAL]]*_1_54128456121462410464578910174[[#This Row],[MARGIN]]</f>
        <v>0</v>
      </c>
      <c r="R215" s="41"/>
    </row>
    <row r="216" spans="3:18">
      <c r="C216" s="168"/>
      <c r="D216" s="188"/>
      <c r="F216" s="168" t="s">
        <v>6202</v>
      </c>
      <c r="G216" s="193">
        <f>IF(_1_54128456121462410464578910174[[#This Row],[Type]]&gt;0,VLOOKUP(_1_54128456121462410464578910174[[#This Row],[Type]],Main[[#All],[TYPE]:[UNIT]],'Unit Price'!C$1,FALSE),0)</f>
        <v>0</v>
      </c>
      <c r="H216" s="197">
        <f>IF(_1_54128456121462410464578910174[[#This Row],[Type]]&gt;0,VLOOKUP(_1_54128456121462410464578910174[[#This Row],[Type]],Main[[#All],[TYPE]:[UNIT]],'Unit Price'!D$1,FALSE),0)</f>
        <v>0</v>
      </c>
      <c r="I216" s="194">
        <f>IF(_1_54128456121462410464578910174[[#This Row],[Type]]&gt;0,VLOOKUP(_1_54128456121462410464578910174[[#This Row],[Type]],Main[[#All],[TYPE]:[UNIT]],'Unit Price'!G$1,FALSE),0)</f>
        <v>0</v>
      </c>
      <c r="J216" s="194">
        <f>IF(_1_54128456121462410464578910174[[#This Row],[Type]]&gt;0,VLOOKUP(_1_54128456121462410464578910174[[#This Row],[Type]],Main[[#All],[TYPE]:[UNIT]],'Unit Price'!H$1,FALSE),0)</f>
        <v>0</v>
      </c>
      <c r="K216" s="194">
        <f>IF(_1_54128456121462410464578910174[[#This Row],[Discount selection]]&gt;0,VLOOKUP(_1_54128456121462410464578910174[[#This Row],[Discount selection]],'Discount Structure'!$A$2:$B$30,2,"false"),0)</f>
        <v>1</v>
      </c>
      <c r="L216" s="194">
        <f>_1_54128456121462410464578910174[[#This Row],[LIST $]]*_1_54128456121462410464578910174[[#This Row],[DISCOUNT]]*_1_54128456121462410464578910174[[#This Row],[DISCOUNT 2]]</f>
        <v>0</v>
      </c>
      <c r="M216" s="194">
        <f>IF(OR(_1_54128456121462410464578910174[[#This Row],[UNIT]]&gt;0,_1_54128456121462410464578910174[[#This Row],[UNIT]]&lt;0),_1_54128456121462410464578910174[[#This Row],[UNIT]]*_1_54128456121462410464578910174[[#This Row],[COST]],0)</f>
        <v>0</v>
      </c>
      <c r="N216" s="194">
        <f t="shared" si="3"/>
        <v>1.5</v>
      </c>
      <c r="O216" s="198">
        <f>_1_54128456121462410464578910174[[#This Row],[TOTAL]]*_1_54128456121462410464578910174[[#This Row],[MARGIN]]</f>
        <v>0</v>
      </c>
      <c r="R216" s="41"/>
    </row>
    <row r="217" spans="3:18">
      <c r="C217" s="168"/>
      <c r="D217" s="188"/>
      <c r="F217" s="168" t="s">
        <v>6202</v>
      </c>
      <c r="G217" s="193">
        <f>IF(_1_54128456121462410464578910174[[#This Row],[Type]]&gt;0,VLOOKUP(_1_54128456121462410464578910174[[#This Row],[Type]],Main[[#All],[TYPE]:[UNIT]],'Unit Price'!C$1,FALSE),0)</f>
        <v>0</v>
      </c>
      <c r="H217" s="197">
        <f>IF(_1_54128456121462410464578910174[[#This Row],[Type]]&gt;0,VLOOKUP(_1_54128456121462410464578910174[[#This Row],[Type]],Main[[#All],[TYPE]:[UNIT]],'Unit Price'!D$1,FALSE),0)</f>
        <v>0</v>
      </c>
      <c r="I217" s="194">
        <f>IF(_1_54128456121462410464578910174[[#This Row],[Type]]&gt;0,VLOOKUP(_1_54128456121462410464578910174[[#This Row],[Type]],Main[[#All],[TYPE]:[UNIT]],'Unit Price'!G$1,FALSE),0)</f>
        <v>0</v>
      </c>
      <c r="J217" s="194">
        <f>IF(_1_54128456121462410464578910174[[#This Row],[Type]]&gt;0,VLOOKUP(_1_54128456121462410464578910174[[#This Row],[Type]],Main[[#All],[TYPE]:[UNIT]],'Unit Price'!H$1,FALSE),0)</f>
        <v>0</v>
      </c>
      <c r="K217" s="194">
        <f>IF(_1_54128456121462410464578910174[[#This Row],[Discount selection]]&gt;0,VLOOKUP(_1_54128456121462410464578910174[[#This Row],[Discount selection]],'Discount Structure'!$A$2:$B$30,2,"false"),0)</f>
        <v>1</v>
      </c>
      <c r="L217" s="194">
        <f>_1_54128456121462410464578910174[[#This Row],[LIST $]]*_1_54128456121462410464578910174[[#This Row],[DISCOUNT]]*_1_54128456121462410464578910174[[#This Row],[DISCOUNT 2]]</f>
        <v>0</v>
      </c>
      <c r="M217" s="194">
        <f>IF(OR(_1_54128456121462410464578910174[[#This Row],[UNIT]]&gt;0,_1_54128456121462410464578910174[[#This Row],[UNIT]]&lt;0),_1_54128456121462410464578910174[[#This Row],[UNIT]]*_1_54128456121462410464578910174[[#This Row],[COST]],0)</f>
        <v>0</v>
      </c>
      <c r="N217" s="194">
        <f t="shared" si="3"/>
        <v>1.5</v>
      </c>
      <c r="O217" s="198">
        <f>_1_54128456121462410464578910174[[#This Row],[TOTAL]]*_1_54128456121462410464578910174[[#This Row],[MARGIN]]</f>
        <v>0</v>
      </c>
      <c r="R217" s="41"/>
    </row>
    <row r="218" spans="3:18">
      <c r="C218" s="168"/>
      <c r="D218" s="188"/>
      <c r="F218" s="168" t="s">
        <v>6202</v>
      </c>
      <c r="G218" s="193">
        <f>IF(_1_54128456121462410464578910174[[#This Row],[Type]]&gt;0,VLOOKUP(_1_54128456121462410464578910174[[#This Row],[Type]],Main[[#All],[TYPE]:[UNIT]],'Unit Price'!C$1,FALSE),0)</f>
        <v>0</v>
      </c>
      <c r="H218" s="197">
        <f>IF(_1_54128456121462410464578910174[[#This Row],[Type]]&gt;0,VLOOKUP(_1_54128456121462410464578910174[[#This Row],[Type]],Main[[#All],[TYPE]:[UNIT]],'Unit Price'!D$1,FALSE),0)</f>
        <v>0</v>
      </c>
      <c r="I218" s="194">
        <f>IF(_1_54128456121462410464578910174[[#This Row],[Type]]&gt;0,VLOOKUP(_1_54128456121462410464578910174[[#This Row],[Type]],Main[[#All],[TYPE]:[UNIT]],'Unit Price'!G$1,FALSE),0)</f>
        <v>0</v>
      </c>
      <c r="J218" s="194">
        <f>IF(_1_54128456121462410464578910174[[#This Row],[Type]]&gt;0,VLOOKUP(_1_54128456121462410464578910174[[#This Row],[Type]],Main[[#All],[TYPE]:[UNIT]],'Unit Price'!H$1,FALSE),0)</f>
        <v>0</v>
      </c>
      <c r="K218" s="194">
        <f>IF(_1_54128456121462410464578910174[[#This Row],[Discount selection]]&gt;0,VLOOKUP(_1_54128456121462410464578910174[[#This Row],[Discount selection]],'Discount Structure'!$A$2:$B$30,2,"false"),0)</f>
        <v>1</v>
      </c>
      <c r="L218" s="194">
        <f>_1_54128456121462410464578910174[[#This Row],[LIST $]]*_1_54128456121462410464578910174[[#This Row],[DISCOUNT]]*_1_54128456121462410464578910174[[#This Row],[DISCOUNT 2]]</f>
        <v>0</v>
      </c>
      <c r="M218" s="194">
        <f>IF(OR(_1_54128456121462410464578910174[[#This Row],[UNIT]]&gt;0,_1_54128456121462410464578910174[[#This Row],[UNIT]]&lt;0),_1_54128456121462410464578910174[[#This Row],[UNIT]]*_1_54128456121462410464578910174[[#This Row],[COST]],0)</f>
        <v>0</v>
      </c>
      <c r="N218" s="194">
        <f t="shared" si="3"/>
        <v>1.5</v>
      </c>
      <c r="O218" s="198">
        <f>_1_54128456121462410464578910174[[#This Row],[TOTAL]]*_1_54128456121462410464578910174[[#This Row],[MARGIN]]</f>
        <v>0</v>
      </c>
      <c r="R218" s="41"/>
    </row>
    <row r="219" spans="3:18">
      <c r="C219" s="168"/>
      <c r="D219" s="188"/>
      <c r="F219" s="168" t="s">
        <v>6202</v>
      </c>
      <c r="G219" s="193">
        <f>IF(_1_54128456121462410464578910174[[#This Row],[Type]]&gt;0,VLOOKUP(_1_54128456121462410464578910174[[#This Row],[Type]],Main[[#All],[TYPE]:[UNIT]],'Unit Price'!C$1,FALSE),0)</f>
        <v>0</v>
      </c>
      <c r="H219" s="197">
        <f>IF(_1_54128456121462410464578910174[[#This Row],[Type]]&gt;0,VLOOKUP(_1_54128456121462410464578910174[[#This Row],[Type]],Main[[#All],[TYPE]:[UNIT]],'Unit Price'!D$1,FALSE),0)</f>
        <v>0</v>
      </c>
      <c r="I219" s="194">
        <f>IF(_1_54128456121462410464578910174[[#This Row],[Type]]&gt;0,VLOOKUP(_1_54128456121462410464578910174[[#This Row],[Type]],Main[[#All],[TYPE]:[UNIT]],'Unit Price'!G$1,FALSE),0)</f>
        <v>0</v>
      </c>
      <c r="J219" s="194">
        <f>IF(_1_54128456121462410464578910174[[#This Row],[Type]]&gt;0,VLOOKUP(_1_54128456121462410464578910174[[#This Row],[Type]],Main[[#All],[TYPE]:[UNIT]],'Unit Price'!H$1,FALSE),0)</f>
        <v>0</v>
      </c>
      <c r="K219" s="194">
        <f>IF(_1_54128456121462410464578910174[[#This Row],[Discount selection]]&gt;0,VLOOKUP(_1_54128456121462410464578910174[[#This Row],[Discount selection]],'Discount Structure'!$A$2:$B$30,2,"false"),0)</f>
        <v>1</v>
      </c>
      <c r="L219" s="194">
        <f>_1_54128456121462410464578910174[[#This Row],[LIST $]]*_1_54128456121462410464578910174[[#This Row],[DISCOUNT]]*_1_54128456121462410464578910174[[#This Row],[DISCOUNT 2]]</f>
        <v>0</v>
      </c>
      <c r="M219" s="194">
        <f>IF(OR(_1_54128456121462410464578910174[[#This Row],[UNIT]]&gt;0,_1_54128456121462410464578910174[[#This Row],[UNIT]]&lt;0),_1_54128456121462410464578910174[[#This Row],[UNIT]]*_1_54128456121462410464578910174[[#This Row],[COST]],0)</f>
        <v>0</v>
      </c>
      <c r="N219" s="194">
        <f t="shared" si="3"/>
        <v>1.5</v>
      </c>
      <c r="O219" s="198">
        <f>_1_54128456121462410464578910174[[#This Row],[TOTAL]]*_1_54128456121462410464578910174[[#This Row],[MARGIN]]</f>
        <v>0</v>
      </c>
      <c r="R219" s="41"/>
    </row>
    <row r="220" spans="3:18">
      <c r="C220" s="168"/>
      <c r="D220" s="188"/>
      <c r="F220" s="168" t="s">
        <v>6202</v>
      </c>
      <c r="G220" s="193">
        <f>IF(_1_54128456121462410464578910174[[#This Row],[Type]]&gt;0,VLOOKUP(_1_54128456121462410464578910174[[#This Row],[Type]],Main[[#All],[TYPE]:[UNIT]],'Unit Price'!C$1,FALSE),0)</f>
        <v>0</v>
      </c>
      <c r="H220" s="197">
        <f>IF(_1_54128456121462410464578910174[[#This Row],[Type]]&gt;0,VLOOKUP(_1_54128456121462410464578910174[[#This Row],[Type]],Main[[#All],[TYPE]:[UNIT]],'Unit Price'!D$1,FALSE),0)</f>
        <v>0</v>
      </c>
      <c r="I220" s="194">
        <f>IF(_1_54128456121462410464578910174[[#This Row],[Type]]&gt;0,VLOOKUP(_1_54128456121462410464578910174[[#This Row],[Type]],Main[[#All],[TYPE]:[UNIT]],'Unit Price'!G$1,FALSE),0)</f>
        <v>0</v>
      </c>
      <c r="J220" s="194">
        <f>IF(_1_54128456121462410464578910174[[#This Row],[Type]]&gt;0,VLOOKUP(_1_54128456121462410464578910174[[#This Row],[Type]],Main[[#All],[TYPE]:[UNIT]],'Unit Price'!H$1,FALSE),0)</f>
        <v>0</v>
      </c>
      <c r="K220" s="194">
        <f>IF(_1_54128456121462410464578910174[[#This Row],[Discount selection]]&gt;0,VLOOKUP(_1_54128456121462410464578910174[[#This Row],[Discount selection]],'Discount Structure'!$A$2:$B$30,2,"false"),0)</f>
        <v>1</v>
      </c>
      <c r="L220" s="194">
        <f>_1_54128456121462410464578910174[[#This Row],[LIST $]]*_1_54128456121462410464578910174[[#This Row],[DISCOUNT]]*_1_54128456121462410464578910174[[#This Row],[DISCOUNT 2]]</f>
        <v>0</v>
      </c>
      <c r="M220" s="194">
        <f>IF(OR(_1_54128456121462410464578910174[[#This Row],[UNIT]]&gt;0,_1_54128456121462410464578910174[[#This Row],[UNIT]]&lt;0),_1_54128456121462410464578910174[[#This Row],[UNIT]]*_1_54128456121462410464578910174[[#This Row],[COST]],0)</f>
        <v>0</v>
      </c>
      <c r="N220" s="194">
        <f t="shared" si="3"/>
        <v>1.5</v>
      </c>
      <c r="O220" s="198">
        <f>_1_54128456121462410464578910174[[#This Row],[TOTAL]]*_1_54128456121462410464578910174[[#This Row],[MARGIN]]</f>
        <v>0</v>
      </c>
      <c r="R220" s="41"/>
    </row>
    <row r="221" spans="3:18">
      <c r="C221" s="168"/>
      <c r="D221" s="188"/>
      <c r="F221" s="168" t="s">
        <v>6202</v>
      </c>
      <c r="G221" s="193">
        <f>IF(_1_54128456121462410464578910174[[#This Row],[Type]]&gt;0,VLOOKUP(_1_54128456121462410464578910174[[#This Row],[Type]],Main[[#All],[TYPE]:[UNIT]],'Unit Price'!C$1,FALSE),0)</f>
        <v>0</v>
      </c>
      <c r="H221" s="197">
        <f>IF(_1_54128456121462410464578910174[[#This Row],[Type]]&gt;0,VLOOKUP(_1_54128456121462410464578910174[[#This Row],[Type]],Main[[#All],[TYPE]:[UNIT]],'Unit Price'!D$1,FALSE),0)</f>
        <v>0</v>
      </c>
      <c r="I221" s="194">
        <f>IF(_1_54128456121462410464578910174[[#This Row],[Type]]&gt;0,VLOOKUP(_1_54128456121462410464578910174[[#This Row],[Type]],Main[[#All],[TYPE]:[UNIT]],'Unit Price'!G$1,FALSE),0)</f>
        <v>0</v>
      </c>
      <c r="J221" s="194">
        <f>IF(_1_54128456121462410464578910174[[#This Row],[Type]]&gt;0,VLOOKUP(_1_54128456121462410464578910174[[#This Row],[Type]],Main[[#All],[TYPE]:[UNIT]],'Unit Price'!H$1,FALSE),0)</f>
        <v>0</v>
      </c>
      <c r="K221" s="194">
        <f>IF(_1_54128456121462410464578910174[[#This Row],[Discount selection]]&gt;0,VLOOKUP(_1_54128456121462410464578910174[[#This Row],[Discount selection]],'Discount Structure'!$A$2:$B$30,2,"false"),0)</f>
        <v>1</v>
      </c>
      <c r="L221" s="194">
        <f>_1_54128456121462410464578910174[[#This Row],[LIST $]]*_1_54128456121462410464578910174[[#This Row],[DISCOUNT]]*_1_54128456121462410464578910174[[#This Row],[DISCOUNT 2]]</f>
        <v>0</v>
      </c>
      <c r="M221" s="194">
        <f>IF(OR(_1_54128456121462410464578910174[[#This Row],[UNIT]]&gt;0,_1_54128456121462410464578910174[[#This Row],[UNIT]]&lt;0),_1_54128456121462410464578910174[[#This Row],[UNIT]]*_1_54128456121462410464578910174[[#This Row],[COST]],0)</f>
        <v>0</v>
      </c>
      <c r="N221" s="194">
        <f t="shared" si="3"/>
        <v>1.5</v>
      </c>
      <c r="O221" s="198">
        <f>_1_54128456121462410464578910174[[#This Row],[TOTAL]]*_1_54128456121462410464578910174[[#This Row],[MARGIN]]</f>
        <v>0</v>
      </c>
      <c r="R221" s="41"/>
    </row>
    <row r="222" spans="3:18">
      <c r="C222" s="168"/>
      <c r="D222" s="188"/>
      <c r="F222" s="168" t="s">
        <v>6202</v>
      </c>
      <c r="G222" s="193">
        <f>IF(_1_54128456121462410464578910174[[#This Row],[Type]]&gt;0,VLOOKUP(_1_54128456121462410464578910174[[#This Row],[Type]],Main[[#All],[TYPE]:[UNIT]],'Unit Price'!C$1,FALSE),0)</f>
        <v>0</v>
      </c>
      <c r="H222" s="197">
        <f>IF(_1_54128456121462410464578910174[[#This Row],[Type]]&gt;0,VLOOKUP(_1_54128456121462410464578910174[[#This Row],[Type]],Main[[#All],[TYPE]:[UNIT]],'Unit Price'!D$1,FALSE),0)</f>
        <v>0</v>
      </c>
      <c r="I222" s="194">
        <f>IF(_1_54128456121462410464578910174[[#This Row],[Type]]&gt;0,VLOOKUP(_1_54128456121462410464578910174[[#This Row],[Type]],Main[[#All],[TYPE]:[UNIT]],'Unit Price'!G$1,FALSE),0)</f>
        <v>0</v>
      </c>
      <c r="J222" s="194">
        <f>IF(_1_54128456121462410464578910174[[#This Row],[Type]]&gt;0,VLOOKUP(_1_54128456121462410464578910174[[#This Row],[Type]],Main[[#All],[TYPE]:[UNIT]],'Unit Price'!H$1,FALSE),0)</f>
        <v>0</v>
      </c>
      <c r="K222" s="194">
        <f>IF(_1_54128456121462410464578910174[[#This Row],[Discount selection]]&gt;0,VLOOKUP(_1_54128456121462410464578910174[[#This Row],[Discount selection]],'Discount Structure'!$A$2:$B$30,2,"false"),0)</f>
        <v>1</v>
      </c>
      <c r="L222" s="194">
        <f>_1_54128456121462410464578910174[[#This Row],[LIST $]]*_1_54128456121462410464578910174[[#This Row],[DISCOUNT]]*_1_54128456121462410464578910174[[#This Row],[DISCOUNT 2]]</f>
        <v>0</v>
      </c>
      <c r="M222" s="194">
        <f>IF(OR(_1_54128456121462410464578910174[[#This Row],[UNIT]]&gt;0,_1_54128456121462410464578910174[[#This Row],[UNIT]]&lt;0),_1_54128456121462410464578910174[[#This Row],[UNIT]]*_1_54128456121462410464578910174[[#This Row],[COST]],0)</f>
        <v>0</v>
      </c>
      <c r="N222" s="194">
        <f t="shared" si="3"/>
        <v>1.5</v>
      </c>
      <c r="O222" s="198">
        <f>_1_54128456121462410464578910174[[#This Row],[TOTAL]]*_1_54128456121462410464578910174[[#This Row],[MARGIN]]</f>
        <v>0</v>
      </c>
      <c r="R222" s="41"/>
    </row>
    <row r="223" spans="3:18">
      <c r="C223" s="168"/>
      <c r="D223" s="188"/>
      <c r="F223" s="168" t="s">
        <v>6202</v>
      </c>
      <c r="G223" s="193">
        <f>IF(_1_54128456121462410464578910174[[#This Row],[Type]]&gt;0,VLOOKUP(_1_54128456121462410464578910174[[#This Row],[Type]],Main[[#All],[TYPE]:[UNIT]],'Unit Price'!C$1,FALSE),0)</f>
        <v>0</v>
      </c>
      <c r="H223" s="197">
        <f>IF(_1_54128456121462410464578910174[[#This Row],[Type]]&gt;0,VLOOKUP(_1_54128456121462410464578910174[[#This Row],[Type]],Main[[#All],[TYPE]:[UNIT]],'Unit Price'!D$1,FALSE),0)</f>
        <v>0</v>
      </c>
      <c r="I223" s="194">
        <f>IF(_1_54128456121462410464578910174[[#This Row],[Type]]&gt;0,VLOOKUP(_1_54128456121462410464578910174[[#This Row],[Type]],Main[[#All],[TYPE]:[UNIT]],'Unit Price'!G$1,FALSE),0)</f>
        <v>0</v>
      </c>
      <c r="J223" s="194">
        <f>IF(_1_54128456121462410464578910174[[#This Row],[Type]]&gt;0,VLOOKUP(_1_54128456121462410464578910174[[#This Row],[Type]],Main[[#All],[TYPE]:[UNIT]],'Unit Price'!H$1,FALSE),0)</f>
        <v>0</v>
      </c>
      <c r="K223" s="194">
        <f>IF(_1_54128456121462410464578910174[[#This Row],[Discount selection]]&gt;0,VLOOKUP(_1_54128456121462410464578910174[[#This Row],[Discount selection]],'Discount Structure'!$A$2:$B$30,2,"false"),0)</f>
        <v>1</v>
      </c>
      <c r="L223" s="194">
        <f>_1_54128456121462410464578910174[[#This Row],[LIST $]]*_1_54128456121462410464578910174[[#This Row],[DISCOUNT]]*_1_54128456121462410464578910174[[#This Row],[DISCOUNT 2]]</f>
        <v>0</v>
      </c>
      <c r="M223" s="194">
        <f>IF(OR(_1_54128456121462410464578910174[[#This Row],[UNIT]]&gt;0,_1_54128456121462410464578910174[[#This Row],[UNIT]]&lt;0),_1_54128456121462410464578910174[[#This Row],[UNIT]]*_1_54128456121462410464578910174[[#This Row],[COST]],0)</f>
        <v>0</v>
      </c>
      <c r="N223" s="194">
        <f t="shared" si="3"/>
        <v>1.5</v>
      </c>
      <c r="O223" s="198">
        <f>_1_54128456121462410464578910174[[#This Row],[TOTAL]]*_1_54128456121462410464578910174[[#This Row],[MARGIN]]</f>
        <v>0</v>
      </c>
      <c r="R223" s="41"/>
    </row>
    <row r="224" spans="3:18">
      <c r="C224" s="168"/>
      <c r="D224" s="188"/>
      <c r="F224" s="168" t="s">
        <v>6202</v>
      </c>
      <c r="G224" s="193">
        <f>IF(_1_54128456121462410464578910174[[#This Row],[Type]]&gt;0,VLOOKUP(_1_54128456121462410464578910174[[#This Row],[Type]],Main[[#All],[TYPE]:[UNIT]],'Unit Price'!C$1,FALSE),0)</f>
        <v>0</v>
      </c>
      <c r="H224" s="197">
        <f>IF(_1_54128456121462410464578910174[[#This Row],[Type]]&gt;0,VLOOKUP(_1_54128456121462410464578910174[[#This Row],[Type]],Main[[#All],[TYPE]:[UNIT]],'Unit Price'!D$1,FALSE),0)</f>
        <v>0</v>
      </c>
      <c r="I224" s="194">
        <f>IF(_1_54128456121462410464578910174[[#This Row],[Type]]&gt;0,VLOOKUP(_1_54128456121462410464578910174[[#This Row],[Type]],Main[[#All],[TYPE]:[UNIT]],'Unit Price'!G$1,FALSE),0)</f>
        <v>0</v>
      </c>
      <c r="J224" s="194">
        <f>IF(_1_54128456121462410464578910174[[#This Row],[Type]]&gt;0,VLOOKUP(_1_54128456121462410464578910174[[#This Row],[Type]],Main[[#All],[TYPE]:[UNIT]],'Unit Price'!H$1,FALSE),0)</f>
        <v>0</v>
      </c>
      <c r="K224" s="194">
        <f>IF(_1_54128456121462410464578910174[[#This Row],[Discount selection]]&gt;0,VLOOKUP(_1_54128456121462410464578910174[[#This Row],[Discount selection]],'Discount Structure'!$A$2:$B$30,2,"false"),0)</f>
        <v>1</v>
      </c>
      <c r="L224" s="194">
        <f>_1_54128456121462410464578910174[[#This Row],[LIST $]]*_1_54128456121462410464578910174[[#This Row],[DISCOUNT]]*_1_54128456121462410464578910174[[#This Row],[DISCOUNT 2]]</f>
        <v>0</v>
      </c>
      <c r="M224" s="194">
        <f>IF(OR(_1_54128456121462410464578910174[[#This Row],[UNIT]]&gt;0,_1_54128456121462410464578910174[[#This Row],[UNIT]]&lt;0),_1_54128456121462410464578910174[[#This Row],[UNIT]]*_1_54128456121462410464578910174[[#This Row],[COST]],0)</f>
        <v>0</v>
      </c>
      <c r="N224" s="194">
        <f t="shared" si="3"/>
        <v>1.5</v>
      </c>
      <c r="O224" s="198">
        <f>_1_54128456121462410464578910174[[#This Row],[TOTAL]]*_1_54128456121462410464578910174[[#This Row],[MARGIN]]</f>
        <v>0</v>
      </c>
      <c r="R224" s="41"/>
    </row>
    <row r="225" spans="1:18">
      <c r="C225" s="168"/>
      <c r="D225" s="188"/>
      <c r="F225" s="168" t="s">
        <v>6202</v>
      </c>
      <c r="G225" s="193">
        <f>IF(_1_54128456121462410464578910174[[#This Row],[Type]]&gt;0,VLOOKUP(_1_54128456121462410464578910174[[#This Row],[Type]],Main[[#All],[TYPE]:[UNIT]],'Unit Price'!C$1,FALSE),0)</f>
        <v>0</v>
      </c>
      <c r="H225" s="197">
        <f>IF(_1_54128456121462410464578910174[[#This Row],[Type]]&gt;0,VLOOKUP(_1_54128456121462410464578910174[[#This Row],[Type]],Main[[#All],[TYPE]:[UNIT]],'Unit Price'!D$1,FALSE),0)</f>
        <v>0</v>
      </c>
      <c r="I225" s="194">
        <f>IF(_1_54128456121462410464578910174[[#This Row],[Type]]&gt;0,VLOOKUP(_1_54128456121462410464578910174[[#This Row],[Type]],Main[[#All],[TYPE]:[UNIT]],'Unit Price'!G$1,FALSE),0)</f>
        <v>0</v>
      </c>
      <c r="J225" s="194">
        <f>IF(_1_54128456121462410464578910174[[#This Row],[Type]]&gt;0,VLOOKUP(_1_54128456121462410464578910174[[#This Row],[Type]],Main[[#All],[TYPE]:[UNIT]],'Unit Price'!H$1,FALSE),0)</f>
        <v>0</v>
      </c>
      <c r="K225" s="194">
        <f>IF(_1_54128456121462410464578910174[[#This Row],[Discount selection]]&gt;0,VLOOKUP(_1_54128456121462410464578910174[[#This Row],[Discount selection]],'Discount Structure'!$A$2:$B$30,2,"false"),0)</f>
        <v>1</v>
      </c>
      <c r="L225" s="194">
        <f>_1_54128456121462410464578910174[[#This Row],[LIST $]]*_1_54128456121462410464578910174[[#This Row],[DISCOUNT]]*_1_54128456121462410464578910174[[#This Row],[DISCOUNT 2]]</f>
        <v>0</v>
      </c>
      <c r="M225" s="194">
        <f>IF(OR(_1_54128456121462410464578910174[[#This Row],[UNIT]]&gt;0,_1_54128456121462410464578910174[[#This Row],[UNIT]]&lt;0),_1_54128456121462410464578910174[[#This Row],[UNIT]]*_1_54128456121462410464578910174[[#This Row],[COST]],0)</f>
        <v>0</v>
      </c>
      <c r="N225" s="194">
        <f t="shared" si="3"/>
        <v>1.5</v>
      </c>
      <c r="O225" s="198">
        <f>_1_54128456121462410464578910174[[#This Row],[TOTAL]]*_1_54128456121462410464578910174[[#This Row],[MARGIN]]</f>
        <v>0</v>
      </c>
      <c r="R225" s="41"/>
    </row>
    <row r="226" spans="1:18">
      <c r="C226" s="168"/>
      <c r="D226" s="188"/>
      <c r="F226" s="168" t="s">
        <v>6202</v>
      </c>
      <c r="G226" s="193">
        <f>IF(_1_54128456121462410464578910174[[#This Row],[Type]]&gt;0,VLOOKUP(_1_54128456121462410464578910174[[#This Row],[Type]],Main[[#All],[TYPE]:[UNIT]],'Unit Price'!C$1,FALSE),0)</f>
        <v>0</v>
      </c>
      <c r="H226" s="197">
        <f>IF(_1_54128456121462410464578910174[[#This Row],[Type]]&gt;0,VLOOKUP(_1_54128456121462410464578910174[[#This Row],[Type]],Main[[#All],[TYPE]:[UNIT]],'Unit Price'!D$1,FALSE),0)</f>
        <v>0</v>
      </c>
      <c r="I226" s="194">
        <f>IF(_1_54128456121462410464578910174[[#This Row],[Type]]&gt;0,VLOOKUP(_1_54128456121462410464578910174[[#This Row],[Type]],Main[[#All],[TYPE]:[UNIT]],'Unit Price'!G$1,FALSE),0)</f>
        <v>0</v>
      </c>
      <c r="J226" s="194">
        <f>IF(_1_54128456121462410464578910174[[#This Row],[Type]]&gt;0,VLOOKUP(_1_54128456121462410464578910174[[#This Row],[Type]],Main[[#All],[TYPE]:[UNIT]],'Unit Price'!H$1,FALSE),0)</f>
        <v>0</v>
      </c>
      <c r="K226" s="194">
        <f>IF(_1_54128456121462410464578910174[[#This Row],[Discount selection]]&gt;0,VLOOKUP(_1_54128456121462410464578910174[[#This Row],[Discount selection]],'Discount Structure'!$A$2:$B$30,2,"false"),0)</f>
        <v>1</v>
      </c>
      <c r="L226" s="194">
        <f>_1_54128456121462410464578910174[[#This Row],[LIST $]]*_1_54128456121462410464578910174[[#This Row],[DISCOUNT]]*_1_54128456121462410464578910174[[#This Row],[DISCOUNT 2]]</f>
        <v>0</v>
      </c>
      <c r="M226" s="194">
        <f>IF(OR(_1_54128456121462410464578910174[[#This Row],[UNIT]]&gt;0,_1_54128456121462410464578910174[[#This Row],[UNIT]]&lt;0),_1_54128456121462410464578910174[[#This Row],[UNIT]]*_1_54128456121462410464578910174[[#This Row],[COST]],0)</f>
        <v>0</v>
      </c>
      <c r="N226" s="194">
        <f t="shared" si="3"/>
        <v>1.5</v>
      </c>
      <c r="O226" s="198">
        <f>_1_54128456121462410464578910174[[#This Row],[TOTAL]]*_1_54128456121462410464578910174[[#This Row],[MARGIN]]</f>
        <v>0</v>
      </c>
      <c r="R226" s="41"/>
    </row>
    <row r="227" spans="1:18">
      <c r="C227" s="168"/>
      <c r="D227" s="188"/>
      <c r="F227" s="168" t="s">
        <v>6202</v>
      </c>
      <c r="G227" s="193">
        <f>IF(_1_54128456121462410464578910174[[#This Row],[Type]]&gt;0,VLOOKUP(_1_54128456121462410464578910174[[#This Row],[Type]],Main[[#All],[TYPE]:[UNIT]],'Unit Price'!C$1,FALSE),0)</f>
        <v>0</v>
      </c>
      <c r="H227" s="197">
        <f>IF(_1_54128456121462410464578910174[[#This Row],[Type]]&gt;0,VLOOKUP(_1_54128456121462410464578910174[[#This Row],[Type]],Main[[#All],[TYPE]:[UNIT]],'Unit Price'!D$1,FALSE),0)</f>
        <v>0</v>
      </c>
      <c r="I227" s="194">
        <f>IF(_1_54128456121462410464578910174[[#This Row],[Type]]&gt;0,VLOOKUP(_1_54128456121462410464578910174[[#This Row],[Type]],Main[[#All],[TYPE]:[UNIT]],'Unit Price'!G$1,FALSE),0)</f>
        <v>0</v>
      </c>
      <c r="J227" s="194">
        <f>IF(_1_54128456121462410464578910174[[#This Row],[Type]]&gt;0,VLOOKUP(_1_54128456121462410464578910174[[#This Row],[Type]],Main[[#All],[TYPE]:[UNIT]],'Unit Price'!H$1,FALSE),0)</f>
        <v>0</v>
      </c>
      <c r="K227" s="194">
        <f>IF(_1_54128456121462410464578910174[[#This Row],[Discount selection]]&gt;0,VLOOKUP(_1_54128456121462410464578910174[[#This Row],[Discount selection]],'Discount Structure'!$A$2:$B$30,2,"false"),0)</f>
        <v>1</v>
      </c>
      <c r="L227" s="194">
        <f>_1_54128456121462410464578910174[[#This Row],[LIST $]]*_1_54128456121462410464578910174[[#This Row],[DISCOUNT]]*_1_54128456121462410464578910174[[#This Row],[DISCOUNT 2]]</f>
        <v>0</v>
      </c>
      <c r="M227" s="194">
        <f>IF(OR(_1_54128456121462410464578910174[[#This Row],[UNIT]]&gt;0,_1_54128456121462410464578910174[[#This Row],[UNIT]]&lt;0),_1_54128456121462410464578910174[[#This Row],[UNIT]]*_1_54128456121462410464578910174[[#This Row],[COST]],0)</f>
        <v>0</v>
      </c>
      <c r="N227" s="194">
        <f t="shared" si="3"/>
        <v>1.5</v>
      </c>
      <c r="O227" s="198">
        <f>_1_54128456121462410464578910174[[#This Row],[TOTAL]]*_1_54128456121462410464578910174[[#This Row],[MARGIN]]</f>
        <v>0</v>
      </c>
      <c r="R227" s="41"/>
    </row>
    <row r="228" spans="1:18">
      <c r="C228" s="168"/>
      <c r="D228" s="188"/>
      <c r="F228" s="168" t="s">
        <v>6202</v>
      </c>
      <c r="G228" s="193">
        <f>IF(_1_54128456121462410464578910174[[#This Row],[Type]]&gt;0,VLOOKUP(_1_54128456121462410464578910174[[#This Row],[Type]],Main[[#All],[TYPE]:[UNIT]],'Unit Price'!C$1,FALSE),0)</f>
        <v>0</v>
      </c>
      <c r="H228" s="197">
        <f>IF(_1_54128456121462410464578910174[[#This Row],[Type]]&gt;0,VLOOKUP(_1_54128456121462410464578910174[[#This Row],[Type]],Main[[#All],[TYPE]:[UNIT]],'Unit Price'!D$1,FALSE),0)</f>
        <v>0</v>
      </c>
      <c r="I228" s="194">
        <f>IF(_1_54128456121462410464578910174[[#This Row],[Type]]&gt;0,VLOOKUP(_1_54128456121462410464578910174[[#This Row],[Type]],Main[[#All],[TYPE]:[UNIT]],'Unit Price'!G$1,FALSE),0)</f>
        <v>0</v>
      </c>
      <c r="J228" s="194">
        <f>IF(_1_54128456121462410464578910174[[#This Row],[Type]]&gt;0,VLOOKUP(_1_54128456121462410464578910174[[#This Row],[Type]],Main[[#All],[TYPE]:[UNIT]],'Unit Price'!H$1,FALSE),0)</f>
        <v>0</v>
      </c>
      <c r="K228" s="194">
        <f>IF(_1_54128456121462410464578910174[[#This Row],[Discount selection]]&gt;0,VLOOKUP(_1_54128456121462410464578910174[[#This Row],[Discount selection]],'Discount Structure'!$A$2:$B$30,2,"false"),0)</f>
        <v>1</v>
      </c>
      <c r="L228" s="194">
        <f>_1_54128456121462410464578910174[[#This Row],[LIST $]]*_1_54128456121462410464578910174[[#This Row],[DISCOUNT]]*_1_54128456121462410464578910174[[#This Row],[DISCOUNT 2]]</f>
        <v>0</v>
      </c>
      <c r="M228" s="194">
        <f>IF(OR(_1_54128456121462410464578910174[[#This Row],[UNIT]]&gt;0,_1_54128456121462410464578910174[[#This Row],[UNIT]]&lt;0),_1_54128456121462410464578910174[[#This Row],[UNIT]]*_1_54128456121462410464578910174[[#This Row],[COST]],0)</f>
        <v>0</v>
      </c>
      <c r="N228" s="194">
        <f t="shared" si="3"/>
        <v>1.5</v>
      </c>
      <c r="O228" s="198">
        <f>_1_54128456121462410464578910174[[#This Row],[TOTAL]]*_1_54128456121462410464578910174[[#This Row],[MARGIN]]</f>
        <v>0</v>
      </c>
      <c r="R228" s="41"/>
    </row>
    <row r="229" spans="1:18">
      <c r="C229" s="168"/>
      <c r="D229" s="188"/>
      <c r="F229" s="168" t="s">
        <v>6202</v>
      </c>
      <c r="G229" s="193">
        <f>IF(_1_54128456121462410464578910174[[#This Row],[Type]]&gt;0,VLOOKUP(_1_54128456121462410464578910174[[#This Row],[Type]],Main[[#All],[TYPE]:[UNIT]],'Unit Price'!C$1,FALSE),0)</f>
        <v>0</v>
      </c>
      <c r="H229" s="197">
        <f>IF(_1_54128456121462410464578910174[[#This Row],[Type]]&gt;0,VLOOKUP(_1_54128456121462410464578910174[[#This Row],[Type]],Main[[#All],[TYPE]:[UNIT]],'Unit Price'!D$1,FALSE),0)</f>
        <v>0</v>
      </c>
      <c r="I229" s="194">
        <f>IF(_1_54128456121462410464578910174[[#This Row],[Type]]&gt;0,VLOOKUP(_1_54128456121462410464578910174[[#This Row],[Type]],Main[[#All],[TYPE]:[UNIT]],'Unit Price'!G$1,FALSE),0)</f>
        <v>0</v>
      </c>
      <c r="J229" s="194">
        <f>IF(_1_54128456121462410464578910174[[#This Row],[Type]]&gt;0,VLOOKUP(_1_54128456121462410464578910174[[#This Row],[Type]],Main[[#All],[TYPE]:[UNIT]],'Unit Price'!H$1,FALSE),0)</f>
        <v>0</v>
      </c>
      <c r="K229" s="194">
        <f>IF(_1_54128456121462410464578910174[[#This Row],[Discount selection]]&gt;0,VLOOKUP(_1_54128456121462410464578910174[[#This Row],[Discount selection]],'Discount Structure'!$A$2:$B$30,2,"false"),0)</f>
        <v>1</v>
      </c>
      <c r="L229" s="194">
        <f>_1_54128456121462410464578910174[[#This Row],[LIST $]]*_1_54128456121462410464578910174[[#This Row],[DISCOUNT]]*_1_54128456121462410464578910174[[#This Row],[DISCOUNT 2]]</f>
        <v>0</v>
      </c>
      <c r="M229" s="194">
        <f>IF(OR(_1_54128456121462410464578910174[[#This Row],[UNIT]]&gt;0,_1_54128456121462410464578910174[[#This Row],[UNIT]]&lt;0),_1_54128456121462410464578910174[[#This Row],[UNIT]]*_1_54128456121462410464578910174[[#This Row],[COST]],0)</f>
        <v>0</v>
      </c>
      <c r="N229" s="194">
        <f t="shared" si="3"/>
        <v>1.5</v>
      </c>
      <c r="O229" s="198">
        <f>_1_54128456121462410464578910174[[#This Row],[TOTAL]]*_1_54128456121462410464578910174[[#This Row],[MARGIN]]</f>
        <v>0</v>
      </c>
      <c r="R229" s="41"/>
    </row>
    <row r="230" spans="1:18">
      <c r="C230" s="168"/>
      <c r="D230" s="188"/>
      <c r="F230" s="168" t="s">
        <v>6202</v>
      </c>
      <c r="G230" s="193">
        <f>IF(_1_54128456121462410464578910174[[#This Row],[Type]]&gt;0,VLOOKUP(_1_54128456121462410464578910174[[#This Row],[Type]],Main[[#All],[TYPE]:[UNIT]],'Unit Price'!C$1,FALSE),0)</f>
        <v>0</v>
      </c>
      <c r="H230" s="197">
        <f>IF(_1_54128456121462410464578910174[[#This Row],[Type]]&gt;0,VLOOKUP(_1_54128456121462410464578910174[[#This Row],[Type]],Main[[#All],[TYPE]:[UNIT]],'Unit Price'!D$1,FALSE),0)</f>
        <v>0</v>
      </c>
      <c r="I230" s="194">
        <f>IF(_1_54128456121462410464578910174[[#This Row],[Type]]&gt;0,VLOOKUP(_1_54128456121462410464578910174[[#This Row],[Type]],Main[[#All],[TYPE]:[UNIT]],'Unit Price'!G$1,FALSE),0)</f>
        <v>0</v>
      </c>
      <c r="J230" s="194">
        <f>IF(_1_54128456121462410464578910174[[#This Row],[Type]]&gt;0,VLOOKUP(_1_54128456121462410464578910174[[#This Row],[Type]],Main[[#All],[TYPE]:[UNIT]],'Unit Price'!H$1,FALSE),0)</f>
        <v>0</v>
      </c>
      <c r="K230" s="194">
        <f>IF(_1_54128456121462410464578910174[[#This Row],[Discount selection]]&gt;0,VLOOKUP(_1_54128456121462410464578910174[[#This Row],[Discount selection]],'Discount Structure'!$A$2:$B$30,2,"false"),0)</f>
        <v>1</v>
      </c>
      <c r="L230" s="194">
        <f>_1_54128456121462410464578910174[[#This Row],[LIST $]]*_1_54128456121462410464578910174[[#This Row],[DISCOUNT]]*_1_54128456121462410464578910174[[#This Row],[DISCOUNT 2]]</f>
        <v>0</v>
      </c>
      <c r="M230" s="194">
        <f>IF(OR(_1_54128456121462410464578910174[[#This Row],[UNIT]]&gt;0,_1_54128456121462410464578910174[[#This Row],[UNIT]]&lt;0),_1_54128456121462410464578910174[[#This Row],[UNIT]]*_1_54128456121462410464578910174[[#This Row],[COST]],0)</f>
        <v>0</v>
      </c>
      <c r="N230" s="194">
        <f t="shared" si="3"/>
        <v>1.5</v>
      </c>
      <c r="O230" s="198">
        <f>_1_54128456121462410464578910174[[#This Row],[TOTAL]]*_1_54128456121462410464578910174[[#This Row],[MARGIN]]</f>
        <v>0</v>
      </c>
      <c r="R230" s="41"/>
    </row>
    <row r="231" spans="1:18">
      <c r="C231" s="168"/>
      <c r="D231" s="188"/>
      <c r="F231" s="168" t="s">
        <v>6202</v>
      </c>
      <c r="G231" s="193">
        <f>IF(_1_54128456121462410464578910174[[#This Row],[Type]]&gt;0,VLOOKUP(_1_54128456121462410464578910174[[#This Row],[Type]],Main[[#All],[TYPE]:[UNIT]],'Unit Price'!C$1,FALSE),0)</f>
        <v>0</v>
      </c>
      <c r="H231" s="197">
        <f>IF(_1_54128456121462410464578910174[[#This Row],[Type]]&gt;0,VLOOKUP(_1_54128456121462410464578910174[[#This Row],[Type]],Main[[#All],[TYPE]:[UNIT]],'Unit Price'!D$1,FALSE),0)</f>
        <v>0</v>
      </c>
      <c r="I231" s="194">
        <f>IF(_1_54128456121462410464578910174[[#This Row],[Type]]&gt;0,VLOOKUP(_1_54128456121462410464578910174[[#This Row],[Type]],Main[[#All],[TYPE]:[UNIT]],'Unit Price'!G$1,FALSE),0)</f>
        <v>0</v>
      </c>
      <c r="J231" s="194">
        <f>IF(_1_54128456121462410464578910174[[#This Row],[Type]]&gt;0,VLOOKUP(_1_54128456121462410464578910174[[#This Row],[Type]],Main[[#All],[TYPE]:[UNIT]],'Unit Price'!H$1,FALSE),0)</f>
        <v>0</v>
      </c>
      <c r="K231" s="194">
        <f>IF(_1_54128456121462410464578910174[[#This Row],[Discount selection]]&gt;0,VLOOKUP(_1_54128456121462410464578910174[[#This Row],[Discount selection]],'Discount Structure'!$A$2:$B$30,2,"false"),0)</f>
        <v>1</v>
      </c>
      <c r="L231" s="194">
        <f>_1_54128456121462410464578910174[[#This Row],[LIST $]]*_1_54128456121462410464578910174[[#This Row],[DISCOUNT]]*_1_54128456121462410464578910174[[#This Row],[DISCOUNT 2]]</f>
        <v>0</v>
      </c>
      <c r="M231" s="194">
        <f>IF(OR(_1_54128456121462410464578910174[[#This Row],[UNIT]]&gt;0,_1_54128456121462410464578910174[[#This Row],[UNIT]]&lt;0),_1_54128456121462410464578910174[[#This Row],[UNIT]]*_1_54128456121462410464578910174[[#This Row],[COST]],0)</f>
        <v>0</v>
      </c>
      <c r="N231" s="194">
        <f t="shared" si="3"/>
        <v>1.5</v>
      </c>
      <c r="O231" s="198">
        <f>_1_54128456121462410464578910174[[#This Row],[TOTAL]]*_1_54128456121462410464578910174[[#This Row],[MARGIN]]</f>
        <v>0</v>
      </c>
      <c r="R231" s="41"/>
    </row>
    <row r="232" spans="1:18">
      <c r="A232" s="168"/>
      <c r="B232" s="168"/>
      <c r="C232" s="168"/>
      <c r="D232" s="188"/>
      <c r="F232" s="168" t="s">
        <v>6202</v>
      </c>
      <c r="G232" s="193">
        <f>IF(_1_54128456121462410464578910174[[#This Row],[Type]]&gt;0,VLOOKUP(_1_54128456121462410464578910174[[#This Row],[Type]],Main[[#All],[TYPE]:[UNIT]],'Unit Price'!C$1,FALSE),0)</f>
        <v>0</v>
      </c>
      <c r="H232" s="197">
        <f>IF(_1_54128456121462410464578910174[[#This Row],[Type]]&gt;0,VLOOKUP(_1_54128456121462410464578910174[[#This Row],[Type]],Main[[#All],[TYPE]:[UNIT]],'Unit Price'!D$1,FALSE),0)</f>
        <v>0</v>
      </c>
      <c r="I232" s="194">
        <f>IF(_1_54128456121462410464578910174[[#This Row],[Type]]&gt;0,VLOOKUP(_1_54128456121462410464578910174[[#This Row],[Type]],Main[[#All],[TYPE]:[UNIT]],'Unit Price'!G$1,FALSE),0)</f>
        <v>0</v>
      </c>
      <c r="J232" s="194">
        <f>IF(_1_54128456121462410464578910174[[#This Row],[Type]]&gt;0,VLOOKUP(_1_54128456121462410464578910174[[#This Row],[Type]],Main[[#All],[TYPE]:[UNIT]],'Unit Price'!H$1,FALSE),0)</f>
        <v>0</v>
      </c>
      <c r="K232" s="194">
        <f>IF(_1_54128456121462410464578910174[[#This Row],[Discount selection]]&gt;0,VLOOKUP(_1_54128456121462410464578910174[[#This Row],[Discount selection]],'Discount Structure'!$A$2:$B$30,2,"false"),0)</f>
        <v>1</v>
      </c>
      <c r="L232" s="194">
        <f>_1_54128456121462410464578910174[[#This Row],[LIST $]]*_1_54128456121462410464578910174[[#This Row],[DISCOUNT]]*_1_54128456121462410464578910174[[#This Row],[DISCOUNT 2]]</f>
        <v>0</v>
      </c>
      <c r="M232" s="194">
        <f>IF(OR(_1_54128456121462410464578910174[[#This Row],[UNIT]]&gt;0,_1_54128456121462410464578910174[[#This Row],[UNIT]]&lt;0),_1_54128456121462410464578910174[[#This Row],[UNIT]]*_1_54128456121462410464578910174[[#This Row],[COST]],0)</f>
        <v>0</v>
      </c>
      <c r="N232" s="194">
        <f t="shared" si="3"/>
        <v>1.5</v>
      </c>
      <c r="O232" s="198">
        <f>_1_54128456121462410464578910174[[#This Row],[TOTAL]]*_1_54128456121462410464578910174[[#This Row],[MARGIN]]</f>
        <v>0</v>
      </c>
      <c r="R232" s="41"/>
    </row>
    <row r="233" spans="1:18">
      <c r="A233" s="310"/>
      <c r="B233" s="323"/>
      <c r="C233" s="168"/>
      <c r="D233" s="188"/>
      <c r="F233" s="168" t="s">
        <v>6202</v>
      </c>
      <c r="G233" s="205">
        <f>IF(_1_54128456121462410464578910174[[#This Row],[Type]]&gt;0,VLOOKUP(_1_54128456121462410464578910174[[#This Row],[Type]],Main[[#All],[TYPE]:[UNIT]],'Unit Price'!C$1,FALSE),0)</f>
        <v>0</v>
      </c>
      <c r="H233" s="197">
        <f>IF(_1_54128456121462410464578910174[[#This Row],[Type]]&gt;0,VLOOKUP(_1_54128456121462410464578910174[[#This Row],[Type]],Main[[#All],[TYPE]:[UNIT]],'Unit Price'!D$1,FALSE),0)</f>
        <v>0</v>
      </c>
      <c r="I233" s="194">
        <f>IF(_1_54128456121462410464578910174[[#This Row],[Type]]&gt;0,VLOOKUP(_1_54128456121462410464578910174[[#This Row],[Type]],Main[[#All],[TYPE]:[UNIT]],'Unit Price'!G$1,FALSE),0)</f>
        <v>0</v>
      </c>
      <c r="J233" s="194">
        <f>IF(_1_54128456121462410464578910174[[#This Row],[Type]]&gt;0,VLOOKUP(_1_54128456121462410464578910174[[#This Row],[Type]],Main[[#All],[TYPE]:[UNIT]],'Unit Price'!H$1,FALSE),0)</f>
        <v>0</v>
      </c>
      <c r="K233" s="194">
        <f>IF(_1_54128456121462410464578910174[[#This Row],[Discount selection]]&gt;0,VLOOKUP(_1_54128456121462410464578910174[[#This Row],[Discount selection]],'Discount Structure'!$A$2:$B$30,2,"false"),0)</f>
        <v>1</v>
      </c>
      <c r="L233" s="194">
        <f>_1_54128456121462410464578910174[[#This Row],[LIST $]]*_1_54128456121462410464578910174[[#This Row],[DISCOUNT]]*_1_54128456121462410464578910174[[#This Row],[DISCOUNT 2]]</f>
        <v>0</v>
      </c>
      <c r="M233" s="194">
        <f>IF(OR(_1_54128456121462410464578910174[[#This Row],[UNIT]]&gt;0,_1_54128456121462410464578910174[[#This Row],[UNIT]]&lt;0),_1_54128456121462410464578910174[[#This Row],[UNIT]]*_1_54128456121462410464578910174[[#This Row],[COST]],0)</f>
        <v>0</v>
      </c>
      <c r="N233" s="194">
        <f t="shared" si="3"/>
        <v>1.5</v>
      </c>
      <c r="O233" s="198">
        <f>_1_54128456121462410464578910174[[#This Row],[TOTAL]]*_1_54128456121462410464578910174[[#This Row],[MARGIN]]</f>
        <v>0</v>
      </c>
      <c r="R233" s="41"/>
    </row>
    <row r="234" spans="1:18">
      <c r="A234" s="323"/>
      <c r="B234" s="323"/>
      <c r="C234" s="168"/>
      <c r="D234" s="188"/>
      <c r="F234" s="168" t="s">
        <v>6202</v>
      </c>
      <c r="G234" s="193">
        <f>IF(_1_54128456121462410464578910174[[#This Row],[Type]]&gt;0,VLOOKUP(_1_54128456121462410464578910174[[#This Row],[Type]],Main[[#All],[TYPE]:[UNIT]],'Unit Price'!C$1,FALSE),0)</f>
        <v>0</v>
      </c>
      <c r="H234" s="197">
        <f>IF(_1_54128456121462410464578910174[[#This Row],[Type]]&gt;0,VLOOKUP(_1_54128456121462410464578910174[[#This Row],[Type]],Main[[#All],[TYPE]:[UNIT]],'Unit Price'!D$1,FALSE),0)</f>
        <v>0</v>
      </c>
      <c r="I234" s="194">
        <f>IF(_1_54128456121462410464578910174[[#This Row],[Type]]&gt;0,VLOOKUP(_1_54128456121462410464578910174[[#This Row],[Type]],Main[[#All],[TYPE]:[UNIT]],'Unit Price'!G$1,FALSE),0)</f>
        <v>0</v>
      </c>
      <c r="J234" s="194">
        <f>IF(_1_54128456121462410464578910174[[#This Row],[Type]]&gt;0,VLOOKUP(_1_54128456121462410464578910174[[#This Row],[Type]],Main[[#All],[TYPE]:[UNIT]],'Unit Price'!H$1,FALSE),0)</f>
        <v>0</v>
      </c>
      <c r="K234" s="194">
        <f>IF(_1_54128456121462410464578910174[[#This Row],[Discount selection]]&gt;0,VLOOKUP(_1_54128456121462410464578910174[[#This Row],[Discount selection]],'Discount Structure'!$A$2:$B$30,2,"false"),0)</f>
        <v>1</v>
      </c>
      <c r="L234" s="194">
        <f>_1_54128456121462410464578910174[[#This Row],[LIST $]]*_1_54128456121462410464578910174[[#This Row],[DISCOUNT]]*_1_54128456121462410464578910174[[#This Row],[DISCOUNT 2]]</f>
        <v>0</v>
      </c>
      <c r="M234" s="194">
        <f>IF(OR(_1_54128456121462410464578910174[[#This Row],[UNIT]]&gt;0,_1_54128456121462410464578910174[[#This Row],[UNIT]]&lt;0),_1_54128456121462410464578910174[[#This Row],[UNIT]]*_1_54128456121462410464578910174[[#This Row],[COST]],0)</f>
        <v>0</v>
      </c>
      <c r="N234" s="194">
        <f t="shared" si="3"/>
        <v>1.5</v>
      </c>
      <c r="O234" s="198">
        <f>_1_54128456121462410464578910174[[#This Row],[TOTAL]]*_1_54128456121462410464578910174[[#This Row],[MARGIN]]</f>
        <v>0</v>
      </c>
      <c r="R234" s="41"/>
    </row>
    <row r="235" spans="1:18">
      <c r="C235" s="168"/>
      <c r="D235" s="188"/>
      <c r="F235" s="168" t="s">
        <v>6202</v>
      </c>
      <c r="G235" s="193">
        <f>IF(_1_54128456121462410464578910174[[#This Row],[Type]]&gt;0,VLOOKUP(_1_54128456121462410464578910174[[#This Row],[Type]],Main[[#All],[TYPE]:[UNIT]],'Unit Price'!C$1,FALSE),0)</f>
        <v>0</v>
      </c>
      <c r="H235" s="197">
        <f>IF(_1_54128456121462410464578910174[[#This Row],[Type]]&gt;0,VLOOKUP(_1_54128456121462410464578910174[[#This Row],[Type]],Main[[#All],[TYPE]:[UNIT]],'Unit Price'!D$1,FALSE),0)</f>
        <v>0</v>
      </c>
      <c r="I235" s="194">
        <f>IF(_1_54128456121462410464578910174[[#This Row],[Type]]&gt;0,VLOOKUP(_1_54128456121462410464578910174[[#This Row],[Type]],Main[[#All],[TYPE]:[UNIT]],'Unit Price'!G$1,FALSE),0)</f>
        <v>0</v>
      </c>
      <c r="J235" s="194">
        <f>IF(_1_54128456121462410464578910174[[#This Row],[Type]]&gt;0,VLOOKUP(_1_54128456121462410464578910174[[#This Row],[Type]],Main[[#All],[TYPE]:[UNIT]],'Unit Price'!H$1,FALSE),0)</f>
        <v>0</v>
      </c>
      <c r="K235" s="194">
        <f>IF(_1_54128456121462410464578910174[[#This Row],[Discount selection]]&gt;0,VLOOKUP(_1_54128456121462410464578910174[[#This Row],[Discount selection]],'Discount Structure'!$A$2:$B$30,2,"false"),0)</f>
        <v>1</v>
      </c>
      <c r="L235" s="194">
        <f>_1_54128456121462410464578910174[[#This Row],[LIST $]]*_1_54128456121462410464578910174[[#This Row],[DISCOUNT]]*_1_54128456121462410464578910174[[#This Row],[DISCOUNT 2]]</f>
        <v>0</v>
      </c>
      <c r="M235" s="194">
        <f>IF(OR(_1_54128456121462410464578910174[[#This Row],[UNIT]]&gt;0,_1_54128456121462410464578910174[[#This Row],[UNIT]]&lt;0),_1_54128456121462410464578910174[[#This Row],[UNIT]]*_1_54128456121462410464578910174[[#This Row],[COST]],0)</f>
        <v>0</v>
      </c>
      <c r="N235" s="194">
        <f t="shared" si="3"/>
        <v>1.5</v>
      </c>
      <c r="O235" s="198">
        <f>_1_54128456121462410464578910174[[#This Row],[TOTAL]]*_1_54128456121462410464578910174[[#This Row],[MARGIN]]</f>
        <v>0</v>
      </c>
      <c r="R235" s="41"/>
    </row>
    <row r="236" spans="1:18">
      <c r="C236" s="168"/>
      <c r="D236" s="188"/>
      <c r="F236" s="168" t="s">
        <v>6202</v>
      </c>
      <c r="G236" s="193">
        <f>IF(_1_54128456121462410464578910174[[#This Row],[Type]]&gt;0,VLOOKUP(_1_54128456121462410464578910174[[#This Row],[Type]],Main[[#All],[TYPE]:[UNIT]],'Unit Price'!C$1,FALSE),0)</f>
        <v>0</v>
      </c>
      <c r="H236" s="197">
        <f>IF(_1_54128456121462410464578910174[[#This Row],[Type]]&gt;0,VLOOKUP(_1_54128456121462410464578910174[[#This Row],[Type]],Main[[#All],[TYPE]:[UNIT]],'Unit Price'!D$1,FALSE),0)</f>
        <v>0</v>
      </c>
      <c r="I236" s="194">
        <f>IF(_1_54128456121462410464578910174[[#This Row],[Type]]&gt;0,VLOOKUP(_1_54128456121462410464578910174[[#This Row],[Type]],Main[[#All],[TYPE]:[UNIT]],'Unit Price'!G$1,FALSE),0)</f>
        <v>0</v>
      </c>
      <c r="J236" s="194">
        <f>IF(_1_54128456121462410464578910174[[#This Row],[Type]]&gt;0,VLOOKUP(_1_54128456121462410464578910174[[#This Row],[Type]],Main[[#All],[TYPE]:[UNIT]],'Unit Price'!H$1,FALSE),0)</f>
        <v>0</v>
      </c>
      <c r="K236" s="194">
        <f>IF(_1_54128456121462410464578910174[[#This Row],[Discount selection]]&gt;0,VLOOKUP(_1_54128456121462410464578910174[[#This Row],[Discount selection]],'Discount Structure'!$A$2:$B$30,2,"false"),0)</f>
        <v>1</v>
      </c>
      <c r="L236" s="194">
        <f>_1_54128456121462410464578910174[[#This Row],[LIST $]]*_1_54128456121462410464578910174[[#This Row],[DISCOUNT]]*_1_54128456121462410464578910174[[#This Row],[DISCOUNT 2]]</f>
        <v>0</v>
      </c>
      <c r="M236" s="194">
        <f>IF(OR(_1_54128456121462410464578910174[[#This Row],[UNIT]]&gt;0,_1_54128456121462410464578910174[[#This Row],[UNIT]]&lt;0),_1_54128456121462410464578910174[[#This Row],[UNIT]]*_1_54128456121462410464578910174[[#This Row],[COST]],0)</f>
        <v>0</v>
      </c>
      <c r="N236" s="194">
        <f t="shared" si="3"/>
        <v>1.5</v>
      </c>
      <c r="O236" s="198">
        <f>_1_54128456121462410464578910174[[#This Row],[TOTAL]]*_1_54128456121462410464578910174[[#This Row],[MARGIN]]</f>
        <v>0</v>
      </c>
      <c r="R236" s="41"/>
    </row>
    <row r="237" spans="1:18">
      <c r="A237" s="323"/>
      <c r="B237" s="323"/>
      <c r="C237" s="168"/>
      <c r="D237" s="188"/>
      <c r="F237" s="168" t="s">
        <v>6202</v>
      </c>
      <c r="G237" s="193">
        <f>IF(_1_54128456121462410464578910174[[#This Row],[Type]]&gt;0,VLOOKUP(_1_54128456121462410464578910174[[#This Row],[Type]],Main[[#All],[TYPE]:[UNIT]],'Unit Price'!C$1,FALSE),0)</f>
        <v>0</v>
      </c>
      <c r="H237" s="197">
        <f>IF(_1_54128456121462410464578910174[[#This Row],[Type]]&gt;0,VLOOKUP(_1_54128456121462410464578910174[[#This Row],[Type]],Main[[#All],[TYPE]:[UNIT]],'Unit Price'!D$1,FALSE),0)</f>
        <v>0</v>
      </c>
      <c r="I237" s="194">
        <f>IF(_1_54128456121462410464578910174[[#This Row],[Type]]&gt;0,VLOOKUP(_1_54128456121462410464578910174[[#This Row],[Type]],Main[[#All],[TYPE]:[UNIT]],'Unit Price'!G$1,FALSE),0)</f>
        <v>0</v>
      </c>
      <c r="J237" s="194">
        <f>IF(_1_54128456121462410464578910174[[#This Row],[Type]]&gt;0,VLOOKUP(_1_54128456121462410464578910174[[#This Row],[Type]],Main[[#All],[TYPE]:[UNIT]],'Unit Price'!H$1,FALSE),0)</f>
        <v>0</v>
      </c>
      <c r="K237" s="194">
        <f>IF(_1_54128456121462410464578910174[[#This Row],[Discount selection]]&gt;0,VLOOKUP(_1_54128456121462410464578910174[[#This Row],[Discount selection]],'Discount Structure'!$A$2:$B$30,2,"false"),0)</f>
        <v>1</v>
      </c>
      <c r="L237" s="194">
        <f>_1_54128456121462410464578910174[[#This Row],[LIST $]]*_1_54128456121462410464578910174[[#This Row],[DISCOUNT]]*_1_54128456121462410464578910174[[#This Row],[DISCOUNT 2]]</f>
        <v>0</v>
      </c>
      <c r="M237" s="194">
        <f>IF(OR(_1_54128456121462410464578910174[[#This Row],[UNIT]]&gt;0,_1_54128456121462410464578910174[[#This Row],[UNIT]]&lt;0),_1_54128456121462410464578910174[[#This Row],[UNIT]]*_1_54128456121462410464578910174[[#This Row],[COST]],0)</f>
        <v>0</v>
      </c>
      <c r="N237" s="194">
        <f t="shared" si="3"/>
        <v>1.5</v>
      </c>
      <c r="O237" s="198">
        <f>_1_54128456121462410464578910174[[#This Row],[TOTAL]]*_1_54128456121462410464578910174[[#This Row],[MARGIN]]</f>
        <v>0</v>
      </c>
      <c r="R237" s="41"/>
    </row>
    <row r="238" spans="1:18">
      <c r="C238" s="168"/>
      <c r="D238" s="188"/>
      <c r="F238" s="168" t="s">
        <v>6202</v>
      </c>
      <c r="G238" s="193">
        <f>IF(_1_54128456121462410464578910174[[#This Row],[Type]]&gt;0,VLOOKUP(_1_54128456121462410464578910174[[#This Row],[Type]],Main[[#All],[TYPE]:[UNIT]],'Unit Price'!C$1,FALSE),0)</f>
        <v>0</v>
      </c>
      <c r="H238" s="197">
        <f>IF(_1_54128456121462410464578910174[[#This Row],[Type]]&gt;0,VLOOKUP(_1_54128456121462410464578910174[[#This Row],[Type]],Main[[#All],[TYPE]:[UNIT]],'Unit Price'!D$1,FALSE),0)</f>
        <v>0</v>
      </c>
      <c r="I238" s="194">
        <f>IF(_1_54128456121462410464578910174[[#This Row],[Type]]&gt;0,VLOOKUP(_1_54128456121462410464578910174[[#This Row],[Type]],Main[[#All],[TYPE]:[UNIT]],'Unit Price'!G$1,FALSE),0)</f>
        <v>0</v>
      </c>
      <c r="J238" s="194">
        <f>IF(_1_54128456121462410464578910174[[#This Row],[Type]]&gt;0,VLOOKUP(_1_54128456121462410464578910174[[#This Row],[Type]],Main[[#All],[TYPE]:[UNIT]],'Unit Price'!H$1,FALSE),0)</f>
        <v>0</v>
      </c>
      <c r="K238" s="194">
        <f>IF(_1_54128456121462410464578910174[[#This Row],[Discount selection]]&gt;0,VLOOKUP(_1_54128456121462410464578910174[[#This Row],[Discount selection]],'Discount Structure'!$A$2:$B$30,2,"false"),0)</f>
        <v>1</v>
      </c>
      <c r="L238" s="194">
        <f>_1_54128456121462410464578910174[[#This Row],[LIST $]]*_1_54128456121462410464578910174[[#This Row],[DISCOUNT]]*_1_54128456121462410464578910174[[#This Row],[DISCOUNT 2]]</f>
        <v>0</v>
      </c>
      <c r="M238" s="194">
        <f>IF(OR(_1_54128456121462410464578910174[[#This Row],[UNIT]]&gt;0,_1_54128456121462410464578910174[[#This Row],[UNIT]]&lt;0),_1_54128456121462410464578910174[[#This Row],[UNIT]]*_1_54128456121462410464578910174[[#This Row],[COST]],0)</f>
        <v>0</v>
      </c>
      <c r="N238" s="194">
        <f t="shared" si="3"/>
        <v>1.5</v>
      </c>
      <c r="O238" s="198">
        <f>_1_54128456121462410464578910174[[#This Row],[TOTAL]]*_1_54128456121462410464578910174[[#This Row],[MARGIN]]</f>
        <v>0</v>
      </c>
      <c r="R238" s="41"/>
    </row>
    <row r="239" spans="1:18">
      <c r="C239" s="168"/>
      <c r="D239" s="188"/>
      <c r="F239" s="168" t="s">
        <v>6202</v>
      </c>
      <c r="G239" s="205">
        <f>IF(_1_54128456121462410464578910174[[#This Row],[Type]]&gt;0,VLOOKUP(_1_54128456121462410464578910174[[#This Row],[Type]],Main[[#All],[TYPE]:[UNIT]],'Unit Price'!C$1,FALSE),0)</f>
        <v>0</v>
      </c>
      <c r="H239" s="197">
        <f>IF(_1_54128456121462410464578910174[[#This Row],[Type]]&gt;0,VLOOKUP(_1_54128456121462410464578910174[[#This Row],[Type]],Main[[#All],[TYPE]:[UNIT]],'Unit Price'!D$1,FALSE),0)</f>
        <v>0</v>
      </c>
      <c r="I239" s="194">
        <f>IF(_1_54128456121462410464578910174[[#This Row],[Type]]&gt;0,VLOOKUP(_1_54128456121462410464578910174[[#This Row],[Type]],Main[[#All],[TYPE]:[UNIT]],'Unit Price'!G$1,FALSE),0)</f>
        <v>0</v>
      </c>
      <c r="J239" s="194">
        <f>IF(_1_54128456121462410464578910174[[#This Row],[Type]]&gt;0,VLOOKUP(_1_54128456121462410464578910174[[#This Row],[Type]],Main[[#All],[TYPE]:[UNIT]],'Unit Price'!H$1,FALSE),0)</f>
        <v>0</v>
      </c>
      <c r="K239" s="194">
        <f>IF(_1_54128456121462410464578910174[[#This Row],[Discount selection]]&gt;0,VLOOKUP(_1_54128456121462410464578910174[[#This Row],[Discount selection]],'Discount Structure'!$A$2:$B$30,2,"false"),0)</f>
        <v>1</v>
      </c>
      <c r="L239" s="194">
        <f>_1_54128456121462410464578910174[[#This Row],[LIST $]]*_1_54128456121462410464578910174[[#This Row],[DISCOUNT]]*_1_54128456121462410464578910174[[#This Row],[DISCOUNT 2]]</f>
        <v>0</v>
      </c>
      <c r="M239" s="194">
        <f>IF(OR(_1_54128456121462410464578910174[[#This Row],[UNIT]]&gt;0,_1_54128456121462410464578910174[[#This Row],[UNIT]]&lt;0),_1_54128456121462410464578910174[[#This Row],[UNIT]]*_1_54128456121462410464578910174[[#This Row],[COST]],0)</f>
        <v>0</v>
      </c>
      <c r="N239" s="194">
        <f t="shared" si="3"/>
        <v>1.5</v>
      </c>
      <c r="O239" s="198">
        <f>_1_54128456121462410464578910174[[#This Row],[TOTAL]]*_1_54128456121462410464578910174[[#This Row],[MARGIN]]</f>
        <v>0</v>
      </c>
      <c r="R239" s="41"/>
    </row>
    <row r="240" spans="1:18">
      <c r="C240" s="168"/>
      <c r="D240" s="188"/>
      <c r="F240" s="168" t="s">
        <v>6202</v>
      </c>
      <c r="G240" s="193">
        <f>IF(_1_54128456121462410464578910174[[#This Row],[Type]]&gt;0,VLOOKUP(_1_54128456121462410464578910174[[#This Row],[Type]],Main[[#All],[TYPE]:[UNIT]],'Unit Price'!C$1,FALSE),0)</f>
        <v>0</v>
      </c>
      <c r="H240" s="197">
        <f>IF(_1_54128456121462410464578910174[[#This Row],[Type]]&gt;0,VLOOKUP(_1_54128456121462410464578910174[[#This Row],[Type]],Main[[#All],[TYPE]:[UNIT]],'Unit Price'!D$1,FALSE),0)</f>
        <v>0</v>
      </c>
      <c r="I240" s="194">
        <f>IF(_1_54128456121462410464578910174[[#This Row],[Type]]&gt;0,VLOOKUP(_1_54128456121462410464578910174[[#This Row],[Type]],Main[[#All],[TYPE]:[UNIT]],'Unit Price'!G$1,FALSE),0)</f>
        <v>0</v>
      </c>
      <c r="J240" s="194">
        <f>IF(_1_54128456121462410464578910174[[#This Row],[Type]]&gt;0,VLOOKUP(_1_54128456121462410464578910174[[#This Row],[Type]],Main[[#All],[TYPE]:[UNIT]],'Unit Price'!H$1,FALSE),0)</f>
        <v>0</v>
      </c>
      <c r="K240" s="194">
        <f>IF(_1_54128456121462410464578910174[[#This Row],[Discount selection]]&gt;0,VLOOKUP(_1_54128456121462410464578910174[[#This Row],[Discount selection]],'Discount Structure'!$A$2:$B$30,2,"false"),0)</f>
        <v>1</v>
      </c>
      <c r="L240" s="194">
        <f>_1_54128456121462410464578910174[[#This Row],[LIST $]]*_1_54128456121462410464578910174[[#This Row],[DISCOUNT]]*_1_54128456121462410464578910174[[#This Row],[DISCOUNT 2]]</f>
        <v>0</v>
      </c>
      <c r="M240" s="194">
        <f>IF(OR(_1_54128456121462410464578910174[[#This Row],[UNIT]]&gt;0,_1_54128456121462410464578910174[[#This Row],[UNIT]]&lt;0),_1_54128456121462410464578910174[[#This Row],[UNIT]]*_1_54128456121462410464578910174[[#This Row],[COST]],0)</f>
        <v>0</v>
      </c>
      <c r="N240" s="194">
        <f t="shared" si="3"/>
        <v>1.5</v>
      </c>
      <c r="O240" s="198">
        <f>_1_54128456121462410464578910174[[#This Row],[TOTAL]]*_1_54128456121462410464578910174[[#This Row],[MARGIN]]</f>
        <v>0</v>
      </c>
      <c r="R240" s="41"/>
    </row>
    <row r="241" spans="1:18">
      <c r="C241" s="168"/>
      <c r="D241" s="188"/>
      <c r="F241" s="168" t="s">
        <v>6202</v>
      </c>
      <c r="G241" s="193">
        <f>IF(_1_54128456121462410464578910174[[#This Row],[Type]]&gt;0,VLOOKUP(_1_54128456121462410464578910174[[#This Row],[Type]],Main[[#All],[TYPE]:[UNIT]],'Unit Price'!C$1,FALSE),0)</f>
        <v>0</v>
      </c>
      <c r="H241" s="197">
        <f>IF(_1_54128456121462410464578910174[[#This Row],[Type]]&gt;0,VLOOKUP(_1_54128456121462410464578910174[[#This Row],[Type]],Main[[#All],[TYPE]:[UNIT]],'Unit Price'!D$1,FALSE),0)</f>
        <v>0</v>
      </c>
      <c r="I241" s="194">
        <f>IF(_1_54128456121462410464578910174[[#This Row],[Type]]&gt;0,VLOOKUP(_1_54128456121462410464578910174[[#This Row],[Type]],Main[[#All],[TYPE]:[UNIT]],'Unit Price'!G$1,FALSE),0)</f>
        <v>0</v>
      </c>
      <c r="J241" s="194">
        <f>IF(_1_54128456121462410464578910174[[#This Row],[Type]]&gt;0,VLOOKUP(_1_54128456121462410464578910174[[#This Row],[Type]],Main[[#All],[TYPE]:[UNIT]],'Unit Price'!H$1,FALSE),0)</f>
        <v>0</v>
      </c>
      <c r="K241" s="194">
        <f>IF(_1_54128456121462410464578910174[[#This Row],[Discount selection]]&gt;0,VLOOKUP(_1_54128456121462410464578910174[[#This Row],[Discount selection]],'Discount Structure'!$A$2:$B$30,2,"false"),0)</f>
        <v>1</v>
      </c>
      <c r="L241" s="194">
        <f>_1_54128456121462410464578910174[[#This Row],[LIST $]]*_1_54128456121462410464578910174[[#This Row],[DISCOUNT]]*_1_54128456121462410464578910174[[#This Row],[DISCOUNT 2]]</f>
        <v>0</v>
      </c>
      <c r="M241" s="194">
        <f>IF(OR(_1_54128456121462410464578910174[[#This Row],[UNIT]]&gt;0,_1_54128456121462410464578910174[[#This Row],[UNIT]]&lt;0),_1_54128456121462410464578910174[[#This Row],[UNIT]]*_1_54128456121462410464578910174[[#This Row],[COST]],0)</f>
        <v>0</v>
      </c>
      <c r="N241" s="194">
        <f t="shared" si="3"/>
        <v>1.5</v>
      </c>
      <c r="O241" s="198">
        <f>_1_54128456121462410464578910174[[#This Row],[TOTAL]]*_1_54128456121462410464578910174[[#This Row],[MARGIN]]</f>
        <v>0</v>
      </c>
      <c r="R241" s="41"/>
    </row>
    <row r="242" spans="1:18">
      <c r="C242" s="168"/>
      <c r="D242" s="188"/>
      <c r="F242" s="168" t="s">
        <v>6202</v>
      </c>
      <c r="G242" s="193">
        <f>IF(_1_54128456121462410464578910174[[#This Row],[Type]]&gt;0,VLOOKUP(_1_54128456121462410464578910174[[#This Row],[Type]],Main[[#All],[TYPE]:[UNIT]],'Unit Price'!C$1,FALSE),0)</f>
        <v>0</v>
      </c>
      <c r="H242" s="197">
        <f>IF(_1_54128456121462410464578910174[[#This Row],[Type]]&gt;0,VLOOKUP(_1_54128456121462410464578910174[[#This Row],[Type]],Main[[#All],[TYPE]:[UNIT]],'Unit Price'!D$1,FALSE),0)</f>
        <v>0</v>
      </c>
      <c r="I242" s="194">
        <f>IF(_1_54128456121462410464578910174[[#This Row],[Type]]&gt;0,VLOOKUP(_1_54128456121462410464578910174[[#This Row],[Type]],Main[[#All],[TYPE]:[UNIT]],'Unit Price'!G$1,FALSE),0)</f>
        <v>0</v>
      </c>
      <c r="J242" s="194">
        <f>IF(_1_54128456121462410464578910174[[#This Row],[Type]]&gt;0,VLOOKUP(_1_54128456121462410464578910174[[#This Row],[Type]],Main[[#All],[TYPE]:[UNIT]],'Unit Price'!H$1,FALSE),0)</f>
        <v>0</v>
      </c>
      <c r="K242" s="194">
        <f>IF(_1_54128456121462410464578910174[[#This Row],[Discount selection]]&gt;0,VLOOKUP(_1_54128456121462410464578910174[[#This Row],[Discount selection]],'Discount Structure'!$A$2:$B$30,2,"false"),0)</f>
        <v>1</v>
      </c>
      <c r="L242" s="194">
        <f>_1_54128456121462410464578910174[[#This Row],[LIST $]]*_1_54128456121462410464578910174[[#This Row],[DISCOUNT]]*_1_54128456121462410464578910174[[#This Row],[DISCOUNT 2]]</f>
        <v>0</v>
      </c>
      <c r="M242" s="194">
        <f>IF(OR(_1_54128456121462410464578910174[[#This Row],[UNIT]]&gt;0,_1_54128456121462410464578910174[[#This Row],[UNIT]]&lt;0),_1_54128456121462410464578910174[[#This Row],[UNIT]]*_1_54128456121462410464578910174[[#This Row],[COST]],0)</f>
        <v>0</v>
      </c>
      <c r="N242" s="194">
        <f t="shared" si="3"/>
        <v>1.5</v>
      </c>
      <c r="O242" s="198">
        <f>_1_54128456121462410464578910174[[#This Row],[TOTAL]]*_1_54128456121462410464578910174[[#This Row],[MARGIN]]</f>
        <v>0</v>
      </c>
      <c r="R242" s="41"/>
    </row>
    <row r="243" spans="1:18">
      <c r="C243" s="168"/>
      <c r="D243" s="188"/>
      <c r="F243" s="168" t="s">
        <v>6202</v>
      </c>
      <c r="G243" s="193">
        <f>IF(_1_54128456121462410464578910174[[#This Row],[Type]]&gt;0,VLOOKUP(_1_54128456121462410464578910174[[#This Row],[Type]],Main[[#All],[TYPE]:[UNIT]],'Unit Price'!C$1,FALSE),0)</f>
        <v>0</v>
      </c>
      <c r="H243" s="197">
        <f>IF(_1_54128456121462410464578910174[[#This Row],[Type]]&gt;0,VLOOKUP(_1_54128456121462410464578910174[[#This Row],[Type]],Main[[#All],[TYPE]:[UNIT]],'Unit Price'!D$1,FALSE),0)</f>
        <v>0</v>
      </c>
      <c r="I243" s="194">
        <f>IF(_1_54128456121462410464578910174[[#This Row],[Type]]&gt;0,VLOOKUP(_1_54128456121462410464578910174[[#This Row],[Type]],Main[[#All],[TYPE]:[UNIT]],'Unit Price'!G$1,FALSE),0)</f>
        <v>0</v>
      </c>
      <c r="J243" s="194">
        <f>IF(_1_54128456121462410464578910174[[#This Row],[Type]]&gt;0,VLOOKUP(_1_54128456121462410464578910174[[#This Row],[Type]],Main[[#All],[TYPE]:[UNIT]],'Unit Price'!H$1,FALSE),0)</f>
        <v>0</v>
      </c>
      <c r="K243" s="194">
        <f>IF(_1_54128456121462410464578910174[[#This Row],[Discount selection]]&gt;0,VLOOKUP(_1_54128456121462410464578910174[[#This Row],[Discount selection]],'Discount Structure'!$A$2:$B$30,2,"false"),0)</f>
        <v>1</v>
      </c>
      <c r="L243" s="194">
        <f>_1_54128456121462410464578910174[[#This Row],[LIST $]]*_1_54128456121462410464578910174[[#This Row],[DISCOUNT]]*_1_54128456121462410464578910174[[#This Row],[DISCOUNT 2]]</f>
        <v>0</v>
      </c>
      <c r="M243" s="194">
        <f>IF(OR(_1_54128456121462410464578910174[[#This Row],[UNIT]]&gt;0,_1_54128456121462410464578910174[[#This Row],[UNIT]]&lt;0),_1_54128456121462410464578910174[[#This Row],[UNIT]]*_1_54128456121462410464578910174[[#This Row],[COST]],0)</f>
        <v>0</v>
      </c>
      <c r="N243" s="194">
        <f t="shared" si="3"/>
        <v>1.5</v>
      </c>
      <c r="O243" s="198">
        <f>_1_54128456121462410464578910174[[#This Row],[TOTAL]]*_1_54128456121462410464578910174[[#This Row],[MARGIN]]</f>
        <v>0</v>
      </c>
      <c r="R243" s="41"/>
    </row>
    <row r="244" spans="1:18">
      <c r="A244" s="168"/>
      <c r="B244" s="168"/>
      <c r="C244" s="168"/>
      <c r="D244" s="188"/>
      <c r="F244" s="168" t="s">
        <v>6202</v>
      </c>
      <c r="G244" s="205">
        <f>IF(_1_54128456121462410464578910174[[#This Row],[Type]]&gt;0,VLOOKUP(_1_54128456121462410464578910174[[#This Row],[Type]],Main[[#All],[TYPE]:[UNIT]],'Unit Price'!C$1,FALSE),0)</f>
        <v>0</v>
      </c>
      <c r="H244" s="197">
        <f>IF(_1_54128456121462410464578910174[[#This Row],[Type]]&gt;0,VLOOKUP(_1_54128456121462410464578910174[[#This Row],[Type]],Main[[#All],[TYPE]:[UNIT]],'Unit Price'!D$1,FALSE),0)</f>
        <v>0</v>
      </c>
      <c r="I244" s="194">
        <f>IF(_1_54128456121462410464578910174[[#This Row],[Type]]&gt;0,VLOOKUP(_1_54128456121462410464578910174[[#This Row],[Type]],Main[[#All],[TYPE]:[UNIT]],'Unit Price'!G$1,FALSE),0)</f>
        <v>0</v>
      </c>
      <c r="J244" s="194">
        <f>IF(_1_54128456121462410464578910174[[#This Row],[Type]]&gt;0,VLOOKUP(_1_54128456121462410464578910174[[#This Row],[Type]],Main[[#All],[TYPE]:[UNIT]],'Unit Price'!H$1,FALSE),0)</f>
        <v>0</v>
      </c>
      <c r="K244" s="194">
        <f>IF(_1_54128456121462410464578910174[[#This Row],[Discount selection]]&gt;0,VLOOKUP(_1_54128456121462410464578910174[[#This Row],[Discount selection]],'Discount Structure'!$A$2:$B$30,2,"false"),0)</f>
        <v>1</v>
      </c>
      <c r="L244" s="194">
        <f>_1_54128456121462410464578910174[[#This Row],[LIST $]]*_1_54128456121462410464578910174[[#This Row],[DISCOUNT]]*_1_54128456121462410464578910174[[#This Row],[DISCOUNT 2]]</f>
        <v>0</v>
      </c>
      <c r="M244" s="194">
        <f>IF(OR(_1_54128456121462410464578910174[[#This Row],[UNIT]]&gt;0,_1_54128456121462410464578910174[[#This Row],[UNIT]]&lt;0),_1_54128456121462410464578910174[[#This Row],[UNIT]]*_1_54128456121462410464578910174[[#This Row],[COST]],0)</f>
        <v>0</v>
      </c>
      <c r="N244" s="194">
        <f t="shared" si="3"/>
        <v>1.5</v>
      </c>
      <c r="O244" s="198">
        <f>_1_54128456121462410464578910174[[#This Row],[TOTAL]]*_1_54128456121462410464578910174[[#This Row],[MARGIN]]</f>
        <v>0</v>
      </c>
      <c r="R244" s="41"/>
    </row>
    <row r="245" spans="1:18">
      <c r="A245" s="324"/>
      <c r="B245" s="323"/>
      <c r="C245" s="168"/>
      <c r="D245" s="188"/>
      <c r="F245" s="168" t="s">
        <v>6202</v>
      </c>
      <c r="G245" s="193">
        <f>IF(_1_54128456121462410464578910174[[#This Row],[Type]]&gt;0,VLOOKUP(_1_54128456121462410464578910174[[#This Row],[Type]],Main[[#All],[TYPE]:[UNIT]],'Unit Price'!C$1,FALSE),0)</f>
        <v>0</v>
      </c>
      <c r="H245" s="197">
        <f>IF(_1_54128456121462410464578910174[[#This Row],[Type]]&gt;0,VLOOKUP(_1_54128456121462410464578910174[[#This Row],[Type]],Main[[#All],[TYPE]:[UNIT]],'Unit Price'!D$1,FALSE),0)</f>
        <v>0</v>
      </c>
      <c r="I245" s="194">
        <f>IF(_1_54128456121462410464578910174[[#This Row],[Type]]&gt;0,VLOOKUP(_1_54128456121462410464578910174[[#This Row],[Type]],Main[[#All],[TYPE]:[UNIT]],'Unit Price'!G$1,FALSE),0)</f>
        <v>0</v>
      </c>
      <c r="J245" s="194">
        <f>IF(_1_54128456121462410464578910174[[#This Row],[Type]]&gt;0,VLOOKUP(_1_54128456121462410464578910174[[#This Row],[Type]],Main[[#All],[TYPE]:[UNIT]],'Unit Price'!H$1,FALSE),0)</f>
        <v>0</v>
      </c>
      <c r="K245" s="194">
        <f>IF(_1_54128456121462410464578910174[[#This Row],[Discount selection]]&gt;0,VLOOKUP(_1_54128456121462410464578910174[[#This Row],[Discount selection]],'Discount Structure'!$A$2:$B$30,2,"false"),0)</f>
        <v>1</v>
      </c>
      <c r="L245" s="194">
        <f>_1_54128456121462410464578910174[[#This Row],[LIST $]]*_1_54128456121462410464578910174[[#This Row],[DISCOUNT]]*_1_54128456121462410464578910174[[#This Row],[DISCOUNT 2]]</f>
        <v>0</v>
      </c>
      <c r="M245" s="194">
        <f>IF(OR(_1_54128456121462410464578910174[[#This Row],[UNIT]]&gt;0,_1_54128456121462410464578910174[[#This Row],[UNIT]]&lt;0),_1_54128456121462410464578910174[[#This Row],[UNIT]]*_1_54128456121462410464578910174[[#This Row],[COST]],0)</f>
        <v>0</v>
      </c>
      <c r="N245" s="194">
        <f t="shared" si="3"/>
        <v>1.5</v>
      </c>
      <c r="O245" s="198">
        <f>_1_54128456121462410464578910174[[#This Row],[TOTAL]]*_1_54128456121462410464578910174[[#This Row],[MARGIN]]</f>
        <v>0</v>
      </c>
      <c r="R245" s="41"/>
    </row>
    <row r="246" spans="1:18">
      <c r="A246" s="323"/>
      <c r="B246" s="323"/>
      <c r="C246" s="168"/>
      <c r="D246" s="188"/>
      <c r="F246" s="168" t="s">
        <v>6202</v>
      </c>
      <c r="G246" s="193">
        <f>IF(_1_54128456121462410464578910174[[#This Row],[Type]]&gt;0,VLOOKUP(_1_54128456121462410464578910174[[#This Row],[Type]],Main[[#All],[TYPE]:[UNIT]],'Unit Price'!C$1,FALSE),0)</f>
        <v>0</v>
      </c>
      <c r="H246" s="197">
        <f>IF(_1_54128456121462410464578910174[[#This Row],[Type]]&gt;0,VLOOKUP(_1_54128456121462410464578910174[[#This Row],[Type]],Main[[#All],[TYPE]:[UNIT]],'Unit Price'!D$1,FALSE),0)</f>
        <v>0</v>
      </c>
      <c r="I246" s="194">
        <f>IF(_1_54128456121462410464578910174[[#This Row],[Type]]&gt;0,VLOOKUP(_1_54128456121462410464578910174[[#This Row],[Type]],Main[[#All],[TYPE]:[UNIT]],'Unit Price'!G$1,FALSE),0)</f>
        <v>0</v>
      </c>
      <c r="J246" s="194">
        <f>IF(_1_54128456121462410464578910174[[#This Row],[Type]]&gt;0,VLOOKUP(_1_54128456121462410464578910174[[#This Row],[Type]],Main[[#All],[TYPE]:[UNIT]],'Unit Price'!H$1,FALSE),0)</f>
        <v>0</v>
      </c>
      <c r="K246" s="194">
        <f>IF(_1_54128456121462410464578910174[[#This Row],[Discount selection]]&gt;0,VLOOKUP(_1_54128456121462410464578910174[[#This Row],[Discount selection]],'Discount Structure'!$A$2:$B$30,2,"false"),0)</f>
        <v>1</v>
      </c>
      <c r="L246" s="194">
        <f>_1_54128456121462410464578910174[[#This Row],[LIST $]]*_1_54128456121462410464578910174[[#This Row],[DISCOUNT]]*_1_54128456121462410464578910174[[#This Row],[DISCOUNT 2]]</f>
        <v>0</v>
      </c>
      <c r="M246" s="194">
        <f>IF(OR(_1_54128456121462410464578910174[[#This Row],[UNIT]]&gt;0,_1_54128456121462410464578910174[[#This Row],[UNIT]]&lt;0),_1_54128456121462410464578910174[[#This Row],[UNIT]]*_1_54128456121462410464578910174[[#This Row],[COST]],0)</f>
        <v>0</v>
      </c>
      <c r="N246" s="194">
        <f t="shared" si="3"/>
        <v>1.5</v>
      </c>
      <c r="O246" s="198">
        <f>_1_54128456121462410464578910174[[#This Row],[TOTAL]]*_1_54128456121462410464578910174[[#This Row],[MARGIN]]</f>
        <v>0</v>
      </c>
      <c r="R246" s="41"/>
    </row>
    <row r="247" spans="1:18">
      <c r="C247" s="168"/>
      <c r="D247" s="188"/>
      <c r="F247" s="168" t="s">
        <v>6202</v>
      </c>
      <c r="G247" s="193">
        <f>IF(_1_54128456121462410464578910174[[#This Row],[Type]]&gt;0,VLOOKUP(_1_54128456121462410464578910174[[#This Row],[Type]],Main[[#All],[TYPE]:[UNIT]],'Unit Price'!C$1,FALSE),0)</f>
        <v>0</v>
      </c>
      <c r="H247" s="197">
        <f>IF(_1_54128456121462410464578910174[[#This Row],[Type]]&gt;0,VLOOKUP(_1_54128456121462410464578910174[[#This Row],[Type]],Main[[#All],[TYPE]:[UNIT]],'Unit Price'!D$1,FALSE),0)</f>
        <v>0</v>
      </c>
      <c r="I247" s="194">
        <f>IF(_1_54128456121462410464578910174[[#This Row],[Type]]&gt;0,VLOOKUP(_1_54128456121462410464578910174[[#This Row],[Type]],Main[[#All],[TYPE]:[UNIT]],'Unit Price'!G$1,FALSE),0)</f>
        <v>0</v>
      </c>
      <c r="J247" s="194">
        <f>IF(_1_54128456121462410464578910174[[#This Row],[Type]]&gt;0,VLOOKUP(_1_54128456121462410464578910174[[#This Row],[Type]],Main[[#All],[TYPE]:[UNIT]],'Unit Price'!H$1,FALSE),0)</f>
        <v>0</v>
      </c>
      <c r="K247" s="194">
        <f>IF(_1_54128456121462410464578910174[[#This Row],[Discount selection]]&gt;0,VLOOKUP(_1_54128456121462410464578910174[[#This Row],[Discount selection]],'Discount Structure'!$A$2:$B$30,2,"false"),0)</f>
        <v>1</v>
      </c>
      <c r="L247" s="194">
        <f>_1_54128456121462410464578910174[[#This Row],[LIST $]]*_1_54128456121462410464578910174[[#This Row],[DISCOUNT]]*_1_54128456121462410464578910174[[#This Row],[DISCOUNT 2]]</f>
        <v>0</v>
      </c>
      <c r="M247" s="194">
        <f>IF(OR(_1_54128456121462410464578910174[[#This Row],[UNIT]]&gt;0,_1_54128456121462410464578910174[[#This Row],[UNIT]]&lt;0),_1_54128456121462410464578910174[[#This Row],[UNIT]]*_1_54128456121462410464578910174[[#This Row],[COST]],0)</f>
        <v>0</v>
      </c>
      <c r="N247" s="194">
        <f t="shared" si="3"/>
        <v>1.5</v>
      </c>
      <c r="O247" s="198">
        <f>_1_54128456121462410464578910174[[#This Row],[TOTAL]]*_1_54128456121462410464578910174[[#This Row],[MARGIN]]</f>
        <v>0</v>
      </c>
      <c r="R247" s="41"/>
    </row>
    <row r="248" spans="1:18">
      <c r="C248" s="168"/>
      <c r="D248" s="188"/>
      <c r="F248" s="168" t="s">
        <v>6202</v>
      </c>
      <c r="G248" s="193">
        <f>IF(_1_54128456121462410464578910174[[#This Row],[Type]]&gt;0,VLOOKUP(_1_54128456121462410464578910174[[#This Row],[Type]],Main[[#All],[TYPE]:[UNIT]],'Unit Price'!C$1,FALSE),0)</f>
        <v>0</v>
      </c>
      <c r="H248" s="197">
        <f>IF(_1_54128456121462410464578910174[[#This Row],[Type]]&gt;0,VLOOKUP(_1_54128456121462410464578910174[[#This Row],[Type]],Main[[#All],[TYPE]:[UNIT]],'Unit Price'!D$1,FALSE),0)</f>
        <v>0</v>
      </c>
      <c r="I248" s="194">
        <f>IF(_1_54128456121462410464578910174[[#This Row],[Type]]&gt;0,VLOOKUP(_1_54128456121462410464578910174[[#This Row],[Type]],Main[[#All],[TYPE]:[UNIT]],'Unit Price'!G$1,FALSE),0)</f>
        <v>0</v>
      </c>
      <c r="J248" s="194">
        <f>IF(_1_54128456121462410464578910174[[#This Row],[Type]]&gt;0,VLOOKUP(_1_54128456121462410464578910174[[#This Row],[Type]],Main[[#All],[TYPE]:[UNIT]],'Unit Price'!H$1,FALSE),0)</f>
        <v>0</v>
      </c>
      <c r="K248" s="194">
        <f>IF(_1_54128456121462410464578910174[[#This Row],[Discount selection]]&gt;0,VLOOKUP(_1_54128456121462410464578910174[[#This Row],[Discount selection]],'Discount Structure'!$A$2:$B$30,2,"false"),0)</f>
        <v>1</v>
      </c>
      <c r="L248" s="194">
        <f>_1_54128456121462410464578910174[[#This Row],[LIST $]]*_1_54128456121462410464578910174[[#This Row],[DISCOUNT]]*_1_54128456121462410464578910174[[#This Row],[DISCOUNT 2]]</f>
        <v>0</v>
      </c>
      <c r="M248" s="194">
        <f>IF(OR(_1_54128456121462410464578910174[[#This Row],[UNIT]]&gt;0,_1_54128456121462410464578910174[[#This Row],[UNIT]]&lt;0),_1_54128456121462410464578910174[[#This Row],[UNIT]]*_1_54128456121462410464578910174[[#This Row],[COST]],0)</f>
        <v>0</v>
      </c>
      <c r="N248" s="194">
        <f t="shared" si="3"/>
        <v>1.5</v>
      </c>
      <c r="O248" s="198">
        <f>_1_54128456121462410464578910174[[#This Row],[TOTAL]]*_1_54128456121462410464578910174[[#This Row],[MARGIN]]</f>
        <v>0</v>
      </c>
      <c r="R248" s="41"/>
    </row>
    <row r="249" spans="1:18">
      <c r="A249" s="323"/>
      <c r="B249" s="325"/>
      <c r="C249" s="168"/>
      <c r="D249" s="188"/>
      <c r="F249" s="168" t="s">
        <v>6202</v>
      </c>
      <c r="G249" s="205">
        <f>IF(_1_54128456121462410464578910174[[#This Row],[Type]]&gt;0,VLOOKUP(_1_54128456121462410464578910174[[#This Row],[Type]],Main[[#All],[TYPE]:[UNIT]],'Unit Price'!C$1,FALSE),0)</f>
        <v>0</v>
      </c>
      <c r="H249" s="197">
        <f>IF(_1_54128456121462410464578910174[[#This Row],[Type]]&gt;0,VLOOKUP(_1_54128456121462410464578910174[[#This Row],[Type]],Main[[#All],[TYPE]:[UNIT]],'Unit Price'!D$1,FALSE),0)</f>
        <v>0</v>
      </c>
      <c r="I249" s="194">
        <f>IF(_1_54128456121462410464578910174[[#This Row],[Type]]&gt;0,VLOOKUP(_1_54128456121462410464578910174[[#This Row],[Type]],Main[[#All],[TYPE]:[UNIT]],'Unit Price'!G$1,FALSE),0)</f>
        <v>0</v>
      </c>
      <c r="J249" s="194">
        <f>IF(_1_54128456121462410464578910174[[#This Row],[Type]]&gt;0,VLOOKUP(_1_54128456121462410464578910174[[#This Row],[Type]],Main[[#All],[TYPE]:[UNIT]],'Unit Price'!H$1,FALSE),0)</f>
        <v>0</v>
      </c>
      <c r="K249" s="194">
        <f>IF(_1_54128456121462410464578910174[[#This Row],[Discount selection]]&gt;0,VLOOKUP(_1_54128456121462410464578910174[[#This Row],[Discount selection]],'Discount Structure'!$A$2:$B$30,2,"false"),0)</f>
        <v>1</v>
      </c>
      <c r="L249" s="194">
        <f>_1_54128456121462410464578910174[[#This Row],[LIST $]]*_1_54128456121462410464578910174[[#This Row],[DISCOUNT]]*_1_54128456121462410464578910174[[#This Row],[DISCOUNT 2]]</f>
        <v>0</v>
      </c>
      <c r="M249" s="194">
        <f>IF(OR(_1_54128456121462410464578910174[[#This Row],[UNIT]]&gt;0,_1_54128456121462410464578910174[[#This Row],[UNIT]]&lt;0),_1_54128456121462410464578910174[[#This Row],[UNIT]]*_1_54128456121462410464578910174[[#This Row],[COST]],0)</f>
        <v>0</v>
      </c>
      <c r="N249" s="194">
        <f t="shared" si="3"/>
        <v>1.5</v>
      </c>
      <c r="O249" s="198">
        <f>_1_54128456121462410464578910174[[#This Row],[TOTAL]]*_1_54128456121462410464578910174[[#This Row],[MARGIN]]</f>
        <v>0</v>
      </c>
      <c r="R249" s="41"/>
    </row>
    <row r="250" spans="1:18">
      <c r="A250" s="323"/>
      <c r="B250" s="323"/>
      <c r="C250" s="168"/>
      <c r="D250" s="188"/>
      <c r="F250" s="168" t="s">
        <v>6202</v>
      </c>
      <c r="G250" s="193">
        <f>IF(_1_54128456121462410464578910174[[#This Row],[Type]]&gt;0,VLOOKUP(_1_54128456121462410464578910174[[#This Row],[Type]],Main[[#All],[TYPE]:[UNIT]],'Unit Price'!C$1,FALSE),0)</f>
        <v>0</v>
      </c>
      <c r="H250" s="197">
        <f>IF(_1_54128456121462410464578910174[[#This Row],[Type]]&gt;0,VLOOKUP(_1_54128456121462410464578910174[[#This Row],[Type]],Main[[#All],[TYPE]:[UNIT]],'Unit Price'!D$1,FALSE),0)</f>
        <v>0</v>
      </c>
      <c r="I250" s="194">
        <f>IF(_1_54128456121462410464578910174[[#This Row],[Type]]&gt;0,VLOOKUP(_1_54128456121462410464578910174[[#This Row],[Type]],Main[[#All],[TYPE]:[UNIT]],'Unit Price'!G$1,FALSE),0)</f>
        <v>0</v>
      </c>
      <c r="J250" s="194">
        <f>IF(_1_54128456121462410464578910174[[#This Row],[Type]]&gt;0,VLOOKUP(_1_54128456121462410464578910174[[#This Row],[Type]],Main[[#All],[TYPE]:[UNIT]],'Unit Price'!H$1,FALSE),0)</f>
        <v>0</v>
      </c>
      <c r="K250" s="194">
        <f>IF(_1_54128456121462410464578910174[[#This Row],[Discount selection]]&gt;0,VLOOKUP(_1_54128456121462410464578910174[[#This Row],[Discount selection]],'Discount Structure'!$A$2:$B$30,2,"false"),0)</f>
        <v>1</v>
      </c>
      <c r="L250" s="194">
        <f>_1_54128456121462410464578910174[[#This Row],[LIST $]]*_1_54128456121462410464578910174[[#This Row],[DISCOUNT]]*_1_54128456121462410464578910174[[#This Row],[DISCOUNT 2]]</f>
        <v>0</v>
      </c>
      <c r="M250" s="194">
        <f>IF(OR(_1_54128456121462410464578910174[[#This Row],[UNIT]]&gt;0,_1_54128456121462410464578910174[[#This Row],[UNIT]]&lt;0),_1_54128456121462410464578910174[[#This Row],[UNIT]]*_1_54128456121462410464578910174[[#This Row],[COST]],0)</f>
        <v>0</v>
      </c>
      <c r="N250" s="194">
        <f t="shared" si="3"/>
        <v>1.5</v>
      </c>
      <c r="O250" s="198">
        <f>_1_54128456121462410464578910174[[#This Row],[TOTAL]]*_1_54128456121462410464578910174[[#This Row],[MARGIN]]</f>
        <v>0</v>
      </c>
      <c r="R250" s="41"/>
    </row>
    <row r="251" spans="1:18">
      <c r="C251" s="168"/>
      <c r="D251" s="188"/>
      <c r="F251" s="168" t="s">
        <v>6202</v>
      </c>
      <c r="G251" s="193">
        <f>IF(_1_54128456121462410464578910174[[#This Row],[Type]]&gt;0,VLOOKUP(_1_54128456121462410464578910174[[#This Row],[Type]],Main[[#All],[TYPE]:[UNIT]],'Unit Price'!C$1,FALSE),0)</f>
        <v>0</v>
      </c>
      <c r="H251" s="197">
        <f>IF(_1_54128456121462410464578910174[[#This Row],[Type]]&gt;0,VLOOKUP(_1_54128456121462410464578910174[[#This Row],[Type]],Main[[#All],[TYPE]:[UNIT]],'Unit Price'!D$1,FALSE),0)</f>
        <v>0</v>
      </c>
      <c r="I251" s="194">
        <f>IF(_1_54128456121462410464578910174[[#This Row],[Type]]&gt;0,VLOOKUP(_1_54128456121462410464578910174[[#This Row],[Type]],Main[[#All],[TYPE]:[UNIT]],'Unit Price'!G$1,FALSE),0)</f>
        <v>0</v>
      </c>
      <c r="J251" s="194">
        <f>IF(_1_54128456121462410464578910174[[#This Row],[Type]]&gt;0,VLOOKUP(_1_54128456121462410464578910174[[#This Row],[Type]],Main[[#All],[TYPE]:[UNIT]],'Unit Price'!H$1,FALSE),0)</f>
        <v>0</v>
      </c>
      <c r="K251" s="194">
        <f>IF(_1_54128456121462410464578910174[[#This Row],[Discount selection]]&gt;0,VLOOKUP(_1_54128456121462410464578910174[[#This Row],[Discount selection]],'Discount Structure'!$A$2:$B$30,2,"false"),0)</f>
        <v>1</v>
      </c>
      <c r="L251" s="194">
        <f>_1_54128456121462410464578910174[[#This Row],[LIST $]]*_1_54128456121462410464578910174[[#This Row],[DISCOUNT]]*_1_54128456121462410464578910174[[#This Row],[DISCOUNT 2]]</f>
        <v>0</v>
      </c>
      <c r="M251" s="194">
        <f>IF(OR(_1_54128456121462410464578910174[[#This Row],[UNIT]]&gt;0,_1_54128456121462410464578910174[[#This Row],[UNIT]]&lt;0),_1_54128456121462410464578910174[[#This Row],[UNIT]]*_1_54128456121462410464578910174[[#This Row],[COST]],0)</f>
        <v>0</v>
      </c>
      <c r="N251" s="194">
        <f t="shared" si="3"/>
        <v>1.5</v>
      </c>
      <c r="O251" s="198">
        <f>_1_54128456121462410464578910174[[#This Row],[TOTAL]]*_1_54128456121462410464578910174[[#This Row],[MARGIN]]</f>
        <v>0</v>
      </c>
      <c r="R251" s="41"/>
    </row>
    <row r="252" spans="1:18">
      <c r="C252" s="168"/>
      <c r="D252" s="188"/>
      <c r="F252" s="168" t="s">
        <v>6202</v>
      </c>
      <c r="G252" s="193">
        <f>IF(_1_54128456121462410464578910174[[#This Row],[Type]]&gt;0,VLOOKUP(_1_54128456121462410464578910174[[#This Row],[Type]],Main[[#All],[TYPE]:[UNIT]],'Unit Price'!C$1,FALSE),0)</f>
        <v>0</v>
      </c>
      <c r="H252" s="197">
        <f>IF(_1_54128456121462410464578910174[[#This Row],[Type]]&gt;0,VLOOKUP(_1_54128456121462410464578910174[[#This Row],[Type]],Main[[#All],[TYPE]:[UNIT]],'Unit Price'!D$1,FALSE),0)</f>
        <v>0</v>
      </c>
      <c r="I252" s="194">
        <f>IF(_1_54128456121462410464578910174[[#This Row],[Type]]&gt;0,VLOOKUP(_1_54128456121462410464578910174[[#This Row],[Type]],Main[[#All],[TYPE]:[UNIT]],'Unit Price'!G$1,FALSE),0)</f>
        <v>0</v>
      </c>
      <c r="J252" s="194">
        <f>IF(_1_54128456121462410464578910174[[#This Row],[Type]]&gt;0,VLOOKUP(_1_54128456121462410464578910174[[#This Row],[Type]],Main[[#All],[TYPE]:[UNIT]],'Unit Price'!H$1,FALSE),0)</f>
        <v>0</v>
      </c>
      <c r="K252" s="194">
        <f>IF(_1_54128456121462410464578910174[[#This Row],[Discount selection]]&gt;0,VLOOKUP(_1_54128456121462410464578910174[[#This Row],[Discount selection]],'Discount Structure'!$A$2:$B$30,2,"false"),0)</f>
        <v>1</v>
      </c>
      <c r="L252" s="194">
        <f>_1_54128456121462410464578910174[[#This Row],[LIST $]]*_1_54128456121462410464578910174[[#This Row],[DISCOUNT]]*_1_54128456121462410464578910174[[#This Row],[DISCOUNT 2]]</f>
        <v>0</v>
      </c>
      <c r="M252" s="194">
        <f>IF(OR(_1_54128456121462410464578910174[[#This Row],[UNIT]]&gt;0,_1_54128456121462410464578910174[[#This Row],[UNIT]]&lt;0),_1_54128456121462410464578910174[[#This Row],[UNIT]]*_1_54128456121462410464578910174[[#This Row],[COST]],0)</f>
        <v>0</v>
      </c>
      <c r="N252" s="194">
        <f t="shared" si="3"/>
        <v>1.5</v>
      </c>
      <c r="O252" s="198">
        <f>_1_54128456121462410464578910174[[#This Row],[TOTAL]]*_1_54128456121462410464578910174[[#This Row],[MARGIN]]</f>
        <v>0</v>
      </c>
      <c r="R252" s="41"/>
    </row>
    <row r="253" spans="1:18">
      <c r="C253" s="168"/>
      <c r="D253" s="188"/>
      <c r="F253" s="168" t="s">
        <v>6202</v>
      </c>
      <c r="G253" s="193">
        <f>IF(_1_54128456121462410464578910174[[#This Row],[Type]]&gt;0,VLOOKUP(_1_54128456121462410464578910174[[#This Row],[Type]],Main[[#All],[TYPE]:[UNIT]],'Unit Price'!C$1,FALSE),0)</f>
        <v>0</v>
      </c>
      <c r="H253" s="197">
        <f>IF(_1_54128456121462410464578910174[[#This Row],[Type]]&gt;0,VLOOKUP(_1_54128456121462410464578910174[[#This Row],[Type]],Main[[#All],[TYPE]:[UNIT]],'Unit Price'!D$1,FALSE),0)</f>
        <v>0</v>
      </c>
      <c r="I253" s="194">
        <f>IF(_1_54128456121462410464578910174[[#This Row],[Type]]&gt;0,VLOOKUP(_1_54128456121462410464578910174[[#This Row],[Type]],Main[[#All],[TYPE]:[UNIT]],'Unit Price'!G$1,FALSE),0)</f>
        <v>0</v>
      </c>
      <c r="J253" s="194">
        <f>IF(_1_54128456121462410464578910174[[#This Row],[Type]]&gt;0,VLOOKUP(_1_54128456121462410464578910174[[#This Row],[Type]],Main[[#All],[TYPE]:[UNIT]],'Unit Price'!H$1,FALSE),0)</f>
        <v>0</v>
      </c>
      <c r="K253" s="194">
        <f>IF(_1_54128456121462410464578910174[[#This Row],[Discount selection]]&gt;0,VLOOKUP(_1_54128456121462410464578910174[[#This Row],[Discount selection]],'Discount Structure'!$A$2:$B$30,2,"false"),0)</f>
        <v>1</v>
      </c>
      <c r="L253" s="194">
        <f>_1_54128456121462410464578910174[[#This Row],[LIST $]]*_1_54128456121462410464578910174[[#This Row],[DISCOUNT]]*_1_54128456121462410464578910174[[#This Row],[DISCOUNT 2]]</f>
        <v>0</v>
      </c>
      <c r="M253" s="194">
        <f>IF(OR(_1_54128456121462410464578910174[[#This Row],[UNIT]]&gt;0,_1_54128456121462410464578910174[[#This Row],[UNIT]]&lt;0),_1_54128456121462410464578910174[[#This Row],[UNIT]]*_1_54128456121462410464578910174[[#This Row],[COST]],0)</f>
        <v>0</v>
      </c>
      <c r="N253" s="194">
        <f t="shared" si="3"/>
        <v>1.5</v>
      </c>
      <c r="O253" s="198">
        <f>_1_54128456121462410464578910174[[#This Row],[TOTAL]]*_1_54128456121462410464578910174[[#This Row],[MARGIN]]</f>
        <v>0</v>
      </c>
      <c r="R253" s="41"/>
    </row>
    <row r="254" spans="1:18">
      <c r="C254" s="168"/>
      <c r="D254" s="188"/>
      <c r="F254" s="168" t="s">
        <v>6202</v>
      </c>
      <c r="G254" s="193">
        <f>IF(_1_54128456121462410464578910174[[#This Row],[Type]]&gt;0,VLOOKUP(_1_54128456121462410464578910174[[#This Row],[Type]],Main[[#All],[TYPE]:[UNIT]],'Unit Price'!C$1,FALSE),0)</f>
        <v>0</v>
      </c>
      <c r="H254" s="197">
        <f>IF(_1_54128456121462410464578910174[[#This Row],[Type]]&gt;0,VLOOKUP(_1_54128456121462410464578910174[[#This Row],[Type]],Main[[#All],[TYPE]:[UNIT]],'Unit Price'!D$1,FALSE),0)</f>
        <v>0</v>
      </c>
      <c r="I254" s="194">
        <f>IF(_1_54128456121462410464578910174[[#This Row],[Type]]&gt;0,VLOOKUP(_1_54128456121462410464578910174[[#This Row],[Type]],Main[[#All],[TYPE]:[UNIT]],'Unit Price'!G$1,FALSE),0)</f>
        <v>0</v>
      </c>
      <c r="J254" s="194">
        <f>IF(_1_54128456121462410464578910174[[#This Row],[Type]]&gt;0,VLOOKUP(_1_54128456121462410464578910174[[#This Row],[Type]],Main[[#All],[TYPE]:[UNIT]],'Unit Price'!H$1,FALSE),0)</f>
        <v>0</v>
      </c>
      <c r="K254" s="194">
        <f>IF(_1_54128456121462410464578910174[[#This Row],[Discount selection]]&gt;0,VLOOKUP(_1_54128456121462410464578910174[[#This Row],[Discount selection]],'Discount Structure'!$A$2:$B$30,2,"false"),0)</f>
        <v>1</v>
      </c>
      <c r="L254" s="194">
        <f>_1_54128456121462410464578910174[[#This Row],[LIST $]]*_1_54128456121462410464578910174[[#This Row],[DISCOUNT]]*_1_54128456121462410464578910174[[#This Row],[DISCOUNT 2]]</f>
        <v>0</v>
      </c>
      <c r="M254" s="194">
        <f>IF(OR(_1_54128456121462410464578910174[[#This Row],[UNIT]]&gt;0,_1_54128456121462410464578910174[[#This Row],[UNIT]]&lt;0),_1_54128456121462410464578910174[[#This Row],[UNIT]]*_1_54128456121462410464578910174[[#This Row],[COST]],0)</f>
        <v>0</v>
      </c>
      <c r="N254" s="194">
        <f t="shared" si="3"/>
        <v>1.5</v>
      </c>
      <c r="O254" s="198">
        <f>_1_54128456121462410464578910174[[#This Row],[TOTAL]]*_1_54128456121462410464578910174[[#This Row],[MARGIN]]</f>
        <v>0</v>
      </c>
      <c r="R254" s="41"/>
    </row>
    <row r="255" spans="1:18">
      <c r="C255" s="168"/>
      <c r="D255" s="188"/>
      <c r="F255" s="168" t="s">
        <v>6202</v>
      </c>
      <c r="G255" s="205">
        <f>IF(_1_54128456121462410464578910174[[#This Row],[Type]]&gt;0,VLOOKUP(_1_54128456121462410464578910174[[#This Row],[Type]],Main[[#All],[TYPE]:[UNIT]],'Unit Price'!C$1,FALSE),0)</f>
        <v>0</v>
      </c>
      <c r="H255" s="197">
        <f>IF(_1_54128456121462410464578910174[[#This Row],[Type]]&gt;0,VLOOKUP(_1_54128456121462410464578910174[[#This Row],[Type]],Main[[#All],[TYPE]:[UNIT]],'Unit Price'!D$1,FALSE),0)</f>
        <v>0</v>
      </c>
      <c r="I255" s="194">
        <f>IF(_1_54128456121462410464578910174[[#This Row],[Type]]&gt;0,VLOOKUP(_1_54128456121462410464578910174[[#This Row],[Type]],Main[[#All],[TYPE]:[UNIT]],'Unit Price'!G$1,FALSE),0)</f>
        <v>0</v>
      </c>
      <c r="J255" s="194">
        <f>IF(_1_54128456121462410464578910174[[#This Row],[Type]]&gt;0,VLOOKUP(_1_54128456121462410464578910174[[#This Row],[Type]],Main[[#All],[TYPE]:[UNIT]],'Unit Price'!H$1,FALSE),0)</f>
        <v>0</v>
      </c>
      <c r="K255" s="194">
        <f>IF(_1_54128456121462410464578910174[[#This Row],[Discount selection]]&gt;0,VLOOKUP(_1_54128456121462410464578910174[[#This Row],[Discount selection]],'Discount Structure'!$A$2:$B$30,2,"false"),0)</f>
        <v>1</v>
      </c>
      <c r="L255" s="194">
        <f>_1_54128456121462410464578910174[[#This Row],[LIST $]]*_1_54128456121462410464578910174[[#This Row],[DISCOUNT]]*_1_54128456121462410464578910174[[#This Row],[DISCOUNT 2]]</f>
        <v>0</v>
      </c>
      <c r="M255" s="194">
        <f>IF(OR(_1_54128456121462410464578910174[[#This Row],[UNIT]]&gt;0,_1_54128456121462410464578910174[[#This Row],[UNIT]]&lt;0),_1_54128456121462410464578910174[[#This Row],[UNIT]]*_1_54128456121462410464578910174[[#This Row],[COST]],0)</f>
        <v>0</v>
      </c>
      <c r="N255" s="194">
        <f t="shared" si="3"/>
        <v>1.5</v>
      </c>
      <c r="O255" s="198">
        <f>_1_54128456121462410464578910174[[#This Row],[TOTAL]]*_1_54128456121462410464578910174[[#This Row],[MARGIN]]</f>
        <v>0</v>
      </c>
      <c r="R255" s="41"/>
    </row>
    <row r="256" spans="1:18">
      <c r="A256" s="168"/>
      <c r="B256" s="168"/>
      <c r="C256" s="168"/>
      <c r="D256" s="188"/>
      <c r="F256" s="168" t="s">
        <v>6202</v>
      </c>
      <c r="G256" s="193">
        <f>IF(_1_54128456121462410464578910174[[#This Row],[Type]]&gt;0,VLOOKUP(_1_54128456121462410464578910174[[#This Row],[Type]],Main[[#All],[TYPE]:[UNIT]],'Unit Price'!C$1,FALSE),0)</f>
        <v>0</v>
      </c>
      <c r="H256" s="197">
        <f>IF(_1_54128456121462410464578910174[[#This Row],[Type]]&gt;0,VLOOKUP(_1_54128456121462410464578910174[[#This Row],[Type]],Main[[#All],[TYPE]:[UNIT]],'Unit Price'!D$1,FALSE),0)</f>
        <v>0</v>
      </c>
      <c r="I256" s="194">
        <f>IF(_1_54128456121462410464578910174[[#This Row],[Type]]&gt;0,VLOOKUP(_1_54128456121462410464578910174[[#This Row],[Type]],Main[[#All],[TYPE]:[UNIT]],'Unit Price'!G$1,FALSE),0)</f>
        <v>0</v>
      </c>
      <c r="J256" s="194">
        <f>IF(_1_54128456121462410464578910174[[#This Row],[Type]]&gt;0,VLOOKUP(_1_54128456121462410464578910174[[#This Row],[Type]],Main[[#All],[TYPE]:[UNIT]],'Unit Price'!H$1,FALSE),0)</f>
        <v>0</v>
      </c>
      <c r="K256" s="194">
        <f>IF(_1_54128456121462410464578910174[[#This Row],[Discount selection]]&gt;0,VLOOKUP(_1_54128456121462410464578910174[[#This Row],[Discount selection]],'Discount Structure'!$A$2:$B$30,2,"false"),0)</f>
        <v>1</v>
      </c>
      <c r="L256" s="194">
        <f>_1_54128456121462410464578910174[[#This Row],[LIST $]]*_1_54128456121462410464578910174[[#This Row],[DISCOUNT]]*_1_54128456121462410464578910174[[#This Row],[DISCOUNT 2]]</f>
        <v>0</v>
      </c>
      <c r="M256" s="194">
        <f>IF(OR(_1_54128456121462410464578910174[[#This Row],[UNIT]]&gt;0,_1_54128456121462410464578910174[[#This Row],[UNIT]]&lt;0),_1_54128456121462410464578910174[[#This Row],[UNIT]]*_1_54128456121462410464578910174[[#This Row],[COST]],0)</f>
        <v>0</v>
      </c>
      <c r="N256" s="194">
        <f t="shared" si="3"/>
        <v>1.5</v>
      </c>
      <c r="O256" s="198">
        <f>_1_54128456121462410464578910174[[#This Row],[TOTAL]]*_1_54128456121462410464578910174[[#This Row],[MARGIN]]</f>
        <v>0</v>
      </c>
      <c r="R256" s="41"/>
    </row>
    <row r="257" spans="1:18">
      <c r="A257" s="323"/>
      <c r="B257" s="323"/>
      <c r="C257" s="168"/>
      <c r="D257" s="188"/>
      <c r="F257" s="168" t="s">
        <v>6202</v>
      </c>
      <c r="G257" s="193">
        <f>IF(_1_54128456121462410464578910174[[#This Row],[Type]]&gt;0,VLOOKUP(_1_54128456121462410464578910174[[#This Row],[Type]],Main[[#All],[TYPE]:[UNIT]],'Unit Price'!C$1,FALSE),0)</f>
        <v>0</v>
      </c>
      <c r="H257" s="197">
        <f>IF(_1_54128456121462410464578910174[[#This Row],[Type]]&gt;0,VLOOKUP(_1_54128456121462410464578910174[[#This Row],[Type]],Main[[#All],[TYPE]:[UNIT]],'Unit Price'!D$1,FALSE),0)</f>
        <v>0</v>
      </c>
      <c r="I257" s="194">
        <f>IF(_1_54128456121462410464578910174[[#This Row],[Type]]&gt;0,VLOOKUP(_1_54128456121462410464578910174[[#This Row],[Type]],Main[[#All],[TYPE]:[UNIT]],'Unit Price'!G$1,FALSE),0)</f>
        <v>0</v>
      </c>
      <c r="J257" s="194">
        <f>IF(_1_54128456121462410464578910174[[#This Row],[Type]]&gt;0,VLOOKUP(_1_54128456121462410464578910174[[#This Row],[Type]],Main[[#All],[TYPE]:[UNIT]],'Unit Price'!H$1,FALSE),0)</f>
        <v>0</v>
      </c>
      <c r="K257" s="194">
        <f>IF(_1_54128456121462410464578910174[[#This Row],[Discount selection]]&gt;0,VLOOKUP(_1_54128456121462410464578910174[[#This Row],[Discount selection]],'Discount Structure'!$A$2:$B$30,2,"false"),0)</f>
        <v>1</v>
      </c>
      <c r="L257" s="194">
        <f>_1_54128456121462410464578910174[[#This Row],[LIST $]]*_1_54128456121462410464578910174[[#This Row],[DISCOUNT]]*_1_54128456121462410464578910174[[#This Row],[DISCOUNT 2]]</f>
        <v>0</v>
      </c>
      <c r="M257" s="194">
        <f>IF(OR(_1_54128456121462410464578910174[[#This Row],[UNIT]]&gt;0,_1_54128456121462410464578910174[[#This Row],[UNIT]]&lt;0),_1_54128456121462410464578910174[[#This Row],[UNIT]]*_1_54128456121462410464578910174[[#This Row],[COST]],0)</f>
        <v>0</v>
      </c>
      <c r="N257" s="194">
        <f t="shared" si="3"/>
        <v>1.5</v>
      </c>
      <c r="O257" s="198">
        <f>_1_54128456121462410464578910174[[#This Row],[TOTAL]]*_1_54128456121462410464578910174[[#This Row],[MARGIN]]</f>
        <v>0</v>
      </c>
      <c r="R257" s="41"/>
    </row>
    <row r="258" spans="1:18">
      <c r="A258" s="323"/>
      <c r="B258" s="325"/>
      <c r="C258" s="168"/>
      <c r="D258" s="188"/>
      <c r="F258" s="168" t="s">
        <v>6202</v>
      </c>
      <c r="G258" s="193">
        <f>IF(_1_54128456121462410464578910174[[#This Row],[Type]]&gt;0,VLOOKUP(_1_54128456121462410464578910174[[#This Row],[Type]],Main[[#All],[TYPE]:[UNIT]],'Unit Price'!C$1,FALSE),0)</f>
        <v>0</v>
      </c>
      <c r="H258" s="197">
        <f>IF(_1_54128456121462410464578910174[[#This Row],[Type]]&gt;0,VLOOKUP(_1_54128456121462410464578910174[[#This Row],[Type]],Main[[#All],[TYPE]:[UNIT]],'Unit Price'!D$1,FALSE),0)</f>
        <v>0</v>
      </c>
      <c r="I258" s="194">
        <f>IF(_1_54128456121462410464578910174[[#This Row],[Type]]&gt;0,VLOOKUP(_1_54128456121462410464578910174[[#This Row],[Type]],Main[[#All],[TYPE]:[UNIT]],'Unit Price'!G$1,FALSE),0)</f>
        <v>0</v>
      </c>
      <c r="J258" s="194">
        <f>IF(_1_54128456121462410464578910174[[#This Row],[Type]]&gt;0,VLOOKUP(_1_54128456121462410464578910174[[#This Row],[Type]],Main[[#All],[TYPE]:[UNIT]],'Unit Price'!H$1,FALSE),0)</f>
        <v>0</v>
      </c>
      <c r="K258" s="194">
        <f>IF(_1_54128456121462410464578910174[[#This Row],[Discount selection]]&gt;0,VLOOKUP(_1_54128456121462410464578910174[[#This Row],[Discount selection]],'Discount Structure'!$A$2:$B$30,2,"false"),0)</f>
        <v>1</v>
      </c>
      <c r="L258" s="194">
        <f>_1_54128456121462410464578910174[[#This Row],[LIST $]]*_1_54128456121462410464578910174[[#This Row],[DISCOUNT]]*_1_54128456121462410464578910174[[#This Row],[DISCOUNT 2]]</f>
        <v>0</v>
      </c>
      <c r="M258" s="194">
        <f>IF(OR(_1_54128456121462410464578910174[[#This Row],[UNIT]]&gt;0,_1_54128456121462410464578910174[[#This Row],[UNIT]]&lt;0),_1_54128456121462410464578910174[[#This Row],[UNIT]]*_1_54128456121462410464578910174[[#This Row],[COST]],0)</f>
        <v>0</v>
      </c>
      <c r="N258" s="194">
        <f t="shared" si="3"/>
        <v>1.5</v>
      </c>
      <c r="O258" s="198">
        <f>_1_54128456121462410464578910174[[#This Row],[TOTAL]]*_1_54128456121462410464578910174[[#This Row],[MARGIN]]</f>
        <v>0</v>
      </c>
      <c r="R258" s="41"/>
    </row>
    <row r="259" spans="1:18">
      <c r="C259" s="168"/>
      <c r="D259" s="188"/>
      <c r="F259" s="168" t="s">
        <v>6202</v>
      </c>
      <c r="G259" s="193">
        <f>IF(_1_54128456121462410464578910174[[#This Row],[Type]]&gt;0,VLOOKUP(_1_54128456121462410464578910174[[#This Row],[Type]],Main[[#All],[TYPE]:[UNIT]],'Unit Price'!C$1,FALSE),0)</f>
        <v>0</v>
      </c>
      <c r="H259" s="197">
        <f>IF(_1_54128456121462410464578910174[[#This Row],[Type]]&gt;0,VLOOKUP(_1_54128456121462410464578910174[[#This Row],[Type]],Main[[#All],[TYPE]:[UNIT]],'Unit Price'!D$1,FALSE),0)</f>
        <v>0</v>
      </c>
      <c r="I259" s="194">
        <f>IF(_1_54128456121462410464578910174[[#This Row],[Type]]&gt;0,VLOOKUP(_1_54128456121462410464578910174[[#This Row],[Type]],Main[[#All],[TYPE]:[UNIT]],'Unit Price'!G$1,FALSE),0)</f>
        <v>0</v>
      </c>
      <c r="J259" s="194">
        <f>IF(_1_54128456121462410464578910174[[#This Row],[Type]]&gt;0,VLOOKUP(_1_54128456121462410464578910174[[#This Row],[Type]],Main[[#All],[TYPE]:[UNIT]],'Unit Price'!H$1,FALSE),0)</f>
        <v>0</v>
      </c>
      <c r="K259" s="194">
        <f>IF(_1_54128456121462410464578910174[[#This Row],[Discount selection]]&gt;0,VLOOKUP(_1_54128456121462410464578910174[[#This Row],[Discount selection]],'Discount Structure'!$A$2:$B$30,2,"false"),0)</f>
        <v>1</v>
      </c>
      <c r="L259" s="194">
        <f>_1_54128456121462410464578910174[[#This Row],[LIST $]]*_1_54128456121462410464578910174[[#This Row],[DISCOUNT]]*_1_54128456121462410464578910174[[#This Row],[DISCOUNT 2]]</f>
        <v>0</v>
      </c>
      <c r="M259" s="194">
        <f>IF(OR(_1_54128456121462410464578910174[[#This Row],[UNIT]]&gt;0,_1_54128456121462410464578910174[[#This Row],[UNIT]]&lt;0),_1_54128456121462410464578910174[[#This Row],[UNIT]]*_1_54128456121462410464578910174[[#This Row],[COST]],0)</f>
        <v>0</v>
      </c>
      <c r="N259" s="194">
        <f t="shared" si="3"/>
        <v>1.5</v>
      </c>
      <c r="O259" s="198">
        <f>_1_54128456121462410464578910174[[#This Row],[TOTAL]]*_1_54128456121462410464578910174[[#This Row],[MARGIN]]</f>
        <v>0</v>
      </c>
      <c r="R259" s="41"/>
    </row>
    <row r="260" spans="1:18">
      <c r="C260" s="168"/>
      <c r="D260" s="188"/>
      <c r="F260" s="168" t="s">
        <v>6202</v>
      </c>
      <c r="G260" s="205">
        <f>IF(_1_54128456121462410464578910174[[#This Row],[Type]]&gt;0,VLOOKUP(_1_54128456121462410464578910174[[#This Row],[Type]],Main[[#All],[TYPE]:[UNIT]],'Unit Price'!C$1,FALSE),0)</f>
        <v>0</v>
      </c>
      <c r="H260" s="197">
        <f>IF(_1_54128456121462410464578910174[[#This Row],[Type]]&gt;0,VLOOKUP(_1_54128456121462410464578910174[[#This Row],[Type]],Main[[#All],[TYPE]:[UNIT]],'Unit Price'!D$1,FALSE),0)</f>
        <v>0</v>
      </c>
      <c r="I260" s="194">
        <f>IF(_1_54128456121462410464578910174[[#This Row],[Type]]&gt;0,VLOOKUP(_1_54128456121462410464578910174[[#This Row],[Type]],Main[[#All],[TYPE]:[UNIT]],'Unit Price'!G$1,FALSE),0)</f>
        <v>0</v>
      </c>
      <c r="J260" s="194">
        <f>IF(_1_54128456121462410464578910174[[#This Row],[Type]]&gt;0,VLOOKUP(_1_54128456121462410464578910174[[#This Row],[Type]],Main[[#All],[TYPE]:[UNIT]],'Unit Price'!H$1,FALSE),0)</f>
        <v>0</v>
      </c>
      <c r="K260" s="194">
        <f>IF(_1_54128456121462410464578910174[[#This Row],[Discount selection]]&gt;0,VLOOKUP(_1_54128456121462410464578910174[[#This Row],[Discount selection]],'Discount Structure'!$A$2:$B$30,2,"false"),0)</f>
        <v>1</v>
      </c>
      <c r="L260" s="194">
        <f>_1_54128456121462410464578910174[[#This Row],[LIST $]]*_1_54128456121462410464578910174[[#This Row],[DISCOUNT]]*_1_54128456121462410464578910174[[#This Row],[DISCOUNT 2]]</f>
        <v>0</v>
      </c>
      <c r="M260" s="194">
        <f>IF(OR(_1_54128456121462410464578910174[[#This Row],[UNIT]]&gt;0,_1_54128456121462410464578910174[[#This Row],[UNIT]]&lt;0),_1_54128456121462410464578910174[[#This Row],[UNIT]]*_1_54128456121462410464578910174[[#This Row],[COST]],0)</f>
        <v>0</v>
      </c>
      <c r="N260" s="194">
        <f t="shared" si="3"/>
        <v>1.5</v>
      </c>
      <c r="O260" s="198">
        <f>_1_54128456121462410464578910174[[#This Row],[TOTAL]]*_1_54128456121462410464578910174[[#This Row],[MARGIN]]</f>
        <v>0</v>
      </c>
      <c r="R260" s="41"/>
    </row>
    <row r="261" spans="1:18">
      <c r="A261" s="323"/>
      <c r="B261" s="325"/>
      <c r="C261" s="168"/>
      <c r="D261" s="188"/>
      <c r="F261" s="168" t="s">
        <v>6202</v>
      </c>
      <c r="G261" s="193">
        <f>IF(_1_54128456121462410464578910174[[#This Row],[Type]]&gt;0,VLOOKUP(_1_54128456121462410464578910174[[#This Row],[Type]],Main[[#All],[TYPE]:[UNIT]],'Unit Price'!C$1,FALSE),0)</f>
        <v>0</v>
      </c>
      <c r="H261" s="197">
        <f>IF(_1_54128456121462410464578910174[[#This Row],[Type]]&gt;0,VLOOKUP(_1_54128456121462410464578910174[[#This Row],[Type]],Main[[#All],[TYPE]:[UNIT]],'Unit Price'!D$1,FALSE),0)</f>
        <v>0</v>
      </c>
      <c r="I261" s="194">
        <f>IF(_1_54128456121462410464578910174[[#This Row],[Type]]&gt;0,VLOOKUP(_1_54128456121462410464578910174[[#This Row],[Type]],Main[[#All],[TYPE]:[UNIT]],'Unit Price'!G$1,FALSE),0)</f>
        <v>0</v>
      </c>
      <c r="J261" s="194">
        <f>IF(_1_54128456121462410464578910174[[#This Row],[Type]]&gt;0,VLOOKUP(_1_54128456121462410464578910174[[#This Row],[Type]],Main[[#All],[TYPE]:[UNIT]],'Unit Price'!H$1,FALSE),0)</f>
        <v>0</v>
      </c>
      <c r="K261" s="194">
        <f>IF(_1_54128456121462410464578910174[[#This Row],[Discount selection]]&gt;0,VLOOKUP(_1_54128456121462410464578910174[[#This Row],[Discount selection]],'Discount Structure'!$A$2:$B$30,2,"false"),0)</f>
        <v>1</v>
      </c>
      <c r="L261" s="194">
        <f>_1_54128456121462410464578910174[[#This Row],[LIST $]]*_1_54128456121462410464578910174[[#This Row],[DISCOUNT]]*_1_54128456121462410464578910174[[#This Row],[DISCOUNT 2]]</f>
        <v>0</v>
      </c>
      <c r="M261" s="194">
        <f>IF(OR(_1_54128456121462410464578910174[[#This Row],[UNIT]]&gt;0,_1_54128456121462410464578910174[[#This Row],[UNIT]]&lt;0),_1_54128456121462410464578910174[[#This Row],[UNIT]]*_1_54128456121462410464578910174[[#This Row],[COST]],0)</f>
        <v>0</v>
      </c>
      <c r="N261" s="194">
        <f t="shared" si="3"/>
        <v>1.5</v>
      </c>
      <c r="O261" s="198">
        <f>_1_54128456121462410464578910174[[#This Row],[TOTAL]]*_1_54128456121462410464578910174[[#This Row],[MARGIN]]</f>
        <v>0</v>
      </c>
      <c r="R261" s="41"/>
    </row>
    <row r="262" spans="1:18">
      <c r="C262" s="168"/>
      <c r="D262" s="188"/>
      <c r="F262" s="168" t="s">
        <v>6202</v>
      </c>
      <c r="G262" s="193">
        <f>IF(_1_54128456121462410464578910174[[#This Row],[Type]]&gt;0,VLOOKUP(_1_54128456121462410464578910174[[#This Row],[Type]],Main[[#All],[TYPE]:[UNIT]],'Unit Price'!C$1,FALSE),0)</f>
        <v>0</v>
      </c>
      <c r="H262" s="197">
        <f>IF(_1_54128456121462410464578910174[[#This Row],[Type]]&gt;0,VLOOKUP(_1_54128456121462410464578910174[[#This Row],[Type]],Main[[#All],[TYPE]:[UNIT]],'Unit Price'!D$1,FALSE),0)</f>
        <v>0</v>
      </c>
      <c r="I262" s="194">
        <f>IF(_1_54128456121462410464578910174[[#This Row],[Type]]&gt;0,VLOOKUP(_1_54128456121462410464578910174[[#This Row],[Type]],Main[[#All],[TYPE]:[UNIT]],'Unit Price'!G$1,FALSE),0)</f>
        <v>0</v>
      </c>
      <c r="J262" s="194">
        <f>IF(_1_54128456121462410464578910174[[#This Row],[Type]]&gt;0,VLOOKUP(_1_54128456121462410464578910174[[#This Row],[Type]],Main[[#All],[TYPE]:[UNIT]],'Unit Price'!H$1,FALSE),0)</f>
        <v>0</v>
      </c>
      <c r="K262" s="194">
        <f>IF(_1_54128456121462410464578910174[[#This Row],[Discount selection]]&gt;0,VLOOKUP(_1_54128456121462410464578910174[[#This Row],[Discount selection]],'Discount Structure'!$A$2:$B$30,2,"false"),0)</f>
        <v>1</v>
      </c>
      <c r="L262" s="194">
        <f>_1_54128456121462410464578910174[[#This Row],[LIST $]]*_1_54128456121462410464578910174[[#This Row],[DISCOUNT]]*_1_54128456121462410464578910174[[#This Row],[DISCOUNT 2]]</f>
        <v>0</v>
      </c>
      <c r="M262" s="194">
        <f>IF(OR(_1_54128456121462410464578910174[[#This Row],[UNIT]]&gt;0,_1_54128456121462410464578910174[[#This Row],[UNIT]]&lt;0),_1_54128456121462410464578910174[[#This Row],[UNIT]]*_1_54128456121462410464578910174[[#This Row],[COST]],0)</f>
        <v>0</v>
      </c>
      <c r="N262" s="194">
        <f t="shared" si="3"/>
        <v>1.5</v>
      </c>
      <c r="O262" s="198">
        <f>_1_54128456121462410464578910174[[#This Row],[TOTAL]]*_1_54128456121462410464578910174[[#This Row],[MARGIN]]</f>
        <v>0</v>
      </c>
      <c r="R262" s="41"/>
    </row>
    <row r="263" spans="1:18">
      <c r="C263" s="168"/>
      <c r="D263" s="188"/>
      <c r="F263" s="168" t="s">
        <v>6202</v>
      </c>
      <c r="G263" s="193">
        <f>IF(_1_54128456121462410464578910174[[#This Row],[Type]]&gt;0,VLOOKUP(_1_54128456121462410464578910174[[#This Row],[Type]],Main[[#All],[TYPE]:[UNIT]],'Unit Price'!C$1,FALSE),0)</f>
        <v>0</v>
      </c>
      <c r="H263" s="197">
        <f>IF(_1_54128456121462410464578910174[[#This Row],[Type]]&gt;0,VLOOKUP(_1_54128456121462410464578910174[[#This Row],[Type]],Main[[#All],[TYPE]:[UNIT]],'Unit Price'!D$1,FALSE),0)</f>
        <v>0</v>
      </c>
      <c r="I263" s="194">
        <f>IF(_1_54128456121462410464578910174[[#This Row],[Type]]&gt;0,VLOOKUP(_1_54128456121462410464578910174[[#This Row],[Type]],Main[[#All],[TYPE]:[UNIT]],'Unit Price'!G$1,FALSE),0)</f>
        <v>0</v>
      </c>
      <c r="J263" s="194">
        <f>IF(_1_54128456121462410464578910174[[#This Row],[Type]]&gt;0,VLOOKUP(_1_54128456121462410464578910174[[#This Row],[Type]],Main[[#All],[TYPE]:[UNIT]],'Unit Price'!H$1,FALSE),0)</f>
        <v>0</v>
      </c>
      <c r="K263" s="194">
        <f>IF(_1_54128456121462410464578910174[[#This Row],[Discount selection]]&gt;0,VLOOKUP(_1_54128456121462410464578910174[[#This Row],[Discount selection]],'Discount Structure'!$A$2:$B$30,2,"false"),0)</f>
        <v>1</v>
      </c>
      <c r="L263" s="194">
        <f>_1_54128456121462410464578910174[[#This Row],[LIST $]]*_1_54128456121462410464578910174[[#This Row],[DISCOUNT]]*_1_54128456121462410464578910174[[#This Row],[DISCOUNT 2]]</f>
        <v>0</v>
      </c>
      <c r="M263" s="194">
        <f>IF(OR(_1_54128456121462410464578910174[[#This Row],[UNIT]]&gt;0,_1_54128456121462410464578910174[[#This Row],[UNIT]]&lt;0),_1_54128456121462410464578910174[[#This Row],[UNIT]]*_1_54128456121462410464578910174[[#This Row],[COST]],0)</f>
        <v>0</v>
      </c>
      <c r="N263" s="194">
        <f t="shared" si="3"/>
        <v>1.5</v>
      </c>
      <c r="O263" s="198">
        <f>_1_54128456121462410464578910174[[#This Row],[TOTAL]]*_1_54128456121462410464578910174[[#This Row],[MARGIN]]</f>
        <v>0</v>
      </c>
      <c r="R263" s="41"/>
    </row>
    <row r="264" spans="1:18">
      <c r="C264" s="168"/>
      <c r="D264" s="188"/>
      <c r="F264" s="168" t="s">
        <v>6202</v>
      </c>
      <c r="G264" s="193">
        <f>IF(_1_54128456121462410464578910174[[#This Row],[Type]]&gt;0,VLOOKUP(_1_54128456121462410464578910174[[#This Row],[Type]],Main[[#All],[TYPE]:[UNIT]],'Unit Price'!C$1,FALSE),0)</f>
        <v>0</v>
      </c>
      <c r="H264" s="197">
        <f>IF(_1_54128456121462410464578910174[[#This Row],[Type]]&gt;0,VLOOKUP(_1_54128456121462410464578910174[[#This Row],[Type]],Main[[#All],[TYPE]:[UNIT]],'Unit Price'!D$1,FALSE),0)</f>
        <v>0</v>
      </c>
      <c r="I264" s="194">
        <f>IF(_1_54128456121462410464578910174[[#This Row],[Type]]&gt;0,VLOOKUP(_1_54128456121462410464578910174[[#This Row],[Type]],Main[[#All],[TYPE]:[UNIT]],'Unit Price'!G$1,FALSE),0)</f>
        <v>0</v>
      </c>
      <c r="J264" s="194">
        <f>IF(_1_54128456121462410464578910174[[#This Row],[Type]]&gt;0,VLOOKUP(_1_54128456121462410464578910174[[#This Row],[Type]],Main[[#All],[TYPE]:[UNIT]],'Unit Price'!H$1,FALSE),0)</f>
        <v>0</v>
      </c>
      <c r="K264" s="194">
        <f>IF(_1_54128456121462410464578910174[[#This Row],[Discount selection]]&gt;0,VLOOKUP(_1_54128456121462410464578910174[[#This Row],[Discount selection]],'Discount Structure'!$A$2:$B$30,2,"false"),0)</f>
        <v>1</v>
      </c>
      <c r="L264" s="194">
        <f>_1_54128456121462410464578910174[[#This Row],[LIST $]]*_1_54128456121462410464578910174[[#This Row],[DISCOUNT]]*_1_54128456121462410464578910174[[#This Row],[DISCOUNT 2]]</f>
        <v>0</v>
      </c>
      <c r="M264" s="194">
        <f>IF(OR(_1_54128456121462410464578910174[[#This Row],[UNIT]]&gt;0,_1_54128456121462410464578910174[[#This Row],[UNIT]]&lt;0),_1_54128456121462410464578910174[[#This Row],[UNIT]]*_1_54128456121462410464578910174[[#This Row],[COST]],0)</f>
        <v>0</v>
      </c>
      <c r="N264" s="194">
        <f t="shared" si="3"/>
        <v>1.5</v>
      </c>
      <c r="O264" s="198">
        <f>_1_54128456121462410464578910174[[#This Row],[TOTAL]]*_1_54128456121462410464578910174[[#This Row],[MARGIN]]</f>
        <v>0</v>
      </c>
      <c r="R264" s="41"/>
    </row>
    <row r="265" spans="1:18">
      <c r="C265" s="168"/>
      <c r="D265" s="188"/>
      <c r="F265" s="168" t="s">
        <v>6202</v>
      </c>
      <c r="G265" s="205">
        <f>IF(_1_54128456121462410464578910174[[#This Row],[Type]]&gt;0,VLOOKUP(_1_54128456121462410464578910174[[#This Row],[Type]],Main[[#All],[TYPE]:[UNIT]],'Unit Price'!C$1,FALSE),0)</f>
        <v>0</v>
      </c>
      <c r="H265" s="197">
        <f>IF(_1_54128456121462410464578910174[[#This Row],[Type]]&gt;0,VLOOKUP(_1_54128456121462410464578910174[[#This Row],[Type]],Main[[#All],[TYPE]:[UNIT]],'Unit Price'!D$1,FALSE),0)</f>
        <v>0</v>
      </c>
      <c r="I265" s="194">
        <f>IF(_1_54128456121462410464578910174[[#This Row],[Type]]&gt;0,VLOOKUP(_1_54128456121462410464578910174[[#This Row],[Type]],Main[[#All],[TYPE]:[UNIT]],'Unit Price'!G$1,FALSE),0)</f>
        <v>0</v>
      </c>
      <c r="J265" s="194">
        <f>IF(_1_54128456121462410464578910174[[#This Row],[Type]]&gt;0,VLOOKUP(_1_54128456121462410464578910174[[#This Row],[Type]],Main[[#All],[TYPE]:[UNIT]],'Unit Price'!H$1,FALSE),0)</f>
        <v>0</v>
      </c>
      <c r="K265" s="194">
        <f>IF(_1_54128456121462410464578910174[[#This Row],[Discount selection]]&gt;0,VLOOKUP(_1_54128456121462410464578910174[[#This Row],[Discount selection]],'Discount Structure'!$A$2:$B$30,2,"false"),0)</f>
        <v>1</v>
      </c>
      <c r="L265" s="194">
        <f>_1_54128456121462410464578910174[[#This Row],[LIST $]]*_1_54128456121462410464578910174[[#This Row],[DISCOUNT]]*_1_54128456121462410464578910174[[#This Row],[DISCOUNT 2]]</f>
        <v>0</v>
      </c>
      <c r="M265" s="194">
        <f>IF(OR(_1_54128456121462410464578910174[[#This Row],[UNIT]]&gt;0,_1_54128456121462410464578910174[[#This Row],[UNIT]]&lt;0),_1_54128456121462410464578910174[[#This Row],[UNIT]]*_1_54128456121462410464578910174[[#This Row],[COST]],0)</f>
        <v>0</v>
      </c>
      <c r="N265" s="194">
        <f t="shared" si="3"/>
        <v>1.5</v>
      </c>
      <c r="O265" s="198">
        <f>_1_54128456121462410464578910174[[#This Row],[TOTAL]]*_1_54128456121462410464578910174[[#This Row],[MARGIN]]</f>
        <v>0</v>
      </c>
      <c r="R265" s="41"/>
    </row>
    <row r="266" spans="1:18">
      <c r="A266" s="168"/>
      <c r="B266" s="168"/>
      <c r="C266" s="168"/>
      <c r="D266" s="188"/>
      <c r="F266" s="168" t="s">
        <v>6202</v>
      </c>
      <c r="G266" s="193">
        <f>IF(_1_54128456121462410464578910174[[#This Row],[Type]]&gt;0,VLOOKUP(_1_54128456121462410464578910174[[#This Row],[Type]],Main[[#All],[TYPE]:[UNIT]],'Unit Price'!C$1,FALSE),0)</f>
        <v>0</v>
      </c>
      <c r="H266" s="197">
        <f>IF(_1_54128456121462410464578910174[[#This Row],[Type]]&gt;0,VLOOKUP(_1_54128456121462410464578910174[[#This Row],[Type]],Main[[#All],[TYPE]:[UNIT]],'Unit Price'!D$1,FALSE),0)</f>
        <v>0</v>
      </c>
      <c r="I266" s="194">
        <f>IF(_1_54128456121462410464578910174[[#This Row],[Type]]&gt;0,VLOOKUP(_1_54128456121462410464578910174[[#This Row],[Type]],Main[[#All],[TYPE]:[UNIT]],'Unit Price'!G$1,FALSE),0)</f>
        <v>0</v>
      </c>
      <c r="J266" s="194">
        <f>IF(_1_54128456121462410464578910174[[#This Row],[Type]]&gt;0,VLOOKUP(_1_54128456121462410464578910174[[#This Row],[Type]],Main[[#All],[TYPE]:[UNIT]],'Unit Price'!H$1,FALSE),0)</f>
        <v>0</v>
      </c>
      <c r="K266" s="194">
        <f>IF(_1_54128456121462410464578910174[[#This Row],[Discount selection]]&gt;0,VLOOKUP(_1_54128456121462410464578910174[[#This Row],[Discount selection]],'Discount Structure'!$A$2:$B$30,2,"false"),0)</f>
        <v>1</v>
      </c>
      <c r="L266" s="194">
        <f>_1_54128456121462410464578910174[[#This Row],[LIST $]]*_1_54128456121462410464578910174[[#This Row],[DISCOUNT]]*_1_54128456121462410464578910174[[#This Row],[DISCOUNT 2]]</f>
        <v>0</v>
      </c>
      <c r="M266" s="194">
        <f>IF(OR(_1_54128456121462410464578910174[[#This Row],[UNIT]]&gt;0,_1_54128456121462410464578910174[[#This Row],[UNIT]]&lt;0),_1_54128456121462410464578910174[[#This Row],[UNIT]]*_1_54128456121462410464578910174[[#This Row],[COST]],0)</f>
        <v>0</v>
      </c>
      <c r="N266" s="194">
        <f t="shared" ref="N266:N329" si="4">$N$7</f>
        <v>1.5</v>
      </c>
      <c r="O266" s="198">
        <f>_1_54128456121462410464578910174[[#This Row],[TOTAL]]*_1_54128456121462410464578910174[[#This Row],[MARGIN]]</f>
        <v>0</v>
      </c>
      <c r="R266" s="41"/>
    </row>
    <row r="267" spans="1:18">
      <c r="A267" s="323"/>
      <c r="B267" s="323"/>
      <c r="C267" s="168"/>
      <c r="D267" s="188"/>
      <c r="F267" s="168" t="s">
        <v>6202</v>
      </c>
      <c r="G267" s="193">
        <f>IF(_1_54128456121462410464578910174[[#This Row],[Type]]&gt;0,VLOOKUP(_1_54128456121462410464578910174[[#This Row],[Type]],Main[[#All],[TYPE]:[UNIT]],'Unit Price'!C$1,FALSE),0)</f>
        <v>0</v>
      </c>
      <c r="H267" s="197">
        <f>IF(_1_54128456121462410464578910174[[#This Row],[Type]]&gt;0,VLOOKUP(_1_54128456121462410464578910174[[#This Row],[Type]],Main[[#All],[TYPE]:[UNIT]],'Unit Price'!D$1,FALSE),0)</f>
        <v>0</v>
      </c>
      <c r="I267" s="194">
        <f>IF(_1_54128456121462410464578910174[[#This Row],[Type]]&gt;0,VLOOKUP(_1_54128456121462410464578910174[[#This Row],[Type]],Main[[#All],[TYPE]:[UNIT]],'Unit Price'!G$1,FALSE),0)</f>
        <v>0</v>
      </c>
      <c r="J267" s="194">
        <f>IF(_1_54128456121462410464578910174[[#This Row],[Type]]&gt;0,VLOOKUP(_1_54128456121462410464578910174[[#This Row],[Type]],Main[[#All],[TYPE]:[UNIT]],'Unit Price'!H$1,FALSE),0)</f>
        <v>0</v>
      </c>
      <c r="K267" s="194">
        <f>IF(_1_54128456121462410464578910174[[#This Row],[Discount selection]]&gt;0,VLOOKUP(_1_54128456121462410464578910174[[#This Row],[Discount selection]],'Discount Structure'!$A$2:$B$30,2,"false"),0)</f>
        <v>1</v>
      </c>
      <c r="L267" s="194">
        <f>_1_54128456121462410464578910174[[#This Row],[LIST $]]*_1_54128456121462410464578910174[[#This Row],[DISCOUNT]]*_1_54128456121462410464578910174[[#This Row],[DISCOUNT 2]]</f>
        <v>0</v>
      </c>
      <c r="M267" s="194">
        <f>IF(OR(_1_54128456121462410464578910174[[#This Row],[UNIT]]&gt;0,_1_54128456121462410464578910174[[#This Row],[UNIT]]&lt;0),_1_54128456121462410464578910174[[#This Row],[UNIT]]*_1_54128456121462410464578910174[[#This Row],[COST]],0)</f>
        <v>0</v>
      </c>
      <c r="N267" s="194">
        <f t="shared" si="4"/>
        <v>1.5</v>
      </c>
      <c r="O267" s="198">
        <f>_1_54128456121462410464578910174[[#This Row],[TOTAL]]*_1_54128456121462410464578910174[[#This Row],[MARGIN]]</f>
        <v>0</v>
      </c>
      <c r="R267" s="41"/>
    </row>
    <row r="268" spans="1:18">
      <c r="A268" s="323"/>
      <c r="B268" s="325"/>
      <c r="C268" s="168"/>
      <c r="D268" s="188"/>
      <c r="F268" s="168" t="s">
        <v>6202</v>
      </c>
      <c r="G268" s="193">
        <f>IF(_1_54128456121462410464578910174[[#This Row],[Type]]&gt;0,VLOOKUP(_1_54128456121462410464578910174[[#This Row],[Type]],Main[[#All],[TYPE]:[UNIT]],'Unit Price'!C$1,FALSE),0)</f>
        <v>0</v>
      </c>
      <c r="H268" s="197">
        <f>IF(_1_54128456121462410464578910174[[#This Row],[Type]]&gt;0,VLOOKUP(_1_54128456121462410464578910174[[#This Row],[Type]],Main[[#All],[TYPE]:[UNIT]],'Unit Price'!D$1,FALSE),0)</f>
        <v>0</v>
      </c>
      <c r="I268" s="194">
        <f>IF(_1_54128456121462410464578910174[[#This Row],[Type]]&gt;0,VLOOKUP(_1_54128456121462410464578910174[[#This Row],[Type]],Main[[#All],[TYPE]:[UNIT]],'Unit Price'!G$1,FALSE),0)</f>
        <v>0</v>
      </c>
      <c r="J268" s="194">
        <f>IF(_1_54128456121462410464578910174[[#This Row],[Type]]&gt;0,VLOOKUP(_1_54128456121462410464578910174[[#This Row],[Type]],Main[[#All],[TYPE]:[UNIT]],'Unit Price'!H$1,FALSE),0)</f>
        <v>0</v>
      </c>
      <c r="K268" s="194">
        <f>IF(_1_54128456121462410464578910174[[#This Row],[Discount selection]]&gt;0,VLOOKUP(_1_54128456121462410464578910174[[#This Row],[Discount selection]],'Discount Structure'!$A$2:$B$30,2,"false"),0)</f>
        <v>1</v>
      </c>
      <c r="L268" s="194">
        <f>_1_54128456121462410464578910174[[#This Row],[LIST $]]*_1_54128456121462410464578910174[[#This Row],[DISCOUNT]]*_1_54128456121462410464578910174[[#This Row],[DISCOUNT 2]]</f>
        <v>0</v>
      </c>
      <c r="M268" s="194">
        <f>IF(OR(_1_54128456121462410464578910174[[#This Row],[UNIT]]&gt;0,_1_54128456121462410464578910174[[#This Row],[UNIT]]&lt;0),_1_54128456121462410464578910174[[#This Row],[UNIT]]*_1_54128456121462410464578910174[[#This Row],[COST]],0)</f>
        <v>0</v>
      </c>
      <c r="N268" s="194">
        <f t="shared" si="4"/>
        <v>1.5</v>
      </c>
      <c r="O268" s="198">
        <f>_1_54128456121462410464578910174[[#This Row],[TOTAL]]*_1_54128456121462410464578910174[[#This Row],[MARGIN]]</f>
        <v>0</v>
      </c>
      <c r="R268" s="41"/>
    </row>
    <row r="269" spans="1:18">
      <c r="C269" s="168"/>
      <c r="D269" s="188"/>
      <c r="F269" s="168" t="s">
        <v>6202</v>
      </c>
      <c r="G269" s="193">
        <f>IF(_1_54128456121462410464578910174[[#This Row],[Type]]&gt;0,VLOOKUP(_1_54128456121462410464578910174[[#This Row],[Type]],Main[[#All],[TYPE]:[UNIT]],'Unit Price'!C$1,FALSE),0)</f>
        <v>0</v>
      </c>
      <c r="H269" s="197">
        <f>IF(_1_54128456121462410464578910174[[#This Row],[Type]]&gt;0,VLOOKUP(_1_54128456121462410464578910174[[#This Row],[Type]],Main[[#All],[TYPE]:[UNIT]],'Unit Price'!D$1,FALSE),0)</f>
        <v>0</v>
      </c>
      <c r="I269" s="194">
        <f>IF(_1_54128456121462410464578910174[[#This Row],[Type]]&gt;0,VLOOKUP(_1_54128456121462410464578910174[[#This Row],[Type]],Main[[#All],[TYPE]:[UNIT]],'Unit Price'!G$1,FALSE),0)</f>
        <v>0</v>
      </c>
      <c r="J269" s="194">
        <f>IF(_1_54128456121462410464578910174[[#This Row],[Type]]&gt;0,VLOOKUP(_1_54128456121462410464578910174[[#This Row],[Type]],Main[[#All],[TYPE]:[UNIT]],'Unit Price'!H$1,FALSE),0)</f>
        <v>0</v>
      </c>
      <c r="K269" s="194">
        <f>IF(_1_54128456121462410464578910174[[#This Row],[Discount selection]]&gt;0,VLOOKUP(_1_54128456121462410464578910174[[#This Row],[Discount selection]],'Discount Structure'!$A$2:$B$30,2,"false"),0)</f>
        <v>1</v>
      </c>
      <c r="L269" s="194">
        <f>_1_54128456121462410464578910174[[#This Row],[LIST $]]*_1_54128456121462410464578910174[[#This Row],[DISCOUNT]]*_1_54128456121462410464578910174[[#This Row],[DISCOUNT 2]]</f>
        <v>0</v>
      </c>
      <c r="M269" s="194">
        <f>IF(OR(_1_54128456121462410464578910174[[#This Row],[UNIT]]&gt;0,_1_54128456121462410464578910174[[#This Row],[UNIT]]&lt;0),_1_54128456121462410464578910174[[#This Row],[UNIT]]*_1_54128456121462410464578910174[[#This Row],[COST]],0)</f>
        <v>0</v>
      </c>
      <c r="N269" s="194">
        <f t="shared" si="4"/>
        <v>1.5</v>
      </c>
      <c r="O269" s="198">
        <f>_1_54128456121462410464578910174[[#This Row],[TOTAL]]*_1_54128456121462410464578910174[[#This Row],[MARGIN]]</f>
        <v>0</v>
      </c>
      <c r="R269" s="41"/>
    </row>
    <row r="270" spans="1:18">
      <c r="C270" s="168"/>
      <c r="D270" s="188"/>
      <c r="F270" s="168" t="s">
        <v>6202</v>
      </c>
      <c r="G270" s="193">
        <f>IF(_1_54128456121462410464578910174[[#This Row],[Type]]&gt;0,VLOOKUP(_1_54128456121462410464578910174[[#This Row],[Type]],Main[[#All],[TYPE]:[UNIT]],'Unit Price'!C$1,FALSE),0)</f>
        <v>0</v>
      </c>
      <c r="H270" s="197">
        <f>IF(_1_54128456121462410464578910174[[#This Row],[Type]]&gt;0,VLOOKUP(_1_54128456121462410464578910174[[#This Row],[Type]],Main[[#All],[TYPE]:[UNIT]],'Unit Price'!D$1,FALSE),0)</f>
        <v>0</v>
      </c>
      <c r="I270" s="194">
        <f>IF(_1_54128456121462410464578910174[[#This Row],[Type]]&gt;0,VLOOKUP(_1_54128456121462410464578910174[[#This Row],[Type]],Main[[#All],[TYPE]:[UNIT]],'Unit Price'!G$1,FALSE),0)</f>
        <v>0</v>
      </c>
      <c r="J270" s="194">
        <f>IF(_1_54128456121462410464578910174[[#This Row],[Type]]&gt;0,VLOOKUP(_1_54128456121462410464578910174[[#This Row],[Type]],Main[[#All],[TYPE]:[UNIT]],'Unit Price'!H$1,FALSE),0)</f>
        <v>0</v>
      </c>
      <c r="K270" s="194">
        <f>IF(_1_54128456121462410464578910174[[#This Row],[Discount selection]]&gt;0,VLOOKUP(_1_54128456121462410464578910174[[#This Row],[Discount selection]],'Discount Structure'!$A$2:$B$30,2,"false"),0)</f>
        <v>1</v>
      </c>
      <c r="L270" s="194">
        <f>_1_54128456121462410464578910174[[#This Row],[LIST $]]*_1_54128456121462410464578910174[[#This Row],[DISCOUNT]]*_1_54128456121462410464578910174[[#This Row],[DISCOUNT 2]]</f>
        <v>0</v>
      </c>
      <c r="M270" s="194">
        <f>IF(OR(_1_54128456121462410464578910174[[#This Row],[UNIT]]&gt;0,_1_54128456121462410464578910174[[#This Row],[UNIT]]&lt;0),_1_54128456121462410464578910174[[#This Row],[UNIT]]*_1_54128456121462410464578910174[[#This Row],[COST]],0)</f>
        <v>0</v>
      </c>
      <c r="N270" s="194">
        <f t="shared" si="4"/>
        <v>1.5</v>
      </c>
      <c r="O270" s="198">
        <f>_1_54128456121462410464578910174[[#This Row],[TOTAL]]*_1_54128456121462410464578910174[[#This Row],[MARGIN]]</f>
        <v>0</v>
      </c>
      <c r="R270" s="41"/>
    </row>
    <row r="271" spans="1:18">
      <c r="A271" s="323"/>
      <c r="B271" s="323"/>
      <c r="C271" s="168"/>
      <c r="D271" s="188"/>
      <c r="F271" s="168" t="s">
        <v>6202</v>
      </c>
      <c r="G271" s="205">
        <f>IF(_1_54128456121462410464578910174[[#This Row],[Type]]&gt;0,VLOOKUP(_1_54128456121462410464578910174[[#This Row],[Type]],Main[[#All],[TYPE]:[UNIT]],'Unit Price'!C$1,FALSE),0)</f>
        <v>0</v>
      </c>
      <c r="H271" s="197">
        <f>IF(_1_54128456121462410464578910174[[#This Row],[Type]]&gt;0,VLOOKUP(_1_54128456121462410464578910174[[#This Row],[Type]],Main[[#All],[TYPE]:[UNIT]],'Unit Price'!D$1,FALSE),0)</f>
        <v>0</v>
      </c>
      <c r="I271" s="194">
        <f>IF(_1_54128456121462410464578910174[[#This Row],[Type]]&gt;0,VLOOKUP(_1_54128456121462410464578910174[[#This Row],[Type]],Main[[#All],[TYPE]:[UNIT]],'Unit Price'!G$1,FALSE),0)</f>
        <v>0</v>
      </c>
      <c r="J271" s="194">
        <f>IF(_1_54128456121462410464578910174[[#This Row],[Type]]&gt;0,VLOOKUP(_1_54128456121462410464578910174[[#This Row],[Type]],Main[[#All],[TYPE]:[UNIT]],'Unit Price'!H$1,FALSE),0)</f>
        <v>0</v>
      </c>
      <c r="K271" s="194">
        <f>IF(_1_54128456121462410464578910174[[#This Row],[Discount selection]]&gt;0,VLOOKUP(_1_54128456121462410464578910174[[#This Row],[Discount selection]],'Discount Structure'!$A$2:$B$30,2,"false"),0)</f>
        <v>1</v>
      </c>
      <c r="L271" s="194">
        <f>_1_54128456121462410464578910174[[#This Row],[LIST $]]*_1_54128456121462410464578910174[[#This Row],[DISCOUNT]]*_1_54128456121462410464578910174[[#This Row],[DISCOUNT 2]]</f>
        <v>0</v>
      </c>
      <c r="M271" s="194">
        <f>IF(OR(_1_54128456121462410464578910174[[#This Row],[UNIT]]&gt;0,_1_54128456121462410464578910174[[#This Row],[UNIT]]&lt;0),_1_54128456121462410464578910174[[#This Row],[UNIT]]*_1_54128456121462410464578910174[[#This Row],[COST]],0)</f>
        <v>0</v>
      </c>
      <c r="N271" s="194">
        <f t="shared" si="4"/>
        <v>1.5</v>
      </c>
      <c r="O271" s="198">
        <f>_1_54128456121462410464578910174[[#This Row],[TOTAL]]*_1_54128456121462410464578910174[[#This Row],[MARGIN]]</f>
        <v>0</v>
      </c>
      <c r="R271" s="41"/>
    </row>
    <row r="272" spans="1:18">
      <c r="C272" s="168"/>
      <c r="D272" s="188"/>
      <c r="F272" s="168" t="s">
        <v>6202</v>
      </c>
      <c r="G272" s="193">
        <f>IF(_1_54128456121462410464578910174[[#This Row],[Type]]&gt;0,VLOOKUP(_1_54128456121462410464578910174[[#This Row],[Type]],Main[[#All],[TYPE]:[UNIT]],'Unit Price'!C$1,FALSE),0)</f>
        <v>0</v>
      </c>
      <c r="H272" s="197">
        <f>IF(_1_54128456121462410464578910174[[#This Row],[Type]]&gt;0,VLOOKUP(_1_54128456121462410464578910174[[#This Row],[Type]],Main[[#All],[TYPE]:[UNIT]],'Unit Price'!D$1,FALSE),0)</f>
        <v>0</v>
      </c>
      <c r="I272" s="194">
        <f>IF(_1_54128456121462410464578910174[[#This Row],[Type]]&gt;0,VLOOKUP(_1_54128456121462410464578910174[[#This Row],[Type]],Main[[#All],[TYPE]:[UNIT]],'Unit Price'!G$1,FALSE),0)</f>
        <v>0</v>
      </c>
      <c r="J272" s="194">
        <f>IF(_1_54128456121462410464578910174[[#This Row],[Type]]&gt;0,VLOOKUP(_1_54128456121462410464578910174[[#This Row],[Type]],Main[[#All],[TYPE]:[UNIT]],'Unit Price'!H$1,FALSE),0)</f>
        <v>0</v>
      </c>
      <c r="K272" s="194">
        <f>IF(_1_54128456121462410464578910174[[#This Row],[Discount selection]]&gt;0,VLOOKUP(_1_54128456121462410464578910174[[#This Row],[Discount selection]],'Discount Structure'!$A$2:$B$30,2,"false"),0)</f>
        <v>1</v>
      </c>
      <c r="L272" s="194">
        <f>_1_54128456121462410464578910174[[#This Row],[LIST $]]*_1_54128456121462410464578910174[[#This Row],[DISCOUNT]]*_1_54128456121462410464578910174[[#This Row],[DISCOUNT 2]]</f>
        <v>0</v>
      </c>
      <c r="M272" s="194">
        <f>IF(OR(_1_54128456121462410464578910174[[#This Row],[UNIT]]&gt;0,_1_54128456121462410464578910174[[#This Row],[UNIT]]&lt;0),_1_54128456121462410464578910174[[#This Row],[UNIT]]*_1_54128456121462410464578910174[[#This Row],[COST]],0)</f>
        <v>0</v>
      </c>
      <c r="N272" s="194">
        <f t="shared" si="4"/>
        <v>1.5</v>
      </c>
      <c r="O272" s="198">
        <f>_1_54128456121462410464578910174[[#This Row],[TOTAL]]*_1_54128456121462410464578910174[[#This Row],[MARGIN]]</f>
        <v>0</v>
      </c>
      <c r="R272" s="41"/>
    </row>
    <row r="273" spans="1:18">
      <c r="A273" s="168"/>
      <c r="B273" s="168"/>
      <c r="C273" s="168"/>
      <c r="D273" s="188"/>
      <c r="F273" s="168" t="s">
        <v>6202</v>
      </c>
      <c r="G273" s="193">
        <f>IF(_1_54128456121462410464578910174[[#This Row],[Type]]&gt;0,VLOOKUP(_1_54128456121462410464578910174[[#This Row],[Type]],Main[[#All],[TYPE]:[UNIT]],'Unit Price'!C$1,FALSE),0)</f>
        <v>0</v>
      </c>
      <c r="H273" s="197">
        <f>IF(_1_54128456121462410464578910174[[#This Row],[Type]]&gt;0,VLOOKUP(_1_54128456121462410464578910174[[#This Row],[Type]],Main[[#All],[TYPE]:[UNIT]],'Unit Price'!D$1,FALSE),0)</f>
        <v>0</v>
      </c>
      <c r="I273" s="194">
        <f>IF(_1_54128456121462410464578910174[[#This Row],[Type]]&gt;0,VLOOKUP(_1_54128456121462410464578910174[[#This Row],[Type]],Main[[#All],[TYPE]:[UNIT]],'Unit Price'!G$1,FALSE),0)</f>
        <v>0</v>
      </c>
      <c r="J273" s="194">
        <f>IF(_1_54128456121462410464578910174[[#This Row],[Type]]&gt;0,VLOOKUP(_1_54128456121462410464578910174[[#This Row],[Type]],Main[[#All],[TYPE]:[UNIT]],'Unit Price'!H$1,FALSE),0)</f>
        <v>0</v>
      </c>
      <c r="K273" s="194">
        <f>IF(_1_54128456121462410464578910174[[#This Row],[Discount selection]]&gt;0,VLOOKUP(_1_54128456121462410464578910174[[#This Row],[Discount selection]],'Discount Structure'!$A$2:$B$30,2,"false"),0)</f>
        <v>1</v>
      </c>
      <c r="L273" s="194">
        <f>_1_54128456121462410464578910174[[#This Row],[LIST $]]*_1_54128456121462410464578910174[[#This Row],[DISCOUNT]]*_1_54128456121462410464578910174[[#This Row],[DISCOUNT 2]]</f>
        <v>0</v>
      </c>
      <c r="M273" s="194">
        <f>IF(OR(_1_54128456121462410464578910174[[#This Row],[UNIT]]&gt;0,_1_54128456121462410464578910174[[#This Row],[UNIT]]&lt;0),_1_54128456121462410464578910174[[#This Row],[UNIT]]*_1_54128456121462410464578910174[[#This Row],[COST]],0)</f>
        <v>0</v>
      </c>
      <c r="N273" s="194">
        <f t="shared" si="4"/>
        <v>1.5</v>
      </c>
      <c r="O273" s="198">
        <f>_1_54128456121462410464578910174[[#This Row],[TOTAL]]*_1_54128456121462410464578910174[[#This Row],[MARGIN]]</f>
        <v>0</v>
      </c>
      <c r="R273" s="41"/>
    </row>
    <row r="274" spans="1:18">
      <c r="C274" s="168"/>
      <c r="D274" s="188"/>
      <c r="F274" s="168" t="s">
        <v>6202</v>
      </c>
      <c r="G274" s="193">
        <f>IF(_1_54128456121462410464578910174[[#This Row],[Type]]&gt;0,VLOOKUP(_1_54128456121462410464578910174[[#This Row],[Type]],Main[[#All],[TYPE]:[UNIT]],'Unit Price'!C$1,FALSE),0)</f>
        <v>0</v>
      </c>
      <c r="H274" s="197">
        <f>IF(_1_54128456121462410464578910174[[#This Row],[Type]]&gt;0,VLOOKUP(_1_54128456121462410464578910174[[#This Row],[Type]],Main[[#All],[TYPE]:[UNIT]],'Unit Price'!D$1,FALSE),0)</f>
        <v>0</v>
      </c>
      <c r="I274" s="194">
        <f>IF(_1_54128456121462410464578910174[[#This Row],[Type]]&gt;0,VLOOKUP(_1_54128456121462410464578910174[[#This Row],[Type]],Main[[#All],[TYPE]:[UNIT]],'Unit Price'!G$1,FALSE),0)</f>
        <v>0</v>
      </c>
      <c r="J274" s="194">
        <f>IF(_1_54128456121462410464578910174[[#This Row],[Type]]&gt;0,VLOOKUP(_1_54128456121462410464578910174[[#This Row],[Type]],Main[[#All],[TYPE]:[UNIT]],'Unit Price'!H$1,FALSE),0)</f>
        <v>0</v>
      </c>
      <c r="K274" s="194">
        <f>IF(_1_54128456121462410464578910174[[#This Row],[Discount selection]]&gt;0,VLOOKUP(_1_54128456121462410464578910174[[#This Row],[Discount selection]],'Discount Structure'!$A$2:$B$30,2,"false"),0)</f>
        <v>1</v>
      </c>
      <c r="L274" s="194">
        <f>_1_54128456121462410464578910174[[#This Row],[LIST $]]*_1_54128456121462410464578910174[[#This Row],[DISCOUNT]]*_1_54128456121462410464578910174[[#This Row],[DISCOUNT 2]]</f>
        <v>0</v>
      </c>
      <c r="M274" s="194">
        <f>IF(OR(_1_54128456121462410464578910174[[#This Row],[UNIT]]&gt;0,_1_54128456121462410464578910174[[#This Row],[UNIT]]&lt;0),_1_54128456121462410464578910174[[#This Row],[UNIT]]*_1_54128456121462410464578910174[[#This Row],[COST]],0)</f>
        <v>0</v>
      </c>
      <c r="N274" s="194">
        <f t="shared" si="4"/>
        <v>1.5</v>
      </c>
      <c r="O274" s="198">
        <f>_1_54128456121462410464578910174[[#This Row],[TOTAL]]*_1_54128456121462410464578910174[[#This Row],[MARGIN]]</f>
        <v>0</v>
      </c>
      <c r="R274" s="41"/>
    </row>
    <row r="275" spans="1:18">
      <c r="A275" s="323"/>
      <c r="B275" s="317"/>
      <c r="C275" s="168"/>
      <c r="D275" s="188"/>
      <c r="F275" s="168" t="s">
        <v>6202</v>
      </c>
      <c r="G275" s="193">
        <f>IF(_1_54128456121462410464578910174[[#This Row],[Type]]&gt;0,VLOOKUP(_1_54128456121462410464578910174[[#This Row],[Type]],Main[[#All],[TYPE]:[UNIT]],'Unit Price'!C$1,FALSE),0)</f>
        <v>0</v>
      </c>
      <c r="H275" s="197">
        <f>IF(_1_54128456121462410464578910174[[#This Row],[Type]]&gt;0,VLOOKUP(_1_54128456121462410464578910174[[#This Row],[Type]],Main[[#All],[TYPE]:[UNIT]],'Unit Price'!D$1,FALSE),0)</f>
        <v>0</v>
      </c>
      <c r="I275" s="194">
        <f>IF(_1_54128456121462410464578910174[[#This Row],[Type]]&gt;0,VLOOKUP(_1_54128456121462410464578910174[[#This Row],[Type]],Main[[#All],[TYPE]:[UNIT]],'Unit Price'!G$1,FALSE),0)</f>
        <v>0</v>
      </c>
      <c r="J275" s="194">
        <f>IF(_1_54128456121462410464578910174[[#This Row],[Type]]&gt;0,VLOOKUP(_1_54128456121462410464578910174[[#This Row],[Type]],Main[[#All],[TYPE]:[UNIT]],'Unit Price'!H$1,FALSE),0)</f>
        <v>0</v>
      </c>
      <c r="K275" s="194">
        <f>IF(_1_54128456121462410464578910174[[#This Row],[Discount selection]]&gt;0,VLOOKUP(_1_54128456121462410464578910174[[#This Row],[Discount selection]],'Discount Structure'!$A$2:$B$30,2,"false"),0)</f>
        <v>1</v>
      </c>
      <c r="L275" s="194">
        <f>_1_54128456121462410464578910174[[#This Row],[LIST $]]*_1_54128456121462410464578910174[[#This Row],[DISCOUNT]]*_1_54128456121462410464578910174[[#This Row],[DISCOUNT 2]]</f>
        <v>0</v>
      </c>
      <c r="M275" s="194">
        <f>IF(OR(_1_54128456121462410464578910174[[#This Row],[UNIT]]&gt;0,_1_54128456121462410464578910174[[#This Row],[UNIT]]&lt;0),_1_54128456121462410464578910174[[#This Row],[UNIT]]*_1_54128456121462410464578910174[[#This Row],[COST]],0)</f>
        <v>0</v>
      </c>
      <c r="N275" s="194">
        <f t="shared" si="4"/>
        <v>1.5</v>
      </c>
      <c r="O275" s="198">
        <f>_1_54128456121462410464578910174[[#This Row],[TOTAL]]*_1_54128456121462410464578910174[[#This Row],[MARGIN]]</f>
        <v>0</v>
      </c>
      <c r="R275" s="41"/>
    </row>
    <row r="276" spans="1:18">
      <c r="C276" s="168"/>
      <c r="D276" s="188"/>
      <c r="F276" s="168" t="s">
        <v>6202</v>
      </c>
      <c r="G276" s="205">
        <f>IF(_1_54128456121462410464578910174[[#This Row],[Type]]&gt;0,VLOOKUP(_1_54128456121462410464578910174[[#This Row],[Type]],Main[[#All],[TYPE]:[UNIT]],'Unit Price'!C$1,FALSE),0)</f>
        <v>0</v>
      </c>
      <c r="H276" s="197">
        <f>IF(_1_54128456121462410464578910174[[#This Row],[Type]]&gt;0,VLOOKUP(_1_54128456121462410464578910174[[#This Row],[Type]],Main[[#All],[TYPE]:[UNIT]],'Unit Price'!D$1,FALSE),0)</f>
        <v>0</v>
      </c>
      <c r="I276" s="194">
        <f>IF(_1_54128456121462410464578910174[[#This Row],[Type]]&gt;0,VLOOKUP(_1_54128456121462410464578910174[[#This Row],[Type]],Main[[#All],[TYPE]:[UNIT]],'Unit Price'!G$1,FALSE),0)</f>
        <v>0</v>
      </c>
      <c r="J276" s="194">
        <f>IF(_1_54128456121462410464578910174[[#This Row],[Type]]&gt;0,VLOOKUP(_1_54128456121462410464578910174[[#This Row],[Type]],Main[[#All],[TYPE]:[UNIT]],'Unit Price'!H$1,FALSE),0)</f>
        <v>0</v>
      </c>
      <c r="K276" s="194">
        <f>IF(_1_54128456121462410464578910174[[#This Row],[Discount selection]]&gt;0,VLOOKUP(_1_54128456121462410464578910174[[#This Row],[Discount selection]],'Discount Structure'!$A$2:$B$30,2,"false"),0)</f>
        <v>1</v>
      </c>
      <c r="L276" s="194">
        <f>_1_54128456121462410464578910174[[#This Row],[LIST $]]*_1_54128456121462410464578910174[[#This Row],[DISCOUNT]]*_1_54128456121462410464578910174[[#This Row],[DISCOUNT 2]]</f>
        <v>0</v>
      </c>
      <c r="M276" s="194">
        <f>IF(OR(_1_54128456121462410464578910174[[#This Row],[UNIT]]&gt;0,_1_54128456121462410464578910174[[#This Row],[UNIT]]&lt;0),_1_54128456121462410464578910174[[#This Row],[UNIT]]*_1_54128456121462410464578910174[[#This Row],[COST]],0)</f>
        <v>0</v>
      </c>
      <c r="N276" s="194">
        <f t="shared" si="4"/>
        <v>1.5</v>
      </c>
      <c r="O276" s="198">
        <f>_1_54128456121462410464578910174[[#This Row],[TOTAL]]*_1_54128456121462410464578910174[[#This Row],[MARGIN]]</f>
        <v>0</v>
      </c>
      <c r="R276" s="41"/>
    </row>
    <row r="277" spans="1:18">
      <c r="C277" s="168"/>
      <c r="D277" s="188"/>
      <c r="F277" s="168" t="s">
        <v>6202</v>
      </c>
      <c r="G277" s="193">
        <f>IF(_1_54128456121462410464578910174[[#This Row],[Type]]&gt;0,VLOOKUP(_1_54128456121462410464578910174[[#This Row],[Type]],Main[[#All],[TYPE]:[UNIT]],'Unit Price'!C$1,FALSE),0)</f>
        <v>0</v>
      </c>
      <c r="H277" s="197">
        <f>IF(_1_54128456121462410464578910174[[#This Row],[Type]]&gt;0,VLOOKUP(_1_54128456121462410464578910174[[#This Row],[Type]],Main[[#All],[TYPE]:[UNIT]],'Unit Price'!D$1,FALSE),0)</f>
        <v>0</v>
      </c>
      <c r="I277" s="194">
        <f>IF(_1_54128456121462410464578910174[[#This Row],[Type]]&gt;0,VLOOKUP(_1_54128456121462410464578910174[[#This Row],[Type]],Main[[#All],[TYPE]:[UNIT]],'Unit Price'!G$1,FALSE),0)</f>
        <v>0</v>
      </c>
      <c r="J277" s="194">
        <f>IF(_1_54128456121462410464578910174[[#This Row],[Type]]&gt;0,VLOOKUP(_1_54128456121462410464578910174[[#This Row],[Type]],Main[[#All],[TYPE]:[UNIT]],'Unit Price'!H$1,FALSE),0)</f>
        <v>0</v>
      </c>
      <c r="K277" s="194">
        <f>IF(_1_54128456121462410464578910174[[#This Row],[Discount selection]]&gt;0,VLOOKUP(_1_54128456121462410464578910174[[#This Row],[Discount selection]],'Discount Structure'!$A$2:$B$30,2,"false"),0)</f>
        <v>1</v>
      </c>
      <c r="L277" s="194">
        <f>_1_54128456121462410464578910174[[#This Row],[LIST $]]*_1_54128456121462410464578910174[[#This Row],[DISCOUNT]]*_1_54128456121462410464578910174[[#This Row],[DISCOUNT 2]]</f>
        <v>0</v>
      </c>
      <c r="M277" s="194">
        <f>IF(OR(_1_54128456121462410464578910174[[#This Row],[UNIT]]&gt;0,_1_54128456121462410464578910174[[#This Row],[UNIT]]&lt;0),_1_54128456121462410464578910174[[#This Row],[UNIT]]*_1_54128456121462410464578910174[[#This Row],[COST]],0)</f>
        <v>0</v>
      </c>
      <c r="N277" s="194">
        <f t="shared" si="4"/>
        <v>1.5</v>
      </c>
      <c r="O277" s="198">
        <f>_1_54128456121462410464578910174[[#This Row],[TOTAL]]*_1_54128456121462410464578910174[[#This Row],[MARGIN]]</f>
        <v>0</v>
      </c>
      <c r="R277" s="41"/>
    </row>
    <row r="278" spans="1:18">
      <c r="A278" s="319"/>
      <c r="B278" s="323"/>
      <c r="C278" s="168"/>
      <c r="D278" s="188"/>
      <c r="F278" s="168" t="s">
        <v>6202</v>
      </c>
      <c r="G278" s="193">
        <f>IF(_1_54128456121462410464578910174[[#This Row],[Type]]&gt;0,VLOOKUP(_1_54128456121462410464578910174[[#This Row],[Type]],Main[[#All],[TYPE]:[UNIT]],'Unit Price'!C$1,FALSE),0)</f>
        <v>0</v>
      </c>
      <c r="H278" s="197">
        <f>IF(_1_54128456121462410464578910174[[#This Row],[Type]]&gt;0,VLOOKUP(_1_54128456121462410464578910174[[#This Row],[Type]],Main[[#All],[TYPE]:[UNIT]],'Unit Price'!D$1,FALSE),0)</f>
        <v>0</v>
      </c>
      <c r="I278" s="194">
        <f>IF(_1_54128456121462410464578910174[[#This Row],[Type]]&gt;0,VLOOKUP(_1_54128456121462410464578910174[[#This Row],[Type]],Main[[#All],[TYPE]:[UNIT]],'Unit Price'!G$1,FALSE),0)</f>
        <v>0</v>
      </c>
      <c r="J278" s="194">
        <f>IF(_1_54128456121462410464578910174[[#This Row],[Type]]&gt;0,VLOOKUP(_1_54128456121462410464578910174[[#This Row],[Type]],Main[[#All],[TYPE]:[UNIT]],'Unit Price'!H$1,FALSE),0)</f>
        <v>0</v>
      </c>
      <c r="K278" s="194">
        <f>IF(_1_54128456121462410464578910174[[#This Row],[Discount selection]]&gt;0,VLOOKUP(_1_54128456121462410464578910174[[#This Row],[Discount selection]],'Discount Structure'!$A$2:$B$30,2,"false"),0)</f>
        <v>1</v>
      </c>
      <c r="L278" s="194">
        <f>_1_54128456121462410464578910174[[#This Row],[LIST $]]*_1_54128456121462410464578910174[[#This Row],[DISCOUNT]]*_1_54128456121462410464578910174[[#This Row],[DISCOUNT 2]]</f>
        <v>0</v>
      </c>
      <c r="M278" s="194">
        <f>IF(OR(_1_54128456121462410464578910174[[#This Row],[UNIT]]&gt;0,_1_54128456121462410464578910174[[#This Row],[UNIT]]&lt;0),_1_54128456121462410464578910174[[#This Row],[UNIT]]*_1_54128456121462410464578910174[[#This Row],[COST]],0)</f>
        <v>0</v>
      </c>
      <c r="N278" s="194">
        <f t="shared" si="4"/>
        <v>1.5</v>
      </c>
      <c r="O278" s="198">
        <f>_1_54128456121462410464578910174[[#This Row],[TOTAL]]*_1_54128456121462410464578910174[[#This Row],[MARGIN]]</f>
        <v>0</v>
      </c>
      <c r="R278" s="41"/>
    </row>
    <row r="279" spans="1:18">
      <c r="C279" s="168"/>
      <c r="D279" s="188"/>
      <c r="F279" s="168" t="s">
        <v>6202</v>
      </c>
      <c r="G279" s="193">
        <f>IF(_1_54128456121462410464578910174[[#This Row],[Type]]&gt;0,VLOOKUP(_1_54128456121462410464578910174[[#This Row],[Type]],Main[[#All],[TYPE]:[UNIT]],'Unit Price'!C$1,FALSE),0)</f>
        <v>0</v>
      </c>
      <c r="H279" s="197">
        <f>IF(_1_54128456121462410464578910174[[#This Row],[Type]]&gt;0,VLOOKUP(_1_54128456121462410464578910174[[#This Row],[Type]],Main[[#All],[TYPE]:[UNIT]],'Unit Price'!D$1,FALSE),0)</f>
        <v>0</v>
      </c>
      <c r="I279" s="194">
        <f>IF(_1_54128456121462410464578910174[[#This Row],[Type]]&gt;0,VLOOKUP(_1_54128456121462410464578910174[[#This Row],[Type]],Main[[#All],[TYPE]:[UNIT]],'Unit Price'!G$1,FALSE),0)</f>
        <v>0</v>
      </c>
      <c r="J279" s="194">
        <f>IF(_1_54128456121462410464578910174[[#This Row],[Type]]&gt;0,VLOOKUP(_1_54128456121462410464578910174[[#This Row],[Type]],Main[[#All],[TYPE]:[UNIT]],'Unit Price'!H$1,FALSE),0)</f>
        <v>0</v>
      </c>
      <c r="K279" s="194">
        <f>IF(_1_54128456121462410464578910174[[#This Row],[Discount selection]]&gt;0,VLOOKUP(_1_54128456121462410464578910174[[#This Row],[Discount selection]],'Discount Structure'!$A$2:$B$30,2,"false"),0)</f>
        <v>1</v>
      </c>
      <c r="L279" s="194">
        <f>_1_54128456121462410464578910174[[#This Row],[LIST $]]*_1_54128456121462410464578910174[[#This Row],[DISCOUNT]]*_1_54128456121462410464578910174[[#This Row],[DISCOUNT 2]]</f>
        <v>0</v>
      </c>
      <c r="M279" s="194">
        <f>IF(OR(_1_54128456121462410464578910174[[#This Row],[UNIT]]&gt;0,_1_54128456121462410464578910174[[#This Row],[UNIT]]&lt;0),_1_54128456121462410464578910174[[#This Row],[UNIT]]*_1_54128456121462410464578910174[[#This Row],[COST]],0)</f>
        <v>0</v>
      </c>
      <c r="N279" s="194">
        <f t="shared" si="4"/>
        <v>1.5</v>
      </c>
      <c r="O279" s="198">
        <f>_1_54128456121462410464578910174[[#This Row],[TOTAL]]*_1_54128456121462410464578910174[[#This Row],[MARGIN]]</f>
        <v>0</v>
      </c>
      <c r="R279" s="41"/>
    </row>
    <row r="280" spans="1:18">
      <c r="C280" s="168"/>
      <c r="D280" s="188"/>
      <c r="F280" s="168" t="s">
        <v>6202</v>
      </c>
      <c r="G280" s="193">
        <f>IF(_1_54128456121462410464578910174[[#This Row],[Type]]&gt;0,VLOOKUP(_1_54128456121462410464578910174[[#This Row],[Type]],Main[[#All],[TYPE]:[UNIT]],'Unit Price'!C$1,FALSE),0)</f>
        <v>0</v>
      </c>
      <c r="H280" s="197">
        <f>IF(_1_54128456121462410464578910174[[#This Row],[Type]]&gt;0,VLOOKUP(_1_54128456121462410464578910174[[#This Row],[Type]],Main[[#All],[TYPE]:[UNIT]],'Unit Price'!D$1,FALSE),0)</f>
        <v>0</v>
      </c>
      <c r="I280" s="194">
        <f>IF(_1_54128456121462410464578910174[[#This Row],[Type]]&gt;0,VLOOKUP(_1_54128456121462410464578910174[[#This Row],[Type]],Main[[#All],[TYPE]:[UNIT]],'Unit Price'!G$1,FALSE),0)</f>
        <v>0</v>
      </c>
      <c r="J280" s="194">
        <f>IF(_1_54128456121462410464578910174[[#This Row],[Type]]&gt;0,VLOOKUP(_1_54128456121462410464578910174[[#This Row],[Type]],Main[[#All],[TYPE]:[UNIT]],'Unit Price'!H$1,FALSE),0)</f>
        <v>0</v>
      </c>
      <c r="K280" s="194">
        <f>IF(_1_54128456121462410464578910174[[#This Row],[Discount selection]]&gt;0,VLOOKUP(_1_54128456121462410464578910174[[#This Row],[Discount selection]],'Discount Structure'!$A$2:$B$30,2,"false"),0)</f>
        <v>1</v>
      </c>
      <c r="L280" s="194">
        <f>_1_54128456121462410464578910174[[#This Row],[LIST $]]*_1_54128456121462410464578910174[[#This Row],[DISCOUNT]]*_1_54128456121462410464578910174[[#This Row],[DISCOUNT 2]]</f>
        <v>0</v>
      </c>
      <c r="M280" s="194">
        <f>IF(OR(_1_54128456121462410464578910174[[#This Row],[UNIT]]&gt;0,_1_54128456121462410464578910174[[#This Row],[UNIT]]&lt;0),_1_54128456121462410464578910174[[#This Row],[UNIT]]*_1_54128456121462410464578910174[[#This Row],[COST]],0)</f>
        <v>0</v>
      </c>
      <c r="N280" s="194">
        <f t="shared" si="4"/>
        <v>1.5</v>
      </c>
      <c r="O280" s="198">
        <f>_1_54128456121462410464578910174[[#This Row],[TOTAL]]*_1_54128456121462410464578910174[[#This Row],[MARGIN]]</f>
        <v>0</v>
      </c>
      <c r="R280" s="41"/>
    </row>
    <row r="281" spans="1:18">
      <c r="C281" s="168"/>
      <c r="D281" s="188"/>
      <c r="F281" s="168" t="s">
        <v>6202</v>
      </c>
      <c r="G281" s="193">
        <f>IF(_1_54128456121462410464578910174[[#This Row],[Type]]&gt;0,VLOOKUP(_1_54128456121462410464578910174[[#This Row],[Type]],Main[[#All],[TYPE]:[UNIT]],'Unit Price'!C$1,FALSE),0)</f>
        <v>0</v>
      </c>
      <c r="H281" s="197">
        <f>IF(_1_54128456121462410464578910174[[#This Row],[Type]]&gt;0,VLOOKUP(_1_54128456121462410464578910174[[#This Row],[Type]],Main[[#All],[TYPE]:[UNIT]],'Unit Price'!D$1,FALSE),0)</f>
        <v>0</v>
      </c>
      <c r="I281" s="194">
        <f>IF(_1_54128456121462410464578910174[[#This Row],[Type]]&gt;0,VLOOKUP(_1_54128456121462410464578910174[[#This Row],[Type]],Main[[#All],[TYPE]:[UNIT]],'Unit Price'!G$1,FALSE),0)</f>
        <v>0</v>
      </c>
      <c r="J281" s="194">
        <f>IF(_1_54128456121462410464578910174[[#This Row],[Type]]&gt;0,VLOOKUP(_1_54128456121462410464578910174[[#This Row],[Type]],Main[[#All],[TYPE]:[UNIT]],'Unit Price'!H$1,FALSE),0)</f>
        <v>0</v>
      </c>
      <c r="K281" s="194">
        <f>IF(_1_54128456121462410464578910174[[#This Row],[Discount selection]]&gt;0,VLOOKUP(_1_54128456121462410464578910174[[#This Row],[Discount selection]],'Discount Structure'!$A$2:$B$30,2,"false"),0)</f>
        <v>1</v>
      </c>
      <c r="L281" s="194">
        <f>_1_54128456121462410464578910174[[#This Row],[LIST $]]*_1_54128456121462410464578910174[[#This Row],[DISCOUNT]]*_1_54128456121462410464578910174[[#This Row],[DISCOUNT 2]]</f>
        <v>0</v>
      </c>
      <c r="M281" s="194">
        <f>IF(OR(_1_54128456121462410464578910174[[#This Row],[UNIT]]&gt;0,_1_54128456121462410464578910174[[#This Row],[UNIT]]&lt;0),_1_54128456121462410464578910174[[#This Row],[UNIT]]*_1_54128456121462410464578910174[[#This Row],[COST]],0)</f>
        <v>0</v>
      </c>
      <c r="N281" s="194">
        <f t="shared" si="4"/>
        <v>1.5</v>
      </c>
      <c r="O281" s="198">
        <f>_1_54128456121462410464578910174[[#This Row],[TOTAL]]*_1_54128456121462410464578910174[[#This Row],[MARGIN]]</f>
        <v>0</v>
      </c>
      <c r="R281" s="41"/>
    </row>
    <row r="282" spans="1:18">
      <c r="C282" s="168"/>
      <c r="D282" s="188"/>
      <c r="F282" s="168" t="s">
        <v>6202</v>
      </c>
      <c r="G282" s="193">
        <f>IF(_1_54128456121462410464578910174[[#This Row],[Type]]&gt;0,VLOOKUP(_1_54128456121462410464578910174[[#This Row],[Type]],Main[[#All],[TYPE]:[UNIT]],'Unit Price'!C$1,FALSE),0)</f>
        <v>0</v>
      </c>
      <c r="H282" s="197">
        <f>IF(_1_54128456121462410464578910174[[#This Row],[Type]]&gt;0,VLOOKUP(_1_54128456121462410464578910174[[#This Row],[Type]],Main[[#All],[TYPE]:[UNIT]],'Unit Price'!D$1,FALSE),0)</f>
        <v>0</v>
      </c>
      <c r="I282" s="194">
        <f>IF(_1_54128456121462410464578910174[[#This Row],[Type]]&gt;0,VLOOKUP(_1_54128456121462410464578910174[[#This Row],[Type]],Main[[#All],[TYPE]:[UNIT]],'Unit Price'!G$1,FALSE),0)</f>
        <v>0</v>
      </c>
      <c r="J282" s="194">
        <f>IF(_1_54128456121462410464578910174[[#This Row],[Type]]&gt;0,VLOOKUP(_1_54128456121462410464578910174[[#This Row],[Type]],Main[[#All],[TYPE]:[UNIT]],'Unit Price'!H$1,FALSE),0)</f>
        <v>0</v>
      </c>
      <c r="K282" s="194">
        <f>IF(_1_54128456121462410464578910174[[#This Row],[Discount selection]]&gt;0,VLOOKUP(_1_54128456121462410464578910174[[#This Row],[Discount selection]],'Discount Structure'!$A$2:$B$30,2,"false"),0)</f>
        <v>1</v>
      </c>
      <c r="L282" s="194">
        <f>_1_54128456121462410464578910174[[#This Row],[LIST $]]*_1_54128456121462410464578910174[[#This Row],[DISCOUNT]]*_1_54128456121462410464578910174[[#This Row],[DISCOUNT 2]]</f>
        <v>0</v>
      </c>
      <c r="M282" s="194">
        <f>IF(OR(_1_54128456121462410464578910174[[#This Row],[UNIT]]&gt;0,_1_54128456121462410464578910174[[#This Row],[UNIT]]&lt;0),_1_54128456121462410464578910174[[#This Row],[UNIT]]*_1_54128456121462410464578910174[[#This Row],[COST]],0)</f>
        <v>0</v>
      </c>
      <c r="N282" s="194">
        <f t="shared" si="4"/>
        <v>1.5</v>
      </c>
      <c r="O282" s="198">
        <f>_1_54128456121462410464578910174[[#This Row],[TOTAL]]*_1_54128456121462410464578910174[[#This Row],[MARGIN]]</f>
        <v>0</v>
      </c>
      <c r="R282" s="41"/>
    </row>
    <row r="283" spans="1:18">
      <c r="A283" s="323"/>
      <c r="B283" s="323"/>
      <c r="C283" s="168"/>
      <c r="D283" s="188"/>
      <c r="F283" s="168" t="s">
        <v>6202</v>
      </c>
      <c r="G283" s="193">
        <f>IF(_1_54128456121462410464578910174[[#This Row],[Type]]&gt;0,VLOOKUP(_1_54128456121462410464578910174[[#This Row],[Type]],Main[[#All],[TYPE]:[UNIT]],'Unit Price'!C$1,FALSE),0)</f>
        <v>0</v>
      </c>
      <c r="H283" s="197">
        <f>IF(_1_54128456121462410464578910174[[#This Row],[Type]]&gt;0,VLOOKUP(_1_54128456121462410464578910174[[#This Row],[Type]],Main[[#All],[TYPE]:[UNIT]],'Unit Price'!D$1,FALSE),0)</f>
        <v>0</v>
      </c>
      <c r="I283" s="194">
        <f>IF(_1_54128456121462410464578910174[[#This Row],[Type]]&gt;0,VLOOKUP(_1_54128456121462410464578910174[[#This Row],[Type]],Main[[#All],[TYPE]:[UNIT]],'Unit Price'!G$1,FALSE),0)</f>
        <v>0</v>
      </c>
      <c r="J283" s="194">
        <f>IF(_1_54128456121462410464578910174[[#This Row],[Type]]&gt;0,VLOOKUP(_1_54128456121462410464578910174[[#This Row],[Type]],Main[[#All],[TYPE]:[UNIT]],'Unit Price'!H$1,FALSE),0)</f>
        <v>0</v>
      </c>
      <c r="K283" s="194">
        <f>IF(_1_54128456121462410464578910174[[#This Row],[Discount selection]]&gt;0,VLOOKUP(_1_54128456121462410464578910174[[#This Row],[Discount selection]],'Discount Structure'!$A$2:$B$30,2,"false"),0)</f>
        <v>1</v>
      </c>
      <c r="L283" s="194">
        <f>_1_54128456121462410464578910174[[#This Row],[LIST $]]*_1_54128456121462410464578910174[[#This Row],[DISCOUNT]]*_1_54128456121462410464578910174[[#This Row],[DISCOUNT 2]]</f>
        <v>0</v>
      </c>
      <c r="M283" s="194">
        <f>IF(OR(_1_54128456121462410464578910174[[#This Row],[UNIT]]&gt;0,_1_54128456121462410464578910174[[#This Row],[UNIT]]&lt;0),_1_54128456121462410464578910174[[#This Row],[UNIT]]*_1_54128456121462410464578910174[[#This Row],[COST]],0)</f>
        <v>0</v>
      </c>
      <c r="N283" s="194">
        <f t="shared" si="4"/>
        <v>1.5</v>
      </c>
      <c r="O283" s="198">
        <f>_1_54128456121462410464578910174[[#This Row],[TOTAL]]*_1_54128456121462410464578910174[[#This Row],[MARGIN]]</f>
        <v>0</v>
      </c>
      <c r="R283" s="41"/>
    </row>
    <row r="284" spans="1:18">
      <c r="A284" s="312"/>
      <c r="B284" s="323"/>
      <c r="C284" s="168"/>
      <c r="D284" s="188"/>
      <c r="F284" s="168" t="s">
        <v>6202</v>
      </c>
      <c r="G284" s="193">
        <f>IF(_1_54128456121462410464578910174[[#This Row],[Type]]&gt;0,VLOOKUP(_1_54128456121462410464578910174[[#This Row],[Type]],Main[[#All],[TYPE]:[UNIT]],'Unit Price'!C$1,FALSE),0)</f>
        <v>0</v>
      </c>
      <c r="H284" s="197">
        <f>IF(_1_54128456121462410464578910174[[#This Row],[Type]]&gt;0,VLOOKUP(_1_54128456121462410464578910174[[#This Row],[Type]],Main[[#All],[TYPE]:[UNIT]],'Unit Price'!D$1,FALSE),0)</f>
        <v>0</v>
      </c>
      <c r="I284" s="194">
        <f>IF(_1_54128456121462410464578910174[[#This Row],[Type]]&gt;0,VLOOKUP(_1_54128456121462410464578910174[[#This Row],[Type]],Main[[#All],[TYPE]:[UNIT]],'Unit Price'!G$1,FALSE),0)</f>
        <v>0</v>
      </c>
      <c r="J284" s="194">
        <f>IF(_1_54128456121462410464578910174[[#This Row],[Type]]&gt;0,VLOOKUP(_1_54128456121462410464578910174[[#This Row],[Type]],Main[[#All],[TYPE]:[UNIT]],'Unit Price'!H$1,FALSE),0)</f>
        <v>0</v>
      </c>
      <c r="K284" s="194">
        <f>IF(_1_54128456121462410464578910174[[#This Row],[Discount selection]]&gt;0,VLOOKUP(_1_54128456121462410464578910174[[#This Row],[Discount selection]],'Discount Structure'!$A$2:$B$30,2,"false"),0)</f>
        <v>1</v>
      </c>
      <c r="L284" s="194">
        <f>_1_54128456121462410464578910174[[#This Row],[LIST $]]*_1_54128456121462410464578910174[[#This Row],[DISCOUNT]]*_1_54128456121462410464578910174[[#This Row],[DISCOUNT 2]]</f>
        <v>0</v>
      </c>
      <c r="M284" s="194">
        <f>IF(OR(_1_54128456121462410464578910174[[#This Row],[UNIT]]&gt;0,_1_54128456121462410464578910174[[#This Row],[UNIT]]&lt;0),_1_54128456121462410464578910174[[#This Row],[UNIT]]*_1_54128456121462410464578910174[[#This Row],[COST]],0)</f>
        <v>0</v>
      </c>
      <c r="N284" s="194">
        <f t="shared" si="4"/>
        <v>1.5</v>
      </c>
      <c r="O284" s="198">
        <f>_1_54128456121462410464578910174[[#This Row],[TOTAL]]*_1_54128456121462410464578910174[[#This Row],[MARGIN]]</f>
        <v>0</v>
      </c>
      <c r="R284" s="41"/>
    </row>
    <row r="285" spans="1:18">
      <c r="A285" s="323"/>
      <c r="B285" s="323"/>
      <c r="C285" s="168"/>
      <c r="D285" s="188"/>
      <c r="F285" s="168" t="s">
        <v>6202</v>
      </c>
      <c r="G285" s="193">
        <f>IF(_1_54128456121462410464578910174[[#This Row],[Type]]&gt;0,VLOOKUP(_1_54128456121462410464578910174[[#This Row],[Type]],Main[[#All],[TYPE]:[UNIT]],'Unit Price'!C$1,FALSE),0)</f>
        <v>0</v>
      </c>
      <c r="H285" s="197">
        <f>IF(_1_54128456121462410464578910174[[#This Row],[Type]]&gt;0,VLOOKUP(_1_54128456121462410464578910174[[#This Row],[Type]],Main[[#All],[TYPE]:[UNIT]],'Unit Price'!D$1,FALSE),0)</f>
        <v>0</v>
      </c>
      <c r="I285" s="194">
        <f>IF(_1_54128456121462410464578910174[[#This Row],[Type]]&gt;0,VLOOKUP(_1_54128456121462410464578910174[[#This Row],[Type]],Main[[#All],[TYPE]:[UNIT]],'Unit Price'!G$1,FALSE),0)</f>
        <v>0</v>
      </c>
      <c r="J285" s="194">
        <f>IF(_1_54128456121462410464578910174[[#This Row],[Type]]&gt;0,VLOOKUP(_1_54128456121462410464578910174[[#This Row],[Type]],Main[[#All],[TYPE]:[UNIT]],'Unit Price'!H$1,FALSE),0)</f>
        <v>0</v>
      </c>
      <c r="K285" s="194">
        <f>IF(_1_54128456121462410464578910174[[#This Row],[Discount selection]]&gt;0,VLOOKUP(_1_54128456121462410464578910174[[#This Row],[Discount selection]],'Discount Structure'!$A$2:$B$30,2,"false"),0)</f>
        <v>1</v>
      </c>
      <c r="L285" s="194">
        <f>_1_54128456121462410464578910174[[#This Row],[LIST $]]*_1_54128456121462410464578910174[[#This Row],[DISCOUNT]]*_1_54128456121462410464578910174[[#This Row],[DISCOUNT 2]]</f>
        <v>0</v>
      </c>
      <c r="M285" s="194">
        <f>IF(OR(_1_54128456121462410464578910174[[#This Row],[UNIT]]&gt;0,_1_54128456121462410464578910174[[#This Row],[UNIT]]&lt;0),_1_54128456121462410464578910174[[#This Row],[UNIT]]*_1_54128456121462410464578910174[[#This Row],[COST]],0)</f>
        <v>0</v>
      </c>
      <c r="N285" s="194">
        <f t="shared" si="4"/>
        <v>1.5</v>
      </c>
      <c r="O285" s="198">
        <f>_1_54128456121462410464578910174[[#This Row],[TOTAL]]*_1_54128456121462410464578910174[[#This Row],[MARGIN]]</f>
        <v>0</v>
      </c>
      <c r="R285" s="41"/>
    </row>
    <row r="286" spans="1:18">
      <c r="A286" s="353"/>
      <c r="B286" s="323"/>
      <c r="C286" s="353"/>
      <c r="D286" s="188"/>
      <c r="F286" s="168" t="s">
        <v>6202</v>
      </c>
      <c r="G286" s="193">
        <f>IF(_1_54128456121462410464578910174[[#This Row],[Type]]&gt;0,VLOOKUP(_1_54128456121462410464578910174[[#This Row],[Type]],Main[[#All],[TYPE]:[UNIT]],'Unit Price'!C$1,FALSE),0)</f>
        <v>0</v>
      </c>
      <c r="H286" s="197">
        <f>IF(_1_54128456121462410464578910174[[#This Row],[Type]]&gt;0,VLOOKUP(_1_54128456121462410464578910174[[#This Row],[Type]],Main[[#All],[TYPE]:[UNIT]],'Unit Price'!D$1,FALSE),0)</f>
        <v>0</v>
      </c>
      <c r="I286" s="194">
        <f>IF(_1_54128456121462410464578910174[[#This Row],[Type]]&gt;0,VLOOKUP(_1_54128456121462410464578910174[[#This Row],[Type]],Main[[#All],[TYPE]:[UNIT]],'Unit Price'!G$1,FALSE),0)</f>
        <v>0</v>
      </c>
      <c r="J286" s="194">
        <f>IF(_1_54128456121462410464578910174[[#This Row],[Type]]&gt;0,VLOOKUP(_1_54128456121462410464578910174[[#This Row],[Type]],Main[[#All],[TYPE]:[UNIT]],'Unit Price'!H$1,FALSE),0)</f>
        <v>0</v>
      </c>
      <c r="K286" s="194">
        <f>IF(_1_54128456121462410464578910174[[#This Row],[Discount selection]]&gt;0,VLOOKUP(_1_54128456121462410464578910174[[#This Row],[Discount selection]],'Discount Structure'!$A$2:$B$30,2,"false"),0)</f>
        <v>1</v>
      </c>
      <c r="L286" s="194">
        <f>_1_54128456121462410464578910174[[#This Row],[LIST $]]*_1_54128456121462410464578910174[[#This Row],[DISCOUNT]]*_1_54128456121462410464578910174[[#This Row],[DISCOUNT 2]]</f>
        <v>0</v>
      </c>
      <c r="M286" s="194">
        <f>IF(OR(_1_54128456121462410464578910174[[#This Row],[UNIT]]&gt;0,_1_54128456121462410464578910174[[#This Row],[UNIT]]&lt;0),_1_54128456121462410464578910174[[#This Row],[UNIT]]*_1_54128456121462410464578910174[[#This Row],[COST]],0)</f>
        <v>0</v>
      </c>
      <c r="N286" s="194">
        <f t="shared" si="4"/>
        <v>1.5</v>
      </c>
      <c r="O286" s="198">
        <f>_1_54128456121462410464578910174[[#This Row],[TOTAL]]*_1_54128456121462410464578910174[[#This Row],[MARGIN]]</f>
        <v>0</v>
      </c>
      <c r="R286" s="41"/>
    </row>
    <row r="287" spans="1:18">
      <c r="D287" s="188"/>
      <c r="F287" s="168" t="s">
        <v>6202</v>
      </c>
      <c r="G287" s="205">
        <f>IF(_1_54128456121462410464578910174[[#This Row],[Type]]&gt;0,VLOOKUP(_1_54128456121462410464578910174[[#This Row],[Type]],Main[[#All],[TYPE]:[UNIT]],'Unit Price'!C$1,FALSE),0)</f>
        <v>0</v>
      </c>
      <c r="H287" s="197">
        <f>IF(_1_54128456121462410464578910174[[#This Row],[Type]]&gt;0,VLOOKUP(_1_54128456121462410464578910174[[#This Row],[Type]],Main[[#All],[TYPE]:[UNIT]],'Unit Price'!D$1,FALSE),0)</f>
        <v>0</v>
      </c>
      <c r="I287" s="194">
        <f>IF(_1_54128456121462410464578910174[[#This Row],[Type]]&gt;0,VLOOKUP(_1_54128456121462410464578910174[[#This Row],[Type]],Main[[#All],[TYPE]:[UNIT]],'Unit Price'!G$1,FALSE),0)</f>
        <v>0</v>
      </c>
      <c r="J287" s="194">
        <f>IF(_1_54128456121462410464578910174[[#This Row],[Type]]&gt;0,VLOOKUP(_1_54128456121462410464578910174[[#This Row],[Type]],Main[[#All],[TYPE]:[UNIT]],'Unit Price'!H$1,FALSE),0)</f>
        <v>0</v>
      </c>
      <c r="K287" s="194">
        <f>IF(_1_54128456121462410464578910174[[#This Row],[Discount selection]]&gt;0,VLOOKUP(_1_54128456121462410464578910174[[#This Row],[Discount selection]],'Discount Structure'!$A$2:$B$30,2,"false"),0)</f>
        <v>1</v>
      </c>
      <c r="L287" s="194">
        <f>_1_54128456121462410464578910174[[#This Row],[LIST $]]*_1_54128456121462410464578910174[[#This Row],[DISCOUNT]]*_1_54128456121462410464578910174[[#This Row],[DISCOUNT 2]]</f>
        <v>0</v>
      </c>
      <c r="M287" s="194">
        <f>IF(OR(_1_54128456121462410464578910174[[#This Row],[UNIT]]&gt;0,_1_54128456121462410464578910174[[#This Row],[UNIT]]&lt;0),_1_54128456121462410464578910174[[#This Row],[UNIT]]*_1_54128456121462410464578910174[[#This Row],[COST]],0)</f>
        <v>0</v>
      </c>
      <c r="N287" s="194">
        <f t="shared" si="4"/>
        <v>1.5</v>
      </c>
      <c r="O287" s="198">
        <f>_1_54128456121462410464578910174[[#This Row],[TOTAL]]*_1_54128456121462410464578910174[[#This Row],[MARGIN]]</f>
        <v>0</v>
      </c>
      <c r="R287" s="41"/>
    </row>
    <row r="288" spans="1:18">
      <c r="D288" s="188"/>
      <c r="F288" s="168" t="s">
        <v>6202</v>
      </c>
      <c r="G288" s="193">
        <f>IF(_1_54128456121462410464578910174[[#This Row],[Type]]&gt;0,VLOOKUP(_1_54128456121462410464578910174[[#This Row],[Type]],Main[[#All],[TYPE]:[UNIT]],'Unit Price'!C$1,FALSE),0)</f>
        <v>0</v>
      </c>
      <c r="H288" s="197">
        <f>IF(_1_54128456121462410464578910174[[#This Row],[Type]]&gt;0,VLOOKUP(_1_54128456121462410464578910174[[#This Row],[Type]],Main[[#All],[TYPE]:[UNIT]],'Unit Price'!D$1,FALSE),0)</f>
        <v>0</v>
      </c>
      <c r="I288" s="194">
        <f>IF(_1_54128456121462410464578910174[[#This Row],[Type]]&gt;0,VLOOKUP(_1_54128456121462410464578910174[[#This Row],[Type]],Main[[#All],[TYPE]:[UNIT]],'Unit Price'!G$1,FALSE),0)</f>
        <v>0</v>
      </c>
      <c r="J288" s="194">
        <f>IF(_1_54128456121462410464578910174[[#This Row],[Type]]&gt;0,VLOOKUP(_1_54128456121462410464578910174[[#This Row],[Type]],Main[[#All],[TYPE]:[UNIT]],'Unit Price'!H$1,FALSE),0)</f>
        <v>0</v>
      </c>
      <c r="K288" s="194">
        <f>IF(_1_54128456121462410464578910174[[#This Row],[Discount selection]]&gt;0,VLOOKUP(_1_54128456121462410464578910174[[#This Row],[Discount selection]],'Discount Structure'!$A$2:$B$30,2,"false"),0)</f>
        <v>1</v>
      </c>
      <c r="L288" s="194">
        <f>_1_54128456121462410464578910174[[#This Row],[LIST $]]*_1_54128456121462410464578910174[[#This Row],[DISCOUNT]]*_1_54128456121462410464578910174[[#This Row],[DISCOUNT 2]]</f>
        <v>0</v>
      </c>
      <c r="M288" s="194">
        <f>IF(OR(_1_54128456121462410464578910174[[#This Row],[UNIT]]&gt;0,_1_54128456121462410464578910174[[#This Row],[UNIT]]&lt;0),_1_54128456121462410464578910174[[#This Row],[UNIT]]*_1_54128456121462410464578910174[[#This Row],[COST]],0)</f>
        <v>0</v>
      </c>
      <c r="N288" s="194">
        <f t="shared" si="4"/>
        <v>1.5</v>
      </c>
      <c r="O288" s="198">
        <f>_1_54128456121462410464578910174[[#This Row],[TOTAL]]*_1_54128456121462410464578910174[[#This Row],[MARGIN]]</f>
        <v>0</v>
      </c>
      <c r="R288" s="41"/>
    </row>
    <row r="289" spans="1:18">
      <c r="A289" s="323"/>
      <c r="B289" s="323"/>
      <c r="C289" s="323"/>
      <c r="D289" s="188"/>
      <c r="F289" s="168" t="s">
        <v>6202</v>
      </c>
      <c r="G289" s="193">
        <f>IF(_1_54128456121462410464578910174[[#This Row],[Type]]&gt;0,VLOOKUP(_1_54128456121462410464578910174[[#This Row],[Type]],Main[[#All],[TYPE]:[UNIT]],'Unit Price'!C$1,FALSE),0)</f>
        <v>0</v>
      </c>
      <c r="H289" s="197">
        <f>IF(_1_54128456121462410464578910174[[#This Row],[Type]]&gt;0,VLOOKUP(_1_54128456121462410464578910174[[#This Row],[Type]],Main[[#All],[TYPE]:[UNIT]],'Unit Price'!D$1,FALSE),0)</f>
        <v>0</v>
      </c>
      <c r="I289" s="194">
        <f>IF(_1_54128456121462410464578910174[[#This Row],[Type]]&gt;0,VLOOKUP(_1_54128456121462410464578910174[[#This Row],[Type]],Main[[#All],[TYPE]:[UNIT]],'Unit Price'!G$1,FALSE),0)</f>
        <v>0</v>
      </c>
      <c r="J289" s="194">
        <f>IF(_1_54128456121462410464578910174[[#This Row],[Type]]&gt;0,VLOOKUP(_1_54128456121462410464578910174[[#This Row],[Type]],Main[[#All],[TYPE]:[UNIT]],'Unit Price'!H$1,FALSE),0)</f>
        <v>0</v>
      </c>
      <c r="K289" s="194">
        <f>IF(_1_54128456121462410464578910174[[#This Row],[Discount selection]]&gt;0,VLOOKUP(_1_54128456121462410464578910174[[#This Row],[Discount selection]],'Discount Structure'!$A$2:$B$30,2,"false"),0)</f>
        <v>1</v>
      </c>
      <c r="L289" s="194">
        <f>_1_54128456121462410464578910174[[#This Row],[LIST $]]*_1_54128456121462410464578910174[[#This Row],[DISCOUNT]]*_1_54128456121462410464578910174[[#This Row],[DISCOUNT 2]]</f>
        <v>0</v>
      </c>
      <c r="M289" s="194">
        <f>IF(OR(_1_54128456121462410464578910174[[#This Row],[UNIT]]&gt;0,_1_54128456121462410464578910174[[#This Row],[UNIT]]&lt;0),_1_54128456121462410464578910174[[#This Row],[UNIT]]*_1_54128456121462410464578910174[[#This Row],[COST]],0)</f>
        <v>0</v>
      </c>
      <c r="N289" s="194">
        <f t="shared" si="4"/>
        <v>1.5</v>
      </c>
      <c r="O289" s="198">
        <f>_1_54128456121462410464578910174[[#This Row],[TOTAL]]*_1_54128456121462410464578910174[[#This Row],[MARGIN]]</f>
        <v>0</v>
      </c>
      <c r="R289" s="41"/>
    </row>
    <row r="290" spans="1:18">
      <c r="D290" s="188"/>
      <c r="F290" s="168" t="s">
        <v>6202</v>
      </c>
      <c r="G290" s="193">
        <f>IF(_1_54128456121462410464578910174[[#This Row],[Type]]&gt;0,VLOOKUP(_1_54128456121462410464578910174[[#This Row],[Type]],Main[[#All],[TYPE]:[UNIT]],'Unit Price'!C$1,FALSE),0)</f>
        <v>0</v>
      </c>
      <c r="H290" s="197">
        <f>IF(_1_54128456121462410464578910174[[#This Row],[Type]]&gt;0,VLOOKUP(_1_54128456121462410464578910174[[#This Row],[Type]],Main[[#All],[TYPE]:[UNIT]],'Unit Price'!D$1,FALSE),0)</f>
        <v>0</v>
      </c>
      <c r="I290" s="194">
        <f>IF(_1_54128456121462410464578910174[[#This Row],[Type]]&gt;0,VLOOKUP(_1_54128456121462410464578910174[[#This Row],[Type]],Main[[#All],[TYPE]:[UNIT]],'Unit Price'!G$1,FALSE),0)</f>
        <v>0</v>
      </c>
      <c r="J290" s="194">
        <f>IF(_1_54128456121462410464578910174[[#This Row],[Type]]&gt;0,VLOOKUP(_1_54128456121462410464578910174[[#This Row],[Type]],Main[[#All],[TYPE]:[UNIT]],'Unit Price'!H$1,FALSE),0)</f>
        <v>0</v>
      </c>
      <c r="K290" s="194">
        <f>IF(_1_54128456121462410464578910174[[#This Row],[Discount selection]]&gt;0,VLOOKUP(_1_54128456121462410464578910174[[#This Row],[Discount selection]],'Discount Structure'!$A$2:$B$30,2,"false"),0)</f>
        <v>1</v>
      </c>
      <c r="L290" s="194">
        <f>_1_54128456121462410464578910174[[#This Row],[LIST $]]*_1_54128456121462410464578910174[[#This Row],[DISCOUNT]]*_1_54128456121462410464578910174[[#This Row],[DISCOUNT 2]]</f>
        <v>0</v>
      </c>
      <c r="M290" s="194">
        <f>IF(OR(_1_54128456121462410464578910174[[#This Row],[UNIT]]&gt;0,_1_54128456121462410464578910174[[#This Row],[UNIT]]&lt;0),_1_54128456121462410464578910174[[#This Row],[UNIT]]*_1_54128456121462410464578910174[[#This Row],[COST]],0)</f>
        <v>0</v>
      </c>
      <c r="N290" s="194">
        <f t="shared" si="4"/>
        <v>1.5</v>
      </c>
      <c r="O290" s="198">
        <f>_1_54128456121462410464578910174[[#This Row],[TOTAL]]*_1_54128456121462410464578910174[[#This Row],[MARGIN]]</f>
        <v>0</v>
      </c>
      <c r="R290" s="41"/>
    </row>
    <row r="291" spans="1:18">
      <c r="D291" s="188"/>
      <c r="F291" s="168" t="s">
        <v>6202</v>
      </c>
      <c r="G291" s="193">
        <f>IF(_1_54128456121462410464578910174[[#This Row],[Type]]&gt;0,VLOOKUP(_1_54128456121462410464578910174[[#This Row],[Type]],Main[[#All],[TYPE]:[UNIT]],'Unit Price'!C$1,FALSE),0)</f>
        <v>0</v>
      </c>
      <c r="H291" s="197">
        <f>IF(_1_54128456121462410464578910174[[#This Row],[Type]]&gt;0,VLOOKUP(_1_54128456121462410464578910174[[#This Row],[Type]],Main[[#All],[TYPE]:[UNIT]],'Unit Price'!D$1,FALSE),0)</f>
        <v>0</v>
      </c>
      <c r="I291" s="194">
        <f>IF(_1_54128456121462410464578910174[[#This Row],[Type]]&gt;0,VLOOKUP(_1_54128456121462410464578910174[[#This Row],[Type]],Main[[#All],[TYPE]:[UNIT]],'Unit Price'!G$1,FALSE),0)</f>
        <v>0</v>
      </c>
      <c r="J291" s="194">
        <f>IF(_1_54128456121462410464578910174[[#This Row],[Type]]&gt;0,VLOOKUP(_1_54128456121462410464578910174[[#This Row],[Type]],Main[[#All],[TYPE]:[UNIT]],'Unit Price'!H$1,FALSE),0)</f>
        <v>0</v>
      </c>
      <c r="K291" s="194">
        <f>IF(_1_54128456121462410464578910174[[#This Row],[Discount selection]]&gt;0,VLOOKUP(_1_54128456121462410464578910174[[#This Row],[Discount selection]],'Discount Structure'!$A$2:$B$30,2,"false"),0)</f>
        <v>1</v>
      </c>
      <c r="L291" s="194">
        <f>_1_54128456121462410464578910174[[#This Row],[LIST $]]*_1_54128456121462410464578910174[[#This Row],[DISCOUNT]]*_1_54128456121462410464578910174[[#This Row],[DISCOUNT 2]]</f>
        <v>0</v>
      </c>
      <c r="M291" s="194">
        <f>IF(OR(_1_54128456121462410464578910174[[#This Row],[UNIT]]&gt;0,_1_54128456121462410464578910174[[#This Row],[UNIT]]&lt;0),_1_54128456121462410464578910174[[#This Row],[UNIT]]*_1_54128456121462410464578910174[[#This Row],[COST]],0)</f>
        <v>0</v>
      </c>
      <c r="N291" s="194">
        <f t="shared" si="4"/>
        <v>1.5</v>
      </c>
      <c r="O291" s="198">
        <f>_1_54128456121462410464578910174[[#This Row],[TOTAL]]*_1_54128456121462410464578910174[[#This Row],[MARGIN]]</f>
        <v>0</v>
      </c>
      <c r="R291" s="41"/>
    </row>
    <row r="292" spans="1:18">
      <c r="D292" s="188"/>
      <c r="F292" s="168" t="s">
        <v>6202</v>
      </c>
      <c r="G292" s="193">
        <f>IF(_1_54128456121462410464578910174[[#This Row],[Type]]&gt;0,VLOOKUP(_1_54128456121462410464578910174[[#This Row],[Type]],Main[[#All],[TYPE]:[UNIT]],'Unit Price'!C$1,FALSE),0)</f>
        <v>0</v>
      </c>
      <c r="H292" s="197">
        <f>IF(_1_54128456121462410464578910174[[#This Row],[Type]]&gt;0,VLOOKUP(_1_54128456121462410464578910174[[#This Row],[Type]],Main[[#All],[TYPE]:[UNIT]],'Unit Price'!D$1,FALSE),0)</f>
        <v>0</v>
      </c>
      <c r="I292" s="194">
        <f>IF(_1_54128456121462410464578910174[[#This Row],[Type]]&gt;0,VLOOKUP(_1_54128456121462410464578910174[[#This Row],[Type]],Main[[#All],[TYPE]:[UNIT]],'Unit Price'!G$1,FALSE),0)</f>
        <v>0</v>
      </c>
      <c r="J292" s="194">
        <f>IF(_1_54128456121462410464578910174[[#This Row],[Type]]&gt;0,VLOOKUP(_1_54128456121462410464578910174[[#This Row],[Type]],Main[[#All],[TYPE]:[UNIT]],'Unit Price'!H$1,FALSE),0)</f>
        <v>0</v>
      </c>
      <c r="K292" s="194">
        <f>IF(_1_54128456121462410464578910174[[#This Row],[Discount selection]]&gt;0,VLOOKUP(_1_54128456121462410464578910174[[#This Row],[Discount selection]],'Discount Structure'!$A$2:$B$30,2,"false"),0)</f>
        <v>1</v>
      </c>
      <c r="L292" s="194">
        <f>_1_54128456121462410464578910174[[#This Row],[LIST $]]*_1_54128456121462410464578910174[[#This Row],[DISCOUNT]]*_1_54128456121462410464578910174[[#This Row],[DISCOUNT 2]]</f>
        <v>0</v>
      </c>
      <c r="M292" s="194">
        <f>IF(OR(_1_54128456121462410464578910174[[#This Row],[UNIT]]&gt;0,_1_54128456121462410464578910174[[#This Row],[UNIT]]&lt;0),_1_54128456121462410464578910174[[#This Row],[UNIT]]*_1_54128456121462410464578910174[[#This Row],[COST]],0)</f>
        <v>0</v>
      </c>
      <c r="N292" s="194">
        <f t="shared" si="4"/>
        <v>1.5</v>
      </c>
      <c r="O292" s="198">
        <f>_1_54128456121462410464578910174[[#This Row],[TOTAL]]*_1_54128456121462410464578910174[[#This Row],[MARGIN]]</f>
        <v>0</v>
      </c>
      <c r="R292" s="41"/>
    </row>
    <row r="293" spans="1:18">
      <c r="A293" s="168"/>
      <c r="D293" s="188"/>
      <c r="F293" s="168" t="s">
        <v>6202</v>
      </c>
      <c r="G293" s="193">
        <f>IF(_1_54128456121462410464578910174[[#This Row],[Type]]&gt;0,VLOOKUP(_1_54128456121462410464578910174[[#This Row],[Type]],Main[[#All],[TYPE]:[UNIT]],'Unit Price'!C$1,FALSE),0)</f>
        <v>0</v>
      </c>
      <c r="H293" s="197">
        <f>IF(_1_54128456121462410464578910174[[#This Row],[Type]]&gt;0,VLOOKUP(_1_54128456121462410464578910174[[#This Row],[Type]],Main[[#All],[TYPE]:[UNIT]],'Unit Price'!D$1,FALSE),0)</f>
        <v>0</v>
      </c>
      <c r="I293" s="194">
        <f>IF(_1_54128456121462410464578910174[[#This Row],[Type]]&gt;0,VLOOKUP(_1_54128456121462410464578910174[[#This Row],[Type]],Main[[#All],[TYPE]:[UNIT]],'Unit Price'!G$1,FALSE),0)</f>
        <v>0</v>
      </c>
      <c r="J293" s="194">
        <f>IF(_1_54128456121462410464578910174[[#This Row],[Type]]&gt;0,VLOOKUP(_1_54128456121462410464578910174[[#This Row],[Type]],Main[[#All],[TYPE]:[UNIT]],'Unit Price'!H$1,FALSE),0)</f>
        <v>0</v>
      </c>
      <c r="K293" s="194">
        <f>IF(_1_54128456121462410464578910174[[#This Row],[Discount selection]]&gt;0,VLOOKUP(_1_54128456121462410464578910174[[#This Row],[Discount selection]],'Discount Structure'!$A$2:$B$30,2,"false"),0)</f>
        <v>1</v>
      </c>
      <c r="L293" s="194">
        <f>_1_54128456121462410464578910174[[#This Row],[LIST $]]*_1_54128456121462410464578910174[[#This Row],[DISCOUNT]]*_1_54128456121462410464578910174[[#This Row],[DISCOUNT 2]]</f>
        <v>0</v>
      </c>
      <c r="M293" s="194">
        <f>IF(OR(_1_54128456121462410464578910174[[#This Row],[UNIT]]&gt;0,_1_54128456121462410464578910174[[#This Row],[UNIT]]&lt;0),_1_54128456121462410464578910174[[#This Row],[UNIT]]*_1_54128456121462410464578910174[[#This Row],[COST]],0)</f>
        <v>0</v>
      </c>
      <c r="N293" s="194">
        <f t="shared" si="4"/>
        <v>1.5</v>
      </c>
      <c r="O293" s="198">
        <f>_1_54128456121462410464578910174[[#This Row],[TOTAL]]*_1_54128456121462410464578910174[[#This Row],[MARGIN]]</f>
        <v>0</v>
      </c>
      <c r="R293" s="41"/>
    </row>
    <row r="294" spans="1:18">
      <c r="A294" s="312"/>
      <c r="B294" s="319"/>
      <c r="C294" s="323"/>
      <c r="D294" s="188"/>
      <c r="F294" s="168" t="s">
        <v>6202</v>
      </c>
      <c r="G294" s="193">
        <f>IF(_1_54128456121462410464578910174[[#This Row],[Type]]&gt;0,VLOOKUP(_1_54128456121462410464578910174[[#This Row],[Type]],Main[[#All],[TYPE]:[UNIT]],'Unit Price'!C$1,FALSE),0)</f>
        <v>0</v>
      </c>
      <c r="H294" s="197">
        <f>IF(_1_54128456121462410464578910174[[#This Row],[Type]]&gt;0,VLOOKUP(_1_54128456121462410464578910174[[#This Row],[Type]],Main[[#All],[TYPE]:[UNIT]],'Unit Price'!D$1,FALSE),0)</f>
        <v>0</v>
      </c>
      <c r="I294" s="194">
        <f>IF(_1_54128456121462410464578910174[[#This Row],[Type]]&gt;0,VLOOKUP(_1_54128456121462410464578910174[[#This Row],[Type]],Main[[#All],[TYPE]:[UNIT]],'Unit Price'!G$1,FALSE),0)</f>
        <v>0</v>
      </c>
      <c r="J294" s="194">
        <f>IF(_1_54128456121462410464578910174[[#This Row],[Type]]&gt;0,VLOOKUP(_1_54128456121462410464578910174[[#This Row],[Type]],Main[[#All],[TYPE]:[UNIT]],'Unit Price'!H$1,FALSE),0)</f>
        <v>0</v>
      </c>
      <c r="K294" s="194">
        <f>IF(_1_54128456121462410464578910174[[#This Row],[Discount selection]]&gt;0,VLOOKUP(_1_54128456121462410464578910174[[#This Row],[Discount selection]],'Discount Structure'!$A$2:$B$30,2,"false"),0)</f>
        <v>1</v>
      </c>
      <c r="L294" s="194">
        <f>_1_54128456121462410464578910174[[#This Row],[LIST $]]*_1_54128456121462410464578910174[[#This Row],[DISCOUNT]]*_1_54128456121462410464578910174[[#This Row],[DISCOUNT 2]]</f>
        <v>0</v>
      </c>
      <c r="M294" s="194">
        <f>IF(OR(_1_54128456121462410464578910174[[#This Row],[UNIT]]&gt;0,_1_54128456121462410464578910174[[#This Row],[UNIT]]&lt;0),_1_54128456121462410464578910174[[#This Row],[UNIT]]*_1_54128456121462410464578910174[[#This Row],[COST]],0)</f>
        <v>0</v>
      </c>
      <c r="N294" s="194">
        <f t="shared" si="4"/>
        <v>1.5</v>
      </c>
      <c r="O294" s="198">
        <f>_1_54128456121462410464578910174[[#This Row],[TOTAL]]*_1_54128456121462410464578910174[[#This Row],[MARGIN]]</f>
        <v>0</v>
      </c>
      <c r="R294" s="41"/>
    </row>
    <row r="295" spans="1:18">
      <c r="A295" s="323"/>
      <c r="B295" s="323"/>
      <c r="C295" s="323"/>
      <c r="D295" s="188"/>
      <c r="F295" s="168" t="s">
        <v>6202</v>
      </c>
      <c r="G295" s="193">
        <f>IF(_1_54128456121462410464578910174[[#This Row],[Type]]&gt;0,VLOOKUP(_1_54128456121462410464578910174[[#This Row],[Type]],Main[[#All],[TYPE]:[UNIT]],'Unit Price'!C$1,FALSE),0)</f>
        <v>0</v>
      </c>
      <c r="H295" s="197">
        <f>IF(_1_54128456121462410464578910174[[#This Row],[Type]]&gt;0,VLOOKUP(_1_54128456121462410464578910174[[#This Row],[Type]],Main[[#All],[TYPE]:[UNIT]],'Unit Price'!D$1,FALSE),0)</f>
        <v>0</v>
      </c>
      <c r="I295" s="194">
        <f>IF(_1_54128456121462410464578910174[[#This Row],[Type]]&gt;0,VLOOKUP(_1_54128456121462410464578910174[[#This Row],[Type]],Main[[#All],[TYPE]:[UNIT]],'Unit Price'!G$1,FALSE),0)</f>
        <v>0</v>
      </c>
      <c r="J295" s="194">
        <f>IF(_1_54128456121462410464578910174[[#This Row],[Type]]&gt;0,VLOOKUP(_1_54128456121462410464578910174[[#This Row],[Type]],Main[[#All],[TYPE]:[UNIT]],'Unit Price'!H$1,FALSE),0)</f>
        <v>0</v>
      </c>
      <c r="K295" s="194">
        <f>IF(_1_54128456121462410464578910174[[#This Row],[Discount selection]]&gt;0,VLOOKUP(_1_54128456121462410464578910174[[#This Row],[Discount selection]],'Discount Structure'!$A$2:$B$30,2,"false"),0)</f>
        <v>1</v>
      </c>
      <c r="L295" s="194">
        <f>_1_54128456121462410464578910174[[#This Row],[LIST $]]*_1_54128456121462410464578910174[[#This Row],[DISCOUNT]]*_1_54128456121462410464578910174[[#This Row],[DISCOUNT 2]]</f>
        <v>0</v>
      </c>
      <c r="M295" s="194">
        <f>IF(OR(_1_54128456121462410464578910174[[#This Row],[UNIT]]&gt;0,_1_54128456121462410464578910174[[#This Row],[UNIT]]&lt;0),_1_54128456121462410464578910174[[#This Row],[UNIT]]*_1_54128456121462410464578910174[[#This Row],[COST]],0)</f>
        <v>0</v>
      </c>
      <c r="N295" s="194">
        <f t="shared" si="4"/>
        <v>1.5</v>
      </c>
      <c r="O295" s="198">
        <f>_1_54128456121462410464578910174[[#This Row],[TOTAL]]*_1_54128456121462410464578910174[[#This Row],[MARGIN]]</f>
        <v>0</v>
      </c>
      <c r="R295" s="41"/>
    </row>
    <row r="296" spans="1:18">
      <c r="A296" s="323"/>
      <c r="B296" s="323"/>
      <c r="C296" s="323"/>
      <c r="D296" s="188"/>
      <c r="F296" s="168" t="s">
        <v>6202</v>
      </c>
      <c r="G296" s="193">
        <f>IF(_1_54128456121462410464578910174[[#This Row],[Type]]&gt;0,VLOOKUP(_1_54128456121462410464578910174[[#This Row],[Type]],Main[[#All],[TYPE]:[UNIT]],'Unit Price'!C$1,FALSE),0)</f>
        <v>0</v>
      </c>
      <c r="H296" s="197">
        <f>IF(_1_54128456121462410464578910174[[#This Row],[Type]]&gt;0,VLOOKUP(_1_54128456121462410464578910174[[#This Row],[Type]],Main[[#All],[TYPE]:[UNIT]],'Unit Price'!D$1,FALSE),0)</f>
        <v>0</v>
      </c>
      <c r="I296" s="194">
        <f>IF(_1_54128456121462410464578910174[[#This Row],[Type]]&gt;0,VLOOKUP(_1_54128456121462410464578910174[[#This Row],[Type]],Main[[#All],[TYPE]:[UNIT]],'Unit Price'!G$1,FALSE),0)</f>
        <v>0</v>
      </c>
      <c r="J296" s="194">
        <f>IF(_1_54128456121462410464578910174[[#This Row],[Type]]&gt;0,VLOOKUP(_1_54128456121462410464578910174[[#This Row],[Type]],Main[[#All],[TYPE]:[UNIT]],'Unit Price'!H$1,FALSE),0)</f>
        <v>0</v>
      </c>
      <c r="K296" s="194">
        <f>IF(_1_54128456121462410464578910174[[#This Row],[Discount selection]]&gt;0,VLOOKUP(_1_54128456121462410464578910174[[#This Row],[Discount selection]],'Discount Structure'!$A$2:$B$30,2,"false"),0)</f>
        <v>1</v>
      </c>
      <c r="L296" s="194">
        <f>_1_54128456121462410464578910174[[#This Row],[LIST $]]*_1_54128456121462410464578910174[[#This Row],[DISCOUNT]]*_1_54128456121462410464578910174[[#This Row],[DISCOUNT 2]]</f>
        <v>0</v>
      </c>
      <c r="M296" s="194">
        <f>IF(OR(_1_54128456121462410464578910174[[#This Row],[UNIT]]&gt;0,_1_54128456121462410464578910174[[#This Row],[UNIT]]&lt;0),_1_54128456121462410464578910174[[#This Row],[UNIT]]*_1_54128456121462410464578910174[[#This Row],[COST]],0)</f>
        <v>0</v>
      </c>
      <c r="N296" s="194">
        <f t="shared" si="4"/>
        <v>1.5</v>
      </c>
      <c r="O296" s="198">
        <f>_1_54128456121462410464578910174[[#This Row],[TOTAL]]*_1_54128456121462410464578910174[[#This Row],[MARGIN]]</f>
        <v>0</v>
      </c>
      <c r="R296" s="41"/>
    </row>
    <row r="297" spans="1:18">
      <c r="A297" s="323"/>
      <c r="B297" s="323"/>
      <c r="C297" s="323"/>
      <c r="D297" s="188"/>
      <c r="F297" s="168" t="s">
        <v>6202</v>
      </c>
      <c r="G297" s="193">
        <f>IF(_1_54128456121462410464578910174[[#This Row],[Type]]&gt;0,VLOOKUP(_1_54128456121462410464578910174[[#This Row],[Type]],Main[[#All],[TYPE]:[UNIT]],'Unit Price'!C$1,FALSE),0)</f>
        <v>0</v>
      </c>
      <c r="H297" s="197">
        <f>IF(_1_54128456121462410464578910174[[#This Row],[Type]]&gt;0,VLOOKUP(_1_54128456121462410464578910174[[#This Row],[Type]],Main[[#All],[TYPE]:[UNIT]],'Unit Price'!D$1,FALSE),0)</f>
        <v>0</v>
      </c>
      <c r="I297" s="194">
        <f>IF(_1_54128456121462410464578910174[[#This Row],[Type]]&gt;0,VLOOKUP(_1_54128456121462410464578910174[[#This Row],[Type]],Main[[#All],[TYPE]:[UNIT]],'Unit Price'!G$1,FALSE),0)</f>
        <v>0</v>
      </c>
      <c r="J297" s="194">
        <f>IF(_1_54128456121462410464578910174[[#This Row],[Type]]&gt;0,VLOOKUP(_1_54128456121462410464578910174[[#This Row],[Type]],Main[[#All],[TYPE]:[UNIT]],'Unit Price'!H$1,FALSE),0)</f>
        <v>0</v>
      </c>
      <c r="K297" s="194">
        <f>IF(_1_54128456121462410464578910174[[#This Row],[Discount selection]]&gt;0,VLOOKUP(_1_54128456121462410464578910174[[#This Row],[Discount selection]],'Discount Structure'!$A$2:$B$30,2,"false"),0)</f>
        <v>1</v>
      </c>
      <c r="L297" s="194">
        <f>_1_54128456121462410464578910174[[#This Row],[LIST $]]*_1_54128456121462410464578910174[[#This Row],[DISCOUNT]]*_1_54128456121462410464578910174[[#This Row],[DISCOUNT 2]]</f>
        <v>0</v>
      </c>
      <c r="M297" s="194">
        <f>IF(OR(_1_54128456121462410464578910174[[#This Row],[UNIT]]&gt;0,_1_54128456121462410464578910174[[#This Row],[UNIT]]&lt;0),_1_54128456121462410464578910174[[#This Row],[UNIT]]*_1_54128456121462410464578910174[[#This Row],[COST]],0)</f>
        <v>0</v>
      </c>
      <c r="N297" s="194">
        <f t="shared" si="4"/>
        <v>1.5</v>
      </c>
      <c r="O297" s="198">
        <f>_1_54128456121462410464578910174[[#This Row],[TOTAL]]*_1_54128456121462410464578910174[[#This Row],[MARGIN]]</f>
        <v>0</v>
      </c>
      <c r="R297" s="41"/>
    </row>
    <row r="298" spans="1:18">
      <c r="D298" s="188"/>
      <c r="F298" s="168" t="s">
        <v>6202</v>
      </c>
      <c r="G298" s="205">
        <f>IF(_1_54128456121462410464578910174[[#This Row],[Type]]&gt;0,VLOOKUP(_1_54128456121462410464578910174[[#This Row],[Type]],Main[[#All],[TYPE]:[UNIT]],'Unit Price'!C$1,FALSE),0)</f>
        <v>0</v>
      </c>
      <c r="H298" s="197">
        <f>IF(_1_54128456121462410464578910174[[#This Row],[Type]]&gt;0,VLOOKUP(_1_54128456121462410464578910174[[#This Row],[Type]],Main[[#All],[TYPE]:[UNIT]],'Unit Price'!D$1,FALSE),0)</f>
        <v>0</v>
      </c>
      <c r="I298" s="194">
        <f>IF(_1_54128456121462410464578910174[[#This Row],[Type]]&gt;0,VLOOKUP(_1_54128456121462410464578910174[[#This Row],[Type]],Main[[#All],[TYPE]:[UNIT]],'Unit Price'!G$1,FALSE),0)</f>
        <v>0</v>
      </c>
      <c r="J298" s="194">
        <f>IF(_1_54128456121462410464578910174[[#This Row],[Type]]&gt;0,VLOOKUP(_1_54128456121462410464578910174[[#This Row],[Type]],Main[[#All],[TYPE]:[UNIT]],'Unit Price'!H$1,FALSE),0)</f>
        <v>0</v>
      </c>
      <c r="K298" s="194">
        <f>IF(_1_54128456121462410464578910174[[#This Row],[Discount selection]]&gt;0,VLOOKUP(_1_54128456121462410464578910174[[#This Row],[Discount selection]],'Discount Structure'!$A$2:$B$30,2,"false"),0)</f>
        <v>1</v>
      </c>
      <c r="L298" s="194">
        <f>_1_54128456121462410464578910174[[#This Row],[LIST $]]*_1_54128456121462410464578910174[[#This Row],[DISCOUNT]]*_1_54128456121462410464578910174[[#This Row],[DISCOUNT 2]]</f>
        <v>0</v>
      </c>
      <c r="M298" s="194">
        <f>IF(OR(_1_54128456121462410464578910174[[#This Row],[UNIT]]&gt;0,_1_54128456121462410464578910174[[#This Row],[UNIT]]&lt;0),_1_54128456121462410464578910174[[#This Row],[UNIT]]*_1_54128456121462410464578910174[[#This Row],[COST]],0)</f>
        <v>0</v>
      </c>
      <c r="N298" s="194">
        <f t="shared" si="4"/>
        <v>1.5</v>
      </c>
      <c r="O298" s="198">
        <f>_1_54128456121462410464578910174[[#This Row],[TOTAL]]*_1_54128456121462410464578910174[[#This Row],[MARGIN]]</f>
        <v>0</v>
      </c>
      <c r="R298" s="41"/>
    </row>
    <row r="299" spans="1:18">
      <c r="D299" s="188"/>
      <c r="F299" s="168" t="s">
        <v>6202</v>
      </c>
      <c r="G299" s="193">
        <f>IF(_1_54128456121462410464578910174[[#This Row],[Type]]&gt;0,VLOOKUP(_1_54128456121462410464578910174[[#This Row],[Type]],Main[[#All],[TYPE]:[UNIT]],'Unit Price'!C$1,FALSE),0)</f>
        <v>0</v>
      </c>
      <c r="H299" s="197">
        <f>IF(_1_54128456121462410464578910174[[#This Row],[Type]]&gt;0,VLOOKUP(_1_54128456121462410464578910174[[#This Row],[Type]],Main[[#All],[TYPE]:[UNIT]],'Unit Price'!D$1,FALSE),0)</f>
        <v>0</v>
      </c>
      <c r="I299" s="194">
        <f>IF(_1_54128456121462410464578910174[[#This Row],[Type]]&gt;0,VLOOKUP(_1_54128456121462410464578910174[[#This Row],[Type]],Main[[#All],[TYPE]:[UNIT]],'Unit Price'!G$1,FALSE),0)</f>
        <v>0</v>
      </c>
      <c r="J299" s="194">
        <f>IF(_1_54128456121462410464578910174[[#This Row],[Type]]&gt;0,VLOOKUP(_1_54128456121462410464578910174[[#This Row],[Type]],Main[[#All],[TYPE]:[UNIT]],'Unit Price'!H$1,FALSE),0)</f>
        <v>0</v>
      </c>
      <c r="K299" s="194">
        <f>IF(_1_54128456121462410464578910174[[#This Row],[Discount selection]]&gt;0,VLOOKUP(_1_54128456121462410464578910174[[#This Row],[Discount selection]],'Discount Structure'!$A$2:$B$30,2,"false"),0)</f>
        <v>1</v>
      </c>
      <c r="L299" s="194">
        <f>_1_54128456121462410464578910174[[#This Row],[LIST $]]*_1_54128456121462410464578910174[[#This Row],[DISCOUNT]]*_1_54128456121462410464578910174[[#This Row],[DISCOUNT 2]]</f>
        <v>0</v>
      </c>
      <c r="M299" s="194">
        <f>IF(OR(_1_54128456121462410464578910174[[#This Row],[UNIT]]&gt;0,_1_54128456121462410464578910174[[#This Row],[UNIT]]&lt;0),_1_54128456121462410464578910174[[#This Row],[UNIT]]*_1_54128456121462410464578910174[[#This Row],[COST]],0)</f>
        <v>0</v>
      </c>
      <c r="N299" s="194">
        <f t="shared" si="4"/>
        <v>1.5</v>
      </c>
      <c r="O299" s="198">
        <f>_1_54128456121462410464578910174[[#This Row],[TOTAL]]*_1_54128456121462410464578910174[[#This Row],[MARGIN]]</f>
        <v>0</v>
      </c>
      <c r="R299" s="41"/>
    </row>
    <row r="300" spans="1:18">
      <c r="A300" s="323"/>
      <c r="B300" s="323"/>
      <c r="C300" s="323"/>
      <c r="D300" s="188"/>
      <c r="F300" s="168" t="s">
        <v>6202</v>
      </c>
      <c r="G300" s="193">
        <f>IF(_1_54128456121462410464578910174[[#This Row],[Type]]&gt;0,VLOOKUP(_1_54128456121462410464578910174[[#This Row],[Type]],Main[[#All],[TYPE]:[UNIT]],'Unit Price'!C$1,FALSE),0)</f>
        <v>0</v>
      </c>
      <c r="H300" s="197">
        <f>IF(_1_54128456121462410464578910174[[#This Row],[Type]]&gt;0,VLOOKUP(_1_54128456121462410464578910174[[#This Row],[Type]],Main[[#All],[TYPE]:[UNIT]],'Unit Price'!D$1,FALSE),0)</f>
        <v>0</v>
      </c>
      <c r="I300" s="194">
        <f>IF(_1_54128456121462410464578910174[[#This Row],[Type]]&gt;0,VLOOKUP(_1_54128456121462410464578910174[[#This Row],[Type]],Main[[#All],[TYPE]:[UNIT]],'Unit Price'!G$1,FALSE),0)</f>
        <v>0</v>
      </c>
      <c r="J300" s="194">
        <f>IF(_1_54128456121462410464578910174[[#This Row],[Type]]&gt;0,VLOOKUP(_1_54128456121462410464578910174[[#This Row],[Type]],Main[[#All],[TYPE]:[UNIT]],'Unit Price'!H$1,FALSE),0)</f>
        <v>0</v>
      </c>
      <c r="K300" s="194">
        <f>IF(_1_54128456121462410464578910174[[#This Row],[Discount selection]]&gt;0,VLOOKUP(_1_54128456121462410464578910174[[#This Row],[Discount selection]],'Discount Structure'!$A$2:$B$30,2,"false"),0)</f>
        <v>1</v>
      </c>
      <c r="L300" s="194">
        <f>_1_54128456121462410464578910174[[#This Row],[LIST $]]*_1_54128456121462410464578910174[[#This Row],[DISCOUNT]]*_1_54128456121462410464578910174[[#This Row],[DISCOUNT 2]]</f>
        <v>0</v>
      </c>
      <c r="M300" s="194">
        <f>IF(OR(_1_54128456121462410464578910174[[#This Row],[UNIT]]&gt;0,_1_54128456121462410464578910174[[#This Row],[UNIT]]&lt;0),_1_54128456121462410464578910174[[#This Row],[UNIT]]*_1_54128456121462410464578910174[[#This Row],[COST]],0)</f>
        <v>0</v>
      </c>
      <c r="N300" s="194">
        <f t="shared" si="4"/>
        <v>1.5</v>
      </c>
      <c r="O300" s="198">
        <f>_1_54128456121462410464578910174[[#This Row],[TOTAL]]*_1_54128456121462410464578910174[[#This Row],[MARGIN]]</f>
        <v>0</v>
      </c>
      <c r="R300" s="41"/>
    </row>
    <row r="301" spans="1:18">
      <c r="A301" s="323"/>
      <c r="B301" s="323"/>
      <c r="C301" s="323"/>
      <c r="D301" s="188"/>
      <c r="F301" s="168" t="s">
        <v>6202</v>
      </c>
      <c r="G301" s="193">
        <f>IF(_1_54128456121462410464578910174[[#This Row],[Type]]&gt;0,VLOOKUP(_1_54128456121462410464578910174[[#This Row],[Type]],Main[[#All],[TYPE]:[UNIT]],'Unit Price'!C$1,FALSE),0)</f>
        <v>0</v>
      </c>
      <c r="H301" s="197">
        <f>IF(_1_54128456121462410464578910174[[#This Row],[Type]]&gt;0,VLOOKUP(_1_54128456121462410464578910174[[#This Row],[Type]],Main[[#All],[TYPE]:[UNIT]],'Unit Price'!D$1,FALSE),0)</f>
        <v>0</v>
      </c>
      <c r="I301" s="194">
        <f>IF(_1_54128456121462410464578910174[[#This Row],[Type]]&gt;0,VLOOKUP(_1_54128456121462410464578910174[[#This Row],[Type]],Main[[#All],[TYPE]:[UNIT]],'Unit Price'!G$1,FALSE),0)</f>
        <v>0</v>
      </c>
      <c r="J301" s="194">
        <f>IF(_1_54128456121462410464578910174[[#This Row],[Type]]&gt;0,VLOOKUP(_1_54128456121462410464578910174[[#This Row],[Type]],Main[[#All],[TYPE]:[UNIT]],'Unit Price'!H$1,FALSE),0)</f>
        <v>0</v>
      </c>
      <c r="K301" s="194">
        <f>IF(_1_54128456121462410464578910174[[#This Row],[Discount selection]]&gt;0,VLOOKUP(_1_54128456121462410464578910174[[#This Row],[Discount selection]],'Discount Structure'!$A$2:$B$30,2,"false"),0)</f>
        <v>1</v>
      </c>
      <c r="L301" s="194">
        <f>_1_54128456121462410464578910174[[#This Row],[LIST $]]*_1_54128456121462410464578910174[[#This Row],[DISCOUNT]]*_1_54128456121462410464578910174[[#This Row],[DISCOUNT 2]]</f>
        <v>0</v>
      </c>
      <c r="M301" s="194">
        <f>IF(OR(_1_54128456121462410464578910174[[#This Row],[UNIT]]&gt;0,_1_54128456121462410464578910174[[#This Row],[UNIT]]&lt;0),_1_54128456121462410464578910174[[#This Row],[UNIT]]*_1_54128456121462410464578910174[[#This Row],[COST]],0)</f>
        <v>0</v>
      </c>
      <c r="N301" s="194">
        <f t="shared" si="4"/>
        <v>1.5</v>
      </c>
      <c r="O301" s="198">
        <f>_1_54128456121462410464578910174[[#This Row],[TOTAL]]*_1_54128456121462410464578910174[[#This Row],[MARGIN]]</f>
        <v>0</v>
      </c>
      <c r="R301" s="41"/>
    </row>
    <row r="302" spans="1:18">
      <c r="A302" s="323"/>
      <c r="B302" s="323"/>
      <c r="C302" s="323"/>
      <c r="D302" s="188"/>
      <c r="F302" s="168" t="s">
        <v>6202</v>
      </c>
      <c r="G302" s="193">
        <f>IF(_1_54128456121462410464578910174[[#This Row],[Type]]&gt;0,VLOOKUP(_1_54128456121462410464578910174[[#This Row],[Type]],Main[[#All],[TYPE]:[UNIT]],'Unit Price'!C$1,FALSE),0)</f>
        <v>0</v>
      </c>
      <c r="H302" s="197">
        <f>IF(_1_54128456121462410464578910174[[#This Row],[Type]]&gt;0,VLOOKUP(_1_54128456121462410464578910174[[#This Row],[Type]],Main[[#All],[TYPE]:[UNIT]],'Unit Price'!D$1,FALSE),0)</f>
        <v>0</v>
      </c>
      <c r="I302" s="194">
        <f>IF(_1_54128456121462410464578910174[[#This Row],[Type]]&gt;0,VLOOKUP(_1_54128456121462410464578910174[[#This Row],[Type]],Main[[#All],[TYPE]:[UNIT]],'Unit Price'!G$1,FALSE),0)</f>
        <v>0</v>
      </c>
      <c r="J302" s="194">
        <f>IF(_1_54128456121462410464578910174[[#This Row],[Type]]&gt;0,VLOOKUP(_1_54128456121462410464578910174[[#This Row],[Type]],Main[[#All],[TYPE]:[UNIT]],'Unit Price'!H$1,FALSE),0)</f>
        <v>0</v>
      </c>
      <c r="K302" s="194">
        <f>IF(_1_54128456121462410464578910174[[#This Row],[Discount selection]]&gt;0,VLOOKUP(_1_54128456121462410464578910174[[#This Row],[Discount selection]],'Discount Structure'!$A$2:$B$30,2,"false"),0)</f>
        <v>1</v>
      </c>
      <c r="L302" s="194">
        <f>_1_54128456121462410464578910174[[#This Row],[LIST $]]*_1_54128456121462410464578910174[[#This Row],[DISCOUNT]]*_1_54128456121462410464578910174[[#This Row],[DISCOUNT 2]]</f>
        <v>0</v>
      </c>
      <c r="M302" s="194">
        <f>IF(OR(_1_54128456121462410464578910174[[#This Row],[UNIT]]&gt;0,_1_54128456121462410464578910174[[#This Row],[UNIT]]&lt;0),_1_54128456121462410464578910174[[#This Row],[UNIT]]*_1_54128456121462410464578910174[[#This Row],[COST]],0)</f>
        <v>0</v>
      </c>
      <c r="N302" s="194">
        <f t="shared" si="4"/>
        <v>1.5</v>
      </c>
      <c r="O302" s="198">
        <f>_1_54128456121462410464578910174[[#This Row],[TOTAL]]*_1_54128456121462410464578910174[[#This Row],[MARGIN]]</f>
        <v>0</v>
      </c>
      <c r="R302" s="41"/>
    </row>
    <row r="303" spans="1:18">
      <c r="D303" s="188"/>
      <c r="F303" s="168" t="s">
        <v>6202</v>
      </c>
      <c r="G303" s="205">
        <f>IF(_1_54128456121462410464578910174[[#This Row],[Type]]&gt;0,VLOOKUP(_1_54128456121462410464578910174[[#This Row],[Type]],Main[[#All],[TYPE]:[UNIT]],'Unit Price'!C$1,FALSE),0)</f>
        <v>0</v>
      </c>
      <c r="H303" s="197">
        <f>IF(_1_54128456121462410464578910174[[#This Row],[Type]]&gt;0,VLOOKUP(_1_54128456121462410464578910174[[#This Row],[Type]],Main[[#All],[TYPE]:[UNIT]],'Unit Price'!D$1,FALSE),0)</f>
        <v>0</v>
      </c>
      <c r="I303" s="194">
        <f>IF(_1_54128456121462410464578910174[[#This Row],[Type]]&gt;0,VLOOKUP(_1_54128456121462410464578910174[[#This Row],[Type]],Main[[#All],[TYPE]:[UNIT]],'Unit Price'!G$1,FALSE),0)</f>
        <v>0</v>
      </c>
      <c r="J303" s="194">
        <f>IF(_1_54128456121462410464578910174[[#This Row],[Type]]&gt;0,VLOOKUP(_1_54128456121462410464578910174[[#This Row],[Type]],Main[[#All],[TYPE]:[UNIT]],'Unit Price'!H$1,FALSE),0)</f>
        <v>0</v>
      </c>
      <c r="K303" s="194">
        <f>IF(_1_54128456121462410464578910174[[#This Row],[Discount selection]]&gt;0,VLOOKUP(_1_54128456121462410464578910174[[#This Row],[Discount selection]],'Discount Structure'!$A$2:$B$30,2,"false"),0)</f>
        <v>1</v>
      </c>
      <c r="L303" s="194">
        <f>_1_54128456121462410464578910174[[#This Row],[LIST $]]*_1_54128456121462410464578910174[[#This Row],[DISCOUNT]]*_1_54128456121462410464578910174[[#This Row],[DISCOUNT 2]]</f>
        <v>0</v>
      </c>
      <c r="M303" s="194">
        <f>IF(OR(_1_54128456121462410464578910174[[#This Row],[UNIT]]&gt;0,_1_54128456121462410464578910174[[#This Row],[UNIT]]&lt;0),_1_54128456121462410464578910174[[#This Row],[UNIT]]*_1_54128456121462410464578910174[[#This Row],[COST]],0)</f>
        <v>0</v>
      </c>
      <c r="N303" s="194">
        <f t="shared" si="4"/>
        <v>1.5</v>
      </c>
      <c r="O303" s="198">
        <f>_1_54128456121462410464578910174[[#This Row],[TOTAL]]*_1_54128456121462410464578910174[[#This Row],[MARGIN]]</f>
        <v>0</v>
      </c>
      <c r="R303" s="41"/>
    </row>
    <row r="304" spans="1:18">
      <c r="A304" s="326"/>
      <c r="D304" s="188"/>
      <c r="F304" s="168" t="s">
        <v>6202</v>
      </c>
      <c r="G304" s="193">
        <f>IF(_1_54128456121462410464578910174[[#This Row],[Type]]&gt;0,VLOOKUP(_1_54128456121462410464578910174[[#This Row],[Type]],Main[[#All],[TYPE]:[UNIT]],'Unit Price'!C$1,FALSE),0)</f>
        <v>0</v>
      </c>
      <c r="H304" s="197">
        <f>IF(_1_54128456121462410464578910174[[#This Row],[Type]]&gt;0,VLOOKUP(_1_54128456121462410464578910174[[#This Row],[Type]],Main[[#All],[TYPE]:[UNIT]],'Unit Price'!D$1,FALSE),0)</f>
        <v>0</v>
      </c>
      <c r="I304" s="194">
        <f>IF(_1_54128456121462410464578910174[[#This Row],[Type]]&gt;0,VLOOKUP(_1_54128456121462410464578910174[[#This Row],[Type]],Main[[#All],[TYPE]:[UNIT]],'Unit Price'!G$1,FALSE),0)</f>
        <v>0</v>
      </c>
      <c r="J304" s="194">
        <f>IF(_1_54128456121462410464578910174[[#This Row],[Type]]&gt;0,VLOOKUP(_1_54128456121462410464578910174[[#This Row],[Type]],Main[[#All],[TYPE]:[UNIT]],'Unit Price'!H$1,FALSE),0)</f>
        <v>0</v>
      </c>
      <c r="K304" s="194">
        <f>IF(_1_54128456121462410464578910174[[#This Row],[Discount selection]]&gt;0,VLOOKUP(_1_54128456121462410464578910174[[#This Row],[Discount selection]],'Discount Structure'!$A$2:$B$30,2,"false"),0)</f>
        <v>1</v>
      </c>
      <c r="L304" s="194">
        <f>_1_54128456121462410464578910174[[#This Row],[LIST $]]*_1_54128456121462410464578910174[[#This Row],[DISCOUNT]]*_1_54128456121462410464578910174[[#This Row],[DISCOUNT 2]]</f>
        <v>0</v>
      </c>
      <c r="M304" s="194">
        <f>IF(OR(_1_54128456121462410464578910174[[#This Row],[UNIT]]&gt;0,_1_54128456121462410464578910174[[#This Row],[UNIT]]&lt;0),_1_54128456121462410464578910174[[#This Row],[UNIT]]*_1_54128456121462410464578910174[[#This Row],[COST]],0)</f>
        <v>0</v>
      </c>
      <c r="N304" s="194">
        <f t="shared" si="4"/>
        <v>1.5</v>
      </c>
      <c r="O304" s="198">
        <f>_1_54128456121462410464578910174[[#This Row],[TOTAL]]*_1_54128456121462410464578910174[[#This Row],[MARGIN]]</f>
        <v>0</v>
      </c>
      <c r="R304" s="41"/>
    </row>
    <row r="305" spans="1:18">
      <c r="D305" s="188"/>
      <c r="F305" s="168" t="s">
        <v>6202</v>
      </c>
      <c r="G305" s="193">
        <f>IF(_1_54128456121462410464578910174[[#This Row],[Type]]&gt;0,VLOOKUP(_1_54128456121462410464578910174[[#This Row],[Type]],Main[[#All],[TYPE]:[UNIT]],'Unit Price'!C$1,FALSE),0)</f>
        <v>0</v>
      </c>
      <c r="H305" s="197">
        <f>IF(_1_54128456121462410464578910174[[#This Row],[Type]]&gt;0,VLOOKUP(_1_54128456121462410464578910174[[#This Row],[Type]],Main[[#All],[TYPE]:[UNIT]],'Unit Price'!D$1,FALSE),0)</f>
        <v>0</v>
      </c>
      <c r="I305" s="194">
        <f>IF(_1_54128456121462410464578910174[[#This Row],[Type]]&gt;0,VLOOKUP(_1_54128456121462410464578910174[[#This Row],[Type]],Main[[#All],[TYPE]:[UNIT]],'Unit Price'!G$1,FALSE),0)</f>
        <v>0</v>
      </c>
      <c r="J305" s="194">
        <f>IF(_1_54128456121462410464578910174[[#This Row],[Type]]&gt;0,VLOOKUP(_1_54128456121462410464578910174[[#This Row],[Type]],Main[[#All],[TYPE]:[UNIT]],'Unit Price'!H$1,FALSE),0)</f>
        <v>0</v>
      </c>
      <c r="K305" s="194">
        <f>IF(_1_54128456121462410464578910174[[#This Row],[Discount selection]]&gt;0,VLOOKUP(_1_54128456121462410464578910174[[#This Row],[Discount selection]],'Discount Structure'!$A$2:$B$30,2,"false"),0)</f>
        <v>1</v>
      </c>
      <c r="L305" s="194">
        <f>_1_54128456121462410464578910174[[#This Row],[LIST $]]*_1_54128456121462410464578910174[[#This Row],[DISCOUNT]]*_1_54128456121462410464578910174[[#This Row],[DISCOUNT 2]]</f>
        <v>0</v>
      </c>
      <c r="M305" s="194">
        <f>IF(OR(_1_54128456121462410464578910174[[#This Row],[UNIT]]&gt;0,_1_54128456121462410464578910174[[#This Row],[UNIT]]&lt;0),_1_54128456121462410464578910174[[#This Row],[UNIT]]*_1_54128456121462410464578910174[[#This Row],[COST]],0)</f>
        <v>0</v>
      </c>
      <c r="N305" s="194">
        <f t="shared" si="4"/>
        <v>1.5</v>
      </c>
      <c r="O305" s="198">
        <f>_1_54128456121462410464578910174[[#This Row],[TOTAL]]*_1_54128456121462410464578910174[[#This Row],[MARGIN]]</f>
        <v>0</v>
      </c>
      <c r="R305" s="41"/>
    </row>
    <row r="306" spans="1:18">
      <c r="A306" s="327"/>
      <c r="B306" s="327"/>
      <c r="C306" s="323"/>
      <c r="D306" s="188"/>
      <c r="F306" s="168" t="s">
        <v>6202</v>
      </c>
      <c r="G306" s="193">
        <f>IF(_1_54128456121462410464578910174[[#This Row],[Type]]&gt;0,VLOOKUP(_1_54128456121462410464578910174[[#This Row],[Type]],Main[[#All],[TYPE]:[UNIT]],'Unit Price'!C$1,FALSE),0)</f>
        <v>0</v>
      </c>
      <c r="H306" s="197">
        <f>IF(_1_54128456121462410464578910174[[#This Row],[Type]]&gt;0,VLOOKUP(_1_54128456121462410464578910174[[#This Row],[Type]],Main[[#All],[TYPE]:[UNIT]],'Unit Price'!D$1,FALSE),0)</f>
        <v>0</v>
      </c>
      <c r="I306" s="194">
        <f>IF(_1_54128456121462410464578910174[[#This Row],[Type]]&gt;0,VLOOKUP(_1_54128456121462410464578910174[[#This Row],[Type]],Main[[#All],[TYPE]:[UNIT]],'Unit Price'!G$1,FALSE),0)</f>
        <v>0</v>
      </c>
      <c r="J306" s="194">
        <f>IF(_1_54128456121462410464578910174[[#This Row],[Type]]&gt;0,VLOOKUP(_1_54128456121462410464578910174[[#This Row],[Type]],Main[[#All],[TYPE]:[UNIT]],'Unit Price'!H$1,FALSE),0)</f>
        <v>0</v>
      </c>
      <c r="K306" s="194">
        <f>IF(_1_54128456121462410464578910174[[#This Row],[Discount selection]]&gt;0,VLOOKUP(_1_54128456121462410464578910174[[#This Row],[Discount selection]],'Discount Structure'!$A$2:$B$30,2,"false"),0)</f>
        <v>1</v>
      </c>
      <c r="L306" s="194">
        <f>_1_54128456121462410464578910174[[#This Row],[LIST $]]*_1_54128456121462410464578910174[[#This Row],[DISCOUNT]]*_1_54128456121462410464578910174[[#This Row],[DISCOUNT 2]]</f>
        <v>0</v>
      </c>
      <c r="M306" s="194">
        <f>IF(OR(_1_54128456121462410464578910174[[#This Row],[UNIT]]&gt;0,_1_54128456121462410464578910174[[#This Row],[UNIT]]&lt;0),_1_54128456121462410464578910174[[#This Row],[UNIT]]*_1_54128456121462410464578910174[[#This Row],[COST]],0)</f>
        <v>0</v>
      </c>
      <c r="N306" s="194">
        <f t="shared" si="4"/>
        <v>1.5</v>
      </c>
      <c r="O306" s="198">
        <f>_1_54128456121462410464578910174[[#This Row],[TOTAL]]*_1_54128456121462410464578910174[[#This Row],[MARGIN]]</f>
        <v>0</v>
      </c>
      <c r="R306" s="41"/>
    </row>
    <row r="307" spans="1:18">
      <c r="A307" s="310"/>
      <c r="B307" s="310"/>
      <c r="C307" s="323"/>
      <c r="D307" s="188"/>
      <c r="F307" s="168" t="s">
        <v>6202</v>
      </c>
      <c r="G307" s="193">
        <f>IF(_1_54128456121462410464578910174[[#This Row],[Type]]&gt;0,VLOOKUP(_1_54128456121462410464578910174[[#This Row],[Type]],Main[[#All],[TYPE]:[UNIT]],'Unit Price'!C$1,FALSE),0)</f>
        <v>0</v>
      </c>
      <c r="H307" s="197">
        <f>IF(_1_54128456121462410464578910174[[#This Row],[Type]]&gt;0,VLOOKUP(_1_54128456121462410464578910174[[#This Row],[Type]],Main[[#All],[TYPE]:[UNIT]],'Unit Price'!D$1,FALSE),0)</f>
        <v>0</v>
      </c>
      <c r="I307" s="194">
        <f>IF(_1_54128456121462410464578910174[[#This Row],[Type]]&gt;0,VLOOKUP(_1_54128456121462410464578910174[[#This Row],[Type]],Main[[#All],[TYPE]:[UNIT]],'Unit Price'!G$1,FALSE),0)</f>
        <v>0</v>
      </c>
      <c r="J307" s="194">
        <f>IF(_1_54128456121462410464578910174[[#This Row],[Type]]&gt;0,VLOOKUP(_1_54128456121462410464578910174[[#This Row],[Type]],Main[[#All],[TYPE]:[UNIT]],'Unit Price'!H$1,FALSE),0)</f>
        <v>0</v>
      </c>
      <c r="K307" s="194">
        <f>IF(_1_54128456121462410464578910174[[#This Row],[Discount selection]]&gt;0,VLOOKUP(_1_54128456121462410464578910174[[#This Row],[Discount selection]],'Discount Structure'!$A$2:$B$30,2,"false"),0)</f>
        <v>1</v>
      </c>
      <c r="L307" s="194">
        <f>_1_54128456121462410464578910174[[#This Row],[LIST $]]*_1_54128456121462410464578910174[[#This Row],[DISCOUNT]]*_1_54128456121462410464578910174[[#This Row],[DISCOUNT 2]]</f>
        <v>0</v>
      </c>
      <c r="M307" s="194">
        <f>IF(OR(_1_54128456121462410464578910174[[#This Row],[UNIT]]&gt;0,_1_54128456121462410464578910174[[#This Row],[UNIT]]&lt;0),_1_54128456121462410464578910174[[#This Row],[UNIT]]*_1_54128456121462410464578910174[[#This Row],[COST]],0)</f>
        <v>0</v>
      </c>
      <c r="N307" s="194">
        <f t="shared" si="4"/>
        <v>1.5</v>
      </c>
      <c r="O307" s="198">
        <f>_1_54128456121462410464578910174[[#This Row],[TOTAL]]*_1_54128456121462410464578910174[[#This Row],[MARGIN]]</f>
        <v>0</v>
      </c>
      <c r="R307" s="41"/>
    </row>
    <row r="308" spans="1:18">
      <c r="A308" s="341"/>
      <c r="B308" s="323"/>
      <c r="C308" s="323"/>
      <c r="D308" s="188"/>
      <c r="F308" s="168" t="s">
        <v>6202</v>
      </c>
      <c r="G308" s="193">
        <f>IF(_1_54128456121462410464578910174[[#This Row],[Type]]&gt;0,VLOOKUP(_1_54128456121462410464578910174[[#This Row],[Type]],Main[[#All],[TYPE]:[UNIT]],'Unit Price'!C$1,FALSE),0)</f>
        <v>0</v>
      </c>
      <c r="H308" s="197">
        <f>IF(_1_54128456121462410464578910174[[#This Row],[Type]]&gt;0,VLOOKUP(_1_54128456121462410464578910174[[#This Row],[Type]],Main[[#All],[TYPE]:[UNIT]],'Unit Price'!D$1,FALSE),0)</f>
        <v>0</v>
      </c>
      <c r="I308" s="194">
        <f>IF(_1_54128456121462410464578910174[[#This Row],[Type]]&gt;0,VLOOKUP(_1_54128456121462410464578910174[[#This Row],[Type]],Main[[#All],[TYPE]:[UNIT]],'Unit Price'!G$1,FALSE),0)</f>
        <v>0</v>
      </c>
      <c r="J308" s="194">
        <f>IF(_1_54128456121462410464578910174[[#This Row],[Type]]&gt;0,VLOOKUP(_1_54128456121462410464578910174[[#This Row],[Type]],Main[[#All],[TYPE]:[UNIT]],'Unit Price'!H$1,FALSE),0)</f>
        <v>0</v>
      </c>
      <c r="K308" s="194">
        <f>IF(_1_54128456121462410464578910174[[#This Row],[Discount selection]]&gt;0,VLOOKUP(_1_54128456121462410464578910174[[#This Row],[Discount selection]],'Discount Structure'!$A$2:$B$30,2,"false"),0)</f>
        <v>1</v>
      </c>
      <c r="L308" s="194">
        <f>_1_54128456121462410464578910174[[#This Row],[LIST $]]*_1_54128456121462410464578910174[[#This Row],[DISCOUNT]]*_1_54128456121462410464578910174[[#This Row],[DISCOUNT 2]]</f>
        <v>0</v>
      </c>
      <c r="M308" s="194">
        <f>IF(OR(_1_54128456121462410464578910174[[#This Row],[UNIT]]&gt;0,_1_54128456121462410464578910174[[#This Row],[UNIT]]&lt;0),_1_54128456121462410464578910174[[#This Row],[UNIT]]*_1_54128456121462410464578910174[[#This Row],[COST]],0)</f>
        <v>0</v>
      </c>
      <c r="N308" s="194">
        <f t="shared" si="4"/>
        <v>1.5</v>
      </c>
      <c r="O308" s="198">
        <f>_1_54128456121462410464578910174[[#This Row],[TOTAL]]*_1_54128456121462410464578910174[[#This Row],[MARGIN]]</f>
        <v>0</v>
      </c>
      <c r="R308" s="41"/>
    </row>
    <row r="309" spans="1:18">
      <c r="D309" s="188"/>
      <c r="F309" s="168" t="s">
        <v>6202</v>
      </c>
      <c r="G309" s="193">
        <f>IF(_1_54128456121462410464578910174[[#This Row],[Type]]&gt;0,VLOOKUP(_1_54128456121462410464578910174[[#This Row],[Type]],Main[[#All],[TYPE]:[UNIT]],'Unit Price'!C$1,FALSE),0)</f>
        <v>0</v>
      </c>
      <c r="H309" s="197">
        <f>IF(_1_54128456121462410464578910174[[#This Row],[Type]]&gt;0,VLOOKUP(_1_54128456121462410464578910174[[#This Row],[Type]],Main[[#All],[TYPE]:[UNIT]],'Unit Price'!D$1,FALSE),0)</f>
        <v>0</v>
      </c>
      <c r="I309" s="194">
        <f>IF(_1_54128456121462410464578910174[[#This Row],[Type]]&gt;0,VLOOKUP(_1_54128456121462410464578910174[[#This Row],[Type]],Main[[#All],[TYPE]:[UNIT]],'Unit Price'!G$1,FALSE),0)</f>
        <v>0</v>
      </c>
      <c r="J309" s="194">
        <f>IF(_1_54128456121462410464578910174[[#This Row],[Type]]&gt;0,VLOOKUP(_1_54128456121462410464578910174[[#This Row],[Type]],Main[[#All],[TYPE]:[UNIT]],'Unit Price'!H$1,FALSE),0)</f>
        <v>0</v>
      </c>
      <c r="K309" s="194">
        <f>IF(_1_54128456121462410464578910174[[#This Row],[Discount selection]]&gt;0,VLOOKUP(_1_54128456121462410464578910174[[#This Row],[Discount selection]],'Discount Structure'!$A$2:$B$30,2,"false"),0)</f>
        <v>1</v>
      </c>
      <c r="L309" s="194">
        <f>_1_54128456121462410464578910174[[#This Row],[LIST $]]*_1_54128456121462410464578910174[[#This Row],[DISCOUNT]]*_1_54128456121462410464578910174[[#This Row],[DISCOUNT 2]]</f>
        <v>0</v>
      </c>
      <c r="M309" s="194">
        <f>IF(OR(_1_54128456121462410464578910174[[#This Row],[UNIT]]&gt;0,_1_54128456121462410464578910174[[#This Row],[UNIT]]&lt;0),_1_54128456121462410464578910174[[#This Row],[UNIT]]*_1_54128456121462410464578910174[[#This Row],[COST]],0)</f>
        <v>0</v>
      </c>
      <c r="N309" s="194">
        <f t="shared" si="4"/>
        <v>1.5</v>
      </c>
      <c r="O309" s="198">
        <f>_1_54128456121462410464578910174[[#This Row],[TOTAL]]*_1_54128456121462410464578910174[[#This Row],[MARGIN]]</f>
        <v>0</v>
      </c>
      <c r="R309" s="41"/>
    </row>
    <row r="310" spans="1:18">
      <c r="A310" s="326"/>
      <c r="D310" s="188"/>
      <c r="F310" s="168" t="s">
        <v>6202</v>
      </c>
      <c r="G310" s="193">
        <f>IF(_1_54128456121462410464578910174[[#This Row],[Type]]&gt;0,VLOOKUP(_1_54128456121462410464578910174[[#This Row],[Type]],Main[[#All],[TYPE]:[UNIT]],'Unit Price'!C$1,FALSE),0)</f>
        <v>0</v>
      </c>
      <c r="H310" s="197">
        <f>IF(_1_54128456121462410464578910174[[#This Row],[Type]]&gt;0,VLOOKUP(_1_54128456121462410464578910174[[#This Row],[Type]],Main[[#All],[TYPE]:[UNIT]],'Unit Price'!D$1,FALSE),0)</f>
        <v>0</v>
      </c>
      <c r="I310" s="194">
        <f>IF(_1_54128456121462410464578910174[[#This Row],[Type]]&gt;0,VLOOKUP(_1_54128456121462410464578910174[[#This Row],[Type]],Main[[#All],[TYPE]:[UNIT]],'Unit Price'!G$1,FALSE),0)</f>
        <v>0</v>
      </c>
      <c r="J310" s="194">
        <f>IF(_1_54128456121462410464578910174[[#This Row],[Type]]&gt;0,VLOOKUP(_1_54128456121462410464578910174[[#This Row],[Type]],Main[[#All],[TYPE]:[UNIT]],'Unit Price'!H$1,FALSE),0)</f>
        <v>0</v>
      </c>
      <c r="K310" s="194">
        <f>IF(_1_54128456121462410464578910174[[#This Row],[Discount selection]]&gt;0,VLOOKUP(_1_54128456121462410464578910174[[#This Row],[Discount selection]],'Discount Structure'!$A$2:$B$30,2,"false"),0)</f>
        <v>1</v>
      </c>
      <c r="L310" s="194">
        <f>_1_54128456121462410464578910174[[#This Row],[LIST $]]*_1_54128456121462410464578910174[[#This Row],[DISCOUNT]]*_1_54128456121462410464578910174[[#This Row],[DISCOUNT 2]]</f>
        <v>0</v>
      </c>
      <c r="M310" s="194">
        <f>IF(OR(_1_54128456121462410464578910174[[#This Row],[UNIT]]&gt;0,_1_54128456121462410464578910174[[#This Row],[UNIT]]&lt;0),_1_54128456121462410464578910174[[#This Row],[UNIT]]*_1_54128456121462410464578910174[[#This Row],[COST]],0)</f>
        <v>0</v>
      </c>
      <c r="N310" s="194">
        <f t="shared" si="4"/>
        <v>1.5</v>
      </c>
      <c r="O310" s="198">
        <f>_1_54128456121462410464578910174[[#This Row],[TOTAL]]*_1_54128456121462410464578910174[[#This Row],[MARGIN]]</f>
        <v>0</v>
      </c>
      <c r="R310" s="41"/>
    </row>
    <row r="311" spans="1:18">
      <c r="D311" s="188"/>
      <c r="F311" s="168" t="s">
        <v>6202</v>
      </c>
      <c r="G311" s="193">
        <f>IF(_1_54128456121462410464578910174[[#This Row],[Type]]&gt;0,VLOOKUP(_1_54128456121462410464578910174[[#This Row],[Type]],Main[[#All],[TYPE]:[UNIT]],'Unit Price'!C$1,FALSE),0)</f>
        <v>0</v>
      </c>
      <c r="H311" s="197">
        <f>IF(_1_54128456121462410464578910174[[#This Row],[Type]]&gt;0,VLOOKUP(_1_54128456121462410464578910174[[#This Row],[Type]],Main[[#All],[TYPE]:[UNIT]],'Unit Price'!D$1,FALSE),0)</f>
        <v>0</v>
      </c>
      <c r="I311" s="194">
        <f>IF(_1_54128456121462410464578910174[[#This Row],[Type]]&gt;0,VLOOKUP(_1_54128456121462410464578910174[[#This Row],[Type]],Main[[#All],[TYPE]:[UNIT]],'Unit Price'!G$1,FALSE),0)</f>
        <v>0</v>
      </c>
      <c r="J311" s="194">
        <f>IF(_1_54128456121462410464578910174[[#This Row],[Type]]&gt;0,VLOOKUP(_1_54128456121462410464578910174[[#This Row],[Type]],Main[[#All],[TYPE]:[UNIT]],'Unit Price'!H$1,FALSE),0)</f>
        <v>0</v>
      </c>
      <c r="K311" s="194">
        <f>IF(_1_54128456121462410464578910174[[#This Row],[Discount selection]]&gt;0,VLOOKUP(_1_54128456121462410464578910174[[#This Row],[Discount selection]],'Discount Structure'!$A$2:$B$30,2,"false"),0)</f>
        <v>1</v>
      </c>
      <c r="L311" s="194">
        <f>_1_54128456121462410464578910174[[#This Row],[LIST $]]*_1_54128456121462410464578910174[[#This Row],[DISCOUNT]]*_1_54128456121462410464578910174[[#This Row],[DISCOUNT 2]]</f>
        <v>0</v>
      </c>
      <c r="M311" s="194">
        <f>IF(OR(_1_54128456121462410464578910174[[#This Row],[UNIT]]&gt;0,_1_54128456121462410464578910174[[#This Row],[UNIT]]&lt;0),_1_54128456121462410464578910174[[#This Row],[UNIT]]*_1_54128456121462410464578910174[[#This Row],[COST]],0)</f>
        <v>0</v>
      </c>
      <c r="N311" s="194">
        <f t="shared" si="4"/>
        <v>1.5</v>
      </c>
      <c r="O311" s="198">
        <f>_1_54128456121462410464578910174[[#This Row],[TOTAL]]*_1_54128456121462410464578910174[[#This Row],[MARGIN]]</f>
        <v>0</v>
      </c>
      <c r="R311" s="41"/>
    </row>
    <row r="312" spans="1:18">
      <c r="A312" s="323"/>
      <c r="B312" s="323"/>
      <c r="C312" s="323"/>
      <c r="D312" s="188"/>
      <c r="F312" s="168" t="s">
        <v>6202</v>
      </c>
      <c r="G312" s="193">
        <f>IF(_1_54128456121462410464578910174[[#This Row],[Type]]&gt;0,VLOOKUP(_1_54128456121462410464578910174[[#This Row],[Type]],Main[[#All],[TYPE]:[UNIT]],'Unit Price'!C$1,FALSE),0)</f>
        <v>0</v>
      </c>
      <c r="H312" s="197">
        <f>IF(_1_54128456121462410464578910174[[#This Row],[Type]]&gt;0,VLOOKUP(_1_54128456121462410464578910174[[#This Row],[Type]],Main[[#All],[TYPE]:[UNIT]],'Unit Price'!D$1,FALSE),0)</f>
        <v>0</v>
      </c>
      <c r="I312" s="194">
        <f>IF(_1_54128456121462410464578910174[[#This Row],[Type]]&gt;0,VLOOKUP(_1_54128456121462410464578910174[[#This Row],[Type]],Main[[#All],[TYPE]:[UNIT]],'Unit Price'!G$1,FALSE),0)</f>
        <v>0</v>
      </c>
      <c r="J312" s="194">
        <f>IF(_1_54128456121462410464578910174[[#This Row],[Type]]&gt;0,VLOOKUP(_1_54128456121462410464578910174[[#This Row],[Type]],Main[[#All],[TYPE]:[UNIT]],'Unit Price'!H$1,FALSE),0)</f>
        <v>0</v>
      </c>
      <c r="K312" s="194">
        <f>IF(_1_54128456121462410464578910174[[#This Row],[Discount selection]]&gt;0,VLOOKUP(_1_54128456121462410464578910174[[#This Row],[Discount selection]],'Discount Structure'!$A$2:$B$30,2,"false"),0)</f>
        <v>1</v>
      </c>
      <c r="L312" s="194">
        <f>_1_54128456121462410464578910174[[#This Row],[LIST $]]*_1_54128456121462410464578910174[[#This Row],[DISCOUNT]]*_1_54128456121462410464578910174[[#This Row],[DISCOUNT 2]]</f>
        <v>0</v>
      </c>
      <c r="M312" s="194">
        <f>IF(OR(_1_54128456121462410464578910174[[#This Row],[UNIT]]&gt;0,_1_54128456121462410464578910174[[#This Row],[UNIT]]&lt;0),_1_54128456121462410464578910174[[#This Row],[UNIT]]*_1_54128456121462410464578910174[[#This Row],[COST]],0)</f>
        <v>0</v>
      </c>
      <c r="N312" s="194">
        <f t="shared" si="4"/>
        <v>1.5</v>
      </c>
      <c r="O312" s="198">
        <f>_1_54128456121462410464578910174[[#This Row],[TOTAL]]*_1_54128456121462410464578910174[[#This Row],[MARGIN]]</f>
        <v>0</v>
      </c>
      <c r="R312" s="41"/>
    </row>
    <row r="313" spans="1:18">
      <c r="A313" s="323"/>
      <c r="B313" s="323"/>
      <c r="C313" s="328"/>
      <c r="D313" s="188"/>
      <c r="F313" s="168" t="s">
        <v>6202</v>
      </c>
      <c r="G313" s="193">
        <f>IF(_1_54128456121462410464578910174[[#This Row],[Type]]&gt;0,VLOOKUP(_1_54128456121462410464578910174[[#This Row],[Type]],Main[[#All],[TYPE]:[UNIT]],'Unit Price'!C$1,FALSE),0)</f>
        <v>0</v>
      </c>
      <c r="H313" s="197">
        <f>IF(_1_54128456121462410464578910174[[#This Row],[Type]]&gt;0,VLOOKUP(_1_54128456121462410464578910174[[#This Row],[Type]],Main[[#All],[TYPE]:[UNIT]],'Unit Price'!D$1,FALSE),0)</f>
        <v>0</v>
      </c>
      <c r="I313" s="194">
        <f>IF(_1_54128456121462410464578910174[[#This Row],[Type]]&gt;0,VLOOKUP(_1_54128456121462410464578910174[[#This Row],[Type]],Main[[#All],[TYPE]:[UNIT]],'Unit Price'!G$1,FALSE),0)</f>
        <v>0</v>
      </c>
      <c r="J313" s="194">
        <f>IF(_1_54128456121462410464578910174[[#This Row],[Type]]&gt;0,VLOOKUP(_1_54128456121462410464578910174[[#This Row],[Type]],Main[[#All],[TYPE]:[UNIT]],'Unit Price'!H$1,FALSE),0)</f>
        <v>0</v>
      </c>
      <c r="K313" s="194">
        <f>IF(_1_54128456121462410464578910174[[#This Row],[Discount selection]]&gt;0,VLOOKUP(_1_54128456121462410464578910174[[#This Row],[Discount selection]],'Discount Structure'!$A$2:$B$30,2,"false"),0)</f>
        <v>1</v>
      </c>
      <c r="L313" s="194">
        <f>_1_54128456121462410464578910174[[#This Row],[LIST $]]*_1_54128456121462410464578910174[[#This Row],[DISCOUNT]]*_1_54128456121462410464578910174[[#This Row],[DISCOUNT 2]]</f>
        <v>0</v>
      </c>
      <c r="M313" s="194">
        <f>IF(OR(_1_54128456121462410464578910174[[#This Row],[UNIT]]&gt;0,_1_54128456121462410464578910174[[#This Row],[UNIT]]&lt;0),_1_54128456121462410464578910174[[#This Row],[UNIT]]*_1_54128456121462410464578910174[[#This Row],[COST]],0)</f>
        <v>0</v>
      </c>
      <c r="N313" s="194">
        <f t="shared" si="4"/>
        <v>1.5</v>
      </c>
      <c r="O313" s="198">
        <f>_1_54128456121462410464578910174[[#This Row],[TOTAL]]*_1_54128456121462410464578910174[[#This Row],[MARGIN]]</f>
        <v>0</v>
      </c>
      <c r="R313" s="41"/>
    </row>
    <row r="314" spans="1:18">
      <c r="A314" s="323"/>
      <c r="B314" s="323"/>
      <c r="C314" s="328"/>
      <c r="D314" s="188"/>
      <c r="F314" s="168" t="s">
        <v>6202</v>
      </c>
      <c r="G314" s="205">
        <f>IF(_1_54128456121462410464578910174[[#This Row],[Type]]&gt;0,VLOOKUP(_1_54128456121462410464578910174[[#This Row],[Type]],Main[[#All],[TYPE]:[UNIT]],'Unit Price'!C$1,FALSE),0)</f>
        <v>0</v>
      </c>
      <c r="H314" s="197">
        <f>IF(_1_54128456121462410464578910174[[#This Row],[Type]]&gt;0,VLOOKUP(_1_54128456121462410464578910174[[#This Row],[Type]],Main[[#All],[TYPE]:[UNIT]],'Unit Price'!D$1,FALSE),0)</f>
        <v>0</v>
      </c>
      <c r="I314" s="194">
        <f>IF(_1_54128456121462410464578910174[[#This Row],[Type]]&gt;0,VLOOKUP(_1_54128456121462410464578910174[[#This Row],[Type]],Main[[#All],[TYPE]:[UNIT]],'Unit Price'!G$1,FALSE),0)</f>
        <v>0</v>
      </c>
      <c r="J314" s="194">
        <f>IF(_1_54128456121462410464578910174[[#This Row],[Type]]&gt;0,VLOOKUP(_1_54128456121462410464578910174[[#This Row],[Type]],Main[[#All],[TYPE]:[UNIT]],'Unit Price'!H$1,FALSE),0)</f>
        <v>0</v>
      </c>
      <c r="K314" s="194">
        <f>IF(_1_54128456121462410464578910174[[#This Row],[Discount selection]]&gt;0,VLOOKUP(_1_54128456121462410464578910174[[#This Row],[Discount selection]],'Discount Structure'!$A$2:$B$30,2,"false"),0)</f>
        <v>1</v>
      </c>
      <c r="L314" s="194">
        <f>_1_54128456121462410464578910174[[#This Row],[LIST $]]*_1_54128456121462410464578910174[[#This Row],[DISCOUNT]]*_1_54128456121462410464578910174[[#This Row],[DISCOUNT 2]]</f>
        <v>0</v>
      </c>
      <c r="M314" s="194">
        <f>IF(OR(_1_54128456121462410464578910174[[#This Row],[UNIT]]&gt;0,_1_54128456121462410464578910174[[#This Row],[UNIT]]&lt;0),_1_54128456121462410464578910174[[#This Row],[UNIT]]*_1_54128456121462410464578910174[[#This Row],[COST]],0)</f>
        <v>0</v>
      </c>
      <c r="N314" s="194">
        <f t="shared" si="4"/>
        <v>1.5</v>
      </c>
      <c r="O314" s="198">
        <f>_1_54128456121462410464578910174[[#This Row],[TOTAL]]*_1_54128456121462410464578910174[[#This Row],[MARGIN]]</f>
        <v>0</v>
      </c>
      <c r="R314" s="41"/>
    </row>
    <row r="315" spans="1:18">
      <c r="D315" s="188"/>
      <c r="F315" s="168" t="s">
        <v>6202</v>
      </c>
      <c r="G315" s="193">
        <f>IF(_1_54128456121462410464578910174[[#This Row],[Type]]&gt;0,VLOOKUP(_1_54128456121462410464578910174[[#This Row],[Type]],Main[[#All],[TYPE]:[UNIT]],'Unit Price'!C$1,FALSE),0)</f>
        <v>0</v>
      </c>
      <c r="H315" s="197">
        <f>IF(_1_54128456121462410464578910174[[#This Row],[Type]]&gt;0,VLOOKUP(_1_54128456121462410464578910174[[#This Row],[Type]],Main[[#All],[TYPE]:[UNIT]],'Unit Price'!D$1,FALSE),0)</f>
        <v>0</v>
      </c>
      <c r="I315" s="194">
        <f>IF(_1_54128456121462410464578910174[[#This Row],[Type]]&gt;0,VLOOKUP(_1_54128456121462410464578910174[[#This Row],[Type]],Main[[#All],[TYPE]:[UNIT]],'Unit Price'!G$1,FALSE),0)</f>
        <v>0</v>
      </c>
      <c r="J315" s="194">
        <f>IF(_1_54128456121462410464578910174[[#This Row],[Type]]&gt;0,VLOOKUP(_1_54128456121462410464578910174[[#This Row],[Type]],Main[[#All],[TYPE]:[UNIT]],'Unit Price'!H$1,FALSE),0)</f>
        <v>0</v>
      </c>
      <c r="K315" s="194">
        <f>IF(_1_54128456121462410464578910174[[#This Row],[Discount selection]]&gt;0,VLOOKUP(_1_54128456121462410464578910174[[#This Row],[Discount selection]],'Discount Structure'!$A$2:$B$30,2,"false"),0)</f>
        <v>1</v>
      </c>
      <c r="L315" s="194">
        <f>_1_54128456121462410464578910174[[#This Row],[LIST $]]*_1_54128456121462410464578910174[[#This Row],[DISCOUNT]]*_1_54128456121462410464578910174[[#This Row],[DISCOUNT 2]]</f>
        <v>0</v>
      </c>
      <c r="M315" s="194">
        <f>IF(OR(_1_54128456121462410464578910174[[#This Row],[UNIT]]&gt;0,_1_54128456121462410464578910174[[#This Row],[UNIT]]&lt;0),_1_54128456121462410464578910174[[#This Row],[UNIT]]*_1_54128456121462410464578910174[[#This Row],[COST]],0)</f>
        <v>0</v>
      </c>
      <c r="N315" s="194">
        <f t="shared" si="4"/>
        <v>1.5</v>
      </c>
      <c r="O315" s="198">
        <f>_1_54128456121462410464578910174[[#This Row],[TOTAL]]*_1_54128456121462410464578910174[[#This Row],[MARGIN]]</f>
        <v>0</v>
      </c>
      <c r="R315" s="41"/>
    </row>
    <row r="316" spans="1:18">
      <c r="A316" s="328"/>
      <c r="B316" s="323"/>
      <c r="C316" s="326"/>
      <c r="D316" s="188"/>
      <c r="F316" s="168" t="s">
        <v>6202</v>
      </c>
      <c r="G316" s="193">
        <f>IF(_1_54128456121462410464578910174[[#This Row],[Type]]&gt;0,VLOOKUP(_1_54128456121462410464578910174[[#This Row],[Type]],Main[[#All],[TYPE]:[UNIT]],'Unit Price'!C$1,FALSE),0)</f>
        <v>0</v>
      </c>
      <c r="H316" s="197">
        <f>IF(_1_54128456121462410464578910174[[#This Row],[Type]]&gt;0,VLOOKUP(_1_54128456121462410464578910174[[#This Row],[Type]],Main[[#All],[TYPE]:[UNIT]],'Unit Price'!D$1,FALSE),0)</f>
        <v>0</v>
      </c>
      <c r="I316" s="194">
        <f>IF(_1_54128456121462410464578910174[[#This Row],[Type]]&gt;0,VLOOKUP(_1_54128456121462410464578910174[[#This Row],[Type]],Main[[#All],[TYPE]:[UNIT]],'Unit Price'!G$1,FALSE),0)</f>
        <v>0</v>
      </c>
      <c r="J316" s="194">
        <f>IF(_1_54128456121462410464578910174[[#This Row],[Type]]&gt;0,VLOOKUP(_1_54128456121462410464578910174[[#This Row],[Type]],Main[[#All],[TYPE]:[UNIT]],'Unit Price'!H$1,FALSE),0)</f>
        <v>0</v>
      </c>
      <c r="K316" s="194">
        <f>IF(_1_54128456121462410464578910174[[#This Row],[Discount selection]]&gt;0,VLOOKUP(_1_54128456121462410464578910174[[#This Row],[Discount selection]],'Discount Structure'!$A$2:$B$30,2,"false"),0)</f>
        <v>1</v>
      </c>
      <c r="L316" s="194">
        <f>_1_54128456121462410464578910174[[#This Row],[LIST $]]*_1_54128456121462410464578910174[[#This Row],[DISCOUNT]]*_1_54128456121462410464578910174[[#This Row],[DISCOUNT 2]]</f>
        <v>0</v>
      </c>
      <c r="M316" s="194">
        <f>IF(OR(_1_54128456121462410464578910174[[#This Row],[UNIT]]&gt;0,_1_54128456121462410464578910174[[#This Row],[UNIT]]&lt;0),_1_54128456121462410464578910174[[#This Row],[UNIT]]*_1_54128456121462410464578910174[[#This Row],[COST]],0)</f>
        <v>0</v>
      </c>
      <c r="N316" s="194">
        <f t="shared" si="4"/>
        <v>1.5</v>
      </c>
      <c r="O316" s="198">
        <f>_1_54128456121462410464578910174[[#This Row],[TOTAL]]*_1_54128456121462410464578910174[[#This Row],[MARGIN]]</f>
        <v>0</v>
      </c>
      <c r="R316" s="41"/>
    </row>
    <row r="317" spans="1:18">
      <c r="C317" s="328"/>
      <c r="D317" s="188"/>
      <c r="F317" s="168" t="s">
        <v>6202</v>
      </c>
      <c r="G317" s="193">
        <f>IF(_1_54128456121462410464578910174[[#This Row],[Type]]&gt;0,VLOOKUP(_1_54128456121462410464578910174[[#This Row],[Type]],Main[[#All],[TYPE]:[UNIT]],'Unit Price'!C$1,FALSE),0)</f>
        <v>0</v>
      </c>
      <c r="H317" s="197">
        <f>IF(_1_54128456121462410464578910174[[#This Row],[Type]]&gt;0,VLOOKUP(_1_54128456121462410464578910174[[#This Row],[Type]],Main[[#All],[TYPE]:[UNIT]],'Unit Price'!D$1,FALSE),0)</f>
        <v>0</v>
      </c>
      <c r="I317" s="194">
        <f>IF(_1_54128456121462410464578910174[[#This Row],[Type]]&gt;0,VLOOKUP(_1_54128456121462410464578910174[[#This Row],[Type]],Main[[#All],[TYPE]:[UNIT]],'Unit Price'!G$1,FALSE),0)</f>
        <v>0</v>
      </c>
      <c r="J317" s="194">
        <f>IF(_1_54128456121462410464578910174[[#This Row],[Type]]&gt;0,VLOOKUP(_1_54128456121462410464578910174[[#This Row],[Type]],Main[[#All],[TYPE]:[UNIT]],'Unit Price'!H$1,FALSE),0)</f>
        <v>0</v>
      </c>
      <c r="K317" s="194">
        <f>IF(_1_54128456121462410464578910174[[#This Row],[Discount selection]]&gt;0,VLOOKUP(_1_54128456121462410464578910174[[#This Row],[Discount selection]],'Discount Structure'!$A$2:$B$30,2,"false"),0)</f>
        <v>1</v>
      </c>
      <c r="L317" s="194">
        <f>_1_54128456121462410464578910174[[#This Row],[LIST $]]*_1_54128456121462410464578910174[[#This Row],[DISCOUNT]]*_1_54128456121462410464578910174[[#This Row],[DISCOUNT 2]]</f>
        <v>0</v>
      </c>
      <c r="M317" s="194">
        <f>IF(OR(_1_54128456121462410464578910174[[#This Row],[UNIT]]&gt;0,_1_54128456121462410464578910174[[#This Row],[UNIT]]&lt;0),_1_54128456121462410464578910174[[#This Row],[UNIT]]*_1_54128456121462410464578910174[[#This Row],[COST]],0)</f>
        <v>0</v>
      </c>
      <c r="N317" s="194">
        <f t="shared" si="4"/>
        <v>1.5</v>
      </c>
      <c r="O317" s="198">
        <f>_1_54128456121462410464578910174[[#This Row],[TOTAL]]*_1_54128456121462410464578910174[[#This Row],[MARGIN]]</f>
        <v>0</v>
      </c>
      <c r="R317" s="41"/>
    </row>
    <row r="318" spans="1:18">
      <c r="D318" s="188"/>
      <c r="F318" s="168" t="s">
        <v>6202</v>
      </c>
      <c r="G318" s="193">
        <f>IF(_1_54128456121462410464578910174[[#This Row],[Type]]&gt;0,VLOOKUP(_1_54128456121462410464578910174[[#This Row],[Type]],Main[[#All],[TYPE]:[UNIT]],'Unit Price'!C$1,FALSE),0)</f>
        <v>0</v>
      </c>
      <c r="H318" s="197">
        <f>IF(_1_54128456121462410464578910174[[#This Row],[Type]]&gt;0,VLOOKUP(_1_54128456121462410464578910174[[#This Row],[Type]],Main[[#All],[TYPE]:[UNIT]],'Unit Price'!D$1,FALSE),0)</f>
        <v>0</v>
      </c>
      <c r="I318" s="194">
        <f>IF(_1_54128456121462410464578910174[[#This Row],[Type]]&gt;0,VLOOKUP(_1_54128456121462410464578910174[[#This Row],[Type]],Main[[#All],[TYPE]:[UNIT]],'Unit Price'!G$1,FALSE),0)</f>
        <v>0</v>
      </c>
      <c r="J318" s="194">
        <f>IF(_1_54128456121462410464578910174[[#This Row],[Type]]&gt;0,VLOOKUP(_1_54128456121462410464578910174[[#This Row],[Type]],Main[[#All],[TYPE]:[UNIT]],'Unit Price'!H$1,FALSE),0)</f>
        <v>0</v>
      </c>
      <c r="K318" s="194">
        <f>IF(_1_54128456121462410464578910174[[#This Row],[Discount selection]]&gt;0,VLOOKUP(_1_54128456121462410464578910174[[#This Row],[Discount selection]],'Discount Structure'!$A$2:$B$30,2,"false"),0)</f>
        <v>1</v>
      </c>
      <c r="L318" s="194">
        <f>_1_54128456121462410464578910174[[#This Row],[LIST $]]*_1_54128456121462410464578910174[[#This Row],[DISCOUNT]]*_1_54128456121462410464578910174[[#This Row],[DISCOUNT 2]]</f>
        <v>0</v>
      </c>
      <c r="M318" s="194">
        <f>IF(OR(_1_54128456121462410464578910174[[#This Row],[UNIT]]&gt;0,_1_54128456121462410464578910174[[#This Row],[UNIT]]&lt;0),_1_54128456121462410464578910174[[#This Row],[UNIT]]*_1_54128456121462410464578910174[[#This Row],[COST]],0)</f>
        <v>0</v>
      </c>
      <c r="N318" s="194">
        <f t="shared" si="4"/>
        <v>1.5</v>
      </c>
      <c r="O318" s="198">
        <f>_1_54128456121462410464578910174[[#This Row],[TOTAL]]*_1_54128456121462410464578910174[[#This Row],[MARGIN]]</f>
        <v>0</v>
      </c>
      <c r="R318" s="41"/>
    </row>
    <row r="319" spans="1:18">
      <c r="A319" s="353"/>
      <c r="D319" s="188"/>
      <c r="F319" s="168" t="s">
        <v>6202</v>
      </c>
      <c r="G319" s="193">
        <f>IF(_1_54128456121462410464578910174[[#This Row],[Type]]&gt;0,VLOOKUP(_1_54128456121462410464578910174[[#This Row],[Type]],Main[[#All],[TYPE]:[UNIT]],'Unit Price'!C$1,FALSE),0)</f>
        <v>0</v>
      </c>
      <c r="H319" s="197">
        <f>IF(_1_54128456121462410464578910174[[#This Row],[Type]]&gt;0,VLOOKUP(_1_54128456121462410464578910174[[#This Row],[Type]],Main[[#All],[TYPE]:[UNIT]],'Unit Price'!D$1,FALSE),0)</f>
        <v>0</v>
      </c>
      <c r="I319" s="194">
        <f>IF(_1_54128456121462410464578910174[[#This Row],[Type]]&gt;0,VLOOKUP(_1_54128456121462410464578910174[[#This Row],[Type]],Main[[#All],[TYPE]:[UNIT]],'Unit Price'!G$1,FALSE),0)</f>
        <v>0</v>
      </c>
      <c r="J319" s="194">
        <f>IF(_1_54128456121462410464578910174[[#This Row],[Type]]&gt;0,VLOOKUP(_1_54128456121462410464578910174[[#This Row],[Type]],Main[[#All],[TYPE]:[UNIT]],'Unit Price'!H$1,FALSE),0)</f>
        <v>0</v>
      </c>
      <c r="K319" s="194">
        <f>IF(_1_54128456121462410464578910174[[#This Row],[Discount selection]]&gt;0,VLOOKUP(_1_54128456121462410464578910174[[#This Row],[Discount selection]],'Discount Structure'!$A$2:$B$30,2,"false"),0)</f>
        <v>1</v>
      </c>
      <c r="L319" s="194">
        <f>_1_54128456121462410464578910174[[#This Row],[LIST $]]*_1_54128456121462410464578910174[[#This Row],[DISCOUNT]]*_1_54128456121462410464578910174[[#This Row],[DISCOUNT 2]]</f>
        <v>0</v>
      </c>
      <c r="M319" s="194">
        <f>IF(OR(_1_54128456121462410464578910174[[#This Row],[UNIT]]&gt;0,_1_54128456121462410464578910174[[#This Row],[UNIT]]&lt;0),_1_54128456121462410464578910174[[#This Row],[UNIT]]*_1_54128456121462410464578910174[[#This Row],[COST]],0)</f>
        <v>0</v>
      </c>
      <c r="N319" s="194">
        <f t="shared" si="4"/>
        <v>1.5</v>
      </c>
      <c r="O319" s="198">
        <f>_1_54128456121462410464578910174[[#This Row],[TOTAL]]*_1_54128456121462410464578910174[[#This Row],[MARGIN]]</f>
        <v>0</v>
      </c>
      <c r="R319" s="41"/>
    </row>
    <row r="320" spans="1:18">
      <c r="B320" s="326"/>
      <c r="C320" s="326"/>
      <c r="D320" s="188"/>
      <c r="F320" s="168" t="s">
        <v>6202</v>
      </c>
      <c r="G320" s="193">
        <f>IF(_1_54128456121462410464578910174[[#This Row],[Type]]&gt;0,VLOOKUP(_1_54128456121462410464578910174[[#This Row],[Type]],Main[[#All],[TYPE]:[UNIT]],'Unit Price'!C$1,FALSE),0)</f>
        <v>0</v>
      </c>
      <c r="H320" s="197">
        <f>IF(_1_54128456121462410464578910174[[#This Row],[Type]]&gt;0,VLOOKUP(_1_54128456121462410464578910174[[#This Row],[Type]],Main[[#All],[TYPE]:[UNIT]],'Unit Price'!D$1,FALSE),0)</f>
        <v>0</v>
      </c>
      <c r="I320" s="194">
        <f>IF(_1_54128456121462410464578910174[[#This Row],[Type]]&gt;0,VLOOKUP(_1_54128456121462410464578910174[[#This Row],[Type]],Main[[#All],[TYPE]:[UNIT]],'Unit Price'!G$1,FALSE),0)</f>
        <v>0</v>
      </c>
      <c r="J320" s="194">
        <f>IF(_1_54128456121462410464578910174[[#This Row],[Type]]&gt;0,VLOOKUP(_1_54128456121462410464578910174[[#This Row],[Type]],Main[[#All],[TYPE]:[UNIT]],'Unit Price'!H$1,FALSE),0)</f>
        <v>0</v>
      </c>
      <c r="K320" s="194">
        <f>IF(_1_54128456121462410464578910174[[#This Row],[Discount selection]]&gt;0,VLOOKUP(_1_54128456121462410464578910174[[#This Row],[Discount selection]],'Discount Structure'!$A$2:$B$30,2,"false"),0)</f>
        <v>1</v>
      </c>
      <c r="L320" s="194">
        <f>_1_54128456121462410464578910174[[#This Row],[LIST $]]*_1_54128456121462410464578910174[[#This Row],[DISCOUNT]]*_1_54128456121462410464578910174[[#This Row],[DISCOUNT 2]]</f>
        <v>0</v>
      </c>
      <c r="M320" s="194">
        <f>IF(OR(_1_54128456121462410464578910174[[#This Row],[UNIT]]&gt;0,_1_54128456121462410464578910174[[#This Row],[UNIT]]&lt;0),_1_54128456121462410464578910174[[#This Row],[UNIT]]*_1_54128456121462410464578910174[[#This Row],[COST]],0)</f>
        <v>0</v>
      </c>
      <c r="N320" s="194">
        <f t="shared" si="4"/>
        <v>1.5</v>
      </c>
      <c r="O320" s="198">
        <f>_1_54128456121462410464578910174[[#This Row],[TOTAL]]*_1_54128456121462410464578910174[[#This Row],[MARGIN]]</f>
        <v>0</v>
      </c>
      <c r="R320" s="41"/>
    </row>
    <row r="321" spans="1:18">
      <c r="A321" s="168"/>
      <c r="B321" s="168"/>
      <c r="C321" s="168"/>
      <c r="D321" s="188"/>
      <c r="F321" s="168" t="s">
        <v>6202</v>
      </c>
      <c r="G321" s="193">
        <f>IF(_1_54128456121462410464578910174[[#This Row],[Type]]&gt;0,VLOOKUP(_1_54128456121462410464578910174[[#This Row],[Type]],Main[[#All],[TYPE]:[UNIT]],'Unit Price'!C$1,FALSE),0)</f>
        <v>0</v>
      </c>
      <c r="H321" s="197">
        <f>IF(_1_54128456121462410464578910174[[#This Row],[Type]]&gt;0,VLOOKUP(_1_54128456121462410464578910174[[#This Row],[Type]],Main[[#All],[TYPE]:[UNIT]],'Unit Price'!D$1,FALSE),0)</f>
        <v>0</v>
      </c>
      <c r="I321" s="194">
        <f>IF(_1_54128456121462410464578910174[[#This Row],[Type]]&gt;0,VLOOKUP(_1_54128456121462410464578910174[[#This Row],[Type]],Main[[#All],[TYPE]:[UNIT]],'Unit Price'!G$1,FALSE),0)</f>
        <v>0</v>
      </c>
      <c r="J321" s="194">
        <f>IF(_1_54128456121462410464578910174[[#This Row],[Type]]&gt;0,VLOOKUP(_1_54128456121462410464578910174[[#This Row],[Type]],Main[[#All],[TYPE]:[UNIT]],'Unit Price'!H$1,FALSE),0)</f>
        <v>0</v>
      </c>
      <c r="K321" s="194">
        <f>IF(_1_54128456121462410464578910174[[#This Row],[Discount selection]]&gt;0,VLOOKUP(_1_54128456121462410464578910174[[#This Row],[Discount selection]],'Discount Structure'!$A$2:$B$30,2,"false"),0)</f>
        <v>1</v>
      </c>
      <c r="L321" s="194">
        <f>_1_54128456121462410464578910174[[#This Row],[LIST $]]*_1_54128456121462410464578910174[[#This Row],[DISCOUNT]]*_1_54128456121462410464578910174[[#This Row],[DISCOUNT 2]]</f>
        <v>0</v>
      </c>
      <c r="M321" s="194">
        <f>IF(OR(_1_54128456121462410464578910174[[#This Row],[UNIT]]&gt;0,_1_54128456121462410464578910174[[#This Row],[UNIT]]&lt;0),_1_54128456121462410464578910174[[#This Row],[UNIT]]*_1_54128456121462410464578910174[[#This Row],[COST]],0)</f>
        <v>0</v>
      </c>
      <c r="N321" s="194">
        <f t="shared" si="4"/>
        <v>1.5</v>
      </c>
      <c r="O321" s="198">
        <f>_1_54128456121462410464578910174[[#This Row],[TOTAL]]*_1_54128456121462410464578910174[[#This Row],[MARGIN]]</f>
        <v>0</v>
      </c>
      <c r="R321" s="41"/>
    </row>
    <row r="322" spans="1:18">
      <c r="A322" s="327"/>
      <c r="B322" s="326"/>
      <c r="C322" s="326"/>
      <c r="D322" s="188"/>
      <c r="F322" s="168" t="s">
        <v>6202</v>
      </c>
      <c r="G322" s="193">
        <f>IF(_1_54128456121462410464578910174[[#This Row],[Type]]&gt;0,VLOOKUP(_1_54128456121462410464578910174[[#This Row],[Type]],Main[[#All],[TYPE]:[UNIT]],'Unit Price'!C$1,FALSE),0)</f>
        <v>0</v>
      </c>
      <c r="H322" s="197">
        <f>IF(_1_54128456121462410464578910174[[#This Row],[Type]]&gt;0,VLOOKUP(_1_54128456121462410464578910174[[#This Row],[Type]],Main[[#All],[TYPE]:[UNIT]],'Unit Price'!D$1,FALSE),0)</f>
        <v>0</v>
      </c>
      <c r="I322" s="194">
        <f>IF(_1_54128456121462410464578910174[[#This Row],[Type]]&gt;0,VLOOKUP(_1_54128456121462410464578910174[[#This Row],[Type]],Main[[#All],[TYPE]:[UNIT]],'Unit Price'!G$1,FALSE),0)</f>
        <v>0</v>
      </c>
      <c r="J322" s="194">
        <f>IF(_1_54128456121462410464578910174[[#This Row],[Type]]&gt;0,VLOOKUP(_1_54128456121462410464578910174[[#This Row],[Type]],Main[[#All],[TYPE]:[UNIT]],'Unit Price'!H$1,FALSE),0)</f>
        <v>0</v>
      </c>
      <c r="K322" s="194">
        <f>IF(_1_54128456121462410464578910174[[#This Row],[Discount selection]]&gt;0,VLOOKUP(_1_54128456121462410464578910174[[#This Row],[Discount selection]],'Discount Structure'!$A$2:$B$30,2,"false"),0)</f>
        <v>1</v>
      </c>
      <c r="L322" s="194">
        <f>_1_54128456121462410464578910174[[#This Row],[LIST $]]*_1_54128456121462410464578910174[[#This Row],[DISCOUNT]]*_1_54128456121462410464578910174[[#This Row],[DISCOUNT 2]]</f>
        <v>0</v>
      </c>
      <c r="M322" s="194">
        <f>IF(OR(_1_54128456121462410464578910174[[#This Row],[UNIT]]&gt;0,_1_54128456121462410464578910174[[#This Row],[UNIT]]&lt;0),_1_54128456121462410464578910174[[#This Row],[UNIT]]*_1_54128456121462410464578910174[[#This Row],[COST]],0)</f>
        <v>0</v>
      </c>
      <c r="N322" s="194">
        <f t="shared" si="4"/>
        <v>1.5</v>
      </c>
      <c r="O322" s="198">
        <f>_1_54128456121462410464578910174[[#This Row],[TOTAL]]*_1_54128456121462410464578910174[[#This Row],[MARGIN]]</f>
        <v>0</v>
      </c>
      <c r="R322" s="41"/>
    </row>
    <row r="323" spans="1:18">
      <c r="A323" s="326"/>
      <c r="B323" s="353"/>
      <c r="C323" s="323"/>
      <c r="D323" s="188"/>
      <c r="F323" s="168" t="s">
        <v>6202</v>
      </c>
      <c r="G323" s="193">
        <f>IF(_1_54128456121462410464578910174[[#This Row],[Type]]&gt;0,VLOOKUP(_1_54128456121462410464578910174[[#This Row],[Type]],Main[[#All],[TYPE]:[UNIT]],'Unit Price'!C$1,FALSE),0)</f>
        <v>0</v>
      </c>
      <c r="H323" s="197">
        <f>IF(_1_54128456121462410464578910174[[#This Row],[Type]]&gt;0,VLOOKUP(_1_54128456121462410464578910174[[#This Row],[Type]],Main[[#All],[TYPE]:[UNIT]],'Unit Price'!D$1,FALSE),0)</f>
        <v>0</v>
      </c>
      <c r="I323" s="194">
        <f>IF(_1_54128456121462410464578910174[[#This Row],[Type]]&gt;0,VLOOKUP(_1_54128456121462410464578910174[[#This Row],[Type]],Main[[#All],[TYPE]:[UNIT]],'Unit Price'!G$1,FALSE),0)</f>
        <v>0</v>
      </c>
      <c r="J323" s="194">
        <f>IF(_1_54128456121462410464578910174[[#This Row],[Type]]&gt;0,VLOOKUP(_1_54128456121462410464578910174[[#This Row],[Type]],Main[[#All],[TYPE]:[UNIT]],'Unit Price'!H$1,FALSE),0)</f>
        <v>0</v>
      </c>
      <c r="K323" s="194">
        <f>IF(_1_54128456121462410464578910174[[#This Row],[Discount selection]]&gt;0,VLOOKUP(_1_54128456121462410464578910174[[#This Row],[Discount selection]],'Discount Structure'!$A$2:$B$30,2,"false"),0)</f>
        <v>1</v>
      </c>
      <c r="L323" s="194">
        <f>_1_54128456121462410464578910174[[#This Row],[LIST $]]*_1_54128456121462410464578910174[[#This Row],[DISCOUNT]]*_1_54128456121462410464578910174[[#This Row],[DISCOUNT 2]]</f>
        <v>0</v>
      </c>
      <c r="M323" s="194">
        <f>IF(OR(_1_54128456121462410464578910174[[#This Row],[UNIT]]&gt;0,_1_54128456121462410464578910174[[#This Row],[UNIT]]&lt;0),_1_54128456121462410464578910174[[#This Row],[UNIT]]*_1_54128456121462410464578910174[[#This Row],[COST]],0)</f>
        <v>0</v>
      </c>
      <c r="N323" s="194">
        <f t="shared" si="4"/>
        <v>1.5</v>
      </c>
      <c r="O323" s="198">
        <f>_1_54128456121462410464578910174[[#This Row],[TOTAL]]*_1_54128456121462410464578910174[[#This Row],[MARGIN]]</f>
        <v>0</v>
      </c>
      <c r="R323" s="41"/>
    </row>
    <row r="324" spans="1:18">
      <c r="C324" s="353"/>
      <c r="D324" s="188"/>
      <c r="F324" s="168" t="s">
        <v>6202</v>
      </c>
      <c r="G324" s="205">
        <f>IF(_1_54128456121462410464578910174[[#This Row],[Type]]&gt;0,VLOOKUP(_1_54128456121462410464578910174[[#This Row],[Type]],Main[[#All],[TYPE]:[UNIT]],'Unit Price'!C$1,FALSE),0)</f>
        <v>0</v>
      </c>
      <c r="H324" s="197">
        <f>IF(_1_54128456121462410464578910174[[#This Row],[Type]]&gt;0,VLOOKUP(_1_54128456121462410464578910174[[#This Row],[Type]],Main[[#All],[TYPE]:[UNIT]],'Unit Price'!D$1,FALSE),0)</f>
        <v>0</v>
      </c>
      <c r="I324" s="194">
        <f>IF(_1_54128456121462410464578910174[[#This Row],[Type]]&gt;0,VLOOKUP(_1_54128456121462410464578910174[[#This Row],[Type]],Main[[#All],[TYPE]:[UNIT]],'Unit Price'!G$1,FALSE),0)</f>
        <v>0</v>
      </c>
      <c r="J324" s="194">
        <f>IF(_1_54128456121462410464578910174[[#This Row],[Type]]&gt;0,VLOOKUP(_1_54128456121462410464578910174[[#This Row],[Type]],Main[[#All],[TYPE]:[UNIT]],'Unit Price'!H$1,FALSE),0)</f>
        <v>0</v>
      </c>
      <c r="K324" s="194">
        <f>IF(_1_54128456121462410464578910174[[#This Row],[Discount selection]]&gt;0,VLOOKUP(_1_54128456121462410464578910174[[#This Row],[Discount selection]],'Discount Structure'!$A$2:$B$30,2,"false"),0)</f>
        <v>1</v>
      </c>
      <c r="L324" s="194">
        <f>_1_54128456121462410464578910174[[#This Row],[LIST $]]*_1_54128456121462410464578910174[[#This Row],[DISCOUNT]]*_1_54128456121462410464578910174[[#This Row],[DISCOUNT 2]]</f>
        <v>0</v>
      </c>
      <c r="M324" s="194">
        <f>IF(OR(_1_54128456121462410464578910174[[#This Row],[UNIT]]&gt;0,_1_54128456121462410464578910174[[#This Row],[UNIT]]&lt;0),_1_54128456121462410464578910174[[#This Row],[UNIT]]*_1_54128456121462410464578910174[[#This Row],[COST]],0)</f>
        <v>0</v>
      </c>
      <c r="N324" s="194">
        <f t="shared" si="4"/>
        <v>1.5</v>
      </c>
      <c r="O324" s="198">
        <f>_1_54128456121462410464578910174[[#This Row],[TOTAL]]*_1_54128456121462410464578910174[[#This Row],[MARGIN]]</f>
        <v>0</v>
      </c>
      <c r="R324" s="41"/>
    </row>
    <row r="325" spans="1:18">
      <c r="D325" s="188"/>
      <c r="F325" s="168" t="s">
        <v>6202</v>
      </c>
      <c r="G325" s="193">
        <f>IF(_1_54128456121462410464578910174[[#This Row],[Type]]&gt;0,VLOOKUP(_1_54128456121462410464578910174[[#This Row],[Type]],Main[[#All],[TYPE]:[UNIT]],'Unit Price'!C$1,FALSE),0)</f>
        <v>0</v>
      </c>
      <c r="H325" s="197">
        <f>IF(_1_54128456121462410464578910174[[#This Row],[Type]]&gt;0,VLOOKUP(_1_54128456121462410464578910174[[#This Row],[Type]],Main[[#All],[TYPE]:[UNIT]],'Unit Price'!D$1,FALSE),0)</f>
        <v>0</v>
      </c>
      <c r="I325" s="194">
        <f>IF(_1_54128456121462410464578910174[[#This Row],[Type]]&gt;0,VLOOKUP(_1_54128456121462410464578910174[[#This Row],[Type]],Main[[#All],[TYPE]:[UNIT]],'Unit Price'!G$1,FALSE),0)</f>
        <v>0</v>
      </c>
      <c r="J325" s="194">
        <f>IF(_1_54128456121462410464578910174[[#This Row],[Type]]&gt;0,VLOOKUP(_1_54128456121462410464578910174[[#This Row],[Type]],Main[[#All],[TYPE]:[UNIT]],'Unit Price'!H$1,FALSE),0)</f>
        <v>0</v>
      </c>
      <c r="K325" s="194">
        <f>IF(_1_54128456121462410464578910174[[#This Row],[Discount selection]]&gt;0,VLOOKUP(_1_54128456121462410464578910174[[#This Row],[Discount selection]],'Discount Structure'!$A$2:$B$30,2,"false"),0)</f>
        <v>1</v>
      </c>
      <c r="L325" s="194">
        <f>_1_54128456121462410464578910174[[#This Row],[LIST $]]*_1_54128456121462410464578910174[[#This Row],[DISCOUNT]]*_1_54128456121462410464578910174[[#This Row],[DISCOUNT 2]]</f>
        <v>0</v>
      </c>
      <c r="M325" s="194">
        <f>IF(OR(_1_54128456121462410464578910174[[#This Row],[UNIT]]&gt;0,_1_54128456121462410464578910174[[#This Row],[UNIT]]&lt;0),_1_54128456121462410464578910174[[#This Row],[UNIT]]*_1_54128456121462410464578910174[[#This Row],[COST]],0)</f>
        <v>0</v>
      </c>
      <c r="N325" s="194">
        <f t="shared" si="4"/>
        <v>1.5</v>
      </c>
      <c r="O325" s="198">
        <f>_1_54128456121462410464578910174[[#This Row],[TOTAL]]*_1_54128456121462410464578910174[[#This Row],[MARGIN]]</f>
        <v>0</v>
      </c>
      <c r="R325" s="41"/>
    </row>
    <row r="326" spans="1:18">
      <c r="A326" s="323"/>
      <c r="C326" s="353"/>
      <c r="D326" s="188"/>
      <c r="F326" s="168" t="s">
        <v>6202</v>
      </c>
      <c r="G326" s="193">
        <f>IF(_1_54128456121462410464578910174[[#This Row],[Type]]&gt;0,VLOOKUP(_1_54128456121462410464578910174[[#This Row],[Type]],Main[[#All],[TYPE]:[UNIT]],'Unit Price'!C$1,FALSE),0)</f>
        <v>0</v>
      </c>
      <c r="H326" s="197">
        <f>IF(_1_54128456121462410464578910174[[#This Row],[Type]]&gt;0,VLOOKUP(_1_54128456121462410464578910174[[#This Row],[Type]],Main[[#All],[TYPE]:[UNIT]],'Unit Price'!D$1,FALSE),0)</f>
        <v>0</v>
      </c>
      <c r="I326" s="194">
        <f>IF(_1_54128456121462410464578910174[[#This Row],[Type]]&gt;0,VLOOKUP(_1_54128456121462410464578910174[[#This Row],[Type]],Main[[#All],[TYPE]:[UNIT]],'Unit Price'!G$1,FALSE),0)</f>
        <v>0</v>
      </c>
      <c r="J326" s="194">
        <f>IF(_1_54128456121462410464578910174[[#This Row],[Type]]&gt;0,VLOOKUP(_1_54128456121462410464578910174[[#This Row],[Type]],Main[[#All],[TYPE]:[UNIT]],'Unit Price'!H$1,FALSE),0)</f>
        <v>0</v>
      </c>
      <c r="K326" s="194">
        <f>IF(_1_54128456121462410464578910174[[#This Row],[Discount selection]]&gt;0,VLOOKUP(_1_54128456121462410464578910174[[#This Row],[Discount selection]],'Discount Structure'!$A$2:$B$30,2,"false"),0)</f>
        <v>1</v>
      </c>
      <c r="L326" s="194">
        <f>_1_54128456121462410464578910174[[#This Row],[LIST $]]*_1_54128456121462410464578910174[[#This Row],[DISCOUNT]]*_1_54128456121462410464578910174[[#This Row],[DISCOUNT 2]]</f>
        <v>0</v>
      </c>
      <c r="M326" s="194">
        <f>IF(OR(_1_54128456121462410464578910174[[#This Row],[UNIT]]&gt;0,_1_54128456121462410464578910174[[#This Row],[UNIT]]&lt;0),_1_54128456121462410464578910174[[#This Row],[UNIT]]*_1_54128456121462410464578910174[[#This Row],[COST]],0)</f>
        <v>0</v>
      </c>
      <c r="N326" s="194">
        <f t="shared" si="4"/>
        <v>1.5</v>
      </c>
      <c r="O326" s="198">
        <f>_1_54128456121462410464578910174[[#This Row],[TOTAL]]*_1_54128456121462410464578910174[[#This Row],[MARGIN]]</f>
        <v>0</v>
      </c>
      <c r="R326" s="41"/>
    </row>
    <row r="327" spans="1:18">
      <c r="B327" s="353"/>
      <c r="D327" s="188"/>
      <c r="F327" s="168" t="s">
        <v>6202</v>
      </c>
      <c r="G327" s="193">
        <f>IF(_1_54128456121462410464578910174[[#This Row],[Type]]&gt;0,VLOOKUP(_1_54128456121462410464578910174[[#This Row],[Type]],Main[[#All],[TYPE]:[UNIT]],'Unit Price'!C$1,FALSE),0)</f>
        <v>0</v>
      </c>
      <c r="H327" s="197">
        <f>IF(_1_54128456121462410464578910174[[#This Row],[Type]]&gt;0,VLOOKUP(_1_54128456121462410464578910174[[#This Row],[Type]],Main[[#All],[TYPE]:[UNIT]],'Unit Price'!D$1,FALSE),0)</f>
        <v>0</v>
      </c>
      <c r="I327" s="194">
        <f>IF(_1_54128456121462410464578910174[[#This Row],[Type]]&gt;0,VLOOKUP(_1_54128456121462410464578910174[[#This Row],[Type]],Main[[#All],[TYPE]:[UNIT]],'Unit Price'!G$1,FALSE),0)</f>
        <v>0</v>
      </c>
      <c r="J327" s="194">
        <f>IF(_1_54128456121462410464578910174[[#This Row],[Type]]&gt;0,VLOOKUP(_1_54128456121462410464578910174[[#This Row],[Type]],Main[[#All],[TYPE]:[UNIT]],'Unit Price'!H$1,FALSE),0)</f>
        <v>0</v>
      </c>
      <c r="K327" s="194">
        <f>IF(_1_54128456121462410464578910174[[#This Row],[Discount selection]]&gt;0,VLOOKUP(_1_54128456121462410464578910174[[#This Row],[Discount selection]],'Discount Structure'!$A$2:$B$30,2,"false"),0)</f>
        <v>1</v>
      </c>
      <c r="L327" s="194">
        <f>_1_54128456121462410464578910174[[#This Row],[LIST $]]*_1_54128456121462410464578910174[[#This Row],[DISCOUNT]]*_1_54128456121462410464578910174[[#This Row],[DISCOUNT 2]]</f>
        <v>0</v>
      </c>
      <c r="M327" s="194">
        <f>IF(OR(_1_54128456121462410464578910174[[#This Row],[UNIT]]&gt;0,_1_54128456121462410464578910174[[#This Row],[UNIT]]&lt;0),_1_54128456121462410464578910174[[#This Row],[UNIT]]*_1_54128456121462410464578910174[[#This Row],[COST]],0)</f>
        <v>0</v>
      </c>
      <c r="N327" s="194">
        <f t="shared" si="4"/>
        <v>1.5</v>
      </c>
      <c r="O327" s="198">
        <f>_1_54128456121462410464578910174[[#This Row],[TOTAL]]*_1_54128456121462410464578910174[[#This Row],[MARGIN]]</f>
        <v>0</v>
      </c>
      <c r="R327" s="41"/>
    </row>
    <row r="328" spans="1:18">
      <c r="A328" s="323"/>
      <c r="C328" s="323"/>
      <c r="D328" s="188"/>
      <c r="F328" s="168" t="s">
        <v>6202</v>
      </c>
      <c r="G328" s="193">
        <f>IF(_1_54128456121462410464578910174[[#This Row],[Type]]&gt;0,VLOOKUP(_1_54128456121462410464578910174[[#This Row],[Type]],Main[[#All],[TYPE]:[UNIT]],'Unit Price'!C$1,FALSE),0)</f>
        <v>0</v>
      </c>
      <c r="H328" s="197">
        <f>IF(_1_54128456121462410464578910174[[#This Row],[Type]]&gt;0,VLOOKUP(_1_54128456121462410464578910174[[#This Row],[Type]],Main[[#All],[TYPE]:[UNIT]],'Unit Price'!D$1,FALSE),0)</f>
        <v>0</v>
      </c>
      <c r="I328" s="194">
        <f>IF(_1_54128456121462410464578910174[[#This Row],[Type]]&gt;0,VLOOKUP(_1_54128456121462410464578910174[[#This Row],[Type]],Main[[#All],[TYPE]:[UNIT]],'Unit Price'!G$1,FALSE),0)</f>
        <v>0</v>
      </c>
      <c r="J328" s="194">
        <f>IF(_1_54128456121462410464578910174[[#This Row],[Type]]&gt;0,VLOOKUP(_1_54128456121462410464578910174[[#This Row],[Type]],Main[[#All],[TYPE]:[UNIT]],'Unit Price'!H$1,FALSE),0)</f>
        <v>0</v>
      </c>
      <c r="K328" s="194">
        <f>IF(_1_54128456121462410464578910174[[#This Row],[Discount selection]]&gt;0,VLOOKUP(_1_54128456121462410464578910174[[#This Row],[Discount selection]],'Discount Structure'!$A$2:$B$30,2,"false"),0)</f>
        <v>1</v>
      </c>
      <c r="L328" s="194">
        <f>_1_54128456121462410464578910174[[#This Row],[LIST $]]*_1_54128456121462410464578910174[[#This Row],[DISCOUNT]]*_1_54128456121462410464578910174[[#This Row],[DISCOUNT 2]]</f>
        <v>0</v>
      </c>
      <c r="M328" s="194">
        <f>IF(OR(_1_54128456121462410464578910174[[#This Row],[UNIT]]&gt;0,_1_54128456121462410464578910174[[#This Row],[UNIT]]&lt;0),_1_54128456121462410464578910174[[#This Row],[UNIT]]*_1_54128456121462410464578910174[[#This Row],[COST]],0)</f>
        <v>0</v>
      </c>
      <c r="N328" s="194">
        <f t="shared" si="4"/>
        <v>1.5</v>
      </c>
      <c r="O328" s="198">
        <f>_1_54128456121462410464578910174[[#This Row],[TOTAL]]*_1_54128456121462410464578910174[[#This Row],[MARGIN]]</f>
        <v>0</v>
      </c>
      <c r="R328" s="41"/>
    </row>
    <row r="329" spans="1:18">
      <c r="A329" s="323"/>
      <c r="B329" s="323"/>
      <c r="C329" s="323"/>
      <c r="D329" s="188"/>
      <c r="F329" s="168" t="s">
        <v>6202</v>
      </c>
      <c r="G329" s="193">
        <f>IF(_1_54128456121462410464578910174[[#This Row],[Type]]&gt;0,VLOOKUP(_1_54128456121462410464578910174[[#This Row],[Type]],Main[[#All],[TYPE]:[UNIT]],'Unit Price'!C$1,FALSE),0)</f>
        <v>0</v>
      </c>
      <c r="H329" s="197">
        <f>IF(_1_54128456121462410464578910174[[#This Row],[Type]]&gt;0,VLOOKUP(_1_54128456121462410464578910174[[#This Row],[Type]],Main[[#All],[TYPE]:[UNIT]],'Unit Price'!D$1,FALSE),0)</f>
        <v>0</v>
      </c>
      <c r="I329" s="194">
        <f>IF(_1_54128456121462410464578910174[[#This Row],[Type]]&gt;0,VLOOKUP(_1_54128456121462410464578910174[[#This Row],[Type]],Main[[#All],[TYPE]:[UNIT]],'Unit Price'!G$1,FALSE),0)</f>
        <v>0</v>
      </c>
      <c r="J329" s="194">
        <f>IF(_1_54128456121462410464578910174[[#This Row],[Type]]&gt;0,VLOOKUP(_1_54128456121462410464578910174[[#This Row],[Type]],Main[[#All],[TYPE]:[UNIT]],'Unit Price'!H$1,FALSE),0)</f>
        <v>0</v>
      </c>
      <c r="K329" s="194">
        <f>IF(_1_54128456121462410464578910174[[#This Row],[Discount selection]]&gt;0,VLOOKUP(_1_54128456121462410464578910174[[#This Row],[Discount selection]],'Discount Structure'!$A$2:$B$30,2,"false"),0)</f>
        <v>1</v>
      </c>
      <c r="L329" s="194">
        <f>_1_54128456121462410464578910174[[#This Row],[LIST $]]*_1_54128456121462410464578910174[[#This Row],[DISCOUNT]]*_1_54128456121462410464578910174[[#This Row],[DISCOUNT 2]]</f>
        <v>0</v>
      </c>
      <c r="M329" s="194">
        <f>IF(OR(_1_54128456121462410464578910174[[#This Row],[UNIT]]&gt;0,_1_54128456121462410464578910174[[#This Row],[UNIT]]&lt;0),_1_54128456121462410464578910174[[#This Row],[UNIT]]*_1_54128456121462410464578910174[[#This Row],[COST]],0)</f>
        <v>0</v>
      </c>
      <c r="N329" s="194">
        <f t="shared" si="4"/>
        <v>1.5</v>
      </c>
      <c r="O329" s="198">
        <f>_1_54128456121462410464578910174[[#This Row],[TOTAL]]*_1_54128456121462410464578910174[[#This Row],[MARGIN]]</f>
        <v>0</v>
      </c>
      <c r="R329" s="41"/>
    </row>
    <row r="330" spans="1:18">
      <c r="A330" s="168"/>
      <c r="D330" s="188"/>
      <c r="F330" s="168" t="s">
        <v>6202</v>
      </c>
      <c r="G330" s="205">
        <f>IF(_1_54128456121462410464578910174[[#This Row],[Type]]&gt;0,VLOOKUP(_1_54128456121462410464578910174[[#This Row],[Type]],Main[[#All],[TYPE]:[UNIT]],'Unit Price'!C$1,FALSE),0)</f>
        <v>0</v>
      </c>
      <c r="H330" s="197">
        <f>IF(_1_54128456121462410464578910174[[#This Row],[Type]]&gt;0,VLOOKUP(_1_54128456121462410464578910174[[#This Row],[Type]],Main[[#All],[TYPE]:[UNIT]],'Unit Price'!D$1,FALSE),0)</f>
        <v>0</v>
      </c>
      <c r="I330" s="194">
        <f>IF(_1_54128456121462410464578910174[[#This Row],[Type]]&gt;0,VLOOKUP(_1_54128456121462410464578910174[[#This Row],[Type]],Main[[#All],[TYPE]:[UNIT]],'Unit Price'!G$1,FALSE),0)</f>
        <v>0</v>
      </c>
      <c r="J330" s="194">
        <f>IF(_1_54128456121462410464578910174[[#This Row],[Type]]&gt;0,VLOOKUP(_1_54128456121462410464578910174[[#This Row],[Type]],Main[[#All],[TYPE]:[UNIT]],'Unit Price'!H$1,FALSE),0)</f>
        <v>0</v>
      </c>
      <c r="K330" s="194">
        <f>IF(_1_54128456121462410464578910174[[#This Row],[Discount selection]]&gt;0,VLOOKUP(_1_54128456121462410464578910174[[#This Row],[Discount selection]],'Discount Structure'!$A$2:$B$30,2,"false"),0)</f>
        <v>1</v>
      </c>
      <c r="L330" s="194">
        <f>_1_54128456121462410464578910174[[#This Row],[LIST $]]*_1_54128456121462410464578910174[[#This Row],[DISCOUNT]]*_1_54128456121462410464578910174[[#This Row],[DISCOUNT 2]]</f>
        <v>0</v>
      </c>
      <c r="M330" s="194">
        <f>IF(OR(_1_54128456121462410464578910174[[#This Row],[UNIT]]&gt;0,_1_54128456121462410464578910174[[#This Row],[UNIT]]&lt;0),_1_54128456121462410464578910174[[#This Row],[UNIT]]*_1_54128456121462410464578910174[[#This Row],[COST]],0)</f>
        <v>0</v>
      </c>
      <c r="N330" s="194">
        <f t="shared" ref="N330:N393" si="5">$N$7</f>
        <v>1.5</v>
      </c>
      <c r="O330" s="198">
        <f>_1_54128456121462410464578910174[[#This Row],[TOTAL]]*_1_54128456121462410464578910174[[#This Row],[MARGIN]]</f>
        <v>0</v>
      </c>
      <c r="R330" s="41"/>
    </row>
    <row r="331" spans="1:18">
      <c r="D331" s="188"/>
      <c r="F331" s="168" t="s">
        <v>6202</v>
      </c>
      <c r="G331" s="193">
        <f>IF(_1_54128456121462410464578910174[[#This Row],[Type]]&gt;0,VLOOKUP(_1_54128456121462410464578910174[[#This Row],[Type]],Main[[#All],[TYPE]:[UNIT]],'Unit Price'!C$1,FALSE),0)</f>
        <v>0</v>
      </c>
      <c r="H331" s="197">
        <f>IF(_1_54128456121462410464578910174[[#This Row],[Type]]&gt;0,VLOOKUP(_1_54128456121462410464578910174[[#This Row],[Type]],Main[[#All],[TYPE]:[UNIT]],'Unit Price'!D$1,FALSE),0)</f>
        <v>0</v>
      </c>
      <c r="I331" s="194">
        <f>IF(_1_54128456121462410464578910174[[#This Row],[Type]]&gt;0,VLOOKUP(_1_54128456121462410464578910174[[#This Row],[Type]],Main[[#All],[TYPE]:[UNIT]],'Unit Price'!G$1,FALSE),0)</f>
        <v>0</v>
      </c>
      <c r="J331" s="194">
        <f>IF(_1_54128456121462410464578910174[[#This Row],[Type]]&gt;0,VLOOKUP(_1_54128456121462410464578910174[[#This Row],[Type]],Main[[#All],[TYPE]:[UNIT]],'Unit Price'!H$1,FALSE),0)</f>
        <v>0</v>
      </c>
      <c r="K331" s="194">
        <f>IF(_1_54128456121462410464578910174[[#This Row],[Discount selection]]&gt;0,VLOOKUP(_1_54128456121462410464578910174[[#This Row],[Discount selection]],'Discount Structure'!$A$2:$B$30,2,"false"),0)</f>
        <v>1</v>
      </c>
      <c r="L331" s="194">
        <f>_1_54128456121462410464578910174[[#This Row],[LIST $]]*_1_54128456121462410464578910174[[#This Row],[DISCOUNT]]*_1_54128456121462410464578910174[[#This Row],[DISCOUNT 2]]</f>
        <v>0</v>
      </c>
      <c r="M331" s="194">
        <f>IF(OR(_1_54128456121462410464578910174[[#This Row],[UNIT]]&gt;0,_1_54128456121462410464578910174[[#This Row],[UNIT]]&lt;0),_1_54128456121462410464578910174[[#This Row],[UNIT]]*_1_54128456121462410464578910174[[#This Row],[COST]],0)</f>
        <v>0</v>
      </c>
      <c r="N331" s="194">
        <f t="shared" si="5"/>
        <v>1.5</v>
      </c>
      <c r="O331" s="198">
        <f>_1_54128456121462410464578910174[[#This Row],[TOTAL]]*_1_54128456121462410464578910174[[#This Row],[MARGIN]]</f>
        <v>0</v>
      </c>
      <c r="R331" s="41"/>
    </row>
    <row r="332" spans="1:18">
      <c r="A332" s="168"/>
      <c r="B332" s="168"/>
      <c r="C332" s="168"/>
      <c r="D332" s="188"/>
      <c r="F332" s="168" t="s">
        <v>6202</v>
      </c>
      <c r="G332" s="193">
        <f>IF(_1_54128456121462410464578910174[[#This Row],[Type]]&gt;0,VLOOKUP(_1_54128456121462410464578910174[[#This Row],[Type]],Main[[#All],[TYPE]:[UNIT]],'Unit Price'!C$1,FALSE),0)</f>
        <v>0</v>
      </c>
      <c r="H332" s="197">
        <f>IF(_1_54128456121462410464578910174[[#This Row],[Type]]&gt;0,VLOOKUP(_1_54128456121462410464578910174[[#This Row],[Type]],Main[[#All],[TYPE]:[UNIT]],'Unit Price'!D$1,FALSE),0)</f>
        <v>0</v>
      </c>
      <c r="I332" s="194">
        <f>IF(_1_54128456121462410464578910174[[#This Row],[Type]]&gt;0,VLOOKUP(_1_54128456121462410464578910174[[#This Row],[Type]],Main[[#All],[TYPE]:[UNIT]],'Unit Price'!G$1,FALSE),0)</f>
        <v>0</v>
      </c>
      <c r="J332" s="194">
        <f>IF(_1_54128456121462410464578910174[[#This Row],[Type]]&gt;0,VLOOKUP(_1_54128456121462410464578910174[[#This Row],[Type]],Main[[#All],[TYPE]:[UNIT]],'Unit Price'!H$1,FALSE),0)</f>
        <v>0</v>
      </c>
      <c r="K332" s="194">
        <f>IF(_1_54128456121462410464578910174[[#This Row],[Discount selection]]&gt;0,VLOOKUP(_1_54128456121462410464578910174[[#This Row],[Discount selection]],'Discount Structure'!$A$2:$B$30,2,"false"),0)</f>
        <v>1</v>
      </c>
      <c r="L332" s="194">
        <f>_1_54128456121462410464578910174[[#This Row],[LIST $]]*_1_54128456121462410464578910174[[#This Row],[DISCOUNT]]*_1_54128456121462410464578910174[[#This Row],[DISCOUNT 2]]</f>
        <v>0</v>
      </c>
      <c r="M332" s="194">
        <f>IF(OR(_1_54128456121462410464578910174[[#This Row],[UNIT]]&gt;0,_1_54128456121462410464578910174[[#This Row],[UNIT]]&lt;0),_1_54128456121462410464578910174[[#This Row],[UNIT]]*_1_54128456121462410464578910174[[#This Row],[COST]],0)</f>
        <v>0</v>
      </c>
      <c r="N332" s="194">
        <f t="shared" si="5"/>
        <v>1.5</v>
      </c>
      <c r="O332" s="198">
        <f>_1_54128456121462410464578910174[[#This Row],[TOTAL]]*_1_54128456121462410464578910174[[#This Row],[MARGIN]]</f>
        <v>0</v>
      </c>
      <c r="R332" s="41"/>
    </row>
    <row r="333" spans="1:18">
      <c r="A333" s="323"/>
      <c r="B333" s="323"/>
      <c r="C333" s="323"/>
      <c r="D333" s="188"/>
      <c r="F333" s="168" t="s">
        <v>6202</v>
      </c>
      <c r="G333" s="193">
        <f>IF(_1_54128456121462410464578910174[[#This Row],[Type]]&gt;0,VLOOKUP(_1_54128456121462410464578910174[[#This Row],[Type]],Main[[#All],[TYPE]:[UNIT]],'Unit Price'!C$1,FALSE),0)</f>
        <v>0</v>
      </c>
      <c r="H333" s="197">
        <f>IF(_1_54128456121462410464578910174[[#This Row],[Type]]&gt;0,VLOOKUP(_1_54128456121462410464578910174[[#This Row],[Type]],Main[[#All],[TYPE]:[UNIT]],'Unit Price'!D$1,FALSE),0)</f>
        <v>0</v>
      </c>
      <c r="I333" s="194">
        <f>IF(_1_54128456121462410464578910174[[#This Row],[Type]]&gt;0,VLOOKUP(_1_54128456121462410464578910174[[#This Row],[Type]],Main[[#All],[TYPE]:[UNIT]],'Unit Price'!G$1,FALSE),0)</f>
        <v>0</v>
      </c>
      <c r="J333" s="194">
        <f>IF(_1_54128456121462410464578910174[[#This Row],[Type]]&gt;0,VLOOKUP(_1_54128456121462410464578910174[[#This Row],[Type]],Main[[#All],[TYPE]:[UNIT]],'Unit Price'!H$1,FALSE),0)</f>
        <v>0</v>
      </c>
      <c r="K333" s="194">
        <f>IF(_1_54128456121462410464578910174[[#This Row],[Discount selection]]&gt;0,VLOOKUP(_1_54128456121462410464578910174[[#This Row],[Discount selection]],'Discount Structure'!$A$2:$B$30,2,"false"),0)</f>
        <v>1</v>
      </c>
      <c r="L333" s="194">
        <f>_1_54128456121462410464578910174[[#This Row],[LIST $]]*_1_54128456121462410464578910174[[#This Row],[DISCOUNT]]*_1_54128456121462410464578910174[[#This Row],[DISCOUNT 2]]</f>
        <v>0</v>
      </c>
      <c r="M333" s="194">
        <f>IF(OR(_1_54128456121462410464578910174[[#This Row],[UNIT]]&gt;0,_1_54128456121462410464578910174[[#This Row],[UNIT]]&lt;0),_1_54128456121462410464578910174[[#This Row],[UNIT]]*_1_54128456121462410464578910174[[#This Row],[COST]],0)</f>
        <v>0</v>
      </c>
      <c r="N333" s="194">
        <f t="shared" si="5"/>
        <v>1.5</v>
      </c>
      <c r="O333" s="198">
        <f>_1_54128456121462410464578910174[[#This Row],[TOTAL]]*_1_54128456121462410464578910174[[#This Row],[MARGIN]]</f>
        <v>0</v>
      </c>
      <c r="R333" s="41"/>
    </row>
    <row r="334" spans="1:18">
      <c r="A334" s="323"/>
      <c r="B334" s="323"/>
      <c r="C334" s="323"/>
      <c r="D334" s="188"/>
      <c r="F334" s="168" t="s">
        <v>6202</v>
      </c>
      <c r="G334" s="193">
        <f>IF(_1_54128456121462410464578910174[[#This Row],[Type]]&gt;0,VLOOKUP(_1_54128456121462410464578910174[[#This Row],[Type]],Main[[#All],[TYPE]:[UNIT]],'Unit Price'!C$1,FALSE),0)</f>
        <v>0</v>
      </c>
      <c r="H334" s="197">
        <f>IF(_1_54128456121462410464578910174[[#This Row],[Type]]&gt;0,VLOOKUP(_1_54128456121462410464578910174[[#This Row],[Type]],Main[[#All],[TYPE]:[UNIT]],'Unit Price'!D$1,FALSE),0)</f>
        <v>0</v>
      </c>
      <c r="I334" s="194">
        <f>IF(_1_54128456121462410464578910174[[#This Row],[Type]]&gt;0,VLOOKUP(_1_54128456121462410464578910174[[#This Row],[Type]],Main[[#All],[TYPE]:[UNIT]],'Unit Price'!G$1,FALSE),0)</f>
        <v>0</v>
      </c>
      <c r="J334" s="194">
        <f>IF(_1_54128456121462410464578910174[[#This Row],[Type]]&gt;0,VLOOKUP(_1_54128456121462410464578910174[[#This Row],[Type]],Main[[#All],[TYPE]:[UNIT]],'Unit Price'!H$1,FALSE),0)</f>
        <v>0</v>
      </c>
      <c r="K334" s="194">
        <f>IF(_1_54128456121462410464578910174[[#This Row],[Discount selection]]&gt;0,VLOOKUP(_1_54128456121462410464578910174[[#This Row],[Discount selection]],'Discount Structure'!$A$2:$B$30,2,"false"),0)</f>
        <v>1</v>
      </c>
      <c r="L334" s="194">
        <f>_1_54128456121462410464578910174[[#This Row],[LIST $]]*_1_54128456121462410464578910174[[#This Row],[DISCOUNT]]*_1_54128456121462410464578910174[[#This Row],[DISCOUNT 2]]</f>
        <v>0</v>
      </c>
      <c r="M334" s="194">
        <f>IF(OR(_1_54128456121462410464578910174[[#This Row],[UNIT]]&gt;0,_1_54128456121462410464578910174[[#This Row],[UNIT]]&lt;0),_1_54128456121462410464578910174[[#This Row],[UNIT]]*_1_54128456121462410464578910174[[#This Row],[COST]],0)</f>
        <v>0</v>
      </c>
      <c r="N334" s="194">
        <f t="shared" si="5"/>
        <v>1.5</v>
      </c>
      <c r="O334" s="198">
        <f>_1_54128456121462410464578910174[[#This Row],[TOTAL]]*_1_54128456121462410464578910174[[#This Row],[MARGIN]]</f>
        <v>0</v>
      </c>
      <c r="R334" s="41"/>
    </row>
    <row r="335" spans="1:18">
      <c r="D335" s="188"/>
      <c r="F335" s="168" t="s">
        <v>6202</v>
      </c>
      <c r="G335" s="205">
        <f>IF(_1_54128456121462410464578910174[[#This Row],[Type]]&gt;0,VLOOKUP(_1_54128456121462410464578910174[[#This Row],[Type]],Main[[#All],[TYPE]:[UNIT]],'Unit Price'!C$1,FALSE),0)</f>
        <v>0</v>
      </c>
      <c r="H335" s="197">
        <f>IF(_1_54128456121462410464578910174[[#This Row],[Type]]&gt;0,VLOOKUP(_1_54128456121462410464578910174[[#This Row],[Type]],Main[[#All],[TYPE]:[UNIT]],'Unit Price'!D$1,FALSE),0)</f>
        <v>0</v>
      </c>
      <c r="I335" s="194">
        <f>IF(_1_54128456121462410464578910174[[#This Row],[Type]]&gt;0,VLOOKUP(_1_54128456121462410464578910174[[#This Row],[Type]],Main[[#All],[TYPE]:[UNIT]],'Unit Price'!G$1,FALSE),0)</f>
        <v>0</v>
      </c>
      <c r="J335" s="194">
        <f>IF(_1_54128456121462410464578910174[[#This Row],[Type]]&gt;0,VLOOKUP(_1_54128456121462410464578910174[[#This Row],[Type]],Main[[#All],[TYPE]:[UNIT]],'Unit Price'!H$1,FALSE),0)</f>
        <v>0</v>
      </c>
      <c r="K335" s="194">
        <f>IF(_1_54128456121462410464578910174[[#This Row],[Discount selection]]&gt;0,VLOOKUP(_1_54128456121462410464578910174[[#This Row],[Discount selection]],'Discount Structure'!$A$2:$B$30,2,"false"),0)</f>
        <v>1</v>
      </c>
      <c r="L335" s="194">
        <f>_1_54128456121462410464578910174[[#This Row],[LIST $]]*_1_54128456121462410464578910174[[#This Row],[DISCOUNT]]*_1_54128456121462410464578910174[[#This Row],[DISCOUNT 2]]</f>
        <v>0</v>
      </c>
      <c r="M335" s="194">
        <f>IF(OR(_1_54128456121462410464578910174[[#This Row],[UNIT]]&gt;0,_1_54128456121462410464578910174[[#This Row],[UNIT]]&lt;0),_1_54128456121462410464578910174[[#This Row],[UNIT]]*_1_54128456121462410464578910174[[#This Row],[COST]],0)</f>
        <v>0</v>
      </c>
      <c r="N335" s="194">
        <f t="shared" si="5"/>
        <v>1.5</v>
      </c>
      <c r="O335" s="198">
        <f>_1_54128456121462410464578910174[[#This Row],[TOTAL]]*_1_54128456121462410464578910174[[#This Row],[MARGIN]]</f>
        <v>0</v>
      </c>
      <c r="R335" s="41"/>
    </row>
    <row r="336" spans="1:18">
      <c r="D336" s="188"/>
      <c r="F336" s="168" t="s">
        <v>6202</v>
      </c>
      <c r="G336" s="193">
        <f>IF(_1_54128456121462410464578910174[[#This Row],[Type]]&gt;0,VLOOKUP(_1_54128456121462410464578910174[[#This Row],[Type]],Main[[#All],[TYPE]:[UNIT]],'Unit Price'!C$1,FALSE),0)</f>
        <v>0</v>
      </c>
      <c r="H336" s="197">
        <f>IF(_1_54128456121462410464578910174[[#This Row],[Type]]&gt;0,VLOOKUP(_1_54128456121462410464578910174[[#This Row],[Type]],Main[[#All],[TYPE]:[UNIT]],'Unit Price'!D$1,FALSE),0)</f>
        <v>0</v>
      </c>
      <c r="I336" s="194">
        <f>IF(_1_54128456121462410464578910174[[#This Row],[Type]]&gt;0,VLOOKUP(_1_54128456121462410464578910174[[#This Row],[Type]],Main[[#All],[TYPE]:[UNIT]],'Unit Price'!G$1,FALSE),0)</f>
        <v>0</v>
      </c>
      <c r="J336" s="194">
        <f>IF(_1_54128456121462410464578910174[[#This Row],[Type]]&gt;0,VLOOKUP(_1_54128456121462410464578910174[[#This Row],[Type]],Main[[#All],[TYPE]:[UNIT]],'Unit Price'!H$1,FALSE),0)</f>
        <v>0</v>
      </c>
      <c r="K336" s="194">
        <f>IF(_1_54128456121462410464578910174[[#This Row],[Discount selection]]&gt;0,VLOOKUP(_1_54128456121462410464578910174[[#This Row],[Discount selection]],'Discount Structure'!$A$2:$B$30,2,"false"),0)</f>
        <v>1</v>
      </c>
      <c r="L336" s="194">
        <f>_1_54128456121462410464578910174[[#This Row],[LIST $]]*_1_54128456121462410464578910174[[#This Row],[DISCOUNT]]*_1_54128456121462410464578910174[[#This Row],[DISCOUNT 2]]</f>
        <v>0</v>
      </c>
      <c r="M336" s="194">
        <f>IF(OR(_1_54128456121462410464578910174[[#This Row],[UNIT]]&gt;0,_1_54128456121462410464578910174[[#This Row],[UNIT]]&lt;0),_1_54128456121462410464578910174[[#This Row],[UNIT]]*_1_54128456121462410464578910174[[#This Row],[COST]],0)</f>
        <v>0</v>
      </c>
      <c r="N336" s="194">
        <f t="shared" si="5"/>
        <v>1.5</v>
      </c>
      <c r="O336" s="198">
        <f>_1_54128456121462410464578910174[[#This Row],[TOTAL]]*_1_54128456121462410464578910174[[#This Row],[MARGIN]]</f>
        <v>0</v>
      </c>
      <c r="R336" s="41"/>
    </row>
    <row r="337" spans="1:18">
      <c r="D337" s="188"/>
      <c r="F337" s="168" t="s">
        <v>6202</v>
      </c>
      <c r="G337" s="193">
        <f>IF(_1_54128456121462410464578910174[[#This Row],[Type]]&gt;0,VLOOKUP(_1_54128456121462410464578910174[[#This Row],[Type]],Main[[#All],[TYPE]:[UNIT]],'Unit Price'!C$1,FALSE),0)</f>
        <v>0</v>
      </c>
      <c r="H337" s="197">
        <f>IF(_1_54128456121462410464578910174[[#This Row],[Type]]&gt;0,VLOOKUP(_1_54128456121462410464578910174[[#This Row],[Type]],Main[[#All],[TYPE]:[UNIT]],'Unit Price'!D$1,FALSE),0)</f>
        <v>0</v>
      </c>
      <c r="I337" s="194">
        <f>IF(_1_54128456121462410464578910174[[#This Row],[Type]]&gt;0,VLOOKUP(_1_54128456121462410464578910174[[#This Row],[Type]],Main[[#All],[TYPE]:[UNIT]],'Unit Price'!G$1,FALSE),0)</f>
        <v>0</v>
      </c>
      <c r="J337" s="194">
        <f>IF(_1_54128456121462410464578910174[[#This Row],[Type]]&gt;0,VLOOKUP(_1_54128456121462410464578910174[[#This Row],[Type]],Main[[#All],[TYPE]:[UNIT]],'Unit Price'!H$1,FALSE),0)</f>
        <v>0</v>
      </c>
      <c r="K337" s="194">
        <f>IF(_1_54128456121462410464578910174[[#This Row],[Discount selection]]&gt;0,VLOOKUP(_1_54128456121462410464578910174[[#This Row],[Discount selection]],'Discount Structure'!$A$2:$B$30,2,"false"),0)</f>
        <v>1</v>
      </c>
      <c r="L337" s="194">
        <f>_1_54128456121462410464578910174[[#This Row],[LIST $]]*_1_54128456121462410464578910174[[#This Row],[DISCOUNT]]*_1_54128456121462410464578910174[[#This Row],[DISCOUNT 2]]</f>
        <v>0</v>
      </c>
      <c r="M337" s="194">
        <f>IF(OR(_1_54128456121462410464578910174[[#This Row],[UNIT]]&gt;0,_1_54128456121462410464578910174[[#This Row],[UNIT]]&lt;0),_1_54128456121462410464578910174[[#This Row],[UNIT]]*_1_54128456121462410464578910174[[#This Row],[COST]],0)</f>
        <v>0</v>
      </c>
      <c r="N337" s="194">
        <f t="shared" si="5"/>
        <v>1.5</v>
      </c>
      <c r="O337" s="198">
        <f>_1_54128456121462410464578910174[[#This Row],[TOTAL]]*_1_54128456121462410464578910174[[#This Row],[MARGIN]]</f>
        <v>0</v>
      </c>
      <c r="R337" s="41"/>
    </row>
    <row r="338" spans="1:18">
      <c r="A338" s="327"/>
      <c r="B338" s="327"/>
      <c r="D338" s="188"/>
      <c r="F338" s="168" t="s">
        <v>6202</v>
      </c>
      <c r="G338" s="193">
        <f>IF(_1_54128456121462410464578910174[[#This Row],[Type]]&gt;0,VLOOKUP(_1_54128456121462410464578910174[[#This Row],[Type]],Main[[#All],[TYPE]:[UNIT]],'Unit Price'!C$1,FALSE),0)</f>
        <v>0</v>
      </c>
      <c r="H338" s="197">
        <f>IF(_1_54128456121462410464578910174[[#This Row],[Type]]&gt;0,VLOOKUP(_1_54128456121462410464578910174[[#This Row],[Type]],Main[[#All],[TYPE]:[UNIT]],'Unit Price'!D$1,FALSE),0)</f>
        <v>0</v>
      </c>
      <c r="I338" s="194">
        <f>IF(_1_54128456121462410464578910174[[#This Row],[Type]]&gt;0,VLOOKUP(_1_54128456121462410464578910174[[#This Row],[Type]],Main[[#All],[TYPE]:[UNIT]],'Unit Price'!G$1,FALSE),0)</f>
        <v>0</v>
      </c>
      <c r="J338" s="194">
        <f>IF(_1_54128456121462410464578910174[[#This Row],[Type]]&gt;0,VLOOKUP(_1_54128456121462410464578910174[[#This Row],[Type]],Main[[#All],[TYPE]:[UNIT]],'Unit Price'!H$1,FALSE),0)</f>
        <v>0</v>
      </c>
      <c r="K338" s="194">
        <f>IF(_1_54128456121462410464578910174[[#This Row],[Discount selection]]&gt;0,VLOOKUP(_1_54128456121462410464578910174[[#This Row],[Discount selection]],'Discount Structure'!$A$2:$B$30,2,"false"),0)</f>
        <v>1</v>
      </c>
      <c r="L338" s="194">
        <f>_1_54128456121462410464578910174[[#This Row],[LIST $]]*_1_54128456121462410464578910174[[#This Row],[DISCOUNT]]*_1_54128456121462410464578910174[[#This Row],[DISCOUNT 2]]</f>
        <v>0</v>
      </c>
      <c r="M338" s="194">
        <f>IF(OR(_1_54128456121462410464578910174[[#This Row],[UNIT]]&gt;0,_1_54128456121462410464578910174[[#This Row],[UNIT]]&lt;0),_1_54128456121462410464578910174[[#This Row],[UNIT]]*_1_54128456121462410464578910174[[#This Row],[COST]],0)</f>
        <v>0</v>
      </c>
      <c r="N338" s="194">
        <f t="shared" si="5"/>
        <v>1.5</v>
      </c>
      <c r="O338" s="198">
        <f>_1_54128456121462410464578910174[[#This Row],[TOTAL]]*_1_54128456121462410464578910174[[#This Row],[MARGIN]]</f>
        <v>0</v>
      </c>
      <c r="R338" s="41"/>
    </row>
    <row r="339" spans="1:18">
      <c r="D339" s="188"/>
      <c r="F339" s="168" t="s">
        <v>6202</v>
      </c>
      <c r="G339" s="193">
        <f>IF(_1_54128456121462410464578910174[[#This Row],[Type]]&gt;0,VLOOKUP(_1_54128456121462410464578910174[[#This Row],[Type]],Main[[#All],[TYPE]:[UNIT]],'Unit Price'!C$1,FALSE),0)</f>
        <v>0</v>
      </c>
      <c r="H339" s="197">
        <f>IF(_1_54128456121462410464578910174[[#This Row],[Type]]&gt;0,VLOOKUP(_1_54128456121462410464578910174[[#This Row],[Type]],Main[[#All],[TYPE]:[UNIT]],'Unit Price'!D$1,FALSE),0)</f>
        <v>0</v>
      </c>
      <c r="I339" s="194">
        <f>IF(_1_54128456121462410464578910174[[#This Row],[Type]]&gt;0,VLOOKUP(_1_54128456121462410464578910174[[#This Row],[Type]],Main[[#All],[TYPE]:[UNIT]],'Unit Price'!G$1,FALSE),0)</f>
        <v>0</v>
      </c>
      <c r="J339" s="194">
        <f>IF(_1_54128456121462410464578910174[[#This Row],[Type]]&gt;0,VLOOKUP(_1_54128456121462410464578910174[[#This Row],[Type]],Main[[#All],[TYPE]:[UNIT]],'Unit Price'!H$1,FALSE),0)</f>
        <v>0</v>
      </c>
      <c r="K339" s="194">
        <f>IF(_1_54128456121462410464578910174[[#This Row],[Discount selection]]&gt;0,VLOOKUP(_1_54128456121462410464578910174[[#This Row],[Discount selection]],'Discount Structure'!$A$2:$B$30,2,"false"),0)</f>
        <v>1</v>
      </c>
      <c r="L339" s="194">
        <f>_1_54128456121462410464578910174[[#This Row],[LIST $]]*_1_54128456121462410464578910174[[#This Row],[DISCOUNT]]*_1_54128456121462410464578910174[[#This Row],[DISCOUNT 2]]</f>
        <v>0</v>
      </c>
      <c r="M339" s="194">
        <f>IF(OR(_1_54128456121462410464578910174[[#This Row],[UNIT]]&gt;0,_1_54128456121462410464578910174[[#This Row],[UNIT]]&lt;0),_1_54128456121462410464578910174[[#This Row],[UNIT]]*_1_54128456121462410464578910174[[#This Row],[COST]],0)</f>
        <v>0</v>
      </c>
      <c r="N339" s="194">
        <f t="shared" si="5"/>
        <v>1.5</v>
      </c>
      <c r="O339" s="198">
        <f>_1_54128456121462410464578910174[[#This Row],[TOTAL]]*_1_54128456121462410464578910174[[#This Row],[MARGIN]]</f>
        <v>0</v>
      </c>
      <c r="R339" s="41"/>
    </row>
    <row r="340" spans="1:18">
      <c r="D340" s="188"/>
      <c r="F340" s="168" t="s">
        <v>6202</v>
      </c>
      <c r="G340" s="193">
        <f>IF(_1_54128456121462410464578910174[[#This Row],[Type]]&gt;0,VLOOKUP(_1_54128456121462410464578910174[[#This Row],[Type]],Main[[#All],[TYPE]:[UNIT]],'Unit Price'!C$1,FALSE),0)</f>
        <v>0</v>
      </c>
      <c r="H340" s="197">
        <f>IF(_1_54128456121462410464578910174[[#This Row],[Type]]&gt;0,VLOOKUP(_1_54128456121462410464578910174[[#This Row],[Type]],Main[[#All],[TYPE]:[UNIT]],'Unit Price'!D$1,FALSE),0)</f>
        <v>0</v>
      </c>
      <c r="I340" s="194">
        <f>IF(_1_54128456121462410464578910174[[#This Row],[Type]]&gt;0,VLOOKUP(_1_54128456121462410464578910174[[#This Row],[Type]],Main[[#All],[TYPE]:[UNIT]],'Unit Price'!G$1,FALSE),0)</f>
        <v>0</v>
      </c>
      <c r="J340" s="194">
        <f>IF(_1_54128456121462410464578910174[[#This Row],[Type]]&gt;0,VLOOKUP(_1_54128456121462410464578910174[[#This Row],[Type]],Main[[#All],[TYPE]:[UNIT]],'Unit Price'!H$1,FALSE),0)</f>
        <v>0</v>
      </c>
      <c r="K340" s="194">
        <f>IF(_1_54128456121462410464578910174[[#This Row],[Discount selection]]&gt;0,VLOOKUP(_1_54128456121462410464578910174[[#This Row],[Discount selection]],'Discount Structure'!$A$2:$B$30,2,"false"),0)</f>
        <v>1</v>
      </c>
      <c r="L340" s="194">
        <f>_1_54128456121462410464578910174[[#This Row],[LIST $]]*_1_54128456121462410464578910174[[#This Row],[DISCOUNT]]*_1_54128456121462410464578910174[[#This Row],[DISCOUNT 2]]</f>
        <v>0</v>
      </c>
      <c r="M340" s="194">
        <f>IF(OR(_1_54128456121462410464578910174[[#This Row],[UNIT]]&gt;0,_1_54128456121462410464578910174[[#This Row],[UNIT]]&lt;0),_1_54128456121462410464578910174[[#This Row],[UNIT]]*_1_54128456121462410464578910174[[#This Row],[COST]],0)</f>
        <v>0</v>
      </c>
      <c r="N340" s="194">
        <f t="shared" si="5"/>
        <v>1.5</v>
      </c>
      <c r="O340" s="198">
        <f>_1_54128456121462410464578910174[[#This Row],[TOTAL]]*_1_54128456121462410464578910174[[#This Row],[MARGIN]]</f>
        <v>0</v>
      </c>
      <c r="R340" s="41"/>
    </row>
    <row r="341" spans="1:18">
      <c r="D341" s="188"/>
      <c r="F341" s="168" t="s">
        <v>6202</v>
      </c>
      <c r="G341" s="193">
        <f>IF(_1_54128456121462410464578910174[[#This Row],[Type]]&gt;0,VLOOKUP(_1_54128456121462410464578910174[[#This Row],[Type]],Main[[#All],[TYPE]:[UNIT]],'Unit Price'!C$1,FALSE),0)</f>
        <v>0</v>
      </c>
      <c r="H341" s="197">
        <f>IF(_1_54128456121462410464578910174[[#This Row],[Type]]&gt;0,VLOOKUP(_1_54128456121462410464578910174[[#This Row],[Type]],Main[[#All],[TYPE]:[UNIT]],'Unit Price'!D$1,FALSE),0)</f>
        <v>0</v>
      </c>
      <c r="I341" s="194">
        <f>IF(_1_54128456121462410464578910174[[#This Row],[Type]]&gt;0,VLOOKUP(_1_54128456121462410464578910174[[#This Row],[Type]],Main[[#All],[TYPE]:[UNIT]],'Unit Price'!G$1,FALSE),0)</f>
        <v>0</v>
      </c>
      <c r="J341" s="194">
        <f>IF(_1_54128456121462410464578910174[[#This Row],[Type]]&gt;0,VLOOKUP(_1_54128456121462410464578910174[[#This Row],[Type]],Main[[#All],[TYPE]:[UNIT]],'Unit Price'!H$1,FALSE),0)</f>
        <v>0</v>
      </c>
      <c r="K341" s="194">
        <f>IF(_1_54128456121462410464578910174[[#This Row],[Discount selection]]&gt;0,VLOOKUP(_1_54128456121462410464578910174[[#This Row],[Discount selection]],'Discount Structure'!$A$2:$B$30,2,"false"),0)</f>
        <v>1</v>
      </c>
      <c r="L341" s="194">
        <f>_1_54128456121462410464578910174[[#This Row],[LIST $]]*_1_54128456121462410464578910174[[#This Row],[DISCOUNT]]*_1_54128456121462410464578910174[[#This Row],[DISCOUNT 2]]</f>
        <v>0</v>
      </c>
      <c r="M341" s="194">
        <f>IF(OR(_1_54128456121462410464578910174[[#This Row],[UNIT]]&gt;0,_1_54128456121462410464578910174[[#This Row],[UNIT]]&lt;0),_1_54128456121462410464578910174[[#This Row],[UNIT]]*_1_54128456121462410464578910174[[#This Row],[COST]],0)</f>
        <v>0</v>
      </c>
      <c r="N341" s="194">
        <f t="shared" si="5"/>
        <v>1.5</v>
      </c>
      <c r="O341" s="198">
        <f>_1_54128456121462410464578910174[[#This Row],[TOTAL]]*_1_54128456121462410464578910174[[#This Row],[MARGIN]]</f>
        <v>0</v>
      </c>
      <c r="R341" s="41"/>
    </row>
    <row r="342" spans="1:18">
      <c r="D342" s="188"/>
      <c r="F342" s="168" t="s">
        <v>6202</v>
      </c>
      <c r="G342" s="193">
        <f>IF(_1_54128456121462410464578910174[[#This Row],[Type]]&gt;0,VLOOKUP(_1_54128456121462410464578910174[[#This Row],[Type]],Main[[#All],[TYPE]:[UNIT]],'Unit Price'!C$1,FALSE),0)</f>
        <v>0</v>
      </c>
      <c r="H342" s="197">
        <f>IF(_1_54128456121462410464578910174[[#This Row],[Type]]&gt;0,VLOOKUP(_1_54128456121462410464578910174[[#This Row],[Type]],Main[[#All],[TYPE]:[UNIT]],'Unit Price'!D$1,FALSE),0)</f>
        <v>0</v>
      </c>
      <c r="I342" s="194">
        <f>IF(_1_54128456121462410464578910174[[#This Row],[Type]]&gt;0,VLOOKUP(_1_54128456121462410464578910174[[#This Row],[Type]],Main[[#All],[TYPE]:[UNIT]],'Unit Price'!G$1,FALSE),0)</f>
        <v>0</v>
      </c>
      <c r="J342" s="194">
        <f>IF(_1_54128456121462410464578910174[[#This Row],[Type]]&gt;0,VLOOKUP(_1_54128456121462410464578910174[[#This Row],[Type]],Main[[#All],[TYPE]:[UNIT]],'Unit Price'!H$1,FALSE),0)</f>
        <v>0</v>
      </c>
      <c r="K342" s="194">
        <f>IF(_1_54128456121462410464578910174[[#This Row],[Discount selection]]&gt;0,VLOOKUP(_1_54128456121462410464578910174[[#This Row],[Discount selection]],'Discount Structure'!$A$2:$B$30,2,"false"),0)</f>
        <v>1</v>
      </c>
      <c r="L342" s="194">
        <f>_1_54128456121462410464578910174[[#This Row],[LIST $]]*_1_54128456121462410464578910174[[#This Row],[DISCOUNT]]*_1_54128456121462410464578910174[[#This Row],[DISCOUNT 2]]</f>
        <v>0</v>
      </c>
      <c r="M342" s="194">
        <f>IF(OR(_1_54128456121462410464578910174[[#This Row],[UNIT]]&gt;0,_1_54128456121462410464578910174[[#This Row],[UNIT]]&lt;0),_1_54128456121462410464578910174[[#This Row],[UNIT]]*_1_54128456121462410464578910174[[#This Row],[COST]],0)</f>
        <v>0</v>
      </c>
      <c r="N342" s="194">
        <f t="shared" si="5"/>
        <v>1.5</v>
      </c>
      <c r="O342" s="198">
        <f>_1_54128456121462410464578910174[[#This Row],[TOTAL]]*_1_54128456121462410464578910174[[#This Row],[MARGIN]]</f>
        <v>0</v>
      </c>
      <c r="R342" s="41"/>
    </row>
    <row r="343" spans="1:18">
      <c r="D343" s="188"/>
      <c r="F343" s="168" t="s">
        <v>6202</v>
      </c>
      <c r="G343" s="193">
        <f>IF(_1_54128456121462410464578910174[[#This Row],[Type]]&gt;0,VLOOKUP(_1_54128456121462410464578910174[[#This Row],[Type]],Main[[#All],[TYPE]:[UNIT]],'Unit Price'!C$1,FALSE),0)</f>
        <v>0</v>
      </c>
      <c r="H343" s="197">
        <f>IF(_1_54128456121462410464578910174[[#This Row],[Type]]&gt;0,VLOOKUP(_1_54128456121462410464578910174[[#This Row],[Type]],Main[[#All],[TYPE]:[UNIT]],'Unit Price'!D$1,FALSE),0)</f>
        <v>0</v>
      </c>
      <c r="I343" s="194">
        <f>IF(_1_54128456121462410464578910174[[#This Row],[Type]]&gt;0,VLOOKUP(_1_54128456121462410464578910174[[#This Row],[Type]],Main[[#All],[TYPE]:[UNIT]],'Unit Price'!G$1,FALSE),0)</f>
        <v>0</v>
      </c>
      <c r="J343" s="194">
        <f>IF(_1_54128456121462410464578910174[[#This Row],[Type]]&gt;0,VLOOKUP(_1_54128456121462410464578910174[[#This Row],[Type]],Main[[#All],[TYPE]:[UNIT]],'Unit Price'!H$1,FALSE),0)</f>
        <v>0</v>
      </c>
      <c r="K343" s="194">
        <f>IF(_1_54128456121462410464578910174[[#This Row],[Discount selection]]&gt;0,VLOOKUP(_1_54128456121462410464578910174[[#This Row],[Discount selection]],'Discount Structure'!$A$2:$B$30,2,"false"),0)</f>
        <v>1</v>
      </c>
      <c r="L343" s="194">
        <f>_1_54128456121462410464578910174[[#This Row],[LIST $]]*_1_54128456121462410464578910174[[#This Row],[DISCOUNT]]*_1_54128456121462410464578910174[[#This Row],[DISCOUNT 2]]</f>
        <v>0</v>
      </c>
      <c r="M343" s="194">
        <f>IF(OR(_1_54128456121462410464578910174[[#This Row],[UNIT]]&gt;0,_1_54128456121462410464578910174[[#This Row],[UNIT]]&lt;0),_1_54128456121462410464578910174[[#This Row],[UNIT]]*_1_54128456121462410464578910174[[#This Row],[COST]],0)</f>
        <v>0</v>
      </c>
      <c r="N343" s="194">
        <f t="shared" si="5"/>
        <v>1.5</v>
      </c>
      <c r="O343" s="198">
        <f>_1_54128456121462410464578910174[[#This Row],[TOTAL]]*_1_54128456121462410464578910174[[#This Row],[MARGIN]]</f>
        <v>0</v>
      </c>
      <c r="R343" s="41"/>
    </row>
    <row r="344" spans="1:18">
      <c r="A344" s="168"/>
      <c r="D344" s="188"/>
      <c r="F344" s="168" t="s">
        <v>6202</v>
      </c>
      <c r="G344" s="193">
        <f>IF(_1_54128456121462410464578910174[[#This Row],[Type]]&gt;0,VLOOKUP(_1_54128456121462410464578910174[[#This Row],[Type]],Main[[#All],[TYPE]:[UNIT]],'Unit Price'!C$1,FALSE),0)</f>
        <v>0</v>
      </c>
      <c r="H344" s="197">
        <f>IF(_1_54128456121462410464578910174[[#This Row],[Type]]&gt;0,VLOOKUP(_1_54128456121462410464578910174[[#This Row],[Type]],Main[[#All],[TYPE]:[UNIT]],'Unit Price'!D$1,FALSE),0)</f>
        <v>0</v>
      </c>
      <c r="I344" s="194">
        <f>IF(_1_54128456121462410464578910174[[#This Row],[Type]]&gt;0,VLOOKUP(_1_54128456121462410464578910174[[#This Row],[Type]],Main[[#All],[TYPE]:[UNIT]],'Unit Price'!G$1,FALSE),0)</f>
        <v>0</v>
      </c>
      <c r="J344" s="194">
        <f>IF(_1_54128456121462410464578910174[[#This Row],[Type]]&gt;0,VLOOKUP(_1_54128456121462410464578910174[[#This Row],[Type]],Main[[#All],[TYPE]:[UNIT]],'Unit Price'!H$1,FALSE),0)</f>
        <v>0</v>
      </c>
      <c r="K344" s="194">
        <f>IF(_1_54128456121462410464578910174[[#This Row],[Discount selection]]&gt;0,VLOOKUP(_1_54128456121462410464578910174[[#This Row],[Discount selection]],'Discount Structure'!$A$2:$B$30,2,"false"),0)</f>
        <v>1</v>
      </c>
      <c r="L344" s="194">
        <f>_1_54128456121462410464578910174[[#This Row],[LIST $]]*_1_54128456121462410464578910174[[#This Row],[DISCOUNT]]*_1_54128456121462410464578910174[[#This Row],[DISCOUNT 2]]</f>
        <v>0</v>
      </c>
      <c r="M344" s="194">
        <f>IF(OR(_1_54128456121462410464578910174[[#This Row],[UNIT]]&gt;0,_1_54128456121462410464578910174[[#This Row],[UNIT]]&lt;0),_1_54128456121462410464578910174[[#This Row],[UNIT]]*_1_54128456121462410464578910174[[#This Row],[COST]],0)</f>
        <v>0</v>
      </c>
      <c r="N344" s="194">
        <f t="shared" si="5"/>
        <v>1.5</v>
      </c>
      <c r="O344" s="198">
        <f>_1_54128456121462410464578910174[[#This Row],[TOTAL]]*_1_54128456121462410464578910174[[#This Row],[MARGIN]]</f>
        <v>0</v>
      </c>
      <c r="R344" s="41"/>
    </row>
    <row r="345" spans="1:18">
      <c r="D345" s="188"/>
      <c r="F345" s="168" t="s">
        <v>6202</v>
      </c>
      <c r="G345" s="193">
        <f>IF(_1_54128456121462410464578910174[[#This Row],[Type]]&gt;0,VLOOKUP(_1_54128456121462410464578910174[[#This Row],[Type]],Main[[#All],[TYPE]:[UNIT]],'Unit Price'!C$1,FALSE),0)</f>
        <v>0</v>
      </c>
      <c r="H345" s="197">
        <f>IF(_1_54128456121462410464578910174[[#This Row],[Type]]&gt;0,VLOOKUP(_1_54128456121462410464578910174[[#This Row],[Type]],Main[[#All],[TYPE]:[UNIT]],'Unit Price'!D$1,FALSE),0)</f>
        <v>0</v>
      </c>
      <c r="I345" s="194">
        <f>IF(_1_54128456121462410464578910174[[#This Row],[Type]]&gt;0,VLOOKUP(_1_54128456121462410464578910174[[#This Row],[Type]],Main[[#All],[TYPE]:[UNIT]],'Unit Price'!G$1,FALSE),0)</f>
        <v>0</v>
      </c>
      <c r="J345" s="194">
        <f>IF(_1_54128456121462410464578910174[[#This Row],[Type]]&gt;0,VLOOKUP(_1_54128456121462410464578910174[[#This Row],[Type]],Main[[#All],[TYPE]:[UNIT]],'Unit Price'!H$1,FALSE),0)</f>
        <v>0</v>
      </c>
      <c r="K345" s="194">
        <f>IF(_1_54128456121462410464578910174[[#This Row],[Discount selection]]&gt;0,VLOOKUP(_1_54128456121462410464578910174[[#This Row],[Discount selection]],'Discount Structure'!$A$2:$B$30,2,"false"),0)</f>
        <v>1</v>
      </c>
      <c r="L345" s="194">
        <f>_1_54128456121462410464578910174[[#This Row],[LIST $]]*_1_54128456121462410464578910174[[#This Row],[DISCOUNT]]*_1_54128456121462410464578910174[[#This Row],[DISCOUNT 2]]</f>
        <v>0</v>
      </c>
      <c r="M345" s="194">
        <f>IF(OR(_1_54128456121462410464578910174[[#This Row],[UNIT]]&gt;0,_1_54128456121462410464578910174[[#This Row],[UNIT]]&lt;0),_1_54128456121462410464578910174[[#This Row],[UNIT]]*_1_54128456121462410464578910174[[#This Row],[COST]],0)</f>
        <v>0</v>
      </c>
      <c r="N345" s="194">
        <f t="shared" si="5"/>
        <v>1.5</v>
      </c>
      <c r="O345" s="198">
        <f>_1_54128456121462410464578910174[[#This Row],[TOTAL]]*_1_54128456121462410464578910174[[#This Row],[MARGIN]]</f>
        <v>0</v>
      </c>
      <c r="R345" s="41"/>
    </row>
    <row r="346" spans="1:18">
      <c r="A346" s="168"/>
      <c r="B346" s="168"/>
      <c r="C346" s="168"/>
      <c r="D346" s="188"/>
      <c r="F346" s="168" t="s">
        <v>6202</v>
      </c>
      <c r="G346" s="193">
        <f>IF(_1_54128456121462410464578910174[[#This Row],[Type]]&gt;0,VLOOKUP(_1_54128456121462410464578910174[[#This Row],[Type]],Main[[#All],[TYPE]:[UNIT]],'Unit Price'!C$1,FALSE),0)</f>
        <v>0</v>
      </c>
      <c r="H346" s="197">
        <f>IF(_1_54128456121462410464578910174[[#This Row],[Type]]&gt;0,VLOOKUP(_1_54128456121462410464578910174[[#This Row],[Type]],Main[[#All],[TYPE]:[UNIT]],'Unit Price'!D$1,FALSE),0)</f>
        <v>0</v>
      </c>
      <c r="I346" s="194">
        <f>IF(_1_54128456121462410464578910174[[#This Row],[Type]]&gt;0,VLOOKUP(_1_54128456121462410464578910174[[#This Row],[Type]],Main[[#All],[TYPE]:[UNIT]],'Unit Price'!G$1,FALSE),0)</f>
        <v>0</v>
      </c>
      <c r="J346" s="194">
        <f>IF(_1_54128456121462410464578910174[[#This Row],[Type]]&gt;0,VLOOKUP(_1_54128456121462410464578910174[[#This Row],[Type]],Main[[#All],[TYPE]:[UNIT]],'Unit Price'!H$1,FALSE),0)</f>
        <v>0</v>
      </c>
      <c r="K346" s="194">
        <f>IF(_1_54128456121462410464578910174[[#This Row],[Discount selection]]&gt;0,VLOOKUP(_1_54128456121462410464578910174[[#This Row],[Discount selection]],'Discount Structure'!$A$2:$B$30,2,"false"),0)</f>
        <v>1</v>
      </c>
      <c r="L346" s="194">
        <f>_1_54128456121462410464578910174[[#This Row],[LIST $]]*_1_54128456121462410464578910174[[#This Row],[DISCOUNT]]*_1_54128456121462410464578910174[[#This Row],[DISCOUNT 2]]</f>
        <v>0</v>
      </c>
      <c r="M346" s="194">
        <f>IF(OR(_1_54128456121462410464578910174[[#This Row],[UNIT]]&gt;0,_1_54128456121462410464578910174[[#This Row],[UNIT]]&lt;0),_1_54128456121462410464578910174[[#This Row],[UNIT]]*_1_54128456121462410464578910174[[#This Row],[COST]],0)</f>
        <v>0</v>
      </c>
      <c r="N346" s="194">
        <f t="shared" si="5"/>
        <v>1.5</v>
      </c>
      <c r="O346" s="198">
        <f>_1_54128456121462410464578910174[[#This Row],[TOTAL]]*_1_54128456121462410464578910174[[#This Row],[MARGIN]]</f>
        <v>0</v>
      </c>
      <c r="R346" s="41"/>
    </row>
    <row r="347" spans="1:18">
      <c r="A347" s="323"/>
      <c r="B347" s="323"/>
      <c r="C347" s="323"/>
      <c r="D347" s="188"/>
      <c r="F347" s="168" t="s">
        <v>6202</v>
      </c>
      <c r="G347" s="193">
        <f>IF(_1_54128456121462410464578910174[[#This Row],[Type]]&gt;0,VLOOKUP(_1_54128456121462410464578910174[[#This Row],[Type]],Main[[#All],[TYPE]:[UNIT]],'Unit Price'!C$1,FALSE),0)</f>
        <v>0</v>
      </c>
      <c r="H347" s="197">
        <f>IF(_1_54128456121462410464578910174[[#This Row],[Type]]&gt;0,VLOOKUP(_1_54128456121462410464578910174[[#This Row],[Type]],Main[[#All],[TYPE]:[UNIT]],'Unit Price'!D$1,FALSE),0)</f>
        <v>0</v>
      </c>
      <c r="I347" s="194">
        <f>IF(_1_54128456121462410464578910174[[#This Row],[Type]]&gt;0,VLOOKUP(_1_54128456121462410464578910174[[#This Row],[Type]],Main[[#All],[TYPE]:[UNIT]],'Unit Price'!G$1,FALSE),0)</f>
        <v>0</v>
      </c>
      <c r="J347" s="194">
        <f>IF(_1_54128456121462410464578910174[[#This Row],[Type]]&gt;0,VLOOKUP(_1_54128456121462410464578910174[[#This Row],[Type]],Main[[#All],[TYPE]:[UNIT]],'Unit Price'!H$1,FALSE),0)</f>
        <v>0</v>
      </c>
      <c r="K347" s="194">
        <f>IF(_1_54128456121462410464578910174[[#This Row],[Discount selection]]&gt;0,VLOOKUP(_1_54128456121462410464578910174[[#This Row],[Discount selection]],'Discount Structure'!$A$2:$B$30,2,"false"),0)</f>
        <v>1</v>
      </c>
      <c r="L347" s="194">
        <f>_1_54128456121462410464578910174[[#This Row],[LIST $]]*_1_54128456121462410464578910174[[#This Row],[DISCOUNT]]*_1_54128456121462410464578910174[[#This Row],[DISCOUNT 2]]</f>
        <v>0</v>
      </c>
      <c r="M347" s="194">
        <f>IF(OR(_1_54128456121462410464578910174[[#This Row],[UNIT]]&gt;0,_1_54128456121462410464578910174[[#This Row],[UNIT]]&lt;0),_1_54128456121462410464578910174[[#This Row],[UNIT]]*_1_54128456121462410464578910174[[#This Row],[COST]],0)</f>
        <v>0</v>
      </c>
      <c r="N347" s="194">
        <f t="shared" si="5"/>
        <v>1.5</v>
      </c>
      <c r="O347" s="198">
        <f>_1_54128456121462410464578910174[[#This Row],[TOTAL]]*_1_54128456121462410464578910174[[#This Row],[MARGIN]]</f>
        <v>0</v>
      </c>
      <c r="R347" s="41"/>
    </row>
    <row r="348" spans="1:18">
      <c r="A348" s="323"/>
      <c r="B348" s="353"/>
      <c r="C348" s="323"/>
      <c r="D348" s="188"/>
      <c r="F348" s="168" t="s">
        <v>6202</v>
      </c>
      <c r="G348" s="193">
        <f>IF(_1_54128456121462410464578910174[[#This Row],[Type]]&gt;0,VLOOKUP(_1_54128456121462410464578910174[[#This Row],[Type]],Main[[#All],[TYPE]:[UNIT]],'Unit Price'!C$1,FALSE),0)</f>
        <v>0</v>
      </c>
      <c r="H348" s="197">
        <f>IF(_1_54128456121462410464578910174[[#This Row],[Type]]&gt;0,VLOOKUP(_1_54128456121462410464578910174[[#This Row],[Type]],Main[[#All],[TYPE]:[UNIT]],'Unit Price'!D$1,FALSE),0)</f>
        <v>0</v>
      </c>
      <c r="I348" s="194">
        <f>IF(_1_54128456121462410464578910174[[#This Row],[Type]]&gt;0,VLOOKUP(_1_54128456121462410464578910174[[#This Row],[Type]],Main[[#All],[TYPE]:[UNIT]],'Unit Price'!G$1,FALSE),0)</f>
        <v>0</v>
      </c>
      <c r="J348" s="194">
        <f>IF(_1_54128456121462410464578910174[[#This Row],[Type]]&gt;0,VLOOKUP(_1_54128456121462410464578910174[[#This Row],[Type]],Main[[#All],[TYPE]:[UNIT]],'Unit Price'!H$1,FALSE),0)</f>
        <v>0</v>
      </c>
      <c r="K348" s="194">
        <f>IF(_1_54128456121462410464578910174[[#This Row],[Discount selection]]&gt;0,VLOOKUP(_1_54128456121462410464578910174[[#This Row],[Discount selection]],'Discount Structure'!$A$2:$B$30,2,"false"),0)</f>
        <v>1</v>
      </c>
      <c r="L348" s="194">
        <f>_1_54128456121462410464578910174[[#This Row],[LIST $]]*_1_54128456121462410464578910174[[#This Row],[DISCOUNT]]*_1_54128456121462410464578910174[[#This Row],[DISCOUNT 2]]</f>
        <v>0</v>
      </c>
      <c r="M348" s="194">
        <f>IF(OR(_1_54128456121462410464578910174[[#This Row],[UNIT]]&gt;0,_1_54128456121462410464578910174[[#This Row],[UNIT]]&lt;0),_1_54128456121462410464578910174[[#This Row],[UNIT]]*_1_54128456121462410464578910174[[#This Row],[COST]],0)</f>
        <v>0</v>
      </c>
      <c r="N348" s="194">
        <f t="shared" si="5"/>
        <v>1.5</v>
      </c>
      <c r="O348" s="198">
        <f>_1_54128456121462410464578910174[[#This Row],[TOTAL]]*_1_54128456121462410464578910174[[#This Row],[MARGIN]]</f>
        <v>0</v>
      </c>
      <c r="R348" s="41"/>
    </row>
    <row r="349" spans="1:18">
      <c r="D349" s="188"/>
      <c r="F349" s="168" t="s">
        <v>6202</v>
      </c>
      <c r="G349" s="193">
        <f>IF(_1_54128456121462410464578910174[[#This Row],[Type]]&gt;0,VLOOKUP(_1_54128456121462410464578910174[[#This Row],[Type]],Main[[#All],[TYPE]:[UNIT]],'Unit Price'!C$1,FALSE),0)</f>
        <v>0</v>
      </c>
      <c r="H349" s="197">
        <f>IF(_1_54128456121462410464578910174[[#This Row],[Type]]&gt;0,VLOOKUP(_1_54128456121462410464578910174[[#This Row],[Type]],Main[[#All],[TYPE]:[UNIT]],'Unit Price'!D$1,FALSE),0)</f>
        <v>0</v>
      </c>
      <c r="I349" s="194">
        <f>IF(_1_54128456121462410464578910174[[#This Row],[Type]]&gt;0,VLOOKUP(_1_54128456121462410464578910174[[#This Row],[Type]],Main[[#All],[TYPE]:[UNIT]],'Unit Price'!G$1,FALSE),0)</f>
        <v>0</v>
      </c>
      <c r="J349" s="194">
        <f>IF(_1_54128456121462410464578910174[[#This Row],[Type]]&gt;0,VLOOKUP(_1_54128456121462410464578910174[[#This Row],[Type]],Main[[#All],[TYPE]:[UNIT]],'Unit Price'!H$1,FALSE),0)</f>
        <v>0</v>
      </c>
      <c r="K349" s="194">
        <f>IF(_1_54128456121462410464578910174[[#This Row],[Discount selection]]&gt;0,VLOOKUP(_1_54128456121462410464578910174[[#This Row],[Discount selection]],'Discount Structure'!$A$2:$B$30,2,"false"),0)</f>
        <v>1</v>
      </c>
      <c r="L349" s="194">
        <f>_1_54128456121462410464578910174[[#This Row],[LIST $]]*_1_54128456121462410464578910174[[#This Row],[DISCOUNT]]*_1_54128456121462410464578910174[[#This Row],[DISCOUNT 2]]</f>
        <v>0</v>
      </c>
      <c r="M349" s="194">
        <f>IF(OR(_1_54128456121462410464578910174[[#This Row],[UNIT]]&gt;0,_1_54128456121462410464578910174[[#This Row],[UNIT]]&lt;0),_1_54128456121462410464578910174[[#This Row],[UNIT]]*_1_54128456121462410464578910174[[#This Row],[COST]],0)</f>
        <v>0</v>
      </c>
      <c r="N349" s="194">
        <f t="shared" si="5"/>
        <v>1.5</v>
      </c>
      <c r="O349" s="198">
        <f>_1_54128456121462410464578910174[[#This Row],[TOTAL]]*_1_54128456121462410464578910174[[#This Row],[MARGIN]]</f>
        <v>0</v>
      </c>
      <c r="R349" s="41"/>
    </row>
    <row r="350" spans="1:18">
      <c r="D350" s="188"/>
      <c r="F350" s="168" t="s">
        <v>6202</v>
      </c>
      <c r="G350" s="193">
        <f>IF(_1_54128456121462410464578910174[[#This Row],[Type]]&gt;0,VLOOKUP(_1_54128456121462410464578910174[[#This Row],[Type]],Main[[#All],[TYPE]:[UNIT]],'Unit Price'!C$1,FALSE),0)</f>
        <v>0</v>
      </c>
      <c r="H350" s="197">
        <f>IF(_1_54128456121462410464578910174[[#This Row],[Type]]&gt;0,VLOOKUP(_1_54128456121462410464578910174[[#This Row],[Type]],Main[[#All],[TYPE]:[UNIT]],'Unit Price'!D$1,FALSE),0)</f>
        <v>0</v>
      </c>
      <c r="I350" s="194">
        <f>IF(_1_54128456121462410464578910174[[#This Row],[Type]]&gt;0,VLOOKUP(_1_54128456121462410464578910174[[#This Row],[Type]],Main[[#All],[TYPE]:[UNIT]],'Unit Price'!G$1,FALSE),0)</f>
        <v>0</v>
      </c>
      <c r="J350" s="194">
        <f>IF(_1_54128456121462410464578910174[[#This Row],[Type]]&gt;0,VLOOKUP(_1_54128456121462410464578910174[[#This Row],[Type]],Main[[#All],[TYPE]:[UNIT]],'Unit Price'!H$1,FALSE),0)</f>
        <v>0</v>
      </c>
      <c r="K350" s="194">
        <f>IF(_1_54128456121462410464578910174[[#This Row],[Discount selection]]&gt;0,VLOOKUP(_1_54128456121462410464578910174[[#This Row],[Discount selection]],'Discount Structure'!$A$2:$B$30,2,"false"),0)</f>
        <v>1</v>
      </c>
      <c r="L350" s="194">
        <f>_1_54128456121462410464578910174[[#This Row],[LIST $]]*_1_54128456121462410464578910174[[#This Row],[DISCOUNT]]*_1_54128456121462410464578910174[[#This Row],[DISCOUNT 2]]</f>
        <v>0</v>
      </c>
      <c r="M350" s="194">
        <f>IF(OR(_1_54128456121462410464578910174[[#This Row],[UNIT]]&gt;0,_1_54128456121462410464578910174[[#This Row],[UNIT]]&lt;0),_1_54128456121462410464578910174[[#This Row],[UNIT]]*_1_54128456121462410464578910174[[#This Row],[COST]],0)</f>
        <v>0</v>
      </c>
      <c r="N350" s="194">
        <f t="shared" si="5"/>
        <v>1.5</v>
      </c>
      <c r="O350" s="198">
        <f>_1_54128456121462410464578910174[[#This Row],[TOTAL]]*_1_54128456121462410464578910174[[#This Row],[MARGIN]]</f>
        <v>0</v>
      </c>
      <c r="R350" s="41"/>
    </row>
    <row r="351" spans="1:18">
      <c r="A351" s="168"/>
      <c r="D351" s="188"/>
      <c r="F351" s="168" t="s">
        <v>6202</v>
      </c>
      <c r="G351" s="193">
        <f>IF(_1_54128456121462410464578910174[[#This Row],[Type]]&gt;0,VLOOKUP(_1_54128456121462410464578910174[[#This Row],[Type]],Main[[#All],[TYPE]:[UNIT]],'Unit Price'!C$1,FALSE),0)</f>
        <v>0</v>
      </c>
      <c r="H351" s="197">
        <f>IF(_1_54128456121462410464578910174[[#This Row],[Type]]&gt;0,VLOOKUP(_1_54128456121462410464578910174[[#This Row],[Type]],Main[[#All],[TYPE]:[UNIT]],'Unit Price'!D$1,FALSE),0)</f>
        <v>0</v>
      </c>
      <c r="I351" s="194">
        <f>IF(_1_54128456121462410464578910174[[#This Row],[Type]]&gt;0,VLOOKUP(_1_54128456121462410464578910174[[#This Row],[Type]],Main[[#All],[TYPE]:[UNIT]],'Unit Price'!G$1,FALSE),0)</f>
        <v>0</v>
      </c>
      <c r="J351" s="194">
        <f>IF(_1_54128456121462410464578910174[[#This Row],[Type]]&gt;0,VLOOKUP(_1_54128456121462410464578910174[[#This Row],[Type]],Main[[#All],[TYPE]:[UNIT]],'Unit Price'!H$1,FALSE),0)</f>
        <v>0</v>
      </c>
      <c r="K351" s="194">
        <f>IF(_1_54128456121462410464578910174[[#This Row],[Discount selection]]&gt;0,VLOOKUP(_1_54128456121462410464578910174[[#This Row],[Discount selection]],'Discount Structure'!$A$2:$B$30,2,"false"),0)</f>
        <v>1</v>
      </c>
      <c r="L351" s="194">
        <f>_1_54128456121462410464578910174[[#This Row],[LIST $]]*_1_54128456121462410464578910174[[#This Row],[DISCOUNT]]*_1_54128456121462410464578910174[[#This Row],[DISCOUNT 2]]</f>
        <v>0</v>
      </c>
      <c r="M351" s="194">
        <f>IF(OR(_1_54128456121462410464578910174[[#This Row],[UNIT]]&gt;0,_1_54128456121462410464578910174[[#This Row],[UNIT]]&lt;0),_1_54128456121462410464578910174[[#This Row],[UNIT]]*_1_54128456121462410464578910174[[#This Row],[COST]],0)</f>
        <v>0</v>
      </c>
      <c r="N351" s="194">
        <f t="shared" si="5"/>
        <v>1.5</v>
      </c>
      <c r="O351" s="198">
        <f>_1_54128456121462410464578910174[[#This Row],[TOTAL]]*_1_54128456121462410464578910174[[#This Row],[MARGIN]]</f>
        <v>0</v>
      </c>
      <c r="R351" s="41"/>
    </row>
    <row r="352" spans="1:18">
      <c r="D352" s="188"/>
      <c r="F352" s="168" t="s">
        <v>6202</v>
      </c>
      <c r="G352" s="193">
        <f>IF(_1_54128456121462410464578910174[[#This Row],[Type]]&gt;0,VLOOKUP(_1_54128456121462410464578910174[[#This Row],[Type]],Main[[#All],[TYPE]:[UNIT]],'Unit Price'!C$1,FALSE),0)</f>
        <v>0</v>
      </c>
      <c r="H352" s="197">
        <f>IF(_1_54128456121462410464578910174[[#This Row],[Type]]&gt;0,VLOOKUP(_1_54128456121462410464578910174[[#This Row],[Type]],Main[[#All],[TYPE]:[UNIT]],'Unit Price'!D$1,FALSE),0)</f>
        <v>0</v>
      </c>
      <c r="I352" s="194">
        <f>IF(_1_54128456121462410464578910174[[#This Row],[Type]]&gt;0,VLOOKUP(_1_54128456121462410464578910174[[#This Row],[Type]],Main[[#All],[TYPE]:[UNIT]],'Unit Price'!G$1,FALSE),0)</f>
        <v>0</v>
      </c>
      <c r="J352" s="194">
        <f>IF(_1_54128456121462410464578910174[[#This Row],[Type]]&gt;0,VLOOKUP(_1_54128456121462410464578910174[[#This Row],[Type]],Main[[#All],[TYPE]:[UNIT]],'Unit Price'!H$1,FALSE),0)</f>
        <v>0</v>
      </c>
      <c r="K352" s="194">
        <f>IF(_1_54128456121462410464578910174[[#This Row],[Discount selection]]&gt;0,VLOOKUP(_1_54128456121462410464578910174[[#This Row],[Discount selection]],'Discount Structure'!$A$2:$B$30,2,"false"),0)</f>
        <v>1</v>
      </c>
      <c r="L352" s="194">
        <f>_1_54128456121462410464578910174[[#This Row],[LIST $]]*_1_54128456121462410464578910174[[#This Row],[DISCOUNT]]*_1_54128456121462410464578910174[[#This Row],[DISCOUNT 2]]</f>
        <v>0</v>
      </c>
      <c r="M352" s="194">
        <f>IF(OR(_1_54128456121462410464578910174[[#This Row],[UNIT]]&gt;0,_1_54128456121462410464578910174[[#This Row],[UNIT]]&lt;0),_1_54128456121462410464578910174[[#This Row],[UNIT]]*_1_54128456121462410464578910174[[#This Row],[COST]],0)</f>
        <v>0</v>
      </c>
      <c r="N352" s="194">
        <f t="shared" si="5"/>
        <v>1.5</v>
      </c>
      <c r="O352" s="198">
        <f>_1_54128456121462410464578910174[[#This Row],[TOTAL]]*_1_54128456121462410464578910174[[#This Row],[MARGIN]]</f>
        <v>0</v>
      </c>
      <c r="R352" s="41"/>
    </row>
    <row r="353" spans="1:18">
      <c r="A353" s="168"/>
      <c r="B353" s="168"/>
      <c r="C353" s="168"/>
      <c r="D353" s="188"/>
      <c r="F353" s="168" t="s">
        <v>6202</v>
      </c>
      <c r="G353" s="193">
        <f>IF(_1_54128456121462410464578910174[[#This Row],[Type]]&gt;0,VLOOKUP(_1_54128456121462410464578910174[[#This Row],[Type]],Main[[#All],[TYPE]:[UNIT]],'Unit Price'!C$1,FALSE),0)</f>
        <v>0</v>
      </c>
      <c r="H353" s="197">
        <f>IF(_1_54128456121462410464578910174[[#This Row],[Type]]&gt;0,VLOOKUP(_1_54128456121462410464578910174[[#This Row],[Type]],Main[[#All],[TYPE]:[UNIT]],'Unit Price'!D$1,FALSE),0)</f>
        <v>0</v>
      </c>
      <c r="I353" s="194">
        <f>IF(_1_54128456121462410464578910174[[#This Row],[Type]]&gt;0,VLOOKUP(_1_54128456121462410464578910174[[#This Row],[Type]],Main[[#All],[TYPE]:[UNIT]],'Unit Price'!G$1,FALSE),0)</f>
        <v>0</v>
      </c>
      <c r="J353" s="194">
        <f>IF(_1_54128456121462410464578910174[[#This Row],[Type]]&gt;0,VLOOKUP(_1_54128456121462410464578910174[[#This Row],[Type]],Main[[#All],[TYPE]:[UNIT]],'Unit Price'!H$1,FALSE),0)</f>
        <v>0</v>
      </c>
      <c r="K353" s="194">
        <f>IF(_1_54128456121462410464578910174[[#This Row],[Discount selection]]&gt;0,VLOOKUP(_1_54128456121462410464578910174[[#This Row],[Discount selection]],'Discount Structure'!$A$2:$B$30,2,"false"),0)</f>
        <v>1</v>
      </c>
      <c r="L353" s="194">
        <f>_1_54128456121462410464578910174[[#This Row],[LIST $]]*_1_54128456121462410464578910174[[#This Row],[DISCOUNT]]*_1_54128456121462410464578910174[[#This Row],[DISCOUNT 2]]</f>
        <v>0</v>
      </c>
      <c r="M353" s="194">
        <f>IF(OR(_1_54128456121462410464578910174[[#This Row],[UNIT]]&gt;0,_1_54128456121462410464578910174[[#This Row],[UNIT]]&lt;0),_1_54128456121462410464578910174[[#This Row],[UNIT]]*_1_54128456121462410464578910174[[#This Row],[COST]],0)</f>
        <v>0</v>
      </c>
      <c r="N353" s="194">
        <f t="shared" si="5"/>
        <v>1.5</v>
      </c>
      <c r="O353" s="198">
        <f>_1_54128456121462410464578910174[[#This Row],[TOTAL]]*_1_54128456121462410464578910174[[#This Row],[MARGIN]]</f>
        <v>0</v>
      </c>
      <c r="R353" s="41"/>
    </row>
    <row r="354" spans="1:18">
      <c r="A354" s="323"/>
      <c r="B354" s="323"/>
      <c r="C354" s="323"/>
      <c r="D354" s="188"/>
      <c r="F354" s="168" t="s">
        <v>6202</v>
      </c>
      <c r="G354" s="193">
        <f>IF(_1_54128456121462410464578910174[[#This Row],[Type]]&gt;0,VLOOKUP(_1_54128456121462410464578910174[[#This Row],[Type]],Main[[#All],[TYPE]:[UNIT]],'Unit Price'!C$1,FALSE),0)</f>
        <v>0</v>
      </c>
      <c r="H354" s="197">
        <f>IF(_1_54128456121462410464578910174[[#This Row],[Type]]&gt;0,VLOOKUP(_1_54128456121462410464578910174[[#This Row],[Type]],Main[[#All],[TYPE]:[UNIT]],'Unit Price'!D$1,FALSE),0)</f>
        <v>0</v>
      </c>
      <c r="I354" s="194">
        <f>IF(_1_54128456121462410464578910174[[#This Row],[Type]]&gt;0,VLOOKUP(_1_54128456121462410464578910174[[#This Row],[Type]],Main[[#All],[TYPE]:[UNIT]],'Unit Price'!G$1,FALSE),0)</f>
        <v>0</v>
      </c>
      <c r="J354" s="194">
        <f>IF(_1_54128456121462410464578910174[[#This Row],[Type]]&gt;0,VLOOKUP(_1_54128456121462410464578910174[[#This Row],[Type]],Main[[#All],[TYPE]:[UNIT]],'Unit Price'!H$1,FALSE),0)</f>
        <v>0</v>
      </c>
      <c r="K354" s="194">
        <f>IF(_1_54128456121462410464578910174[[#This Row],[Discount selection]]&gt;0,VLOOKUP(_1_54128456121462410464578910174[[#This Row],[Discount selection]],'Discount Structure'!$A$2:$B$30,2,"false"),0)</f>
        <v>1</v>
      </c>
      <c r="L354" s="194">
        <f>_1_54128456121462410464578910174[[#This Row],[LIST $]]*_1_54128456121462410464578910174[[#This Row],[DISCOUNT]]*_1_54128456121462410464578910174[[#This Row],[DISCOUNT 2]]</f>
        <v>0</v>
      </c>
      <c r="M354" s="194">
        <f>IF(OR(_1_54128456121462410464578910174[[#This Row],[UNIT]]&gt;0,_1_54128456121462410464578910174[[#This Row],[UNIT]]&lt;0),_1_54128456121462410464578910174[[#This Row],[UNIT]]*_1_54128456121462410464578910174[[#This Row],[COST]],0)</f>
        <v>0</v>
      </c>
      <c r="N354" s="194">
        <f t="shared" si="5"/>
        <v>1.5</v>
      </c>
      <c r="O354" s="198">
        <f>_1_54128456121462410464578910174[[#This Row],[TOTAL]]*_1_54128456121462410464578910174[[#This Row],[MARGIN]]</f>
        <v>0</v>
      </c>
      <c r="R354" s="41"/>
    </row>
    <row r="355" spans="1:18">
      <c r="A355" s="323"/>
      <c r="B355" s="353"/>
      <c r="C355" s="323"/>
      <c r="D355" s="188"/>
      <c r="F355" s="168" t="s">
        <v>6202</v>
      </c>
      <c r="G355" s="193">
        <f>IF(_1_54128456121462410464578910174[[#This Row],[Type]]&gt;0,VLOOKUP(_1_54128456121462410464578910174[[#This Row],[Type]],Main[[#All],[TYPE]:[UNIT]],'Unit Price'!C$1,FALSE),0)</f>
        <v>0</v>
      </c>
      <c r="H355" s="197">
        <f>IF(_1_54128456121462410464578910174[[#This Row],[Type]]&gt;0,VLOOKUP(_1_54128456121462410464578910174[[#This Row],[Type]],Main[[#All],[TYPE]:[UNIT]],'Unit Price'!D$1,FALSE),0)</f>
        <v>0</v>
      </c>
      <c r="I355" s="194">
        <f>IF(_1_54128456121462410464578910174[[#This Row],[Type]]&gt;0,VLOOKUP(_1_54128456121462410464578910174[[#This Row],[Type]],Main[[#All],[TYPE]:[UNIT]],'Unit Price'!G$1,FALSE),0)</f>
        <v>0</v>
      </c>
      <c r="J355" s="194">
        <f>IF(_1_54128456121462410464578910174[[#This Row],[Type]]&gt;0,VLOOKUP(_1_54128456121462410464578910174[[#This Row],[Type]],Main[[#All],[TYPE]:[UNIT]],'Unit Price'!H$1,FALSE),0)</f>
        <v>0</v>
      </c>
      <c r="K355" s="194">
        <f>IF(_1_54128456121462410464578910174[[#This Row],[Discount selection]]&gt;0,VLOOKUP(_1_54128456121462410464578910174[[#This Row],[Discount selection]],'Discount Structure'!$A$2:$B$30,2,"false"),0)</f>
        <v>1</v>
      </c>
      <c r="L355" s="194">
        <f>_1_54128456121462410464578910174[[#This Row],[LIST $]]*_1_54128456121462410464578910174[[#This Row],[DISCOUNT]]*_1_54128456121462410464578910174[[#This Row],[DISCOUNT 2]]</f>
        <v>0</v>
      </c>
      <c r="M355" s="194">
        <f>IF(OR(_1_54128456121462410464578910174[[#This Row],[UNIT]]&gt;0,_1_54128456121462410464578910174[[#This Row],[UNIT]]&lt;0),_1_54128456121462410464578910174[[#This Row],[UNIT]]*_1_54128456121462410464578910174[[#This Row],[COST]],0)</f>
        <v>0</v>
      </c>
      <c r="N355" s="194">
        <f t="shared" si="5"/>
        <v>1.5</v>
      </c>
      <c r="O355" s="198">
        <f>_1_54128456121462410464578910174[[#This Row],[TOTAL]]*_1_54128456121462410464578910174[[#This Row],[MARGIN]]</f>
        <v>0</v>
      </c>
      <c r="R355" s="41"/>
    </row>
    <row r="356" spans="1:18">
      <c r="D356" s="188"/>
      <c r="F356" s="168" t="s">
        <v>6202</v>
      </c>
      <c r="G356" s="193">
        <f>IF(_1_54128456121462410464578910174[[#This Row],[Type]]&gt;0,VLOOKUP(_1_54128456121462410464578910174[[#This Row],[Type]],Main[[#All],[TYPE]:[UNIT]],'Unit Price'!C$1,FALSE),0)</f>
        <v>0</v>
      </c>
      <c r="H356" s="197">
        <f>IF(_1_54128456121462410464578910174[[#This Row],[Type]]&gt;0,VLOOKUP(_1_54128456121462410464578910174[[#This Row],[Type]],Main[[#All],[TYPE]:[UNIT]],'Unit Price'!D$1,FALSE),0)</f>
        <v>0</v>
      </c>
      <c r="I356" s="194">
        <f>IF(_1_54128456121462410464578910174[[#This Row],[Type]]&gt;0,VLOOKUP(_1_54128456121462410464578910174[[#This Row],[Type]],Main[[#All],[TYPE]:[UNIT]],'Unit Price'!G$1,FALSE),0)</f>
        <v>0</v>
      </c>
      <c r="J356" s="194">
        <f>IF(_1_54128456121462410464578910174[[#This Row],[Type]]&gt;0,VLOOKUP(_1_54128456121462410464578910174[[#This Row],[Type]],Main[[#All],[TYPE]:[UNIT]],'Unit Price'!H$1,FALSE),0)</f>
        <v>0</v>
      </c>
      <c r="K356" s="194">
        <f>IF(_1_54128456121462410464578910174[[#This Row],[Discount selection]]&gt;0,VLOOKUP(_1_54128456121462410464578910174[[#This Row],[Discount selection]],'Discount Structure'!$A$2:$B$30,2,"false"),0)</f>
        <v>1</v>
      </c>
      <c r="L356" s="194">
        <f>_1_54128456121462410464578910174[[#This Row],[LIST $]]*_1_54128456121462410464578910174[[#This Row],[DISCOUNT]]*_1_54128456121462410464578910174[[#This Row],[DISCOUNT 2]]</f>
        <v>0</v>
      </c>
      <c r="M356" s="194">
        <f>IF(OR(_1_54128456121462410464578910174[[#This Row],[UNIT]]&gt;0,_1_54128456121462410464578910174[[#This Row],[UNIT]]&lt;0),_1_54128456121462410464578910174[[#This Row],[UNIT]]*_1_54128456121462410464578910174[[#This Row],[COST]],0)</f>
        <v>0</v>
      </c>
      <c r="N356" s="194">
        <f t="shared" si="5"/>
        <v>1.5</v>
      </c>
      <c r="O356" s="198">
        <f>_1_54128456121462410464578910174[[#This Row],[TOTAL]]*_1_54128456121462410464578910174[[#This Row],[MARGIN]]</f>
        <v>0</v>
      </c>
      <c r="R356" s="41"/>
    </row>
    <row r="357" spans="1:18">
      <c r="D357" s="188"/>
      <c r="F357" s="168" t="s">
        <v>6202</v>
      </c>
      <c r="G357" s="193">
        <f>IF(_1_54128456121462410464578910174[[#This Row],[Type]]&gt;0,VLOOKUP(_1_54128456121462410464578910174[[#This Row],[Type]],Main[[#All],[TYPE]:[UNIT]],'Unit Price'!C$1,FALSE),0)</f>
        <v>0</v>
      </c>
      <c r="H357" s="197">
        <f>IF(_1_54128456121462410464578910174[[#This Row],[Type]]&gt;0,VLOOKUP(_1_54128456121462410464578910174[[#This Row],[Type]],Main[[#All],[TYPE]:[UNIT]],'Unit Price'!D$1,FALSE),0)</f>
        <v>0</v>
      </c>
      <c r="I357" s="194">
        <f>IF(_1_54128456121462410464578910174[[#This Row],[Type]]&gt;0,VLOOKUP(_1_54128456121462410464578910174[[#This Row],[Type]],Main[[#All],[TYPE]:[UNIT]],'Unit Price'!G$1,FALSE),0)</f>
        <v>0</v>
      </c>
      <c r="J357" s="194">
        <f>IF(_1_54128456121462410464578910174[[#This Row],[Type]]&gt;0,VLOOKUP(_1_54128456121462410464578910174[[#This Row],[Type]],Main[[#All],[TYPE]:[UNIT]],'Unit Price'!H$1,FALSE),0)</f>
        <v>0</v>
      </c>
      <c r="K357" s="194">
        <f>IF(_1_54128456121462410464578910174[[#This Row],[Discount selection]]&gt;0,VLOOKUP(_1_54128456121462410464578910174[[#This Row],[Discount selection]],'Discount Structure'!$A$2:$B$30,2,"false"),0)</f>
        <v>1</v>
      </c>
      <c r="L357" s="194">
        <f>_1_54128456121462410464578910174[[#This Row],[LIST $]]*_1_54128456121462410464578910174[[#This Row],[DISCOUNT]]*_1_54128456121462410464578910174[[#This Row],[DISCOUNT 2]]</f>
        <v>0</v>
      </c>
      <c r="M357" s="194">
        <f>IF(OR(_1_54128456121462410464578910174[[#This Row],[UNIT]]&gt;0,_1_54128456121462410464578910174[[#This Row],[UNIT]]&lt;0),_1_54128456121462410464578910174[[#This Row],[UNIT]]*_1_54128456121462410464578910174[[#This Row],[COST]],0)</f>
        <v>0</v>
      </c>
      <c r="N357" s="194">
        <f t="shared" si="5"/>
        <v>1.5</v>
      </c>
      <c r="O357" s="198">
        <f>_1_54128456121462410464578910174[[#This Row],[TOTAL]]*_1_54128456121462410464578910174[[#This Row],[MARGIN]]</f>
        <v>0</v>
      </c>
      <c r="R357" s="41"/>
    </row>
    <row r="358" spans="1:18">
      <c r="A358" s="168"/>
      <c r="D358" s="188"/>
      <c r="F358" s="168" t="s">
        <v>6202</v>
      </c>
      <c r="G358" s="193">
        <f>IF(_1_54128456121462410464578910174[[#This Row],[Type]]&gt;0,VLOOKUP(_1_54128456121462410464578910174[[#This Row],[Type]],Main[[#All],[TYPE]:[UNIT]],'Unit Price'!C$1,FALSE),0)</f>
        <v>0</v>
      </c>
      <c r="H358" s="197">
        <f>IF(_1_54128456121462410464578910174[[#This Row],[Type]]&gt;0,VLOOKUP(_1_54128456121462410464578910174[[#This Row],[Type]],Main[[#All],[TYPE]:[UNIT]],'Unit Price'!D$1,FALSE),0)</f>
        <v>0</v>
      </c>
      <c r="I358" s="194">
        <f>IF(_1_54128456121462410464578910174[[#This Row],[Type]]&gt;0,VLOOKUP(_1_54128456121462410464578910174[[#This Row],[Type]],Main[[#All],[TYPE]:[UNIT]],'Unit Price'!G$1,FALSE),0)</f>
        <v>0</v>
      </c>
      <c r="J358" s="194">
        <f>IF(_1_54128456121462410464578910174[[#This Row],[Type]]&gt;0,VLOOKUP(_1_54128456121462410464578910174[[#This Row],[Type]],Main[[#All],[TYPE]:[UNIT]],'Unit Price'!H$1,FALSE),0)</f>
        <v>0</v>
      </c>
      <c r="K358" s="194">
        <f>IF(_1_54128456121462410464578910174[[#This Row],[Discount selection]]&gt;0,VLOOKUP(_1_54128456121462410464578910174[[#This Row],[Discount selection]],'Discount Structure'!$A$2:$B$30,2,"false"),0)</f>
        <v>1</v>
      </c>
      <c r="L358" s="194">
        <f>_1_54128456121462410464578910174[[#This Row],[LIST $]]*_1_54128456121462410464578910174[[#This Row],[DISCOUNT]]*_1_54128456121462410464578910174[[#This Row],[DISCOUNT 2]]</f>
        <v>0</v>
      </c>
      <c r="M358" s="194">
        <f>IF(OR(_1_54128456121462410464578910174[[#This Row],[UNIT]]&gt;0,_1_54128456121462410464578910174[[#This Row],[UNIT]]&lt;0),_1_54128456121462410464578910174[[#This Row],[UNIT]]*_1_54128456121462410464578910174[[#This Row],[COST]],0)</f>
        <v>0</v>
      </c>
      <c r="N358" s="194">
        <f t="shared" si="5"/>
        <v>1.5</v>
      </c>
      <c r="O358" s="198">
        <f>_1_54128456121462410464578910174[[#This Row],[TOTAL]]*_1_54128456121462410464578910174[[#This Row],[MARGIN]]</f>
        <v>0</v>
      </c>
      <c r="R358" s="41"/>
    </row>
    <row r="359" spans="1:18">
      <c r="D359" s="188"/>
      <c r="F359" s="168" t="s">
        <v>6202</v>
      </c>
      <c r="G359" s="193">
        <f>IF(_1_54128456121462410464578910174[[#This Row],[Type]]&gt;0,VLOOKUP(_1_54128456121462410464578910174[[#This Row],[Type]],Main[[#All],[TYPE]:[UNIT]],'Unit Price'!C$1,FALSE),0)</f>
        <v>0</v>
      </c>
      <c r="H359" s="197">
        <f>IF(_1_54128456121462410464578910174[[#This Row],[Type]]&gt;0,VLOOKUP(_1_54128456121462410464578910174[[#This Row],[Type]],Main[[#All],[TYPE]:[UNIT]],'Unit Price'!D$1,FALSE),0)</f>
        <v>0</v>
      </c>
      <c r="I359" s="194">
        <f>IF(_1_54128456121462410464578910174[[#This Row],[Type]]&gt;0,VLOOKUP(_1_54128456121462410464578910174[[#This Row],[Type]],Main[[#All],[TYPE]:[UNIT]],'Unit Price'!G$1,FALSE),0)</f>
        <v>0</v>
      </c>
      <c r="J359" s="194">
        <f>IF(_1_54128456121462410464578910174[[#This Row],[Type]]&gt;0,VLOOKUP(_1_54128456121462410464578910174[[#This Row],[Type]],Main[[#All],[TYPE]:[UNIT]],'Unit Price'!H$1,FALSE),0)</f>
        <v>0</v>
      </c>
      <c r="K359" s="194">
        <f>IF(_1_54128456121462410464578910174[[#This Row],[Discount selection]]&gt;0,VLOOKUP(_1_54128456121462410464578910174[[#This Row],[Discount selection]],'Discount Structure'!$A$2:$B$30,2,"false"),0)</f>
        <v>1</v>
      </c>
      <c r="L359" s="194">
        <f>_1_54128456121462410464578910174[[#This Row],[LIST $]]*_1_54128456121462410464578910174[[#This Row],[DISCOUNT]]*_1_54128456121462410464578910174[[#This Row],[DISCOUNT 2]]</f>
        <v>0</v>
      </c>
      <c r="M359" s="194">
        <f>IF(OR(_1_54128456121462410464578910174[[#This Row],[UNIT]]&gt;0,_1_54128456121462410464578910174[[#This Row],[UNIT]]&lt;0),_1_54128456121462410464578910174[[#This Row],[UNIT]]*_1_54128456121462410464578910174[[#This Row],[COST]],0)</f>
        <v>0</v>
      </c>
      <c r="N359" s="194">
        <f t="shared" si="5"/>
        <v>1.5</v>
      </c>
      <c r="O359" s="198">
        <f>_1_54128456121462410464578910174[[#This Row],[TOTAL]]*_1_54128456121462410464578910174[[#This Row],[MARGIN]]</f>
        <v>0</v>
      </c>
      <c r="R359" s="41"/>
    </row>
    <row r="360" spans="1:18">
      <c r="A360" s="168"/>
      <c r="B360" s="168"/>
      <c r="C360" s="168"/>
      <c r="D360" s="188"/>
      <c r="F360" s="168" t="s">
        <v>6202</v>
      </c>
      <c r="G360" s="193">
        <f>IF(_1_54128456121462410464578910174[[#This Row],[Type]]&gt;0,VLOOKUP(_1_54128456121462410464578910174[[#This Row],[Type]],Main[[#All],[TYPE]:[UNIT]],'Unit Price'!C$1,FALSE),0)</f>
        <v>0</v>
      </c>
      <c r="H360" s="197">
        <f>IF(_1_54128456121462410464578910174[[#This Row],[Type]]&gt;0,VLOOKUP(_1_54128456121462410464578910174[[#This Row],[Type]],Main[[#All],[TYPE]:[UNIT]],'Unit Price'!D$1,FALSE),0)</f>
        <v>0</v>
      </c>
      <c r="I360" s="194">
        <f>IF(_1_54128456121462410464578910174[[#This Row],[Type]]&gt;0,VLOOKUP(_1_54128456121462410464578910174[[#This Row],[Type]],Main[[#All],[TYPE]:[UNIT]],'Unit Price'!G$1,FALSE),0)</f>
        <v>0</v>
      </c>
      <c r="J360" s="194">
        <f>IF(_1_54128456121462410464578910174[[#This Row],[Type]]&gt;0,VLOOKUP(_1_54128456121462410464578910174[[#This Row],[Type]],Main[[#All],[TYPE]:[UNIT]],'Unit Price'!H$1,FALSE),0)</f>
        <v>0</v>
      </c>
      <c r="K360" s="194">
        <f>IF(_1_54128456121462410464578910174[[#This Row],[Discount selection]]&gt;0,VLOOKUP(_1_54128456121462410464578910174[[#This Row],[Discount selection]],'Discount Structure'!$A$2:$B$30,2,"false"),0)</f>
        <v>1</v>
      </c>
      <c r="L360" s="194">
        <f>_1_54128456121462410464578910174[[#This Row],[LIST $]]*_1_54128456121462410464578910174[[#This Row],[DISCOUNT]]*_1_54128456121462410464578910174[[#This Row],[DISCOUNT 2]]</f>
        <v>0</v>
      </c>
      <c r="M360" s="194">
        <f>IF(OR(_1_54128456121462410464578910174[[#This Row],[UNIT]]&gt;0,_1_54128456121462410464578910174[[#This Row],[UNIT]]&lt;0),_1_54128456121462410464578910174[[#This Row],[UNIT]]*_1_54128456121462410464578910174[[#This Row],[COST]],0)</f>
        <v>0</v>
      </c>
      <c r="N360" s="194">
        <f t="shared" si="5"/>
        <v>1.5</v>
      </c>
      <c r="O360" s="198">
        <f>_1_54128456121462410464578910174[[#This Row],[TOTAL]]*_1_54128456121462410464578910174[[#This Row],[MARGIN]]</f>
        <v>0</v>
      </c>
      <c r="R360" s="41"/>
    </row>
    <row r="361" spans="1:18">
      <c r="A361" s="323"/>
      <c r="B361" s="323"/>
      <c r="C361" s="323"/>
      <c r="D361" s="188"/>
      <c r="F361" s="168" t="s">
        <v>6202</v>
      </c>
      <c r="G361" s="193">
        <f>IF(_1_54128456121462410464578910174[[#This Row],[Type]]&gt;0,VLOOKUP(_1_54128456121462410464578910174[[#This Row],[Type]],Main[[#All],[TYPE]:[UNIT]],'Unit Price'!C$1,FALSE),0)</f>
        <v>0</v>
      </c>
      <c r="H361" s="197">
        <f>IF(_1_54128456121462410464578910174[[#This Row],[Type]]&gt;0,VLOOKUP(_1_54128456121462410464578910174[[#This Row],[Type]],Main[[#All],[TYPE]:[UNIT]],'Unit Price'!D$1,FALSE),0)</f>
        <v>0</v>
      </c>
      <c r="I361" s="194">
        <f>IF(_1_54128456121462410464578910174[[#This Row],[Type]]&gt;0,VLOOKUP(_1_54128456121462410464578910174[[#This Row],[Type]],Main[[#All],[TYPE]:[UNIT]],'Unit Price'!G$1,FALSE),0)</f>
        <v>0</v>
      </c>
      <c r="J361" s="194">
        <f>IF(_1_54128456121462410464578910174[[#This Row],[Type]]&gt;0,VLOOKUP(_1_54128456121462410464578910174[[#This Row],[Type]],Main[[#All],[TYPE]:[UNIT]],'Unit Price'!H$1,FALSE),0)</f>
        <v>0</v>
      </c>
      <c r="K361" s="194">
        <f>IF(_1_54128456121462410464578910174[[#This Row],[Discount selection]]&gt;0,VLOOKUP(_1_54128456121462410464578910174[[#This Row],[Discount selection]],'Discount Structure'!$A$2:$B$30,2,"false"),0)</f>
        <v>1</v>
      </c>
      <c r="L361" s="194">
        <f>_1_54128456121462410464578910174[[#This Row],[LIST $]]*_1_54128456121462410464578910174[[#This Row],[DISCOUNT]]*_1_54128456121462410464578910174[[#This Row],[DISCOUNT 2]]</f>
        <v>0</v>
      </c>
      <c r="M361" s="194">
        <f>IF(OR(_1_54128456121462410464578910174[[#This Row],[UNIT]]&gt;0,_1_54128456121462410464578910174[[#This Row],[UNIT]]&lt;0),_1_54128456121462410464578910174[[#This Row],[UNIT]]*_1_54128456121462410464578910174[[#This Row],[COST]],0)</f>
        <v>0</v>
      </c>
      <c r="N361" s="194">
        <f t="shared" si="5"/>
        <v>1.5</v>
      </c>
      <c r="O361" s="198">
        <f>_1_54128456121462410464578910174[[#This Row],[TOTAL]]*_1_54128456121462410464578910174[[#This Row],[MARGIN]]</f>
        <v>0</v>
      </c>
      <c r="R361" s="41"/>
    </row>
    <row r="362" spans="1:18">
      <c r="A362" s="323"/>
      <c r="B362" s="353"/>
      <c r="C362" s="323"/>
      <c r="D362" s="188"/>
      <c r="F362" s="168" t="s">
        <v>6202</v>
      </c>
      <c r="G362" s="193">
        <f>IF(_1_54128456121462410464578910174[[#This Row],[Type]]&gt;0,VLOOKUP(_1_54128456121462410464578910174[[#This Row],[Type]],Main[[#All],[TYPE]:[UNIT]],'Unit Price'!C$1,FALSE),0)</f>
        <v>0</v>
      </c>
      <c r="H362" s="197">
        <f>IF(_1_54128456121462410464578910174[[#This Row],[Type]]&gt;0,VLOOKUP(_1_54128456121462410464578910174[[#This Row],[Type]],Main[[#All],[TYPE]:[UNIT]],'Unit Price'!D$1,FALSE),0)</f>
        <v>0</v>
      </c>
      <c r="I362" s="194">
        <f>IF(_1_54128456121462410464578910174[[#This Row],[Type]]&gt;0,VLOOKUP(_1_54128456121462410464578910174[[#This Row],[Type]],Main[[#All],[TYPE]:[UNIT]],'Unit Price'!G$1,FALSE),0)</f>
        <v>0</v>
      </c>
      <c r="J362" s="194">
        <f>IF(_1_54128456121462410464578910174[[#This Row],[Type]]&gt;0,VLOOKUP(_1_54128456121462410464578910174[[#This Row],[Type]],Main[[#All],[TYPE]:[UNIT]],'Unit Price'!H$1,FALSE),0)</f>
        <v>0</v>
      </c>
      <c r="K362" s="194">
        <f>IF(_1_54128456121462410464578910174[[#This Row],[Discount selection]]&gt;0,VLOOKUP(_1_54128456121462410464578910174[[#This Row],[Discount selection]],'Discount Structure'!$A$2:$B$30,2,"false"),0)</f>
        <v>1</v>
      </c>
      <c r="L362" s="194">
        <f>_1_54128456121462410464578910174[[#This Row],[LIST $]]*_1_54128456121462410464578910174[[#This Row],[DISCOUNT]]*_1_54128456121462410464578910174[[#This Row],[DISCOUNT 2]]</f>
        <v>0</v>
      </c>
      <c r="M362" s="194">
        <f>IF(OR(_1_54128456121462410464578910174[[#This Row],[UNIT]]&gt;0,_1_54128456121462410464578910174[[#This Row],[UNIT]]&lt;0),_1_54128456121462410464578910174[[#This Row],[UNIT]]*_1_54128456121462410464578910174[[#This Row],[COST]],0)</f>
        <v>0</v>
      </c>
      <c r="N362" s="194">
        <f t="shared" si="5"/>
        <v>1.5</v>
      </c>
      <c r="O362" s="198">
        <f>_1_54128456121462410464578910174[[#This Row],[TOTAL]]*_1_54128456121462410464578910174[[#This Row],[MARGIN]]</f>
        <v>0</v>
      </c>
      <c r="R362" s="41"/>
    </row>
    <row r="363" spans="1:18">
      <c r="D363" s="188"/>
      <c r="F363" s="168" t="s">
        <v>6202</v>
      </c>
      <c r="G363" s="193">
        <f>IF(_1_54128456121462410464578910174[[#This Row],[Type]]&gt;0,VLOOKUP(_1_54128456121462410464578910174[[#This Row],[Type]],Main[[#All],[TYPE]:[UNIT]],'Unit Price'!C$1,FALSE),0)</f>
        <v>0</v>
      </c>
      <c r="H363" s="197">
        <f>IF(_1_54128456121462410464578910174[[#This Row],[Type]]&gt;0,VLOOKUP(_1_54128456121462410464578910174[[#This Row],[Type]],Main[[#All],[TYPE]:[UNIT]],'Unit Price'!D$1,FALSE),0)</f>
        <v>0</v>
      </c>
      <c r="I363" s="194">
        <f>IF(_1_54128456121462410464578910174[[#This Row],[Type]]&gt;0,VLOOKUP(_1_54128456121462410464578910174[[#This Row],[Type]],Main[[#All],[TYPE]:[UNIT]],'Unit Price'!G$1,FALSE),0)</f>
        <v>0</v>
      </c>
      <c r="J363" s="194">
        <f>IF(_1_54128456121462410464578910174[[#This Row],[Type]]&gt;0,VLOOKUP(_1_54128456121462410464578910174[[#This Row],[Type]],Main[[#All],[TYPE]:[UNIT]],'Unit Price'!H$1,FALSE),0)</f>
        <v>0</v>
      </c>
      <c r="K363" s="194">
        <f>IF(_1_54128456121462410464578910174[[#This Row],[Discount selection]]&gt;0,VLOOKUP(_1_54128456121462410464578910174[[#This Row],[Discount selection]],'Discount Structure'!$A$2:$B$30,2,"false"),0)</f>
        <v>1</v>
      </c>
      <c r="L363" s="194">
        <f>_1_54128456121462410464578910174[[#This Row],[LIST $]]*_1_54128456121462410464578910174[[#This Row],[DISCOUNT]]*_1_54128456121462410464578910174[[#This Row],[DISCOUNT 2]]</f>
        <v>0</v>
      </c>
      <c r="M363" s="194">
        <f>IF(OR(_1_54128456121462410464578910174[[#This Row],[UNIT]]&gt;0,_1_54128456121462410464578910174[[#This Row],[UNIT]]&lt;0),_1_54128456121462410464578910174[[#This Row],[UNIT]]*_1_54128456121462410464578910174[[#This Row],[COST]],0)</f>
        <v>0</v>
      </c>
      <c r="N363" s="194">
        <f t="shared" si="5"/>
        <v>1.5</v>
      </c>
      <c r="O363" s="198">
        <f>_1_54128456121462410464578910174[[#This Row],[TOTAL]]*_1_54128456121462410464578910174[[#This Row],[MARGIN]]</f>
        <v>0</v>
      </c>
      <c r="R363" s="41"/>
    </row>
    <row r="364" spans="1:18">
      <c r="D364" s="188"/>
      <c r="F364" s="168" t="s">
        <v>6202</v>
      </c>
      <c r="G364" s="193">
        <f>IF(_1_54128456121462410464578910174[[#This Row],[Type]]&gt;0,VLOOKUP(_1_54128456121462410464578910174[[#This Row],[Type]],Main[[#All],[TYPE]:[UNIT]],'Unit Price'!C$1,FALSE),0)</f>
        <v>0</v>
      </c>
      <c r="H364" s="197">
        <f>IF(_1_54128456121462410464578910174[[#This Row],[Type]]&gt;0,VLOOKUP(_1_54128456121462410464578910174[[#This Row],[Type]],Main[[#All],[TYPE]:[UNIT]],'Unit Price'!D$1,FALSE),0)</f>
        <v>0</v>
      </c>
      <c r="I364" s="194">
        <f>IF(_1_54128456121462410464578910174[[#This Row],[Type]]&gt;0,VLOOKUP(_1_54128456121462410464578910174[[#This Row],[Type]],Main[[#All],[TYPE]:[UNIT]],'Unit Price'!G$1,FALSE),0)</f>
        <v>0</v>
      </c>
      <c r="J364" s="194">
        <f>IF(_1_54128456121462410464578910174[[#This Row],[Type]]&gt;0,VLOOKUP(_1_54128456121462410464578910174[[#This Row],[Type]],Main[[#All],[TYPE]:[UNIT]],'Unit Price'!H$1,FALSE),0)</f>
        <v>0</v>
      </c>
      <c r="K364" s="194">
        <f>IF(_1_54128456121462410464578910174[[#This Row],[Discount selection]]&gt;0,VLOOKUP(_1_54128456121462410464578910174[[#This Row],[Discount selection]],'Discount Structure'!$A$2:$B$30,2,"false"),0)</f>
        <v>1</v>
      </c>
      <c r="L364" s="194">
        <f>_1_54128456121462410464578910174[[#This Row],[LIST $]]*_1_54128456121462410464578910174[[#This Row],[DISCOUNT]]*_1_54128456121462410464578910174[[#This Row],[DISCOUNT 2]]</f>
        <v>0</v>
      </c>
      <c r="M364" s="194">
        <f>IF(OR(_1_54128456121462410464578910174[[#This Row],[UNIT]]&gt;0,_1_54128456121462410464578910174[[#This Row],[UNIT]]&lt;0),_1_54128456121462410464578910174[[#This Row],[UNIT]]*_1_54128456121462410464578910174[[#This Row],[COST]],0)</f>
        <v>0</v>
      </c>
      <c r="N364" s="194">
        <f t="shared" si="5"/>
        <v>1.5</v>
      </c>
      <c r="O364" s="198">
        <f>_1_54128456121462410464578910174[[#This Row],[TOTAL]]*_1_54128456121462410464578910174[[#This Row],[MARGIN]]</f>
        <v>0</v>
      </c>
      <c r="R364" s="41"/>
    </row>
    <row r="365" spans="1:18">
      <c r="A365" s="168"/>
      <c r="D365" s="188"/>
      <c r="F365" s="168" t="s">
        <v>6202</v>
      </c>
      <c r="G365" s="193">
        <f>IF(_1_54128456121462410464578910174[[#This Row],[Type]]&gt;0,VLOOKUP(_1_54128456121462410464578910174[[#This Row],[Type]],Main[[#All],[TYPE]:[UNIT]],'Unit Price'!C$1,FALSE),0)</f>
        <v>0</v>
      </c>
      <c r="H365" s="197">
        <f>IF(_1_54128456121462410464578910174[[#This Row],[Type]]&gt;0,VLOOKUP(_1_54128456121462410464578910174[[#This Row],[Type]],Main[[#All],[TYPE]:[UNIT]],'Unit Price'!D$1,FALSE),0)</f>
        <v>0</v>
      </c>
      <c r="I365" s="194">
        <f>IF(_1_54128456121462410464578910174[[#This Row],[Type]]&gt;0,VLOOKUP(_1_54128456121462410464578910174[[#This Row],[Type]],Main[[#All],[TYPE]:[UNIT]],'Unit Price'!G$1,FALSE),0)</f>
        <v>0</v>
      </c>
      <c r="J365" s="194">
        <f>IF(_1_54128456121462410464578910174[[#This Row],[Type]]&gt;0,VLOOKUP(_1_54128456121462410464578910174[[#This Row],[Type]],Main[[#All],[TYPE]:[UNIT]],'Unit Price'!H$1,FALSE),0)</f>
        <v>0</v>
      </c>
      <c r="K365" s="194">
        <f>IF(_1_54128456121462410464578910174[[#This Row],[Discount selection]]&gt;0,VLOOKUP(_1_54128456121462410464578910174[[#This Row],[Discount selection]],'Discount Structure'!$A$2:$B$30,2,"false"),0)</f>
        <v>1</v>
      </c>
      <c r="L365" s="194">
        <f>_1_54128456121462410464578910174[[#This Row],[LIST $]]*_1_54128456121462410464578910174[[#This Row],[DISCOUNT]]*_1_54128456121462410464578910174[[#This Row],[DISCOUNT 2]]</f>
        <v>0</v>
      </c>
      <c r="M365" s="194">
        <f>IF(OR(_1_54128456121462410464578910174[[#This Row],[UNIT]]&gt;0,_1_54128456121462410464578910174[[#This Row],[UNIT]]&lt;0),_1_54128456121462410464578910174[[#This Row],[UNIT]]*_1_54128456121462410464578910174[[#This Row],[COST]],0)</f>
        <v>0</v>
      </c>
      <c r="N365" s="194">
        <f t="shared" si="5"/>
        <v>1.5</v>
      </c>
      <c r="O365" s="198">
        <f>_1_54128456121462410464578910174[[#This Row],[TOTAL]]*_1_54128456121462410464578910174[[#This Row],[MARGIN]]</f>
        <v>0</v>
      </c>
      <c r="R365" s="41"/>
    </row>
    <row r="366" spans="1:18">
      <c r="D366" s="188"/>
      <c r="F366" s="168" t="s">
        <v>6202</v>
      </c>
      <c r="G366" s="193">
        <f>IF(_1_54128456121462410464578910174[[#This Row],[Type]]&gt;0,VLOOKUP(_1_54128456121462410464578910174[[#This Row],[Type]],Main[[#All],[TYPE]:[UNIT]],'Unit Price'!C$1,FALSE),0)</f>
        <v>0</v>
      </c>
      <c r="H366" s="197">
        <f>IF(_1_54128456121462410464578910174[[#This Row],[Type]]&gt;0,VLOOKUP(_1_54128456121462410464578910174[[#This Row],[Type]],Main[[#All],[TYPE]:[UNIT]],'Unit Price'!D$1,FALSE),0)</f>
        <v>0</v>
      </c>
      <c r="I366" s="194">
        <f>IF(_1_54128456121462410464578910174[[#This Row],[Type]]&gt;0,VLOOKUP(_1_54128456121462410464578910174[[#This Row],[Type]],Main[[#All],[TYPE]:[UNIT]],'Unit Price'!G$1,FALSE),0)</f>
        <v>0</v>
      </c>
      <c r="J366" s="194">
        <f>IF(_1_54128456121462410464578910174[[#This Row],[Type]]&gt;0,VLOOKUP(_1_54128456121462410464578910174[[#This Row],[Type]],Main[[#All],[TYPE]:[UNIT]],'Unit Price'!H$1,FALSE),0)</f>
        <v>0</v>
      </c>
      <c r="K366" s="194">
        <f>IF(_1_54128456121462410464578910174[[#This Row],[Discount selection]]&gt;0,VLOOKUP(_1_54128456121462410464578910174[[#This Row],[Discount selection]],'Discount Structure'!$A$2:$B$30,2,"false"),0)</f>
        <v>1</v>
      </c>
      <c r="L366" s="194">
        <f>_1_54128456121462410464578910174[[#This Row],[LIST $]]*_1_54128456121462410464578910174[[#This Row],[DISCOUNT]]*_1_54128456121462410464578910174[[#This Row],[DISCOUNT 2]]</f>
        <v>0</v>
      </c>
      <c r="M366" s="194">
        <f>IF(OR(_1_54128456121462410464578910174[[#This Row],[UNIT]]&gt;0,_1_54128456121462410464578910174[[#This Row],[UNIT]]&lt;0),_1_54128456121462410464578910174[[#This Row],[UNIT]]*_1_54128456121462410464578910174[[#This Row],[COST]],0)</f>
        <v>0</v>
      </c>
      <c r="N366" s="194">
        <f t="shared" si="5"/>
        <v>1.5</v>
      </c>
      <c r="O366" s="198">
        <f>_1_54128456121462410464578910174[[#This Row],[TOTAL]]*_1_54128456121462410464578910174[[#This Row],[MARGIN]]</f>
        <v>0</v>
      </c>
      <c r="R366" s="41"/>
    </row>
    <row r="367" spans="1:18">
      <c r="A367" s="168"/>
      <c r="B367" s="168"/>
      <c r="C367" s="168"/>
      <c r="D367" s="188"/>
      <c r="F367" s="168" t="s">
        <v>6202</v>
      </c>
      <c r="G367" s="193">
        <f>IF(_1_54128456121462410464578910174[[#This Row],[Type]]&gt;0,VLOOKUP(_1_54128456121462410464578910174[[#This Row],[Type]],Main[[#All],[TYPE]:[UNIT]],'Unit Price'!C$1,FALSE),0)</f>
        <v>0</v>
      </c>
      <c r="H367" s="197">
        <f>IF(_1_54128456121462410464578910174[[#This Row],[Type]]&gt;0,VLOOKUP(_1_54128456121462410464578910174[[#This Row],[Type]],Main[[#All],[TYPE]:[UNIT]],'Unit Price'!D$1,FALSE),0)</f>
        <v>0</v>
      </c>
      <c r="I367" s="194">
        <f>IF(_1_54128456121462410464578910174[[#This Row],[Type]]&gt;0,VLOOKUP(_1_54128456121462410464578910174[[#This Row],[Type]],Main[[#All],[TYPE]:[UNIT]],'Unit Price'!G$1,FALSE),0)</f>
        <v>0</v>
      </c>
      <c r="J367" s="194">
        <f>IF(_1_54128456121462410464578910174[[#This Row],[Type]]&gt;0,VLOOKUP(_1_54128456121462410464578910174[[#This Row],[Type]],Main[[#All],[TYPE]:[UNIT]],'Unit Price'!H$1,FALSE),0)</f>
        <v>0</v>
      </c>
      <c r="K367" s="194">
        <f>IF(_1_54128456121462410464578910174[[#This Row],[Discount selection]]&gt;0,VLOOKUP(_1_54128456121462410464578910174[[#This Row],[Discount selection]],'Discount Structure'!$A$2:$B$30,2,"false"),0)</f>
        <v>1</v>
      </c>
      <c r="L367" s="194">
        <f>_1_54128456121462410464578910174[[#This Row],[LIST $]]*_1_54128456121462410464578910174[[#This Row],[DISCOUNT]]*_1_54128456121462410464578910174[[#This Row],[DISCOUNT 2]]</f>
        <v>0</v>
      </c>
      <c r="M367" s="194">
        <f>IF(OR(_1_54128456121462410464578910174[[#This Row],[UNIT]]&gt;0,_1_54128456121462410464578910174[[#This Row],[UNIT]]&lt;0),_1_54128456121462410464578910174[[#This Row],[UNIT]]*_1_54128456121462410464578910174[[#This Row],[COST]],0)</f>
        <v>0</v>
      </c>
      <c r="N367" s="194">
        <f t="shared" si="5"/>
        <v>1.5</v>
      </c>
      <c r="O367" s="198">
        <f>_1_54128456121462410464578910174[[#This Row],[TOTAL]]*_1_54128456121462410464578910174[[#This Row],[MARGIN]]</f>
        <v>0</v>
      </c>
      <c r="R367" s="41"/>
    </row>
    <row r="368" spans="1:18">
      <c r="A368" s="323"/>
      <c r="B368" s="323"/>
      <c r="C368" s="323"/>
      <c r="D368" s="188"/>
      <c r="F368" s="168" t="s">
        <v>6202</v>
      </c>
      <c r="G368" s="193">
        <f>IF(_1_54128456121462410464578910174[[#This Row],[Type]]&gt;0,VLOOKUP(_1_54128456121462410464578910174[[#This Row],[Type]],Main[[#All],[TYPE]:[UNIT]],'Unit Price'!C$1,FALSE),0)</f>
        <v>0</v>
      </c>
      <c r="H368" s="197">
        <f>IF(_1_54128456121462410464578910174[[#This Row],[Type]]&gt;0,VLOOKUP(_1_54128456121462410464578910174[[#This Row],[Type]],Main[[#All],[TYPE]:[UNIT]],'Unit Price'!D$1,FALSE),0)</f>
        <v>0</v>
      </c>
      <c r="I368" s="194">
        <f>IF(_1_54128456121462410464578910174[[#This Row],[Type]]&gt;0,VLOOKUP(_1_54128456121462410464578910174[[#This Row],[Type]],Main[[#All],[TYPE]:[UNIT]],'Unit Price'!G$1,FALSE),0)</f>
        <v>0</v>
      </c>
      <c r="J368" s="194">
        <f>IF(_1_54128456121462410464578910174[[#This Row],[Type]]&gt;0,VLOOKUP(_1_54128456121462410464578910174[[#This Row],[Type]],Main[[#All],[TYPE]:[UNIT]],'Unit Price'!H$1,FALSE),0)</f>
        <v>0</v>
      </c>
      <c r="K368" s="194">
        <f>IF(_1_54128456121462410464578910174[[#This Row],[Discount selection]]&gt;0,VLOOKUP(_1_54128456121462410464578910174[[#This Row],[Discount selection]],'Discount Structure'!$A$2:$B$30,2,"false"),0)</f>
        <v>1</v>
      </c>
      <c r="L368" s="194">
        <f>_1_54128456121462410464578910174[[#This Row],[LIST $]]*_1_54128456121462410464578910174[[#This Row],[DISCOUNT]]*_1_54128456121462410464578910174[[#This Row],[DISCOUNT 2]]</f>
        <v>0</v>
      </c>
      <c r="M368" s="194">
        <f>IF(OR(_1_54128456121462410464578910174[[#This Row],[UNIT]]&gt;0,_1_54128456121462410464578910174[[#This Row],[UNIT]]&lt;0),_1_54128456121462410464578910174[[#This Row],[UNIT]]*_1_54128456121462410464578910174[[#This Row],[COST]],0)</f>
        <v>0</v>
      </c>
      <c r="N368" s="194">
        <f t="shared" si="5"/>
        <v>1.5</v>
      </c>
      <c r="O368" s="198">
        <f>_1_54128456121462410464578910174[[#This Row],[TOTAL]]*_1_54128456121462410464578910174[[#This Row],[MARGIN]]</f>
        <v>0</v>
      </c>
      <c r="R368" s="41"/>
    </row>
    <row r="369" spans="1:18">
      <c r="A369" s="323"/>
      <c r="B369" s="353"/>
      <c r="C369" s="323"/>
      <c r="D369" s="188"/>
      <c r="F369" s="168" t="s">
        <v>6202</v>
      </c>
      <c r="G369" s="193">
        <f>IF(_1_54128456121462410464578910174[[#This Row],[Type]]&gt;0,VLOOKUP(_1_54128456121462410464578910174[[#This Row],[Type]],Main[[#All],[TYPE]:[UNIT]],'Unit Price'!C$1,FALSE),0)</f>
        <v>0</v>
      </c>
      <c r="H369" s="197">
        <f>IF(_1_54128456121462410464578910174[[#This Row],[Type]]&gt;0,VLOOKUP(_1_54128456121462410464578910174[[#This Row],[Type]],Main[[#All],[TYPE]:[UNIT]],'Unit Price'!D$1,FALSE),0)</f>
        <v>0</v>
      </c>
      <c r="I369" s="194">
        <f>IF(_1_54128456121462410464578910174[[#This Row],[Type]]&gt;0,VLOOKUP(_1_54128456121462410464578910174[[#This Row],[Type]],Main[[#All],[TYPE]:[UNIT]],'Unit Price'!G$1,FALSE),0)</f>
        <v>0</v>
      </c>
      <c r="J369" s="194">
        <f>IF(_1_54128456121462410464578910174[[#This Row],[Type]]&gt;0,VLOOKUP(_1_54128456121462410464578910174[[#This Row],[Type]],Main[[#All],[TYPE]:[UNIT]],'Unit Price'!H$1,FALSE),0)</f>
        <v>0</v>
      </c>
      <c r="K369" s="194">
        <f>IF(_1_54128456121462410464578910174[[#This Row],[Discount selection]]&gt;0,VLOOKUP(_1_54128456121462410464578910174[[#This Row],[Discount selection]],'Discount Structure'!$A$2:$B$30,2,"false"),0)</f>
        <v>1</v>
      </c>
      <c r="L369" s="194">
        <f>_1_54128456121462410464578910174[[#This Row],[LIST $]]*_1_54128456121462410464578910174[[#This Row],[DISCOUNT]]*_1_54128456121462410464578910174[[#This Row],[DISCOUNT 2]]</f>
        <v>0</v>
      </c>
      <c r="M369" s="194">
        <f>IF(OR(_1_54128456121462410464578910174[[#This Row],[UNIT]]&gt;0,_1_54128456121462410464578910174[[#This Row],[UNIT]]&lt;0),_1_54128456121462410464578910174[[#This Row],[UNIT]]*_1_54128456121462410464578910174[[#This Row],[COST]],0)</f>
        <v>0</v>
      </c>
      <c r="N369" s="194">
        <f t="shared" si="5"/>
        <v>1.5</v>
      </c>
      <c r="O369" s="198">
        <f>_1_54128456121462410464578910174[[#This Row],[TOTAL]]*_1_54128456121462410464578910174[[#This Row],[MARGIN]]</f>
        <v>0</v>
      </c>
      <c r="R369" s="41"/>
    </row>
    <row r="370" spans="1:18">
      <c r="D370" s="188"/>
      <c r="F370" s="168" t="s">
        <v>6202</v>
      </c>
      <c r="G370" s="193">
        <f>IF(_1_54128456121462410464578910174[[#This Row],[Type]]&gt;0,VLOOKUP(_1_54128456121462410464578910174[[#This Row],[Type]],Main[[#All],[TYPE]:[UNIT]],'Unit Price'!C$1,FALSE),0)</f>
        <v>0</v>
      </c>
      <c r="H370" s="197">
        <f>IF(_1_54128456121462410464578910174[[#This Row],[Type]]&gt;0,VLOOKUP(_1_54128456121462410464578910174[[#This Row],[Type]],Main[[#All],[TYPE]:[UNIT]],'Unit Price'!D$1,FALSE),0)</f>
        <v>0</v>
      </c>
      <c r="I370" s="194">
        <f>IF(_1_54128456121462410464578910174[[#This Row],[Type]]&gt;0,VLOOKUP(_1_54128456121462410464578910174[[#This Row],[Type]],Main[[#All],[TYPE]:[UNIT]],'Unit Price'!G$1,FALSE),0)</f>
        <v>0</v>
      </c>
      <c r="J370" s="194">
        <f>IF(_1_54128456121462410464578910174[[#This Row],[Type]]&gt;0,VLOOKUP(_1_54128456121462410464578910174[[#This Row],[Type]],Main[[#All],[TYPE]:[UNIT]],'Unit Price'!H$1,FALSE),0)</f>
        <v>0</v>
      </c>
      <c r="K370" s="194">
        <f>IF(_1_54128456121462410464578910174[[#This Row],[Discount selection]]&gt;0,VLOOKUP(_1_54128456121462410464578910174[[#This Row],[Discount selection]],'Discount Structure'!$A$2:$B$30,2,"false"),0)</f>
        <v>1</v>
      </c>
      <c r="L370" s="194">
        <f>_1_54128456121462410464578910174[[#This Row],[LIST $]]*_1_54128456121462410464578910174[[#This Row],[DISCOUNT]]*_1_54128456121462410464578910174[[#This Row],[DISCOUNT 2]]</f>
        <v>0</v>
      </c>
      <c r="M370" s="194">
        <f>IF(OR(_1_54128456121462410464578910174[[#This Row],[UNIT]]&gt;0,_1_54128456121462410464578910174[[#This Row],[UNIT]]&lt;0),_1_54128456121462410464578910174[[#This Row],[UNIT]]*_1_54128456121462410464578910174[[#This Row],[COST]],0)</f>
        <v>0</v>
      </c>
      <c r="N370" s="194">
        <f t="shared" si="5"/>
        <v>1.5</v>
      </c>
      <c r="O370" s="198">
        <f>_1_54128456121462410464578910174[[#This Row],[TOTAL]]*_1_54128456121462410464578910174[[#This Row],[MARGIN]]</f>
        <v>0</v>
      </c>
      <c r="R370" s="41"/>
    </row>
    <row r="371" spans="1:18">
      <c r="D371" s="188"/>
      <c r="F371" s="168" t="s">
        <v>6202</v>
      </c>
      <c r="G371" s="193">
        <f>IF(_1_54128456121462410464578910174[[#This Row],[Type]]&gt;0,VLOOKUP(_1_54128456121462410464578910174[[#This Row],[Type]],Main[[#All],[TYPE]:[UNIT]],'Unit Price'!C$1,FALSE),0)</f>
        <v>0</v>
      </c>
      <c r="H371" s="197">
        <f>IF(_1_54128456121462410464578910174[[#This Row],[Type]]&gt;0,VLOOKUP(_1_54128456121462410464578910174[[#This Row],[Type]],Main[[#All],[TYPE]:[UNIT]],'Unit Price'!D$1,FALSE),0)</f>
        <v>0</v>
      </c>
      <c r="I371" s="194">
        <f>IF(_1_54128456121462410464578910174[[#This Row],[Type]]&gt;0,VLOOKUP(_1_54128456121462410464578910174[[#This Row],[Type]],Main[[#All],[TYPE]:[UNIT]],'Unit Price'!G$1,FALSE),0)</f>
        <v>0</v>
      </c>
      <c r="J371" s="194">
        <f>IF(_1_54128456121462410464578910174[[#This Row],[Type]]&gt;0,VLOOKUP(_1_54128456121462410464578910174[[#This Row],[Type]],Main[[#All],[TYPE]:[UNIT]],'Unit Price'!H$1,FALSE),0)</f>
        <v>0</v>
      </c>
      <c r="K371" s="194">
        <f>IF(_1_54128456121462410464578910174[[#This Row],[Discount selection]]&gt;0,VLOOKUP(_1_54128456121462410464578910174[[#This Row],[Discount selection]],'Discount Structure'!$A$2:$B$30,2,"false"),0)</f>
        <v>1</v>
      </c>
      <c r="L371" s="194">
        <f>_1_54128456121462410464578910174[[#This Row],[LIST $]]*_1_54128456121462410464578910174[[#This Row],[DISCOUNT]]*_1_54128456121462410464578910174[[#This Row],[DISCOUNT 2]]</f>
        <v>0</v>
      </c>
      <c r="M371" s="194">
        <f>IF(OR(_1_54128456121462410464578910174[[#This Row],[UNIT]]&gt;0,_1_54128456121462410464578910174[[#This Row],[UNIT]]&lt;0),_1_54128456121462410464578910174[[#This Row],[UNIT]]*_1_54128456121462410464578910174[[#This Row],[COST]],0)</f>
        <v>0</v>
      </c>
      <c r="N371" s="194">
        <f t="shared" si="5"/>
        <v>1.5</v>
      </c>
      <c r="O371" s="198">
        <f>_1_54128456121462410464578910174[[#This Row],[TOTAL]]*_1_54128456121462410464578910174[[#This Row],[MARGIN]]</f>
        <v>0</v>
      </c>
      <c r="R371" s="41"/>
    </row>
    <row r="372" spans="1:18">
      <c r="D372" s="188"/>
      <c r="F372" s="168" t="s">
        <v>6202</v>
      </c>
      <c r="G372" s="192">
        <f>IF(_1_54128456121462410464578910174[[#This Row],[Type]]&gt;0,VLOOKUP(_1_54128456121462410464578910174[[#This Row],[Type]],Main[[#All],[TYPE]:[UNIT]],'Unit Price'!C$1,FALSE),0)</f>
        <v>0</v>
      </c>
      <c r="H372" s="197">
        <f>IF(_1_54128456121462410464578910174[[#This Row],[Type]]&gt;0,VLOOKUP(_1_54128456121462410464578910174[[#This Row],[Type]],Main[[#All],[TYPE]:[UNIT]],'Unit Price'!D$1,FALSE),0)</f>
        <v>0</v>
      </c>
      <c r="I372" s="194">
        <f>IF(_1_54128456121462410464578910174[[#This Row],[Type]]&gt;0,VLOOKUP(_1_54128456121462410464578910174[[#This Row],[Type]],Main[[#All],[TYPE]:[UNIT]],'Unit Price'!G$1,FALSE),0)</f>
        <v>0</v>
      </c>
      <c r="J372" s="194">
        <f>IF(_1_54128456121462410464578910174[[#This Row],[Type]]&gt;0,VLOOKUP(_1_54128456121462410464578910174[[#This Row],[Type]],Main[[#All],[TYPE]:[UNIT]],'Unit Price'!H$1,FALSE),0)</f>
        <v>0</v>
      </c>
      <c r="K372" s="194">
        <f>IF(_1_54128456121462410464578910174[[#This Row],[Discount selection]]&gt;0,VLOOKUP(_1_54128456121462410464578910174[[#This Row],[Discount selection]],'Discount Structure'!$A$2:$B$30,2,"false"),0)</f>
        <v>1</v>
      </c>
      <c r="L372" s="194">
        <f>_1_54128456121462410464578910174[[#This Row],[LIST $]]*_1_54128456121462410464578910174[[#This Row],[DISCOUNT]]*_1_54128456121462410464578910174[[#This Row],[DISCOUNT 2]]</f>
        <v>0</v>
      </c>
      <c r="M372" s="194">
        <f>IF(OR(_1_54128456121462410464578910174[[#This Row],[UNIT]]&gt;0,_1_54128456121462410464578910174[[#This Row],[UNIT]]&lt;0),_1_54128456121462410464578910174[[#This Row],[UNIT]]*_1_54128456121462410464578910174[[#This Row],[COST]],0)</f>
        <v>0</v>
      </c>
      <c r="N372" s="194">
        <f t="shared" si="5"/>
        <v>1.5</v>
      </c>
      <c r="O372" s="198">
        <f>_1_54128456121462410464578910174[[#This Row],[TOTAL]]*_1_54128456121462410464578910174[[#This Row],[MARGIN]]</f>
        <v>0</v>
      </c>
      <c r="R372" s="41"/>
    </row>
    <row r="373" spans="1:18">
      <c r="A373" s="327"/>
      <c r="B373" s="327"/>
      <c r="D373" s="188"/>
      <c r="F373" s="168" t="s">
        <v>6202</v>
      </c>
      <c r="G373" s="192">
        <f>IF(_1_54128456121462410464578910174[[#This Row],[Type]]&gt;0,VLOOKUP(_1_54128456121462410464578910174[[#This Row],[Type]],Main[[#All],[TYPE]:[UNIT]],'Unit Price'!C$1,FALSE),0)</f>
        <v>0</v>
      </c>
      <c r="H373" s="197">
        <f>IF(_1_54128456121462410464578910174[[#This Row],[Type]]&gt;0,VLOOKUP(_1_54128456121462410464578910174[[#This Row],[Type]],Main[[#All],[TYPE]:[UNIT]],'Unit Price'!D$1,FALSE),0)</f>
        <v>0</v>
      </c>
      <c r="I373" s="194">
        <f>IF(_1_54128456121462410464578910174[[#This Row],[Type]]&gt;0,VLOOKUP(_1_54128456121462410464578910174[[#This Row],[Type]],Main[[#All],[TYPE]:[UNIT]],'Unit Price'!G$1,FALSE),0)</f>
        <v>0</v>
      </c>
      <c r="J373" s="194">
        <f>IF(_1_54128456121462410464578910174[[#This Row],[Type]]&gt;0,VLOOKUP(_1_54128456121462410464578910174[[#This Row],[Type]],Main[[#All],[TYPE]:[UNIT]],'Unit Price'!H$1,FALSE),0)</f>
        <v>0</v>
      </c>
      <c r="K373" s="194">
        <f>IF(_1_54128456121462410464578910174[[#This Row],[Discount selection]]&gt;0,VLOOKUP(_1_54128456121462410464578910174[[#This Row],[Discount selection]],'Discount Structure'!$A$2:$B$30,2,"false"),0)</f>
        <v>1</v>
      </c>
      <c r="L373" s="194">
        <f>_1_54128456121462410464578910174[[#This Row],[LIST $]]*_1_54128456121462410464578910174[[#This Row],[DISCOUNT]]*_1_54128456121462410464578910174[[#This Row],[DISCOUNT 2]]</f>
        <v>0</v>
      </c>
      <c r="M373" s="194">
        <f>IF(OR(_1_54128456121462410464578910174[[#This Row],[UNIT]]&gt;0,_1_54128456121462410464578910174[[#This Row],[UNIT]]&lt;0),_1_54128456121462410464578910174[[#This Row],[UNIT]]*_1_54128456121462410464578910174[[#This Row],[COST]],0)</f>
        <v>0</v>
      </c>
      <c r="N373" s="194">
        <f t="shared" si="5"/>
        <v>1.5</v>
      </c>
      <c r="O373" s="198">
        <f>_1_54128456121462410464578910174[[#This Row],[TOTAL]]*_1_54128456121462410464578910174[[#This Row],[MARGIN]]</f>
        <v>0</v>
      </c>
      <c r="R373" s="41"/>
    </row>
    <row r="374" spans="1:18">
      <c r="D374" s="188"/>
      <c r="F374" s="168" t="s">
        <v>6202</v>
      </c>
      <c r="G374" s="193">
        <f>IF(_1_54128456121462410464578910174[[#This Row],[Type]]&gt;0,VLOOKUP(_1_54128456121462410464578910174[[#This Row],[Type]],Main[[#All],[TYPE]:[UNIT]],'Unit Price'!C$1,FALSE),0)</f>
        <v>0</v>
      </c>
      <c r="H374" s="197">
        <f>IF(_1_54128456121462410464578910174[[#This Row],[Type]]&gt;0,VLOOKUP(_1_54128456121462410464578910174[[#This Row],[Type]],Main[[#All],[TYPE]:[UNIT]],'Unit Price'!D$1,FALSE),0)</f>
        <v>0</v>
      </c>
      <c r="I374" s="194">
        <f>IF(_1_54128456121462410464578910174[[#This Row],[Type]]&gt;0,VLOOKUP(_1_54128456121462410464578910174[[#This Row],[Type]],Main[[#All],[TYPE]:[UNIT]],'Unit Price'!G$1,FALSE),0)</f>
        <v>0</v>
      </c>
      <c r="J374" s="194">
        <f>IF(_1_54128456121462410464578910174[[#This Row],[Type]]&gt;0,VLOOKUP(_1_54128456121462410464578910174[[#This Row],[Type]],Main[[#All],[TYPE]:[UNIT]],'Unit Price'!H$1,FALSE),0)</f>
        <v>0</v>
      </c>
      <c r="K374" s="194">
        <f>IF(_1_54128456121462410464578910174[[#This Row],[Discount selection]]&gt;0,VLOOKUP(_1_54128456121462410464578910174[[#This Row],[Discount selection]],'Discount Structure'!$A$2:$B$30,2,"false"),0)</f>
        <v>1</v>
      </c>
      <c r="L374" s="194">
        <f>_1_54128456121462410464578910174[[#This Row],[LIST $]]*_1_54128456121462410464578910174[[#This Row],[DISCOUNT]]*_1_54128456121462410464578910174[[#This Row],[DISCOUNT 2]]</f>
        <v>0</v>
      </c>
      <c r="M374" s="194">
        <f>IF(OR(_1_54128456121462410464578910174[[#This Row],[UNIT]]&gt;0,_1_54128456121462410464578910174[[#This Row],[UNIT]]&lt;0),_1_54128456121462410464578910174[[#This Row],[UNIT]]*_1_54128456121462410464578910174[[#This Row],[COST]],0)</f>
        <v>0</v>
      </c>
      <c r="N374" s="194">
        <f t="shared" si="5"/>
        <v>1.5</v>
      </c>
      <c r="O374" s="198">
        <f>_1_54128456121462410464578910174[[#This Row],[TOTAL]]*_1_54128456121462410464578910174[[#This Row],[MARGIN]]</f>
        <v>0</v>
      </c>
      <c r="R374" s="41"/>
    </row>
    <row r="375" spans="1:18">
      <c r="D375" s="188"/>
      <c r="F375" s="168" t="s">
        <v>6202</v>
      </c>
      <c r="G375" s="193">
        <f>IF(_1_54128456121462410464578910174[[#This Row],[Type]]&gt;0,VLOOKUP(_1_54128456121462410464578910174[[#This Row],[Type]],Main[[#All],[TYPE]:[UNIT]],'Unit Price'!C$1,FALSE),0)</f>
        <v>0</v>
      </c>
      <c r="H375" s="197">
        <f>IF(_1_54128456121462410464578910174[[#This Row],[Type]]&gt;0,VLOOKUP(_1_54128456121462410464578910174[[#This Row],[Type]],Main[[#All],[TYPE]:[UNIT]],'Unit Price'!D$1,FALSE),0)</f>
        <v>0</v>
      </c>
      <c r="I375" s="194">
        <f>IF(_1_54128456121462410464578910174[[#This Row],[Type]]&gt;0,VLOOKUP(_1_54128456121462410464578910174[[#This Row],[Type]],Main[[#All],[TYPE]:[UNIT]],'Unit Price'!G$1,FALSE),0)</f>
        <v>0</v>
      </c>
      <c r="J375" s="194">
        <f>IF(_1_54128456121462410464578910174[[#This Row],[Type]]&gt;0,VLOOKUP(_1_54128456121462410464578910174[[#This Row],[Type]],Main[[#All],[TYPE]:[UNIT]],'Unit Price'!H$1,FALSE),0)</f>
        <v>0</v>
      </c>
      <c r="K375" s="194">
        <f>IF(_1_54128456121462410464578910174[[#This Row],[Discount selection]]&gt;0,VLOOKUP(_1_54128456121462410464578910174[[#This Row],[Discount selection]],'Discount Structure'!$A$2:$B$30,2,"false"),0)</f>
        <v>1</v>
      </c>
      <c r="L375" s="194">
        <f>_1_54128456121462410464578910174[[#This Row],[LIST $]]*_1_54128456121462410464578910174[[#This Row],[DISCOUNT]]*_1_54128456121462410464578910174[[#This Row],[DISCOUNT 2]]</f>
        <v>0</v>
      </c>
      <c r="M375" s="194">
        <f>IF(OR(_1_54128456121462410464578910174[[#This Row],[UNIT]]&gt;0,_1_54128456121462410464578910174[[#This Row],[UNIT]]&lt;0),_1_54128456121462410464578910174[[#This Row],[UNIT]]*_1_54128456121462410464578910174[[#This Row],[COST]],0)</f>
        <v>0</v>
      </c>
      <c r="N375" s="194">
        <f t="shared" si="5"/>
        <v>1.5</v>
      </c>
      <c r="O375" s="198">
        <f>_1_54128456121462410464578910174[[#This Row],[TOTAL]]*_1_54128456121462410464578910174[[#This Row],[MARGIN]]</f>
        <v>0</v>
      </c>
      <c r="R375" s="41"/>
    </row>
    <row r="376" spans="1:18">
      <c r="D376" s="188"/>
      <c r="F376" s="168" t="s">
        <v>6202</v>
      </c>
      <c r="G376" s="193">
        <f>IF(_1_54128456121462410464578910174[[#This Row],[Type]]&gt;0,VLOOKUP(_1_54128456121462410464578910174[[#This Row],[Type]],Main[[#All],[TYPE]:[UNIT]],'Unit Price'!C$1,FALSE),0)</f>
        <v>0</v>
      </c>
      <c r="H376" s="197">
        <f>IF(_1_54128456121462410464578910174[[#This Row],[Type]]&gt;0,VLOOKUP(_1_54128456121462410464578910174[[#This Row],[Type]],Main[[#All],[TYPE]:[UNIT]],'Unit Price'!D$1,FALSE),0)</f>
        <v>0</v>
      </c>
      <c r="I376" s="194">
        <f>IF(_1_54128456121462410464578910174[[#This Row],[Type]]&gt;0,VLOOKUP(_1_54128456121462410464578910174[[#This Row],[Type]],Main[[#All],[TYPE]:[UNIT]],'Unit Price'!G$1,FALSE),0)</f>
        <v>0</v>
      </c>
      <c r="J376" s="194">
        <f>IF(_1_54128456121462410464578910174[[#This Row],[Type]]&gt;0,VLOOKUP(_1_54128456121462410464578910174[[#This Row],[Type]],Main[[#All],[TYPE]:[UNIT]],'Unit Price'!H$1,FALSE),0)</f>
        <v>0</v>
      </c>
      <c r="K376" s="194">
        <f>IF(_1_54128456121462410464578910174[[#This Row],[Discount selection]]&gt;0,VLOOKUP(_1_54128456121462410464578910174[[#This Row],[Discount selection]],'Discount Structure'!$A$2:$B$30,2,"false"),0)</f>
        <v>1</v>
      </c>
      <c r="L376" s="194">
        <f>_1_54128456121462410464578910174[[#This Row],[LIST $]]*_1_54128456121462410464578910174[[#This Row],[DISCOUNT]]*_1_54128456121462410464578910174[[#This Row],[DISCOUNT 2]]</f>
        <v>0</v>
      </c>
      <c r="M376" s="194">
        <f>IF(OR(_1_54128456121462410464578910174[[#This Row],[UNIT]]&gt;0,_1_54128456121462410464578910174[[#This Row],[UNIT]]&lt;0),_1_54128456121462410464578910174[[#This Row],[UNIT]]*_1_54128456121462410464578910174[[#This Row],[COST]],0)</f>
        <v>0</v>
      </c>
      <c r="N376" s="194">
        <f t="shared" si="5"/>
        <v>1.5</v>
      </c>
      <c r="O376" s="198">
        <f>_1_54128456121462410464578910174[[#This Row],[TOTAL]]*_1_54128456121462410464578910174[[#This Row],[MARGIN]]</f>
        <v>0</v>
      </c>
      <c r="R376" s="41"/>
    </row>
    <row r="377" spans="1:18">
      <c r="D377" s="188"/>
      <c r="F377" s="168" t="s">
        <v>6202</v>
      </c>
      <c r="G377" s="192">
        <f>IF(_1_54128456121462410464578910174[[#This Row],[Type]]&gt;0,VLOOKUP(_1_54128456121462410464578910174[[#This Row],[Type]],Main[[#All],[TYPE]:[UNIT]],'Unit Price'!C$1,FALSE),0)</f>
        <v>0</v>
      </c>
      <c r="H377" s="197">
        <f>IF(_1_54128456121462410464578910174[[#This Row],[Type]]&gt;0,VLOOKUP(_1_54128456121462410464578910174[[#This Row],[Type]],Main[[#All],[TYPE]:[UNIT]],'Unit Price'!D$1,FALSE),0)</f>
        <v>0</v>
      </c>
      <c r="I377" s="194">
        <f>IF(_1_54128456121462410464578910174[[#This Row],[Type]]&gt;0,VLOOKUP(_1_54128456121462410464578910174[[#This Row],[Type]],Main[[#All],[TYPE]:[UNIT]],'Unit Price'!G$1,FALSE),0)</f>
        <v>0</v>
      </c>
      <c r="J377" s="194">
        <f>IF(_1_54128456121462410464578910174[[#This Row],[Type]]&gt;0,VLOOKUP(_1_54128456121462410464578910174[[#This Row],[Type]],Main[[#All],[TYPE]:[UNIT]],'Unit Price'!H$1,FALSE),0)</f>
        <v>0</v>
      </c>
      <c r="K377" s="194">
        <f>IF(_1_54128456121462410464578910174[[#This Row],[Discount selection]]&gt;0,VLOOKUP(_1_54128456121462410464578910174[[#This Row],[Discount selection]],'Discount Structure'!$A$2:$B$30,2,"false"),0)</f>
        <v>1</v>
      </c>
      <c r="L377" s="194">
        <f>_1_54128456121462410464578910174[[#This Row],[LIST $]]*_1_54128456121462410464578910174[[#This Row],[DISCOUNT]]*_1_54128456121462410464578910174[[#This Row],[DISCOUNT 2]]</f>
        <v>0</v>
      </c>
      <c r="M377" s="194">
        <f>IF(OR(_1_54128456121462410464578910174[[#This Row],[UNIT]]&gt;0,_1_54128456121462410464578910174[[#This Row],[UNIT]]&lt;0),_1_54128456121462410464578910174[[#This Row],[UNIT]]*_1_54128456121462410464578910174[[#This Row],[COST]],0)</f>
        <v>0</v>
      </c>
      <c r="N377" s="194">
        <f t="shared" si="5"/>
        <v>1.5</v>
      </c>
      <c r="O377" s="198">
        <f>_1_54128456121462410464578910174[[#This Row],[TOTAL]]*_1_54128456121462410464578910174[[#This Row],[MARGIN]]</f>
        <v>0</v>
      </c>
      <c r="R377" s="41"/>
    </row>
    <row r="378" spans="1:18">
      <c r="D378" s="188"/>
      <c r="F378" s="168" t="s">
        <v>6202</v>
      </c>
      <c r="G378" s="193">
        <f>IF(_1_54128456121462410464578910174[[#This Row],[Type]]&gt;0,VLOOKUP(_1_54128456121462410464578910174[[#This Row],[Type]],Main[[#All],[TYPE]:[UNIT]],'Unit Price'!C$1,FALSE),0)</f>
        <v>0</v>
      </c>
      <c r="H378" s="197">
        <f>IF(_1_54128456121462410464578910174[[#This Row],[Type]]&gt;0,VLOOKUP(_1_54128456121462410464578910174[[#This Row],[Type]],Main[[#All],[TYPE]:[UNIT]],'Unit Price'!D$1,FALSE),0)</f>
        <v>0</v>
      </c>
      <c r="I378" s="194">
        <f>IF(_1_54128456121462410464578910174[[#This Row],[Type]]&gt;0,VLOOKUP(_1_54128456121462410464578910174[[#This Row],[Type]],Main[[#All],[TYPE]:[UNIT]],'Unit Price'!G$1,FALSE),0)</f>
        <v>0</v>
      </c>
      <c r="J378" s="194">
        <f>IF(_1_54128456121462410464578910174[[#This Row],[Type]]&gt;0,VLOOKUP(_1_54128456121462410464578910174[[#This Row],[Type]],Main[[#All],[TYPE]:[UNIT]],'Unit Price'!H$1,FALSE),0)</f>
        <v>0</v>
      </c>
      <c r="K378" s="194">
        <f>IF(_1_54128456121462410464578910174[[#This Row],[Discount selection]]&gt;0,VLOOKUP(_1_54128456121462410464578910174[[#This Row],[Discount selection]],'Discount Structure'!$A$2:$B$30,2,"false"),0)</f>
        <v>1</v>
      </c>
      <c r="L378" s="194">
        <f>_1_54128456121462410464578910174[[#This Row],[LIST $]]*_1_54128456121462410464578910174[[#This Row],[DISCOUNT]]*_1_54128456121462410464578910174[[#This Row],[DISCOUNT 2]]</f>
        <v>0</v>
      </c>
      <c r="M378" s="194">
        <f>IF(OR(_1_54128456121462410464578910174[[#This Row],[UNIT]]&gt;0,_1_54128456121462410464578910174[[#This Row],[UNIT]]&lt;0),_1_54128456121462410464578910174[[#This Row],[UNIT]]*_1_54128456121462410464578910174[[#This Row],[COST]],0)</f>
        <v>0</v>
      </c>
      <c r="N378" s="194">
        <f t="shared" si="5"/>
        <v>1.5</v>
      </c>
      <c r="O378" s="198">
        <f>_1_54128456121462410464578910174[[#This Row],[TOTAL]]*_1_54128456121462410464578910174[[#This Row],[MARGIN]]</f>
        <v>0</v>
      </c>
      <c r="R378" s="41"/>
    </row>
    <row r="379" spans="1:18">
      <c r="D379" s="188"/>
      <c r="F379" s="168" t="s">
        <v>6202</v>
      </c>
      <c r="G379" s="193">
        <f>IF(_1_54128456121462410464578910174[[#This Row],[Type]]&gt;0,VLOOKUP(_1_54128456121462410464578910174[[#This Row],[Type]],Main[[#All],[TYPE]:[UNIT]],'Unit Price'!C$1,FALSE),0)</f>
        <v>0</v>
      </c>
      <c r="H379" s="197">
        <f>IF(_1_54128456121462410464578910174[[#This Row],[Type]]&gt;0,VLOOKUP(_1_54128456121462410464578910174[[#This Row],[Type]],Main[[#All],[TYPE]:[UNIT]],'Unit Price'!D$1,FALSE),0)</f>
        <v>0</v>
      </c>
      <c r="I379" s="194">
        <f>IF(_1_54128456121462410464578910174[[#This Row],[Type]]&gt;0,VLOOKUP(_1_54128456121462410464578910174[[#This Row],[Type]],Main[[#All],[TYPE]:[UNIT]],'Unit Price'!G$1,FALSE),0)</f>
        <v>0</v>
      </c>
      <c r="J379" s="194">
        <f>IF(_1_54128456121462410464578910174[[#This Row],[Type]]&gt;0,VLOOKUP(_1_54128456121462410464578910174[[#This Row],[Type]],Main[[#All],[TYPE]:[UNIT]],'Unit Price'!H$1,FALSE),0)</f>
        <v>0</v>
      </c>
      <c r="K379" s="194">
        <f>IF(_1_54128456121462410464578910174[[#This Row],[Discount selection]]&gt;0,VLOOKUP(_1_54128456121462410464578910174[[#This Row],[Discount selection]],'Discount Structure'!$A$2:$B$30,2,"false"),0)</f>
        <v>1</v>
      </c>
      <c r="L379" s="194">
        <f>_1_54128456121462410464578910174[[#This Row],[LIST $]]*_1_54128456121462410464578910174[[#This Row],[DISCOUNT]]*_1_54128456121462410464578910174[[#This Row],[DISCOUNT 2]]</f>
        <v>0</v>
      </c>
      <c r="M379" s="194">
        <f>IF(OR(_1_54128456121462410464578910174[[#This Row],[UNIT]]&gt;0,_1_54128456121462410464578910174[[#This Row],[UNIT]]&lt;0),_1_54128456121462410464578910174[[#This Row],[UNIT]]*_1_54128456121462410464578910174[[#This Row],[COST]],0)</f>
        <v>0</v>
      </c>
      <c r="N379" s="194">
        <f t="shared" si="5"/>
        <v>1.5</v>
      </c>
      <c r="O379" s="198">
        <f>_1_54128456121462410464578910174[[#This Row],[TOTAL]]*_1_54128456121462410464578910174[[#This Row],[MARGIN]]</f>
        <v>0</v>
      </c>
      <c r="R379" s="41"/>
    </row>
    <row r="380" spans="1:18">
      <c r="A380" s="327"/>
      <c r="B380" s="327"/>
      <c r="D380" s="188"/>
      <c r="F380" s="168" t="s">
        <v>6202</v>
      </c>
      <c r="G380" s="193">
        <f>IF(_1_54128456121462410464578910174[[#This Row],[Type]]&gt;0,VLOOKUP(_1_54128456121462410464578910174[[#This Row],[Type]],Main[[#All],[TYPE]:[UNIT]],'Unit Price'!C$1,FALSE),0)</f>
        <v>0</v>
      </c>
      <c r="H380" s="197">
        <f>IF(_1_54128456121462410464578910174[[#This Row],[Type]]&gt;0,VLOOKUP(_1_54128456121462410464578910174[[#This Row],[Type]],Main[[#All],[TYPE]:[UNIT]],'Unit Price'!D$1,FALSE),0)</f>
        <v>0</v>
      </c>
      <c r="I380" s="194">
        <f>IF(_1_54128456121462410464578910174[[#This Row],[Type]]&gt;0,VLOOKUP(_1_54128456121462410464578910174[[#This Row],[Type]],Main[[#All],[TYPE]:[UNIT]],'Unit Price'!G$1,FALSE),0)</f>
        <v>0</v>
      </c>
      <c r="J380" s="194">
        <f>IF(_1_54128456121462410464578910174[[#This Row],[Type]]&gt;0,VLOOKUP(_1_54128456121462410464578910174[[#This Row],[Type]],Main[[#All],[TYPE]:[UNIT]],'Unit Price'!H$1,FALSE),0)</f>
        <v>0</v>
      </c>
      <c r="K380" s="194">
        <f>IF(_1_54128456121462410464578910174[[#This Row],[Discount selection]]&gt;0,VLOOKUP(_1_54128456121462410464578910174[[#This Row],[Discount selection]],'Discount Structure'!$A$2:$B$30,2,"false"),0)</f>
        <v>1</v>
      </c>
      <c r="L380" s="194">
        <f>_1_54128456121462410464578910174[[#This Row],[LIST $]]*_1_54128456121462410464578910174[[#This Row],[DISCOUNT]]*_1_54128456121462410464578910174[[#This Row],[DISCOUNT 2]]</f>
        <v>0</v>
      </c>
      <c r="M380" s="194">
        <f>IF(OR(_1_54128456121462410464578910174[[#This Row],[UNIT]]&gt;0,_1_54128456121462410464578910174[[#This Row],[UNIT]]&lt;0),_1_54128456121462410464578910174[[#This Row],[UNIT]]*_1_54128456121462410464578910174[[#This Row],[COST]],0)</f>
        <v>0</v>
      </c>
      <c r="N380" s="194">
        <f t="shared" si="5"/>
        <v>1.5</v>
      </c>
      <c r="O380" s="198">
        <f>_1_54128456121462410464578910174[[#This Row],[TOTAL]]*_1_54128456121462410464578910174[[#This Row],[MARGIN]]</f>
        <v>0</v>
      </c>
      <c r="R380" s="41"/>
    </row>
    <row r="381" spans="1:18">
      <c r="D381" s="188"/>
      <c r="F381" s="168" t="s">
        <v>6202</v>
      </c>
      <c r="G381" s="193">
        <f>IF(_1_54128456121462410464578910174[[#This Row],[Type]]&gt;0,VLOOKUP(_1_54128456121462410464578910174[[#This Row],[Type]],Main[[#All],[TYPE]:[UNIT]],'Unit Price'!C$1,FALSE),0)</f>
        <v>0</v>
      </c>
      <c r="H381" s="197">
        <f>IF(_1_54128456121462410464578910174[[#This Row],[Type]]&gt;0,VLOOKUP(_1_54128456121462410464578910174[[#This Row],[Type]],Main[[#All],[TYPE]:[UNIT]],'Unit Price'!D$1,FALSE),0)</f>
        <v>0</v>
      </c>
      <c r="I381" s="194">
        <f>IF(_1_54128456121462410464578910174[[#This Row],[Type]]&gt;0,VLOOKUP(_1_54128456121462410464578910174[[#This Row],[Type]],Main[[#All],[TYPE]:[UNIT]],'Unit Price'!G$1,FALSE),0)</f>
        <v>0</v>
      </c>
      <c r="J381" s="194">
        <f>IF(_1_54128456121462410464578910174[[#This Row],[Type]]&gt;0,VLOOKUP(_1_54128456121462410464578910174[[#This Row],[Type]],Main[[#All],[TYPE]:[UNIT]],'Unit Price'!H$1,FALSE),0)</f>
        <v>0</v>
      </c>
      <c r="K381" s="194">
        <f>IF(_1_54128456121462410464578910174[[#This Row],[Discount selection]]&gt;0,VLOOKUP(_1_54128456121462410464578910174[[#This Row],[Discount selection]],'Discount Structure'!$A$2:$B$30,2,"false"),0)</f>
        <v>1</v>
      </c>
      <c r="L381" s="194">
        <f>_1_54128456121462410464578910174[[#This Row],[LIST $]]*_1_54128456121462410464578910174[[#This Row],[DISCOUNT]]*_1_54128456121462410464578910174[[#This Row],[DISCOUNT 2]]</f>
        <v>0</v>
      </c>
      <c r="M381" s="194">
        <f>IF(OR(_1_54128456121462410464578910174[[#This Row],[UNIT]]&gt;0,_1_54128456121462410464578910174[[#This Row],[UNIT]]&lt;0),_1_54128456121462410464578910174[[#This Row],[UNIT]]*_1_54128456121462410464578910174[[#This Row],[COST]],0)</f>
        <v>0</v>
      </c>
      <c r="N381" s="194">
        <f t="shared" si="5"/>
        <v>1.5</v>
      </c>
      <c r="O381" s="198">
        <f>_1_54128456121462410464578910174[[#This Row],[TOTAL]]*_1_54128456121462410464578910174[[#This Row],[MARGIN]]</f>
        <v>0</v>
      </c>
      <c r="R381" s="41"/>
    </row>
    <row r="382" spans="1:18">
      <c r="D382" s="188"/>
      <c r="F382" s="168" t="s">
        <v>6202</v>
      </c>
      <c r="G382" s="192">
        <f>IF(_1_54128456121462410464578910174[[#This Row],[Type]]&gt;0,VLOOKUP(_1_54128456121462410464578910174[[#This Row],[Type]],Main[[#All],[TYPE]:[UNIT]],'Unit Price'!C$1,FALSE),0)</f>
        <v>0</v>
      </c>
      <c r="H382" s="197">
        <f>IF(_1_54128456121462410464578910174[[#This Row],[Type]]&gt;0,VLOOKUP(_1_54128456121462410464578910174[[#This Row],[Type]],Main[[#All],[TYPE]:[UNIT]],'Unit Price'!D$1,FALSE),0)</f>
        <v>0</v>
      </c>
      <c r="I382" s="194">
        <f>IF(_1_54128456121462410464578910174[[#This Row],[Type]]&gt;0,VLOOKUP(_1_54128456121462410464578910174[[#This Row],[Type]],Main[[#All],[TYPE]:[UNIT]],'Unit Price'!G$1,FALSE),0)</f>
        <v>0</v>
      </c>
      <c r="J382" s="194">
        <f>IF(_1_54128456121462410464578910174[[#This Row],[Type]]&gt;0,VLOOKUP(_1_54128456121462410464578910174[[#This Row],[Type]],Main[[#All],[TYPE]:[UNIT]],'Unit Price'!H$1,FALSE),0)</f>
        <v>0</v>
      </c>
      <c r="K382" s="194">
        <f>IF(_1_54128456121462410464578910174[[#This Row],[Discount selection]]&gt;0,VLOOKUP(_1_54128456121462410464578910174[[#This Row],[Discount selection]],'Discount Structure'!$A$2:$B$30,2,"false"),0)</f>
        <v>1</v>
      </c>
      <c r="L382" s="194">
        <f>_1_54128456121462410464578910174[[#This Row],[LIST $]]*_1_54128456121462410464578910174[[#This Row],[DISCOUNT]]*_1_54128456121462410464578910174[[#This Row],[DISCOUNT 2]]</f>
        <v>0</v>
      </c>
      <c r="M382" s="194">
        <f>IF(OR(_1_54128456121462410464578910174[[#This Row],[UNIT]]&gt;0,_1_54128456121462410464578910174[[#This Row],[UNIT]]&lt;0),_1_54128456121462410464578910174[[#This Row],[UNIT]]*_1_54128456121462410464578910174[[#This Row],[COST]],0)</f>
        <v>0</v>
      </c>
      <c r="N382" s="194">
        <f t="shared" si="5"/>
        <v>1.5</v>
      </c>
      <c r="O382" s="198">
        <f>_1_54128456121462410464578910174[[#This Row],[TOTAL]]*_1_54128456121462410464578910174[[#This Row],[MARGIN]]</f>
        <v>0</v>
      </c>
      <c r="R382" s="41"/>
    </row>
    <row r="383" spans="1:18">
      <c r="D383" s="188"/>
      <c r="F383" s="168" t="s">
        <v>6202</v>
      </c>
      <c r="G383" s="193">
        <f>IF(_1_54128456121462410464578910174[[#This Row],[Type]]&gt;0,VLOOKUP(_1_54128456121462410464578910174[[#This Row],[Type]],Main[[#All],[TYPE]:[UNIT]],'Unit Price'!C$1,FALSE),0)</f>
        <v>0</v>
      </c>
      <c r="H383" s="197">
        <f>IF(_1_54128456121462410464578910174[[#This Row],[Type]]&gt;0,VLOOKUP(_1_54128456121462410464578910174[[#This Row],[Type]],Main[[#All],[TYPE]:[UNIT]],'Unit Price'!D$1,FALSE),0)</f>
        <v>0</v>
      </c>
      <c r="I383" s="194">
        <f>IF(_1_54128456121462410464578910174[[#This Row],[Type]]&gt;0,VLOOKUP(_1_54128456121462410464578910174[[#This Row],[Type]],Main[[#All],[TYPE]:[UNIT]],'Unit Price'!G$1,FALSE),0)</f>
        <v>0</v>
      </c>
      <c r="J383" s="194">
        <f>IF(_1_54128456121462410464578910174[[#This Row],[Type]]&gt;0,VLOOKUP(_1_54128456121462410464578910174[[#This Row],[Type]],Main[[#All],[TYPE]:[UNIT]],'Unit Price'!H$1,FALSE),0)</f>
        <v>0</v>
      </c>
      <c r="K383" s="194">
        <f>IF(_1_54128456121462410464578910174[[#This Row],[Discount selection]]&gt;0,VLOOKUP(_1_54128456121462410464578910174[[#This Row],[Discount selection]],'Discount Structure'!$A$2:$B$30,2,"false"),0)</f>
        <v>1</v>
      </c>
      <c r="L383" s="194">
        <f>_1_54128456121462410464578910174[[#This Row],[LIST $]]*_1_54128456121462410464578910174[[#This Row],[DISCOUNT]]*_1_54128456121462410464578910174[[#This Row],[DISCOUNT 2]]</f>
        <v>0</v>
      </c>
      <c r="M383" s="194">
        <f>IF(OR(_1_54128456121462410464578910174[[#This Row],[UNIT]]&gt;0,_1_54128456121462410464578910174[[#This Row],[UNIT]]&lt;0),_1_54128456121462410464578910174[[#This Row],[UNIT]]*_1_54128456121462410464578910174[[#This Row],[COST]],0)</f>
        <v>0</v>
      </c>
      <c r="N383" s="194">
        <f t="shared" si="5"/>
        <v>1.5</v>
      </c>
      <c r="O383" s="198">
        <f>_1_54128456121462410464578910174[[#This Row],[TOTAL]]*_1_54128456121462410464578910174[[#This Row],[MARGIN]]</f>
        <v>0</v>
      </c>
      <c r="R383" s="41"/>
    </row>
    <row r="384" spans="1:18">
      <c r="D384" s="188"/>
      <c r="F384" s="168" t="s">
        <v>6202</v>
      </c>
      <c r="G384" s="193">
        <f>IF(_1_54128456121462410464578910174[[#This Row],[Type]]&gt;0,VLOOKUP(_1_54128456121462410464578910174[[#This Row],[Type]],Main[[#All],[TYPE]:[UNIT]],'Unit Price'!C$1,FALSE),0)</f>
        <v>0</v>
      </c>
      <c r="H384" s="197">
        <f>IF(_1_54128456121462410464578910174[[#This Row],[Type]]&gt;0,VLOOKUP(_1_54128456121462410464578910174[[#This Row],[Type]],Main[[#All],[TYPE]:[UNIT]],'Unit Price'!D$1,FALSE),0)</f>
        <v>0</v>
      </c>
      <c r="I384" s="194">
        <f>IF(_1_54128456121462410464578910174[[#This Row],[Type]]&gt;0,VLOOKUP(_1_54128456121462410464578910174[[#This Row],[Type]],Main[[#All],[TYPE]:[UNIT]],'Unit Price'!G$1,FALSE),0)</f>
        <v>0</v>
      </c>
      <c r="J384" s="194">
        <f>IF(_1_54128456121462410464578910174[[#This Row],[Type]]&gt;0,VLOOKUP(_1_54128456121462410464578910174[[#This Row],[Type]],Main[[#All],[TYPE]:[UNIT]],'Unit Price'!H$1,FALSE),0)</f>
        <v>0</v>
      </c>
      <c r="K384" s="194">
        <f>IF(_1_54128456121462410464578910174[[#This Row],[Discount selection]]&gt;0,VLOOKUP(_1_54128456121462410464578910174[[#This Row],[Discount selection]],'Discount Structure'!$A$2:$B$30,2,"false"),0)</f>
        <v>1</v>
      </c>
      <c r="L384" s="194">
        <f>_1_54128456121462410464578910174[[#This Row],[LIST $]]*_1_54128456121462410464578910174[[#This Row],[DISCOUNT]]*_1_54128456121462410464578910174[[#This Row],[DISCOUNT 2]]</f>
        <v>0</v>
      </c>
      <c r="M384" s="194">
        <f>IF(OR(_1_54128456121462410464578910174[[#This Row],[UNIT]]&gt;0,_1_54128456121462410464578910174[[#This Row],[UNIT]]&lt;0),_1_54128456121462410464578910174[[#This Row],[UNIT]]*_1_54128456121462410464578910174[[#This Row],[COST]],0)</f>
        <v>0</v>
      </c>
      <c r="N384" s="194">
        <f t="shared" si="5"/>
        <v>1.5</v>
      </c>
      <c r="O384" s="198">
        <f>_1_54128456121462410464578910174[[#This Row],[TOTAL]]*_1_54128456121462410464578910174[[#This Row],[MARGIN]]</f>
        <v>0</v>
      </c>
      <c r="R384" s="41"/>
    </row>
    <row r="385" spans="1:18">
      <c r="D385" s="188"/>
      <c r="F385" s="168" t="s">
        <v>6202</v>
      </c>
      <c r="G385" s="193">
        <f>IF(_1_54128456121462410464578910174[[#This Row],[Type]]&gt;0,VLOOKUP(_1_54128456121462410464578910174[[#This Row],[Type]],Main[[#All],[TYPE]:[UNIT]],'Unit Price'!C$1,FALSE),0)</f>
        <v>0</v>
      </c>
      <c r="H385" s="197">
        <f>IF(_1_54128456121462410464578910174[[#This Row],[Type]]&gt;0,VLOOKUP(_1_54128456121462410464578910174[[#This Row],[Type]],Main[[#All],[TYPE]:[UNIT]],'Unit Price'!D$1,FALSE),0)</f>
        <v>0</v>
      </c>
      <c r="I385" s="194">
        <f>IF(_1_54128456121462410464578910174[[#This Row],[Type]]&gt;0,VLOOKUP(_1_54128456121462410464578910174[[#This Row],[Type]],Main[[#All],[TYPE]:[UNIT]],'Unit Price'!G$1,FALSE),0)</f>
        <v>0</v>
      </c>
      <c r="J385" s="194">
        <f>IF(_1_54128456121462410464578910174[[#This Row],[Type]]&gt;0,VLOOKUP(_1_54128456121462410464578910174[[#This Row],[Type]],Main[[#All],[TYPE]:[UNIT]],'Unit Price'!H$1,FALSE),0)</f>
        <v>0</v>
      </c>
      <c r="K385" s="194">
        <f>IF(_1_54128456121462410464578910174[[#This Row],[Discount selection]]&gt;0,VLOOKUP(_1_54128456121462410464578910174[[#This Row],[Discount selection]],'Discount Structure'!$A$2:$B$30,2,"false"),0)</f>
        <v>1</v>
      </c>
      <c r="L385" s="194">
        <f>_1_54128456121462410464578910174[[#This Row],[LIST $]]*_1_54128456121462410464578910174[[#This Row],[DISCOUNT]]*_1_54128456121462410464578910174[[#This Row],[DISCOUNT 2]]</f>
        <v>0</v>
      </c>
      <c r="M385" s="194">
        <f>IF(OR(_1_54128456121462410464578910174[[#This Row],[UNIT]]&gt;0,_1_54128456121462410464578910174[[#This Row],[UNIT]]&lt;0),_1_54128456121462410464578910174[[#This Row],[UNIT]]*_1_54128456121462410464578910174[[#This Row],[COST]],0)</f>
        <v>0</v>
      </c>
      <c r="N385" s="194">
        <f t="shared" si="5"/>
        <v>1.5</v>
      </c>
      <c r="O385" s="198">
        <f>_1_54128456121462410464578910174[[#This Row],[TOTAL]]*_1_54128456121462410464578910174[[#This Row],[MARGIN]]</f>
        <v>0</v>
      </c>
      <c r="R385" s="41"/>
    </row>
    <row r="386" spans="1:18">
      <c r="D386" s="188"/>
      <c r="F386" s="168" t="s">
        <v>6202</v>
      </c>
      <c r="G386" s="193">
        <f>IF(_1_54128456121462410464578910174[[#This Row],[Type]]&gt;0,VLOOKUP(_1_54128456121462410464578910174[[#This Row],[Type]],Main[[#All],[TYPE]:[UNIT]],'Unit Price'!C$1,FALSE),0)</f>
        <v>0</v>
      </c>
      <c r="H386" s="197">
        <f>IF(_1_54128456121462410464578910174[[#This Row],[Type]]&gt;0,VLOOKUP(_1_54128456121462410464578910174[[#This Row],[Type]],Main[[#All],[TYPE]:[UNIT]],'Unit Price'!D$1,FALSE),0)</f>
        <v>0</v>
      </c>
      <c r="I386" s="194">
        <f>IF(_1_54128456121462410464578910174[[#This Row],[Type]]&gt;0,VLOOKUP(_1_54128456121462410464578910174[[#This Row],[Type]],Main[[#All],[TYPE]:[UNIT]],'Unit Price'!G$1,FALSE),0)</f>
        <v>0</v>
      </c>
      <c r="J386" s="194">
        <f>IF(_1_54128456121462410464578910174[[#This Row],[Type]]&gt;0,VLOOKUP(_1_54128456121462410464578910174[[#This Row],[Type]],Main[[#All],[TYPE]:[UNIT]],'Unit Price'!H$1,FALSE),0)</f>
        <v>0</v>
      </c>
      <c r="K386" s="194">
        <f>IF(_1_54128456121462410464578910174[[#This Row],[Discount selection]]&gt;0,VLOOKUP(_1_54128456121462410464578910174[[#This Row],[Discount selection]],'Discount Structure'!$A$2:$B$30,2,"false"),0)</f>
        <v>1</v>
      </c>
      <c r="L386" s="194">
        <f>_1_54128456121462410464578910174[[#This Row],[LIST $]]*_1_54128456121462410464578910174[[#This Row],[DISCOUNT]]*_1_54128456121462410464578910174[[#This Row],[DISCOUNT 2]]</f>
        <v>0</v>
      </c>
      <c r="M386" s="194">
        <f>IF(OR(_1_54128456121462410464578910174[[#This Row],[UNIT]]&gt;0,_1_54128456121462410464578910174[[#This Row],[UNIT]]&lt;0),_1_54128456121462410464578910174[[#This Row],[UNIT]]*_1_54128456121462410464578910174[[#This Row],[COST]],0)</f>
        <v>0</v>
      </c>
      <c r="N386" s="194">
        <f t="shared" si="5"/>
        <v>1.5</v>
      </c>
      <c r="O386" s="198">
        <f>_1_54128456121462410464578910174[[#This Row],[TOTAL]]*_1_54128456121462410464578910174[[#This Row],[MARGIN]]</f>
        <v>0</v>
      </c>
      <c r="R386" s="41"/>
    </row>
    <row r="387" spans="1:18">
      <c r="D387" s="188"/>
      <c r="F387" s="168" t="s">
        <v>6202</v>
      </c>
      <c r="G387" s="192">
        <f>IF(_1_54128456121462410464578910174[[#This Row],[Type]]&gt;0,VLOOKUP(_1_54128456121462410464578910174[[#This Row],[Type]],Main[[#All],[TYPE]:[UNIT]],'Unit Price'!C$1,FALSE),0)</f>
        <v>0</v>
      </c>
      <c r="H387" s="197">
        <f>IF(_1_54128456121462410464578910174[[#This Row],[Type]]&gt;0,VLOOKUP(_1_54128456121462410464578910174[[#This Row],[Type]],Main[[#All],[TYPE]:[UNIT]],'Unit Price'!D$1,FALSE),0)</f>
        <v>0</v>
      </c>
      <c r="I387" s="194">
        <f>IF(_1_54128456121462410464578910174[[#This Row],[Type]]&gt;0,VLOOKUP(_1_54128456121462410464578910174[[#This Row],[Type]],Main[[#All],[TYPE]:[UNIT]],'Unit Price'!G$1,FALSE),0)</f>
        <v>0</v>
      </c>
      <c r="J387" s="194">
        <f>IF(_1_54128456121462410464578910174[[#This Row],[Type]]&gt;0,VLOOKUP(_1_54128456121462410464578910174[[#This Row],[Type]],Main[[#All],[TYPE]:[UNIT]],'Unit Price'!H$1,FALSE),0)</f>
        <v>0</v>
      </c>
      <c r="K387" s="194">
        <f>IF(_1_54128456121462410464578910174[[#This Row],[Discount selection]]&gt;0,VLOOKUP(_1_54128456121462410464578910174[[#This Row],[Discount selection]],'Discount Structure'!$A$2:$B$30,2,"false"),0)</f>
        <v>1</v>
      </c>
      <c r="L387" s="194">
        <f>_1_54128456121462410464578910174[[#This Row],[LIST $]]*_1_54128456121462410464578910174[[#This Row],[DISCOUNT]]*_1_54128456121462410464578910174[[#This Row],[DISCOUNT 2]]</f>
        <v>0</v>
      </c>
      <c r="M387" s="194">
        <f>IF(OR(_1_54128456121462410464578910174[[#This Row],[UNIT]]&gt;0,_1_54128456121462410464578910174[[#This Row],[UNIT]]&lt;0),_1_54128456121462410464578910174[[#This Row],[UNIT]]*_1_54128456121462410464578910174[[#This Row],[COST]],0)</f>
        <v>0</v>
      </c>
      <c r="N387" s="194">
        <f t="shared" si="5"/>
        <v>1.5</v>
      </c>
      <c r="O387" s="198">
        <f>_1_54128456121462410464578910174[[#This Row],[TOTAL]]*_1_54128456121462410464578910174[[#This Row],[MARGIN]]</f>
        <v>0</v>
      </c>
      <c r="R387" s="41"/>
    </row>
    <row r="388" spans="1:18">
      <c r="D388" s="188"/>
      <c r="F388" s="168" t="s">
        <v>6202</v>
      </c>
      <c r="G388" s="193">
        <f>IF(_1_54128456121462410464578910174[[#This Row],[Type]]&gt;0,VLOOKUP(_1_54128456121462410464578910174[[#This Row],[Type]],Main[[#All],[TYPE]:[UNIT]],'Unit Price'!C$1,FALSE),0)</f>
        <v>0</v>
      </c>
      <c r="H388" s="197">
        <f>IF(_1_54128456121462410464578910174[[#This Row],[Type]]&gt;0,VLOOKUP(_1_54128456121462410464578910174[[#This Row],[Type]],Main[[#All],[TYPE]:[UNIT]],'Unit Price'!D$1,FALSE),0)</f>
        <v>0</v>
      </c>
      <c r="I388" s="194">
        <f>IF(_1_54128456121462410464578910174[[#This Row],[Type]]&gt;0,VLOOKUP(_1_54128456121462410464578910174[[#This Row],[Type]],Main[[#All],[TYPE]:[UNIT]],'Unit Price'!G$1,FALSE),0)</f>
        <v>0</v>
      </c>
      <c r="J388" s="194">
        <f>IF(_1_54128456121462410464578910174[[#This Row],[Type]]&gt;0,VLOOKUP(_1_54128456121462410464578910174[[#This Row],[Type]],Main[[#All],[TYPE]:[UNIT]],'Unit Price'!H$1,FALSE),0)</f>
        <v>0</v>
      </c>
      <c r="K388" s="194">
        <f>IF(_1_54128456121462410464578910174[[#This Row],[Discount selection]]&gt;0,VLOOKUP(_1_54128456121462410464578910174[[#This Row],[Discount selection]],'Discount Structure'!$A$2:$B$30,2,"false"),0)</f>
        <v>1</v>
      </c>
      <c r="L388" s="194">
        <f>_1_54128456121462410464578910174[[#This Row],[LIST $]]*_1_54128456121462410464578910174[[#This Row],[DISCOUNT]]*_1_54128456121462410464578910174[[#This Row],[DISCOUNT 2]]</f>
        <v>0</v>
      </c>
      <c r="M388" s="194">
        <f>IF(OR(_1_54128456121462410464578910174[[#This Row],[UNIT]]&gt;0,_1_54128456121462410464578910174[[#This Row],[UNIT]]&lt;0),_1_54128456121462410464578910174[[#This Row],[UNIT]]*_1_54128456121462410464578910174[[#This Row],[COST]],0)</f>
        <v>0</v>
      </c>
      <c r="N388" s="194">
        <f t="shared" si="5"/>
        <v>1.5</v>
      </c>
      <c r="O388" s="198">
        <f>_1_54128456121462410464578910174[[#This Row],[TOTAL]]*_1_54128456121462410464578910174[[#This Row],[MARGIN]]</f>
        <v>0</v>
      </c>
      <c r="R388" s="41"/>
    </row>
    <row r="389" spans="1:18">
      <c r="D389" s="188"/>
      <c r="F389" s="168" t="s">
        <v>6202</v>
      </c>
      <c r="G389" s="193">
        <f>IF(_1_54128456121462410464578910174[[#This Row],[Type]]&gt;0,VLOOKUP(_1_54128456121462410464578910174[[#This Row],[Type]],Main[[#All],[TYPE]:[UNIT]],'Unit Price'!C$1,FALSE),0)</f>
        <v>0</v>
      </c>
      <c r="H389" s="197">
        <f>IF(_1_54128456121462410464578910174[[#This Row],[Type]]&gt;0,VLOOKUP(_1_54128456121462410464578910174[[#This Row],[Type]],Main[[#All],[TYPE]:[UNIT]],'Unit Price'!D$1,FALSE),0)</f>
        <v>0</v>
      </c>
      <c r="I389" s="194">
        <f>IF(_1_54128456121462410464578910174[[#This Row],[Type]]&gt;0,VLOOKUP(_1_54128456121462410464578910174[[#This Row],[Type]],Main[[#All],[TYPE]:[UNIT]],'Unit Price'!G$1,FALSE),0)</f>
        <v>0</v>
      </c>
      <c r="J389" s="194">
        <f>IF(_1_54128456121462410464578910174[[#This Row],[Type]]&gt;0,VLOOKUP(_1_54128456121462410464578910174[[#This Row],[Type]],Main[[#All],[TYPE]:[UNIT]],'Unit Price'!H$1,FALSE),0)</f>
        <v>0</v>
      </c>
      <c r="K389" s="194">
        <f>IF(_1_54128456121462410464578910174[[#This Row],[Discount selection]]&gt;0,VLOOKUP(_1_54128456121462410464578910174[[#This Row],[Discount selection]],'Discount Structure'!$A$2:$B$30,2,"false"),0)</f>
        <v>1</v>
      </c>
      <c r="L389" s="194">
        <f>_1_54128456121462410464578910174[[#This Row],[LIST $]]*_1_54128456121462410464578910174[[#This Row],[DISCOUNT]]*_1_54128456121462410464578910174[[#This Row],[DISCOUNT 2]]</f>
        <v>0</v>
      </c>
      <c r="M389" s="194">
        <f>IF(OR(_1_54128456121462410464578910174[[#This Row],[UNIT]]&gt;0,_1_54128456121462410464578910174[[#This Row],[UNIT]]&lt;0),_1_54128456121462410464578910174[[#This Row],[UNIT]]*_1_54128456121462410464578910174[[#This Row],[COST]],0)</f>
        <v>0</v>
      </c>
      <c r="N389" s="194">
        <f t="shared" si="5"/>
        <v>1.5</v>
      </c>
      <c r="O389" s="198">
        <f>_1_54128456121462410464578910174[[#This Row],[TOTAL]]*_1_54128456121462410464578910174[[#This Row],[MARGIN]]</f>
        <v>0</v>
      </c>
      <c r="R389" s="41"/>
    </row>
    <row r="390" spans="1:18">
      <c r="D390" s="188"/>
      <c r="F390" s="168" t="s">
        <v>6202</v>
      </c>
      <c r="G390" s="193">
        <f>IF(_1_54128456121462410464578910174[[#This Row],[Type]]&gt;0,VLOOKUP(_1_54128456121462410464578910174[[#This Row],[Type]],Main[[#All],[TYPE]:[UNIT]],'Unit Price'!C$1,FALSE),0)</f>
        <v>0</v>
      </c>
      <c r="H390" s="197">
        <f>IF(_1_54128456121462410464578910174[[#This Row],[Type]]&gt;0,VLOOKUP(_1_54128456121462410464578910174[[#This Row],[Type]],Main[[#All],[TYPE]:[UNIT]],'Unit Price'!D$1,FALSE),0)</f>
        <v>0</v>
      </c>
      <c r="I390" s="194">
        <f>IF(_1_54128456121462410464578910174[[#This Row],[Type]]&gt;0,VLOOKUP(_1_54128456121462410464578910174[[#This Row],[Type]],Main[[#All],[TYPE]:[UNIT]],'Unit Price'!G$1,FALSE),0)</f>
        <v>0</v>
      </c>
      <c r="J390" s="194">
        <f>IF(_1_54128456121462410464578910174[[#This Row],[Type]]&gt;0,VLOOKUP(_1_54128456121462410464578910174[[#This Row],[Type]],Main[[#All],[TYPE]:[UNIT]],'Unit Price'!H$1,FALSE),0)</f>
        <v>0</v>
      </c>
      <c r="K390" s="194">
        <f>IF(_1_54128456121462410464578910174[[#This Row],[Discount selection]]&gt;0,VLOOKUP(_1_54128456121462410464578910174[[#This Row],[Discount selection]],'Discount Structure'!$A$2:$B$30,2,"false"),0)</f>
        <v>1</v>
      </c>
      <c r="L390" s="194">
        <f>_1_54128456121462410464578910174[[#This Row],[LIST $]]*_1_54128456121462410464578910174[[#This Row],[DISCOUNT]]*_1_54128456121462410464578910174[[#This Row],[DISCOUNT 2]]</f>
        <v>0</v>
      </c>
      <c r="M390" s="194">
        <f>IF(OR(_1_54128456121462410464578910174[[#This Row],[UNIT]]&gt;0,_1_54128456121462410464578910174[[#This Row],[UNIT]]&lt;0),_1_54128456121462410464578910174[[#This Row],[UNIT]]*_1_54128456121462410464578910174[[#This Row],[COST]],0)</f>
        <v>0</v>
      </c>
      <c r="N390" s="194">
        <f t="shared" si="5"/>
        <v>1.5</v>
      </c>
      <c r="O390" s="198">
        <f>_1_54128456121462410464578910174[[#This Row],[TOTAL]]*_1_54128456121462410464578910174[[#This Row],[MARGIN]]</f>
        <v>0</v>
      </c>
      <c r="R390" s="41"/>
    </row>
    <row r="391" spans="1:18">
      <c r="D391" s="188"/>
      <c r="F391" s="168" t="s">
        <v>6202</v>
      </c>
      <c r="G391" s="193">
        <f>IF(_1_54128456121462410464578910174[[#This Row],[Type]]&gt;0,VLOOKUP(_1_54128456121462410464578910174[[#This Row],[Type]],Main[[#All],[TYPE]:[UNIT]],'Unit Price'!C$1,FALSE),0)</f>
        <v>0</v>
      </c>
      <c r="H391" s="197">
        <f>IF(_1_54128456121462410464578910174[[#This Row],[Type]]&gt;0,VLOOKUP(_1_54128456121462410464578910174[[#This Row],[Type]],Main[[#All],[TYPE]:[UNIT]],'Unit Price'!D$1,FALSE),0)</f>
        <v>0</v>
      </c>
      <c r="I391" s="194">
        <f>IF(_1_54128456121462410464578910174[[#This Row],[Type]]&gt;0,VLOOKUP(_1_54128456121462410464578910174[[#This Row],[Type]],Main[[#All],[TYPE]:[UNIT]],'Unit Price'!G$1,FALSE),0)</f>
        <v>0</v>
      </c>
      <c r="J391" s="194">
        <f>IF(_1_54128456121462410464578910174[[#This Row],[Type]]&gt;0,VLOOKUP(_1_54128456121462410464578910174[[#This Row],[Type]],Main[[#All],[TYPE]:[UNIT]],'Unit Price'!H$1,FALSE),0)</f>
        <v>0</v>
      </c>
      <c r="K391" s="194">
        <f>IF(_1_54128456121462410464578910174[[#This Row],[Discount selection]]&gt;0,VLOOKUP(_1_54128456121462410464578910174[[#This Row],[Discount selection]],'Discount Structure'!$A$2:$B$30,2,"false"),0)</f>
        <v>1</v>
      </c>
      <c r="L391" s="194">
        <f>_1_54128456121462410464578910174[[#This Row],[LIST $]]*_1_54128456121462410464578910174[[#This Row],[DISCOUNT]]*_1_54128456121462410464578910174[[#This Row],[DISCOUNT 2]]</f>
        <v>0</v>
      </c>
      <c r="M391" s="194">
        <f>IF(OR(_1_54128456121462410464578910174[[#This Row],[UNIT]]&gt;0,_1_54128456121462410464578910174[[#This Row],[UNIT]]&lt;0),_1_54128456121462410464578910174[[#This Row],[UNIT]]*_1_54128456121462410464578910174[[#This Row],[COST]],0)</f>
        <v>0</v>
      </c>
      <c r="N391" s="194">
        <f t="shared" si="5"/>
        <v>1.5</v>
      </c>
      <c r="O391" s="198">
        <f>_1_54128456121462410464578910174[[#This Row],[TOTAL]]*_1_54128456121462410464578910174[[#This Row],[MARGIN]]</f>
        <v>0</v>
      </c>
      <c r="R391" s="41"/>
    </row>
    <row r="392" spans="1:18">
      <c r="D392" s="188"/>
      <c r="F392" s="168" t="s">
        <v>6202</v>
      </c>
      <c r="G392" s="192">
        <f>IF(_1_54128456121462410464578910174[[#This Row],[Type]]&gt;0,VLOOKUP(_1_54128456121462410464578910174[[#This Row],[Type]],Main[[#All],[TYPE]:[UNIT]],'Unit Price'!C$1,FALSE),0)</f>
        <v>0</v>
      </c>
      <c r="H392" s="197">
        <f>IF(_1_54128456121462410464578910174[[#This Row],[Type]]&gt;0,VLOOKUP(_1_54128456121462410464578910174[[#This Row],[Type]],Main[[#All],[TYPE]:[UNIT]],'Unit Price'!D$1,FALSE),0)</f>
        <v>0</v>
      </c>
      <c r="I392" s="194">
        <f>IF(_1_54128456121462410464578910174[[#This Row],[Type]]&gt;0,VLOOKUP(_1_54128456121462410464578910174[[#This Row],[Type]],Main[[#All],[TYPE]:[UNIT]],'Unit Price'!G$1,FALSE),0)</f>
        <v>0</v>
      </c>
      <c r="J392" s="194">
        <f>IF(_1_54128456121462410464578910174[[#This Row],[Type]]&gt;0,VLOOKUP(_1_54128456121462410464578910174[[#This Row],[Type]],Main[[#All],[TYPE]:[UNIT]],'Unit Price'!H$1,FALSE),0)</f>
        <v>0</v>
      </c>
      <c r="K392" s="194">
        <f>IF(_1_54128456121462410464578910174[[#This Row],[Discount selection]]&gt;0,VLOOKUP(_1_54128456121462410464578910174[[#This Row],[Discount selection]],'Discount Structure'!$A$2:$B$30,2,"false"),0)</f>
        <v>1</v>
      </c>
      <c r="L392" s="194">
        <f>_1_54128456121462410464578910174[[#This Row],[LIST $]]*_1_54128456121462410464578910174[[#This Row],[DISCOUNT]]*_1_54128456121462410464578910174[[#This Row],[DISCOUNT 2]]</f>
        <v>0</v>
      </c>
      <c r="M392" s="194">
        <f>IF(OR(_1_54128456121462410464578910174[[#This Row],[UNIT]]&gt;0,_1_54128456121462410464578910174[[#This Row],[UNIT]]&lt;0),_1_54128456121462410464578910174[[#This Row],[UNIT]]*_1_54128456121462410464578910174[[#This Row],[COST]],0)</f>
        <v>0</v>
      </c>
      <c r="N392" s="194">
        <f t="shared" si="5"/>
        <v>1.5</v>
      </c>
      <c r="O392" s="198">
        <f>_1_54128456121462410464578910174[[#This Row],[TOTAL]]*_1_54128456121462410464578910174[[#This Row],[MARGIN]]</f>
        <v>0</v>
      </c>
      <c r="R392" s="41"/>
    </row>
    <row r="393" spans="1:18">
      <c r="D393" s="188"/>
      <c r="F393" s="168" t="s">
        <v>6202</v>
      </c>
      <c r="G393" s="193">
        <f>IF(_1_54128456121462410464578910174[[#This Row],[Type]]&gt;0,VLOOKUP(_1_54128456121462410464578910174[[#This Row],[Type]],Main[[#All],[TYPE]:[UNIT]],'Unit Price'!C$1,FALSE),0)</f>
        <v>0</v>
      </c>
      <c r="H393" s="197">
        <f>IF(_1_54128456121462410464578910174[[#This Row],[Type]]&gt;0,VLOOKUP(_1_54128456121462410464578910174[[#This Row],[Type]],Main[[#All],[TYPE]:[UNIT]],'Unit Price'!D$1,FALSE),0)</f>
        <v>0</v>
      </c>
      <c r="I393" s="194">
        <f>IF(_1_54128456121462410464578910174[[#This Row],[Type]]&gt;0,VLOOKUP(_1_54128456121462410464578910174[[#This Row],[Type]],Main[[#All],[TYPE]:[UNIT]],'Unit Price'!G$1,FALSE),0)</f>
        <v>0</v>
      </c>
      <c r="J393" s="194">
        <f>IF(_1_54128456121462410464578910174[[#This Row],[Type]]&gt;0,VLOOKUP(_1_54128456121462410464578910174[[#This Row],[Type]],Main[[#All],[TYPE]:[UNIT]],'Unit Price'!H$1,FALSE),0)</f>
        <v>0</v>
      </c>
      <c r="K393" s="194">
        <f>IF(_1_54128456121462410464578910174[[#This Row],[Discount selection]]&gt;0,VLOOKUP(_1_54128456121462410464578910174[[#This Row],[Discount selection]],'Discount Structure'!$A$2:$B$30,2,"false"),0)</f>
        <v>1</v>
      </c>
      <c r="L393" s="194">
        <f>_1_54128456121462410464578910174[[#This Row],[LIST $]]*_1_54128456121462410464578910174[[#This Row],[DISCOUNT]]*_1_54128456121462410464578910174[[#This Row],[DISCOUNT 2]]</f>
        <v>0</v>
      </c>
      <c r="M393" s="194">
        <f>IF(OR(_1_54128456121462410464578910174[[#This Row],[UNIT]]&gt;0,_1_54128456121462410464578910174[[#This Row],[UNIT]]&lt;0),_1_54128456121462410464578910174[[#This Row],[UNIT]]*_1_54128456121462410464578910174[[#This Row],[COST]],0)</f>
        <v>0</v>
      </c>
      <c r="N393" s="194">
        <f t="shared" si="5"/>
        <v>1.5</v>
      </c>
      <c r="O393" s="198">
        <f>_1_54128456121462410464578910174[[#This Row],[TOTAL]]*_1_54128456121462410464578910174[[#This Row],[MARGIN]]</f>
        <v>0</v>
      </c>
      <c r="R393" s="41"/>
    </row>
    <row r="394" spans="1:18">
      <c r="A394" s="327"/>
      <c r="B394" s="327"/>
      <c r="D394" s="188"/>
      <c r="F394" s="168" t="s">
        <v>6202</v>
      </c>
      <c r="G394" s="193">
        <f>IF(_1_54128456121462410464578910174[[#This Row],[Type]]&gt;0,VLOOKUP(_1_54128456121462410464578910174[[#This Row],[Type]],Main[[#All],[TYPE]:[UNIT]],'Unit Price'!C$1,FALSE),0)</f>
        <v>0</v>
      </c>
      <c r="H394" s="197">
        <f>IF(_1_54128456121462410464578910174[[#This Row],[Type]]&gt;0,VLOOKUP(_1_54128456121462410464578910174[[#This Row],[Type]],Main[[#All],[TYPE]:[UNIT]],'Unit Price'!D$1,FALSE),0)</f>
        <v>0</v>
      </c>
      <c r="I394" s="194">
        <f>IF(_1_54128456121462410464578910174[[#This Row],[Type]]&gt;0,VLOOKUP(_1_54128456121462410464578910174[[#This Row],[Type]],Main[[#All],[TYPE]:[UNIT]],'Unit Price'!G$1,FALSE),0)</f>
        <v>0</v>
      </c>
      <c r="J394" s="194">
        <f>IF(_1_54128456121462410464578910174[[#This Row],[Type]]&gt;0,VLOOKUP(_1_54128456121462410464578910174[[#This Row],[Type]],Main[[#All],[TYPE]:[UNIT]],'Unit Price'!H$1,FALSE),0)</f>
        <v>0</v>
      </c>
      <c r="K394" s="194">
        <f>IF(_1_54128456121462410464578910174[[#This Row],[Discount selection]]&gt;0,VLOOKUP(_1_54128456121462410464578910174[[#This Row],[Discount selection]],'Discount Structure'!$A$2:$B$30,2,"false"),0)</f>
        <v>1</v>
      </c>
      <c r="L394" s="194">
        <f>_1_54128456121462410464578910174[[#This Row],[LIST $]]*_1_54128456121462410464578910174[[#This Row],[DISCOUNT]]*_1_54128456121462410464578910174[[#This Row],[DISCOUNT 2]]</f>
        <v>0</v>
      </c>
      <c r="M394" s="194">
        <f>IF(OR(_1_54128456121462410464578910174[[#This Row],[UNIT]]&gt;0,_1_54128456121462410464578910174[[#This Row],[UNIT]]&lt;0),_1_54128456121462410464578910174[[#This Row],[UNIT]]*_1_54128456121462410464578910174[[#This Row],[COST]],0)</f>
        <v>0</v>
      </c>
      <c r="N394" s="194">
        <f t="shared" ref="N394:N457" si="6">$N$7</f>
        <v>1.5</v>
      </c>
      <c r="O394" s="198">
        <f>_1_54128456121462410464578910174[[#This Row],[TOTAL]]*_1_54128456121462410464578910174[[#This Row],[MARGIN]]</f>
        <v>0</v>
      </c>
      <c r="R394" s="41"/>
    </row>
    <row r="395" spans="1:18">
      <c r="D395" s="188"/>
      <c r="F395" s="168" t="s">
        <v>6202</v>
      </c>
      <c r="G395" s="193">
        <f>IF(_1_54128456121462410464578910174[[#This Row],[Type]]&gt;0,VLOOKUP(_1_54128456121462410464578910174[[#This Row],[Type]],Main[[#All],[TYPE]:[UNIT]],'Unit Price'!C$1,FALSE),0)</f>
        <v>0</v>
      </c>
      <c r="H395" s="197">
        <f>IF(_1_54128456121462410464578910174[[#This Row],[Type]]&gt;0,VLOOKUP(_1_54128456121462410464578910174[[#This Row],[Type]],Main[[#All],[TYPE]:[UNIT]],'Unit Price'!D$1,FALSE),0)</f>
        <v>0</v>
      </c>
      <c r="I395" s="194">
        <f>IF(_1_54128456121462410464578910174[[#This Row],[Type]]&gt;0,VLOOKUP(_1_54128456121462410464578910174[[#This Row],[Type]],Main[[#All],[TYPE]:[UNIT]],'Unit Price'!G$1,FALSE),0)</f>
        <v>0</v>
      </c>
      <c r="J395" s="194">
        <f>IF(_1_54128456121462410464578910174[[#This Row],[Type]]&gt;0,VLOOKUP(_1_54128456121462410464578910174[[#This Row],[Type]],Main[[#All],[TYPE]:[UNIT]],'Unit Price'!H$1,FALSE),0)</f>
        <v>0</v>
      </c>
      <c r="K395" s="194">
        <f>IF(_1_54128456121462410464578910174[[#This Row],[Discount selection]]&gt;0,VLOOKUP(_1_54128456121462410464578910174[[#This Row],[Discount selection]],'Discount Structure'!$A$2:$B$30,2,"false"),0)</f>
        <v>1</v>
      </c>
      <c r="L395" s="194">
        <f>_1_54128456121462410464578910174[[#This Row],[LIST $]]*_1_54128456121462410464578910174[[#This Row],[DISCOUNT]]*_1_54128456121462410464578910174[[#This Row],[DISCOUNT 2]]</f>
        <v>0</v>
      </c>
      <c r="M395" s="194">
        <f>IF(OR(_1_54128456121462410464578910174[[#This Row],[UNIT]]&gt;0,_1_54128456121462410464578910174[[#This Row],[UNIT]]&lt;0),_1_54128456121462410464578910174[[#This Row],[UNIT]]*_1_54128456121462410464578910174[[#This Row],[COST]],0)</f>
        <v>0</v>
      </c>
      <c r="N395" s="194">
        <f t="shared" si="6"/>
        <v>1.5</v>
      </c>
      <c r="O395" s="198">
        <f>_1_54128456121462410464578910174[[#This Row],[TOTAL]]*_1_54128456121462410464578910174[[#This Row],[MARGIN]]</f>
        <v>0</v>
      </c>
      <c r="R395" s="41"/>
    </row>
    <row r="396" spans="1:18">
      <c r="D396" s="188"/>
      <c r="F396" s="168" t="s">
        <v>6202</v>
      </c>
      <c r="G396" s="193">
        <f>IF(_1_54128456121462410464578910174[[#This Row],[Type]]&gt;0,VLOOKUP(_1_54128456121462410464578910174[[#This Row],[Type]],Main[[#All],[TYPE]:[UNIT]],'Unit Price'!C$1,FALSE),0)</f>
        <v>0</v>
      </c>
      <c r="H396" s="197">
        <f>IF(_1_54128456121462410464578910174[[#This Row],[Type]]&gt;0,VLOOKUP(_1_54128456121462410464578910174[[#This Row],[Type]],Main[[#All],[TYPE]:[UNIT]],'Unit Price'!D$1,FALSE),0)</f>
        <v>0</v>
      </c>
      <c r="I396" s="194">
        <f>IF(_1_54128456121462410464578910174[[#This Row],[Type]]&gt;0,VLOOKUP(_1_54128456121462410464578910174[[#This Row],[Type]],Main[[#All],[TYPE]:[UNIT]],'Unit Price'!G$1,FALSE),0)</f>
        <v>0</v>
      </c>
      <c r="J396" s="194">
        <f>IF(_1_54128456121462410464578910174[[#This Row],[Type]]&gt;0,VLOOKUP(_1_54128456121462410464578910174[[#This Row],[Type]],Main[[#All],[TYPE]:[UNIT]],'Unit Price'!H$1,FALSE),0)</f>
        <v>0</v>
      </c>
      <c r="K396" s="194">
        <f>IF(_1_54128456121462410464578910174[[#This Row],[Discount selection]]&gt;0,VLOOKUP(_1_54128456121462410464578910174[[#This Row],[Discount selection]],'Discount Structure'!$A$2:$B$30,2,"false"),0)</f>
        <v>1</v>
      </c>
      <c r="L396" s="194">
        <f>_1_54128456121462410464578910174[[#This Row],[LIST $]]*_1_54128456121462410464578910174[[#This Row],[DISCOUNT]]*_1_54128456121462410464578910174[[#This Row],[DISCOUNT 2]]</f>
        <v>0</v>
      </c>
      <c r="M396" s="194">
        <f>IF(OR(_1_54128456121462410464578910174[[#This Row],[UNIT]]&gt;0,_1_54128456121462410464578910174[[#This Row],[UNIT]]&lt;0),_1_54128456121462410464578910174[[#This Row],[UNIT]]*_1_54128456121462410464578910174[[#This Row],[COST]],0)</f>
        <v>0</v>
      </c>
      <c r="N396" s="194">
        <f t="shared" si="6"/>
        <v>1.5</v>
      </c>
      <c r="O396" s="198">
        <f>_1_54128456121462410464578910174[[#This Row],[TOTAL]]*_1_54128456121462410464578910174[[#This Row],[MARGIN]]</f>
        <v>0</v>
      </c>
      <c r="R396" s="41"/>
    </row>
    <row r="397" spans="1:18">
      <c r="D397" s="188"/>
      <c r="F397" s="168" t="s">
        <v>6202</v>
      </c>
      <c r="G397" s="192">
        <f>IF(_1_54128456121462410464578910174[[#This Row],[Type]]&gt;0,VLOOKUP(_1_54128456121462410464578910174[[#This Row],[Type]],Main[[#All],[TYPE]:[UNIT]],'Unit Price'!C$1,FALSE),0)</f>
        <v>0</v>
      </c>
      <c r="H397" s="197">
        <f>IF(_1_54128456121462410464578910174[[#This Row],[Type]]&gt;0,VLOOKUP(_1_54128456121462410464578910174[[#This Row],[Type]],Main[[#All],[TYPE]:[UNIT]],'Unit Price'!D$1,FALSE),0)</f>
        <v>0</v>
      </c>
      <c r="I397" s="194">
        <f>IF(_1_54128456121462410464578910174[[#This Row],[Type]]&gt;0,VLOOKUP(_1_54128456121462410464578910174[[#This Row],[Type]],Main[[#All],[TYPE]:[UNIT]],'Unit Price'!G$1,FALSE),0)</f>
        <v>0</v>
      </c>
      <c r="J397" s="194">
        <f>IF(_1_54128456121462410464578910174[[#This Row],[Type]]&gt;0,VLOOKUP(_1_54128456121462410464578910174[[#This Row],[Type]],Main[[#All],[TYPE]:[UNIT]],'Unit Price'!H$1,FALSE),0)</f>
        <v>0</v>
      </c>
      <c r="K397" s="194">
        <f>IF(_1_54128456121462410464578910174[[#This Row],[Discount selection]]&gt;0,VLOOKUP(_1_54128456121462410464578910174[[#This Row],[Discount selection]],'Discount Structure'!$A$2:$B$30,2,"false"),0)</f>
        <v>1</v>
      </c>
      <c r="L397" s="194">
        <f>_1_54128456121462410464578910174[[#This Row],[LIST $]]*_1_54128456121462410464578910174[[#This Row],[DISCOUNT]]*_1_54128456121462410464578910174[[#This Row],[DISCOUNT 2]]</f>
        <v>0</v>
      </c>
      <c r="M397" s="194">
        <f>IF(OR(_1_54128456121462410464578910174[[#This Row],[UNIT]]&gt;0,_1_54128456121462410464578910174[[#This Row],[UNIT]]&lt;0),_1_54128456121462410464578910174[[#This Row],[UNIT]]*_1_54128456121462410464578910174[[#This Row],[COST]],0)</f>
        <v>0</v>
      </c>
      <c r="N397" s="194">
        <f t="shared" si="6"/>
        <v>1.5</v>
      </c>
      <c r="O397" s="198">
        <f>_1_54128456121462410464578910174[[#This Row],[TOTAL]]*_1_54128456121462410464578910174[[#This Row],[MARGIN]]</f>
        <v>0</v>
      </c>
      <c r="R397" s="41"/>
    </row>
    <row r="398" spans="1:18">
      <c r="D398" s="188"/>
      <c r="F398" s="168" t="s">
        <v>6202</v>
      </c>
      <c r="G398" s="193">
        <f>IF(_1_54128456121462410464578910174[[#This Row],[Type]]&gt;0,VLOOKUP(_1_54128456121462410464578910174[[#This Row],[Type]],Main[[#All],[TYPE]:[UNIT]],'Unit Price'!C$1,FALSE),0)</f>
        <v>0</v>
      </c>
      <c r="H398" s="197">
        <f>IF(_1_54128456121462410464578910174[[#This Row],[Type]]&gt;0,VLOOKUP(_1_54128456121462410464578910174[[#This Row],[Type]],Main[[#All],[TYPE]:[UNIT]],'Unit Price'!D$1,FALSE),0)</f>
        <v>0</v>
      </c>
      <c r="I398" s="194">
        <f>IF(_1_54128456121462410464578910174[[#This Row],[Type]]&gt;0,VLOOKUP(_1_54128456121462410464578910174[[#This Row],[Type]],Main[[#All],[TYPE]:[UNIT]],'Unit Price'!G$1,FALSE),0)</f>
        <v>0</v>
      </c>
      <c r="J398" s="194">
        <f>IF(_1_54128456121462410464578910174[[#This Row],[Type]]&gt;0,VLOOKUP(_1_54128456121462410464578910174[[#This Row],[Type]],Main[[#All],[TYPE]:[UNIT]],'Unit Price'!H$1,FALSE),0)</f>
        <v>0</v>
      </c>
      <c r="K398" s="194">
        <f>IF(_1_54128456121462410464578910174[[#This Row],[Discount selection]]&gt;0,VLOOKUP(_1_54128456121462410464578910174[[#This Row],[Discount selection]],'Discount Structure'!$A$2:$B$30,2,"false"),0)</f>
        <v>1</v>
      </c>
      <c r="L398" s="194">
        <f>_1_54128456121462410464578910174[[#This Row],[LIST $]]*_1_54128456121462410464578910174[[#This Row],[DISCOUNT]]*_1_54128456121462410464578910174[[#This Row],[DISCOUNT 2]]</f>
        <v>0</v>
      </c>
      <c r="M398" s="194">
        <f>IF(OR(_1_54128456121462410464578910174[[#This Row],[UNIT]]&gt;0,_1_54128456121462410464578910174[[#This Row],[UNIT]]&lt;0),_1_54128456121462410464578910174[[#This Row],[UNIT]]*_1_54128456121462410464578910174[[#This Row],[COST]],0)</f>
        <v>0</v>
      </c>
      <c r="N398" s="194">
        <f t="shared" si="6"/>
        <v>1.5</v>
      </c>
      <c r="O398" s="198">
        <f>_1_54128456121462410464578910174[[#This Row],[TOTAL]]*_1_54128456121462410464578910174[[#This Row],[MARGIN]]</f>
        <v>0</v>
      </c>
      <c r="R398" s="41"/>
    </row>
    <row r="399" spans="1:18">
      <c r="D399" s="188"/>
      <c r="F399" s="168" t="s">
        <v>6202</v>
      </c>
      <c r="G399" s="193">
        <f>IF(_1_54128456121462410464578910174[[#This Row],[Type]]&gt;0,VLOOKUP(_1_54128456121462410464578910174[[#This Row],[Type]],Main[[#All],[TYPE]:[UNIT]],'Unit Price'!C$1,FALSE),0)</f>
        <v>0</v>
      </c>
      <c r="H399" s="197">
        <f>IF(_1_54128456121462410464578910174[[#This Row],[Type]]&gt;0,VLOOKUP(_1_54128456121462410464578910174[[#This Row],[Type]],Main[[#All],[TYPE]:[UNIT]],'Unit Price'!D$1,FALSE),0)</f>
        <v>0</v>
      </c>
      <c r="I399" s="194">
        <f>IF(_1_54128456121462410464578910174[[#This Row],[Type]]&gt;0,VLOOKUP(_1_54128456121462410464578910174[[#This Row],[Type]],Main[[#All],[TYPE]:[UNIT]],'Unit Price'!G$1,FALSE),0)</f>
        <v>0</v>
      </c>
      <c r="J399" s="194">
        <f>IF(_1_54128456121462410464578910174[[#This Row],[Type]]&gt;0,VLOOKUP(_1_54128456121462410464578910174[[#This Row],[Type]],Main[[#All],[TYPE]:[UNIT]],'Unit Price'!H$1,FALSE),0)</f>
        <v>0</v>
      </c>
      <c r="K399" s="194">
        <f>IF(_1_54128456121462410464578910174[[#This Row],[Discount selection]]&gt;0,VLOOKUP(_1_54128456121462410464578910174[[#This Row],[Discount selection]],'Discount Structure'!$A$2:$B$30,2,"false"),0)</f>
        <v>1</v>
      </c>
      <c r="L399" s="194">
        <f>_1_54128456121462410464578910174[[#This Row],[LIST $]]*_1_54128456121462410464578910174[[#This Row],[DISCOUNT]]*_1_54128456121462410464578910174[[#This Row],[DISCOUNT 2]]</f>
        <v>0</v>
      </c>
      <c r="M399" s="194">
        <f>IF(OR(_1_54128456121462410464578910174[[#This Row],[UNIT]]&gt;0,_1_54128456121462410464578910174[[#This Row],[UNIT]]&lt;0),_1_54128456121462410464578910174[[#This Row],[UNIT]]*_1_54128456121462410464578910174[[#This Row],[COST]],0)</f>
        <v>0</v>
      </c>
      <c r="N399" s="194">
        <f t="shared" si="6"/>
        <v>1.5</v>
      </c>
      <c r="O399" s="198">
        <f>_1_54128456121462410464578910174[[#This Row],[TOTAL]]*_1_54128456121462410464578910174[[#This Row],[MARGIN]]</f>
        <v>0</v>
      </c>
      <c r="R399" s="41"/>
    </row>
    <row r="400" spans="1:18">
      <c r="D400" s="188"/>
      <c r="F400" s="168" t="s">
        <v>6202</v>
      </c>
      <c r="G400" s="193">
        <f>IF(_1_54128456121462410464578910174[[#This Row],[Type]]&gt;0,VLOOKUP(_1_54128456121462410464578910174[[#This Row],[Type]],Main[[#All],[TYPE]:[UNIT]],'Unit Price'!C$1,FALSE),0)</f>
        <v>0</v>
      </c>
      <c r="H400" s="197">
        <f>IF(_1_54128456121462410464578910174[[#This Row],[Type]]&gt;0,VLOOKUP(_1_54128456121462410464578910174[[#This Row],[Type]],Main[[#All],[TYPE]:[UNIT]],'Unit Price'!D$1,FALSE),0)</f>
        <v>0</v>
      </c>
      <c r="I400" s="194">
        <f>IF(_1_54128456121462410464578910174[[#This Row],[Type]]&gt;0,VLOOKUP(_1_54128456121462410464578910174[[#This Row],[Type]],Main[[#All],[TYPE]:[UNIT]],'Unit Price'!G$1,FALSE),0)</f>
        <v>0</v>
      </c>
      <c r="J400" s="194">
        <f>IF(_1_54128456121462410464578910174[[#This Row],[Type]]&gt;0,VLOOKUP(_1_54128456121462410464578910174[[#This Row],[Type]],Main[[#All],[TYPE]:[UNIT]],'Unit Price'!H$1,FALSE),0)</f>
        <v>0</v>
      </c>
      <c r="K400" s="194">
        <f>IF(_1_54128456121462410464578910174[[#This Row],[Discount selection]]&gt;0,VLOOKUP(_1_54128456121462410464578910174[[#This Row],[Discount selection]],'Discount Structure'!$A$2:$B$30,2,"false"),0)</f>
        <v>1</v>
      </c>
      <c r="L400" s="194">
        <f>_1_54128456121462410464578910174[[#This Row],[LIST $]]*_1_54128456121462410464578910174[[#This Row],[DISCOUNT]]*_1_54128456121462410464578910174[[#This Row],[DISCOUNT 2]]</f>
        <v>0</v>
      </c>
      <c r="M400" s="194">
        <f>IF(OR(_1_54128456121462410464578910174[[#This Row],[UNIT]]&gt;0,_1_54128456121462410464578910174[[#This Row],[UNIT]]&lt;0),_1_54128456121462410464578910174[[#This Row],[UNIT]]*_1_54128456121462410464578910174[[#This Row],[COST]],0)</f>
        <v>0</v>
      </c>
      <c r="N400" s="194">
        <f t="shared" si="6"/>
        <v>1.5</v>
      </c>
      <c r="O400" s="198">
        <f>_1_54128456121462410464578910174[[#This Row],[TOTAL]]*_1_54128456121462410464578910174[[#This Row],[MARGIN]]</f>
        <v>0</v>
      </c>
      <c r="R400" s="41"/>
    </row>
    <row r="401" spans="1:18">
      <c r="D401" s="188"/>
      <c r="F401" s="168" t="s">
        <v>6202</v>
      </c>
      <c r="G401" s="193">
        <f>IF(_1_54128456121462410464578910174[[#This Row],[Type]]&gt;0,VLOOKUP(_1_54128456121462410464578910174[[#This Row],[Type]],Main[[#All],[TYPE]:[UNIT]],'Unit Price'!C$1,FALSE),0)</f>
        <v>0</v>
      </c>
      <c r="H401" s="197">
        <f>IF(_1_54128456121462410464578910174[[#This Row],[Type]]&gt;0,VLOOKUP(_1_54128456121462410464578910174[[#This Row],[Type]],Main[[#All],[TYPE]:[UNIT]],'Unit Price'!D$1,FALSE),0)</f>
        <v>0</v>
      </c>
      <c r="I401" s="194">
        <f>IF(_1_54128456121462410464578910174[[#This Row],[Type]]&gt;0,VLOOKUP(_1_54128456121462410464578910174[[#This Row],[Type]],Main[[#All],[TYPE]:[UNIT]],'Unit Price'!G$1,FALSE),0)</f>
        <v>0</v>
      </c>
      <c r="J401" s="194">
        <f>IF(_1_54128456121462410464578910174[[#This Row],[Type]]&gt;0,VLOOKUP(_1_54128456121462410464578910174[[#This Row],[Type]],Main[[#All],[TYPE]:[UNIT]],'Unit Price'!H$1,FALSE),0)</f>
        <v>0</v>
      </c>
      <c r="K401" s="194">
        <f>IF(_1_54128456121462410464578910174[[#This Row],[Discount selection]]&gt;0,VLOOKUP(_1_54128456121462410464578910174[[#This Row],[Discount selection]],'Discount Structure'!$A$2:$B$30,2,"false"),0)</f>
        <v>1</v>
      </c>
      <c r="L401" s="194">
        <f>_1_54128456121462410464578910174[[#This Row],[LIST $]]*_1_54128456121462410464578910174[[#This Row],[DISCOUNT]]*_1_54128456121462410464578910174[[#This Row],[DISCOUNT 2]]</f>
        <v>0</v>
      </c>
      <c r="M401" s="194">
        <f>IF(OR(_1_54128456121462410464578910174[[#This Row],[UNIT]]&gt;0,_1_54128456121462410464578910174[[#This Row],[UNIT]]&lt;0),_1_54128456121462410464578910174[[#This Row],[UNIT]]*_1_54128456121462410464578910174[[#This Row],[COST]],0)</f>
        <v>0</v>
      </c>
      <c r="N401" s="194">
        <f t="shared" si="6"/>
        <v>1.5</v>
      </c>
      <c r="O401" s="198">
        <f>_1_54128456121462410464578910174[[#This Row],[TOTAL]]*_1_54128456121462410464578910174[[#This Row],[MARGIN]]</f>
        <v>0</v>
      </c>
      <c r="R401" s="41"/>
    </row>
    <row r="402" spans="1:18">
      <c r="D402" s="188"/>
      <c r="F402" s="168" t="s">
        <v>6202</v>
      </c>
      <c r="G402" s="192">
        <f>IF(_1_54128456121462410464578910174[[#This Row],[Type]]&gt;0,VLOOKUP(_1_54128456121462410464578910174[[#This Row],[Type]],Main[[#All],[TYPE]:[UNIT]],'Unit Price'!C$1,FALSE),0)</f>
        <v>0</v>
      </c>
      <c r="H402" s="197">
        <f>IF(_1_54128456121462410464578910174[[#This Row],[Type]]&gt;0,VLOOKUP(_1_54128456121462410464578910174[[#This Row],[Type]],Main[[#All],[TYPE]:[UNIT]],'Unit Price'!D$1,FALSE),0)</f>
        <v>0</v>
      </c>
      <c r="I402" s="194">
        <f>IF(_1_54128456121462410464578910174[[#This Row],[Type]]&gt;0,VLOOKUP(_1_54128456121462410464578910174[[#This Row],[Type]],Main[[#All],[TYPE]:[UNIT]],'Unit Price'!G$1,FALSE),0)</f>
        <v>0</v>
      </c>
      <c r="J402" s="194">
        <f>IF(_1_54128456121462410464578910174[[#This Row],[Type]]&gt;0,VLOOKUP(_1_54128456121462410464578910174[[#This Row],[Type]],Main[[#All],[TYPE]:[UNIT]],'Unit Price'!H$1,FALSE),0)</f>
        <v>0</v>
      </c>
      <c r="K402" s="194">
        <f>IF(_1_54128456121462410464578910174[[#This Row],[Discount selection]]&gt;0,VLOOKUP(_1_54128456121462410464578910174[[#This Row],[Discount selection]],'Discount Structure'!$A$2:$B$30,2,"false"),0)</f>
        <v>1</v>
      </c>
      <c r="L402" s="194">
        <f>_1_54128456121462410464578910174[[#This Row],[LIST $]]*_1_54128456121462410464578910174[[#This Row],[DISCOUNT]]*_1_54128456121462410464578910174[[#This Row],[DISCOUNT 2]]</f>
        <v>0</v>
      </c>
      <c r="M402" s="194">
        <f>IF(OR(_1_54128456121462410464578910174[[#This Row],[UNIT]]&gt;0,_1_54128456121462410464578910174[[#This Row],[UNIT]]&lt;0),_1_54128456121462410464578910174[[#This Row],[UNIT]]*_1_54128456121462410464578910174[[#This Row],[COST]],0)</f>
        <v>0</v>
      </c>
      <c r="N402" s="194">
        <f t="shared" si="6"/>
        <v>1.5</v>
      </c>
      <c r="O402" s="198">
        <f>_1_54128456121462410464578910174[[#This Row],[TOTAL]]*_1_54128456121462410464578910174[[#This Row],[MARGIN]]</f>
        <v>0</v>
      </c>
      <c r="R402" s="41"/>
    </row>
    <row r="403" spans="1:18">
      <c r="D403" s="188"/>
      <c r="F403" s="168" t="s">
        <v>6202</v>
      </c>
      <c r="G403" s="193">
        <f>IF(_1_54128456121462410464578910174[[#This Row],[Type]]&gt;0,VLOOKUP(_1_54128456121462410464578910174[[#This Row],[Type]],Main[[#All],[TYPE]:[UNIT]],'Unit Price'!C$1,FALSE),0)</f>
        <v>0</v>
      </c>
      <c r="H403" s="197">
        <f>IF(_1_54128456121462410464578910174[[#This Row],[Type]]&gt;0,VLOOKUP(_1_54128456121462410464578910174[[#This Row],[Type]],Main[[#All],[TYPE]:[UNIT]],'Unit Price'!D$1,FALSE),0)</f>
        <v>0</v>
      </c>
      <c r="I403" s="194">
        <f>IF(_1_54128456121462410464578910174[[#This Row],[Type]]&gt;0,VLOOKUP(_1_54128456121462410464578910174[[#This Row],[Type]],Main[[#All],[TYPE]:[UNIT]],'Unit Price'!G$1,FALSE),0)</f>
        <v>0</v>
      </c>
      <c r="J403" s="194">
        <f>IF(_1_54128456121462410464578910174[[#This Row],[Type]]&gt;0,VLOOKUP(_1_54128456121462410464578910174[[#This Row],[Type]],Main[[#All],[TYPE]:[UNIT]],'Unit Price'!H$1,FALSE),0)</f>
        <v>0</v>
      </c>
      <c r="K403" s="194">
        <f>IF(_1_54128456121462410464578910174[[#This Row],[Discount selection]]&gt;0,VLOOKUP(_1_54128456121462410464578910174[[#This Row],[Discount selection]],'Discount Structure'!$A$2:$B$30,2,"false"),0)</f>
        <v>1</v>
      </c>
      <c r="L403" s="194">
        <f>_1_54128456121462410464578910174[[#This Row],[LIST $]]*_1_54128456121462410464578910174[[#This Row],[DISCOUNT]]*_1_54128456121462410464578910174[[#This Row],[DISCOUNT 2]]</f>
        <v>0</v>
      </c>
      <c r="M403" s="194">
        <f>IF(OR(_1_54128456121462410464578910174[[#This Row],[UNIT]]&gt;0,_1_54128456121462410464578910174[[#This Row],[UNIT]]&lt;0),_1_54128456121462410464578910174[[#This Row],[UNIT]]*_1_54128456121462410464578910174[[#This Row],[COST]],0)</f>
        <v>0</v>
      </c>
      <c r="N403" s="194">
        <f t="shared" si="6"/>
        <v>1.5</v>
      </c>
      <c r="O403" s="198">
        <f>_1_54128456121462410464578910174[[#This Row],[TOTAL]]*_1_54128456121462410464578910174[[#This Row],[MARGIN]]</f>
        <v>0</v>
      </c>
      <c r="R403" s="41"/>
    </row>
    <row r="404" spans="1:18">
      <c r="D404" s="188"/>
      <c r="F404" s="168" t="s">
        <v>6202</v>
      </c>
      <c r="G404" s="193">
        <f>IF(_1_54128456121462410464578910174[[#This Row],[Type]]&gt;0,VLOOKUP(_1_54128456121462410464578910174[[#This Row],[Type]],Main[[#All],[TYPE]:[UNIT]],'Unit Price'!C$1,FALSE),0)</f>
        <v>0</v>
      </c>
      <c r="H404" s="197">
        <f>IF(_1_54128456121462410464578910174[[#This Row],[Type]]&gt;0,VLOOKUP(_1_54128456121462410464578910174[[#This Row],[Type]],Main[[#All],[TYPE]:[UNIT]],'Unit Price'!D$1,FALSE),0)</f>
        <v>0</v>
      </c>
      <c r="I404" s="194">
        <f>IF(_1_54128456121462410464578910174[[#This Row],[Type]]&gt;0,VLOOKUP(_1_54128456121462410464578910174[[#This Row],[Type]],Main[[#All],[TYPE]:[UNIT]],'Unit Price'!G$1,FALSE),0)</f>
        <v>0</v>
      </c>
      <c r="J404" s="194">
        <f>IF(_1_54128456121462410464578910174[[#This Row],[Type]]&gt;0,VLOOKUP(_1_54128456121462410464578910174[[#This Row],[Type]],Main[[#All],[TYPE]:[UNIT]],'Unit Price'!H$1,FALSE),0)</f>
        <v>0</v>
      </c>
      <c r="K404" s="194">
        <f>IF(_1_54128456121462410464578910174[[#This Row],[Discount selection]]&gt;0,VLOOKUP(_1_54128456121462410464578910174[[#This Row],[Discount selection]],'Discount Structure'!$A$2:$B$30,2,"false"),0)</f>
        <v>1</v>
      </c>
      <c r="L404" s="194">
        <f>_1_54128456121462410464578910174[[#This Row],[LIST $]]*_1_54128456121462410464578910174[[#This Row],[DISCOUNT]]*_1_54128456121462410464578910174[[#This Row],[DISCOUNT 2]]</f>
        <v>0</v>
      </c>
      <c r="M404" s="194">
        <f>IF(OR(_1_54128456121462410464578910174[[#This Row],[UNIT]]&gt;0,_1_54128456121462410464578910174[[#This Row],[UNIT]]&lt;0),_1_54128456121462410464578910174[[#This Row],[UNIT]]*_1_54128456121462410464578910174[[#This Row],[COST]],0)</f>
        <v>0</v>
      </c>
      <c r="N404" s="194">
        <f t="shared" si="6"/>
        <v>1.5</v>
      </c>
      <c r="O404" s="198">
        <f>_1_54128456121462410464578910174[[#This Row],[TOTAL]]*_1_54128456121462410464578910174[[#This Row],[MARGIN]]</f>
        <v>0</v>
      </c>
      <c r="R404" s="41"/>
    </row>
    <row r="405" spans="1:18">
      <c r="D405" s="188"/>
      <c r="F405" s="168" t="s">
        <v>6202</v>
      </c>
      <c r="G405" s="193">
        <f>IF(_1_54128456121462410464578910174[[#This Row],[Type]]&gt;0,VLOOKUP(_1_54128456121462410464578910174[[#This Row],[Type]],Main[[#All],[TYPE]:[UNIT]],'Unit Price'!C$1,FALSE),0)</f>
        <v>0</v>
      </c>
      <c r="H405" s="197">
        <f>IF(_1_54128456121462410464578910174[[#This Row],[Type]]&gt;0,VLOOKUP(_1_54128456121462410464578910174[[#This Row],[Type]],Main[[#All],[TYPE]:[UNIT]],'Unit Price'!D$1,FALSE),0)</f>
        <v>0</v>
      </c>
      <c r="I405" s="194">
        <f>IF(_1_54128456121462410464578910174[[#This Row],[Type]]&gt;0,VLOOKUP(_1_54128456121462410464578910174[[#This Row],[Type]],Main[[#All],[TYPE]:[UNIT]],'Unit Price'!G$1,FALSE),0)</f>
        <v>0</v>
      </c>
      <c r="J405" s="194">
        <f>IF(_1_54128456121462410464578910174[[#This Row],[Type]]&gt;0,VLOOKUP(_1_54128456121462410464578910174[[#This Row],[Type]],Main[[#All],[TYPE]:[UNIT]],'Unit Price'!H$1,FALSE),0)</f>
        <v>0</v>
      </c>
      <c r="K405" s="194">
        <f>IF(_1_54128456121462410464578910174[[#This Row],[Discount selection]]&gt;0,VLOOKUP(_1_54128456121462410464578910174[[#This Row],[Discount selection]],'Discount Structure'!$A$2:$B$30,2,"false"),0)</f>
        <v>1</v>
      </c>
      <c r="L405" s="194">
        <f>_1_54128456121462410464578910174[[#This Row],[LIST $]]*_1_54128456121462410464578910174[[#This Row],[DISCOUNT]]*_1_54128456121462410464578910174[[#This Row],[DISCOUNT 2]]</f>
        <v>0</v>
      </c>
      <c r="M405" s="194">
        <f>IF(OR(_1_54128456121462410464578910174[[#This Row],[UNIT]]&gt;0,_1_54128456121462410464578910174[[#This Row],[UNIT]]&lt;0),_1_54128456121462410464578910174[[#This Row],[UNIT]]*_1_54128456121462410464578910174[[#This Row],[COST]],0)</f>
        <v>0</v>
      </c>
      <c r="N405" s="194">
        <f t="shared" si="6"/>
        <v>1.5</v>
      </c>
      <c r="O405" s="198">
        <f>_1_54128456121462410464578910174[[#This Row],[TOTAL]]*_1_54128456121462410464578910174[[#This Row],[MARGIN]]</f>
        <v>0</v>
      </c>
      <c r="R405" s="41"/>
    </row>
    <row r="406" spans="1:18">
      <c r="D406" s="188"/>
      <c r="F406" s="168" t="s">
        <v>6202</v>
      </c>
      <c r="G406" s="193">
        <f>IF(_1_54128456121462410464578910174[[#This Row],[Type]]&gt;0,VLOOKUP(_1_54128456121462410464578910174[[#This Row],[Type]],Main[[#All],[TYPE]:[UNIT]],'Unit Price'!C$1,FALSE),0)</f>
        <v>0</v>
      </c>
      <c r="H406" s="197">
        <f>IF(_1_54128456121462410464578910174[[#This Row],[Type]]&gt;0,VLOOKUP(_1_54128456121462410464578910174[[#This Row],[Type]],Main[[#All],[TYPE]:[UNIT]],'Unit Price'!D$1,FALSE),0)</f>
        <v>0</v>
      </c>
      <c r="I406" s="194">
        <f>IF(_1_54128456121462410464578910174[[#This Row],[Type]]&gt;0,VLOOKUP(_1_54128456121462410464578910174[[#This Row],[Type]],Main[[#All],[TYPE]:[UNIT]],'Unit Price'!G$1,FALSE),0)</f>
        <v>0</v>
      </c>
      <c r="J406" s="194">
        <f>IF(_1_54128456121462410464578910174[[#This Row],[Type]]&gt;0,VLOOKUP(_1_54128456121462410464578910174[[#This Row],[Type]],Main[[#All],[TYPE]:[UNIT]],'Unit Price'!H$1,FALSE),0)</f>
        <v>0</v>
      </c>
      <c r="K406" s="194">
        <f>IF(_1_54128456121462410464578910174[[#This Row],[Discount selection]]&gt;0,VLOOKUP(_1_54128456121462410464578910174[[#This Row],[Discount selection]],'Discount Structure'!$A$2:$B$30,2,"false"),0)</f>
        <v>1</v>
      </c>
      <c r="L406" s="194">
        <f>_1_54128456121462410464578910174[[#This Row],[LIST $]]*_1_54128456121462410464578910174[[#This Row],[DISCOUNT]]*_1_54128456121462410464578910174[[#This Row],[DISCOUNT 2]]</f>
        <v>0</v>
      </c>
      <c r="M406" s="194">
        <f>IF(OR(_1_54128456121462410464578910174[[#This Row],[UNIT]]&gt;0,_1_54128456121462410464578910174[[#This Row],[UNIT]]&lt;0),_1_54128456121462410464578910174[[#This Row],[UNIT]]*_1_54128456121462410464578910174[[#This Row],[COST]],0)</f>
        <v>0</v>
      </c>
      <c r="N406" s="194">
        <f t="shared" si="6"/>
        <v>1.5</v>
      </c>
      <c r="O406" s="198">
        <f>_1_54128456121462410464578910174[[#This Row],[TOTAL]]*_1_54128456121462410464578910174[[#This Row],[MARGIN]]</f>
        <v>0</v>
      </c>
      <c r="R406" s="41"/>
    </row>
    <row r="407" spans="1:18">
      <c r="D407" s="188"/>
      <c r="F407" s="168" t="s">
        <v>6202</v>
      </c>
      <c r="G407" s="192">
        <f>IF(_1_54128456121462410464578910174[[#This Row],[Type]]&gt;0,VLOOKUP(_1_54128456121462410464578910174[[#This Row],[Type]],Main[[#All],[TYPE]:[UNIT]],'Unit Price'!C$1,FALSE),0)</f>
        <v>0</v>
      </c>
      <c r="H407" s="197">
        <f>IF(_1_54128456121462410464578910174[[#This Row],[Type]]&gt;0,VLOOKUP(_1_54128456121462410464578910174[[#This Row],[Type]],Main[[#All],[TYPE]:[UNIT]],'Unit Price'!D$1,FALSE),0)</f>
        <v>0</v>
      </c>
      <c r="I407" s="194">
        <f>IF(_1_54128456121462410464578910174[[#This Row],[Type]]&gt;0,VLOOKUP(_1_54128456121462410464578910174[[#This Row],[Type]],Main[[#All],[TYPE]:[UNIT]],'Unit Price'!G$1,FALSE),0)</f>
        <v>0</v>
      </c>
      <c r="J407" s="194">
        <f>IF(_1_54128456121462410464578910174[[#This Row],[Type]]&gt;0,VLOOKUP(_1_54128456121462410464578910174[[#This Row],[Type]],Main[[#All],[TYPE]:[UNIT]],'Unit Price'!H$1,FALSE),0)</f>
        <v>0</v>
      </c>
      <c r="K407" s="194">
        <f>IF(_1_54128456121462410464578910174[[#This Row],[Discount selection]]&gt;0,VLOOKUP(_1_54128456121462410464578910174[[#This Row],[Discount selection]],'Discount Structure'!$A$2:$B$30,2,"false"),0)</f>
        <v>1</v>
      </c>
      <c r="L407" s="194">
        <f>_1_54128456121462410464578910174[[#This Row],[LIST $]]*_1_54128456121462410464578910174[[#This Row],[DISCOUNT]]*_1_54128456121462410464578910174[[#This Row],[DISCOUNT 2]]</f>
        <v>0</v>
      </c>
      <c r="M407" s="194">
        <f>IF(OR(_1_54128456121462410464578910174[[#This Row],[UNIT]]&gt;0,_1_54128456121462410464578910174[[#This Row],[UNIT]]&lt;0),_1_54128456121462410464578910174[[#This Row],[UNIT]]*_1_54128456121462410464578910174[[#This Row],[COST]],0)</f>
        <v>0</v>
      </c>
      <c r="N407" s="194">
        <f t="shared" si="6"/>
        <v>1.5</v>
      </c>
      <c r="O407" s="198">
        <f>_1_54128456121462410464578910174[[#This Row],[TOTAL]]*_1_54128456121462410464578910174[[#This Row],[MARGIN]]</f>
        <v>0</v>
      </c>
      <c r="R407" s="41"/>
    </row>
    <row r="408" spans="1:18">
      <c r="D408" s="188"/>
      <c r="F408" s="168" t="s">
        <v>6202</v>
      </c>
      <c r="G408" s="193">
        <f>IF(_1_54128456121462410464578910174[[#This Row],[Type]]&gt;0,VLOOKUP(_1_54128456121462410464578910174[[#This Row],[Type]],Main[[#All],[TYPE]:[UNIT]],'Unit Price'!C$1,FALSE),0)</f>
        <v>0</v>
      </c>
      <c r="H408" s="197">
        <f>IF(_1_54128456121462410464578910174[[#This Row],[Type]]&gt;0,VLOOKUP(_1_54128456121462410464578910174[[#This Row],[Type]],Main[[#All],[TYPE]:[UNIT]],'Unit Price'!D$1,FALSE),0)</f>
        <v>0</v>
      </c>
      <c r="I408" s="194">
        <f>IF(_1_54128456121462410464578910174[[#This Row],[Type]]&gt;0,VLOOKUP(_1_54128456121462410464578910174[[#This Row],[Type]],Main[[#All],[TYPE]:[UNIT]],'Unit Price'!G$1,FALSE),0)</f>
        <v>0</v>
      </c>
      <c r="J408" s="194">
        <f>IF(_1_54128456121462410464578910174[[#This Row],[Type]]&gt;0,VLOOKUP(_1_54128456121462410464578910174[[#This Row],[Type]],Main[[#All],[TYPE]:[UNIT]],'Unit Price'!H$1,FALSE),0)</f>
        <v>0</v>
      </c>
      <c r="K408" s="194">
        <f>IF(_1_54128456121462410464578910174[[#This Row],[Discount selection]]&gt;0,VLOOKUP(_1_54128456121462410464578910174[[#This Row],[Discount selection]],'Discount Structure'!$A$2:$B$30,2,"false"),0)</f>
        <v>1</v>
      </c>
      <c r="L408" s="194">
        <f>_1_54128456121462410464578910174[[#This Row],[LIST $]]*_1_54128456121462410464578910174[[#This Row],[DISCOUNT]]*_1_54128456121462410464578910174[[#This Row],[DISCOUNT 2]]</f>
        <v>0</v>
      </c>
      <c r="M408" s="194">
        <f>IF(OR(_1_54128456121462410464578910174[[#This Row],[UNIT]]&gt;0,_1_54128456121462410464578910174[[#This Row],[UNIT]]&lt;0),_1_54128456121462410464578910174[[#This Row],[UNIT]]*_1_54128456121462410464578910174[[#This Row],[COST]],0)</f>
        <v>0</v>
      </c>
      <c r="N408" s="194">
        <f t="shared" si="6"/>
        <v>1.5</v>
      </c>
      <c r="O408" s="198">
        <f>_1_54128456121462410464578910174[[#This Row],[TOTAL]]*_1_54128456121462410464578910174[[#This Row],[MARGIN]]</f>
        <v>0</v>
      </c>
      <c r="R408" s="41"/>
    </row>
    <row r="409" spans="1:18">
      <c r="A409" s="168"/>
      <c r="D409" s="188"/>
      <c r="F409" s="168" t="s">
        <v>6202</v>
      </c>
      <c r="G409" s="193">
        <f>IF(_1_54128456121462410464578910174[[#This Row],[Type]]&gt;0,VLOOKUP(_1_54128456121462410464578910174[[#This Row],[Type]],Main[[#All],[TYPE]:[UNIT]],'Unit Price'!C$1,FALSE),0)</f>
        <v>0</v>
      </c>
      <c r="H409" s="197">
        <f>IF(_1_54128456121462410464578910174[[#This Row],[Type]]&gt;0,VLOOKUP(_1_54128456121462410464578910174[[#This Row],[Type]],Main[[#All],[TYPE]:[UNIT]],'Unit Price'!D$1,FALSE),0)</f>
        <v>0</v>
      </c>
      <c r="I409" s="194">
        <f>IF(_1_54128456121462410464578910174[[#This Row],[Type]]&gt;0,VLOOKUP(_1_54128456121462410464578910174[[#This Row],[Type]],Main[[#All],[TYPE]:[UNIT]],'Unit Price'!G$1,FALSE),0)</f>
        <v>0</v>
      </c>
      <c r="J409" s="194">
        <f>IF(_1_54128456121462410464578910174[[#This Row],[Type]]&gt;0,VLOOKUP(_1_54128456121462410464578910174[[#This Row],[Type]],Main[[#All],[TYPE]:[UNIT]],'Unit Price'!H$1,FALSE),0)</f>
        <v>0</v>
      </c>
      <c r="K409" s="194">
        <f>IF(_1_54128456121462410464578910174[[#This Row],[Discount selection]]&gt;0,VLOOKUP(_1_54128456121462410464578910174[[#This Row],[Discount selection]],'Discount Structure'!$A$2:$B$30,2,"false"),0)</f>
        <v>1</v>
      </c>
      <c r="L409" s="194">
        <f>_1_54128456121462410464578910174[[#This Row],[LIST $]]*_1_54128456121462410464578910174[[#This Row],[DISCOUNT]]*_1_54128456121462410464578910174[[#This Row],[DISCOUNT 2]]</f>
        <v>0</v>
      </c>
      <c r="M409" s="194">
        <f>IF(OR(_1_54128456121462410464578910174[[#This Row],[UNIT]]&gt;0,_1_54128456121462410464578910174[[#This Row],[UNIT]]&lt;0),_1_54128456121462410464578910174[[#This Row],[UNIT]]*_1_54128456121462410464578910174[[#This Row],[COST]],0)</f>
        <v>0</v>
      </c>
      <c r="N409" s="194">
        <f t="shared" si="6"/>
        <v>1.5</v>
      </c>
      <c r="O409" s="198">
        <f>_1_54128456121462410464578910174[[#This Row],[TOTAL]]*_1_54128456121462410464578910174[[#This Row],[MARGIN]]</f>
        <v>0</v>
      </c>
      <c r="R409" s="41"/>
    </row>
    <row r="410" spans="1:18">
      <c r="D410" s="188"/>
      <c r="F410" s="168" t="s">
        <v>6202</v>
      </c>
      <c r="G410" s="193">
        <f>IF(_1_54128456121462410464578910174[[#This Row],[Type]]&gt;0,VLOOKUP(_1_54128456121462410464578910174[[#This Row],[Type]],Main[[#All],[TYPE]:[UNIT]],'Unit Price'!C$1,FALSE),0)</f>
        <v>0</v>
      </c>
      <c r="H410" s="197">
        <f>IF(_1_54128456121462410464578910174[[#This Row],[Type]]&gt;0,VLOOKUP(_1_54128456121462410464578910174[[#This Row],[Type]],Main[[#All],[TYPE]:[UNIT]],'Unit Price'!D$1,FALSE),0)</f>
        <v>0</v>
      </c>
      <c r="I410" s="194">
        <f>IF(_1_54128456121462410464578910174[[#This Row],[Type]]&gt;0,VLOOKUP(_1_54128456121462410464578910174[[#This Row],[Type]],Main[[#All],[TYPE]:[UNIT]],'Unit Price'!G$1,FALSE),0)</f>
        <v>0</v>
      </c>
      <c r="J410" s="194">
        <f>IF(_1_54128456121462410464578910174[[#This Row],[Type]]&gt;0,VLOOKUP(_1_54128456121462410464578910174[[#This Row],[Type]],Main[[#All],[TYPE]:[UNIT]],'Unit Price'!H$1,FALSE),0)</f>
        <v>0</v>
      </c>
      <c r="K410" s="194">
        <f>IF(_1_54128456121462410464578910174[[#This Row],[Discount selection]]&gt;0,VLOOKUP(_1_54128456121462410464578910174[[#This Row],[Discount selection]],'Discount Structure'!$A$2:$B$30,2,"false"),0)</f>
        <v>1</v>
      </c>
      <c r="L410" s="194">
        <f>_1_54128456121462410464578910174[[#This Row],[LIST $]]*_1_54128456121462410464578910174[[#This Row],[DISCOUNT]]*_1_54128456121462410464578910174[[#This Row],[DISCOUNT 2]]</f>
        <v>0</v>
      </c>
      <c r="M410" s="194">
        <f>IF(OR(_1_54128456121462410464578910174[[#This Row],[UNIT]]&gt;0,_1_54128456121462410464578910174[[#This Row],[UNIT]]&lt;0),_1_54128456121462410464578910174[[#This Row],[UNIT]]*_1_54128456121462410464578910174[[#This Row],[COST]],0)</f>
        <v>0</v>
      </c>
      <c r="N410" s="194">
        <f t="shared" si="6"/>
        <v>1.5</v>
      </c>
      <c r="O410" s="198">
        <f>_1_54128456121462410464578910174[[#This Row],[TOTAL]]*_1_54128456121462410464578910174[[#This Row],[MARGIN]]</f>
        <v>0</v>
      </c>
      <c r="R410" s="41"/>
    </row>
    <row r="411" spans="1:18">
      <c r="D411" s="188"/>
      <c r="F411" s="168" t="s">
        <v>6202</v>
      </c>
      <c r="G411" s="193">
        <f>IF(_1_54128456121462410464578910174[[#This Row],[Type]]&gt;0,VLOOKUP(_1_54128456121462410464578910174[[#This Row],[Type]],Main[[#All],[TYPE]:[UNIT]],'Unit Price'!C$1,FALSE),0)</f>
        <v>0</v>
      </c>
      <c r="H411" s="197">
        <f>IF(_1_54128456121462410464578910174[[#This Row],[Type]]&gt;0,VLOOKUP(_1_54128456121462410464578910174[[#This Row],[Type]],Main[[#All],[TYPE]:[UNIT]],'Unit Price'!D$1,FALSE),0)</f>
        <v>0</v>
      </c>
      <c r="I411" s="194">
        <f>IF(_1_54128456121462410464578910174[[#This Row],[Type]]&gt;0,VLOOKUP(_1_54128456121462410464578910174[[#This Row],[Type]],Main[[#All],[TYPE]:[UNIT]],'Unit Price'!G$1,FALSE),0)</f>
        <v>0</v>
      </c>
      <c r="J411" s="194">
        <f>IF(_1_54128456121462410464578910174[[#This Row],[Type]]&gt;0,VLOOKUP(_1_54128456121462410464578910174[[#This Row],[Type]],Main[[#All],[TYPE]:[UNIT]],'Unit Price'!H$1,FALSE),0)</f>
        <v>0</v>
      </c>
      <c r="K411" s="194">
        <f>IF(_1_54128456121462410464578910174[[#This Row],[Discount selection]]&gt;0,VLOOKUP(_1_54128456121462410464578910174[[#This Row],[Discount selection]],'Discount Structure'!$A$2:$B$30,2,"false"),0)</f>
        <v>1</v>
      </c>
      <c r="L411" s="194">
        <f>_1_54128456121462410464578910174[[#This Row],[LIST $]]*_1_54128456121462410464578910174[[#This Row],[DISCOUNT]]*_1_54128456121462410464578910174[[#This Row],[DISCOUNT 2]]</f>
        <v>0</v>
      </c>
      <c r="M411" s="194">
        <f>IF(OR(_1_54128456121462410464578910174[[#This Row],[UNIT]]&gt;0,_1_54128456121462410464578910174[[#This Row],[UNIT]]&lt;0),_1_54128456121462410464578910174[[#This Row],[UNIT]]*_1_54128456121462410464578910174[[#This Row],[COST]],0)</f>
        <v>0</v>
      </c>
      <c r="N411" s="194">
        <f t="shared" si="6"/>
        <v>1.5</v>
      </c>
      <c r="O411" s="198">
        <f>_1_54128456121462410464578910174[[#This Row],[TOTAL]]*_1_54128456121462410464578910174[[#This Row],[MARGIN]]</f>
        <v>0</v>
      </c>
      <c r="R411" s="41"/>
    </row>
    <row r="412" spans="1:18">
      <c r="D412" s="188"/>
      <c r="F412" s="168" t="s">
        <v>6202</v>
      </c>
      <c r="G412" s="192">
        <f>IF(_1_54128456121462410464578910174[[#This Row],[Type]]&gt;0,VLOOKUP(_1_54128456121462410464578910174[[#This Row],[Type]],Main[[#All],[TYPE]:[UNIT]],'Unit Price'!C$1,FALSE),0)</f>
        <v>0</v>
      </c>
      <c r="H412" s="197">
        <f>IF(_1_54128456121462410464578910174[[#This Row],[Type]]&gt;0,VLOOKUP(_1_54128456121462410464578910174[[#This Row],[Type]],Main[[#All],[TYPE]:[UNIT]],'Unit Price'!D$1,FALSE),0)</f>
        <v>0</v>
      </c>
      <c r="I412" s="194">
        <f>IF(_1_54128456121462410464578910174[[#This Row],[Type]]&gt;0,VLOOKUP(_1_54128456121462410464578910174[[#This Row],[Type]],Main[[#All],[TYPE]:[UNIT]],'Unit Price'!G$1,FALSE),0)</f>
        <v>0</v>
      </c>
      <c r="J412" s="194">
        <f>IF(_1_54128456121462410464578910174[[#This Row],[Type]]&gt;0,VLOOKUP(_1_54128456121462410464578910174[[#This Row],[Type]],Main[[#All],[TYPE]:[UNIT]],'Unit Price'!H$1,FALSE),0)</f>
        <v>0</v>
      </c>
      <c r="K412" s="194">
        <f>IF(_1_54128456121462410464578910174[[#This Row],[Discount selection]]&gt;0,VLOOKUP(_1_54128456121462410464578910174[[#This Row],[Discount selection]],'Discount Structure'!$A$2:$B$30,2,"false"),0)</f>
        <v>1</v>
      </c>
      <c r="L412" s="194">
        <f>_1_54128456121462410464578910174[[#This Row],[LIST $]]*_1_54128456121462410464578910174[[#This Row],[DISCOUNT]]*_1_54128456121462410464578910174[[#This Row],[DISCOUNT 2]]</f>
        <v>0</v>
      </c>
      <c r="M412" s="194">
        <f>IF(OR(_1_54128456121462410464578910174[[#This Row],[UNIT]]&gt;0,_1_54128456121462410464578910174[[#This Row],[UNIT]]&lt;0),_1_54128456121462410464578910174[[#This Row],[UNIT]]*_1_54128456121462410464578910174[[#This Row],[COST]],0)</f>
        <v>0</v>
      </c>
      <c r="N412" s="194">
        <f t="shared" si="6"/>
        <v>1.5</v>
      </c>
      <c r="O412" s="198">
        <f>_1_54128456121462410464578910174[[#This Row],[TOTAL]]*_1_54128456121462410464578910174[[#This Row],[MARGIN]]</f>
        <v>0</v>
      </c>
      <c r="R412" s="41"/>
    </row>
    <row r="413" spans="1:18">
      <c r="D413" s="188"/>
      <c r="F413" s="168" t="s">
        <v>6202</v>
      </c>
      <c r="G413" s="193">
        <f>IF(_1_54128456121462410464578910174[[#This Row],[Type]]&gt;0,VLOOKUP(_1_54128456121462410464578910174[[#This Row],[Type]],Main[[#All],[TYPE]:[UNIT]],'Unit Price'!C$1,FALSE),0)</f>
        <v>0</v>
      </c>
      <c r="H413" s="197">
        <f>IF(_1_54128456121462410464578910174[[#This Row],[Type]]&gt;0,VLOOKUP(_1_54128456121462410464578910174[[#This Row],[Type]],Main[[#All],[TYPE]:[UNIT]],'Unit Price'!D$1,FALSE),0)</f>
        <v>0</v>
      </c>
      <c r="I413" s="194">
        <f>IF(_1_54128456121462410464578910174[[#This Row],[Type]]&gt;0,VLOOKUP(_1_54128456121462410464578910174[[#This Row],[Type]],Main[[#All],[TYPE]:[UNIT]],'Unit Price'!G$1,FALSE),0)</f>
        <v>0</v>
      </c>
      <c r="J413" s="194">
        <f>IF(_1_54128456121462410464578910174[[#This Row],[Type]]&gt;0,VLOOKUP(_1_54128456121462410464578910174[[#This Row],[Type]],Main[[#All],[TYPE]:[UNIT]],'Unit Price'!H$1,FALSE),0)</f>
        <v>0</v>
      </c>
      <c r="K413" s="194">
        <f>IF(_1_54128456121462410464578910174[[#This Row],[Discount selection]]&gt;0,VLOOKUP(_1_54128456121462410464578910174[[#This Row],[Discount selection]],'Discount Structure'!$A$2:$B$30,2,"false"),0)</f>
        <v>1</v>
      </c>
      <c r="L413" s="194">
        <f>_1_54128456121462410464578910174[[#This Row],[LIST $]]*_1_54128456121462410464578910174[[#This Row],[DISCOUNT]]*_1_54128456121462410464578910174[[#This Row],[DISCOUNT 2]]</f>
        <v>0</v>
      </c>
      <c r="M413" s="194">
        <f>IF(OR(_1_54128456121462410464578910174[[#This Row],[UNIT]]&gt;0,_1_54128456121462410464578910174[[#This Row],[UNIT]]&lt;0),_1_54128456121462410464578910174[[#This Row],[UNIT]]*_1_54128456121462410464578910174[[#This Row],[COST]],0)</f>
        <v>0</v>
      </c>
      <c r="N413" s="194">
        <f t="shared" si="6"/>
        <v>1.5</v>
      </c>
      <c r="O413" s="198">
        <f>_1_54128456121462410464578910174[[#This Row],[TOTAL]]*_1_54128456121462410464578910174[[#This Row],[MARGIN]]</f>
        <v>0</v>
      </c>
      <c r="R413" s="41"/>
    </row>
    <row r="414" spans="1:18">
      <c r="D414" s="188"/>
      <c r="F414" s="168" t="s">
        <v>6202</v>
      </c>
      <c r="G414" s="193">
        <f>IF(_1_54128456121462410464578910174[[#This Row],[Type]]&gt;0,VLOOKUP(_1_54128456121462410464578910174[[#This Row],[Type]],Main[[#All],[TYPE]:[UNIT]],'Unit Price'!C$1,FALSE),0)</f>
        <v>0</v>
      </c>
      <c r="H414" s="197">
        <f>IF(_1_54128456121462410464578910174[[#This Row],[Type]]&gt;0,VLOOKUP(_1_54128456121462410464578910174[[#This Row],[Type]],Main[[#All],[TYPE]:[UNIT]],'Unit Price'!D$1,FALSE),0)</f>
        <v>0</v>
      </c>
      <c r="I414" s="194">
        <f>IF(_1_54128456121462410464578910174[[#This Row],[Type]]&gt;0,VLOOKUP(_1_54128456121462410464578910174[[#This Row],[Type]],Main[[#All],[TYPE]:[UNIT]],'Unit Price'!G$1,FALSE),0)</f>
        <v>0</v>
      </c>
      <c r="J414" s="194">
        <f>IF(_1_54128456121462410464578910174[[#This Row],[Type]]&gt;0,VLOOKUP(_1_54128456121462410464578910174[[#This Row],[Type]],Main[[#All],[TYPE]:[UNIT]],'Unit Price'!H$1,FALSE),0)</f>
        <v>0</v>
      </c>
      <c r="K414" s="194">
        <f>IF(_1_54128456121462410464578910174[[#This Row],[Discount selection]]&gt;0,VLOOKUP(_1_54128456121462410464578910174[[#This Row],[Discount selection]],'Discount Structure'!$A$2:$B$30,2,"false"),0)</f>
        <v>1</v>
      </c>
      <c r="L414" s="194">
        <f>_1_54128456121462410464578910174[[#This Row],[LIST $]]*_1_54128456121462410464578910174[[#This Row],[DISCOUNT]]*_1_54128456121462410464578910174[[#This Row],[DISCOUNT 2]]</f>
        <v>0</v>
      </c>
      <c r="M414" s="194">
        <f>IF(OR(_1_54128456121462410464578910174[[#This Row],[UNIT]]&gt;0,_1_54128456121462410464578910174[[#This Row],[UNIT]]&lt;0),_1_54128456121462410464578910174[[#This Row],[UNIT]]*_1_54128456121462410464578910174[[#This Row],[COST]],0)</f>
        <v>0</v>
      </c>
      <c r="N414" s="194">
        <f t="shared" si="6"/>
        <v>1.5</v>
      </c>
      <c r="O414" s="198">
        <f>_1_54128456121462410464578910174[[#This Row],[TOTAL]]*_1_54128456121462410464578910174[[#This Row],[MARGIN]]</f>
        <v>0</v>
      </c>
      <c r="R414" s="41"/>
    </row>
    <row r="415" spans="1:18">
      <c r="D415" s="188"/>
      <c r="F415" s="168" t="s">
        <v>6202</v>
      </c>
      <c r="G415" s="193">
        <f>IF(_1_54128456121462410464578910174[[#This Row],[Type]]&gt;0,VLOOKUP(_1_54128456121462410464578910174[[#This Row],[Type]],Main[[#All],[TYPE]:[UNIT]],'Unit Price'!C$1,FALSE),0)</f>
        <v>0</v>
      </c>
      <c r="H415" s="197">
        <f>IF(_1_54128456121462410464578910174[[#This Row],[Type]]&gt;0,VLOOKUP(_1_54128456121462410464578910174[[#This Row],[Type]],Main[[#All],[TYPE]:[UNIT]],'Unit Price'!D$1,FALSE),0)</f>
        <v>0</v>
      </c>
      <c r="I415" s="194">
        <f>IF(_1_54128456121462410464578910174[[#This Row],[Type]]&gt;0,VLOOKUP(_1_54128456121462410464578910174[[#This Row],[Type]],Main[[#All],[TYPE]:[UNIT]],'Unit Price'!G$1,FALSE),0)</f>
        <v>0</v>
      </c>
      <c r="J415" s="194">
        <f>IF(_1_54128456121462410464578910174[[#This Row],[Type]]&gt;0,VLOOKUP(_1_54128456121462410464578910174[[#This Row],[Type]],Main[[#All],[TYPE]:[UNIT]],'Unit Price'!H$1,FALSE),0)</f>
        <v>0</v>
      </c>
      <c r="K415" s="194">
        <f>IF(_1_54128456121462410464578910174[[#This Row],[Discount selection]]&gt;0,VLOOKUP(_1_54128456121462410464578910174[[#This Row],[Discount selection]],'Discount Structure'!$A$2:$B$30,2,"false"),0)</f>
        <v>1</v>
      </c>
      <c r="L415" s="194">
        <f>_1_54128456121462410464578910174[[#This Row],[LIST $]]*_1_54128456121462410464578910174[[#This Row],[DISCOUNT]]*_1_54128456121462410464578910174[[#This Row],[DISCOUNT 2]]</f>
        <v>0</v>
      </c>
      <c r="M415" s="194">
        <f>IF(OR(_1_54128456121462410464578910174[[#This Row],[UNIT]]&gt;0,_1_54128456121462410464578910174[[#This Row],[UNIT]]&lt;0),_1_54128456121462410464578910174[[#This Row],[UNIT]]*_1_54128456121462410464578910174[[#This Row],[COST]],0)</f>
        <v>0</v>
      </c>
      <c r="N415" s="194">
        <f t="shared" si="6"/>
        <v>1.5</v>
      </c>
      <c r="O415" s="198">
        <f>_1_54128456121462410464578910174[[#This Row],[TOTAL]]*_1_54128456121462410464578910174[[#This Row],[MARGIN]]</f>
        <v>0</v>
      </c>
      <c r="R415" s="41"/>
    </row>
    <row r="416" spans="1:18">
      <c r="D416" s="188"/>
      <c r="F416" s="168" t="s">
        <v>6202</v>
      </c>
      <c r="G416" s="193">
        <f>IF(_1_54128456121462410464578910174[[#This Row],[Type]]&gt;0,VLOOKUP(_1_54128456121462410464578910174[[#This Row],[Type]],Main[[#All],[TYPE]:[UNIT]],'Unit Price'!C$1,FALSE),0)</f>
        <v>0</v>
      </c>
      <c r="H416" s="197">
        <f>IF(_1_54128456121462410464578910174[[#This Row],[Type]]&gt;0,VLOOKUP(_1_54128456121462410464578910174[[#This Row],[Type]],Main[[#All],[TYPE]:[UNIT]],'Unit Price'!D$1,FALSE),0)</f>
        <v>0</v>
      </c>
      <c r="I416" s="194">
        <f>IF(_1_54128456121462410464578910174[[#This Row],[Type]]&gt;0,VLOOKUP(_1_54128456121462410464578910174[[#This Row],[Type]],Main[[#All],[TYPE]:[UNIT]],'Unit Price'!G$1,FALSE),0)</f>
        <v>0</v>
      </c>
      <c r="J416" s="194">
        <f>IF(_1_54128456121462410464578910174[[#This Row],[Type]]&gt;0,VLOOKUP(_1_54128456121462410464578910174[[#This Row],[Type]],Main[[#All],[TYPE]:[UNIT]],'Unit Price'!H$1,FALSE),0)</f>
        <v>0</v>
      </c>
      <c r="K416" s="194">
        <f>IF(_1_54128456121462410464578910174[[#This Row],[Discount selection]]&gt;0,VLOOKUP(_1_54128456121462410464578910174[[#This Row],[Discount selection]],'Discount Structure'!$A$2:$B$30,2,"false"),0)</f>
        <v>1</v>
      </c>
      <c r="L416" s="194">
        <f>_1_54128456121462410464578910174[[#This Row],[LIST $]]*_1_54128456121462410464578910174[[#This Row],[DISCOUNT]]*_1_54128456121462410464578910174[[#This Row],[DISCOUNT 2]]</f>
        <v>0</v>
      </c>
      <c r="M416" s="194">
        <f>IF(OR(_1_54128456121462410464578910174[[#This Row],[UNIT]]&gt;0,_1_54128456121462410464578910174[[#This Row],[UNIT]]&lt;0),_1_54128456121462410464578910174[[#This Row],[UNIT]]*_1_54128456121462410464578910174[[#This Row],[COST]],0)</f>
        <v>0</v>
      </c>
      <c r="N416" s="194">
        <f t="shared" si="6"/>
        <v>1.5</v>
      </c>
      <c r="O416" s="198">
        <f>_1_54128456121462410464578910174[[#This Row],[TOTAL]]*_1_54128456121462410464578910174[[#This Row],[MARGIN]]</f>
        <v>0</v>
      </c>
      <c r="R416" s="41"/>
    </row>
    <row r="417" spans="1:18">
      <c r="D417" s="188"/>
      <c r="F417" s="168" t="s">
        <v>6202</v>
      </c>
      <c r="G417" s="192">
        <f>IF(_1_54128456121462410464578910174[[#This Row],[Type]]&gt;0,VLOOKUP(_1_54128456121462410464578910174[[#This Row],[Type]],Main[[#All],[TYPE]:[UNIT]],'Unit Price'!C$1,FALSE),0)</f>
        <v>0</v>
      </c>
      <c r="H417" s="197">
        <f>IF(_1_54128456121462410464578910174[[#This Row],[Type]]&gt;0,VLOOKUP(_1_54128456121462410464578910174[[#This Row],[Type]],Main[[#All],[TYPE]:[UNIT]],'Unit Price'!D$1,FALSE),0)</f>
        <v>0</v>
      </c>
      <c r="I417" s="194">
        <f>IF(_1_54128456121462410464578910174[[#This Row],[Type]]&gt;0,VLOOKUP(_1_54128456121462410464578910174[[#This Row],[Type]],Main[[#All],[TYPE]:[UNIT]],'Unit Price'!G$1,FALSE),0)</f>
        <v>0</v>
      </c>
      <c r="J417" s="194">
        <f>IF(_1_54128456121462410464578910174[[#This Row],[Type]]&gt;0,VLOOKUP(_1_54128456121462410464578910174[[#This Row],[Type]],Main[[#All],[TYPE]:[UNIT]],'Unit Price'!H$1,FALSE),0)</f>
        <v>0</v>
      </c>
      <c r="K417" s="194">
        <f>IF(_1_54128456121462410464578910174[[#This Row],[Discount selection]]&gt;0,VLOOKUP(_1_54128456121462410464578910174[[#This Row],[Discount selection]],'Discount Structure'!$A$2:$B$30,2,"false"),0)</f>
        <v>1</v>
      </c>
      <c r="L417" s="194">
        <f>_1_54128456121462410464578910174[[#This Row],[LIST $]]*_1_54128456121462410464578910174[[#This Row],[DISCOUNT]]*_1_54128456121462410464578910174[[#This Row],[DISCOUNT 2]]</f>
        <v>0</v>
      </c>
      <c r="M417" s="194">
        <f>IF(OR(_1_54128456121462410464578910174[[#This Row],[UNIT]]&gt;0,_1_54128456121462410464578910174[[#This Row],[UNIT]]&lt;0),_1_54128456121462410464578910174[[#This Row],[UNIT]]*_1_54128456121462410464578910174[[#This Row],[COST]],0)</f>
        <v>0</v>
      </c>
      <c r="N417" s="194">
        <f t="shared" si="6"/>
        <v>1.5</v>
      </c>
      <c r="O417" s="198">
        <f>_1_54128456121462410464578910174[[#This Row],[TOTAL]]*_1_54128456121462410464578910174[[#This Row],[MARGIN]]</f>
        <v>0</v>
      </c>
      <c r="R417" s="41"/>
    </row>
    <row r="418" spans="1:18">
      <c r="D418" s="188"/>
      <c r="F418" s="168" t="s">
        <v>6202</v>
      </c>
      <c r="G418" s="193">
        <f>IF(_1_54128456121462410464578910174[[#This Row],[Type]]&gt;0,VLOOKUP(_1_54128456121462410464578910174[[#This Row],[Type]],Main[[#All],[TYPE]:[UNIT]],'Unit Price'!C$1,FALSE),0)</f>
        <v>0</v>
      </c>
      <c r="H418" s="197">
        <f>IF(_1_54128456121462410464578910174[[#This Row],[Type]]&gt;0,VLOOKUP(_1_54128456121462410464578910174[[#This Row],[Type]],Main[[#All],[TYPE]:[UNIT]],'Unit Price'!D$1,FALSE),0)</f>
        <v>0</v>
      </c>
      <c r="I418" s="194">
        <f>IF(_1_54128456121462410464578910174[[#This Row],[Type]]&gt;0,VLOOKUP(_1_54128456121462410464578910174[[#This Row],[Type]],Main[[#All],[TYPE]:[UNIT]],'Unit Price'!G$1,FALSE),0)</f>
        <v>0</v>
      </c>
      <c r="J418" s="194">
        <f>IF(_1_54128456121462410464578910174[[#This Row],[Type]]&gt;0,VLOOKUP(_1_54128456121462410464578910174[[#This Row],[Type]],Main[[#All],[TYPE]:[UNIT]],'Unit Price'!H$1,FALSE),0)</f>
        <v>0</v>
      </c>
      <c r="K418" s="194">
        <f>IF(_1_54128456121462410464578910174[[#This Row],[Discount selection]]&gt;0,VLOOKUP(_1_54128456121462410464578910174[[#This Row],[Discount selection]],'Discount Structure'!$A$2:$B$30,2,"false"),0)</f>
        <v>1</v>
      </c>
      <c r="L418" s="194">
        <f>_1_54128456121462410464578910174[[#This Row],[LIST $]]*_1_54128456121462410464578910174[[#This Row],[DISCOUNT]]*_1_54128456121462410464578910174[[#This Row],[DISCOUNT 2]]</f>
        <v>0</v>
      </c>
      <c r="M418" s="194">
        <f>IF(OR(_1_54128456121462410464578910174[[#This Row],[UNIT]]&gt;0,_1_54128456121462410464578910174[[#This Row],[UNIT]]&lt;0),_1_54128456121462410464578910174[[#This Row],[UNIT]]*_1_54128456121462410464578910174[[#This Row],[COST]],0)</f>
        <v>0</v>
      </c>
      <c r="N418" s="194">
        <f t="shared" si="6"/>
        <v>1.5</v>
      </c>
      <c r="O418" s="198">
        <f>_1_54128456121462410464578910174[[#This Row],[TOTAL]]*_1_54128456121462410464578910174[[#This Row],[MARGIN]]</f>
        <v>0</v>
      </c>
      <c r="R418" s="41"/>
    </row>
    <row r="419" spans="1:18">
      <c r="D419" s="188"/>
      <c r="F419" s="168" t="s">
        <v>6202</v>
      </c>
      <c r="G419" s="193">
        <f>IF(_1_54128456121462410464578910174[[#This Row],[Type]]&gt;0,VLOOKUP(_1_54128456121462410464578910174[[#This Row],[Type]],Main[[#All],[TYPE]:[UNIT]],'Unit Price'!C$1,FALSE),0)</f>
        <v>0</v>
      </c>
      <c r="H419" s="197">
        <f>IF(_1_54128456121462410464578910174[[#This Row],[Type]]&gt;0,VLOOKUP(_1_54128456121462410464578910174[[#This Row],[Type]],Main[[#All],[TYPE]:[UNIT]],'Unit Price'!D$1,FALSE),0)</f>
        <v>0</v>
      </c>
      <c r="I419" s="194">
        <f>IF(_1_54128456121462410464578910174[[#This Row],[Type]]&gt;0,VLOOKUP(_1_54128456121462410464578910174[[#This Row],[Type]],Main[[#All],[TYPE]:[UNIT]],'Unit Price'!G$1,FALSE),0)</f>
        <v>0</v>
      </c>
      <c r="J419" s="194">
        <f>IF(_1_54128456121462410464578910174[[#This Row],[Type]]&gt;0,VLOOKUP(_1_54128456121462410464578910174[[#This Row],[Type]],Main[[#All],[TYPE]:[UNIT]],'Unit Price'!H$1,FALSE),0)</f>
        <v>0</v>
      </c>
      <c r="K419" s="194">
        <f>IF(_1_54128456121462410464578910174[[#This Row],[Discount selection]]&gt;0,VLOOKUP(_1_54128456121462410464578910174[[#This Row],[Discount selection]],'Discount Structure'!$A$2:$B$30,2,"false"),0)</f>
        <v>1</v>
      </c>
      <c r="L419" s="194">
        <f>_1_54128456121462410464578910174[[#This Row],[LIST $]]*_1_54128456121462410464578910174[[#This Row],[DISCOUNT]]*_1_54128456121462410464578910174[[#This Row],[DISCOUNT 2]]</f>
        <v>0</v>
      </c>
      <c r="M419" s="194">
        <f>IF(OR(_1_54128456121462410464578910174[[#This Row],[UNIT]]&gt;0,_1_54128456121462410464578910174[[#This Row],[UNIT]]&lt;0),_1_54128456121462410464578910174[[#This Row],[UNIT]]*_1_54128456121462410464578910174[[#This Row],[COST]],0)</f>
        <v>0</v>
      </c>
      <c r="N419" s="194">
        <f t="shared" si="6"/>
        <v>1.5</v>
      </c>
      <c r="O419" s="198">
        <f>_1_54128456121462410464578910174[[#This Row],[TOTAL]]*_1_54128456121462410464578910174[[#This Row],[MARGIN]]</f>
        <v>0</v>
      </c>
      <c r="R419" s="41"/>
    </row>
    <row r="420" spans="1:18">
      <c r="D420" s="188"/>
      <c r="F420" s="168" t="s">
        <v>6202</v>
      </c>
      <c r="G420" s="193">
        <f>IF(_1_54128456121462410464578910174[[#This Row],[Type]]&gt;0,VLOOKUP(_1_54128456121462410464578910174[[#This Row],[Type]],Main[[#All],[TYPE]:[UNIT]],'Unit Price'!C$1,FALSE),0)</f>
        <v>0</v>
      </c>
      <c r="H420" s="197">
        <f>IF(_1_54128456121462410464578910174[[#This Row],[Type]]&gt;0,VLOOKUP(_1_54128456121462410464578910174[[#This Row],[Type]],Main[[#All],[TYPE]:[UNIT]],'Unit Price'!D$1,FALSE),0)</f>
        <v>0</v>
      </c>
      <c r="I420" s="194">
        <f>IF(_1_54128456121462410464578910174[[#This Row],[Type]]&gt;0,VLOOKUP(_1_54128456121462410464578910174[[#This Row],[Type]],Main[[#All],[TYPE]:[UNIT]],'Unit Price'!G$1,FALSE),0)</f>
        <v>0</v>
      </c>
      <c r="J420" s="194">
        <f>IF(_1_54128456121462410464578910174[[#This Row],[Type]]&gt;0,VLOOKUP(_1_54128456121462410464578910174[[#This Row],[Type]],Main[[#All],[TYPE]:[UNIT]],'Unit Price'!H$1,FALSE),0)</f>
        <v>0</v>
      </c>
      <c r="K420" s="194">
        <f>IF(_1_54128456121462410464578910174[[#This Row],[Discount selection]]&gt;0,VLOOKUP(_1_54128456121462410464578910174[[#This Row],[Discount selection]],'Discount Structure'!$A$2:$B$30,2,"false"),0)</f>
        <v>1</v>
      </c>
      <c r="L420" s="194">
        <f>_1_54128456121462410464578910174[[#This Row],[LIST $]]*_1_54128456121462410464578910174[[#This Row],[DISCOUNT]]*_1_54128456121462410464578910174[[#This Row],[DISCOUNT 2]]</f>
        <v>0</v>
      </c>
      <c r="M420" s="194">
        <f>IF(OR(_1_54128456121462410464578910174[[#This Row],[UNIT]]&gt;0,_1_54128456121462410464578910174[[#This Row],[UNIT]]&lt;0),_1_54128456121462410464578910174[[#This Row],[UNIT]]*_1_54128456121462410464578910174[[#This Row],[COST]],0)</f>
        <v>0</v>
      </c>
      <c r="N420" s="194">
        <f t="shared" si="6"/>
        <v>1.5</v>
      </c>
      <c r="O420" s="198">
        <f>_1_54128456121462410464578910174[[#This Row],[TOTAL]]*_1_54128456121462410464578910174[[#This Row],[MARGIN]]</f>
        <v>0</v>
      </c>
      <c r="R420" s="41"/>
    </row>
    <row r="421" spans="1:18">
      <c r="D421" s="188"/>
      <c r="F421" s="168" t="s">
        <v>6202</v>
      </c>
      <c r="G421" s="193">
        <f>IF(_1_54128456121462410464578910174[[#This Row],[Type]]&gt;0,VLOOKUP(_1_54128456121462410464578910174[[#This Row],[Type]],Main[[#All],[TYPE]:[UNIT]],'Unit Price'!C$1,FALSE),0)</f>
        <v>0</v>
      </c>
      <c r="H421" s="197">
        <f>IF(_1_54128456121462410464578910174[[#This Row],[Type]]&gt;0,VLOOKUP(_1_54128456121462410464578910174[[#This Row],[Type]],Main[[#All],[TYPE]:[UNIT]],'Unit Price'!D$1,FALSE),0)</f>
        <v>0</v>
      </c>
      <c r="I421" s="194">
        <f>IF(_1_54128456121462410464578910174[[#This Row],[Type]]&gt;0,VLOOKUP(_1_54128456121462410464578910174[[#This Row],[Type]],Main[[#All],[TYPE]:[UNIT]],'Unit Price'!G$1,FALSE),0)</f>
        <v>0</v>
      </c>
      <c r="J421" s="194">
        <f>IF(_1_54128456121462410464578910174[[#This Row],[Type]]&gt;0,VLOOKUP(_1_54128456121462410464578910174[[#This Row],[Type]],Main[[#All],[TYPE]:[UNIT]],'Unit Price'!H$1,FALSE),0)</f>
        <v>0</v>
      </c>
      <c r="K421" s="194">
        <f>IF(_1_54128456121462410464578910174[[#This Row],[Discount selection]]&gt;0,VLOOKUP(_1_54128456121462410464578910174[[#This Row],[Discount selection]],'Discount Structure'!$A$2:$B$30,2,"false"),0)</f>
        <v>1</v>
      </c>
      <c r="L421" s="194">
        <f>_1_54128456121462410464578910174[[#This Row],[LIST $]]*_1_54128456121462410464578910174[[#This Row],[DISCOUNT]]*_1_54128456121462410464578910174[[#This Row],[DISCOUNT 2]]</f>
        <v>0</v>
      </c>
      <c r="M421" s="194">
        <f>IF(OR(_1_54128456121462410464578910174[[#This Row],[UNIT]]&gt;0,_1_54128456121462410464578910174[[#This Row],[UNIT]]&lt;0),_1_54128456121462410464578910174[[#This Row],[UNIT]]*_1_54128456121462410464578910174[[#This Row],[COST]],0)</f>
        <v>0</v>
      </c>
      <c r="N421" s="194">
        <f t="shared" si="6"/>
        <v>1.5</v>
      </c>
      <c r="O421" s="198">
        <f>_1_54128456121462410464578910174[[#This Row],[TOTAL]]*_1_54128456121462410464578910174[[#This Row],[MARGIN]]</f>
        <v>0</v>
      </c>
      <c r="R421" s="41"/>
    </row>
    <row r="422" spans="1:18">
      <c r="D422" s="188"/>
      <c r="F422" s="168" t="s">
        <v>6202</v>
      </c>
      <c r="G422" s="192">
        <f>IF(_1_54128456121462410464578910174[[#This Row],[Type]]&gt;0,VLOOKUP(_1_54128456121462410464578910174[[#This Row],[Type]],Main[[#All],[TYPE]:[UNIT]],'Unit Price'!C$1,FALSE),0)</f>
        <v>0</v>
      </c>
      <c r="H422" s="197">
        <f>IF(_1_54128456121462410464578910174[[#This Row],[Type]]&gt;0,VLOOKUP(_1_54128456121462410464578910174[[#This Row],[Type]],Main[[#All],[TYPE]:[UNIT]],'Unit Price'!D$1,FALSE),0)</f>
        <v>0</v>
      </c>
      <c r="I422" s="194">
        <f>IF(_1_54128456121462410464578910174[[#This Row],[Type]]&gt;0,VLOOKUP(_1_54128456121462410464578910174[[#This Row],[Type]],Main[[#All],[TYPE]:[UNIT]],'Unit Price'!G$1,FALSE),0)</f>
        <v>0</v>
      </c>
      <c r="J422" s="194">
        <f>IF(_1_54128456121462410464578910174[[#This Row],[Type]]&gt;0,VLOOKUP(_1_54128456121462410464578910174[[#This Row],[Type]],Main[[#All],[TYPE]:[UNIT]],'Unit Price'!H$1,FALSE),0)</f>
        <v>0</v>
      </c>
      <c r="K422" s="194">
        <f>IF(_1_54128456121462410464578910174[[#This Row],[Discount selection]]&gt;0,VLOOKUP(_1_54128456121462410464578910174[[#This Row],[Discount selection]],'Discount Structure'!$A$2:$B$30,2,"false"),0)</f>
        <v>1</v>
      </c>
      <c r="L422" s="194">
        <f>_1_54128456121462410464578910174[[#This Row],[LIST $]]*_1_54128456121462410464578910174[[#This Row],[DISCOUNT]]*_1_54128456121462410464578910174[[#This Row],[DISCOUNT 2]]</f>
        <v>0</v>
      </c>
      <c r="M422" s="194">
        <f>IF(OR(_1_54128456121462410464578910174[[#This Row],[UNIT]]&gt;0,_1_54128456121462410464578910174[[#This Row],[UNIT]]&lt;0),_1_54128456121462410464578910174[[#This Row],[UNIT]]*_1_54128456121462410464578910174[[#This Row],[COST]],0)</f>
        <v>0</v>
      </c>
      <c r="N422" s="194">
        <f t="shared" si="6"/>
        <v>1.5</v>
      </c>
      <c r="O422" s="198">
        <f>_1_54128456121462410464578910174[[#This Row],[TOTAL]]*_1_54128456121462410464578910174[[#This Row],[MARGIN]]</f>
        <v>0</v>
      </c>
      <c r="R422" s="41"/>
    </row>
    <row r="423" spans="1:18">
      <c r="D423" s="188"/>
      <c r="F423" s="168" t="s">
        <v>6202</v>
      </c>
      <c r="G423" s="193">
        <f>IF(_1_54128456121462410464578910174[[#This Row],[Type]]&gt;0,VLOOKUP(_1_54128456121462410464578910174[[#This Row],[Type]],Main[[#All],[TYPE]:[UNIT]],'Unit Price'!C$1,FALSE),0)</f>
        <v>0</v>
      </c>
      <c r="H423" s="197">
        <f>IF(_1_54128456121462410464578910174[[#This Row],[Type]]&gt;0,VLOOKUP(_1_54128456121462410464578910174[[#This Row],[Type]],Main[[#All],[TYPE]:[UNIT]],'Unit Price'!D$1,FALSE),0)</f>
        <v>0</v>
      </c>
      <c r="I423" s="194">
        <f>IF(_1_54128456121462410464578910174[[#This Row],[Type]]&gt;0,VLOOKUP(_1_54128456121462410464578910174[[#This Row],[Type]],Main[[#All],[TYPE]:[UNIT]],'Unit Price'!G$1,FALSE),0)</f>
        <v>0</v>
      </c>
      <c r="J423" s="194">
        <f>IF(_1_54128456121462410464578910174[[#This Row],[Type]]&gt;0,VLOOKUP(_1_54128456121462410464578910174[[#This Row],[Type]],Main[[#All],[TYPE]:[UNIT]],'Unit Price'!H$1,FALSE),0)</f>
        <v>0</v>
      </c>
      <c r="K423" s="194">
        <f>IF(_1_54128456121462410464578910174[[#This Row],[Discount selection]]&gt;0,VLOOKUP(_1_54128456121462410464578910174[[#This Row],[Discount selection]],'Discount Structure'!$A$2:$B$30,2,"false"),0)</f>
        <v>1</v>
      </c>
      <c r="L423" s="194">
        <f>_1_54128456121462410464578910174[[#This Row],[LIST $]]*_1_54128456121462410464578910174[[#This Row],[DISCOUNT]]*_1_54128456121462410464578910174[[#This Row],[DISCOUNT 2]]</f>
        <v>0</v>
      </c>
      <c r="M423" s="194">
        <f>IF(OR(_1_54128456121462410464578910174[[#This Row],[UNIT]]&gt;0,_1_54128456121462410464578910174[[#This Row],[UNIT]]&lt;0),_1_54128456121462410464578910174[[#This Row],[UNIT]]*_1_54128456121462410464578910174[[#This Row],[COST]],0)</f>
        <v>0</v>
      </c>
      <c r="N423" s="194">
        <f t="shared" si="6"/>
        <v>1.5</v>
      </c>
      <c r="O423" s="198">
        <f>_1_54128456121462410464578910174[[#This Row],[TOTAL]]*_1_54128456121462410464578910174[[#This Row],[MARGIN]]</f>
        <v>0</v>
      </c>
      <c r="R423" s="41"/>
    </row>
    <row r="424" spans="1:18">
      <c r="A424" s="168"/>
      <c r="D424" s="188"/>
      <c r="F424" s="168" t="s">
        <v>6202</v>
      </c>
      <c r="G424" s="193">
        <f>IF(_1_54128456121462410464578910174[[#This Row],[Type]]&gt;0,VLOOKUP(_1_54128456121462410464578910174[[#This Row],[Type]],Main[[#All],[TYPE]:[UNIT]],'Unit Price'!C$1,FALSE),0)</f>
        <v>0</v>
      </c>
      <c r="H424" s="197">
        <f>IF(_1_54128456121462410464578910174[[#This Row],[Type]]&gt;0,VLOOKUP(_1_54128456121462410464578910174[[#This Row],[Type]],Main[[#All],[TYPE]:[UNIT]],'Unit Price'!D$1,FALSE),0)</f>
        <v>0</v>
      </c>
      <c r="I424" s="194">
        <f>IF(_1_54128456121462410464578910174[[#This Row],[Type]]&gt;0,VLOOKUP(_1_54128456121462410464578910174[[#This Row],[Type]],Main[[#All],[TYPE]:[UNIT]],'Unit Price'!G$1,FALSE),0)</f>
        <v>0</v>
      </c>
      <c r="J424" s="194">
        <f>IF(_1_54128456121462410464578910174[[#This Row],[Type]]&gt;0,VLOOKUP(_1_54128456121462410464578910174[[#This Row],[Type]],Main[[#All],[TYPE]:[UNIT]],'Unit Price'!H$1,FALSE),0)</f>
        <v>0</v>
      </c>
      <c r="K424" s="194">
        <f>IF(_1_54128456121462410464578910174[[#This Row],[Discount selection]]&gt;0,VLOOKUP(_1_54128456121462410464578910174[[#This Row],[Discount selection]],'Discount Structure'!$A$2:$B$30,2,"false"),0)</f>
        <v>1</v>
      </c>
      <c r="L424" s="194">
        <f>_1_54128456121462410464578910174[[#This Row],[LIST $]]*_1_54128456121462410464578910174[[#This Row],[DISCOUNT]]*_1_54128456121462410464578910174[[#This Row],[DISCOUNT 2]]</f>
        <v>0</v>
      </c>
      <c r="M424" s="194">
        <f>IF(OR(_1_54128456121462410464578910174[[#This Row],[UNIT]]&gt;0,_1_54128456121462410464578910174[[#This Row],[UNIT]]&lt;0),_1_54128456121462410464578910174[[#This Row],[UNIT]]*_1_54128456121462410464578910174[[#This Row],[COST]],0)</f>
        <v>0</v>
      </c>
      <c r="N424" s="194">
        <f t="shared" si="6"/>
        <v>1.5</v>
      </c>
      <c r="O424" s="198">
        <f>_1_54128456121462410464578910174[[#This Row],[TOTAL]]*_1_54128456121462410464578910174[[#This Row],[MARGIN]]</f>
        <v>0</v>
      </c>
      <c r="R424" s="41"/>
    </row>
    <row r="425" spans="1:18">
      <c r="D425" s="188"/>
      <c r="F425" s="168" t="s">
        <v>6202</v>
      </c>
      <c r="G425" s="193">
        <f>IF(_1_54128456121462410464578910174[[#This Row],[Type]]&gt;0,VLOOKUP(_1_54128456121462410464578910174[[#This Row],[Type]],Main[[#All],[TYPE]:[UNIT]],'Unit Price'!C$1,FALSE),0)</f>
        <v>0</v>
      </c>
      <c r="H425" s="197">
        <f>IF(_1_54128456121462410464578910174[[#This Row],[Type]]&gt;0,VLOOKUP(_1_54128456121462410464578910174[[#This Row],[Type]],Main[[#All],[TYPE]:[UNIT]],'Unit Price'!D$1,FALSE),0)</f>
        <v>0</v>
      </c>
      <c r="I425" s="194">
        <f>IF(_1_54128456121462410464578910174[[#This Row],[Type]]&gt;0,VLOOKUP(_1_54128456121462410464578910174[[#This Row],[Type]],Main[[#All],[TYPE]:[UNIT]],'Unit Price'!G$1,FALSE),0)</f>
        <v>0</v>
      </c>
      <c r="J425" s="194">
        <f>IF(_1_54128456121462410464578910174[[#This Row],[Type]]&gt;0,VLOOKUP(_1_54128456121462410464578910174[[#This Row],[Type]],Main[[#All],[TYPE]:[UNIT]],'Unit Price'!H$1,FALSE),0)</f>
        <v>0</v>
      </c>
      <c r="K425" s="194">
        <f>IF(_1_54128456121462410464578910174[[#This Row],[Discount selection]]&gt;0,VLOOKUP(_1_54128456121462410464578910174[[#This Row],[Discount selection]],'Discount Structure'!$A$2:$B$30,2,"false"),0)</f>
        <v>1</v>
      </c>
      <c r="L425" s="194">
        <f>_1_54128456121462410464578910174[[#This Row],[LIST $]]*_1_54128456121462410464578910174[[#This Row],[DISCOUNT]]*_1_54128456121462410464578910174[[#This Row],[DISCOUNT 2]]</f>
        <v>0</v>
      </c>
      <c r="M425" s="194">
        <f>IF(OR(_1_54128456121462410464578910174[[#This Row],[UNIT]]&gt;0,_1_54128456121462410464578910174[[#This Row],[UNIT]]&lt;0),_1_54128456121462410464578910174[[#This Row],[UNIT]]*_1_54128456121462410464578910174[[#This Row],[COST]],0)</f>
        <v>0</v>
      </c>
      <c r="N425" s="194">
        <f t="shared" si="6"/>
        <v>1.5</v>
      </c>
      <c r="O425" s="198">
        <f>_1_54128456121462410464578910174[[#This Row],[TOTAL]]*_1_54128456121462410464578910174[[#This Row],[MARGIN]]</f>
        <v>0</v>
      </c>
      <c r="R425" s="41"/>
    </row>
    <row r="426" spans="1:18">
      <c r="D426" s="188"/>
      <c r="F426" s="168" t="s">
        <v>6202</v>
      </c>
      <c r="G426" s="193">
        <f>IF(_1_54128456121462410464578910174[[#This Row],[Type]]&gt;0,VLOOKUP(_1_54128456121462410464578910174[[#This Row],[Type]],Main[[#All],[TYPE]:[UNIT]],'Unit Price'!C$1,FALSE),0)</f>
        <v>0</v>
      </c>
      <c r="H426" s="197">
        <f>IF(_1_54128456121462410464578910174[[#This Row],[Type]]&gt;0,VLOOKUP(_1_54128456121462410464578910174[[#This Row],[Type]],Main[[#All],[TYPE]:[UNIT]],'Unit Price'!D$1,FALSE),0)</f>
        <v>0</v>
      </c>
      <c r="I426" s="194">
        <f>IF(_1_54128456121462410464578910174[[#This Row],[Type]]&gt;0,VLOOKUP(_1_54128456121462410464578910174[[#This Row],[Type]],Main[[#All],[TYPE]:[UNIT]],'Unit Price'!G$1,FALSE),0)</f>
        <v>0</v>
      </c>
      <c r="J426" s="194">
        <f>IF(_1_54128456121462410464578910174[[#This Row],[Type]]&gt;0,VLOOKUP(_1_54128456121462410464578910174[[#This Row],[Type]],Main[[#All],[TYPE]:[UNIT]],'Unit Price'!H$1,FALSE),0)</f>
        <v>0</v>
      </c>
      <c r="K426" s="194">
        <f>IF(_1_54128456121462410464578910174[[#This Row],[Discount selection]]&gt;0,VLOOKUP(_1_54128456121462410464578910174[[#This Row],[Discount selection]],'Discount Structure'!$A$2:$B$30,2,"false"),0)</f>
        <v>1</v>
      </c>
      <c r="L426" s="194">
        <f>_1_54128456121462410464578910174[[#This Row],[LIST $]]*_1_54128456121462410464578910174[[#This Row],[DISCOUNT]]*_1_54128456121462410464578910174[[#This Row],[DISCOUNT 2]]</f>
        <v>0</v>
      </c>
      <c r="M426" s="194">
        <f>IF(OR(_1_54128456121462410464578910174[[#This Row],[UNIT]]&gt;0,_1_54128456121462410464578910174[[#This Row],[UNIT]]&lt;0),_1_54128456121462410464578910174[[#This Row],[UNIT]]*_1_54128456121462410464578910174[[#This Row],[COST]],0)</f>
        <v>0</v>
      </c>
      <c r="N426" s="194">
        <f t="shared" si="6"/>
        <v>1.5</v>
      </c>
      <c r="O426" s="198">
        <f>_1_54128456121462410464578910174[[#This Row],[TOTAL]]*_1_54128456121462410464578910174[[#This Row],[MARGIN]]</f>
        <v>0</v>
      </c>
      <c r="R426" s="41"/>
    </row>
    <row r="427" spans="1:18">
      <c r="D427" s="188"/>
      <c r="F427" s="168" t="s">
        <v>6202</v>
      </c>
      <c r="G427" s="192">
        <f>IF(_1_54128456121462410464578910174[[#This Row],[Type]]&gt;0,VLOOKUP(_1_54128456121462410464578910174[[#This Row],[Type]],Main[[#All],[TYPE]:[UNIT]],'Unit Price'!C$1,FALSE),0)</f>
        <v>0</v>
      </c>
      <c r="H427" s="197">
        <f>IF(_1_54128456121462410464578910174[[#This Row],[Type]]&gt;0,VLOOKUP(_1_54128456121462410464578910174[[#This Row],[Type]],Main[[#All],[TYPE]:[UNIT]],'Unit Price'!D$1,FALSE),0)</f>
        <v>0</v>
      </c>
      <c r="I427" s="194">
        <f>IF(_1_54128456121462410464578910174[[#This Row],[Type]]&gt;0,VLOOKUP(_1_54128456121462410464578910174[[#This Row],[Type]],Main[[#All],[TYPE]:[UNIT]],'Unit Price'!G$1,FALSE),0)</f>
        <v>0</v>
      </c>
      <c r="J427" s="194">
        <f>IF(_1_54128456121462410464578910174[[#This Row],[Type]]&gt;0,VLOOKUP(_1_54128456121462410464578910174[[#This Row],[Type]],Main[[#All],[TYPE]:[UNIT]],'Unit Price'!H$1,FALSE),0)</f>
        <v>0</v>
      </c>
      <c r="K427" s="194">
        <f>IF(_1_54128456121462410464578910174[[#This Row],[Discount selection]]&gt;0,VLOOKUP(_1_54128456121462410464578910174[[#This Row],[Discount selection]],'Discount Structure'!$A$2:$B$30,2,"false"),0)</f>
        <v>1</v>
      </c>
      <c r="L427" s="194">
        <f>_1_54128456121462410464578910174[[#This Row],[LIST $]]*_1_54128456121462410464578910174[[#This Row],[DISCOUNT]]*_1_54128456121462410464578910174[[#This Row],[DISCOUNT 2]]</f>
        <v>0</v>
      </c>
      <c r="M427" s="194">
        <f>IF(OR(_1_54128456121462410464578910174[[#This Row],[UNIT]]&gt;0,_1_54128456121462410464578910174[[#This Row],[UNIT]]&lt;0),_1_54128456121462410464578910174[[#This Row],[UNIT]]*_1_54128456121462410464578910174[[#This Row],[COST]],0)</f>
        <v>0</v>
      </c>
      <c r="N427" s="194">
        <f t="shared" si="6"/>
        <v>1.5</v>
      </c>
      <c r="O427" s="198">
        <f>_1_54128456121462410464578910174[[#This Row],[TOTAL]]*_1_54128456121462410464578910174[[#This Row],[MARGIN]]</f>
        <v>0</v>
      </c>
      <c r="R427" s="41"/>
    </row>
    <row r="428" spans="1:18">
      <c r="D428" s="188"/>
      <c r="F428" s="168" t="s">
        <v>6202</v>
      </c>
      <c r="G428" s="193">
        <f>IF(_1_54128456121462410464578910174[[#This Row],[Type]]&gt;0,VLOOKUP(_1_54128456121462410464578910174[[#This Row],[Type]],Main[[#All],[TYPE]:[UNIT]],'Unit Price'!C$1,FALSE),0)</f>
        <v>0</v>
      </c>
      <c r="H428" s="197">
        <f>IF(_1_54128456121462410464578910174[[#This Row],[Type]]&gt;0,VLOOKUP(_1_54128456121462410464578910174[[#This Row],[Type]],Main[[#All],[TYPE]:[UNIT]],'Unit Price'!D$1,FALSE),0)</f>
        <v>0</v>
      </c>
      <c r="I428" s="194">
        <f>IF(_1_54128456121462410464578910174[[#This Row],[Type]]&gt;0,VLOOKUP(_1_54128456121462410464578910174[[#This Row],[Type]],Main[[#All],[TYPE]:[UNIT]],'Unit Price'!G$1,FALSE),0)</f>
        <v>0</v>
      </c>
      <c r="J428" s="194">
        <f>IF(_1_54128456121462410464578910174[[#This Row],[Type]]&gt;0,VLOOKUP(_1_54128456121462410464578910174[[#This Row],[Type]],Main[[#All],[TYPE]:[UNIT]],'Unit Price'!H$1,FALSE),0)</f>
        <v>0</v>
      </c>
      <c r="K428" s="194">
        <f>IF(_1_54128456121462410464578910174[[#This Row],[Discount selection]]&gt;0,VLOOKUP(_1_54128456121462410464578910174[[#This Row],[Discount selection]],'Discount Structure'!$A$2:$B$30,2,"false"),0)</f>
        <v>1</v>
      </c>
      <c r="L428" s="194">
        <f>_1_54128456121462410464578910174[[#This Row],[LIST $]]*_1_54128456121462410464578910174[[#This Row],[DISCOUNT]]*_1_54128456121462410464578910174[[#This Row],[DISCOUNT 2]]</f>
        <v>0</v>
      </c>
      <c r="M428" s="194">
        <f>IF(OR(_1_54128456121462410464578910174[[#This Row],[UNIT]]&gt;0,_1_54128456121462410464578910174[[#This Row],[UNIT]]&lt;0),_1_54128456121462410464578910174[[#This Row],[UNIT]]*_1_54128456121462410464578910174[[#This Row],[COST]],0)</f>
        <v>0</v>
      </c>
      <c r="N428" s="194">
        <f t="shared" si="6"/>
        <v>1.5</v>
      </c>
      <c r="O428" s="198">
        <f>_1_54128456121462410464578910174[[#This Row],[TOTAL]]*_1_54128456121462410464578910174[[#This Row],[MARGIN]]</f>
        <v>0</v>
      </c>
      <c r="R428" s="41"/>
    </row>
    <row r="429" spans="1:18">
      <c r="D429" s="188"/>
      <c r="F429" s="168" t="s">
        <v>6202</v>
      </c>
      <c r="G429" s="193">
        <f>IF(_1_54128456121462410464578910174[[#This Row],[Type]]&gt;0,VLOOKUP(_1_54128456121462410464578910174[[#This Row],[Type]],Main[[#All],[TYPE]:[UNIT]],'Unit Price'!C$1,FALSE),0)</f>
        <v>0</v>
      </c>
      <c r="H429" s="197">
        <f>IF(_1_54128456121462410464578910174[[#This Row],[Type]]&gt;0,VLOOKUP(_1_54128456121462410464578910174[[#This Row],[Type]],Main[[#All],[TYPE]:[UNIT]],'Unit Price'!D$1,FALSE),0)</f>
        <v>0</v>
      </c>
      <c r="I429" s="194">
        <f>IF(_1_54128456121462410464578910174[[#This Row],[Type]]&gt;0,VLOOKUP(_1_54128456121462410464578910174[[#This Row],[Type]],Main[[#All],[TYPE]:[UNIT]],'Unit Price'!G$1,FALSE),0)</f>
        <v>0</v>
      </c>
      <c r="J429" s="194">
        <f>IF(_1_54128456121462410464578910174[[#This Row],[Type]]&gt;0,VLOOKUP(_1_54128456121462410464578910174[[#This Row],[Type]],Main[[#All],[TYPE]:[UNIT]],'Unit Price'!H$1,FALSE),0)</f>
        <v>0</v>
      </c>
      <c r="K429" s="194">
        <f>IF(_1_54128456121462410464578910174[[#This Row],[Discount selection]]&gt;0,VLOOKUP(_1_54128456121462410464578910174[[#This Row],[Discount selection]],'Discount Structure'!$A$2:$B$30,2,"false"),0)</f>
        <v>1</v>
      </c>
      <c r="L429" s="194">
        <f>_1_54128456121462410464578910174[[#This Row],[LIST $]]*_1_54128456121462410464578910174[[#This Row],[DISCOUNT]]*_1_54128456121462410464578910174[[#This Row],[DISCOUNT 2]]</f>
        <v>0</v>
      </c>
      <c r="M429" s="194">
        <f>IF(OR(_1_54128456121462410464578910174[[#This Row],[UNIT]]&gt;0,_1_54128456121462410464578910174[[#This Row],[UNIT]]&lt;0),_1_54128456121462410464578910174[[#This Row],[UNIT]]*_1_54128456121462410464578910174[[#This Row],[COST]],0)</f>
        <v>0</v>
      </c>
      <c r="N429" s="194">
        <f t="shared" si="6"/>
        <v>1.5</v>
      </c>
      <c r="O429" s="198">
        <f>_1_54128456121462410464578910174[[#This Row],[TOTAL]]*_1_54128456121462410464578910174[[#This Row],[MARGIN]]</f>
        <v>0</v>
      </c>
      <c r="R429" s="41"/>
    </row>
    <row r="430" spans="1:18">
      <c r="D430" s="188"/>
      <c r="F430" s="168" t="s">
        <v>6202</v>
      </c>
      <c r="G430" s="193">
        <f>IF(_1_54128456121462410464578910174[[#This Row],[Type]]&gt;0,VLOOKUP(_1_54128456121462410464578910174[[#This Row],[Type]],Main[[#All],[TYPE]:[UNIT]],'Unit Price'!C$1,FALSE),0)</f>
        <v>0</v>
      </c>
      <c r="H430" s="197">
        <f>IF(_1_54128456121462410464578910174[[#This Row],[Type]]&gt;0,VLOOKUP(_1_54128456121462410464578910174[[#This Row],[Type]],Main[[#All],[TYPE]:[UNIT]],'Unit Price'!D$1,FALSE),0)</f>
        <v>0</v>
      </c>
      <c r="I430" s="194">
        <f>IF(_1_54128456121462410464578910174[[#This Row],[Type]]&gt;0,VLOOKUP(_1_54128456121462410464578910174[[#This Row],[Type]],Main[[#All],[TYPE]:[UNIT]],'Unit Price'!G$1,FALSE),0)</f>
        <v>0</v>
      </c>
      <c r="J430" s="194">
        <f>IF(_1_54128456121462410464578910174[[#This Row],[Type]]&gt;0,VLOOKUP(_1_54128456121462410464578910174[[#This Row],[Type]],Main[[#All],[TYPE]:[UNIT]],'Unit Price'!H$1,FALSE),0)</f>
        <v>0</v>
      </c>
      <c r="K430" s="194">
        <f>IF(_1_54128456121462410464578910174[[#This Row],[Discount selection]]&gt;0,VLOOKUP(_1_54128456121462410464578910174[[#This Row],[Discount selection]],'Discount Structure'!$A$2:$B$30,2,"false"),0)</f>
        <v>1</v>
      </c>
      <c r="L430" s="194">
        <f>_1_54128456121462410464578910174[[#This Row],[LIST $]]*_1_54128456121462410464578910174[[#This Row],[DISCOUNT]]*_1_54128456121462410464578910174[[#This Row],[DISCOUNT 2]]</f>
        <v>0</v>
      </c>
      <c r="M430" s="194">
        <f>IF(OR(_1_54128456121462410464578910174[[#This Row],[UNIT]]&gt;0,_1_54128456121462410464578910174[[#This Row],[UNIT]]&lt;0),_1_54128456121462410464578910174[[#This Row],[UNIT]]*_1_54128456121462410464578910174[[#This Row],[COST]],0)</f>
        <v>0</v>
      </c>
      <c r="N430" s="194">
        <f t="shared" si="6"/>
        <v>1.5</v>
      </c>
      <c r="O430" s="198">
        <f>_1_54128456121462410464578910174[[#This Row],[TOTAL]]*_1_54128456121462410464578910174[[#This Row],[MARGIN]]</f>
        <v>0</v>
      </c>
      <c r="R430" s="41"/>
    </row>
    <row r="431" spans="1:18">
      <c r="D431" s="188"/>
      <c r="F431" s="168" t="s">
        <v>6202</v>
      </c>
      <c r="G431" s="193">
        <f>IF(_1_54128456121462410464578910174[[#This Row],[Type]]&gt;0,VLOOKUP(_1_54128456121462410464578910174[[#This Row],[Type]],Main[[#All],[TYPE]:[UNIT]],'Unit Price'!C$1,FALSE),0)</f>
        <v>0</v>
      </c>
      <c r="H431" s="197">
        <f>IF(_1_54128456121462410464578910174[[#This Row],[Type]]&gt;0,VLOOKUP(_1_54128456121462410464578910174[[#This Row],[Type]],Main[[#All],[TYPE]:[UNIT]],'Unit Price'!D$1,FALSE),0)</f>
        <v>0</v>
      </c>
      <c r="I431" s="194">
        <f>IF(_1_54128456121462410464578910174[[#This Row],[Type]]&gt;0,VLOOKUP(_1_54128456121462410464578910174[[#This Row],[Type]],Main[[#All],[TYPE]:[UNIT]],'Unit Price'!G$1,FALSE),0)</f>
        <v>0</v>
      </c>
      <c r="J431" s="194">
        <f>IF(_1_54128456121462410464578910174[[#This Row],[Type]]&gt;0,VLOOKUP(_1_54128456121462410464578910174[[#This Row],[Type]],Main[[#All],[TYPE]:[UNIT]],'Unit Price'!H$1,FALSE),0)</f>
        <v>0</v>
      </c>
      <c r="K431" s="194">
        <f>IF(_1_54128456121462410464578910174[[#This Row],[Discount selection]]&gt;0,VLOOKUP(_1_54128456121462410464578910174[[#This Row],[Discount selection]],'Discount Structure'!$A$2:$B$30,2,"false"),0)</f>
        <v>1</v>
      </c>
      <c r="L431" s="194">
        <f>_1_54128456121462410464578910174[[#This Row],[LIST $]]*_1_54128456121462410464578910174[[#This Row],[DISCOUNT]]*_1_54128456121462410464578910174[[#This Row],[DISCOUNT 2]]</f>
        <v>0</v>
      </c>
      <c r="M431" s="194">
        <f>IF(OR(_1_54128456121462410464578910174[[#This Row],[UNIT]]&gt;0,_1_54128456121462410464578910174[[#This Row],[UNIT]]&lt;0),_1_54128456121462410464578910174[[#This Row],[UNIT]]*_1_54128456121462410464578910174[[#This Row],[COST]],0)</f>
        <v>0</v>
      </c>
      <c r="N431" s="194">
        <f t="shared" si="6"/>
        <v>1.5</v>
      </c>
      <c r="O431" s="198">
        <f>_1_54128456121462410464578910174[[#This Row],[TOTAL]]*_1_54128456121462410464578910174[[#This Row],[MARGIN]]</f>
        <v>0</v>
      </c>
      <c r="R431" s="41"/>
    </row>
    <row r="432" spans="1:18">
      <c r="D432" s="188"/>
      <c r="F432" s="168" t="s">
        <v>6202</v>
      </c>
      <c r="G432" s="192">
        <f>IF(_1_54128456121462410464578910174[[#This Row],[Type]]&gt;0,VLOOKUP(_1_54128456121462410464578910174[[#This Row],[Type]],Main[[#All],[TYPE]:[UNIT]],'Unit Price'!C$1,FALSE),0)</f>
        <v>0</v>
      </c>
      <c r="H432" s="197">
        <f>IF(_1_54128456121462410464578910174[[#This Row],[Type]]&gt;0,VLOOKUP(_1_54128456121462410464578910174[[#This Row],[Type]],Main[[#All],[TYPE]:[UNIT]],'Unit Price'!D$1,FALSE),0)</f>
        <v>0</v>
      </c>
      <c r="I432" s="194">
        <f>IF(_1_54128456121462410464578910174[[#This Row],[Type]]&gt;0,VLOOKUP(_1_54128456121462410464578910174[[#This Row],[Type]],Main[[#All],[TYPE]:[UNIT]],'Unit Price'!G$1,FALSE),0)</f>
        <v>0</v>
      </c>
      <c r="J432" s="194">
        <f>IF(_1_54128456121462410464578910174[[#This Row],[Type]]&gt;0,VLOOKUP(_1_54128456121462410464578910174[[#This Row],[Type]],Main[[#All],[TYPE]:[UNIT]],'Unit Price'!H$1,FALSE),0)</f>
        <v>0</v>
      </c>
      <c r="K432" s="194">
        <f>IF(_1_54128456121462410464578910174[[#This Row],[Discount selection]]&gt;0,VLOOKUP(_1_54128456121462410464578910174[[#This Row],[Discount selection]],'Discount Structure'!$A$2:$B$30,2,"false"),0)</f>
        <v>1</v>
      </c>
      <c r="L432" s="194">
        <f>_1_54128456121462410464578910174[[#This Row],[LIST $]]*_1_54128456121462410464578910174[[#This Row],[DISCOUNT]]*_1_54128456121462410464578910174[[#This Row],[DISCOUNT 2]]</f>
        <v>0</v>
      </c>
      <c r="M432" s="194">
        <f>IF(OR(_1_54128456121462410464578910174[[#This Row],[UNIT]]&gt;0,_1_54128456121462410464578910174[[#This Row],[UNIT]]&lt;0),_1_54128456121462410464578910174[[#This Row],[UNIT]]*_1_54128456121462410464578910174[[#This Row],[COST]],0)</f>
        <v>0</v>
      </c>
      <c r="N432" s="194">
        <f t="shared" si="6"/>
        <v>1.5</v>
      </c>
      <c r="O432" s="198">
        <f>_1_54128456121462410464578910174[[#This Row],[TOTAL]]*_1_54128456121462410464578910174[[#This Row],[MARGIN]]</f>
        <v>0</v>
      </c>
      <c r="R432" s="41"/>
    </row>
    <row r="433" spans="1:18">
      <c r="D433" s="188"/>
      <c r="F433" s="168" t="s">
        <v>6202</v>
      </c>
      <c r="G433" s="193">
        <f>IF(_1_54128456121462410464578910174[[#This Row],[Type]]&gt;0,VLOOKUP(_1_54128456121462410464578910174[[#This Row],[Type]],Main[[#All],[TYPE]:[UNIT]],'Unit Price'!C$1,FALSE),0)</f>
        <v>0</v>
      </c>
      <c r="H433" s="197">
        <f>IF(_1_54128456121462410464578910174[[#This Row],[Type]]&gt;0,VLOOKUP(_1_54128456121462410464578910174[[#This Row],[Type]],Main[[#All],[TYPE]:[UNIT]],'Unit Price'!D$1,FALSE),0)</f>
        <v>0</v>
      </c>
      <c r="I433" s="194">
        <f>IF(_1_54128456121462410464578910174[[#This Row],[Type]]&gt;0,VLOOKUP(_1_54128456121462410464578910174[[#This Row],[Type]],Main[[#All],[TYPE]:[UNIT]],'Unit Price'!G$1,FALSE),0)</f>
        <v>0</v>
      </c>
      <c r="J433" s="194">
        <f>IF(_1_54128456121462410464578910174[[#This Row],[Type]]&gt;0,VLOOKUP(_1_54128456121462410464578910174[[#This Row],[Type]],Main[[#All],[TYPE]:[UNIT]],'Unit Price'!H$1,FALSE),0)</f>
        <v>0</v>
      </c>
      <c r="K433" s="194">
        <f>IF(_1_54128456121462410464578910174[[#This Row],[Discount selection]]&gt;0,VLOOKUP(_1_54128456121462410464578910174[[#This Row],[Discount selection]],'Discount Structure'!$A$2:$B$30,2,"false"),0)</f>
        <v>1</v>
      </c>
      <c r="L433" s="194">
        <f>_1_54128456121462410464578910174[[#This Row],[LIST $]]*_1_54128456121462410464578910174[[#This Row],[DISCOUNT]]*_1_54128456121462410464578910174[[#This Row],[DISCOUNT 2]]</f>
        <v>0</v>
      </c>
      <c r="M433" s="194">
        <f>IF(OR(_1_54128456121462410464578910174[[#This Row],[UNIT]]&gt;0,_1_54128456121462410464578910174[[#This Row],[UNIT]]&lt;0),_1_54128456121462410464578910174[[#This Row],[UNIT]]*_1_54128456121462410464578910174[[#This Row],[COST]],0)</f>
        <v>0</v>
      </c>
      <c r="N433" s="194">
        <f t="shared" si="6"/>
        <v>1.5</v>
      </c>
      <c r="O433" s="198">
        <f>_1_54128456121462410464578910174[[#This Row],[TOTAL]]*_1_54128456121462410464578910174[[#This Row],[MARGIN]]</f>
        <v>0</v>
      </c>
      <c r="R433" s="41"/>
    </row>
    <row r="434" spans="1:18">
      <c r="D434" s="188"/>
      <c r="F434" s="168" t="s">
        <v>6202</v>
      </c>
      <c r="G434" s="193">
        <f>IF(_1_54128456121462410464578910174[[#This Row],[Type]]&gt;0,VLOOKUP(_1_54128456121462410464578910174[[#This Row],[Type]],Main[[#All],[TYPE]:[UNIT]],'Unit Price'!C$1,FALSE),0)</f>
        <v>0</v>
      </c>
      <c r="H434" s="197">
        <f>IF(_1_54128456121462410464578910174[[#This Row],[Type]]&gt;0,VLOOKUP(_1_54128456121462410464578910174[[#This Row],[Type]],Main[[#All],[TYPE]:[UNIT]],'Unit Price'!D$1,FALSE),0)</f>
        <v>0</v>
      </c>
      <c r="I434" s="194">
        <f>IF(_1_54128456121462410464578910174[[#This Row],[Type]]&gt;0,VLOOKUP(_1_54128456121462410464578910174[[#This Row],[Type]],Main[[#All],[TYPE]:[UNIT]],'Unit Price'!G$1,FALSE),0)</f>
        <v>0</v>
      </c>
      <c r="J434" s="194">
        <f>IF(_1_54128456121462410464578910174[[#This Row],[Type]]&gt;0,VLOOKUP(_1_54128456121462410464578910174[[#This Row],[Type]],Main[[#All],[TYPE]:[UNIT]],'Unit Price'!H$1,FALSE),0)</f>
        <v>0</v>
      </c>
      <c r="K434" s="194">
        <f>IF(_1_54128456121462410464578910174[[#This Row],[Discount selection]]&gt;0,VLOOKUP(_1_54128456121462410464578910174[[#This Row],[Discount selection]],'Discount Structure'!$A$2:$B$30,2,"false"),0)</f>
        <v>1</v>
      </c>
      <c r="L434" s="194">
        <f>_1_54128456121462410464578910174[[#This Row],[LIST $]]*_1_54128456121462410464578910174[[#This Row],[DISCOUNT]]*_1_54128456121462410464578910174[[#This Row],[DISCOUNT 2]]</f>
        <v>0</v>
      </c>
      <c r="M434" s="194">
        <f>IF(OR(_1_54128456121462410464578910174[[#This Row],[UNIT]]&gt;0,_1_54128456121462410464578910174[[#This Row],[UNIT]]&lt;0),_1_54128456121462410464578910174[[#This Row],[UNIT]]*_1_54128456121462410464578910174[[#This Row],[COST]],0)</f>
        <v>0</v>
      </c>
      <c r="N434" s="194">
        <f t="shared" si="6"/>
        <v>1.5</v>
      </c>
      <c r="O434" s="198">
        <f>_1_54128456121462410464578910174[[#This Row],[TOTAL]]*_1_54128456121462410464578910174[[#This Row],[MARGIN]]</f>
        <v>0</v>
      </c>
      <c r="R434" s="41"/>
    </row>
    <row r="435" spans="1:18">
      <c r="D435" s="188"/>
      <c r="F435" s="168" t="s">
        <v>6202</v>
      </c>
      <c r="G435" s="193">
        <f>IF(_1_54128456121462410464578910174[[#This Row],[Type]]&gt;0,VLOOKUP(_1_54128456121462410464578910174[[#This Row],[Type]],Main[[#All],[TYPE]:[UNIT]],'Unit Price'!C$1,FALSE),0)</f>
        <v>0</v>
      </c>
      <c r="H435" s="197">
        <f>IF(_1_54128456121462410464578910174[[#This Row],[Type]]&gt;0,VLOOKUP(_1_54128456121462410464578910174[[#This Row],[Type]],Main[[#All],[TYPE]:[UNIT]],'Unit Price'!D$1,FALSE),0)</f>
        <v>0</v>
      </c>
      <c r="I435" s="194">
        <f>IF(_1_54128456121462410464578910174[[#This Row],[Type]]&gt;0,VLOOKUP(_1_54128456121462410464578910174[[#This Row],[Type]],Main[[#All],[TYPE]:[UNIT]],'Unit Price'!G$1,FALSE),0)</f>
        <v>0</v>
      </c>
      <c r="J435" s="194">
        <f>IF(_1_54128456121462410464578910174[[#This Row],[Type]]&gt;0,VLOOKUP(_1_54128456121462410464578910174[[#This Row],[Type]],Main[[#All],[TYPE]:[UNIT]],'Unit Price'!H$1,FALSE),0)</f>
        <v>0</v>
      </c>
      <c r="K435" s="194">
        <f>IF(_1_54128456121462410464578910174[[#This Row],[Discount selection]]&gt;0,VLOOKUP(_1_54128456121462410464578910174[[#This Row],[Discount selection]],'Discount Structure'!$A$2:$B$30,2,"false"),0)</f>
        <v>1</v>
      </c>
      <c r="L435" s="194">
        <f>_1_54128456121462410464578910174[[#This Row],[LIST $]]*_1_54128456121462410464578910174[[#This Row],[DISCOUNT]]*_1_54128456121462410464578910174[[#This Row],[DISCOUNT 2]]</f>
        <v>0</v>
      </c>
      <c r="M435" s="194">
        <f>IF(OR(_1_54128456121462410464578910174[[#This Row],[UNIT]]&gt;0,_1_54128456121462410464578910174[[#This Row],[UNIT]]&lt;0),_1_54128456121462410464578910174[[#This Row],[UNIT]]*_1_54128456121462410464578910174[[#This Row],[COST]],0)</f>
        <v>0</v>
      </c>
      <c r="N435" s="194">
        <f t="shared" si="6"/>
        <v>1.5</v>
      </c>
      <c r="O435" s="198">
        <f>_1_54128456121462410464578910174[[#This Row],[TOTAL]]*_1_54128456121462410464578910174[[#This Row],[MARGIN]]</f>
        <v>0</v>
      </c>
      <c r="R435" s="41"/>
    </row>
    <row r="436" spans="1:18">
      <c r="A436" s="168"/>
      <c r="D436" s="188"/>
      <c r="F436" s="168" t="s">
        <v>6202</v>
      </c>
      <c r="G436" s="193">
        <f>IF(_1_54128456121462410464578910174[[#This Row],[Type]]&gt;0,VLOOKUP(_1_54128456121462410464578910174[[#This Row],[Type]],Main[[#All],[TYPE]:[UNIT]],'Unit Price'!C$1,FALSE),0)</f>
        <v>0</v>
      </c>
      <c r="H436" s="197">
        <f>IF(_1_54128456121462410464578910174[[#This Row],[Type]]&gt;0,VLOOKUP(_1_54128456121462410464578910174[[#This Row],[Type]],Main[[#All],[TYPE]:[UNIT]],'Unit Price'!D$1,FALSE),0)</f>
        <v>0</v>
      </c>
      <c r="I436" s="194">
        <f>IF(_1_54128456121462410464578910174[[#This Row],[Type]]&gt;0,VLOOKUP(_1_54128456121462410464578910174[[#This Row],[Type]],Main[[#All],[TYPE]:[UNIT]],'Unit Price'!G$1,FALSE),0)</f>
        <v>0</v>
      </c>
      <c r="J436" s="194">
        <f>IF(_1_54128456121462410464578910174[[#This Row],[Type]]&gt;0,VLOOKUP(_1_54128456121462410464578910174[[#This Row],[Type]],Main[[#All],[TYPE]:[UNIT]],'Unit Price'!H$1,FALSE),0)</f>
        <v>0</v>
      </c>
      <c r="K436" s="194">
        <f>IF(_1_54128456121462410464578910174[[#This Row],[Discount selection]]&gt;0,VLOOKUP(_1_54128456121462410464578910174[[#This Row],[Discount selection]],'Discount Structure'!$A$2:$B$30,2,"false"),0)</f>
        <v>1</v>
      </c>
      <c r="L436" s="194">
        <f>_1_54128456121462410464578910174[[#This Row],[LIST $]]*_1_54128456121462410464578910174[[#This Row],[DISCOUNT]]*_1_54128456121462410464578910174[[#This Row],[DISCOUNT 2]]</f>
        <v>0</v>
      </c>
      <c r="M436" s="194">
        <f>IF(OR(_1_54128456121462410464578910174[[#This Row],[UNIT]]&gt;0,_1_54128456121462410464578910174[[#This Row],[UNIT]]&lt;0),_1_54128456121462410464578910174[[#This Row],[UNIT]]*_1_54128456121462410464578910174[[#This Row],[COST]],0)</f>
        <v>0</v>
      </c>
      <c r="N436" s="194">
        <f t="shared" si="6"/>
        <v>1.5</v>
      </c>
      <c r="O436" s="198">
        <f>_1_54128456121462410464578910174[[#This Row],[TOTAL]]*_1_54128456121462410464578910174[[#This Row],[MARGIN]]</f>
        <v>0</v>
      </c>
      <c r="R436" s="41"/>
    </row>
    <row r="437" spans="1:18">
      <c r="B437" s="168"/>
      <c r="D437" s="188"/>
      <c r="F437" s="168" t="s">
        <v>6202</v>
      </c>
      <c r="G437" s="192">
        <f>IF(_1_54128456121462410464578910174[[#This Row],[Type]]&gt;0,VLOOKUP(_1_54128456121462410464578910174[[#This Row],[Type]],Main[[#All],[TYPE]:[UNIT]],'Unit Price'!C$1,FALSE),0)</f>
        <v>0</v>
      </c>
      <c r="H437" s="197">
        <f>IF(_1_54128456121462410464578910174[[#This Row],[Type]]&gt;0,VLOOKUP(_1_54128456121462410464578910174[[#This Row],[Type]],Main[[#All],[TYPE]:[UNIT]],'Unit Price'!D$1,FALSE),0)</f>
        <v>0</v>
      </c>
      <c r="I437" s="194">
        <f>IF(_1_54128456121462410464578910174[[#This Row],[Type]]&gt;0,VLOOKUP(_1_54128456121462410464578910174[[#This Row],[Type]],Main[[#All],[TYPE]:[UNIT]],'Unit Price'!G$1,FALSE),0)</f>
        <v>0</v>
      </c>
      <c r="J437" s="194">
        <f>IF(_1_54128456121462410464578910174[[#This Row],[Type]]&gt;0,VLOOKUP(_1_54128456121462410464578910174[[#This Row],[Type]],Main[[#All],[TYPE]:[UNIT]],'Unit Price'!H$1,FALSE),0)</f>
        <v>0</v>
      </c>
      <c r="K437" s="194">
        <f>IF(_1_54128456121462410464578910174[[#This Row],[Discount selection]]&gt;0,VLOOKUP(_1_54128456121462410464578910174[[#This Row],[Discount selection]],'Discount Structure'!$A$2:$B$30,2,"false"),0)</f>
        <v>1</v>
      </c>
      <c r="L437" s="194">
        <f>_1_54128456121462410464578910174[[#This Row],[LIST $]]*_1_54128456121462410464578910174[[#This Row],[DISCOUNT]]*_1_54128456121462410464578910174[[#This Row],[DISCOUNT 2]]</f>
        <v>0</v>
      </c>
      <c r="M437" s="194">
        <f>IF(OR(_1_54128456121462410464578910174[[#This Row],[UNIT]]&gt;0,_1_54128456121462410464578910174[[#This Row],[UNIT]]&lt;0),_1_54128456121462410464578910174[[#This Row],[UNIT]]*_1_54128456121462410464578910174[[#This Row],[COST]],0)</f>
        <v>0</v>
      </c>
      <c r="N437" s="194">
        <f t="shared" si="6"/>
        <v>1.5</v>
      </c>
      <c r="O437" s="198">
        <f>_1_54128456121462410464578910174[[#This Row],[TOTAL]]*_1_54128456121462410464578910174[[#This Row],[MARGIN]]</f>
        <v>0</v>
      </c>
      <c r="R437" s="41"/>
    </row>
    <row r="438" spans="1:18">
      <c r="D438" s="188"/>
      <c r="F438" s="168" t="s">
        <v>6202</v>
      </c>
      <c r="G438" s="193">
        <f>IF(_1_54128456121462410464578910174[[#This Row],[Type]]&gt;0,VLOOKUP(_1_54128456121462410464578910174[[#This Row],[Type]],Main[[#All],[TYPE]:[UNIT]],'Unit Price'!C$1,FALSE),0)</f>
        <v>0</v>
      </c>
      <c r="H438" s="197">
        <f>IF(_1_54128456121462410464578910174[[#This Row],[Type]]&gt;0,VLOOKUP(_1_54128456121462410464578910174[[#This Row],[Type]],Main[[#All],[TYPE]:[UNIT]],'Unit Price'!D$1,FALSE),0)</f>
        <v>0</v>
      </c>
      <c r="I438" s="194">
        <f>IF(_1_54128456121462410464578910174[[#This Row],[Type]]&gt;0,VLOOKUP(_1_54128456121462410464578910174[[#This Row],[Type]],Main[[#All],[TYPE]:[UNIT]],'Unit Price'!G$1,FALSE),0)</f>
        <v>0</v>
      </c>
      <c r="J438" s="194">
        <f>IF(_1_54128456121462410464578910174[[#This Row],[Type]]&gt;0,VLOOKUP(_1_54128456121462410464578910174[[#This Row],[Type]],Main[[#All],[TYPE]:[UNIT]],'Unit Price'!H$1,FALSE),0)</f>
        <v>0</v>
      </c>
      <c r="K438" s="194">
        <f>IF(_1_54128456121462410464578910174[[#This Row],[Discount selection]]&gt;0,VLOOKUP(_1_54128456121462410464578910174[[#This Row],[Discount selection]],'Discount Structure'!$A$2:$B$30,2,"false"),0)</f>
        <v>1</v>
      </c>
      <c r="L438" s="194">
        <f>_1_54128456121462410464578910174[[#This Row],[LIST $]]*_1_54128456121462410464578910174[[#This Row],[DISCOUNT]]*_1_54128456121462410464578910174[[#This Row],[DISCOUNT 2]]</f>
        <v>0</v>
      </c>
      <c r="M438" s="194">
        <f>IF(OR(_1_54128456121462410464578910174[[#This Row],[UNIT]]&gt;0,_1_54128456121462410464578910174[[#This Row],[UNIT]]&lt;0),_1_54128456121462410464578910174[[#This Row],[UNIT]]*_1_54128456121462410464578910174[[#This Row],[COST]],0)</f>
        <v>0</v>
      </c>
      <c r="N438" s="194">
        <f t="shared" si="6"/>
        <v>1.5</v>
      </c>
      <c r="O438" s="198">
        <f>_1_54128456121462410464578910174[[#This Row],[TOTAL]]*_1_54128456121462410464578910174[[#This Row],[MARGIN]]</f>
        <v>0</v>
      </c>
      <c r="R438" s="41"/>
    </row>
    <row r="439" spans="1:18">
      <c r="D439" s="188"/>
      <c r="F439" s="168" t="s">
        <v>6202</v>
      </c>
      <c r="G439" s="193">
        <f>IF(_1_54128456121462410464578910174[[#This Row],[Type]]&gt;0,VLOOKUP(_1_54128456121462410464578910174[[#This Row],[Type]],Main[[#All],[TYPE]:[UNIT]],'Unit Price'!C$1,FALSE),0)</f>
        <v>0</v>
      </c>
      <c r="H439" s="197">
        <f>IF(_1_54128456121462410464578910174[[#This Row],[Type]]&gt;0,VLOOKUP(_1_54128456121462410464578910174[[#This Row],[Type]],Main[[#All],[TYPE]:[UNIT]],'Unit Price'!D$1,FALSE),0)</f>
        <v>0</v>
      </c>
      <c r="I439" s="194">
        <f>IF(_1_54128456121462410464578910174[[#This Row],[Type]]&gt;0,VLOOKUP(_1_54128456121462410464578910174[[#This Row],[Type]],Main[[#All],[TYPE]:[UNIT]],'Unit Price'!G$1,FALSE),0)</f>
        <v>0</v>
      </c>
      <c r="J439" s="194">
        <f>IF(_1_54128456121462410464578910174[[#This Row],[Type]]&gt;0,VLOOKUP(_1_54128456121462410464578910174[[#This Row],[Type]],Main[[#All],[TYPE]:[UNIT]],'Unit Price'!H$1,FALSE),0)</f>
        <v>0</v>
      </c>
      <c r="K439" s="194">
        <f>IF(_1_54128456121462410464578910174[[#This Row],[Discount selection]]&gt;0,VLOOKUP(_1_54128456121462410464578910174[[#This Row],[Discount selection]],'Discount Structure'!$A$2:$B$30,2,"false"),0)</f>
        <v>1</v>
      </c>
      <c r="L439" s="194">
        <f>_1_54128456121462410464578910174[[#This Row],[LIST $]]*_1_54128456121462410464578910174[[#This Row],[DISCOUNT]]*_1_54128456121462410464578910174[[#This Row],[DISCOUNT 2]]</f>
        <v>0</v>
      </c>
      <c r="M439" s="194">
        <f>IF(OR(_1_54128456121462410464578910174[[#This Row],[UNIT]]&gt;0,_1_54128456121462410464578910174[[#This Row],[UNIT]]&lt;0),_1_54128456121462410464578910174[[#This Row],[UNIT]]*_1_54128456121462410464578910174[[#This Row],[COST]],0)</f>
        <v>0</v>
      </c>
      <c r="N439" s="194">
        <f t="shared" si="6"/>
        <v>1.5</v>
      </c>
      <c r="O439" s="198">
        <f>_1_54128456121462410464578910174[[#This Row],[TOTAL]]*_1_54128456121462410464578910174[[#This Row],[MARGIN]]</f>
        <v>0</v>
      </c>
      <c r="R439" s="41"/>
    </row>
    <row r="440" spans="1:18">
      <c r="A440" s="168"/>
      <c r="D440" s="188"/>
      <c r="F440" s="168" t="s">
        <v>6202</v>
      </c>
      <c r="G440" s="193">
        <f>IF(_1_54128456121462410464578910174[[#This Row],[Type]]&gt;0,VLOOKUP(_1_54128456121462410464578910174[[#This Row],[Type]],Main[[#All],[TYPE]:[UNIT]],'Unit Price'!C$1,FALSE),0)</f>
        <v>0</v>
      </c>
      <c r="H440" s="197">
        <f>IF(_1_54128456121462410464578910174[[#This Row],[Type]]&gt;0,VLOOKUP(_1_54128456121462410464578910174[[#This Row],[Type]],Main[[#All],[TYPE]:[UNIT]],'Unit Price'!D$1,FALSE),0)</f>
        <v>0</v>
      </c>
      <c r="I440" s="194">
        <f>IF(_1_54128456121462410464578910174[[#This Row],[Type]]&gt;0,VLOOKUP(_1_54128456121462410464578910174[[#This Row],[Type]],Main[[#All],[TYPE]:[UNIT]],'Unit Price'!G$1,FALSE),0)</f>
        <v>0</v>
      </c>
      <c r="J440" s="194">
        <f>IF(_1_54128456121462410464578910174[[#This Row],[Type]]&gt;0,VLOOKUP(_1_54128456121462410464578910174[[#This Row],[Type]],Main[[#All],[TYPE]:[UNIT]],'Unit Price'!H$1,FALSE),0)</f>
        <v>0</v>
      </c>
      <c r="K440" s="194">
        <f>IF(_1_54128456121462410464578910174[[#This Row],[Discount selection]]&gt;0,VLOOKUP(_1_54128456121462410464578910174[[#This Row],[Discount selection]],'Discount Structure'!$A$2:$B$30,2,"false"),0)</f>
        <v>1</v>
      </c>
      <c r="L440" s="194">
        <f>_1_54128456121462410464578910174[[#This Row],[LIST $]]*_1_54128456121462410464578910174[[#This Row],[DISCOUNT]]*_1_54128456121462410464578910174[[#This Row],[DISCOUNT 2]]</f>
        <v>0</v>
      </c>
      <c r="M440" s="194">
        <f>IF(OR(_1_54128456121462410464578910174[[#This Row],[UNIT]]&gt;0,_1_54128456121462410464578910174[[#This Row],[UNIT]]&lt;0),_1_54128456121462410464578910174[[#This Row],[UNIT]]*_1_54128456121462410464578910174[[#This Row],[COST]],0)</f>
        <v>0</v>
      </c>
      <c r="N440" s="194">
        <f t="shared" si="6"/>
        <v>1.5</v>
      </c>
      <c r="O440" s="198">
        <f>_1_54128456121462410464578910174[[#This Row],[TOTAL]]*_1_54128456121462410464578910174[[#This Row],[MARGIN]]</f>
        <v>0</v>
      </c>
      <c r="R440" s="41"/>
    </row>
    <row r="441" spans="1:18">
      <c r="D441" s="188"/>
      <c r="F441" s="168" t="s">
        <v>6202</v>
      </c>
      <c r="G441" s="193">
        <f>IF(_1_54128456121462410464578910174[[#This Row],[Type]]&gt;0,VLOOKUP(_1_54128456121462410464578910174[[#This Row],[Type]],Main[[#All],[TYPE]:[UNIT]],'Unit Price'!C$1,FALSE),0)</f>
        <v>0</v>
      </c>
      <c r="H441" s="197">
        <f>IF(_1_54128456121462410464578910174[[#This Row],[Type]]&gt;0,VLOOKUP(_1_54128456121462410464578910174[[#This Row],[Type]],Main[[#All],[TYPE]:[UNIT]],'Unit Price'!D$1,FALSE),0)</f>
        <v>0</v>
      </c>
      <c r="I441" s="194">
        <f>IF(_1_54128456121462410464578910174[[#This Row],[Type]]&gt;0,VLOOKUP(_1_54128456121462410464578910174[[#This Row],[Type]],Main[[#All],[TYPE]:[UNIT]],'Unit Price'!G$1,FALSE),0)</f>
        <v>0</v>
      </c>
      <c r="J441" s="194">
        <f>IF(_1_54128456121462410464578910174[[#This Row],[Type]]&gt;0,VLOOKUP(_1_54128456121462410464578910174[[#This Row],[Type]],Main[[#All],[TYPE]:[UNIT]],'Unit Price'!H$1,FALSE),0)</f>
        <v>0</v>
      </c>
      <c r="K441" s="194">
        <f>IF(_1_54128456121462410464578910174[[#This Row],[Discount selection]]&gt;0,VLOOKUP(_1_54128456121462410464578910174[[#This Row],[Discount selection]],'Discount Structure'!$A$2:$B$30,2,"false"),0)</f>
        <v>1</v>
      </c>
      <c r="L441" s="194">
        <f>_1_54128456121462410464578910174[[#This Row],[LIST $]]*_1_54128456121462410464578910174[[#This Row],[DISCOUNT]]*_1_54128456121462410464578910174[[#This Row],[DISCOUNT 2]]</f>
        <v>0</v>
      </c>
      <c r="M441" s="194">
        <f>IF(OR(_1_54128456121462410464578910174[[#This Row],[UNIT]]&gt;0,_1_54128456121462410464578910174[[#This Row],[UNIT]]&lt;0),_1_54128456121462410464578910174[[#This Row],[UNIT]]*_1_54128456121462410464578910174[[#This Row],[COST]],0)</f>
        <v>0</v>
      </c>
      <c r="N441" s="194">
        <f t="shared" si="6"/>
        <v>1.5</v>
      </c>
      <c r="O441" s="198">
        <f>_1_54128456121462410464578910174[[#This Row],[TOTAL]]*_1_54128456121462410464578910174[[#This Row],[MARGIN]]</f>
        <v>0</v>
      </c>
      <c r="R441" s="41"/>
    </row>
    <row r="442" spans="1:18">
      <c r="D442" s="188"/>
      <c r="F442" s="168" t="s">
        <v>6202</v>
      </c>
      <c r="G442" s="192">
        <f>IF(_1_54128456121462410464578910174[[#This Row],[Type]]&gt;0,VLOOKUP(_1_54128456121462410464578910174[[#This Row],[Type]],Main[[#All],[TYPE]:[UNIT]],'Unit Price'!C$1,FALSE),0)</f>
        <v>0</v>
      </c>
      <c r="H442" s="197">
        <f>IF(_1_54128456121462410464578910174[[#This Row],[Type]]&gt;0,VLOOKUP(_1_54128456121462410464578910174[[#This Row],[Type]],Main[[#All],[TYPE]:[UNIT]],'Unit Price'!D$1,FALSE),0)</f>
        <v>0</v>
      </c>
      <c r="I442" s="194">
        <f>IF(_1_54128456121462410464578910174[[#This Row],[Type]]&gt;0,VLOOKUP(_1_54128456121462410464578910174[[#This Row],[Type]],Main[[#All],[TYPE]:[UNIT]],'Unit Price'!G$1,FALSE),0)</f>
        <v>0</v>
      </c>
      <c r="J442" s="194">
        <f>IF(_1_54128456121462410464578910174[[#This Row],[Type]]&gt;0,VLOOKUP(_1_54128456121462410464578910174[[#This Row],[Type]],Main[[#All],[TYPE]:[UNIT]],'Unit Price'!H$1,FALSE),0)</f>
        <v>0</v>
      </c>
      <c r="K442" s="194">
        <f>IF(_1_54128456121462410464578910174[[#This Row],[Discount selection]]&gt;0,VLOOKUP(_1_54128456121462410464578910174[[#This Row],[Discount selection]],'Discount Structure'!$A$2:$B$30,2,"false"),0)</f>
        <v>1</v>
      </c>
      <c r="L442" s="194">
        <f>_1_54128456121462410464578910174[[#This Row],[LIST $]]*_1_54128456121462410464578910174[[#This Row],[DISCOUNT]]*_1_54128456121462410464578910174[[#This Row],[DISCOUNT 2]]</f>
        <v>0</v>
      </c>
      <c r="M442" s="194">
        <f>IF(OR(_1_54128456121462410464578910174[[#This Row],[UNIT]]&gt;0,_1_54128456121462410464578910174[[#This Row],[UNIT]]&lt;0),_1_54128456121462410464578910174[[#This Row],[UNIT]]*_1_54128456121462410464578910174[[#This Row],[COST]],0)</f>
        <v>0</v>
      </c>
      <c r="N442" s="194">
        <f t="shared" si="6"/>
        <v>1.5</v>
      </c>
      <c r="O442" s="198">
        <f>_1_54128456121462410464578910174[[#This Row],[TOTAL]]*_1_54128456121462410464578910174[[#This Row],[MARGIN]]</f>
        <v>0</v>
      </c>
      <c r="R442" s="41"/>
    </row>
    <row r="443" spans="1:18">
      <c r="D443" s="188"/>
      <c r="F443" s="168" t="s">
        <v>6202</v>
      </c>
      <c r="G443" s="193">
        <f>IF(_1_54128456121462410464578910174[[#This Row],[Type]]&gt;0,VLOOKUP(_1_54128456121462410464578910174[[#This Row],[Type]],Main[[#All],[TYPE]:[UNIT]],'Unit Price'!C$1,FALSE),0)</f>
        <v>0</v>
      </c>
      <c r="H443" s="197">
        <f>IF(_1_54128456121462410464578910174[[#This Row],[Type]]&gt;0,VLOOKUP(_1_54128456121462410464578910174[[#This Row],[Type]],Main[[#All],[TYPE]:[UNIT]],'Unit Price'!D$1,FALSE),0)</f>
        <v>0</v>
      </c>
      <c r="I443" s="194">
        <f>IF(_1_54128456121462410464578910174[[#This Row],[Type]]&gt;0,VLOOKUP(_1_54128456121462410464578910174[[#This Row],[Type]],Main[[#All],[TYPE]:[UNIT]],'Unit Price'!G$1,FALSE),0)</f>
        <v>0</v>
      </c>
      <c r="J443" s="194">
        <f>IF(_1_54128456121462410464578910174[[#This Row],[Type]]&gt;0,VLOOKUP(_1_54128456121462410464578910174[[#This Row],[Type]],Main[[#All],[TYPE]:[UNIT]],'Unit Price'!H$1,FALSE),0)</f>
        <v>0</v>
      </c>
      <c r="K443" s="194">
        <f>IF(_1_54128456121462410464578910174[[#This Row],[Discount selection]]&gt;0,VLOOKUP(_1_54128456121462410464578910174[[#This Row],[Discount selection]],'Discount Structure'!$A$2:$B$30,2,"false"),0)</f>
        <v>1</v>
      </c>
      <c r="L443" s="194">
        <f>_1_54128456121462410464578910174[[#This Row],[LIST $]]*_1_54128456121462410464578910174[[#This Row],[DISCOUNT]]*_1_54128456121462410464578910174[[#This Row],[DISCOUNT 2]]</f>
        <v>0</v>
      </c>
      <c r="M443" s="194">
        <f>IF(OR(_1_54128456121462410464578910174[[#This Row],[UNIT]]&gt;0,_1_54128456121462410464578910174[[#This Row],[UNIT]]&lt;0),_1_54128456121462410464578910174[[#This Row],[UNIT]]*_1_54128456121462410464578910174[[#This Row],[COST]],0)</f>
        <v>0</v>
      </c>
      <c r="N443" s="194">
        <f t="shared" si="6"/>
        <v>1.5</v>
      </c>
      <c r="O443" s="198">
        <f>_1_54128456121462410464578910174[[#This Row],[TOTAL]]*_1_54128456121462410464578910174[[#This Row],[MARGIN]]</f>
        <v>0</v>
      </c>
      <c r="R443" s="41"/>
    </row>
    <row r="444" spans="1:18">
      <c r="D444" s="188"/>
      <c r="F444" s="168" t="s">
        <v>6202</v>
      </c>
      <c r="G444" s="193">
        <f>IF(_1_54128456121462410464578910174[[#This Row],[Type]]&gt;0,VLOOKUP(_1_54128456121462410464578910174[[#This Row],[Type]],Main[[#All],[TYPE]:[UNIT]],'Unit Price'!C$1,FALSE),0)</f>
        <v>0</v>
      </c>
      <c r="H444" s="197">
        <f>IF(_1_54128456121462410464578910174[[#This Row],[Type]]&gt;0,VLOOKUP(_1_54128456121462410464578910174[[#This Row],[Type]],Main[[#All],[TYPE]:[UNIT]],'Unit Price'!D$1,FALSE),0)</f>
        <v>0</v>
      </c>
      <c r="I444" s="194">
        <f>IF(_1_54128456121462410464578910174[[#This Row],[Type]]&gt;0,VLOOKUP(_1_54128456121462410464578910174[[#This Row],[Type]],Main[[#All],[TYPE]:[UNIT]],'Unit Price'!G$1,FALSE),0)</f>
        <v>0</v>
      </c>
      <c r="J444" s="194">
        <f>IF(_1_54128456121462410464578910174[[#This Row],[Type]]&gt;0,VLOOKUP(_1_54128456121462410464578910174[[#This Row],[Type]],Main[[#All],[TYPE]:[UNIT]],'Unit Price'!H$1,FALSE),0)</f>
        <v>0</v>
      </c>
      <c r="K444" s="194">
        <f>IF(_1_54128456121462410464578910174[[#This Row],[Discount selection]]&gt;0,VLOOKUP(_1_54128456121462410464578910174[[#This Row],[Discount selection]],'Discount Structure'!$A$2:$B$30,2,"false"),0)</f>
        <v>1</v>
      </c>
      <c r="L444" s="194">
        <f>_1_54128456121462410464578910174[[#This Row],[LIST $]]*_1_54128456121462410464578910174[[#This Row],[DISCOUNT]]*_1_54128456121462410464578910174[[#This Row],[DISCOUNT 2]]</f>
        <v>0</v>
      </c>
      <c r="M444" s="194">
        <f>IF(OR(_1_54128456121462410464578910174[[#This Row],[UNIT]]&gt;0,_1_54128456121462410464578910174[[#This Row],[UNIT]]&lt;0),_1_54128456121462410464578910174[[#This Row],[UNIT]]*_1_54128456121462410464578910174[[#This Row],[COST]],0)</f>
        <v>0</v>
      </c>
      <c r="N444" s="194">
        <f t="shared" si="6"/>
        <v>1.5</v>
      </c>
      <c r="O444" s="198">
        <f>_1_54128456121462410464578910174[[#This Row],[TOTAL]]*_1_54128456121462410464578910174[[#This Row],[MARGIN]]</f>
        <v>0</v>
      </c>
      <c r="R444" s="41"/>
    </row>
    <row r="445" spans="1:18">
      <c r="D445" s="188"/>
      <c r="F445" s="168" t="s">
        <v>6202</v>
      </c>
      <c r="G445" s="193">
        <f>IF(_1_54128456121462410464578910174[[#This Row],[Type]]&gt;0,VLOOKUP(_1_54128456121462410464578910174[[#This Row],[Type]],Main[[#All],[TYPE]:[UNIT]],'Unit Price'!C$1,FALSE),0)</f>
        <v>0</v>
      </c>
      <c r="H445" s="197">
        <f>IF(_1_54128456121462410464578910174[[#This Row],[Type]]&gt;0,VLOOKUP(_1_54128456121462410464578910174[[#This Row],[Type]],Main[[#All],[TYPE]:[UNIT]],'Unit Price'!D$1,FALSE),0)</f>
        <v>0</v>
      </c>
      <c r="I445" s="194">
        <f>IF(_1_54128456121462410464578910174[[#This Row],[Type]]&gt;0,VLOOKUP(_1_54128456121462410464578910174[[#This Row],[Type]],Main[[#All],[TYPE]:[UNIT]],'Unit Price'!G$1,FALSE),0)</f>
        <v>0</v>
      </c>
      <c r="J445" s="194">
        <f>IF(_1_54128456121462410464578910174[[#This Row],[Type]]&gt;0,VLOOKUP(_1_54128456121462410464578910174[[#This Row],[Type]],Main[[#All],[TYPE]:[UNIT]],'Unit Price'!H$1,FALSE),0)</f>
        <v>0</v>
      </c>
      <c r="K445" s="194">
        <f>IF(_1_54128456121462410464578910174[[#This Row],[Discount selection]]&gt;0,VLOOKUP(_1_54128456121462410464578910174[[#This Row],[Discount selection]],'Discount Structure'!$A$2:$B$30,2,"false"),0)</f>
        <v>1</v>
      </c>
      <c r="L445" s="194">
        <f>_1_54128456121462410464578910174[[#This Row],[LIST $]]*_1_54128456121462410464578910174[[#This Row],[DISCOUNT]]*_1_54128456121462410464578910174[[#This Row],[DISCOUNT 2]]</f>
        <v>0</v>
      </c>
      <c r="M445" s="194">
        <f>IF(OR(_1_54128456121462410464578910174[[#This Row],[UNIT]]&gt;0,_1_54128456121462410464578910174[[#This Row],[UNIT]]&lt;0),_1_54128456121462410464578910174[[#This Row],[UNIT]]*_1_54128456121462410464578910174[[#This Row],[COST]],0)</f>
        <v>0</v>
      </c>
      <c r="N445" s="194">
        <f t="shared" si="6"/>
        <v>1.5</v>
      </c>
      <c r="O445" s="198">
        <f>_1_54128456121462410464578910174[[#This Row],[TOTAL]]*_1_54128456121462410464578910174[[#This Row],[MARGIN]]</f>
        <v>0</v>
      </c>
      <c r="R445" s="41"/>
    </row>
    <row r="446" spans="1:18">
      <c r="D446" s="188"/>
      <c r="F446" s="168" t="s">
        <v>6202</v>
      </c>
      <c r="G446" s="193">
        <f>IF(_1_54128456121462410464578910174[[#This Row],[Type]]&gt;0,VLOOKUP(_1_54128456121462410464578910174[[#This Row],[Type]],Main[[#All],[TYPE]:[UNIT]],'Unit Price'!C$1,FALSE),0)</f>
        <v>0</v>
      </c>
      <c r="H446" s="197">
        <f>IF(_1_54128456121462410464578910174[[#This Row],[Type]]&gt;0,VLOOKUP(_1_54128456121462410464578910174[[#This Row],[Type]],Main[[#All],[TYPE]:[UNIT]],'Unit Price'!D$1,FALSE),0)</f>
        <v>0</v>
      </c>
      <c r="I446" s="194">
        <f>IF(_1_54128456121462410464578910174[[#This Row],[Type]]&gt;0,VLOOKUP(_1_54128456121462410464578910174[[#This Row],[Type]],Main[[#All],[TYPE]:[UNIT]],'Unit Price'!G$1,FALSE),0)</f>
        <v>0</v>
      </c>
      <c r="J446" s="194">
        <f>IF(_1_54128456121462410464578910174[[#This Row],[Type]]&gt;0,VLOOKUP(_1_54128456121462410464578910174[[#This Row],[Type]],Main[[#All],[TYPE]:[UNIT]],'Unit Price'!H$1,FALSE),0)</f>
        <v>0</v>
      </c>
      <c r="K446" s="194">
        <f>IF(_1_54128456121462410464578910174[[#This Row],[Discount selection]]&gt;0,VLOOKUP(_1_54128456121462410464578910174[[#This Row],[Discount selection]],'Discount Structure'!$A$2:$B$30,2,"false"),0)</f>
        <v>1</v>
      </c>
      <c r="L446" s="194">
        <f>_1_54128456121462410464578910174[[#This Row],[LIST $]]*_1_54128456121462410464578910174[[#This Row],[DISCOUNT]]*_1_54128456121462410464578910174[[#This Row],[DISCOUNT 2]]</f>
        <v>0</v>
      </c>
      <c r="M446" s="194">
        <f>IF(OR(_1_54128456121462410464578910174[[#This Row],[UNIT]]&gt;0,_1_54128456121462410464578910174[[#This Row],[UNIT]]&lt;0),_1_54128456121462410464578910174[[#This Row],[UNIT]]*_1_54128456121462410464578910174[[#This Row],[COST]],0)</f>
        <v>0</v>
      </c>
      <c r="N446" s="194">
        <f t="shared" si="6"/>
        <v>1.5</v>
      </c>
      <c r="O446" s="198">
        <f>_1_54128456121462410464578910174[[#This Row],[TOTAL]]*_1_54128456121462410464578910174[[#This Row],[MARGIN]]</f>
        <v>0</v>
      </c>
      <c r="R446" s="41"/>
    </row>
    <row r="447" spans="1:18">
      <c r="B447" s="168"/>
      <c r="D447" s="188"/>
      <c r="F447" s="168" t="s">
        <v>6202</v>
      </c>
      <c r="G447" s="192">
        <f>IF(_1_54128456121462410464578910174[[#This Row],[Type]]&gt;0,VLOOKUP(_1_54128456121462410464578910174[[#This Row],[Type]],Main[[#All],[TYPE]:[UNIT]],'Unit Price'!C$1,FALSE),0)</f>
        <v>0</v>
      </c>
      <c r="H447" s="197">
        <f>IF(_1_54128456121462410464578910174[[#This Row],[Type]]&gt;0,VLOOKUP(_1_54128456121462410464578910174[[#This Row],[Type]],Main[[#All],[TYPE]:[UNIT]],'Unit Price'!D$1,FALSE),0)</f>
        <v>0</v>
      </c>
      <c r="I447" s="194">
        <f>IF(_1_54128456121462410464578910174[[#This Row],[Type]]&gt;0,VLOOKUP(_1_54128456121462410464578910174[[#This Row],[Type]],Main[[#All],[TYPE]:[UNIT]],'Unit Price'!G$1,FALSE),0)</f>
        <v>0</v>
      </c>
      <c r="J447" s="194">
        <f>IF(_1_54128456121462410464578910174[[#This Row],[Type]]&gt;0,VLOOKUP(_1_54128456121462410464578910174[[#This Row],[Type]],Main[[#All],[TYPE]:[UNIT]],'Unit Price'!H$1,FALSE),0)</f>
        <v>0</v>
      </c>
      <c r="K447" s="194">
        <f>IF(_1_54128456121462410464578910174[[#This Row],[Discount selection]]&gt;0,VLOOKUP(_1_54128456121462410464578910174[[#This Row],[Discount selection]],'Discount Structure'!$A$2:$B$30,2,"false"),0)</f>
        <v>1</v>
      </c>
      <c r="L447" s="194">
        <f>_1_54128456121462410464578910174[[#This Row],[LIST $]]*_1_54128456121462410464578910174[[#This Row],[DISCOUNT]]*_1_54128456121462410464578910174[[#This Row],[DISCOUNT 2]]</f>
        <v>0</v>
      </c>
      <c r="M447" s="194">
        <f>IF(OR(_1_54128456121462410464578910174[[#This Row],[UNIT]]&gt;0,_1_54128456121462410464578910174[[#This Row],[UNIT]]&lt;0),_1_54128456121462410464578910174[[#This Row],[UNIT]]*_1_54128456121462410464578910174[[#This Row],[COST]],0)</f>
        <v>0</v>
      </c>
      <c r="N447" s="194">
        <f t="shared" si="6"/>
        <v>1.5</v>
      </c>
      <c r="O447" s="198">
        <f>_1_54128456121462410464578910174[[#This Row],[TOTAL]]*_1_54128456121462410464578910174[[#This Row],[MARGIN]]</f>
        <v>0</v>
      </c>
      <c r="R447" s="41"/>
    </row>
    <row r="448" spans="1:18">
      <c r="D448" s="188"/>
      <c r="F448" s="168" t="s">
        <v>6202</v>
      </c>
      <c r="G448" s="193">
        <f>IF(_1_54128456121462410464578910174[[#This Row],[Type]]&gt;0,VLOOKUP(_1_54128456121462410464578910174[[#This Row],[Type]],Main[[#All],[TYPE]:[UNIT]],'Unit Price'!C$1,FALSE),0)</f>
        <v>0</v>
      </c>
      <c r="H448" s="197">
        <f>IF(_1_54128456121462410464578910174[[#This Row],[Type]]&gt;0,VLOOKUP(_1_54128456121462410464578910174[[#This Row],[Type]],Main[[#All],[TYPE]:[UNIT]],'Unit Price'!D$1,FALSE),0)</f>
        <v>0</v>
      </c>
      <c r="I448" s="194">
        <f>IF(_1_54128456121462410464578910174[[#This Row],[Type]]&gt;0,VLOOKUP(_1_54128456121462410464578910174[[#This Row],[Type]],Main[[#All],[TYPE]:[UNIT]],'Unit Price'!G$1,FALSE),0)</f>
        <v>0</v>
      </c>
      <c r="J448" s="194">
        <f>IF(_1_54128456121462410464578910174[[#This Row],[Type]]&gt;0,VLOOKUP(_1_54128456121462410464578910174[[#This Row],[Type]],Main[[#All],[TYPE]:[UNIT]],'Unit Price'!H$1,FALSE),0)</f>
        <v>0</v>
      </c>
      <c r="K448" s="194">
        <f>IF(_1_54128456121462410464578910174[[#This Row],[Discount selection]]&gt;0,VLOOKUP(_1_54128456121462410464578910174[[#This Row],[Discount selection]],'Discount Structure'!$A$2:$B$30,2,"false"),0)</f>
        <v>1</v>
      </c>
      <c r="L448" s="194">
        <f>_1_54128456121462410464578910174[[#This Row],[LIST $]]*_1_54128456121462410464578910174[[#This Row],[DISCOUNT]]*_1_54128456121462410464578910174[[#This Row],[DISCOUNT 2]]</f>
        <v>0</v>
      </c>
      <c r="M448" s="194">
        <f>IF(OR(_1_54128456121462410464578910174[[#This Row],[UNIT]]&gt;0,_1_54128456121462410464578910174[[#This Row],[UNIT]]&lt;0),_1_54128456121462410464578910174[[#This Row],[UNIT]]*_1_54128456121462410464578910174[[#This Row],[COST]],0)</f>
        <v>0</v>
      </c>
      <c r="N448" s="194">
        <f t="shared" si="6"/>
        <v>1.5</v>
      </c>
      <c r="O448" s="198">
        <f>_1_54128456121462410464578910174[[#This Row],[TOTAL]]*_1_54128456121462410464578910174[[#This Row],[MARGIN]]</f>
        <v>0</v>
      </c>
      <c r="R448" s="41"/>
    </row>
    <row r="449" spans="1:18">
      <c r="B449" s="168"/>
      <c r="D449" s="188"/>
      <c r="F449" s="168" t="s">
        <v>6202</v>
      </c>
      <c r="G449" s="193">
        <f>IF(_1_54128456121462410464578910174[[#This Row],[Type]]&gt;0,VLOOKUP(_1_54128456121462410464578910174[[#This Row],[Type]],Main[[#All],[TYPE]:[UNIT]],'Unit Price'!C$1,FALSE),0)</f>
        <v>0</v>
      </c>
      <c r="H449" s="197">
        <f>IF(_1_54128456121462410464578910174[[#This Row],[Type]]&gt;0,VLOOKUP(_1_54128456121462410464578910174[[#This Row],[Type]],Main[[#All],[TYPE]:[UNIT]],'Unit Price'!D$1,FALSE),0)</f>
        <v>0</v>
      </c>
      <c r="I449" s="194">
        <f>IF(_1_54128456121462410464578910174[[#This Row],[Type]]&gt;0,VLOOKUP(_1_54128456121462410464578910174[[#This Row],[Type]],Main[[#All],[TYPE]:[UNIT]],'Unit Price'!G$1,FALSE),0)</f>
        <v>0</v>
      </c>
      <c r="J449" s="194">
        <f>IF(_1_54128456121462410464578910174[[#This Row],[Type]]&gt;0,VLOOKUP(_1_54128456121462410464578910174[[#This Row],[Type]],Main[[#All],[TYPE]:[UNIT]],'Unit Price'!H$1,FALSE),0)</f>
        <v>0</v>
      </c>
      <c r="K449" s="194">
        <f>IF(_1_54128456121462410464578910174[[#This Row],[Discount selection]]&gt;0,VLOOKUP(_1_54128456121462410464578910174[[#This Row],[Discount selection]],'Discount Structure'!$A$2:$B$30,2,"false"),0)</f>
        <v>1</v>
      </c>
      <c r="L449" s="194">
        <f>_1_54128456121462410464578910174[[#This Row],[LIST $]]*_1_54128456121462410464578910174[[#This Row],[DISCOUNT]]*_1_54128456121462410464578910174[[#This Row],[DISCOUNT 2]]</f>
        <v>0</v>
      </c>
      <c r="M449" s="194">
        <f>IF(OR(_1_54128456121462410464578910174[[#This Row],[UNIT]]&gt;0,_1_54128456121462410464578910174[[#This Row],[UNIT]]&lt;0),_1_54128456121462410464578910174[[#This Row],[UNIT]]*_1_54128456121462410464578910174[[#This Row],[COST]],0)</f>
        <v>0</v>
      </c>
      <c r="N449" s="194">
        <f t="shared" si="6"/>
        <v>1.5</v>
      </c>
      <c r="O449" s="198">
        <f>_1_54128456121462410464578910174[[#This Row],[TOTAL]]*_1_54128456121462410464578910174[[#This Row],[MARGIN]]</f>
        <v>0</v>
      </c>
      <c r="R449" s="41"/>
    </row>
    <row r="450" spans="1:18">
      <c r="D450" s="188"/>
      <c r="F450" s="168" t="s">
        <v>6202</v>
      </c>
      <c r="G450" s="193">
        <f>IF(_1_54128456121462410464578910174[[#This Row],[Type]]&gt;0,VLOOKUP(_1_54128456121462410464578910174[[#This Row],[Type]],Main[[#All],[TYPE]:[UNIT]],'Unit Price'!C$1,FALSE),0)</f>
        <v>0</v>
      </c>
      <c r="H450" s="197">
        <f>IF(_1_54128456121462410464578910174[[#This Row],[Type]]&gt;0,VLOOKUP(_1_54128456121462410464578910174[[#This Row],[Type]],Main[[#All],[TYPE]:[UNIT]],'Unit Price'!D$1,FALSE),0)</f>
        <v>0</v>
      </c>
      <c r="I450" s="194">
        <f>IF(_1_54128456121462410464578910174[[#This Row],[Type]]&gt;0,VLOOKUP(_1_54128456121462410464578910174[[#This Row],[Type]],Main[[#All],[TYPE]:[UNIT]],'Unit Price'!G$1,FALSE),0)</f>
        <v>0</v>
      </c>
      <c r="J450" s="194">
        <f>IF(_1_54128456121462410464578910174[[#This Row],[Type]]&gt;0,VLOOKUP(_1_54128456121462410464578910174[[#This Row],[Type]],Main[[#All],[TYPE]:[UNIT]],'Unit Price'!H$1,FALSE),0)</f>
        <v>0</v>
      </c>
      <c r="K450" s="194">
        <f>IF(_1_54128456121462410464578910174[[#This Row],[Discount selection]]&gt;0,VLOOKUP(_1_54128456121462410464578910174[[#This Row],[Discount selection]],'Discount Structure'!$A$2:$B$30,2,"false"),0)</f>
        <v>1</v>
      </c>
      <c r="L450" s="194">
        <f>_1_54128456121462410464578910174[[#This Row],[LIST $]]*_1_54128456121462410464578910174[[#This Row],[DISCOUNT]]*_1_54128456121462410464578910174[[#This Row],[DISCOUNT 2]]</f>
        <v>0</v>
      </c>
      <c r="M450" s="194">
        <f>IF(OR(_1_54128456121462410464578910174[[#This Row],[UNIT]]&gt;0,_1_54128456121462410464578910174[[#This Row],[UNIT]]&lt;0),_1_54128456121462410464578910174[[#This Row],[UNIT]]*_1_54128456121462410464578910174[[#This Row],[COST]],0)</f>
        <v>0</v>
      </c>
      <c r="N450" s="194">
        <f t="shared" si="6"/>
        <v>1.5</v>
      </c>
      <c r="O450" s="198">
        <f>_1_54128456121462410464578910174[[#This Row],[TOTAL]]*_1_54128456121462410464578910174[[#This Row],[MARGIN]]</f>
        <v>0</v>
      </c>
      <c r="R450" s="41"/>
    </row>
    <row r="451" spans="1:18">
      <c r="D451" s="188"/>
      <c r="F451" s="168" t="s">
        <v>6202</v>
      </c>
      <c r="G451" s="193">
        <f>IF(_1_54128456121462410464578910174[[#This Row],[Type]]&gt;0,VLOOKUP(_1_54128456121462410464578910174[[#This Row],[Type]],Main[[#All],[TYPE]:[UNIT]],'Unit Price'!C$1,FALSE),0)</f>
        <v>0</v>
      </c>
      <c r="H451" s="197">
        <f>IF(_1_54128456121462410464578910174[[#This Row],[Type]]&gt;0,VLOOKUP(_1_54128456121462410464578910174[[#This Row],[Type]],Main[[#All],[TYPE]:[UNIT]],'Unit Price'!D$1,FALSE),0)</f>
        <v>0</v>
      </c>
      <c r="I451" s="194">
        <f>IF(_1_54128456121462410464578910174[[#This Row],[Type]]&gt;0,VLOOKUP(_1_54128456121462410464578910174[[#This Row],[Type]],Main[[#All],[TYPE]:[UNIT]],'Unit Price'!G$1,FALSE),0)</f>
        <v>0</v>
      </c>
      <c r="J451" s="194">
        <f>IF(_1_54128456121462410464578910174[[#This Row],[Type]]&gt;0,VLOOKUP(_1_54128456121462410464578910174[[#This Row],[Type]],Main[[#All],[TYPE]:[UNIT]],'Unit Price'!H$1,FALSE),0)</f>
        <v>0</v>
      </c>
      <c r="K451" s="194">
        <f>IF(_1_54128456121462410464578910174[[#This Row],[Discount selection]]&gt;0,VLOOKUP(_1_54128456121462410464578910174[[#This Row],[Discount selection]],'Discount Structure'!$A$2:$B$30,2,"false"),0)</f>
        <v>1</v>
      </c>
      <c r="L451" s="194">
        <f>_1_54128456121462410464578910174[[#This Row],[LIST $]]*_1_54128456121462410464578910174[[#This Row],[DISCOUNT]]*_1_54128456121462410464578910174[[#This Row],[DISCOUNT 2]]</f>
        <v>0</v>
      </c>
      <c r="M451" s="194">
        <f>IF(OR(_1_54128456121462410464578910174[[#This Row],[UNIT]]&gt;0,_1_54128456121462410464578910174[[#This Row],[UNIT]]&lt;0),_1_54128456121462410464578910174[[#This Row],[UNIT]]*_1_54128456121462410464578910174[[#This Row],[COST]],0)</f>
        <v>0</v>
      </c>
      <c r="N451" s="194">
        <f t="shared" si="6"/>
        <v>1.5</v>
      </c>
      <c r="O451" s="198">
        <f>_1_54128456121462410464578910174[[#This Row],[TOTAL]]*_1_54128456121462410464578910174[[#This Row],[MARGIN]]</f>
        <v>0</v>
      </c>
      <c r="R451" s="41"/>
    </row>
    <row r="452" spans="1:18">
      <c r="D452" s="188"/>
      <c r="F452" s="168" t="s">
        <v>6202</v>
      </c>
      <c r="G452" s="193">
        <f>IF(_1_54128456121462410464578910174[[#This Row],[Type]]&gt;0,VLOOKUP(_1_54128456121462410464578910174[[#This Row],[Type]],Main[[#All],[TYPE]:[UNIT]],'Unit Price'!C$1,FALSE),0)</f>
        <v>0</v>
      </c>
      <c r="H452" s="197">
        <f>IF(_1_54128456121462410464578910174[[#This Row],[Type]]&gt;0,VLOOKUP(_1_54128456121462410464578910174[[#This Row],[Type]],Main[[#All],[TYPE]:[UNIT]],'Unit Price'!D$1,FALSE),0)</f>
        <v>0</v>
      </c>
      <c r="I452" s="194">
        <f>IF(_1_54128456121462410464578910174[[#This Row],[Type]]&gt;0,VLOOKUP(_1_54128456121462410464578910174[[#This Row],[Type]],Main[[#All],[TYPE]:[UNIT]],'Unit Price'!G$1,FALSE),0)</f>
        <v>0</v>
      </c>
      <c r="J452" s="194">
        <f>IF(_1_54128456121462410464578910174[[#This Row],[Type]]&gt;0,VLOOKUP(_1_54128456121462410464578910174[[#This Row],[Type]],Main[[#All],[TYPE]:[UNIT]],'Unit Price'!H$1,FALSE),0)</f>
        <v>0</v>
      </c>
      <c r="K452" s="194">
        <f>IF(_1_54128456121462410464578910174[[#This Row],[Discount selection]]&gt;0,VLOOKUP(_1_54128456121462410464578910174[[#This Row],[Discount selection]],'Discount Structure'!$A$2:$B$30,2,"false"),0)</f>
        <v>1</v>
      </c>
      <c r="L452" s="194">
        <f>_1_54128456121462410464578910174[[#This Row],[LIST $]]*_1_54128456121462410464578910174[[#This Row],[DISCOUNT]]*_1_54128456121462410464578910174[[#This Row],[DISCOUNT 2]]</f>
        <v>0</v>
      </c>
      <c r="M452" s="194">
        <f>IF(OR(_1_54128456121462410464578910174[[#This Row],[UNIT]]&gt;0,_1_54128456121462410464578910174[[#This Row],[UNIT]]&lt;0),_1_54128456121462410464578910174[[#This Row],[UNIT]]*_1_54128456121462410464578910174[[#This Row],[COST]],0)</f>
        <v>0</v>
      </c>
      <c r="N452" s="194">
        <f t="shared" si="6"/>
        <v>1.5</v>
      </c>
      <c r="O452" s="198">
        <f>_1_54128456121462410464578910174[[#This Row],[TOTAL]]*_1_54128456121462410464578910174[[#This Row],[MARGIN]]</f>
        <v>0</v>
      </c>
      <c r="R452" s="41"/>
    </row>
    <row r="453" spans="1:18">
      <c r="D453" s="188"/>
      <c r="F453" s="168" t="s">
        <v>6202</v>
      </c>
      <c r="G453" s="193">
        <f>IF(_1_54128456121462410464578910174[[#This Row],[Type]]&gt;0,VLOOKUP(_1_54128456121462410464578910174[[#This Row],[Type]],Main[[#All],[TYPE]:[UNIT]],'Unit Price'!C$1,FALSE),0)</f>
        <v>0</v>
      </c>
      <c r="H453" s="197">
        <f>IF(_1_54128456121462410464578910174[[#This Row],[Type]]&gt;0,VLOOKUP(_1_54128456121462410464578910174[[#This Row],[Type]],Main[[#All],[TYPE]:[UNIT]],'Unit Price'!D$1,FALSE),0)</f>
        <v>0</v>
      </c>
      <c r="I453" s="194">
        <f>IF(_1_54128456121462410464578910174[[#This Row],[Type]]&gt;0,VLOOKUP(_1_54128456121462410464578910174[[#This Row],[Type]],Main[[#All],[TYPE]:[UNIT]],'Unit Price'!G$1,FALSE),0)</f>
        <v>0</v>
      </c>
      <c r="J453" s="194">
        <f>IF(_1_54128456121462410464578910174[[#This Row],[Type]]&gt;0,VLOOKUP(_1_54128456121462410464578910174[[#This Row],[Type]],Main[[#All],[TYPE]:[UNIT]],'Unit Price'!H$1,FALSE),0)</f>
        <v>0</v>
      </c>
      <c r="K453" s="194">
        <f>IF(_1_54128456121462410464578910174[[#This Row],[Discount selection]]&gt;0,VLOOKUP(_1_54128456121462410464578910174[[#This Row],[Discount selection]],'Discount Structure'!$A$2:$B$30,2,"false"),0)</f>
        <v>1</v>
      </c>
      <c r="L453" s="194">
        <f>_1_54128456121462410464578910174[[#This Row],[LIST $]]*_1_54128456121462410464578910174[[#This Row],[DISCOUNT]]*_1_54128456121462410464578910174[[#This Row],[DISCOUNT 2]]</f>
        <v>0</v>
      </c>
      <c r="M453" s="194">
        <f>IF(OR(_1_54128456121462410464578910174[[#This Row],[UNIT]]&gt;0,_1_54128456121462410464578910174[[#This Row],[UNIT]]&lt;0),_1_54128456121462410464578910174[[#This Row],[UNIT]]*_1_54128456121462410464578910174[[#This Row],[COST]],0)</f>
        <v>0</v>
      </c>
      <c r="N453" s="194">
        <f t="shared" si="6"/>
        <v>1.5</v>
      </c>
      <c r="O453" s="198">
        <f>_1_54128456121462410464578910174[[#This Row],[TOTAL]]*_1_54128456121462410464578910174[[#This Row],[MARGIN]]</f>
        <v>0</v>
      </c>
      <c r="R453" s="41"/>
    </row>
    <row r="454" spans="1:18">
      <c r="D454" s="188"/>
      <c r="F454" s="168" t="s">
        <v>6202</v>
      </c>
      <c r="G454" s="193">
        <f>IF(_1_54128456121462410464578910174[[#This Row],[Type]]&gt;0,VLOOKUP(_1_54128456121462410464578910174[[#This Row],[Type]],Main[[#All],[TYPE]:[UNIT]],'Unit Price'!C$1,FALSE),0)</f>
        <v>0</v>
      </c>
      <c r="H454" s="197">
        <f>IF(_1_54128456121462410464578910174[[#This Row],[Type]]&gt;0,VLOOKUP(_1_54128456121462410464578910174[[#This Row],[Type]],Main[[#All],[TYPE]:[UNIT]],'Unit Price'!D$1,FALSE),0)</f>
        <v>0</v>
      </c>
      <c r="I454" s="194">
        <f>IF(_1_54128456121462410464578910174[[#This Row],[Type]]&gt;0,VLOOKUP(_1_54128456121462410464578910174[[#This Row],[Type]],Main[[#All],[TYPE]:[UNIT]],'Unit Price'!G$1,FALSE),0)</f>
        <v>0</v>
      </c>
      <c r="J454" s="194">
        <f>IF(_1_54128456121462410464578910174[[#This Row],[Type]]&gt;0,VLOOKUP(_1_54128456121462410464578910174[[#This Row],[Type]],Main[[#All],[TYPE]:[UNIT]],'Unit Price'!H$1,FALSE),0)</f>
        <v>0</v>
      </c>
      <c r="K454" s="194">
        <f>IF(_1_54128456121462410464578910174[[#This Row],[Discount selection]]&gt;0,VLOOKUP(_1_54128456121462410464578910174[[#This Row],[Discount selection]],'Discount Structure'!$A$2:$B$30,2,"false"),0)</f>
        <v>1</v>
      </c>
      <c r="L454" s="194">
        <f>_1_54128456121462410464578910174[[#This Row],[LIST $]]*_1_54128456121462410464578910174[[#This Row],[DISCOUNT]]*_1_54128456121462410464578910174[[#This Row],[DISCOUNT 2]]</f>
        <v>0</v>
      </c>
      <c r="M454" s="194">
        <f>IF(OR(_1_54128456121462410464578910174[[#This Row],[UNIT]]&gt;0,_1_54128456121462410464578910174[[#This Row],[UNIT]]&lt;0),_1_54128456121462410464578910174[[#This Row],[UNIT]]*_1_54128456121462410464578910174[[#This Row],[COST]],0)</f>
        <v>0</v>
      </c>
      <c r="N454" s="194">
        <f t="shared" si="6"/>
        <v>1.5</v>
      </c>
      <c r="O454" s="198">
        <f>_1_54128456121462410464578910174[[#This Row],[TOTAL]]*_1_54128456121462410464578910174[[#This Row],[MARGIN]]</f>
        <v>0</v>
      </c>
      <c r="R454" s="41"/>
    </row>
    <row r="455" spans="1:18">
      <c r="D455" s="188"/>
      <c r="F455" s="168" t="s">
        <v>6202</v>
      </c>
      <c r="G455" s="193">
        <f>IF(_1_54128456121462410464578910174[[#This Row],[Type]]&gt;0,VLOOKUP(_1_54128456121462410464578910174[[#This Row],[Type]],Main[[#All],[TYPE]:[UNIT]],'Unit Price'!C$1,FALSE),0)</f>
        <v>0</v>
      </c>
      <c r="H455" s="197">
        <f>IF(_1_54128456121462410464578910174[[#This Row],[Type]]&gt;0,VLOOKUP(_1_54128456121462410464578910174[[#This Row],[Type]],Main[[#All],[TYPE]:[UNIT]],'Unit Price'!D$1,FALSE),0)</f>
        <v>0</v>
      </c>
      <c r="I455" s="194">
        <f>IF(_1_54128456121462410464578910174[[#This Row],[Type]]&gt;0,VLOOKUP(_1_54128456121462410464578910174[[#This Row],[Type]],Main[[#All],[TYPE]:[UNIT]],'Unit Price'!G$1,FALSE),0)</f>
        <v>0</v>
      </c>
      <c r="J455" s="194">
        <f>IF(_1_54128456121462410464578910174[[#This Row],[Type]]&gt;0,VLOOKUP(_1_54128456121462410464578910174[[#This Row],[Type]],Main[[#All],[TYPE]:[UNIT]],'Unit Price'!H$1,FALSE),0)</f>
        <v>0</v>
      </c>
      <c r="K455" s="194">
        <f>IF(_1_54128456121462410464578910174[[#This Row],[Discount selection]]&gt;0,VLOOKUP(_1_54128456121462410464578910174[[#This Row],[Discount selection]],'Discount Structure'!$A$2:$B$30,2,"false"),0)</f>
        <v>1</v>
      </c>
      <c r="L455" s="194">
        <f>_1_54128456121462410464578910174[[#This Row],[LIST $]]*_1_54128456121462410464578910174[[#This Row],[DISCOUNT]]*_1_54128456121462410464578910174[[#This Row],[DISCOUNT 2]]</f>
        <v>0</v>
      </c>
      <c r="M455" s="194">
        <f>IF(OR(_1_54128456121462410464578910174[[#This Row],[UNIT]]&gt;0,_1_54128456121462410464578910174[[#This Row],[UNIT]]&lt;0),_1_54128456121462410464578910174[[#This Row],[UNIT]]*_1_54128456121462410464578910174[[#This Row],[COST]],0)</f>
        <v>0</v>
      </c>
      <c r="N455" s="194">
        <f t="shared" si="6"/>
        <v>1.5</v>
      </c>
      <c r="O455" s="198">
        <f>_1_54128456121462410464578910174[[#This Row],[TOTAL]]*_1_54128456121462410464578910174[[#This Row],[MARGIN]]</f>
        <v>0</v>
      </c>
      <c r="R455" s="41"/>
    </row>
    <row r="456" spans="1:18">
      <c r="A456" s="168"/>
      <c r="D456" s="188"/>
      <c r="F456" s="168" t="s">
        <v>6202</v>
      </c>
      <c r="G456" s="193">
        <f>IF(_1_54128456121462410464578910174[[#This Row],[Type]]&gt;0,VLOOKUP(_1_54128456121462410464578910174[[#This Row],[Type]],Main[[#All],[TYPE]:[UNIT]],'Unit Price'!C$1,FALSE),0)</f>
        <v>0</v>
      </c>
      <c r="H456" s="197">
        <f>IF(_1_54128456121462410464578910174[[#This Row],[Type]]&gt;0,VLOOKUP(_1_54128456121462410464578910174[[#This Row],[Type]],Main[[#All],[TYPE]:[UNIT]],'Unit Price'!D$1,FALSE),0)</f>
        <v>0</v>
      </c>
      <c r="I456" s="194">
        <f>IF(_1_54128456121462410464578910174[[#This Row],[Type]]&gt;0,VLOOKUP(_1_54128456121462410464578910174[[#This Row],[Type]],Main[[#All],[TYPE]:[UNIT]],'Unit Price'!G$1,FALSE),0)</f>
        <v>0</v>
      </c>
      <c r="J456" s="194">
        <f>IF(_1_54128456121462410464578910174[[#This Row],[Type]]&gt;0,VLOOKUP(_1_54128456121462410464578910174[[#This Row],[Type]],Main[[#All],[TYPE]:[UNIT]],'Unit Price'!H$1,FALSE),0)</f>
        <v>0</v>
      </c>
      <c r="K456" s="194">
        <f>IF(_1_54128456121462410464578910174[[#This Row],[Discount selection]]&gt;0,VLOOKUP(_1_54128456121462410464578910174[[#This Row],[Discount selection]],'Discount Structure'!$A$2:$B$30,2,"false"),0)</f>
        <v>1</v>
      </c>
      <c r="L456" s="194">
        <f>_1_54128456121462410464578910174[[#This Row],[LIST $]]*_1_54128456121462410464578910174[[#This Row],[DISCOUNT]]*_1_54128456121462410464578910174[[#This Row],[DISCOUNT 2]]</f>
        <v>0</v>
      </c>
      <c r="M456" s="194">
        <f>IF(OR(_1_54128456121462410464578910174[[#This Row],[UNIT]]&gt;0,_1_54128456121462410464578910174[[#This Row],[UNIT]]&lt;0),_1_54128456121462410464578910174[[#This Row],[UNIT]]*_1_54128456121462410464578910174[[#This Row],[COST]],0)</f>
        <v>0</v>
      </c>
      <c r="N456" s="194">
        <f t="shared" si="6"/>
        <v>1.5</v>
      </c>
      <c r="O456" s="198">
        <f>_1_54128456121462410464578910174[[#This Row],[TOTAL]]*_1_54128456121462410464578910174[[#This Row],[MARGIN]]</f>
        <v>0</v>
      </c>
      <c r="R456" s="41"/>
    </row>
    <row r="457" spans="1:18">
      <c r="D457" s="188"/>
      <c r="F457" s="168" t="s">
        <v>6202</v>
      </c>
      <c r="G457" s="192">
        <f>IF(_1_54128456121462410464578910174[[#This Row],[Type]]&gt;0,VLOOKUP(_1_54128456121462410464578910174[[#This Row],[Type]],Main[[#All],[TYPE]:[UNIT]],'Unit Price'!C$1,FALSE),0)</f>
        <v>0</v>
      </c>
      <c r="H457" s="197">
        <f>IF(_1_54128456121462410464578910174[[#This Row],[Type]]&gt;0,VLOOKUP(_1_54128456121462410464578910174[[#This Row],[Type]],Main[[#All],[TYPE]:[UNIT]],'Unit Price'!D$1,FALSE),0)</f>
        <v>0</v>
      </c>
      <c r="I457" s="194">
        <f>IF(_1_54128456121462410464578910174[[#This Row],[Type]]&gt;0,VLOOKUP(_1_54128456121462410464578910174[[#This Row],[Type]],Main[[#All],[TYPE]:[UNIT]],'Unit Price'!G$1,FALSE),0)</f>
        <v>0</v>
      </c>
      <c r="J457" s="194">
        <f>IF(_1_54128456121462410464578910174[[#This Row],[Type]]&gt;0,VLOOKUP(_1_54128456121462410464578910174[[#This Row],[Type]],Main[[#All],[TYPE]:[UNIT]],'Unit Price'!H$1,FALSE),0)</f>
        <v>0</v>
      </c>
      <c r="K457" s="194">
        <f>IF(_1_54128456121462410464578910174[[#This Row],[Discount selection]]&gt;0,VLOOKUP(_1_54128456121462410464578910174[[#This Row],[Discount selection]],'Discount Structure'!$A$2:$B$30,2,"false"),0)</f>
        <v>1</v>
      </c>
      <c r="L457" s="194">
        <f>_1_54128456121462410464578910174[[#This Row],[LIST $]]*_1_54128456121462410464578910174[[#This Row],[DISCOUNT]]*_1_54128456121462410464578910174[[#This Row],[DISCOUNT 2]]</f>
        <v>0</v>
      </c>
      <c r="M457" s="194">
        <f>IF(OR(_1_54128456121462410464578910174[[#This Row],[UNIT]]&gt;0,_1_54128456121462410464578910174[[#This Row],[UNIT]]&lt;0),_1_54128456121462410464578910174[[#This Row],[UNIT]]*_1_54128456121462410464578910174[[#This Row],[COST]],0)</f>
        <v>0</v>
      </c>
      <c r="N457" s="194">
        <f t="shared" si="6"/>
        <v>1.5</v>
      </c>
      <c r="O457" s="198">
        <f>_1_54128456121462410464578910174[[#This Row],[TOTAL]]*_1_54128456121462410464578910174[[#This Row],[MARGIN]]</f>
        <v>0</v>
      </c>
      <c r="R457" s="41"/>
    </row>
    <row r="458" spans="1:18">
      <c r="D458" s="188"/>
      <c r="F458" s="168" t="s">
        <v>6202</v>
      </c>
      <c r="G458" s="193">
        <f>IF(_1_54128456121462410464578910174[[#This Row],[Type]]&gt;0,VLOOKUP(_1_54128456121462410464578910174[[#This Row],[Type]],Main[[#All],[TYPE]:[UNIT]],'Unit Price'!C$1,FALSE),0)</f>
        <v>0</v>
      </c>
      <c r="H458" s="197">
        <f>IF(_1_54128456121462410464578910174[[#This Row],[Type]]&gt;0,VLOOKUP(_1_54128456121462410464578910174[[#This Row],[Type]],Main[[#All],[TYPE]:[UNIT]],'Unit Price'!D$1,FALSE),0)</f>
        <v>0</v>
      </c>
      <c r="I458" s="194">
        <f>IF(_1_54128456121462410464578910174[[#This Row],[Type]]&gt;0,VLOOKUP(_1_54128456121462410464578910174[[#This Row],[Type]],Main[[#All],[TYPE]:[UNIT]],'Unit Price'!G$1,FALSE),0)</f>
        <v>0</v>
      </c>
      <c r="J458" s="194">
        <f>IF(_1_54128456121462410464578910174[[#This Row],[Type]]&gt;0,VLOOKUP(_1_54128456121462410464578910174[[#This Row],[Type]],Main[[#All],[TYPE]:[UNIT]],'Unit Price'!H$1,FALSE),0)</f>
        <v>0</v>
      </c>
      <c r="K458" s="194">
        <f>IF(_1_54128456121462410464578910174[[#This Row],[Discount selection]]&gt;0,VLOOKUP(_1_54128456121462410464578910174[[#This Row],[Discount selection]],'Discount Structure'!$A$2:$B$30,2,"false"),0)</f>
        <v>1</v>
      </c>
      <c r="L458" s="194">
        <f>_1_54128456121462410464578910174[[#This Row],[LIST $]]*_1_54128456121462410464578910174[[#This Row],[DISCOUNT]]*_1_54128456121462410464578910174[[#This Row],[DISCOUNT 2]]</f>
        <v>0</v>
      </c>
      <c r="M458" s="194">
        <f>IF(OR(_1_54128456121462410464578910174[[#This Row],[UNIT]]&gt;0,_1_54128456121462410464578910174[[#This Row],[UNIT]]&lt;0),_1_54128456121462410464578910174[[#This Row],[UNIT]]*_1_54128456121462410464578910174[[#This Row],[COST]],0)</f>
        <v>0</v>
      </c>
      <c r="N458" s="194">
        <f t="shared" ref="N458:N521" si="7">$N$7</f>
        <v>1.5</v>
      </c>
      <c r="O458" s="198">
        <f>_1_54128456121462410464578910174[[#This Row],[TOTAL]]*_1_54128456121462410464578910174[[#This Row],[MARGIN]]</f>
        <v>0</v>
      </c>
      <c r="R458" s="41"/>
    </row>
    <row r="459" spans="1:18">
      <c r="D459" s="188"/>
      <c r="F459" s="168" t="s">
        <v>6202</v>
      </c>
      <c r="G459" s="193">
        <f>IF(_1_54128456121462410464578910174[[#This Row],[Type]]&gt;0,VLOOKUP(_1_54128456121462410464578910174[[#This Row],[Type]],Main[[#All],[TYPE]:[UNIT]],'Unit Price'!C$1,FALSE),0)</f>
        <v>0</v>
      </c>
      <c r="H459" s="197">
        <f>IF(_1_54128456121462410464578910174[[#This Row],[Type]]&gt;0,VLOOKUP(_1_54128456121462410464578910174[[#This Row],[Type]],Main[[#All],[TYPE]:[UNIT]],'Unit Price'!D$1,FALSE),0)</f>
        <v>0</v>
      </c>
      <c r="I459" s="194">
        <f>IF(_1_54128456121462410464578910174[[#This Row],[Type]]&gt;0,VLOOKUP(_1_54128456121462410464578910174[[#This Row],[Type]],Main[[#All],[TYPE]:[UNIT]],'Unit Price'!G$1,FALSE),0)</f>
        <v>0</v>
      </c>
      <c r="J459" s="194">
        <f>IF(_1_54128456121462410464578910174[[#This Row],[Type]]&gt;0,VLOOKUP(_1_54128456121462410464578910174[[#This Row],[Type]],Main[[#All],[TYPE]:[UNIT]],'Unit Price'!H$1,FALSE),0)</f>
        <v>0</v>
      </c>
      <c r="K459" s="194">
        <f>IF(_1_54128456121462410464578910174[[#This Row],[Discount selection]]&gt;0,VLOOKUP(_1_54128456121462410464578910174[[#This Row],[Discount selection]],'Discount Structure'!$A$2:$B$30,2,"false"),0)</f>
        <v>1</v>
      </c>
      <c r="L459" s="194">
        <f>_1_54128456121462410464578910174[[#This Row],[LIST $]]*_1_54128456121462410464578910174[[#This Row],[DISCOUNT]]*_1_54128456121462410464578910174[[#This Row],[DISCOUNT 2]]</f>
        <v>0</v>
      </c>
      <c r="M459" s="194">
        <f>IF(OR(_1_54128456121462410464578910174[[#This Row],[UNIT]]&gt;0,_1_54128456121462410464578910174[[#This Row],[UNIT]]&lt;0),_1_54128456121462410464578910174[[#This Row],[UNIT]]*_1_54128456121462410464578910174[[#This Row],[COST]],0)</f>
        <v>0</v>
      </c>
      <c r="N459" s="194">
        <f t="shared" si="7"/>
        <v>1.5</v>
      </c>
      <c r="O459" s="198">
        <f>_1_54128456121462410464578910174[[#This Row],[TOTAL]]*_1_54128456121462410464578910174[[#This Row],[MARGIN]]</f>
        <v>0</v>
      </c>
      <c r="R459" s="41"/>
    </row>
    <row r="460" spans="1:18">
      <c r="D460" s="188"/>
      <c r="F460" s="168" t="s">
        <v>6202</v>
      </c>
      <c r="G460" s="193">
        <f>IF(_1_54128456121462410464578910174[[#This Row],[Type]]&gt;0,VLOOKUP(_1_54128456121462410464578910174[[#This Row],[Type]],Main[[#All],[TYPE]:[UNIT]],'Unit Price'!C$1,FALSE),0)</f>
        <v>0</v>
      </c>
      <c r="H460" s="197">
        <f>IF(_1_54128456121462410464578910174[[#This Row],[Type]]&gt;0,VLOOKUP(_1_54128456121462410464578910174[[#This Row],[Type]],Main[[#All],[TYPE]:[UNIT]],'Unit Price'!D$1,FALSE),0)</f>
        <v>0</v>
      </c>
      <c r="I460" s="194">
        <f>IF(_1_54128456121462410464578910174[[#This Row],[Type]]&gt;0,VLOOKUP(_1_54128456121462410464578910174[[#This Row],[Type]],Main[[#All],[TYPE]:[UNIT]],'Unit Price'!G$1,FALSE),0)</f>
        <v>0</v>
      </c>
      <c r="J460" s="194">
        <f>IF(_1_54128456121462410464578910174[[#This Row],[Type]]&gt;0,VLOOKUP(_1_54128456121462410464578910174[[#This Row],[Type]],Main[[#All],[TYPE]:[UNIT]],'Unit Price'!H$1,FALSE),0)</f>
        <v>0</v>
      </c>
      <c r="K460" s="194">
        <f>IF(_1_54128456121462410464578910174[[#This Row],[Discount selection]]&gt;0,VLOOKUP(_1_54128456121462410464578910174[[#This Row],[Discount selection]],'Discount Structure'!$A$2:$B$30,2,"false"),0)</f>
        <v>1</v>
      </c>
      <c r="L460" s="194">
        <f>_1_54128456121462410464578910174[[#This Row],[LIST $]]*_1_54128456121462410464578910174[[#This Row],[DISCOUNT]]*_1_54128456121462410464578910174[[#This Row],[DISCOUNT 2]]</f>
        <v>0</v>
      </c>
      <c r="M460" s="194">
        <f>IF(OR(_1_54128456121462410464578910174[[#This Row],[UNIT]]&gt;0,_1_54128456121462410464578910174[[#This Row],[UNIT]]&lt;0),_1_54128456121462410464578910174[[#This Row],[UNIT]]*_1_54128456121462410464578910174[[#This Row],[COST]],0)</f>
        <v>0</v>
      </c>
      <c r="N460" s="194">
        <f t="shared" si="7"/>
        <v>1.5</v>
      </c>
      <c r="O460" s="198">
        <f>_1_54128456121462410464578910174[[#This Row],[TOTAL]]*_1_54128456121462410464578910174[[#This Row],[MARGIN]]</f>
        <v>0</v>
      </c>
      <c r="R460" s="41"/>
    </row>
    <row r="461" spans="1:18">
      <c r="D461" s="188"/>
      <c r="F461" s="168" t="s">
        <v>6202</v>
      </c>
      <c r="G461" s="193">
        <f>IF(_1_54128456121462410464578910174[[#This Row],[Type]]&gt;0,VLOOKUP(_1_54128456121462410464578910174[[#This Row],[Type]],Main[[#All],[TYPE]:[UNIT]],'Unit Price'!C$1,FALSE),0)</f>
        <v>0</v>
      </c>
      <c r="H461" s="197">
        <f>IF(_1_54128456121462410464578910174[[#This Row],[Type]]&gt;0,VLOOKUP(_1_54128456121462410464578910174[[#This Row],[Type]],Main[[#All],[TYPE]:[UNIT]],'Unit Price'!D$1,FALSE),0)</f>
        <v>0</v>
      </c>
      <c r="I461" s="194">
        <f>IF(_1_54128456121462410464578910174[[#This Row],[Type]]&gt;0,VLOOKUP(_1_54128456121462410464578910174[[#This Row],[Type]],Main[[#All],[TYPE]:[UNIT]],'Unit Price'!G$1,FALSE),0)</f>
        <v>0</v>
      </c>
      <c r="J461" s="194">
        <f>IF(_1_54128456121462410464578910174[[#This Row],[Type]]&gt;0,VLOOKUP(_1_54128456121462410464578910174[[#This Row],[Type]],Main[[#All],[TYPE]:[UNIT]],'Unit Price'!H$1,FALSE),0)</f>
        <v>0</v>
      </c>
      <c r="K461" s="194">
        <f>IF(_1_54128456121462410464578910174[[#This Row],[Discount selection]]&gt;0,VLOOKUP(_1_54128456121462410464578910174[[#This Row],[Discount selection]],'Discount Structure'!$A$2:$B$30,2,"false"),0)</f>
        <v>1</v>
      </c>
      <c r="L461" s="194">
        <f>_1_54128456121462410464578910174[[#This Row],[LIST $]]*_1_54128456121462410464578910174[[#This Row],[DISCOUNT]]*_1_54128456121462410464578910174[[#This Row],[DISCOUNT 2]]</f>
        <v>0</v>
      </c>
      <c r="M461" s="194">
        <f>IF(OR(_1_54128456121462410464578910174[[#This Row],[UNIT]]&gt;0,_1_54128456121462410464578910174[[#This Row],[UNIT]]&lt;0),_1_54128456121462410464578910174[[#This Row],[UNIT]]*_1_54128456121462410464578910174[[#This Row],[COST]],0)</f>
        <v>0</v>
      </c>
      <c r="N461" s="194">
        <f t="shared" si="7"/>
        <v>1.5</v>
      </c>
      <c r="O461" s="198">
        <f>_1_54128456121462410464578910174[[#This Row],[TOTAL]]*_1_54128456121462410464578910174[[#This Row],[MARGIN]]</f>
        <v>0</v>
      </c>
      <c r="R461" s="41"/>
    </row>
    <row r="462" spans="1:18">
      <c r="D462" s="188"/>
      <c r="F462" s="168" t="s">
        <v>6202</v>
      </c>
      <c r="G462" s="192">
        <f>IF(_1_54128456121462410464578910174[[#This Row],[Type]]&gt;0,VLOOKUP(_1_54128456121462410464578910174[[#This Row],[Type]],Main[[#All],[TYPE]:[UNIT]],'Unit Price'!C$1,FALSE),0)</f>
        <v>0</v>
      </c>
      <c r="H462" s="197">
        <f>IF(_1_54128456121462410464578910174[[#This Row],[Type]]&gt;0,VLOOKUP(_1_54128456121462410464578910174[[#This Row],[Type]],Main[[#All],[TYPE]:[UNIT]],'Unit Price'!D$1,FALSE),0)</f>
        <v>0</v>
      </c>
      <c r="I462" s="194">
        <f>IF(_1_54128456121462410464578910174[[#This Row],[Type]]&gt;0,VLOOKUP(_1_54128456121462410464578910174[[#This Row],[Type]],Main[[#All],[TYPE]:[UNIT]],'Unit Price'!G$1,FALSE),0)</f>
        <v>0</v>
      </c>
      <c r="J462" s="194">
        <f>IF(_1_54128456121462410464578910174[[#This Row],[Type]]&gt;0,VLOOKUP(_1_54128456121462410464578910174[[#This Row],[Type]],Main[[#All],[TYPE]:[UNIT]],'Unit Price'!H$1,FALSE),0)</f>
        <v>0</v>
      </c>
      <c r="K462" s="194">
        <f>IF(_1_54128456121462410464578910174[[#This Row],[Discount selection]]&gt;0,VLOOKUP(_1_54128456121462410464578910174[[#This Row],[Discount selection]],'Discount Structure'!$A$2:$B$30,2,"false"),0)</f>
        <v>1</v>
      </c>
      <c r="L462" s="194">
        <f>_1_54128456121462410464578910174[[#This Row],[LIST $]]*_1_54128456121462410464578910174[[#This Row],[DISCOUNT]]*_1_54128456121462410464578910174[[#This Row],[DISCOUNT 2]]</f>
        <v>0</v>
      </c>
      <c r="M462" s="194">
        <f>IF(OR(_1_54128456121462410464578910174[[#This Row],[UNIT]]&gt;0,_1_54128456121462410464578910174[[#This Row],[UNIT]]&lt;0),_1_54128456121462410464578910174[[#This Row],[UNIT]]*_1_54128456121462410464578910174[[#This Row],[COST]],0)</f>
        <v>0</v>
      </c>
      <c r="N462" s="194">
        <f t="shared" si="7"/>
        <v>1.5</v>
      </c>
      <c r="O462" s="198">
        <f>_1_54128456121462410464578910174[[#This Row],[TOTAL]]*_1_54128456121462410464578910174[[#This Row],[MARGIN]]</f>
        <v>0</v>
      </c>
      <c r="R462" s="41"/>
    </row>
    <row r="463" spans="1:18">
      <c r="D463" s="188"/>
      <c r="F463" s="168" t="s">
        <v>6202</v>
      </c>
      <c r="G463" s="193">
        <f>IF(_1_54128456121462410464578910174[[#This Row],[Type]]&gt;0,VLOOKUP(_1_54128456121462410464578910174[[#This Row],[Type]],Main[[#All],[TYPE]:[UNIT]],'Unit Price'!C$1,FALSE),0)</f>
        <v>0</v>
      </c>
      <c r="H463" s="197">
        <f>IF(_1_54128456121462410464578910174[[#This Row],[Type]]&gt;0,VLOOKUP(_1_54128456121462410464578910174[[#This Row],[Type]],Main[[#All],[TYPE]:[UNIT]],'Unit Price'!D$1,FALSE),0)</f>
        <v>0</v>
      </c>
      <c r="I463" s="194">
        <f>IF(_1_54128456121462410464578910174[[#This Row],[Type]]&gt;0,VLOOKUP(_1_54128456121462410464578910174[[#This Row],[Type]],Main[[#All],[TYPE]:[UNIT]],'Unit Price'!G$1,FALSE),0)</f>
        <v>0</v>
      </c>
      <c r="J463" s="194">
        <f>IF(_1_54128456121462410464578910174[[#This Row],[Type]]&gt;0,VLOOKUP(_1_54128456121462410464578910174[[#This Row],[Type]],Main[[#All],[TYPE]:[UNIT]],'Unit Price'!H$1,FALSE),0)</f>
        <v>0</v>
      </c>
      <c r="K463" s="194">
        <f>IF(_1_54128456121462410464578910174[[#This Row],[Discount selection]]&gt;0,VLOOKUP(_1_54128456121462410464578910174[[#This Row],[Discount selection]],'Discount Structure'!$A$2:$B$30,2,"false"),0)</f>
        <v>1</v>
      </c>
      <c r="L463" s="194">
        <f>_1_54128456121462410464578910174[[#This Row],[LIST $]]*_1_54128456121462410464578910174[[#This Row],[DISCOUNT]]*_1_54128456121462410464578910174[[#This Row],[DISCOUNT 2]]</f>
        <v>0</v>
      </c>
      <c r="M463" s="194">
        <f>IF(OR(_1_54128456121462410464578910174[[#This Row],[UNIT]]&gt;0,_1_54128456121462410464578910174[[#This Row],[UNIT]]&lt;0),_1_54128456121462410464578910174[[#This Row],[UNIT]]*_1_54128456121462410464578910174[[#This Row],[COST]],0)</f>
        <v>0</v>
      </c>
      <c r="N463" s="194">
        <f t="shared" si="7"/>
        <v>1.5</v>
      </c>
      <c r="O463" s="198">
        <f>_1_54128456121462410464578910174[[#This Row],[TOTAL]]*_1_54128456121462410464578910174[[#This Row],[MARGIN]]</f>
        <v>0</v>
      </c>
      <c r="R463" s="41"/>
    </row>
    <row r="464" spans="1:18">
      <c r="D464" s="188"/>
      <c r="F464" s="168" t="s">
        <v>6202</v>
      </c>
      <c r="G464" s="193">
        <f>IF(_1_54128456121462410464578910174[[#This Row],[Type]]&gt;0,VLOOKUP(_1_54128456121462410464578910174[[#This Row],[Type]],Main[[#All],[TYPE]:[UNIT]],'Unit Price'!C$1,FALSE),0)</f>
        <v>0</v>
      </c>
      <c r="H464" s="197">
        <f>IF(_1_54128456121462410464578910174[[#This Row],[Type]]&gt;0,VLOOKUP(_1_54128456121462410464578910174[[#This Row],[Type]],Main[[#All],[TYPE]:[UNIT]],'Unit Price'!D$1,FALSE),0)</f>
        <v>0</v>
      </c>
      <c r="I464" s="194">
        <f>IF(_1_54128456121462410464578910174[[#This Row],[Type]]&gt;0,VLOOKUP(_1_54128456121462410464578910174[[#This Row],[Type]],Main[[#All],[TYPE]:[UNIT]],'Unit Price'!G$1,FALSE),0)</f>
        <v>0</v>
      </c>
      <c r="J464" s="194">
        <f>IF(_1_54128456121462410464578910174[[#This Row],[Type]]&gt;0,VLOOKUP(_1_54128456121462410464578910174[[#This Row],[Type]],Main[[#All],[TYPE]:[UNIT]],'Unit Price'!H$1,FALSE),0)</f>
        <v>0</v>
      </c>
      <c r="K464" s="194">
        <f>IF(_1_54128456121462410464578910174[[#This Row],[Discount selection]]&gt;0,VLOOKUP(_1_54128456121462410464578910174[[#This Row],[Discount selection]],'Discount Structure'!$A$2:$B$30,2,"false"),0)</f>
        <v>1</v>
      </c>
      <c r="L464" s="194">
        <f>_1_54128456121462410464578910174[[#This Row],[LIST $]]*_1_54128456121462410464578910174[[#This Row],[DISCOUNT]]*_1_54128456121462410464578910174[[#This Row],[DISCOUNT 2]]</f>
        <v>0</v>
      </c>
      <c r="M464" s="194">
        <f>IF(OR(_1_54128456121462410464578910174[[#This Row],[UNIT]]&gt;0,_1_54128456121462410464578910174[[#This Row],[UNIT]]&lt;0),_1_54128456121462410464578910174[[#This Row],[UNIT]]*_1_54128456121462410464578910174[[#This Row],[COST]],0)</f>
        <v>0</v>
      </c>
      <c r="N464" s="194">
        <f t="shared" si="7"/>
        <v>1.5</v>
      </c>
      <c r="O464" s="198">
        <f>_1_54128456121462410464578910174[[#This Row],[TOTAL]]*_1_54128456121462410464578910174[[#This Row],[MARGIN]]</f>
        <v>0</v>
      </c>
      <c r="R464" s="41"/>
    </row>
    <row r="465" spans="1:18">
      <c r="D465" s="188"/>
      <c r="F465" s="168" t="s">
        <v>6202</v>
      </c>
      <c r="G465" s="193">
        <f>IF(_1_54128456121462410464578910174[[#This Row],[Type]]&gt;0,VLOOKUP(_1_54128456121462410464578910174[[#This Row],[Type]],Main[[#All],[TYPE]:[UNIT]],'Unit Price'!C$1,FALSE),0)</f>
        <v>0</v>
      </c>
      <c r="H465" s="197">
        <f>IF(_1_54128456121462410464578910174[[#This Row],[Type]]&gt;0,VLOOKUP(_1_54128456121462410464578910174[[#This Row],[Type]],Main[[#All],[TYPE]:[UNIT]],'Unit Price'!D$1,FALSE),0)</f>
        <v>0</v>
      </c>
      <c r="I465" s="194">
        <f>IF(_1_54128456121462410464578910174[[#This Row],[Type]]&gt;0,VLOOKUP(_1_54128456121462410464578910174[[#This Row],[Type]],Main[[#All],[TYPE]:[UNIT]],'Unit Price'!G$1,FALSE),0)</f>
        <v>0</v>
      </c>
      <c r="J465" s="194">
        <f>IF(_1_54128456121462410464578910174[[#This Row],[Type]]&gt;0,VLOOKUP(_1_54128456121462410464578910174[[#This Row],[Type]],Main[[#All],[TYPE]:[UNIT]],'Unit Price'!H$1,FALSE),0)</f>
        <v>0</v>
      </c>
      <c r="K465" s="194">
        <f>IF(_1_54128456121462410464578910174[[#This Row],[Discount selection]]&gt;0,VLOOKUP(_1_54128456121462410464578910174[[#This Row],[Discount selection]],'Discount Structure'!$A$2:$B$30,2,"false"),0)</f>
        <v>1</v>
      </c>
      <c r="L465" s="194">
        <f>_1_54128456121462410464578910174[[#This Row],[LIST $]]*_1_54128456121462410464578910174[[#This Row],[DISCOUNT]]*_1_54128456121462410464578910174[[#This Row],[DISCOUNT 2]]</f>
        <v>0</v>
      </c>
      <c r="M465" s="194">
        <f>IF(OR(_1_54128456121462410464578910174[[#This Row],[UNIT]]&gt;0,_1_54128456121462410464578910174[[#This Row],[UNIT]]&lt;0),_1_54128456121462410464578910174[[#This Row],[UNIT]]*_1_54128456121462410464578910174[[#This Row],[COST]],0)</f>
        <v>0</v>
      </c>
      <c r="N465" s="194">
        <f t="shared" si="7"/>
        <v>1.5</v>
      </c>
      <c r="O465" s="198">
        <f>_1_54128456121462410464578910174[[#This Row],[TOTAL]]*_1_54128456121462410464578910174[[#This Row],[MARGIN]]</f>
        <v>0</v>
      </c>
      <c r="R465" s="41"/>
    </row>
    <row r="466" spans="1:18">
      <c r="A466" s="168"/>
      <c r="D466" s="188"/>
      <c r="F466" s="168" t="s">
        <v>6202</v>
      </c>
      <c r="G466" s="193">
        <f>IF(_1_54128456121462410464578910174[[#This Row],[Type]]&gt;0,VLOOKUP(_1_54128456121462410464578910174[[#This Row],[Type]],Main[[#All],[TYPE]:[UNIT]],'Unit Price'!C$1,FALSE),0)</f>
        <v>0</v>
      </c>
      <c r="H466" s="197">
        <f>IF(_1_54128456121462410464578910174[[#This Row],[Type]]&gt;0,VLOOKUP(_1_54128456121462410464578910174[[#This Row],[Type]],Main[[#All],[TYPE]:[UNIT]],'Unit Price'!D$1,FALSE),0)</f>
        <v>0</v>
      </c>
      <c r="I466" s="194">
        <f>IF(_1_54128456121462410464578910174[[#This Row],[Type]]&gt;0,VLOOKUP(_1_54128456121462410464578910174[[#This Row],[Type]],Main[[#All],[TYPE]:[UNIT]],'Unit Price'!G$1,FALSE),0)</f>
        <v>0</v>
      </c>
      <c r="J466" s="194">
        <f>IF(_1_54128456121462410464578910174[[#This Row],[Type]]&gt;0,VLOOKUP(_1_54128456121462410464578910174[[#This Row],[Type]],Main[[#All],[TYPE]:[UNIT]],'Unit Price'!H$1,FALSE),0)</f>
        <v>0</v>
      </c>
      <c r="K466" s="194">
        <f>IF(_1_54128456121462410464578910174[[#This Row],[Discount selection]]&gt;0,VLOOKUP(_1_54128456121462410464578910174[[#This Row],[Discount selection]],'Discount Structure'!$A$2:$B$30,2,"false"),0)</f>
        <v>1</v>
      </c>
      <c r="L466" s="194">
        <f>_1_54128456121462410464578910174[[#This Row],[LIST $]]*_1_54128456121462410464578910174[[#This Row],[DISCOUNT]]*_1_54128456121462410464578910174[[#This Row],[DISCOUNT 2]]</f>
        <v>0</v>
      </c>
      <c r="M466" s="194">
        <f>IF(OR(_1_54128456121462410464578910174[[#This Row],[UNIT]]&gt;0,_1_54128456121462410464578910174[[#This Row],[UNIT]]&lt;0),_1_54128456121462410464578910174[[#This Row],[UNIT]]*_1_54128456121462410464578910174[[#This Row],[COST]],0)</f>
        <v>0</v>
      </c>
      <c r="N466" s="194">
        <f t="shared" si="7"/>
        <v>1.5</v>
      </c>
      <c r="O466" s="198">
        <f>_1_54128456121462410464578910174[[#This Row],[TOTAL]]*_1_54128456121462410464578910174[[#This Row],[MARGIN]]</f>
        <v>0</v>
      </c>
      <c r="R466" s="41"/>
    </row>
    <row r="467" spans="1:18">
      <c r="D467" s="188"/>
      <c r="F467" s="168" t="s">
        <v>6202</v>
      </c>
      <c r="G467" s="193">
        <f>IF(_1_54128456121462410464578910174[[#This Row],[Type]]&gt;0,VLOOKUP(_1_54128456121462410464578910174[[#This Row],[Type]],Main[[#All],[TYPE]:[UNIT]],'Unit Price'!C$1,FALSE),0)</f>
        <v>0</v>
      </c>
      <c r="H467" s="197">
        <f>IF(_1_54128456121462410464578910174[[#This Row],[Type]]&gt;0,VLOOKUP(_1_54128456121462410464578910174[[#This Row],[Type]],Main[[#All],[TYPE]:[UNIT]],'Unit Price'!D$1,FALSE),0)</f>
        <v>0</v>
      </c>
      <c r="I467" s="194">
        <f>IF(_1_54128456121462410464578910174[[#This Row],[Type]]&gt;0,VLOOKUP(_1_54128456121462410464578910174[[#This Row],[Type]],Main[[#All],[TYPE]:[UNIT]],'Unit Price'!G$1,FALSE),0)</f>
        <v>0</v>
      </c>
      <c r="J467" s="194">
        <f>IF(_1_54128456121462410464578910174[[#This Row],[Type]]&gt;0,VLOOKUP(_1_54128456121462410464578910174[[#This Row],[Type]],Main[[#All],[TYPE]:[UNIT]],'Unit Price'!H$1,FALSE),0)</f>
        <v>0</v>
      </c>
      <c r="K467" s="194">
        <f>IF(_1_54128456121462410464578910174[[#This Row],[Discount selection]]&gt;0,VLOOKUP(_1_54128456121462410464578910174[[#This Row],[Discount selection]],'Discount Structure'!$A$2:$B$30,2,"false"),0)</f>
        <v>1</v>
      </c>
      <c r="L467" s="194">
        <f>_1_54128456121462410464578910174[[#This Row],[LIST $]]*_1_54128456121462410464578910174[[#This Row],[DISCOUNT]]*_1_54128456121462410464578910174[[#This Row],[DISCOUNT 2]]</f>
        <v>0</v>
      </c>
      <c r="M467" s="194">
        <f>IF(OR(_1_54128456121462410464578910174[[#This Row],[UNIT]]&gt;0,_1_54128456121462410464578910174[[#This Row],[UNIT]]&lt;0),_1_54128456121462410464578910174[[#This Row],[UNIT]]*_1_54128456121462410464578910174[[#This Row],[COST]],0)</f>
        <v>0</v>
      </c>
      <c r="N467" s="194">
        <f t="shared" si="7"/>
        <v>1.5</v>
      </c>
      <c r="O467" s="198">
        <f>_1_54128456121462410464578910174[[#This Row],[TOTAL]]*_1_54128456121462410464578910174[[#This Row],[MARGIN]]</f>
        <v>0</v>
      </c>
      <c r="R467" s="41"/>
    </row>
    <row r="468" spans="1:18">
      <c r="D468" s="188"/>
      <c r="F468" s="168" t="s">
        <v>6202</v>
      </c>
      <c r="G468" s="193">
        <f>IF(_1_54128456121462410464578910174[[#This Row],[Type]]&gt;0,VLOOKUP(_1_54128456121462410464578910174[[#This Row],[Type]],Main[[#All],[TYPE]:[UNIT]],'Unit Price'!C$1,FALSE),0)</f>
        <v>0</v>
      </c>
      <c r="H468" s="197">
        <f>IF(_1_54128456121462410464578910174[[#This Row],[Type]]&gt;0,VLOOKUP(_1_54128456121462410464578910174[[#This Row],[Type]],Main[[#All],[TYPE]:[UNIT]],'Unit Price'!D$1,FALSE),0)</f>
        <v>0</v>
      </c>
      <c r="I468" s="194">
        <f>IF(_1_54128456121462410464578910174[[#This Row],[Type]]&gt;0,VLOOKUP(_1_54128456121462410464578910174[[#This Row],[Type]],Main[[#All],[TYPE]:[UNIT]],'Unit Price'!G$1,FALSE),0)</f>
        <v>0</v>
      </c>
      <c r="J468" s="194">
        <f>IF(_1_54128456121462410464578910174[[#This Row],[Type]]&gt;0,VLOOKUP(_1_54128456121462410464578910174[[#This Row],[Type]],Main[[#All],[TYPE]:[UNIT]],'Unit Price'!H$1,FALSE),0)</f>
        <v>0</v>
      </c>
      <c r="K468" s="194">
        <f>IF(_1_54128456121462410464578910174[[#This Row],[Discount selection]]&gt;0,VLOOKUP(_1_54128456121462410464578910174[[#This Row],[Discount selection]],'Discount Structure'!$A$2:$B$30,2,"false"),0)</f>
        <v>1</v>
      </c>
      <c r="L468" s="194">
        <f>_1_54128456121462410464578910174[[#This Row],[LIST $]]*_1_54128456121462410464578910174[[#This Row],[DISCOUNT]]*_1_54128456121462410464578910174[[#This Row],[DISCOUNT 2]]</f>
        <v>0</v>
      </c>
      <c r="M468" s="194">
        <f>IF(OR(_1_54128456121462410464578910174[[#This Row],[UNIT]]&gt;0,_1_54128456121462410464578910174[[#This Row],[UNIT]]&lt;0),_1_54128456121462410464578910174[[#This Row],[UNIT]]*_1_54128456121462410464578910174[[#This Row],[COST]],0)</f>
        <v>0</v>
      </c>
      <c r="N468" s="194">
        <f t="shared" si="7"/>
        <v>1.5</v>
      </c>
      <c r="O468" s="198">
        <f>_1_54128456121462410464578910174[[#This Row],[TOTAL]]*_1_54128456121462410464578910174[[#This Row],[MARGIN]]</f>
        <v>0</v>
      </c>
      <c r="R468" s="41"/>
    </row>
    <row r="469" spans="1:18">
      <c r="B469" s="168"/>
      <c r="D469" s="188"/>
      <c r="F469" s="168" t="s">
        <v>6202</v>
      </c>
      <c r="G469" s="193">
        <f>IF(_1_54128456121462410464578910174[[#This Row],[Type]]&gt;0,VLOOKUP(_1_54128456121462410464578910174[[#This Row],[Type]],Main[[#All],[TYPE]:[UNIT]],'Unit Price'!C$1,FALSE),0)</f>
        <v>0</v>
      </c>
      <c r="H469" s="197">
        <f>IF(_1_54128456121462410464578910174[[#This Row],[Type]]&gt;0,VLOOKUP(_1_54128456121462410464578910174[[#This Row],[Type]],Main[[#All],[TYPE]:[UNIT]],'Unit Price'!D$1,FALSE),0)</f>
        <v>0</v>
      </c>
      <c r="I469" s="194">
        <f>IF(_1_54128456121462410464578910174[[#This Row],[Type]]&gt;0,VLOOKUP(_1_54128456121462410464578910174[[#This Row],[Type]],Main[[#All],[TYPE]:[UNIT]],'Unit Price'!G$1,FALSE),0)</f>
        <v>0</v>
      </c>
      <c r="J469" s="194">
        <f>IF(_1_54128456121462410464578910174[[#This Row],[Type]]&gt;0,VLOOKUP(_1_54128456121462410464578910174[[#This Row],[Type]],Main[[#All],[TYPE]:[UNIT]],'Unit Price'!H$1,FALSE),0)</f>
        <v>0</v>
      </c>
      <c r="K469" s="194">
        <f>IF(_1_54128456121462410464578910174[[#This Row],[Discount selection]]&gt;0,VLOOKUP(_1_54128456121462410464578910174[[#This Row],[Discount selection]],'Discount Structure'!$A$2:$B$30,2,"false"),0)</f>
        <v>1</v>
      </c>
      <c r="L469" s="194">
        <f>_1_54128456121462410464578910174[[#This Row],[LIST $]]*_1_54128456121462410464578910174[[#This Row],[DISCOUNT]]*_1_54128456121462410464578910174[[#This Row],[DISCOUNT 2]]</f>
        <v>0</v>
      </c>
      <c r="M469" s="194">
        <f>IF(OR(_1_54128456121462410464578910174[[#This Row],[UNIT]]&gt;0,_1_54128456121462410464578910174[[#This Row],[UNIT]]&lt;0),_1_54128456121462410464578910174[[#This Row],[UNIT]]*_1_54128456121462410464578910174[[#This Row],[COST]],0)</f>
        <v>0</v>
      </c>
      <c r="N469" s="194">
        <f t="shared" si="7"/>
        <v>1.5</v>
      </c>
      <c r="O469" s="198">
        <f>_1_54128456121462410464578910174[[#This Row],[TOTAL]]*_1_54128456121462410464578910174[[#This Row],[MARGIN]]</f>
        <v>0</v>
      </c>
      <c r="R469" s="41"/>
    </row>
    <row r="470" spans="1:18">
      <c r="A470" s="168"/>
      <c r="D470" s="188"/>
      <c r="F470" s="168" t="s">
        <v>6202</v>
      </c>
      <c r="G470" s="193">
        <f>IF(_1_54128456121462410464578910174[[#This Row],[Type]]&gt;0,VLOOKUP(_1_54128456121462410464578910174[[#This Row],[Type]],Main[[#All],[TYPE]:[UNIT]],'Unit Price'!C$1,FALSE),0)</f>
        <v>0</v>
      </c>
      <c r="H470" s="197">
        <f>IF(_1_54128456121462410464578910174[[#This Row],[Type]]&gt;0,VLOOKUP(_1_54128456121462410464578910174[[#This Row],[Type]],Main[[#All],[TYPE]:[UNIT]],'Unit Price'!D$1,FALSE),0)</f>
        <v>0</v>
      </c>
      <c r="I470" s="194">
        <f>IF(_1_54128456121462410464578910174[[#This Row],[Type]]&gt;0,VLOOKUP(_1_54128456121462410464578910174[[#This Row],[Type]],Main[[#All],[TYPE]:[UNIT]],'Unit Price'!G$1,FALSE),0)</f>
        <v>0</v>
      </c>
      <c r="J470" s="194">
        <f>IF(_1_54128456121462410464578910174[[#This Row],[Type]]&gt;0,VLOOKUP(_1_54128456121462410464578910174[[#This Row],[Type]],Main[[#All],[TYPE]:[UNIT]],'Unit Price'!H$1,FALSE),0)</f>
        <v>0</v>
      </c>
      <c r="K470" s="194">
        <f>IF(_1_54128456121462410464578910174[[#This Row],[Discount selection]]&gt;0,VLOOKUP(_1_54128456121462410464578910174[[#This Row],[Discount selection]],'Discount Structure'!$A$2:$B$30,2,"false"),0)</f>
        <v>1</v>
      </c>
      <c r="L470" s="194">
        <f>_1_54128456121462410464578910174[[#This Row],[LIST $]]*_1_54128456121462410464578910174[[#This Row],[DISCOUNT]]*_1_54128456121462410464578910174[[#This Row],[DISCOUNT 2]]</f>
        <v>0</v>
      </c>
      <c r="M470" s="194">
        <f>IF(OR(_1_54128456121462410464578910174[[#This Row],[UNIT]]&gt;0,_1_54128456121462410464578910174[[#This Row],[UNIT]]&lt;0),_1_54128456121462410464578910174[[#This Row],[UNIT]]*_1_54128456121462410464578910174[[#This Row],[COST]],0)</f>
        <v>0</v>
      </c>
      <c r="N470" s="194">
        <f t="shared" si="7"/>
        <v>1.5</v>
      </c>
      <c r="O470" s="198">
        <f>_1_54128456121462410464578910174[[#This Row],[TOTAL]]*_1_54128456121462410464578910174[[#This Row],[MARGIN]]</f>
        <v>0</v>
      </c>
      <c r="R470" s="41"/>
    </row>
    <row r="471" spans="1:18">
      <c r="D471" s="188"/>
      <c r="F471" s="168" t="s">
        <v>6202</v>
      </c>
      <c r="G471" s="193">
        <f>IF(_1_54128456121462410464578910174[[#This Row],[Type]]&gt;0,VLOOKUP(_1_54128456121462410464578910174[[#This Row],[Type]],Main[[#All],[TYPE]:[UNIT]],'Unit Price'!C$1,FALSE),0)</f>
        <v>0</v>
      </c>
      <c r="H471" s="197">
        <f>IF(_1_54128456121462410464578910174[[#This Row],[Type]]&gt;0,VLOOKUP(_1_54128456121462410464578910174[[#This Row],[Type]],Main[[#All],[TYPE]:[UNIT]],'Unit Price'!D$1,FALSE),0)</f>
        <v>0</v>
      </c>
      <c r="I471" s="194">
        <f>IF(_1_54128456121462410464578910174[[#This Row],[Type]]&gt;0,VLOOKUP(_1_54128456121462410464578910174[[#This Row],[Type]],Main[[#All],[TYPE]:[UNIT]],'Unit Price'!G$1,FALSE),0)</f>
        <v>0</v>
      </c>
      <c r="J471" s="194">
        <f>IF(_1_54128456121462410464578910174[[#This Row],[Type]]&gt;0,VLOOKUP(_1_54128456121462410464578910174[[#This Row],[Type]],Main[[#All],[TYPE]:[UNIT]],'Unit Price'!H$1,FALSE),0)</f>
        <v>0</v>
      </c>
      <c r="K471" s="194">
        <f>IF(_1_54128456121462410464578910174[[#This Row],[Discount selection]]&gt;0,VLOOKUP(_1_54128456121462410464578910174[[#This Row],[Discount selection]],'Discount Structure'!$A$2:$B$30,2,"false"),0)</f>
        <v>1</v>
      </c>
      <c r="L471" s="194">
        <f>_1_54128456121462410464578910174[[#This Row],[LIST $]]*_1_54128456121462410464578910174[[#This Row],[DISCOUNT]]*_1_54128456121462410464578910174[[#This Row],[DISCOUNT 2]]</f>
        <v>0</v>
      </c>
      <c r="M471" s="194">
        <f>IF(OR(_1_54128456121462410464578910174[[#This Row],[UNIT]]&gt;0,_1_54128456121462410464578910174[[#This Row],[UNIT]]&lt;0),_1_54128456121462410464578910174[[#This Row],[UNIT]]*_1_54128456121462410464578910174[[#This Row],[COST]],0)</f>
        <v>0</v>
      </c>
      <c r="N471" s="194">
        <f t="shared" si="7"/>
        <v>1.5</v>
      </c>
      <c r="O471" s="198">
        <f>_1_54128456121462410464578910174[[#This Row],[TOTAL]]*_1_54128456121462410464578910174[[#This Row],[MARGIN]]</f>
        <v>0</v>
      </c>
      <c r="R471" s="41"/>
    </row>
    <row r="472" spans="1:18">
      <c r="A472" s="168"/>
      <c r="D472" s="188"/>
      <c r="F472" s="168" t="s">
        <v>6202</v>
      </c>
      <c r="G472" s="193">
        <f>IF(_1_54128456121462410464578910174[[#This Row],[Type]]&gt;0,VLOOKUP(_1_54128456121462410464578910174[[#This Row],[Type]],Main[[#All],[TYPE]:[UNIT]],'Unit Price'!C$1,FALSE),0)</f>
        <v>0</v>
      </c>
      <c r="H472" s="197">
        <f>IF(_1_54128456121462410464578910174[[#This Row],[Type]]&gt;0,VLOOKUP(_1_54128456121462410464578910174[[#This Row],[Type]],Main[[#All],[TYPE]:[UNIT]],'Unit Price'!D$1,FALSE),0)</f>
        <v>0</v>
      </c>
      <c r="I472" s="194">
        <f>IF(_1_54128456121462410464578910174[[#This Row],[Type]]&gt;0,VLOOKUP(_1_54128456121462410464578910174[[#This Row],[Type]],Main[[#All],[TYPE]:[UNIT]],'Unit Price'!G$1,FALSE),0)</f>
        <v>0</v>
      </c>
      <c r="J472" s="194">
        <f>IF(_1_54128456121462410464578910174[[#This Row],[Type]]&gt;0,VLOOKUP(_1_54128456121462410464578910174[[#This Row],[Type]],Main[[#All],[TYPE]:[UNIT]],'Unit Price'!H$1,FALSE),0)</f>
        <v>0</v>
      </c>
      <c r="K472" s="194">
        <f>IF(_1_54128456121462410464578910174[[#This Row],[Discount selection]]&gt;0,VLOOKUP(_1_54128456121462410464578910174[[#This Row],[Discount selection]],'Discount Structure'!$A$2:$B$30,2,"false"),0)</f>
        <v>1</v>
      </c>
      <c r="L472" s="194">
        <f>_1_54128456121462410464578910174[[#This Row],[LIST $]]*_1_54128456121462410464578910174[[#This Row],[DISCOUNT]]*_1_54128456121462410464578910174[[#This Row],[DISCOUNT 2]]</f>
        <v>0</v>
      </c>
      <c r="M472" s="194">
        <f>IF(OR(_1_54128456121462410464578910174[[#This Row],[UNIT]]&gt;0,_1_54128456121462410464578910174[[#This Row],[UNIT]]&lt;0),_1_54128456121462410464578910174[[#This Row],[UNIT]]*_1_54128456121462410464578910174[[#This Row],[COST]],0)</f>
        <v>0</v>
      </c>
      <c r="N472" s="194">
        <f t="shared" si="7"/>
        <v>1.5</v>
      </c>
      <c r="O472" s="198">
        <f>_1_54128456121462410464578910174[[#This Row],[TOTAL]]*_1_54128456121462410464578910174[[#This Row],[MARGIN]]</f>
        <v>0</v>
      </c>
      <c r="R472" s="41"/>
    </row>
    <row r="473" spans="1:18">
      <c r="D473" s="188"/>
      <c r="F473" s="168" t="s">
        <v>6202</v>
      </c>
      <c r="G473" s="193">
        <f>IF(_1_54128456121462410464578910174[[#This Row],[Type]]&gt;0,VLOOKUP(_1_54128456121462410464578910174[[#This Row],[Type]],Main[[#All],[TYPE]:[UNIT]],'Unit Price'!C$1,FALSE),0)</f>
        <v>0</v>
      </c>
      <c r="H473" s="197">
        <f>IF(_1_54128456121462410464578910174[[#This Row],[Type]]&gt;0,VLOOKUP(_1_54128456121462410464578910174[[#This Row],[Type]],Main[[#All],[TYPE]:[UNIT]],'Unit Price'!D$1,FALSE),0)</f>
        <v>0</v>
      </c>
      <c r="I473" s="194">
        <f>IF(_1_54128456121462410464578910174[[#This Row],[Type]]&gt;0,VLOOKUP(_1_54128456121462410464578910174[[#This Row],[Type]],Main[[#All],[TYPE]:[UNIT]],'Unit Price'!G$1,FALSE),0)</f>
        <v>0</v>
      </c>
      <c r="J473" s="194">
        <f>IF(_1_54128456121462410464578910174[[#This Row],[Type]]&gt;0,VLOOKUP(_1_54128456121462410464578910174[[#This Row],[Type]],Main[[#All],[TYPE]:[UNIT]],'Unit Price'!H$1,FALSE),0)</f>
        <v>0</v>
      </c>
      <c r="K473" s="194">
        <f>IF(_1_54128456121462410464578910174[[#This Row],[Discount selection]]&gt;0,VLOOKUP(_1_54128456121462410464578910174[[#This Row],[Discount selection]],'Discount Structure'!$A$2:$B$30,2,"false"),0)</f>
        <v>1</v>
      </c>
      <c r="L473" s="194">
        <f>_1_54128456121462410464578910174[[#This Row],[LIST $]]*_1_54128456121462410464578910174[[#This Row],[DISCOUNT]]*_1_54128456121462410464578910174[[#This Row],[DISCOUNT 2]]</f>
        <v>0</v>
      </c>
      <c r="M473" s="194">
        <f>IF(OR(_1_54128456121462410464578910174[[#This Row],[UNIT]]&gt;0,_1_54128456121462410464578910174[[#This Row],[UNIT]]&lt;0),_1_54128456121462410464578910174[[#This Row],[UNIT]]*_1_54128456121462410464578910174[[#This Row],[COST]],0)</f>
        <v>0</v>
      </c>
      <c r="N473" s="194">
        <f t="shared" si="7"/>
        <v>1.5</v>
      </c>
      <c r="O473" s="198">
        <f>_1_54128456121462410464578910174[[#This Row],[TOTAL]]*_1_54128456121462410464578910174[[#This Row],[MARGIN]]</f>
        <v>0</v>
      </c>
      <c r="R473" s="41"/>
    </row>
    <row r="474" spans="1:18">
      <c r="D474" s="188"/>
      <c r="F474" s="168" t="s">
        <v>6202</v>
      </c>
      <c r="G474" s="193">
        <f>IF(_1_54128456121462410464578910174[[#This Row],[Type]]&gt;0,VLOOKUP(_1_54128456121462410464578910174[[#This Row],[Type]],Main[[#All],[TYPE]:[UNIT]],'Unit Price'!C$1,FALSE),0)</f>
        <v>0</v>
      </c>
      <c r="H474" s="197">
        <f>IF(_1_54128456121462410464578910174[[#This Row],[Type]]&gt;0,VLOOKUP(_1_54128456121462410464578910174[[#This Row],[Type]],Main[[#All],[TYPE]:[UNIT]],'Unit Price'!D$1,FALSE),0)</f>
        <v>0</v>
      </c>
      <c r="I474" s="194">
        <f>IF(_1_54128456121462410464578910174[[#This Row],[Type]]&gt;0,VLOOKUP(_1_54128456121462410464578910174[[#This Row],[Type]],Main[[#All],[TYPE]:[UNIT]],'Unit Price'!G$1,FALSE),0)</f>
        <v>0</v>
      </c>
      <c r="J474" s="194">
        <f>IF(_1_54128456121462410464578910174[[#This Row],[Type]]&gt;0,VLOOKUP(_1_54128456121462410464578910174[[#This Row],[Type]],Main[[#All],[TYPE]:[UNIT]],'Unit Price'!H$1,FALSE),0)</f>
        <v>0</v>
      </c>
      <c r="K474" s="194">
        <f>IF(_1_54128456121462410464578910174[[#This Row],[Discount selection]]&gt;0,VLOOKUP(_1_54128456121462410464578910174[[#This Row],[Discount selection]],'Discount Structure'!$A$2:$B$30,2,"false"),0)</f>
        <v>1</v>
      </c>
      <c r="L474" s="194">
        <f>_1_54128456121462410464578910174[[#This Row],[LIST $]]*_1_54128456121462410464578910174[[#This Row],[DISCOUNT]]*_1_54128456121462410464578910174[[#This Row],[DISCOUNT 2]]</f>
        <v>0</v>
      </c>
      <c r="M474" s="194">
        <f>IF(OR(_1_54128456121462410464578910174[[#This Row],[UNIT]]&gt;0,_1_54128456121462410464578910174[[#This Row],[UNIT]]&lt;0),_1_54128456121462410464578910174[[#This Row],[UNIT]]*_1_54128456121462410464578910174[[#This Row],[COST]],0)</f>
        <v>0</v>
      </c>
      <c r="N474" s="194">
        <f t="shared" si="7"/>
        <v>1.5</v>
      </c>
      <c r="O474" s="198">
        <f>_1_54128456121462410464578910174[[#This Row],[TOTAL]]*_1_54128456121462410464578910174[[#This Row],[MARGIN]]</f>
        <v>0</v>
      </c>
      <c r="R474" s="41"/>
    </row>
    <row r="475" spans="1:18">
      <c r="D475" s="188"/>
      <c r="F475" s="168" t="s">
        <v>6202</v>
      </c>
      <c r="G475" s="193">
        <f>IF(_1_54128456121462410464578910174[[#This Row],[Type]]&gt;0,VLOOKUP(_1_54128456121462410464578910174[[#This Row],[Type]],Main[[#All],[TYPE]:[UNIT]],'Unit Price'!C$1,FALSE),0)</f>
        <v>0</v>
      </c>
      <c r="H475" s="197">
        <f>IF(_1_54128456121462410464578910174[[#This Row],[Type]]&gt;0,VLOOKUP(_1_54128456121462410464578910174[[#This Row],[Type]],Main[[#All],[TYPE]:[UNIT]],'Unit Price'!D$1,FALSE),0)</f>
        <v>0</v>
      </c>
      <c r="I475" s="194">
        <f>IF(_1_54128456121462410464578910174[[#This Row],[Type]]&gt;0,VLOOKUP(_1_54128456121462410464578910174[[#This Row],[Type]],Main[[#All],[TYPE]:[UNIT]],'Unit Price'!G$1,FALSE),0)</f>
        <v>0</v>
      </c>
      <c r="J475" s="194">
        <f>IF(_1_54128456121462410464578910174[[#This Row],[Type]]&gt;0,VLOOKUP(_1_54128456121462410464578910174[[#This Row],[Type]],Main[[#All],[TYPE]:[UNIT]],'Unit Price'!H$1,FALSE),0)</f>
        <v>0</v>
      </c>
      <c r="K475" s="194">
        <f>IF(_1_54128456121462410464578910174[[#This Row],[Discount selection]]&gt;0,VLOOKUP(_1_54128456121462410464578910174[[#This Row],[Discount selection]],'Discount Structure'!$A$2:$B$30,2,"false"),0)</f>
        <v>1</v>
      </c>
      <c r="L475" s="194">
        <f>_1_54128456121462410464578910174[[#This Row],[LIST $]]*_1_54128456121462410464578910174[[#This Row],[DISCOUNT]]*_1_54128456121462410464578910174[[#This Row],[DISCOUNT 2]]</f>
        <v>0</v>
      </c>
      <c r="M475" s="194">
        <f>IF(OR(_1_54128456121462410464578910174[[#This Row],[UNIT]]&gt;0,_1_54128456121462410464578910174[[#This Row],[UNIT]]&lt;0),_1_54128456121462410464578910174[[#This Row],[UNIT]]*_1_54128456121462410464578910174[[#This Row],[COST]],0)</f>
        <v>0</v>
      </c>
      <c r="N475" s="194">
        <f t="shared" si="7"/>
        <v>1.5</v>
      </c>
      <c r="O475" s="198">
        <f>_1_54128456121462410464578910174[[#This Row],[TOTAL]]*_1_54128456121462410464578910174[[#This Row],[MARGIN]]</f>
        <v>0</v>
      </c>
      <c r="R475" s="41"/>
    </row>
    <row r="476" spans="1:18">
      <c r="D476" s="188"/>
      <c r="F476" s="168" t="s">
        <v>6202</v>
      </c>
      <c r="G476" s="192">
        <f>IF(_1_54128456121462410464578910174[[#This Row],[Type]]&gt;0,VLOOKUP(_1_54128456121462410464578910174[[#This Row],[Type]],Main[[#All],[TYPE]:[UNIT]],'Unit Price'!C$1,FALSE),0)</f>
        <v>0</v>
      </c>
      <c r="H476" s="197">
        <f>IF(_1_54128456121462410464578910174[[#This Row],[Type]]&gt;0,VLOOKUP(_1_54128456121462410464578910174[[#This Row],[Type]],Main[[#All],[TYPE]:[UNIT]],'Unit Price'!D$1,FALSE),0)</f>
        <v>0</v>
      </c>
      <c r="I476" s="194">
        <f>IF(_1_54128456121462410464578910174[[#This Row],[Type]]&gt;0,VLOOKUP(_1_54128456121462410464578910174[[#This Row],[Type]],Main[[#All],[TYPE]:[UNIT]],'Unit Price'!G$1,FALSE),0)</f>
        <v>0</v>
      </c>
      <c r="J476" s="194">
        <f>IF(_1_54128456121462410464578910174[[#This Row],[Type]]&gt;0,VLOOKUP(_1_54128456121462410464578910174[[#This Row],[Type]],Main[[#All],[TYPE]:[UNIT]],'Unit Price'!H$1,FALSE),0)</f>
        <v>0</v>
      </c>
      <c r="K476" s="194">
        <f>IF(_1_54128456121462410464578910174[[#This Row],[Discount selection]]&gt;0,VLOOKUP(_1_54128456121462410464578910174[[#This Row],[Discount selection]],'Discount Structure'!$A$2:$B$30,2,"false"),0)</f>
        <v>1</v>
      </c>
      <c r="L476" s="194">
        <f>_1_54128456121462410464578910174[[#This Row],[LIST $]]*_1_54128456121462410464578910174[[#This Row],[DISCOUNT]]*_1_54128456121462410464578910174[[#This Row],[DISCOUNT 2]]</f>
        <v>0</v>
      </c>
      <c r="M476" s="194">
        <f>IF(OR(_1_54128456121462410464578910174[[#This Row],[UNIT]]&gt;0,_1_54128456121462410464578910174[[#This Row],[UNIT]]&lt;0),_1_54128456121462410464578910174[[#This Row],[UNIT]]*_1_54128456121462410464578910174[[#This Row],[COST]],0)</f>
        <v>0</v>
      </c>
      <c r="N476" s="194">
        <f t="shared" si="7"/>
        <v>1.5</v>
      </c>
      <c r="O476" s="198">
        <f>_1_54128456121462410464578910174[[#This Row],[TOTAL]]*_1_54128456121462410464578910174[[#This Row],[MARGIN]]</f>
        <v>0</v>
      </c>
      <c r="R476" s="41"/>
    </row>
    <row r="477" spans="1:18">
      <c r="D477" s="188"/>
      <c r="F477" s="168" t="s">
        <v>6202</v>
      </c>
      <c r="G477" s="193">
        <f>IF(_1_54128456121462410464578910174[[#This Row],[Type]]&gt;0,VLOOKUP(_1_54128456121462410464578910174[[#This Row],[Type]],Main[[#All],[TYPE]:[UNIT]],'Unit Price'!C$1,FALSE),0)</f>
        <v>0</v>
      </c>
      <c r="H477" s="197">
        <f>IF(_1_54128456121462410464578910174[[#This Row],[Type]]&gt;0,VLOOKUP(_1_54128456121462410464578910174[[#This Row],[Type]],Main[[#All],[TYPE]:[UNIT]],'Unit Price'!D$1,FALSE),0)</f>
        <v>0</v>
      </c>
      <c r="I477" s="194">
        <f>IF(_1_54128456121462410464578910174[[#This Row],[Type]]&gt;0,VLOOKUP(_1_54128456121462410464578910174[[#This Row],[Type]],Main[[#All],[TYPE]:[UNIT]],'Unit Price'!G$1,FALSE),0)</f>
        <v>0</v>
      </c>
      <c r="J477" s="194">
        <f>IF(_1_54128456121462410464578910174[[#This Row],[Type]]&gt;0,VLOOKUP(_1_54128456121462410464578910174[[#This Row],[Type]],Main[[#All],[TYPE]:[UNIT]],'Unit Price'!H$1,FALSE),0)</f>
        <v>0</v>
      </c>
      <c r="K477" s="194">
        <f>IF(_1_54128456121462410464578910174[[#This Row],[Discount selection]]&gt;0,VLOOKUP(_1_54128456121462410464578910174[[#This Row],[Discount selection]],'Discount Structure'!$A$2:$B$30,2,"false"),0)</f>
        <v>1</v>
      </c>
      <c r="L477" s="194">
        <f>_1_54128456121462410464578910174[[#This Row],[LIST $]]*_1_54128456121462410464578910174[[#This Row],[DISCOUNT]]*_1_54128456121462410464578910174[[#This Row],[DISCOUNT 2]]</f>
        <v>0</v>
      </c>
      <c r="M477" s="194">
        <f>IF(OR(_1_54128456121462410464578910174[[#This Row],[UNIT]]&gt;0,_1_54128456121462410464578910174[[#This Row],[UNIT]]&lt;0),_1_54128456121462410464578910174[[#This Row],[UNIT]]*_1_54128456121462410464578910174[[#This Row],[COST]],0)</f>
        <v>0</v>
      </c>
      <c r="N477" s="194">
        <f t="shared" si="7"/>
        <v>1.5</v>
      </c>
      <c r="O477" s="198">
        <f>_1_54128456121462410464578910174[[#This Row],[TOTAL]]*_1_54128456121462410464578910174[[#This Row],[MARGIN]]</f>
        <v>0</v>
      </c>
      <c r="R477" s="41"/>
    </row>
    <row r="478" spans="1:18">
      <c r="A478" s="168"/>
      <c r="D478" s="188"/>
      <c r="F478" s="168" t="s">
        <v>6202</v>
      </c>
      <c r="G478" s="192">
        <f>IF(_1_54128456121462410464578910174[[#This Row],[Type]]&gt;0,VLOOKUP(_1_54128456121462410464578910174[[#This Row],[Type]],Main[[#All],[TYPE]:[UNIT]],'Unit Price'!C$1,FALSE),0)</f>
        <v>0</v>
      </c>
      <c r="H478" s="197">
        <f>IF(_1_54128456121462410464578910174[[#This Row],[Type]]&gt;0,VLOOKUP(_1_54128456121462410464578910174[[#This Row],[Type]],Main[[#All],[TYPE]:[UNIT]],'Unit Price'!D$1,FALSE),0)</f>
        <v>0</v>
      </c>
      <c r="I478" s="194">
        <f>IF(_1_54128456121462410464578910174[[#This Row],[Type]]&gt;0,VLOOKUP(_1_54128456121462410464578910174[[#This Row],[Type]],Main[[#All],[TYPE]:[UNIT]],'Unit Price'!G$1,FALSE),0)</f>
        <v>0</v>
      </c>
      <c r="J478" s="194">
        <f>IF(_1_54128456121462410464578910174[[#This Row],[Type]]&gt;0,VLOOKUP(_1_54128456121462410464578910174[[#This Row],[Type]],Main[[#All],[TYPE]:[UNIT]],'Unit Price'!H$1,FALSE),0)</f>
        <v>0</v>
      </c>
      <c r="K478" s="194">
        <f>IF(_1_54128456121462410464578910174[[#This Row],[Discount selection]]&gt;0,VLOOKUP(_1_54128456121462410464578910174[[#This Row],[Discount selection]],'Discount Structure'!$A$2:$B$30,2,"false"),0)</f>
        <v>1</v>
      </c>
      <c r="L478" s="194">
        <f>_1_54128456121462410464578910174[[#This Row],[LIST $]]*_1_54128456121462410464578910174[[#This Row],[DISCOUNT]]*_1_54128456121462410464578910174[[#This Row],[DISCOUNT 2]]</f>
        <v>0</v>
      </c>
      <c r="M478" s="194">
        <f>IF(OR(_1_54128456121462410464578910174[[#This Row],[UNIT]]&gt;0,_1_54128456121462410464578910174[[#This Row],[UNIT]]&lt;0),_1_54128456121462410464578910174[[#This Row],[UNIT]]*_1_54128456121462410464578910174[[#This Row],[COST]],0)</f>
        <v>0</v>
      </c>
      <c r="N478" s="194">
        <f t="shared" si="7"/>
        <v>1.5</v>
      </c>
      <c r="O478" s="198">
        <f>_1_54128456121462410464578910174[[#This Row],[TOTAL]]*_1_54128456121462410464578910174[[#This Row],[MARGIN]]</f>
        <v>0</v>
      </c>
      <c r="R478" s="41"/>
    </row>
    <row r="479" spans="1:18">
      <c r="D479" s="188"/>
      <c r="F479" s="168" t="s">
        <v>6202</v>
      </c>
      <c r="G479" s="193">
        <f>IF(_1_54128456121462410464578910174[[#This Row],[Type]]&gt;0,VLOOKUP(_1_54128456121462410464578910174[[#This Row],[Type]],Main[[#All],[TYPE]:[UNIT]],'Unit Price'!C$1,FALSE),0)</f>
        <v>0</v>
      </c>
      <c r="H479" s="197">
        <f>IF(_1_54128456121462410464578910174[[#This Row],[Type]]&gt;0,VLOOKUP(_1_54128456121462410464578910174[[#This Row],[Type]],Main[[#All],[TYPE]:[UNIT]],'Unit Price'!D$1,FALSE),0)</f>
        <v>0</v>
      </c>
      <c r="I479" s="194">
        <f>IF(_1_54128456121462410464578910174[[#This Row],[Type]]&gt;0,VLOOKUP(_1_54128456121462410464578910174[[#This Row],[Type]],Main[[#All],[TYPE]:[UNIT]],'Unit Price'!G$1,FALSE),0)</f>
        <v>0</v>
      </c>
      <c r="J479" s="194">
        <f>IF(_1_54128456121462410464578910174[[#This Row],[Type]]&gt;0,VLOOKUP(_1_54128456121462410464578910174[[#This Row],[Type]],Main[[#All],[TYPE]:[UNIT]],'Unit Price'!H$1,FALSE),0)</f>
        <v>0</v>
      </c>
      <c r="K479" s="194">
        <f>IF(_1_54128456121462410464578910174[[#This Row],[Discount selection]]&gt;0,VLOOKUP(_1_54128456121462410464578910174[[#This Row],[Discount selection]],'Discount Structure'!$A$2:$B$30,2,"false"),0)</f>
        <v>1</v>
      </c>
      <c r="L479" s="194">
        <f>_1_54128456121462410464578910174[[#This Row],[LIST $]]*_1_54128456121462410464578910174[[#This Row],[DISCOUNT]]*_1_54128456121462410464578910174[[#This Row],[DISCOUNT 2]]</f>
        <v>0</v>
      </c>
      <c r="M479" s="194">
        <f>IF(OR(_1_54128456121462410464578910174[[#This Row],[UNIT]]&gt;0,_1_54128456121462410464578910174[[#This Row],[UNIT]]&lt;0),_1_54128456121462410464578910174[[#This Row],[UNIT]]*_1_54128456121462410464578910174[[#This Row],[COST]],0)</f>
        <v>0</v>
      </c>
      <c r="N479" s="194">
        <f t="shared" si="7"/>
        <v>1.5</v>
      </c>
      <c r="O479" s="198">
        <f>_1_54128456121462410464578910174[[#This Row],[TOTAL]]*_1_54128456121462410464578910174[[#This Row],[MARGIN]]</f>
        <v>0</v>
      </c>
      <c r="R479" s="41"/>
    </row>
    <row r="480" spans="1:18">
      <c r="D480" s="188"/>
      <c r="F480" s="168" t="s">
        <v>6202</v>
      </c>
      <c r="G480" s="193">
        <f>IF(_1_54128456121462410464578910174[[#This Row],[Type]]&gt;0,VLOOKUP(_1_54128456121462410464578910174[[#This Row],[Type]],Main[[#All],[TYPE]:[UNIT]],'Unit Price'!C$1,FALSE),0)</f>
        <v>0</v>
      </c>
      <c r="H480" s="197">
        <f>IF(_1_54128456121462410464578910174[[#This Row],[Type]]&gt;0,VLOOKUP(_1_54128456121462410464578910174[[#This Row],[Type]],Main[[#All],[TYPE]:[UNIT]],'Unit Price'!D$1,FALSE),0)</f>
        <v>0</v>
      </c>
      <c r="I480" s="194">
        <f>IF(_1_54128456121462410464578910174[[#This Row],[Type]]&gt;0,VLOOKUP(_1_54128456121462410464578910174[[#This Row],[Type]],Main[[#All],[TYPE]:[UNIT]],'Unit Price'!G$1,FALSE),0)</f>
        <v>0</v>
      </c>
      <c r="J480" s="194">
        <f>IF(_1_54128456121462410464578910174[[#This Row],[Type]]&gt;0,VLOOKUP(_1_54128456121462410464578910174[[#This Row],[Type]],Main[[#All],[TYPE]:[UNIT]],'Unit Price'!H$1,FALSE),0)</f>
        <v>0</v>
      </c>
      <c r="K480" s="194">
        <f>IF(_1_54128456121462410464578910174[[#This Row],[Discount selection]]&gt;0,VLOOKUP(_1_54128456121462410464578910174[[#This Row],[Discount selection]],'Discount Structure'!$A$2:$B$30,2,"false"),0)</f>
        <v>1</v>
      </c>
      <c r="L480" s="194">
        <f>_1_54128456121462410464578910174[[#This Row],[LIST $]]*_1_54128456121462410464578910174[[#This Row],[DISCOUNT]]*_1_54128456121462410464578910174[[#This Row],[DISCOUNT 2]]</f>
        <v>0</v>
      </c>
      <c r="M480" s="194">
        <f>IF(OR(_1_54128456121462410464578910174[[#This Row],[UNIT]]&gt;0,_1_54128456121462410464578910174[[#This Row],[UNIT]]&lt;0),_1_54128456121462410464578910174[[#This Row],[UNIT]]*_1_54128456121462410464578910174[[#This Row],[COST]],0)</f>
        <v>0</v>
      </c>
      <c r="N480" s="194">
        <f t="shared" si="7"/>
        <v>1.5</v>
      </c>
      <c r="O480" s="198">
        <f>_1_54128456121462410464578910174[[#This Row],[TOTAL]]*_1_54128456121462410464578910174[[#This Row],[MARGIN]]</f>
        <v>0</v>
      </c>
      <c r="R480" s="41"/>
    </row>
    <row r="481" spans="1:18">
      <c r="D481" s="188"/>
      <c r="F481" s="168" t="s">
        <v>6202</v>
      </c>
      <c r="G481" s="193">
        <f>IF(_1_54128456121462410464578910174[[#This Row],[Type]]&gt;0,VLOOKUP(_1_54128456121462410464578910174[[#This Row],[Type]],Main[[#All],[TYPE]:[UNIT]],'Unit Price'!C$1,FALSE),0)</f>
        <v>0</v>
      </c>
      <c r="H481" s="197">
        <f>IF(_1_54128456121462410464578910174[[#This Row],[Type]]&gt;0,VLOOKUP(_1_54128456121462410464578910174[[#This Row],[Type]],Main[[#All],[TYPE]:[UNIT]],'Unit Price'!D$1,FALSE),0)</f>
        <v>0</v>
      </c>
      <c r="I481" s="194">
        <f>IF(_1_54128456121462410464578910174[[#This Row],[Type]]&gt;0,VLOOKUP(_1_54128456121462410464578910174[[#This Row],[Type]],Main[[#All],[TYPE]:[UNIT]],'Unit Price'!G$1,FALSE),0)</f>
        <v>0</v>
      </c>
      <c r="J481" s="194">
        <f>IF(_1_54128456121462410464578910174[[#This Row],[Type]]&gt;0,VLOOKUP(_1_54128456121462410464578910174[[#This Row],[Type]],Main[[#All],[TYPE]:[UNIT]],'Unit Price'!H$1,FALSE),0)</f>
        <v>0</v>
      </c>
      <c r="K481" s="194">
        <f>IF(_1_54128456121462410464578910174[[#This Row],[Discount selection]]&gt;0,VLOOKUP(_1_54128456121462410464578910174[[#This Row],[Discount selection]],'Discount Structure'!$A$2:$B$30,2,"false"),0)</f>
        <v>1</v>
      </c>
      <c r="L481" s="194">
        <f>_1_54128456121462410464578910174[[#This Row],[LIST $]]*_1_54128456121462410464578910174[[#This Row],[DISCOUNT]]*_1_54128456121462410464578910174[[#This Row],[DISCOUNT 2]]</f>
        <v>0</v>
      </c>
      <c r="M481" s="194">
        <f>IF(OR(_1_54128456121462410464578910174[[#This Row],[UNIT]]&gt;0,_1_54128456121462410464578910174[[#This Row],[UNIT]]&lt;0),_1_54128456121462410464578910174[[#This Row],[UNIT]]*_1_54128456121462410464578910174[[#This Row],[COST]],0)</f>
        <v>0</v>
      </c>
      <c r="N481" s="194">
        <f t="shared" si="7"/>
        <v>1.5</v>
      </c>
      <c r="O481" s="198">
        <f>_1_54128456121462410464578910174[[#This Row],[TOTAL]]*_1_54128456121462410464578910174[[#This Row],[MARGIN]]</f>
        <v>0</v>
      </c>
      <c r="R481" s="41"/>
    </row>
    <row r="482" spans="1:18">
      <c r="D482" s="188"/>
      <c r="F482" s="168" t="s">
        <v>6202</v>
      </c>
      <c r="G482" s="193">
        <f>IF(_1_54128456121462410464578910174[[#This Row],[Type]]&gt;0,VLOOKUP(_1_54128456121462410464578910174[[#This Row],[Type]],Main[[#All],[TYPE]:[UNIT]],'Unit Price'!C$1,FALSE),0)</f>
        <v>0</v>
      </c>
      <c r="H482" s="197">
        <f>IF(_1_54128456121462410464578910174[[#This Row],[Type]]&gt;0,VLOOKUP(_1_54128456121462410464578910174[[#This Row],[Type]],Main[[#All],[TYPE]:[UNIT]],'Unit Price'!D$1,FALSE),0)</f>
        <v>0</v>
      </c>
      <c r="I482" s="194">
        <f>IF(_1_54128456121462410464578910174[[#This Row],[Type]]&gt;0,VLOOKUP(_1_54128456121462410464578910174[[#This Row],[Type]],Main[[#All],[TYPE]:[UNIT]],'Unit Price'!G$1,FALSE),0)</f>
        <v>0</v>
      </c>
      <c r="J482" s="194">
        <f>IF(_1_54128456121462410464578910174[[#This Row],[Type]]&gt;0,VLOOKUP(_1_54128456121462410464578910174[[#This Row],[Type]],Main[[#All],[TYPE]:[UNIT]],'Unit Price'!H$1,FALSE),0)</f>
        <v>0</v>
      </c>
      <c r="K482" s="194">
        <f>IF(_1_54128456121462410464578910174[[#This Row],[Discount selection]]&gt;0,VLOOKUP(_1_54128456121462410464578910174[[#This Row],[Discount selection]],'Discount Structure'!$A$2:$B$30,2,"false"),0)</f>
        <v>1</v>
      </c>
      <c r="L482" s="194">
        <f>_1_54128456121462410464578910174[[#This Row],[LIST $]]*_1_54128456121462410464578910174[[#This Row],[DISCOUNT]]*_1_54128456121462410464578910174[[#This Row],[DISCOUNT 2]]</f>
        <v>0</v>
      </c>
      <c r="M482" s="194">
        <f>IF(OR(_1_54128456121462410464578910174[[#This Row],[UNIT]]&gt;0,_1_54128456121462410464578910174[[#This Row],[UNIT]]&lt;0),_1_54128456121462410464578910174[[#This Row],[UNIT]]*_1_54128456121462410464578910174[[#This Row],[COST]],0)</f>
        <v>0</v>
      </c>
      <c r="N482" s="194">
        <f t="shared" si="7"/>
        <v>1.5</v>
      </c>
      <c r="O482" s="198">
        <f>_1_54128456121462410464578910174[[#This Row],[TOTAL]]*_1_54128456121462410464578910174[[#This Row],[MARGIN]]</f>
        <v>0</v>
      </c>
      <c r="R482" s="41"/>
    </row>
    <row r="483" spans="1:18">
      <c r="D483" s="188"/>
      <c r="F483" s="168" t="s">
        <v>6202</v>
      </c>
      <c r="G483" s="193">
        <f>IF(_1_54128456121462410464578910174[[#This Row],[Type]]&gt;0,VLOOKUP(_1_54128456121462410464578910174[[#This Row],[Type]],Main[[#All],[TYPE]:[UNIT]],'Unit Price'!C$1,FALSE),0)</f>
        <v>0</v>
      </c>
      <c r="H483" s="197">
        <f>IF(_1_54128456121462410464578910174[[#This Row],[Type]]&gt;0,VLOOKUP(_1_54128456121462410464578910174[[#This Row],[Type]],Main[[#All],[TYPE]:[UNIT]],'Unit Price'!D$1,FALSE),0)</f>
        <v>0</v>
      </c>
      <c r="I483" s="194">
        <f>IF(_1_54128456121462410464578910174[[#This Row],[Type]]&gt;0,VLOOKUP(_1_54128456121462410464578910174[[#This Row],[Type]],Main[[#All],[TYPE]:[UNIT]],'Unit Price'!G$1,FALSE),0)</f>
        <v>0</v>
      </c>
      <c r="J483" s="194">
        <f>IF(_1_54128456121462410464578910174[[#This Row],[Type]]&gt;0,VLOOKUP(_1_54128456121462410464578910174[[#This Row],[Type]],Main[[#All],[TYPE]:[UNIT]],'Unit Price'!H$1,FALSE),0)</f>
        <v>0</v>
      </c>
      <c r="K483" s="194">
        <f>IF(_1_54128456121462410464578910174[[#This Row],[Discount selection]]&gt;0,VLOOKUP(_1_54128456121462410464578910174[[#This Row],[Discount selection]],'Discount Structure'!$A$2:$B$30,2,"false"),0)</f>
        <v>1</v>
      </c>
      <c r="L483" s="194">
        <f>_1_54128456121462410464578910174[[#This Row],[LIST $]]*_1_54128456121462410464578910174[[#This Row],[DISCOUNT]]*_1_54128456121462410464578910174[[#This Row],[DISCOUNT 2]]</f>
        <v>0</v>
      </c>
      <c r="M483" s="194">
        <f>IF(OR(_1_54128456121462410464578910174[[#This Row],[UNIT]]&gt;0,_1_54128456121462410464578910174[[#This Row],[UNIT]]&lt;0),_1_54128456121462410464578910174[[#This Row],[UNIT]]*_1_54128456121462410464578910174[[#This Row],[COST]],0)</f>
        <v>0</v>
      </c>
      <c r="N483" s="194">
        <f t="shared" si="7"/>
        <v>1.5</v>
      </c>
      <c r="O483" s="198">
        <f>_1_54128456121462410464578910174[[#This Row],[TOTAL]]*_1_54128456121462410464578910174[[#This Row],[MARGIN]]</f>
        <v>0</v>
      </c>
      <c r="R483" s="41"/>
    </row>
    <row r="484" spans="1:18">
      <c r="D484" s="188"/>
      <c r="F484" s="168" t="s">
        <v>6202</v>
      </c>
      <c r="G484" s="193">
        <f>IF(_1_54128456121462410464578910174[[#This Row],[Type]]&gt;0,VLOOKUP(_1_54128456121462410464578910174[[#This Row],[Type]],Main[[#All],[TYPE]:[UNIT]],'Unit Price'!C$1,FALSE),0)</f>
        <v>0</v>
      </c>
      <c r="H484" s="197">
        <f>IF(_1_54128456121462410464578910174[[#This Row],[Type]]&gt;0,VLOOKUP(_1_54128456121462410464578910174[[#This Row],[Type]],Main[[#All],[TYPE]:[UNIT]],'Unit Price'!D$1,FALSE),0)</f>
        <v>0</v>
      </c>
      <c r="I484" s="194">
        <f>IF(_1_54128456121462410464578910174[[#This Row],[Type]]&gt;0,VLOOKUP(_1_54128456121462410464578910174[[#This Row],[Type]],Main[[#All],[TYPE]:[UNIT]],'Unit Price'!G$1,FALSE),0)</f>
        <v>0</v>
      </c>
      <c r="J484" s="194">
        <f>IF(_1_54128456121462410464578910174[[#This Row],[Type]]&gt;0,VLOOKUP(_1_54128456121462410464578910174[[#This Row],[Type]],Main[[#All],[TYPE]:[UNIT]],'Unit Price'!H$1,FALSE),0)</f>
        <v>0</v>
      </c>
      <c r="K484" s="194">
        <f>IF(_1_54128456121462410464578910174[[#This Row],[Discount selection]]&gt;0,VLOOKUP(_1_54128456121462410464578910174[[#This Row],[Discount selection]],'Discount Structure'!$A$2:$B$30,2,"false"),0)</f>
        <v>1</v>
      </c>
      <c r="L484" s="194">
        <f>_1_54128456121462410464578910174[[#This Row],[LIST $]]*_1_54128456121462410464578910174[[#This Row],[DISCOUNT]]*_1_54128456121462410464578910174[[#This Row],[DISCOUNT 2]]</f>
        <v>0</v>
      </c>
      <c r="M484" s="194">
        <f>IF(OR(_1_54128456121462410464578910174[[#This Row],[UNIT]]&gt;0,_1_54128456121462410464578910174[[#This Row],[UNIT]]&lt;0),_1_54128456121462410464578910174[[#This Row],[UNIT]]*_1_54128456121462410464578910174[[#This Row],[COST]],0)</f>
        <v>0</v>
      </c>
      <c r="N484" s="194">
        <f t="shared" si="7"/>
        <v>1.5</v>
      </c>
      <c r="O484" s="198">
        <f>_1_54128456121462410464578910174[[#This Row],[TOTAL]]*_1_54128456121462410464578910174[[#This Row],[MARGIN]]</f>
        <v>0</v>
      </c>
      <c r="R484" s="41"/>
    </row>
    <row r="485" spans="1:18">
      <c r="D485" s="188"/>
      <c r="F485" s="168" t="s">
        <v>6202</v>
      </c>
      <c r="G485" s="193">
        <f>IF(_1_54128456121462410464578910174[[#This Row],[Type]]&gt;0,VLOOKUP(_1_54128456121462410464578910174[[#This Row],[Type]],Main[[#All],[TYPE]:[UNIT]],'Unit Price'!C$1,FALSE),0)</f>
        <v>0</v>
      </c>
      <c r="H485" s="197">
        <f>IF(_1_54128456121462410464578910174[[#This Row],[Type]]&gt;0,VLOOKUP(_1_54128456121462410464578910174[[#This Row],[Type]],Main[[#All],[TYPE]:[UNIT]],'Unit Price'!D$1,FALSE),0)</f>
        <v>0</v>
      </c>
      <c r="I485" s="194">
        <f>IF(_1_54128456121462410464578910174[[#This Row],[Type]]&gt;0,VLOOKUP(_1_54128456121462410464578910174[[#This Row],[Type]],Main[[#All],[TYPE]:[UNIT]],'Unit Price'!G$1,FALSE),0)</f>
        <v>0</v>
      </c>
      <c r="J485" s="194">
        <f>IF(_1_54128456121462410464578910174[[#This Row],[Type]]&gt;0,VLOOKUP(_1_54128456121462410464578910174[[#This Row],[Type]],Main[[#All],[TYPE]:[UNIT]],'Unit Price'!H$1,FALSE),0)</f>
        <v>0</v>
      </c>
      <c r="K485" s="194">
        <f>IF(_1_54128456121462410464578910174[[#This Row],[Discount selection]]&gt;0,VLOOKUP(_1_54128456121462410464578910174[[#This Row],[Discount selection]],'Discount Structure'!$A$2:$B$30,2,"false"),0)</f>
        <v>1</v>
      </c>
      <c r="L485" s="194">
        <f>_1_54128456121462410464578910174[[#This Row],[LIST $]]*_1_54128456121462410464578910174[[#This Row],[DISCOUNT]]*_1_54128456121462410464578910174[[#This Row],[DISCOUNT 2]]</f>
        <v>0</v>
      </c>
      <c r="M485" s="194">
        <f>IF(OR(_1_54128456121462410464578910174[[#This Row],[UNIT]]&gt;0,_1_54128456121462410464578910174[[#This Row],[UNIT]]&lt;0),_1_54128456121462410464578910174[[#This Row],[UNIT]]*_1_54128456121462410464578910174[[#This Row],[COST]],0)</f>
        <v>0</v>
      </c>
      <c r="N485" s="194">
        <f t="shared" si="7"/>
        <v>1.5</v>
      </c>
      <c r="O485" s="198">
        <f>_1_54128456121462410464578910174[[#This Row],[TOTAL]]*_1_54128456121462410464578910174[[#This Row],[MARGIN]]</f>
        <v>0</v>
      </c>
      <c r="R485" s="41"/>
    </row>
    <row r="486" spans="1:18">
      <c r="D486" s="188"/>
      <c r="F486" s="168" t="s">
        <v>6202</v>
      </c>
      <c r="G486" s="193">
        <f>IF(_1_54128456121462410464578910174[[#This Row],[Type]]&gt;0,VLOOKUP(_1_54128456121462410464578910174[[#This Row],[Type]],Main[[#All],[TYPE]:[UNIT]],'Unit Price'!C$1,FALSE),0)</f>
        <v>0</v>
      </c>
      <c r="H486" s="197">
        <f>IF(_1_54128456121462410464578910174[[#This Row],[Type]]&gt;0,VLOOKUP(_1_54128456121462410464578910174[[#This Row],[Type]],Main[[#All],[TYPE]:[UNIT]],'Unit Price'!D$1,FALSE),0)</f>
        <v>0</v>
      </c>
      <c r="I486" s="194">
        <f>IF(_1_54128456121462410464578910174[[#This Row],[Type]]&gt;0,VLOOKUP(_1_54128456121462410464578910174[[#This Row],[Type]],Main[[#All],[TYPE]:[UNIT]],'Unit Price'!G$1,FALSE),0)</f>
        <v>0</v>
      </c>
      <c r="J486" s="194">
        <f>IF(_1_54128456121462410464578910174[[#This Row],[Type]]&gt;0,VLOOKUP(_1_54128456121462410464578910174[[#This Row],[Type]],Main[[#All],[TYPE]:[UNIT]],'Unit Price'!H$1,FALSE),0)</f>
        <v>0</v>
      </c>
      <c r="K486" s="194">
        <f>IF(_1_54128456121462410464578910174[[#This Row],[Discount selection]]&gt;0,VLOOKUP(_1_54128456121462410464578910174[[#This Row],[Discount selection]],'Discount Structure'!$A$2:$B$30,2,"false"),0)</f>
        <v>1</v>
      </c>
      <c r="L486" s="194">
        <f>_1_54128456121462410464578910174[[#This Row],[LIST $]]*_1_54128456121462410464578910174[[#This Row],[DISCOUNT]]*_1_54128456121462410464578910174[[#This Row],[DISCOUNT 2]]</f>
        <v>0</v>
      </c>
      <c r="M486" s="194">
        <f>IF(OR(_1_54128456121462410464578910174[[#This Row],[UNIT]]&gt;0,_1_54128456121462410464578910174[[#This Row],[UNIT]]&lt;0),_1_54128456121462410464578910174[[#This Row],[UNIT]]*_1_54128456121462410464578910174[[#This Row],[COST]],0)</f>
        <v>0</v>
      </c>
      <c r="N486" s="194">
        <f t="shared" si="7"/>
        <v>1.5</v>
      </c>
      <c r="O486" s="198">
        <f>_1_54128456121462410464578910174[[#This Row],[TOTAL]]*_1_54128456121462410464578910174[[#This Row],[MARGIN]]</f>
        <v>0</v>
      </c>
      <c r="R486" s="41"/>
    </row>
    <row r="487" spans="1:18">
      <c r="D487" s="188"/>
      <c r="F487" s="168" t="s">
        <v>6202</v>
      </c>
      <c r="G487" s="193">
        <f>IF(_1_54128456121462410464578910174[[#This Row],[Type]]&gt;0,VLOOKUP(_1_54128456121462410464578910174[[#This Row],[Type]],Main[[#All],[TYPE]:[UNIT]],'Unit Price'!C$1,FALSE),0)</f>
        <v>0</v>
      </c>
      <c r="H487" s="197">
        <f>IF(_1_54128456121462410464578910174[[#This Row],[Type]]&gt;0,VLOOKUP(_1_54128456121462410464578910174[[#This Row],[Type]],Main[[#All],[TYPE]:[UNIT]],'Unit Price'!D$1,FALSE),0)</f>
        <v>0</v>
      </c>
      <c r="I487" s="194">
        <f>IF(_1_54128456121462410464578910174[[#This Row],[Type]]&gt;0,VLOOKUP(_1_54128456121462410464578910174[[#This Row],[Type]],Main[[#All],[TYPE]:[UNIT]],'Unit Price'!G$1,FALSE),0)</f>
        <v>0</v>
      </c>
      <c r="J487" s="194">
        <f>IF(_1_54128456121462410464578910174[[#This Row],[Type]]&gt;0,VLOOKUP(_1_54128456121462410464578910174[[#This Row],[Type]],Main[[#All],[TYPE]:[UNIT]],'Unit Price'!H$1,FALSE),0)</f>
        <v>0</v>
      </c>
      <c r="K487" s="194">
        <f>IF(_1_54128456121462410464578910174[[#This Row],[Discount selection]]&gt;0,VLOOKUP(_1_54128456121462410464578910174[[#This Row],[Discount selection]],'Discount Structure'!$A$2:$B$30,2,"false"),0)</f>
        <v>1</v>
      </c>
      <c r="L487" s="194">
        <f>_1_54128456121462410464578910174[[#This Row],[LIST $]]*_1_54128456121462410464578910174[[#This Row],[DISCOUNT]]*_1_54128456121462410464578910174[[#This Row],[DISCOUNT 2]]</f>
        <v>0</v>
      </c>
      <c r="M487" s="194">
        <f>IF(OR(_1_54128456121462410464578910174[[#This Row],[UNIT]]&gt;0,_1_54128456121462410464578910174[[#This Row],[UNIT]]&lt;0),_1_54128456121462410464578910174[[#This Row],[UNIT]]*_1_54128456121462410464578910174[[#This Row],[COST]],0)</f>
        <v>0</v>
      </c>
      <c r="N487" s="194">
        <f t="shared" si="7"/>
        <v>1.5</v>
      </c>
      <c r="O487" s="198">
        <f>_1_54128456121462410464578910174[[#This Row],[TOTAL]]*_1_54128456121462410464578910174[[#This Row],[MARGIN]]</f>
        <v>0</v>
      </c>
      <c r="R487" s="41"/>
    </row>
    <row r="488" spans="1:18">
      <c r="A488" s="168"/>
      <c r="D488" s="188"/>
      <c r="F488" s="168" t="s">
        <v>6202</v>
      </c>
      <c r="G488" s="193">
        <f>IF(_1_54128456121462410464578910174[[#This Row],[Type]]&gt;0,VLOOKUP(_1_54128456121462410464578910174[[#This Row],[Type]],Main[[#All],[TYPE]:[UNIT]],'Unit Price'!C$1,FALSE),0)</f>
        <v>0</v>
      </c>
      <c r="H488" s="197">
        <f>IF(_1_54128456121462410464578910174[[#This Row],[Type]]&gt;0,VLOOKUP(_1_54128456121462410464578910174[[#This Row],[Type]],Main[[#All],[TYPE]:[UNIT]],'Unit Price'!D$1,FALSE),0)</f>
        <v>0</v>
      </c>
      <c r="I488" s="194">
        <f>IF(_1_54128456121462410464578910174[[#This Row],[Type]]&gt;0,VLOOKUP(_1_54128456121462410464578910174[[#This Row],[Type]],Main[[#All],[TYPE]:[UNIT]],'Unit Price'!G$1,FALSE),0)</f>
        <v>0</v>
      </c>
      <c r="J488" s="194">
        <f>IF(_1_54128456121462410464578910174[[#This Row],[Type]]&gt;0,VLOOKUP(_1_54128456121462410464578910174[[#This Row],[Type]],Main[[#All],[TYPE]:[UNIT]],'Unit Price'!H$1,FALSE),0)</f>
        <v>0</v>
      </c>
      <c r="K488" s="194">
        <f>IF(_1_54128456121462410464578910174[[#This Row],[Discount selection]]&gt;0,VLOOKUP(_1_54128456121462410464578910174[[#This Row],[Discount selection]],'Discount Structure'!$A$2:$B$30,2,"false"),0)</f>
        <v>1</v>
      </c>
      <c r="L488" s="194">
        <f>_1_54128456121462410464578910174[[#This Row],[LIST $]]*_1_54128456121462410464578910174[[#This Row],[DISCOUNT]]*_1_54128456121462410464578910174[[#This Row],[DISCOUNT 2]]</f>
        <v>0</v>
      </c>
      <c r="M488" s="194">
        <f>IF(OR(_1_54128456121462410464578910174[[#This Row],[UNIT]]&gt;0,_1_54128456121462410464578910174[[#This Row],[UNIT]]&lt;0),_1_54128456121462410464578910174[[#This Row],[UNIT]]*_1_54128456121462410464578910174[[#This Row],[COST]],0)</f>
        <v>0</v>
      </c>
      <c r="N488" s="194">
        <f t="shared" si="7"/>
        <v>1.5</v>
      </c>
      <c r="O488" s="198">
        <f>_1_54128456121462410464578910174[[#This Row],[TOTAL]]*_1_54128456121462410464578910174[[#This Row],[MARGIN]]</f>
        <v>0</v>
      </c>
      <c r="R488" s="41"/>
    </row>
    <row r="489" spans="1:18">
      <c r="B489" s="168"/>
      <c r="D489" s="188"/>
      <c r="F489" s="168" t="s">
        <v>6202</v>
      </c>
      <c r="G489" s="193">
        <f>IF(_1_54128456121462410464578910174[[#This Row],[Type]]&gt;0,VLOOKUP(_1_54128456121462410464578910174[[#This Row],[Type]],Main[[#All],[TYPE]:[UNIT]],'Unit Price'!C$1,FALSE),0)</f>
        <v>0</v>
      </c>
      <c r="H489" s="197">
        <f>IF(_1_54128456121462410464578910174[[#This Row],[Type]]&gt;0,VLOOKUP(_1_54128456121462410464578910174[[#This Row],[Type]],Main[[#All],[TYPE]:[UNIT]],'Unit Price'!D$1,FALSE),0)</f>
        <v>0</v>
      </c>
      <c r="I489" s="194">
        <f>IF(_1_54128456121462410464578910174[[#This Row],[Type]]&gt;0,VLOOKUP(_1_54128456121462410464578910174[[#This Row],[Type]],Main[[#All],[TYPE]:[UNIT]],'Unit Price'!G$1,FALSE),0)</f>
        <v>0</v>
      </c>
      <c r="J489" s="194">
        <f>IF(_1_54128456121462410464578910174[[#This Row],[Type]]&gt;0,VLOOKUP(_1_54128456121462410464578910174[[#This Row],[Type]],Main[[#All],[TYPE]:[UNIT]],'Unit Price'!H$1,FALSE),0)</f>
        <v>0</v>
      </c>
      <c r="K489" s="194">
        <f>IF(_1_54128456121462410464578910174[[#This Row],[Discount selection]]&gt;0,VLOOKUP(_1_54128456121462410464578910174[[#This Row],[Discount selection]],'Discount Structure'!$A$2:$B$30,2,"false"),0)</f>
        <v>1</v>
      </c>
      <c r="L489" s="194">
        <f>_1_54128456121462410464578910174[[#This Row],[LIST $]]*_1_54128456121462410464578910174[[#This Row],[DISCOUNT]]*_1_54128456121462410464578910174[[#This Row],[DISCOUNT 2]]</f>
        <v>0</v>
      </c>
      <c r="M489" s="194">
        <f>IF(OR(_1_54128456121462410464578910174[[#This Row],[UNIT]]&gt;0,_1_54128456121462410464578910174[[#This Row],[UNIT]]&lt;0),_1_54128456121462410464578910174[[#This Row],[UNIT]]*_1_54128456121462410464578910174[[#This Row],[COST]],0)</f>
        <v>0</v>
      </c>
      <c r="N489" s="194">
        <f t="shared" si="7"/>
        <v>1.5</v>
      </c>
      <c r="O489" s="198">
        <f>_1_54128456121462410464578910174[[#This Row],[TOTAL]]*_1_54128456121462410464578910174[[#This Row],[MARGIN]]</f>
        <v>0</v>
      </c>
      <c r="R489" s="41"/>
    </row>
    <row r="490" spans="1:18">
      <c r="D490" s="188"/>
      <c r="F490" s="168" t="s">
        <v>6202</v>
      </c>
      <c r="G490" s="193">
        <f>IF(_1_54128456121462410464578910174[[#This Row],[Type]]&gt;0,VLOOKUP(_1_54128456121462410464578910174[[#This Row],[Type]],Main[[#All],[TYPE]:[UNIT]],'Unit Price'!C$1,FALSE),0)</f>
        <v>0</v>
      </c>
      <c r="H490" s="197">
        <f>IF(_1_54128456121462410464578910174[[#This Row],[Type]]&gt;0,VLOOKUP(_1_54128456121462410464578910174[[#This Row],[Type]],Main[[#All],[TYPE]:[UNIT]],'Unit Price'!D$1,FALSE),0)</f>
        <v>0</v>
      </c>
      <c r="I490" s="194">
        <f>IF(_1_54128456121462410464578910174[[#This Row],[Type]]&gt;0,VLOOKUP(_1_54128456121462410464578910174[[#This Row],[Type]],Main[[#All],[TYPE]:[UNIT]],'Unit Price'!G$1,FALSE),0)</f>
        <v>0</v>
      </c>
      <c r="J490" s="194">
        <f>IF(_1_54128456121462410464578910174[[#This Row],[Type]]&gt;0,VLOOKUP(_1_54128456121462410464578910174[[#This Row],[Type]],Main[[#All],[TYPE]:[UNIT]],'Unit Price'!H$1,FALSE),0)</f>
        <v>0</v>
      </c>
      <c r="K490" s="194">
        <f>IF(_1_54128456121462410464578910174[[#This Row],[Discount selection]]&gt;0,VLOOKUP(_1_54128456121462410464578910174[[#This Row],[Discount selection]],'Discount Structure'!$A$2:$B$30,2,"false"),0)</f>
        <v>1</v>
      </c>
      <c r="L490" s="194">
        <f>_1_54128456121462410464578910174[[#This Row],[LIST $]]*_1_54128456121462410464578910174[[#This Row],[DISCOUNT]]*_1_54128456121462410464578910174[[#This Row],[DISCOUNT 2]]</f>
        <v>0</v>
      </c>
      <c r="M490" s="194">
        <f>IF(OR(_1_54128456121462410464578910174[[#This Row],[UNIT]]&gt;0,_1_54128456121462410464578910174[[#This Row],[UNIT]]&lt;0),_1_54128456121462410464578910174[[#This Row],[UNIT]]*_1_54128456121462410464578910174[[#This Row],[COST]],0)</f>
        <v>0</v>
      </c>
      <c r="N490" s="194">
        <f t="shared" si="7"/>
        <v>1.5</v>
      </c>
      <c r="O490" s="198">
        <f>_1_54128456121462410464578910174[[#This Row],[TOTAL]]*_1_54128456121462410464578910174[[#This Row],[MARGIN]]</f>
        <v>0</v>
      </c>
      <c r="R490" s="41"/>
    </row>
    <row r="491" spans="1:18">
      <c r="D491" s="188"/>
      <c r="F491" s="168" t="s">
        <v>6202</v>
      </c>
      <c r="G491" s="193">
        <f>IF(_1_54128456121462410464578910174[[#This Row],[Type]]&gt;0,VLOOKUP(_1_54128456121462410464578910174[[#This Row],[Type]],Main[[#All],[TYPE]:[UNIT]],'Unit Price'!C$1,FALSE),0)</f>
        <v>0</v>
      </c>
      <c r="H491" s="197">
        <f>IF(_1_54128456121462410464578910174[[#This Row],[Type]]&gt;0,VLOOKUP(_1_54128456121462410464578910174[[#This Row],[Type]],Main[[#All],[TYPE]:[UNIT]],'Unit Price'!D$1,FALSE),0)</f>
        <v>0</v>
      </c>
      <c r="I491" s="194">
        <f>IF(_1_54128456121462410464578910174[[#This Row],[Type]]&gt;0,VLOOKUP(_1_54128456121462410464578910174[[#This Row],[Type]],Main[[#All],[TYPE]:[UNIT]],'Unit Price'!G$1,FALSE),0)</f>
        <v>0</v>
      </c>
      <c r="J491" s="194">
        <f>IF(_1_54128456121462410464578910174[[#This Row],[Type]]&gt;0,VLOOKUP(_1_54128456121462410464578910174[[#This Row],[Type]],Main[[#All],[TYPE]:[UNIT]],'Unit Price'!H$1,FALSE),0)</f>
        <v>0</v>
      </c>
      <c r="K491" s="194">
        <f>IF(_1_54128456121462410464578910174[[#This Row],[Discount selection]]&gt;0,VLOOKUP(_1_54128456121462410464578910174[[#This Row],[Discount selection]],'Discount Structure'!$A$2:$B$30,2,"false"),0)</f>
        <v>1</v>
      </c>
      <c r="L491" s="194">
        <f>_1_54128456121462410464578910174[[#This Row],[LIST $]]*_1_54128456121462410464578910174[[#This Row],[DISCOUNT]]*_1_54128456121462410464578910174[[#This Row],[DISCOUNT 2]]</f>
        <v>0</v>
      </c>
      <c r="M491" s="194">
        <f>IF(OR(_1_54128456121462410464578910174[[#This Row],[UNIT]]&gt;0,_1_54128456121462410464578910174[[#This Row],[UNIT]]&lt;0),_1_54128456121462410464578910174[[#This Row],[UNIT]]*_1_54128456121462410464578910174[[#This Row],[COST]],0)</f>
        <v>0</v>
      </c>
      <c r="N491" s="194">
        <f t="shared" si="7"/>
        <v>1.5</v>
      </c>
      <c r="O491" s="198">
        <f>_1_54128456121462410464578910174[[#This Row],[TOTAL]]*_1_54128456121462410464578910174[[#This Row],[MARGIN]]</f>
        <v>0</v>
      </c>
      <c r="R491" s="41"/>
    </row>
    <row r="492" spans="1:18">
      <c r="D492" s="188"/>
      <c r="F492" s="168" t="s">
        <v>6202</v>
      </c>
      <c r="G492" s="193">
        <f>IF(_1_54128456121462410464578910174[[#This Row],[Type]]&gt;0,VLOOKUP(_1_54128456121462410464578910174[[#This Row],[Type]],Main[[#All],[TYPE]:[UNIT]],'Unit Price'!C$1,FALSE),0)</f>
        <v>0</v>
      </c>
      <c r="H492" s="197">
        <f>IF(_1_54128456121462410464578910174[[#This Row],[Type]]&gt;0,VLOOKUP(_1_54128456121462410464578910174[[#This Row],[Type]],Main[[#All],[TYPE]:[UNIT]],'Unit Price'!D$1,FALSE),0)</f>
        <v>0</v>
      </c>
      <c r="I492" s="194">
        <f>IF(_1_54128456121462410464578910174[[#This Row],[Type]]&gt;0,VLOOKUP(_1_54128456121462410464578910174[[#This Row],[Type]],Main[[#All],[TYPE]:[UNIT]],'Unit Price'!G$1,FALSE),0)</f>
        <v>0</v>
      </c>
      <c r="J492" s="194">
        <f>IF(_1_54128456121462410464578910174[[#This Row],[Type]]&gt;0,VLOOKUP(_1_54128456121462410464578910174[[#This Row],[Type]],Main[[#All],[TYPE]:[UNIT]],'Unit Price'!H$1,FALSE),0)</f>
        <v>0</v>
      </c>
      <c r="K492" s="194">
        <f>IF(_1_54128456121462410464578910174[[#This Row],[Discount selection]]&gt;0,VLOOKUP(_1_54128456121462410464578910174[[#This Row],[Discount selection]],'Discount Structure'!$A$2:$B$30,2,"false"),0)</f>
        <v>1</v>
      </c>
      <c r="L492" s="194">
        <f>_1_54128456121462410464578910174[[#This Row],[LIST $]]*_1_54128456121462410464578910174[[#This Row],[DISCOUNT]]*_1_54128456121462410464578910174[[#This Row],[DISCOUNT 2]]</f>
        <v>0</v>
      </c>
      <c r="M492" s="194">
        <f>IF(OR(_1_54128456121462410464578910174[[#This Row],[UNIT]]&gt;0,_1_54128456121462410464578910174[[#This Row],[UNIT]]&lt;0),_1_54128456121462410464578910174[[#This Row],[UNIT]]*_1_54128456121462410464578910174[[#This Row],[COST]],0)</f>
        <v>0</v>
      </c>
      <c r="N492" s="194">
        <f t="shared" si="7"/>
        <v>1.5</v>
      </c>
      <c r="O492" s="198">
        <f>_1_54128456121462410464578910174[[#This Row],[TOTAL]]*_1_54128456121462410464578910174[[#This Row],[MARGIN]]</f>
        <v>0</v>
      </c>
      <c r="R492" s="41"/>
    </row>
    <row r="493" spans="1:18">
      <c r="D493" s="188"/>
      <c r="F493" s="168" t="s">
        <v>6202</v>
      </c>
      <c r="G493" s="193">
        <f>IF(_1_54128456121462410464578910174[[#This Row],[Type]]&gt;0,VLOOKUP(_1_54128456121462410464578910174[[#This Row],[Type]],Main[[#All],[TYPE]:[UNIT]],'Unit Price'!C$1,FALSE),0)</f>
        <v>0</v>
      </c>
      <c r="H493" s="197">
        <f>IF(_1_54128456121462410464578910174[[#This Row],[Type]]&gt;0,VLOOKUP(_1_54128456121462410464578910174[[#This Row],[Type]],Main[[#All],[TYPE]:[UNIT]],'Unit Price'!D$1,FALSE),0)</f>
        <v>0</v>
      </c>
      <c r="I493" s="194">
        <f>IF(_1_54128456121462410464578910174[[#This Row],[Type]]&gt;0,VLOOKUP(_1_54128456121462410464578910174[[#This Row],[Type]],Main[[#All],[TYPE]:[UNIT]],'Unit Price'!G$1,FALSE),0)</f>
        <v>0</v>
      </c>
      <c r="J493" s="194">
        <f>IF(_1_54128456121462410464578910174[[#This Row],[Type]]&gt;0,VLOOKUP(_1_54128456121462410464578910174[[#This Row],[Type]],Main[[#All],[TYPE]:[UNIT]],'Unit Price'!H$1,FALSE),0)</f>
        <v>0</v>
      </c>
      <c r="K493" s="194">
        <f>IF(_1_54128456121462410464578910174[[#This Row],[Discount selection]]&gt;0,VLOOKUP(_1_54128456121462410464578910174[[#This Row],[Discount selection]],'Discount Structure'!$A$2:$B$30,2,"false"),0)</f>
        <v>1</v>
      </c>
      <c r="L493" s="194">
        <f>_1_54128456121462410464578910174[[#This Row],[LIST $]]*_1_54128456121462410464578910174[[#This Row],[DISCOUNT]]*_1_54128456121462410464578910174[[#This Row],[DISCOUNT 2]]</f>
        <v>0</v>
      </c>
      <c r="M493" s="194">
        <f>IF(OR(_1_54128456121462410464578910174[[#This Row],[UNIT]]&gt;0,_1_54128456121462410464578910174[[#This Row],[UNIT]]&lt;0),_1_54128456121462410464578910174[[#This Row],[UNIT]]*_1_54128456121462410464578910174[[#This Row],[COST]],0)</f>
        <v>0</v>
      </c>
      <c r="N493" s="194">
        <f t="shared" si="7"/>
        <v>1.5</v>
      </c>
      <c r="O493" s="198">
        <f>_1_54128456121462410464578910174[[#This Row],[TOTAL]]*_1_54128456121462410464578910174[[#This Row],[MARGIN]]</f>
        <v>0</v>
      </c>
      <c r="R493" s="41"/>
    </row>
    <row r="494" spans="1:18">
      <c r="D494" s="188"/>
      <c r="F494" s="168" t="s">
        <v>6202</v>
      </c>
      <c r="G494" s="193">
        <f>IF(_1_54128456121462410464578910174[[#This Row],[Type]]&gt;0,VLOOKUP(_1_54128456121462410464578910174[[#This Row],[Type]],Main[[#All],[TYPE]:[UNIT]],'Unit Price'!C$1,FALSE),0)</f>
        <v>0</v>
      </c>
      <c r="H494" s="197">
        <f>IF(_1_54128456121462410464578910174[[#This Row],[Type]]&gt;0,VLOOKUP(_1_54128456121462410464578910174[[#This Row],[Type]],Main[[#All],[TYPE]:[UNIT]],'Unit Price'!D$1,FALSE),0)</f>
        <v>0</v>
      </c>
      <c r="I494" s="194">
        <f>IF(_1_54128456121462410464578910174[[#This Row],[Type]]&gt;0,VLOOKUP(_1_54128456121462410464578910174[[#This Row],[Type]],Main[[#All],[TYPE]:[UNIT]],'Unit Price'!G$1,FALSE),0)</f>
        <v>0</v>
      </c>
      <c r="J494" s="194">
        <f>IF(_1_54128456121462410464578910174[[#This Row],[Type]]&gt;0,VLOOKUP(_1_54128456121462410464578910174[[#This Row],[Type]],Main[[#All],[TYPE]:[UNIT]],'Unit Price'!H$1,FALSE),0)</f>
        <v>0</v>
      </c>
      <c r="K494" s="194">
        <f>IF(_1_54128456121462410464578910174[[#This Row],[Discount selection]]&gt;0,VLOOKUP(_1_54128456121462410464578910174[[#This Row],[Discount selection]],'Discount Structure'!$A$2:$B$30,2,"false"),0)</f>
        <v>1</v>
      </c>
      <c r="L494" s="194">
        <f>_1_54128456121462410464578910174[[#This Row],[LIST $]]*_1_54128456121462410464578910174[[#This Row],[DISCOUNT]]*_1_54128456121462410464578910174[[#This Row],[DISCOUNT 2]]</f>
        <v>0</v>
      </c>
      <c r="M494" s="194">
        <f>IF(OR(_1_54128456121462410464578910174[[#This Row],[UNIT]]&gt;0,_1_54128456121462410464578910174[[#This Row],[UNIT]]&lt;0),_1_54128456121462410464578910174[[#This Row],[UNIT]]*_1_54128456121462410464578910174[[#This Row],[COST]],0)</f>
        <v>0</v>
      </c>
      <c r="N494" s="194">
        <f t="shared" si="7"/>
        <v>1.5</v>
      </c>
      <c r="O494" s="198">
        <f>_1_54128456121462410464578910174[[#This Row],[TOTAL]]*_1_54128456121462410464578910174[[#This Row],[MARGIN]]</f>
        <v>0</v>
      </c>
      <c r="R494" s="41"/>
    </row>
    <row r="495" spans="1:18">
      <c r="D495" s="188"/>
      <c r="F495" s="168" t="s">
        <v>6202</v>
      </c>
      <c r="G495" s="193">
        <f>IF(_1_54128456121462410464578910174[[#This Row],[Type]]&gt;0,VLOOKUP(_1_54128456121462410464578910174[[#This Row],[Type]],Main[[#All],[TYPE]:[UNIT]],'Unit Price'!C$1,FALSE),0)</f>
        <v>0</v>
      </c>
      <c r="H495" s="197">
        <f>IF(_1_54128456121462410464578910174[[#This Row],[Type]]&gt;0,VLOOKUP(_1_54128456121462410464578910174[[#This Row],[Type]],Main[[#All],[TYPE]:[UNIT]],'Unit Price'!D$1,FALSE),0)</f>
        <v>0</v>
      </c>
      <c r="I495" s="194">
        <f>IF(_1_54128456121462410464578910174[[#This Row],[Type]]&gt;0,VLOOKUP(_1_54128456121462410464578910174[[#This Row],[Type]],Main[[#All],[TYPE]:[UNIT]],'Unit Price'!G$1,FALSE),0)</f>
        <v>0</v>
      </c>
      <c r="J495" s="194">
        <f>IF(_1_54128456121462410464578910174[[#This Row],[Type]]&gt;0,VLOOKUP(_1_54128456121462410464578910174[[#This Row],[Type]],Main[[#All],[TYPE]:[UNIT]],'Unit Price'!H$1,FALSE),0)</f>
        <v>0</v>
      </c>
      <c r="K495" s="194">
        <f>IF(_1_54128456121462410464578910174[[#This Row],[Discount selection]]&gt;0,VLOOKUP(_1_54128456121462410464578910174[[#This Row],[Discount selection]],'Discount Structure'!$A$2:$B$30,2,"false"),0)</f>
        <v>1</v>
      </c>
      <c r="L495" s="194">
        <f>_1_54128456121462410464578910174[[#This Row],[LIST $]]*_1_54128456121462410464578910174[[#This Row],[DISCOUNT]]*_1_54128456121462410464578910174[[#This Row],[DISCOUNT 2]]</f>
        <v>0</v>
      </c>
      <c r="M495" s="194">
        <f>IF(OR(_1_54128456121462410464578910174[[#This Row],[UNIT]]&gt;0,_1_54128456121462410464578910174[[#This Row],[UNIT]]&lt;0),_1_54128456121462410464578910174[[#This Row],[UNIT]]*_1_54128456121462410464578910174[[#This Row],[COST]],0)</f>
        <v>0</v>
      </c>
      <c r="N495" s="194">
        <f t="shared" si="7"/>
        <v>1.5</v>
      </c>
      <c r="O495" s="198">
        <f>_1_54128456121462410464578910174[[#This Row],[TOTAL]]*_1_54128456121462410464578910174[[#This Row],[MARGIN]]</f>
        <v>0</v>
      </c>
      <c r="R495" s="41"/>
    </row>
    <row r="496" spans="1:18">
      <c r="D496" s="188"/>
      <c r="F496" s="168" t="s">
        <v>6202</v>
      </c>
      <c r="G496" s="193">
        <f>IF(_1_54128456121462410464578910174[[#This Row],[Type]]&gt;0,VLOOKUP(_1_54128456121462410464578910174[[#This Row],[Type]],Main[[#All],[TYPE]:[UNIT]],'Unit Price'!C$1,FALSE),0)</f>
        <v>0</v>
      </c>
      <c r="H496" s="197">
        <f>IF(_1_54128456121462410464578910174[[#This Row],[Type]]&gt;0,VLOOKUP(_1_54128456121462410464578910174[[#This Row],[Type]],Main[[#All],[TYPE]:[UNIT]],'Unit Price'!D$1,FALSE),0)</f>
        <v>0</v>
      </c>
      <c r="I496" s="194">
        <f>IF(_1_54128456121462410464578910174[[#This Row],[Type]]&gt;0,VLOOKUP(_1_54128456121462410464578910174[[#This Row],[Type]],Main[[#All],[TYPE]:[UNIT]],'Unit Price'!G$1,FALSE),0)</f>
        <v>0</v>
      </c>
      <c r="J496" s="194">
        <f>IF(_1_54128456121462410464578910174[[#This Row],[Type]]&gt;0,VLOOKUP(_1_54128456121462410464578910174[[#This Row],[Type]],Main[[#All],[TYPE]:[UNIT]],'Unit Price'!H$1,FALSE),0)</f>
        <v>0</v>
      </c>
      <c r="K496" s="194">
        <f>IF(_1_54128456121462410464578910174[[#This Row],[Discount selection]]&gt;0,VLOOKUP(_1_54128456121462410464578910174[[#This Row],[Discount selection]],'Discount Structure'!$A$2:$B$30,2,"false"),0)</f>
        <v>1</v>
      </c>
      <c r="L496" s="194">
        <f>_1_54128456121462410464578910174[[#This Row],[LIST $]]*_1_54128456121462410464578910174[[#This Row],[DISCOUNT]]*_1_54128456121462410464578910174[[#This Row],[DISCOUNT 2]]</f>
        <v>0</v>
      </c>
      <c r="M496" s="194">
        <f>IF(OR(_1_54128456121462410464578910174[[#This Row],[UNIT]]&gt;0,_1_54128456121462410464578910174[[#This Row],[UNIT]]&lt;0),_1_54128456121462410464578910174[[#This Row],[UNIT]]*_1_54128456121462410464578910174[[#This Row],[COST]],0)</f>
        <v>0</v>
      </c>
      <c r="N496" s="194">
        <f t="shared" si="7"/>
        <v>1.5</v>
      </c>
      <c r="O496" s="198">
        <f>_1_54128456121462410464578910174[[#This Row],[TOTAL]]*_1_54128456121462410464578910174[[#This Row],[MARGIN]]</f>
        <v>0</v>
      </c>
      <c r="R496" s="41"/>
    </row>
    <row r="497" spans="1:18">
      <c r="D497" s="188"/>
      <c r="F497" s="168" t="s">
        <v>6202</v>
      </c>
      <c r="G497" s="193">
        <f>IF(_1_54128456121462410464578910174[[#This Row],[Type]]&gt;0,VLOOKUP(_1_54128456121462410464578910174[[#This Row],[Type]],Main[[#All],[TYPE]:[UNIT]],'Unit Price'!C$1,FALSE),0)</f>
        <v>0</v>
      </c>
      <c r="H497" s="197">
        <f>IF(_1_54128456121462410464578910174[[#This Row],[Type]]&gt;0,VLOOKUP(_1_54128456121462410464578910174[[#This Row],[Type]],Main[[#All],[TYPE]:[UNIT]],'Unit Price'!D$1,FALSE),0)</f>
        <v>0</v>
      </c>
      <c r="I497" s="194">
        <f>IF(_1_54128456121462410464578910174[[#This Row],[Type]]&gt;0,VLOOKUP(_1_54128456121462410464578910174[[#This Row],[Type]],Main[[#All],[TYPE]:[UNIT]],'Unit Price'!G$1,FALSE),0)</f>
        <v>0</v>
      </c>
      <c r="J497" s="194">
        <f>IF(_1_54128456121462410464578910174[[#This Row],[Type]]&gt;0,VLOOKUP(_1_54128456121462410464578910174[[#This Row],[Type]],Main[[#All],[TYPE]:[UNIT]],'Unit Price'!H$1,FALSE),0)</f>
        <v>0</v>
      </c>
      <c r="K497" s="194">
        <f>IF(_1_54128456121462410464578910174[[#This Row],[Discount selection]]&gt;0,VLOOKUP(_1_54128456121462410464578910174[[#This Row],[Discount selection]],'Discount Structure'!$A$2:$B$30,2,"false"),0)</f>
        <v>1</v>
      </c>
      <c r="L497" s="194">
        <f>_1_54128456121462410464578910174[[#This Row],[LIST $]]*_1_54128456121462410464578910174[[#This Row],[DISCOUNT]]*_1_54128456121462410464578910174[[#This Row],[DISCOUNT 2]]</f>
        <v>0</v>
      </c>
      <c r="M497" s="194">
        <f>IF(OR(_1_54128456121462410464578910174[[#This Row],[UNIT]]&gt;0,_1_54128456121462410464578910174[[#This Row],[UNIT]]&lt;0),_1_54128456121462410464578910174[[#This Row],[UNIT]]*_1_54128456121462410464578910174[[#This Row],[COST]],0)</f>
        <v>0</v>
      </c>
      <c r="N497" s="194">
        <f t="shared" si="7"/>
        <v>1.5</v>
      </c>
      <c r="O497" s="198">
        <f>_1_54128456121462410464578910174[[#This Row],[TOTAL]]*_1_54128456121462410464578910174[[#This Row],[MARGIN]]</f>
        <v>0</v>
      </c>
      <c r="R497" s="41"/>
    </row>
    <row r="498" spans="1:18">
      <c r="D498" s="188"/>
      <c r="F498" s="168" t="s">
        <v>6202</v>
      </c>
      <c r="G498" s="193">
        <f>IF(_1_54128456121462410464578910174[[#This Row],[Type]]&gt;0,VLOOKUP(_1_54128456121462410464578910174[[#This Row],[Type]],Main[[#All],[TYPE]:[UNIT]],'Unit Price'!C$1,FALSE),0)</f>
        <v>0</v>
      </c>
      <c r="H498" s="197">
        <f>IF(_1_54128456121462410464578910174[[#This Row],[Type]]&gt;0,VLOOKUP(_1_54128456121462410464578910174[[#This Row],[Type]],Main[[#All],[TYPE]:[UNIT]],'Unit Price'!D$1,FALSE),0)</f>
        <v>0</v>
      </c>
      <c r="I498" s="194">
        <f>IF(_1_54128456121462410464578910174[[#This Row],[Type]]&gt;0,VLOOKUP(_1_54128456121462410464578910174[[#This Row],[Type]],Main[[#All],[TYPE]:[UNIT]],'Unit Price'!G$1,FALSE),0)</f>
        <v>0</v>
      </c>
      <c r="J498" s="194">
        <f>IF(_1_54128456121462410464578910174[[#This Row],[Type]]&gt;0,VLOOKUP(_1_54128456121462410464578910174[[#This Row],[Type]],Main[[#All],[TYPE]:[UNIT]],'Unit Price'!H$1,FALSE),0)</f>
        <v>0</v>
      </c>
      <c r="K498" s="194">
        <f>IF(_1_54128456121462410464578910174[[#This Row],[Discount selection]]&gt;0,VLOOKUP(_1_54128456121462410464578910174[[#This Row],[Discount selection]],'Discount Structure'!$A$2:$B$30,2,"false"),0)</f>
        <v>1</v>
      </c>
      <c r="L498" s="194">
        <f>_1_54128456121462410464578910174[[#This Row],[LIST $]]*_1_54128456121462410464578910174[[#This Row],[DISCOUNT]]*_1_54128456121462410464578910174[[#This Row],[DISCOUNT 2]]</f>
        <v>0</v>
      </c>
      <c r="M498" s="194">
        <f>IF(OR(_1_54128456121462410464578910174[[#This Row],[UNIT]]&gt;0,_1_54128456121462410464578910174[[#This Row],[UNIT]]&lt;0),_1_54128456121462410464578910174[[#This Row],[UNIT]]*_1_54128456121462410464578910174[[#This Row],[COST]],0)</f>
        <v>0</v>
      </c>
      <c r="N498" s="194">
        <f t="shared" si="7"/>
        <v>1.5</v>
      </c>
      <c r="O498" s="198">
        <f>_1_54128456121462410464578910174[[#This Row],[TOTAL]]*_1_54128456121462410464578910174[[#This Row],[MARGIN]]</f>
        <v>0</v>
      </c>
      <c r="R498" s="41"/>
    </row>
    <row r="499" spans="1:18">
      <c r="A499" s="168"/>
      <c r="D499" s="188"/>
      <c r="F499" s="168" t="s">
        <v>6202</v>
      </c>
      <c r="G499" s="193">
        <f>IF(_1_54128456121462410464578910174[[#This Row],[Type]]&gt;0,VLOOKUP(_1_54128456121462410464578910174[[#This Row],[Type]],Main[[#All],[TYPE]:[UNIT]],'Unit Price'!C$1,FALSE),0)</f>
        <v>0</v>
      </c>
      <c r="H499" s="197">
        <f>IF(_1_54128456121462410464578910174[[#This Row],[Type]]&gt;0,VLOOKUP(_1_54128456121462410464578910174[[#This Row],[Type]],Main[[#All],[TYPE]:[UNIT]],'Unit Price'!D$1,FALSE),0)</f>
        <v>0</v>
      </c>
      <c r="I499" s="194">
        <f>IF(_1_54128456121462410464578910174[[#This Row],[Type]]&gt;0,VLOOKUP(_1_54128456121462410464578910174[[#This Row],[Type]],Main[[#All],[TYPE]:[UNIT]],'Unit Price'!G$1,FALSE),0)</f>
        <v>0</v>
      </c>
      <c r="J499" s="194">
        <f>IF(_1_54128456121462410464578910174[[#This Row],[Type]]&gt;0,VLOOKUP(_1_54128456121462410464578910174[[#This Row],[Type]],Main[[#All],[TYPE]:[UNIT]],'Unit Price'!H$1,FALSE),0)</f>
        <v>0</v>
      </c>
      <c r="K499" s="194">
        <f>IF(_1_54128456121462410464578910174[[#This Row],[Discount selection]]&gt;0,VLOOKUP(_1_54128456121462410464578910174[[#This Row],[Discount selection]],'Discount Structure'!$A$2:$B$30,2,"false"),0)</f>
        <v>1</v>
      </c>
      <c r="L499" s="194">
        <f>_1_54128456121462410464578910174[[#This Row],[LIST $]]*_1_54128456121462410464578910174[[#This Row],[DISCOUNT]]*_1_54128456121462410464578910174[[#This Row],[DISCOUNT 2]]</f>
        <v>0</v>
      </c>
      <c r="M499" s="194">
        <f>IF(OR(_1_54128456121462410464578910174[[#This Row],[UNIT]]&gt;0,_1_54128456121462410464578910174[[#This Row],[UNIT]]&lt;0),_1_54128456121462410464578910174[[#This Row],[UNIT]]*_1_54128456121462410464578910174[[#This Row],[COST]],0)</f>
        <v>0</v>
      </c>
      <c r="N499" s="194">
        <f t="shared" si="7"/>
        <v>1.5</v>
      </c>
      <c r="O499" s="198">
        <f>_1_54128456121462410464578910174[[#This Row],[TOTAL]]*_1_54128456121462410464578910174[[#This Row],[MARGIN]]</f>
        <v>0</v>
      </c>
      <c r="R499" s="41"/>
    </row>
    <row r="500" spans="1:18">
      <c r="D500" s="188"/>
      <c r="F500" s="168" t="s">
        <v>6202</v>
      </c>
      <c r="G500" s="193">
        <f>IF(_1_54128456121462410464578910174[[#This Row],[Type]]&gt;0,VLOOKUP(_1_54128456121462410464578910174[[#This Row],[Type]],Main[[#All],[TYPE]:[UNIT]],'Unit Price'!C$1,FALSE),0)</f>
        <v>0</v>
      </c>
      <c r="H500" s="197">
        <f>IF(_1_54128456121462410464578910174[[#This Row],[Type]]&gt;0,VLOOKUP(_1_54128456121462410464578910174[[#This Row],[Type]],Main[[#All],[TYPE]:[UNIT]],'Unit Price'!D$1,FALSE),0)</f>
        <v>0</v>
      </c>
      <c r="I500" s="194">
        <f>IF(_1_54128456121462410464578910174[[#This Row],[Type]]&gt;0,VLOOKUP(_1_54128456121462410464578910174[[#This Row],[Type]],Main[[#All],[TYPE]:[UNIT]],'Unit Price'!G$1,FALSE),0)</f>
        <v>0</v>
      </c>
      <c r="J500" s="194">
        <f>IF(_1_54128456121462410464578910174[[#This Row],[Type]]&gt;0,VLOOKUP(_1_54128456121462410464578910174[[#This Row],[Type]],Main[[#All],[TYPE]:[UNIT]],'Unit Price'!H$1,FALSE),0)</f>
        <v>0</v>
      </c>
      <c r="K500" s="194">
        <f>IF(_1_54128456121462410464578910174[[#This Row],[Discount selection]]&gt;0,VLOOKUP(_1_54128456121462410464578910174[[#This Row],[Discount selection]],'Discount Structure'!$A$2:$B$30,2,"false"),0)</f>
        <v>1</v>
      </c>
      <c r="L500" s="194">
        <f>_1_54128456121462410464578910174[[#This Row],[LIST $]]*_1_54128456121462410464578910174[[#This Row],[DISCOUNT]]*_1_54128456121462410464578910174[[#This Row],[DISCOUNT 2]]</f>
        <v>0</v>
      </c>
      <c r="M500" s="194">
        <f>IF(OR(_1_54128456121462410464578910174[[#This Row],[UNIT]]&gt;0,_1_54128456121462410464578910174[[#This Row],[UNIT]]&lt;0),_1_54128456121462410464578910174[[#This Row],[UNIT]]*_1_54128456121462410464578910174[[#This Row],[COST]],0)</f>
        <v>0</v>
      </c>
      <c r="N500" s="194">
        <f t="shared" si="7"/>
        <v>1.5</v>
      </c>
      <c r="O500" s="198">
        <f>_1_54128456121462410464578910174[[#This Row],[TOTAL]]*_1_54128456121462410464578910174[[#This Row],[MARGIN]]</f>
        <v>0</v>
      </c>
      <c r="R500" s="41"/>
    </row>
    <row r="501" spans="1:18">
      <c r="D501" s="188"/>
      <c r="F501" s="168" t="s">
        <v>6202</v>
      </c>
      <c r="G501" s="193">
        <f>IF(_1_54128456121462410464578910174[[#This Row],[Type]]&gt;0,VLOOKUP(_1_54128456121462410464578910174[[#This Row],[Type]],Main[[#All],[TYPE]:[UNIT]],'Unit Price'!C$1,FALSE),0)</f>
        <v>0</v>
      </c>
      <c r="H501" s="197">
        <f>IF(_1_54128456121462410464578910174[[#This Row],[Type]]&gt;0,VLOOKUP(_1_54128456121462410464578910174[[#This Row],[Type]],Main[[#All],[TYPE]:[UNIT]],'Unit Price'!D$1,FALSE),0)</f>
        <v>0</v>
      </c>
      <c r="I501" s="194">
        <f>IF(_1_54128456121462410464578910174[[#This Row],[Type]]&gt;0,VLOOKUP(_1_54128456121462410464578910174[[#This Row],[Type]],Main[[#All],[TYPE]:[UNIT]],'Unit Price'!G$1,FALSE),0)</f>
        <v>0</v>
      </c>
      <c r="J501" s="194">
        <f>IF(_1_54128456121462410464578910174[[#This Row],[Type]]&gt;0,VLOOKUP(_1_54128456121462410464578910174[[#This Row],[Type]],Main[[#All],[TYPE]:[UNIT]],'Unit Price'!H$1,FALSE),0)</f>
        <v>0</v>
      </c>
      <c r="K501" s="194">
        <f>IF(_1_54128456121462410464578910174[[#This Row],[Discount selection]]&gt;0,VLOOKUP(_1_54128456121462410464578910174[[#This Row],[Discount selection]],'Discount Structure'!$A$2:$B$30,2,"false"),0)</f>
        <v>1</v>
      </c>
      <c r="L501" s="194">
        <f>_1_54128456121462410464578910174[[#This Row],[LIST $]]*_1_54128456121462410464578910174[[#This Row],[DISCOUNT]]*_1_54128456121462410464578910174[[#This Row],[DISCOUNT 2]]</f>
        <v>0</v>
      </c>
      <c r="M501" s="194">
        <f>IF(OR(_1_54128456121462410464578910174[[#This Row],[UNIT]]&gt;0,_1_54128456121462410464578910174[[#This Row],[UNIT]]&lt;0),_1_54128456121462410464578910174[[#This Row],[UNIT]]*_1_54128456121462410464578910174[[#This Row],[COST]],0)</f>
        <v>0</v>
      </c>
      <c r="N501" s="194">
        <f t="shared" si="7"/>
        <v>1.5</v>
      </c>
      <c r="O501" s="198">
        <f>_1_54128456121462410464578910174[[#This Row],[TOTAL]]*_1_54128456121462410464578910174[[#This Row],[MARGIN]]</f>
        <v>0</v>
      </c>
      <c r="R501" s="41"/>
    </row>
    <row r="502" spans="1:18">
      <c r="D502" s="188"/>
      <c r="F502" s="168" t="s">
        <v>6202</v>
      </c>
      <c r="G502" s="193">
        <f>IF(_1_54128456121462410464578910174[[#This Row],[Type]]&gt;0,VLOOKUP(_1_54128456121462410464578910174[[#This Row],[Type]],Main[[#All],[TYPE]:[UNIT]],'Unit Price'!C$1,FALSE),0)</f>
        <v>0</v>
      </c>
      <c r="H502" s="197">
        <f>IF(_1_54128456121462410464578910174[[#This Row],[Type]]&gt;0,VLOOKUP(_1_54128456121462410464578910174[[#This Row],[Type]],Main[[#All],[TYPE]:[UNIT]],'Unit Price'!D$1,FALSE),0)</f>
        <v>0</v>
      </c>
      <c r="I502" s="194">
        <f>IF(_1_54128456121462410464578910174[[#This Row],[Type]]&gt;0,VLOOKUP(_1_54128456121462410464578910174[[#This Row],[Type]],Main[[#All],[TYPE]:[UNIT]],'Unit Price'!G$1,FALSE),0)</f>
        <v>0</v>
      </c>
      <c r="J502" s="194">
        <f>IF(_1_54128456121462410464578910174[[#This Row],[Type]]&gt;0,VLOOKUP(_1_54128456121462410464578910174[[#This Row],[Type]],Main[[#All],[TYPE]:[UNIT]],'Unit Price'!H$1,FALSE),0)</f>
        <v>0</v>
      </c>
      <c r="K502" s="194">
        <f>IF(_1_54128456121462410464578910174[[#This Row],[Discount selection]]&gt;0,VLOOKUP(_1_54128456121462410464578910174[[#This Row],[Discount selection]],'Discount Structure'!$A$2:$B$30,2,"false"),0)</f>
        <v>1</v>
      </c>
      <c r="L502" s="194">
        <f>_1_54128456121462410464578910174[[#This Row],[LIST $]]*_1_54128456121462410464578910174[[#This Row],[DISCOUNT]]*_1_54128456121462410464578910174[[#This Row],[DISCOUNT 2]]</f>
        <v>0</v>
      </c>
      <c r="M502" s="194">
        <f>IF(OR(_1_54128456121462410464578910174[[#This Row],[UNIT]]&gt;0,_1_54128456121462410464578910174[[#This Row],[UNIT]]&lt;0),_1_54128456121462410464578910174[[#This Row],[UNIT]]*_1_54128456121462410464578910174[[#This Row],[COST]],0)</f>
        <v>0</v>
      </c>
      <c r="N502" s="194">
        <f t="shared" si="7"/>
        <v>1.5</v>
      </c>
      <c r="O502" s="198">
        <f>_1_54128456121462410464578910174[[#This Row],[TOTAL]]*_1_54128456121462410464578910174[[#This Row],[MARGIN]]</f>
        <v>0</v>
      </c>
      <c r="R502" s="41"/>
    </row>
    <row r="503" spans="1:18">
      <c r="D503" s="188"/>
      <c r="F503" s="168" t="s">
        <v>6202</v>
      </c>
      <c r="G503" s="193">
        <f>IF(_1_54128456121462410464578910174[[#This Row],[Type]]&gt;0,VLOOKUP(_1_54128456121462410464578910174[[#This Row],[Type]],Main[[#All],[TYPE]:[UNIT]],'Unit Price'!C$1,FALSE),0)</f>
        <v>0</v>
      </c>
      <c r="H503" s="197">
        <f>IF(_1_54128456121462410464578910174[[#This Row],[Type]]&gt;0,VLOOKUP(_1_54128456121462410464578910174[[#This Row],[Type]],Main[[#All],[TYPE]:[UNIT]],'Unit Price'!D$1,FALSE),0)</f>
        <v>0</v>
      </c>
      <c r="I503" s="194">
        <f>IF(_1_54128456121462410464578910174[[#This Row],[Type]]&gt;0,VLOOKUP(_1_54128456121462410464578910174[[#This Row],[Type]],Main[[#All],[TYPE]:[UNIT]],'Unit Price'!G$1,FALSE),0)</f>
        <v>0</v>
      </c>
      <c r="J503" s="194">
        <f>IF(_1_54128456121462410464578910174[[#This Row],[Type]]&gt;0,VLOOKUP(_1_54128456121462410464578910174[[#This Row],[Type]],Main[[#All],[TYPE]:[UNIT]],'Unit Price'!H$1,FALSE),0)</f>
        <v>0</v>
      </c>
      <c r="K503" s="194">
        <f>IF(_1_54128456121462410464578910174[[#This Row],[Discount selection]]&gt;0,VLOOKUP(_1_54128456121462410464578910174[[#This Row],[Discount selection]],'Discount Structure'!$A$2:$B$30,2,"false"),0)</f>
        <v>1</v>
      </c>
      <c r="L503" s="194">
        <f>_1_54128456121462410464578910174[[#This Row],[LIST $]]*_1_54128456121462410464578910174[[#This Row],[DISCOUNT]]*_1_54128456121462410464578910174[[#This Row],[DISCOUNT 2]]</f>
        <v>0</v>
      </c>
      <c r="M503" s="194">
        <f>IF(OR(_1_54128456121462410464578910174[[#This Row],[UNIT]]&gt;0,_1_54128456121462410464578910174[[#This Row],[UNIT]]&lt;0),_1_54128456121462410464578910174[[#This Row],[UNIT]]*_1_54128456121462410464578910174[[#This Row],[COST]],0)</f>
        <v>0</v>
      </c>
      <c r="N503" s="194">
        <f t="shared" si="7"/>
        <v>1.5</v>
      </c>
      <c r="O503" s="198">
        <f>_1_54128456121462410464578910174[[#This Row],[TOTAL]]*_1_54128456121462410464578910174[[#This Row],[MARGIN]]</f>
        <v>0</v>
      </c>
      <c r="R503" s="41"/>
    </row>
    <row r="504" spans="1:18">
      <c r="D504" s="188"/>
      <c r="F504" s="168" t="s">
        <v>6202</v>
      </c>
      <c r="G504" s="193">
        <f>IF(_1_54128456121462410464578910174[[#This Row],[Type]]&gt;0,VLOOKUP(_1_54128456121462410464578910174[[#This Row],[Type]],Main[[#All],[TYPE]:[UNIT]],'Unit Price'!C$1,FALSE),0)</f>
        <v>0</v>
      </c>
      <c r="H504" s="197">
        <f>IF(_1_54128456121462410464578910174[[#This Row],[Type]]&gt;0,VLOOKUP(_1_54128456121462410464578910174[[#This Row],[Type]],Main[[#All],[TYPE]:[UNIT]],'Unit Price'!D$1,FALSE),0)</f>
        <v>0</v>
      </c>
      <c r="I504" s="194">
        <f>IF(_1_54128456121462410464578910174[[#This Row],[Type]]&gt;0,VLOOKUP(_1_54128456121462410464578910174[[#This Row],[Type]],Main[[#All],[TYPE]:[UNIT]],'Unit Price'!G$1,FALSE),0)</f>
        <v>0</v>
      </c>
      <c r="J504" s="194">
        <f>IF(_1_54128456121462410464578910174[[#This Row],[Type]]&gt;0,VLOOKUP(_1_54128456121462410464578910174[[#This Row],[Type]],Main[[#All],[TYPE]:[UNIT]],'Unit Price'!H$1,FALSE),0)</f>
        <v>0</v>
      </c>
      <c r="K504" s="194">
        <f>IF(_1_54128456121462410464578910174[[#This Row],[Discount selection]]&gt;0,VLOOKUP(_1_54128456121462410464578910174[[#This Row],[Discount selection]],'Discount Structure'!$A$2:$B$30,2,"false"),0)</f>
        <v>1</v>
      </c>
      <c r="L504" s="194">
        <f>_1_54128456121462410464578910174[[#This Row],[LIST $]]*_1_54128456121462410464578910174[[#This Row],[DISCOUNT]]*_1_54128456121462410464578910174[[#This Row],[DISCOUNT 2]]</f>
        <v>0</v>
      </c>
      <c r="M504" s="194">
        <f>IF(OR(_1_54128456121462410464578910174[[#This Row],[UNIT]]&gt;0,_1_54128456121462410464578910174[[#This Row],[UNIT]]&lt;0),_1_54128456121462410464578910174[[#This Row],[UNIT]]*_1_54128456121462410464578910174[[#This Row],[COST]],0)</f>
        <v>0</v>
      </c>
      <c r="N504" s="194">
        <f t="shared" si="7"/>
        <v>1.5</v>
      </c>
      <c r="O504" s="198">
        <f>_1_54128456121462410464578910174[[#This Row],[TOTAL]]*_1_54128456121462410464578910174[[#This Row],[MARGIN]]</f>
        <v>0</v>
      </c>
      <c r="R504" s="41"/>
    </row>
    <row r="505" spans="1:18">
      <c r="D505" s="188"/>
      <c r="F505" s="168" t="s">
        <v>6202</v>
      </c>
      <c r="G505" s="193">
        <f>IF(_1_54128456121462410464578910174[[#This Row],[Type]]&gt;0,VLOOKUP(_1_54128456121462410464578910174[[#This Row],[Type]],Main[[#All],[TYPE]:[UNIT]],'Unit Price'!C$1,FALSE),0)</f>
        <v>0</v>
      </c>
      <c r="H505" s="197">
        <f>IF(_1_54128456121462410464578910174[[#This Row],[Type]]&gt;0,VLOOKUP(_1_54128456121462410464578910174[[#This Row],[Type]],Main[[#All],[TYPE]:[UNIT]],'Unit Price'!D$1,FALSE),0)</f>
        <v>0</v>
      </c>
      <c r="I505" s="194">
        <f>IF(_1_54128456121462410464578910174[[#This Row],[Type]]&gt;0,VLOOKUP(_1_54128456121462410464578910174[[#This Row],[Type]],Main[[#All],[TYPE]:[UNIT]],'Unit Price'!G$1,FALSE),0)</f>
        <v>0</v>
      </c>
      <c r="J505" s="194">
        <f>IF(_1_54128456121462410464578910174[[#This Row],[Type]]&gt;0,VLOOKUP(_1_54128456121462410464578910174[[#This Row],[Type]],Main[[#All],[TYPE]:[UNIT]],'Unit Price'!H$1,FALSE),0)</f>
        <v>0</v>
      </c>
      <c r="K505" s="194">
        <f>IF(_1_54128456121462410464578910174[[#This Row],[Discount selection]]&gt;0,VLOOKUP(_1_54128456121462410464578910174[[#This Row],[Discount selection]],'Discount Structure'!$A$2:$B$30,2,"false"),0)</f>
        <v>1</v>
      </c>
      <c r="L505" s="194">
        <f>_1_54128456121462410464578910174[[#This Row],[LIST $]]*_1_54128456121462410464578910174[[#This Row],[DISCOUNT]]*_1_54128456121462410464578910174[[#This Row],[DISCOUNT 2]]</f>
        <v>0</v>
      </c>
      <c r="M505" s="194">
        <f>IF(OR(_1_54128456121462410464578910174[[#This Row],[UNIT]]&gt;0,_1_54128456121462410464578910174[[#This Row],[UNIT]]&lt;0),_1_54128456121462410464578910174[[#This Row],[UNIT]]*_1_54128456121462410464578910174[[#This Row],[COST]],0)</f>
        <v>0</v>
      </c>
      <c r="N505" s="194">
        <f t="shared" si="7"/>
        <v>1.5</v>
      </c>
      <c r="O505" s="198">
        <f>_1_54128456121462410464578910174[[#This Row],[TOTAL]]*_1_54128456121462410464578910174[[#This Row],[MARGIN]]</f>
        <v>0</v>
      </c>
      <c r="R505" s="41"/>
    </row>
    <row r="506" spans="1:18">
      <c r="A506" s="168"/>
      <c r="D506" s="188"/>
      <c r="F506" s="168" t="s">
        <v>6202</v>
      </c>
      <c r="G506" s="193">
        <f>IF(_1_54128456121462410464578910174[[#This Row],[Type]]&gt;0,VLOOKUP(_1_54128456121462410464578910174[[#This Row],[Type]],Main[[#All],[TYPE]:[UNIT]],'Unit Price'!C$1,FALSE),0)</f>
        <v>0</v>
      </c>
      <c r="H506" s="197">
        <f>IF(_1_54128456121462410464578910174[[#This Row],[Type]]&gt;0,VLOOKUP(_1_54128456121462410464578910174[[#This Row],[Type]],Main[[#All],[TYPE]:[UNIT]],'Unit Price'!D$1,FALSE),0)</f>
        <v>0</v>
      </c>
      <c r="I506" s="194">
        <f>IF(_1_54128456121462410464578910174[[#This Row],[Type]]&gt;0,VLOOKUP(_1_54128456121462410464578910174[[#This Row],[Type]],Main[[#All],[TYPE]:[UNIT]],'Unit Price'!G$1,FALSE),0)</f>
        <v>0</v>
      </c>
      <c r="J506" s="194">
        <f>IF(_1_54128456121462410464578910174[[#This Row],[Type]]&gt;0,VLOOKUP(_1_54128456121462410464578910174[[#This Row],[Type]],Main[[#All],[TYPE]:[UNIT]],'Unit Price'!H$1,FALSE),0)</f>
        <v>0</v>
      </c>
      <c r="K506" s="194">
        <f>IF(_1_54128456121462410464578910174[[#This Row],[Discount selection]]&gt;0,VLOOKUP(_1_54128456121462410464578910174[[#This Row],[Discount selection]],'Discount Structure'!$A$2:$B$30,2,"false"),0)</f>
        <v>1</v>
      </c>
      <c r="L506" s="194">
        <f>_1_54128456121462410464578910174[[#This Row],[LIST $]]*_1_54128456121462410464578910174[[#This Row],[DISCOUNT]]*_1_54128456121462410464578910174[[#This Row],[DISCOUNT 2]]</f>
        <v>0</v>
      </c>
      <c r="M506" s="194">
        <f>IF(OR(_1_54128456121462410464578910174[[#This Row],[UNIT]]&gt;0,_1_54128456121462410464578910174[[#This Row],[UNIT]]&lt;0),_1_54128456121462410464578910174[[#This Row],[UNIT]]*_1_54128456121462410464578910174[[#This Row],[COST]],0)</f>
        <v>0</v>
      </c>
      <c r="N506" s="194">
        <f t="shared" si="7"/>
        <v>1.5</v>
      </c>
      <c r="O506" s="198">
        <f>_1_54128456121462410464578910174[[#This Row],[TOTAL]]*_1_54128456121462410464578910174[[#This Row],[MARGIN]]</f>
        <v>0</v>
      </c>
      <c r="R506" s="41"/>
    </row>
    <row r="507" spans="1:18">
      <c r="D507" s="188"/>
      <c r="F507" s="168" t="s">
        <v>6202</v>
      </c>
      <c r="G507" s="193">
        <f>IF(_1_54128456121462410464578910174[[#This Row],[Type]]&gt;0,VLOOKUP(_1_54128456121462410464578910174[[#This Row],[Type]],Main[[#All],[TYPE]:[UNIT]],'Unit Price'!C$1,FALSE),0)</f>
        <v>0</v>
      </c>
      <c r="H507" s="197">
        <f>IF(_1_54128456121462410464578910174[[#This Row],[Type]]&gt;0,VLOOKUP(_1_54128456121462410464578910174[[#This Row],[Type]],Main[[#All],[TYPE]:[UNIT]],'Unit Price'!D$1,FALSE),0)</f>
        <v>0</v>
      </c>
      <c r="I507" s="194">
        <f>IF(_1_54128456121462410464578910174[[#This Row],[Type]]&gt;0,VLOOKUP(_1_54128456121462410464578910174[[#This Row],[Type]],Main[[#All],[TYPE]:[UNIT]],'Unit Price'!G$1,FALSE),0)</f>
        <v>0</v>
      </c>
      <c r="J507" s="194">
        <f>IF(_1_54128456121462410464578910174[[#This Row],[Type]]&gt;0,VLOOKUP(_1_54128456121462410464578910174[[#This Row],[Type]],Main[[#All],[TYPE]:[UNIT]],'Unit Price'!H$1,FALSE),0)</f>
        <v>0</v>
      </c>
      <c r="K507" s="194">
        <f>IF(_1_54128456121462410464578910174[[#This Row],[Discount selection]]&gt;0,VLOOKUP(_1_54128456121462410464578910174[[#This Row],[Discount selection]],'Discount Structure'!$A$2:$B$30,2,"false"),0)</f>
        <v>1</v>
      </c>
      <c r="L507" s="194">
        <f>_1_54128456121462410464578910174[[#This Row],[LIST $]]*_1_54128456121462410464578910174[[#This Row],[DISCOUNT]]*_1_54128456121462410464578910174[[#This Row],[DISCOUNT 2]]</f>
        <v>0</v>
      </c>
      <c r="M507" s="194">
        <f>IF(OR(_1_54128456121462410464578910174[[#This Row],[UNIT]]&gt;0,_1_54128456121462410464578910174[[#This Row],[UNIT]]&lt;0),_1_54128456121462410464578910174[[#This Row],[UNIT]]*_1_54128456121462410464578910174[[#This Row],[COST]],0)</f>
        <v>0</v>
      </c>
      <c r="N507" s="194">
        <f t="shared" si="7"/>
        <v>1.5</v>
      </c>
      <c r="O507" s="198">
        <f>_1_54128456121462410464578910174[[#This Row],[TOTAL]]*_1_54128456121462410464578910174[[#This Row],[MARGIN]]</f>
        <v>0</v>
      </c>
      <c r="R507" s="41"/>
    </row>
    <row r="508" spans="1:18">
      <c r="D508" s="188"/>
      <c r="F508" s="168" t="s">
        <v>6202</v>
      </c>
      <c r="G508" s="193">
        <f>IF(_1_54128456121462410464578910174[[#This Row],[Type]]&gt;0,VLOOKUP(_1_54128456121462410464578910174[[#This Row],[Type]],Main[[#All],[TYPE]:[UNIT]],'Unit Price'!C$1,FALSE),0)</f>
        <v>0</v>
      </c>
      <c r="H508" s="197">
        <f>IF(_1_54128456121462410464578910174[[#This Row],[Type]]&gt;0,VLOOKUP(_1_54128456121462410464578910174[[#This Row],[Type]],Main[[#All],[TYPE]:[UNIT]],'Unit Price'!D$1,FALSE),0)</f>
        <v>0</v>
      </c>
      <c r="I508" s="194">
        <f>IF(_1_54128456121462410464578910174[[#This Row],[Type]]&gt;0,VLOOKUP(_1_54128456121462410464578910174[[#This Row],[Type]],Main[[#All],[TYPE]:[UNIT]],'Unit Price'!G$1,FALSE),0)</f>
        <v>0</v>
      </c>
      <c r="J508" s="194">
        <f>IF(_1_54128456121462410464578910174[[#This Row],[Type]]&gt;0,VLOOKUP(_1_54128456121462410464578910174[[#This Row],[Type]],Main[[#All],[TYPE]:[UNIT]],'Unit Price'!H$1,FALSE),0)</f>
        <v>0</v>
      </c>
      <c r="K508" s="194">
        <f>IF(_1_54128456121462410464578910174[[#This Row],[Discount selection]]&gt;0,VLOOKUP(_1_54128456121462410464578910174[[#This Row],[Discount selection]],'Discount Structure'!$A$2:$B$30,2,"false"),0)</f>
        <v>1</v>
      </c>
      <c r="L508" s="194">
        <f>_1_54128456121462410464578910174[[#This Row],[LIST $]]*_1_54128456121462410464578910174[[#This Row],[DISCOUNT]]*_1_54128456121462410464578910174[[#This Row],[DISCOUNT 2]]</f>
        <v>0</v>
      </c>
      <c r="M508" s="194">
        <f>IF(OR(_1_54128456121462410464578910174[[#This Row],[UNIT]]&gt;0,_1_54128456121462410464578910174[[#This Row],[UNIT]]&lt;0),_1_54128456121462410464578910174[[#This Row],[UNIT]]*_1_54128456121462410464578910174[[#This Row],[COST]],0)</f>
        <v>0</v>
      </c>
      <c r="N508" s="194">
        <f t="shared" si="7"/>
        <v>1.5</v>
      </c>
      <c r="O508" s="198">
        <f>_1_54128456121462410464578910174[[#This Row],[TOTAL]]*_1_54128456121462410464578910174[[#This Row],[MARGIN]]</f>
        <v>0</v>
      </c>
      <c r="R508" s="41"/>
    </row>
    <row r="509" spans="1:18">
      <c r="D509" s="188"/>
      <c r="F509" s="168" t="s">
        <v>6202</v>
      </c>
      <c r="G509" s="193">
        <f>IF(_1_54128456121462410464578910174[[#This Row],[Type]]&gt;0,VLOOKUP(_1_54128456121462410464578910174[[#This Row],[Type]],Main[[#All],[TYPE]:[UNIT]],'Unit Price'!C$1,FALSE),0)</f>
        <v>0</v>
      </c>
      <c r="H509" s="197">
        <f>IF(_1_54128456121462410464578910174[[#This Row],[Type]]&gt;0,VLOOKUP(_1_54128456121462410464578910174[[#This Row],[Type]],Main[[#All],[TYPE]:[UNIT]],'Unit Price'!D$1,FALSE),0)</f>
        <v>0</v>
      </c>
      <c r="I509" s="194">
        <f>IF(_1_54128456121462410464578910174[[#This Row],[Type]]&gt;0,VLOOKUP(_1_54128456121462410464578910174[[#This Row],[Type]],Main[[#All],[TYPE]:[UNIT]],'Unit Price'!G$1,FALSE),0)</f>
        <v>0</v>
      </c>
      <c r="J509" s="194">
        <f>IF(_1_54128456121462410464578910174[[#This Row],[Type]]&gt;0,VLOOKUP(_1_54128456121462410464578910174[[#This Row],[Type]],Main[[#All],[TYPE]:[UNIT]],'Unit Price'!H$1,FALSE),0)</f>
        <v>0</v>
      </c>
      <c r="K509" s="194">
        <f>IF(_1_54128456121462410464578910174[[#This Row],[Discount selection]]&gt;0,VLOOKUP(_1_54128456121462410464578910174[[#This Row],[Discount selection]],'Discount Structure'!$A$2:$B$30,2,"false"),0)</f>
        <v>1</v>
      </c>
      <c r="L509" s="194">
        <f>_1_54128456121462410464578910174[[#This Row],[LIST $]]*_1_54128456121462410464578910174[[#This Row],[DISCOUNT]]*_1_54128456121462410464578910174[[#This Row],[DISCOUNT 2]]</f>
        <v>0</v>
      </c>
      <c r="M509" s="194">
        <f>IF(OR(_1_54128456121462410464578910174[[#This Row],[UNIT]]&gt;0,_1_54128456121462410464578910174[[#This Row],[UNIT]]&lt;0),_1_54128456121462410464578910174[[#This Row],[UNIT]]*_1_54128456121462410464578910174[[#This Row],[COST]],0)</f>
        <v>0</v>
      </c>
      <c r="N509" s="194">
        <f t="shared" si="7"/>
        <v>1.5</v>
      </c>
      <c r="O509" s="198">
        <f>_1_54128456121462410464578910174[[#This Row],[TOTAL]]*_1_54128456121462410464578910174[[#This Row],[MARGIN]]</f>
        <v>0</v>
      </c>
      <c r="R509" s="41"/>
    </row>
    <row r="510" spans="1:18">
      <c r="D510" s="188"/>
      <c r="F510" s="168" t="s">
        <v>6202</v>
      </c>
      <c r="G510" s="193">
        <f>IF(_1_54128456121462410464578910174[[#This Row],[Type]]&gt;0,VLOOKUP(_1_54128456121462410464578910174[[#This Row],[Type]],Main[[#All],[TYPE]:[UNIT]],'Unit Price'!C$1,FALSE),0)</f>
        <v>0</v>
      </c>
      <c r="H510" s="197">
        <f>IF(_1_54128456121462410464578910174[[#This Row],[Type]]&gt;0,VLOOKUP(_1_54128456121462410464578910174[[#This Row],[Type]],Main[[#All],[TYPE]:[UNIT]],'Unit Price'!D$1,FALSE),0)</f>
        <v>0</v>
      </c>
      <c r="I510" s="194">
        <f>IF(_1_54128456121462410464578910174[[#This Row],[Type]]&gt;0,VLOOKUP(_1_54128456121462410464578910174[[#This Row],[Type]],Main[[#All],[TYPE]:[UNIT]],'Unit Price'!G$1,FALSE),0)</f>
        <v>0</v>
      </c>
      <c r="J510" s="194">
        <f>IF(_1_54128456121462410464578910174[[#This Row],[Type]]&gt;0,VLOOKUP(_1_54128456121462410464578910174[[#This Row],[Type]],Main[[#All],[TYPE]:[UNIT]],'Unit Price'!H$1,FALSE),0)</f>
        <v>0</v>
      </c>
      <c r="K510" s="194">
        <f>IF(_1_54128456121462410464578910174[[#This Row],[Discount selection]]&gt;0,VLOOKUP(_1_54128456121462410464578910174[[#This Row],[Discount selection]],'Discount Structure'!$A$2:$B$30,2,"false"),0)</f>
        <v>1</v>
      </c>
      <c r="L510" s="194">
        <f>_1_54128456121462410464578910174[[#This Row],[LIST $]]*_1_54128456121462410464578910174[[#This Row],[DISCOUNT]]*_1_54128456121462410464578910174[[#This Row],[DISCOUNT 2]]</f>
        <v>0</v>
      </c>
      <c r="M510" s="194">
        <f>IF(OR(_1_54128456121462410464578910174[[#This Row],[UNIT]]&gt;0,_1_54128456121462410464578910174[[#This Row],[UNIT]]&lt;0),_1_54128456121462410464578910174[[#This Row],[UNIT]]*_1_54128456121462410464578910174[[#This Row],[COST]],0)</f>
        <v>0</v>
      </c>
      <c r="N510" s="194">
        <f t="shared" si="7"/>
        <v>1.5</v>
      </c>
      <c r="O510" s="198">
        <f>_1_54128456121462410464578910174[[#This Row],[TOTAL]]*_1_54128456121462410464578910174[[#This Row],[MARGIN]]</f>
        <v>0</v>
      </c>
      <c r="R510" s="41"/>
    </row>
    <row r="511" spans="1:18">
      <c r="D511" s="188"/>
      <c r="F511" s="168" t="s">
        <v>6202</v>
      </c>
      <c r="G511" s="193">
        <f>IF(_1_54128456121462410464578910174[[#This Row],[Type]]&gt;0,VLOOKUP(_1_54128456121462410464578910174[[#This Row],[Type]],Main[[#All],[TYPE]:[UNIT]],'Unit Price'!C$1,FALSE),0)</f>
        <v>0</v>
      </c>
      <c r="H511" s="197">
        <f>IF(_1_54128456121462410464578910174[[#This Row],[Type]]&gt;0,VLOOKUP(_1_54128456121462410464578910174[[#This Row],[Type]],Main[[#All],[TYPE]:[UNIT]],'Unit Price'!D$1,FALSE),0)</f>
        <v>0</v>
      </c>
      <c r="I511" s="194">
        <f>IF(_1_54128456121462410464578910174[[#This Row],[Type]]&gt;0,VLOOKUP(_1_54128456121462410464578910174[[#This Row],[Type]],Main[[#All],[TYPE]:[UNIT]],'Unit Price'!G$1,FALSE),0)</f>
        <v>0</v>
      </c>
      <c r="J511" s="194">
        <f>IF(_1_54128456121462410464578910174[[#This Row],[Type]]&gt;0,VLOOKUP(_1_54128456121462410464578910174[[#This Row],[Type]],Main[[#All],[TYPE]:[UNIT]],'Unit Price'!H$1,FALSE),0)</f>
        <v>0</v>
      </c>
      <c r="K511" s="194">
        <f>IF(_1_54128456121462410464578910174[[#This Row],[Discount selection]]&gt;0,VLOOKUP(_1_54128456121462410464578910174[[#This Row],[Discount selection]],'Discount Structure'!$A$2:$B$30,2,"false"),0)</f>
        <v>1</v>
      </c>
      <c r="L511" s="194">
        <f>_1_54128456121462410464578910174[[#This Row],[LIST $]]*_1_54128456121462410464578910174[[#This Row],[DISCOUNT]]*_1_54128456121462410464578910174[[#This Row],[DISCOUNT 2]]</f>
        <v>0</v>
      </c>
      <c r="M511" s="194">
        <f>IF(OR(_1_54128456121462410464578910174[[#This Row],[UNIT]]&gt;0,_1_54128456121462410464578910174[[#This Row],[UNIT]]&lt;0),_1_54128456121462410464578910174[[#This Row],[UNIT]]*_1_54128456121462410464578910174[[#This Row],[COST]],0)</f>
        <v>0</v>
      </c>
      <c r="N511" s="194">
        <f t="shared" si="7"/>
        <v>1.5</v>
      </c>
      <c r="O511" s="198">
        <f>_1_54128456121462410464578910174[[#This Row],[TOTAL]]*_1_54128456121462410464578910174[[#This Row],[MARGIN]]</f>
        <v>0</v>
      </c>
      <c r="R511" s="41"/>
    </row>
    <row r="512" spans="1:18">
      <c r="A512" s="168"/>
      <c r="D512" s="188"/>
      <c r="F512" s="168" t="s">
        <v>6202</v>
      </c>
      <c r="G512" s="193">
        <f>IF(_1_54128456121462410464578910174[[#This Row],[Type]]&gt;0,VLOOKUP(_1_54128456121462410464578910174[[#This Row],[Type]],Main[[#All],[TYPE]:[UNIT]],'Unit Price'!C$1,FALSE),0)</f>
        <v>0</v>
      </c>
      <c r="H512" s="197">
        <f>IF(_1_54128456121462410464578910174[[#This Row],[Type]]&gt;0,VLOOKUP(_1_54128456121462410464578910174[[#This Row],[Type]],Main[[#All],[TYPE]:[UNIT]],'Unit Price'!D$1,FALSE),0)</f>
        <v>0</v>
      </c>
      <c r="I512" s="194">
        <f>IF(_1_54128456121462410464578910174[[#This Row],[Type]]&gt;0,VLOOKUP(_1_54128456121462410464578910174[[#This Row],[Type]],Main[[#All],[TYPE]:[UNIT]],'Unit Price'!G$1,FALSE),0)</f>
        <v>0</v>
      </c>
      <c r="J512" s="194">
        <f>IF(_1_54128456121462410464578910174[[#This Row],[Type]]&gt;0,VLOOKUP(_1_54128456121462410464578910174[[#This Row],[Type]],Main[[#All],[TYPE]:[UNIT]],'Unit Price'!H$1,FALSE),0)</f>
        <v>0</v>
      </c>
      <c r="K512" s="194">
        <f>IF(_1_54128456121462410464578910174[[#This Row],[Discount selection]]&gt;0,VLOOKUP(_1_54128456121462410464578910174[[#This Row],[Discount selection]],'Discount Structure'!$A$2:$B$30,2,"false"),0)</f>
        <v>1</v>
      </c>
      <c r="L512" s="194">
        <f>_1_54128456121462410464578910174[[#This Row],[LIST $]]*_1_54128456121462410464578910174[[#This Row],[DISCOUNT]]*_1_54128456121462410464578910174[[#This Row],[DISCOUNT 2]]</f>
        <v>0</v>
      </c>
      <c r="M512" s="194">
        <f>IF(OR(_1_54128456121462410464578910174[[#This Row],[UNIT]]&gt;0,_1_54128456121462410464578910174[[#This Row],[UNIT]]&lt;0),_1_54128456121462410464578910174[[#This Row],[UNIT]]*_1_54128456121462410464578910174[[#This Row],[COST]],0)</f>
        <v>0</v>
      </c>
      <c r="N512" s="194">
        <f t="shared" si="7"/>
        <v>1.5</v>
      </c>
      <c r="O512" s="198">
        <f>_1_54128456121462410464578910174[[#This Row],[TOTAL]]*_1_54128456121462410464578910174[[#This Row],[MARGIN]]</f>
        <v>0</v>
      </c>
      <c r="R512" s="41"/>
    </row>
    <row r="513" spans="1:18">
      <c r="A513" s="168"/>
      <c r="D513" s="188"/>
      <c r="F513" s="168" t="s">
        <v>6202</v>
      </c>
      <c r="G513" s="193">
        <f>IF(_1_54128456121462410464578910174[[#This Row],[Type]]&gt;0,VLOOKUP(_1_54128456121462410464578910174[[#This Row],[Type]],Main[[#All],[TYPE]:[UNIT]],'Unit Price'!C$1,FALSE),0)</f>
        <v>0</v>
      </c>
      <c r="H513" s="197">
        <f>IF(_1_54128456121462410464578910174[[#This Row],[Type]]&gt;0,VLOOKUP(_1_54128456121462410464578910174[[#This Row],[Type]],Main[[#All],[TYPE]:[UNIT]],'Unit Price'!D$1,FALSE),0)</f>
        <v>0</v>
      </c>
      <c r="I513" s="194">
        <f>IF(_1_54128456121462410464578910174[[#This Row],[Type]]&gt;0,VLOOKUP(_1_54128456121462410464578910174[[#This Row],[Type]],Main[[#All],[TYPE]:[UNIT]],'Unit Price'!G$1,FALSE),0)</f>
        <v>0</v>
      </c>
      <c r="J513" s="194">
        <f>IF(_1_54128456121462410464578910174[[#This Row],[Type]]&gt;0,VLOOKUP(_1_54128456121462410464578910174[[#This Row],[Type]],Main[[#All],[TYPE]:[UNIT]],'Unit Price'!H$1,FALSE),0)</f>
        <v>0</v>
      </c>
      <c r="K513" s="194">
        <f>IF(_1_54128456121462410464578910174[[#This Row],[Discount selection]]&gt;0,VLOOKUP(_1_54128456121462410464578910174[[#This Row],[Discount selection]],'Discount Structure'!$A$2:$B$30,2,"false"),0)</f>
        <v>1</v>
      </c>
      <c r="L513" s="194">
        <f>_1_54128456121462410464578910174[[#This Row],[LIST $]]*_1_54128456121462410464578910174[[#This Row],[DISCOUNT]]*_1_54128456121462410464578910174[[#This Row],[DISCOUNT 2]]</f>
        <v>0</v>
      </c>
      <c r="M513" s="194">
        <f>IF(OR(_1_54128456121462410464578910174[[#This Row],[UNIT]]&gt;0,_1_54128456121462410464578910174[[#This Row],[UNIT]]&lt;0),_1_54128456121462410464578910174[[#This Row],[UNIT]]*_1_54128456121462410464578910174[[#This Row],[COST]],0)</f>
        <v>0</v>
      </c>
      <c r="N513" s="194">
        <f t="shared" si="7"/>
        <v>1.5</v>
      </c>
      <c r="O513" s="198">
        <f>_1_54128456121462410464578910174[[#This Row],[TOTAL]]*_1_54128456121462410464578910174[[#This Row],[MARGIN]]</f>
        <v>0</v>
      </c>
      <c r="R513" s="41"/>
    </row>
    <row r="514" spans="1:18">
      <c r="A514" s="168"/>
      <c r="D514" s="188"/>
      <c r="F514" s="168" t="s">
        <v>6202</v>
      </c>
      <c r="G514" s="193">
        <f>IF(_1_54128456121462410464578910174[[#This Row],[Type]]&gt;0,VLOOKUP(_1_54128456121462410464578910174[[#This Row],[Type]],Main[[#All],[TYPE]:[UNIT]],'Unit Price'!C$1,FALSE),0)</f>
        <v>0</v>
      </c>
      <c r="H514" s="197">
        <f>IF(_1_54128456121462410464578910174[[#This Row],[Type]]&gt;0,VLOOKUP(_1_54128456121462410464578910174[[#This Row],[Type]],Main[[#All],[TYPE]:[UNIT]],'Unit Price'!D$1,FALSE),0)</f>
        <v>0</v>
      </c>
      <c r="I514" s="194">
        <f>IF(_1_54128456121462410464578910174[[#This Row],[Type]]&gt;0,VLOOKUP(_1_54128456121462410464578910174[[#This Row],[Type]],Main[[#All],[TYPE]:[UNIT]],'Unit Price'!G$1,FALSE),0)</f>
        <v>0</v>
      </c>
      <c r="J514" s="194">
        <f>IF(_1_54128456121462410464578910174[[#This Row],[Type]]&gt;0,VLOOKUP(_1_54128456121462410464578910174[[#This Row],[Type]],Main[[#All],[TYPE]:[UNIT]],'Unit Price'!H$1,FALSE),0)</f>
        <v>0</v>
      </c>
      <c r="K514" s="194">
        <f>IF(_1_54128456121462410464578910174[[#This Row],[Discount selection]]&gt;0,VLOOKUP(_1_54128456121462410464578910174[[#This Row],[Discount selection]],'Discount Structure'!$A$2:$B$30,2,"false"),0)</f>
        <v>1</v>
      </c>
      <c r="L514" s="194">
        <f>_1_54128456121462410464578910174[[#This Row],[LIST $]]*_1_54128456121462410464578910174[[#This Row],[DISCOUNT]]*_1_54128456121462410464578910174[[#This Row],[DISCOUNT 2]]</f>
        <v>0</v>
      </c>
      <c r="M514" s="194">
        <f>IF(OR(_1_54128456121462410464578910174[[#This Row],[UNIT]]&gt;0,_1_54128456121462410464578910174[[#This Row],[UNIT]]&lt;0),_1_54128456121462410464578910174[[#This Row],[UNIT]]*_1_54128456121462410464578910174[[#This Row],[COST]],0)</f>
        <v>0</v>
      </c>
      <c r="N514" s="194">
        <f t="shared" si="7"/>
        <v>1.5</v>
      </c>
      <c r="O514" s="198">
        <f>_1_54128456121462410464578910174[[#This Row],[TOTAL]]*_1_54128456121462410464578910174[[#This Row],[MARGIN]]</f>
        <v>0</v>
      </c>
      <c r="R514" s="41"/>
    </row>
    <row r="515" spans="1:18">
      <c r="B515" s="168"/>
      <c r="C515" s="168"/>
      <c r="D515" s="188"/>
      <c r="F515" s="168" t="s">
        <v>6202</v>
      </c>
      <c r="G515" s="193">
        <f>IF(_1_54128456121462410464578910174[[#This Row],[Type]]&gt;0,VLOOKUP(_1_54128456121462410464578910174[[#This Row],[Type]],Main[[#All],[TYPE]:[UNIT]],'Unit Price'!C$1,FALSE),0)</f>
        <v>0</v>
      </c>
      <c r="H515" s="197">
        <f>IF(_1_54128456121462410464578910174[[#This Row],[Type]]&gt;0,VLOOKUP(_1_54128456121462410464578910174[[#This Row],[Type]],Main[[#All],[TYPE]:[UNIT]],'Unit Price'!D$1,FALSE),0)</f>
        <v>0</v>
      </c>
      <c r="I515" s="194">
        <f>IF(_1_54128456121462410464578910174[[#This Row],[Type]]&gt;0,VLOOKUP(_1_54128456121462410464578910174[[#This Row],[Type]],Main[[#All],[TYPE]:[UNIT]],'Unit Price'!G$1,FALSE),0)</f>
        <v>0</v>
      </c>
      <c r="J515" s="194">
        <f>IF(_1_54128456121462410464578910174[[#This Row],[Type]]&gt;0,VLOOKUP(_1_54128456121462410464578910174[[#This Row],[Type]],Main[[#All],[TYPE]:[UNIT]],'Unit Price'!H$1,FALSE),0)</f>
        <v>0</v>
      </c>
      <c r="K515" s="194">
        <f>IF(_1_54128456121462410464578910174[[#This Row],[Discount selection]]&gt;0,VLOOKUP(_1_54128456121462410464578910174[[#This Row],[Discount selection]],'Discount Structure'!$A$2:$B$30,2,"false"),0)</f>
        <v>1</v>
      </c>
      <c r="L515" s="194">
        <f>_1_54128456121462410464578910174[[#This Row],[LIST $]]*_1_54128456121462410464578910174[[#This Row],[DISCOUNT]]*_1_54128456121462410464578910174[[#This Row],[DISCOUNT 2]]</f>
        <v>0</v>
      </c>
      <c r="M515" s="194">
        <f>IF(OR(_1_54128456121462410464578910174[[#This Row],[UNIT]]&gt;0,_1_54128456121462410464578910174[[#This Row],[UNIT]]&lt;0),_1_54128456121462410464578910174[[#This Row],[UNIT]]*_1_54128456121462410464578910174[[#This Row],[COST]],0)</f>
        <v>0</v>
      </c>
      <c r="N515" s="194">
        <f t="shared" si="7"/>
        <v>1.5</v>
      </c>
      <c r="O515" s="198">
        <f>_1_54128456121462410464578910174[[#This Row],[TOTAL]]*_1_54128456121462410464578910174[[#This Row],[MARGIN]]</f>
        <v>0</v>
      </c>
      <c r="R515" s="41"/>
    </row>
    <row r="516" spans="1:18">
      <c r="D516" s="188"/>
      <c r="F516" s="168" t="s">
        <v>6202</v>
      </c>
      <c r="G516" s="193">
        <f>IF(_1_54128456121462410464578910174[[#This Row],[Type]]&gt;0,VLOOKUP(_1_54128456121462410464578910174[[#This Row],[Type]],Main[[#All],[TYPE]:[UNIT]],'Unit Price'!C$1,FALSE),0)</f>
        <v>0</v>
      </c>
      <c r="H516" s="197">
        <f>IF(_1_54128456121462410464578910174[[#This Row],[Type]]&gt;0,VLOOKUP(_1_54128456121462410464578910174[[#This Row],[Type]],Main[[#All],[TYPE]:[UNIT]],'Unit Price'!D$1,FALSE),0)</f>
        <v>0</v>
      </c>
      <c r="I516" s="194">
        <f>IF(_1_54128456121462410464578910174[[#This Row],[Type]]&gt;0,VLOOKUP(_1_54128456121462410464578910174[[#This Row],[Type]],Main[[#All],[TYPE]:[UNIT]],'Unit Price'!G$1,FALSE),0)</f>
        <v>0</v>
      </c>
      <c r="J516" s="194">
        <f>IF(_1_54128456121462410464578910174[[#This Row],[Type]]&gt;0,VLOOKUP(_1_54128456121462410464578910174[[#This Row],[Type]],Main[[#All],[TYPE]:[UNIT]],'Unit Price'!H$1,FALSE),0)</f>
        <v>0</v>
      </c>
      <c r="K516" s="194">
        <f>IF(_1_54128456121462410464578910174[[#This Row],[Discount selection]]&gt;0,VLOOKUP(_1_54128456121462410464578910174[[#This Row],[Discount selection]],'Discount Structure'!$A$2:$B$30,2,"false"),0)</f>
        <v>1</v>
      </c>
      <c r="L516" s="194">
        <f>_1_54128456121462410464578910174[[#This Row],[LIST $]]*_1_54128456121462410464578910174[[#This Row],[DISCOUNT]]*_1_54128456121462410464578910174[[#This Row],[DISCOUNT 2]]</f>
        <v>0</v>
      </c>
      <c r="M516" s="194">
        <f>IF(OR(_1_54128456121462410464578910174[[#This Row],[UNIT]]&gt;0,_1_54128456121462410464578910174[[#This Row],[UNIT]]&lt;0),_1_54128456121462410464578910174[[#This Row],[UNIT]]*_1_54128456121462410464578910174[[#This Row],[COST]],0)</f>
        <v>0</v>
      </c>
      <c r="N516" s="194">
        <f t="shared" si="7"/>
        <v>1.5</v>
      </c>
      <c r="O516" s="198">
        <f>_1_54128456121462410464578910174[[#This Row],[TOTAL]]*_1_54128456121462410464578910174[[#This Row],[MARGIN]]</f>
        <v>0</v>
      </c>
      <c r="R516" s="41"/>
    </row>
    <row r="517" spans="1:18">
      <c r="D517" s="188"/>
      <c r="F517" s="168" t="s">
        <v>6202</v>
      </c>
      <c r="G517" s="193">
        <f>IF(_1_54128456121462410464578910174[[#This Row],[Type]]&gt;0,VLOOKUP(_1_54128456121462410464578910174[[#This Row],[Type]],Main[[#All],[TYPE]:[UNIT]],'Unit Price'!C$1,FALSE),0)</f>
        <v>0</v>
      </c>
      <c r="H517" s="197">
        <f>IF(_1_54128456121462410464578910174[[#This Row],[Type]]&gt;0,VLOOKUP(_1_54128456121462410464578910174[[#This Row],[Type]],Main[[#All],[TYPE]:[UNIT]],'Unit Price'!D$1,FALSE),0)</f>
        <v>0</v>
      </c>
      <c r="I517" s="194">
        <f>IF(_1_54128456121462410464578910174[[#This Row],[Type]]&gt;0,VLOOKUP(_1_54128456121462410464578910174[[#This Row],[Type]],Main[[#All],[TYPE]:[UNIT]],'Unit Price'!G$1,FALSE),0)</f>
        <v>0</v>
      </c>
      <c r="J517" s="194">
        <f>IF(_1_54128456121462410464578910174[[#This Row],[Type]]&gt;0,VLOOKUP(_1_54128456121462410464578910174[[#This Row],[Type]],Main[[#All],[TYPE]:[UNIT]],'Unit Price'!H$1,FALSE),0)</f>
        <v>0</v>
      </c>
      <c r="K517" s="194">
        <f>IF(_1_54128456121462410464578910174[[#This Row],[Discount selection]]&gt;0,VLOOKUP(_1_54128456121462410464578910174[[#This Row],[Discount selection]],'Discount Structure'!$A$2:$B$30,2,"false"),0)</f>
        <v>1</v>
      </c>
      <c r="L517" s="194">
        <f>_1_54128456121462410464578910174[[#This Row],[LIST $]]*_1_54128456121462410464578910174[[#This Row],[DISCOUNT]]*_1_54128456121462410464578910174[[#This Row],[DISCOUNT 2]]</f>
        <v>0</v>
      </c>
      <c r="M517" s="194">
        <f>IF(OR(_1_54128456121462410464578910174[[#This Row],[UNIT]]&gt;0,_1_54128456121462410464578910174[[#This Row],[UNIT]]&lt;0),_1_54128456121462410464578910174[[#This Row],[UNIT]]*_1_54128456121462410464578910174[[#This Row],[COST]],0)</f>
        <v>0</v>
      </c>
      <c r="N517" s="194">
        <f t="shared" si="7"/>
        <v>1.5</v>
      </c>
      <c r="O517" s="198">
        <f>_1_54128456121462410464578910174[[#This Row],[TOTAL]]*_1_54128456121462410464578910174[[#This Row],[MARGIN]]</f>
        <v>0</v>
      </c>
      <c r="R517" s="41"/>
    </row>
    <row r="518" spans="1:18">
      <c r="D518" s="188"/>
      <c r="F518" s="168" t="s">
        <v>6202</v>
      </c>
      <c r="G518" s="193">
        <f>IF(_1_54128456121462410464578910174[[#This Row],[Type]]&gt;0,VLOOKUP(_1_54128456121462410464578910174[[#This Row],[Type]],Main[[#All],[TYPE]:[UNIT]],'Unit Price'!C$1,FALSE),0)</f>
        <v>0</v>
      </c>
      <c r="H518" s="197">
        <f>IF(_1_54128456121462410464578910174[[#This Row],[Type]]&gt;0,VLOOKUP(_1_54128456121462410464578910174[[#This Row],[Type]],Main[[#All],[TYPE]:[UNIT]],'Unit Price'!D$1,FALSE),0)</f>
        <v>0</v>
      </c>
      <c r="I518" s="194">
        <f>IF(_1_54128456121462410464578910174[[#This Row],[Type]]&gt;0,VLOOKUP(_1_54128456121462410464578910174[[#This Row],[Type]],Main[[#All],[TYPE]:[UNIT]],'Unit Price'!G$1,FALSE),0)</f>
        <v>0</v>
      </c>
      <c r="J518" s="194">
        <f>IF(_1_54128456121462410464578910174[[#This Row],[Type]]&gt;0,VLOOKUP(_1_54128456121462410464578910174[[#This Row],[Type]],Main[[#All],[TYPE]:[UNIT]],'Unit Price'!H$1,FALSE),0)</f>
        <v>0</v>
      </c>
      <c r="K518" s="194">
        <f>IF(_1_54128456121462410464578910174[[#This Row],[Discount selection]]&gt;0,VLOOKUP(_1_54128456121462410464578910174[[#This Row],[Discount selection]],'Discount Structure'!$A$2:$B$30,2,"false"),0)</f>
        <v>1</v>
      </c>
      <c r="L518" s="194">
        <f>_1_54128456121462410464578910174[[#This Row],[LIST $]]*_1_54128456121462410464578910174[[#This Row],[DISCOUNT]]*_1_54128456121462410464578910174[[#This Row],[DISCOUNT 2]]</f>
        <v>0</v>
      </c>
      <c r="M518" s="194">
        <f>IF(OR(_1_54128456121462410464578910174[[#This Row],[UNIT]]&gt;0,_1_54128456121462410464578910174[[#This Row],[UNIT]]&lt;0),_1_54128456121462410464578910174[[#This Row],[UNIT]]*_1_54128456121462410464578910174[[#This Row],[COST]],0)</f>
        <v>0</v>
      </c>
      <c r="N518" s="194">
        <f t="shared" si="7"/>
        <v>1.5</v>
      </c>
      <c r="O518" s="198">
        <f>_1_54128456121462410464578910174[[#This Row],[TOTAL]]*_1_54128456121462410464578910174[[#This Row],[MARGIN]]</f>
        <v>0</v>
      </c>
      <c r="R518" s="41"/>
    </row>
    <row r="519" spans="1:18">
      <c r="D519" s="188"/>
      <c r="F519" s="168" t="s">
        <v>6202</v>
      </c>
      <c r="G519" s="193">
        <f>IF(_1_54128456121462410464578910174[[#This Row],[Type]]&gt;0,VLOOKUP(_1_54128456121462410464578910174[[#This Row],[Type]],Main[[#All],[TYPE]:[UNIT]],'Unit Price'!C$1,FALSE),0)</f>
        <v>0</v>
      </c>
      <c r="H519" s="197">
        <f>IF(_1_54128456121462410464578910174[[#This Row],[Type]]&gt;0,VLOOKUP(_1_54128456121462410464578910174[[#This Row],[Type]],Main[[#All],[TYPE]:[UNIT]],'Unit Price'!D$1,FALSE),0)</f>
        <v>0</v>
      </c>
      <c r="I519" s="194">
        <f>IF(_1_54128456121462410464578910174[[#This Row],[Type]]&gt;0,VLOOKUP(_1_54128456121462410464578910174[[#This Row],[Type]],Main[[#All],[TYPE]:[UNIT]],'Unit Price'!G$1,FALSE),0)</f>
        <v>0</v>
      </c>
      <c r="J519" s="194">
        <f>IF(_1_54128456121462410464578910174[[#This Row],[Type]]&gt;0,VLOOKUP(_1_54128456121462410464578910174[[#This Row],[Type]],Main[[#All],[TYPE]:[UNIT]],'Unit Price'!H$1,FALSE),0)</f>
        <v>0</v>
      </c>
      <c r="K519" s="194">
        <f>IF(_1_54128456121462410464578910174[[#This Row],[Discount selection]]&gt;0,VLOOKUP(_1_54128456121462410464578910174[[#This Row],[Discount selection]],'Discount Structure'!$A$2:$B$30,2,"false"),0)</f>
        <v>1</v>
      </c>
      <c r="L519" s="194">
        <f>_1_54128456121462410464578910174[[#This Row],[LIST $]]*_1_54128456121462410464578910174[[#This Row],[DISCOUNT]]*_1_54128456121462410464578910174[[#This Row],[DISCOUNT 2]]</f>
        <v>0</v>
      </c>
      <c r="M519" s="194">
        <f>IF(OR(_1_54128456121462410464578910174[[#This Row],[UNIT]]&gt;0,_1_54128456121462410464578910174[[#This Row],[UNIT]]&lt;0),_1_54128456121462410464578910174[[#This Row],[UNIT]]*_1_54128456121462410464578910174[[#This Row],[COST]],0)</f>
        <v>0</v>
      </c>
      <c r="N519" s="194">
        <f t="shared" si="7"/>
        <v>1.5</v>
      </c>
      <c r="O519" s="198">
        <f>_1_54128456121462410464578910174[[#This Row],[TOTAL]]*_1_54128456121462410464578910174[[#This Row],[MARGIN]]</f>
        <v>0</v>
      </c>
      <c r="R519" s="41"/>
    </row>
    <row r="520" spans="1:18">
      <c r="D520" s="188"/>
      <c r="F520" s="168" t="s">
        <v>6202</v>
      </c>
      <c r="G520" s="193">
        <f>IF(_1_54128456121462410464578910174[[#This Row],[Type]]&gt;0,VLOOKUP(_1_54128456121462410464578910174[[#This Row],[Type]],Main[[#All],[TYPE]:[UNIT]],'Unit Price'!C$1,FALSE),0)</f>
        <v>0</v>
      </c>
      <c r="H520" s="197">
        <f>IF(_1_54128456121462410464578910174[[#This Row],[Type]]&gt;0,VLOOKUP(_1_54128456121462410464578910174[[#This Row],[Type]],Main[[#All],[TYPE]:[UNIT]],'Unit Price'!D$1,FALSE),0)</f>
        <v>0</v>
      </c>
      <c r="I520" s="194">
        <f>IF(_1_54128456121462410464578910174[[#This Row],[Type]]&gt;0,VLOOKUP(_1_54128456121462410464578910174[[#This Row],[Type]],Main[[#All],[TYPE]:[UNIT]],'Unit Price'!G$1,FALSE),0)</f>
        <v>0</v>
      </c>
      <c r="J520" s="194">
        <f>IF(_1_54128456121462410464578910174[[#This Row],[Type]]&gt;0,VLOOKUP(_1_54128456121462410464578910174[[#This Row],[Type]],Main[[#All],[TYPE]:[UNIT]],'Unit Price'!H$1,FALSE),0)</f>
        <v>0</v>
      </c>
      <c r="K520" s="194">
        <f>IF(_1_54128456121462410464578910174[[#This Row],[Discount selection]]&gt;0,VLOOKUP(_1_54128456121462410464578910174[[#This Row],[Discount selection]],'Discount Structure'!$A$2:$B$30,2,"false"),0)</f>
        <v>1</v>
      </c>
      <c r="L520" s="194">
        <f>_1_54128456121462410464578910174[[#This Row],[LIST $]]*_1_54128456121462410464578910174[[#This Row],[DISCOUNT]]*_1_54128456121462410464578910174[[#This Row],[DISCOUNT 2]]</f>
        <v>0</v>
      </c>
      <c r="M520" s="194">
        <f>IF(OR(_1_54128456121462410464578910174[[#This Row],[UNIT]]&gt;0,_1_54128456121462410464578910174[[#This Row],[UNIT]]&lt;0),_1_54128456121462410464578910174[[#This Row],[UNIT]]*_1_54128456121462410464578910174[[#This Row],[COST]],0)</f>
        <v>0</v>
      </c>
      <c r="N520" s="194">
        <f t="shared" si="7"/>
        <v>1.5</v>
      </c>
      <c r="O520" s="198">
        <f>_1_54128456121462410464578910174[[#This Row],[TOTAL]]*_1_54128456121462410464578910174[[#This Row],[MARGIN]]</f>
        <v>0</v>
      </c>
      <c r="R520" s="41"/>
    </row>
    <row r="521" spans="1:18">
      <c r="D521" s="188"/>
      <c r="F521" s="168" t="s">
        <v>6202</v>
      </c>
      <c r="G521" s="193">
        <f>IF(_1_54128456121462410464578910174[[#This Row],[Type]]&gt;0,VLOOKUP(_1_54128456121462410464578910174[[#This Row],[Type]],Main[[#All],[TYPE]:[UNIT]],'Unit Price'!C$1,FALSE),0)</f>
        <v>0</v>
      </c>
      <c r="H521" s="197">
        <f>IF(_1_54128456121462410464578910174[[#This Row],[Type]]&gt;0,VLOOKUP(_1_54128456121462410464578910174[[#This Row],[Type]],Main[[#All],[TYPE]:[UNIT]],'Unit Price'!D$1,FALSE),0)</f>
        <v>0</v>
      </c>
      <c r="I521" s="194">
        <f>IF(_1_54128456121462410464578910174[[#This Row],[Type]]&gt;0,VLOOKUP(_1_54128456121462410464578910174[[#This Row],[Type]],Main[[#All],[TYPE]:[UNIT]],'Unit Price'!G$1,FALSE),0)</f>
        <v>0</v>
      </c>
      <c r="J521" s="194">
        <f>IF(_1_54128456121462410464578910174[[#This Row],[Type]]&gt;0,VLOOKUP(_1_54128456121462410464578910174[[#This Row],[Type]],Main[[#All],[TYPE]:[UNIT]],'Unit Price'!H$1,FALSE),0)</f>
        <v>0</v>
      </c>
      <c r="K521" s="194">
        <f>IF(_1_54128456121462410464578910174[[#This Row],[Discount selection]]&gt;0,VLOOKUP(_1_54128456121462410464578910174[[#This Row],[Discount selection]],'Discount Structure'!$A$2:$B$30,2,"false"),0)</f>
        <v>1</v>
      </c>
      <c r="L521" s="194">
        <f>_1_54128456121462410464578910174[[#This Row],[LIST $]]*_1_54128456121462410464578910174[[#This Row],[DISCOUNT]]*_1_54128456121462410464578910174[[#This Row],[DISCOUNT 2]]</f>
        <v>0</v>
      </c>
      <c r="M521" s="194">
        <f>IF(OR(_1_54128456121462410464578910174[[#This Row],[UNIT]]&gt;0,_1_54128456121462410464578910174[[#This Row],[UNIT]]&lt;0),_1_54128456121462410464578910174[[#This Row],[UNIT]]*_1_54128456121462410464578910174[[#This Row],[COST]],0)</f>
        <v>0</v>
      </c>
      <c r="N521" s="194">
        <f t="shared" si="7"/>
        <v>1.5</v>
      </c>
      <c r="O521" s="198">
        <f>_1_54128456121462410464578910174[[#This Row],[TOTAL]]*_1_54128456121462410464578910174[[#This Row],[MARGIN]]</f>
        <v>0</v>
      </c>
      <c r="R521" s="41"/>
    </row>
    <row r="522" spans="1:18">
      <c r="A522" s="168"/>
      <c r="D522" s="188"/>
      <c r="F522" s="168" t="s">
        <v>6202</v>
      </c>
      <c r="G522" s="193">
        <f>IF(_1_54128456121462410464578910174[[#This Row],[Type]]&gt;0,VLOOKUP(_1_54128456121462410464578910174[[#This Row],[Type]],Main[[#All],[TYPE]:[UNIT]],'Unit Price'!C$1,FALSE),0)</f>
        <v>0</v>
      </c>
      <c r="H522" s="197">
        <f>IF(_1_54128456121462410464578910174[[#This Row],[Type]]&gt;0,VLOOKUP(_1_54128456121462410464578910174[[#This Row],[Type]],Main[[#All],[TYPE]:[UNIT]],'Unit Price'!D$1,FALSE),0)</f>
        <v>0</v>
      </c>
      <c r="I522" s="194">
        <f>IF(_1_54128456121462410464578910174[[#This Row],[Type]]&gt;0,VLOOKUP(_1_54128456121462410464578910174[[#This Row],[Type]],Main[[#All],[TYPE]:[UNIT]],'Unit Price'!G$1,FALSE),0)</f>
        <v>0</v>
      </c>
      <c r="J522" s="194">
        <f>IF(_1_54128456121462410464578910174[[#This Row],[Type]]&gt;0,VLOOKUP(_1_54128456121462410464578910174[[#This Row],[Type]],Main[[#All],[TYPE]:[UNIT]],'Unit Price'!H$1,FALSE),0)</f>
        <v>0</v>
      </c>
      <c r="K522" s="194">
        <f>IF(_1_54128456121462410464578910174[[#This Row],[Discount selection]]&gt;0,VLOOKUP(_1_54128456121462410464578910174[[#This Row],[Discount selection]],'Discount Structure'!$A$2:$B$30,2,"false"),0)</f>
        <v>1</v>
      </c>
      <c r="L522" s="194">
        <f>_1_54128456121462410464578910174[[#This Row],[LIST $]]*_1_54128456121462410464578910174[[#This Row],[DISCOUNT]]*_1_54128456121462410464578910174[[#This Row],[DISCOUNT 2]]</f>
        <v>0</v>
      </c>
      <c r="M522" s="194">
        <f>IF(OR(_1_54128456121462410464578910174[[#This Row],[UNIT]]&gt;0,_1_54128456121462410464578910174[[#This Row],[UNIT]]&lt;0),_1_54128456121462410464578910174[[#This Row],[UNIT]]*_1_54128456121462410464578910174[[#This Row],[COST]],0)</f>
        <v>0</v>
      </c>
      <c r="N522" s="194">
        <f t="shared" ref="N522:N585" si="8">$N$7</f>
        <v>1.5</v>
      </c>
      <c r="O522" s="198">
        <f>_1_54128456121462410464578910174[[#This Row],[TOTAL]]*_1_54128456121462410464578910174[[#This Row],[MARGIN]]</f>
        <v>0</v>
      </c>
      <c r="R522" s="41"/>
    </row>
    <row r="523" spans="1:18">
      <c r="D523" s="188"/>
      <c r="F523" s="168" t="s">
        <v>6202</v>
      </c>
      <c r="G523" s="193">
        <f>IF(_1_54128456121462410464578910174[[#This Row],[Type]]&gt;0,VLOOKUP(_1_54128456121462410464578910174[[#This Row],[Type]],Main[[#All],[TYPE]:[UNIT]],'Unit Price'!C$1,FALSE),0)</f>
        <v>0</v>
      </c>
      <c r="H523" s="197">
        <f>IF(_1_54128456121462410464578910174[[#This Row],[Type]]&gt;0,VLOOKUP(_1_54128456121462410464578910174[[#This Row],[Type]],Main[[#All],[TYPE]:[UNIT]],'Unit Price'!D$1,FALSE),0)</f>
        <v>0</v>
      </c>
      <c r="I523" s="194">
        <f>IF(_1_54128456121462410464578910174[[#This Row],[Type]]&gt;0,VLOOKUP(_1_54128456121462410464578910174[[#This Row],[Type]],Main[[#All],[TYPE]:[UNIT]],'Unit Price'!G$1,FALSE),0)</f>
        <v>0</v>
      </c>
      <c r="J523" s="194">
        <f>IF(_1_54128456121462410464578910174[[#This Row],[Type]]&gt;0,VLOOKUP(_1_54128456121462410464578910174[[#This Row],[Type]],Main[[#All],[TYPE]:[UNIT]],'Unit Price'!H$1,FALSE),0)</f>
        <v>0</v>
      </c>
      <c r="K523" s="194">
        <f>IF(_1_54128456121462410464578910174[[#This Row],[Discount selection]]&gt;0,VLOOKUP(_1_54128456121462410464578910174[[#This Row],[Discount selection]],'Discount Structure'!$A$2:$B$30,2,"false"),0)</f>
        <v>1</v>
      </c>
      <c r="L523" s="194">
        <f>_1_54128456121462410464578910174[[#This Row],[LIST $]]*_1_54128456121462410464578910174[[#This Row],[DISCOUNT]]*_1_54128456121462410464578910174[[#This Row],[DISCOUNT 2]]</f>
        <v>0</v>
      </c>
      <c r="M523" s="194">
        <f>IF(OR(_1_54128456121462410464578910174[[#This Row],[UNIT]]&gt;0,_1_54128456121462410464578910174[[#This Row],[UNIT]]&lt;0),_1_54128456121462410464578910174[[#This Row],[UNIT]]*_1_54128456121462410464578910174[[#This Row],[COST]],0)</f>
        <v>0</v>
      </c>
      <c r="N523" s="194">
        <f t="shared" si="8"/>
        <v>1.5</v>
      </c>
      <c r="O523" s="198">
        <f>_1_54128456121462410464578910174[[#This Row],[TOTAL]]*_1_54128456121462410464578910174[[#This Row],[MARGIN]]</f>
        <v>0</v>
      </c>
      <c r="R523" s="41"/>
    </row>
    <row r="524" spans="1:18">
      <c r="D524" s="188"/>
      <c r="F524" s="168" t="s">
        <v>6202</v>
      </c>
      <c r="G524" s="193">
        <f>IF(_1_54128456121462410464578910174[[#This Row],[Type]]&gt;0,VLOOKUP(_1_54128456121462410464578910174[[#This Row],[Type]],Main[[#All],[TYPE]:[UNIT]],'Unit Price'!C$1,FALSE),0)</f>
        <v>0</v>
      </c>
      <c r="H524" s="197">
        <f>IF(_1_54128456121462410464578910174[[#This Row],[Type]]&gt;0,VLOOKUP(_1_54128456121462410464578910174[[#This Row],[Type]],Main[[#All],[TYPE]:[UNIT]],'Unit Price'!D$1,FALSE),0)</f>
        <v>0</v>
      </c>
      <c r="I524" s="194">
        <f>IF(_1_54128456121462410464578910174[[#This Row],[Type]]&gt;0,VLOOKUP(_1_54128456121462410464578910174[[#This Row],[Type]],Main[[#All],[TYPE]:[UNIT]],'Unit Price'!G$1,FALSE),0)</f>
        <v>0</v>
      </c>
      <c r="J524" s="194">
        <f>IF(_1_54128456121462410464578910174[[#This Row],[Type]]&gt;0,VLOOKUP(_1_54128456121462410464578910174[[#This Row],[Type]],Main[[#All],[TYPE]:[UNIT]],'Unit Price'!H$1,FALSE),0)</f>
        <v>0</v>
      </c>
      <c r="K524" s="194">
        <f>IF(_1_54128456121462410464578910174[[#This Row],[Discount selection]]&gt;0,VLOOKUP(_1_54128456121462410464578910174[[#This Row],[Discount selection]],'Discount Structure'!$A$2:$B$30,2,"false"),0)</f>
        <v>1</v>
      </c>
      <c r="L524" s="194">
        <f>_1_54128456121462410464578910174[[#This Row],[LIST $]]*_1_54128456121462410464578910174[[#This Row],[DISCOUNT]]*_1_54128456121462410464578910174[[#This Row],[DISCOUNT 2]]</f>
        <v>0</v>
      </c>
      <c r="M524" s="194">
        <f>IF(OR(_1_54128456121462410464578910174[[#This Row],[UNIT]]&gt;0,_1_54128456121462410464578910174[[#This Row],[UNIT]]&lt;0),_1_54128456121462410464578910174[[#This Row],[UNIT]]*_1_54128456121462410464578910174[[#This Row],[COST]],0)</f>
        <v>0</v>
      </c>
      <c r="N524" s="194">
        <f t="shared" si="8"/>
        <v>1.5</v>
      </c>
      <c r="O524" s="198">
        <f>_1_54128456121462410464578910174[[#This Row],[TOTAL]]*_1_54128456121462410464578910174[[#This Row],[MARGIN]]</f>
        <v>0</v>
      </c>
      <c r="R524" s="41"/>
    </row>
    <row r="525" spans="1:18">
      <c r="D525" s="188"/>
      <c r="F525" s="168" t="s">
        <v>6202</v>
      </c>
      <c r="G525" s="193">
        <f>IF(_1_54128456121462410464578910174[[#This Row],[Type]]&gt;0,VLOOKUP(_1_54128456121462410464578910174[[#This Row],[Type]],Main[[#All],[TYPE]:[UNIT]],'Unit Price'!C$1,FALSE),0)</f>
        <v>0</v>
      </c>
      <c r="H525" s="197">
        <f>IF(_1_54128456121462410464578910174[[#This Row],[Type]]&gt;0,VLOOKUP(_1_54128456121462410464578910174[[#This Row],[Type]],Main[[#All],[TYPE]:[UNIT]],'Unit Price'!D$1,FALSE),0)</f>
        <v>0</v>
      </c>
      <c r="I525" s="194">
        <f>IF(_1_54128456121462410464578910174[[#This Row],[Type]]&gt;0,VLOOKUP(_1_54128456121462410464578910174[[#This Row],[Type]],Main[[#All],[TYPE]:[UNIT]],'Unit Price'!G$1,FALSE),0)</f>
        <v>0</v>
      </c>
      <c r="J525" s="194">
        <f>IF(_1_54128456121462410464578910174[[#This Row],[Type]]&gt;0,VLOOKUP(_1_54128456121462410464578910174[[#This Row],[Type]],Main[[#All],[TYPE]:[UNIT]],'Unit Price'!H$1,FALSE),0)</f>
        <v>0</v>
      </c>
      <c r="K525" s="194">
        <f>IF(_1_54128456121462410464578910174[[#This Row],[Discount selection]]&gt;0,VLOOKUP(_1_54128456121462410464578910174[[#This Row],[Discount selection]],'Discount Structure'!$A$2:$B$30,2,"false"),0)</f>
        <v>1</v>
      </c>
      <c r="L525" s="194">
        <f>_1_54128456121462410464578910174[[#This Row],[LIST $]]*_1_54128456121462410464578910174[[#This Row],[DISCOUNT]]*_1_54128456121462410464578910174[[#This Row],[DISCOUNT 2]]</f>
        <v>0</v>
      </c>
      <c r="M525" s="194">
        <f>IF(OR(_1_54128456121462410464578910174[[#This Row],[UNIT]]&gt;0,_1_54128456121462410464578910174[[#This Row],[UNIT]]&lt;0),_1_54128456121462410464578910174[[#This Row],[UNIT]]*_1_54128456121462410464578910174[[#This Row],[COST]],0)</f>
        <v>0</v>
      </c>
      <c r="N525" s="194">
        <f t="shared" si="8"/>
        <v>1.5</v>
      </c>
      <c r="O525" s="198">
        <f>_1_54128456121462410464578910174[[#This Row],[TOTAL]]*_1_54128456121462410464578910174[[#This Row],[MARGIN]]</f>
        <v>0</v>
      </c>
      <c r="R525" s="41"/>
    </row>
    <row r="526" spans="1:18">
      <c r="D526" s="188"/>
      <c r="F526" s="168" t="s">
        <v>6202</v>
      </c>
      <c r="G526" s="193">
        <f>IF(_1_54128456121462410464578910174[[#This Row],[Type]]&gt;0,VLOOKUP(_1_54128456121462410464578910174[[#This Row],[Type]],Main[[#All],[TYPE]:[UNIT]],'Unit Price'!C$1,FALSE),0)</f>
        <v>0</v>
      </c>
      <c r="H526" s="197">
        <f>IF(_1_54128456121462410464578910174[[#This Row],[Type]]&gt;0,VLOOKUP(_1_54128456121462410464578910174[[#This Row],[Type]],Main[[#All],[TYPE]:[UNIT]],'Unit Price'!D$1,FALSE),0)</f>
        <v>0</v>
      </c>
      <c r="I526" s="194">
        <f>IF(_1_54128456121462410464578910174[[#This Row],[Type]]&gt;0,VLOOKUP(_1_54128456121462410464578910174[[#This Row],[Type]],Main[[#All],[TYPE]:[UNIT]],'Unit Price'!G$1,FALSE),0)</f>
        <v>0</v>
      </c>
      <c r="J526" s="194">
        <f>IF(_1_54128456121462410464578910174[[#This Row],[Type]]&gt;0,VLOOKUP(_1_54128456121462410464578910174[[#This Row],[Type]],Main[[#All],[TYPE]:[UNIT]],'Unit Price'!H$1,FALSE),0)</f>
        <v>0</v>
      </c>
      <c r="K526" s="194">
        <f>IF(_1_54128456121462410464578910174[[#This Row],[Discount selection]]&gt;0,VLOOKUP(_1_54128456121462410464578910174[[#This Row],[Discount selection]],'Discount Structure'!$A$2:$B$30,2,"false"),0)</f>
        <v>1</v>
      </c>
      <c r="L526" s="194">
        <f>_1_54128456121462410464578910174[[#This Row],[LIST $]]*_1_54128456121462410464578910174[[#This Row],[DISCOUNT]]*_1_54128456121462410464578910174[[#This Row],[DISCOUNT 2]]</f>
        <v>0</v>
      </c>
      <c r="M526" s="194">
        <f>IF(OR(_1_54128456121462410464578910174[[#This Row],[UNIT]]&gt;0,_1_54128456121462410464578910174[[#This Row],[UNIT]]&lt;0),_1_54128456121462410464578910174[[#This Row],[UNIT]]*_1_54128456121462410464578910174[[#This Row],[COST]],0)</f>
        <v>0</v>
      </c>
      <c r="N526" s="194">
        <f t="shared" si="8"/>
        <v>1.5</v>
      </c>
      <c r="O526" s="198">
        <f>_1_54128456121462410464578910174[[#This Row],[TOTAL]]*_1_54128456121462410464578910174[[#This Row],[MARGIN]]</f>
        <v>0</v>
      </c>
      <c r="R526" s="41"/>
    </row>
    <row r="527" spans="1:18">
      <c r="D527" s="188"/>
      <c r="F527" s="168" t="s">
        <v>6202</v>
      </c>
      <c r="G527" s="193">
        <f>IF(_1_54128456121462410464578910174[[#This Row],[Type]]&gt;0,VLOOKUP(_1_54128456121462410464578910174[[#This Row],[Type]],Main[[#All],[TYPE]:[UNIT]],'Unit Price'!C$1,FALSE),0)</f>
        <v>0</v>
      </c>
      <c r="H527" s="197">
        <f>IF(_1_54128456121462410464578910174[[#This Row],[Type]]&gt;0,VLOOKUP(_1_54128456121462410464578910174[[#This Row],[Type]],Main[[#All],[TYPE]:[UNIT]],'Unit Price'!D$1,FALSE),0)</f>
        <v>0</v>
      </c>
      <c r="I527" s="194">
        <f>IF(_1_54128456121462410464578910174[[#This Row],[Type]]&gt;0,VLOOKUP(_1_54128456121462410464578910174[[#This Row],[Type]],Main[[#All],[TYPE]:[UNIT]],'Unit Price'!G$1,FALSE),0)</f>
        <v>0</v>
      </c>
      <c r="J527" s="194">
        <f>IF(_1_54128456121462410464578910174[[#This Row],[Type]]&gt;0,VLOOKUP(_1_54128456121462410464578910174[[#This Row],[Type]],Main[[#All],[TYPE]:[UNIT]],'Unit Price'!H$1,FALSE),0)</f>
        <v>0</v>
      </c>
      <c r="K527" s="194">
        <f>IF(_1_54128456121462410464578910174[[#This Row],[Discount selection]]&gt;0,VLOOKUP(_1_54128456121462410464578910174[[#This Row],[Discount selection]],'Discount Structure'!$A$2:$B$30,2,"false"),0)</f>
        <v>1</v>
      </c>
      <c r="L527" s="194">
        <f>_1_54128456121462410464578910174[[#This Row],[LIST $]]*_1_54128456121462410464578910174[[#This Row],[DISCOUNT]]*_1_54128456121462410464578910174[[#This Row],[DISCOUNT 2]]</f>
        <v>0</v>
      </c>
      <c r="M527" s="194">
        <f>IF(OR(_1_54128456121462410464578910174[[#This Row],[UNIT]]&gt;0,_1_54128456121462410464578910174[[#This Row],[UNIT]]&lt;0),_1_54128456121462410464578910174[[#This Row],[UNIT]]*_1_54128456121462410464578910174[[#This Row],[COST]],0)</f>
        <v>0</v>
      </c>
      <c r="N527" s="194">
        <f t="shared" si="8"/>
        <v>1.5</v>
      </c>
      <c r="O527" s="198">
        <f>_1_54128456121462410464578910174[[#This Row],[TOTAL]]*_1_54128456121462410464578910174[[#This Row],[MARGIN]]</f>
        <v>0</v>
      </c>
      <c r="R527" s="41"/>
    </row>
    <row r="528" spans="1:18">
      <c r="D528" s="188"/>
      <c r="F528" s="168" t="s">
        <v>6202</v>
      </c>
      <c r="G528" s="193">
        <f>IF(_1_54128456121462410464578910174[[#This Row],[Type]]&gt;0,VLOOKUP(_1_54128456121462410464578910174[[#This Row],[Type]],Main[[#All],[TYPE]:[UNIT]],'Unit Price'!C$1,FALSE),0)</f>
        <v>0</v>
      </c>
      <c r="H528" s="197">
        <f>IF(_1_54128456121462410464578910174[[#This Row],[Type]]&gt;0,VLOOKUP(_1_54128456121462410464578910174[[#This Row],[Type]],Main[[#All],[TYPE]:[UNIT]],'Unit Price'!D$1,FALSE),0)</f>
        <v>0</v>
      </c>
      <c r="I528" s="194">
        <f>IF(_1_54128456121462410464578910174[[#This Row],[Type]]&gt;0,VLOOKUP(_1_54128456121462410464578910174[[#This Row],[Type]],Main[[#All],[TYPE]:[UNIT]],'Unit Price'!G$1,FALSE),0)</f>
        <v>0</v>
      </c>
      <c r="J528" s="194">
        <f>IF(_1_54128456121462410464578910174[[#This Row],[Type]]&gt;0,VLOOKUP(_1_54128456121462410464578910174[[#This Row],[Type]],Main[[#All],[TYPE]:[UNIT]],'Unit Price'!H$1,FALSE),0)</f>
        <v>0</v>
      </c>
      <c r="K528" s="194">
        <f>IF(_1_54128456121462410464578910174[[#This Row],[Discount selection]]&gt;0,VLOOKUP(_1_54128456121462410464578910174[[#This Row],[Discount selection]],'Discount Structure'!$A$2:$B$30,2,"false"),0)</f>
        <v>1</v>
      </c>
      <c r="L528" s="194">
        <f>_1_54128456121462410464578910174[[#This Row],[LIST $]]*_1_54128456121462410464578910174[[#This Row],[DISCOUNT]]*_1_54128456121462410464578910174[[#This Row],[DISCOUNT 2]]</f>
        <v>0</v>
      </c>
      <c r="M528" s="194">
        <f>IF(OR(_1_54128456121462410464578910174[[#This Row],[UNIT]]&gt;0,_1_54128456121462410464578910174[[#This Row],[UNIT]]&lt;0),_1_54128456121462410464578910174[[#This Row],[UNIT]]*_1_54128456121462410464578910174[[#This Row],[COST]],0)</f>
        <v>0</v>
      </c>
      <c r="N528" s="194">
        <f t="shared" si="8"/>
        <v>1.5</v>
      </c>
      <c r="O528" s="198">
        <f>_1_54128456121462410464578910174[[#This Row],[TOTAL]]*_1_54128456121462410464578910174[[#This Row],[MARGIN]]</f>
        <v>0</v>
      </c>
      <c r="R528" s="41"/>
    </row>
    <row r="529" spans="1:18">
      <c r="D529" s="188"/>
      <c r="F529" s="168" t="s">
        <v>6202</v>
      </c>
      <c r="G529" s="193">
        <f>IF(_1_54128456121462410464578910174[[#This Row],[Type]]&gt;0,VLOOKUP(_1_54128456121462410464578910174[[#This Row],[Type]],Main[[#All],[TYPE]:[UNIT]],'Unit Price'!C$1,FALSE),0)</f>
        <v>0</v>
      </c>
      <c r="H529" s="197">
        <f>IF(_1_54128456121462410464578910174[[#This Row],[Type]]&gt;0,VLOOKUP(_1_54128456121462410464578910174[[#This Row],[Type]],Main[[#All],[TYPE]:[UNIT]],'Unit Price'!D$1,FALSE),0)</f>
        <v>0</v>
      </c>
      <c r="I529" s="194">
        <f>IF(_1_54128456121462410464578910174[[#This Row],[Type]]&gt;0,VLOOKUP(_1_54128456121462410464578910174[[#This Row],[Type]],Main[[#All],[TYPE]:[UNIT]],'Unit Price'!G$1,FALSE),0)</f>
        <v>0</v>
      </c>
      <c r="J529" s="194">
        <f>IF(_1_54128456121462410464578910174[[#This Row],[Type]]&gt;0,VLOOKUP(_1_54128456121462410464578910174[[#This Row],[Type]],Main[[#All],[TYPE]:[UNIT]],'Unit Price'!H$1,FALSE),0)</f>
        <v>0</v>
      </c>
      <c r="K529" s="194">
        <f>IF(_1_54128456121462410464578910174[[#This Row],[Discount selection]]&gt;0,VLOOKUP(_1_54128456121462410464578910174[[#This Row],[Discount selection]],'Discount Structure'!$A$2:$B$30,2,"false"),0)</f>
        <v>1</v>
      </c>
      <c r="L529" s="194">
        <f>_1_54128456121462410464578910174[[#This Row],[LIST $]]*_1_54128456121462410464578910174[[#This Row],[DISCOUNT]]*_1_54128456121462410464578910174[[#This Row],[DISCOUNT 2]]</f>
        <v>0</v>
      </c>
      <c r="M529" s="194">
        <f>IF(OR(_1_54128456121462410464578910174[[#This Row],[UNIT]]&gt;0,_1_54128456121462410464578910174[[#This Row],[UNIT]]&lt;0),_1_54128456121462410464578910174[[#This Row],[UNIT]]*_1_54128456121462410464578910174[[#This Row],[COST]],0)</f>
        <v>0</v>
      </c>
      <c r="N529" s="194">
        <f t="shared" si="8"/>
        <v>1.5</v>
      </c>
      <c r="O529" s="198">
        <f>_1_54128456121462410464578910174[[#This Row],[TOTAL]]*_1_54128456121462410464578910174[[#This Row],[MARGIN]]</f>
        <v>0</v>
      </c>
      <c r="R529" s="41"/>
    </row>
    <row r="530" spans="1:18">
      <c r="D530" s="188"/>
      <c r="F530" s="168" t="s">
        <v>6202</v>
      </c>
      <c r="G530" s="193">
        <f>IF(_1_54128456121462410464578910174[[#This Row],[Type]]&gt;0,VLOOKUP(_1_54128456121462410464578910174[[#This Row],[Type]],Main[[#All],[TYPE]:[UNIT]],'Unit Price'!C$1,FALSE),0)</f>
        <v>0</v>
      </c>
      <c r="H530" s="197">
        <f>IF(_1_54128456121462410464578910174[[#This Row],[Type]]&gt;0,VLOOKUP(_1_54128456121462410464578910174[[#This Row],[Type]],Main[[#All],[TYPE]:[UNIT]],'Unit Price'!D$1,FALSE),0)</f>
        <v>0</v>
      </c>
      <c r="I530" s="194">
        <f>IF(_1_54128456121462410464578910174[[#This Row],[Type]]&gt;0,VLOOKUP(_1_54128456121462410464578910174[[#This Row],[Type]],Main[[#All],[TYPE]:[UNIT]],'Unit Price'!G$1,FALSE),0)</f>
        <v>0</v>
      </c>
      <c r="J530" s="194">
        <f>IF(_1_54128456121462410464578910174[[#This Row],[Type]]&gt;0,VLOOKUP(_1_54128456121462410464578910174[[#This Row],[Type]],Main[[#All],[TYPE]:[UNIT]],'Unit Price'!H$1,FALSE),0)</f>
        <v>0</v>
      </c>
      <c r="K530" s="194">
        <f>IF(_1_54128456121462410464578910174[[#This Row],[Discount selection]]&gt;0,VLOOKUP(_1_54128456121462410464578910174[[#This Row],[Discount selection]],'Discount Structure'!$A$2:$B$30,2,"false"),0)</f>
        <v>1</v>
      </c>
      <c r="L530" s="194">
        <f>_1_54128456121462410464578910174[[#This Row],[LIST $]]*_1_54128456121462410464578910174[[#This Row],[DISCOUNT]]*_1_54128456121462410464578910174[[#This Row],[DISCOUNT 2]]</f>
        <v>0</v>
      </c>
      <c r="M530" s="194">
        <f>IF(OR(_1_54128456121462410464578910174[[#This Row],[UNIT]]&gt;0,_1_54128456121462410464578910174[[#This Row],[UNIT]]&lt;0),_1_54128456121462410464578910174[[#This Row],[UNIT]]*_1_54128456121462410464578910174[[#This Row],[COST]],0)</f>
        <v>0</v>
      </c>
      <c r="N530" s="194">
        <f t="shared" si="8"/>
        <v>1.5</v>
      </c>
      <c r="O530" s="198">
        <f>_1_54128456121462410464578910174[[#This Row],[TOTAL]]*_1_54128456121462410464578910174[[#This Row],[MARGIN]]</f>
        <v>0</v>
      </c>
      <c r="R530" s="41"/>
    </row>
    <row r="531" spans="1:18">
      <c r="A531" s="168"/>
      <c r="D531" s="188"/>
      <c r="F531" s="168" t="s">
        <v>6202</v>
      </c>
      <c r="G531" s="193">
        <f>IF(_1_54128456121462410464578910174[[#This Row],[Type]]&gt;0,VLOOKUP(_1_54128456121462410464578910174[[#This Row],[Type]],Main[[#All],[TYPE]:[UNIT]],'Unit Price'!C$1,FALSE),0)</f>
        <v>0</v>
      </c>
      <c r="H531" s="197">
        <f>IF(_1_54128456121462410464578910174[[#This Row],[Type]]&gt;0,VLOOKUP(_1_54128456121462410464578910174[[#This Row],[Type]],Main[[#All],[TYPE]:[UNIT]],'Unit Price'!D$1,FALSE),0)</f>
        <v>0</v>
      </c>
      <c r="I531" s="194">
        <f>IF(_1_54128456121462410464578910174[[#This Row],[Type]]&gt;0,VLOOKUP(_1_54128456121462410464578910174[[#This Row],[Type]],Main[[#All],[TYPE]:[UNIT]],'Unit Price'!G$1,FALSE),0)</f>
        <v>0</v>
      </c>
      <c r="J531" s="194">
        <f>IF(_1_54128456121462410464578910174[[#This Row],[Type]]&gt;0,VLOOKUP(_1_54128456121462410464578910174[[#This Row],[Type]],Main[[#All],[TYPE]:[UNIT]],'Unit Price'!H$1,FALSE),0)</f>
        <v>0</v>
      </c>
      <c r="K531" s="194">
        <f>IF(_1_54128456121462410464578910174[[#This Row],[Discount selection]]&gt;0,VLOOKUP(_1_54128456121462410464578910174[[#This Row],[Discount selection]],'Discount Structure'!$A$2:$B$30,2,"false"),0)</f>
        <v>1</v>
      </c>
      <c r="L531" s="194">
        <f>_1_54128456121462410464578910174[[#This Row],[LIST $]]*_1_54128456121462410464578910174[[#This Row],[DISCOUNT]]*_1_54128456121462410464578910174[[#This Row],[DISCOUNT 2]]</f>
        <v>0</v>
      </c>
      <c r="M531" s="194">
        <f>IF(OR(_1_54128456121462410464578910174[[#This Row],[UNIT]]&gt;0,_1_54128456121462410464578910174[[#This Row],[UNIT]]&lt;0),_1_54128456121462410464578910174[[#This Row],[UNIT]]*_1_54128456121462410464578910174[[#This Row],[COST]],0)</f>
        <v>0</v>
      </c>
      <c r="N531" s="194">
        <f t="shared" si="8"/>
        <v>1.5</v>
      </c>
      <c r="O531" s="198">
        <f>_1_54128456121462410464578910174[[#This Row],[TOTAL]]*_1_54128456121462410464578910174[[#This Row],[MARGIN]]</f>
        <v>0</v>
      </c>
      <c r="R531" s="41"/>
    </row>
    <row r="532" spans="1:18">
      <c r="D532" s="188"/>
      <c r="F532" s="168" t="s">
        <v>6202</v>
      </c>
      <c r="G532" s="193">
        <f>IF(_1_54128456121462410464578910174[[#This Row],[Type]]&gt;0,VLOOKUP(_1_54128456121462410464578910174[[#This Row],[Type]],Main[[#All],[TYPE]:[UNIT]],'Unit Price'!C$1,FALSE),0)</f>
        <v>0</v>
      </c>
      <c r="H532" s="197">
        <f>IF(_1_54128456121462410464578910174[[#This Row],[Type]]&gt;0,VLOOKUP(_1_54128456121462410464578910174[[#This Row],[Type]],Main[[#All],[TYPE]:[UNIT]],'Unit Price'!D$1,FALSE),0)</f>
        <v>0</v>
      </c>
      <c r="I532" s="194">
        <f>IF(_1_54128456121462410464578910174[[#This Row],[Type]]&gt;0,VLOOKUP(_1_54128456121462410464578910174[[#This Row],[Type]],Main[[#All],[TYPE]:[UNIT]],'Unit Price'!G$1,FALSE),0)</f>
        <v>0</v>
      </c>
      <c r="J532" s="194">
        <f>IF(_1_54128456121462410464578910174[[#This Row],[Type]]&gt;0,VLOOKUP(_1_54128456121462410464578910174[[#This Row],[Type]],Main[[#All],[TYPE]:[UNIT]],'Unit Price'!H$1,FALSE),0)</f>
        <v>0</v>
      </c>
      <c r="K532" s="194">
        <f>IF(_1_54128456121462410464578910174[[#This Row],[Discount selection]]&gt;0,VLOOKUP(_1_54128456121462410464578910174[[#This Row],[Discount selection]],'Discount Structure'!$A$2:$B$30,2,"false"),0)</f>
        <v>1</v>
      </c>
      <c r="L532" s="194">
        <f>_1_54128456121462410464578910174[[#This Row],[LIST $]]*_1_54128456121462410464578910174[[#This Row],[DISCOUNT]]*_1_54128456121462410464578910174[[#This Row],[DISCOUNT 2]]</f>
        <v>0</v>
      </c>
      <c r="M532" s="194">
        <f>IF(OR(_1_54128456121462410464578910174[[#This Row],[UNIT]]&gt;0,_1_54128456121462410464578910174[[#This Row],[UNIT]]&lt;0),_1_54128456121462410464578910174[[#This Row],[UNIT]]*_1_54128456121462410464578910174[[#This Row],[COST]],0)</f>
        <v>0</v>
      </c>
      <c r="N532" s="194">
        <f t="shared" si="8"/>
        <v>1.5</v>
      </c>
      <c r="O532" s="198">
        <f>_1_54128456121462410464578910174[[#This Row],[TOTAL]]*_1_54128456121462410464578910174[[#This Row],[MARGIN]]</f>
        <v>0</v>
      </c>
      <c r="R532" s="41"/>
    </row>
    <row r="533" spans="1:18">
      <c r="D533" s="188"/>
      <c r="F533" s="168" t="s">
        <v>6202</v>
      </c>
      <c r="G533" s="193">
        <f>IF(_1_54128456121462410464578910174[[#This Row],[Type]]&gt;0,VLOOKUP(_1_54128456121462410464578910174[[#This Row],[Type]],Main[[#All],[TYPE]:[UNIT]],'Unit Price'!C$1,FALSE),0)</f>
        <v>0</v>
      </c>
      <c r="H533" s="197">
        <f>IF(_1_54128456121462410464578910174[[#This Row],[Type]]&gt;0,VLOOKUP(_1_54128456121462410464578910174[[#This Row],[Type]],Main[[#All],[TYPE]:[UNIT]],'Unit Price'!D$1,FALSE),0)</f>
        <v>0</v>
      </c>
      <c r="I533" s="194">
        <f>IF(_1_54128456121462410464578910174[[#This Row],[Type]]&gt;0,VLOOKUP(_1_54128456121462410464578910174[[#This Row],[Type]],Main[[#All],[TYPE]:[UNIT]],'Unit Price'!G$1,FALSE),0)</f>
        <v>0</v>
      </c>
      <c r="J533" s="194">
        <f>IF(_1_54128456121462410464578910174[[#This Row],[Type]]&gt;0,VLOOKUP(_1_54128456121462410464578910174[[#This Row],[Type]],Main[[#All],[TYPE]:[UNIT]],'Unit Price'!H$1,FALSE),0)</f>
        <v>0</v>
      </c>
      <c r="K533" s="194">
        <f>IF(_1_54128456121462410464578910174[[#This Row],[Discount selection]]&gt;0,VLOOKUP(_1_54128456121462410464578910174[[#This Row],[Discount selection]],'Discount Structure'!$A$2:$B$30,2,"false"),0)</f>
        <v>1</v>
      </c>
      <c r="L533" s="194">
        <f>_1_54128456121462410464578910174[[#This Row],[LIST $]]*_1_54128456121462410464578910174[[#This Row],[DISCOUNT]]*_1_54128456121462410464578910174[[#This Row],[DISCOUNT 2]]</f>
        <v>0</v>
      </c>
      <c r="M533" s="194">
        <f>IF(OR(_1_54128456121462410464578910174[[#This Row],[UNIT]]&gt;0,_1_54128456121462410464578910174[[#This Row],[UNIT]]&lt;0),_1_54128456121462410464578910174[[#This Row],[UNIT]]*_1_54128456121462410464578910174[[#This Row],[COST]],0)</f>
        <v>0</v>
      </c>
      <c r="N533" s="194">
        <f t="shared" si="8"/>
        <v>1.5</v>
      </c>
      <c r="O533" s="198">
        <f>_1_54128456121462410464578910174[[#This Row],[TOTAL]]*_1_54128456121462410464578910174[[#This Row],[MARGIN]]</f>
        <v>0</v>
      </c>
      <c r="R533" s="41"/>
    </row>
    <row r="534" spans="1:18">
      <c r="D534" s="188"/>
      <c r="F534" s="168" t="s">
        <v>6202</v>
      </c>
      <c r="G534" s="193">
        <f>IF(_1_54128456121462410464578910174[[#This Row],[Type]]&gt;0,VLOOKUP(_1_54128456121462410464578910174[[#This Row],[Type]],Main[[#All],[TYPE]:[UNIT]],'Unit Price'!C$1,FALSE),0)</f>
        <v>0</v>
      </c>
      <c r="H534" s="197">
        <f>IF(_1_54128456121462410464578910174[[#This Row],[Type]]&gt;0,VLOOKUP(_1_54128456121462410464578910174[[#This Row],[Type]],Main[[#All],[TYPE]:[UNIT]],'Unit Price'!D$1,FALSE),0)</f>
        <v>0</v>
      </c>
      <c r="I534" s="194">
        <f>IF(_1_54128456121462410464578910174[[#This Row],[Type]]&gt;0,VLOOKUP(_1_54128456121462410464578910174[[#This Row],[Type]],Main[[#All],[TYPE]:[UNIT]],'Unit Price'!G$1,FALSE),0)</f>
        <v>0</v>
      </c>
      <c r="J534" s="194">
        <f>IF(_1_54128456121462410464578910174[[#This Row],[Type]]&gt;0,VLOOKUP(_1_54128456121462410464578910174[[#This Row],[Type]],Main[[#All],[TYPE]:[UNIT]],'Unit Price'!H$1,FALSE),0)</f>
        <v>0</v>
      </c>
      <c r="K534" s="194">
        <f>IF(_1_54128456121462410464578910174[[#This Row],[Discount selection]]&gt;0,VLOOKUP(_1_54128456121462410464578910174[[#This Row],[Discount selection]],'Discount Structure'!$A$2:$B$30,2,"false"),0)</f>
        <v>1</v>
      </c>
      <c r="L534" s="194">
        <f>_1_54128456121462410464578910174[[#This Row],[LIST $]]*_1_54128456121462410464578910174[[#This Row],[DISCOUNT]]*_1_54128456121462410464578910174[[#This Row],[DISCOUNT 2]]</f>
        <v>0</v>
      </c>
      <c r="M534" s="194">
        <f>IF(OR(_1_54128456121462410464578910174[[#This Row],[UNIT]]&gt;0,_1_54128456121462410464578910174[[#This Row],[UNIT]]&lt;0),_1_54128456121462410464578910174[[#This Row],[UNIT]]*_1_54128456121462410464578910174[[#This Row],[COST]],0)</f>
        <v>0</v>
      </c>
      <c r="N534" s="194">
        <f t="shared" si="8"/>
        <v>1.5</v>
      </c>
      <c r="O534" s="198">
        <f>_1_54128456121462410464578910174[[#This Row],[TOTAL]]*_1_54128456121462410464578910174[[#This Row],[MARGIN]]</f>
        <v>0</v>
      </c>
      <c r="R534" s="41"/>
    </row>
    <row r="535" spans="1:18">
      <c r="A535" s="168"/>
      <c r="D535" s="188"/>
      <c r="F535" s="168" t="s">
        <v>6202</v>
      </c>
      <c r="G535" s="193">
        <f>IF(_1_54128456121462410464578910174[[#This Row],[Type]]&gt;0,VLOOKUP(_1_54128456121462410464578910174[[#This Row],[Type]],Main[[#All],[TYPE]:[UNIT]],'Unit Price'!C$1,FALSE),0)</f>
        <v>0</v>
      </c>
      <c r="H535" s="197">
        <f>IF(_1_54128456121462410464578910174[[#This Row],[Type]]&gt;0,VLOOKUP(_1_54128456121462410464578910174[[#This Row],[Type]],Main[[#All],[TYPE]:[UNIT]],'Unit Price'!D$1,FALSE),0)</f>
        <v>0</v>
      </c>
      <c r="I535" s="194">
        <f>IF(_1_54128456121462410464578910174[[#This Row],[Type]]&gt;0,VLOOKUP(_1_54128456121462410464578910174[[#This Row],[Type]],Main[[#All],[TYPE]:[UNIT]],'Unit Price'!G$1,FALSE),0)</f>
        <v>0</v>
      </c>
      <c r="J535" s="194">
        <f>IF(_1_54128456121462410464578910174[[#This Row],[Type]]&gt;0,VLOOKUP(_1_54128456121462410464578910174[[#This Row],[Type]],Main[[#All],[TYPE]:[UNIT]],'Unit Price'!H$1,FALSE),0)</f>
        <v>0</v>
      </c>
      <c r="K535" s="194">
        <f>IF(_1_54128456121462410464578910174[[#This Row],[Discount selection]]&gt;0,VLOOKUP(_1_54128456121462410464578910174[[#This Row],[Discount selection]],'Discount Structure'!$A$2:$B$30,2,"false"),0)</f>
        <v>1</v>
      </c>
      <c r="L535" s="194">
        <f>_1_54128456121462410464578910174[[#This Row],[LIST $]]*_1_54128456121462410464578910174[[#This Row],[DISCOUNT]]*_1_54128456121462410464578910174[[#This Row],[DISCOUNT 2]]</f>
        <v>0</v>
      </c>
      <c r="M535" s="194">
        <f>IF(OR(_1_54128456121462410464578910174[[#This Row],[UNIT]]&gt;0,_1_54128456121462410464578910174[[#This Row],[UNIT]]&lt;0),_1_54128456121462410464578910174[[#This Row],[UNIT]]*_1_54128456121462410464578910174[[#This Row],[COST]],0)</f>
        <v>0</v>
      </c>
      <c r="N535" s="194">
        <f t="shared" si="8"/>
        <v>1.5</v>
      </c>
      <c r="O535" s="198">
        <f>_1_54128456121462410464578910174[[#This Row],[TOTAL]]*_1_54128456121462410464578910174[[#This Row],[MARGIN]]</f>
        <v>0</v>
      </c>
      <c r="R535" s="41"/>
    </row>
    <row r="536" spans="1:18">
      <c r="D536" s="188"/>
      <c r="F536" s="168" t="s">
        <v>6202</v>
      </c>
      <c r="G536" s="193">
        <f>IF(_1_54128456121462410464578910174[[#This Row],[Type]]&gt;0,VLOOKUP(_1_54128456121462410464578910174[[#This Row],[Type]],Main[[#All],[TYPE]:[UNIT]],'Unit Price'!C$1,FALSE),0)</f>
        <v>0</v>
      </c>
      <c r="H536" s="197">
        <f>IF(_1_54128456121462410464578910174[[#This Row],[Type]]&gt;0,VLOOKUP(_1_54128456121462410464578910174[[#This Row],[Type]],Main[[#All],[TYPE]:[UNIT]],'Unit Price'!D$1,FALSE),0)</f>
        <v>0</v>
      </c>
      <c r="I536" s="194">
        <f>IF(_1_54128456121462410464578910174[[#This Row],[Type]]&gt;0,VLOOKUP(_1_54128456121462410464578910174[[#This Row],[Type]],Main[[#All],[TYPE]:[UNIT]],'Unit Price'!G$1,FALSE),0)</f>
        <v>0</v>
      </c>
      <c r="J536" s="194">
        <f>IF(_1_54128456121462410464578910174[[#This Row],[Type]]&gt;0,VLOOKUP(_1_54128456121462410464578910174[[#This Row],[Type]],Main[[#All],[TYPE]:[UNIT]],'Unit Price'!H$1,FALSE),0)</f>
        <v>0</v>
      </c>
      <c r="K536" s="194">
        <f>IF(_1_54128456121462410464578910174[[#This Row],[Discount selection]]&gt;0,VLOOKUP(_1_54128456121462410464578910174[[#This Row],[Discount selection]],'Discount Structure'!$A$2:$B$30,2,"false"),0)</f>
        <v>1</v>
      </c>
      <c r="L536" s="194">
        <f>_1_54128456121462410464578910174[[#This Row],[LIST $]]*_1_54128456121462410464578910174[[#This Row],[DISCOUNT]]*_1_54128456121462410464578910174[[#This Row],[DISCOUNT 2]]</f>
        <v>0</v>
      </c>
      <c r="M536" s="194">
        <f>IF(OR(_1_54128456121462410464578910174[[#This Row],[UNIT]]&gt;0,_1_54128456121462410464578910174[[#This Row],[UNIT]]&lt;0),_1_54128456121462410464578910174[[#This Row],[UNIT]]*_1_54128456121462410464578910174[[#This Row],[COST]],0)</f>
        <v>0</v>
      </c>
      <c r="N536" s="194">
        <f t="shared" si="8"/>
        <v>1.5</v>
      </c>
      <c r="O536" s="198">
        <f>_1_54128456121462410464578910174[[#This Row],[TOTAL]]*_1_54128456121462410464578910174[[#This Row],[MARGIN]]</f>
        <v>0</v>
      </c>
      <c r="R536" s="41"/>
    </row>
    <row r="537" spans="1:18">
      <c r="D537" s="188"/>
      <c r="F537" s="168" t="s">
        <v>6202</v>
      </c>
      <c r="G537" s="193">
        <f>IF(_1_54128456121462410464578910174[[#This Row],[Type]]&gt;0,VLOOKUP(_1_54128456121462410464578910174[[#This Row],[Type]],Main[[#All],[TYPE]:[UNIT]],'Unit Price'!C$1,FALSE),0)</f>
        <v>0</v>
      </c>
      <c r="H537" s="197">
        <f>IF(_1_54128456121462410464578910174[[#This Row],[Type]]&gt;0,VLOOKUP(_1_54128456121462410464578910174[[#This Row],[Type]],Main[[#All],[TYPE]:[UNIT]],'Unit Price'!D$1,FALSE),0)</f>
        <v>0</v>
      </c>
      <c r="I537" s="194">
        <f>IF(_1_54128456121462410464578910174[[#This Row],[Type]]&gt;0,VLOOKUP(_1_54128456121462410464578910174[[#This Row],[Type]],Main[[#All],[TYPE]:[UNIT]],'Unit Price'!G$1,FALSE),0)</f>
        <v>0</v>
      </c>
      <c r="J537" s="194">
        <f>IF(_1_54128456121462410464578910174[[#This Row],[Type]]&gt;0,VLOOKUP(_1_54128456121462410464578910174[[#This Row],[Type]],Main[[#All],[TYPE]:[UNIT]],'Unit Price'!H$1,FALSE),0)</f>
        <v>0</v>
      </c>
      <c r="K537" s="194">
        <f>IF(_1_54128456121462410464578910174[[#This Row],[Discount selection]]&gt;0,VLOOKUP(_1_54128456121462410464578910174[[#This Row],[Discount selection]],'Discount Structure'!$A$2:$B$30,2,"false"),0)</f>
        <v>1</v>
      </c>
      <c r="L537" s="194">
        <f>_1_54128456121462410464578910174[[#This Row],[LIST $]]*_1_54128456121462410464578910174[[#This Row],[DISCOUNT]]*_1_54128456121462410464578910174[[#This Row],[DISCOUNT 2]]</f>
        <v>0</v>
      </c>
      <c r="M537" s="194">
        <f>IF(OR(_1_54128456121462410464578910174[[#This Row],[UNIT]]&gt;0,_1_54128456121462410464578910174[[#This Row],[UNIT]]&lt;0),_1_54128456121462410464578910174[[#This Row],[UNIT]]*_1_54128456121462410464578910174[[#This Row],[COST]],0)</f>
        <v>0</v>
      </c>
      <c r="N537" s="194">
        <f t="shared" si="8"/>
        <v>1.5</v>
      </c>
      <c r="O537" s="198">
        <f>_1_54128456121462410464578910174[[#This Row],[TOTAL]]*_1_54128456121462410464578910174[[#This Row],[MARGIN]]</f>
        <v>0</v>
      </c>
      <c r="R537" s="41"/>
    </row>
    <row r="538" spans="1:18">
      <c r="A538" s="168"/>
      <c r="D538" s="188"/>
      <c r="F538" s="168" t="s">
        <v>6202</v>
      </c>
      <c r="G538" s="193">
        <f>IF(_1_54128456121462410464578910174[[#This Row],[Type]]&gt;0,VLOOKUP(_1_54128456121462410464578910174[[#This Row],[Type]],Main[[#All],[TYPE]:[UNIT]],'Unit Price'!C$1,FALSE),0)</f>
        <v>0</v>
      </c>
      <c r="H538" s="197">
        <f>IF(_1_54128456121462410464578910174[[#This Row],[Type]]&gt;0,VLOOKUP(_1_54128456121462410464578910174[[#This Row],[Type]],Main[[#All],[TYPE]:[UNIT]],'Unit Price'!D$1,FALSE),0)</f>
        <v>0</v>
      </c>
      <c r="I538" s="194">
        <f>IF(_1_54128456121462410464578910174[[#This Row],[Type]]&gt;0,VLOOKUP(_1_54128456121462410464578910174[[#This Row],[Type]],Main[[#All],[TYPE]:[UNIT]],'Unit Price'!G$1,FALSE),0)</f>
        <v>0</v>
      </c>
      <c r="J538" s="194">
        <f>IF(_1_54128456121462410464578910174[[#This Row],[Type]]&gt;0,VLOOKUP(_1_54128456121462410464578910174[[#This Row],[Type]],Main[[#All],[TYPE]:[UNIT]],'Unit Price'!H$1,FALSE),0)</f>
        <v>0</v>
      </c>
      <c r="K538" s="194">
        <f>IF(_1_54128456121462410464578910174[[#This Row],[Discount selection]]&gt;0,VLOOKUP(_1_54128456121462410464578910174[[#This Row],[Discount selection]],'Discount Structure'!$A$2:$B$30,2,"false"),0)</f>
        <v>1</v>
      </c>
      <c r="L538" s="194">
        <f>_1_54128456121462410464578910174[[#This Row],[LIST $]]*_1_54128456121462410464578910174[[#This Row],[DISCOUNT]]*_1_54128456121462410464578910174[[#This Row],[DISCOUNT 2]]</f>
        <v>0</v>
      </c>
      <c r="M538" s="194">
        <f>IF(OR(_1_54128456121462410464578910174[[#This Row],[UNIT]]&gt;0,_1_54128456121462410464578910174[[#This Row],[UNIT]]&lt;0),_1_54128456121462410464578910174[[#This Row],[UNIT]]*_1_54128456121462410464578910174[[#This Row],[COST]],0)</f>
        <v>0</v>
      </c>
      <c r="N538" s="194">
        <f t="shared" si="8"/>
        <v>1.5</v>
      </c>
      <c r="O538" s="198">
        <f>_1_54128456121462410464578910174[[#This Row],[TOTAL]]*_1_54128456121462410464578910174[[#This Row],[MARGIN]]</f>
        <v>0</v>
      </c>
      <c r="R538" s="41"/>
    </row>
    <row r="539" spans="1:18">
      <c r="D539" s="188"/>
      <c r="F539" s="168" t="s">
        <v>6202</v>
      </c>
      <c r="G539" s="193">
        <f>IF(_1_54128456121462410464578910174[[#This Row],[Type]]&gt;0,VLOOKUP(_1_54128456121462410464578910174[[#This Row],[Type]],Main[[#All],[TYPE]:[UNIT]],'Unit Price'!C$1,FALSE),0)</f>
        <v>0</v>
      </c>
      <c r="H539" s="197">
        <f>IF(_1_54128456121462410464578910174[[#This Row],[Type]]&gt;0,VLOOKUP(_1_54128456121462410464578910174[[#This Row],[Type]],Main[[#All],[TYPE]:[UNIT]],'Unit Price'!D$1,FALSE),0)</f>
        <v>0</v>
      </c>
      <c r="I539" s="194">
        <f>IF(_1_54128456121462410464578910174[[#This Row],[Type]]&gt;0,VLOOKUP(_1_54128456121462410464578910174[[#This Row],[Type]],Main[[#All],[TYPE]:[UNIT]],'Unit Price'!G$1,FALSE),0)</f>
        <v>0</v>
      </c>
      <c r="J539" s="194">
        <f>IF(_1_54128456121462410464578910174[[#This Row],[Type]]&gt;0,VLOOKUP(_1_54128456121462410464578910174[[#This Row],[Type]],Main[[#All],[TYPE]:[UNIT]],'Unit Price'!H$1,FALSE),0)</f>
        <v>0</v>
      </c>
      <c r="K539" s="194">
        <f>IF(_1_54128456121462410464578910174[[#This Row],[Discount selection]]&gt;0,VLOOKUP(_1_54128456121462410464578910174[[#This Row],[Discount selection]],'Discount Structure'!$A$2:$B$30,2,"false"),0)</f>
        <v>1</v>
      </c>
      <c r="L539" s="194">
        <f>_1_54128456121462410464578910174[[#This Row],[LIST $]]*_1_54128456121462410464578910174[[#This Row],[DISCOUNT]]*_1_54128456121462410464578910174[[#This Row],[DISCOUNT 2]]</f>
        <v>0</v>
      </c>
      <c r="M539" s="194">
        <f>IF(OR(_1_54128456121462410464578910174[[#This Row],[UNIT]]&gt;0,_1_54128456121462410464578910174[[#This Row],[UNIT]]&lt;0),_1_54128456121462410464578910174[[#This Row],[UNIT]]*_1_54128456121462410464578910174[[#This Row],[COST]],0)</f>
        <v>0</v>
      </c>
      <c r="N539" s="194">
        <f t="shared" si="8"/>
        <v>1.5</v>
      </c>
      <c r="O539" s="198">
        <f>_1_54128456121462410464578910174[[#This Row],[TOTAL]]*_1_54128456121462410464578910174[[#This Row],[MARGIN]]</f>
        <v>0</v>
      </c>
      <c r="R539" s="41"/>
    </row>
    <row r="540" spans="1:18">
      <c r="D540" s="188"/>
      <c r="F540" s="168" t="s">
        <v>6202</v>
      </c>
      <c r="G540" s="193">
        <f>IF(_1_54128456121462410464578910174[[#This Row],[Type]]&gt;0,VLOOKUP(_1_54128456121462410464578910174[[#This Row],[Type]],Main[[#All],[TYPE]:[UNIT]],'Unit Price'!C$1,FALSE),0)</f>
        <v>0</v>
      </c>
      <c r="H540" s="197">
        <f>IF(_1_54128456121462410464578910174[[#This Row],[Type]]&gt;0,VLOOKUP(_1_54128456121462410464578910174[[#This Row],[Type]],Main[[#All],[TYPE]:[UNIT]],'Unit Price'!D$1,FALSE),0)</f>
        <v>0</v>
      </c>
      <c r="I540" s="194">
        <f>IF(_1_54128456121462410464578910174[[#This Row],[Type]]&gt;0,VLOOKUP(_1_54128456121462410464578910174[[#This Row],[Type]],Main[[#All],[TYPE]:[UNIT]],'Unit Price'!G$1,FALSE),0)</f>
        <v>0</v>
      </c>
      <c r="J540" s="194">
        <f>IF(_1_54128456121462410464578910174[[#This Row],[Type]]&gt;0,VLOOKUP(_1_54128456121462410464578910174[[#This Row],[Type]],Main[[#All],[TYPE]:[UNIT]],'Unit Price'!H$1,FALSE),0)</f>
        <v>0</v>
      </c>
      <c r="K540" s="194">
        <f>IF(_1_54128456121462410464578910174[[#This Row],[Discount selection]]&gt;0,VLOOKUP(_1_54128456121462410464578910174[[#This Row],[Discount selection]],'Discount Structure'!$A$2:$B$30,2,"false"),0)</f>
        <v>1</v>
      </c>
      <c r="L540" s="194">
        <f>_1_54128456121462410464578910174[[#This Row],[LIST $]]*_1_54128456121462410464578910174[[#This Row],[DISCOUNT]]*_1_54128456121462410464578910174[[#This Row],[DISCOUNT 2]]</f>
        <v>0</v>
      </c>
      <c r="M540" s="194">
        <f>IF(OR(_1_54128456121462410464578910174[[#This Row],[UNIT]]&gt;0,_1_54128456121462410464578910174[[#This Row],[UNIT]]&lt;0),_1_54128456121462410464578910174[[#This Row],[UNIT]]*_1_54128456121462410464578910174[[#This Row],[COST]],0)</f>
        <v>0</v>
      </c>
      <c r="N540" s="194">
        <f t="shared" si="8"/>
        <v>1.5</v>
      </c>
      <c r="O540" s="198">
        <f>_1_54128456121462410464578910174[[#This Row],[TOTAL]]*_1_54128456121462410464578910174[[#This Row],[MARGIN]]</f>
        <v>0</v>
      </c>
      <c r="R540" s="41"/>
    </row>
    <row r="541" spans="1:18">
      <c r="D541" s="188"/>
      <c r="F541" s="168" t="s">
        <v>6202</v>
      </c>
      <c r="G541" s="193">
        <f>IF(_1_54128456121462410464578910174[[#This Row],[Type]]&gt;0,VLOOKUP(_1_54128456121462410464578910174[[#This Row],[Type]],Main[[#All],[TYPE]:[UNIT]],'Unit Price'!C$1,FALSE),0)</f>
        <v>0</v>
      </c>
      <c r="H541" s="197">
        <f>IF(_1_54128456121462410464578910174[[#This Row],[Type]]&gt;0,VLOOKUP(_1_54128456121462410464578910174[[#This Row],[Type]],Main[[#All],[TYPE]:[UNIT]],'Unit Price'!D$1,FALSE),0)</f>
        <v>0</v>
      </c>
      <c r="I541" s="194">
        <f>IF(_1_54128456121462410464578910174[[#This Row],[Type]]&gt;0,VLOOKUP(_1_54128456121462410464578910174[[#This Row],[Type]],Main[[#All],[TYPE]:[UNIT]],'Unit Price'!G$1,FALSE),0)</f>
        <v>0</v>
      </c>
      <c r="J541" s="194">
        <f>IF(_1_54128456121462410464578910174[[#This Row],[Type]]&gt;0,VLOOKUP(_1_54128456121462410464578910174[[#This Row],[Type]],Main[[#All],[TYPE]:[UNIT]],'Unit Price'!H$1,FALSE),0)</f>
        <v>0</v>
      </c>
      <c r="K541" s="194">
        <f>IF(_1_54128456121462410464578910174[[#This Row],[Discount selection]]&gt;0,VLOOKUP(_1_54128456121462410464578910174[[#This Row],[Discount selection]],'Discount Structure'!$A$2:$B$30,2,"false"),0)</f>
        <v>1</v>
      </c>
      <c r="L541" s="194">
        <f>_1_54128456121462410464578910174[[#This Row],[LIST $]]*_1_54128456121462410464578910174[[#This Row],[DISCOUNT]]*_1_54128456121462410464578910174[[#This Row],[DISCOUNT 2]]</f>
        <v>0</v>
      </c>
      <c r="M541" s="194">
        <f>IF(OR(_1_54128456121462410464578910174[[#This Row],[UNIT]]&gt;0,_1_54128456121462410464578910174[[#This Row],[UNIT]]&lt;0),_1_54128456121462410464578910174[[#This Row],[UNIT]]*_1_54128456121462410464578910174[[#This Row],[COST]],0)</f>
        <v>0</v>
      </c>
      <c r="N541" s="194">
        <f t="shared" si="8"/>
        <v>1.5</v>
      </c>
      <c r="O541" s="198">
        <f>_1_54128456121462410464578910174[[#This Row],[TOTAL]]*_1_54128456121462410464578910174[[#This Row],[MARGIN]]</f>
        <v>0</v>
      </c>
      <c r="R541" s="41"/>
    </row>
    <row r="542" spans="1:18">
      <c r="D542" s="188"/>
      <c r="F542" s="168" t="s">
        <v>6202</v>
      </c>
      <c r="G542" s="193">
        <f>IF(_1_54128456121462410464578910174[[#This Row],[Type]]&gt;0,VLOOKUP(_1_54128456121462410464578910174[[#This Row],[Type]],Main[[#All],[TYPE]:[UNIT]],'Unit Price'!C$1,FALSE),0)</f>
        <v>0</v>
      </c>
      <c r="H542" s="197">
        <f>IF(_1_54128456121462410464578910174[[#This Row],[Type]]&gt;0,VLOOKUP(_1_54128456121462410464578910174[[#This Row],[Type]],Main[[#All],[TYPE]:[UNIT]],'Unit Price'!D$1,FALSE),0)</f>
        <v>0</v>
      </c>
      <c r="I542" s="194">
        <f>IF(_1_54128456121462410464578910174[[#This Row],[Type]]&gt;0,VLOOKUP(_1_54128456121462410464578910174[[#This Row],[Type]],Main[[#All],[TYPE]:[UNIT]],'Unit Price'!G$1,FALSE),0)</f>
        <v>0</v>
      </c>
      <c r="J542" s="194">
        <f>IF(_1_54128456121462410464578910174[[#This Row],[Type]]&gt;0,VLOOKUP(_1_54128456121462410464578910174[[#This Row],[Type]],Main[[#All],[TYPE]:[UNIT]],'Unit Price'!H$1,FALSE),0)</f>
        <v>0</v>
      </c>
      <c r="K542" s="194">
        <f>IF(_1_54128456121462410464578910174[[#This Row],[Discount selection]]&gt;0,VLOOKUP(_1_54128456121462410464578910174[[#This Row],[Discount selection]],'Discount Structure'!$A$2:$B$30,2,"false"),0)</f>
        <v>1</v>
      </c>
      <c r="L542" s="194">
        <f>_1_54128456121462410464578910174[[#This Row],[LIST $]]*_1_54128456121462410464578910174[[#This Row],[DISCOUNT]]*_1_54128456121462410464578910174[[#This Row],[DISCOUNT 2]]</f>
        <v>0</v>
      </c>
      <c r="M542" s="194">
        <f>IF(OR(_1_54128456121462410464578910174[[#This Row],[UNIT]]&gt;0,_1_54128456121462410464578910174[[#This Row],[UNIT]]&lt;0),_1_54128456121462410464578910174[[#This Row],[UNIT]]*_1_54128456121462410464578910174[[#This Row],[COST]],0)</f>
        <v>0</v>
      </c>
      <c r="N542" s="194">
        <f t="shared" si="8"/>
        <v>1.5</v>
      </c>
      <c r="O542" s="198">
        <f>_1_54128456121462410464578910174[[#This Row],[TOTAL]]*_1_54128456121462410464578910174[[#This Row],[MARGIN]]</f>
        <v>0</v>
      </c>
      <c r="R542" s="41"/>
    </row>
    <row r="543" spans="1:18">
      <c r="A543" s="168"/>
      <c r="D543" s="188"/>
      <c r="F543" s="168" t="s">
        <v>6202</v>
      </c>
      <c r="G543" s="193">
        <f>IF(_1_54128456121462410464578910174[[#This Row],[Type]]&gt;0,VLOOKUP(_1_54128456121462410464578910174[[#This Row],[Type]],Main[[#All],[TYPE]:[UNIT]],'Unit Price'!C$1,FALSE),0)</f>
        <v>0</v>
      </c>
      <c r="H543" s="197">
        <f>IF(_1_54128456121462410464578910174[[#This Row],[Type]]&gt;0,VLOOKUP(_1_54128456121462410464578910174[[#This Row],[Type]],Main[[#All],[TYPE]:[UNIT]],'Unit Price'!D$1,FALSE),0)</f>
        <v>0</v>
      </c>
      <c r="I543" s="194">
        <f>IF(_1_54128456121462410464578910174[[#This Row],[Type]]&gt;0,VLOOKUP(_1_54128456121462410464578910174[[#This Row],[Type]],Main[[#All],[TYPE]:[UNIT]],'Unit Price'!G$1,FALSE),0)</f>
        <v>0</v>
      </c>
      <c r="J543" s="194">
        <f>IF(_1_54128456121462410464578910174[[#This Row],[Type]]&gt;0,VLOOKUP(_1_54128456121462410464578910174[[#This Row],[Type]],Main[[#All],[TYPE]:[UNIT]],'Unit Price'!H$1,FALSE),0)</f>
        <v>0</v>
      </c>
      <c r="K543" s="194">
        <f>IF(_1_54128456121462410464578910174[[#This Row],[Discount selection]]&gt;0,VLOOKUP(_1_54128456121462410464578910174[[#This Row],[Discount selection]],'Discount Structure'!$A$2:$B$30,2,"false"),0)</f>
        <v>1</v>
      </c>
      <c r="L543" s="194">
        <f>_1_54128456121462410464578910174[[#This Row],[LIST $]]*_1_54128456121462410464578910174[[#This Row],[DISCOUNT]]*_1_54128456121462410464578910174[[#This Row],[DISCOUNT 2]]</f>
        <v>0</v>
      </c>
      <c r="M543" s="194">
        <f>IF(OR(_1_54128456121462410464578910174[[#This Row],[UNIT]]&gt;0,_1_54128456121462410464578910174[[#This Row],[UNIT]]&lt;0),_1_54128456121462410464578910174[[#This Row],[UNIT]]*_1_54128456121462410464578910174[[#This Row],[COST]],0)</f>
        <v>0</v>
      </c>
      <c r="N543" s="194">
        <f t="shared" si="8"/>
        <v>1.5</v>
      </c>
      <c r="O543" s="198">
        <f>_1_54128456121462410464578910174[[#This Row],[TOTAL]]*_1_54128456121462410464578910174[[#This Row],[MARGIN]]</f>
        <v>0</v>
      </c>
      <c r="R543" s="41"/>
    </row>
    <row r="544" spans="1:18">
      <c r="D544" s="188"/>
      <c r="F544" s="168" t="s">
        <v>6202</v>
      </c>
      <c r="G544" s="193">
        <f>IF(_1_54128456121462410464578910174[[#This Row],[Type]]&gt;0,VLOOKUP(_1_54128456121462410464578910174[[#This Row],[Type]],Main[[#All],[TYPE]:[UNIT]],'Unit Price'!C$1,FALSE),0)</f>
        <v>0</v>
      </c>
      <c r="H544" s="197">
        <f>IF(_1_54128456121462410464578910174[[#This Row],[Type]]&gt;0,VLOOKUP(_1_54128456121462410464578910174[[#This Row],[Type]],Main[[#All],[TYPE]:[UNIT]],'Unit Price'!D$1,FALSE),0)</f>
        <v>0</v>
      </c>
      <c r="I544" s="194">
        <f>IF(_1_54128456121462410464578910174[[#This Row],[Type]]&gt;0,VLOOKUP(_1_54128456121462410464578910174[[#This Row],[Type]],Main[[#All],[TYPE]:[UNIT]],'Unit Price'!G$1,FALSE),0)</f>
        <v>0</v>
      </c>
      <c r="J544" s="194">
        <f>IF(_1_54128456121462410464578910174[[#This Row],[Type]]&gt;0,VLOOKUP(_1_54128456121462410464578910174[[#This Row],[Type]],Main[[#All],[TYPE]:[UNIT]],'Unit Price'!H$1,FALSE),0)</f>
        <v>0</v>
      </c>
      <c r="K544" s="194">
        <f>IF(_1_54128456121462410464578910174[[#This Row],[Discount selection]]&gt;0,VLOOKUP(_1_54128456121462410464578910174[[#This Row],[Discount selection]],'Discount Structure'!$A$2:$B$30,2,"false"),0)</f>
        <v>1</v>
      </c>
      <c r="L544" s="194">
        <f>_1_54128456121462410464578910174[[#This Row],[LIST $]]*_1_54128456121462410464578910174[[#This Row],[DISCOUNT]]*_1_54128456121462410464578910174[[#This Row],[DISCOUNT 2]]</f>
        <v>0</v>
      </c>
      <c r="M544" s="194">
        <f>IF(OR(_1_54128456121462410464578910174[[#This Row],[UNIT]]&gt;0,_1_54128456121462410464578910174[[#This Row],[UNIT]]&lt;0),_1_54128456121462410464578910174[[#This Row],[UNIT]]*_1_54128456121462410464578910174[[#This Row],[COST]],0)</f>
        <v>0</v>
      </c>
      <c r="N544" s="194">
        <f t="shared" si="8"/>
        <v>1.5</v>
      </c>
      <c r="O544" s="198">
        <f>_1_54128456121462410464578910174[[#This Row],[TOTAL]]*_1_54128456121462410464578910174[[#This Row],[MARGIN]]</f>
        <v>0</v>
      </c>
      <c r="R544" s="41"/>
    </row>
    <row r="545" spans="1:18">
      <c r="D545" s="188"/>
      <c r="F545" s="168" t="s">
        <v>6202</v>
      </c>
      <c r="G545" s="193">
        <f>IF(_1_54128456121462410464578910174[[#This Row],[Type]]&gt;0,VLOOKUP(_1_54128456121462410464578910174[[#This Row],[Type]],Main[[#All],[TYPE]:[UNIT]],'Unit Price'!C$1,FALSE),0)</f>
        <v>0</v>
      </c>
      <c r="H545" s="197">
        <f>IF(_1_54128456121462410464578910174[[#This Row],[Type]]&gt;0,VLOOKUP(_1_54128456121462410464578910174[[#This Row],[Type]],Main[[#All],[TYPE]:[UNIT]],'Unit Price'!D$1,FALSE),0)</f>
        <v>0</v>
      </c>
      <c r="I545" s="194">
        <f>IF(_1_54128456121462410464578910174[[#This Row],[Type]]&gt;0,VLOOKUP(_1_54128456121462410464578910174[[#This Row],[Type]],Main[[#All],[TYPE]:[UNIT]],'Unit Price'!G$1,FALSE),0)</f>
        <v>0</v>
      </c>
      <c r="J545" s="194">
        <f>IF(_1_54128456121462410464578910174[[#This Row],[Type]]&gt;0,VLOOKUP(_1_54128456121462410464578910174[[#This Row],[Type]],Main[[#All],[TYPE]:[UNIT]],'Unit Price'!H$1,FALSE),0)</f>
        <v>0</v>
      </c>
      <c r="K545" s="194">
        <f>IF(_1_54128456121462410464578910174[[#This Row],[Discount selection]]&gt;0,VLOOKUP(_1_54128456121462410464578910174[[#This Row],[Discount selection]],'Discount Structure'!$A$2:$B$30,2,"false"),0)</f>
        <v>1</v>
      </c>
      <c r="L545" s="194">
        <f>_1_54128456121462410464578910174[[#This Row],[LIST $]]*_1_54128456121462410464578910174[[#This Row],[DISCOUNT]]*_1_54128456121462410464578910174[[#This Row],[DISCOUNT 2]]</f>
        <v>0</v>
      </c>
      <c r="M545" s="194">
        <f>IF(OR(_1_54128456121462410464578910174[[#This Row],[UNIT]]&gt;0,_1_54128456121462410464578910174[[#This Row],[UNIT]]&lt;0),_1_54128456121462410464578910174[[#This Row],[UNIT]]*_1_54128456121462410464578910174[[#This Row],[COST]],0)</f>
        <v>0</v>
      </c>
      <c r="N545" s="194">
        <f t="shared" si="8"/>
        <v>1.5</v>
      </c>
      <c r="O545" s="198">
        <f>_1_54128456121462410464578910174[[#This Row],[TOTAL]]*_1_54128456121462410464578910174[[#This Row],[MARGIN]]</f>
        <v>0</v>
      </c>
      <c r="R545" s="41"/>
    </row>
    <row r="546" spans="1:18">
      <c r="D546" s="188"/>
      <c r="F546" s="168" t="s">
        <v>6202</v>
      </c>
      <c r="G546" s="193">
        <f>IF(_1_54128456121462410464578910174[[#This Row],[Type]]&gt;0,VLOOKUP(_1_54128456121462410464578910174[[#This Row],[Type]],Main[[#All],[TYPE]:[UNIT]],'Unit Price'!C$1,FALSE),0)</f>
        <v>0</v>
      </c>
      <c r="H546" s="197">
        <f>IF(_1_54128456121462410464578910174[[#This Row],[Type]]&gt;0,VLOOKUP(_1_54128456121462410464578910174[[#This Row],[Type]],Main[[#All],[TYPE]:[UNIT]],'Unit Price'!D$1,FALSE),0)</f>
        <v>0</v>
      </c>
      <c r="I546" s="194">
        <f>IF(_1_54128456121462410464578910174[[#This Row],[Type]]&gt;0,VLOOKUP(_1_54128456121462410464578910174[[#This Row],[Type]],Main[[#All],[TYPE]:[UNIT]],'Unit Price'!G$1,FALSE),0)</f>
        <v>0</v>
      </c>
      <c r="J546" s="194">
        <f>IF(_1_54128456121462410464578910174[[#This Row],[Type]]&gt;0,VLOOKUP(_1_54128456121462410464578910174[[#This Row],[Type]],Main[[#All],[TYPE]:[UNIT]],'Unit Price'!H$1,FALSE),0)</f>
        <v>0</v>
      </c>
      <c r="K546" s="194">
        <f>IF(_1_54128456121462410464578910174[[#This Row],[Discount selection]]&gt;0,VLOOKUP(_1_54128456121462410464578910174[[#This Row],[Discount selection]],'Discount Structure'!$A$2:$B$30,2,"false"),0)</f>
        <v>1</v>
      </c>
      <c r="L546" s="194">
        <f>_1_54128456121462410464578910174[[#This Row],[LIST $]]*_1_54128456121462410464578910174[[#This Row],[DISCOUNT]]*_1_54128456121462410464578910174[[#This Row],[DISCOUNT 2]]</f>
        <v>0</v>
      </c>
      <c r="M546" s="194">
        <f>IF(OR(_1_54128456121462410464578910174[[#This Row],[UNIT]]&gt;0,_1_54128456121462410464578910174[[#This Row],[UNIT]]&lt;0),_1_54128456121462410464578910174[[#This Row],[UNIT]]*_1_54128456121462410464578910174[[#This Row],[COST]],0)</f>
        <v>0</v>
      </c>
      <c r="N546" s="194">
        <f t="shared" si="8"/>
        <v>1.5</v>
      </c>
      <c r="O546" s="198">
        <f>_1_54128456121462410464578910174[[#This Row],[TOTAL]]*_1_54128456121462410464578910174[[#This Row],[MARGIN]]</f>
        <v>0</v>
      </c>
      <c r="R546" s="41"/>
    </row>
    <row r="547" spans="1:18">
      <c r="D547" s="188"/>
      <c r="F547" s="168" t="s">
        <v>6202</v>
      </c>
      <c r="G547" s="193">
        <f>IF(_1_54128456121462410464578910174[[#This Row],[Type]]&gt;0,VLOOKUP(_1_54128456121462410464578910174[[#This Row],[Type]],Main[[#All],[TYPE]:[UNIT]],'Unit Price'!C$1,FALSE),0)</f>
        <v>0</v>
      </c>
      <c r="H547" s="197">
        <f>IF(_1_54128456121462410464578910174[[#This Row],[Type]]&gt;0,VLOOKUP(_1_54128456121462410464578910174[[#This Row],[Type]],Main[[#All],[TYPE]:[UNIT]],'Unit Price'!D$1,FALSE),0)</f>
        <v>0</v>
      </c>
      <c r="I547" s="194">
        <f>IF(_1_54128456121462410464578910174[[#This Row],[Type]]&gt;0,VLOOKUP(_1_54128456121462410464578910174[[#This Row],[Type]],Main[[#All],[TYPE]:[UNIT]],'Unit Price'!G$1,FALSE),0)</f>
        <v>0</v>
      </c>
      <c r="J547" s="194">
        <f>IF(_1_54128456121462410464578910174[[#This Row],[Type]]&gt;0,VLOOKUP(_1_54128456121462410464578910174[[#This Row],[Type]],Main[[#All],[TYPE]:[UNIT]],'Unit Price'!H$1,FALSE),0)</f>
        <v>0</v>
      </c>
      <c r="K547" s="194">
        <f>IF(_1_54128456121462410464578910174[[#This Row],[Discount selection]]&gt;0,VLOOKUP(_1_54128456121462410464578910174[[#This Row],[Discount selection]],'Discount Structure'!$A$2:$B$30,2,"false"),0)</f>
        <v>1</v>
      </c>
      <c r="L547" s="194">
        <f>_1_54128456121462410464578910174[[#This Row],[LIST $]]*_1_54128456121462410464578910174[[#This Row],[DISCOUNT]]*_1_54128456121462410464578910174[[#This Row],[DISCOUNT 2]]</f>
        <v>0</v>
      </c>
      <c r="M547" s="194">
        <f>IF(OR(_1_54128456121462410464578910174[[#This Row],[UNIT]]&gt;0,_1_54128456121462410464578910174[[#This Row],[UNIT]]&lt;0),_1_54128456121462410464578910174[[#This Row],[UNIT]]*_1_54128456121462410464578910174[[#This Row],[COST]],0)</f>
        <v>0</v>
      </c>
      <c r="N547" s="194">
        <f t="shared" si="8"/>
        <v>1.5</v>
      </c>
      <c r="O547" s="198">
        <f>_1_54128456121462410464578910174[[#This Row],[TOTAL]]*_1_54128456121462410464578910174[[#This Row],[MARGIN]]</f>
        <v>0</v>
      </c>
      <c r="R547" s="41"/>
    </row>
    <row r="548" spans="1:18">
      <c r="D548" s="188"/>
      <c r="F548" s="168" t="s">
        <v>6202</v>
      </c>
      <c r="G548" s="193">
        <f>IF(_1_54128456121462410464578910174[[#This Row],[Type]]&gt;0,VLOOKUP(_1_54128456121462410464578910174[[#This Row],[Type]],Main[[#All],[TYPE]:[UNIT]],'Unit Price'!C$1,FALSE),0)</f>
        <v>0</v>
      </c>
      <c r="H548" s="197">
        <f>IF(_1_54128456121462410464578910174[[#This Row],[Type]]&gt;0,VLOOKUP(_1_54128456121462410464578910174[[#This Row],[Type]],Main[[#All],[TYPE]:[UNIT]],'Unit Price'!D$1,FALSE),0)</f>
        <v>0</v>
      </c>
      <c r="I548" s="194">
        <f>IF(_1_54128456121462410464578910174[[#This Row],[Type]]&gt;0,VLOOKUP(_1_54128456121462410464578910174[[#This Row],[Type]],Main[[#All],[TYPE]:[UNIT]],'Unit Price'!G$1,FALSE),0)</f>
        <v>0</v>
      </c>
      <c r="J548" s="194">
        <f>IF(_1_54128456121462410464578910174[[#This Row],[Type]]&gt;0,VLOOKUP(_1_54128456121462410464578910174[[#This Row],[Type]],Main[[#All],[TYPE]:[UNIT]],'Unit Price'!H$1,FALSE),0)</f>
        <v>0</v>
      </c>
      <c r="K548" s="194">
        <f>IF(_1_54128456121462410464578910174[[#This Row],[Discount selection]]&gt;0,VLOOKUP(_1_54128456121462410464578910174[[#This Row],[Discount selection]],'Discount Structure'!$A$2:$B$30,2,"false"),0)</f>
        <v>1</v>
      </c>
      <c r="L548" s="194">
        <f>_1_54128456121462410464578910174[[#This Row],[LIST $]]*_1_54128456121462410464578910174[[#This Row],[DISCOUNT]]*_1_54128456121462410464578910174[[#This Row],[DISCOUNT 2]]</f>
        <v>0</v>
      </c>
      <c r="M548" s="194">
        <f>IF(OR(_1_54128456121462410464578910174[[#This Row],[UNIT]]&gt;0,_1_54128456121462410464578910174[[#This Row],[UNIT]]&lt;0),_1_54128456121462410464578910174[[#This Row],[UNIT]]*_1_54128456121462410464578910174[[#This Row],[COST]],0)</f>
        <v>0</v>
      </c>
      <c r="N548" s="194">
        <f t="shared" si="8"/>
        <v>1.5</v>
      </c>
      <c r="O548" s="198">
        <f>_1_54128456121462410464578910174[[#This Row],[TOTAL]]*_1_54128456121462410464578910174[[#This Row],[MARGIN]]</f>
        <v>0</v>
      </c>
      <c r="R548" s="41"/>
    </row>
    <row r="549" spans="1:18">
      <c r="A549" s="168"/>
      <c r="B549" s="168"/>
      <c r="D549" s="188"/>
      <c r="F549" s="168" t="s">
        <v>6202</v>
      </c>
      <c r="G549" s="193">
        <f>IF(_1_54128456121462410464578910174[[#This Row],[Type]]&gt;0,VLOOKUP(_1_54128456121462410464578910174[[#This Row],[Type]],Main[[#All],[TYPE]:[UNIT]],'Unit Price'!C$1,FALSE),0)</f>
        <v>0</v>
      </c>
      <c r="H549" s="197">
        <f>IF(_1_54128456121462410464578910174[[#This Row],[Type]]&gt;0,VLOOKUP(_1_54128456121462410464578910174[[#This Row],[Type]],Main[[#All],[TYPE]:[UNIT]],'Unit Price'!D$1,FALSE),0)</f>
        <v>0</v>
      </c>
      <c r="I549" s="194">
        <f>IF(_1_54128456121462410464578910174[[#This Row],[Type]]&gt;0,VLOOKUP(_1_54128456121462410464578910174[[#This Row],[Type]],Main[[#All],[TYPE]:[UNIT]],'Unit Price'!G$1,FALSE),0)</f>
        <v>0</v>
      </c>
      <c r="J549" s="194">
        <f>IF(_1_54128456121462410464578910174[[#This Row],[Type]]&gt;0,VLOOKUP(_1_54128456121462410464578910174[[#This Row],[Type]],Main[[#All],[TYPE]:[UNIT]],'Unit Price'!H$1,FALSE),0)</f>
        <v>0</v>
      </c>
      <c r="K549" s="194">
        <f>IF(_1_54128456121462410464578910174[[#This Row],[Discount selection]]&gt;0,VLOOKUP(_1_54128456121462410464578910174[[#This Row],[Discount selection]],'Discount Structure'!$A$2:$B$30,2,"false"),0)</f>
        <v>1</v>
      </c>
      <c r="L549" s="194">
        <f>_1_54128456121462410464578910174[[#This Row],[LIST $]]*_1_54128456121462410464578910174[[#This Row],[DISCOUNT]]*_1_54128456121462410464578910174[[#This Row],[DISCOUNT 2]]</f>
        <v>0</v>
      </c>
      <c r="M549" s="194">
        <f>IF(OR(_1_54128456121462410464578910174[[#This Row],[UNIT]]&gt;0,_1_54128456121462410464578910174[[#This Row],[UNIT]]&lt;0),_1_54128456121462410464578910174[[#This Row],[UNIT]]*_1_54128456121462410464578910174[[#This Row],[COST]],0)</f>
        <v>0</v>
      </c>
      <c r="N549" s="194">
        <f t="shared" si="8"/>
        <v>1.5</v>
      </c>
      <c r="O549" s="198">
        <f>_1_54128456121462410464578910174[[#This Row],[TOTAL]]*_1_54128456121462410464578910174[[#This Row],[MARGIN]]</f>
        <v>0</v>
      </c>
      <c r="R549" s="41"/>
    </row>
    <row r="550" spans="1:18">
      <c r="D550" s="188"/>
      <c r="F550" s="168" t="s">
        <v>6202</v>
      </c>
      <c r="G550" s="193">
        <f>IF(_1_54128456121462410464578910174[[#This Row],[Type]]&gt;0,VLOOKUP(_1_54128456121462410464578910174[[#This Row],[Type]],Main[[#All],[TYPE]:[UNIT]],'Unit Price'!C$1,FALSE),0)</f>
        <v>0</v>
      </c>
      <c r="H550" s="197">
        <f>IF(_1_54128456121462410464578910174[[#This Row],[Type]]&gt;0,VLOOKUP(_1_54128456121462410464578910174[[#This Row],[Type]],Main[[#All],[TYPE]:[UNIT]],'Unit Price'!D$1,FALSE),0)</f>
        <v>0</v>
      </c>
      <c r="I550" s="194">
        <f>IF(_1_54128456121462410464578910174[[#This Row],[Type]]&gt;0,VLOOKUP(_1_54128456121462410464578910174[[#This Row],[Type]],Main[[#All],[TYPE]:[UNIT]],'Unit Price'!G$1,FALSE),0)</f>
        <v>0</v>
      </c>
      <c r="J550" s="194">
        <f>IF(_1_54128456121462410464578910174[[#This Row],[Type]]&gt;0,VLOOKUP(_1_54128456121462410464578910174[[#This Row],[Type]],Main[[#All],[TYPE]:[UNIT]],'Unit Price'!H$1,FALSE),0)</f>
        <v>0</v>
      </c>
      <c r="K550" s="194">
        <f>IF(_1_54128456121462410464578910174[[#This Row],[Discount selection]]&gt;0,VLOOKUP(_1_54128456121462410464578910174[[#This Row],[Discount selection]],'Discount Structure'!$A$2:$B$30,2,"false"),0)</f>
        <v>1</v>
      </c>
      <c r="L550" s="194">
        <f>_1_54128456121462410464578910174[[#This Row],[LIST $]]*_1_54128456121462410464578910174[[#This Row],[DISCOUNT]]*_1_54128456121462410464578910174[[#This Row],[DISCOUNT 2]]</f>
        <v>0</v>
      </c>
      <c r="M550" s="194">
        <f>IF(OR(_1_54128456121462410464578910174[[#This Row],[UNIT]]&gt;0,_1_54128456121462410464578910174[[#This Row],[UNIT]]&lt;0),_1_54128456121462410464578910174[[#This Row],[UNIT]]*_1_54128456121462410464578910174[[#This Row],[COST]],0)</f>
        <v>0</v>
      </c>
      <c r="N550" s="194">
        <f t="shared" si="8"/>
        <v>1.5</v>
      </c>
      <c r="O550" s="198">
        <f>_1_54128456121462410464578910174[[#This Row],[TOTAL]]*_1_54128456121462410464578910174[[#This Row],[MARGIN]]</f>
        <v>0</v>
      </c>
      <c r="R550" s="41"/>
    </row>
    <row r="551" spans="1:18">
      <c r="D551" s="188"/>
      <c r="F551" s="168" t="s">
        <v>6202</v>
      </c>
      <c r="G551" s="193">
        <f>IF(_1_54128456121462410464578910174[[#This Row],[Type]]&gt;0,VLOOKUP(_1_54128456121462410464578910174[[#This Row],[Type]],Main[[#All],[TYPE]:[UNIT]],'Unit Price'!C$1,FALSE),0)</f>
        <v>0</v>
      </c>
      <c r="H551" s="197">
        <f>IF(_1_54128456121462410464578910174[[#This Row],[Type]]&gt;0,VLOOKUP(_1_54128456121462410464578910174[[#This Row],[Type]],Main[[#All],[TYPE]:[UNIT]],'Unit Price'!D$1,FALSE),0)</f>
        <v>0</v>
      </c>
      <c r="I551" s="194">
        <f>IF(_1_54128456121462410464578910174[[#This Row],[Type]]&gt;0,VLOOKUP(_1_54128456121462410464578910174[[#This Row],[Type]],Main[[#All],[TYPE]:[UNIT]],'Unit Price'!G$1,FALSE),0)</f>
        <v>0</v>
      </c>
      <c r="J551" s="194">
        <f>IF(_1_54128456121462410464578910174[[#This Row],[Type]]&gt;0,VLOOKUP(_1_54128456121462410464578910174[[#This Row],[Type]],Main[[#All],[TYPE]:[UNIT]],'Unit Price'!H$1,FALSE),0)</f>
        <v>0</v>
      </c>
      <c r="K551" s="194">
        <f>IF(_1_54128456121462410464578910174[[#This Row],[Discount selection]]&gt;0,VLOOKUP(_1_54128456121462410464578910174[[#This Row],[Discount selection]],'Discount Structure'!$A$2:$B$30,2,"false"),0)</f>
        <v>1</v>
      </c>
      <c r="L551" s="194">
        <f>_1_54128456121462410464578910174[[#This Row],[LIST $]]*_1_54128456121462410464578910174[[#This Row],[DISCOUNT]]*_1_54128456121462410464578910174[[#This Row],[DISCOUNT 2]]</f>
        <v>0</v>
      </c>
      <c r="M551" s="194">
        <f>IF(OR(_1_54128456121462410464578910174[[#This Row],[UNIT]]&gt;0,_1_54128456121462410464578910174[[#This Row],[UNIT]]&lt;0),_1_54128456121462410464578910174[[#This Row],[UNIT]]*_1_54128456121462410464578910174[[#This Row],[COST]],0)</f>
        <v>0</v>
      </c>
      <c r="N551" s="194">
        <f t="shared" si="8"/>
        <v>1.5</v>
      </c>
      <c r="O551" s="198">
        <f>_1_54128456121462410464578910174[[#This Row],[TOTAL]]*_1_54128456121462410464578910174[[#This Row],[MARGIN]]</f>
        <v>0</v>
      </c>
      <c r="R551" s="41"/>
    </row>
    <row r="552" spans="1:18">
      <c r="A552" s="168"/>
      <c r="D552" s="188"/>
      <c r="F552" s="168" t="s">
        <v>6202</v>
      </c>
      <c r="G552" s="193">
        <f>IF(_1_54128456121462410464578910174[[#This Row],[Type]]&gt;0,VLOOKUP(_1_54128456121462410464578910174[[#This Row],[Type]],Main[[#All],[TYPE]:[UNIT]],'Unit Price'!C$1,FALSE),0)</f>
        <v>0</v>
      </c>
      <c r="H552" s="197">
        <f>IF(_1_54128456121462410464578910174[[#This Row],[Type]]&gt;0,VLOOKUP(_1_54128456121462410464578910174[[#This Row],[Type]],Main[[#All],[TYPE]:[UNIT]],'Unit Price'!D$1,FALSE),0)</f>
        <v>0</v>
      </c>
      <c r="I552" s="194">
        <f>IF(_1_54128456121462410464578910174[[#This Row],[Type]]&gt;0,VLOOKUP(_1_54128456121462410464578910174[[#This Row],[Type]],Main[[#All],[TYPE]:[UNIT]],'Unit Price'!G$1,FALSE),0)</f>
        <v>0</v>
      </c>
      <c r="J552" s="194">
        <f>IF(_1_54128456121462410464578910174[[#This Row],[Type]]&gt;0,VLOOKUP(_1_54128456121462410464578910174[[#This Row],[Type]],Main[[#All],[TYPE]:[UNIT]],'Unit Price'!H$1,FALSE),0)</f>
        <v>0</v>
      </c>
      <c r="K552" s="194">
        <f>IF(_1_54128456121462410464578910174[[#This Row],[Discount selection]]&gt;0,VLOOKUP(_1_54128456121462410464578910174[[#This Row],[Discount selection]],'Discount Structure'!$A$2:$B$30,2,"false"),0)</f>
        <v>1</v>
      </c>
      <c r="L552" s="194">
        <f>_1_54128456121462410464578910174[[#This Row],[LIST $]]*_1_54128456121462410464578910174[[#This Row],[DISCOUNT]]*_1_54128456121462410464578910174[[#This Row],[DISCOUNT 2]]</f>
        <v>0</v>
      </c>
      <c r="M552" s="194">
        <f>IF(OR(_1_54128456121462410464578910174[[#This Row],[UNIT]]&gt;0,_1_54128456121462410464578910174[[#This Row],[UNIT]]&lt;0),_1_54128456121462410464578910174[[#This Row],[UNIT]]*_1_54128456121462410464578910174[[#This Row],[COST]],0)</f>
        <v>0</v>
      </c>
      <c r="N552" s="194">
        <f t="shared" si="8"/>
        <v>1.5</v>
      </c>
      <c r="O552" s="198">
        <f>_1_54128456121462410464578910174[[#This Row],[TOTAL]]*_1_54128456121462410464578910174[[#This Row],[MARGIN]]</f>
        <v>0</v>
      </c>
      <c r="R552" s="41"/>
    </row>
    <row r="553" spans="1:18">
      <c r="D553" s="188"/>
      <c r="F553" s="168" t="s">
        <v>6202</v>
      </c>
      <c r="G553" s="193">
        <f>IF(_1_54128456121462410464578910174[[#This Row],[Type]]&gt;0,VLOOKUP(_1_54128456121462410464578910174[[#This Row],[Type]],Main[[#All],[TYPE]:[UNIT]],'Unit Price'!C$1,FALSE),0)</f>
        <v>0</v>
      </c>
      <c r="H553" s="197">
        <f>IF(_1_54128456121462410464578910174[[#This Row],[Type]]&gt;0,VLOOKUP(_1_54128456121462410464578910174[[#This Row],[Type]],Main[[#All],[TYPE]:[UNIT]],'Unit Price'!D$1,FALSE),0)</f>
        <v>0</v>
      </c>
      <c r="I553" s="194">
        <f>IF(_1_54128456121462410464578910174[[#This Row],[Type]]&gt;0,VLOOKUP(_1_54128456121462410464578910174[[#This Row],[Type]],Main[[#All],[TYPE]:[UNIT]],'Unit Price'!G$1,FALSE),0)</f>
        <v>0</v>
      </c>
      <c r="J553" s="194">
        <f>IF(_1_54128456121462410464578910174[[#This Row],[Type]]&gt;0,VLOOKUP(_1_54128456121462410464578910174[[#This Row],[Type]],Main[[#All],[TYPE]:[UNIT]],'Unit Price'!H$1,FALSE),0)</f>
        <v>0</v>
      </c>
      <c r="K553" s="194">
        <f>IF(_1_54128456121462410464578910174[[#This Row],[Discount selection]]&gt;0,VLOOKUP(_1_54128456121462410464578910174[[#This Row],[Discount selection]],'Discount Structure'!$A$2:$B$30,2,"false"),0)</f>
        <v>1</v>
      </c>
      <c r="L553" s="194">
        <f>_1_54128456121462410464578910174[[#This Row],[LIST $]]*_1_54128456121462410464578910174[[#This Row],[DISCOUNT]]*_1_54128456121462410464578910174[[#This Row],[DISCOUNT 2]]</f>
        <v>0</v>
      </c>
      <c r="M553" s="194">
        <f>IF(OR(_1_54128456121462410464578910174[[#This Row],[UNIT]]&gt;0,_1_54128456121462410464578910174[[#This Row],[UNIT]]&lt;0),_1_54128456121462410464578910174[[#This Row],[UNIT]]*_1_54128456121462410464578910174[[#This Row],[COST]],0)</f>
        <v>0</v>
      </c>
      <c r="N553" s="194">
        <f t="shared" si="8"/>
        <v>1.5</v>
      </c>
      <c r="O553" s="198">
        <f>_1_54128456121462410464578910174[[#This Row],[TOTAL]]*_1_54128456121462410464578910174[[#This Row],[MARGIN]]</f>
        <v>0</v>
      </c>
      <c r="R553" s="41"/>
    </row>
    <row r="554" spans="1:18">
      <c r="D554" s="188"/>
      <c r="F554" s="168" t="s">
        <v>6202</v>
      </c>
      <c r="G554" s="193">
        <f>IF(_1_54128456121462410464578910174[[#This Row],[Type]]&gt;0,VLOOKUP(_1_54128456121462410464578910174[[#This Row],[Type]],Main[[#All],[TYPE]:[UNIT]],'Unit Price'!C$1,FALSE),0)</f>
        <v>0</v>
      </c>
      <c r="H554" s="197">
        <f>IF(_1_54128456121462410464578910174[[#This Row],[Type]]&gt;0,VLOOKUP(_1_54128456121462410464578910174[[#This Row],[Type]],Main[[#All],[TYPE]:[UNIT]],'Unit Price'!D$1,FALSE),0)</f>
        <v>0</v>
      </c>
      <c r="I554" s="194">
        <f>IF(_1_54128456121462410464578910174[[#This Row],[Type]]&gt;0,VLOOKUP(_1_54128456121462410464578910174[[#This Row],[Type]],Main[[#All],[TYPE]:[UNIT]],'Unit Price'!G$1,FALSE),0)</f>
        <v>0</v>
      </c>
      <c r="J554" s="194">
        <f>IF(_1_54128456121462410464578910174[[#This Row],[Type]]&gt;0,VLOOKUP(_1_54128456121462410464578910174[[#This Row],[Type]],Main[[#All],[TYPE]:[UNIT]],'Unit Price'!H$1,FALSE),0)</f>
        <v>0</v>
      </c>
      <c r="K554" s="194">
        <f>IF(_1_54128456121462410464578910174[[#This Row],[Discount selection]]&gt;0,VLOOKUP(_1_54128456121462410464578910174[[#This Row],[Discount selection]],'Discount Structure'!$A$2:$B$30,2,"false"),0)</f>
        <v>1</v>
      </c>
      <c r="L554" s="194">
        <f>_1_54128456121462410464578910174[[#This Row],[LIST $]]*_1_54128456121462410464578910174[[#This Row],[DISCOUNT]]*_1_54128456121462410464578910174[[#This Row],[DISCOUNT 2]]</f>
        <v>0</v>
      </c>
      <c r="M554" s="194">
        <f>IF(OR(_1_54128456121462410464578910174[[#This Row],[UNIT]]&gt;0,_1_54128456121462410464578910174[[#This Row],[UNIT]]&lt;0),_1_54128456121462410464578910174[[#This Row],[UNIT]]*_1_54128456121462410464578910174[[#This Row],[COST]],0)</f>
        <v>0</v>
      </c>
      <c r="N554" s="194">
        <f t="shared" si="8"/>
        <v>1.5</v>
      </c>
      <c r="O554" s="198">
        <f>_1_54128456121462410464578910174[[#This Row],[TOTAL]]*_1_54128456121462410464578910174[[#This Row],[MARGIN]]</f>
        <v>0</v>
      </c>
      <c r="R554" s="41"/>
    </row>
    <row r="555" spans="1:18">
      <c r="D555" s="188"/>
      <c r="F555" s="168" t="s">
        <v>6202</v>
      </c>
      <c r="G555" s="193">
        <f>IF(_1_54128456121462410464578910174[[#This Row],[Type]]&gt;0,VLOOKUP(_1_54128456121462410464578910174[[#This Row],[Type]],Main[[#All],[TYPE]:[UNIT]],'Unit Price'!C$1,FALSE),0)</f>
        <v>0</v>
      </c>
      <c r="H555" s="197">
        <f>IF(_1_54128456121462410464578910174[[#This Row],[Type]]&gt;0,VLOOKUP(_1_54128456121462410464578910174[[#This Row],[Type]],Main[[#All],[TYPE]:[UNIT]],'Unit Price'!D$1,FALSE),0)</f>
        <v>0</v>
      </c>
      <c r="I555" s="194">
        <f>IF(_1_54128456121462410464578910174[[#This Row],[Type]]&gt;0,VLOOKUP(_1_54128456121462410464578910174[[#This Row],[Type]],Main[[#All],[TYPE]:[UNIT]],'Unit Price'!G$1,FALSE),0)</f>
        <v>0</v>
      </c>
      <c r="J555" s="194">
        <f>IF(_1_54128456121462410464578910174[[#This Row],[Type]]&gt;0,VLOOKUP(_1_54128456121462410464578910174[[#This Row],[Type]],Main[[#All],[TYPE]:[UNIT]],'Unit Price'!H$1,FALSE),0)</f>
        <v>0</v>
      </c>
      <c r="K555" s="194">
        <f>IF(_1_54128456121462410464578910174[[#This Row],[Discount selection]]&gt;0,VLOOKUP(_1_54128456121462410464578910174[[#This Row],[Discount selection]],'Discount Structure'!$A$2:$B$30,2,"false"),0)</f>
        <v>1</v>
      </c>
      <c r="L555" s="194">
        <f>_1_54128456121462410464578910174[[#This Row],[LIST $]]*_1_54128456121462410464578910174[[#This Row],[DISCOUNT]]*_1_54128456121462410464578910174[[#This Row],[DISCOUNT 2]]</f>
        <v>0</v>
      </c>
      <c r="M555" s="194">
        <f>IF(OR(_1_54128456121462410464578910174[[#This Row],[UNIT]]&gt;0,_1_54128456121462410464578910174[[#This Row],[UNIT]]&lt;0),_1_54128456121462410464578910174[[#This Row],[UNIT]]*_1_54128456121462410464578910174[[#This Row],[COST]],0)</f>
        <v>0</v>
      </c>
      <c r="N555" s="194">
        <f t="shared" si="8"/>
        <v>1.5</v>
      </c>
      <c r="O555" s="198">
        <f>_1_54128456121462410464578910174[[#This Row],[TOTAL]]*_1_54128456121462410464578910174[[#This Row],[MARGIN]]</f>
        <v>0</v>
      </c>
      <c r="R555" s="41"/>
    </row>
    <row r="556" spans="1:18">
      <c r="D556" s="188"/>
      <c r="F556" s="168" t="s">
        <v>6202</v>
      </c>
      <c r="G556" s="193">
        <f>IF(_1_54128456121462410464578910174[[#This Row],[Type]]&gt;0,VLOOKUP(_1_54128456121462410464578910174[[#This Row],[Type]],Main[[#All],[TYPE]:[UNIT]],'Unit Price'!C$1,FALSE),0)</f>
        <v>0</v>
      </c>
      <c r="H556" s="197">
        <f>IF(_1_54128456121462410464578910174[[#This Row],[Type]]&gt;0,VLOOKUP(_1_54128456121462410464578910174[[#This Row],[Type]],Main[[#All],[TYPE]:[UNIT]],'Unit Price'!D$1,FALSE),0)</f>
        <v>0</v>
      </c>
      <c r="I556" s="194">
        <f>IF(_1_54128456121462410464578910174[[#This Row],[Type]]&gt;0,VLOOKUP(_1_54128456121462410464578910174[[#This Row],[Type]],Main[[#All],[TYPE]:[UNIT]],'Unit Price'!G$1,FALSE),0)</f>
        <v>0</v>
      </c>
      <c r="J556" s="194">
        <f>IF(_1_54128456121462410464578910174[[#This Row],[Type]]&gt;0,VLOOKUP(_1_54128456121462410464578910174[[#This Row],[Type]],Main[[#All],[TYPE]:[UNIT]],'Unit Price'!H$1,FALSE),0)</f>
        <v>0</v>
      </c>
      <c r="K556" s="194">
        <f>IF(_1_54128456121462410464578910174[[#This Row],[Discount selection]]&gt;0,VLOOKUP(_1_54128456121462410464578910174[[#This Row],[Discount selection]],'Discount Structure'!$A$2:$B$30,2,"false"),0)</f>
        <v>1</v>
      </c>
      <c r="L556" s="194">
        <f>_1_54128456121462410464578910174[[#This Row],[LIST $]]*_1_54128456121462410464578910174[[#This Row],[DISCOUNT]]*_1_54128456121462410464578910174[[#This Row],[DISCOUNT 2]]</f>
        <v>0</v>
      </c>
      <c r="M556" s="194">
        <f>IF(OR(_1_54128456121462410464578910174[[#This Row],[UNIT]]&gt;0,_1_54128456121462410464578910174[[#This Row],[UNIT]]&lt;0),_1_54128456121462410464578910174[[#This Row],[UNIT]]*_1_54128456121462410464578910174[[#This Row],[COST]],0)</f>
        <v>0</v>
      </c>
      <c r="N556" s="194">
        <f t="shared" si="8"/>
        <v>1.5</v>
      </c>
      <c r="O556" s="198">
        <f>_1_54128456121462410464578910174[[#This Row],[TOTAL]]*_1_54128456121462410464578910174[[#This Row],[MARGIN]]</f>
        <v>0</v>
      </c>
      <c r="R556" s="41"/>
    </row>
    <row r="557" spans="1:18">
      <c r="D557" s="188"/>
      <c r="F557" s="168" t="s">
        <v>6202</v>
      </c>
      <c r="G557" s="193">
        <f>IF(_1_54128456121462410464578910174[[#This Row],[Type]]&gt;0,VLOOKUP(_1_54128456121462410464578910174[[#This Row],[Type]],Main[[#All],[TYPE]:[UNIT]],'Unit Price'!C$1,FALSE),0)</f>
        <v>0</v>
      </c>
      <c r="H557" s="197">
        <f>IF(_1_54128456121462410464578910174[[#This Row],[Type]]&gt;0,VLOOKUP(_1_54128456121462410464578910174[[#This Row],[Type]],Main[[#All],[TYPE]:[UNIT]],'Unit Price'!D$1,FALSE),0)</f>
        <v>0</v>
      </c>
      <c r="I557" s="194">
        <f>IF(_1_54128456121462410464578910174[[#This Row],[Type]]&gt;0,VLOOKUP(_1_54128456121462410464578910174[[#This Row],[Type]],Main[[#All],[TYPE]:[UNIT]],'Unit Price'!G$1,FALSE),0)</f>
        <v>0</v>
      </c>
      <c r="J557" s="194">
        <f>IF(_1_54128456121462410464578910174[[#This Row],[Type]]&gt;0,VLOOKUP(_1_54128456121462410464578910174[[#This Row],[Type]],Main[[#All],[TYPE]:[UNIT]],'Unit Price'!H$1,FALSE),0)</f>
        <v>0</v>
      </c>
      <c r="K557" s="194">
        <f>IF(_1_54128456121462410464578910174[[#This Row],[Discount selection]]&gt;0,VLOOKUP(_1_54128456121462410464578910174[[#This Row],[Discount selection]],'Discount Structure'!$A$2:$B$30,2,"false"),0)</f>
        <v>1</v>
      </c>
      <c r="L557" s="194">
        <f>_1_54128456121462410464578910174[[#This Row],[LIST $]]*_1_54128456121462410464578910174[[#This Row],[DISCOUNT]]*_1_54128456121462410464578910174[[#This Row],[DISCOUNT 2]]</f>
        <v>0</v>
      </c>
      <c r="M557" s="194">
        <f>IF(OR(_1_54128456121462410464578910174[[#This Row],[UNIT]]&gt;0,_1_54128456121462410464578910174[[#This Row],[UNIT]]&lt;0),_1_54128456121462410464578910174[[#This Row],[UNIT]]*_1_54128456121462410464578910174[[#This Row],[COST]],0)</f>
        <v>0</v>
      </c>
      <c r="N557" s="194">
        <f t="shared" si="8"/>
        <v>1.5</v>
      </c>
      <c r="O557" s="198">
        <f>_1_54128456121462410464578910174[[#This Row],[TOTAL]]*_1_54128456121462410464578910174[[#This Row],[MARGIN]]</f>
        <v>0</v>
      </c>
      <c r="R557" s="41"/>
    </row>
    <row r="558" spans="1:18">
      <c r="D558" s="188"/>
      <c r="F558" s="168" t="s">
        <v>6202</v>
      </c>
      <c r="G558" s="193">
        <f>IF(_1_54128456121462410464578910174[[#This Row],[Type]]&gt;0,VLOOKUP(_1_54128456121462410464578910174[[#This Row],[Type]],Main[[#All],[TYPE]:[UNIT]],'Unit Price'!C$1,FALSE),0)</f>
        <v>0</v>
      </c>
      <c r="H558" s="197">
        <f>IF(_1_54128456121462410464578910174[[#This Row],[Type]]&gt;0,VLOOKUP(_1_54128456121462410464578910174[[#This Row],[Type]],Main[[#All],[TYPE]:[UNIT]],'Unit Price'!D$1,FALSE),0)</f>
        <v>0</v>
      </c>
      <c r="I558" s="194">
        <f>IF(_1_54128456121462410464578910174[[#This Row],[Type]]&gt;0,VLOOKUP(_1_54128456121462410464578910174[[#This Row],[Type]],Main[[#All],[TYPE]:[UNIT]],'Unit Price'!G$1,FALSE),0)</f>
        <v>0</v>
      </c>
      <c r="J558" s="194">
        <f>IF(_1_54128456121462410464578910174[[#This Row],[Type]]&gt;0,VLOOKUP(_1_54128456121462410464578910174[[#This Row],[Type]],Main[[#All],[TYPE]:[UNIT]],'Unit Price'!H$1,FALSE),0)</f>
        <v>0</v>
      </c>
      <c r="K558" s="194">
        <f>IF(_1_54128456121462410464578910174[[#This Row],[Discount selection]]&gt;0,VLOOKUP(_1_54128456121462410464578910174[[#This Row],[Discount selection]],'Discount Structure'!$A$2:$B$30,2,"false"),0)</f>
        <v>1</v>
      </c>
      <c r="L558" s="194">
        <f>_1_54128456121462410464578910174[[#This Row],[LIST $]]*_1_54128456121462410464578910174[[#This Row],[DISCOUNT]]*_1_54128456121462410464578910174[[#This Row],[DISCOUNT 2]]</f>
        <v>0</v>
      </c>
      <c r="M558" s="194">
        <f>IF(OR(_1_54128456121462410464578910174[[#This Row],[UNIT]]&gt;0,_1_54128456121462410464578910174[[#This Row],[UNIT]]&lt;0),_1_54128456121462410464578910174[[#This Row],[UNIT]]*_1_54128456121462410464578910174[[#This Row],[COST]],0)</f>
        <v>0</v>
      </c>
      <c r="N558" s="194">
        <f t="shared" si="8"/>
        <v>1.5</v>
      </c>
      <c r="O558" s="198">
        <f>_1_54128456121462410464578910174[[#This Row],[TOTAL]]*_1_54128456121462410464578910174[[#This Row],[MARGIN]]</f>
        <v>0</v>
      </c>
      <c r="R558" s="41"/>
    </row>
    <row r="559" spans="1:18">
      <c r="D559" s="188"/>
      <c r="F559" s="168" t="s">
        <v>6202</v>
      </c>
      <c r="G559" s="193">
        <f>IF(_1_54128456121462410464578910174[[#This Row],[Type]]&gt;0,VLOOKUP(_1_54128456121462410464578910174[[#This Row],[Type]],Main[[#All],[TYPE]:[UNIT]],'Unit Price'!C$1,FALSE),0)</f>
        <v>0</v>
      </c>
      <c r="H559" s="197">
        <f>IF(_1_54128456121462410464578910174[[#This Row],[Type]]&gt;0,VLOOKUP(_1_54128456121462410464578910174[[#This Row],[Type]],Main[[#All],[TYPE]:[UNIT]],'Unit Price'!D$1,FALSE),0)</f>
        <v>0</v>
      </c>
      <c r="I559" s="194">
        <f>IF(_1_54128456121462410464578910174[[#This Row],[Type]]&gt;0,VLOOKUP(_1_54128456121462410464578910174[[#This Row],[Type]],Main[[#All],[TYPE]:[UNIT]],'Unit Price'!G$1,FALSE),0)</f>
        <v>0</v>
      </c>
      <c r="J559" s="194">
        <f>IF(_1_54128456121462410464578910174[[#This Row],[Type]]&gt;0,VLOOKUP(_1_54128456121462410464578910174[[#This Row],[Type]],Main[[#All],[TYPE]:[UNIT]],'Unit Price'!H$1,FALSE),0)</f>
        <v>0</v>
      </c>
      <c r="K559" s="194">
        <f>IF(_1_54128456121462410464578910174[[#This Row],[Discount selection]]&gt;0,VLOOKUP(_1_54128456121462410464578910174[[#This Row],[Discount selection]],'Discount Structure'!$A$2:$B$30,2,"false"),0)</f>
        <v>1</v>
      </c>
      <c r="L559" s="194">
        <f>_1_54128456121462410464578910174[[#This Row],[LIST $]]*_1_54128456121462410464578910174[[#This Row],[DISCOUNT]]*_1_54128456121462410464578910174[[#This Row],[DISCOUNT 2]]</f>
        <v>0</v>
      </c>
      <c r="M559" s="194">
        <f>IF(OR(_1_54128456121462410464578910174[[#This Row],[UNIT]]&gt;0,_1_54128456121462410464578910174[[#This Row],[UNIT]]&lt;0),_1_54128456121462410464578910174[[#This Row],[UNIT]]*_1_54128456121462410464578910174[[#This Row],[COST]],0)</f>
        <v>0</v>
      </c>
      <c r="N559" s="194">
        <f t="shared" si="8"/>
        <v>1.5</v>
      </c>
      <c r="O559" s="198">
        <f>_1_54128456121462410464578910174[[#This Row],[TOTAL]]*_1_54128456121462410464578910174[[#This Row],[MARGIN]]</f>
        <v>0</v>
      </c>
      <c r="R559" s="41"/>
    </row>
    <row r="560" spans="1:18">
      <c r="A560" s="168"/>
      <c r="D560" s="188"/>
      <c r="F560" s="168" t="s">
        <v>6202</v>
      </c>
      <c r="G560" s="193">
        <f>IF(_1_54128456121462410464578910174[[#This Row],[Type]]&gt;0,VLOOKUP(_1_54128456121462410464578910174[[#This Row],[Type]],Main[[#All],[TYPE]:[UNIT]],'Unit Price'!C$1,FALSE),0)</f>
        <v>0</v>
      </c>
      <c r="H560" s="197">
        <f>IF(_1_54128456121462410464578910174[[#This Row],[Type]]&gt;0,VLOOKUP(_1_54128456121462410464578910174[[#This Row],[Type]],Main[[#All],[TYPE]:[UNIT]],'Unit Price'!D$1,FALSE),0)</f>
        <v>0</v>
      </c>
      <c r="I560" s="194">
        <f>IF(_1_54128456121462410464578910174[[#This Row],[Type]]&gt;0,VLOOKUP(_1_54128456121462410464578910174[[#This Row],[Type]],Main[[#All],[TYPE]:[UNIT]],'Unit Price'!G$1,FALSE),0)</f>
        <v>0</v>
      </c>
      <c r="J560" s="194">
        <f>IF(_1_54128456121462410464578910174[[#This Row],[Type]]&gt;0,VLOOKUP(_1_54128456121462410464578910174[[#This Row],[Type]],Main[[#All],[TYPE]:[UNIT]],'Unit Price'!H$1,FALSE),0)</f>
        <v>0</v>
      </c>
      <c r="K560" s="194">
        <f>IF(_1_54128456121462410464578910174[[#This Row],[Discount selection]]&gt;0,VLOOKUP(_1_54128456121462410464578910174[[#This Row],[Discount selection]],'Discount Structure'!$A$2:$B$30,2,"false"),0)</f>
        <v>1</v>
      </c>
      <c r="L560" s="194">
        <f>_1_54128456121462410464578910174[[#This Row],[LIST $]]*_1_54128456121462410464578910174[[#This Row],[DISCOUNT]]*_1_54128456121462410464578910174[[#This Row],[DISCOUNT 2]]</f>
        <v>0</v>
      </c>
      <c r="M560" s="194">
        <f>IF(OR(_1_54128456121462410464578910174[[#This Row],[UNIT]]&gt;0,_1_54128456121462410464578910174[[#This Row],[UNIT]]&lt;0),_1_54128456121462410464578910174[[#This Row],[UNIT]]*_1_54128456121462410464578910174[[#This Row],[COST]],0)</f>
        <v>0</v>
      </c>
      <c r="N560" s="194">
        <f t="shared" si="8"/>
        <v>1.5</v>
      </c>
      <c r="O560" s="198">
        <f>_1_54128456121462410464578910174[[#This Row],[TOTAL]]*_1_54128456121462410464578910174[[#This Row],[MARGIN]]</f>
        <v>0</v>
      </c>
      <c r="R560" s="41"/>
    </row>
    <row r="561" spans="1:18">
      <c r="D561" s="188"/>
      <c r="F561" s="168" t="s">
        <v>6202</v>
      </c>
      <c r="G561" s="193">
        <f>IF(_1_54128456121462410464578910174[[#This Row],[Type]]&gt;0,VLOOKUP(_1_54128456121462410464578910174[[#This Row],[Type]],Main[[#All],[TYPE]:[UNIT]],'Unit Price'!C$1,FALSE),0)</f>
        <v>0</v>
      </c>
      <c r="H561" s="197">
        <f>IF(_1_54128456121462410464578910174[[#This Row],[Type]]&gt;0,VLOOKUP(_1_54128456121462410464578910174[[#This Row],[Type]],Main[[#All],[TYPE]:[UNIT]],'Unit Price'!D$1,FALSE),0)</f>
        <v>0</v>
      </c>
      <c r="I561" s="194">
        <f>IF(_1_54128456121462410464578910174[[#This Row],[Type]]&gt;0,VLOOKUP(_1_54128456121462410464578910174[[#This Row],[Type]],Main[[#All],[TYPE]:[UNIT]],'Unit Price'!G$1,FALSE),0)</f>
        <v>0</v>
      </c>
      <c r="J561" s="194">
        <f>IF(_1_54128456121462410464578910174[[#This Row],[Type]]&gt;0,VLOOKUP(_1_54128456121462410464578910174[[#This Row],[Type]],Main[[#All],[TYPE]:[UNIT]],'Unit Price'!H$1,FALSE),0)</f>
        <v>0</v>
      </c>
      <c r="K561" s="194">
        <f>IF(_1_54128456121462410464578910174[[#This Row],[Discount selection]]&gt;0,VLOOKUP(_1_54128456121462410464578910174[[#This Row],[Discount selection]],'Discount Structure'!$A$2:$B$30,2,"false"),0)</f>
        <v>1</v>
      </c>
      <c r="L561" s="194">
        <f>_1_54128456121462410464578910174[[#This Row],[LIST $]]*_1_54128456121462410464578910174[[#This Row],[DISCOUNT]]*_1_54128456121462410464578910174[[#This Row],[DISCOUNT 2]]</f>
        <v>0</v>
      </c>
      <c r="M561" s="194">
        <f>IF(OR(_1_54128456121462410464578910174[[#This Row],[UNIT]]&gt;0,_1_54128456121462410464578910174[[#This Row],[UNIT]]&lt;0),_1_54128456121462410464578910174[[#This Row],[UNIT]]*_1_54128456121462410464578910174[[#This Row],[COST]],0)</f>
        <v>0</v>
      </c>
      <c r="N561" s="194">
        <f t="shared" si="8"/>
        <v>1.5</v>
      </c>
      <c r="O561" s="198">
        <f>_1_54128456121462410464578910174[[#This Row],[TOTAL]]*_1_54128456121462410464578910174[[#This Row],[MARGIN]]</f>
        <v>0</v>
      </c>
      <c r="R561" s="41"/>
    </row>
    <row r="562" spans="1:18">
      <c r="D562" s="188"/>
      <c r="F562" s="168" t="s">
        <v>6202</v>
      </c>
      <c r="G562" s="193">
        <f>IF(_1_54128456121462410464578910174[[#This Row],[Type]]&gt;0,VLOOKUP(_1_54128456121462410464578910174[[#This Row],[Type]],Main[[#All],[TYPE]:[UNIT]],'Unit Price'!C$1,FALSE),0)</f>
        <v>0</v>
      </c>
      <c r="H562" s="197">
        <f>IF(_1_54128456121462410464578910174[[#This Row],[Type]]&gt;0,VLOOKUP(_1_54128456121462410464578910174[[#This Row],[Type]],Main[[#All],[TYPE]:[UNIT]],'Unit Price'!D$1,FALSE),0)</f>
        <v>0</v>
      </c>
      <c r="I562" s="194">
        <f>IF(_1_54128456121462410464578910174[[#This Row],[Type]]&gt;0,VLOOKUP(_1_54128456121462410464578910174[[#This Row],[Type]],Main[[#All],[TYPE]:[UNIT]],'Unit Price'!G$1,FALSE),0)</f>
        <v>0</v>
      </c>
      <c r="J562" s="194">
        <f>IF(_1_54128456121462410464578910174[[#This Row],[Type]]&gt;0,VLOOKUP(_1_54128456121462410464578910174[[#This Row],[Type]],Main[[#All],[TYPE]:[UNIT]],'Unit Price'!H$1,FALSE),0)</f>
        <v>0</v>
      </c>
      <c r="K562" s="194">
        <f>IF(_1_54128456121462410464578910174[[#This Row],[Discount selection]]&gt;0,VLOOKUP(_1_54128456121462410464578910174[[#This Row],[Discount selection]],'Discount Structure'!$A$2:$B$30,2,"false"),0)</f>
        <v>1</v>
      </c>
      <c r="L562" s="194">
        <f>_1_54128456121462410464578910174[[#This Row],[LIST $]]*_1_54128456121462410464578910174[[#This Row],[DISCOUNT]]*_1_54128456121462410464578910174[[#This Row],[DISCOUNT 2]]</f>
        <v>0</v>
      </c>
      <c r="M562" s="194">
        <f>IF(OR(_1_54128456121462410464578910174[[#This Row],[UNIT]]&gt;0,_1_54128456121462410464578910174[[#This Row],[UNIT]]&lt;0),_1_54128456121462410464578910174[[#This Row],[UNIT]]*_1_54128456121462410464578910174[[#This Row],[COST]],0)</f>
        <v>0</v>
      </c>
      <c r="N562" s="194">
        <f t="shared" si="8"/>
        <v>1.5</v>
      </c>
      <c r="O562" s="198">
        <f>_1_54128456121462410464578910174[[#This Row],[TOTAL]]*_1_54128456121462410464578910174[[#This Row],[MARGIN]]</f>
        <v>0</v>
      </c>
      <c r="R562" s="41"/>
    </row>
    <row r="563" spans="1:18">
      <c r="A563" s="168"/>
      <c r="D563" s="188"/>
      <c r="F563" s="168" t="s">
        <v>6202</v>
      </c>
      <c r="G563" s="193">
        <f>IF(_1_54128456121462410464578910174[[#This Row],[Type]]&gt;0,VLOOKUP(_1_54128456121462410464578910174[[#This Row],[Type]],Main[[#All],[TYPE]:[UNIT]],'Unit Price'!C$1,FALSE),0)</f>
        <v>0</v>
      </c>
      <c r="H563" s="197">
        <f>IF(_1_54128456121462410464578910174[[#This Row],[Type]]&gt;0,VLOOKUP(_1_54128456121462410464578910174[[#This Row],[Type]],Main[[#All],[TYPE]:[UNIT]],'Unit Price'!D$1,FALSE),0)</f>
        <v>0</v>
      </c>
      <c r="I563" s="194">
        <f>IF(_1_54128456121462410464578910174[[#This Row],[Type]]&gt;0,VLOOKUP(_1_54128456121462410464578910174[[#This Row],[Type]],Main[[#All],[TYPE]:[UNIT]],'Unit Price'!G$1,FALSE),0)</f>
        <v>0</v>
      </c>
      <c r="J563" s="194">
        <f>IF(_1_54128456121462410464578910174[[#This Row],[Type]]&gt;0,VLOOKUP(_1_54128456121462410464578910174[[#This Row],[Type]],Main[[#All],[TYPE]:[UNIT]],'Unit Price'!H$1,FALSE),0)</f>
        <v>0</v>
      </c>
      <c r="K563" s="194">
        <f>IF(_1_54128456121462410464578910174[[#This Row],[Discount selection]]&gt;0,VLOOKUP(_1_54128456121462410464578910174[[#This Row],[Discount selection]],'Discount Structure'!$A$2:$B$30,2,"false"),0)</f>
        <v>1</v>
      </c>
      <c r="L563" s="194">
        <f>_1_54128456121462410464578910174[[#This Row],[LIST $]]*_1_54128456121462410464578910174[[#This Row],[DISCOUNT]]*_1_54128456121462410464578910174[[#This Row],[DISCOUNT 2]]</f>
        <v>0</v>
      </c>
      <c r="M563" s="194">
        <f>IF(OR(_1_54128456121462410464578910174[[#This Row],[UNIT]]&gt;0,_1_54128456121462410464578910174[[#This Row],[UNIT]]&lt;0),_1_54128456121462410464578910174[[#This Row],[UNIT]]*_1_54128456121462410464578910174[[#This Row],[COST]],0)</f>
        <v>0</v>
      </c>
      <c r="N563" s="194">
        <f t="shared" si="8"/>
        <v>1.5</v>
      </c>
      <c r="O563" s="198">
        <f>_1_54128456121462410464578910174[[#This Row],[TOTAL]]*_1_54128456121462410464578910174[[#This Row],[MARGIN]]</f>
        <v>0</v>
      </c>
      <c r="R563" s="41"/>
    </row>
    <row r="564" spans="1:18">
      <c r="D564" s="188"/>
      <c r="F564" s="168" t="s">
        <v>6202</v>
      </c>
      <c r="G564" s="193">
        <f>IF(_1_54128456121462410464578910174[[#This Row],[Type]]&gt;0,VLOOKUP(_1_54128456121462410464578910174[[#This Row],[Type]],Main[[#All],[TYPE]:[UNIT]],'Unit Price'!C$1,FALSE),0)</f>
        <v>0</v>
      </c>
      <c r="H564" s="197">
        <f>IF(_1_54128456121462410464578910174[[#This Row],[Type]]&gt;0,VLOOKUP(_1_54128456121462410464578910174[[#This Row],[Type]],Main[[#All],[TYPE]:[UNIT]],'Unit Price'!D$1,FALSE),0)</f>
        <v>0</v>
      </c>
      <c r="I564" s="194">
        <f>IF(_1_54128456121462410464578910174[[#This Row],[Type]]&gt;0,VLOOKUP(_1_54128456121462410464578910174[[#This Row],[Type]],Main[[#All],[TYPE]:[UNIT]],'Unit Price'!G$1,FALSE),0)</f>
        <v>0</v>
      </c>
      <c r="J564" s="194">
        <f>IF(_1_54128456121462410464578910174[[#This Row],[Type]]&gt;0,VLOOKUP(_1_54128456121462410464578910174[[#This Row],[Type]],Main[[#All],[TYPE]:[UNIT]],'Unit Price'!H$1,FALSE),0)</f>
        <v>0</v>
      </c>
      <c r="K564" s="194">
        <f>IF(_1_54128456121462410464578910174[[#This Row],[Discount selection]]&gt;0,VLOOKUP(_1_54128456121462410464578910174[[#This Row],[Discount selection]],'Discount Structure'!$A$2:$B$30,2,"false"),0)</f>
        <v>1</v>
      </c>
      <c r="L564" s="194">
        <f>_1_54128456121462410464578910174[[#This Row],[LIST $]]*_1_54128456121462410464578910174[[#This Row],[DISCOUNT]]*_1_54128456121462410464578910174[[#This Row],[DISCOUNT 2]]</f>
        <v>0</v>
      </c>
      <c r="M564" s="194">
        <f>IF(OR(_1_54128456121462410464578910174[[#This Row],[UNIT]]&gt;0,_1_54128456121462410464578910174[[#This Row],[UNIT]]&lt;0),_1_54128456121462410464578910174[[#This Row],[UNIT]]*_1_54128456121462410464578910174[[#This Row],[COST]],0)</f>
        <v>0</v>
      </c>
      <c r="N564" s="194">
        <f t="shared" si="8"/>
        <v>1.5</v>
      </c>
      <c r="O564" s="198">
        <f>_1_54128456121462410464578910174[[#This Row],[TOTAL]]*_1_54128456121462410464578910174[[#This Row],[MARGIN]]</f>
        <v>0</v>
      </c>
      <c r="R564" s="41"/>
    </row>
    <row r="565" spans="1:18">
      <c r="D565" s="188"/>
      <c r="F565" s="168" t="s">
        <v>6202</v>
      </c>
      <c r="G565" s="193">
        <f>IF(_1_54128456121462410464578910174[[#This Row],[Type]]&gt;0,VLOOKUP(_1_54128456121462410464578910174[[#This Row],[Type]],Main[[#All],[TYPE]:[UNIT]],'Unit Price'!C$1,FALSE),0)</f>
        <v>0</v>
      </c>
      <c r="H565" s="197">
        <f>IF(_1_54128456121462410464578910174[[#This Row],[Type]]&gt;0,VLOOKUP(_1_54128456121462410464578910174[[#This Row],[Type]],Main[[#All],[TYPE]:[UNIT]],'Unit Price'!D$1,FALSE),0)</f>
        <v>0</v>
      </c>
      <c r="I565" s="194">
        <f>IF(_1_54128456121462410464578910174[[#This Row],[Type]]&gt;0,VLOOKUP(_1_54128456121462410464578910174[[#This Row],[Type]],Main[[#All],[TYPE]:[UNIT]],'Unit Price'!G$1,FALSE),0)</f>
        <v>0</v>
      </c>
      <c r="J565" s="194">
        <f>IF(_1_54128456121462410464578910174[[#This Row],[Type]]&gt;0,VLOOKUP(_1_54128456121462410464578910174[[#This Row],[Type]],Main[[#All],[TYPE]:[UNIT]],'Unit Price'!H$1,FALSE),0)</f>
        <v>0</v>
      </c>
      <c r="K565" s="194">
        <f>IF(_1_54128456121462410464578910174[[#This Row],[Discount selection]]&gt;0,VLOOKUP(_1_54128456121462410464578910174[[#This Row],[Discount selection]],'Discount Structure'!$A$2:$B$30,2,"false"),0)</f>
        <v>1</v>
      </c>
      <c r="L565" s="194">
        <f>_1_54128456121462410464578910174[[#This Row],[LIST $]]*_1_54128456121462410464578910174[[#This Row],[DISCOUNT]]*_1_54128456121462410464578910174[[#This Row],[DISCOUNT 2]]</f>
        <v>0</v>
      </c>
      <c r="M565" s="194">
        <f>IF(OR(_1_54128456121462410464578910174[[#This Row],[UNIT]]&gt;0,_1_54128456121462410464578910174[[#This Row],[UNIT]]&lt;0),_1_54128456121462410464578910174[[#This Row],[UNIT]]*_1_54128456121462410464578910174[[#This Row],[COST]],0)</f>
        <v>0</v>
      </c>
      <c r="N565" s="194">
        <f t="shared" si="8"/>
        <v>1.5</v>
      </c>
      <c r="O565" s="198">
        <f>_1_54128456121462410464578910174[[#This Row],[TOTAL]]*_1_54128456121462410464578910174[[#This Row],[MARGIN]]</f>
        <v>0</v>
      </c>
      <c r="R565" s="41"/>
    </row>
    <row r="566" spans="1:18">
      <c r="A566" s="168"/>
      <c r="D566" s="188"/>
      <c r="F566" s="168" t="s">
        <v>6202</v>
      </c>
      <c r="G566" s="193">
        <f>IF(_1_54128456121462410464578910174[[#This Row],[Type]]&gt;0,VLOOKUP(_1_54128456121462410464578910174[[#This Row],[Type]],Main[[#All],[TYPE]:[UNIT]],'Unit Price'!C$1,FALSE),0)</f>
        <v>0</v>
      </c>
      <c r="H566" s="197">
        <f>IF(_1_54128456121462410464578910174[[#This Row],[Type]]&gt;0,VLOOKUP(_1_54128456121462410464578910174[[#This Row],[Type]],Main[[#All],[TYPE]:[UNIT]],'Unit Price'!D$1,FALSE),0)</f>
        <v>0</v>
      </c>
      <c r="I566" s="194">
        <f>IF(_1_54128456121462410464578910174[[#This Row],[Type]]&gt;0,VLOOKUP(_1_54128456121462410464578910174[[#This Row],[Type]],Main[[#All],[TYPE]:[UNIT]],'Unit Price'!G$1,FALSE),0)</f>
        <v>0</v>
      </c>
      <c r="J566" s="194">
        <f>IF(_1_54128456121462410464578910174[[#This Row],[Type]]&gt;0,VLOOKUP(_1_54128456121462410464578910174[[#This Row],[Type]],Main[[#All],[TYPE]:[UNIT]],'Unit Price'!H$1,FALSE),0)</f>
        <v>0</v>
      </c>
      <c r="K566" s="194">
        <f>IF(_1_54128456121462410464578910174[[#This Row],[Discount selection]]&gt;0,VLOOKUP(_1_54128456121462410464578910174[[#This Row],[Discount selection]],'Discount Structure'!$A$2:$B$30,2,"false"),0)</f>
        <v>1</v>
      </c>
      <c r="L566" s="194">
        <f>_1_54128456121462410464578910174[[#This Row],[LIST $]]*_1_54128456121462410464578910174[[#This Row],[DISCOUNT]]*_1_54128456121462410464578910174[[#This Row],[DISCOUNT 2]]</f>
        <v>0</v>
      </c>
      <c r="M566" s="194">
        <f>IF(OR(_1_54128456121462410464578910174[[#This Row],[UNIT]]&gt;0,_1_54128456121462410464578910174[[#This Row],[UNIT]]&lt;0),_1_54128456121462410464578910174[[#This Row],[UNIT]]*_1_54128456121462410464578910174[[#This Row],[COST]],0)</f>
        <v>0</v>
      </c>
      <c r="N566" s="194">
        <f t="shared" si="8"/>
        <v>1.5</v>
      </c>
      <c r="O566" s="198">
        <f>_1_54128456121462410464578910174[[#This Row],[TOTAL]]*_1_54128456121462410464578910174[[#This Row],[MARGIN]]</f>
        <v>0</v>
      </c>
      <c r="R566" s="41"/>
    </row>
    <row r="567" spans="1:18">
      <c r="D567" s="188"/>
      <c r="F567" s="168" t="s">
        <v>6202</v>
      </c>
      <c r="G567" s="193">
        <f>IF(_1_54128456121462410464578910174[[#This Row],[Type]]&gt;0,VLOOKUP(_1_54128456121462410464578910174[[#This Row],[Type]],Main[[#All],[TYPE]:[UNIT]],'Unit Price'!C$1,FALSE),0)</f>
        <v>0</v>
      </c>
      <c r="H567" s="197">
        <f>IF(_1_54128456121462410464578910174[[#This Row],[Type]]&gt;0,VLOOKUP(_1_54128456121462410464578910174[[#This Row],[Type]],Main[[#All],[TYPE]:[UNIT]],'Unit Price'!D$1,FALSE),0)</f>
        <v>0</v>
      </c>
      <c r="I567" s="194">
        <f>IF(_1_54128456121462410464578910174[[#This Row],[Type]]&gt;0,VLOOKUP(_1_54128456121462410464578910174[[#This Row],[Type]],Main[[#All],[TYPE]:[UNIT]],'Unit Price'!G$1,FALSE),0)</f>
        <v>0</v>
      </c>
      <c r="J567" s="194">
        <f>IF(_1_54128456121462410464578910174[[#This Row],[Type]]&gt;0,VLOOKUP(_1_54128456121462410464578910174[[#This Row],[Type]],Main[[#All],[TYPE]:[UNIT]],'Unit Price'!H$1,FALSE),0)</f>
        <v>0</v>
      </c>
      <c r="K567" s="194">
        <f>IF(_1_54128456121462410464578910174[[#This Row],[Discount selection]]&gt;0,VLOOKUP(_1_54128456121462410464578910174[[#This Row],[Discount selection]],'Discount Structure'!$A$2:$B$30,2,"false"),0)</f>
        <v>1</v>
      </c>
      <c r="L567" s="194">
        <f>_1_54128456121462410464578910174[[#This Row],[LIST $]]*_1_54128456121462410464578910174[[#This Row],[DISCOUNT]]*_1_54128456121462410464578910174[[#This Row],[DISCOUNT 2]]</f>
        <v>0</v>
      </c>
      <c r="M567" s="194">
        <f>IF(OR(_1_54128456121462410464578910174[[#This Row],[UNIT]]&gt;0,_1_54128456121462410464578910174[[#This Row],[UNIT]]&lt;0),_1_54128456121462410464578910174[[#This Row],[UNIT]]*_1_54128456121462410464578910174[[#This Row],[COST]],0)</f>
        <v>0</v>
      </c>
      <c r="N567" s="194">
        <f t="shared" si="8"/>
        <v>1.5</v>
      </c>
      <c r="O567" s="198">
        <f>_1_54128456121462410464578910174[[#This Row],[TOTAL]]*_1_54128456121462410464578910174[[#This Row],[MARGIN]]</f>
        <v>0</v>
      </c>
      <c r="R567" s="41"/>
    </row>
    <row r="568" spans="1:18">
      <c r="D568" s="188"/>
      <c r="F568" s="168" t="s">
        <v>6202</v>
      </c>
      <c r="G568" s="193">
        <f>IF(_1_54128456121462410464578910174[[#This Row],[Type]]&gt;0,VLOOKUP(_1_54128456121462410464578910174[[#This Row],[Type]],Main[[#All],[TYPE]:[UNIT]],'Unit Price'!C$1,FALSE),0)</f>
        <v>0</v>
      </c>
      <c r="H568" s="197">
        <f>IF(_1_54128456121462410464578910174[[#This Row],[Type]]&gt;0,VLOOKUP(_1_54128456121462410464578910174[[#This Row],[Type]],Main[[#All],[TYPE]:[UNIT]],'Unit Price'!D$1,FALSE),0)</f>
        <v>0</v>
      </c>
      <c r="I568" s="194">
        <f>IF(_1_54128456121462410464578910174[[#This Row],[Type]]&gt;0,VLOOKUP(_1_54128456121462410464578910174[[#This Row],[Type]],Main[[#All],[TYPE]:[UNIT]],'Unit Price'!G$1,FALSE),0)</f>
        <v>0</v>
      </c>
      <c r="J568" s="194">
        <f>IF(_1_54128456121462410464578910174[[#This Row],[Type]]&gt;0,VLOOKUP(_1_54128456121462410464578910174[[#This Row],[Type]],Main[[#All],[TYPE]:[UNIT]],'Unit Price'!H$1,FALSE),0)</f>
        <v>0</v>
      </c>
      <c r="K568" s="194">
        <f>IF(_1_54128456121462410464578910174[[#This Row],[Discount selection]]&gt;0,VLOOKUP(_1_54128456121462410464578910174[[#This Row],[Discount selection]],'Discount Structure'!$A$2:$B$30,2,"false"),0)</f>
        <v>1</v>
      </c>
      <c r="L568" s="194">
        <f>_1_54128456121462410464578910174[[#This Row],[LIST $]]*_1_54128456121462410464578910174[[#This Row],[DISCOUNT]]*_1_54128456121462410464578910174[[#This Row],[DISCOUNT 2]]</f>
        <v>0</v>
      </c>
      <c r="M568" s="194">
        <f>IF(OR(_1_54128456121462410464578910174[[#This Row],[UNIT]]&gt;0,_1_54128456121462410464578910174[[#This Row],[UNIT]]&lt;0),_1_54128456121462410464578910174[[#This Row],[UNIT]]*_1_54128456121462410464578910174[[#This Row],[COST]],0)</f>
        <v>0</v>
      </c>
      <c r="N568" s="194">
        <f t="shared" si="8"/>
        <v>1.5</v>
      </c>
      <c r="O568" s="198">
        <f>_1_54128456121462410464578910174[[#This Row],[TOTAL]]*_1_54128456121462410464578910174[[#This Row],[MARGIN]]</f>
        <v>0</v>
      </c>
      <c r="R568" s="41"/>
    </row>
    <row r="569" spans="1:18">
      <c r="D569" s="188"/>
      <c r="F569" s="168" t="s">
        <v>6202</v>
      </c>
      <c r="G569" s="193">
        <f>IF(_1_54128456121462410464578910174[[#This Row],[Type]]&gt;0,VLOOKUP(_1_54128456121462410464578910174[[#This Row],[Type]],Main[[#All],[TYPE]:[UNIT]],'Unit Price'!C$1,FALSE),0)</f>
        <v>0</v>
      </c>
      <c r="H569" s="197">
        <f>IF(_1_54128456121462410464578910174[[#This Row],[Type]]&gt;0,VLOOKUP(_1_54128456121462410464578910174[[#This Row],[Type]],Main[[#All],[TYPE]:[UNIT]],'Unit Price'!D$1,FALSE),0)</f>
        <v>0</v>
      </c>
      <c r="I569" s="194">
        <f>IF(_1_54128456121462410464578910174[[#This Row],[Type]]&gt;0,VLOOKUP(_1_54128456121462410464578910174[[#This Row],[Type]],Main[[#All],[TYPE]:[UNIT]],'Unit Price'!G$1,FALSE),0)</f>
        <v>0</v>
      </c>
      <c r="J569" s="194">
        <f>IF(_1_54128456121462410464578910174[[#This Row],[Type]]&gt;0,VLOOKUP(_1_54128456121462410464578910174[[#This Row],[Type]],Main[[#All],[TYPE]:[UNIT]],'Unit Price'!H$1,FALSE),0)</f>
        <v>0</v>
      </c>
      <c r="K569" s="194">
        <f>IF(_1_54128456121462410464578910174[[#This Row],[Discount selection]]&gt;0,VLOOKUP(_1_54128456121462410464578910174[[#This Row],[Discount selection]],'Discount Structure'!$A$2:$B$30,2,"false"),0)</f>
        <v>1</v>
      </c>
      <c r="L569" s="194">
        <f>_1_54128456121462410464578910174[[#This Row],[LIST $]]*_1_54128456121462410464578910174[[#This Row],[DISCOUNT]]*_1_54128456121462410464578910174[[#This Row],[DISCOUNT 2]]</f>
        <v>0</v>
      </c>
      <c r="M569" s="194">
        <f>IF(OR(_1_54128456121462410464578910174[[#This Row],[UNIT]]&gt;0,_1_54128456121462410464578910174[[#This Row],[UNIT]]&lt;0),_1_54128456121462410464578910174[[#This Row],[UNIT]]*_1_54128456121462410464578910174[[#This Row],[COST]],0)</f>
        <v>0</v>
      </c>
      <c r="N569" s="194">
        <f t="shared" si="8"/>
        <v>1.5</v>
      </c>
      <c r="O569" s="198">
        <f>_1_54128456121462410464578910174[[#This Row],[TOTAL]]*_1_54128456121462410464578910174[[#This Row],[MARGIN]]</f>
        <v>0</v>
      </c>
      <c r="R569" s="41"/>
    </row>
    <row r="570" spans="1:18">
      <c r="D570" s="188"/>
      <c r="F570" s="168" t="s">
        <v>6202</v>
      </c>
      <c r="G570" s="193">
        <f>IF(_1_54128456121462410464578910174[[#This Row],[Type]]&gt;0,VLOOKUP(_1_54128456121462410464578910174[[#This Row],[Type]],Main[[#All],[TYPE]:[UNIT]],'Unit Price'!C$1,FALSE),0)</f>
        <v>0</v>
      </c>
      <c r="H570" s="197">
        <f>IF(_1_54128456121462410464578910174[[#This Row],[Type]]&gt;0,VLOOKUP(_1_54128456121462410464578910174[[#This Row],[Type]],Main[[#All],[TYPE]:[UNIT]],'Unit Price'!D$1,FALSE),0)</f>
        <v>0</v>
      </c>
      <c r="I570" s="194">
        <f>IF(_1_54128456121462410464578910174[[#This Row],[Type]]&gt;0,VLOOKUP(_1_54128456121462410464578910174[[#This Row],[Type]],Main[[#All],[TYPE]:[UNIT]],'Unit Price'!G$1,FALSE),0)</f>
        <v>0</v>
      </c>
      <c r="J570" s="194">
        <f>IF(_1_54128456121462410464578910174[[#This Row],[Type]]&gt;0,VLOOKUP(_1_54128456121462410464578910174[[#This Row],[Type]],Main[[#All],[TYPE]:[UNIT]],'Unit Price'!H$1,FALSE),0)</f>
        <v>0</v>
      </c>
      <c r="K570" s="194">
        <f>IF(_1_54128456121462410464578910174[[#This Row],[Discount selection]]&gt;0,VLOOKUP(_1_54128456121462410464578910174[[#This Row],[Discount selection]],'Discount Structure'!$A$2:$B$30,2,"false"),0)</f>
        <v>1</v>
      </c>
      <c r="L570" s="194">
        <f>_1_54128456121462410464578910174[[#This Row],[LIST $]]*_1_54128456121462410464578910174[[#This Row],[DISCOUNT]]*_1_54128456121462410464578910174[[#This Row],[DISCOUNT 2]]</f>
        <v>0</v>
      </c>
      <c r="M570" s="194">
        <f>IF(OR(_1_54128456121462410464578910174[[#This Row],[UNIT]]&gt;0,_1_54128456121462410464578910174[[#This Row],[UNIT]]&lt;0),_1_54128456121462410464578910174[[#This Row],[UNIT]]*_1_54128456121462410464578910174[[#This Row],[COST]],0)</f>
        <v>0</v>
      </c>
      <c r="N570" s="194">
        <f t="shared" si="8"/>
        <v>1.5</v>
      </c>
      <c r="O570" s="198">
        <f>_1_54128456121462410464578910174[[#This Row],[TOTAL]]*_1_54128456121462410464578910174[[#This Row],[MARGIN]]</f>
        <v>0</v>
      </c>
      <c r="R570" s="41"/>
    </row>
    <row r="571" spans="1:18">
      <c r="D571" s="188"/>
      <c r="F571" s="168" t="s">
        <v>6202</v>
      </c>
      <c r="G571" s="193">
        <f>IF(_1_54128456121462410464578910174[[#This Row],[Type]]&gt;0,VLOOKUP(_1_54128456121462410464578910174[[#This Row],[Type]],Main[[#All],[TYPE]:[UNIT]],'Unit Price'!C$1,FALSE),0)</f>
        <v>0</v>
      </c>
      <c r="H571" s="197">
        <f>IF(_1_54128456121462410464578910174[[#This Row],[Type]]&gt;0,VLOOKUP(_1_54128456121462410464578910174[[#This Row],[Type]],Main[[#All],[TYPE]:[UNIT]],'Unit Price'!D$1,FALSE),0)</f>
        <v>0</v>
      </c>
      <c r="I571" s="194">
        <f>IF(_1_54128456121462410464578910174[[#This Row],[Type]]&gt;0,VLOOKUP(_1_54128456121462410464578910174[[#This Row],[Type]],Main[[#All],[TYPE]:[UNIT]],'Unit Price'!G$1,FALSE),0)</f>
        <v>0</v>
      </c>
      <c r="J571" s="194">
        <f>IF(_1_54128456121462410464578910174[[#This Row],[Type]]&gt;0,VLOOKUP(_1_54128456121462410464578910174[[#This Row],[Type]],Main[[#All],[TYPE]:[UNIT]],'Unit Price'!H$1,FALSE),0)</f>
        <v>0</v>
      </c>
      <c r="K571" s="194">
        <f>IF(_1_54128456121462410464578910174[[#This Row],[Discount selection]]&gt;0,VLOOKUP(_1_54128456121462410464578910174[[#This Row],[Discount selection]],'Discount Structure'!$A$2:$B$30,2,"false"),0)</f>
        <v>1</v>
      </c>
      <c r="L571" s="194">
        <f>_1_54128456121462410464578910174[[#This Row],[LIST $]]*_1_54128456121462410464578910174[[#This Row],[DISCOUNT]]*_1_54128456121462410464578910174[[#This Row],[DISCOUNT 2]]</f>
        <v>0</v>
      </c>
      <c r="M571" s="194">
        <f>IF(OR(_1_54128456121462410464578910174[[#This Row],[UNIT]]&gt;0,_1_54128456121462410464578910174[[#This Row],[UNIT]]&lt;0),_1_54128456121462410464578910174[[#This Row],[UNIT]]*_1_54128456121462410464578910174[[#This Row],[COST]],0)</f>
        <v>0</v>
      </c>
      <c r="N571" s="194">
        <f t="shared" si="8"/>
        <v>1.5</v>
      </c>
      <c r="O571" s="198">
        <f>_1_54128456121462410464578910174[[#This Row],[TOTAL]]*_1_54128456121462410464578910174[[#This Row],[MARGIN]]</f>
        <v>0</v>
      </c>
      <c r="R571" s="41"/>
    </row>
    <row r="572" spans="1:18">
      <c r="D572" s="188"/>
      <c r="F572" s="168" t="s">
        <v>6202</v>
      </c>
      <c r="G572" s="193">
        <f>IF(_1_54128456121462410464578910174[[#This Row],[Type]]&gt;0,VLOOKUP(_1_54128456121462410464578910174[[#This Row],[Type]],Main[[#All],[TYPE]:[UNIT]],'Unit Price'!C$1,FALSE),0)</f>
        <v>0</v>
      </c>
      <c r="H572" s="197">
        <f>IF(_1_54128456121462410464578910174[[#This Row],[Type]]&gt;0,VLOOKUP(_1_54128456121462410464578910174[[#This Row],[Type]],Main[[#All],[TYPE]:[UNIT]],'Unit Price'!D$1,FALSE),0)</f>
        <v>0</v>
      </c>
      <c r="I572" s="194">
        <f>IF(_1_54128456121462410464578910174[[#This Row],[Type]]&gt;0,VLOOKUP(_1_54128456121462410464578910174[[#This Row],[Type]],Main[[#All],[TYPE]:[UNIT]],'Unit Price'!G$1,FALSE),0)</f>
        <v>0</v>
      </c>
      <c r="J572" s="194">
        <f>IF(_1_54128456121462410464578910174[[#This Row],[Type]]&gt;0,VLOOKUP(_1_54128456121462410464578910174[[#This Row],[Type]],Main[[#All],[TYPE]:[UNIT]],'Unit Price'!H$1,FALSE),0)</f>
        <v>0</v>
      </c>
      <c r="K572" s="194">
        <f>IF(_1_54128456121462410464578910174[[#This Row],[Discount selection]]&gt;0,VLOOKUP(_1_54128456121462410464578910174[[#This Row],[Discount selection]],'Discount Structure'!$A$2:$B$30,2,"false"),0)</f>
        <v>1</v>
      </c>
      <c r="L572" s="194">
        <f>_1_54128456121462410464578910174[[#This Row],[LIST $]]*_1_54128456121462410464578910174[[#This Row],[DISCOUNT]]*_1_54128456121462410464578910174[[#This Row],[DISCOUNT 2]]</f>
        <v>0</v>
      </c>
      <c r="M572" s="194">
        <f>IF(OR(_1_54128456121462410464578910174[[#This Row],[UNIT]]&gt;0,_1_54128456121462410464578910174[[#This Row],[UNIT]]&lt;0),_1_54128456121462410464578910174[[#This Row],[UNIT]]*_1_54128456121462410464578910174[[#This Row],[COST]],0)</f>
        <v>0</v>
      </c>
      <c r="N572" s="194">
        <f t="shared" si="8"/>
        <v>1.5</v>
      </c>
      <c r="O572" s="198">
        <f>_1_54128456121462410464578910174[[#This Row],[TOTAL]]*_1_54128456121462410464578910174[[#This Row],[MARGIN]]</f>
        <v>0</v>
      </c>
      <c r="R572" s="41"/>
    </row>
    <row r="573" spans="1:18">
      <c r="D573" s="188"/>
      <c r="F573" s="168" t="s">
        <v>6202</v>
      </c>
      <c r="G573" s="193">
        <f>IF(_1_54128456121462410464578910174[[#This Row],[Type]]&gt;0,VLOOKUP(_1_54128456121462410464578910174[[#This Row],[Type]],Main[[#All],[TYPE]:[UNIT]],'Unit Price'!C$1,FALSE),0)</f>
        <v>0</v>
      </c>
      <c r="H573" s="197">
        <f>IF(_1_54128456121462410464578910174[[#This Row],[Type]]&gt;0,VLOOKUP(_1_54128456121462410464578910174[[#This Row],[Type]],Main[[#All],[TYPE]:[UNIT]],'Unit Price'!D$1,FALSE),0)</f>
        <v>0</v>
      </c>
      <c r="I573" s="194">
        <f>IF(_1_54128456121462410464578910174[[#This Row],[Type]]&gt;0,VLOOKUP(_1_54128456121462410464578910174[[#This Row],[Type]],Main[[#All],[TYPE]:[UNIT]],'Unit Price'!G$1,FALSE),0)</f>
        <v>0</v>
      </c>
      <c r="J573" s="194">
        <f>IF(_1_54128456121462410464578910174[[#This Row],[Type]]&gt;0,VLOOKUP(_1_54128456121462410464578910174[[#This Row],[Type]],Main[[#All],[TYPE]:[UNIT]],'Unit Price'!H$1,FALSE),0)</f>
        <v>0</v>
      </c>
      <c r="K573" s="194">
        <f>IF(_1_54128456121462410464578910174[[#This Row],[Discount selection]]&gt;0,VLOOKUP(_1_54128456121462410464578910174[[#This Row],[Discount selection]],'Discount Structure'!$A$2:$B$30,2,"false"),0)</f>
        <v>1</v>
      </c>
      <c r="L573" s="194">
        <f>_1_54128456121462410464578910174[[#This Row],[LIST $]]*_1_54128456121462410464578910174[[#This Row],[DISCOUNT]]*_1_54128456121462410464578910174[[#This Row],[DISCOUNT 2]]</f>
        <v>0</v>
      </c>
      <c r="M573" s="194">
        <f>IF(OR(_1_54128456121462410464578910174[[#This Row],[UNIT]]&gt;0,_1_54128456121462410464578910174[[#This Row],[UNIT]]&lt;0),_1_54128456121462410464578910174[[#This Row],[UNIT]]*_1_54128456121462410464578910174[[#This Row],[COST]],0)</f>
        <v>0</v>
      </c>
      <c r="N573" s="194">
        <f t="shared" si="8"/>
        <v>1.5</v>
      </c>
      <c r="O573" s="198">
        <f>_1_54128456121462410464578910174[[#This Row],[TOTAL]]*_1_54128456121462410464578910174[[#This Row],[MARGIN]]</f>
        <v>0</v>
      </c>
      <c r="R573" s="41"/>
    </row>
    <row r="574" spans="1:18">
      <c r="A574" s="168"/>
      <c r="D574" s="188"/>
      <c r="F574" s="168" t="s">
        <v>6202</v>
      </c>
      <c r="G574" s="193">
        <f>IF(_1_54128456121462410464578910174[[#This Row],[Type]]&gt;0,VLOOKUP(_1_54128456121462410464578910174[[#This Row],[Type]],Main[[#All],[TYPE]:[UNIT]],'Unit Price'!C$1,FALSE),0)</f>
        <v>0</v>
      </c>
      <c r="H574" s="197">
        <f>IF(_1_54128456121462410464578910174[[#This Row],[Type]]&gt;0,VLOOKUP(_1_54128456121462410464578910174[[#This Row],[Type]],Main[[#All],[TYPE]:[UNIT]],'Unit Price'!D$1,FALSE),0)</f>
        <v>0</v>
      </c>
      <c r="I574" s="194">
        <f>IF(_1_54128456121462410464578910174[[#This Row],[Type]]&gt;0,VLOOKUP(_1_54128456121462410464578910174[[#This Row],[Type]],Main[[#All],[TYPE]:[UNIT]],'Unit Price'!G$1,FALSE),0)</f>
        <v>0</v>
      </c>
      <c r="J574" s="194">
        <f>IF(_1_54128456121462410464578910174[[#This Row],[Type]]&gt;0,VLOOKUP(_1_54128456121462410464578910174[[#This Row],[Type]],Main[[#All],[TYPE]:[UNIT]],'Unit Price'!H$1,FALSE),0)</f>
        <v>0</v>
      </c>
      <c r="K574" s="194">
        <f>IF(_1_54128456121462410464578910174[[#This Row],[Discount selection]]&gt;0,VLOOKUP(_1_54128456121462410464578910174[[#This Row],[Discount selection]],'Discount Structure'!$A$2:$B$30,2,"false"),0)</f>
        <v>1</v>
      </c>
      <c r="L574" s="194">
        <f>_1_54128456121462410464578910174[[#This Row],[LIST $]]*_1_54128456121462410464578910174[[#This Row],[DISCOUNT]]*_1_54128456121462410464578910174[[#This Row],[DISCOUNT 2]]</f>
        <v>0</v>
      </c>
      <c r="M574" s="194">
        <f>IF(OR(_1_54128456121462410464578910174[[#This Row],[UNIT]]&gt;0,_1_54128456121462410464578910174[[#This Row],[UNIT]]&lt;0),_1_54128456121462410464578910174[[#This Row],[UNIT]]*_1_54128456121462410464578910174[[#This Row],[COST]],0)</f>
        <v>0</v>
      </c>
      <c r="N574" s="194">
        <f t="shared" si="8"/>
        <v>1.5</v>
      </c>
      <c r="O574" s="198">
        <f>_1_54128456121462410464578910174[[#This Row],[TOTAL]]*_1_54128456121462410464578910174[[#This Row],[MARGIN]]</f>
        <v>0</v>
      </c>
      <c r="R574" s="41"/>
    </row>
    <row r="575" spans="1:18">
      <c r="B575" s="168"/>
      <c r="C575" s="168"/>
      <c r="D575" s="188"/>
      <c r="F575" s="168" t="s">
        <v>6202</v>
      </c>
      <c r="G575" s="193">
        <f>IF(_1_54128456121462410464578910174[[#This Row],[Type]]&gt;0,VLOOKUP(_1_54128456121462410464578910174[[#This Row],[Type]],Main[[#All],[TYPE]:[UNIT]],'Unit Price'!C$1,FALSE),0)</f>
        <v>0</v>
      </c>
      <c r="H575" s="197">
        <f>IF(_1_54128456121462410464578910174[[#This Row],[Type]]&gt;0,VLOOKUP(_1_54128456121462410464578910174[[#This Row],[Type]],Main[[#All],[TYPE]:[UNIT]],'Unit Price'!D$1,FALSE),0)</f>
        <v>0</v>
      </c>
      <c r="I575" s="194">
        <f>IF(_1_54128456121462410464578910174[[#This Row],[Type]]&gt;0,VLOOKUP(_1_54128456121462410464578910174[[#This Row],[Type]],Main[[#All],[TYPE]:[UNIT]],'Unit Price'!G$1,FALSE),0)</f>
        <v>0</v>
      </c>
      <c r="J575" s="194">
        <f>IF(_1_54128456121462410464578910174[[#This Row],[Type]]&gt;0,VLOOKUP(_1_54128456121462410464578910174[[#This Row],[Type]],Main[[#All],[TYPE]:[UNIT]],'Unit Price'!H$1,FALSE),0)</f>
        <v>0</v>
      </c>
      <c r="K575" s="194">
        <f>IF(_1_54128456121462410464578910174[[#This Row],[Discount selection]]&gt;0,VLOOKUP(_1_54128456121462410464578910174[[#This Row],[Discount selection]],'Discount Structure'!$A$2:$B$30,2,"false"),0)</f>
        <v>1</v>
      </c>
      <c r="L575" s="194">
        <f>_1_54128456121462410464578910174[[#This Row],[LIST $]]*_1_54128456121462410464578910174[[#This Row],[DISCOUNT]]*_1_54128456121462410464578910174[[#This Row],[DISCOUNT 2]]</f>
        <v>0</v>
      </c>
      <c r="M575" s="194">
        <f>IF(OR(_1_54128456121462410464578910174[[#This Row],[UNIT]]&gt;0,_1_54128456121462410464578910174[[#This Row],[UNIT]]&lt;0),_1_54128456121462410464578910174[[#This Row],[UNIT]]*_1_54128456121462410464578910174[[#This Row],[COST]],0)</f>
        <v>0</v>
      </c>
      <c r="N575" s="194">
        <f t="shared" si="8"/>
        <v>1.5</v>
      </c>
      <c r="O575" s="198">
        <f>_1_54128456121462410464578910174[[#This Row],[TOTAL]]*_1_54128456121462410464578910174[[#This Row],[MARGIN]]</f>
        <v>0</v>
      </c>
      <c r="R575" s="41"/>
    </row>
    <row r="576" spans="1:18">
      <c r="D576" s="188"/>
      <c r="F576" s="168" t="s">
        <v>6202</v>
      </c>
      <c r="G576" s="193">
        <f>IF(_1_54128456121462410464578910174[[#This Row],[Type]]&gt;0,VLOOKUP(_1_54128456121462410464578910174[[#This Row],[Type]],Main[[#All],[TYPE]:[UNIT]],'Unit Price'!C$1,FALSE),0)</f>
        <v>0</v>
      </c>
      <c r="H576" s="197">
        <f>IF(_1_54128456121462410464578910174[[#This Row],[Type]]&gt;0,VLOOKUP(_1_54128456121462410464578910174[[#This Row],[Type]],Main[[#All],[TYPE]:[UNIT]],'Unit Price'!D$1,FALSE),0)</f>
        <v>0</v>
      </c>
      <c r="I576" s="194">
        <f>IF(_1_54128456121462410464578910174[[#This Row],[Type]]&gt;0,VLOOKUP(_1_54128456121462410464578910174[[#This Row],[Type]],Main[[#All],[TYPE]:[UNIT]],'Unit Price'!G$1,FALSE),0)</f>
        <v>0</v>
      </c>
      <c r="J576" s="194">
        <f>IF(_1_54128456121462410464578910174[[#This Row],[Type]]&gt;0,VLOOKUP(_1_54128456121462410464578910174[[#This Row],[Type]],Main[[#All],[TYPE]:[UNIT]],'Unit Price'!H$1,FALSE),0)</f>
        <v>0</v>
      </c>
      <c r="K576" s="194">
        <f>IF(_1_54128456121462410464578910174[[#This Row],[Discount selection]]&gt;0,VLOOKUP(_1_54128456121462410464578910174[[#This Row],[Discount selection]],'Discount Structure'!$A$2:$B$30,2,"false"),0)</f>
        <v>1</v>
      </c>
      <c r="L576" s="194">
        <f>_1_54128456121462410464578910174[[#This Row],[LIST $]]*_1_54128456121462410464578910174[[#This Row],[DISCOUNT]]*_1_54128456121462410464578910174[[#This Row],[DISCOUNT 2]]</f>
        <v>0</v>
      </c>
      <c r="M576" s="194">
        <f>IF(OR(_1_54128456121462410464578910174[[#This Row],[UNIT]]&gt;0,_1_54128456121462410464578910174[[#This Row],[UNIT]]&lt;0),_1_54128456121462410464578910174[[#This Row],[UNIT]]*_1_54128456121462410464578910174[[#This Row],[COST]],0)</f>
        <v>0</v>
      </c>
      <c r="N576" s="194">
        <f t="shared" si="8"/>
        <v>1.5</v>
      </c>
      <c r="O576" s="198">
        <f>_1_54128456121462410464578910174[[#This Row],[TOTAL]]*_1_54128456121462410464578910174[[#This Row],[MARGIN]]</f>
        <v>0</v>
      </c>
      <c r="R576" s="41"/>
    </row>
    <row r="577" spans="1:18">
      <c r="D577" s="188"/>
      <c r="F577" s="168" t="s">
        <v>6202</v>
      </c>
      <c r="G577" s="193">
        <f>IF(_1_54128456121462410464578910174[[#This Row],[Type]]&gt;0,VLOOKUP(_1_54128456121462410464578910174[[#This Row],[Type]],Main[[#All],[TYPE]:[UNIT]],'Unit Price'!C$1,FALSE),0)</f>
        <v>0</v>
      </c>
      <c r="H577" s="197">
        <f>IF(_1_54128456121462410464578910174[[#This Row],[Type]]&gt;0,VLOOKUP(_1_54128456121462410464578910174[[#This Row],[Type]],Main[[#All],[TYPE]:[UNIT]],'Unit Price'!D$1,FALSE),0)</f>
        <v>0</v>
      </c>
      <c r="I577" s="194">
        <f>IF(_1_54128456121462410464578910174[[#This Row],[Type]]&gt;0,VLOOKUP(_1_54128456121462410464578910174[[#This Row],[Type]],Main[[#All],[TYPE]:[UNIT]],'Unit Price'!G$1,FALSE),0)</f>
        <v>0</v>
      </c>
      <c r="J577" s="194">
        <f>IF(_1_54128456121462410464578910174[[#This Row],[Type]]&gt;0,VLOOKUP(_1_54128456121462410464578910174[[#This Row],[Type]],Main[[#All],[TYPE]:[UNIT]],'Unit Price'!H$1,FALSE),0)</f>
        <v>0</v>
      </c>
      <c r="K577" s="194">
        <f>IF(_1_54128456121462410464578910174[[#This Row],[Discount selection]]&gt;0,VLOOKUP(_1_54128456121462410464578910174[[#This Row],[Discount selection]],'Discount Structure'!$A$2:$B$30,2,"false"),0)</f>
        <v>1</v>
      </c>
      <c r="L577" s="194">
        <f>_1_54128456121462410464578910174[[#This Row],[LIST $]]*_1_54128456121462410464578910174[[#This Row],[DISCOUNT]]*_1_54128456121462410464578910174[[#This Row],[DISCOUNT 2]]</f>
        <v>0</v>
      </c>
      <c r="M577" s="194">
        <f>IF(OR(_1_54128456121462410464578910174[[#This Row],[UNIT]]&gt;0,_1_54128456121462410464578910174[[#This Row],[UNIT]]&lt;0),_1_54128456121462410464578910174[[#This Row],[UNIT]]*_1_54128456121462410464578910174[[#This Row],[COST]],0)</f>
        <v>0</v>
      </c>
      <c r="N577" s="194">
        <f t="shared" si="8"/>
        <v>1.5</v>
      </c>
      <c r="O577" s="198">
        <f>_1_54128456121462410464578910174[[#This Row],[TOTAL]]*_1_54128456121462410464578910174[[#This Row],[MARGIN]]</f>
        <v>0</v>
      </c>
      <c r="R577" s="41"/>
    </row>
    <row r="578" spans="1:18">
      <c r="D578" s="188"/>
      <c r="F578" s="168" t="s">
        <v>6202</v>
      </c>
      <c r="G578" s="193">
        <f>IF(_1_54128456121462410464578910174[[#This Row],[Type]]&gt;0,VLOOKUP(_1_54128456121462410464578910174[[#This Row],[Type]],Main[[#All],[TYPE]:[UNIT]],'Unit Price'!C$1,FALSE),0)</f>
        <v>0</v>
      </c>
      <c r="H578" s="197">
        <f>IF(_1_54128456121462410464578910174[[#This Row],[Type]]&gt;0,VLOOKUP(_1_54128456121462410464578910174[[#This Row],[Type]],Main[[#All],[TYPE]:[UNIT]],'Unit Price'!D$1,FALSE),0)</f>
        <v>0</v>
      </c>
      <c r="I578" s="194">
        <f>IF(_1_54128456121462410464578910174[[#This Row],[Type]]&gt;0,VLOOKUP(_1_54128456121462410464578910174[[#This Row],[Type]],Main[[#All],[TYPE]:[UNIT]],'Unit Price'!G$1,FALSE),0)</f>
        <v>0</v>
      </c>
      <c r="J578" s="194">
        <f>IF(_1_54128456121462410464578910174[[#This Row],[Type]]&gt;0,VLOOKUP(_1_54128456121462410464578910174[[#This Row],[Type]],Main[[#All],[TYPE]:[UNIT]],'Unit Price'!H$1,FALSE),0)</f>
        <v>0</v>
      </c>
      <c r="K578" s="194">
        <f>IF(_1_54128456121462410464578910174[[#This Row],[Discount selection]]&gt;0,VLOOKUP(_1_54128456121462410464578910174[[#This Row],[Discount selection]],'Discount Structure'!$A$2:$B$30,2,"false"),0)</f>
        <v>1</v>
      </c>
      <c r="L578" s="194">
        <f>_1_54128456121462410464578910174[[#This Row],[LIST $]]*_1_54128456121462410464578910174[[#This Row],[DISCOUNT]]*_1_54128456121462410464578910174[[#This Row],[DISCOUNT 2]]</f>
        <v>0</v>
      </c>
      <c r="M578" s="194">
        <f>IF(OR(_1_54128456121462410464578910174[[#This Row],[UNIT]]&gt;0,_1_54128456121462410464578910174[[#This Row],[UNIT]]&lt;0),_1_54128456121462410464578910174[[#This Row],[UNIT]]*_1_54128456121462410464578910174[[#This Row],[COST]],0)</f>
        <v>0</v>
      </c>
      <c r="N578" s="194">
        <f t="shared" si="8"/>
        <v>1.5</v>
      </c>
      <c r="O578" s="198">
        <f>_1_54128456121462410464578910174[[#This Row],[TOTAL]]*_1_54128456121462410464578910174[[#This Row],[MARGIN]]</f>
        <v>0</v>
      </c>
      <c r="R578" s="41"/>
    </row>
    <row r="579" spans="1:18">
      <c r="D579" s="188"/>
      <c r="F579" s="168" t="s">
        <v>6202</v>
      </c>
      <c r="G579" s="193">
        <f>IF(_1_54128456121462410464578910174[[#This Row],[Type]]&gt;0,VLOOKUP(_1_54128456121462410464578910174[[#This Row],[Type]],Main[[#All],[TYPE]:[UNIT]],'Unit Price'!C$1,FALSE),0)</f>
        <v>0</v>
      </c>
      <c r="H579" s="197">
        <f>IF(_1_54128456121462410464578910174[[#This Row],[Type]]&gt;0,VLOOKUP(_1_54128456121462410464578910174[[#This Row],[Type]],Main[[#All],[TYPE]:[UNIT]],'Unit Price'!D$1,FALSE),0)</f>
        <v>0</v>
      </c>
      <c r="I579" s="194">
        <f>IF(_1_54128456121462410464578910174[[#This Row],[Type]]&gt;0,VLOOKUP(_1_54128456121462410464578910174[[#This Row],[Type]],Main[[#All],[TYPE]:[UNIT]],'Unit Price'!G$1,FALSE),0)</f>
        <v>0</v>
      </c>
      <c r="J579" s="194">
        <f>IF(_1_54128456121462410464578910174[[#This Row],[Type]]&gt;0,VLOOKUP(_1_54128456121462410464578910174[[#This Row],[Type]],Main[[#All],[TYPE]:[UNIT]],'Unit Price'!H$1,FALSE),0)</f>
        <v>0</v>
      </c>
      <c r="K579" s="194">
        <f>IF(_1_54128456121462410464578910174[[#This Row],[Discount selection]]&gt;0,VLOOKUP(_1_54128456121462410464578910174[[#This Row],[Discount selection]],'Discount Structure'!$A$2:$B$30,2,"false"),0)</f>
        <v>1</v>
      </c>
      <c r="L579" s="194">
        <f>_1_54128456121462410464578910174[[#This Row],[LIST $]]*_1_54128456121462410464578910174[[#This Row],[DISCOUNT]]*_1_54128456121462410464578910174[[#This Row],[DISCOUNT 2]]</f>
        <v>0</v>
      </c>
      <c r="M579" s="194">
        <f>IF(OR(_1_54128456121462410464578910174[[#This Row],[UNIT]]&gt;0,_1_54128456121462410464578910174[[#This Row],[UNIT]]&lt;0),_1_54128456121462410464578910174[[#This Row],[UNIT]]*_1_54128456121462410464578910174[[#This Row],[COST]],0)</f>
        <v>0</v>
      </c>
      <c r="N579" s="194">
        <f t="shared" si="8"/>
        <v>1.5</v>
      </c>
      <c r="O579" s="198">
        <f>_1_54128456121462410464578910174[[#This Row],[TOTAL]]*_1_54128456121462410464578910174[[#This Row],[MARGIN]]</f>
        <v>0</v>
      </c>
      <c r="R579" s="41"/>
    </row>
    <row r="580" spans="1:18">
      <c r="D580" s="188"/>
      <c r="F580" s="168" t="s">
        <v>6202</v>
      </c>
      <c r="G580" s="193">
        <f>IF(_1_54128456121462410464578910174[[#This Row],[Type]]&gt;0,VLOOKUP(_1_54128456121462410464578910174[[#This Row],[Type]],Main[[#All],[TYPE]:[UNIT]],'Unit Price'!C$1,FALSE),0)</f>
        <v>0</v>
      </c>
      <c r="H580" s="197">
        <f>IF(_1_54128456121462410464578910174[[#This Row],[Type]]&gt;0,VLOOKUP(_1_54128456121462410464578910174[[#This Row],[Type]],Main[[#All],[TYPE]:[UNIT]],'Unit Price'!D$1,FALSE),0)</f>
        <v>0</v>
      </c>
      <c r="I580" s="194">
        <f>IF(_1_54128456121462410464578910174[[#This Row],[Type]]&gt;0,VLOOKUP(_1_54128456121462410464578910174[[#This Row],[Type]],Main[[#All],[TYPE]:[UNIT]],'Unit Price'!G$1,FALSE),0)</f>
        <v>0</v>
      </c>
      <c r="J580" s="194">
        <f>IF(_1_54128456121462410464578910174[[#This Row],[Type]]&gt;0,VLOOKUP(_1_54128456121462410464578910174[[#This Row],[Type]],Main[[#All],[TYPE]:[UNIT]],'Unit Price'!H$1,FALSE),0)</f>
        <v>0</v>
      </c>
      <c r="K580" s="194">
        <f>IF(_1_54128456121462410464578910174[[#This Row],[Discount selection]]&gt;0,VLOOKUP(_1_54128456121462410464578910174[[#This Row],[Discount selection]],'Discount Structure'!$A$2:$B$30,2,"false"),0)</f>
        <v>1</v>
      </c>
      <c r="L580" s="194">
        <f>_1_54128456121462410464578910174[[#This Row],[LIST $]]*_1_54128456121462410464578910174[[#This Row],[DISCOUNT]]*_1_54128456121462410464578910174[[#This Row],[DISCOUNT 2]]</f>
        <v>0</v>
      </c>
      <c r="M580" s="194">
        <f>IF(OR(_1_54128456121462410464578910174[[#This Row],[UNIT]]&gt;0,_1_54128456121462410464578910174[[#This Row],[UNIT]]&lt;0),_1_54128456121462410464578910174[[#This Row],[UNIT]]*_1_54128456121462410464578910174[[#This Row],[COST]],0)</f>
        <v>0</v>
      </c>
      <c r="N580" s="194">
        <f t="shared" si="8"/>
        <v>1.5</v>
      </c>
      <c r="O580" s="198">
        <f>_1_54128456121462410464578910174[[#This Row],[TOTAL]]*_1_54128456121462410464578910174[[#This Row],[MARGIN]]</f>
        <v>0</v>
      </c>
      <c r="R580" s="41"/>
    </row>
    <row r="581" spans="1:18">
      <c r="A581" s="168"/>
      <c r="D581" s="188"/>
      <c r="F581" s="168" t="s">
        <v>6202</v>
      </c>
      <c r="G581" s="193">
        <f>IF(_1_54128456121462410464578910174[[#This Row],[Type]]&gt;0,VLOOKUP(_1_54128456121462410464578910174[[#This Row],[Type]],Main[[#All],[TYPE]:[UNIT]],'Unit Price'!C$1,FALSE),0)</f>
        <v>0</v>
      </c>
      <c r="H581" s="197">
        <f>IF(_1_54128456121462410464578910174[[#This Row],[Type]]&gt;0,VLOOKUP(_1_54128456121462410464578910174[[#This Row],[Type]],Main[[#All],[TYPE]:[UNIT]],'Unit Price'!D$1,FALSE),0)</f>
        <v>0</v>
      </c>
      <c r="I581" s="194">
        <f>IF(_1_54128456121462410464578910174[[#This Row],[Type]]&gt;0,VLOOKUP(_1_54128456121462410464578910174[[#This Row],[Type]],Main[[#All],[TYPE]:[UNIT]],'Unit Price'!G$1,FALSE),0)</f>
        <v>0</v>
      </c>
      <c r="J581" s="194">
        <f>IF(_1_54128456121462410464578910174[[#This Row],[Type]]&gt;0,VLOOKUP(_1_54128456121462410464578910174[[#This Row],[Type]],Main[[#All],[TYPE]:[UNIT]],'Unit Price'!H$1,FALSE),0)</f>
        <v>0</v>
      </c>
      <c r="K581" s="194">
        <f>IF(_1_54128456121462410464578910174[[#This Row],[Discount selection]]&gt;0,VLOOKUP(_1_54128456121462410464578910174[[#This Row],[Discount selection]],'Discount Structure'!$A$2:$B$30,2,"false"),0)</f>
        <v>1</v>
      </c>
      <c r="L581" s="194">
        <f>_1_54128456121462410464578910174[[#This Row],[LIST $]]*_1_54128456121462410464578910174[[#This Row],[DISCOUNT]]*_1_54128456121462410464578910174[[#This Row],[DISCOUNT 2]]</f>
        <v>0</v>
      </c>
      <c r="M581" s="194">
        <f>IF(OR(_1_54128456121462410464578910174[[#This Row],[UNIT]]&gt;0,_1_54128456121462410464578910174[[#This Row],[UNIT]]&lt;0),_1_54128456121462410464578910174[[#This Row],[UNIT]]*_1_54128456121462410464578910174[[#This Row],[COST]],0)</f>
        <v>0</v>
      </c>
      <c r="N581" s="194">
        <f t="shared" si="8"/>
        <v>1.5</v>
      </c>
      <c r="O581" s="198">
        <f>_1_54128456121462410464578910174[[#This Row],[TOTAL]]*_1_54128456121462410464578910174[[#This Row],[MARGIN]]</f>
        <v>0</v>
      </c>
      <c r="R581" s="41"/>
    </row>
    <row r="582" spans="1:18">
      <c r="D582" s="188"/>
      <c r="F582" s="168" t="s">
        <v>6202</v>
      </c>
      <c r="G582" s="193">
        <f>IF(_1_54128456121462410464578910174[[#This Row],[Type]]&gt;0,VLOOKUP(_1_54128456121462410464578910174[[#This Row],[Type]],Main[[#All],[TYPE]:[UNIT]],'Unit Price'!C$1,FALSE),0)</f>
        <v>0</v>
      </c>
      <c r="H582" s="197">
        <f>IF(_1_54128456121462410464578910174[[#This Row],[Type]]&gt;0,VLOOKUP(_1_54128456121462410464578910174[[#This Row],[Type]],Main[[#All],[TYPE]:[UNIT]],'Unit Price'!D$1,FALSE),0)</f>
        <v>0</v>
      </c>
      <c r="I582" s="194">
        <f>IF(_1_54128456121462410464578910174[[#This Row],[Type]]&gt;0,VLOOKUP(_1_54128456121462410464578910174[[#This Row],[Type]],Main[[#All],[TYPE]:[UNIT]],'Unit Price'!G$1,FALSE),0)</f>
        <v>0</v>
      </c>
      <c r="J582" s="194">
        <f>IF(_1_54128456121462410464578910174[[#This Row],[Type]]&gt;0,VLOOKUP(_1_54128456121462410464578910174[[#This Row],[Type]],Main[[#All],[TYPE]:[UNIT]],'Unit Price'!H$1,FALSE),0)</f>
        <v>0</v>
      </c>
      <c r="K582" s="194">
        <f>IF(_1_54128456121462410464578910174[[#This Row],[Discount selection]]&gt;0,VLOOKUP(_1_54128456121462410464578910174[[#This Row],[Discount selection]],'Discount Structure'!$A$2:$B$30,2,"false"),0)</f>
        <v>1</v>
      </c>
      <c r="L582" s="194">
        <f>_1_54128456121462410464578910174[[#This Row],[LIST $]]*_1_54128456121462410464578910174[[#This Row],[DISCOUNT]]*_1_54128456121462410464578910174[[#This Row],[DISCOUNT 2]]</f>
        <v>0</v>
      </c>
      <c r="M582" s="194">
        <f>IF(OR(_1_54128456121462410464578910174[[#This Row],[UNIT]]&gt;0,_1_54128456121462410464578910174[[#This Row],[UNIT]]&lt;0),_1_54128456121462410464578910174[[#This Row],[UNIT]]*_1_54128456121462410464578910174[[#This Row],[COST]],0)</f>
        <v>0</v>
      </c>
      <c r="N582" s="194">
        <f t="shared" si="8"/>
        <v>1.5</v>
      </c>
      <c r="O582" s="198">
        <f>_1_54128456121462410464578910174[[#This Row],[TOTAL]]*_1_54128456121462410464578910174[[#This Row],[MARGIN]]</f>
        <v>0</v>
      </c>
      <c r="R582" s="41"/>
    </row>
    <row r="583" spans="1:18">
      <c r="D583" s="188"/>
      <c r="F583" s="168" t="s">
        <v>6202</v>
      </c>
      <c r="G583" s="193">
        <f>IF(_1_54128456121462410464578910174[[#This Row],[Type]]&gt;0,VLOOKUP(_1_54128456121462410464578910174[[#This Row],[Type]],Main[[#All],[TYPE]:[UNIT]],'Unit Price'!C$1,FALSE),0)</f>
        <v>0</v>
      </c>
      <c r="H583" s="197">
        <f>IF(_1_54128456121462410464578910174[[#This Row],[Type]]&gt;0,VLOOKUP(_1_54128456121462410464578910174[[#This Row],[Type]],Main[[#All],[TYPE]:[UNIT]],'Unit Price'!D$1,FALSE),0)</f>
        <v>0</v>
      </c>
      <c r="I583" s="194">
        <f>IF(_1_54128456121462410464578910174[[#This Row],[Type]]&gt;0,VLOOKUP(_1_54128456121462410464578910174[[#This Row],[Type]],Main[[#All],[TYPE]:[UNIT]],'Unit Price'!G$1,FALSE),0)</f>
        <v>0</v>
      </c>
      <c r="J583" s="194">
        <f>IF(_1_54128456121462410464578910174[[#This Row],[Type]]&gt;0,VLOOKUP(_1_54128456121462410464578910174[[#This Row],[Type]],Main[[#All],[TYPE]:[UNIT]],'Unit Price'!H$1,FALSE),0)</f>
        <v>0</v>
      </c>
      <c r="K583" s="194">
        <f>IF(_1_54128456121462410464578910174[[#This Row],[Discount selection]]&gt;0,VLOOKUP(_1_54128456121462410464578910174[[#This Row],[Discount selection]],'Discount Structure'!$A$2:$B$30,2,"false"),0)</f>
        <v>1</v>
      </c>
      <c r="L583" s="194">
        <f>_1_54128456121462410464578910174[[#This Row],[LIST $]]*_1_54128456121462410464578910174[[#This Row],[DISCOUNT]]*_1_54128456121462410464578910174[[#This Row],[DISCOUNT 2]]</f>
        <v>0</v>
      </c>
      <c r="M583" s="194">
        <f>IF(OR(_1_54128456121462410464578910174[[#This Row],[UNIT]]&gt;0,_1_54128456121462410464578910174[[#This Row],[UNIT]]&lt;0),_1_54128456121462410464578910174[[#This Row],[UNIT]]*_1_54128456121462410464578910174[[#This Row],[COST]],0)</f>
        <v>0</v>
      </c>
      <c r="N583" s="194">
        <f t="shared" si="8"/>
        <v>1.5</v>
      </c>
      <c r="O583" s="198">
        <f>_1_54128456121462410464578910174[[#This Row],[TOTAL]]*_1_54128456121462410464578910174[[#This Row],[MARGIN]]</f>
        <v>0</v>
      </c>
      <c r="R583" s="41"/>
    </row>
    <row r="584" spans="1:18">
      <c r="D584" s="188"/>
      <c r="F584" s="168" t="s">
        <v>6202</v>
      </c>
      <c r="G584" s="193">
        <f>IF(_1_54128456121462410464578910174[[#This Row],[Type]]&gt;0,VLOOKUP(_1_54128456121462410464578910174[[#This Row],[Type]],Main[[#All],[TYPE]:[UNIT]],'Unit Price'!C$1,FALSE),0)</f>
        <v>0</v>
      </c>
      <c r="H584" s="197">
        <f>IF(_1_54128456121462410464578910174[[#This Row],[Type]]&gt;0,VLOOKUP(_1_54128456121462410464578910174[[#This Row],[Type]],Main[[#All],[TYPE]:[UNIT]],'Unit Price'!D$1,FALSE),0)</f>
        <v>0</v>
      </c>
      <c r="I584" s="194">
        <f>IF(_1_54128456121462410464578910174[[#This Row],[Type]]&gt;0,VLOOKUP(_1_54128456121462410464578910174[[#This Row],[Type]],Main[[#All],[TYPE]:[UNIT]],'Unit Price'!G$1,FALSE),0)</f>
        <v>0</v>
      </c>
      <c r="J584" s="194">
        <f>IF(_1_54128456121462410464578910174[[#This Row],[Type]]&gt;0,VLOOKUP(_1_54128456121462410464578910174[[#This Row],[Type]],Main[[#All],[TYPE]:[UNIT]],'Unit Price'!H$1,FALSE),0)</f>
        <v>0</v>
      </c>
      <c r="K584" s="194">
        <f>IF(_1_54128456121462410464578910174[[#This Row],[Discount selection]]&gt;0,VLOOKUP(_1_54128456121462410464578910174[[#This Row],[Discount selection]],'Discount Structure'!$A$2:$B$30,2,"false"),0)</f>
        <v>1</v>
      </c>
      <c r="L584" s="194">
        <f>_1_54128456121462410464578910174[[#This Row],[LIST $]]*_1_54128456121462410464578910174[[#This Row],[DISCOUNT]]*_1_54128456121462410464578910174[[#This Row],[DISCOUNT 2]]</f>
        <v>0</v>
      </c>
      <c r="M584" s="194">
        <f>IF(OR(_1_54128456121462410464578910174[[#This Row],[UNIT]]&gt;0,_1_54128456121462410464578910174[[#This Row],[UNIT]]&lt;0),_1_54128456121462410464578910174[[#This Row],[UNIT]]*_1_54128456121462410464578910174[[#This Row],[COST]],0)</f>
        <v>0</v>
      </c>
      <c r="N584" s="194">
        <f t="shared" si="8"/>
        <v>1.5</v>
      </c>
      <c r="O584" s="198">
        <f>_1_54128456121462410464578910174[[#This Row],[TOTAL]]*_1_54128456121462410464578910174[[#This Row],[MARGIN]]</f>
        <v>0</v>
      </c>
      <c r="R584" s="41"/>
    </row>
    <row r="585" spans="1:18">
      <c r="D585" s="188"/>
      <c r="F585" s="168" t="s">
        <v>6202</v>
      </c>
      <c r="G585" s="193">
        <f>IF(_1_54128456121462410464578910174[[#This Row],[Type]]&gt;0,VLOOKUP(_1_54128456121462410464578910174[[#This Row],[Type]],Main[[#All],[TYPE]:[UNIT]],'Unit Price'!C$1,FALSE),0)</f>
        <v>0</v>
      </c>
      <c r="H585" s="197">
        <f>IF(_1_54128456121462410464578910174[[#This Row],[Type]]&gt;0,VLOOKUP(_1_54128456121462410464578910174[[#This Row],[Type]],Main[[#All],[TYPE]:[UNIT]],'Unit Price'!D$1,FALSE),0)</f>
        <v>0</v>
      </c>
      <c r="I585" s="194">
        <f>IF(_1_54128456121462410464578910174[[#This Row],[Type]]&gt;0,VLOOKUP(_1_54128456121462410464578910174[[#This Row],[Type]],Main[[#All],[TYPE]:[UNIT]],'Unit Price'!G$1,FALSE),0)</f>
        <v>0</v>
      </c>
      <c r="J585" s="194">
        <f>IF(_1_54128456121462410464578910174[[#This Row],[Type]]&gt;0,VLOOKUP(_1_54128456121462410464578910174[[#This Row],[Type]],Main[[#All],[TYPE]:[UNIT]],'Unit Price'!H$1,FALSE),0)</f>
        <v>0</v>
      </c>
      <c r="K585" s="194">
        <f>IF(_1_54128456121462410464578910174[[#This Row],[Discount selection]]&gt;0,VLOOKUP(_1_54128456121462410464578910174[[#This Row],[Discount selection]],'Discount Structure'!$A$2:$B$30,2,"false"),0)</f>
        <v>1</v>
      </c>
      <c r="L585" s="194">
        <f>_1_54128456121462410464578910174[[#This Row],[LIST $]]*_1_54128456121462410464578910174[[#This Row],[DISCOUNT]]*_1_54128456121462410464578910174[[#This Row],[DISCOUNT 2]]</f>
        <v>0</v>
      </c>
      <c r="M585" s="194">
        <f>IF(OR(_1_54128456121462410464578910174[[#This Row],[UNIT]]&gt;0,_1_54128456121462410464578910174[[#This Row],[UNIT]]&lt;0),_1_54128456121462410464578910174[[#This Row],[UNIT]]*_1_54128456121462410464578910174[[#This Row],[COST]],0)</f>
        <v>0</v>
      </c>
      <c r="N585" s="194">
        <f t="shared" si="8"/>
        <v>1.5</v>
      </c>
      <c r="O585" s="198">
        <f>_1_54128456121462410464578910174[[#This Row],[TOTAL]]*_1_54128456121462410464578910174[[#This Row],[MARGIN]]</f>
        <v>0</v>
      </c>
      <c r="R585" s="41"/>
    </row>
    <row r="586" spans="1:18">
      <c r="D586" s="188"/>
      <c r="F586" s="168" t="s">
        <v>6202</v>
      </c>
      <c r="G586" s="193">
        <f>IF(_1_54128456121462410464578910174[[#This Row],[Type]]&gt;0,VLOOKUP(_1_54128456121462410464578910174[[#This Row],[Type]],Main[[#All],[TYPE]:[UNIT]],'Unit Price'!C$1,FALSE),0)</f>
        <v>0</v>
      </c>
      <c r="H586" s="197">
        <f>IF(_1_54128456121462410464578910174[[#This Row],[Type]]&gt;0,VLOOKUP(_1_54128456121462410464578910174[[#This Row],[Type]],Main[[#All],[TYPE]:[UNIT]],'Unit Price'!D$1,FALSE),0)</f>
        <v>0</v>
      </c>
      <c r="I586" s="194">
        <f>IF(_1_54128456121462410464578910174[[#This Row],[Type]]&gt;0,VLOOKUP(_1_54128456121462410464578910174[[#This Row],[Type]],Main[[#All],[TYPE]:[UNIT]],'Unit Price'!G$1,FALSE),0)</f>
        <v>0</v>
      </c>
      <c r="J586" s="194">
        <f>IF(_1_54128456121462410464578910174[[#This Row],[Type]]&gt;0,VLOOKUP(_1_54128456121462410464578910174[[#This Row],[Type]],Main[[#All],[TYPE]:[UNIT]],'Unit Price'!H$1,FALSE),0)</f>
        <v>0</v>
      </c>
      <c r="K586" s="194">
        <f>IF(_1_54128456121462410464578910174[[#This Row],[Discount selection]]&gt;0,VLOOKUP(_1_54128456121462410464578910174[[#This Row],[Discount selection]],'Discount Structure'!$A$2:$B$30,2,"false"),0)</f>
        <v>1</v>
      </c>
      <c r="L586" s="194">
        <f>_1_54128456121462410464578910174[[#This Row],[LIST $]]*_1_54128456121462410464578910174[[#This Row],[DISCOUNT]]*_1_54128456121462410464578910174[[#This Row],[DISCOUNT 2]]</f>
        <v>0</v>
      </c>
      <c r="M586" s="194">
        <f>IF(OR(_1_54128456121462410464578910174[[#This Row],[UNIT]]&gt;0,_1_54128456121462410464578910174[[#This Row],[UNIT]]&lt;0),_1_54128456121462410464578910174[[#This Row],[UNIT]]*_1_54128456121462410464578910174[[#This Row],[COST]],0)</f>
        <v>0</v>
      </c>
      <c r="N586" s="194">
        <f t="shared" ref="N586:N649" si="9">$N$7</f>
        <v>1.5</v>
      </c>
      <c r="O586" s="198">
        <f>_1_54128456121462410464578910174[[#This Row],[TOTAL]]*_1_54128456121462410464578910174[[#This Row],[MARGIN]]</f>
        <v>0</v>
      </c>
      <c r="R586" s="41"/>
    </row>
    <row r="587" spans="1:18">
      <c r="D587" s="188"/>
      <c r="F587" s="168" t="s">
        <v>6202</v>
      </c>
      <c r="G587" s="193">
        <f>IF(_1_54128456121462410464578910174[[#This Row],[Type]]&gt;0,VLOOKUP(_1_54128456121462410464578910174[[#This Row],[Type]],Main[[#All],[TYPE]:[UNIT]],'Unit Price'!C$1,FALSE),0)</f>
        <v>0</v>
      </c>
      <c r="H587" s="197">
        <f>IF(_1_54128456121462410464578910174[[#This Row],[Type]]&gt;0,VLOOKUP(_1_54128456121462410464578910174[[#This Row],[Type]],Main[[#All],[TYPE]:[UNIT]],'Unit Price'!D$1,FALSE),0)</f>
        <v>0</v>
      </c>
      <c r="I587" s="194">
        <f>IF(_1_54128456121462410464578910174[[#This Row],[Type]]&gt;0,VLOOKUP(_1_54128456121462410464578910174[[#This Row],[Type]],Main[[#All],[TYPE]:[UNIT]],'Unit Price'!G$1,FALSE),0)</f>
        <v>0</v>
      </c>
      <c r="J587" s="194">
        <f>IF(_1_54128456121462410464578910174[[#This Row],[Type]]&gt;0,VLOOKUP(_1_54128456121462410464578910174[[#This Row],[Type]],Main[[#All],[TYPE]:[UNIT]],'Unit Price'!H$1,FALSE),0)</f>
        <v>0</v>
      </c>
      <c r="K587" s="194">
        <f>IF(_1_54128456121462410464578910174[[#This Row],[Discount selection]]&gt;0,VLOOKUP(_1_54128456121462410464578910174[[#This Row],[Discount selection]],'Discount Structure'!$A$2:$B$30,2,"false"),0)</f>
        <v>1</v>
      </c>
      <c r="L587" s="194">
        <f>_1_54128456121462410464578910174[[#This Row],[LIST $]]*_1_54128456121462410464578910174[[#This Row],[DISCOUNT]]*_1_54128456121462410464578910174[[#This Row],[DISCOUNT 2]]</f>
        <v>0</v>
      </c>
      <c r="M587" s="194">
        <f>IF(OR(_1_54128456121462410464578910174[[#This Row],[UNIT]]&gt;0,_1_54128456121462410464578910174[[#This Row],[UNIT]]&lt;0),_1_54128456121462410464578910174[[#This Row],[UNIT]]*_1_54128456121462410464578910174[[#This Row],[COST]],0)</f>
        <v>0</v>
      </c>
      <c r="N587" s="194">
        <f t="shared" si="9"/>
        <v>1.5</v>
      </c>
      <c r="O587" s="198">
        <f>_1_54128456121462410464578910174[[#This Row],[TOTAL]]*_1_54128456121462410464578910174[[#This Row],[MARGIN]]</f>
        <v>0</v>
      </c>
      <c r="R587" s="41"/>
    </row>
    <row r="588" spans="1:18">
      <c r="D588" s="188"/>
      <c r="F588" s="168" t="s">
        <v>6202</v>
      </c>
      <c r="G588" s="193">
        <f>IF(_1_54128456121462410464578910174[[#This Row],[Type]]&gt;0,VLOOKUP(_1_54128456121462410464578910174[[#This Row],[Type]],Main[[#All],[TYPE]:[UNIT]],'Unit Price'!C$1,FALSE),0)</f>
        <v>0</v>
      </c>
      <c r="H588" s="197">
        <f>IF(_1_54128456121462410464578910174[[#This Row],[Type]]&gt;0,VLOOKUP(_1_54128456121462410464578910174[[#This Row],[Type]],Main[[#All],[TYPE]:[UNIT]],'Unit Price'!D$1,FALSE),0)</f>
        <v>0</v>
      </c>
      <c r="I588" s="194">
        <f>IF(_1_54128456121462410464578910174[[#This Row],[Type]]&gt;0,VLOOKUP(_1_54128456121462410464578910174[[#This Row],[Type]],Main[[#All],[TYPE]:[UNIT]],'Unit Price'!G$1,FALSE),0)</f>
        <v>0</v>
      </c>
      <c r="J588" s="194">
        <f>IF(_1_54128456121462410464578910174[[#This Row],[Type]]&gt;0,VLOOKUP(_1_54128456121462410464578910174[[#This Row],[Type]],Main[[#All],[TYPE]:[UNIT]],'Unit Price'!H$1,FALSE),0)</f>
        <v>0</v>
      </c>
      <c r="K588" s="194">
        <f>IF(_1_54128456121462410464578910174[[#This Row],[Discount selection]]&gt;0,VLOOKUP(_1_54128456121462410464578910174[[#This Row],[Discount selection]],'Discount Structure'!$A$2:$B$30,2,"false"),0)</f>
        <v>1</v>
      </c>
      <c r="L588" s="194">
        <f>_1_54128456121462410464578910174[[#This Row],[LIST $]]*_1_54128456121462410464578910174[[#This Row],[DISCOUNT]]*_1_54128456121462410464578910174[[#This Row],[DISCOUNT 2]]</f>
        <v>0</v>
      </c>
      <c r="M588" s="194">
        <f>IF(OR(_1_54128456121462410464578910174[[#This Row],[UNIT]]&gt;0,_1_54128456121462410464578910174[[#This Row],[UNIT]]&lt;0),_1_54128456121462410464578910174[[#This Row],[UNIT]]*_1_54128456121462410464578910174[[#This Row],[COST]],0)</f>
        <v>0</v>
      </c>
      <c r="N588" s="194">
        <f t="shared" si="9"/>
        <v>1.5</v>
      </c>
      <c r="O588" s="198">
        <f>_1_54128456121462410464578910174[[#This Row],[TOTAL]]*_1_54128456121462410464578910174[[#This Row],[MARGIN]]</f>
        <v>0</v>
      </c>
      <c r="R588" s="41"/>
    </row>
    <row r="589" spans="1:18">
      <c r="D589" s="188"/>
      <c r="F589" s="168" t="s">
        <v>6202</v>
      </c>
      <c r="G589" s="193">
        <f>IF(_1_54128456121462410464578910174[[#This Row],[Type]]&gt;0,VLOOKUP(_1_54128456121462410464578910174[[#This Row],[Type]],Main[[#All],[TYPE]:[UNIT]],'Unit Price'!C$1,FALSE),0)</f>
        <v>0</v>
      </c>
      <c r="H589" s="197">
        <f>IF(_1_54128456121462410464578910174[[#This Row],[Type]]&gt;0,VLOOKUP(_1_54128456121462410464578910174[[#This Row],[Type]],Main[[#All],[TYPE]:[UNIT]],'Unit Price'!D$1,FALSE),0)</f>
        <v>0</v>
      </c>
      <c r="I589" s="194">
        <f>IF(_1_54128456121462410464578910174[[#This Row],[Type]]&gt;0,VLOOKUP(_1_54128456121462410464578910174[[#This Row],[Type]],Main[[#All],[TYPE]:[UNIT]],'Unit Price'!G$1,FALSE),0)</f>
        <v>0</v>
      </c>
      <c r="J589" s="194">
        <f>IF(_1_54128456121462410464578910174[[#This Row],[Type]]&gt;0,VLOOKUP(_1_54128456121462410464578910174[[#This Row],[Type]],Main[[#All],[TYPE]:[UNIT]],'Unit Price'!H$1,FALSE),0)</f>
        <v>0</v>
      </c>
      <c r="K589" s="194">
        <f>IF(_1_54128456121462410464578910174[[#This Row],[Discount selection]]&gt;0,VLOOKUP(_1_54128456121462410464578910174[[#This Row],[Discount selection]],'Discount Structure'!$A$2:$B$30,2,"false"),0)</f>
        <v>1</v>
      </c>
      <c r="L589" s="194">
        <f>_1_54128456121462410464578910174[[#This Row],[LIST $]]*_1_54128456121462410464578910174[[#This Row],[DISCOUNT]]*_1_54128456121462410464578910174[[#This Row],[DISCOUNT 2]]</f>
        <v>0</v>
      </c>
      <c r="M589" s="194">
        <f>IF(OR(_1_54128456121462410464578910174[[#This Row],[UNIT]]&gt;0,_1_54128456121462410464578910174[[#This Row],[UNIT]]&lt;0),_1_54128456121462410464578910174[[#This Row],[UNIT]]*_1_54128456121462410464578910174[[#This Row],[COST]],0)</f>
        <v>0</v>
      </c>
      <c r="N589" s="194">
        <f t="shared" si="9"/>
        <v>1.5</v>
      </c>
      <c r="O589" s="198">
        <f>_1_54128456121462410464578910174[[#This Row],[TOTAL]]*_1_54128456121462410464578910174[[#This Row],[MARGIN]]</f>
        <v>0</v>
      </c>
      <c r="R589" s="41"/>
    </row>
    <row r="590" spans="1:18">
      <c r="D590" s="188"/>
      <c r="F590" s="168" t="s">
        <v>6202</v>
      </c>
      <c r="G590" s="193">
        <f>IF(_1_54128456121462410464578910174[[#This Row],[Type]]&gt;0,VLOOKUP(_1_54128456121462410464578910174[[#This Row],[Type]],Main[[#All],[TYPE]:[UNIT]],'Unit Price'!C$1,FALSE),0)</f>
        <v>0</v>
      </c>
      <c r="H590" s="197">
        <f>IF(_1_54128456121462410464578910174[[#This Row],[Type]]&gt;0,VLOOKUP(_1_54128456121462410464578910174[[#This Row],[Type]],Main[[#All],[TYPE]:[UNIT]],'Unit Price'!D$1,FALSE),0)</f>
        <v>0</v>
      </c>
      <c r="I590" s="194">
        <f>IF(_1_54128456121462410464578910174[[#This Row],[Type]]&gt;0,VLOOKUP(_1_54128456121462410464578910174[[#This Row],[Type]],Main[[#All],[TYPE]:[UNIT]],'Unit Price'!G$1,FALSE),0)</f>
        <v>0</v>
      </c>
      <c r="J590" s="194">
        <f>IF(_1_54128456121462410464578910174[[#This Row],[Type]]&gt;0,VLOOKUP(_1_54128456121462410464578910174[[#This Row],[Type]],Main[[#All],[TYPE]:[UNIT]],'Unit Price'!H$1,FALSE),0)</f>
        <v>0</v>
      </c>
      <c r="K590" s="194">
        <f>IF(_1_54128456121462410464578910174[[#This Row],[Discount selection]]&gt;0,VLOOKUP(_1_54128456121462410464578910174[[#This Row],[Discount selection]],'Discount Structure'!$A$2:$B$30,2,"false"),0)</f>
        <v>1</v>
      </c>
      <c r="L590" s="194">
        <f>_1_54128456121462410464578910174[[#This Row],[LIST $]]*_1_54128456121462410464578910174[[#This Row],[DISCOUNT]]*_1_54128456121462410464578910174[[#This Row],[DISCOUNT 2]]</f>
        <v>0</v>
      </c>
      <c r="M590" s="194">
        <f>IF(OR(_1_54128456121462410464578910174[[#This Row],[UNIT]]&gt;0,_1_54128456121462410464578910174[[#This Row],[UNIT]]&lt;0),_1_54128456121462410464578910174[[#This Row],[UNIT]]*_1_54128456121462410464578910174[[#This Row],[COST]],0)</f>
        <v>0</v>
      </c>
      <c r="N590" s="194">
        <f t="shared" si="9"/>
        <v>1.5</v>
      </c>
      <c r="O590" s="198">
        <f>_1_54128456121462410464578910174[[#This Row],[TOTAL]]*_1_54128456121462410464578910174[[#This Row],[MARGIN]]</f>
        <v>0</v>
      </c>
      <c r="R590" s="41"/>
    </row>
    <row r="591" spans="1:18">
      <c r="D591" s="188"/>
      <c r="F591" s="168" t="s">
        <v>6202</v>
      </c>
      <c r="G591" s="193">
        <f>IF(_1_54128456121462410464578910174[[#This Row],[Type]]&gt;0,VLOOKUP(_1_54128456121462410464578910174[[#This Row],[Type]],Main[[#All],[TYPE]:[UNIT]],'Unit Price'!C$1,FALSE),0)</f>
        <v>0</v>
      </c>
      <c r="H591" s="197">
        <f>IF(_1_54128456121462410464578910174[[#This Row],[Type]]&gt;0,VLOOKUP(_1_54128456121462410464578910174[[#This Row],[Type]],Main[[#All],[TYPE]:[UNIT]],'Unit Price'!D$1,FALSE),0)</f>
        <v>0</v>
      </c>
      <c r="I591" s="194">
        <f>IF(_1_54128456121462410464578910174[[#This Row],[Type]]&gt;0,VLOOKUP(_1_54128456121462410464578910174[[#This Row],[Type]],Main[[#All],[TYPE]:[UNIT]],'Unit Price'!G$1,FALSE),0)</f>
        <v>0</v>
      </c>
      <c r="J591" s="194">
        <f>IF(_1_54128456121462410464578910174[[#This Row],[Type]]&gt;0,VLOOKUP(_1_54128456121462410464578910174[[#This Row],[Type]],Main[[#All],[TYPE]:[UNIT]],'Unit Price'!H$1,FALSE),0)</f>
        <v>0</v>
      </c>
      <c r="K591" s="194">
        <f>IF(_1_54128456121462410464578910174[[#This Row],[Discount selection]]&gt;0,VLOOKUP(_1_54128456121462410464578910174[[#This Row],[Discount selection]],'Discount Structure'!$A$2:$B$30,2,"false"),0)</f>
        <v>1</v>
      </c>
      <c r="L591" s="194">
        <f>_1_54128456121462410464578910174[[#This Row],[LIST $]]*_1_54128456121462410464578910174[[#This Row],[DISCOUNT]]*_1_54128456121462410464578910174[[#This Row],[DISCOUNT 2]]</f>
        <v>0</v>
      </c>
      <c r="M591" s="194">
        <f>IF(OR(_1_54128456121462410464578910174[[#This Row],[UNIT]]&gt;0,_1_54128456121462410464578910174[[#This Row],[UNIT]]&lt;0),_1_54128456121462410464578910174[[#This Row],[UNIT]]*_1_54128456121462410464578910174[[#This Row],[COST]],0)</f>
        <v>0</v>
      </c>
      <c r="N591" s="194">
        <f t="shared" si="9"/>
        <v>1.5</v>
      </c>
      <c r="O591" s="198">
        <f>_1_54128456121462410464578910174[[#This Row],[TOTAL]]*_1_54128456121462410464578910174[[#This Row],[MARGIN]]</f>
        <v>0</v>
      </c>
      <c r="R591" s="41"/>
    </row>
    <row r="592" spans="1:18">
      <c r="D592" s="188"/>
      <c r="F592" s="168" t="s">
        <v>6202</v>
      </c>
      <c r="G592" s="193">
        <f>IF(_1_54128456121462410464578910174[[#This Row],[Type]]&gt;0,VLOOKUP(_1_54128456121462410464578910174[[#This Row],[Type]],Main[[#All],[TYPE]:[UNIT]],'Unit Price'!C$1,FALSE),0)</f>
        <v>0</v>
      </c>
      <c r="H592" s="197">
        <f>IF(_1_54128456121462410464578910174[[#This Row],[Type]]&gt;0,VLOOKUP(_1_54128456121462410464578910174[[#This Row],[Type]],Main[[#All],[TYPE]:[UNIT]],'Unit Price'!D$1,FALSE),0)</f>
        <v>0</v>
      </c>
      <c r="I592" s="194">
        <f>IF(_1_54128456121462410464578910174[[#This Row],[Type]]&gt;0,VLOOKUP(_1_54128456121462410464578910174[[#This Row],[Type]],Main[[#All],[TYPE]:[UNIT]],'Unit Price'!G$1,FALSE),0)</f>
        <v>0</v>
      </c>
      <c r="J592" s="194">
        <f>IF(_1_54128456121462410464578910174[[#This Row],[Type]]&gt;0,VLOOKUP(_1_54128456121462410464578910174[[#This Row],[Type]],Main[[#All],[TYPE]:[UNIT]],'Unit Price'!H$1,FALSE),0)</f>
        <v>0</v>
      </c>
      <c r="K592" s="194">
        <f>IF(_1_54128456121462410464578910174[[#This Row],[Discount selection]]&gt;0,VLOOKUP(_1_54128456121462410464578910174[[#This Row],[Discount selection]],'Discount Structure'!$A$2:$B$30,2,"false"),0)</f>
        <v>1</v>
      </c>
      <c r="L592" s="194">
        <f>_1_54128456121462410464578910174[[#This Row],[LIST $]]*_1_54128456121462410464578910174[[#This Row],[DISCOUNT]]*_1_54128456121462410464578910174[[#This Row],[DISCOUNT 2]]</f>
        <v>0</v>
      </c>
      <c r="M592" s="194">
        <f>IF(OR(_1_54128456121462410464578910174[[#This Row],[UNIT]]&gt;0,_1_54128456121462410464578910174[[#This Row],[UNIT]]&lt;0),_1_54128456121462410464578910174[[#This Row],[UNIT]]*_1_54128456121462410464578910174[[#This Row],[COST]],0)</f>
        <v>0</v>
      </c>
      <c r="N592" s="194">
        <f t="shared" si="9"/>
        <v>1.5</v>
      </c>
      <c r="O592" s="198">
        <f>_1_54128456121462410464578910174[[#This Row],[TOTAL]]*_1_54128456121462410464578910174[[#This Row],[MARGIN]]</f>
        <v>0</v>
      </c>
      <c r="R592" s="41"/>
    </row>
    <row r="593" spans="4:18">
      <c r="D593" s="188"/>
      <c r="F593" s="168" t="s">
        <v>6202</v>
      </c>
      <c r="G593" s="193">
        <f>IF(_1_54128456121462410464578910174[[#This Row],[Type]]&gt;0,VLOOKUP(_1_54128456121462410464578910174[[#This Row],[Type]],Main[[#All],[TYPE]:[UNIT]],'Unit Price'!C$1,FALSE),0)</f>
        <v>0</v>
      </c>
      <c r="H593" s="197">
        <f>IF(_1_54128456121462410464578910174[[#This Row],[Type]]&gt;0,VLOOKUP(_1_54128456121462410464578910174[[#This Row],[Type]],Main[[#All],[TYPE]:[UNIT]],'Unit Price'!D$1,FALSE),0)</f>
        <v>0</v>
      </c>
      <c r="I593" s="194">
        <f>IF(_1_54128456121462410464578910174[[#This Row],[Type]]&gt;0,VLOOKUP(_1_54128456121462410464578910174[[#This Row],[Type]],Main[[#All],[TYPE]:[UNIT]],'Unit Price'!G$1,FALSE),0)</f>
        <v>0</v>
      </c>
      <c r="J593" s="194">
        <f>IF(_1_54128456121462410464578910174[[#This Row],[Type]]&gt;0,VLOOKUP(_1_54128456121462410464578910174[[#This Row],[Type]],Main[[#All],[TYPE]:[UNIT]],'Unit Price'!H$1,FALSE),0)</f>
        <v>0</v>
      </c>
      <c r="K593" s="194">
        <f>IF(_1_54128456121462410464578910174[[#This Row],[Discount selection]]&gt;0,VLOOKUP(_1_54128456121462410464578910174[[#This Row],[Discount selection]],'Discount Structure'!$A$2:$B$30,2,"false"),0)</f>
        <v>1</v>
      </c>
      <c r="L593" s="194">
        <f>_1_54128456121462410464578910174[[#This Row],[LIST $]]*_1_54128456121462410464578910174[[#This Row],[DISCOUNT]]*_1_54128456121462410464578910174[[#This Row],[DISCOUNT 2]]</f>
        <v>0</v>
      </c>
      <c r="M593" s="194">
        <f>IF(OR(_1_54128456121462410464578910174[[#This Row],[UNIT]]&gt;0,_1_54128456121462410464578910174[[#This Row],[UNIT]]&lt;0),_1_54128456121462410464578910174[[#This Row],[UNIT]]*_1_54128456121462410464578910174[[#This Row],[COST]],0)</f>
        <v>0</v>
      </c>
      <c r="N593" s="194">
        <f t="shared" si="9"/>
        <v>1.5</v>
      </c>
      <c r="O593" s="198">
        <f>_1_54128456121462410464578910174[[#This Row],[TOTAL]]*_1_54128456121462410464578910174[[#This Row],[MARGIN]]</f>
        <v>0</v>
      </c>
      <c r="R593" s="41"/>
    </row>
    <row r="594" spans="4:18">
      <c r="D594" s="188"/>
      <c r="F594" s="168" t="s">
        <v>6202</v>
      </c>
      <c r="G594" s="193">
        <f>IF(_1_54128456121462410464578910174[[#This Row],[Type]]&gt;0,VLOOKUP(_1_54128456121462410464578910174[[#This Row],[Type]],Main[[#All],[TYPE]:[UNIT]],'Unit Price'!C$1,FALSE),0)</f>
        <v>0</v>
      </c>
      <c r="H594" s="197">
        <f>IF(_1_54128456121462410464578910174[[#This Row],[Type]]&gt;0,VLOOKUP(_1_54128456121462410464578910174[[#This Row],[Type]],Main[[#All],[TYPE]:[UNIT]],'Unit Price'!D$1,FALSE),0)</f>
        <v>0</v>
      </c>
      <c r="I594" s="194">
        <f>IF(_1_54128456121462410464578910174[[#This Row],[Type]]&gt;0,VLOOKUP(_1_54128456121462410464578910174[[#This Row],[Type]],Main[[#All],[TYPE]:[UNIT]],'Unit Price'!G$1,FALSE),0)</f>
        <v>0</v>
      </c>
      <c r="J594" s="194">
        <f>IF(_1_54128456121462410464578910174[[#This Row],[Type]]&gt;0,VLOOKUP(_1_54128456121462410464578910174[[#This Row],[Type]],Main[[#All],[TYPE]:[UNIT]],'Unit Price'!H$1,FALSE),0)</f>
        <v>0</v>
      </c>
      <c r="K594" s="194">
        <f>IF(_1_54128456121462410464578910174[[#This Row],[Discount selection]]&gt;0,VLOOKUP(_1_54128456121462410464578910174[[#This Row],[Discount selection]],'Discount Structure'!$A$2:$B$30,2,"false"),0)</f>
        <v>1</v>
      </c>
      <c r="L594" s="194">
        <f>_1_54128456121462410464578910174[[#This Row],[LIST $]]*_1_54128456121462410464578910174[[#This Row],[DISCOUNT]]*_1_54128456121462410464578910174[[#This Row],[DISCOUNT 2]]</f>
        <v>0</v>
      </c>
      <c r="M594" s="194">
        <f>IF(OR(_1_54128456121462410464578910174[[#This Row],[UNIT]]&gt;0,_1_54128456121462410464578910174[[#This Row],[UNIT]]&lt;0),_1_54128456121462410464578910174[[#This Row],[UNIT]]*_1_54128456121462410464578910174[[#This Row],[COST]],0)</f>
        <v>0</v>
      </c>
      <c r="N594" s="194">
        <f t="shared" si="9"/>
        <v>1.5</v>
      </c>
      <c r="O594" s="198">
        <f>_1_54128456121462410464578910174[[#This Row],[TOTAL]]*_1_54128456121462410464578910174[[#This Row],[MARGIN]]</f>
        <v>0</v>
      </c>
      <c r="R594" s="41"/>
    </row>
    <row r="595" spans="4:18">
      <c r="D595" s="188"/>
      <c r="F595" s="168" t="s">
        <v>6202</v>
      </c>
      <c r="G595" s="193">
        <f>IF(_1_54128456121462410464578910174[[#This Row],[Type]]&gt;0,VLOOKUP(_1_54128456121462410464578910174[[#This Row],[Type]],Main[[#All],[TYPE]:[UNIT]],'Unit Price'!C$1,FALSE),0)</f>
        <v>0</v>
      </c>
      <c r="H595" s="197">
        <f>IF(_1_54128456121462410464578910174[[#This Row],[Type]]&gt;0,VLOOKUP(_1_54128456121462410464578910174[[#This Row],[Type]],Main[[#All],[TYPE]:[UNIT]],'Unit Price'!D$1,FALSE),0)</f>
        <v>0</v>
      </c>
      <c r="I595" s="194">
        <f>IF(_1_54128456121462410464578910174[[#This Row],[Type]]&gt;0,VLOOKUP(_1_54128456121462410464578910174[[#This Row],[Type]],Main[[#All],[TYPE]:[UNIT]],'Unit Price'!G$1,FALSE),0)</f>
        <v>0</v>
      </c>
      <c r="J595" s="194">
        <f>IF(_1_54128456121462410464578910174[[#This Row],[Type]]&gt;0,VLOOKUP(_1_54128456121462410464578910174[[#This Row],[Type]],Main[[#All],[TYPE]:[UNIT]],'Unit Price'!H$1,FALSE),0)</f>
        <v>0</v>
      </c>
      <c r="K595" s="194">
        <f>IF(_1_54128456121462410464578910174[[#This Row],[Discount selection]]&gt;0,VLOOKUP(_1_54128456121462410464578910174[[#This Row],[Discount selection]],'Discount Structure'!$A$2:$B$30,2,"false"),0)</f>
        <v>1</v>
      </c>
      <c r="L595" s="194">
        <f>_1_54128456121462410464578910174[[#This Row],[LIST $]]*_1_54128456121462410464578910174[[#This Row],[DISCOUNT]]*_1_54128456121462410464578910174[[#This Row],[DISCOUNT 2]]</f>
        <v>0</v>
      </c>
      <c r="M595" s="194">
        <f>IF(OR(_1_54128456121462410464578910174[[#This Row],[UNIT]]&gt;0,_1_54128456121462410464578910174[[#This Row],[UNIT]]&lt;0),_1_54128456121462410464578910174[[#This Row],[UNIT]]*_1_54128456121462410464578910174[[#This Row],[COST]],0)</f>
        <v>0</v>
      </c>
      <c r="N595" s="194">
        <f t="shared" si="9"/>
        <v>1.5</v>
      </c>
      <c r="O595" s="198">
        <f>_1_54128456121462410464578910174[[#This Row],[TOTAL]]*_1_54128456121462410464578910174[[#This Row],[MARGIN]]</f>
        <v>0</v>
      </c>
      <c r="R595" s="41"/>
    </row>
    <row r="596" spans="4:18">
      <c r="D596" s="188"/>
      <c r="F596" s="168" t="s">
        <v>6202</v>
      </c>
      <c r="G596" s="193">
        <f>IF(_1_54128456121462410464578910174[[#This Row],[Type]]&gt;0,VLOOKUP(_1_54128456121462410464578910174[[#This Row],[Type]],Main[[#All],[TYPE]:[UNIT]],'Unit Price'!C$1,FALSE),0)</f>
        <v>0</v>
      </c>
      <c r="H596" s="197">
        <f>IF(_1_54128456121462410464578910174[[#This Row],[Type]]&gt;0,VLOOKUP(_1_54128456121462410464578910174[[#This Row],[Type]],Main[[#All],[TYPE]:[UNIT]],'Unit Price'!D$1,FALSE),0)</f>
        <v>0</v>
      </c>
      <c r="I596" s="194">
        <f>IF(_1_54128456121462410464578910174[[#This Row],[Type]]&gt;0,VLOOKUP(_1_54128456121462410464578910174[[#This Row],[Type]],Main[[#All],[TYPE]:[UNIT]],'Unit Price'!G$1,FALSE),0)</f>
        <v>0</v>
      </c>
      <c r="J596" s="194">
        <f>IF(_1_54128456121462410464578910174[[#This Row],[Type]]&gt;0,VLOOKUP(_1_54128456121462410464578910174[[#This Row],[Type]],Main[[#All],[TYPE]:[UNIT]],'Unit Price'!H$1,FALSE),0)</f>
        <v>0</v>
      </c>
      <c r="K596" s="194">
        <f>IF(_1_54128456121462410464578910174[[#This Row],[Discount selection]]&gt;0,VLOOKUP(_1_54128456121462410464578910174[[#This Row],[Discount selection]],'Discount Structure'!$A$2:$B$30,2,"false"),0)</f>
        <v>1</v>
      </c>
      <c r="L596" s="194">
        <f>_1_54128456121462410464578910174[[#This Row],[LIST $]]*_1_54128456121462410464578910174[[#This Row],[DISCOUNT]]*_1_54128456121462410464578910174[[#This Row],[DISCOUNT 2]]</f>
        <v>0</v>
      </c>
      <c r="M596" s="194">
        <f>IF(OR(_1_54128456121462410464578910174[[#This Row],[UNIT]]&gt;0,_1_54128456121462410464578910174[[#This Row],[UNIT]]&lt;0),_1_54128456121462410464578910174[[#This Row],[UNIT]]*_1_54128456121462410464578910174[[#This Row],[COST]],0)</f>
        <v>0</v>
      </c>
      <c r="N596" s="194">
        <f t="shared" si="9"/>
        <v>1.5</v>
      </c>
      <c r="O596" s="198">
        <f>_1_54128456121462410464578910174[[#This Row],[TOTAL]]*_1_54128456121462410464578910174[[#This Row],[MARGIN]]</f>
        <v>0</v>
      </c>
      <c r="R596" s="41"/>
    </row>
    <row r="597" spans="4:18">
      <c r="D597" s="188"/>
      <c r="F597" s="168" t="s">
        <v>6202</v>
      </c>
      <c r="G597" s="193">
        <f>IF(_1_54128456121462410464578910174[[#This Row],[Type]]&gt;0,VLOOKUP(_1_54128456121462410464578910174[[#This Row],[Type]],Main[[#All],[TYPE]:[UNIT]],'Unit Price'!C$1,FALSE),0)</f>
        <v>0</v>
      </c>
      <c r="H597" s="197">
        <f>IF(_1_54128456121462410464578910174[[#This Row],[Type]]&gt;0,VLOOKUP(_1_54128456121462410464578910174[[#This Row],[Type]],Main[[#All],[TYPE]:[UNIT]],'Unit Price'!D$1,FALSE),0)</f>
        <v>0</v>
      </c>
      <c r="I597" s="194">
        <f>IF(_1_54128456121462410464578910174[[#This Row],[Type]]&gt;0,VLOOKUP(_1_54128456121462410464578910174[[#This Row],[Type]],Main[[#All],[TYPE]:[UNIT]],'Unit Price'!G$1,FALSE),0)</f>
        <v>0</v>
      </c>
      <c r="J597" s="194">
        <f>IF(_1_54128456121462410464578910174[[#This Row],[Type]]&gt;0,VLOOKUP(_1_54128456121462410464578910174[[#This Row],[Type]],Main[[#All],[TYPE]:[UNIT]],'Unit Price'!H$1,FALSE),0)</f>
        <v>0</v>
      </c>
      <c r="K597" s="194">
        <f>IF(_1_54128456121462410464578910174[[#This Row],[Discount selection]]&gt;0,VLOOKUP(_1_54128456121462410464578910174[[#This Row],[Discount selection]],'Discount Structure'!$A$2:$B$30,2,"false"),0)</f>
        <v>1</v>
      </c>
      <c r="L597" s="194">
        <f>_1_54128456121462410464578910174[[#This Row],[LIST $]]*_1_54128456121462410464578910174[[#This Row],[DISCOUNT]]*_1_54128456121462410464578910174[[#This Row],[DISCOUNT 2]]</f>
        <v>0</v>
      </c>
      <c r="M597" s="194">
        <f>IF(OR(_1_54128456121462410464578910174[[#This Row],[UNIT]]&gt;0,_1_54128456121462410464578910174[[#This Row],[UNIT]]&lt;0),_1_54128456121462410464578910174[[#This Row],[UNIT]]*_1_54128456121462410464578910174[[#This Row],[COST]],0)</f>
        <v>0</v>
      </c>
      <c r="N597" s="194">
        <f t="shared" si="9"/>
        <v>1.5</v>
      </c>
      <c r="O597" s="198">
        <f>_1_54128456121462410464578910174[[#This Row],[TOTAL]]*_1_54128456121462410464578910174[[#This Row],[MARGIN]]</f>
        <v>0</v>
      </c>
      <c r="R597" s="41"/>
    </row>
    <row r="598" spans="4:18">
      <c r="D598" s="188"/>
      <c r="F598" s="168" t="s">
        <v>6202</v>
      </c>
      <c r="G598" s="193">
        <f>IF(_1_54128456121462410464578910174[[#This Row],[Type]]&gt;0,VLOOKUP(_1_54128456121462410464578910174[[#This Row],[Type]],Main[[#All],[TYPE]:[UNIT]],'Unit Price'!C$1,FALSE),0)</f>
        <v>0</v>
      </c>
      <c r="H598" s="197">
        <f>IF(_1_54128456121462410464578910174[[#This Row],[Type]]&gt;0,VLOOKUP(_1_54128456121462410464578910174[[#This Row],[Type]],Main[[#All],[TYPE]:[UNIT]],'Unit Price'!D$1,FALSE),0)</f>
        <v>0</v>
      </c>
      <c r="I598" s="194">
        <f>IF(_1_54128456121462410464578910174[[#This Row],[Type]]&gt;0,VLOOKUP(_1_54128456121462410464578910174[[#This Row],[Type]],Main[[#All],[TYPE]:[UNIT]],'Unit Price'!G$1,FALSE),0)</f>
        <v>0</v>
      </c>
      <c r="J598" s="194">
        <f>IF(_1_54128456121462410464578910174[[#This Row],[Type]]&gt;0,VLOOKUP(_1_54128456121462410464578910174[[#This Row],[Type]],Main[[#All],[TYPE]:[UNIT]],'Unit Price'!H$1,FALSE),0)</f>
        <v>0</v>
      </c>
      <c r="K598" s="194">
        <f>IF(_1_54128456121462410464578910174[[#This Row],[Discount selection]]&gt;0,VLOOKUP(_1_54128456121462410464578910174[[#This Row],[Discount selection]],'Discount Structure'!$A$2:$B$30,2,"false"),0)</f>
        <v>1</v>
      </c>
      <c r="L598" s="194">
        <f>_1_54128456121462410464578910174[[#This Row],[LIST $]]*_1_54128456121462410464578910174[[#This Row],[DISCOUNT]]*_1_54128456121462410464578910174[[#This Row],[DISCOUNT 2]]</f>
        <v>0</v>
      </c>
      <c r="M598" s="194">
        <f>IF(OR(_1_54128456121462410464578910174[[#This Row],[UNIT]]&gt;0,_1_54128456121462410464578910174[[#This Row],[UNIT]]&lt;0),_1_54128456121462410464578910174[[#This Row],[UNIT]]*_1_54128456121462410464578910174[[#This Row],[COST]],0)</f>
        <v>0</v>
      </c>
      <c r="N598" s="194">
        <f t="shared" si="9"/>
        <v>1.5</v>
      </c>
      <c r="O598" s="198">
        <f>_1_54128456121462410464578910174[[#This Row],[TOTAL]]*_1_54128456121462410464578910174[[#This Row],[MARGIN]]</f>
        <v>0</v>
      </c>
      <c r="R598" s="41"/>
    </row>
    <row r="599" spans="4:18">
      <c r="D599" s="188"/>
      <c r="F599" s="168" t="s">
        <v>6202</v>
      </c>
      <c r="G599" s="193">
        <f>IF(_1_54128456121462410464578910174[[#This Row],[Type]]&gt;0,VLOOKUP(_1_54128456121462410464578910174[[#This Row],[Type]],Main[[#All],[TYPE]:[UNIT]],'Unit Price'!C$1,FALSE),0)</f>
        <v>0</v>
      </c>
      <c r="H599" s="197">
        <f>IF(_1_54128456121462410464578910174[[#This Row],[Type]]&gt;0,VLOOKUP(_1_54128456121462410464578910174[[#This Row],[Type]],Main[[#All],[TYPE]:[UNIT]],'Unit Price'!D$1,FALSE),0)</f>
        <v>0</v>
      </c>
      <c r="I599" s="194">
        <f>IF(_1_54128456121462410464578910174[[#This Row],[Type]]&gt;0,VLOOKUP(_1_54128456121462410464578910174[[#This Row],[Type]],Main[[#All],[TYPE]:[UNIT]],'Unit Price'!G$1,FALSE),0)</f>
        <v>0</v>
      </c>
      <c r="J599" s="194">
        <f>IF(_1_54128456121462410464578910174[[#This Row],[Type]]&gt;0,VLOOKUP(_1_54128456121462410464578910174[[#This Row],[Type]],Main[[#All],[TYPE]:[UNIT]],'Unit Price'!H$1,FALSE),0)</f>
        <v>0</v>
      </c>
      <c r="K599" s="194">
        <f>IF(_1_54128456121462410464578910174[[#This Row],[Discount selection]]&gt;0,VLOOKUP(_1_54128456121462410464578910174[[#This Row],[Discount selection]],'Discount Structure'!$A$2:$B$30,2,"false"),0)</f>
        <v>1</v>
      </c>
      <c r="L599" s="194">
        <f>_1_54128456121462410464578910174[[#This Row],[LIST $]]*_1_54128456121462410464578910174[[#This Row],[DISCOUNT]]*_1_54128456121462410464578910174[[#This Row],[DISCOUNT 2]]</f>
        <v>0</v>
      </c>
      <c r="M599" s="194">
        <f>IF(OR(_1_54128456121462410464578910174[[#This Row],[UNIT]]&gt;0,_1_54128456121462410464578910174[[#This Row],[UNIT]]&lt;0),_1_54128456121462410464578910174[[#This Row],[UNIT]]*_1_54128456121462410464578910174[[#This Row],[COST]],0)</f>
        <v>0</v>
      </c>
      <c r="N599" s="194">
        <f t="shared" si="9"/>
        <v>1.5</v>
      </c>
      <c r="O599" s="198">
        <f>_1_54128456121462410464578910174[[#This Row],[TOTAL]]*_1_54128456121462410464578910174[[#This Row],[MARGIN]]</f>
        <v>0</v>
      </c>
      <c r="R599" s="41"/>
    </row>
    <row r="600" spans="4:18">
      <c r="D600" s="188"/>
      <c r="F600" s="168" t="s">
        <v>6202</v>
      </c>
      <c r="G600" s="193">
        <f>IF(_1_54128456121462410464578910174[[#This Row],[Type]]&gt;0,VLOOKUP(_1_54128456121462410464578910174[[#This Row],[Type]],Main[[#All],[TYPE]:[UNIT]],'Unit Price'!C$1,FALSE),0)</f>
        <v>0</v>
      </c>
      <c r="H600" s="197">
        <f>IF(_1_54128456121462410464578910174[[#This Row],[Type]]&gt;0,VLOOKUP(_1_54128456121462410464578910174[[#This Row],[Type]],Main[[#All],[TYPE]:[UNIT]],'Unit Price'!D$1,FALSE),0)</f>
        <v>0</v>
      </c>
      <c r="I600" s="194">
        <f>IF(_1_54128456121462410464578910174[[#This Row],[Type]]&gt;0,VLOOKUP(_1_54128456121462410464578910174[[#This Row],[Type]],Main[[#All],[TYPE]:[UNIT]],'Unit Price'!G$1,FALSE),0)</f>
        <v>0</v>
      </c>
      <c r="J600" s="194">
        <f>IF(_1_54128456121462410464578910174[[#This Row],[Type]]&gt;0,VLOOKUP(_1_54128456121462410464578910174[[#This Row],[Type]],Main[[#All],[TYPE]:[UNIT]],'Unit Price'!H$1,FALSE),0)</f>
        <v>0</v>
      </c>
      <c r="K600" s="194">
        <f>IF(_1_54128456121462410464578910174[[#This Row],[Discount selection]]&gt;0,VLOOKUP(_1_54128456121462410464578910174[[#This Row],[Discount selection]],'Discount Structure'!$A$2:$B$30,2,"false"),0)</f>
        <v>1</v>
      </c>
      <c r="L600" s="194">
        <f>_1_54128456121462410464578910174[[#This Row],[LIST $]]*_1_54128456121462410464578910174[[#This Row],[DISCOUNT]]*_1_54128456121462410464578910174[[#This Row],[DISCOUNT 2]]</f>
        <v>0</v>
      </c>
      <c r="M600" s="194">
        <f>IF(OR(_1_54128456121462410464578910174[[#This Row],[UNIT]]&gt;0,_1_54128456121462410464578910174[[#This Row],[UNIT]]&lt;0),_1_54128456121462410464578910174[[#This Row],[UNIT]]*_1_54128456121462410464578910174[[#This Row],[COST]],0)</f>
        <v>0</v>
      </c>
      <c r="N600" s="194">
        <f t="shared" si="9"/>
        <v>1.5</v>
      </c>
      <c r="O600" s="198">
        <f>_1_54128456121462410464578910174[[#This Row],[TOTAL]]*_1_54128456121462410464578910174[[#This Row],[MARGIN]]</f>
        <v>0</v>
      </c>
      <c r="R600" s="41"/>
    </row>
    <row r="601" spans="4:18">
      <c r="D601" s="188"/>
      <c r="F601" s="168" t="s">
        <v>6202</v>
      </c>
      <c r="G601" s="193">
        <f>IF(_1_54128456121462410464578910174[[#This Row],[Type]]&gt;0,VLOOKUP(_1_54128456121462410464578910174[[#This Row],[Type]],Main[[#All],[TYPE]:[UNIT]],'Unit Price'!C$1,FALSE),0)</f>
        <v>0</v>
      </c>
      <c r="H601" s="197">
        <f>IF(_1_54128456121462410464578910174[[#This Row],[Type]]&gt;0,VLOOKUP(_1_54128456121462410464578910174[[#This Row],[Type]],Main[[#All],[TYPE]:[UNIT]],'Unit Price'!D$1,FALSE),0)</f>
        <v>0</v>
      </c>
      <c r="I601" s="194">
        <f>IF(_1_54128456121462410464578910174[[#This Row],[Type]]&gt;0,VLOOKUP(_1_54128456121462410464578910174[[#This Row],[Type]],Main[[#All],[TYPE]:[UNIT]],'Unit Price'!G$1,FALSE),0)</f>
        <v>0</v>
      </c>
      <c r="J601" s="194">
        <f>IF(_1_54128456121462410464578910174[[#This Row],[Type]]&gt;0,VLOOKUP(_1_54128456121462410464578910174[[#This Row],[Type]],Main[[#All],[TYPE]:[UNIT]],'Unit Price'!H$1,FALSE),0)</f>
        <v>0</v>
      </c>
      <c r="K601" s="194">
        <f>IF(_1_54128456121462410464578910174[[#This Row],[Discount selection]]&gt;0,VLOOKUP(_1_54128456121462410464578910174[[#This Row],[Discount selection]],'Discount Structure'!$A$2:$B$30,2,"false"),0)</f>
        <v>1</v>
      </c>
      <c r="L601" s="194">
        <f>_1_54128456121462410464578910174[[#This Row],[LIST $]]*_1_54128456121462410464578910174[[#This Row],[DISCOUNT]]*_1_54128456121462410464578910174[[#This Row],[DISCOUNT 2]]</f>
        <v>0</v>
      </c>
      <c r="M601" s="194">
        <f>IF(OR(_1_54128456121462410464578910174[[#This Row],[UNIT]]&gt;0,_1_54128456121462410464578910174[[#This Row],[UNIT]]&lt;0),_1_54128456121462410464578910174[[#This Row],[UNIT]]*_1_54128456121462410464578910174[[#This Row],[COST]],0)</f>
        <v>0</v>
      </c>
      <c r="N601" s="194">
        <f t="shared" si="9"/>
        <v>1.5</v>
      </c>
      <c r="O601" s="198">
        <f>_1_54128456121462410464578910174[[#This Row],[TOTAL]]*_1_54128456121462410464578910174[[#This Row],[MARGIN]]</f>
        <v>0</v>
      </c>
      <c r="R601" s="41"/>
    </row>
    <row r="602" spans="4:18">
      <c r="D602" s="188"/>
      <c r="F602" s="168" t="s">
        <v>6202</v>
      </c>
      <c r="G602" s="193">
        <f>IF(_1_54128456121462410464578910174[[#This Row],[Type]]&gt;0,VLOOKUP(_1_54128456121462410464578910174[[#This Row],[Type]],Main[[#All],[TYPE]:[UNIT]],'Unit Price'!C$1,FALSE),0)</f>
        <v>0</v>
      </c>
      <c r="H602" s="197">
        <f>IF(_1_54128456121462410464578910174[[#This Row],[Type]]&gt;0,VLOOKUP(_1_54128456121462410464578910174[[#This Row],[Type]],Main[[#All],[TYPE]:[UNIT]],'Unit Price'!D$1,FALSE),0)</f>
        <v>0</v>
      </c>
      <c r="I602" s="194">
        <f>IF(_1_54128456121462410464578910174[[#This Row],[Type]]&gt;0,VLOOKUP(_1_54128456121462410464578910174[[#This Row],[Type]],Main[[#All],[TYPE]:[UNIT]],'Unit Price'!G$1,FALSE),0)</f>
        <v>0</v>
      </c>
      <c r="J602" s="194">
        <f>IF(_1_54128456121462410464578910174[[#This Row],[Type]]&gt;0,VLOOKUP(_1_54128456121462410464578910174[[#This Row],[Type]],Main[[#All],[TYPE]:[UNIT]],'Unit Price'!H$1,FALSE),0)</f>
        <v>0</v>
      </c>
      <c r="K602" s="194">
        <f>IF(_1_54128456121462410464578910174[[#This Row],[Discount selection]]&gt;0,VLOOKUP(_1_54128456121462410464578910174[[#This Row],[Discount selection]],'Discount Structure'!$A$2:$B$30,2,"false"),0)</f>
        <v>1</v>
      </c>
      <c r="L602" s="194">
        <f>_1_54128456121462410464578910174[[#This Row],[LIST $]]*_1_54128456121462410464578910174[[#This Row],[DISCOUNT]]*_1_54128456121462410464578910174[[#This Row],[DISCOUNT 2]]</f>
        <v>0</v>
      </c>
      <c r="M602" s="194">
        <f>IF(OR(_1_54128456121462410464578910174[[#This Row],[UNIT]]&gt;0,_1_54128456121462410464578910174[[#This Row],[UNIT]]&lt;0),_1_54128456121462410464578910174[[#This Row],[UNIT]]*_1_54128456121462410464578910174[[#This Row],[COST]],0)</f>
        <v>0</v>
      </c>
      <c r="N602" s="194">
        <f t="shared" si="9"/>
        <v>1.5</v>
      </c>
      <c r="O602" s="198">
        <f>_1_54128456121462410464578910174[[#This Row],[TOTAL]]*_1_54128456121462410464578910174[[#This Row],[MARGIN]]</f>
        <v>0</v>
      </c>
      <c r="R602" s="41"/>
    </row>
    <row r="603" spans="4:18">
      <c r="D603" s="188"/>
      <c r="F603" s="168" t="s">
        <v>6202</v>
      </c>
      <c r="G603" s="193">
        <f>IF(_1_54128456121462410464578910174[[#This Row],[Type]]&gt;0,VLOOKUP(_1_54128456121462410464578910174[[#This Row],[Type]],Main[[#All],[TYPE]:[UNIT]],'Unit Price'!C$1,FALSE),0)</f>
        <v>0</v>
      </c>
      <c r="H603" s="197">
        <f>IF(_1_54128456121462410464578910174[[#This Row],[Type]]&gt;0,VLOOKUP(_1_54128456121462410464578910174[[#This Row],[Type]],Main[[#All],[TYPE]:[UNIT]],'Unit Price'!D$1,FALSE),0)</f>
        <v>0</v>
      </c>
      <c r="I603" s="194">
        <f>IF(_1_54128456121462410464578910174[[#This Row],[Type]]&gt;0,VLOOKUP(_1_54128456121462410464578910174[[#This Row],[Type]],Main[[#All],[TYPE]:[UNIT]],'Unit Price'!G$1,FALSE),0)</f>
        <v>0</v>
      </c>
      <c r="J603" s="194">
        <f>IF(_1_54128456121462410464578910174[[#This Row],[Type]]&gt;0,VLOOKUP(_1_54128456121462410464578910174[[#This Row],[Type]],Main[[#All],[TYPE]:[UNIT]],'Unit Price'!H$1,FALSE),0)</f>
        <v>0</v>
      </c>
      <c r="K603" s="194">
        <f>IF(_1_54128456121462410464578910174[[#This Row],[Discount selection]]&gt;0,VLOOKUP(_1_54128456121462410464578910174[[#This Row],[Discount selection]],'Discount Structure'!$A$2:$B$30,2,"false"),0)</f>
        <v>1</v>
      </c>
      <c r="L603" s="194">
        <f>_1_54128456121462410464578910174[[#This Row],[LIST $]]*_1_54128456121462410464578910174[[#This Row],[DISCOUNT]]*_1_54128456121462410464578910174[[#This Row],[DISCOUNT 2]]</f>
        <v>0</v>
      </c>
      <c r="M603" s="194">
        <f>IF(OR(_1_54128456121462410464578910174[[#This Row],[UNIT]]&gt;0,_1_54128456121462410464578910174[[#This Row],[UNIT]]&lt;0),_1_54128456121462410464578910174[[#This Row],[UNIT]]*_1_54128456121462410464578910174[[#This Row],[COST]],0)</f>
        <v>0</v>
      </c>
      <c r="N603" s="194">
        <f t="shared" si="9"/>
        <v>1.5</v>
      </c>
      <c r="O603" s="198">
        <f>_1_54128456121462410464578910174[[#This Row],[TOTAL]]*_1_54128456121462410464578910174[[#This Row],[MARGIN]]</f>
        <v>0</v>
      </c>
      <c r="R603" s="41"/>
    </row>
    <row r="604" spans="4:18">
      <c r="D604" s="188"/>
      <c r="F604" s="168" t="s">
        <v>6202</v>
      </c>
      <c r="G604" s="193">
        <f>IF(_1_54128456121462410464578910174[[#This Row],[Type]]&gt;0,VLOOKUP(_1_54128456121462410464578910174[[#This Row],[Type]],Main[[#All],[TYPE]:[UNIT]],'Unit Price'!C$1,FALSE),0)</f>
        <v>0</v>
      </c>
      <c r="H604" s="197">
        <f>IF(_1_54128456121462410464578910174[[#This Row],[Type]]&gt;0,VLOOKUP(_1_54128456121462410464578910174[[#This Row],[Type]],Main[[#All],[TYPE]:[UNIT]],'Unit Price'!D$1,FALSE),0)</f>
        <v>0</v>
      </c>
      <c r="I604" s="194">
        <f>IF(_1_54128456121462410464578910174[[#This Row],[Type]]&gt;0,VLOOKUP(_1_54128456121462410464578910174[[#This Row],[Type]],Main[[#All],[TYPE]:[UNIT]],'Unit Price'!G$1,FALSE),0)</f>
        <v>0</v>
      </c>
      <c r="J604" s="194">
        <f>IF(_1_54128456121462410464578910174[[#This Row],[Type]]&gt;0,VLOOKUP(_1_54128456121462410464578910174[[#This Row],[Type]],Main[[#All],[TYPE]:[UNIT]],'Unit Price'!H$1,FALSE),0)</f>
        <v>0</v>
      </c>
      <c r="K604" s="194">
        <f>IF(_1_54128456121462410464578910174[[#This Row],[Discount selection]]&gt;0,VLOOKUP(_1_54128456121462410464578910174[[#This Row],[Discount selection]],'Discount Structure'!$A$2:$B$30,2,"false"),0)</f>
        <v>1</v>
      </c>
      <c r="L604" s="194">
        <f>_1_54128456121462410464578910174[[#This Row],[LIST $]]*_1_54128456121462410464578910174[[#This Row],[DISCOUNT]]*_1_54128456121462410464578910174[[#This Row],[DISCOUNT 2]]</f>
        <v>0</v>
      </c>
      <c r="M604" s="194">
        <f>IF(OR(_1_54128456121462410464578910174[[#This Row],[UNIT]]&gt;0,_1_54128456121462410464578910174[[#This Row],[UNIT]]&lt;0),_1_54128456121462410464578910174[[#This Row],[UNIT]]*_1_54128456121462410464578910174[[#This Row],[COST]],0)</f>
        <v>0</v>
      </c>
      <c r="N604" s="194">
        <f t="shared" si="9"/>
        <v>1.5</v>
      </c>
      <c r="O604" s="198">
        <f>_1_54128456121462410464578910174[[#This Row],[TOTAL]]*_1_54128456121462410464578910174[[#This Row],[MARGIN]]</f>
        <v>0</v>
      </c>
      <c r="R604" s="41"/>
    </row>
    <row r="605" spans="4:18">
      <c r="D605" s="188"/>
      <c r="F605" s="168" t="s">
        <v>6202</v>
      </c>
      <c r="G605" s="193">
        <f>IF(_1_54128456121462410464578910174[[#This Row],[Type]]&gt;0,VLOOKUP(_1_54128456121462410464578910174[[#This Row],[Type]],Main[[#All],[TYPE]:[UNIT]],'Unit Price'!C$1,FALSE),0)</f>
        <v>0</v>
      </c>
      <c r="H605" s="197">
        <f>IF(_1_54128456121462410464578910174[[#This Row],[Type]]&gt;0,VLOOKUP(_1_54128456121462410464578910174[[#This Row],[Type]],Main[[#All],[TYPE]:[UNIT]],'Unit Price'!D$1,FALSE),0)</f>
        <v>0</v>
      </c>
      <c r="I605" s="194">
        <f>IF(_1_54128456121462410464578910174[[#This Row],[Type]]&gt;0,VLOOKUP(_1_54128456121462410464578910174[[#This Row],[Type]],Main[[#All],[TYPE]:[UNIT]],'Unit Price'!G$1,FALSE),0)</f>
        <v>0</v>
      </c>
      <c r="J605" s="194">
        <f>IF(_1_54128456121462410464578910174[[#This Row],[Type]]&gt;0,VLOOKUP(_1_54128456121462410464578910174[[#This Row],[Type]],Main[[#All],[TYPE]:[UNIT]],'Unit Price'!H$1,FALSE),0)</f>
        <v>0</v>
      </c>
      <c r="K605" s="194">
        <f>IF(_1_54128456121462410464578910174[[#This Row],[Discount selection]]&gt;0,VLOOKUP(_1_54128456121462410464578910174[[#This Row],[Discount selection]],'Discount Structure'!$A$2:$B$30,2,"false"),0)</f>
        <v>1</v>
      </c>
      <c r="L605" s="194">
        <f>_1_54128456121462410464578910174[[#This Row],[LIST $]]*_1_54128456121462410464578910174[[#This Row],[DISCOUNT]]*_1_54128456121462410464578910174[[#This Row],[DISCOUNT 2]]</f>
        <v>0</v>
      </c>
      <c r="M605" s="194">
        <f>IF(OR(_1_54128456121462410464578910174[[#This Row],[UNIT]]&gt;0,_1_54128456121462410464578910174[[#This Row],[UNIT]]&lt;0),_1_54128456121462410464578910174[[#This Row],[UNIT]]*_1_54128456121462410464578910174[[#This Row],[COST]],0)</f>
        <v>0</v>
      </c>
      <c r="N605" s="194">
        <f t="shared" si="9"/>
        <v>1.5</v>
      </c>
      <c r="O605" s="198">
        <f>_1_54128456121462410464578910174[[#This Row],[TOTAL]]*_1_54128456121462410464578910174[[#This Row],[MARGIN]]</f>
        <v>0</v>
      </c>
      <c r="R605" s="41"/>
    </row>
    <row r="606" spans="4:18">
      <c r="D606" s="188"/>
      <c r="F606" s="168" t="s">
        <v>6202</v>
      </c>
      <c r="G606" s="193">
        <f>IF(_1_54128456121462410464578910174[[#This Row],[Type]]&gt;0,VLOOKUP(_1_54128456121462410464578910174[[#This Row],[Type]],Main[[#All],[TYPE]:[UNIT]],'Unit Price'!C$1,FALSE),0)</f>
        <v>0</v>
      </c>
      <c r="H606" s="197">
        <f>IF(_1_54128456121462410464578910174[[#This Row],[Type]]&gt;0,VLOOKUP(_1_54128456121462410464578910174[[#This Row],[Type]],Main[[#All],[TYPE]:[UNIT]],'Unit Price'!D$1,FALSE),0)</f>
        <v>0</v>
      </c>
      <c r="I606" s="194">
        <f>IF(_1_54128456121462410464578910174[[#This Row],[Type]]&gt;0,VLOOKUP(_1_54128456121462410464578910174[[#This Row],[Type]],Main[[#All],[TYPE]:[UNIT]],'Unit Price'!G$1,FALSE),0)</f>
        <v>0</v>
      </c>
      <c r="J606" s="194">
        <f>IF(_1_54128456121462410464578910174[[#This Row],[Type]]&gt;0,VLOOKUP(_1_54128456121462410464578910174[[#This Row],[Type]],Main[[#All],[TYPE]:[UNIT]],'Unit Price'!H$1,FALSE),0)</f>
        <v>0</v>
      </c>
      <c r="K606" s="194">
        <f>IF(_1_54128456121462410464578910174[[#This Row],[Discount selection]]&gt;0,VLOOKUP(_1_54128456121462410464578910174[[#This Row],[Discount selection]],'Discount Structure'!$A$2:$B$30,2,"false"),0)</f>
        <v>1</v>
      </c>
      <c r="L606" s="194">
        <f>_1_54128456121462410464578910174[[#This Row],[LIST $]]*_1_54128456121462410464578910174[[#This Row],[DISCOUNT]]*_1_54128456121462410464578910174[[#This Row],[DISCOUNT 2]]</f>
        <v>0</v>
      </c>
      <c r="M606" s="194">
        <f>IF(OR(_1_54128456121462410464578910174[[#This Row],[UNIT]]&gt;0,_1_54128456121462410464578910174[[#This Row],[UNIT]]&lt;0),_1_54128456121462410464578910174[[#This Row],[UNIT]]*_1_54128456121462410464578910174[[#This Row],[COST]],0)</f>
        <v>0</v>
      </c>
      <c r="N606" s="194">
        <f t="shared" si="9"/>
        <v>1.5</v>
      </c>
      <c r="O606" s="198">
        <f>_1_54128456121462410464578910174[[#This Row],[TOTAL]]*_1_54128456121462410464578910174[[#This Row],[MARGIN]]</f>
        <v>0</v>
      </c>
      <c r="R606" s="41"/>
    </row>
    <row r="607" spans="4:18">
      <c r="D607" s="188"/>
      <c r="F607" s="168" t="s">
        <v>6202</v>
      </c>
      <c r="G607" s="193">
        <f>IF(_1_54128456121462410464578910174[[#This Row],[Type]]&gt;0,VLOOKUP(_1_54128456121462410464578910174[[#This Row],[Type]],Main[[#All],[TYPE]:[UNIT]],'Unit Price'!C$1,FALSE),0)</f>
        <v>0</v>
      </c>
      <c r="H607" s="197">
        <f>IF(_1_54128456121462410464578910174[[#This Row],[Type]]&gt;0,VLOOKUP(_1_54128456121462410464578910174[[#This Row],[Type]],Main[[#All],[TYPE]:[UNIT]],'Unit Price'!D$1,FALSE),0)</f>
        <v>0</v>
      </c>
      <c r="I607" s="194">
        <f>IF(_1_54128456121462410464578910174[[#This Row],[Type]]&gt;0,VLOOKUP(_1_54128456121462410464578910174[[#This Row],[Type]],Main[[#All],[TYPE]:[UNIT]],'Unit Price'!G$1,FALSE),0)</f>
        <v>0</v>
      </c>
      <c r="J607" s="194">
        <f>IF(_1_54128456121462410464578910174[[#This Row],[Type]]&gt;0,VLOOKUP(_1_54128456121462410464578910174[[#This Row],[Type]],Main[[#All],[TYPE]:[UNIT]],'Unit Price'!H$1,FALSE),0)</f>
        <v>0</v>
      </c>
      <c r="K607" s="194">
        <f>IF(_1_54128456121462410464578910174[[#This Row],[Discount selection]]&gt;0,VLOOKUP(_1_54128456121462410464578910174[[#This Row],[Discount selection]],'Discount Structure'!$A$2:$B$30,2,"false"),0)</f>
        <v>1</v>
      </c>
      <c r="L607" s="194">
        <f>_1_54128456121462410464578910174[[#This Row],[LIST $]]*_1_54128456121462410464578910174[[#This Row],[DISCOUNT]]*_1_54128456121462410464578910174[[#This Row],[DISCOUNT 2]]</f>
        <v>0</v>
      </c>
      <c r="M607" s="194">
        <f>IF(OR(_1_54128456121462410464578910174[[#This Row],[UNIT]]&gt;0,_1_54128456121462410464578910174[[#This Row],[UNIT]]&lt;0),_1_54128456121462410464578910174[[#This Row],[UNIT]]*_1_54128456121462410464578910174[[#This Row],[COST]],0)</f>
        <v>0</v>
      </c>
      <c r="N607" s="194">
        <f t="shared" si="9"/>
        <v>1.5</v>
      </c>
      <c r="O607" s="198">
        <f>_1_54128456121462410464578910174[[#This Row],[TOTAL]]*_1_54128456121462410464578910174[[#This Row],[MARGIN]]</f>
        <v>0</v>
      </c>
      <c r="R607" s="41"/>
    </row>
    <row r="608" spans="4:18">
      <c r="D608" s="188"/>
      <c r="F608" s="168" t="s">
        <v>6202</v>
      </c>
      <c r="G608" s="193">
        <f>IF(_1_54128456121462410464578910174[[#This Row],[Type]]&gt;0,VLOOKUP(_1_54128456121462410464578910174[[#This Row],[Type]],Main[[#All],[TYPE]:[UNIT]],'Unit Price'!C$1,FALSE),0)</f>
        <v>0</v>
      </c>
      <c r="H608" s="197">
        <f>IF(_1_54128456121462410464578910174[[#This Row],[Type]]&gt;0,VLOOKUP(_1_54128456121462410464578910174[[#This Row],[Type]],Main[[#All],[TYPE]:[UNIT]],'Unit Price'!D$1,FALSE),0)</f>
        <v>0</v>
      </c>
      <c r="I608" s="194">
        <f>IF(_1_54128456121462410464578910174[[#This Row],[Type]]&gt;0,VLOOKUP(_1_54128456121462410464578910174[[#This Row],[Type]],Main[[#All],[TYPE]:[UNIT]],'Unit Price'!G$1,FALSE),0)</f>
        <v>0</v>
      </c>
      <c r="J608" s="194">
        <f>IF(_1_54128456121462410464578910174[[#This Row],[Type]]&gt;0,VLOOKUP(_1_54128456121462410464578910174[[#This Row],[Type]],Main[[#All],[TYPE]:[UNIT]],'Unit Price'!H$1,FALSE),0)</f>
        <v>0</v>
      </c>
      <c r="K608" s="194">
        <f>IF(_1_54128456121462410464578910174[[#This Row],[Discount selection]]&gt;0,VLOOKUP(_1_54128456121462410464578910174[[#This Row],[Discount selection]],'Discount Structure'!$A$2:$B$30,2,"false"),0)</f>
        <v>1</v>
      </c>
      <c r="L608" s="194">
        <f>_1_54128456121462410464578910174[[#This Row],[LIST $]]*_1_54128456121462410464578910174[[#This Row],[DISCOUNT]]*_1_54128456121462410464578910174[[#This Row],[DISCOUNT 2]]</f>
        <v>0</v>
      </c>
      <c r="M608" s="194">
        <f>IF(OR(_1_54128456121462410464578910174[[#This Row],[UNIT]]&gt;0,_1_54128456121462410464578910174[[#This Row],[UNIT]]&lt;0),_1_54128456121462410464578910174[[#This Row],[UNIT]]*_1_54128456121462410464578910174[[#This Row],[COST]],0)</f>
        <v>0</v>
      </c>
      <c r="N608" s="194">
        <f t="shared" si="9"/>
        <v>1.5</v>
      </c>
      <c r="O608" s="198">
        <f>_1_54128456121462410464578910174[[#This Row],[TOTAL]]*_1_54128456121462410464578910174[[#This Row],[MARGIN]]</f>
        <v>0</v>
      </c>
      <c r="R608" s="41"/>
    </row>
    <row r="609" spans="4:18">
      <c r="D609" s="188"/>
      <c r="F609" s="168" t="s">
        <v>6202</v>
      </c>
      <c r="G609" s="193">
        <f>IF(_1_54128456121462410464578910174[[#This Row],[Type]]&gt;0,VLOOKUP(_1_54128456121462410464578910174[[#This Row],[Type]],Main[[#All],[TYPE]:[UNIT]],'Unit Price'!C$1,FALSE),0)</f>
        <v>0</v>
      </c>
      <c r="H609" s="197">
        <f>IF(_1_54128456121462410464578910174[[#This Row],[Type]]&gt;0,VLOOKUP(_1_54128456121462410464578910174[[#This Row],[Type]],Main[[#All],[TYPE]:[UNIT]],'Unit Price'!D$1,FALSE),0)</f>
        <v>0</v>
      </c>
      <c r="I609" s="194">
        <f>IF(_1_54128456121462410464578910174[[#This Row],[Type]]&gt;0,VLOOKUP(_1_54128456121462410464578910174[[#This Row],[Type]],Main[[#All],[TYPE]:[UNIT]],'Unit Price'!G$1,FALSE),0)</f>
        <v>0</v>
      </c>
      <c r="J609" s="194">
        <f>IF(_1_54128456121462410464578910174[[#This Row],[Type]]&gt;0,VLOOKUP(_1_54128456121462410464578910174[[#This Row],[Type]],Main[[#All],[TYPE]:[UNIT]],'Unit Price'!H$1,FALSE),0)</f>
        <v>0</v>
      </c>
      <c r="K609" s="194">
        <f>IF(_1_54128456121462410464578910174[[#This Row],[Discount selection]]&gt;0,VLOOKUP(_1_54128456121462410464578910174[[#This Row],[Discount selection]],'Discount Structure'!$A$2:$B$30,2,"false"),0)</f>
        <v>1</v>
      </c>
      <c r="L609" s="194">
        <f>_1_54128456121462410464578910174[[#This Row],[LIST $]]*_1_54128456121462410464578910174[[#This Row],[DISCOUNT]]*_1_54128456121462410464578910174[[#This Row],[DISCOUNT 2]]</f>
        <v>0</v>
      </c>
      <c r="M609" s="194">
        <f>IF(OR(_1_54128456121462410464578910174[[#This Row],[UNIT]]&gt;0,_1_54128456121462410464578910174[[#This Row],[UNIT]]&lt;0),_1_54128456121462410464578910174[[#This Row],[UNIT]]*_1_54128456121462410464578910174[[#This Row],[COST]],0)</f>
        <v>0</v>
      </c>
      <c r="N609" s="194">
        <f t="shared" si="9"/>
        <v>1.5</v>
      </c>
      <c r="O609" s="198">
        <f>_1_54128456121462410464578910174[[#This Row],[TOTAL]]*_1_54128456121462410464578910174[[#This Row],[MARGIN]]</f>
        <v>0</v>
      </c>
      <c r="R609" s="41"/>
    </row>
    <row r="610" spans="4:18">
      <c r="D610" s="188"/>
      <c r="F610" s="168" t="s">
        <v>6202</v>
      </c>
      <c r="G610" s="193">
        <f>IF(_1_54128456121462410464578910174[[#This Row],[Type]]&gt;0,VLOOKUP(_1_54128456121462410464578910174[[#This Row],[Type]],Main[[#All],[TYPE]:[UNIT]],'Unit Price'!C$1,FALSE),0)</f>
        <v>0</v>
      </c>
      <c r="H610" s="197">
        <f>IF(_1_54128456121462410464578910174[[#This Row],[Type]]&gt;0,VLOOKUP(_1_54128456121462410464578910174[[#This Row],[Type]],Main[[#All],[TYPE]:[UNIT]],'Unit Price'!D$1,FALSE),0)</f>
        <v>0</v>
      </c>
      <c r="I610" s="194">
        <f>IF(_1_54128456121462410464578910174[[#This Row],[Type]]&gt;0,VLOOKUP(_1_54128456121462410464578910174[[#This Row],[Type]],Main[[#All],[TYPE]:[UNIT]],'Unit Price'!G$1,FALSE),0)</f>
        <v>0</v>
      </c>
      <c r="J610" s="194">
        <f>IF(_1_54128456121462410464578910174[[#This Row],[Type]]&gt;0,VLOOKUP(_1_54128456121462410464578910174[[#This Row],[Type]],Main[[#All],[TYPE]:[UNIT]],'Unit Price'!H$1,FALSE),0)</f>
        <v>0</v>
      </c>
      <c r="K610" s="194">
        <f>IF(_1_54128456121462410464578910174[[#This Row],[Discount selection]]&gt;0,VLOOKUP(_1_54128456121462410464578910174[[#This Row],[Discount selection]],'Discount Structure'!$A$2:$B$30,2,"false"),0)</f>
        <v>1</v>
      </c>
      <c r="L610" s="194">
        <f>_1_54128456121462410464578910174[[#This Row],[LIST $]]*_1_54128456121462410464578910174[[#This Row],[DISCOUNT]]*_1_54128456121462410464578910174[[#This Row],[DISCOUNT 2]]</f>
        <v>0</v>
      </c>
      <c r="M610" s="194">
        <f>IF(OR(_1_54128456121462410464578910174[[#This Row],[UNIT]]&gt;0,_1_54128456121462410464578910174[[#This Row],[UNIT]]&lt;0),_1_54128456121462410464578910174[[#This Row],[UNIT]]*_1_54128456121462410464578910174[[#This Row],[COST]],0)</f>
        <v>0</v>
      </c>
      <c r="N610" s="194">
        <f t="shared" si="9"/>
        <v>1.5</v>
      </c>
      <c r="O610" s="198">
        <f>_1_54128456121462410464578910174[[#This Row],[TOTAL]]*_1_54128456121462410464578910174[[#This Row],[MARGIN]]</f>
        <v>0</v>
      </c>
      <c r="R610" s="41"/>
    </row>
    <row r="611" spans="4:18">
      <c r="D611" s="188"/>
      <c r="F611" s="168" t="s">
        <v>6202</v>
      </c>
      <c r="G611" s="193">
        <f>IF(_1_54128456121462410464578910174[[#This Row],[Type]]&gt;0,VLOOKUP(_1_54128456121462410464578910174[[#This Row],[Type]],Main[[#All],[TYPE]:[UNIT]],'Unit Price'!C$1,FALSE),0)</f>
        <v>0</v>
      </c>
      <c r="H611" s="197">
        <f>IF(_1_54128456121462410464578910174[[#This Row],[Type]]&gt;0,VLOOKUP(_1_54128456121462410464578910174[[#This Row],[Type]],Main[[#All],[TYPE]:[UNIT]],'Unit Price'!D$1,FALSE),0)</f>
        <v>0</v>
      </c>
      <c r="I611" s="194">
        <f>IF(_1_54128456121462410464578910174[[#This Row],[Type]]&gt;0,VLOOKUP(_1_54128456121462410464578910174[[#This Row],[Type]],Main[[#All],[TYPE]:[UNIT]],'Unit Price'!G$1,FALSE),0)</f>
        <v>0</v>
      </c>
      <c r="J611" s="194">
        <f>IF(_1_54128456121462410464578910174[[#This Row],[Type]]&gt;0,VLOOKUP(_1_54128456121462410464578910174[[#This Row],[Type]],Main[[#All],[TYPE]:[UNIT]],'Unit Price'!H$1,FALSE),0)</f>
        <v>0</v>
      </c>
      <c r="K611" s="194">
        <f>IF(_1_54128456121462410464578910174[[#This Row],[Discount selection]]&gt;0,VLOOKUP(_1_54128456121462410464578910174[[#This Row],[Discount selection]],'Discount Structure'!$A$2:$B$30,2,"false"),0)</f>
        <v>1</v>
      </c>
      <c r="L611" s="194">
        <f>_1_54128456121462410464578910174[[#This Row],[LIST $]]*_1_54128456121462410464578910174[[#This Row],[DISCOUNT]]*_1_54128456121462410464578910174[[#This Row],[DISCOUNT 2]]</f>
        <v>0</v>
      </c>
      <c r="M611" s="194">
        <f>IF(OR(_1_54128456121462410464578910174[[#This Row],[UNIT]]&gt;0,_1_54128456121462410464578910174[[#This Row],[UNIT]]&lt;0),_1_54128456121462410464578910174[[#This Row],[UNIT]]*_1_54128456121462410464578910174[[#This Row],[COST]],0)</f>
        <v>0</v>
      </c>
      <c r="N611" s="194">
        <f t="shared" si="9"/>
        <v>1.5</v>
      </c>
      <c r="O611" s="198">
        <f>_1_54128456121462410464578910174[[#This Row],[TOTAL]]*_1_54128456121462410464578910174[[#This Row],[MARGIN]]</f>
        <v>0</v>
      </c>
      <c r="R611" s="41"/>
    </row>
    <row r="612" spans="4:18">
      <c r="D612" s="188"/>
      <c r="F612" s="168" t="s">
        <v>6202</v>
      </c>
      <c r="G612" s="193">
        <f>IF(_1_54128456121462410464578910174[[#This Row],[Type]]&gt;0,VLOOKUP(_1_54128456121462410464578910174[[#This Row],[Type]],Main[[#All],[TYPE]:[UNIT]],'Unit Price'!C$1,FALSE),0)</f>
        <v>0</v>
      </c>
      <c r="H612" s="197">
        <f>IF(_1_54128456121462410464578910174[[#This Row],[Type]]&gt;0,VLOOKUP(_1_54128456121462410464578910174[[#This Row],[Type]],Main[[#All],[TYPE]:[UNIT]],'Unit Price'!D$1,FALSE),0)</f>
        <v>0</v>
      </c>
      <c r="I612" s="194">
        <f>IF(_1_54128456121462410464578910174[[#This Row],[Type]]&gt;0,VLOOKUP(_1_54128456121462410464578910174[[#This Row],[Type]],Main[[#All],[TYPE]:[UNIT]],'Unit Price'!G$1,FALSE),0)</f>
        <v>0</v>
      </c>
      <c r="J612" s="194">
        <f>IF(_1_54128456121462410464578910174[[#This Row],[Type]]&gt;0,VLOOKUP(_1_54128456121462410464578910174[[#This Row],[Type]],Main[[#All],[TYPE]:[UNIT]],'Unit Price'!H$1,FALSE),0)</f>
        <v>0</v>
      </c>
      <c r="K612" s="194">
        <f>IF(_1_54128456121462410464578910174[[#This Row],[Discount selection]]&gt;0,VLOOKUP(_1_54128456121462410464578910174[[#This Row],[Discount selection]],'Discount Structure'!$A$2:$B$30,2,"false"),0)</f>
        <v>1</v>
      </c>
      <c r="L612" s="194">
        <f>_1_54128456121462410464578910174[[#This Row],[LIST $]]*_1_54128456121462410464578910174[[#This Row],[DISCOUNT]]*_1_54128456121462410464578910174[[#This Row],[DISCOUNT 2]]</f>
        <v>0</v>
      </c>
      <c r="M612" s="194">
        <f>IF(OR(_1_54128456121462410464578910174[[#This Row],[UNIT]]&gt;0,_1_54128456121462410464578910174[[#This Row],[UNIT]]&lt;0),_1_54128456121462410464578910174[[#This Row],[UNIT]]*_1_54128456121462410464578910174[[#This Row],[COST]],0)</f>
        <v>0</v>
      </c>
      <c r="N612" s="194">
        <f t="shared" si="9"/>
        <v>1.5</v>
      </c>
      <c r="O612" s="198">
        <f>_1_54128456121462410464578910174[[#This Row],[TOTAL]]*_1_54128456121462410464578910174[[#This Row],[MARGIN]]</f>
        <v>0</v>
      </c>
      <c r="R612" s="41"/>
    </row>
    <row r="613" spans="4:18">
      <c r="D613" s="188"/>
      <c r="F613" s="168" t="s">
        <v>6202</v>
      </c>
      <c r="G613" s="193">
        <f>IF(_1_54128456121462410464578910174[[#This Row],[Type]]&gt;0,VLOOKUP(_1_54128456121462410464578910174[[#This Row],[Type]],Main[[#All],[TYPE]:[UNIT]],'Unit Price'!C$1,FALSE),0)</f>
        <v>0</v>
      </c>
      <c r="H613" s="197">
        <f>IF(_1_54128456121462410464578910174[[#This Row],[Type]]&gt;0,VLOOKUP(_1_54128456121462410464578910174[[#This Row],[Type]],Main[[#All],[TYPE]:[UNIT]],'Unit Price'!D$1,FALSE),0)</f>
        <v>0</v>
      </c>
      <c r="I613" s="194">
        <f>IF(_1_54128456121462410464578910174[[#This Row],[Type]]&gt;0,VLOOKUP(_1_54128456121462410464578910174[[#This Row],[Type]],Main[[#All],[TYPE]:[UNIT]],'Unit Price'!G$1,FALSE),0)</f>
        <v>0</v>
      </c>
      <c r="J613" s="194">
        <f>IF(_1_54128456121462410464578910174[[#This Row],[Type]]&gt;0,VLOOKUP(_1_54128456121462410464578910174[[#This Row],[Type]],Main[[#All],[TYPE]:[UNIT]],'Unit Price'!H$1,FALSE),0)</f>
        <v>0</v>
      </c>
      <c r="K613" s="194">
        <f>IF(_1_54128456121462410464578910174[[#This Row],[Discount selection]]&gt;0,VLOOKUP(_1_54128456121462410464578910174[[#This Row],[Discount selection]],'Discount Structure'!$A$2:$B$30,2,"false"),0)</f>
        <v>1</v>
      </c>
      <c r="L613" s="194">
        <f>_1_54128456121462410464578910174[[#This Row],[LIST $]]*_1_54128456121462410464578910174[[#This Row],[DISCOUNT]]*_1_54128456121462410464578910174[[#This Row],[DISCOUNT 2]]</f>
        <v>0</v>
      </c>
      <c r="M613" s="194">
        <f>IF(OR(_1_54128456121462410464578910174[[#This Row],[UNIT]]&gt;0,_1_54128456121462410464578910174[[#This Row],[UNIT]]&lt;0),_1_54128456121462410464578910174[[#This Row],[UNIT]]*_1_54128456121462410464578910174[[#This Row],[COST]],0)</f>
        <v>0</v>
      </c>
      <c r="N613" s="194">
        <f t="shared" si="9"/>
        <v>1.5</v>
      </c>
      <c r="O613" s="198">
        <f>_1_54128456121462410464578910174[[#This Row],[TOTAL]]*_1_54128456121462410464578910174[[#This Row],[MARGIN]]</f>
        <v>0</v>
      </c>
      <c r="R613" s="41"/>
    </row>
    <row r="614" spans="4:18">
      <c r="D614" s="188"/>
      <c r="F614" s="168" t="s">
        <v>6202</v>
      </c>
      <c r="G614" s="193">
        <f>IF(_1_54128456121462410464578910174[[#This Row],[Type]]&gt;0,VLOOKUP(_1_54128456121462410464578910174[[#This Row],[Type]],Main[[#All],[TYPE]:[UNIT]],'Unit Price'!C$1,FALSE),0)</f>
        <v>0</v>
      </c>
      <c r="H614" s="197">
        <f>IF(_1_54128456121462410464578910174[[#This Row],[Type]]&gt;0,VLOOKUP(_1_54128456121462410464578910174[[#This Row],[Type]],Main[[#All],[TYPE]:[UNIT]],'Unit Price'!D$1,FALSE),0)</f>
        <v>0</v>
      </c>
      <c r="I614" s="194">
        <f>IF(_1_54128456121462410464578910174[[#This Row],[Type]]&gt;0,VLOOKUP(_1_54128456121462410464578910174[[#This Row],[Type]],Main[[#All],[TYPE]:[UNIT]],'Unit Price'!G$1,FALSE),0)</f>
        <v>0</v>
      </c>
      <c r="J614" s="194">
        <f>IF(_1_54128456121462410464578910174[[#This Row],[Type]]&gt;0,VLOOKUP(_1_54128456121462410464578910174[[#This Row],[Type]],Main[[#All],[TYPE]:[UNIT]],'Unit Price'!H$1,FALSE),0)</f>
        <v>0</v>
      </c>
      <c r="K614" s="194">
        <f>IF(_1_54128456121462410464578910174[[#This Row],[Discount selection]]&gt;0,VLOOKUP(_1_54128456121462410464578910174[[#This Row],[Discount selection]],'Discount Structure'!$A$2:$B$30,2,"false"),0)</f>
        <v>1</v>
      </c>
      <c r="L614" s="194">
        <f>_1_54128456121462410464578910174[[#This Row],[LIST $]]*_1_54128456121462410464578910174[[#This Row],[DISCOUNT]]*_1_54128456121462410464578910174[[#This Row],[DISCOUNT 2]]</f>
        <v>0</v>
      </c>
      <c r="M614" s="194">
        <f>IF(OR(_1_54128456121462410464578910174[[#This Row],[UNIT]]&gt;0,_1_54128456121462410464578910174[[#This Row],[UNIT]]&lt;0),_1_54128456121462410464578910174[[#This Row],[UNIT]]*_1_54128456121462410464578910174[[#This Row],[COST]],0)</f>
        <v>0</v>
      </c>
      <c r="N614" s="194">
        <f t="shared" si="9"/>
        <v>1.5</v>
      </c>
      <c r="O614" s="198">
        <f>_1_54128456121462410464578910174[[#This Row],[TOTAL]]*_1_54128456121462410464578910174[[#This Row],[MARGIN]]</f>
        <v>0</v>
      </c>
      <c r="R614" s="41"/>
    </row>
    <row r="615" spans="4:18">
      <c r="D615" s="188"/>
      <c r="F615" s="168" t="s">
        <v>6202</v>
      </c>
      <c r="G615" s="193">
        <f>IF(_1_54128456121462410464578910174[[#This Row],[Type]]&gt;0,VLOOKUP(_1_54128456121462410464578910174[[#This Row],[Type]],Main[[#All],[TYPE]:[UNIT]],'Unit Price'!C$1,FALSE),0)</f>
        <v>0</v>
      </c>
      <c r="H615" s="197">
        <f>IF(_1_54128456121462410464578910174[[#This Row],[Type]]&gt;0,VLOOKUP(_1_54128456121462410464578910174[[#This Row],[Type]],Main[[#All],[TYPE]:[UNIT]],'Unit Price'!D$1,FALSE),0)</f>
        <v>0</v>
      </c>
      <c r="I615" s="194">
        <f>IF(_1_54128456121462410464578910174[[#This Row],[Type]]&gt;0,VLOOKUP(_1_54128456121462410464578910174[[#This Row],[Type]],Main[[#All],[TYPE]:[UNIT]],'Unit Price'!G$1,FALSE),0)</f>
        <v>0</v>
      </c>
      <c r="J615" s="194">
        <f>IF(_1_54128456121462410464578910174[[#This Row],[Type]]&gt;0,VLOOKUP(_1_54128456121462410464578910174[[#This Row],[Type]],Main[[#All],[TYPE]:[UNIT]],'Unit Price'!H$1,FALSE),0)</f>
        <v>0</v>
      </c>
      <c r="K615" s="194">
        <f>IF(_1_54128456121462410464578910174[[#This Row],[Discount selection]]&gt;0,VLOOKUP(_1_54128456121462410464578910174[[#This Row],[Discount selection]],'Discount Structure'!$A$2:$B$30,2,"false"),0)</f>
        <v>1</v>
      </c>
      <c r="L615" s="194">
        <f>_1_54128456121462410464578910174[[#This Row],[LIST $]]*_1_54128456121462410464578910174[[#This Row],[DISCOUNT]]*_1_54128456121462410464578910174[[#This Row],[DISCOUNT 2]]</f>
        <v>0</v>
      </c>
      <c r="M615" s="194">
        <f>IF(OR(_1_54128456121462410464578910174[[#This Row],[UNIT]]&gt;0,_1_54128456121462410464578910174[[#This Row],[UNIT]]&lt;0),_1_54128456121462410464578910174[[#This Row],[UNIT]]*_1_54128456121462410464578910174[[#This Row],[COST]],0)</f>
        <v>0</v>
      </c>
      <c r="N615" s="194">
        <f t="shared" si="9"/>
        <v>1.5</v>
      </c>
      <c r="O615" s="198">
        <f>_1_54128456121462410464578910174[[#This Row],[TOTAL]]*_1_54128456121462410464578910174[[#This Row],[MARGIN]]</f>
        <v>0</v>
      </c>
      <c r="R615" s="41"/>
    </row>
    <row r="616" spans="4:18">
      <c r="D616" s="188"/>
      <c r="F616" s="168" t="s">
        <v>6202</v>
      </c>
      <c r="G616" s="193">
        <f>IF(_1_54128456121462410464578910174[[#This Row],[Type]]&gt;0,VLOOKUP(_1_54128456121462410464578910174[[#This Row],[Type]],Main[[#All],[TYPE]:[UNIT]],'Unit Price'!C$1,FALSE),0)</f>
        <v>0</v>
      </c>
      <c r="H616" s="197">
        <f>IF(_1_54128456121462410464578910174[[#This Row],[Type]]&gt;0,VLOOKUP(_1_54128456121462410464578910174[[#This Row],[Type]],Main[[#All],[TYPE]:[UNIT]],'Unit Price'!D$1,FALSE),0)</f>
        <v>0</v>
      </c>
      <c r="I616" s="194">
        <f>IF(_1_54128456121462410464578910174[[#This Row],[Type]]&gt;0,VLOOKUP(_1_54128456121462410464578910174[[#This Row],[Type]],Main[[#All],[TYPE]:[UNIT]],'Unit Price'!G$1,FALSE),0)</f>
        <v>0</v>
      </c>
      <c r="J616" s="194">
        <f>IF(_1_54128456121462410464578910174[[#This Row],[Type]]&gt;0,VLOOKUP(_1_54128456121462410464578910174[[#This Row],[Type]],Main[[#All],[TYPE]:[UNIT]],'Unit Price'!H$1,FALSE),0)</f>
        <v>0</v>
      </c>
      <c r="K616" s="194">
        <f>IF(_1_54128456121462410464578910174[[#This Row],[Discount selection]]&gt;0,VLOOKUP(_1_54128456121462410464578910174[[#This Row],[Discount selection]],'Discount Structure'!$A$2:$B$30,2,"false"),0)</f>
        <v>1</v>
      </c>
      <c r="L616" s="194">
        <f>_1_54128456121462410464578910174[[#This Row],[LIST $]]*_1_54128456121462410464578910174[[#This Row],[DISCOUNT]]*_1_54128456121462410464578910174[[#This Row],[DISCOUNT 2]]</f>
        <v>0</v>
      </c>
      <c r="M616" s="194">
        <f>IF(OR(_1_54128456121462410464578910174[[#This Row],[UNIT]]&gt;0,_1_54128456121462410464578910174[[#This Row],[UNIT]]&lt;0),_1_54128456121462410464578910174[[#This Row],[UNIT]]*_1_54128456121462410464578910174[[#This Row],[COST]],0)</f>
        <v>0</v>
      </c>
      <c r="N616" s="194">
        <f t="shared" si="9"/>
        <v>1.5</v>
      </c>
      <c r="O616" s="198">
        <f>_1_54128456121462410464578910174[[#This Row],[TOTAL]]*_1_54128456121462410464578910174[[#This Row],[MARGIN]]</f>
        <v>0</v>
      </c>
      <c r="R616" s="41"/>
    </row>
    <row r="617" spans="4:18">
      <c r="D617" s="188"/>
      <c r="F617" s="168" t="s">
        <v>6202</v>
      </c>
      <c r="G617" s="193">
        <f>IF(_1_54128456121462410464578910174[[#This Row],[Type]]&gt;0,VLOOKUP(_1_54128456121462410464578910174[[#This Row],[Type]],Main[[#All],[TYPE]:[UNIT]],'Unit Price'!C$1,FALSE),0)</f>
        <v>0</v>
      </c>
      <c r="H617" s="197">
        <f>IF(_1_54128456121462410464578910174[[#This Row],[Type]]&gt;0,VLOOKUP(_1_54128456121462410464578910174[[#This Row],[Type]],Main[[#All],[TYPE]:[UNIT]],'Unit Price'!D$1,FALSE),0)</f>
        <v>0</v>
      </c>
      <c r="I617" s="194">
        <f>IF(_1_54128456121462410464578910174[[#This Row],[Type]]&gt;0,VLOOKUP(_1_54128456121462410464578910174[[#This Row],[Type]],Main[[#All],[TYPE]:[UNIT]],'Unit Price'!G$1,FALSE),0)</f>
        <v>0</v>
      </c>
      <c r="J617" s="194">
        <f>IF(_1_54128456121462410464578910174[[#This Row],[Type]]&gt;0,VLOOKUP(_1_54128456121462410464578910174[[#This Row],[Type]],Main[[#All],[TYPE]:[UNIT]],'Unit Price'!H$1,FALSE),0)</f>
        <v>0</v>
      </c>
      <c r="K617" s="194">
        <f>IF(_1_54128456121462410464578910174[[#This Row],[Discount selection]]&gt;0,VLOOKUP(_1_54128456121462410464578910174[[#This Row],[Discount selection]],'Discount Structure'!$A$2:$B$30,2,"false"),0)</f>
        <v>1</v>
      </c>
      <c r="L617" s="194">
        <f>_1_54128456121462410464578910174[[#This Row],[LIST $]]*_1_54128456121462410464578910174[[#This Row],[DISCOUNT]]*_1_54128456121462410464578910174[[#This Row],[DISCOUNT 2]]</f>
        <v>0</v>
      </c>
      <c r="M617" s="194">
        <f>IF(OR(_1_54128456121462410464578910174[[#This Row],[UNIT]]&gt;0,_1_54128456121462410464578910174[[#This Row],[UNIT]]&lt;0),_1_54128456121462410464578910174[[#This Row],[UNIT]]*_1_54128456121462410464578910174[[#This Row],[COST]],0)</f>
        <v>0</v>
      </c>
      <c r="N617" s="194">
        <f t="shared" si="9"/>
        <v>1.5</v>
      </c>
      <c r="O617" s="198">
        <f>_1_54128456121462410464578910174[[#This Row],[TOTAL]]*_1_54128456121462410464578910174[[#This Row],[MARGIN]]</f>
        <v>0</v>
      </c>
      <c r="R617" s="41"/>
    </row>
    <row r="618" spans="4:18">
      <c r="D618" s="188"/>
      <c r="F618" s="168" t="s">
        <v>6202</v>
      </c>
      <c r="G618" s="193">
        <f>IF(_1_54128456121462410464578910174[[#This Row],[Type]]&gt;0,VLOOKUP(_1_54128456121462410464578910174[[#This Row],[Type]],Main[[#All],[TYPE]:[UNIT]],'Unit Price'!C$1,FALSE),0)</f>
        <v>0</v>
      </c>
      <c r="H618" s="197">
        <f>IF(_1_54128456121462410464578910174[[#This Row],[Type]]&gt;0,VLOOKUP(_1_54128456121462410464578910174[[#This Row],[Type]],Main[[#All],[TYPE]:[UNIT]],'Unit Price'!D$1,FALSE),0)</f>
        <v>0</v>
      </c>
      <c r="I618" s="194">
        <f>IF(_1_54128456121462410464578910174[[#This Row],[Type]]&gt;0,VLOOKUP(_1_54128456121462410464578910174[[#This Row],[Type]],Main[[#All],[TYPE]:[UNIT]],'Unit Price'!G$1,FALSE),0)</f>
        <v>0</v>
      </c>
      <c r="J618" s="194">
        <f>IF(_1_54128456121462410464578910174[[#This Row],[Type]]&gt;0,VLOOKUP(_1_54128456121462410464578910174[[#This Row],[Type]],Main[[#All],[TYPE]:[UNIT]],'Unit Price'!H$1,FALSE),0)</f>
        <v>0</v>
      </c>
      <c r="K618" s="194">
        <f>IF(_1_54128456121462410464578910174[[#This Row],[Discount selection]]&gt;0,VLOOKUP(_1_54128456121462410464578910174[[#This Row],[Discount selection]],'Discount Structure'!$A$2:$B$30,2,"false"),0)</f>
        <v>1</v>
      </c>
      <c r="L618" s="194">
        <f>_1_54128456121462410464578910174[[#This Row],[LIST $]]*_1_54128456121462410464578910174[[#This Row],[DISCOUNT]]*_1_54128456121462410464578910174[[#This Row],[DISCOUNT 2]]</f>
        <v>0</v>
      </c>
      <c r="M618" s="194">
        <f>IF(OR(_1_54128456121462410464578910174[[#This Row],[UNIT]]&gt;0,_1_54128456121462410464578910174[[#This Row],[UNIT]]&lt;0),_1_54128456121462410464578910174[[#This Row],[UNIT]]*_1_54128456121462410464578910174[[#This Row],[COST]],0)</f>
        <v>0</v>
      </c>
      <c r="N618" s="194">
        <f t="shared" si="9"/>
        <v>1.5</v>
      </c>
      <c r="O618" s="198">
        <f>_1_54128456121462410464578910174[[#This Row],[TOTAL]]*_1_54128456121462410464578910174[[#This Row],[MARGIN]]</f>
        <v>0</v>
      </c>
      <c r="R618" s="41"/>
    </row>
    <row r="619" spans="4:18">
      <c r="D619" s="188"/>
      <c r="F619" s="168" t="s">
        <v>6202</v>
      </c>
      <c r="G619" s="193">
        <f>IF(_1_54128456121462410464578910174[[#This Row],[Type]]&gt;0,VLOOKUP(_1_54128456121462410464578910174[[#This Row],[Type]],Main[[#All],[TYPE]:[UNIT]],'Unit Price'!C$1,FALSE),0)</f>
        <v>0</v>
      </c>
      <c r="H619" s="197">
        <f>IF(_1_54128456121462410464578910174[[#This Row],[Type]]&gt;0,VLOOKUP(_1_54128456121462410464578910174[[#This Row],[Type]],Main[[#All],[TYPE]:[UNIT]],'Unit Price'!D$1,FALSE),0)</f>
        <v>0</v>
      </c>
      <c r="I619" s="194">
        <f>IF(_1_54128456121462410464578910174[[#This Row],[Type]]&gt;0,VLOOKUP(_1_54128456121462410464578910174[[#This Row],[Type]],Main[[#All],[TYPE]:[UNIT]],'Unit Price'!G$1,FALSE),0)</f>
        <v>0</v>
      </c>
      <c r="J619" s="194">
        <f>IF(_1_54128456121462410464578910174[[#This Row],[Type]]&gt;0,VLOOKUP(_1_54128456121462410464578910174[[#This Row],[Type]],Main[[#All],[TYPE]:[UNIT]],'Unit Price'!H$1,FALSE),0)</f>
        <v>0</v>
      </c>
      <c r="K619" s="194">
        <f>IF(_1_54128456121462410464578910174[[#This Row],[Discount selection]]&gt;0,VLOOKUP(_1_54128456121462410464578910174[[#This Row],[Discount selection]],'Discount Structure'!$A$2:$B$30,2,"false"),0)</f>
        <v>1</v>
      </c>
      <c r="L619" s="194">
        <f>_1_54128456121462410464578910174[[#This Row],[LIST $]]*_1_54128456121462410464578910174[[#This Row],[DISCOUNT]]*_1_54128456121462410464578910174[[#This Row],[DISCOUNT 2]]</f>
        <v>0</v>
      </c>
      <c r="M619" s="194">
        <f>IF(OR(_1_54128456121462410464578910174[[#This Row],[UNIT]]&gt;0,_1_54128456121462410464578910174[[#This Row],[UNIT]]&lt;0),_1_54128456121462410464578910174[[#This Row],[UNIT]]*_1_54128456121462410464578910174[[#This Row],[COST]],0)</f>
        <v>0</v>
      </c>
      <c r="N619" s="194">
        <f t="shared" si="9"/>
        <v>1.5</v>
      </c>
      <c r="O619" s="198">
        <f>_1_54128456121462410464578910174[[#This Row],[TOTAL]]*_1_54128456121462410464578910174[[#This Row],[MARGIN]]</f>
        <v>0</v>
      </c>
      <c r="R619" s="41"/>
    </row>
    <row r="620" spans="4:18">
      <c r="D620" s="188"/>
      <c r="F620" s="168" t="s">
        <v>6202</v>
      </c>
      <c r="G620" s="193">
        <f>IF(_1_54128456121462410464578910174[[#This Row],[Type]]&gt;0,VLOOKUP(_1_54128456121462410464578910174[[#This Row],[Type]],Main[[#All],[TYPE]:[UNIT]],'Unit Price'!C$1,FALSE),0)</f>
        <v>0</v>
      </c>
      <c r="H620" s="197">
        <f>IF(_1_54128456121462410464578910174[[#This Row],[Type]]&gt;0,VLOOKUP(_1_54128456121462410464578910174[[#This Row],[Type]],Main[[#All],[TYPE]:[UNIT]],'Unit Price'!D$1,FALSE),0)</f>
        <v>0</v>
      </c>
      <c r="I620" s="194">
        <f>IF(_1_54128456121462410464578910174[[#This Row],[Type]]&gt;0,VLOOKUP(_1_54128456121462410464578910174[[#This Row],[Type]],Main[[#All],[TYPE]:[UNIT]],'Unit Price'!G$1,FALSE),0)</f>
        <v>0</v>
      </c>
      <c r="J620" s="194">
        <f>IF(_1_54128456121462410464578910174[[#This Row],[Type]]&gt;0,VLOOKUP(_1_54128456121462410464578910174[[#This Row],[Type]],Main[[#All],[TYPE]:[UNIT]],'Unit Price'!H$1,FALSE),0)</f>
        <v>0</v>
      </c>
      <c r="K620" s="194">
        <f>IF(_1_54128456121462410464578910174[[#This Row],[Discount selection]]&gt;0,VLOOKUP(_1_54128456121462410464578910174[[#This Row],[Discount selection]],'Discount Structure'!$A$2:$B$30,2,"false"),0)</f>
        <v>1</v>
      </c>
      <c r="L620" s="194">
        <f>_1_54128456121462410464578910174[[#This Row],[LIST $]]*_1_54128456121462410464578910174[[#This Row],[DISCOUNT]]*_1_54128456121462410464578910174[[#This Row],[DISCOUNT 2]]</f>
        <v>0</v>
      </c>
      <c r="M620" s="194">
        <f>IF(OR(_1_54128456121462410464578910174[[#This Row],[UNIT]]&gt;0,_1_54128456121462410464578910174[[#This Row],[UNIT]]&lt;0),_1_54128456121462410464578910174[[#This Row],[UNIT]]*_1_54128456121462410464578910174[[#This Row],[COST]],0)</f>
        <v>0</v>
      </c>
      <c r="N620" s="194">
        <f t="shared" si="9"/>
        <v>1.5</v>
      </c>
      <c r="O620" s="198">
        <f>_1_54128456121462410464578910174[[#This Row],[TOTAL]]*_1_54128456121462410464578910174[[#This Row],[MARGIN]]</f>
        <v>0</v>
      </c>
      <c r="R620" s="41"/>
    </row>
    <row r="621" spans="4:18">
      <c r="D621" s="188"/>
      <c r="F621" s="168" t="s">
        <v>6202</v>
      </c>
      <c r="G621" s="193">
        <f>IF(_1_54128456121462410464578910174[[#This Row],[Type]]&gt;0,VLOOKUP(_1_54128456121462410464578910174[[#This Row],[Type]],Main[[#All],[TYPE]:[UNIT]],'Unit Price'!C$1,FALSE),0)</f>
        <v>0</v>
      </c>
      <c r="H621" s="197">
        <f>IF(_1_54128456121462410464578910174[[#This Row],[Type]]&gt;0,VLOOKUP(_1_54128456121462410464578910174[[#This Row],[Type]],Main[[#All],[TYPE]:[UNIT]],'Unit Price'!D$1,FALSE),0)</f>
        <v>0</v>
      </c>
      <c r="I621" s="194">
        <f>IF(_1_54128456121462410464578910174[[#This Row],[Type]]&gt;0,VLOOKUP(_1_54128456121462410464578910174[[#This Row],[Type]],Main[[#All],[TYPE]:[UNIT]],'Unit Price'!G$1,FALSE),0)</f>
        <v>0</v>
      </c>
      <c r="J621" s="194">
        <f>IF(_1_54128456121462410464578910174[[#This Row],[Type]]&gt;0,VLOOKUP(_1_54128456121462410464578910174[[#This Row],[Type]],Main[[#All],[TYPE]:[UNIT]],'Unit Price'!H$1,FALSE),0)</f>
        <v>0</v>
      </c>
      <c r="K621" s="194">
        <f>IF(_1_54128456121462410464578910174[[#This Row],[Discount selection]]&gt;0,VLOOKUP(_1_54128456121462410464578910174[[#This Row],[Discount selection]],'Discount Structure'!$A$2:$B$30,2,"false"),0)</f>
        <v>1</v>
      </c>
      <c r="L621" s="194">
        <f>_1_54128456121462410464578910174[[#This Row],[LIST $]]*_1_54128456121462410464578910174[[#This Row],[DISCOUNT]]*_1_54128456121462410464578910174[[#This Row],[DISCOUNT 2]]</f>
        <v>0</v>
      </c>
      <c r="M621" s="194">
        <f>IF(OR(_1_54128456121462410464578910174[[#This Row],[UNIT]]&gt;0,_1_54128456121462410464578910174[[#This Row],[UNIT]]&lt;0),_1_54128456121462410464578910174[[#This Row],[UNIT]]*_1_54128456121462410464578910174[[#This Row],[COST]],0)</f>
        <v>0</v>
      </c>
      <c r="N621" s="194">
        <f t="shared" si="9"/>
        <v>1.5</v>
      </c>
      <c r="O621" s="198">
        <f>_1_54128456121462410464578910174[[#This Row],[TOTAL]]*_1_54128456121462410464578910174[[#This Row],[MARGIN]]</f>
        <v>0</v>
      </c>
      <c r="R621" s="41"/>
    </row>
    <row r="622" spans="4:18">
      <c r="D622" s="188"/>
      <c r="F622" s="168" t="s">
        <v>6202</v>
      </c>
      <c r="G622" s="193">
        <f>IF(_1_54128456121462410464578910174[[#This Row],[Type]]&gt;0,VLOOKUP(_1_54128456121462410464578910174[[#This Row],[Type]],Main[[#All],[TYPE]:[UNIT]],'Unit Price'!C$1,FALSE),0)</f>
        <v>0</v>
      </c>
      <c r="H622" s="197">
        <f>IF(_1_54128456121462410464578910174[[#This Row],[Type]]&gt;0,VLOOKUP(_1_54128456121462410464578910174[[#This Row],[Type]],Main[[#All],[TYPE]:[UNIT]],'Unit Price'!D$1,FALSE),0)</f>
        <v>0</v>
      </c>
      <c r="I622" s="194">
        <f>IF(_1_54128456121462410464578910174[[#This Row],[Type]]&gt;0,VLOOKUP(_1_54128456121462410464578910174[[#This Row],[Type]],Main[[#All],[TYPE]:[UNIT]],'Unit Price'!G$1,FALSE),0)</f>
        <v>0</v>
      </c>
      <c r="J622" s="194">
        <f>IF(_1_54128456121462410464578910174[[#This Row],[Type]]&gt;0,VLOOKUP(_1_54128456121462410464578910174[[#This Row],[Type]],Main[[#All],[TYPE]:[UNIT]],'Unit Price'!H$1,FALSE),0)</f>
        <v>0</v>
      </c>
      <c r="K622" s="194">
        <f>IF(_1_54128456121462410464578910174[[#This Row],[Discount selection]]&gt;0,VLOOKUP(_1_54128456121462410464578910174[[#This Row],[Discount selection]],'Discount Structure'!$A$2:$B$30,2,"false"),0)</f>
        <v>1</v>
      </c>
      <c r="L622" s="194">
        <f>_1_54128456121462410464578910174[[#This Row],[LIST $]]*_1_54128456121462410464578910174[[#This Row],[DISCOUNT]]*_1_54128456121462410464578910174[[#This Row],[DISCOUNT 2]]</f>
        <v>0</v>
      </c>
      <c r="M622" s="194">
        <f>IF(OR(_1_54128456121462410464578910174[[#This Row],[UNIT]]&gt;0,_1_54128456121462410464578910174[[#This Row],[UNIT]]&lt;0),_1_54128456121462410464578910174[[#This Row],[UNIT]]*_1_54128456121462410464578910174[[#This Row],[COST]],0)</f>
        <v>0</v>
      </c>
      <c r="N622" s="194">
        <f t="shared" si="9"/>
        <v>1.5</v>
      </c>
      <c r="O622" s="198">
        <f>_1_54128456121462410464578910174[[#This Row],[TOTAL]]*_1_54128456121462410464578910174[[#This Row],[MARGIN]]</f>
        <v>0</v>
      </c>
      <c r="R622" s="41"/>
    </row>
    <row r="623" spans="4:18">
      <c r="D623" s="188"/>
      <c r="F623" s="168" t="s">
        <v>6202</v>
      </c>
      <c r="G623" s="193">
        <f>IF(_1_54128456121462410464578910174[[#This Row],[Type]]&gt;0,VLOOKUP(_1_54128456121462410464578910174[[#This Row],[Type]],Main[[#All],[TYPE]:[UNIT]],'Unit Price'!C$1,FALSE),0)</f>
        <v>0</v>
      </c>
      <c r="H623" s="197">
        <f>IF(_1_54128456121462410464578910174[[#This Row],[Type]]&gt;0,VLOOKUP(_1_54128456121462410464578910174[[#This Row],[Type]],Main[[#All],[TYPE]:[UNIT]],'Unit Price'!D$1,FALSE),0)</f>
        <v>0</v>
      </c>
      <c r="I623" s="194">
        <f>IF(_1_54128456121462410464578910174[[#This Row],[Type]]&gt;0,VLOOKUP(_1_54128456121462410464578910174[[#This Row],[Type]],Main[[#All],[TYPE]:[UNIT]],'Unit Price'!G$1,FALSE),0)</f>
        <v>0</v>
      </c>
      <c r="J623" s="194">
        <f>IF(_1_54128456121462410464578910174[[#This Row],[Type]]&gt;0,VLOOKUP(_1_54128456121462410464578910174[[#This Row],[Type]],Main[[#All],[TYPE]:[UNIT]],'Unit Price'!H$1,FALSE),0)</f>
        <v>0</v>
      </c>
      <c r="K623" s="194">
        <f>IF(_1_54128456121462410464578910174[[#This Row],[Discount selection]]&gt;0,VLOOKUP(_1_54128456121462410464578910174[[#This Row],[Discount selection]],'Discount Structure'!$A$2:$B$30,2,"false"),0)</f>
        <v>1</v>
      </c>
      <c r="L623" s="194">
        <f>_1_54128456121462410464578910174[[#This Row],[LIST $]]*_1_54128456121462410464578910174[[#This Row],[DISCOUNT]]*_1_54128456121462410464578910174[[#This Row],[DISCOUNT 2]]</f>
        <v>0</v>
      </c>
      <c r="M623" s="194">
        <f>IF(OR(_1_54128456121462410464578910174[[#This Row],[UNIT]]&gt;0,_1_54128456121462410464578910174[[#This Row],[UNIT]]&lt;0),_1_54128456121462410464578910174[[#This Row],[UNIT]]*_1_54128456121462410464578910174[[#This Row],[COST]],0)</f>
        <v>0</v>
      </c>
      <c r="N623" s="194">
        <f t="shared" si="9"/>
        <v>1.5</v>
      </c>
      <c r="O623" s="198">
        <f>_1_54128456121462410464578910174[[#This Row],[TOTAL]]*_1_54128456121462410464578910174[[#This Row],[MARGIN]]</f>
        <v>0</v>
      </c>
      <c r="R623" s="41"/>
    </row>
    <row r="624" spans="4:18">
      <c r="D624" s="188"/>
      <c r="F624" s="168" t="s">
        <v>6202</v>
      </c>
      <c r="G624" s="193">
        <f>IF(_1_54128456121462410464578910174[[#This Row],[Type]]&gt;0,VLOOKUP(_1_54128456121462410464578910174[[#This Row],[Type]],Main[[#All],[TYPE]:[UNIT]],'Unit Price'!C$1,FALSE),0)</f>
        <v>0</v>
      </c>
      <c r="H624" s="197">
        <f>IF(_1_54128456121462410464578910174[[#This Row],[Type]]&gt;0,VLOOKUP(_1_54128456121462410464578910174[[#This Row],[Type]],Main[[#All],[TYPE]:[UNIT]],'Unit Price'!D$1,FALSE),0)</f>
        <v>0</v>
      </c>
      <c r="I624" s="194">
        <f>IF(_1_54128456121462410464578910174[[#This Row],[Type]]&gt;0,VLOOKUP(_1_54128456121462410464578910174[[#This Row],[Type]],Main[[#All],[TYPE]:[UNIT]],'Unit Price'!G$1,FALSE),0)</f>
        <v>0</v>
      </c>
      <c r="J624" s="194">
        <f>IF(_1_54128456121462410464578910174[[#This Row],[Type]]&gt;0,VLOOKUP(_1_54128456121462410464578910174[[#This Row],[Type]],Main[[#All],[TYPE]:[UNIT]],'Unit Price'!H$1,FALSE),0)</f>
        <v>0</v>
      </c>
      <c r="K624" s="194">
        <f>IF(_1_54128456121462410464578910174[[#This Row],[Discount selection]]&gt;0,VLOOKUP(_1_54128456121462410464578910174[[#This Row],[Discount selection]],'Discount Structure'!$A$2:$B$30,2,"false"),0)</f>
        <v>1</v>
      </c>
      <c r="L624" s="194">
        <f>_1_54128456121462410464578910174[[#This Row],[LIST $]]*_1_54128456121462410464578910174[[#This Row],[DISCOUNT]]*_1_54128456121462410464578910174[[#This Row],[DISCOUNT 2]]</f>
        <v>0</v>
      </c>
      <c r="M624" s="194">
        <f>IF(OR(_1_54128456121462410464578910174[[#This Row],[UNIT]]&gt;0,_1_54128456121462410464578910174[[#This Row],[UNIT]]&lt;0),_1_54128456121462410464578910174[[#This Row],[UNIT]]*_1_54128456121462410464578910174[[#This Row],[COST]],0)</f>
        <v>0</v>
      </c>
      <c r="N624" s="194">
        <f t="shared" si="9"/>
        <v>1.5</v>
      </c>
      <c r="O624" s="198">
        <f>_1_54128456121462410464578910174[[#This Row],[TOTAL]]*_1_54128456121462410464578910174[[#This Row],[MARGIN]]</f>
        <v>0</v>
      </c>
      <c r="R624" s="41"/>
    </row>
    <row r="625" spans="4:18">
      <c r="D625" s="188"/>
      <c r="F625" s="168" t="s">
        <v>6202</v>
      </c>
      <c r="G625" s="193">
        <f>IF(_1_54128456121462410464578910174[[#This Row],[Type]]&gt;0,VLOOKUP(_1_54128456121462410464578910174[[#This Row],[Type]],Main[[#All],[TYPE]:[UNIT]],'Unit Price'!C$1,FALSE),0)</f>
        <v>0</v>
      </c>
      <c r="H625" s="197">
        <f>IF(_1_54128456121462410464578910174[[#This Row],[Type]]&gt;0,VLOOKUP(_1_54128456121462410464578910174[[#This Row],[Type]],Main[[#All],[TYPE]:[UNIT]],'Unit Price'!D$1,FALSE),0)</f>
        <v>0</v>
      </c>
      <c r="I625" s="194">
        <f>IF(_1_54128456121462410464578910174[[#This Row],[Type]]&gt;0,VLOOKUP(_1_54128456121462410464578910174[[#This Row],[Type]],Main[[#All],[TYPE]:[UNIT]],'Unit Price'!G$1,FALSE),0)</f>
        <v>0</v>
      </c>
      <c r="J625" s="194">
        <f>IF(_1_54128456121462410464578910174[[#This Row],[Type]]&gt;0,VLOOKUP(_1_54128456121462410464578910174[[#This Row],[Type]],Main[[#All],[TYPE]:[UNIT]],'Unit Price'!H$1,FALSE),0)</f>
        <v>0</v>
      </c>
      <c r="K625" s="194">
        <f>IF(_1_54128456121462410464578910174[[#This Row],[Discount selection]]&gt;0,VLOOKUP(_1_54128456121462410464578910174[[#This Row],[Discount selection]],'Discount Structure'!$A$2:$B$30,2,"false"),0)</f>
        <v>1</v>
      </c>
      <c r="L625" s="194">
        <f>_1_54128456121462410464578910174[[#This Row],[LIST $]]*_1_54128456121462410464578910174[[#This Row],[DISCOUNT]]*_1_54128456121462410464578910174[[#This Row],[DISCOUNT 2]]</f>
        <v>0</v>
      </c>
      <c r="M625" s="194">
        <f>IF(OR(_1_54128456121462410464578910174[[#This Row],[UNIT]]&gt;0,_1_54128456121462410464578910174[[#This Row],[UNIT]]&lt;0),_1_54128456121462410464578910174[[#This Row],[UNIT]]*_1_54128456121462410464578910174[[#This Row],[COST]],0)</f>
        <v>0</v>
      </c>
      <c r="N625" s="194">
        <f t="shared" si="9"/>
        <v>1.5</v>
      </c>
      <c r="O625" s="198">
        <f>_1_54128456121462410464578910174[[#This Row],[TOTAL]]*_1_54128456121462410464578910174[[#This Row],[MARGIN]]</f>
        <v>0</v>
      </c>
      <c r="R625" s="41"/>
    </row>
    <row r="626" spans="4:18">
      <c r="D626" s="188"/>
      <c r="F626" s="168" t="s">
        <v>6202</v>
      </c>
      <c r="G626" s="193">
        <f>IF(_1_54128456121462410464578910174[[#This Row],[Type]]&gt;0,VLOOKUP(_1_54128456121462410464578910174[[#This Row],[Type]],Main[[#All],[TYPE]:[UNIT]],'Unit Price'!C$1,FALSE),0)</f>
        <v>0</v>
      </c>
      <c r="H626" s="197">
        <f>IF(_1_54128456121462410464578910174[[#This Row],[Type]]&gt;0,VLOOKUP(_1_54128456121462410464578910174[[#This Row],[Type]],Main[[#All],[TYPE]:[UNIT]],'Unit Price'!D$1,FALSE),0)</f>
        <v>0</v>
      </c>
      <c r="I626" s="194">
        <f>IF(_1_54128456121462410464578910174[[#This Row],[Type]]&gt;0,VLOOKUP(_1_54128456121462410464578910174[[#This Row],[Type]],Main[[#All],[TYPE]:[UNIT]],'Unit Price'!G$1,FALSE),0)</f>
        <v>0</v>
      </c>
      <c r="J626" s="194">
        <f>IF(_1_54128456121462410464578910174[[#This Row],[Type]]&gt;0,VLOOKUP(_1_54128456121462410464578910174[[#This Row],[Type]],Main[[#All],[TYPE]:[UNIT]],'Unit Price'!H$1,FALSE),0)</f>
        <v>0</v>
      </c>
      <c r="K626" s="194">
        <f>IF(_1_54128456121462410464578910174[[#This Row],[Discount selection]]&gt;0,VLOOKUP(_1_54128456121462410464578910174[[#This Row],[Discount selection]],'Discount Structure'!$A$2:$B$30,2,"false"),0)</f>
        <v>1</v>
      </c>
      <c r="L626" s="194">
        <f>_1_54128456121462410464578910174[[#This Row],[LIST $]]*_1_54128456121462410464578910174[[#This Row],[DISCOUNT]]*_1_54128456121462410464578910174[[#This Row],[DISCOUNT 2]]</f>
        <v>0</v>
      </c>
      <c r="M626" s="194">
        <f>IF(OR(_1_54128456121462410464578910174[[#This Row],[UNIT]]&gt;0,_1_54128456121462410464578910174[[#This Row],[UNIT]]&lt;0),_1_54128456121462410464578910174[[#This Row],[UNIT]]*_1_54128456121462410464578910174[[#This Row],[COST]],0)</f>
        <v>0</v>
      </c>
      <c r="N626" s="194">
        <f t="shared" si="9"/>
        <v>1.5</v>
      </c>
      <c r="O626" s="198">
        <f>_1_54128456121462410464578910174[[#This Row],[TOTAL]]*_1_54128456121462410464578910174[[#This Row],[MARGIN]]</f>
        <v>0</v>
      </c>
      <c r="R626" s="41"/>
    </row>
    <row r="627" spans="4:18">
      <c r="D627" s="188"/>
      <c r="F627" s="168" t="s">
        <v>6202</v>
      </c>
      <c r="G627" s="193">
        <f>IF(_1_54128456121462410464578910174[[#This Row],[Type]]&gt;0,VLOOKUP(_1_54128456121462410464578910174[[#This Row],[Type]],Main[[#All],[TYPE]:[UNIT]],'Unit Price'!C$1,FALSE),0)</f>
        <v>0</v>
      </c>
      <c r="H627" s="197">
        <f>IF(_1_54128456121462410464578910174[[#This Row],[Type]]&gt;0,VLOOKUP(_1_54128456121462410464578910174[[#This Row],[Type]],Main[[#All],[TYPE]:[UNIT]],'Unit Price'!D$1,FALSE),0)</f>
        <v>0</v>
      </c>
      <c r="I627" s="194">
        <f>IF(_1_54128456121462410464578910174[[#This Row],[Type]]&gt;0,VLOOKUP(_1_54128456121462410464578910174[[#This Row],[Type]],Main[[#All],[TYPE]:[UNIT]],'Unit Price'!G$1,FALSE),0)</f>
        <v>0</v>
      </c>
      <c r="J627" s="194">
        <f>IF(_1_54128456121462410464578910174[[#This Row],[Type]]&gt;0,VLOOKUP(_1_54128456121462410464578910174[[#This Row],[Type]],Main[[#All],[TYPE]:[UNIT]],'Unit Price'!H$1,FALSE),0)</f>
        <v>0</v>
      </c>
      <c r="K627" s="194">
        <f>IF(_1_54128456121462410464578910174[[#This Row],[Discount selection]]&gt;0,VLOOKUP(_1_54128456121462410464578910174[[#This Row],[Discount selection]],'Discount Structure'!$A$2:$B$30,2,"false"),0)</f>
        <v>1</v>
      </c>
      <c r="L627" s="194">
        <f>_1_54128456121462410464578910174[[#This Row],[LIST $]]*_1_54128456121462410464578910174[[#This Row],[DISCOUNT]]*_1_54128456121462410464578910174[[#This Row],[DISCOUNT 2]]</f>
        <v>0</v>
      </c>
      <c r="M627" s="194">
        <f>IF(OR(_1_54128456121462410464578910174[[#This Row],[UNIT]]&gt;0,_1_54128456121462410464578910174[[#This Row],[UNIT]]&lt;0),_1_54128456121462410464578910174[[#This Row],[UNIT]]*_1_54128456121462410464578910174[[#This Row],[COST]],0)</f>
        <v>0</v>
      </c>
      <c r="N627" s="194">
        <f t="shared" si="9"/>
        <v>1.5</v>
      </c>
      <c r="O627" s="198">
        <f>_1_54128456121462410464578910174[[#This Row],[TOTAL]]*_1_54128456121462410464578910174[[#This Row],[MARGIN]]</f>
        <v>0</v>
      </c>
      <c r="R627" s="41"/>
    </row>
    <row r="628" spans="4:18">
      <c r="D628" s="188"/>
      <c r="F628" s="168" t="s">
        <v>6202</v>
      </c>
      <c r="G628" s="193">
        <f>IF(_1_54128456121462410464578910174[[#This Row],[Type]]&gt;0,VLOOKUP(_1_54128456121462410464578910174[[#This Row],[Type]],Main[[#All],[TYPE]:[UNIT]],'Unit Price'!C$1,FALSE),0)</f>
        <v>0</v>
      </c>
      <c r="H628" s="197">
        <f>IF(_1_54128456121462410464578910174[[#This Row],[Type]]&gt;0,VLOOKUP(_1_54128456121462410464578910174[[#This Row],[Type]],Main[[#All],[TYPE]:[UNIT]],'Unit Price'!D$1,FALSE),0)</f>
        <v>0</v>
      </c>
      <c r="I628" s="194">
        <f>IF(_1_54128456121462410464578910174[[#This Row],[Type]]&gt;0,VLOOKUP(_1_54128456121462410464578910174[[#This Row],[Type]],Main[[#All],[TYPE]:[UNIT]],'Unit Price'!G$1,FALSE),0)</f>
        <v>0</v>
      </c>
      <c r="J628" s="194">
        <f>IF(_1_54128456121462410464578910174[[#This Row],[Type]]&gt;0,VLOOKUP(_1_54128456121462410464578910174[[#This Row],[Type]],Main[[#All],[TYPE]:[UNIT]],'Unit Price'!H$1,FALSE),0)</f>
        <v>0</v>
      </c>
      <c r="K628" s="194">
        <f>IF(_1_54128456121462410464578910174[[#This Row],[Discount selection]]&gt;0,VLOOKUP(_1_54128456121462410464578910174[[#This Row],[Discount selection]],'Discount Structure'!$A$2:$B$30,2,"false"),0)</f>
        <v>1</v>
      </c>
      <c r="L628" s="194">
        <f>_1_54128456121462410464578910174[[#This Row],[LIST $]]*_1_54128456121462410464578910174[[#This Row],[DISCOUNT]]*_1_54128456121462410464578910174[[#This Row],[DISCOUNT 2]]</f>
        <v>0</v>
      </c>
      <c r="M628" s="194">
        <f>IF(OR(_1_54128456121462410464578910174[[#This Row],[UNIT]]&gt;0,_1_54128456121462410464578910174[[#This Row],[UNIT]]&lt;0),_1_54128456121462410464578910174[[#This Row],[UNIT]]*_1_54128456121462410464578910174[[#This Row],[COST]],0)</f>
        <v>0</v>
      </c>
      <c r="N628" s="194">
        <f t="shared" si="9"/>
        <v>1.5</v>
      </c>
      <c r="O628" s="198">
        <f>_1_54128456121462410464578910174[[#This Row],[TOTAL]]*_1_54128456121462410464578910174[[#This Row],[MARGIN]]</f>
        <v>0</v>
      </c>
      <c r="R628" s="41"/>
    </row>
    <row r="629" spans="4:18">
      <c r="D629" s="188"/>
      <c r="F629" s="168" t="s">
        <v>6202</v>
      </c>
      <c r="G629" s="193">
        <f>IF(_1_54128456121462410464578910174[[#This Row],[Type]]&gt;0,VLOOKUP(_1_54128456121462410464578910174[[#This Row],[Type]],Main[[#All],[TYPE]:[UNIT]],'Unit Price'!C$1,FALSE),0)</f>
        <v>0</v>
      </c>
      <c r="H629" s="197">
        <f>IF(_1_54128456121462410464578910174[[#This Row],[Type]]&gt;0,VLOOKUP(_1_54128456121462410464578910174[[#This Row],[Type]],Main[[#All],[TYPE]:[UNIT]],'Unit Price'!D$1,FALSE),0)</f>
        <v>0</v>
      </c>
      <c r="I629" s="194">
        <f>IF(_1_54128456121462410464578910174[[#This Row],[Type]]&gt;0,VLOOKUP(_1_54128456121462410464578910174[[#This Row],[Type]],Main[[#All],[TYPE]:[UNIT]],'Unit Price'!G$1,FALSE),0)</f>
        <v>0</v>
      </c>
      <c r="J629" s="194">
        <f>IF(_1_54128456121462410464578910174[[#This Row],[Type]]&gt;0,VLOOKUP(_1_54128456121462410464578910174[[#This Row],[Type]],Main[[#All],[TYPE]:[UNIT]],'Unit Price'!H$1,FALSE),0)</f>
        <v>0</v>
      </c>
      <c r="K629" s="194">
        <f>IF(_1_54128456121462410464578910174[[#This Row],[Discount selection]]&gt;0,VLOOKUP(_1_54128456121462410464578910174[[#This Row],[Discount selection]],'Discount Structure'!$A$2:$B$30,2,"false"),0)</f>
        <v>1</v>
      </c>
      <c r="L629" s="194">
        <f>_1_54128456121462410464578910174[[#This Row],[LIST $]]*_1_54128456121462410464578910174[[#This Row],[DISCOUNT]]*_1_54128456121462410464578910174[[#This Row],[DISCOUNT 2]]</f>
        <v>0</v>
      </c>
      <c r="M629" s="194">
        <f>IF(OR(_1_54128456121462410464578910174[[#This Row],[UNIT]]&gt;0,_1_54128456121462410464578910174[[#This Row],[UNIT]]&lt;0),_1_54128456121462410464578910174[[#This Row],[UNIT]]*_1_54128456121462410464578910174[[#This Row],[COST]],0)</f>
        <v>0</v>
      </c>
      <c r="N629" s="194">
        <f t="shared" si="9"/>
        <v>1.5</v>
      </c>
      <c r="O629" s="198">
        <f>_1_54128456121462410464578910174[[#This Row],[TOTAL]]*_1_54128456121462410464578910174[[#This Row],[MARGIN]]</f>
        <v>0</v>
      </c>
      <c r="R629" s="41"/>
    </row>
    <row r="630" spans="4:18">
      <c r="D630" s="188"/>
      <c r="F630" s="168" t="s">
        <v>6202</v>
      </c>
      <c r="G630" s="193">
        <f>IF(_1_54128456121462410464578910174[[#This Row],[Type]]&gt;0,VLOOKUP(_1_54128456121462410464578910174[[#This Row],[Type]],Main[[#All],[TYPE]:[UNIT]],'Unit Price'!C$1,FALSE),0)</f>
        <v>0</v>
      </c>
      <c r="H630" s="197">
        <f>IF(_1_54128456121462410464578910174[[#This Row],[Type]]&gt;0,VLOOKUP(_1_54128456121462410464578910174[[#This Row],[Type]],Main[[#All],[TYPE]:[UNIT]],'Unit Price'!D$1,FALSE),0)</f>
        <v>0</v>
      </c>
      <c r="I630" s="194">
        <f>IF(_1_54128456121462410464578910174[[#This Row],[Type]]&gt;0,VLOOKUP(_1_54128456121462410464578910174[[#This Row],[Type]],Main[[#All],[TYPE]:[UNIT]],'Unit Price'!G$1,FALSE),0)</f>
        <v>0</v>
      </c>
      <c r="J630" s="194">
        <f>IF(_1_54128456121462410464578910174[[#This Row],[Type]]&gt;0,VLOOKUP(_1_54128456121462410464578910174[[#This Row],[Type]],Main[[#All],[TYPE]:[UNIT]],'Unit Price'!H$1,FALSE),0)</f>
        <v>0</v>
      </c>
      <c r="K630" s="194">
        <f>IF(_1_54128456121462410464578910174[[#This Row],[Discount selection]]&gt;0,VLOOKUP(_1_54128456121462410464578910174[[#This Row],[Discount selection]],'Discount Structure'!$A$2:$B$30,2,"false"),0)</f>
        <v>1</v>
      </c>
      <c r="L630" s="194">
        <f>_1_54128456121462410464578910174[[#This Row],[LIST $]]*_1_54128456121462410464578910174[[#This Row],[DISCOUNT]]*_1_54128456121462410464578910174[[#This Row],[DISCOUNT 2]]</f>
        <v>0</v>
      </c>
      <c r="M630" s="194">
        <f>IF(OR(_1_54128456121462410464578910174[[#This Row],[UNIT]]&gt;0,_1_54128456121462410464578910174[[#This Row],[UNIT]]&lt;0),_1_54128456121462410464578910174[[#This Row],[UNIT]]*_1_54128456121462410464578910174[[#This Row],[COST]],0)</f>
        <v>0</v>
      </c>
      <c r="N630" s="194">
        <f t="shared" si="9"/>
        <v>1.5</v>
      </c>
      <c r="O630" s="198">
        <f>_1_54128456121462410464578910174[[#This Row],[TOTAL]]*_1_54128456121462410464578910174[[#This Row],[MARGIN]]</f>
        <v>0</v>
      </c>
      <c r="R630" s="41"/>
    </row>
    <row r="631" spans="4:18">
      <c r="D631" s="188"/>
      <c r="F631" s="168" t="s">
        <v>6202</v>
      </c>
      <c r="G631" s="193">
        <f>IF(_1_54128456121462410464578910174[[#This Row],[Type]]&gt;0,VLOOKUP(_1_54128456121462410464578910174[[#This Row],[Type]],Main[[#All],[TYPE]:[UNIT]],'Unit Price'!C$1,FALSE),0)</f>
        <v>0</v>
      </c>
      <c r="H631" s="197">
        <f>IF(_1_54128456121462410464578910174[[#This Row],[Type]]&gt;0,VLOOKUP(_1_54128456121462410464578910174[[#This Row],[Type]],Main[[#All],[TYPE]:[UNIT]],'Unit Price'!D$1,FALSE),0)</f>
        <v>0</v>
      </c>
      <c r="I631" s="194">
        <f>IF(_1_54128456121462410464578910174[[#This Row],[Type]]&gt;0,VLOOKUP(_1_54128456121462410464578910174[[#This Row],[Type]],Main[[#All],[TYPE]:[UNIT]],'Unit Price'!G$1,FALSE),0)</f>
        <v>0</v>
      </c>
      <c r="J631" s="194">
        <f>IF(_1_54128456121462410464578910174[[#This Row],[Type]]&gt;0,VLOOKUP(_1_54128456121462410464578910174[[#This Row],[Type]],Main[[#All],[TYPE]:[UNIT]],'Unit Price'!H$1,FALSE),0)</f>
        <v>0</v>
      </c>
      <c r="K631" s="194">
        <f>IF(_1_54128456121462410464578910174[[#This Row],[Discount selection]]&gt;0,VLOOKUP(_1_54128456121462410464578910174[[#This Row],[Discount selection]],'Discount Structure'!$A$2:$B$30,2,"false"),0)</f>
        <v>1</v>
      </c>
      <c r="L631" s="194">
        <f>_1_54128456121462410464578910174[[#This Row],[LIST $]]*_1_54128456121462410464578910174[[#This Row],[DISCOUNT]]*_1_54128456121462410464578910174[[#This Row],[DISCOUNT 2]]</f>
        <v>0</v>
      </c>
      <c r="M631" s="194">
        <f>IF(OR(_1_54128456121462410464578910174[[#This Row],[UNIT]]&gt;0,_1_54128456121462410464578910174[[#This Row],[UNIT]]&lt;0),_1_54128456121462410464578910174[[#This Row],[UNIT]]*_1_54128456121462410464578910174[[#This Row],[COST]],0)</f>
        <v>0</v>
      </c>
      <c r="N631" s="194">
        <f t="shared" si="9"/>
        <v>1.5</v>
      </c>
      <c r="O631" s="198">
        <f>_1_54128456121462410464578910174[[#This Row],[TOTAL]]*_1_54128456121462410464578910174[[#This Row],[MARGIN]]</f>
        <v>0</v>
      </c>
      <c r="R631" s="41"/>
    </row>
    <row r="632" spans="4:18">
      <c r="D632" s="188"/>
      <c r="F632" s="168" t="s">
        <v>6202</v>
      </c>
      <c r="G632" s="193">
        <f>IF(_1_54128456121462410464578910174[[#This Row],[Type]]&gt;0,VLOOKUP(_1_54128456121462410464578910174[[#This Row],[Type]],Main[[#All],[TYPE]:[UNIT]],'Unit Price'!C$1,FALSE),0)</f>
        <v>0</v>
      </c>
      <c r="H632" s="197">
        <f>IF(_1_54128456121462410464578910174[[#This Row],[Type]]&gt;0,VLOOKUP(_1_54128456121462410464578910174[[#This Row],[Type]],Main[[#All],[TYPE]:[UNIT]],'Unit Price'!D$1,FALSE),0)</f>
        <v>0</v>
      </c>
      <c r="I632" s="194">
        <f>IF(_1_54128456121462410464578910174[[#This Row],[Type]]&gt;0,VLOOKUP(_1_54128456121462410464578910174[[#This Row],[Type]],Main[[#All],[TYPE]:[UNIT]],'Unit Price'!G$1,FALSE),0)</f>
        <v>0</v>
      </c>
      <c r="J632" s="194">
        <f>IF(_1_54128456121462410464578910174[[#This Row],[Type]]&gt;0,VLOOKUP(_1_54128456121462410464578910174[[#This Row],[Type]],Main[[#All],[TYPE]:[UNIT]],'Unit Price'!H$1,FALSE),0)</f>
        <v>0</v>
      </c>
      <c r="K632" s="194">
        <f>IF(_1_54128456121462410464578910174[[#This Row],[Discount selection]]&gt;0,VLOOKUP(_1_54128456121462410464578910174[[#This Row],[Discount selection]],'Discount Structure'!$A$2:$B$30,2,"false"),0)</f>
        <v>1</v>
      </c>
      <c r="L632" s="194">
        <f>_1_54128456121462410464578910174[[#This Row],[LIST $]]*_1_54128456121462410464578910174[[#This Row],[DISCOUNT]]*_1_54128456121462410464578910174[[#This Row],[DISCOUNT 2]]</f>
        <v>0</v>
      </c>
      <c r="M632" s="194">
        <f>IF(OR(_1_54128456121462410464578910174[[#This Row],[UNIT]]&gt;0,_1_54128456121462410464578910174[[#This Row],[UNIT]]&lt;0),_1_54128456121462410464578910174[[#This Row],[UNIT]]*_1_54128456121462410464578910174[[#This Row],[COST]],0)</f>
        <v>0</v>
      </c>
      <c r="N632" s="194">
        <f t="shared" si="9"/>
        <v>1.5</v>
      </c>
      <c r="O632" s="198">
        <f>_1_54128456121462410464578910174[[#This Row],[TOTAL]]*_1_54128456121462410464578910174[[#This Row],[MARGIN]]</f>
        <v>0</v>
      </c>
      <c r="R632" s="41"/>
    </row>
    <row r="633" spans="4:18">
      <c r="D633" s="188"/>
      <c r="F633" s="168" t="s">
        <v>6202</v>
      </c>
      <c r="G633" s="193">
        <f>IF(_1_54128456121462410464578910174[[#This Row],[Type]]&gt;0,VLOOKUP(_1_54128456121462410464578910174[[#This Row],[Type]],Main[[#All],[TYPE]:[UNIT]],'Unit Price'!C$1,FALSE),0)</f>
        <v>0</v>
      </c>
      <c r="H633" s="197">
        <f>IF(_1_54128456121462410464578910174[[#This Row],[Type]]&gt;0,VLOOKUP(_1_54128456121462410464578910174[[#This Row],[Type]],Main[[#All],[TYPE]:[UNIT]],'Unit Price'!D$1,FALSE),0)</f>
        <v>0</v>
      </c>
      <c r="I633" s="194">
        <f>IF(_1_54128456121462410464578910174[[#This Row],[Type]]&gt;0,VLOOKUP(_1_54128456121462410464578910174[[#This Row],[Type]],Main[[#All],[TYPE]:[UNIT]],'Unit Price'!G$1,FALSE),0)</f>
        <v>0</v>
      </c>
      <c r="J633" s="194">
        <f>IF(_1_54128456121462410464578910174[[#This Row],[Type]]&gt;0,VLOOKUP(_1_54128456121462410464578910174[[#This Row],[Type]],Main[[#All],[TYPE]:[UNIT]],'Unit Price'!H$1,FALSE),0)</f>
        <v>0</v>
      </c>
      <c r="K633" s="194">
        <f>IF(_1_54128456121462410464578910174[[#This Row],[Discount selection]]&gt;0,VLOOKUP(_1_54128456121462410464578910174[[#This Row],[Discount selection]],'Discount Structure'!$A$2:$B$30,2,"false"),0)</f>
        <v>1</v>
      </c>
      <c r="L633" s="194">
        <f>_1_54128456121462410464578910174[[#This Row],[LIST $]]*_1_54128456121462410464578910174[[#This Row],[DISCOUNT]]*_1_54128456121462410464578910174[[#This Row],[DISCOUNT 2]]</f>
        <v>0</v>
      </c>
      <c r="M633" s="194">
        <f>IF(OR(_1_54128456121462410464578910174[[#This Row],[UNIT]]&gt;0,_1_54128456121462410464578910174[[#This Row],[UNIT]]&lt;0),_1_54128456121462410464578910174[[#This Row],[UNIT]]*_1_54128456121462410464578910174[[#This Row],[COST]],0)</f>
        <v>0</v>
      </c>
      <c r="N633" s="194">
        <f t="shared" si="9"/>
        <v>1.5</v>
      </c>
      <c r="O633" s="198">
        <f>_1_54128456121462410464578910174[[#This Row],[TOTAL]]*_1_54128456121462410464578910174[[#This Row],[MARGIN]]</f>
        <v>0</v>
      </c>
      <c r="R633" s="41"/>
    </row>
    <row r="634" spans="4:18">
      <c r="D634" s="188"/>
      <c r="F634" s="168" t="s">
        <v>6202</v>
      </c>
      <c r="G634" s="193">
        <f>IF(_1_54128456121462410464578910174[[#This Row],[Type]]&gt;0,VLOOKUP(_1_54128456121462410464578910174[[#This Row],[Type]],Main[[#All],[TYPE]:[UNIT]],'Unit Price'!C$1,FALSE),0)</f>
        <v>0</v>
      </c>
      <c r="H634" s="197">
        <f>IF(_1_54128456121462410464578910174[[#This Row],[Type]]&gt;0,VLOOKUP(_1_54128456121462410464578910174[[#This Row],[Type]],Main[[#All],[TYPE]:[UNIT]],'Unit Price'!D$1,FALSE),0)</f>
        <v>0</v>
      </c>
      <c r="I634" s="194">
        <f>IF(_1_54128456121462410464578910174[[#This Row],[Type]]&gt;0,VLOOKUP(_1_54128456121462410464578910174[[#This Row],[Type]],Main[[#All],[TYPE]:[UNIT]],'Unit Price'!G$1,FALSE),0)</f>
        <v>0</v>
      </c>
      <c r="J634" s="194">
        <f>IF(_1_54128456121462410464578910174[[#This Row],[Type]]&gt;0,VLOOKUP(_1_54128456121462410464578910174[[#This Row],[Type]],Main[[#All],[TYPE]:[UNIT]],'Unit Price'!H$1,FALSE),0)</f>
        <v>0</v>
      </c>
      <c r="K634" s="194">
        <f>IF(_1_54128456121462410464578910174[[#This Row],[Discount selection]]&gt;0,VLOOKUP(_1_54128456121462410464578910174[[#This Row],[Discount selection]],'Discount Structure'!$A$2:$B$30,2,"false"),0)</f>
        <v>1</v>
      </c>
      <c r="L634" s="194">
        <f>_1_54128456121462410464578910174[[#This Row],[LIST $]]*_1_54128456121462410464578910174[[#This Row],[DISCOUNT]]*_1_54128456121462410464578910174[[#This Row],[DISCOUNT 2]]</f>
        <v>0</v>
      </c>
      <c r="M634" s="194">
        <f>IF(OR(_1_54128456121462410464578910174[[#This Row],[UNIT]]&gt;0,_1_54128456121462410464578910174[[#This Row],[UNIT]]&lt;0),_1_54128456121462410464578910174[[#This Row],[UNIT]]*_1_54128456121462410464578910174[[#This Row],[COST]],0)</f>
        <v>0</v>
      </c>
      <c r="N634" s="194">
        <f t="shared" si="9"/>
        <v>1.5</v>
      </c>
      <c r="O634" s="198">
        <f>_1_54128456121462410464578910174[[#This Row],[TOTAL]]*_1_54128456121462410464578910174[[#This Row],[MARGIN]]</f>
        <v>0</v>
      </c>
      <c r="R634" s="41"/>
    </row>
    <row r="635" spans="4:18">
      <c r="D635" s="188"/>
      <c r="F635" s="168" t="s">
        <v>6202</v>
      </c>
      <c r="G635" s="193">
        <f>IF(_1_54128456121462410464578910174[[#This Row],[Type]]&gt;0,VLOOKUP(_1_54128456121462410464578910174[[#This Row],[Type]],Main[[#All],[TYPE]:[UNIT]],'Unit Price'!C$1,FALSE),0)</f>
        <v>0</v>
      </c>
      <c r="H635" s="197">
        <f>IF(_1_54128456121462410464578910174[[#This Row],[Type]]&gt;0,VLOOKUP(_1_54128456121462410464578910174[[#This Row],[Type]],Main[[#All],[TYPE]:[UNIT]],'Unit Price'!D$1,FALSE),0)</f>
        <v>0</v>
      </c>
      <c r="I635" s="194">
        <f>IF(_1_54128456121462410464578910174[[#This Row],[Type]]&gt;0,VLOOKUP(_1_54128456121462410464578910174[[#This Row],[Type]],Main[[#All],[TYPE]:[UNIT]],'Unit Price'!G$1,FALSE),0)</f>
        <v>0</v>
      </c>
      <c r="J635" s="194">
        <f>IF(_1_54128456121462410464578910174[[#This Row],[Type]]&gt;0,VLOOKUP(_1_54128456121462410464578910174[[#This Row],[Type]],Main[[#All],[TYPE]:[UNIT]],'Unit Price'!H$1,FALSE),0)</f>
        <v>0</v>
      </c>
      <c r="K635" s="194">
        <f>IF(_1_54128456121462410464578910174[[#This Row],[Discount selection]]&gt;0,VLOOKUP(_1_54128456121462410464578910174[[#This Row],[Discount selection]],'Discount Structure'!$A$2:$B$30,2,"false"),0)</f>
        <v>1</v>
      </c>
      <c r="L635" s="194">
        <f>_1_54128456121462410464578910174[[#This Row],[LIST $]]*_1_54128456121462410464578910174[[#This Row],[DISCOUNT]]*_1_54128456121462410464578910174[[#This Row],[DISCOUNT 2]]</f>
        <v>0</v>
      </c>
      <c r="M635" s="194">
        <f>IF(OR(_1_54128456121462410464578910174[[#This Row],[UNIT]]&gt;0,_1_54128456121462410464578910174[[#This Row],[UNIT]]&lt;0),_1_54128456121462410464578910174[[#This Row],[UNIT]]*_1_54128456121462410464578910174[[#This Row],[COST]],0)</f>
        <v>0</v>
      </c>
      <c r="N635" s="194">
        <f t="shared" si="9"/>
        <v>1.5</v>
      </c>
      <c r="O635" s="198">
        <f>_1_54128456121462410464578910174[[#This Row],[TOTAL]]*_1_54128456121462410464578910174[[#This Row],[MARGIN]]</f>
        <v>0</v>
      </c>
      <c r="R635" s="41"/>
    </row>
    <row r="636" spans="4:18">
      <c r="D636" s="188"/>
      <c r="F636" s="168" t="s">
        <v>6202</v>
      </c>
      <c r="G636" s="193">
        <f>IF(_1_54128456121462410464578910174[[#This Row],[Type]]&gt;0,VLOOKUP(_1_54128456121462410464578910174[[#This Row],[Type]],Main[[#All],[TYPE]:[UNIT]],'Unit Price'!C$1,FALSE),0)</f>
        <v>0</v>
      </c>
      <c r="H636" s="197">
        <f>IF(_1_54128456121462410464578910174[[#This Row],[Type]]&gt;0,VLOOKUP(_1_54128456121462410464578910174[[#This Row],[Type]],Main[[#All],[TYPE]:[UNIT]],'Unit Price'!D$1,FALSE),0)</f>
        <v>0</v>
      </c>
      <c r="I636" s="194">
        <f>IF(_1_54128456121462410464578910174[[#This Row],[Type]]&gt;0,VLOOKUP(_1_54128456121462410464578910174[[#This Row],[Type]],Main[[#All],[TYPE]:[UNIT]],'Unit Price'!G$1,FALSE),0)</f>
        <v>0</v>
      </c>
      <c r="J636" s="194">
        <f>IF(_1_54128456121462410464578910174[[#This Row],[Type]]&gt;0,VLOOKUP(_1_54128456121462410464578910174[[#This Row],[Type]],Main[[#All],[TYPE]:[UNIT]],'Unit Price'!H$1,FALSE),0)</f>
        <v>0</v>
      </c>
      <c r="K636" s="194">
        <f>IF(_1_54128456121462410464578910174[[#This Row],[Discount selection]]&gt;0,VLOOKUP(_1_54128456121462410464578910174[[#This Row],[Discount selection]],'Discount Structure'!$A$2:$B$30,2,"false"),0)</f>
        <v>1</v>
      </c>
      <c r="L636" s="194">
        <f>_1_54128456121462410464578910174[[#This Row],[LIST $]]*_1_54128456121462410464578910174[[#This Row],[DISCOUNT]]*_1_54128456121462410464578910174[[#This Row],[DISCOUNT 2]]</f>
        <v>0</v>
      </c>
      <c r="M636" s="194">
        <f>IF(OR(_1_54128456121462410464578910174[[#This Row],[UNIT]]&gt;0,_1_54128456121462410464578910174[[#This Row],[UNIT]]&lt;0),_1_54128456121462410464578910174[[#This Row],[UNIT]]*_1_54128456121462410464578910174[[#This Row],[COST]],0)</f>
        <v>0</v>
      </c>
      <c r="N636" s="194">
        <f t="shared" si="9"/>
        <v>1.5</v>
      </c>
      <c r="O636" s="198">
        <f>_1_54128456121462410464578910174[[#This Row],[TOTAL]]*_1_54128456121462410464578910174[[#This Row],[MARGIN]]</f>
        <v>0</v>
      </c>
      <c r="R636" s="41"/>
    </row>
    <row r="637" spans="4:18">
      <c r="D637" s="188"/>
      <c r="F637" s="168" t="s">
        <v>6202</v>
      </c>
      <c r="G637" s="193">
        <f>IF(_1_54128456121462410464578910174[[#This Row],[Type]]&gt;0,VLOOKUP(_1_54128456121462410464578910174[[#This Row],[Type]],Main[[#All],[TYPE]:[UNIT]],'Unit Price'!C$1,FALSE),0)</f>
        <v>0</v>
      </c>
      <c r="H637" s="197">
        <f>IF(_1_54128456121462410464578910174[[#This Row],[Type]]&gt;0,VLOOKUP(_1_54128456121462410464578910174[[#This Row],[Type]],Main[[#All],[TYPE]:[UNIT]],'Unit Price'!D$1,FALSE),0)</f>
        <v>0</v>
      </c>
      <c r="I637" s="194">
        <f>IF(_1_54128456121462410464578910174[[#This Row],[Type]]&gt;0,VLOOKUP(_1_54128456121462410464578910174[[#This Row],[Type]],Main[[#All],[TYPE]:[UNIT]],'Unit Price'!G$1,FALSE),0)</f>
        <v>0</v>
      </c>
      <c r="J637" s="194">
        <f>IF(_1_54128456121462410464578910174[[#This Row],[Type]]&gt;0,VLOOKUP(_1_54128456121462410464578910174[[#This Row],[Type]],Main[[#All],[TYPE]:[UNIT]],'Unit Price'!H$1,FALSE),0)</f>
        <v>0</v>
      </c>
      <c r="K637" s="194">
        <f>IF(_1_54128456121462410464578910174[[#This Row],[Discount selection]]&gt;0,VLOOKUP(_1_54128456121462410464578910174[[#This Row],[Discount selection]],'Discount Structure'!$A$2:$B$30,2,"false"),0)</f>
        <v>1</v>
      </c>
      <c r="L637" s="194">
        <f>_1_54128456121462410464578910174[[#This Row],[LIST $]]*_1_54128456121462410464578910174[[#This Row],[DISCOUNT]]*_1_54128456121462410464578910174[[#This Row],[DISCOUNT 2]]</f>
        <v>0</v>
      </c>
      <c r="M637" s="194">
        <f>IF(OR(_1_54128456121462410464578910174[[#This Row],[UNIT]]&gt;0,_1_54128456121462410464578910174[[#This Row],[UNIT]]&lt;0),_1_54128456121462410464578910174[[#This Row],[UNIT]]*_1_54128456121462410464578910174[[#This Row],[COST]],0)</f>
        <v>0</v>
      </c>
      <c r="N637" s="194">
        <f t="shared" si="9"/>
        <v>1.5</v>
      </c>
      <c r="O637" s="198">
        <f>_1_54128456121462410464578910174[[#This Row],[TOTAL]]*_1_54128456121462410464578910174[[#This Row],[MARGIN]]</f>
        <v>0</v>
      </c>
      <c r="R637" s="41"/>
    </row>
    <row r="638" spans="4:18">
      <c r="D638" s="188"/>
      <c r="F638" s="168" t="s">
        <v>6202</v>
      </c>
      <c r="G638" s="193">
        <f>IF(_1_54128456121462410464578910174[[#This Row],[Type]]&gt;0,VLOOKUP(_1_54128456121462410464578910174[[#This Row],[Type]],Main[[#All],[TYPE]:[UNIT]],'Unit Price'!C$1,FALSE),0)</f>
        <v>0</v>
      </c>
      <c r="H638" s="197">
        <f>IF(_1_54128456121462410464578910174[[#This Row],[Type]]&gt;0,VLOOKUP(_1_54128456121462410464578910174[[#This Row],[Type]],Main[[#All],[TYPE]:[UNIT]],'Unit Price'!D$1,FALSE),0)</f>
        <v>0</v>
      </c>
      <c r="I638" s="194">
        <f>IF(_1_54128456121462410464578910174[[#This Row],[Type]]&gt;0,VLOOKUP(_1_54128456121462410464578910174[[#This Row],[Type]],Main[[#All],[TYPE]:[UNIT]],'Unit Price'!G$1,FALSE),0)</f>
        <v>0</v>
      </c>
      <c r="J638" s="194">
        <f>IF(_1_54128456121462410464578910174[[#This Row],[Type]]&gt;0,VLOOKUP(_1_54128456121462410464578910174[[#This Row],[Type]],Main[[#All],[TYPE]:[UNIT]],'Unit Price'!H$1,FALSE),0)</f>
        <v>0</v>
      </c>
      <c r="K638" s="194">
        <f>IF(_1_54128456121462410464578910174[[#This Row],[Discount selection]]&gt;0,VLOOKUP(_1_54128456121462410464578910174[[#This Row],[Discount selection]],'Discount Structure'!$A$2:$B$30,2,"false"),0)</f>
        <v>1</v>
      </c>
      <c r="L638" s="194">
        <f>_1_54128456121462410464578910174[[#This Row],[LIST $]]*_1_54128456121462410464578910174[[#This Row],[DISCOUNT]]*_1_54128456121462410464578910174[[#This Row],[DISCOUNT 2]]</f>
        <v>0</v>
      </c>
      <c r="M638" s="194">
        <f>IF(OR(_1_54128456121462410464578910174[[#This Row],[UNIT]]&gt;0,_1_54128456121462410464578910174[[#This Row],[UNIT]]&lt;0),_1_54128456121462410464578910174[[#This Row],[UNIT]]*_1_54128456121462410464578910174[[#This Row],[COST]],0)</f>
        <v>0</v>
      </c>
      <c r="N638" s="194">
        <f t="shared" si="9"/>
        <v>1.5</v>
      </c>
      <c r="O638" s="198">
        <f>_1_54128456121462410464578910174[[#This Row],[TOTAL]]*_1_54128456121462410464578910174[[#This Row],[MARGIN]]</f>
        <v>0</v>
      </c>
      <c r="R638" s="41"/>
    </row>
    <row r="639" spans="4:18">
      <c r="D639" s="188"/>
      <c r="F639" s="168" t="s">
        <v>6202</v>
      </c>
      <c r="G639" s="193">
        <f>IF(_1_54128456121462410464578910174[[#This Row],[Type]]&gt;0,VLOOKUP(_1_54128456121462410464578910174[[#This Row],[Type]],Main[[#All],[TYPE]:[UNIT]],'Unit Price'!C$1,FALSE),0)</f>
        <v>0</v>
      </c>
      <c r="H639" s="197">
        <f>IF(_1_54128456121462410464578910174[[#This Row],[Type]]&gt;0,VLOOKUP(_1_54128456121462410464578910174[[#This Row],[Type]],Main[[#All],[TYPE]:[UNIT]],'Unit Price'!D$1,FALSE),0)</f>
        <v>0</v>
      </c>
      <c r="I639" s="194">
        <f>IF(_1_54128456121462410464578910174[[#This Row],[Type]]&gt;0,VLOOKUP(_1_54128456121462410464578910174[[#This Row],[Type]],Main[[#All],[TYPE]:[UNIT]],'Unit Price'!G$1,FALSE),0)</f>
        <v>0</v>
      </c>
      <c r="J639" s="194">
        <f>IF(_1_54128456121462410464578910174[[#This Row],[Type]]&gt;0,VLOOKUP(_1_54128456121462410464578910174[[#This Row],[Type]],Main[[#All],[TYPE]:[UNIT]],'Unit Price'!H$1,FALSE),0)</f>
        <v>0</v>
      </c>
      <c r="K639" s="194">
        <f>IF(_1_54128456121462410464578910174[[#This Row],[Discount selection]]&gt;0,VLOOKUP(_1_54128456121462410464578910174[[#This Row],[Discount selection]],'Discount Structure'!$A$2:$B$30,2,"false"),0)</f>
        <v>1</v>
      </c>
      <c r="L639" s="194">
        <f>_1_54128456121462410464578910174[[#This Row],[LIST $]]*_1_54128456121462410464578910174[[#This Row],[DISCOUNT]]*_1_54128456121462410464578910174[[#This Row],[DISCOUNT 2]]</f>
        <v>0</v>
      </c>
      <c r="M639" s="194">
        <f>IF(OR(_1_54128456121462410464578910174[[#This Row],[UNIT]]&gt;0,_1_54128456121462410464578910174[[#This Row],[UNIT]]&lt;0),_1_54128456121462410464578910174[[#This Row],[UNIT]]*_1_54128456121462410464578910174[[#This Row],[COST]],0)</f>
        <v>0</v>
      </c>
      <c r="N639" s="194">
        <f t="shared" si="9"/>
        <v>1.5</v>
      </c>
      <c r="O639" s="198">
        <f>_1_54128456121462410464578910174[[#This Row],[TOTAL]]*_1_54128456121462410464578910174[[#This Row],[MARGIN]]</f>
        <v>0</v>
      </c>
      <c r="R639" s="41"/>
    </row>
    <row r="640" spans="4:18">
      <c r="D640" s="188"/>
      <c r="F640" s="168" t="s">
        <v>6202</v>
      </c>
      <c r="G640" s="193">
        <f>IF(_1_54128456121462410464578910174[[#This Row],[Type]]&gt;0,VLOOKUP(_1_54128456121462410464578910174[[#This Row],[Type]],Main[[#All],[TYPE]:[UNIT]],'Unit Price'!C$1,FALSE),0)</f>
        <v>0</v>
      </c>
      <c r="H640" s="197">
        <f>IF(_1_54128456121462410464578910174[[#This Row],[Type]]&gt;0,VLOOKUP(_1_54128456121462410464578910174[[#This Row],[Type]],Main[[#All],[TYPE]:[UNIT]],'Unit Price'!D$1,FALSE),0)</f>
        <v>0</v>
      </c>
      <c r="I640" s="194">
        <f>IF(_1_54128456121462410464578910174[[#This Row],[Type]]&gt;0,VLOOKUP(_1_54128456121462410464578910174[[#This Row],[Type]],Main[[#All],[TYPE]:[UNIT]],'Unit Price'!G$1,FALSE),0)</f>
        <v>0</v>
      </c>
      <c r="J640" s="194">
        <f>IF(_1_54128456121462410464578910174[[#This Row],[Type]]&gt;0,VLOOKUP(_1_54128456121462410464578910174[[#This Row],[Type]],Main[[#All],[TYPE]:[UNIT]],'Unit Price'!H$1,FALSE),0)</f>
        <v>0</v>
      </c>
      <c r="K640" s="194">
        <f>IF(_1_54128456121462410464578910174[[#This Row],[Discount selection]]&gt;0,VLOOKUP(_1_54128456121462410464578910174[[#This Row],[Discount selection]],'Discount Structure'!$A$2:$B$30,2,"false"),0)</f>
        <v>1</v>
      </c>
      <c r="L640" s="194">
        <f>_1_54128456121462410464578910174[[#This Row],[LIST $]]*_1_54128456121462410464578910174[[#This Row],[DISCOUNT]]*_1_54128456121462410464578910174[[#This Row],[DISCOUNT 2]]</f>
        <v>0</v>
      </c>
      <c r="M640" s="194">
        <f>IF(OR(_1_54128456121462410464578910174[[#This Row],[UNIT]]&gt;0,_1_54128456121462410464578910174[[#This Row],[UNIT]]&lt;0),_1_54128456121462410464578910174[[#This Row],[UNIT]]*_1_54128456121462410464578910174[[#This Row],[COST]],0)</f>
        <v>0</v>
      </c>
      <c r="N640" s="194">
        <f t="shared" si="9"/>
        <v>1.5</v>
      </c>
      <c r="O640" s="198">
        <f>_1_54128456121462410464578910174[[#This Row],[TOTAL]]*_1_54128456121462410464578910174[[#This Row],[MARGIN]]</f>
        <v>0</v>
      </c>
      <c r="R640" s="41"/>
    </row>
    <row r="641" spans="4:18">
      <c r="D641" s="188"/>
      <c r="F641" s="168" t="s">
        <v>6202</v>
      </c>
      <c r="G641" s="193">
        <f>IF(_1_54128456121462410464578910174[[#This Row],[Type]]&gt;0,VLOOKUP(_1_54128456121462410464578910174[[#This Row],[Type]],Main[[#All],[TYPE]:[UNIT]],'Unit Price'!C$1,FALSE),0)</f>
        <v>0</v>
      </c>
      <c r="H641" s="197">
        <f>IF(_1_54128456121462410464578910174[[#This Row],[Type]]&gt;0,VLOOKUP(_1_54128456121462410464578910174[[#This Row],[Type]],Main[[#All],[TYPE]:[UNIT]],'Unit Price'!D$1,FALSE),0)</f>
        <v>0</v>
      </c>
      <c r="I641" s="194">
        <f>IF(_1_54128456121462410464578910174[[#This Row],[Type]]&gt;0,VLOOKUP(_1_54128456121462410464578910174[[#This Row],[Type]],Main[[#All],[TYPE]:[UNIT]],'Unit Price'!G$1,FALSE),0)</f>
        <v>0</v>
      </c>
      <c r="J641" s="194">
        <f>IF(_1_54128456121462410464578910174[[#This Row],[Type]]&gt;0,VLOOKUP(_1_54128456121462410464578910174[[#This Row],[Type]],Main[[#All],[TYPE]:[UNIT]],'Unit Price'!H$1,FALSE),0)</f>
        <v>0</v>
      </c>
      <c r="K641" s="194">
        <f>IF(_1_54128456121462410464578910174[[#This Row],[Discount selection]]&gt;0,VLOOKUP(_1_54128456121462410464578910174[[#This Row],[Discount selection]],'Discount Structure'!$A$2:$B$30,2,"false"),0)</f>
        <v>1</v>
      </c>
      <c r="L641" s="194">
        <f>_1_54128456121462410464578910174[[#This Row],[LIST $]]*_1_54128456121462410464578910174[[#This Row],[DISCOUNT]]*_1_54128456121462410464578910174[[#This Row],[DISCOUNT 2]]</f>
        <v>0</v>
      </c>
      <c r="M641" s="194">
        <f>IF(OR(_1_54128456121462410464578910174[[#This Row],[UNIT]]&gt;0,_1_54128456121462410464578910174[[#This Row],[UNIT]]&lt;0),_1_54128456121462410464578910174[[#This Row],[UNIT]]*_1_54128456121462410464578910174[[#This Row],[COST]],0)</f>
        <v>0</v>
      </c>
      <c r="N641" s="194">
        <f t="shared" si="9"/>
        <v>1.5</v>
      </c>
      <c r="O641" s="198">
        <f>_1_54128456121462410464578910174[[#This Row],[TOTAL]]*_1_54128456121462410464578910174[[#This Row],[MARGIN]]</f>
        <v>0</v>
      </c>
      <c r="R641" s="41"/>
    </row>
    <row r="642" spans="4:18">
      <c r="D642" s="188"/>
      <c r="F642" s="168" t="s">
        <v>6202</v>
      </c>
      <c r="G642" s="193">
        <f>IF(_1_54128456121462410464578910174[[#This Row],[Type]]&gt;0,VLOOKUP(_1_54128456121462410464578910174[[#This Row],[Type]],Main[[#All],[TYPE]:[UNIT]],'Unit Price'!C$1,FALSE),0)</f>
        <v>0</v>
      </c>
      <c r="H642" s="197">
        <f>IF(_1_54128456121462410464578910174[[#This Row],[Type]]&gt;0,VLOOKUP(_1_54128456121462410464578910174[[#This Row],[Type]],Main[[#All],[TYPE]:[UNIT]],'Unit Price'!D$1,FALSE),0)</f>
        <v>0</v>
      </c>
      <c r="I642" s="194">
        <f>IF(_1_54128456121462410464578910174[[#This Row],[Type]]&gt;0,VLOOKUP(_1_54128456121462410464578910174[[#This Row],[Type]],Main[[#All],[TYPE]:[UNIT]],'Unit Price'!G$1,FALSE),0)</f>
        <v>0</v>
      </c>
      <c r="J642" s="194">
        <f>IF(_1_54128456121462410464578910174[[#This Row],[Type]]&gt;0,VLOOKUP(_1_54128456121462410464578910174[[#This Row],[Type]],Main[[#All],[TYPE]:[UNIT]],'Unit Price'!H$1,FALSE),0)</f>
        <v>0</v>
      </c>
      <c r="K642" s="194">
        <f>IF(_1_54128456121462410464578910174[[#This Row],[Discount selection]]&gt;0,VLOOKUP(_1_54128456121462410464578910174[[#This Row],[Discount selection]],'Discount Structure'!$A$2:$B$30,2,"false"),0)</f>
        <v>1</v>
      </c>
      <c r="L642" s="194">
        <f>_1_54128456121462410464578910174[[#This Row],[LIST $]]*_1_54128456121462410464578910174[[#This Row],[DISCOUNT]]*_1_54128456121462410464578910174[[#This Row],[DISCOUNT 2]]</f>
        <v>0</v>
      </c>
      <c r="M642" s="194">
        <f>IF(OR(_1_54128456121462410464578910174[[#This Row],[UNIT]]&gt;0,_1_54128456121462410464578910174[[#This Row],[UNIT]]&lt;0),_1_54128456121462410464578910174[[#This Row],[UNIT]]*_1_54128456121462410464578910174[[#This Row],[COST]],0)</f>
        <v>0</v>
      </c>
      <c r="N642" s="194">
        <f t="shared" si="9"/>
        <v>1.5</v>
      </c>
      <c r="O642" s="198">
        <f>_1_54128456121462410464578910174[[#This Row],[TOTAL]]*_1_54128456121462410464578910174[[#This Row],[MARGIN]]</f>
        <v>0</v>
      </c>
      <c r="R642" s="41"/>
    </row>
    <row r="643" spans="4:18">
      <c r="D643" s="188"/>
      <c r="F643" s="168" t="s">
        <v>6202</v>
      </c>
      <c r="G643" s="193">
        <f>IF(_1_54128456121462410464578910174[[#This Row],[Type]]&gt;0,VLOOKUP(_1_54128456121462410464578910174[[#This Row],[Type]],Main[[#All],[TYPE]:[UNIT]],'Unit Price'!C$1,FALSE),0)</f>
        <v>0</v>
      </c>
      <c r="H643" s="197">
        <f>IF(_1_54128456121462410464578910174[[#This Row],[Type]]&gt;0,VLOOKUP(_1_54128456121462410464578910174[[#This Row],[Type]],Main[[#All],[TYPE]:[UNIT]],'Unit Price'!D$1,FALSE),0)</f>
        <v>0</v>
      </c>
      <c r="I643" s="194">
        <f>IF(_1_54128456121462410464578910174[[#This Row],[Type]]&gt;0,VLOOKUP(_1_54128456121462410464578910174[[#This Row],[Type]],Main[[#All],[TYPE]:[UNIT]],'Unit Price'!G$1,FALSE),0)</f>
        <v>0</v>
      </c>
      <c r="J643" s="194">
        <f>IF(_1_54128456121462410464578910174[[#This Row],[Type]]&gt;0,VLOOKUP(_1_54128456121462410464578910174[[#This Row],[Type]],Main[[#All],[TYPE]:[UNIT]],'Unit Price'!H$1,FALSE),0)</f>
        <v>0</v>
      </c>
      <c r="K643" s="194">
        <f>IF(_1_54128456121462410464578910174[[#This Row],[Discount selection]]&gt;0,VLOOKUP(_1_54128456121462410464578910174[[#This Row],[Discount selection]],'Discount Structure'!$A$2:$B$30,2,"false"),0)</f>
        <v>1</v>
      </c>
      <c r="L643" s="194">
        <f>_1_54128456121462410464578910174[[#This Row],[LIST $]]*_1_54128456121462410464578910174[[#This Row],[DISCOUNT]]*_1_54128456121462410464578910174[[#This Row],[DISCOUNT 2]]</f>
        <v>0</v>
      </c>
      <c r="M643" s="194">
        <f>IF(OR(_1_54128456121462410464578910174[[#This Row],[UNIT]]&gt;0,_1_54128456121462410464578910174[[#This Row],[UNIT]]&lt;0),_1_54128456121462410464578910174[[#This Row],[UNIT]]*_1_54128456121462410464578910174[[#This Row],[COST]],0)</f>
        <v>0</v>
      </c>
      <c r="N643" s="194">
        <f t="shared" si="9"/>
        <v>1.5</v>
      </c>
      <c r="O643" s="198">
        <f>_1_54128456121462410464578910174[[#This Row],[TOTAL]]*_1_54128456121462410464578910174[[#This Row],[MARGIN]]</f>
        <v>0</v>
      </c>
      <c r="R643" s="41"/>
    </row>
    <row r="644" spans="4:18">
      <c r="D644" s="188"/>
      <c r="F644" s="168" t="s">
        <v>6202</v>
      </c>
      <c r="G644" s="193">
        <f>IF(_1_54128456121462410464578910174[[#This Row],[Type]]&gt;0,VLOOKUP(_1_54128456121462410464578910174[[#This Row],[Type]],Main[[#All],[TYPE]:[UNIT]],'Unit Price'!C$1,FALSE),0)</f>
        <v>0</v>
      </c>
      <c r="H644" s="197">
        <f>IF(_1_54128456121462410464578910174[[#This Row],[Type]]&gt;0,VLOOKUP(_1_54128456121462410464578910174[[#This Row],[Type]],Main[[#All],[TYPE]:[UNIT]],'Unit Price'!D$1,FALSE),0)</f>
        <v>0</v>
      </c>
      <c r="I644" s="194">
        <f>IF(_1_54128456121462410464578910174[[#This Row],[Type]]&gt;0,VLOOKUP(_1_54128456121462410464578910174[[#This Row],[Type]],Main[[#All],[TYPE]:[UNIT]],'Unit Price'!G$1,FALSE),0)</f>
        <v>0</v>
      </c>
      <c r="J644" s="194">
        <f>IF(_1_54128456121462410464578910174[[#This Row],[Type]]&gt;0,VLOOKUP(_1_54128456121462410464578910174[[#This Row],[Type]],Main[[#All],[TYPE]:[UNIT]],'Unit Price'!H$1,FALSE),0)</f>
        <v>0</v>
      </c>
      <c r="K644" s="194">
        <f>IF(_1_54128456121462410464578910174[[#This Row],[Discount selection]]&gt;0,VLOOKUP(_1_54128456121462410464578910174[[#This Row],[Discount selection]],'Discount Structure'!$A$2:$B$30,2,"false"),0)</f>
        <v>1</v>
      </c>
      <c r="L644" s="194">
        <f>_1_54128456121462410464578910174[[#This Row],[LIST $]]*_1_54128456121462410464578910174[[#This Row],[DISCOUNT]]*_1_54128456121462410464578910174[[#This Row],[DISCOUNT 2]]</f>
        <v>0</v>
      </c>
      <c r="M644" s="194">
        <f>IF(OR(_1_54128456121462410464578910174[[#This Row],[UNIT]]&gt;0,_1_54128456121462410464578910174[[#This Row],[UNIT]]&lt;0),_1_54128456121462410464578910174[[#This Row],[UNIT]]*_1_54128456121462410464578910174[[#This Row],[COST]],0)</f>
        <v>0</v>
      </c>
      <c r="N644" s="194">
        <f t="shared" si="9"/>
        <v>1.5</v>
      </c>
      <c r="O644" s="198">
        <f>_1_54128456121462410464578910174[[#This Row],[TOTAL]]*_1_54128456121462410464578910174[[#This Row],[MARGIN]]</f>
        <v>0</v>
      </c>
      <c r="R644" s="41"/>
    </row>
    <row r="645" spans="4:18">
      <c r="D645" s="188"/>
      <c r="F645" s="168" t="s">
        <v>6202</v>
      </c>
      <c r="G645" s="193">
        <f>IF(_1_54128456121462410464578910174[[#This Row],[Type]]&gt;0,VLOOKUP(_1_54128456121462410464578910174[[#This Row],[Type]],Main[[#All],[TYPE]:[UNIT]],'Unit Price'!C$1,FALSE),0)</f>
        <v>0</v>
      </c>
      <c r="H645" s="197">
        <f>IF(_1_54128456121462410464578910174[[#This Row],[Type]]&gt;0,VLOOKUP(_1_54128456121462410464578910174[[#This Row],[Type]],Main[[#All],[TYPE]:[UNIT]],'Unit Price'!D$1,FALSE),0)</f>
        <v>0</v>
      </c>
      <c r="I645" s="194">
        <f>IF(_1_54128456121462410464578910174[[#This Row],[Type]]&gt;0,VLOOKUP(_1_54128456121462410464578910174[[#This Row],[Type]],Main[[#All],[TYPE]:[UNIT]],'Unit Price'!G$1,FALSE),0)</f>
        <v>0</v>
      </c>
      <c r="J645" s="194">
        <f>IF(_1_54128456121462410464578910174[[#This Row],[Type]]&gt;0,VLOOKUP(_1_54128456121462410464578910174[[#This Row],[Type]],Main[[#All],[TYPE]:[UNIT]],'Unit Price'!H$1,FALSE),0)</f>
        <v>0</v>
      </c>
      <c r="K645" s="194">
        <f>IF(_1_54128456121462410464578910174[[#This Row],[Discount selection]]&gt;0,VLOOKUP(_1_54128456121462410464578910174[[#This Row],[Discount selection]],'Discount Structure'!$A$2:$B$30,2,"false"),0)</f>
        <v>1</v>
      </c>
      <c r="L645" s="194">
        <f>_1_54128456121462410464578910174[[#This Row],[LIST $]]*_1_54128456121462410464578910174[[#This Row],[DISCOUNT]]*_1_54128456121462410464578910174[[#This Row],[DISCOUNT 2]]</f>
        <v>0</v>
      </c>
      <c r="M645" s="194">
        <f>IF(OR(_1_54128456121462410464578910174[[#This Row],[UNIT]]&gt;0,_1_54128456121462410464578910174[[#This Row],[UNIT]]&lt;0),_1_54128456121462410464578910174[[#This Row],[UNIT]]*_1_54128456121462410464578910174[[#This Row],[COST]],0)</f>
        <v>0</v>
      </c>
      <c r="N645" s="194">
        <f t="shared" si="9"/>
        <v>1.5</v>
      </c>
      <c r="O645" s="198">
        <f>_1_54128456121462410464578910174[[#This Row],[TOTAL]]*_1_54128456121462410464578910174[[#This Row],[MARGIN]]</f>
        <v>0</v>
      </c>
      <c r="R645" s="41"/>
    </row>
    <row r="646" spans="4:18">
      <c r="D646" s="188"/>
      <c r="F646" s="168" t="s">
        <v>6202</v>
      </c>
      <c r="G646" s="193">
        <f>IF(_1_54128456121462410464578910174[[#This Row],[Type]]&gt;0,VLOOKUP(_1_54128456121462410464578910174[[#This Row],[Type]],Main[[#All],[TYPE]:[UNIT]],'Unit Price'!C$1,FALSE),0)</f>
        <v>0</v>
      </c>
      <c r="H646" s="197">
        <f>IF(_1_54128456121462410464578910174[[#This Row],[Type]]&gt;0,VLOOKUP(_1_54128456121462410464578910174[[#This Row],[Type]],Main[[#All],[TYPE]:[UNIT]],'Unit Price'!D$1,FALSE),0)</f>
        <v>0</v>
      </c>
      <c r="I646" s="194">
        <f>IF(_1_54128456121462410464578910174[[#This Row],[Type]]&gt;0,VLOOKUP(_1_54128456121462410464578910174[[#This Row],[Type]],Main[[#All],[TYPE]:[UNIT]],'Unit Price'!G$1,FALSE),0)</f>
        <v>0</v>
      </c>
      <c r="J646" s="194">
        <f>IF(_1_54128456121462410464578910174[[#This Row],[Type]]&gt;0,VLOOKUP(_1_54128456121462410464578910174[[#This Row],[Type]],Main[[#All],[TYPE]:[UNIT]],'Unit Price'!H$1,FALSE),0)</f>
        <v>0</v>
      </c>
      <c r="K646" s="194">
        <f>IF(_1_54128456121462410464578910174[[#This Row],[Discount selection]]&gt;0,VLOOKUP(_1_54128456121462410464578910174[[#This Row],[Discount selection]],'Discount Structure'!$A$2:$B$30,2,"false"),0)</f>
        <v>1</v>
      </c>
      <c r="L646" s="194">
        <f>_1_54128456121462410464578910174[[#This Row],[LIST $]]*_1_54128456121462410464578910174[[#This Row],[DISCOUNT]]*_1_54128456121462410464578910174[[#This Row],[DISCOUNT 2]]</f>
        <v>0</v>
      </c>
      <c r="M646" s="194">
        <f>IF(OR(_1_54128456121462410464578910174[[#This Row],[UNIT]]&gt;0,_1_54128456121462410464578910174[[#This Row],[UNIT]]&lt;0),_1_54128456121462410464578910174[[#This Row],[UNIT]]*_1_54128456121462410464578910174[[#This Row],[COST]],0)</f>
        <v>0</v>
      </c>
      <c r="N646" s="194">
        <f t="shared" si="9"/>
        <v>1.5</v>
      </c>
      <c r="O646" s="198">
        <f>_1_54128456121462410464578910174[[#This Row],[TOTAL]]*_1_54128456121462410464578910174[[#This Row],[MARGIN]]</f>
        <v>0</v>
      </c>
      <c r="R646" s="41"/>
    </row>
    <row r="647" spans="4:18">
      <c r="D647" s="188"/>
      <c r="F647" s="168" t="s">
        <v>6202</v>
      </c>
      <c r="G647" s="193">
        <f>IF(_1_54128456121462410464578910174[[#This Row],[Type]]&gt;0,VLOOKUP(_1_54128456121462410464578910174[[#This Row],[Type]],Main[[#All],[TYPE]:[UNIT]],'Unit Price'!C$1,FALSE),0)</f>
        <v>0</v>
      </c>
      <c r="H647" s="197">
        <f>IF(_1_54128456121462410464578910174[[#This Row],[Type]]&gt;0,VLOOKUP(_1_54128456121462410464578910174[[#This Row],[Type]],Main[[#All],[TYPE]:[UNIT]],'Unit Price'!D$1,FALSE),0)</f>
        <v>0</v>
      </c>
      <c r="I647" s="194">
        <f>IF(_1_54128456121462410464578910174[[#This Row],[Type]]&gt;0,VLOOKUP(_1_54128456121462410464578910174[[#This Row],[Type]],Main[[#All],[TYPE]:[UNIT]],'Unit Price'!G$1,FALSE),0)</f>
        <v>0</v>
      </c>
      <c r="J647" s="194">
        <f>IF(_1_54128456121462410464578910174[[#This Row],[Type]]&gt;0,VLOOKUP(_1_54128456121462410464578910174[[#This Row],[Type]],Main[[#All],[TYPE]:[UNIT]],'Unit Price'!H$1,FALSE),0)</f>
        <v>0</v>
      </c>
      <c r="K647" s="194">
        <f>IF(_1_54128456121462410464578910174[[#This Row],[Discount selection]]&gt;0,VLOOKUP(_1_54128456121462410464578910174[[#This Row],[Discount selection]],'Discount Structure'!$A$2:$B$30,2,"false"),0)</f>
        <v>1</v>
      </c>
      <c r="L647" s="194">
        <f>_1_54128456121462410464578910174[[#This Row],[LIST $]]*_1_54128456121462410464578910174[[#This Row],[DISCOUNT]]*_1_54128456121462410464578910174[[#This Row],[DISCOUNT 2]]</f>
        <v>0</v>
      </c>
      <c r="M647" s="194">
        <f>IF(OR(_1_54128456121462410464578910174[[#This Row],[UNIT]]&gt;0,_1_54128456121462410464578910174[[#This Row],[UNIT]]&lt;0),_1_54128456121462410464578910174[[#This Row],[UNIT]]*_1_54128456121462410464578910174[[#This Row],[COST]],0)</f>
        <v>0</v>
      </c>
      <c r="N647" s="194">
        <f t="shared" si="9"/>
        <v>1.5</v>
      </c>
      <c r="O647" s="198">
        <f>_1_54128456121462410464578910174[[#This Row],[TOTAL]]*_1_54128456121462410464578910174[[#This Row],[MARGIN]]</f>
        <v>0</v>
      </c>
      <c r="R647" s="41"/>
    </row>
    <row r="648" spans="4:18">
      <c r="D648" s="188"/>
      <c r="F648" s="168" t="s">
        <v>6202</v>
      </c>
      <c r="G648" s="193">
        <f>IF(_1_54128456121462410464578910174[[#This Row],[Type]]&gt;0,VLOOKUP(_1_54128456121462410464578910174[[#This Row],[Type]],Main[[#All],[TYPE]:[UNIT]],'Unit Price'!C$1,FALSE),0)</f>
        <v>0</v>
      </c>
      <c r="H648" s="197">
        <f>IF(_1_54128456121462410464578910174[[#This Row],[Type]]&gt;0,VLOOKUP(_1_54128456121462410464578910174[[#This Row],[Type]],Main[[#All],[TYPE]:[UNIT]],'Unit Price'!D$1,FALSE),0)</f>
        <v>0</v>
      </c>
      <c r="I648" s="194">
        <f>IF(_1_54128456121462410464578910174[[#This Row],[Type]]&gt;0,VLOOKUP(_1_54128456121462410464578910174[[#This Row],[Type]],Main[[#All],[TYPE]:[UNIT]],'Unit Price'!G$1,FALSE),0)</f>
        <v>0</v>
      </c>
      <c r="J648" s="194">
        <f>IF(_1_54128456121462410464578910174[[#This Row],[Type]]&gt;0,VLOOKUP(_1_54128456121462410464578910174[[#This Row],[Type]],Main[[#All],[TYPE]:[UNIT]],'Unit Price'!H$1,FALSE),0)</f>
        <v>0</v>
      </c>
      <c r="K648" s="194">
        <f>IF(_1_54128456121462410464578910174[[#This Row],[Discount selection]]&gt;0,VLOOKUP(_1_54128456121462410464578910174[[#This Row],[Discount selection]],'Discount Structure'!$A$2:$B$30,2,"false"),0)</f>
        <v>1</v>
      </c>
      <c r="L648" s="194">
        <f>_1_54128456121462410464578910174[[#This Row],[LIST $]]*_1_54128456121462410464578910174[[#This Row],[DISCOUNT]]*_1_54128456121462410464578910174[[#This Row],[DISCOUNT 2]]</f>
        <v>0</v>
      </c>
      <c r="M648" s="194">
        <f>IF(OR(_1_54128456121462410464578910174[[#This Row],[UNIT]]&gt;0,_1_54128456121462410464578910174[[#This Row],[UNIT]]&lt;0),_1_54128456121462410464578910174[[#This Row],[UNIT]]*_1_54128456121462410464578910174[[#This Row],[COST]],0)</f>
        <v>0</v>
      </c>
      <c r="N648" s="194">
        <f t="shared" si="9"/>
        <v>1.5</v>
      </c>
      <c r="O648" s="198">
        <f>_1_54128456121462410464578910174[[#This Row],[TOTAL]]*_1_54128456121462410464578910174[[#This Row],[MARGIN]]</f>
        <v>0</v>
      </c>
      <c r="R648" s="41"/>
    </row>
    <row r="649" spans="4:18">
      <c r="D649" s="188"/>
      <c r="F649" s="168" t="s">
        <v>6202</v>
      </c>
      <c r="G649" s="193">
        <f>IF(_1_54128456121462410464578910174[[#This Row],[Type]]&gt;0,VLOOKUP(_1_54128456121462410464578910174[[#This Row],[Type]],Main[[#All],[TYPE]:[UNIT]],'Unit Price'!C$1,FALSE),0)</f>
        <v>0</v>
      </c>
      <c r="H649" s="197">
        <f>IF(_1_54128456121462410464578910174[[#This Row],[Type]]&gt;0,VLOOKUP(_1_54128456121462410464578910174[[#This Row],[Type]],Main[[#All],[TYPE]:[UNIT]],'Unit Price'!D$1,FALSE),0)</f>
        <v>0</v>
      </c>
      <c r="I649" s="194">
        <f>IF(_1_54128456121462410464578910174[[#This Row],[Type]]&gt;0,VLOOKUP(_1_54128456121462410464578910174[[#This Row],[Type]],Main[[#All],[TYPE]:[UNIT]],'Unit Price'!G$1,FALSE),0)</f>
        <v>0</v>
      </c>
      <c r="J649" s="194">
        <f>IF(_1_54128456121462410464578910174[[#This Row],[Type]]&gt;0,VLOOKUP(_1_54128456121462410464578910174[[#This Row],[Type]],Main[[#All],[TYPE]:[UNIT]],'Unit Price'!H$1,FALSE),0)</f>
        <v>0</v>
      </c>
      <c r="K649" s="194">
        <f>IF(_1_54128456121462410464578910174[[#This Row],[Discount selection]]&gt;0,VLOOKUP(_1_54128456121462410464578910174[[#This Row],[Discount selection]],'Discount Structure'!$A$2:$B$30,2,"false"),0)</f>
        <v>1</v>
      </c>
      <c r="L649" s="194">
        <f>_1_54128456121462410464578910174[[#This Row],[LIST $]]*_1_54128456121462410464578910174[[#This Row],[DISCOUNT]]*_1_54128456121462410464578910174[[#This Row],[DISCOUNT 2]]</f>
        <v>0</v>
      </c>
      <c r="M649" s="194">
        <f>IF(OR(_1_54128456121462410464578910174[[#This Row],[UNIT]]&gt;0,_1_54128456121462410464578910174[[#This Row],[UNIT]]&lt;0),_1_54128456121462410464578910174[[#This Row],[UNIT]]*_1_54128456121462410464578910174[[#This Row],[COST]],0)</f>
        <v>0</v>
      </c>
      <c r="N649" s="194">
        <f t="shared" si="9"/>
        <v>1.5</v>
      </c>
      <c r="O649" s="198">
        <f>_1_54128456121462410464578910174[[#This Row],[TOTAL]]*_1_54128456121462410464578910174[[#This Row],[MARGIN]]</f>
        <v>0</v>
      </c>
      <c r="R649" s="41"/>
    </row>
    <row r="650" spans="4:18">
      <c r="D650" s="188"/>
      <c r="F650" s="168" t="s">
        <v>6202</v>
      </c>
      <c r="G650" s="193">
        <f>IF(_1_54128456121462410464578910174[[#This Row],[Type]]&gt;0,VLOOKUP(_1_54128456121462410464578910174[[#This Row],[Type]],Main[[#All],[TYPE]:[UNIT]],'Unit Price'!C$1,FALSE),0)</f>
        <v>0</v>
      </c>
      <c r="H650" s="197">
        <f>IF(_1_54128456121462410464578910174[[#This Row],[Type]]&gt;0,VLOOKUP(_1_54128456121462410464578910174[[#This Row],[Type]],Main[[#All],[TYPE]:[UNIT]],'Unit Price'!D$1,FALSE),0)</f>
        <v>0</v>
      </c>
      <c r="I650" s="194">
        <f>IF(_1_54128456121462410464578910174[[#This Row],[Type]]&gt;0,VLOOKUP(_1_54128456121462410464578910174[[#This Row],[Type]],Main[[#All],[TYPE]:[UNIT]],'Unit Price'!G$1,FALSE),0)</f>
        <v>0</v>
      </c>
      <c r="J650" s="194">
        <f>IF(_1_54128456121462410464578910174[[#This Row],[Type]]&gt;0,VLOOKUP(_1_54128456121462410464578910174[[#This Row],[Type]],Main[[#All],[TYPE]:[UNIT]],'Unit Price'!H$1,FALSE),0)</f>
        <v>0</v>
      </c>
      <c r="K650" s="194">
        <f>IF(_1_54128456121462410464578910174[[#This Row],[Discount selection]]&gt;0,VLOOKUP(_1_54128456121462410464578910174[[#This Row],[Discount selection]],'Discount Structure'!$A$2:$B$30,2,"false"),0)</f>
        <v>1</v>
      </c>
      <c r="L650" s="194">
        <f>_1_54128456121462410464578910174[[#This Row],[LIST $]]*_1_54128456121462410464578910174[[#This Row],[DISCOUNT]]*_1_54128456121462410464578910174[[#This Row],[DISCOUNT 2]]</f>
        <v>0</v>
      </c>
      <c r="M650" s="194">
        <f>IF(OR(_1_54128456121462410464578910174[[#This Row],[UNIT]]&gt;0,_1_54128456121462410464578910174[[#This Row],[UNIT]]&lt;0),_1_54128456121462410464578910174[[#This Row],[UNIT]]*_1_54128456121462410464578910174[[#This Row],[COST]],0)</f>
        <v>0</v>
      </c>
      <c r="N650" s="194">
        <f t="shared" ref="N650:N713" si="10">$N$7</f>
        <v>1.5</v>
      </c>
      <c r="O650" s="198">
        <f>_1_54128456121462410464578910174[[#This Row],[TOTAL]]*_1_54128456121462410464578910174[[#This Row],[MARGIN]]</f>
        <v>0</v>
      </c>
      <c r="R650" s="41"/>
    </row>
    <row r="651" spans="4:18">
      <c r="D651" s="188"/>
      <c r="F651" s="168" t="s">
        <v>6202</v>
      </c>
      <c r="G651" s="193">
        <f>IF(_1_54128456121462410464578910174[[#This Row],[Type]]&gt;0,VLOOKUP(_1_54128456121462410464578910174[[#This Row],[Type]],Main[[#All],[TYPE]:[UNIT]],'Unit Price'!C$1,FALSE),0)</f>
        <v>0</v>
      </c>
      <c r="H651" s="197">
        <f>IF(_1_54128456121462410464578910174[[#This Row],[Type]]&gt;0,VLOOKUP(_1_54128456121462410464578910174[[#This Row],[Type]],Main[[#All],[TYPE]:[UNIT]],'Unit Price'!D$1,FALSE),0)</f>
        <v>0</v>
      </c>
      <c r="I651" s="194">
        <f>IF(_1_54128456121462410464578910174[[#This Row],[Type]]&gt;0,VLOOKUP(_1_54128456121462410464578910174[[#This Row],[Type]],Main[[#All],[TYPE]:[UNIT]],'Unit Price'!G$1,FALSE),0)</f>
        <v>0</v>
      </c>
      <c r="J651" s="194">
        <f>IF(_1_54128456121462410464578910174[[#This Row],[Type]]&gt;0,VLOOKUP(_1_54128456121462410464578910174[[#This Row],[Type]],Main[[#All],[TYPE]:[UNIT]],'Unit Price'!H$1,FALSE),0)</f>
        <v>0</v>
      </c>
      <c r="K651" s="194">
        <f>IF(_1_54128456121462410464578910174[[#This Row],[Discount selection]]&gt;0,VLOOKUP(_1_54128456121462410464578910174[[#This Row],[Discount selection]],'Discount Structure'!$A$2:$B$30,2,"false"),0)</f>
        <v>1</v>
      </c>
      <c r="L651" s="194">
        <f>_1_54128456121462410464578910174[[#This Row],[LIST $]]*_1_54128456121462410464578910174[[#This Row],[DISCOUNT]]*_1_54128456121462410464578910174[[#This Row],[DISCOUNT 2]]</f>
        <v>0</v>
      </c>
      <c r="M651" s="194">
        <f>IF(OR(_1_54128456121462410464578910174[[#This Row],[UNIT]]&gt;0,_1_54128456121462410464578910174[[#This Row],[UNIT]]&lt;0),_1_54128456121462410464578910174[[#This Row],[UNIT]]*_1_54128456121462410464578910174[[#This Row],[COST]],0)</f>
        <v>0</v>
      </c>
      <c r="N651" s="194">
        <f t="shared" si="10"/>
        <v>1.5</v>
      </c>
      <c r="O651" s="198">
        <f>_1_54128456121462410464578910174[[#This Row],[TOTAL]]*_1_54128456121462410464578910174[[#This Row],[MARGIN]]</f>
        <v>0</v>
      </c>
      <c r="R651" s="41"/>
    </row>
    <row r="652" spans="4:18">
      <c r="D652" s="188"/>
      <c r="F652" s="168" t="s">
        <v>6202</v>
      </c>
      <c r="G652" s="193">
        <f>IF(_1_54128456121462410464578910174[[#This Row],[Type]]&gt;0,VLOOKUP(_1_54128456121462410464578910174[[#This Row],[Type]],Main[[#All],[TYPE]:[UNIT]],'Unit Price'!C$1,FALSE),0)</f>
        <v>0</v>
      </c>
      <c r="H652" s="197">
        <f>IF(_1_54128456121462410464578910174[[#This Row],[Type]]&gt;0,VLOOKUP(_1_54128456121462410464578910174[[#This Row],[Type]],Main[[#All],[TYPE]:[UNIT]],'Unit Price'!D$1,FALSE),0)</f>
        <v>0</v>
      </c>
      <c r="I652" s="194">
        <f>IF(_1_54128456121462410464578910174[[#This Row],[Type]]&gt;0,VLOOKUP(_1_54128456121462410464578910174[[#This Row],[Type]],Main[[#All],[TYPE]:[UNIT]],'Unit Price'!G$1,FALSE),0)</f>
        <v>0</v>
      </c>
      <c r="J652" s="194">
        <f>IF(_1_54128456121462410464578910174[[#This Row],[Type]]&gt;0,VLOOKUP(_1_54128456121462410464578910174[[#This Row],[Type]],Main[[#All],[TYPE]:[UNIT]],'Unit Price'!H$1,FALSE),0)</f>
        <v>0</v>
      </c>
      <c r="K652" s="194">
        <f>IF(_1_54128456121462410464578910174[[#This Row],[Discount selection]]&gt;0,VLOOKUP(_1_54128456121462410464578910174[[#This Row],[Discount selection]],'Discount Structure'!$A$2:$B$30,2,"false"),0)</f>
        <v>1</v>
      </c>
      <c r="L652" s="194">
        <f>_1_54128456121462410464578910174[[#This Row],[LIST $]]*_1_54128456121462410464578910174[[#This Row],[DISCOUNT]]*_1_54128456121462410464578910174[[#This Row],[DISCOUNT 2]]</f>
        <v>0</v>
      </c>
      <c r="M652" s="194">
        <f>IF(OR(_1_54128456121462410464578910174[[#This Row],[UNIT]]&gt;0,_1_54128456121462410464578910174[[#This Row],[UNIT]]&lt;0),_1_54128456121462410464578910174[[#This Row],[UNIT]]*_1_54128456121462410464578910174[[#This Row],[COST]],0)</f>
        <v>0</v>
      </c>
      <c r="N652" s="194">
        <f t="shared" si="10"/>
        <v>1.5</v>
      </c>
      <c r="O652" s="198">
        <f>_1_54128456121462410464578910174[[#This Row],[TOTAL]]*_1_54128456121462410464578910174[[#This Row],[MARGIN]]</f>
        <v>0</v>
      </c>
      <c r="R652" s="41"/>
    </row>
    <row r="653" spans="4:18">
      <c r="D653" s="188"/>
      <c r="F653" s="168" t="s">
        <v>6202</v>
      </c>
      <c r="G653" s="193">
        <f>IF(_1_54128456121462410464578910174[[#This Row],[Type]]&gt;0,VLOOKUP(_1_54128456121462410464578910174[[#This Row],[Type]],Main[[#All],[TYPE]:[UNIT]],'Unit Price'!C$1,FALSE),0)</f>
        <v>0</v>
      </c>
      <c r="H653" s="197">
        <f>IF(_1_54128456121462410464578910174[[#This Row],[Type]]&gt;0,VLOOKUP(_1_54128456121462410464578910174[[#This Row],[Type]],Main[[#All],[TYPE]:[UNIT]],'Unit Price'!D$1,FALSE),0)</f>
        <v>0</v>
      </c>
      <c r="I653" s="194">
        <f>IF(_1_54128456121462410464578910174[[#This Row],[Type]]&gt;0,VLOOKUP(_1_54128456121462410464578910174[[#This Row],[Type]],Main[[#All],[TYPE]:[UNIT]],'Unit Price'!G$1,FALSE),0)</f>
        <v>0</v>
      </c>
      <c r="J653" s="194">
        <f>IF(_1_54128456121462410464578910174[[#This Row],[Type]]&gt;0,VLOOKUP(_1_54128456121462410464578910174[[#This Row],[Type]],Main[[#All],[TYPE]:[UNIT]],'Unit Price'!H$1,FALSE),0)</f>
        <v>0</v>
      </c>
      <c r="K653" s="194">
        <f>IF(_1_54128456121462410464578910174[[#This Row],[Discount selection]]&gt;0,VLOOKUP(_1_54128456121462410464578910174[[#This Row],[Discount selection]],'Discount Structure'!$A$2:$B$30,2,"false"),0)</f>
        <v>1</v>
      </c>
      <c r="L653" s="194">
        <f>_1_54128456121462410464578910174[[#This Row],[LIST $]]*_1_54128456121462410464578910174[[#This Row],[DISCOUNT]]*_1_54128456121462410464578910174[[#This Row],[DISCOUNT 2]]</f>
        <v>0</v>
      </c>
      <c r="M653" s="194">
        <f>IF(OR(_1_54128456121462410464578910174[[#This Row],[UNIT]]&gt;0,_1_54128456121462410464578910174[[#This Row],[UNIT]]&lt;0),_1_54128456121462410464578910174[[#This Row],[UNIT]]*_1_54128456121462410464578910174[[#This Row],[COST]],0)</f>
        <v>0</v>
      </c>
      <c r="N653" s="194">
        <f t="shared" si="10"/>
        <v>1.5</v>
      </c>
      <c r="O653" s="198">
        <f>_1_54128456121462410464578910174[[#This Row],[TOTAL]]*_1_54128456121462410464578910174[[#This Row],[MARGIN]]</f>
        <v>0</v>
      </c>
      <c r="R653" s="41"/>
    </row>
    <row r="654" spans="4:18">
      <c r="D654" s="188"/>
      <c r="F654" s="168" t="s">
        <v>6202</v>
      </c>
      <c r="G654" s="193">
        <f>IF(_1_54128456121462410464578910174[[#This Row],[Type]]&gt;0,VLOOKUP(_1_54128456121462410464578910174[[#This Row],[Type]],Main[[#All],[TYPE]:[UNIT]],'Unit Price'!C$1,FALSE),0)</f>
        <v>0</v>
      </c>
      <c r="H654" s="197">
        <f>IF(_1_54128456121462410464578910174[[#This Row],[Type]]&gt;0,VLOOKUP(_1_54128456121462410464578910174[[#This Row],[Type]],Main[[#All],[TYPE]:[UNIT]],'Unit Price'!D$1,FALSE),0)</f>
        <v>0</v>
      </c>
      <c r="I654" s="194">
        <f>IF(_1_54128456121462410464578910174[[#This Row],[Type]]&gt;0,VLOOKUP(_1_54128456121462410464578910174[[#This Row],[Type]],Main[[#All],[TYPE]:[UNIT]],'Unit Price'!G$1,FALSE),0)</f>
        <v>0</v>
      </c>
      <c r="J654" s="194">
        <f>IF(_1_54128456121462410464578910174[[#This Row],[Type]]&gt;0,VLOOKUP(_1_54128456121462410464578910174[[#This Row],[Type]],Main[[#All],[TYPE]:[UNIT]],'Unit Price'!H$1,FALSE),0)</f>
        <v>0</v>
      </c>
      <c r="K654" s="194">
        <f>IF(_1_54128456121462410464578910174[[#This Row],[Discount selection]]&gt;0,VLOOKUP(_1_54128456121462410464578910174[[#This Row],[Discount selection]],'Discount Structure'!$A$2:$B$30,2,"false"),0)</f>
        <v>1</v>
      </c>
      <c r="L654" s="194">
        <f>_1_54128456121462410464578910174[[#This Row],[LIST $]]*_1_54128456121462410464578910174[[#This Row],[DISCOUNT]]*_1_54128456121462410464578910174[[#This Row],[DISCOUNT 2]]</f>
        <v>0</v>
      </c>
      <c r="M654" s="194">
        <f>IF(OR(_1_54128456121462410464578910174[[#This Row],[UNIT]]&gt;0,_1_54128456121462410464578910174[[#This Row],[UNIT]]&lt;0),_1_54128456121462410464578910174[[#This Row],[UNIT]]*_1_54128456121462410464578910174[[#This Row],[COST]],0)</f>
        <v>0</v>
      </c>
      <c r="N654" s="194">
        <f t="shared" si="10"/>
        <v>1.5</v>
      </c>
      <c r="O654" s="198">
        <f>_1_54128456121462410464578910174[[#This Row],[TOTAL]]*_1_54128456121462410464578910174[[#This Row],[MARGIN]]</f>
        <v>0</v>
      </c>
      <c r="R654" s="41"/>
    </row>
    <row r="655" spans="4:18">
      <c r="D655" s="188"/>
      <c r="F655" s="168" t="s">
        <v>6202</v>
      </c>
      <c r="G655" s="193">
        <f>IF(_1_54128456121462410464578910174[[#This Row],[Type]]&gt;0,VLOOKUP(_1_54128456121462410464578910174[[#This Row],[Type]],Main[[#All],[TYPE]:[UNIT]],'Unit Price'!C$1,FALSE),0)</f>
        <v>0</v>
      </c>
      <c r="H655" s="197">
        <f>IF(_1_54128456121462410464578910174[[#This Row],[Type]]&gt;0,VLOOKUP(_1_54128456121462410464578910174[[#This Row],[Type]],Main[[#All],[TYPE]:[UNIT]],'Unit Price'!D$1,FALSE),0)</f>
        <v>0</v>
      </c>
      <c r="I655" s="194">
        <f>IF(_1_54128456121462410464578910174[[#This Row],[Type]]&gt;0,VLOOKUP(_1_54128456121462410464578910174[[#This Row],[Type]],Main[[#All],[TYPE]:[UNIT]],'Unit Price'!G$1,FALSE),0)</f>
        <v>0</v>
      </c>
      <c r="J655" s="194">
        <f>IF(_1_54128456121462410464578910174[[#This Row],[Type]]&gt;0,VLOOKUP(_1_54128456121462410464578910174[[#This Row],[Type]],Main[[#All],[TYPE]:[UNIT]],'Unit Price'!H$1,FALSE),0)</f>
        <v>0</v>
      </c>
      <c r="K655" s="194">
        <f>IF(_1_54128456121462410464578910174[[#This Row],[Discount selection]]&gt;0,VLOOKUP(_1_54128456121462410464578910174[[#This Row],[Discount selection]],'Discount Structure'!$A$2:$B$30,2,"false"),0)</f>
        <v>1</v>
      </c>
      <c r="L655" s="194">
        <f>_1_54128456121462410464578910174[[#This Row],[LIST $]]*_1_54128456121462410464578910174[[#This Row],[DISCOUNT]]*_1_54128456121462410464578910174[[#This Row],[DISCOUNT 2]]</f>
        <v>0</v>
      </c>
      <c r="M655" s="194">
        <f>IF(OR(_1_54128456121462410464578910174[[#This Row],[UNIT]]&gt;0,_1_54128456121462410464578910174[[#This Row],[UNIT]]&lt;0),_1_54128456121462410464578910174[[#This Row],[UNIT]]*_1_54128456121462410464578910174[[#This Row],[COST]],0)</f>
        <v>0</v>
      </c>
      <c r="N655" s="194">
        <f t="shared" si="10"/>
        <v>1.5</v>
      </c>
      <c r="O655" s="198">
        <f>_1_54128456121462410464578910174[[#This Row],[TOTAL]]*_1_54128456121462410464578910174[[#This Row],[MARGIN]]</f>
        <v>0</v>
      </c>
      <c r="R655" s="41"/>
    </row>
    <row r="656" spans="4:18">
      <c r="D656" s="188"/>
      <c r="F656" s="168" t="s">
        <v>6202</v>
      </c>
      <c r="G656" s="193">
        <f>IF(_1_54128456121462410464578910174[[#This Row],[Type]]&gt;0,VLOOKUP(_1_54128456121462410464578910174[[#This Row],[Type]],Main[[#All],[TYPE]:[UNIT]],'Unit Price'!C$1,FALSE),0)</f>
        <v>0</v>
      </c>
      <c r="H656" s="197">
        <f>IF(_1_54128456121462410464578910174[[#This Row],[Type]]&gt;0,VLOOKUP(_1_54128456121462410464578910174[[#This Row],[Type]],Main[[#All],[TYPE]:[UNIT]],'Unit Price'!D$1,FALSE),0)</f>
        <v>0</v>
      </c>
      <c r="I656" s="194">
        <f>IF(_1_54128456121462410464578910174[[#This Row],[Type]]&gt;0,VLOOKUP(_1_54128456121462410464578910174[[#This Row],[Type]],Main[[#All],[TYPE]:[UNIT]],'Unit Price'!G$1,FALSE),0)</f>
        <v>0</v>
      </c>
      <c r="J656" s="194">
        <f>IF(_1_54128456121462410464578910174[[#This Row],[Type]]&gt;0,VLOOKUP(_1_54128456121462410464578910174[[#This Row],[Type]],Main[[#All],[TYPE]:[UNIT]],'Unit Price'!H$1,FALSE),0)</f>
        <v>0</v>
      </c>
      <c r="K656" s="194">
        <f>IF(_1_54128456121462410464578910174[[#This Row],[Discount selection]]&gt;0,VLOOKUP(_1_54128456121462410464578910174[[#This Row],[Discount selection]],'Discount Structure'!$A$2:$B$30,2,"false"),0)</f>
        <v>1</v>
      </c>
      <c r="L656" s="194">
        <f>_1_54128456121462410464578910174[[#This Row],[LIST $]]*_1_54128456121462410464578910174[[#This Row],[DISCOUNT]]*_1_54128456121462410464578910174[[#This Row],[DISCOUNT 2]]</f>
        <v>0</v>
      </c>
      <c r="M656" s="194">
        <f>IF(OR(_1_54128456121462410464578910174[[#This Row],[UNIT]]&gt;0,_1_54128456121462410464578910174[[#This Row],[UNIT]]&lt;0),_1_54128456121462410464578910174[[#This Row],[UNIT]]*_1_54128456121462410464578910174[[#This Row],[COST]],0)</f>
        <v>0</v>
      </c>
      <c r="N656" s="194">
        <f t="shared" si="10"/>
        <v>1.5</v>
      </c>
      <c r="O656" s="198">
        <f>_1_54128456121462410464578910174[[#This Row],[TOTAL]]*_1_54128456121462410464578910174[[#This Row],[MARGIN]]</f>
        <v>0</v>
      </c>
      <c r="R656" s="41"/>
    </row>
    <row r="657" spans="4:18">
      <c r="D657" s="188"/>
      <c r="F657" s="168" t="s">
        <v>6202</v>
      </c>
      <c r="G657" s="193">
        <f>IF(_1_54128456121462410464578910174[[#This Row],[Type]]&gt;0,VLOOKUP(_1_54128456121462410464578910174[[#This Row],[Type]],Main[[#All],[TYPE]:[UNIT]],'Unit Price'!C$1,FALSE),0)</f>
        <v>0</v>
      </c>
      <c r="H657" s="197">
        <f>IF(_1_54128456121462410464578910174[[#This Row],[Type]]&gt;0,VLOOKUP(_1_54128456121462410464578910174[[#This Row],[Type]],Main[[#All],[TYPE]:[UNIT]],'Unit Price'!D$1,FALSE),0)</f>
        <v>0</v>
      </c>
      <c r="I657" s="194">
        <f>IF(_1_54128456121462410464578910174[[#This Row],[Type]]&gt;0,VLOOKUP(_1_54128456121462410464578910174[[#This Row],[Type]],Main[[#All],[TYPE]:[UNIT]],'Unit Price'!G$1,FALSE),0)</f>
        <v>0</v>
      </c>
      <c r="J657" s="194">
        <f>IF(_1_54128456121462410464578910174[[#This Row],[Type]]&gt;0,VLOOKUP(_1_54128456121462410464578910174[[#This Row],[Type]],Main[[#All],[TYPE]:[UNIT]],'Unit Price'!H$1,FALSE),0)</f>
        <v>0</v>
      </c>
      <c r="K657" s="194">
        <f>IF(_1_54128456121462410464578910174[[#This Row],[Discount selection]]&gt;0,VLOOKUP(_1_54128456121462410464578910174[[#This Row],[Discount selection]],'Discount Structure'!$A$2:$B$30,2,"false"),0)</f>
        <v>1</v>
      </c>
      <c r="L657" s="194">
        <f>_1_54128456121462410464578910174[[#This Row],[LIST $]]*_1_54128456121462410464578910174[[#This Row],[DISCOUNT]]*_1_54128456121462410464578910174[[#This Row],[DISCOUNT 2]]</f>
        <v>0</v>
      </c>
      <c r="M657" s="194">
        <f>IF(OR(_1_54128456121462410464578910174[[#This Row],[UNIT]]&gt;0,_1_54128456121462410464578910174[[#This Row],[UNIT]]&lt;0),_1_54128456121462410464578910174[[#This Row],[UNIT]]*_1_54128456121462410464578910174[[#This Row],[COST]],0)</f>
        <v>0</v>
      </c>
      <c r="N657" s="194">
        <f t="shared" si="10"/>
        <v>1.5</v>
      </c>
      <c r="O657" s="198">
        <f>_1_54128456121462410464578910174[[#This Row],[TOTAL]]*_1_54128456121462410464578910174[[#This Row],[MARGIN]]</f>
        <v>0</v>
      </c>
      <c r="R657" s="41"/>
    </row>
    <row r="658" spans="4:18">
      <c r="D658" s="188"/>
      <c r="F658" s="168" t="s">
        <v>6202</v>
      </c>
      <c r="G658" s="193">
        <f>IF(_1_54128456121462410464578910174[[#This Row],[Type]]&gt;0,VLOOKUP(_1_54128456121462410464578910174[[#This Row],[Type]],Main[[#All],[TYPE]:[UNIT]],'Unit Price'!C$1,FALSE),0)</f>
        <v>0</v>
      </c>
      <c r="H658" s="197">
        <f>IF(_1_54128456121462410464578910174[[#This Row],[Type]]&gt;0,VLOOKUP(_1_54128456121462410464578910174[[#This Row],[Type]],Main[[#All],[TYPE]:[UNIT]],'Unit Price'!D$1,FALSE),0)</f>
        <v>0</v>
      </c>
      <c r="I658" s="194">
        <f>IF(_1_54128456121462410464578910174[[#This Row],[Type]]&gt;0,VLOOKUP(_1_54128456121462410464578910174[[#This Row],[Type]],Main[[#All],[TYPE]:[UNIT]],'Unit Price'!G$1,FALSE),0)</f>
        <v>0</v>
      </c>
      <c r="J658" s="194">
        <f>IF(_1_54128456121462410464578910174[[#This Row],[Type]]&gt;0,VLOOKUP(_1_54128456121462410464578910174[[#This Row],[Type]],Main[[#All],[TYPE]:[UNIT]],'Unit Price'!H$1,FALSE),0)</f>
        <v>0</v>
      </c>
      <c r="K658" s="194">
        <f>IF(_1_54128456121462410464578910174[[#This Row],[Discount selection]]&gt;0,VLOOKUP(_1_54128456121462410464578910174[[#This Row],[Discount selection]],'Discount Structure'!$A$2:$B$30,2,"false"),0)</f>
        <v>1</v>
      </c>
      <c r="L658" s="194">
        <f>_1_54128456121462410464578910174[[#This Row],[LIST $]]*_1_54128456121462410464578910174[[#This Row],[DISCOUNT]]*_1_54128456121462410464578910174[[#This Row],[DISCOUNT 2]]</f>
        <v>0</v>
      </c>
      <c r="M658" s="194">
        <f>IF(OR(_1_54128456121462410464578910174[[#This Row],[UNIT]]&gt;0,_1_54128456121462410464578910174[[#This Row],[UNIT]]&lt;0),_1_54128456121462410464578910174[[#This Row],[UNIT]]*_1_54128456121462410464578910174[[#This Row],[COST]],0)</f>
        <v>0</v>
      </c>
      <c r="N658" s="194">
        <f t="shared" si="10"/>
        <v>1.5</v>
      </c>
      <c r="O658" s="198">
        <f>_1_54128456121462410464578910174[[#This Row],[TOTAL]]*_1_54128456121462410464578910174[[#This Row],[MARGIN]]</f>
        <v>0</v>
      </c>
      <c r="R658" s="41"/>
    </row>
    <row r="659" spans="4:18">
      <c r="D659" s="188"/>
      <c r="F659" s="168" t="s">
        <v>6202</v>
      </c>
      <c r="G659" s="193">
        <f>IF(_1_54128456121462410464578910174[[#This Row],[Type]]&gt;0,VLOOKUP(_1_54128456121462410464578910174[[#This Row],[Type]],Main[[#All],[TYPE]:[UNIT]],'Unit Price'!C$1,FALSE),0)</f>
        <v>0</v>
      </c>
      <c r="H659" s="197">
        <f>IF(_1_54128456121462410464578910174[[#This Row],[Type]]&gt;0,VLOOKUP(_1_54128456121462410464578910174[[#This Row],[Type]],Main[[#All],[TYPE]:[UNIT]],'Unit Price'!D$1,FALSE),0)</f>
        <v>0</v>
      </c>
      <c r="I659" s="194">
        <f>IF(_1_54128456121462410464578910174[[#This Row],[Type]]&gt;0,VLOOKUP(_1_54128456121462410464578910174[[#This Row],[Type]],Main[[#All],[TYPE]:[UNIT]],'Unit Price'!G$1,FALSE),0)</f>
        <v>0</v>
      </c>
      <c r="J659" s="194">
        <f>IF(_1_54128456121462410464578910174[[#This Row],[Type]]&gt;0,VLOOKUP(_1_54128456121462410464578910174[[#This Row],[Type]],Main[[#All],[TYPE]:[UNIT]],'Unit Price'!H$1,FALSE),0)</f>
        <v>0</v>
      </c>
      <c r="K659" s="194">
        <f>IF(_1_54128456121462410464578910174[[#This Row],[Discount selection]]&gt;0,VLOOKUP(_1_54128456121462410464578910174[[#This Row],[Discount selection]],'Discount Structure'!$A$2:$B$30,2,"false"),0)</f>
        <v>1</v>
      </c>
      <c r="L659" s="194">
        <f>_1_54128456121462410464578910174[[#This Row],[LIST $]]*_1_54128456121462410464578910174[[#This Row],[DISCOUNT]]*_1_54128456121462410464578910174[[#This Row],[DISCOUNT 2]]</f>
        <v>0</v>
      </c>
      <c r="M659" s="194">
        <f>IF(OR(_1_54128456121462410464578910174[[#This Row],[UNIT]]&gt;0,_1_54128456121462410464578910174[[#This Row],[UNIT]]&lt;0),_1_54128456121462410464578910174[[#This Row],[UNIT]]*_1_54128456121462410464578910174[[#This Row],[COST]],0)</f>
        <v>0</v>
      </c>
      <c r="N659" s="194">
        <f t="shared" si="10"/>
        <v>1.5</v>
      </c>
      <c r="O659" s="198">
        <f>_1_54128456121462410464578910174[[#This Row],[TOTAL]]*_1_54128456121462410464578910174[[#This Row],[MARGIN]]</f>
        <v>0</v>
      </c>
      <c r="R659" s="41"/>
    </row>
    <row r="660" spans="4:18">
      <c r="D660" s="188"/>
      <c r="F660" s="168" t="s">
        <v>6202</v>
      </c>
      <c r="G660" s="193">
        <f>IF(_1_54128456121462410464578910174[[#This Row],[Type]]&gt;0,VLOOKUP(_1_54128456121462410464578910174[[#This Row],[Type]],Main[[#All],[TYPE]:[UNIT]],'Unit Price'!C$1,FALSE),0)</f>
        <v>0</v>
      </c>
      <c r="H660" s="197">
        <f>IF(_1_54128456121462410464578910174[[#This Row],[Type]]&gt;0,VLOOKUP(_1_54128456121462410464578910174[[#This Row],[Type]],Main[[#All],[TYPE]:[UNIT]],'Unit Price'!D$1,FALSE),0)</f>
        <v>0</v>
      </c>
      <c r="I660" s="194">
        <f>IF(_1_54128456121462410464578910174[[#This Row],[Type]]&gt;0,VLOOKUP(_1_54128456121462410464578910174[[#This Row],[Type]],Main[[#All],[TYPE]:[UNIT]],'Unit Price'!G$1,FALSE),0)</f>
        <v>0</v>
      </c>
      <c r="J660" s="194">
        <f>IF(_1_54128456121462410464578910174[[#This Row],[Type]]&gt;0,VLOOKUP(_1_54128456121462410464578910174[[#This Row],[Type]],Main[[#All],[TYPE]:[UNIT]],'Unit Price'!H$1,FALSE),0)</f>
        <v>0</v>
      </c>
      <c r="K660" s="194">
        <f>IF(_1_54128456121462410464578910174[[#This Row],[Discount selection]]&gt;0,VLOOKUP(_1_54128456121462410464578910174[[#This Row],[Discount selection]],'Discount Structure'!$A$2:$B$30,2,"false"),0)</f>
        <v>1</v>
      </c>
      <c r="L660" s="194">
        <f>_1_54128456121462410464578910174[[#This Row],[LIST $]]*_1_54128456121462410464578910174[[#This Row],[DISCOUNT]]*_1_54128456121462410464578910174[[#This Row],[DISCOUNT 2]]</f>
        <v>0</v>
      </c>
      <c r="M660" s="194">
        <f>IF(OR(_1_54128456121462410464578910174[[#This Row],[UNIT]]&gt;0,_1_54128456121462410464578910174[[#This Row],[UNIT]]&lt;0),_1_54128456121462410464578910174[[#This Row],[UNIT]]*_1_54128456121462410464578910174[[#This Row],[COST]],0)</f>
        <v>0</v>
      </c>
      <c r="N660" s="194">
        <f t="shared" si="10"/>
        <v>1.5</v>
      </c>
      <c r="O660" s="198">
        <f>_1_54128456121462410464578910174[[#This Row],[TOTAL]]*_1_54128456121462410464578910174[[#This Row],[MARGIN]]</f>
        <v>0</v>
      </c>
      <c r="R660" s="41"/>
    </row>
    <row r="661" spans="4:18">
      <c r="D661" s="188"/>
      <c r="F661" s="168" t="s">
        <v>6202</v>
      </c>
      <c r="G661" s="193">
        <f>IF(_1_54128456121462410464578910174[[#This Row],[Type]]&gt;0,VLOOKUP(_1_54128456121462410464578910174[[#This Row],[Type]],Main[[#All],[TYPE]:[UNIT]],'Unit Price'!C$1,FALSE),0)</f>
        <v>0</v>
      </c>
      <c r="H661" s="197">
        <f>IF(_1_54128456121462410464578910174[[#This Row],[Type]]&gt;0,VLOOKUP(_1_54128456121462410464578910174[[#This Row],[Type]],Main[[#All],[TYPE]:[UNIT]],'Unit Price'!D$1,FALSE),0)</f>
        <v>0</v>
      </c>
      <c r="I661" s="194">
        <f>IF(_1_54128456121462410464578910174[[#This Row],[Type]]&gt;0,VLOOKUP(_1_54128456121462410464578910174[[#This Row],[Type]],Main[[#All],[TYPE]:[UNIT]],'Unit Price'!G$1,FALSE),0)</f>
        <v>0</v>
      </c>
      <c r="J661" s="194">
        <f>IF(_1_54128456121462410464578910174[[#This Row],[Type]]&gt;0,VLOOKUP(_1_54128456121462410464578910174[[#This Row],[Type]],Main[[#All],[TYPE]:[UNIT]],'Unit Price'!H$1,FALSE),0)</f>
        <v>0</v>
      </c>
      <c r="K661" s="194">
        <f>IF(_1_54128456121462410464578910174[[#This Row],[Discount selection]]&gt;0,VLOOKUP(_1_54128456121462410464578910174[[#This Row],[Discount selection]],'Discount Structure'!$A$2:$B$30,2,"false"),0)</f>
        <v>1</v>
      </c>
      <c r="L661" s="194">
        <f>_1_54128456121462410464578910174[[#This Row],[LIST $]]*_1_54128456121462410464578910174[[#This Row],[DISCOUNT]]*_1_54128456121462410464578910174[[#This Row],[DISCOUNT 2]]</f>
        <v>0</v>
      </c>
      <c r="M661" s="194">
        <f>IF(OR(_1_54128456121462410464578910174[[#This Row],[UNIT]]&gt;0,_1_54128456121462410464578910174[[#This Row],[UNIT]]&lt;0),_1_54128456121462410464578910174[[#This Row],[UNIT]]*_1_54128456121462410464578910174[[#This Row],[COST]],0)</f>
        <v>0</v>
      </c>
      <c r="N661" s="194">
        <f t="shared" si="10"/>
        <v>1.5</v>
      </c>
      <c r="O661" s="198">
        <f>_1_54128456121462410464578910174[[#This Row],[TOTAL]]*_1_54128456121462410464578910174[[#This Row],[MARGIN]]</f>
        <v>0</v>
      </c>
      <c r="R661" s="41"/>
    </row>
    <row r="662" spans="4:18">
      <c r="D662" s="188"/>
      <c r="F662" s="168" t="s">
        <v>6202</v>
      </c>
      <c r="G662" s="193">
        <f>IF(_1_54128456121462410464578910174[[#This Row],[Type]]&gt;0,VLOOKUP(_1_54128456121462410464578910174[[#This Row],[Type]],Main[[#All],[TYPE]:[UNIT]],'Unit Price'!C$1,FALSE),0)</f>
        <v>0</v>
      </c>
      <c r="H662" s="197">
        <f>IF(_1_54128456121462410464578910174[[#This Row],[Type]]&gt;0,VLOOKUP(_1_54128456121462410464578910174[[#This Row],[Type]],Main[[#All],[TYPE]:[UNIT]],'Unit Price'!D$1,FALSE),0)</f>
        <v>0</v>
      </c>
      <c r="I662" s="194">
        <f>IF(_1_54128456121462410464578910174[[#This Row],[Type]]&gt;0,VLOOKUP(_1_54128456121462410464578910174[[#This Row],[Type]],Main[[#All],[TYPE]:[UNIT]],'Unit Price'!G$1,FALSE),0)</f>
        <v>0</v>
      </c>
      <c r="J662" s="194">
        <f>IF(_1_54128456121462410464578910174[[#This Row],[Type]]&gt;0,VLOOKUP(_1_54128456121462410464578910174[[#This Row],[Type]],Main[[#All],[TYPE]:[UNIT]],'Unit Price'!H$1,FALSE),0)</f>
        <v>0</v>
      </c>
      <c r="K662" s="194">
        <f>IF(_1_54128456121462410464578910174[[#This Row],[Discount selection]]&gt;0,VLOOKUP(_1_54128456121462410464578910174[[#This Row],[Discount selection]],'Discount Structure'!$A$2:$B$30,2,"false"),0)</f>
        <v>1</v>
      </c>
      <c r="L662" s="194">
        <f>_1_54128456121462410464578910174[[#This Row],[LIST $]]*_1_54128456121462410464578910174[[#This Row],[DISCOUNT]]*_1_54128456121462410464578910174[[#This Row],[DISCOUNT 2]]</f>
        <v>0</v>
      </c>
      <c r="M662" s="194">
        <f>IF(OR(_1_54128456121462410464578910174[[#This Row],[UNIT]]&gt;0,_1_54128456121462410464578910174[[#This Row],[UNIT]]&lt;0),_1_54128456121462410464578910174[[#This Row],[UNIT]]*_1_54128456121462410464578910174[[#This Row],[COST]],0)</f>
        <v>0</v>
      </c>
      <c r="N662" s="194">
        <f t="shared" si="10"/>
        <v>1.5</v>
      </c>
      <c r="O662" s="198">
        <f>_1_54128456121462410464578910174[[#This Row],[TOTAL]]*_1_54128456121462410464578910174[[#This Row],[MARGIN]]</f>
        <v>0</v>
      </c>
      <c r="R662" s="41"/>
    </row>
    <row r="663" spans="4:18">
      <c r="D663" s="188"/>
      <c r="F663" s="168" t="s">
        <v>6202</v>
      </c>
      <c r="G663" s="193">
        <f>IF(_1_54128456121462410464578910174[[#This Row],[Type]]&gt;0,VLOOKUP(_1_54128456121462410464578910174[[#This Row],[Type]],Main[[#All],[TYPE]:[UNIT]],'Unit Price'!C$1,FALSE),0)</f>
        <v>0</v>
      </c>
      <c r="H663" s="197">
        <f>IF(_1_54128456121462410464578910174[[#This Row],[Type]]&gt;0,VLOOKUP(_1_54128456121462410464578910174[[#This Row],[Type]],Main[[#All],[TYPE]:[UNIT]],'Unit Price'!D$1,FALSE),0)</f>
        <v>0</v>
      </c>
      <c r="I663" s="194">
        <f>IF(_1_54128456121462410464578910174[[#This Row],[Type]]&gt;0,VLOOKUP(_1_54128456121462410464578910174[[#This Row],[Type]],Main[[#All],[TYPE]:[UNIT]],'Unit Price'!G$1,FALSE),0)</f>
        <v>0</v>
      </c>
      <c r="J663" s="194">
        <f>IF(_1_54128456121462410464578910174[[#This Row],[Type]]&gt;0,VLOOKUP(_1_54128456121462410464578910174[[#This Row],[Type]],Main[[#All],[TYPE]:[UNIT]],'Unit Price'!H$1,FALSE),0)</f>
        <v>0</v>
      </c>
      <c r="K663" s="194">
        <f>IF(_1_54128456121462410464578910174[[#This Row],[Discount selection]]&gt;0,VLOOKUP(_1_54128456121462410464578910174[[#This Row],[Discount selection]],'Discount Structure'!$A$2:$B$30,2,"false"),0)</f>
        <v>1</v>
      </c>
      <c r="L663" s="194">
        <f>_1_54128456121462410464578910174[[#This Row],[LIST $]]*_1_54128456121462410464578910174[[#This Row],[DISCOUNT]]*_1_54128456121462410464578910174[[#This Row],[DISCOUNT 2]]</f>
        <v>0</v>
      </c>
      <c r="M663" s="194">
        <f>IF(OR(_1_54128456121462410464578910174[[#This Row],[UNIT]]&gt;0,_1_54128456121462410464578910174[[#This Row],[UNIT]]&lt;0),_1_54128456121462410464578910174[[#This Row],[UNIT]]*_1_54128456121462410464578910174[[#This Row],[COST]],0)</f>
        <v>0</v>
      </c>
      <c r="N663" s="194">
        <f t="shared" si="10"/>
        <v>1.5</v>
      </c>
      <c r="O663" s="198">
        <f>_1_54128456121462410464578910174[[#This Row],[TOTAL]]*_1_54128456121462410464578910174[[#This Row],[MARGIN]]</f>
        <v>0</v>
      </c>
      <c r="R663" s="41"/>
    </row>
    <row r="664" spans="4:18">
      <c r="D664" s="188"/>
      <c r="F664" s="168" t="s">
        <v>6202</v>
      </c>
      <c r="G664" s="193">
        <f>IF(_1_54128456121462410464578910174[[#This Row],[Type]]&gt;0,VLOOKUP(_1_54128456121462410464578910174[[#This Row],[Type]],Main[[#All],[TYPE]:[UNIT]],'Unit Price'!C$1,FALSE),0)</f>
        <v>0</v>
      </c>
      <c r="H664" s="197">
        <f>IF(_1_54128456121462410464578910174[[#This Row],[Type]]&gt;0,VLOOKUP(_1_54128456121462410464578910174[[#This Row],[Type]],Main[[#All],[TYPE]:[UNIT]],'Unit Price'!D$1,FALSE),0)</f>
        <v>0</v>
      </c>
      <c r="I664" s="194">
        <f>IF(_1_54128456121462410464578910174[[#This Row],[Type]]&gt;0,VLOOKUP(_1_54128456121462410464578910174[[#This Row],[Type]],Main[[#All],[TYPE]:[UNIT]],'Unit Price'!G$1,FALSE),0)</f>
        <v>0</v>
      </c>
      <c r="J664" s="194">
        <f>IF(_1_54128456121462410464578910174[[#This Row],[Type]]&gt;0,VLOOKUP(_1_54128456121462410464578910174[[#This Row],[Type]],Main[[#All],[TYPE]:[UNIT]],'Unit Price'!H$1,FALSE),0)</f>
        <v>0</v>
      </c>
      <c r="K664" s="194">
        <f>IF(_1_54128456121462410464578910174[[#This Row],[Discount selection]]&gt;0,VLOOKUP(_1_54128456121462410464578910174[[#This Row],[Discount selection]],'Discount Structure'!$A$2:$B$30,2,"false"),0)</f>
        <v>1</v>
      </c>
      <c r="L664" s="194">
        <f>_1_54128456121462410464578910174[[#This Row],[LIST $]]*_1_54128456121462410464578910174[[#This Row],[DISCOUNT]]*_1_54128456121462410464578910174[[#This Row],[DISCOUNT 2]]</f>
        <v>0</v>
      </c>
      <c r="M664" s="194">
        <f>IF(OR(_1_54128456121462410464578910174[[#This Row],[UNIT]]&gt;0,_1_54128456121462410464578910174[[#This Row],[UNIT]]&lt;0),_1_54128456121462410464578910174[[#This Row],[UNIT]]*_1_54128456121462410464578910174[[#This Row],[COST]],0)</f>
        <v>0</v>
      </c>
      <c r="N664" s="194">
        <f t="shared" si="10"/>
        <v>1.5</v>
      </c>
      <c r="O664" s="198">
        <f>_1_54128456121462410464578910174[[#This Row],[TOTAL]]*_1_54128456121462410464578910174[[#This Row],[MARGIN]]</f>
        <v>0</v>
      </c>
      <c r="R664" s="41"/>
    </row>
    <row r="665" spans="4:18">
      <c r="D665" s="188"/>
      <c r="F665" s="168" t="s">
        <v>6202</v>
      </c>
      <c r="G665" s="193">
        <f>IF(_1_54128456121462410464578910174[[#This Row],[Type]]&gt;0,VLOOKUP(_1_54128456121462410464578910174[[#This Row],[Type]],Main[[#All],[TYPE]:[UNIT]],'Unit Price'!C$1,FALSE),0)</f>
        <v>0</v>
      </c>
      <c r="H665" s="197">
        <f>IF(_1_54128456121462410464578910174[[#This Row],[Type]]&gt;0,VLOOKUP(_1_54128456121462410464578910174[[#This Row],[Type]],Main[[#All],[TYPE]:[UNIT]],'Unit Price'!D$1,FALSE),0)</f>
        <v>0</v>
      </c>
      <c r="I665" s="194">
        <f>IF(_1_54128456121462410464578910174[[#This Row],[Type]]&gt;0,VLOOKUP(_1_54128456121462410464578910174[[#This Row],[Type]],Main[[#All],[TYPE]:[UNIT]],'Unit Price'!G$1,FALSE),0)</f>
        <v>0</v>
      </c>
      <c r="J665" s="194">
        <f>IF(_1_54128456121462410464578910174[[#This Row],[Type]]&gt;0,VLOOKUP(_1_54128456121462410464578910174[[#This Row],[Type]],Main[[#All],[TYPE]:[UNIT]],'Unit Price'!H$1,FALSE),0)</f>
        <v>0</v>
      </c>
      <c r="K665" s="194">
        <f>IF(_1_54128456121462410464578910174[[#This Row],[Discount selection]]&gt;0,VLOOKUP(_1_54128456121462410464578910174[[#This Row],[Discount selection]],'Discount Structure'!$A$2:$B$30,2,"false"),0)</f>
        <v>1</v>
      </c>
      <c r="L665" s="194">
        <f>_1_54128456121462410464578910174[[#This Row],[LIST $]]*_1_54128456121462410464578910174[[#This Row],[DISCOUNT]]*_1_54128456121462410464578910174[[#This Row],[DISCOUNT 2]]</f>
        <v>0</v>
      </c>
      <c r="M665" s="194">
        <f>IF(OR(_1_54128456121462410464578910174[[#This Row],[UNIT]]&gt;0,_1_54128456121462410464578910174[[#This Row],[UNIT]]&lt;0),_1_54128456121462410464578910174[[#This Row],[UNIT]]*_1_54128456121462410464578910174[[#This Row],[COST]],0)</f>
        <v>0</v>
      </c>
      <c r="N665" s="194">
        <f t="shared" si="10"/>
        <v>1.5</v>
      </c>
      <c r="O665" s="198">
        <f>_1_54128456121462410464578910174[[#This Row],[TOTAL]]*_1_54128456121462410464578910174[[#This Row],[MARGIN]]</f>
        <v>0</v>
      </c>
      <c r="R665" s="41"/>
    </row>
    <row r="666" spans="4:18">
      <c r="D666" s="188"/>
      <c r="F666" s="168" t="s">
        <v>6202</v>
      </c>
      <c r="G666" s="193">
        <f>IF(_1_54128456121462410464578910174[[#This Row],[Type]]&gt;0,VLOOKUP(_1_54128456121462410464578910174[[#This Row],[Type]],Main[[#All],[TYPE]:[UNIT]],'Unit Price'!C$1,FALSE),0)</f>
        <v>0</v>
      </c>
      <c r="H666" s="197">
        <f>IF(_1_54128456121462410464578910174[[#This Row],[Type]]&gt;0,VLOOKUP(_1_54128456121462410464578910174[[#This Row],[Type]],Main[[#All],[TYPE]:[UNIT]],'Unit Price'!D$1,FALSE),0)</f>
        <v>0</v>
      </c>
      <c r="I666" s="194">
        <f>IF(_1_54128456121462410464578910174[[#This Row],[Type]]&gt;0,VLOOKUP(_1_54128456121462410464578910174[[#This Row],[Type]],Main[[#All],[TYPE]:[UNIT]],'Unit Price'!G$1,FALSE),0)</f>
        <v>0</v>
      </c>
      <c r="J666" s="194">
        <f>IF(_1_54128456121462410464578910174[[#This Row],[Type]]&gt;0,VLOOKUP(_1_54128456121462410464578910174[[#This Row],[Type]],Main[[#All],[TYPE]:[UNIT]],'Unit Price'!H$1,FALSE),0)</f>
        <v>0</v>
      </c>
      <c r="K666" s="194">
        <f>IF(_1_54128456121462410464578910174[[#This Row],[Discount selection]]&gt;0,VLOOKUP(_1_54128456121462410464578910174[[#This Row],[Discount selection]],'Discount Structure'!$A$2:$B$30,2,"false"),0)</f>
        <v>1</v>
      </c>
      <c r="L666" s="194">
        <f>_1_54128456121462410464578910174[[#This Row],[LIST $]]*_1_54128456121462410464578910174[[#This Row],[DISCOUNT]]*_1_54128456121462410464578910174[[#This Row],[DISCOUNT 2]]</f>
        <v>0</v>
      </c>
      <c r="M666" s="194">
        <f>IF(OR(_1_54128456121462410464578910174[[#This Row],[UNIT]]&gt;0,_1_54128456121462410464578910174[[#This Row],[UNIT]]&lt;0),_1_54128456121462410464578910174[[#This Row],[UNIT]]*_1_54128456121462410464578910174[[#This Row],[COST]],0)</f>
        <v>0</v>
      </c>
      <c r="N666" s="194">
        <f t="shared" si="10"/>
        <v>1.5</v>
      </c>
      <c r="O666" s="198">
        <f>_1_54128456121462410464578910174[[#This Row],[TOTAL]]*_1_54128456121462410464578910174[[#This Row],[MARGIN]]</f>
        <v>0</v>
      </c>
      <c r="R666" s="41"/>
    </row>
    <row r="667" spans="4:18">
      <c r="D667" s="188"/>
      <c r="F667" s="168" t="s">
        <v>6202</v>
      </c>
      <c r="G667" s="193">
        <f>IF(_1_54128456121462410464578910174[[#This Row],[Type]]&gt;0,VLOOKUP(_1_54128456121462410464578910174[[#This Row],[Type]],Main[[#All],[TYPE]:[UNIT]],'Unit Price'!C$1,FALSE),0)</f>
        <v>0</v>
      </c>
      <c r="H667" s="197">
        <f>IF(_1_54128456121462410464578910174[[#This Row],[Type]]&gt;0,VLOOKUP(_1_54128456121462410464578910174[[#This Row],[Type]],Main[[#All],[TYPE]:[UNIT]],'Unit Price'!D$1,FALSE),0)</f>
        <v>0</v>
      </c>
      <c r="I667" s="194">
        <f>IF(_1_54128456121462410464578910174[[#This Row],[Type]]&gt;0,VLOOKUP(_1_54128456121462410464578910174[[#This Row],[Type]],Main[[#All],[TYPE]:[UNIT]],'Unit Price'!G$1,FALSE),0)</f>
        <v>0</v>
      </c>
      <c r="J667" s="194">
        <f>IF(_1_54128456121462410464578910174[[#This Row],[Type]]&gt;0,VLOOKUP(_1_54128456121462410464578910174[[#This Row],[Type]],Main[[#All],[TYPE]:[UNIT]],'Unit Price'!H$1,FALSE),0)</f>
        <v>0</v>
      </c>
      <c r="K667" s="194">
        <f>IF(_1_54128456121462410464578910174[[#This Row],[Discount selection]]&gt;0,VLOOKUP(_1_54128456121462410464578910174[[#This Row],[Discount selection]],'Discount Structure'!$A$2:$B$30,2,"false"),0)</f>
        <v>1</v>
      </c>
      <c r="L667" s="194">
        <f>_1_54128456121462410464578910174[[#This Row],[LIST $]]*_1_54128456121462410464578910174[[#This Row],[DISCOUNT]]*_1_54128456121462410464578910174[[#This Row],[DISCOUNT 2]]</f>
        <v>0</v>
      </c>
      <c r="M667" s="194">
        <f>IF(OR(_1_54128456121462410464578910174[[#This Row],[UNIT]]&gt;0,_1_54128456121462410464578910174[[#This Row],[UNIT]]&lt;0),_1_54128456121462410464578910174[[#This Row],[UNIT]]*_1_54128456121462410464578910174[[#This Row],[COST]],0)</f>
        <v>0</v>
      </c>
      <c r="N667" s="194">
        <f t="shared" si="10"/>
        <v>1.5</v>
      </c>
      <c r="O667" s="198">
        <f>_1_54128456121462410464578910174[[#This Row],[TOTAL]]*_1_54128456121462410464578910174[[#This Row],[MARGIN]]</f>
        <v>0</v>
      </c>
      <c r="R667" s="41"/>
    </row>
    <row r="668" spans="4:18">
      <c r="D668" s="188"/>
      <c r="F668" s="168" t="s">
        <v>6202</v>
      </c>
      <c r="G668" s="193">
        <f>IF(_1_54128456121462410464578910174[[#This Row],[Type]]&gt;0,VLOOKUP(_1_54128456121462410464578910174[[#This Row],[Type]],Main[[#All],[TYPE]:[UNIT]],'Unit Price'!C$1,FALSE),0)</f>
        <v>0</v>
      </c>
      <c r="H668" s="197">
        <f>IF(_1_54128456121462410464578910174[[#This Row],[Type]]&gt;0,VLOOKUP(_1_54128456121462410464578910174[[#This Row],[Type]],Main[[#All],[TYPE]:[UNIT]],'Unit Price'!D$1,FALSE),0)</f>
        <v>0</v>
      </c>
      <c r="I668" s="194">
        <f>IF(_1_54128456121462410464578910174[[#This Row],[Type]]&gt;0,VLOOKUP(_1_54128456121462410464578910174[[#This Row],[Type]],Main[[#All],[TYPE]:[UNIT]],'Unit Price'!G$1,FALSE),0)</f>
        <v>0</v>
      </c>
      <c r="J668" s="194">
        <f>IF(_1_54128456121462410464578910174[[#This Row],[Type]]&gt;0,VLOOKUP(_1_54128456121462410464578910174[[#This Row],[Type]],Main[[#All],[TYPE]:[UNIT]],'Unit Price'!H$1,FALSE),0)</f>
        <v>0</v>
      </c>
      <c r="K668" s="194">
        <f>IF(_1_54128456121462410464578910174[[#This Row],[Discount selection]]&gt;0,VLOOKUP(_1_54128456121462410464578910174[[#This Row],[Discount selection]],'Discount Structure'!$A$2:$B$30,2,"false"),0)</f>
        <v>1</v>
      </c>
      <c r="L668" s="194">
        <f>_1_54128456121462410464578910174[[#This Row],[LIST $]]*_1_54128456121462410464578910174[[#This Row],[DISCOUNT]]*_1_54128456121462410464578910174[[#This Row],[DISCOUNT 2]]</f>
        <v>0</v>
      </c>
      <c r="M668" s="194">
        <f>IF(OR(_1_54128456121462410464578910174[[#This Row],[UNIT]]&gt;0,_1_54128456121462410464578910174[[#This Row],[UNIT]]&lt;0),_1_54128456121462410464578910174[[#This Row],[UNIT]]*_1_54128456121462410464578910174[[#This Row],[COST]],0)</f>
        <v>0</v>
      </c>
      <c r="N668" s="194">
        <f t="shared" si="10"/>
        <v>1.5</v>
      </c>
      <c r="O668" s="198">
        <f>_1_54128456121462410464578910174[[#This Row],[TOTAL]]*_1_54128456121462410464578910174[[#This Row],[MARGIN]]</f>
        <v>0</v>
      </c>
      <c r="R668" s="41"/>
    </row>
    <row r="669" spans="4:18">
      <c r="D669" s="188"/>
      <c r="F669" s="168" t="s">
        <v>6202</v>
      </c>
      <c r="G669" s="193">
        <f>IF(_1_54128456121462410464578910174[[#This Row],[Type]]&gt;0,VLOOKUP(_1_54128456121462410464578910174[[#This Row],[Type]],Main[[#All],[TYPE]:[UNIT]],'Unit Price'!C$1,FALSE),0)</f>
        <v>0</v>
      </c>
      <c r="H669" s="197">
        <f>IF(_1_54128456121462410464578910174[[#This Row],[Type]]&gt;0,VLOOKUP(_1_54128456121462410464578910174[[#This Row],[Type]],Main[[#All],[TYPE]:[UNIT]],'Unit Price'!D$1,FALSE),0)</f>
        <v>0</v>
      </c>
      <c r="I669" s="194">
        <f>IF(_1_54128456121462410464578910174[[#This Row],[Type]]&gt;0,VLOOKUP(_1_54128456121462410464578910174[[#This Row],[Type]],Main[[#All],[TYPE]:[UNIT]],'Unit Price'!G$1,FALSE),0)</f>
        <v>0</v>
      </c>
      <c r="J669" s="194">
        <f>IF(_1_54128456121462410464578910174[[#This Row],[Type]]&gt;0,VLOOKUP(_1_54128456121462410464578910174[[#This Row],[Type]],Main[[#All],[TYPE]:[UNIT]],'Unit Price'!H$1,FALSE),0)</f>
        <v>0</v>
      </c>
      <c r="K669" s="194">
        <f>IF(_1_54128456121462410464578910174[[#This Row],[Discount selection]]&gt;0,VLOOKUP(_1_54128456121462410464578910174[[#This Row],[Discount selection]],'Discount Structure'!$A$2:$B$30,2,"false"),0)</f>
        <v>1</v>
      </c>
      <c r="L669" s="194">
        <f>_1_54128456121462410464578910174[[#This Row],[LIST $]]*_1_54128456121462410464578910174[[#This Row],[DISCOUNT]]*_1_54128456121462410464578910174[[#This Row],[DISCOUNT 2]]</f>
        <v>0</v>
      </c>
      <c r="M669" s="194">
        <f>IF(OR(_1_54128456121462410464578910174[[#This Row],[UNIT]]&gt;0,_1_54128456121462410464578910174[[#This Row],[UNIT]]&lt;0),_1_54128456121462410464578910174[[#This Row],[UNIT]]*_1_54128456121462410464578910174[[#This Row],[COST]],0)</f>
        <v>0</v>
      </c>
      <c r="N669" s="194">
        <f t="shared" si="10"/>
        <v>1.5</v>
      </c>
      <c r="O669" s="198">
        <f>_1_54128456121462410464578910174[[#This Row],[TOTAL]]*_1_54128456121462410464578910174[[#This Row],[MARGIN]]</f>
        <v>0</v>
      </c>
      <c r="R669" s="41"/>
    </row>
    <row r="670" spans="4:18">
      <c r="D670" s="188"/>
      <c r="F670" s="168" t="s">
        <v>6202</v>
      </c>
      <c r="G670" s="193">
        <f>IF(_1_54128456121462410464578910174[[#This Row],[Type]]&gt;0,VLOOKUP(_1_54128456121462410464578910174[[#This Row],[Type]],Main[[#All],[TYPE]:[UNIT]],'Unit Price'!C$1,FALSE),0)</f>
        <v>0</v>
      </c>
      <c r="H670" s="197">
        <f>IF(_1_54128456121462410464578910174[[#This Row],[Type]]&gt;0,VLOOKUP(_1_54128456121462410464578910174[[#This Row],[Type]],Main[[#All],[TYPE]:[UNIT]],'Unit Price'!D$1,FALSE),0)</f>
        <v>0</v>
      </c>
      <c r="I670" s="194">
        <f>IF(_1_54128456121462410464578910174[[#This Row],[Type]]&gt;0,VLOOKUP(_1_54128456121462410464578910174[[#This Row],[Type]],Main[[#All],[TYPE]:[UNIT]],'Unit Price'!G$1,FALSE),0)</f>
        <v>0</v>
      </c>
      <c r="J670" s="194">
        <f>IF(_1_54128456121462410464578910174[[#This Row],[Type]]&gt;0,VLOOKUP(_1_54128456121462410464578910174[[#This Row],[Type]],Main[[#All],[TYPE]:[UNIT]],'Unit Price'!H$1,FALSE),0)</f>
        <v>0</v>
      </c>
      <c r="K670" s="194">
        <f>IF(_1_54128456121462410464578910174[[#This Row],[Discount selection]]&gt;0,VLOOKUP(_1_54128456121462410464578910174[[#This Row],[Discount selection]],'Discount Structure'!$A$2:$B$30,2,"false"),0)</f>
        <v>1</v>
      </c>
      <c r="L670" s="194">
        <f>_1_54128456121462410464578910174[[#This Row],[LIST $]]*_1_54128456121462410464578910174[[#This Row],[DISCOUNT]]*_1_54128456121462410464578910174[[#This Row],[DISCOUNT 2]]</f>
        <v>0</v>
      </c>
      <c r="M670" s="194">
        <f>IF(OR(_1_54128456121462410464578910174[[#This Row],[UNIT]]&gt;0,_1_54128456121462410464578910174[[#This Row],[UNIT]]&lt;0),_1_54128456121462410464578910174[[#This Row],[UNIT]]*_1_54128456121462410464578910174[[#This Row],[COST]],0)</f>
        <v>0</v>
      </c>
      <c r="N670" s="194">
        <f t="shared" si="10"/>
        <v>1.5</v>
      </c>
      <c r="O670" s="198">
        <f>_1_54128456121462410464578910174[[#This Row],[TOTAL]]*_1_54128456121462410464578910174[[#This Row],[MARGIN]]</f>
        <v>0</v>
      </c>
      <c r="R670" s="41"/>
    </row>
    <row r="671" spans="4:18">
      <c r="D671" s="188"/>
      <c r="F671" s="168" t="s">
        <v>6202</v>
      </c>
      <c r="G671" s="193">
        <f>IF(_1_54128456121462410464578910174[[#This Row],[Type]]&gt;0,VLOOKUP(_1_54128456121462410464578910174[[#This Row],[Type]],Main[[#All],[TYPE]:[UNIT]],'Unit Price'!C$1,FALSE),0)</f>
        <v>0</v>
      </c>
      <c r="H671" s="197">
        <f>IF(_1_54128456121462410464578910174[[#This Row],[Type]]&gt;0,VLOOKUP(_1_54128456121462410464578910174[[#This Row],[Type]],Main[[#All],[TYPE]:[UNIT]],'Unit Price'!D$1,FALSE),0)</f>
        <v>0</v>
      </c>
      <c r="I671" s="194">
        <f>IF(_1_54128456121462410464578910174[[#This Row],[Type]]&gt;0,VLOOKUP(_1_54128456121462410464578910174[[#This Row],[Type]],Main[[#All],[TYPE]:[UNIT]],'Unit Price'!G$1,FALSE),0)</f>
        <v>0</v>
      </c>
      <c r="J671" s="194">
        <f>IF(_1_54128456121462410464578910174[[#This Row],[Type]]&gt;0,VLOOKUP(_1_54128456121462410464578910174[[#This Row],[Type]],Main[[#All],[TYPE]:[UNIT]],'Unit Price'!H$1,FALSE),0)</f>
        <v>0</v>
      </c>
      <c r="K671" s="194">
        <f>IF(_1_54128456121462410464578910174[[#This Row],[Discount selection]]&gt;0,VLOOKUP(_1_54128456121462410464578910174[[#This Row],[Discount selection]],'Discount Structure'!$A$2:$B$30,2,"false"),0)</f>
        <v>1</v>
      </c>
      <c r="L671" s="194">
        <f>_1_54128456121462410464578910174[[#This Row],[LIST $]]*_1_54128456121462410464578910174[[#This Row],[DISCOUNT]]*_1_54128456121462410464578910174[[#This Row],[DISCOUNT 2]]</f>
        <v>0</v>
      </c>
      <c r="M671" s="194">
        <f>IF(OR(_1_54128456121462410464578910174[[#This Row],[UNIT]]&gt;0,_1_54128456121462410464578910174[[#This Row],[UNIT]]&lt;0),_1_54128456121462410464578910174[[#This Row],[UNIT]]*_1_54128456121462410464578910174[[#This Row],[COST]],0)</f>
        <v>0</v>
      </c>
      <c r="N671" s="194">
        <f t="shared" si="10"/>
        <v>1.5</v>
      </c>
      <c r="O671" s="198">
        <f>_1_54128456121462410464578910174[[#This Row],[TOTAL]]*_1_54128456121462410464578910174[[#This Row],[MARGIN]]</f>
        <v>0</v>
      </c>
      <c r="R671" s="41"/>
    </row>
    <row r="672" spans="4:18">
      <c r="D672" s="188"/>
      <c r="F672" s="168" t="s">
        <v>6202</v>
      </c>
      <c r="G672" s="193">
        <f>IF(_1_54128456121462410464578910174[[#This Row],[Type]]&gt;0,VLOOKUP(_1_54128456121462410464578910174[[#This Row],[Type]],Main[[#All],[TYPE]:[UNIT]],'Unit Price'!C$1,FALSE),0)</f>
        <v>0</v>
      </c>
      <c r="H672" s="197">
        <f>IF(_1_54128456121462410464578910174[[#This Row],[Type]]&gt;0,VLOOKUP(_1_54128456121462410464578910174[[#This Row],[Type]],Main[[#All],[TYPE]:[UNIT]],'Unit Price'!D$1,FALSE),0)</f>
        <v>0</v>
      </c>
      <c r="I672" s="194">
        <f>IF(_1_54128456121462410464578910174[[#This Row],[Type]]&gt;0,VLOOKUP(_1_54128456121462410464578910174[[#This Row],[Type]],Main[[#All],[TYPE]:[UNIT]],'Unit Price'!G$1,FALSE),0)</f>
        <v>0</v>
      </c>
      <c r="J672" s="194">
        <f>IF(_1_54128456121462410464578910174[[#This Row],[Type]]&gt;0,VLOOKUP(_1_54128456121462410464578910174[[#This Row],[Type]],Main[[#All],[TYPE]:[UNIT]],'Unit Price'!H$1,FALSE),0)</f>
        <v>0</v>
      </c>
      <c r="K672" s="194">
        <f>IF(_1_54128456121462410464578910174[[#This Row],[Discount selection]]&gt;0,VLOOKUP(_1_54128456121462410464578910174[[#This Row],[Discount selection]],'Discount Structure'!$A$2:$B$30,2,"false"),0)</f>
        <v>1</v>
      </c>
      <c r="L672" s="194">
        <f>_1_54128456121462410464578910174[[#This Row],[LIST $]]*_1_54128456121462410464578910174[[#This Row],[DISCOUNT]]*_1_54128456121462410464578910174[[#This Row],[DISCOUNT 2]]</f>
        <v>0</v>
      </c>
      <c r="M672" s="194">
        <f>IF(OR(_1_54128456121462410464578910174[[#This Row],[UNIT]]&gt;0,_1_54128456121462410464578910174[[#This Row],[UNIT]]&lt;0),_1_54128456121462410464578910174[[#This Row],[UNIT]]*_1_54128456121462410464578910174[[#This Row],[COST]],0)</f>
        <v>0</v>
      </c>
      <c r="N672" s="194">
        <f t="shared" si="10"/>
        <v>1.5</v>
      </c>
      <c r="O672" s="198">
        <f>_1_54128456121462410464578910174[[#This Row],[TOTAL]]*_1_54128456121462410464578910174[[#This Row],[MARGIN]]</f>
        <v>0</v>
      </c>
      <c r="R672" s="41"/>
    </row>
    <row r="673" spans="4:18">
      <c r="D673" s="188"/>
      <c r="F673" s="168" t="s">
        <v>6202</v>
      </c>
      <c r="G673" s="193">
        <f>IF(_1_54128456121462410464578910174[[#This Row],[Type]]&gt;0,VLOOKUP(_1_54128456121462410464578910174[[#This Row],[Type]],Main[[#All],[TYPE]:[UNIT]],'Unit Price'!C$1,FALSE),0)</f>
        <v>0</v>
      </c>
      <c r="H673" s="197">
        <f>IF(_1_54128456121462410464578910174[[#This Row],[Type]]&gt;0,VLOOKUP(_1_54128456121462410464578910174[[#This Row],[Type]],Main[[#All],[TYPE]:[UNIT]],'Unit Price'!D$1,FALSE),0)</f>
        <v>0</v>
      </c>
      <c r="I673" s="194">
        <f>IF(_1_54128456121462410464578910174[[#This Row],[Type]]&gt;0,VLOOKUP(_1_54128456121462410464578910174[[#This Row],[Type]],Main[[#All],[TYPE]:[UNIT]],'Unit Price'!G$1,FALSE),0)</f>
        <v>0</v>
      </c>
      <c r="J673" s="194">
        <f>IF(_1_54128456121462410464578910174[[#This Row],[Type]]&gt;0,VLOOKUP(_1_54128456121462410464578910174[[#This Row],[Type]],Main[[#All],[TYPE]:[UNIT]],'Unit Price'!H$1,FALSE),0)</f>
        <v>0</v>
      </c>
      <c r="K673" s="194">
        <f>IF(_1_54128456121462410464578910174[[#This Row],[Discount selection]]&gt;0,VLOOKUP(_1_54128456121462410464578910174[[#This Row],[Discount selection]],'Discount Structure'!$A$2:$B$30,2,"false"),0)</f>
        <v>1</v>
      </c>
      <c r="L673" s="194">
        <f>_1_54128456121462410464578910174[[#This Row],[LIST $]]*_1_54128456121462410464578910174[[#This Row],[DISCOUNT]]*_1_54128456121462410464578910174[[#This Row],[DISCOUNT 2]]</f>
        <v>0</v>
      </c>
      <c r="M673" s="194">
        <f>IF(OR(_1_54128456121462410464578910174[[#This Row],[UNIT]]&gt;0,_1_54128456121462410464578910174[[#This Row],[UNIT]]&lt;0),_1_54128456121462410464578910174[[#This Row],[UNIT]]*_1_54128456121462410464578910174[[#This Row],[COST]],0)</f>
        <v>0</v>
      </c>
      <c r="N673" s="194">
        <f t="shared" si="10"/>
        <v>1.5</v>
      </c>
      <c r="O673" s="198">
        <f>_1_54128456121462410464578910174[[#This Row],[TOTAL]]*_1_54128456121462410464578910174[[#This Row],[MARGIN]]</f>
        <v>0</v>
      </c>
      <c r="R673" s="41"/>
    </row>
    <row r="674" spans="4:18">
      <c r="D674" s="188"/>
      <c r="F674" s="168" t="s">
        <v>6202</v>
      </c>
      <c r="G674" s="193">
        <f>IF(_1_54128456121462410464578910174[[#This Row],[Type]]&gt;0,VLOOKUP(_1_54128456121462410464578910174[[#This Row],[Type]],Main[[#All],[TYPE]:[UNIT]],'Unit Price'!C$1,FALSE),0)</f>
        <v>0</v>
      </c>
      <c r="H674" s="197">
        <f>IF(_1_54128456121462410464578910174[[#This Row],[Type]]&gt;0,VLOOKUP(_1_54128456121462410464578910174[[#This Row],[Type]],Main[[#All],[TYPE]:[UNIT]],'Unit Price'!D$1,FALSE),0)</f>
        <v>0</v>
      </c>
      <c r="I674" s="194">
        <f>IF(_1_54128456121462410464578910174[[#This Row],[Type]]&gt;0,VLOOKUP(_1_54128456121462410464578910174[[#This Row],[Type]],Main[[#All],[TYPE]:[UNIT]],'Unit Price'!G$1,FALSE),0)</f>
        <v>0</v>
      </c>
      <c r="J674" s="194">
        <f>IF(_1_54128456121462410464578910174[[#This Row],[Type]]&gt;0,VLOOKUP(_1_54128456121462410464578910174[[#This Row],[Type]],Main[[#All],[TYPE]:[UNIT]],'Unit Price'!H$1,FALSE),0)</f>
        <v>0</v>
      </c>
      <c r="K674" s="194">
        <f>IF(_1_54128456121462410464578910174[[#This Row],[Discount selection]]&gt;0,VLOOKUP(_1_54128456121462410464578910174[[#This Row],[Discount selection]],'Discount Structure'!$A$2:$B$30,2,"false"),0)</f>
        <v>1</v>
      </c>
      <c r="L674" s="194">
        <f>_1_54128456121462410464578910174[[#This Row],[LIST $]]*_1_54128456121462410464578910174[[#This Row],[DISCOUNT]]*_1_54128456121462410464578910174[[#This Row],[DISCOUNT 2]]</f>
        <v>0</v>
      </c>
      <c r="M674" s="194">
        <f>IF(OR(_1_54128456121462410464578910174[[#This Row],[UNIT]]&gt;0,_1_54128456121462410464578910174[[#This Row],[UNIT]]&lt;0),_1_54128456121462410464578910174[[#This Row],[UNIT]]*_1_54128456121462410464578910174[[#This Row],[COST]],0)</f>
        <v>0</v>
      </c>
      <c r="N674" s="194">
        <f t="shared" si="10"/>
        <v>1.5</v>
      </c>
      <c r="O674" s="198">
        <f>_1_54128456121462410464578910174[[#This Row],[TOTAL]]*_1_54128456121462410464578910174[[#This Row],[MARGIN]]</f>
        <v>0</v>
      </c>
      <c r="R674" s="41"/>
    </row>
    <row r="675" spans="4:18">
      <c r="D675" s="188"/>
      <c r="F675" s="168" t="s">
        <v>6202</v>
      </c>
      <c r="G675" s="193">
        <f>IF(_1_54128456121462410464578910174[[#This Row],[Type]]&gt;0,VLOOKUP(_1_54128456121462410464578910174[[#This Row],[Type]],Main[[#All],[TYPE]:[UNIT]],'Unit Price'!C$1,FALSE),0)</f>
        <v>0</v>
      </c>
      <c r="H675" s="197">
        <f>IF(_1_54128456121462410464578910174[[#This Row],[Type]]&gt;0,VLOOKUP(_1_54128456121462410464578910174[[#This Row],[Type]],Main[[#All],[TYPE]:[UNIT]],'Unit Price'!D$1,FALSE),0)</f>
        <v>0</v>
      </c>
      <c r="I675" s="194">
        <f>IF(_1_54128456121462410464578910174[[#This Row],[Type]]&gt;0,VLOOKUP(_1_54128456121462410464578910174[[#This Row],[Type]],Main[[#All],[TYPE]:[UNIT]],'Unit Price'!G$1,FALSE),0)</f>
        <v>0</v>
      </c>
      <c r="J675" s="194">
        <f>IF(_1_54128456121462410464578910174[[#This Row],[Type]]&gt;0,VLOOKUP(_1_54128456121462410464578910174[[#This Row],[Type]],Main[[#All],[TYPE]:[UNIT]],'Unit Price'!H$1,FALSE),0)</f>
        <v>0</v>
      </c>
      <c r="K675" s="194">
        <f>IF(_1_54128456121462410464578910174[[#This Row],[Discount selection]]&gt;0,VLOOKUP(_1_54128456121462410464578910174[[#This Row],[Discount selection]],'Discount Structure'!$A$2:$B$30,2,"false"),0)</f>
        <v>1</v>
      </c>
      <c r="L675" s="194">
        <f>_1_54128456121462410464578910174[[#This Row],[LIST $]]*_1_54128456121462410464578910174[[#This Row],[DISCOUNT]]*_1_54128456121462410464578910174[[#This Row],[DISCOUNT 2]]</f>
        <v>0</v>
      </c>
      <c r="M675" s="194">
        <f>IF(OR(_1_54128456121462410464578910174[[#This Row],[UNIT]]&gt;0,_1_54128456121462410464578910174[[#This Row],[UNIT]]&lt;0),_1_54128456121462410464578910174[[#This Row],[UNIT]]*_1_54128456121462410464578910174[[#This Row],[COST]],0)</f>
        <v>0</v>
      </c>
      <c r="N675" s="194">
        <f t="shared" si="10"/>
        <v>1.5</v>
      </c>
      <c r="O675" s="198">
        <f>_1_54128456121462410464578910174[[#This Row],[TOTAL]]*_1_54128456121462410464578910174[[#This Row],[MARGIN]]</f>
        <v>0</v>
      </c>
      <c r="R675" s="41"/>
    </row>
    <row r="676" spans="4:18">
      <c r="D676" s="188"/>
      <c r="F676" s="168" t="s">
        <v>6202</v>
      </c>
      <c r="G676" s="193">
        <f>IF(_1_54128456121462410464578910174[[#This Row],[Type]]&gt;0,VLOOKUP(_1_54128456121462410464578910174[[#This Row],[Type]],Main[[#All],[TYPE]:[UNIT]],'Unit Price'!C$1,FALSE),0)</f>
        <v>0</v>
      </c>
      <c r="H676" s="197">
        <f>IF(_1_54128456121462410464578910174[[#This Row],[Type]]&gt;0,VLOOKUP(_1_54128456121462410464578910174[[#This Row],[Type]],Main[[#All],[TYPE]:[UNIT]],'Unit Price'!D$1,FALSE),0)</f>
        <v>0</v>
      </c>
      <c r="I676" s="194">
        <f>IF(_1_54128456121462410464578910174[[#This Row],[Type]]&gt;0,VLOOKUP(_1_54128456121462410464578910174[[#This Row],[Type]],Main[[#All],[TYPE]:[UNIT]],'Unit Price'!G$1,FALSE),0)</f>
        <v>0</v>
      </c>
      <c r="J676" s="194">
        <f>IF(_1_54128456121462410464578910174[[#This Row],[Type]]&gt;0,VLOOKUP(_1_54128456121462410464578910174[[#This Row],[Type]],Main[[#All],[TYPE]:[UNIT]],'Unit Price'!H$1,FALSE),0)</f>
        <v>0</v>
      </c>
      <c r="K676" s="194">
        <f>IF(_1_54128456121462410464578910174[[#This Row],[Discount selection]]&gt;0,VLOOKUP(_1_54128456121462410464578910174[[#This Row],[Discount selection]],'Discount Structure'!$A$2:$B$30,2,"false"),0)</f>
        <v>1</v>
      </c>
      <c r="L676" s="194">
        <f>_1_54128456121462410464578910174[[#This Row],[LIST $]]*_1_54128456121462410464578910174[[#This Row],[DISCOUNT]]*_1_54128456121462410464578910174[[#This Row],[DISCOUNT 2]]</f>
        <v>0</v>
      </c>
      <c r="M676" s="194">
        <f>IF(OR(_1_54128456121462410464578910174[[#This Row],[UNIT]]&gt;0,_1_54128456121462410464578910174[[#This Row],[UNIT]]&lt;0),_1_54128456121462410464578910174[[#This Row],[UNIT]]*_1_54128456121462410464578910174[[#This Row],[COST]],0)</f>
        <v>0</v>
      </c>
      <c r="N676" s="194">
        <f t="shared" si="10"/>
        <v>1.5</v>
      </c>
      <c r="O676" s="198">
        <f>_1_54128456121462410464578910174[[#This Row],[TOTAL]]*_1_54128456121462410464578910174[[#This Row],[MARGIN]]</f>
        <v>0</v>
      </c>
      <c r="R676" s="41"/>
    </row>
    <row r="677" spans="4:18">
      <c r="D677" s="188"/>
      <c r="F677" s="168" t="s">
        <v>6202</v>
      </c>
      <c r="G677" s="193">
        <f>IF(_1_54128456121462410464578910174[[#This Row],[Type]]&gt;0,VLOOKUP(_1_54128456121462410464578910174[[#This Row],[Type]],Main[[#All],[TYPE]:[UNIT]],'Unit Price'!C$1,FALSE),0)</f>
        <v>0</v>
      </c>
      <c r="H677" s="197">
        <f>IF(_1_54128456121462410464578910174[[#This Row],[Type]]&gt;0,VLOOKUP(_1_54128456121462410464578910174[[#This Row],[Type]],Main[[#All],[TYPE]:[UNIT]],'Unit Price'!D$1,FALSE),0)</f>
        <v>0</v>
      </c>
      <c r="I677" s="194">
        <f>IF(_1_54128456121462410464578910174[[#This Row],[Type]]&gt;0,VLOOKUP(_1_54128456121462410464578910174[[#This Row],[Type]],Main[[#All],[TYPE]:[UNIT]],'Unit Price'!G$1,FALSE),0)</f>
        <v>0</v>
      </c>
      <c r="J677" s="194">
        <f>IF(_1_54128456121462410464578910174[[#This Row],[Type]]&gt;0,VLOOKUP(_1_54128456121462410464578910174[[#This Row],[Type]],Main[[#All],[TYPE]:[UNIT]],'Unit Price'!H$1,FALSE),0)</f>
        <v>0</v>
      </c>
      <c r="K677" s="194">
        <f>IF(_1_54128456121462410464578910174[[#This Row],[Discount selection]]&gt;0,VLOOKUP(_1_54128456121462410464578910174[[#This Row],[Discount selection]],'Discount Structure'!$A$2:$B$30,2,"false"),0)</f>
        <v>1</v>
      </c>
      <c r="L677" s="194">
        <f>_1_54128456121462410464578910174[[#This Row],[LIST $]]*_1_54128456121462410464578910174[[#This Row],[DISCOUNT]]*_1_54128456121462410464578910174[[#This Row],[DISCOUNT 2]]</f>
        <v>0</v>
      </c>
      <c r="M677" s="194">
        <f>IF(OR(_1_54128456121462410464578910174[[#This Row],[UNIT]]&gt;0,_1_54128456121462410464578910174[[#This Row],[UNIT]]&lt;0),_1_54128456121462410464578910174[[#This Row],[UNIT]]*_1_54128456121462410464578910174[[#This Row],[COST]],0)</f>
        <v>0</v>
      </c>
      <c r="N677" s="194">
        <f t="shared" si="10"/>
        <v>1.5</v>
      </c>
      <c r="O677" s="198">
        <f>_1_54128456121462410464578910174[[#This Row],[TOTAL]]*_1_54128456121462410464578910174[[#This Row],[MARGIN]]</f>
        <v>0</v>
      </c>
      <c r="R677" s="41"/>
    </row>
    <row r="678" spans="4:18">
      <c r="D678" s="188"/>
      <c r="F678" s="168" t="s">
        <v>6202</v>
      </c>
      <c r="G678" s="193">
        <f>IF(_1_54128456121462410464578910174[[#This Row],[Type]]&gt;0,VLOOKUP(_1_54128456121462410464578910174[[#This Row],[Type]],Main[[#All],[TYPE]:[UNIT]],'Unit Price'!C$1,FALSE),0)</f>
        <v>0</v>
      </c>
      <c r="H678" s="197">
        <f>IF(_1_54128456121462410464578910174[[#This Row],[Type]]&gt;0,VLOOKUP(_1_54128456121462410464578910174[[#This Row],[Type]],Main[[#All],[TYPE]:[UNIT]],'Unit Price'!D$1,FALSE),0)</f>
        <v>0</v>
      </c>
      <c r="I678" s="194">
        <f>IF(_1_54128456121462410464578910174[[#This Row],[Type]]&gt;0,VLOOKUP(_1_54128456121462410464578910174[[#This Row],[Type]],Main[[#All],[TYPE]:[UNIT]],'Unit Price'!G$1,FALSE),0)</f>
        <v>0</v>
      </c>
      <c r="J678" s="194">
        <f>IF(_1_54128456121462410464578910174[[#This Row],[Type]]&gt;0,VLOOKUP(_1_54128456121462410464578910174[[#This Row],[Type]],Main[[#All],[TYPE]:[UNIT]],'Unit Price'!H$1,FALSE),0)</f>
        <v>0</v>
      </c>
      <c r="K678" s="194">
        <f>IF(_1_54128456121462410464578910174[[#This Row],[Discount selection]]&gt;0,VLOOKUP(_1_54128456121462410464578910174[[#This Row],[Discount selection]],'Discount Structure'!$A$2:$B$30,2,"false"),0)</f>
        <v>1</v>
      </c>
      <c r="L678" s="194">
        <f>_1_54128456121462410464578910174[[#This Row],[LIST $]]*_1_54128456121462410464578910174[[#This Row],[DISCOUNT]]*_1_54128456121462410464578910174[[#This Row],[DISCOUNT 2]]</f>
        <v>0</v>
      </c>
      <c r="M678" s="194">
        <f>IF(OR(_1_54128456121462410464578910174[[#This Row],[UNIT]]&gt;0,_1_54128456121462410464578910174[[#This Row],[UNIT]]&lt;0),_1_54128456121462410464578910174[[#This Row],[UNIT]]*_1_54128456121462410464578910174[[#This Row],[COST]],0)</f>
        <v>0</v>
      </c>
      <c r="N678" s="194">
        <f t="shared" si="10"/>
        <v>1.5</v>
      </c>
      <c r="O678" s="198">
        <f>_1_54128456121462410464578910174[[#This Row],[TOTAL]]*_1_54128456121462410464578910174[[#This Row],[MARGIN]]</f>
        <v>0</v>
      </c>
      <c r="R678" s="41"/>
    </row>
    <row r="679" spans="4:18">
      <c r="D679" s="188"/>
      <c r="F679" s="168" t="s">
        <v>6202</v>
      </c>
      <c r="G679" s="193">
        <f>IF(_1_54128456121462410464578910174[[#This Row],[Type]]&gt;0,VLOOKUP(_1_54128456121462410464578910174[[#This Row],[Type]],Main[[#All],[TYPE]:[UNIT]],'Unit Price'!C$1,FALSE),0)</f>
        <v>0</v>
      </c>
      <c r="H679" s="197">
        <f>IF(_1_54128456121462410464578910174[[#This Row],[Type]]&gt;0,VLOOKUP(_1_54128456121462410464578910174[[#This Row],[Type]],Main[[#All],[TYPE]:[UNIT]],'Unit Price'!D$1,FALSE),0)</f>
        <v>0</v>
      </c>
      <c r="I679" s="194">
        <f>IF(_1_54128456121462410464578910174[[#This Row],[Type]]&gt;0,VLOOKUP(_1_54128456121462410464578910174[[#This Row],[Type]],Main[[#All],[TYPE]:[UNIT]],'Unit Price'!G$1,FALSE),0)</f>
        <v>0</v>
      </c>
      <c r="J679" s="194">
        <f>IF(_1_54128456121462410464578910174[[#This Row],[Type]]&gt;0,VLOOKUP(_1_54128456121462410464578910174[[#This Row],[Type]],Main[[#All],[TYPE]:[UNIT]],'Unit Price'!H$1,FALSE),0)</f>
        <v>0</v>
      </c>
      <c r="K679" s="194">
        <f>IF(_1_54128456121462410464578910174[[#This Row],[Discount selection]]&gt;0,VLOOKUP(_1_54128456121462410464578910174[[#This Row],[Discount selection]],'Discount Structure'!$A$2:$B$30,2,"false"),0)</f>
        <v>1</v>
      </c>
      <c r="L679" s="194">
        <f>_1_54128456121462410464578910174[[#This Row],[LIST $]]*_1_54128456121462410464578910174[[#This Row],[DISCOUNT]]*_1_54128456121462410464578910174[[#This Row],[DISCOUNT 2]]</f>
        <v>0</v>
      </c>
      <c r="M679" s="194">
        <f>IF(OR(_1_54128456121462410464578910174[[#This Row],[UNIT]]&gt;0,_1_54128456121462410464578910174[[#This Row],[UNIT]]&lt;0),_1_54128456121462410464578910174[[#This Row],[UNIT]]*_1_54128456121462410464578910174[[#This Row],[COST]],0)</f>
        <v>0</v>
      </c>
      <c r="N679" s="194">
        <f t="shared" si="10"/>
        <v>1.5</v>
      </c>
      <c r="O679" s="198">
        <f>_1_54128456121462410464578910174[[#This Row],[TOTAL]]*_1_54128456121462410464578910174[[#This Row],[MARGIN]]</f>
        <v>0</v>
      </c>
      <c r="R679" s="41"/>
    </row>
    <row r="680" spans="4:18">
      <c r="D680" s="188"/>
      <c r="F680" s="168" t="s">
        <v>6202</v>
      </c>
      <c r="G680" s="193">
        <f>IF(_1_54128456121462410464578910174[[#This Row],[Type]]&gt;0,VLOOKUP(_1_54128456121462410464578910174[[#This Row],[Type]],Main[[#All],[TYPE]:[UNIT]],'Unit Price'!C$1,FALSE),0)</f>
        <v>0</v>
      </c>
      <c r="H680" s="197">
        <f>IF(_1_54128456121462410464578910174[[#This Row],[Type]]&gt;0,VLOOKUP(_1_54128456121462410464578910174[[#This Row],[Type]],Main[[#All],[TYPE]:[UNIT]],'Unit Price'!D$1,FALSE),0)</f>
        <v>0</v>
      </c>
      <c r="I680" s="194">
        <f>IF(_1_54128456121462410464578910174[[#This Row],[Type]]&gt;0,VLOOKUP(_1_54128456121462410464578910174[[#This Row],[Type]],Main[[#All],[TYPE]:[UNIT]],'Unit Price'!G$1,FALSE),0)</f>
        <v>0</v>
      </c>
      <c r="J680" s="194">
        <f>IF(_1_54128456121462410464578910174[[#This Row],[Type]]&gt;0,VLOOKUP(_1_54128456121462410464578910174[[#This Row],[Type]],Main[[#All],[TYPE]:[UNIT]],'Unit Price'!H$1,FALSE),0)</f>
        <v>0</v>
      </c>
      <c r="K680" s="194">
        <f>IF(_1_54128456121462410464578910174[[#This Row],[Discount selection]]&gt;0,VLOOKUP(_1_54128456121462410464578910174[[#This Row],[Discount selection]],'Discount Structure'!$A$2:$B$30,2,"false"),0)</f>
        <v>1</v>
      </c>
      <c r="L680" s="194">
        <f>_1_54128456121462410464578910174[[#This Row],[LIST $]]*_1_54128456121462410464578910174[[#This Row],[DISCOUNT]]*_1_54128456121462410464578910174[[#This Row],[DISCOUNT 2]]</f>
        <v>0</v>
      </c>
      <c r="M680" s="194">
        <f>IF(OR(_1_54128456121462410464578910174[[#This Row],[UNIT]]&gt;0,_1_54128456121462410464578910174[[#This Row],[UNIT]]&lt;0),_1_54128456121462410464578910174[[#This Row],[UNIT]]*_1_54128456121462410464578910174[[#This Row],[COST]],0)</f>
        <v>0</v>
      </c>
      <c r="N680" s="194">
        <f t="shared" si="10"/>
        <v>1.5</v>
      </c>
      <c r="O680" s="198">
        <f>_1_54128456121462410464578910174[[#This Row],[TOTAL]]*_1_54128456121462410464578910174[[#This Row],[MARGIN]]</f>
        <v>0</v>
      </c>
      <c r="R680" s="41"/>
    </row>
    <row r="681" spans="4:18">
      <c r="D681" s="188"/>
      <c r="F681" s="168" t="s">
        <v>6202</v>
      </c>
      <c r="G681" s="193">
        <f>IF(_1_54128456121462410464578910174[[#This Row],[Type]]&gt;0,VLOOKUP(_1_54128456121462410464578910174[[#This Row],[Type]],Main[[#All],[TYPE]:[UNIT]],'Unit Price'!C$1,FALSE),0)</f>
        <v>0</v>
      </c>
      <c r="H681" s="197">
        <f>IF(_1_54128456121462410464578910174[[#This Row],[Type]]&gt;0,VLOOKUP(_1_54128456121462410464578910174[[#This Row],[Type]],Main[[#All],[TYPE]:[UNIT]],'Unit Price'!D$1,FALSE),0)</f>
        <v>0</v>
      </c>
      <c r="I681" s="194">
        <f>IF(_1_54128456121462410464578910174[[#This Row],[Type]]&gt;0,VLOOKUP(_1_54128456121462410464578910174[[#This Row],[Type]],Main[[#All],[TYPE]:[UNIT]],'Unit Price'!G$1,FALSE),0)</f>
        <v>0</v>
      </c>
      <c r="J681" s="194">
        <f>IF(_1_54128456121462410464578910174[[#This Row],[Type]]&gt;0,VLOOKUP(_1_54128456121462410464578910174[[#This Row],[Type]],Main[[#All],[TYPE]:[UNIT]],'Unit Price'!H$1,FALSE),0)</f>
        <v>0</v>
      </c>
      <c r="K681" s="194">
        <f>IF(_1_54128456121462410464578910174[[#This Row],[Discount selection]]&gt;0,VLOOKUP(_1_54128456121462410464578910174[[#This Row],[Discount selection]],'Discount Structure'!$A$2:$B$30,2,"false"),0)</f>
        <v>1</v>
      </c>
      <c r="L681" s="194">
        <f>_1_54128456121462410464578910174[[#This Row],[LIST $]]*_1_54128456121462410464578910174[[#This Row],[DISCOUNT]]*_1_54128456121462410464578910174[[#This Row],[DISCOUNT 2]]</f>
        <v>0</v>
      </c>
      <c r="M681" s="194">
        <f>IF(OR(_1_54128456121462410464578910174[[#This Row],[UNIT]]&gt;0,_1_54128456121462410464578910174[[#This Row],[UNIT]]&lt;0),_1_54128456121462410464578910174[[#This Row],[UNIT]]*_1_54128456121462410464578910174[[#This Row],[COST]],0)</f>
        <v>0</v>
      </c>
      <c r="N681" s="194">
        <f t="shared" si="10"/>
        <v>1.5</v>
      </c>
      <c r="O681" s="198">
        <f>_1_54128456121462410464578910174[[#This Row],[TOTAL]]*_1_54128456121462410464578910174[[#This Row],[MARGIN]]</f>
        <v>0</v>
      </c>
      <c r="R681" s="41"/>
    </row>
    <row r="682" spans="4:18">
      <c r="D682" s="188"/>
      <c r="F682" s="168" t="s">
        <v>6202</v>
      </c>
      <c r="G682" s="193">
        <f>IF(_1_54128456121462410464578910174[[#This Row],[Type]]&gt;0,VLOOKUP(_1_54128456121462410464578910174[[#This Row],[Type]],Main[[#All],[TYPE]:[UNIT]],'Unit Price'!C$1,FALSE),0)</f>
        <v>0</v>
      </c>
      <c r="H682" s="197">
        <f>IF(_1_54128456121462410464578910174[[#This Row],[Type]]&gt;0,VLOOKUP(_1_54128456121462410464578910174[[#This Row],[Type]],Main[[#All],[TYPE]:[UNIT]],'Unit Price'!D$1,FALSE),0)</f>
        <v>0</v>
      </c>
      <c r="I682" s="194">
        <f>IF(_1_54128456121462410464578910174[[#This Row],[Type]]&gt;0,VLOOKUP(_1_54128456121462410464578910174[[#This Row],[Type]],Main[[#All],[TYPE]:[UNIT]],'Unit Price'!G$1,FALSE),0)</f>
        <v>0</v>
      </c>
      <c r="J682" s="194">
        <f>IF(_1_54128456121462410464578910174[[#This Row],[Type]]&gt;0,VLOOKUP(_1_54128456121462410464578910174[[#This Row],[Type]],Main[[#All],[TYPE]:[UNIT]],'Unit Price'!H$1,FALSE),0)</f>
        <v>0</v>
      </c>
      <c r="K682" s="194">
        <f>IF(_1_54128456121462410464578910174[[#This Row],[Discount selection]]&gt;0,VLOOKUP(_1_54128456121462410464578910174[[#This Row],[Discount selection]],'Discount Structure'!$A$2:$B$30,2,"false"),0)</f>
        <v>1</v>
      </c>
      <c r="L682" s="194">
        <f>_1_54128456121462410464578910174[[#This Row],[LIST $]]*_1_54128456121462410464578910174[[#This Row],[DISCOUNT]]*_1_54128456121462410464578910174[[#This Row],[DISCOUNT 2]]</f>
        <v>0</v>
      </c>
      <c r="M682" s="194">
        <f>IF(OR(_1_54128456121462410464578910174[[#This Row],[UNIT]]&gt;0,_1_54128456121462410464578910174[[#This Row],[UNIT]]&lt;0),_1_54128456121462410464578910174[[#This Row],[UNIT]]*_1_54128456121462410464578910174[[#This Row],[COST]],0)</f>
        <v>0</v>
      </c>
      <c r="N682" s="194">
        <f t="shared" si="10"/>
        <v>1.5</v>
      </c>
      <c r="O682" s="198">
        <f>_1_54128456121462410464578910174[[#This Row],[TOTAL]]*_1_54128456121462410464578910174[[#This Row],[MARGIN]]</f>
        <v>0</v>
      </c>
      <c r="R682" s="41"/>
    </row>
    <row r="683" spans="4:18">
      <c r="D683" s="188"/>
      <c r="F683" s="168" t="s">
        <v>6202</v>
      </c>
      <c r="G683" s="193">
        <f>IF(_1_54128456121462410464578910174[[#This Row],[Type]]&gt;0,VLOOKUP(_1_54128456121462410464578910174[[#This Row],[Type]],Main[[#All],[TYPE]:[UNIT]],'Unit Price'!C$1,FALSE),0)</f>
        <v>0</v>
      </c>
      <c r="H683" s="197">
        <f>IF(_1_54128456121462410464578910174[[#This Row],[Type]]&gt;0,VLOOKUP(_1_54128456121462410464578910174[[#This Row],[Type]],Main[[#All],[TYPE]:[UNIT]],'Unit Price'!D$1,FALSE),0)</f>
        <v>0</v>
      </c>
      <c r="I683" s="194">
        <f>IF(_1_54128456121462410464578910174[[#This Row],[Type]]&gt;0,VLOOKUP(_1_54128456121462410464578910174[[#This Row],[Type]],Main[[#All],[TYPE]:[UNIT]],'Unit Price'!G$1,FALSE),0)</f>
        <v>0</v>
      </c>
      <c r="J683" s="194">
        <f>IF(_1_54128456121462410464578910174[[#This Row],[Type]]&gt;0,VLOOKUP(_1_54128456121462410464578910174[[#This Row],[Type]],Main[[#All],[TYPE]:[UNIT]],'Unit Price'!H$1,FALSE),0)</f>
        <v>0</v>
      </c>
      <c r="K683" s="194">
        <f>IF(_1_54128456121462410464578910174[[#This Row],[Discount selection]]&gt;0,VLOOKUP(_1_54128456121462410464578910174[[#This Row],[Discount selection]],'Discount Structure'!$A$2:$B$30,2,"false"),0)</f>
        <v>1</v>
      </c>
      <c r="L683" s="194">
        <f>_1_54128456121462410464578910174[[#This Row],[LIST $]]*_1_54128456121462410464578910174[[#This Row],[DISCOUNT]]*_1_54128456121462410464578910174[[#This Row],[DISCOUNT 2]]</f>
        <v>0</v>
      </c>
      <c r="M683" s="194">
        <f>IF(OR(_1_54128456121462410464578910174[[#This Row],[UNIT]]&gt;0,_1_54128456121462410464578910174[[#This Row],[UNIT]]&lt;0),_1_54128456121462410464578910174[[#This Row],[UNIT]]*_1_54128456121462410464578910174[[#This Row],[COST]],0)</f>
        <v>0</v>
      </c>
      <c r="N683" s="194">
        <f t="shared" si="10"/>
        <v>1.5</v>
      </c>
      <c r="O683" s="198">
        <f>_1_54128456121462410464578910174[[#This Row],[TOTAL]]*_1_54128456121462410464578910174[[#This Row],[MARGIN]]</f>
        <v>0</v>
      </c>
      <c r="R683" s="41"/>
    </row>
    <row r="684" spans="4:18">
      <c r="D684" s="188"/>
      <c r="F684" s="168" t="s">
        <v>6202</v>
      </c>
      <c r="G684" s="193">
        <f>IF(_1_54128456121462410464578910174[[#This Row],[Type]]&gt;0,VLOOKUP(_1_54128456121462410464578910174[[#This Row],[Type]],Main[[#All],[TYPE]:[UNIT]],'Unit Price'!C$1,FALSE),0)</f>
        <v>0</v>
      </c>
      <c r="H684" s="197">
        <f>IF(_1_54128456121462410464578910174[[#This Row],[Type]]&gt;0,VLOOKUP(_1_54128456121462410464578910174[[#This Row],[Type]],Main[[#All],[TYPE]:[UNIT]],'Unit Price'!D$1,FALSE),0)</f>
        <v>0</v>
      </c>
      <c r="I684" s="194">
        <f>IF(_1_54128456121462410464578910174[[#This Row],[Type]]&gt;0,VLOOKUP(_1_54128456121462410464578910174[[#This Row],[Type]],Main[[#All],[TYPE]:[UNIT]],'Unit Price'!G$1,FALSE),0)</f>
        <v>0</v>
      </c>
      <c r="J684" s="194">
        <f>IF(_1_54128456121462410464578910174[[#This Row],[Type]]&gt;0,VLOOKUP(_1_54128456121462410464578910174[[#This Row],[Type]],Main[[#All],[TYPE]:[UNIT]],'Unit Price'!H$1,FALSE),0)</f>
        <v>0</v>
      </c>
      <c r="K684" s="194">
        <f>IF(_1_54128456121462410464578910174[[#This Row],[Discount selection]]&gt;0,VLOOKUP(_1_54128456121462410464578910174[[#This Row],[Discount selection]],'Discount Structure'!$A$2:$B$30,2,"false"),0)</f>
        <v>1</v>
      </c>
      <c r="L684" s="194">
        <f>_1_54128456121462410464578910174[[#This Row],[LIST $]]*_1_54128456121462410464578910174[[#This Row],[DISCOUNT]]*_1_54128456121462410464578910174[[#This Row],[DISCOUNT 2]]</f>
        <v>0</v>
      </c>
      <c r="M684" s="194">
        <f>IF(OR(_1_54128456121462410464578910174[[#This Row],[UNIT]]&gt;0,_1_54128456121462410464578910174[[#This Row],[UNIT]]&lt;0),_1_54128456121462410464578910174[[#This Row],[UNIT]]*_1_54128456121462410464578910174[[#This Row],[COST]],0)</f>
        <v>0</v>
      </c>
      <c r="N684" s="194">
        <f t="shared" si="10"/>
        <v>1.5</v>
      </c>
      <c r="O684" s="198">
        <f>_1_54128456121462410464578910174[[#This Row],[TOTAL]]*_1_54128456121462410464578910174[[#This Row],[MARGIN]]</f>
        <v>0</v>
      </c>
      <c r="R684" s="41"/>
    </row>
    <row r="685" spans="4:18">
      <c r="D685" s="188"/>
      <c r="F685" s="168" t="s">
        <v>6202</v>
      </c>
      <c r="G685" s="193">
        <f>IF(_1_54128456121462410464578910174[[#This Row],[Type]]&gt;0,VLOOKUP(_1_54128456121462410464578910174[[#This Row],[Type]],Main[[#All],[TYPE]:[UNIT]],'Unit Price'!C$1,FALSE),0)</f>
        <v>0</v>
      </c>
      <c r="H685" s="197">
        <f>IF(_1_54128456121462410464578910174[[#This Row],[Type]]&gt;0,VLOOKUP(_1_54128456121462410464578910174[[#This Row],[Type]],Main[[#All],[TYPE]:[UNIT]],'Unit Price'!D$1,FALSE),0)</f>
        <v>0</v>
      </c>
      <c r="I685" s="194">
        <f>IF(_1_54128456121462410464578910174[[#This Row],[Type]]&gt;0,VLOOKUP(_1_54128456121462410464578910174[[#This Row],[Type]],Main[[#All],[TYPE]:[UNIT]],'Unit Price'!G$1,FALSE),0)</f>
        <v>0</v>
      </c>
      <c r="J685" s="194">
        <f>IF(_1_54128456121462410464578910174[[#This Row],[Type]]&gt;0,VLOOKUP(_1_54128456121462410464578910174[[#This Row],[Type]],Main[[#All],[TYPE]:[UNIT]],'Unit Price'!H$1,FALSE),0)</f>
        <v>0</v>
      </c>
      <c r="K685" s="194">
        <f>IF(_1_54128456121462410464578910174[[#This Row],[Discount selection]]&gt;0,VLOOKUP(_1_54128456121462410464578910174[[#This Row],[Discount selection]],'Discount Structure'!$A$2:$B$30,2,"false"),0)</f>
        <v>1</v>
      </c>
      <c r="L685" s="194">
        <f>_1_54128456121462410464578910174[[#This Row],[LIST $]]*_1_54128456121462410464578910174[[#This Row],[DISCOUNT]]*_1_54128456121462410464578910174[[#This Row],[DISCOUNT 2]]</f>
        <v>0</v>
      </c>
      <c r="M685" s="194">
        <f>IF(OR(_1_54128456121462410464578910174[[#This Row],[UNIT]]&gt;0,_1_54128456121462410464578910174[[#This Row],[UNIT]]&lt;0),_1_54128456121462410464578910174[[#This Row],[UNIT]]*_1_54128456121462410464578910174[[#This Row],[COST]],0)</f>
        <v>0</v>
      </c>
      <c r="N685" s="194">
        <f t="shared" si="10"/>
        <v>1.5</v>
      </c>
      <c r="O685" s="198">
        <f>_1_54128456121462410464578910174[[#This Row],[TOTAL]]*_1_54128456121462410464578910174[[#This Row],[MARGIN]]</f>
        <v>0</v>
      </c>
      <c r="R685" s="41"/>
    </row>
    <row r="686" spans="4:18">
      <c r="D686" s="188"/>
      <c r="F686" s="168" t="s">
        <v>6202</v>
      </c>
      <c r="G686" s="193">
        <f>IF(_1_54128456121462410464578910174[[#This Row],[Type]]&gt;0,VLOOKUP(_1_54128456121462410464578910174[[#This Row],[Type]],Main[[#All],[TYPE]:[UNIT]],'Unit Price'!C$1,FALSE),0)</f>
        <v>0</v>
      </c>
      <c r="H686" s="197">
        <f>IF(_1_54128456121462410464578910174[[#This Row],[Type]]&gt;0,VLOOKUP(_1_54128456121462410464578910174[[#This Row],[Type]],Main[[#All],[TYPE]:[UNIT]],'Unit Price'!D$1,FALSE),0)</f>
        <v>0</v>
      </c>
      <c r="I686" s="194">
        <f>IF(_1_54128456121462410464578910174[[#This Row],[Type]]&gt;0,VLOOKUP(_1_54128456121462410464578910174[[#This Row],[Type]],Main[[#All],[TYPE]:[UNIT]],'Unit Price'!G$1,FALSE),0)</f>
        <v>0</v>
      </c>
      <c r="J686" s="194">
        <f>IF(_1_54128456121462410464578910174[[#This Row],[Type]]&gt;0,VLOOKUP(_1_54128456121462410464578910174[[#This Row],[Type]],Main[[#All],[TYPE]:[UNIT]],'Unit Price'!H$1,FALSE),0)</f>
        <v>0</v>
      </c>
      <c r="K686" s="194">
        <f>IF(_1_54128456121462410464578910174[[#This Row],[Discount selection]]&gt;0,VLOOKUP(_1_54128456121462410464578910174[[#This Row],[Discount selection]],'Discount Structure'!$A$2:$B$30,2,"false"),0)</f>
        <v>1</v>
      </c>
      <c r="L686" s="194">
        <f>_1_54128456121462410464578910174[[#This Row],[LIST $]]*_1_54128456121462410464578910174[[#This Row],[DISCOUNT]]*_1_54128456121462410464578910174[[#This Row],[DISCOUNT 2]]</f>
        <v>0</v>
      </c>
      <c r="M686" s="194">
        <f>IF(OR(_1_54128456121462410464578910174[[#This Row],[UNIT]]&gt;0,_1_54128456121462410464578910174[[#This Row],[UNIT]]&lt;0),_1_54128456121462410464578910174[[#This Row],[UNIT]]*_1_54128456121462410464578910174[[#This Row],[COST]],0)</f>
        <v>0</v>
      </c>
      <c r="N686" s="194">
        <f t="shared" si="10"/>
        <v>1.5</v>
      </c>
      <c r="O686" s="198">
        <f>_1_54128456121462410464578910174[[#This Row],[TOTAL]]*_1_54128456121462410464578910174[[#This Row],[MARGIN]]</f>
        <v>0</v>
      </c>
      <c r="R686" s="41"/>
    </row>
    <row r="687" spans="4:18">
      <c r="D687" s="188"/>
      <c r="F687" s="168" t="s">
        <v>6202</v>
      </c>
      <c r="G687" s="193">
        <f>IF(_1_54128456121462410464578910174[[#This Row],[Type]]&gt;0,VLOOKUP(_1_54128456121462410464578910174[[#This Row],[Type]],Main[[#All],[TYPE]:[UNIT]],'Unit Price'!C$1,FALSE),0)</f>
        <v>0</v>
      </c>
      <c r="H687" s="197">
        <f>IF(_1_54128456121462410464578910174[[#This Row],[Type]]&gt;0,VLOOKUP(_1_54128456121462410464578910174[[#This Row],[Type]],Main[[#All],[TYPE]:[UNIT]],'Unit Price'!D$1,FALSE),0)</f>
        <v>0</v>
      </c>
      <c r="I687" s="194">
        <f>IF(_1_54128456121462410464578910174[[#This Row],[Type]]&gt;0,VLOOKUP(_1_54128456121462410464578910174[[#This Row],[Type]],Main[[#All],[TYPE]:[UNIT]],'Unit Price'!G$1,FALSE),0)</f>
        <v>0</v>
      </c>
      <c r="J687" s="194">
        <f>IF(_1_54128456121462410464578910174[[#This Row],[Type]]&gt;0,VLOOKUP(_1_54128456121462410464578910174[[#This Row],[Type]],Main[[#All],[TYPE]:[UNIT]],'Unit Price'!H$1,FALSE),0)</f>
        <v>0</v>
      </c>
      <c r="K687" s="194">
        <f>IF(_1_54128456121462410464578910174[[#This Row],[Discount selection]]&gt;0,VLOOKUP(_1_54128456121462410464578910174[[#This Row],[Discount selection]],'Discount Structure'!$A$2:$B$30,2,"false"),0)</f>
        <v>1</v>
      </c>
      <c r="L687" s="194">
        <f>_1_54128456121462410464578910174[[#This Row],[LIST $]]*_1_54128456121462410464578910174[[#This Row],[DISCOUNT]]*_1_54128456121462410464578910174[[#This Row],[DISCOUNT 2]]</f>
        <v>0</v>
      </c>
      <c r="M687" s="194">
        <f>IF(OR(_1_54128456121462410464578910174[[#This Row],[UNIT]]&gt;0,_1_54128456121462410464578910174[[#This Row],[UNIT]]&lt;0),_1_54128456121462410464578910174[[#This Row],[UNIT]]*_1_54128456121462410464578910174[[#This Row],[COST]],0)</f>
        <v>0</v>
      </c>
      <c r="N687" s="194">
        <f t="shared" si="10"/>
        <v>1.5</v>
      </c>
      <c r="O687" s="198">
        <f>_1_54128456121462410464578910174[[#This Row],[TOTAL]]*_1_54128456121462410464578910174[[#This Row],[MARGIN]]</f>
        <v>0</v>
      </c>
      <c r="R687" s="41"/>
    </row>
    <row r="688" spans="4:18">
      <c r="D688" s="188"/>
      <c r="F688" s="168" t="s">
        <v>6202</v>
      </c>
      <c r="G688" s="193">
        <f>IF(_1_54128456121462410464578910174[[#This Row],[Type]]&gt;0,VLOOKUP(_1_54128456121462410464578910174[[#This Row],[Type]],Main[[#All],[TYPE]:[UNIT]],'Unit Price'!C$1,FALSE),0)</f>
        <v>0</v>
      </c>
      <c r="H688" s="197">
        <f>IF(_1_54128456121462410464578910174[[#This Row],[Type]]&gt;0,VLOOKUP(_1_54128456121462410464578910174[[#This Row],[Type]],Main[[#All],[TYPE]:[UNIT]],'Unit Price'!D$1,FALSE),0)</f>
        <v>0</v>
      </c>
      <c r="I688" s="194">
        <f>IF(_1_54128456121462410464578910174[[#This Row],[Type]]&gt;0,VLOOKUP(_1_54128456121462410464578910174[[#This Row],[Type]],Main[[#All],[TYPE]:[UNIT]],'Unit Price'!G$1,FALSE),0)</f>
        <v>0</v>
      </c>
      <c r="J688" s="194">
        <f>IF(_1_54128456121462410464578910174[[#This Row],[Type]]&gt;0,VLOOKUP(_1_54128456121462410464578910174[[#This Row],[Type]],Main[[#All],[TYPE]:[UNIT]],'Unit Price'!H$1,FALSE),0)</f>
        <v>0</v>
      </c>
      <c r="K688" s="194">
        <f>IF(_1_54128456121462410464578910174[[#This Row],[Discount selection]]&gt;0,VLOOKUP(_1_54128456121462410464578910174[[#This Row],[Discount selection]],'Discount Structure'!$A$2:$B$30,2,"false"),0)</f>
        <v>1</v>
      </c>
      <c r="L688" s="194">
        <f>_1_54128456121462410464578910174[[#This Row],[LIST $]]*_1_54128456121462410464578910174[[#This Row],[DISCOUNT]]*_1_54128456121462410464578910174[[#This Row],[DISCOUNT 2]]</f>
        <v>0</v>
      </c>
      <c r="M688" s="194">
        <f>IF(OR(_1_54128456121462410464578910174[[#This Row],[UNIT]]&gt;0,_1_54128456121462410464578910174[[#This Row],[UNIT]]&lt;0),_1_54128456121462410464578910174[[#This Row],[UNIT]]*_1_54128456121462410464578910174[[#This Row],[COST]],0)</f>
        <v>0</v>
      </c>
      <c r="N688" s="194">
        <f t="shared" si="10"/>
        <v>1.5</v>
      </c>
      <c r="O688" s="198">
        <f>_1_54128456121462410464578910174[[#This Row],[TOTAL]]*_1_54128456121462410464578910174[[#This Row],[MARGIN]]</f>
        <v>0</v>
      </c>
      <c r="R688" s="41"/>
    </row>
    <row r="689" spans="4:18">
      <c r="D689" s="188"/>
      <c r="F689" s="168" t="s">
        <v>6202</v>
      </c>
      <c r="G689" s="193">
        <f>IF(_1_54128456121462410464578910174[[#This Row],[Type]]&gt;0,VLOOKUP(_1_54128456121462410464578910174[[#This Row],[Type]],Main[[#All],[TYPE]:[UNIT]],'Unit Price'!C$1,FALSE),0)</f>
        <v>0</v>
      </c>
      <c r="H689" s="197">
        <f>IF(_1_54128456121462410464578910174[[#This Row],[Type]]&gt;0,VLOOKUP(_1_54128456121462410464578910174[[#This Row],[Type]],Main[[#All],[TYPE]:[UNIT]],'Unit Price'!D$1,FALSE),0)</f>
        <v>0</v>
      </c>
      <c r="I689" s="194">
        <f>IF(_1_54128456121462410464578910174[[#This Row],[Type]]&gt;0,VLOOKUP(_1_54128456121462410464578910174[[#This Row],[Type]],Main[[#All],[TYPE]:[UNIT]],'Unit Price'!G$1,FALSE),0)</f>
        <v>0</v>
      </c>
      <c r="J689" s="194">
        <f>IF(_1_54128456121462410464578910174[[#This Row],[Type]]&gt;0,VLOOKUP(_1_54128456121462410464578910174[[#This Row],[Type]],Main[[#All],[TYPE]:[UNIT]],'Unit Price'!H$1,FALSE),0)</f>
        <v>0</v>
      </c>
      <c r="K689" s="194">
        <f>IF(_1_54128456121462410464578910174[[#This Row],[Discount selection]]&gt;0,VLOOKUP(_1_54128456121462410464578910174[[#This Row],[Discount selection]],'Discount Structure'!$A$2:$B$30,2,"false"),0)</f>
        <v>1</v>
      </c>
      <c r="L689" s="194">
        <f>_1_54128456121462410464578910174[[#This Row],[LIST $]]*_1_54128456121462410464578910174[[#This Row],[DISCOUNT]]*_1_54128456121462410464578910174[[#This Row],[DISCOUNT 2]]</f>
        <v>0</v>
      </c>
      <c r="M689" s="194">
        <f>IF(OR(_1_54128456121462410464578910174[[#This Row],[UNIT]]&gt;0,_1_54128456121462410464578910174[[#This Row],[UNIT]]&lt;0),_1_54128456121462410464578910174[[#This Row],[UNIT]]*_1_54128456121462410464578910174[[#This Row],[COST]],0)</f>
        <v>0</v>
      </c>
      <c r="N689" s="194">
        <f t="shared" si="10"/>
        <v>1.5</v>
      </c>
      <c r="O689" s="198">
        <f>_1_54128456121462410464578910174[[#This Row],[TOTAL]]*_1_54128456121462410464578910174[[#This Row],[MARGIN]]</f>
        <v>0</v>
      </c>
      <c r="R689" s="41"/>
    </row>
    <row r="690" spans="4:18">
      <c r="D690" s="188"/>
      <c r="F690" s="168" t="s">
        <v>6202</v>
      </c>
      <c r="G690" s="193">
        <f>IF(_1_54128456121462410464578910174[[#This Row],[Type]]&gt;0,VLOOKUP(_1_54128456121462410464578910174[[#This Row],[Type]],Main[[#All],[TYPE]:[UNIT]],'Unit Price'!C$1,FALSE),0)</f>
        <v>0</v>
      </c>
      <c r="H690" s="197">
        <f>IF(_1_54128456121462410464578910174[[#This Row],[Type]]&gt;0,VLOOKUP(_1_54128456121462410464578910174[[#This Row],[Type]],Main[[#All],[TYPE]:[UNIT]],'Unit Price'!D$1,FALSE),0)</f>
        <v>0</v>
      </c>
      <c r="I690" s="194">
        <f>IF(_1_54128456121462410464578910174[[#This Row],[Type]]&gt;0,VLOOKUP(_1_54128456121462410464578910174[[#This Row],[Type]],Main[[#All],[TYPE]:[UNIT]],'Unit Price'!G$1,FALSE),0)</f>
        <v>0</v>
      </c>
      <c r="J690" s="194">
        <f>IF(_1_54128456121462410464578910174[[#This Row],[Type]]&gt;0,VLOOKUP(_1_54128456121462410464578910174[[#This Row],[Type]],Main[[#All],[TYPE]:[UNIT]],'Unit Price'!H$1,FALSE),0)</f>
        <v>0</v>
      </c>
      <c r="K690" s="194">
        <f>IF(_1_54128456121462410464578910174[[#This Row],[Discount selection]]&gt;0,VLOOKUP(_1_54128456121462410464578910174[[#This Row],[Discount selection]],'Discount Structure'!$A$2:$B$30,2,"false"),0)</f>
        <v>1</v>
      </c>
      <c r="L690" s="194">
        <f>_1_54128456121462410464578910174[[#This Row],[LIST $]]*_1_54128456121462410464578910174[[#This Row],[DISCOUNT]]*_1_54128456121462410464578910174[[#This Row],[DISCOUNT 2]]</f>
        <v>0</v>
      </c>
      <c r="M690" s="194">
        <f>IF(OR(_1_54128456121462410464578910174[[#This Row],[UNIT]]&gt;0,_1_54128456121462410464578910174[[#This Row],[UNIT]]&lt;0),_1_54128456121462410464578910174[[#This Row],[UNIT]]*_1_54128456121462410464578910174[[#This Row],[COST]],0)</f>
        <v>0</v>
      </c>
      <c r="N690" s="194">
        <f t="shared" si="10"/>
        <v>1.5</v>
      </c>
      <c r="O690" s="198">
        <f>_1_54128456121462410464578910174[[#This Row],[TOTAL]]*_1_54128456121462410464578910174[[#This Row],[MARGIN]]</f>
        <v>0</v>
      </c>
      <c r="R690" s="41"/>
    </row>
    <row r="691" spans="4:18">
      <c r="D691" s="188"/>
      <c r="F691" s="168" t="s">
        <v>6202</v>
      </c>
      <c r="G691" s="193">
        <f>IF(_1_54128456121462410464578910174[[#This Row],[Type]]&gt;0,VLOOKUP(_1_54128456121462410464578910174[[#This Row],[Type]],Main[[#All],[TYPE]:[UNIT]],'Unit Price'!C$1,FALSE),0)</f>
        <v>0</v>
      </c>
      <c r="H691" s="197">
        <f>IF(_1_54128456121462410464578910174[[#This Row],[Type]]&gt;0,VLOOKUP(_1_54128456121462410464578910174[[#This Row],[Type]],Main[[#All],[TYPE]:[UNIT]],'Unit Price'!D$1,FALSE),0)</f>
        <v>0</v>
      </c>
      <c r="I691" s="194">
        <f>IF(_1_54128456121462410464578910174[[#This Row],[Type]]&gt;0,VLOOKUP(_1_54128456121462410464578910174[[#This Row],[Type]],Main[[#All],[TYPE]:[UNIT]],'Unit Price'!G$1,FALSE),0)</f>
        <v>0</v>
      </c>
      <c r="J691" s="194">
        <f>IF(_1_54128456121462410464578910174[[#This Row],[Type]]&gt;0,VLOOKUP(_1_54128456121462410464578910174[[#This Row],[Type]],Main[[#All],[TYPE]:[UNIT]],'Unit Price'!H$1,FALSE),0)</f>
        <v>0</v>
      </c>
      <c r="K691" s="194">
        <f>IF(_1_54128456121462410464578910174[[#This Row],[Discount selection]]&gt;0,VLOOKUP(_1_54128456121462410464578910174[[#This Row],[Discount selection]],'Discount Structure'!$A$2:$B$30,2,"false"),0)</f>
        <v>1</v>
      </c>
      <c r="L691" s="194">
        <f>_1_54128456121462410464578910174[[#This Row],[LIST $]]*_1_54128456121462410464578910174[[#This Row],[DISCOUNT]]*_1_54128456121462410464578910174[[#This Row],[DISCOUNT 2]]</f>
        <v>0</v>
      </c>
      <c r="M691" s="194">
        <f>IF(OR(_1_54128456121462410464578910174[[#This Row],[UNIT]]&gt;0,_1_54128456121462410464578910174[[#This Row],[UNIT]]&lt;0),_1_54128456121462410464578910174[[#This Row],[UNIT]]*_1_54128456121462410464578910174[[#This Row],[COST]],0)</f>
        <v>0</v>
      </c>
      <c r="N691" s="194">
        <f t="shared" si="10"/>
        <v>1.5</v>
      </c>
      <c r="O691" s="198">
        <f>_1_54128456121462410464578910174[[#This Row],[TOTAL]]*_1_54128456121462410464578910174[[#This Row],[MARGIN]]</f>
        <v>0</v>
      </c>
      <c r="R691" s="41"/>
    </row>
    <row r="692" spans="4:18">
      <c r="D692" s="188"/>
      <c r="F692" s="168" t="s">
        <v>6202</v>
      </c>
      <c r="G692" s="193">
        <f>IF(_1_54128456121462410464578910174[[#This Row],[Type]]&gt;0,VLOOKUP(_1_54128456121462410464578910174[[#This Row],[Type]],Main[[#All],[TYPE]:[UNIT]],'Unit Price'!C$1,FALSE),0)</f>
        <v>0</v>
      </c>
      <c r="H692" s="197">
        <f>IF(_1_54128456121462410464578910174[[#This Row],[Type]]&gt;0,VLOOKUP(_1_54128456121462410464578910174[[#This Row],[Type]],Main[[#All],[TYPE]:[UNIT]],'Unit Price'!D$1,FALSE),0)</f>
        <v>0</v>
      </c>
      <c r="I692" s="194">
        <f>IF(_1_54128456121462410464578910174[[#This Row],[Type]]&gt;0,VLOOKUP(_1_54128456121462410464578910174[[#This Row],[Type]],Main[[#All],[TYPE]:[UNIT]],'Unit Price'!G$1,FALSE),0)</f>
        <v>0</v>
      </c>
      <c r="J692" s="194">
        <f>IF(_1_54128456121462410464578910174[[#This Row],[Type]]&gt;0,VLOOKUP(_1_54128456121462410464578910174[[#This Row],[Type]],Main[[#All],[TYPE]:[UNIT]],'Unit Price'!H$1,FALSE),0)</f>
        <v>0</v>
      </c>
      <c r="K692" s="194">
        <f>IF(_1_54128456121462410464578910174[[#This Row],[Discount selection]]&gt;0,VLOOKUP(_1_54128456121462410464578910174[[#This Row],[Discount selection]],'Discount Structure'!$A$2:$B$30,2,"false"),0)</f>
        <v>1</v>
      </c>
      <c r="L692" s="194">
        <f>_1_54128456121462410464578910174[[#This Row],[LIST $]]*_1_54128456121462410464578910174[[#This Row],[DISCOUNT]]*_1_54128456121462410464578910174[[#This Row],[DISCOUNT 2]]</f>
        <v>0</v>
      </c>
      <c r="M692" s="194">
        <f>IF(OR(_1_54128456121462410464578910174[[#This Row],[UNIT]]&gt;0,_1_54128456121462410464578910174[[#This Row],[UNIT]]&lt;0),_1_54128456121462410464578910174[[#This Row],[UNIT]]*_1_54128456121462410464578910174[[#This Row],[COST]],0)</f>
        <v>0</v>
      </c>
      <c r="N692" s="194">
        <f t="shared" si="10"/>
        <v>1.5</v>
      </c>
      <c r="O692" s="198">
        <f>_1_54128456121462410464578910174[[#This Row],[TOTAL]]*_1_54128456121462410464578910174[[#This Row],[MARGIN]]</f>
        <v>0</v>
      </c>
      <c r="R692" s="41"/>
    </row>
    <row r="693" spans="4:18">
      <c r="D693" s="188"/>
      <c r="F693" s="168" t="s">
        <v>6202</v>
      </c>
      <c r="G693" s="193">
        <f>IF(_1_54128456121462410464578910174[[#This Row],[Type]]&gt;0,VLOOKUP(_1_54128456121462410464578910174[[#This Row],[Type]],Main[[#All],[TYPE]:[UNIT]],'Unit Price'!C$1,FALSE),0)</f>
        <v>0</v>
      </c>
      <c r="H693" s="197">
        <f>IF(_1_54128456121462410464578910174[[#This Row],[Type]]&gt;0,VLOOKUP(_1_54128456121462410464578910174[[#This Row],[Type]],Main[[#All],[TYPE]:[UNIT]],'Unit Price'!D$1,FALSE),0)</f>
        <v>0</v>
      </c>
      <c r="I693" s="194">
        <f>IF(_1_54128456121462410464578910174[[#This Row],[Type]]&gt;0,VLOOKUP(_1_54128456121462410464578910174[[#This Row],[Type]],Main[[#All],[TYPE]:[UNIT]],'Unit Price'!G$1,FALSE),0)</f>
        <v>0</v>
      </c>
      <c r="J693" s="194">
        <f>IF(_1_54128456121462410464578910174[[#This Row],[Type]]&gt;0,VLOOKUP(_1_54128456121462410464578910174[[#This Row],[Type]],Main[[#All],[TYPE]:[UNIT]],'Unit Price'!H$1,FALSE),0)</f>
        <v>0</v>
      </c>
      <c r="K693" s="194">
        <f>IF(_1_54128456121462410464578910174[[#This Row],[Discount selection]]&gt;0,VLOOKUP(_1_54128456121462410464578910174[[#This Row],[Discount selection]],'Discount Structure'!$A$2:$B$30,2,"false"),0)</f>
        <v>1</v>
      </c>
      <c r="L693" s="194">
        <f>_1_54128456121462410464578910174[[#This Row],[LIST $]]*_1_54128456121462410464578910174[[#This Row],[DISCOUNT]]*_1_54128456121462410464578910174[[#This Row],[DISCOUNT 2]]</f>
        <v>0</v>
      </c>
      <c r="M693" s="194">
        <f>IF(OR(_1_54128456121462410464578910174[[#This Row],[UNIT]]&gt;0,_1_54128456121462410464578910174[[#This Row],[UNIT]]&lt;0),_1_54128456121462410464578910174[[#This Row],[UNIT]]*_1_54128456121462410464578910174[[#This Row],[COST]],0)</f>
        <v>0</v>
      </c>
      <c r="N693" s="194">
        <f t="shared" si="10"/>
        <v>1.5</v>
      </c>
      <c r="O693" s="198">
        <f>_1_54128456121462410464578910174[[#This Row],[TOTAL]]*_1_54128456121462410464578910174[[#This Row],[MARGIN]]</f>
        <v>0</v>
      </c>
      <c r="R693" s="41"/>
    </row>
    <row r="694" spans="4:18">
      <c r="D694" s="188"/>
      <c r="F694" s="168" t="s">
        <v>6202</v>
      </c>
      <c r="G694" s="193">
        <f>IF(_1_54128456121462410464578910174[[#This Row],[Type]]&gt;0,VLOOKUP(_1_54128456121462410464578910174[[#This Row],[Type]],Main[[#All],[TYPE]:[UNIT]],'Unit Price'!C$1,FALSE),0)</f>
        <v>0</v>
      </c>
      <c r="H694" s="197">
        <f>IF(_1_54128456121462410464578910174[[#This Row],[Type]]&gt;0,VLOOKUP(_1_54128456121462410464578910174[[#This Row],[Type]],Main[[#All],[TYPE]:[UNIT]],'Unit Price'!D$1,FALSE),0)</f>
        <v>0</v>
      </c>
      <c r="I694" s="194">
        <f>IF(_1_54128456121462410464578910174[[#This Row],[Type]]&gt;0,VLOOKUP(_1_54128456121462410464578910174[[#This Row],[Type]],Main[[#All],[TYPE]:[UNIT]],'Unit Price'!G$1,FALSE),0)</f>
        <v>0</v>
      </c>
      <c r="J694" s="194">
        <f>IF(_1_54128456121462410464578910174[[#This Row],[Type]]&gt;0,VLOOKUP(_1_54128456121462410464578910174[[#This Row],[Type]],Main[[#All],[TYPE]:[UNIT]],'Unit Price'!H$1,FALSE),0)</f>
        <v>0</v>
      </c>
      <c r="K694" s="194">
        <f>IF(_1_54128456121462410464578910174[[#This Row],[Discount selection]]&gt;0,VLOOKUP(_1_54128456121462410464578910174[[#This Row],[Discount selection]],'Discount Structure'!$A$2:$B$30,2,"false"),0)</f>
        <v>1</v>
      </c>
      <c r="L694" s="194">
        <f>_1_54128456121462410464578910174[[#This Row],[LIST $]]*_1_54128456121462410464578910174[[#This Row],[DISCOUNT]]*_1_54128456121462410464578910174[[#This Row],[DISCOUNT 2]]</f>
        <v>0</v>
      </c>
      <c r="M694" s="194">
        <f>IF(OR(_1_54128456121462410464578910174[[#This Row],[UNIT]]&gt;0,_1_54128456121462410464578910174[[#This Row],[UNIT]]&lt;0),_1_54128456121462410464578910174[[#This Row],[UNIT]]*_1_54128456121462410464578910174[[#This Row],[COST]],0)</f>
        <v>0</v>
      </c>
      <c r="N694" s="194">
        <f t="shared" si="10"/>
        <v>1.5</v>
      </c>
      <c r="O694" s="198">
        <f>_1_54128456121462410464578910174[[#This Row],[TOTAL]]*_1_54128456121462410464578910174[[#This Row],[MARGIN]]</f>
        <v>0</v>
      </c>
      <c r="R694" s="41"/>
    </row>
    <row r="695" spans="4:18">
      <c r="D695" s="188"/>
      <c r="F695" s="168" t="s">
        <v>6202</v>
      </c>
      <c r="G695" s="193">
        <f>IF(_1_54128456121462410464578910174[[#This Row],[Type]]&gt;0,VLOOKUP(_1_54128456121462410464578910174[[#This Row],[Type]],Main[[#All],[TYPE]:[UNIT]],'Unit Price'!C$1,FALSE),0)</f>
        <v>0</v>
      </c>
      <c r="H695" s="197">
        <f>IF(_1_54128456121462410464578910174[[#This Row],[Type]]&gt;0,VLOOKUP(_1_54128456121462410464578910174[[#This Row],[Type]],Main[[#All],[TYPE]:[UNIT]],'Unit Price'!D$1,FALSE),0)</f>
        <v>0</v>
      </c>
      <c r="I695" s="194">
        <f>IF(_1_54128456121462410464578910174[[#This Row],[Type]]&gt;0,VLOOKUP(_1_54128456121462410464578910174[[#This Row],[Type]],Main[[#All],[TYPE]:[UNIT]],'Unit Price'!G$1,FALSE),0)</f>
        <v>0</v>
      </c>
      <c r="J695" s="194">
        <f>IF(_1_54128456121462410464578910174[[#This Row],[Type]]&gt;0,VLOOKUP(_1_54128456121462410464578910174[[#This Row],[Type]],Main[[#All],[TYPE]:[UNIT]],'Unit Price'!H$1,FALSE),0)</f>
        <v>0</v>
      </c>
      <c r="K695" s="194">
        <f>IF(_1_54128456121462410464578910174[[#This Row],[Discount selection]]&gt;0,VLOOKUP(_1_54128456121462410464578910174[[#This Row],[Discount selection]],'Discount Structure'!$A$2:$B$30,2,"false"),0)</f>
        <v>1</v>
      </c>
      <c r="L695" s="194">
        <f>_1_54128456121462410464578910174[[#This Row],[LIST $]]*_1_54128456121462410464578910174[[#This Row],[DISCOUNT]]*_1_54128456121462410464578910174[[#This Row],[DISCOUNT 2]]</f>
        <v>0</v>
      </c>
      <c r="M695" s="194">
        <f>IF(OR(_1_54128456121462410464578910174[[#This Row],[UNIT]]&gt;0,_1_54128456121462410464578910174[[#This Row],[UNIT]]&lt;0),_1_54128456121462410464578910174[[#This Row],[UNIT]]*_1_54128456121462410464578910174[[#This Row],[COST]],0)</f>
        <v>0</v>
      </c>
      <c r="N695" s="194">
        <f t="shared" si="10"/>
        <v>1.5</v>
      </c>
      <c r="O695" s="198">
        <f>_1_54128456121462410464578910174[[#This Row],[TOTAL]]*_1_54128456121462410464578910174[[#This Row],[MARGIN]]</f>
        <v>0</v>
      </c>
      <c r="R695" s="41"/>
    </row>
    <row r="696" spans="4:18">
      <c r="D696" s="188"/>
      <c r="F696" s="168" t="s">
        <v>6202</v>
      </c>
      <c r="G696" s="193">
        <f>IF(_1_54128456121462410464578910174[[#This Row],[Type]]&gt;0,VLOOKUP(_1_54128456121462410464578910174[[#This Row],[Type]],Main[[#All],[TYPE]:[UNIT]],'Unit Price'!C$1,FALSE),0)</f>
        <v>0</v>
      </c>
      <c r="H696" s="197">
        <f>IF(_1_54128456121462410464578910174[[#This Row],[Type]]&gt;0,VLOOKUP(_1_54128456121462410464578910174[[#This Row],[Type]],Main[[#All],[TYPE]:[UNIT]],'Unit Price'!D$1,FALSE),0)</f>
        <v>0</v>
      </c>
      <c r="I696" s="194">
        <f>IF(_1_54128456121462410464578910174[[#This Row],[Type]]&gt;0,VLOOKUP(_1_54128456121462410464578910174[[#This Row],[Type]],Main[[#All],[TYPE]:[UNIT]],'Unit Price'!G$1,FALSE),0)</f>
        <v>0</v>
      </c>
      <c r="J696" s="194">
        <f>IF(_1_54128456121462410464578910174[[#This Row],[Type]]&gt;0,VLOOKUP(_1_54128456121462410464578910174[[#This Row],[Type]],Main[[#All],[TYPE]:[UNIT]],'Unit Price'!H$1,FALSE),0)</f>
        <v>0</v>
      </c>
      <c r="K696" s="194">
        <f>IF(_1_54128456121462410464578910174[[#This Row],[Discount selection]]&gt;0,VLOOKUP(_1_54128456121462410464578910174[[#This Row],[Discount selection]],'Discount Structure'!$A$2:$B$30,2,"false"),0)</f>
        <v>1</v>
      </c>
      <c r="L696" s="194">
        <f>_1_54128456121462410464578910174[[#This Row],[LIST $]]*_1_54128456121462410464578910174[[#This Row],[DISCOUNT]]*_1_54128456121462410464578910174[[#This Row],[DISCOUNT 2]]</f>
        <v>0</v>
      </c>
      <c r="M696" s="194">
        <f>IF(OR(_1_54128456121462410464578910174[[#This Row],[UNIT]]&gt;0,_1_54128456121462410464578910174[[#This Row],[UNIT]]&lt;0),_1_54128456121462410464578910174[[#This Row],[UNIT]]*_1_54128456121462410464578910174[[#This Row],[COST]],0)</f>
        <v>0</v>
      </c>
      <c r="N696" s="194">
        <f t="shared" si="10"/>
        <v>1.5</v>
      </c>
      <c r="O696" s="198">
        <f>_1_54128456121462410464578910174[[#This Row],[TOTAL]]*_1_54128456121462410464578910174[[#This Row],[MARGIN]]</f>
        <v>0</v>
      </c>
      <c r="R696" s="41"/>
    </row>
    <row r="697" spans="4:18">
      <c r="D697" s="188"/>
      <c r="F697" s="168" t="s">
        <v>6202</v>
      </c>
      <c r="G697" s="193">
        <f>IF(_1_54128456121462410464578910174[[#This Row],[Type]]&gt;0,VLOOKUP(_1_54128456121462410464578910174[[#This Row],[Type]],Main[[#All],[TYPE]:[UNIT]],'Unit Price'!C$1,FALSE),0)</f>
        <v>0</v>
      </c>
      <c r="H697" s="197">
        <f>IF(_1_54128456121462410464578910174[[#This Row],[Type]]&gt;0,VLOOKUP(_1_54128456121462410464578910174[[#This Row],[Type]],Main[[#All],[TYPE]:[UNIT]],'Unit Price'!D$1,FALSE),0)</f>
        <v>0</v>
      </c>
      <c r="I697" s="194">
        <f>IF(_1_54128456121462410464578910174[[#This Row],[Type]]&gt;0,VLOOKUP(_1_54128456121462410464578910174[[#This Row],[Type]],Main[[#All],[TYPE]:[UNIT]],'Unit Price'!G$1,FALSE),0)</f>
        <v>0</v>
      </c>
      <c r="J697" s="194">
        <f>IF(_1_54128456121462410464578910174[[#This Row],[Type]]&gt;0,VLOOKUP(_1_54128456121462410464578910174[[#This Row],[Type]],Main[[#All],[TYPE]:[UNIT]],'Unit Price'!H$1,FALSE),0)</f>
        <v>0</v>
      </c>
      <c r="K697" s="194">
        <f>IF(_1_54128456121462410464578910174[[#This Row],[Discount selection]]&gt;0,VLOOKUP(_1_54128456121462410464578910174[[#This Row],[Discount selection]],'Discount Structure'!$A$2:$B$30,2,"false"),0)</f>
        <v>1</v>
      </c>
      <c r="L697" s="194">
        <f>_1_54128456121462410464578910174[[#This Row],[LIST $]]*_1_54128456121462410464578910174[[#This Row],[DISCOUNT]]*_1_54128456121462410464578910174[[#This Row],[DISCOUNT 2]]</f>
        <v>0</v>
      </c>
      <c r="M697" s="194">
        <f>IF(OR(_1_54128456121462410464578910174[[#This Row],[UNIT]]&gt;0,_1_54128456121462410464578910174[[#This Row],[UNIT]]&lt;0),_1_54128456121462410464578910174[[#This Row],[UNIT]]*_1_54128456121462410464578910174[[#This Row],[COST]],0)</f>
        <v>0</v>
      </c>
      <c r="N697" s="194">
        <f t="shared" si="10"/>
        <v>1.5</v>
      </c>
      <c r="O697" s="198">
        <f>_1_54128456121462410464578910174[[#This Row],[TOTAL]]*_1_54128456121462410464578910174[[#This Row],[MARGIN]]</f>
        <v>0</v>
      </c>
      <c r="R697" s="41"/>
    </row>
    <row r="698" spans="4:18">
      <c r="D698" s="188"/>
      <c r="F698" s="168" t="s">
        <v>6202</v>
      </c>
      <c r="G698" s="193">
        <f>IF(_1_54128456121462410464578910174[[#This Row],[Type]]&gt;0,VLOOKUP(_1_54128456121462410464578910174[[#This Row],[Type]],Main[[#All],[TYPE]:[UNIT]],'Unit Price'!C$1,FALSE),0)</f>
        <v>0</v>
      </c>
      <c r="H698" s="197">
        <f>IF(_1_54128456121462410464578910174[[#This Row],[Type]]&gt;0,VLOOKUP(_1_54128456121462410464578910174[[#This Row],[Type]],Main[[#All],[TYPE]:[UNIT]],'Unit Price'!D$1,FALSE),0)</f>
        <v>0</v>
      </c>
      <c r="I698" s="194">
        <f>IF(_1_54128456121462410464578910174[[#This Row],[Type]]&gt;0,VLOOKUP(_1_54128456121462410464578910174[[#This Row],[Type]],Main[[#All],[TYPE]:[UNIT]],'Unit Price'!G$1,FALSE),0)</f>
        <v>0</v>
      </c>
      <c r="J698" s="194">
        <f>IF(_1_54128456121462410464578910174[[#This Row],[Type]]&gt;0,VLOOKUP(_1_54128456121462410464578910174[[#This Row],[Type]],Main[[#All],[TYPE]:[UNIT]],'Unit Price'!H$1,FALSE),0)</f>
        <v>0</v>
      </c>
      <c r="K698" s="194">
        <f>IF(_1_54128456121462410464578910174[[#This Row],[Discount selection]]&gt;0,VLOOKUP(_1_54128456121462410464578910174[[#This Row],[Discount selection]],'Discount Structure'!$A$2:$B$30,2,"false"),0)</f>
        <v>1</v>
      </c>
      <c r="L698" s="194">
        <f>_1_54128456121462410464578910174[[#This Row],[LIST $]]*_1_54128456121462410464578910174[[#This Row],[DISCOUNT]]*_1_54128456121462410464578910174[[#This Row],[DISCOUNT 2]]</f>
        <v>0</v>
      </c>
      <c r="M698" s="194">
        <f>IF(OR(_1_54128456121462410464578910174[[#This Row],[UNIT]]&gt;0,_1_54128456121462410464578910174[[#This Row],[UNIT]]&lt;0),_1_54128456121462410464578910174[[#This Row],[UNIT]]*_1_54128456121462410464578910174[[#This Row],[COST]],0)</f>
        <v>0</v>
      </c>
      <c r="N698" s="194">
        <f t="shared" si="10"/>
        <v>1.5</v>
      </c>
      <c r="O698" s="198">
        <f>_1_54128456121462410464578910174[[#This Row],[TOTAL]]*_1_54128456121462410464578910174[[#This Row],[MARGIN]]</f>
        <v>0</v>
      </c>
      <c r="R698" s="41"/>
    </row>
    <row r="699" spans="4:18">
      <c r="D699" s="188"/>
      <c r="F699" s="168" t="s">
        <v>6202</v>
      </c>
      <c r="G699" s="193">
        <f>IF(_1_54128456121462410464578910174[[#This Row],[Type]]&gt;0,VLOOKUP(_1_54128456121462410464578910174[[#This Row],[Type]],Main[[#All],[TYPE]:[UNIT]],'Unit Price'!C$1,FALSE),0)</f>
        <v>0</v>
      </c>
      <c r="H699" s="197">
        <f>IF(_1_54128456121462410464578910174[[#This Row],[Type]]&gt;0,VLOOKUP(_1_54128456121462410464578910174[[#This Row],[Type]],Main[[#All],[TYPE]:[UNIT]],'Unit Price'!D$1,FALSE),0)</f>
        <v>0</v>
      </c>
      <c r="I699" s="194">
        <f>IF(_1_54128456121462410464578910174[[#This Row],[Type]]&gt;0,VLOOKUP(_1_54128456121462410464578910174[[#This Row],[Type]],Main[[#All],[TYPE]:[UNIT]],'Unit Price'!G$1,FALSE),0)</f>
        <v>0</v>
      </c>
      <c r="J699" s="194">
        <f>IF(_1_54128456121462410464578910174[[#This Row],[Type]]&gt;0,VLOOKUP(_1_54128456121462410464578910174[[#This Row],[Type]],Main[[#All],[TYPE]:[UNIT]],'Unit Price'!H$1,FALSE),0)</f>
        <v>0</v>
      </c>
      <c r="K699" s="194">
        <f>IF(_1_54128456121462410464578910174[[#This Row],[Discount selection]]&gt;0,VLOOKUP(_1_54128456121462410464578910174[[#This Row],[Discount selection]],'Discount Structure'!$A$2:$B$30,2,"false"),0)</f>
        <v>1</v>
      </c>
      <c r="L699" s="194">
        <f>_1_54128456121462410464578910174[[#This Row],[LIST $]]*_1_54128456121462410464578910174[[#This Row],[DISCOUNT]]*_1_54128456121462410464578910174[[#This Row],[DISCOUNT 2]]</f>
        <v>0</v>
      </c>
      <c r="M699" s="194">
        <f>IF(OR(_1_54128456121462410464578910174[[#This Row],[UNIT]]&gt;0,_1_54128456121462410464578910174[[#This Row],[UNIT]]&lt;0),_1_54128456121462410464578910174[[#This Row],[UNIT]]*_1_54128456121462410464578910174[[#This Row],[COST]],0)</f>
        <v>0</v>
      </c>
      <c r="N699" s="194">
        <f t="shared" si="10"/>
        <v>1.5</v>
      </c>
      <c r="O699" s="198">
        <f>_1_54128456121462410464578910174[[#This Row],[TOTAL]]*_1_54128456121462410464578910174[[#This Row],[MARGIN]]</f>
        <v>0</v>
      </c>
      <c r="R699" s="41"/>
    </row>
    <row r="700" spans="4:18">
      <c r="D700" s="188"/>
      <c r="F700" s="168" t="s">
        <v>6202</v>
      </c>
      <c r="G700" s="193">
        <f>IF(_1_54128456121462410464578910174[[#This Row],[Type]]&gt;0,VLOOKUP(_1_54128456121462410464578910174[[#This Row],[Type]],Main[[#All],[TYPE]:[UNIT]],'Unit Price'!C$1,FALSE),0)</f>
        <v>0</v>
      </c>
      <c r="H700" s="197">
        <f>IF(_1_54128456121462410464578910174[[#This Row],[Type]]&gt;0,VLOOKUP(_1_54128456121462410464578910174[[#This Row],[Type]],Main[[#All],[TYPE]:[UNIT]],'Unit Price'!D$1,FALSE),0)</f>
        <v>0</v>
      </c>
      <c r="I700" s="194">
        <f>IF(_1_54128456121462410464578910174[[#This Row],[Type]]&gt;0,VLOOKUP(_1_54128456121462410464578910174[[#This Row],[Type]],Main[[#All],[TYPE]:[UNIT]],'Unit Price'!G$1,FALSE),0)</f>
        <v>0</v>
      </c>
      <c r="J700" s="194">
        <f>IF(_1_54128456121462410464578910174[[#This Row],[Type]]&gt;0,VLOOKUP(_1_54128456121462410464578910174[[#This Row],[Type]],Main[[#All],[TYPE]:[UNIT]],'Unit Price'!H$1,FALSE),0)</f>
        <v>0</v>
      </c>
      <c r="K700" s="194">
        <f>IF(_1_54128456121462410464578910174[[#This Row],[Discount selection]]&gt;0,VLOOKUP(_1_54128456121462410464578910174[[#This Row],[Discount selection]],'Discount Structure'!$A$2:$B$30,2,"false"),0)</f>
        <v>1</v>
      </c>
      <c r="L700" s="194">
        <f>_1_54128456121462410464578910174[[#This Row],[LIST $]]*_1_54128456121462410464578910174[[#This Row],[DISCOUNT]]*_1_54128456121462410464578910174[[#This Row],[DISCOUNT 2]]</f>
        <v>0</v>
      </c>
      <c r="M700" s="194">
        <f>IF(OR(_1_54128456121462410464578910174[[#This Row],[UNIT]]&gt;0,_1_54128456121462410464578910174[[#This Row],[UNIT]]&lt;0),_1_54128456121462410464578910174[[#This Row],[UNIT]]*_1_54128456121462410464578910174[[#This Row],[COST]],0)</f>
        <v>0</v>
      </c>
      <c r="N700" s="194">
        <f t="shared" si="10"/>
        <v>1.5</v>
      </c>
      <c r="O700" s="198">
        <f>_1_54128456121462410464578910174[[#This Row],[TOTAL]]*_1_54128456121462410464578910174[[#This Row],[MARGIN]]</f>
        <v>0</v>
      </c>
      <c r="R700" s="41"/>
    </row>
    <row r="701" spans="4:18">
      <c r="D701" s="188"/>
      <c r="F701" s="168" t="s">
        <v>6202</v>
      </c>
      <c r="G701" s="193">
        <f>IF(_1_54128456121462410464578910174[[#This Row],[Type]]&gt;0,VLOOKUP(_1_54128456121462410464578910174[[#This Row],[Type]],Main[[#All],[TYPE]:[UNIT]],'Unit Price'!C$1,FALSE),0)</f>
        <v>0</v>
      </c>
      <c r="H701" s="197">
        <f>IF(_1_54128456121462410464578910174[[#This Row],[Type]]&gt;0,VLOOKUP(_1_54128456121462410464578910174[[#This Row],[Type]],Main[[#All],[TYPE]:[UNIT]],'Unit Price'!D$1,FALSE),0)</f>
        <v>0</v>
      </c>
      <c r="I701" s="194">
        <f>IF(_1_54128456121462410464578910174[[#This Row],[Type]]&gt;0,VLOOKUP(_1_54128456121462410464578910174[[#This Row],[Type]],Main[[#All],[TYPE]:[UNIT]],'Unit Price'!G$1,FALSE),0)</f>
        <v>0</v>
      </c>
      <c r="J701" s="194">
        <f>IF(_1_54128456121462410464578910174[[#This Row],[Type]]&gt;0,VLOOKUP(_1_54128456121462410464578910174[[#This Row],[Type]],Main[[#All],[TYPE]:[UNIT]],'Unit Price'!H$1,FALSE),0)</f>
        <v>0</v>
      </c>
      <c r="K701" s="194">
        <f>IF(_1_54128456121462410464578910174[[#This Row],[Discount selection]]&gt;0,VLOOKUP(_1_54128456121462410464578910174[[#This Row],[Discount selection]],'Discount Structure'!$A$2:$B$30,2,"false"),0)</f>
        <v>1</v>
      </c>
      <c r="L701" s="194">
        <f>_1_54128456121462410464578910174[[#This Row],[LIST $]]*_1_54128456121462410464578910174[[#This Row],[DISCOUNT]]*_1_54128456121462410464578910174[[#This Row],[DISCOUNT 2]]</f>
        <v>0</v>
      </c>
      <c r="M701" s="194">
        <f>IF(OR(_1_54128456121462410464578910174[[#This Row],[UNIT]]&gt;0,_1_54128456121462410464578910174[[#This Row],[UNIT]]&lt;0),_1_54128456121462410464578910174[[#This Row],[UNIT]]*_1_54128456121462410464578910174[[#This Row],[COST]],0)</f>
        <v>0</v>
      </c>
      <c r="N701" s="194">
        <f t="shared" si="10"/>
        <v>1.5</v>
      </c>
      <c r="O701" s="198">
        <f>_1_54128456121462410464578910174[[#This Row],[TOTAL]]*_1_54128456121462410464578910174[[#This Row],[MARGIN]]</f>
        <v>0</v>
      </c>
      <c r="R701" s="41"/>
    </row>
    <row r="702" spans="4:18">
      <c r="D702" s="188"/>
      <c r="F702" s="168" t="s">
        <v>6202</v>
      </c>
      <c r="G702" s="193">
        <f>IF(_1_54128456121462410464578910174[[#This Row],[Type]]&gt;0,VLOOKUP(_1_54128456121462410464578910174[[#This Row],[Type]],Main[[#All],[TYPE]:[UNIT]],'Unit Price'!C$1,FALSE),0)</f>
        <v>0</v>
      </c>
      <c r="H702" s="197">
        <f>IF(_1_54128456121462410464578910174[[#This Row],[Type]]&gt;0,VLOOKUP(_1_54128456121462410464578910174[[#This Row],[Type]],Main[[#All],[TYPE]:[UNIT]],'Unit Price'!D$1,FALSE),0)</f>
        <v>0</v>
      </c>
      <c r="I702" s="194">
        <f>IF(_1_54128456121462410464578910174[[#This Row],[Type]]&gt;0,VLOOKUP(_1_54128456121462410464578910174[[#This Row],[Type]],Main[[#All],[TYPE]:[UNIT]],'Unit Price'!G$1,FALSE),0)</f>
        <v>0</v>
      </c>
      <c r="J702" s="194">
        <f>IF(_1_54128456121462410464578910174[[#This Row],[Type]]&gt;0,VLOOKUP(_1_54128456121462410464578910174[[#This Row],[Type]],Main[[#All],[TYPE]:[UNIT]],'Unit Price'!H$1,FALSE),0)</f>
        <v>0</v>
      </c>
      <c r="K702" s="194">
        <f>IF(_1_54128456121462410464578910174[[#This Row],[Discount selection]]&gt;0,VLOOKUP(_1_54128456121462410464578910174[[#This Row],[Discount selection]],'Discount Structure'!$A$2:$B$30,2,"false"),0)</f>
        <v>1</v>
      </c>
      <c r="L702" s="194">
        <f>_1_54128456121462410464578910174[[#This Row],[LIST $]]*_1_54128456121462410464578910174[[#This Row],[DISCOUNT]]*_1_54128456121462410464578910174[[#This Row],[DISCOUNT 2]]</f>
        <v>0</v>
      </c>
      <c r="M702" s="194">
        <f>IF(OR(_1_54128456121462410464578910174[[#This Row],[UNIT]]&gt;0,_1_54128456121462410464578910174[[#This Row],[UNIT]]&lt;0),_1_54128456121462410464578910174[[#This Row],[UNIT]]*_1_54128456121462410464578910174[[#This Row],[COST]],0)</f>
        <v>0</v>
      </c>
      <c r="N702" s="194">
        <f t="shared" si="10"/>
        <v>1.5</v>
      </c>
      <c r="O702" s="198">
        <f>_1_54128456121462410464578910174[[#This Row],[TOTAL]]*_1_54128456121462410464578910174[[#This Row],[MARGIN]]</f>
        <v>0</v>
      </c>
      <c r="R702" s="41"/>
    </row>
    <row r="703" spans="4:18">
      <c r="D703" s="188"/>
      <c r="F703" s="168" t="s">
        <v>6202</v>
      </c>
      <c r="G703" s="193">
        <f>IF(_1_54128456121462410464578910174[[#This Row],[Type]]&gt;0,VLOOKUP(_1_54128456121462410464578910174[[#This Row],[Type]],Main[[#All],[TYPE]:[UNIT]],'Unit Price'!C$1,FALSE),0)</f>
        <v>0</v>
      </c>
      <c r="H703" s="197">
        <f>IF(_1_54128456121462410464578910174[[#This Row],[Type]]&gt;0,VLOOKUP(_1_54128456121462410464578910174[[#This Row],[Type]],Main[[#All],[TYPE]:[UNIT]],'Unit Price'!D$1,FALSE),0)</f>
        <v>0</v>
      </c>
      <c r="I703" s="194">
        <f>IF(_1_54128456121462410464578910174[[#This Row],[Type]]&gt;0,VLOOKUP(_1_54128456121462410464578910174[[#This Row],[Type]],Main[[#All],[TYPE]:[UNIT]],'Unit Price'!G$1,FALSE),0)</f>
        <v>0</v>
      </c>
      <c r="J703" s="194">
        <f>IF(_1_54128456121462410464578910174[[#This Row],[Type]]&gt;0,VLOOKUP(_1_54128456121462410464578910174[[#This Row],[Type]],Main[[#All],[TYPE]:[UNIT]],'Unit Price'!H$1,FALSE),0)</f>
        <v>0</v>
      </c>
      <c r="K703" s="194">
        <f>IF(_1_54128456121462410464578910174[[#This Row],[Discount selection]]&gt;0,VLOOKUP(_1_54128456121462410464578910174[[#This Row],[Discount selection]],'Discount Structure'!$A$2:$B$30,2,"false"),0)</f>
        <v>1</v>
      </c>
      <c r="L703" s="194">
        <f>_1_54128456121462410464578910174[[#This Row],[LIST $]]*_1_54128456121462410464578910174[[#This Row],[DISCOUNT]]*_1_54128456121462410464578910174[[#This Row],[DISCOUNT 2]]</f>
        <v>0</v>
      </c>
      <c r="M703" s="194">
        <f>IF(OR(_1_54128456121462410464578910174[[#This Row],[UNIT]]&gt;0,_1_54128456121462410464578910174[[#This Row],[UNIT]]&lt;0),_1_54128456121462410464578910174[[#This Row],[UNIT]]*_1_54128456121462410464578910174[[#This Row],[COST]],0)</f>
        <v>0</v>
      </c>
      <c r="N703" s="194">
        <f t="shared" si="10"/>
        <v>1.5</v>
      </c>
      <c r="O703" s="198">
        <f>_1_54128456121462410464578910174[[#This Row],[TOTAL]]*_1_54128456121462410464578910174[[#This Row],[MARGIN]]</f>
        <v>0</v>
      </c>
      <c r="R703" s="41"/>
    </row>
    <row r="704" spans="4:18">
      <c r="D704" s="188"/>
      <c r="F704" s="168" t="s">
        <v>6202</v>
      </c>
      <c r="G704" s="193">
        <f>IF(_1_54128456121462410464578910174[[#This Row],[Type]]&gt;0,VLOOKUP(_1_54128456121462410464578910174[[#This Row],[Type]],Main[[#All],[TYPE]:[UNIT]],'Unit Price'!C$1,FALSE),0)</f>
        <v>0</v>
      </c>
      <c r="H704" s="197">
        <f>IF(_1_54128456121462410464578910174[[#This Row],[Type]]&gt;0,VLOOKUP(_1_54128456121462410464578910174[[#This Row],[Type]],Main[[#All],[TYPE]:[UNIT]],'Unit Price'!D$1,FALSE),0)</f>
        <v>0</v>
      </c>
      <c r="I704" s="194">
        <f>IF(_1_54128456121462410464578910174[[#This Row],[Type]]&gt;0,VLOOKUP(_1_54128456121462410464578910174[[#This Row],[Type]],Main[[#All],[TYPE]:[UNIT]],'Unit Price'!G$1,FALSE),0)</f>
        <v>0</v>
      </c>
      <c r="J704" s="194">
        <f>IF(_1_54128456121462410464578910174[[#This Row],[Type]]&gt;0,VLOOKUP(_1_54128456121462410464578910174[[#This Row],[Type]],Main[[#All],[TYPE]:[UNIT]],'Unit Price'!H$1,FALSE),0)</f>
        <v>0</v>
      </c>
      <c r="K704" s="194">
        <f>IF(_1_54128456121462410464578910174[[#This Row],[Discount selection]]&gt;0,VLOOKUP(_1_54128456121462410464578910174[[#This Row],[Discount selection]],'Discount Structure'!$A$2:$B$30,2,"false"),0)</f>
        <v>1</v>
      </c>
      <c r="L704" s="194">
        <f>_1_54128456121462410464578910174[[#This Row],[LIST $]]*_1_54128456121462410464578910174[[#This Row],[DISCOUNT]]*_1_54128456121462410464578910174[[#This Row],[DISCOUNT 2]]</f>
        <v>0</v>
      </c>
      <c r="M704" s="194">
        <f>IF(OR(_1_54128456121462410464578910174[[#This Row],[UNIT]]&gt;0,_1_54128456121462410464578910174[[#This Row],[UNIT]]&lt;0),_1_54128456121462410464578910174[[#This Row],[UNIT]]*_1_54128456121462410464578910174[[#This Row],[COST]],0)</f>
        <v>0</v>
      </c>
      <c r="N704" s="194">
        <f t="shared" si="10"/>
        <v>1.5</v>
      </c>
      <c r="O704" s="198">
        <f>_1_54128456121462410464578910174[[#This Row],[TOTAL]]*_1_54128456121462410464578910174[[#This Row],[MARGIN]]</f>
        <v>0</v>
      </c>
      <c r="R704" s="41"/>
    </row>
    <row r="705" spans="4:18">
      <c r="D705" s="188"/>
      <c r="F705" s="168" t="s">
        <v>6202</v>
      </c>
      <c r="G705" s="193">
        <f>IF(_1_54128456121462410464578910174[[#This Row],[Type]]&gt;0,VLOOKUP(_1_54128456121462410464578910174[[#This Row],[Type]],Main[[#All],[TYPE]:[UNIT]],'Unit Price'!C$1,FALSE),0)</f>
        <v>0</v>
      </c>
      <c r="H705" s="197">
        <f>IF(_1_54128456121462410464578910174[[#This Row],[Type]]&gt;0,VLOOKUP(_1_54128456121462410464578910174[[#This Row],[Type]],Main[[#All],[TYPE]:[UNIT]],'Unit Price'!D$1,FALSE),0)</f>
        <v>0</v>
      </c>
      <c r="I705" s="194">
        <f>IF(_1_54128456121462410464578910174[[#This Row],[Type]]&gt;0,VLOOKUP(_1_54128456121462410464578910174[[#This Row],[Type]],Main[[#All],[TYPE]:[UNIT]],'Unit Price'!G$1,FALSE),0)</f>
        <v>0</v>
      </c>
      <c r="J705" s="194">
        <f>IF(_1_54128456121462410464578910174[[#This Row],[Type]]&gt;0,VLOOKUP(_1_54128456121462410464578910174[[#This Row],[Type]],Main[[#All],[TYPE]:[UNIT]],'Unit Price'!H$1,FALSE),0)</f>
        <v>0</v>
      </c>
      <c r="K705" s="194">
        <f>IF(_1_54128456121462410464578910174[[#This Row],[Discount selection]]&gt;0,VLOOKUP(_1_54128456121462410464578910174[[#This Row],[Discount selection]],'Discount Structure'!$A$2:$B$30,2,"false"),0)</f>
        <v>1</v>
      </c>
      <c r="L705" s="194">
        <f>_1_54128456121462410464578910174[[#This Row],[LIST $]]*_1_54128456121462410464578910174[[#This Row],[DISCOUNT]]*_1_54128456121462410464578910174[[#This Row],[DISCOUNT 2]]</f>
        <v>0</v>
      </c>
      <c r="M705" s="194">
        <f>IF(OR(_1_54128456121462410464578910174[[#This Row],[UNIT]]&gt;0,_1_54128456121462410464578910174[[#This Row],[UNIT]]&lt;0),_1_54128456121462410464578910174[[#This Row],[UNIT]]*_1_54128456121462410464578910174[[#This Row],[COST]],0)</f>
        <v>0</v>
      </c>
      <c r="N705" s="194">
        <f t="shared" si="10"/>
        <v>1.5</v>
      </c>
      <c r="O705" s="198">
        <f>_1_54128456121462410464578910174[[#This Row],[TOTAL]]*_1_54128456121462410464578910174[[#This Row],[MARGIN]]</f>
        <v>0</v>
      </c>
      <c r="R705" s="41"/>
    </row>
    <row r="706" spans="4:18">
      <c r="D706" s="188"/>
      <c r="F706" s="168" t="s">
        <v>6202</v>
      </c>
      <c r="G706" s="193">
        <f>IF(_1_54128456121462410464578910174[[#This Row],[Type]]&gt;0,VLOOKUP(_1_54128456121462410464578910174[[#This Row],[Type]],Main[[#All],[TYPE]:[UNIT]],'Unit Price'!C$1,FALSE),0)</f>
        <v>0</v>
      </c>
      <c r="H706" s="197">
        <f>IF(_1_54128456121462410464578910174[[#This Row],[Type]]&gt;0,VLOOKUP(_1_54128456121462410464578910174[[#This Row],[Type]],Main[[#All],[TYPE]:[UNIT]],'Unit Price'!D$1,FALSE),0)</f>
        <v>0</v>
      </c>
      <c r="I706" s="194">
        <f>IF(_1_54128456121462410464578910174[[#This Row],[Type]]&gt;0,VLOOKUP(_1_54128456121462410464578910174[[#This Row],[Type]],Main[[#All],[TYPE]:[UNIT]],'Unit Price'!G$1,FALSE),0)</f>
        <v>0</v>
      </c>
      <c r="J706" s="194">
        <f>IF(_1_54128456121462410464578910174[[#This Row],[Type]]&gt;0,VLOOKUP(_1_54128456121462410464578910174[[#This Row],[Type]],Main[[#All],[TYPE]:[UNIT]],'Unit Price'!H$1,FALSE),0)</f>
        <v>0</v>
      </c>
      <c r="K706" s="194">
        <f>IF(_1_54128456121462410464578910174[[#This Row],[Discount selection]]&gt;0,VLOOKUP(_1_54128456121462410464578910174[[#This Row],[Discount selection]],'Discount Structure'!$A$2:$B$30,2,"false"),0)</f>
        <v>1</v>
      </c>
      <c r="L706" s="194">
        <f>_1_54128456121462410464578910174[[#This Row],[LIST $]]*_1_54128456121462410464578910174[[#This Row],[DISCOUNT]]*_1_54128456121462410464578910174[[#This Row],[DISCOUNT 2]]</f>
        <v>0</v>
      </c>
      <c r="M706" s="194">
        <f>IF(OR(_1_54128456121462410464578910174[[#This Row],[UNIT]]&gt;0,_1_54128456121462410464578910174[[#This Row],[UNIT]]&lt;0),_1_54128456121462410464578910174[[#This Row],[UNIT]]*_1_54128456121462410464578910174[[#This Row],[COST]],0)</f>
        <v>0</v>
      </c>
      <c r="N706" s="194">
        <f t="shared" si="10"/>
        <v>1.5</v>
      </c>
      <c r="O706" s="198">
        <f>_1_54128456121462410464578910174[[#This Row],[TOTAL]]*_1_54128456121462410464578910174[[#This Row],[MARGIN]]</f>
        <v>0</v>
      </c>
      <c r="R706" s="41"/>
    </row>
    <row r="707" spans="4:18">
      <c r="D707" s="188"/>
      <c r="F707" s="168" t="s">
        <v>6202</v>
      </c>
      <c r="G707" s="193">
        <f>IF(_1_54128456121462410464578910174[[#This Row],[Type]]&gt;0,VLOOKUP(_1_54128456121462410464578910174[[#This Row],[Type]],Main[[#All],[TYPE]:[UNIT]],'Unit Price'!C$1,FALSE),0)</f>
        <v>0</v>
      </c>
      <c r="H707" s="197">
        <f>IF(_1_54128456121462410464578910174[[#This Row],[Type]]&gt;0,VLOOKUP(_1_54128456121462410464578910174[[#This Row],[Type]],Main[[#All],[TYPE]:[UNIT]],'Unit Price'!D$1,FALSE),0)</f>
        <v>0</v>
      </c>
      <c r="I707" s="194">
        <f>IF(_1_54128456121462410464578910174[[#This Row],[Type]]&gt;0,VLOOKUP(_1_54128456121462410464578910174[[#This Row],[Type]],Main[[#All],[TYPE]:[UNIT]],'Unit Price'!G$1,FALSE),0)</f>
        <v>0</v>
      </c>
      <c r="J707" s="194">
        <f>IF(_1_54128456121462410464578910174[[#This Row],[Type]]&gt;0,VLOOKUP(_1_54128456121462410464578910174[[#This Row],[Type]],Main[[#All],[TYPE]:[UNIT]],'Unit Price'!H$1,FALSE),0)</f>
        <v>0</v>
      </c>
      <c r="K707" s="194">
        <f>IF(_1_54128456121462410464578910174[[#This Row],[Discount selection]]&gt;0,VLOOKUP(_1_54128456121462410464578910174[[#This Row],[Discount selection]],'Discount Structure'!$A$2:$B$30,2,"false"),0)</f>
        <v>1</v>
      </c>
      <c r="L707" s="194">
        <f>_1_54128456121462410464578910174[[#This Row],[LIST $]]*_1_54128456121462410464578910174[[#This Row],[DISCOUNT]]*_1_54128456121462410464578910174[[#This Row],[DISCOUNT 2]]</f>
        <v>0</v>
      </c>
      <c r="M707" s="194">
        <f>IF(OR(_1_54128456121462410464578910174[[#This Row],[UNIT]]&gt;0,_1_54128456121462410464578910174[[#This Row],[UNIT]]&lt;0),_1_54128456121462410464578910174[[#This Row],[UNIT]]*_1_54128456121462410464578910174[[#This Row],[COST]],0)</f>
        <v>0</v>
      </c>
      <c r="N707" s="194">
        <f t="shared" si="10"/>
        <v>1.5</v>
      </c>
      <c r="O707" s="198">
        <f>_1_54128456121462410464578910174[[#This Row],[TOTAL]]*_1_54128456121462410464578910174[[#This Row],[MARGIN]]</f>
        <v>0</v>
      </c>
      <c r="R707" s="41"/>
    </row>
    <row r="708" spans="4:18">
      <c r="D708" s="188"/>
      <c r="F708" s="168" t="s">
        <v>6202</v>
      </c>
      <c r="G708" s="193">
        <f>IF(_1_54128456121462410464578910174[[#This Row],[Type]]&gt;0,VLOOKUP(_1_54128456121462410464578910174[[#This Row],[Type]],Main[[#All],[TYPE]:[UNIT]],'Unit Price'!C$1,FALSE),0)</f>
        <v>0</v>
      </c>
      <c r="H708" s="197">
        <f>IF(_1_54128456121462410464578910174[[#This Row],[Type]]&gt;0,VLOOKUP(_1_54128456121462410464578910174[[#This Row],[Type]],Main[[#All],[TYPE]:[UNIT]],'Unit Price'!D$1,FALSE),0)</f>
        <v>0</v>
      </c>
      <c r="I708" s="194">
        <f>IF(_1_54128456121462410464578910174[[#This Row],[Type]]&gt;0,VLOOKUP(_1_54128456121462410464578910174[[#This Row],[Type]],Main[[#All],[TYPE]:[UNIT]],'Unit Price'!G$1,FALSE),0)</f>
        <v>0</v>
      </c>
      <c r="J708" s="194">
        <f>IF(_1_54128456121462410464578910174[[#This Row],[Type]]&gt;0,VLOOKUP(_1_54128456121462410464578910174[[#This Row],[Type]],Main[[#All],[TYPE]:[UNIT]],'Unit Price'!H$1,FALSE),0)</f>
        <v>0</v>
      </c>
      <c r="K708" s="194">
        <f>IF(_1_54128456121462410464578910174[[#This Row],[Discount selection]]&gt;0,VLOOKUP(_1_54128456121462410464578910174[[#This Row],[Discount selection]],'Discount Structure'!$A$2:$B$30,2,"false"),0)</f>
        <v>1</v>
      </c>
      <c r="L708" s="194">
        <f>_1_54128456121462410464578910174[[#This Row],[LIST $]]*_1_54128456121462410464578910174[[#This Row],[DISCOUNT]]*_1_54128456121462410464578910174[[#This Row],[DISCOUNT 2]]</f>
        <v>0</v>
      </c>
      <c r="M708" s="194">
        <f>IF(OR(_1_54128456121462410464578910174[[#This Row],[UNIT]]&gt;0,_1_54128456121462410464578910174[[#This Row],[UNIT]]&lt;0),_1_54128456121462410464578910174[[#This Row],[UNIT]]*_1_54128456121462410464578910174[[#This Row],[COST]],0)</f>
        <v>0</v>
      </c>
      <c r="N708" s="194">
        <f t="shared" si="10"/>
        <v>1.5</v>
      </c>
      <c r="O708" s="198">
        <f>_1_54128456121462410464578910174[[#This Row],[TOTAL]]*_1_54128456121462410464578910174[[#This Row],[MARGIN]]</f>
        <v>0</v>
      </c>
      <c r="R708" s="41"/>
    </row>
    <row r="709" spans="4:18">
      <c r="D709" s="188"/>
      <c r="F709" s="168" t="s">
        <v>6202</v>
      </c>
      <c r="G709" s="193">
        <f>IF(_1_54128456121462410464578910174[[#This Row],[Type]]&gt;0,VLOOKUP(_1_54128456121462410464578910174[[#This Row],[Type]],Main[[#All],[TYPE]:[UNIT]],'Unit Price'!C$1,FALSE),0)</f>
        <v>0</v>
      </c>
      <c r="H709" s="197">
        <f>IF(_1_54128456121462410464578910174[[#This Row],[Type]]&gt;0,VLOOKUP(_1_54128456121462410464578910174[[#This Row],[Type]],Main[[#All],[TYPE]:[UNIT]],'Unit Price'!D$1,FALSE),0)</f>
        <v>0</v>
      </c>
      <c r="I709" s="194">
        <f>IF(_1_54128456121462410464578910174[[#This Row],[Type]]&gt;0,VLOOKUP(_1_54128456121462410464578910174[[#This Row],[Type]],Main[[#All],[TYPE]:[UNIT]],'Unit Price'!G$1,FALSE),0)</f>
        <v>0</v>
      </c>
      <c r="J709" s="194">
        <f>IF(_1_54128456121462410464578910174[[#This Row],[Type]]&gt;0,VLOOKUP(_1_54128456121462410464578910174[[#This Row],[Type]],Main[[#All],[TYPE]:[UNIT]],'Unit Price'!H$1,FALSE),0)</f>
        <v>0</v>
      </c>
      <c r="K709" s="194">
        <f>IF(_1_54128456121462410464578910174[[#This Row],[Discount selection]]&gt;0,VLOOKUP(_1_54128456121462410464578910174[[#This Row],[Discount selection]],'Discount Structure'!$A$2:$B$30,2,"false"),0)</f>
        <v>1</v>
      </c>
      <c r="L709" s="194">
        <f>_1_54128456121462410464578910174[[#This Row],[LIST $]]*_1_54128456121462410464578910174[[#This Row],[DISCOUNT]]*_1_54128456121462410464578910174[[#This Row],[DISCOUNT 2]]</f>
        <v>0</v>
      </c>
      <c r="M709" s="194">
        <f>IF(OR(_1_54128456121462410464578910174[[#This Row],[UNIT]]&gt;0,_1_54128456121462410464578910174[[#This Row],[UNIT]]&lt;0),_1_54128456121462410464578910174[[#This Row],[UNIT]]*_1_54128456121462410464578910174[[#This Row],[COST]],0)</f>
        <v>0</v>
      </c>
      <c r="N709" s="194">
        <f t="shared" si="10"/>
        <v>1.5</v>
      </c>
      <c r="O709" s="198">
        <f>_1_54128456121462410464578910174[[#This Row],[TOTAL]]*_1_54128456121462410464578910174[[#This Row],[MARGIN]]</f>
        <v>0</v>
      </c>
      <c r="R709" s="41"/>
    </row>
    <row r="710" spans="4:18">
      <c r="D710" s="188"/>
      <c r="F710" s="168" t="s">
        <v>6202</v>
      </c>
      <c r="G710" s="193">
        <f>IF(_1_54128456121462410464578910174[[#This Row],[Type]]&gt;0,VLOOKUP(_1_54128456121462410464578910174[[#This Row],[Type]],Main[[#All],[TYPE]:[UNIT]],'Unit Price'!C$1,FALSE),0)</f>
        <v>0</v>
      </c>
      <c r="H710" s="197">
        <f>IF(_1_54128456121462410464578910174[[#This Row],[Type]]&gt;0,VLOOKUP(_1_54128456121462410464578910174[[#This Row],[Type]],Main[[#All],[TYPE]:[UNIT]],'Unit Price'!D$1,FALSE),0)</f>
        <v>0</v>
      </c>
      <c r="I710" s="194">
        <f>IF(_1_54128456121462410464578910174[[#This Row],[Type]]&gt;0,VLOOKUP(_1_54128456121462410464578910174[[#This Row],[Type]],Main[[#All],[TYPE]:[UNIT]],'Unit Price'!G$1,FALSE),0)</f>
        <v>0</v>
      </c>
      <c r="J710" s="194">
        <f>IF(_1_54128456121462410464578910174[[#This Row],[Type]]&gt;0,VLOOKUP(_1_54128456121462410464578910174[[#This Row],[Type]],Main[[#All],[TYPE]:[UNIT]],'Unit Price'!H$1,FALSE),0)</f>
        <v>0</v>
      </c>
      <c r="K710" s="194">
        <f>IF(_1_54128456121462410464578910174[[#This Row],[Discount selection]]&gt;0,VLOOKUP(_1_54128456121462410464578910174[[#This Row],[Discount selection]],'Discount Structure'!$A$2:$B$30,2,"false"),0)</f>
        <v>1</v>
      </c>
      <c r="L710" s="194">
        <f>_1_54128456121462410464578910174[[#This Row],[LIST $]]*_1_54128456121462410464578910174[[#This Row],[DISCOUNT]]*_1_54128456121462410464578910174[[#This Row],[DISCOUNT 2]]</f>
        <v>0</v>
      </c>
      <c r="M710" s="194">
        <f>IF(OR(_1_54128456121462410464578910174[[#This Row],[UNIT]]&gt;0,_1_54128456121462410464578910174[[#This Row],[UNIT]]&lt;0),_1_54128456121462410464578910174[[#This Row],[UNIT]]*_1_54128456121462410464578910174[[#This Row],[COST]],0)</f>
        <v>0</v>
      </c>
      <c r="N710" s="194">
        <f t="shared" si="10"/>
        <v>1.5</v>
      </c>
      <c r="O710" s="198">
        <f>_1_54128456121462410464578910174[[#This Row],[TOTAL]]*_1_54128456121462410464578910174[[#This Row],[MARGIN]]</f>
        <v>0</v>
      </c>
      <c r="R710" s="41"/>
    </row>
    <row r="711" spans="4:18">
      <c r="D711" s="188"/>
      <c r="F711" s="168" t="s">
        <v>6202</v>
      </c>
      <c r="G711" s="193">
        <f>IF(_1_54128456121462410464578910174[[#This Row],[Type]]&gt;0,VLOOKUP(_1_54128456121462410464578910174[[#This Row],[Type]],Main[[#All],[TYPE]:[UNIT]],'Unit Price'!C$1,FALSE),0)</f>
        <v>0</v>
      </c>
      <c r="H711" s="197">
        <f>IF(_1_54128456121462410464578910174[[#This Row],[Type]]&gt;0,VLOOKUP(_1_54128456121462410464578910174[[#This Row],[Type]],Main[[#All],[TYPE]:[UNIT]],'Unit Price'!D$1,FALSE),0)</f>
        <v>0</v>
      </c>
      <c r="I711" s="194">
        <f>IF(_1_54128456121462410464578910174[[#This Row],[Type]]&gt;0,VLOOKUP(_1_54128456121462410464578910174[[#This Row],[Type]],Main[[#All],[TYPE]:[UNIT]],'Unit Price'!G$1,FALSE),0)</f>
        <v>0</v>
      </c>
      <c r="J711" s="194">
        <f>IF(_1_54128456121462410464578910174[[#This Row],[Type]]&gt;0,VLOOKUP(_1_54128456121462410464578910174[[#This Row],[Type]],Main[[#All],[TYPE]:[UNIT]],'Unit Price'!H$1,FALSE),0)</f>
        <v>0</v>
      </c>
      <c r="K711" s="194">
        <f>IF(_1_54128456121462410464578910174[[#This Row],[Discount selection]]&gt;0,VLOOKUP(_1_54128456121462410464578910174[[#This Row],[Discount selection]],'Discount Structure'!$A$2:$B$30,2,"false"),0)</f>
        <v>1</v>
      </c>
      <c r="L711" s="194">
        <f>_1_54128456121462410464578910174[[#This Row],[LIST $]]*_1_54128456121462410464578910174[[#This Row],[DISCOUNT]]*_1_54128456121462410464578910174[[#This Row],[DISCOUNT 2]]</f>
        <v>0</v>
      </c>
      <c r="M711" s="194">
        <f>IF(OR(_1_54128456121462410464578910174[[#This Row],[UNIT]]&gt;0,_1_54128456121462410464578910174[[#This Row],[UNIT]]&lt;0),_1_54128456121462410464578910174[[#This Row],[UNIT]]*_1_54128456121462410464578910174[[#This Row],[COST]],0)</f>
        <v>0</v>
      </c>
      <c r="N711" s="194">
        <f t="shared" si="10"/>
        <v>1.5</v>
      </c>
      <c r="O711" s="198">
        <f>_1_54128456121462410464578910174[[#This Row],[TOTAL]]*_1_54128456121462410464578910174[[#This Row],[MARGIN]]</f>
        <v>0</v>
      </c>
      <c r="R711" s="41"/>
    </row>
    <row r="712" spans="4:18">
      <c r="D712" s="188"/>
      <c r="F712" s="168" t="s">
        <v>6202</v>
      </c>
      <c r="G712" s="193">
        <f>IF(_1_54128456121462410464578910174[[#This Row],[Type]]&gt;0,VLOOKUP(_1_54128456121462410464578910174[[#This Row],[Type]],Main[[#All],[TYPE]:[UNIT]],'Unit Price'!C$1,FALSE),0)</f>
        <v>0</v>
      </c>
      <c r="H712" s="197">
        <f>IF(_1_54128456121462410464578910174[[#This Row],[Type]]&gt;0,VLOOKUP(_1_54128456121462410464578910174[[#This Row],[Type]],Main[[#All],[TYPE]:[UNIT]],'Unit Price'!D$1,FALSE),0)</f>
        <v>0</v>
      </c>
      <c r="I712" s="194">
        <f>IF(_1_54128456121462410464578910174[[#This Row],[Type]]&gt;0,VLOOKUP(_1_54128456121462410464578910174[[#This Row],[Type]],Main[[#All],[TYPE]:[UNIT]],'Unit Price'!G$1,FALSE),0)</f>
        <v>0</v>
      </c>
      <c r="J712" s="194">
        <f>IF(_1_54128456121462410464578910174[[#This Row],[Type]]&gt;0,VLOOKUP(_1_54128456121462410464578910174[[#This Row],[Type]],Main[[#All],[TYPE]:[UNIT]],'Unit Price'!H$1,FALSE),0)</f>
        <v>0</v>
      </c>
      <c r="K712" s="194">
        <f>IF(_1_54128456121462410464578910174[[#This Row],[Discount selection]]&gt;0,VLOOKUP(_1_54128456121462410464578910174[[#This Row],[Discount selection]],'Discount Structure'!$A$2:$B$30,2,"false"),0)</f>
        <v>1</v>
      </c>
      <c r="L712" s="194">
        <f>_1_54128456121462410464578910174[[#This Row],[LIST $]]*_1_54128456121462410464578910174[[#This Row],[DISCOUNT]]*_1_54128456121462410464578910174[[#This Row],[DISCOUNT 2]]</f>
        <v>0</v>
      </c>
      <c r="M712" s="194">
        <f>IF(OR(_1_54128456121462410464578910174[[#This Row],[UNIT]]&gt;0,_1_54128456121462410464578910174[[#This Row],[UNIT]]&lt;0),_1_54128456121462410464578910174[[#This Row],[UNIT]]*_1_54128456121462410464578910174[[#This Row],[COST]],0)</f>
        <v>0</v>
      </c>
      <c r="N712" s="194">
        <f t="shared" si="10"/>
        <v>1.5</v>
      </c>
      <c r="O712" s="198">
        <f>_1_54128456121462410464578910174[[#This Row],[TOTAL]]*_1_54128456121462410464578910174[[#This Row],[MARGIN]]</f>
        <v>0</v>
      </c>
      <c r="R712" s="41"/>
    </row>
    <row r="713" spans="4:18">
      <c r="D713" s="188"/>
      <c r="F713" s="168" t="s">
        <v>6202</v>
      </c>
      <c r="G713" s="193">
        <f>IF(_1_54128456121462410464578910174[[#This Row],[Type]]&gt;0,VLOOKUP(_1_54128456121462410464578910174[[#This Row],[Type]],Main[[#All],[TYPE]:[UNIT]],'Unit Price'!C$1,FALSE),0)</f>
        <v>0</v>
      </c>
      <c r="H713" s="197">
        <f>IF(_1_54128456121462410464578910174[[#This Row],[Type]]&gt;0,VLOOKUP(_1_54128456121462410464578910174[[#This Row],[Type]],Main[[#All],[TYPE]:[UNIT]],'Unit Price'!D$1,FALSE),0)</f>
        <v>0</v>
      </c>
      <c r="I713" s="194">
        <f>IF(_1_54128456121462410464578910174[[#This Row],[Type]]&gt;0,VLOOKUP(_1_54128456121462410464578910174[[#This Row],[Type]],Main[[#All],[TYPE]:[UNIT]],'Unit Price'!G$1,FALSE),0)</f>
        <v>0</v>
      </c>
      <c r="J713" s="194">
        <f>IF(_1_54128456121462410464578910174[[#This Row],[Type]]&gt;0,VLOOKUP(_1_54128456121462410464578910174[[#This Row],[Type]],Main[[#All],[TYPE]:[UNIT]],'Unit Price'!H$1,FALSE),0)</f>
        <v>0</v>
      </c>
      <c r="K713" s="194">
        <f>IF(_1_54128456121462410464578910174[[#This Row],[Discount selection]]&gt;0,VLOOKUP(_1_54128456121462410464578910174[[#This Row],[Discount selection]],'Discount Structure'!$A$2:$B$30,2,"false"),0)</f>
        <v>1</v>
      </c>
      <c r="L713" s="194">
        <f>_1_54128456121462410464578910174[[#This Row],[LIST $]]*_1_54128456121462410464578910174[[#This Row],[DISCOUNT]]*_1_54128456121462410464578910174[[#This Row],[DISCOUNT 2]]</f>
        <v>0</v>
      </c>
      <c r="M713" s="194">
        <f>IF(OR(_1_54128456121462410464578910174[[#This Row],[UNIT]]&gt;0,_1_54128456121462410464578910174[[#This Row],[UNIT]]&lt;0),_1_54128456121462410464578910174[[#This Row],[UNIT]]*_1_54128456121462410464578910174[[#This Row],[COST]],0)</f>
        <v>0</v>
      </c>
      <c r="N713" s="194">
        <f t="shared" si="10"/>
        <v>1.5</v>
      </c>
      <c r="O713" s="198">
        <f>_1_54128456121462410464578910174[[#This Row],[TOTAL]]*_1_54128456121462410464578910174[[#This Row],[MARGIN]]</f>
        <v>0</v>
      </c>
      <c r="R713" s="41"/>
    </row>
    <row r="714" spans="4:18">
      <c r="D714" s="188"/>
      <c r="F714" s="168" t="s">
        <v>6202</v>
      </c>
      <c r="G714" s="193">
        <f>IF(_1_54128456121462410464578910174[[#This Row],[Type]]&gt;0,VLOOKUP(_1_54128456121462410464578910174[[#This Row],[Type]],Main[[#All],[TYPE]:[UNIT]],'Unit Price'!C$1,FALSE),0)</f>
        <v>0</v>
      </c>
      <c r="H714" s="197">
        <f>IF(_1_54128456121462410464578910174[[#This Row],[Type]]&gt;0,VLOOKUP(_1_54128456121462410464578910174[[#This Row],[Type]],Main[[#All],[TYPE]:[UNIT]],'Unit Price'!D$1,FALSE),0)</f>
        <v>0</v>
      </c>
      <c r="I714" s="194">
        <f>IF(_1_54128456121462410464578910174[[#This Row],[Type]]&gt;0,VLOOKUP(_1_54128456121462410464578910174[[#This Row],[Type]],Main[[#All],[TYPE]:[UNIT]],'Unit Price'!G$1,FALSE),0)</f>
        <v>0</v>
      </c>
      <c r="J714" s="194">
        <f>IF(_1_54128456121462410464578910174[[#This Row],[Type]]&gt;0,VLOOKUP(_1_54128456121462410464578910174[[#This Row],[Type]],Main[[#All],[TYPE]:[UNIT]],'Unit Price'!H$1,FALSE),0)</f>
        <v>0</v>
      </c>
      <c r="K714" s="194">
        <f>IF(_1_54128456121462410464578910174[[#This Row],[Discount selection]]&gt;0,VLOOKUP(_1_54128456121462410464578910174[[#This Row],[Discount selection]],'Discount Structure'!$A$2:$B$30,2,"false"),0)</f>
        <v>1</v>
      </c>
      <c r="L714" s="194">
        <f>_1_54128456121462410464578910174[[#This Row],[LIST $]]*_1_54128456121462410464578910174[[#This Row],[DISCOUNT]]*_1_54128456121462410464578910174[[#This Row],[DISCOUNT 2]]</f>
        <v>0</v>
      </c>
      <c r="M714" s="194">
        <f>IF(OR(_1_54128456121462410464578910174[[#This Row],[UNIT]]&gt;0,_1_54128456121462410464578910174[[#This Row],[UNIT]]&lt;0),_1_54128456121462410464578910174[[#This Row],[UNIT]]*_1_54128456121462410464578910174[[#This Row],[COST]],0)</f>
        <v>0</v>
      </c>
      <c r="N714" s="194">
        <f t="shared" ref="N714:N777" si="11">$N$7</f>
        <v>1.5</v>
      </c>
      <c r="O714" s="198">
        <f>_1_54128456121462410464578910174[[#This Row],[TOTAL]]*_1_54128456121462410464578910174[[#This Row],[MARGIN]]</f>
        <v>0</v>
      </c>
      <c r="R714" s="41"/>
    </row>
    <row r="715" spans="4:18">
      <c r="D715" s="188"/>
      <c r="F715" s="168" t="s">
        <v>6202</v>
      </c>
      <c r="G715" s="193">
        <f>IF(_1_54128456121462410464578910174[[#This Row],[Type]]&gt;0,VLOOKUP(_1_54128456121462410464578910174[[#This Row],[Type]],Main[[#All],[TYPE]:[UNIT]],'Unit Price'!C$1,FALSE),0)</f>
        <v>0</v>
      </c>
      <c r="H715" s="197">
        <f>IF(_1_54128456121462410464578910174[[#This Row],[Type]]&gt;0,VLOOKUP(_1_54128456121462410464578910174[[#This Row],[Type]],Main[[#All],[TYPE]:[UNIT]],'Unit Price'!D$1,FALSE),0)</f>
        <v>0</v>
      </c>
      <c r="I715" s="194">
        <f>IF(_1_54128456121462410464578910174[[#This Row],[Type]]&gt;0,VLOOKUP(_1_54128456121462410464578910174[[#This Row],[Type]],Main[[#All],[TYPE]:[UNIT]],'Unit Price'!G$1,FALSE),0)</f>
        <v>0</v>
      </c>
      <c r="J715" s="194">
        <f>IF(_1_54128456121462410464578910174[[#This Row],[Type]]&gt;0,VLOOKUP(_1_54128456121462410464578910174[[#This Row],[Type]],Main[[#All],[TYPE]:[UNIT]],'Unit Price'!H$1,FALSE),0)</f>
        <v>0</v>
      </c>
      <c r="K715" s="194">
        <f>IF(_1_54128456121462410464578910174[[#This Row],[Discount selection]]&gt;0,VLOOKUP(_1_54128456121462410464578910174[[#This Row],[Discount selection]],'Discount Structure'!$A$2:$B$30,2,"false"),0)</f>
        <v>1</v>
      </c>
      <c r="L715" s="194">
        <f>_1_54128456121462410464578910174[[#This Row],[LIST $]]*_1_54128456121462410464578910174[[#This Row],[DISCOUNT]]*_1_54128456121462410464578910174[[#This Row],[DISCOUNT 2]]</f>
        <v>0</v>
      </c>
      <c r="M715" s="194">
        <f>IF(OR(_1_54128456121462410464578910174[[#This Row],[UNIT]]&gt;0,_1_54128456121462410464578910174[[#This Row],[UNIT]]&lt;0),_1_54128456121462410464578910174[[#This Row],[UNIT]]*_1_54128456121462410464578910174[[#This Row],[COST]],0)</f>
        <v>0</v>
      </c>
      <c r="N715" s="194">
        <f t="shared" si="11"/>
        <v>1.5</v>
      </c>
      <c r="O715" s="198">
        <f>_1_54128456121462410464578910174[[#This Row],[TOTAL]]*_1_54128456121462410464578910174[[#This Row],[MARGIN]]</f>
        <v>0</v>
      </c>
      <c r="R715" s="41"/>
    </row>
    <row r="716" spans="4:18">
      <c r="D716" s="188"/>
      <c r="F716" s="168" t="s">
        <v>6202</v>
      </c>
      <c r="G716" s="193">
        <f>IF(_1_54128456121462410464578910174[[#This Row],[Type]]&gt;0,VLOOKUP(_1_54128456121462410464578910174[[#This Row],[Type]],Main[[#All],[TYPE]:[UNIT]],'Unit Price'!C$1,FALSE),0)</f>
        <v>0</v>
      </c>
      <c r="H716" s="197">
        <f>IF(_1_54128456121462410464578910174[[#This Row],[Type]]&gt;0,VLOOKUP(_1_54128456121462410464578910174[[#This Row],[Type]],Main[[#All],[TYPE]:[UNIT]],'Unit Price'!D$1,FALSE),0)</f>
        <v>0</v>
      </c>
      <c r="I716" s="194">
        <f>IF(_1_54128456121462410464578910174[[#This Row],[Type]]&gt;0,VLOOKUP(_1_54128456121462410464578910174[[#This Row],[Type]],Main[[#All],[TYPE]:[UNIT]],'Unit Price'!G$1,FALSE),0)</f>
        <v>0</v>
      </c>
      <c r="J716" s="194">
        <f>IF(_1_54128456121462410464578910174[[#This Row],[Type]]&gt;0,VLOOKUP(_1_54128456121462410464578910174[[#This Row],[Type]],Main[[#All],[TYPE]:[UNIT]],'Unit Price'!H$1,FALSE),0)</f>
        <v>0</v>
      </c>
      <c r="K716" s="194">
        <f>IF(_1_54128456121462410464578910174[[#This Row],[Discount selection]]&gt;0,VLOOKUP(_1_54128456121462410464578910174[[#This Row],[Discount selection]],'Discount Structure'!$A$2:$B$30,2,"false"),0)</f>
        <v>1</v>
      </c>
      <c r="L716" s="194">
        <f>_1_54128456121462410464578910174[[#This Row],[LIST $]]*_1_54128456121462410464578910174[[#This Row],[DISCOUNT]]*_1_54128456121462410464578910174[[#This Row],[DISCOUNT 2]]</f>
        <v>0</v>
      </c>
      <c r="M716" s="194">
        <f>IF(OR(_1_54128456121462410464578910174[[#This Row],[UNIT]]&gt;0,_1_54128456121462410464578910174[[#This Row],[UNIT]]&lt;0),_1_54128456121462410464578910174[[#This Row],[UNIT]]*_1_54128456121462410464578910174[[#This Row],[COST]],0)</f>
        <v>0</v>
      </c>
      <c r="N716" s="194">
        <f t="shared" si="11"/>
        <v>1.5</v>
      </c>
      <c r="O716" s="198">
        <f>_1_54128456121462410464578910174[[#This Row],[TOTAL]]*_1_54128456121462410464578910174[[#This Row],[MARGIN]]</f>
        <v>0</v>
      </c>
      <c r="R716" s="41"/>
    </row>
    <row r="717" spans="4:18">
      <c r="D717" s="188"/>
      <c r="F717" s="168" t="s">
        <v>6202</v>
      </c>
      <c r="G717" s="193">
        <f>IF(_1_54128456121462410464578910174[[#This Row],[Type]]&gt;0,VLOOKUP(_1_54128456121462410464578910174[[#This Row],[Type]],Main[[#All],[TYPE]:[UNIT]],'Unit Price'!C$1,FALSE),0)</f>
        <v>0</v>
      </c>
      <c r="H717" s="197">
        <f>IF(_1_54128456121462410464578910174[[#This Row],[Type]]&gt;0,VLOOKUP(_1_54128456121462410464578910174[[#This Row],[Type]],Main[[#All],[TYPE]:[UNIT]],'Unit Price'!D$1,FALSE),0)</f>
        <v>0</v>
      </c>
      <c r="I717" s="194">
        <f>IF(_1_54128456121462410464578910174[[#This Row],[Type]]&gt;0,VLOOKUP(_1_54128456121462410464578910174[[#This Row],[Type]],Main[[#All],[TYPE]:[UNIT]],'Unit Price'!G$1,FALSE),0)</f>
        <v>0</v>
      </c>
      <c r="J717" s="194">
        <f>IF(_1_54128456121462410464578910174[[#This Row],[Type]]&gt;0,VLOOKUP(_1_54128456121462410464578910174[[#This Row],[Type]],Main[[#All],[TYPE]:[UNIT]],'Unit Price'!H$1,FALSE),0)</f>
        <v>0</v>
      </c>
      <c r="K717" s="194">
        <f>IF(_1_54128456121462410464578910174[[#This Row],[Discount selection]]&gt;0,VLOOKUP(_1_54128456121462410464578910174[[#This Row],[Discount selection]],'Discount Structure'!$A$2:$B$30,2,"false"),0)</f>
        <v>1</v>
      </c>
      <c r="L717" s="194">
        <f>_1_54128456121462410464578910174[[#This Row],[LIST $]]*_1_54128456121462410464578910174[[#This Row],[DISCOUNT]]*_1_54128456121462410464578910174[[#This Row],[DISCOUNT 2]]</f>
        <v>0</v>
      </c>
      <c r="M717" s="194">
        <f>IF(OR(_1_54128456121462410464578910174[[#This Row],[UNIT]]&gt;0,_1_54128456121462410464578910174[[#This Row],[UNIT]]&lt;0),_1_54128456121462410464578910174[[#This Row],[UNIT]]*_1_54128456121462410464578910174[[#This Row],[COST]],0)</f>
        <v>0</v>
      </c>
      <c r="N717" s="194">
        <f t="shared" si="11"/>
        <v>1.5</v>
      </c>
      <c r="O717" s="198">
        <f>_1_54128456121462410464578910174[[#This Row],[TOTAL]]*_1_54128456121462410464578910174[[#This Row],[MARGIN]]</f>
        <v>0</v>
      </c>
      <c r="R717" s="41"/>
    </row>
    <row r="718" spans="4:18">
      <c r="D718" s="188"/>
      <c r="F718" s="168" t="s">
        <v>6202</v>
      </c>
      <c r="G718" s="193">
        <f>IF(_1_54128456121462410464578910174[[#This Row],[Type]]&gt;0,VLOOKUP(_1_54128456121462410464578910174[[#This Row],[Type]],Main[[#All],[TYPE]:[UNIT]],'Unit Price'!C$1,FALSE),0)</f>
        <v>0</v>
      </c>
      <c r="H718" s="197">
        <f>IF(_1_54128456121462410464578910174[[#This Row],[Type]]&gt;0,VLOOKUP(_1_54128456121462410464578910174[[#This Row],[Type]],Main[[#All],[TYPE]:[UNIT]],'Unit Price'!D$1,FALSE),0)</f>
        <v>0</v>
      </c>
      <c r="I718" s="194">
        <f>IF(_1_54128456121462410464578910174[[#This Row],[Type]]&gt;0,VLOOKUP(_1_54128456121462410464578910174[[#This Row],[Type]],Main[[#All],[TYPE]:[UNIT]],'Unit Price'!G$1,FALSE),0)</f>
        <v>0</v>
      </c>
      <c r="J718" s="194">
        <f>IF(_1_54128456121462410464578910174[[#This Row],[Type]]&gt;0,VLOOKUP(_1_54128456121462410464578910174[[#This Row],[Type]],Main[[#All],[TYPE]:[UNIT]],'Unit Price'!H$1,FALSE),0)</f>
        <v>0</v>
      </c>
      <c r="K718" s="194">
        <f>IF(_1_54128456121462410464578910174[[#This Row],[Discount selection]]&gt;0,VLOOKUP(_1_54128456121462410464578910174[[#This Row],[Discount selection]],'Discount Structure'!$A$2:$B$30,2,"false"),0)</f>
        <v>1</v>
      </c>
      <c r="L718" s="194">
        <f>_1_54128456121462410464578910174[[#This Row],[LIST $]]*_1_54128456121462410464578910174[[#This Row],[DISCOUNT]]*_1_54128456121462410464578910174[[#This Row],[DISCOUNT 2]]</f>
        <v>0</v>
      </c>
      <c r="M718" s="194">
        <f>IF(OR(_1_54128456121462410464578910174[[#This Row],[UNIT]]&gt;0,_1_54128456121462410464578910174[[#This Row],[UNIT]]&lt;0),_1_54128456121462410464578910174[[#This Row],[UNIT]]*_1_54128456121462410464578910174[[#This Row],[COST]],0)</f>
        <v>0</v>
      </c>
      <c r="N718" s="194">
        <f t="shared" si="11"/>
        <v>1.5</v>
      </c>
      <c r="O718" s="198">
        <f>_1_54128456121462410464578910174[[#This Row],[TOTAL]]*_1_54128456121462410464578910174[[#This Row],[MARGIN]]</f>
        <v>0</v>
      </c>
      <c r="R718" s="41"/>
    </row>
    <row r="719" spans="4:18">
      <c r="D719" s="188"/>
      <c r="F719" s="168" t="s">
        <v>6202</v>
      </c>
      <c r="G719" s="193">
        <f>IF(_1_54128456121462410464578910174[[#This Row],[Type]]&gt;0,VLOOKUP(_1_54128456121462410464578910174[[#This Row],[Type]],Main[[#All],[TYPE]:[UNIT]],'Unit Price'!C$1,FALSE),0)</f>
        <v>0</v>
      </c>
      <c r="H719" s="197">
        <f>IF(_1_54128456121462410464578910174[[#This Row],[Type]]&gt;0,VLOOKUP(_1_54128456121462410464578910174[[#This Row],[Type]],Main[[#All],[TYPE]:[UNIT]],'Unit Price'!D$1,FALSE),0)</f>
        <v>0</v>
      </c>
      <c r="I719" s="194">
        <f>IF(_1_54128456121462410464578910174[[#This Row],[Type]]&gt;0,VLOOKUP(_1_54128456121462410464578910174[[#This Row],[Type]],Main[[#All],[TYPE]:[UNIT]],'Unit Price'!G$1,FALSE),0)</f>
        <v>0</v>
      </c>
      <c r="J719" s="194">
        <f>IF(_1_54128456121462410464578910174[[#This Row],[Type]]&gt;0,VLOOKUP(_1_54128456121462410464578910174[[#This Row],[Type]],Main[[#All],[TYPE]:[UNIT]],'Unit Price'!H$1,FALSE),0)</f>
        <v>0</v>
      </c>
      <c r="K719" s="194">
        <f>IF(_1_54128456121462410464578910174[[#This Row],[Discount selection]]&gt;0,VLOOKUP(_1_54128456121462410464578910174[[#This Row],[Discount selection]],'Discount Structure'!$A$2:$B$30,2,"false"),0)</f>
        <v>1</v>
      </c>
      <c r="L719" s="194">
        <f>_1_54128456121462410464578910174[[#This Row],[LIST $]]*_1_54128456121462410464578910174[[#This Row],[DISCOUNT]]*_1_54128456121462410464578910174[[#This Row],[DISCOUNT 2]]</f>
        <v>0</v>
      </c>
      <c r="M719" s="194">
        <f>IF(OR(_1_54128456121462410464578910174[[#This Row],[UNIT]]&gt;0,_1_54128456121462410464578910174[[#This Row],[UNIT]]&lt;0),_1_54128456121462410464578910174[[#This Row],[UNIT]]*_1_54128456121462410464578910174[[#This Row],[COST]],0)</f>
        <v>0</v>
      </c>
      <c r="N719" s="194">
        <f t="shared" si="11"/>
        <v>1.5</v>
      </c>
      <c r="O719" s="198">
        <f>_1_54128456121462410464578910174[[#This Row],[TOTAL]]*_1_54128456121462410464578910174[[#This Row],[MARGIN]]</f>
        <v>0</v>
      </c>
      <c r="R719" s="41"/>
    </row>
    <row r="720" spans="4:18">
      <c r="D720" s="188"/>
      <c r="F720" s="168" t="s">
        <v>6202</v>
      </c>
      <c r="G720" s="193">
        <f>IF(_1_54128456121462410464578910174[[#This Row],[Type]]&gt;0,VLOOKUP(_1_54128456121462410464578910174[[#This Row],[Type]],Main[[#All],[TYPE]:[UNIT]],'Unit Price'!C$1,FALSE),0)</f>
        <v>0</v>
      </c>
      <c r="H720" s="197">
        <f>IF(_1_54128456121462410464578910174[[#This Row],[Type]]&gt;0,VLOOKUP(_1_54128456121462410464578910174[[#This Row],[Type]],Main[[#All],[TYPE]:[UNIT]],'Unit Price'!D$1,FALSE),0)</f>
        <v>0</v>
      </c>
      <c r="I720" s="194">
        <f>IF(_1_54128456121462410464578910174[[#This Row],[Type]]&gt;0,VLOOKUP(_1_54128456121462410464578910174[[#This Row],[Type]],Main[[#All],[TYPE]:[UNIT]],'Unit Price'!G$1,FALSE),0)</f>
        <v>0</v>
      </c>
      <c r="J720" s="194">
        <f>IF(_1_54128456121462410464578910174[[#This Row],[Type]]&gt;0,VLOOKUP(_1_54128456121462410464578910174[[#This Row],[Type]],Main[[#All],[TYPE]:[UNIT]],'Unit Price'!H$1,FALSE),0)</f>
        <v>0</v>
      </c>
      <c r="K720" s="194">
        <f>IF(_1_54128456121462410464578910174[[#This Row],[Discount selection]]&gt;0,VLOOKUP(_1_54128456121462410464578910174[[#This Row],[Discount selection]],'Discount Structure'!$A$2:$B$30,2,"false"),0)</f>
        <v>1</v>
      </c>
      <c r="L720" s="194">
        <f>_1_54128456121462410464578910174[[#This Row],[LIST $]]*_1_54128456121462410464578910174[[#This Row],[DISCOUNT]]*_1_54128456121462410464578910174[[#This Row],[DISCOUNT 2]]</f>
        <v>0</v>
      </c>
      <c r="M720" s="194">
        <f>IF(OR(_1_54128456121462410464578910174[[#This Row],[UNIT]]&gt;0,_1_54128456121462410464578910174[[#This Row],[UNIT]]&lt;0),_1_54128456121462410464578910174[[#This Row],[UNIT]]*_1_54128456121462410464578910174[[#This Row],[COST]],0)</f>
        <v>0</v>
      </c>
      <c r="N720" s="194">
        <f t="shared" si="11"/>
        <v>1.5</v>
      </c>
      <c r="O720" s="198">
        <f>_1_54128456121462410464578910174[[#This Row],[TOTAL]]*_1_54128456121462410464578910174[[#This Row],[MARGIN]]</f>
        <v>0</v>
      </c>
      <c r="R720" s="41"/>
    </row>
    <row r="721" spans="4:18">
      <c r="D721" s="188"/>
      <c r="F721" s="168" t="s">
        <v>6202</v>
      </c>
      <c r="G721" s="193">
        <f>IF(_1_54128456121462410464578910174[[#This Row],[Type]]&gt;0,VLOOKUP(_1_54128456121462410464578910174[[#This Row],[Type]],Main[[#All],[TYPE]:[UNIT]],'Unit Price'!C$1,FALSE),0)</f>
        <v>0</v>
      </c>
      <c r="H721" s="197">
        <f>IF(_1_54128456121462410464578910174[[#This Row],[Type]]&gt;0,VLOOKUP(_1_54128456121462410464578910174[[#This Row],[Type]],Main[[#All],[TYPE]:[UNIT]],'Unit Price'!D$1,FALSE),0)</f>
        <v>0</v>
      </c>
      <c r="I721" s="194">
        <f>IF(_1_54128456121462410464578910174[[#This Row],[Type]]&gt;0,VLOOKUP(_1_54128456121462410464578910174[[#This Row],[Type]],Main[[#All],[TYPE]:[UNIT]],'Unit Price'!G$1,FALSE),0)</f>
        <v>0</v>
      </c>
      <c r="J721" s="194">
        <f>IF(_1_54128456121462410464578910174[[#This Row],[Type]]&gt;0,VLOOKUP(_1_54128456121462410464578910174[[#This Row],[Type]],Main[[#All],[TYPE]:[UNIT]],'Unit Price'!H$1,FALSE),0)</f>
        <v>0</v>
      </c>
      <c r="K721" s="194">
        <f>IF(_1_54128456121462410464578910174[[#This Row],[Discount selection]]&gt;0,VLOOKUP(_1_54128456121462410464578910174[[#This Row],[Discount selection]],'Discount Structure'!$A$2:$B$30,2,"false"),0)</f>
        <v>1</v>
      </c>
      <c r="L721" s="194">
        <f>_1_54128456121462410464578910174[[#This Row],[LIST $]]*_1_54128456121462410464578910174[[#This Row],[DISCOUNT]]*_1_54128456121462410464578910174[[#This Row],[DISCOUNT 2]]</f>
        <v>0</v>
      </c>
      <c r="M721" s="194">
        <f>IF(OR(_1_54128456121462410464578910174[[#This Row],[UNIT]]&gt;0,_1_54128456121462410464578910174[[#This Row],[UNIT]]&lt;0),_1_54128456121462410464578910174[[#This Row],[UNIT]]*_1_54128456121462410464578910174[[#This Row],[COST]],0)</f>
        <v>0</v>
      </c>
      <c r="N721" s="194">
        <f t="shared" si="11"/>
        <v>1.5</v>
      </c>
      <c r="O721" s="198">
        <f>_1_54128456121462410464578910174[[#This Row],[TOTAL]]*_1_54128456121462410464578910174[[#This Row],[MARGIN]]</f>
        <v>0</v>
      </c>
      <c r="R721" s="41"/>
    </row>
    <row r="722" spans="4:18">
      <c r="D722" s="188"/>
      <c r="F722" s="168" t="s">
        <v>6202</v>
      </c>
      <c r="G722" s="193">
        <f>IF(_1_54128456121462410464578910174[[#This Row],[Type]]&gt;0,VLOOKUP(_1_54128456121462410464578910174[[#This Row],[Type]],Main[[#All],[TYPE]:[UNIT]],'Unit Price'!C$1,FALSE),0)</f>
        <v>0</v>
      </c>
      <c r="H722" s="197">
        <f>IF(_1_54128456121462410464578910174[[#This Row],[Type]]&gt;0,VLOOKUP(_1_54128456121462410464578910174[[#This Row],[Type]],Main[[#All],[TYPE]:[UNIT]],'Unit Price'!D$1,FALSE),0)</f>
        <v>0</v>
      </c>
      <c r="I722" s="194">
        <f>IF(_1_54128456121462410464578910174[[#This Row],[Type]]&gt;0,VLOOKUP(_1_54128456121462410464578910174[[#This Row],[Type]],Main[[#All],[TYPE]:[UNIT]],'Unit Price'!G$1,FALSE),0)</f>
        <v>0</v>
      </c>
      <c r="J722" s="194">
        <f>IF(_1_54128456121462410464578910174[[#This Row],[Type]]&gt;0,VLOOKUP(_1_54128456121462410464578910174[[#This Row],[Type]],Main[[#All],[TYPE]:[UNIT]],'Unit Price'!H$1,FALSE),0)</f>
        <v>0</v>
      </c>
      <c r="K722" s="194">
        <f>IF(_1_54128456121462410464578910174[[#This Row],[Discount selection]]&gt;0,VLOOKUP(_1_54128456121462410464578910174[[#This Row],[Discount selection]],'Discount Structure'!$A$2:$B$30,2,"false"),0)</f>
        <v>1</v>
      </c>
      <c r="L722" s="194">
        <f>_1_54128456121462410464578910174[[#This Row],[LIST $]]*_1_54128456121462410464578910174[[#This Row],[DISCOUNT]]*_1_54128456121462410464578910174[[#This Row],[DISCOUNT 2]]</f>
        <v>0</v>
      </c>
      <c r="M722" s="194">
        <f>IF(OR(_1_54128456121462410464578910174[[#This Row],[UNIT]]&gt;0,_1_54128456121462410464578910174[[#This Row],[UNIT]]&lt;0),_1_54128456121462410464578910174[[#This Row],[UNIT]]*_1_54128456121462410464578910174[[#This Row],[COST]],0)</f>
        <v>0</v>
      </c>
      <c r="N722" s="194">
        <f t="shared" si="11"/>
        <v>1.5</v>
      </c>
      <c r="O722" s="198">
        <f>_1_54128456121462410464578910174[[#This Row],[TOTAL]]*_1_54128456121462410464578910174[[#This Row],[MARGIN]]</f>
        <v>0</v>
      </c>
      <c r="R722" s="41"/>
    </row>
    <row r="723" spans="4:18">
      <c r="D723" s="188"/>
      <c r="F723" s="168" t="s">
        <v>6202</v>
      </c>
      <c r="G723" s="193">
        <f>IF(_1_54128456121462410464578910174[[#This Row],[Type]]&gt;0,VLOOKUP(_1_54128456121462410464578910174[[#This Row],[Type]],Main[[#All],[TYPE]:[UNIT]],'Unit Price'!C$1,FALSE),0)</f>
        <v>0</v>
      </c>
      <c r="H723" s="197">
        <f>IF(_1_54128456121462410464578910174[[#This Row],[Type]]&gt;0,VLOOKUP(_1_54128456121462410464578910174[[#This Row],[Type]],Main[[#All],[TYPE]:[UNIT]],'Unit Price'!D$1,FALSE),0)</f>
        <v>0</v>
      </c>
      <c r="I723" s="194">
        <f>IF(_1_54128456121462410464578910174[[#This Row],[Type]]&gt;0,VLOOKUP(_1_54128456121462410464578910174[[#This Row],[Type]],Main[[#All],[TYPE]:[UNIT]],'Unit Price'!G$1,FALSE),0)</f>
        <v>0</v>
      </c>
      <c r="J723" s="194">
        <f>IF(_1_54128456121462410464578910174[[#This Row],[Type]]&gt;0,VLOOKUP(_1_54128456121462410464578910174[[#This Row],[Type]],Main[[#All],[TYPE]:[UNIT]],'Unit Price'!H$1,FALSE),0)</f>
        <v>0</v>
      </c>
      <c r="K723" s="194">
        <f>IF(_1_54128456121462410464578910174[[#This Row],[Discount selection]]&gt;0,VLOOKUP(_1_54128456121462410464578910174[[#This Row],[Discount selection]],'Discount Structure'!$A$2:$B$30,2,"false"),0)</f>
        <v>1</v>
      </c>
      <c r="L723" s="194">
        <f>_1_54128456121462410464578910174[[#This Row],[LIST $]]*_1_54128456121462410464578910174[[#This Row],[DISCOUNT]]*_1_54128456121462410464578910174[[#This Row],[DISCOUNT 2]]</f>
        <v>0</v>
      </c>
      <c r="M723" s="194">
        <f>IF(OR(_1_54128456121462410464578910174[[#This Row],[UNIT]]&gt;0,_1_54128456121462410464578910174[[#This Row],[UNIT]]&lt;0),_1_54128456121462410464578910174[[#This Row],[UNIT]]*_1_54128456121462410464578910174[[#This Row],[COST]],0)</f>
        <v>0</v>
      </c>
      <c r="N723" s="194">
        <f t="shared" si="11"/>
        <v>1.5</v>
      </c>
      <c r="O723" s="198">
        <f>_1_54128456121462410464578910174[[#This Row],[TOTAL]]*_1_54128456121462410464578910174[[#This Row],[MARGIN]]</f>
        <v>0</v>
      </c>
      <c r="R723" s="41"/>
    </row>
    <row r="724" spans="4:18">
      <c r="D724" s="188"/>
      <c r="F724" s="168" t="s">
        <v>6202</v>
      </c>
      <c r="G724" s="193">
        <f>IF(_1_54128456121462410464578910174[[#This Row],[Type]]&gt;0,VLOOKUP(_1_54128456121462410464578910174[[#This Row],[Type]],Main[[#All],[TYPE]:[UNIT]],'Unit Price'!C$1,FALSE),0)</f>
        <v>0</v>
      </c>
      <c r="H724" s="197">
        <f>IF(_1_54128456121462410464578910174[[#This Row],[Type]]&gt;0,VLOOKUP(_1_54128456121462410464578910174[[#This Row],[Type]],Main[[#All],[TYPE]:[UNIT]],'Unit Price'!D$1,FALSE),0)</f>
        <v>0</v>
      </c>
      <c r="I724" s="194">
        <f>IF(_1_54128456121462410464578910174[[#This Row],[Type]]&gt;0,VLOOKUP(_1_54128456121462410464578910174[[#This Row],[Type]],Main[[#All],[TYPE]:[UNIT]],'Unit Price'!G$1,FALSE),0)</f>
        <v>0</v>
      </c>
      <c r="J724" s="194">
        <f>IF(_1_54128456121462410464578910174[[#This Row],[Type]]&gt;0,VLOOKUP(_1_54128456121462410464578910174[[#This Row],[Type]],Main[[#All],[TYPE]:[UNIT]],'Unit Price'!H$1,FALSE),0)</f>
        <v>0</v>
      </c>
      <c r="K724" s="194">
        <f>IF(_1_54128456121462410464578910174[[#This Row],[Discount selection]]&gt;0,VLOOKUP(_1_54128456121462410464578910174[[#This Row],[Discount selection]],'Discount Structure'!$A$2:$B$30,2,"false"),0)</f>
        <v>1</v>
      </c>
      <c r="L724" s="194">
        <f>_1_54128456121462410464578910174[[#This Row],[LIST $]]*_1_54128456121462410464578910174[[#This Row],[DISCOUNT]]*_1_54128456121462410464578910174[[#This Row],[DISCOUNT 2]]</f>
        <v>0</v>
      </c>
      <c r="M724" s="194">
        <f>IF(OR(_1_54128456121462410464578910174[[#This Row],[UNIT]]&gt;0,_1_54128456121462410464578910174[[#This Row],[UNIT]]&lt;0),_1_54128456121462410464578910174[[#This Row],[UNIT]]*_1_54128456121462410464578910174[[#This Row],[COST]],0)</f>
        <v>0</v>
      </c>
      <c r="N724" s="194">
        <f t="shared" si="11"/>
        <v>1.5</v>
      </c>
      <c r="O724" s="198">
        <f>_1_54128456121462410464578910174[[#This Row],[TOTAL]]*_1_54128456121462410464578910174[[#This Row],[MARGIN]]</f>
        <v>0</v>
      </c>
      <c r="R724" s="41"/>
    </row>
    <row r="725" spans="4:18">
      <c r="D725" s="188"/>
      <c r="F725" s="168" t="s">
        <v>6202</v>
      </c>
      <c r="G725" s="193">
        <f>IF(_1_54128456121462410464578910174[[#This Row],[Type]]&gt;0,VLOOKUP(_1_54128456121462410464578910174[[#This Row],[Type]],Main[[#All],[TYPE]:[UNIT]],'Unit Price'!C$1,FALSE),0)</f>
        <v>0</v>
      </c>
      <c r="H725" s="197">
        <f>IF(_1_54128456121462410464578910174[[#This Row],[Type]]&gt;0,VLOOKUP(_1_54128456121462410464578910174[[#This Row],[Type]],Main[[#All],[TYPE]:[UNIT]],'Unit Price'!D$1,FALSE),0)</f>
        <v>0</v>
      </c>
      <c r="I725" s="194">
        <f>IF(_1_54128456121462410464578910174[[#This Row],[Type]]&gt;0,VLOOKUP(_1_54128456121462410464578910174[[#This Row],[Type]],Main[[#All],[TYPE]:[UNIT]],'Unit Price'!G$1,FALSE),0)</f>
        <v>0</v>
      </c>
      <c r="J725" s="194">
        <f>IF(_1_54128456121462410464578910174[[#This Row],[Type]]&gt;0,VLOOKUP(_1_54128456121462410464578910174[[#This Row],[Type]],Main[[#All],[TYPE]:[UNIT]],'Unit Price'!H$1,FALSE),0)</f>
        <v>0</v>
      </c>
      <c r="K725" s="194">
        <f>IF(_1_54128456121462410464578910174[[#This Row],[Discount selection]]&gt;0,VLOOKUP(_1_54128456121462410464578910174[[#This Row],[Discount selection]],'Discount Structure'!$A$2:$B$30,2,"false"),0)</f>
        <v>1</v>
      </c>
      <c r="L725" s="194">
        <f>_1_54128456121462410464578910174[[#This Row],[LIST $]]*_1_54128456121462410464578910174[[#This Row],[DISCOUNT]]*_1_54128456121462410464578910174[[#This Row],[DISCOUNT 2]]</f>
        <v>0</v>
      </c>
      <c r="M725" s="194">
        <f>IF(OR(_1_54128456121462410464578910174[[#This Row],[UNIT]]&gt;0,_1_54128456121462410464578910174[[#This Row],[UNIT]]&lt;0),_1_54128456121462410464578910174[[#This Row],[UNIT]]*_1_54128456121462410464578910174[[#This Row],[COST]],0)</f>
        <v>0</v>
      </c>
      <c r="N725" s="194">
        <f t="shared" si="11"/>
        <v>1.5</v>
      </c>
      <c r="O725" s="198">
        <f>_1_54128456121462410464578910174[[#This Row],[TOTAL]]*_1_54128456121462410464578910174[[#This Row],[MARGIN]]</f>
        <v>0</v>
      </c>
      <c r="R725" s="41"/>
    </row>
    <row r="726" spans="4:18">
      <c r="D726" s="188"/>
      <c r="F726" s="168" t="s">
        <v>6202</v>
      </c>
      <c r="G726" s="193">
        <f>IF(_1_54128456121462410464578910174[[#This Row],[Type]]&gt;0,VLOOKUP(_1_54128456121462410464578910174[[#This Row],[Type]],Main[[#All],[TYPE]:[UNIT]],'Unit Price'!C$1,FALSE),0)</f>
        <v>0</v>
      </c>
      <c r="H726" s="197">
        <f>IF(_1_54128456121462410464578910174[[#This Row],[Type]]&gt;0,VLOOKUP(_1_54128456121462410464578910174[[#This Row],[Type]],Main[[#All],[TYPE]:[UNIT]],'Unit Price'!D$1,FALSE),0)</f>
        <v>0</v>
      </c>
      <c r="I726" s="194">
        <f>IF(_1_54128456121462410464578910174[[#This Row],[Type]]&gt;0,VLOOKUP(_1_54128456121462410464578910174[[#This Row],[Type]],Main[[#All],[TYPE]:[UNIT]],'Unit Price'!G$1,FALSE),0)</f>
        <v>0</v>
      </c>
      <c r="J726" s="194">
        <f>IF(_1_54128456121462410464578910174[[#This Row],[Type]]&gt;0,VLOOKUP(_1_54128456121462410464578910174[[#This Row],[Type]],Main[[#All],[TYPE]:[UNIT]],'Unit Price'!H$1,FALSE),0)</f>
        <v>0</v>
      </c>
      <c r="K726" s="194">
        <f>IF(_1_54128456121462410464578910174[[#This Row],[Discount selection]]&gt;0,VLOOKUP(_1_54128456121462410464578910174[[#This Row],[Discount selection]],'Discount Structure'!$A$2:$B$30,2,"false"),0)</f>
        <v>1</v>
      </c>
      <c r="L726" s="194">
        <f>_1_54128456121462410464578910174[[#This Row],[LIST $]]*_1_54128456121462410464578910174[[#This Row],[DISCOUNT]]*_1_54128456121462410464578910174[[#This Row],[DISCOUNT 2]]</f>
        <v>0</v>
      </c>
      <c r="M726" s="194">
        <f>IF(OR(_1_54128456121462410464578910174[[#This Row],[UNIT]]&gt;0,_1_54128456121462410464578910174[[#This Row],[UNIT]]&lt;0),_1_54128456121462410464578910174[[#This Row],[UNIT]]*_1_54128456121462410464578910174[[#This Row],[COST]],0)</f>
        <v>0</v>
      </c>
      <c r="N726" s="194">
        <f t="shared" si="11"/>
        <v>1.5</v>
      </c>
      <c r="O726" s="198">
        <f>_1_54128456121462410464578910174[[#This Row],[TOTAL]]*_1_54128456121462410464578910174[[#This Row],[MARGIN]]</f>
        <v>0</v>
      </c>
      <c r="R726" s="41"/>
    </row>
    <row r="727" spans="4:18">
      <c r="D727" s="188"/>
      <c r="F727" s="168" t="s">
        <v>6202</v>
      </c>
      <c r="G727" s="193">
        <f>IF(_1_54128456121462410464578910174[[#This Row],[Type]]&gt;0,VLOOKUP(_1_54128456121462410464578910174[[#This Row],[Type]],Main[[#All],[TYPE]:[UNIT]],'Unit Price'!C$1,FALSE),0)</f>
        <v>0</v>
      </c>
      <c r="H727" s="197">
        <f>IF(_1_54128456121462410464578910174[[#This Row],[Type]]&gt;0,VLOOKUP(_1_54128456121462410464578910174[[#This Row],[Type]],Main[[#All],[TYPE]:[UNIT]],'Unit Price'!D$1,FALSE),0)</f>
        <v>0</v>
      </c>
      <c r="I727" s="194">
        <f>IF(_1_54128456121462410464578910174[[#This Row],[Type]]&gt;0,VLOOKUP(_1_54128456121462410464578910174[[#This Row],[Type]],Main[[#All],[TYPE]:[UNIT]],'Unit Price'!G$1,FALSE),0)</f>
        <v>0</v>
      </c>
      <c r="J727" s="194">
        <f>IF(_1_54128456121462410464578910174[[#This Row],[Type]]&gt;0,VLOOKUP(_1_54128456121462410464578910174[[#This Row],[Type]],Main[[#All],[TYPE]:[UNIT]],'Unit Price'!H$1,FALSE),0)</f>
        <v>0</v>
      </c>
      <c r="K727" s="194">
        <f>IF(_1_54128456121462410464578910174[[#This Row],[Discount selection]]&gt;0,VLOOKUP(_1_54128456121462410464578910174[[#This Row],[Discount selection]],'Discount Structure'!$A$2:$B$30,2,"false"),0)</f>
        <v>1</v>
      </c>
      <c r="L727" s="194">
        <f>_1_54128456121462410464578910174[[#This Row],[LIST $]]*_1_54128456121462410464578910174[[#This Row],[DISCOUNT]]*_1_54128456121462410464578910174[[#This Row],[DISCOUNT 2]]</f>
        <v>0</v>
      </c>
      <c r="M727" s="194">
        <f>IF(OR(_1_54128456121462410464578910174[[#This Row],[UNIT]]&gt;0,_1_54128456121462410464578910174[[#This Row],[UNIT]]&lt;0),_1_54128456121462410464578910174[[#This Row],[UNIT]]*_1_54128456121462410464578910174[[#This Row],[COST]],0)</f>
        <v>0</v>
      </c>
      <c r="N727" s="194">
        <f t="shared" si="11"/>
        <v>1.5</v>
      </c>
      <c r="O727" s="198">
        <f>_1_54128456121462410464578910174[[#This Row],[TOTAL]]*_1_54128456121462410464578910174[[#This Row],[MARGIN]]</f>
        <v>0</v>
      </c>
      <c r="R727" s="41"/>
    </row>
    <row r="728" spans="4:18">
      <c r="D728" s="188"/>
      <c r="F728" s="168" t="s">
        <v>6202</v>
      </c>
      <c r="G728" s="193">
        <f>IF(_1_54128456121462410464578910174[[#This Row],[Type]]&gt;0,VLOOKUP(_1_54128456121462410464578910174[[#This Row],[Type]],Main[[#All],[TYPE]:[UNIT]],'Unit Price'!C$1,FALSE),0)</f>
        <v>0</v>
      </c>
      <c r="H728" s="197">
        <f>IF(_1_54128456121462410464578910174[[#This Row],[Type]]&gt;0,VLOOKUP(_1_54128456121462410464578910174[[#This Row],[Type]],Main[[#All],[TYPE]:[UNIT]],'Unit Price'!D$1,FALSE),0)</f>
        <v>0</v>
      </c>
      <c r="I728" s="194">
        <f>IF(_1_54128456121462410464578910174[[#This Row],[Type]]&gt;0,VLOOKUP(_1_54128456121462410464578910174[[#This Row],[Type]],Main[[#All],[TYPE]:[UNIT]],'Unit Price'!G$1,FALSE),0)</f>
        <v>0</v>
      </c>
      <c r="J728" s="194">
        <f>IF(_1_54128456121462410464578910174[[#This Row],[Type]]&gt;0,VLOOKUP(_1_54128456121462410464578910174[[#This Row],[Type]],Main[[#All],[TYPE]:[UNIT]],'Unit Price'!H$1,FALSE),0)</f>
        <v>0</v>
      </c>
      <c r="K728" s="194">
        <f>IF(_1_54128456121462410464578910174[[#This Row],[Discount selection]]&gt;0,VLOOKUP(_1_54128456121462410464578910174[[#This Row],[Discount selection]],'Discount Structure'!$A$2:$B$30,2,"false"),0)</f>
        <v>1</v>
      </c>
      <c r="L728" s="194">
        <f>_1_54128456121462410464578910174[[#This Row],[LIST $]]*_1_54128456121462410464578910174[[#This Row],[DISCOUNT]]*_1_54128456121462410464578910174[[#This Row],[DISCOUNT 2]]</f>
        <v>0</v>
      </c>
      <c r="M728" s="194">
        <f>IF(OR(_1_54128456121462410464578910174[[#This Row],[UNIT]]&gt;0,_1_54128456121462410464578910174[[#This Row],[UNIT]]&lt;0),_1_54128456121462410464578910174[[#This Row],[UNIT]]*_1_54128456121462410464578910174[[#This Row],[COST]],0)</f>
        <v>0</v>
      </c>
      <c r="N728" s="194">
        <f t="shared" si="11"/>
        <v>1.5</v>
      </c>
      <c r="O728" s="198">
        <f>_1_54128456121462410464578910174[[#This Row],[TOTAL]]*_1_54128456121462410464578910174[[#This Row],[MARGIN]]</f>
        <v>0</v>
      </c>
      <c r="R728" s="41"/>
    </row>
    <row r="729" spans="4:18">
      <c r="D729" s="188"/>
      <c r="F729" s="168" t="s">
        <v>6202</v>
      </c>
      <c r="G729" s="193">
        <f>IF(_1_54128456121462410464578910174[[#This Row],[Type]]&gt;0,VLOOKUP(_1_54128456121462410464578910174[[#This Row],[Type]],Main[[#All],[TYPE]:[UNIT]],'Unit Price'!C$1,FALSE),0)</f>
        <v>0</v>
      </c>
      <c r="H729" s="197">
        <f>IF(_1_54128456121462410464578910174[[#This Row],[Type]]&gt;0,VLOOKUP(_1_54128456121462410464578910174[[#This Row],[Type]],Main[[#All],[TYPE]:[UNIT]],'Unit Price'!D$1,FALSE),0)</f>
        <v>0</v>
      </c>
      <c r="I729" s="194">
        <f>IF(_1_54128456121462410464578910174[[#This Row],[Type]]&gt;0,VLOOKUP(_1_54128456121462410464578910174[[#This Row],[Type]],Main[[#All],[TYPE]:[UNIT]],'Unit Price'!G$1,FALSE),0)</f>
        <v>0</v>
      </c>
      <c r="J729" s="194">
        <f>IF(_1_54128456121462410464578910174[[#This Row],[Type]]&gt;0,VLOOKUP(_1_54128456121462410464578910174[[#This Row],[Type]],Main[[#All],[TYPE]:[UNIT]],'Unit Price'!H$1,FALSE),0)</f>
        <v>0</v>
      </c>
      <c r="K729" s="194">
        <f>IF(_1_54128456121462410464578910174[[#This Row],[Discount selection]]&gt;0,VLOOKUP(_1_54128456121462410464578910174[[#This Row],[Discount selection]],'Discount Structure'!$A$2:$B$30,2,"false"),0)</f>
        <v>1</v>
      </c>
      <c r="L729" s="194">
        <f>_1_54128456121462410464578910174[[#This Row],[LIST $]]*_1_54128456121462410464578910174[[#This Row],[DISCOUNT]]*_1_54128456121462410464578910174[[#This Row],[DISCOUNT 2]]</f>
        <v>0</v>
      </c>
      <c r="M729" s="194">
        <f>IF(OR(_1_54128456121462410464578910174[[#This Row],[UNIT]]&gt;0,_1_54128456121462410464578910174[[#This Row],[UNIT]]&lt;0),_1_54128456121462410464578910174[[#This Row],[UNIT]]*_1_54128456121462410464578910174[[#This Row],[COST]],0)</f>
        <v>0</v>
      </c>
      <c r="N729" s="194">
        <f t="shared" si="11"/>
        <v>1.5</v>
      </c>
      <c r="O729" s="198">
        <f>_1_54128456121462410464578910174[[#This Row],[TOTAL]]*_1_54128456121462410464578910174[[#This Row],[MARGIN]]</f>
        <v>0</v>
      </c>
      <c r="R729" s="41"/>
    </row>
    <row r="730" spans="4:18">
      <c r="D730" s="188"/>
      <c r="F730" s="168" t="s">
        <v>6202</v>
      </c>
      <c r="G730" s="193">
        <f>IF(_1_54128456121462410464578910174[[#This Row],[Type]]&gt;0,VLOOKUP(_1_54128456121462410464578910174[[#This Row],[Type]],Main[[#All],[TYPE]:[UNIT]],'Unit Price'!C$1,FALSE),0)</f>
        <v>0</v>
      </c>
      <c r="H730" s="197">
        <f>IF(_1_54128456121462410464578910174[[#This Row],[Type]]&gt;0,VLOOKUP(_1_54128456121462410464578910174[[#This Row],[Type]],Main[[#All],[TYPE]:[UNIT]],'Unit Price'!D$1,FALSE),0)</f>
        <v>0</v>
      </c>
      <c r="I730" s="194">
        <f>IF(_1_54128456121462410464578910174[[#This Row],[Type]]&gt;0,VLOOKUP(_1_54128456121462410464578910174[[#This Row],[Type]],Main[[#All],[TYPE]:[UNIT]],'Unit Price'!G$1,FALSE),0)</f>
        <v>0</v>
      </c>
      <c r="J730" s="194">
        <f>IF(_1_54128456121462410464578910174[[#This Row],[Type]]&gt;0,VLOOKUP(_1_54128456121462410464578910174[[#This Row],[Type]],Main[[#All],[TYPE]:[UNIT]],'Unit Price'!H$1,FALSE),0)</f>
        <v>0</v>
      </c>
      <c r="K730" s="194">
        <f>IF(_1_54128456121462410464578910174[[#This Row],[Discount selection]]&gt;0,VLOOKUP(_1_54128456121462410464578910174[[#This Row],[Discount selection]],'Discount Structure'!$A$2:$B$30,2,"false"),0)</f>
        <v>1</v>
      </c>
      <c r="L730" s="194">
        <f>_1_54128456121462410464578910174[[#This Row],[LIST $]]*_1_54128456121462410464578910174[[#This Row],[DISCOUNT]]*_1_54128456121462410464578910174[[#This Row],[DISCOUNT 2]]</f>
        <v>0</v>
      </c>
      <c r="M730" s="194">
        <f>IF(OR(_1_54128456121462410464578910174[[#This Row],[UNIT]]&gt;0,_1_54128456121462410464578910174[[#This Row],[UNIT]]&lt;0),_1_54128456121462410464578910174[[#This Row],[UNIT]]*_1_54128456121462410464578910174[[#This Row],[COST]],0)</f>
        <v>0</v>
      </c>
      <c r="N730" s="194">
        <f t="shared" si="11"/>
        <v>1.5</v>
      </c>
      <c r="O730" s="198">
        <f>_1_54128456121462410464578910174[[#This Row],[TOTAL]]*_1_54128456121462410464578910174[[#This Row],[MARGIN]]</f>
        <v>0</v>
      </c>
      <c r="R730" s="41"/>
    </row>
    <row r="731" spans="4:18">
      <c r="D731" s="188"/>
      <c r="F731" s="168" t="s">
        <v>6202</v>
      </c>
      <c r="G731" s="193">
        <f>IF(_1_54128456121462410464578910174[[#This Row],[Type]]&gt;0,VLOOKUP(_1_54128456121462410464578910174[[#This Row],[Type]],Main[[#All],[TYPE]:[UNIT]],'Unit Price'!C$1,FALSE),0)</f>
        <v>0</v>
      </c>
      <c r="H731" s="197">
        <f>IF(_1_54128456121462410464578910174[[#This Row],[Type]]&gt;0,VLOOKUP(_1_54128456121462410464578910174[[#This Row],[Type]],Main[[#All],[TYPE]:[UNIT]],'Unit Price'!D$1,FALSE),0)</f>
        <v>0</v>
      </c>
      <c r="I731" s="194">
        <f>IF(_1_54128456121462410464578910174[[#This Row],[Type]]&gt;0,VLOOKUP(_1_54128456121462410464578910174[[#This Row],[Type]],Main[[#All],[TYPE]:[UNIT]],'Unit Price'!G$1,FALSE),0)</f>
        <v>0</v>
      </c>
      <c r="J731" s="194">
        <f>IF(_1_54128456121462410464578910174[[#This Row],[Type]]&gt;0,VLOOKUP(_1_54128456121462410464578910174[[#This Row],[Type]],Main[[#All],[TYPE]:[UNIT]],'Unit Price'!H$1,FALSE),0)</f>
        <v>0</v>
      </c>
      <c r="K731" s="194">
        <f>IF(_1_54128456121462410464578910174[[#This Row],[Discount selection]]&gt;0,VLOOKUP(_1_54128456121462410464578910174[[#This Row],[Discount selection]],'Discount Structure'!$A$2:$B$30,2,"false"),0)</f>
        <v>1</v>
      </c>
      <c r="L731" s="194">
        <f>_1_54128456121462410464578910174[[#This Row],[LIST $]]*_1_54128456121462410464578910174[[#This Row],[DISCOUNT]]*_1_54128456121462410464578910174[[#This Row],[DISCOUNT 2]]</f>
        <v>0</v>
      </c>
      <c r="M731" s="194">
        <f>IF(OR(_1_54128456121462410464578910174[[#This Row],[UNIT]]&gt;0,_1_54128456121462410464578910174[[#This Row],[UNIT]]&lt;0),_1_54128456121462410464578910174[[#This Row],[UNIT]]*_1_54128456121462410464578910174[[#This Row],[COST]],0)</f>
        <v>0</v>
      </c>
      <c r="N731" s="194">
        <f t="shared" si="11"/>
        <v>1.5</v>
      </c>
      <c r="O731" s="198">
        <f>_1_54128456121462410464578910174[[#This Row],[TOTAL]]*_1_54128456121462410464578910174[[#This Row],[MARGIN]]</f>
        <v>0</v>
      </c>
      <c r="R731" s="41"/>
    </row>
    <row r="732" spans="4:18">
      <c r="D732" s="188"/>
      <c r="F732" s="168" t="s">
        <v>6202</v>
      </c>
      <c r="G732" s="193">
        <f>IF(_1_54128456121462410464578910174[[#This Row],[Type]]&gt;0,VLOOKUP(_1_54128456121462410464578910174[[#This Row],[Type]],Main[[#All],[TYPE]:[UNIT]],'Unit Price'!C$1,FALSE),0)</f>
        <v>0</v>
      </c>
      <c r="H732" s="197">
        <f>IF(_1_54128456121462410464578910174[[#This Row],[Type]]&gt;0,VLOOKUP(_1_54128456121462410464578910174[[#This Row],[Type]],Main[[#All],[TYPE]:[UNIT]],'Unit Price'!D$1,FALSE),0)</f>
        <v>0</v>
      </c>
      <c r="I732" s="194">
        <f>IF(_1_54128456121462410464578910174[[#This Row],[Type]]&gt;0,VLOOKUP(_1_54128456121462410464578910174[[#This Row],[Type]],Main[[#All],[TYPE]:[UNIT]],'Unit Price'!G$1,FALSE),0)</f>
        <v>0</v>
      </c>
      <c r="J732" s="194">
        <f>IF(_1_54128456121462410464578910174[[#This Row],[Type]]&gt;0,VLOOKUP(_1_54128456121462410464578910174[[#This Row],[Type]],Main[[#All],[TYPE]:[UNIT]],'Unit Price'!H$1,FALSE),0)</f>
        <v>0</v>
      </c>
      <c r="K732" s="194">
        <f>IF(_1_54128456121462410464578910174[[#This Row],[Discount selection]]&gt;0,VLOOKUP(_1_54128456121462410464578910174[[#This Row],[Discount selection]],'Discount Structure'!$A$2:$B$30,2,"false"),0)</f>
        <v>1</v>
      </c>
      <c r="L732" s="194">
        <f>_1_54128456121462410464578910174[[#This Row],[LIST $]]*_1_54128456121462410464578910174[[#This Row],[DISCOUNT]]*_1_54128456121462410464578910174[[#This Row],[DISCOUNT 2]]</f>
        <v>0</v>
      </c>
      <c r="M732" s="194">
        <f>IF(OR(_1_54128456121462410464578910174[[#This Row],[UNIT]]&gt;0,_1_54128456121462410464578910174[[#This Row],[UNIT]]&lt;0),_1_54128456121462410464578910174[[#This Row],[UNIT]]*_1_54128456121462410464578910174[[#This Row],[COST]],0)</f>
        <v>0</v>
      </c>
      <c r="N732" s="194">
        <f t="shared" si="11"/>
        <v>1.5</v>
      </c>
      <c r="O732" s="198">
        <f>_1_54128456121462410464578910174[[#This Row],[TOTAL]]*_1_54128456121462410464578910174[[#This Row],[MARGIN]]</f>
        <v>0</v>
      </c>
      <c r="R732" s="41"/>
    </row>
    <row r="733" spans="4:18">
      <c r="D733" s="188"/>
      <c r="F733" s="168" t="s">
        <v>6202</v>
      </c>
      <c r="G733" s="193">
        <f>IF(_1_54128456121462410464578910174[[#This Row],[Type]]&gt;0,VLOOKUP(_1_54128456121462410464578910174[[#This Row],[Type]],Main[[#All],[TYPE]:[UNIT]],'Unit Price'!C$1,FALSE),0)</f>
        <v>0</v>
      </c>
      <c r="H733" s="197">
        <f>IF(_1_54128456121462410464578910174[[#This Row],[Type]]&gt;0,VLOOKUP(_1_54128456121462410464578910174[[#This Row],[Type]],Main[[#All],[TYPE]:[UNIT]],'Unit Price'!D$1,FALSE),0)</f>
        <v>0</v>
      </c>
      <c r="I733" s="194">
        <f>IF(_1_54128456121462410464578910174[[#This Row],[Type]]&gt;0,VLOOKUP(_1_54128456121462410464578910174[[#This Row],[Type]],Main[[#All],[TYPE]:[UNIT]],'Unit Price'!G$1,FALSE),0)</f>
        <v>0</v>
      </c>
      <c r="J733" s="194">
        <f>IF(_1_54128456121462410464578910174[[#This Row],[Type]]&gt;0,VLOOKUP(_1_54128456121462410464578910174[[#This Row],[Type]],Main[[#All],[TYPE]:[UNIT]],'Unit Price'!H$1,FALSE),0)</f>
        <v>0</v>
      </c>
      <c r="K733" s="194">
        <f>IF(_1_54128456121462410464578910174[[#This Row],[Discount selection]]&gt;0,VLOOKUP(_1_54128456121462410464578910174[[#This Row],[Discount selection]],'Discount Structure'!$A$2:$B$30,2,"false"),0)</f>
        <v>1</v>
      </c>
      <c r="L733" s="194">
        <f>_1_54128456121462410464578910174[[#This Row],[LIST $]]*_1_54128456121462410464578910174[[#This Row],[DISCOUNT]]*_1_54128456121462410464578910174[[#This Row],[DISCOUNT 2]]</f>
        <v>0</v>
      </c>
      <c r="M733" s="194">
        <f>IF(OR(_1_54128456121462410464578910174[[#This Row],[UNIT]]&gt;0,_1_54128456121462410464578910174[[#This Row],[UNIT]]&lt;0),_1_54128456121462410464578910174[[#This Row],[UNIT]]*_1_54128456121462410464578910174[[#This Row],[COST]],0)</f>
        <v>0</v>
      </c>
      <c r="N733" s="194">
        <f t="shared" si="11"/>
        <v>1.5</v>
      </c>
      <c r="O733" s="198">
        <f>_1_54128456121462410464578910174[[#This Row],[TOTAL]]*_1_54128456121462410464578910174[[#This Row],[MARGIN]]</f>
        <v>0</v>
      </c>
      <c r="R733" s="41"/>
    </row>
    <row r="734" spans="4:18">
      <c r="D734" s="188"/>
      <c r="F734" s="168" t="s">
        <v>6202</v>
      </c>
      <c r="G734" s="193">
        <f>IF(_1_54128456121462410464578910174[[#This Row],[Type]]&gt;0,VLOOKUP(_1_54128456121462410464578910174[[#This Row],[Type]],Main[[#All],[TYPE]:[UNIT]],'Unit Price'!C$1,FALSE),0)</f>
        <v>0</v>
      </c>
      <c r="H734" s="197">
        <f>IF(_1_54128456121462410464578910174[[#This Row],[Type]]&gt;0,VLOOKUP(_1_54128456121462410464578910174[[#This Row],[Type]],Main[[#All],[TYPE]:[UNIT]],'Unit Price'!D$1,FALSE),0)</f>
        <v>0</v>
      </c>
      <c r="I734" s="194">
        <f>IF(_1_54128456121462410464578910174[[#This Row],[Type]]&gt;0,VLOOKUP(_1_54128456121462410464578910174[[#This Row],[Type]],Main[[#All],[TYPE]:[UNIT]],'Unit Price'!G$1,FALSE),0)</f>
        <v>0</v>
      </c>
      <c r="J734" s="194">
        <f>IF(_1_54128456121462410464578910174[[#This Row],[Type]]&gt;0,VLOOKUP(_1_54128456121462410464578910174[[#This Row],[Type]],Main[[#All],[TYPE]:[UNIT]],'Unit Price'!H$1,FALSE),0)</f>
        <v>0</v>
      </c>
      <c r="K734" s="194">
        <f>IF(_1_54128456121462410464578910174[[#This Row],[Discount selection]]&gt;0,VLOOKUP(_1_54128456121462410464578910174[[#This Row],[Discount selection]],'Discount Structure'!$A$2:$B$30,2,"false"),0)</f>
        <v>1</v>
      </c>
      <c r="L734" s="194">
        <f>_1_54128456121462410464578910174[[#This Row],[LIST $]]*_1_54128456121462410464578910174[[#This Row],[DISCOUNT]]*_1_54128456121462410464578910174[[#This Row],[DISCOUNT 2]]</f>
        <v>0</v>
      </c>
      <c r="M734" s="194">
        <f>IF(OR(_1_54128456121462410464578910174[[#This Row],[UNIT]]&gt;0,_1_54128456121462410464578910174[[#This Row],[UNIT]]&lt;0),_1_54128456121462410464578910174[[#This Row],[UNIT]]*_1_54128456121462410464578910174[[#This Row],[COST]],0)</f>
        <v>0</v>
      </c>
      <c r="N734" s="194">
        <f t="shared" si="11"/>
        <v>1.5</v>
      </c>
      <c r="O734" s="198">
        <f>_1_54128456121462410464578910174[[#This Row],[TOTAL]]*_1_54128456121462410464578910174[[#This Row],[MARGIN]]</f>
        <v>0</v>
      </c>
      <c r="R734" s="41"/>
    </row>
    <row r="735" spans="4:18">
      <c r="D735" s="188"/>
      <c r="F735" s="168" t="s">
        <v>6202</v>
      </c>
      <c r="G735" s="193">
        <f>IF(_1_54128456121462410464578910174[[#This Row],[Type]]&gt;0,VLOOKUP(_1_54128456121462410464578910174[[#This Row],[Type]],Main[[#All],[TYPE]:[UNIT]],'Unit Price'!C$1,FALSE),0)</f>
        <v>0</v>
      </c>
      <c r="H735" s="197">
        <f>IF(_1_54128456121462410464578910174[[#This Row],[Type]]&gt;0,VLOOKUP(_1_54128456121462410464578910174[[#This Row],[Type]],Main[[#All],[TYPE]:[UNIT]],'Unit Price'!D$1,FALSE),0)</f>
        <v>0</v>
      </c>
      <c r="I735" s="194">
        <f>IF(_1_54128456121462410464578910174[[#This Row],[Type]]&gt;0,VLOOKUP(_1_54128456121462410464578910174[[#This Row],[Type]],Main[[#All],[TYPE]:[UNIT]],'Unit Price'!G$1,FALSE),0)</f>
        <v>0</v>
      </c>
      <c r="J735" s="194">
        <f>IF(_1_54128456121462410464578910174[[#This Row],[Type]]&gt;0,VLOOKUP(_1_54128456121462410464578910174[[#This Row],[Type]],Main[[#All],[TYPE]:[UNIT]],'Unit Price'!H$1,FALSE),0)</f>
        <v>0</v>
      </c>
      <c r="K735" s="194">
        <f>IF(_1_54128456121462410464578910174[[#This Row],[Discount selection]]&gt;0,VLOOKUP(_1_54128456121462410464578910174[[#This Row],[Discount selection]],'Discount Structure'!$A$2:$B$30,2,"false"),0)</f>
        <v>1</v>
      </c>
      <c r="L735" s="194">
        <f>_1_54128456121462410464578910174[[#This Row],[LIST $]]*_1_54128456121462410464578910174[[#This Row],[DISCOUNT]]*_1_54128456121462410464578910174[[#This Row],[DISCOUNT 2]]</f>
        <v>0</v>
      </c>
      <c r="M735" s="194">
        <f>IF(OR(_1_54128456121462410464578910174[[#This Row],[UNIT]]&gt;0,_1_54128456121462410464578910174[[#This Row],[UNIT]]&lt;0),_1_54128456121462410464578910174[[#This Row],[UNIT]]*_1_54128456121462410464578910174[[#This Row],[COST]],0)</f>
        <v>0</v>
      </c>
      <c r="N735" s="194">
        <f t="shared" si="11"/>
        <v>1.5</v>
      </c>
      <c r="O735" s="198">
        <f>_1_54128456121462410464578910174[[#This Row],[TOTAL]]*_1_54128456121462410464578910174[[#This Row],[MARGIN]]</f>
        <v>0</v>
      </c>
      <c r="R735" s="41"/>
    </row>
    <row r="736" spans="4:18">
      <c r="D736" s="188"/>
      <c r="F736" s="168" t="s">
        <v>6202</v>
      </c>
      <c r="G736" s="193">
        <f>IF(_1_54128456121462410464578910174[[#This Row],[Type]]&gt;0,VLOOKUP(_1_54128456121462410464578910174[[#This Row],[Type]],Main[[#All],[TYPE]:[UNIT]],'Unit Price'!C$1,FALSE),0)</f>
        <v>0</v>
      </c>
      <c r="H736" s="197">
        <f>IF(_1_54128456121462410464578910174[[#This Row],[Type]]&gt;0,VLOOKUP(_1_54128456121462410464578910174[[#This Row],[Type]],Main[[#All],[TYPE]:[UNIT]],'Unit Price'!D$1,FALSE),0)</f>
        <v>0</v>
      </c>
      <c r="I736" s="194">
        <f>IF(_1_54128456121462410464578910174[[#This Row],[Type]]&gt;0,VLOOKUP(_1_54128456121462410464578910174[[#This Row],[Type]],Main[[#All],[TYPE]:[UNIT]],'Unit Price'!G$1,FALSE),0)</f>
        <v>0</v>
      </c>
      <c r="J736" s="194">
        <f>IF(_1_54128456121462410464578910174[[#This Row],[Type]]&gt;0,VLOOKUP(_1_54128456121462410464578910174[[#This Row],[Type]],Main[[#All],[TYPE]:[UNIT]],'Unit Price'!H$1,FALSE),0)</f>
        <v>0</v>
      </c>
      <c r="K736" s="194">
        <f>IF(_1_54128456121462410464578910174[[#This Row],[Discount selection]]&gt;0,VLOOKUP(_1_54128456121462410464578910174[[#This Row],[Discount selection]],'Discount Structure'!$A$2:$B$30,2,"false"),0)</f>
        <v>1</v>
      </c>
      <c r="L736" s="194">
        <f>_1_54128456121462410464578910174[[#This Row],[LIST $]]*_1_54128456121462410464578910174[[#This Row],[DISCOUNT]]*_1_54128456121462410464578910174[[#This Row],[DISCOUNT 2]]</f>
        <v>0</v>
      </c>
      <c r="M736" s="194">
        <f>IF(OR(_1_54128456121462410464578910174[[#This Row],[UNIT]]&gt;0,_1_54128456121462410464578910174[[#This Row],[UNIT]]&lt;0),_1_54128456121462410464578910174[[#This Row],[UNIT]]*_1_54128456121462410464578910174[[#This Row],[COST]],0)</f>
        <v>0</v>
      </c>
      <c r="N736" s="194">
        <f t="shared" si="11"/>
        <v>1.5</v>
      </c>
      <c r="O736" s="198">
        <f>_1_54128456121462410464578910174[[#This Row],[TOTAL]]*_1_54128456121462410464578910174[[#This Row],[MARGIN]]</f>
        <v>0</v>
      </c>
      <c r="R736" s="41"/>
    </row>
    <row r="737" spans="4:18">
      <c r="D737" s="188"/>
      <c r="F737" s="168" t="s">
        <v>6202</v>
      </c>
      <c r="G737" s="193">
        <f>IF(_1_54128456121462410464578910174[[#This Row],[Type]]&gt;0,VLOOKUP(_1_54128456121462410464578910174[[#This Row],[Type]],Main[[#All],[TYPE]:[UNIT]],'Unit Price'!C$1,FALSE),0)</f>
        <v>0</v>
      </c>
      <c r="H737" s="197">
        <f>IF(_1_54128456121462410464578910174[[#This Row],[Type]]&gt;0,VLOOKUP(_1_54128456121462410464578910174[[#This Row],[Type]],Main[[#All],[TYPE]:[UNIT]],'Unit Price'!D$1,FALSE),0)</f>
        <v>0</v>
      </c>
      <c r="I737" s="194">
        <f>IF(_1_54128456121462410464578910174[[#This Row],[Type]]&gt;0,VLOOKUP(_1_54128456121462410464578910174[[#This Row],[Type]],Main[[#All],[TYPE]:[UNIT]],'Unit Price'!G$1,FALSE),0)</f>
        <v>0</v>
      </c>
      <c r="J737" s="194">
        <f>IF(_1_54128456121462410464578910174[[#This Row],[Type]]&gt;0,VLOOKUP(_1_54128456121462410464578910174[[#This Row],[Type]],Main[[#All],[TYPE]:[UNIT]],'Unit Price'!H$1,FALSE),0)</f>
        <v>0</v>
      </c>
      <c r="K737" s="194">
        <f>IF(_1_54128456121462410464578910174[[#This Row],[Discount selection]]&gt;0,VLOOKUP(_1_54128456121462410464578910174[[#This Row],[Discount selection]],'Discount Structure'!$A$2:$B$30,2,"false"),0)</f>
        <v>1</v>
      </c>
      <c r="L737" s="194">
        <f>_1_54128456121462410464578910174[[#This Row],[LIST $]]*_1_54128456121462410464578910174[[#This Row],[DISCOUNT]]*_1_54128456121462410464578910174[[#This Row],[DISCOUNT 2]]</f>
        <v>0</v>
      </c>
      <c r="M737" s="194">
        <f>IF(OR(_1_54128456121462410464578910174[[#This Row],[UNIT]]&gt;0,_1_54128456121462410464578910174[[#This Row],[UNIT]]&lt;0),_1_54128456121462410464578910174[[#This Row],[UNIT]]*_1_54128456121462410464578910174[[#This Row],[COST]],0)</f>
        <v>0</v>
      </c>
      <c r="N737" s="194">
        <f t="shared" si="11"/>
        <v>1.5</v>
      </c>
      <c r="O737" s="198">
        <f>_1_54128456121462410464578910174[[#This Row],[TOTAL]]*_1_54128456121462410464578910174[[#This Row],[MARGIN]]</f>
        <v>0</v>
      </c>
      <c r="R737" s="41"/>
    </row>
    <row r="738" spans="4:18">
      <c r="D738" s="188"/>
      <c r="F738" s="168" t="s">
        <v>6202</v>
      </c>
      <c r="G738" s="193">
        <f>IF(_1_54128456121462410464578910174[[#This Row],[Type]]&gt;0,VLOOKUP(_1_54128456121462410464578910174[[#This Row],[Type]],Main[[#All],[TYPE]:[UNIT]],'Unit Price'!C$1,FALSE),0)</f>
        <v>0</v>
      </c>
      <c r="H738" s="197">
        <f>IF(_1_54128456121462410464578910174[[#This Row],[Type]]&gt;0,VLOOKUP(_1_54128456121462410464578910174[[#This Row],[Type]],Main[[#All],[TYPE]:[UNIT]],'Unit Price'!D$1,FALSE),0)</f>
        <v>0</v>
      </c>
      <c r="I738" s="194">
        <f>IF(_1_54128456121462410464578910174[[#This Row],[Type]]&gt;0,VLOOKUP(_1_54128456121462410464578910174[[#This Row],[Type]],Main[[#All],[TYPE]:[UNIT]],'Unit Price'!G$1,FALSE),0)</f>
        <v>0</v>
      </c>
      <c r="J738" s="194">
        <f>IF(_1_54128456121462410464578910174[[#This Row],[Type]]&gt;0,VLOOKUP(_1_54128456121462410464578910174[[#This Row],[Type]],Main[[#All],[TYPE]:[UNIT]],'Unit Price'!H$1,FALSE),0)</f>
        <v>0</v>
      </c>
      <c r="K738" s="194">
        <f>IF(_1_54128456121462410464578910174[[#This Row],[Discount selection]]&gt;0,VLOOKUP(_1_54128456121462410464578910174[[#This Row],[Discount selection]],'Discount Structure'!$A$2:$B$30,2,"false"),0)</f>
        <v>1</v>
      </c>
      <c r="L738" s="194">
        <f>_1_54128456121462410464578910174[[#This Row],[LIST $]]*_1_54128456121462410464578910174[[#This Row],[DISCOUNT]]*_1_54128456121462410464578910174[[#This Row],[DISCOUNT 2]]</f>
        <v>0</v>
      </c>
      <c r="M738" s="194">
        <f>IF(OR(_1_54128456121462410464578910174[[#This Row],[UNIT]]&gt;0,_1_54128456121462410464578910174[[#This Row],[UNIT]]&lt;0),_1_54128456121462410464578910174[[#This Row],[UNIT]]*_1_54128456121462410464578910174[[#This Row],[COST]],0)</f>
        <v>0</v>
      </c>
      <c r="N738" s="194">
        <f t="shared" si="11"/>
        <v>1.5</v>
      </c>
      <c r="O738" s="198">
        <f>_1_54128456121462410464578910174[[#This Row],[TOTAL]]*_1_54128456121462410464578910174[[#This Row],[MARGIN]]</f>
        <v>0</v>
      </c>
      <c r="R738" s="41"/>
    </row>
    <row r="739" spans="4:18">
      <c r="D739" s="188"/>
      <c r="F739" s="168" t="s">
        <v>6202</v>
      </c>
      <c r="G739" s="193">
        <f>IF(_1_54128456121462410464578910174[[#This Row],[Type]]&gt;0,VLOOKUP(_1_54128456121462410464578910174[[#This Row],[Type]],Main[[#All],[TYPE]:[UNIT]],'Unit Price'!C$1,FALSE),0)</f>
        <v>0</v>
      </c>
      <c r="H739" s="197">
        <f>IF(_1_54128456121462410464578910174[[#This Row],[Type]]&gt;0,VLOOKUP(_1_54128456121462410464578910174[[#This Row],[Type]],Main[[#All],[TYPE]:[UNIT]],'Unit Price'!D$1,FALSE),0)</f>
        <v>0</v>
      </c>
      <c r="I739" s="194">
        <f>IF(_1_54128456121462410464578910174[[#This Row],[Type]]&gt;0,VLOOKUP(_1_54128456121462410464578910174[[#This Row],[Type]],Main[[#All],[TYPE]:[UNIT]],'Unit Price'!G$1,FALSE),0)</f>
        <v>0</v>
      </c>
      <c r="J739" s="194">
        <f>IF(_1_54128456121462410464578910174[[#This Row],[Type]]&gt;0,VLOOKUP(_1_54128456121462410464578910174[[#This Row],[Type]],Main[[#All],[TYPE]:[UNIT]],'Unit Price'!H$1,FALSE),0)</f>
        <v>0</v>
      </c>
      <c r="K739" s="194">
        <f>IF(_1_54128456121462410464578910174[[#This Row],[Discount selection]]&gt;0,VLOOKUP(_1_54128456121462410464578910174[[#This Row],[Discount selection]],'Discount Structure'!$A$2:$B$30,2,"false"),0)</f>
        <v>1</v>
      </c>
      <c r="L739" s="194">
        <f>_1_54128456121462410464578910174[[#This Row],[LIST $]]*_1_54128456121462410464578910174[[#This Row],[DISCOUNT]]*_1_54128456121462410464578910174[[#This Row],[DISCOUNT 2]]</f>
        <v>0</v>
      </c>
      <c r="M739" s="194">
        <f>IF(OR(_1_54128456121462410464578910174[[#This Row],[UNIT]]&gt;0,_1_54128456121462410464578910174[[#This Row],[UNIT]]&lt;0),_1_54128456121462410464578910174[[#This Row],[UNIT]]*_1_54128456121462410464578910174[[#This Row],[COST]],0)</f>
        <v>0</v>
      </c>
      <c r="N739" s="194">
        <f t="shared" si="11"/>
        <v>1.5</v>
      </c>
      <c r="O739" s="198">
        <f>_1_54128456121462410464578910174[[#This Row],[TOTAL]]*_1_54128456121462410464578910174[[#This Row],[MARGIN]]</f>
        <v>0</v>
      </c>
      <c r="R739" s="41"/>
    </row>
    <row r="740" spans="4:18">
      <c r="D740" s="188"/>
      <c r="F740" s="168" t="s">
        <v>6202</v>
      </c>
      <c r="G740" s="193">
        <f>IF(_1_54128456121462410464578910174[[#This Row],[Type]]&gt;0,VLOOKUP(_1_54128456121462410464578910174[[#This Row],[Type]],Main[[#All],[TYPE]:[UNIT]],'Unit Price'!C$1,FALSE),0)</f>
        <v>0</v>
      </c>
      <c r="H740" s="197">
        <f>IF(_1_54128456121462410464578910174[[#This Row],[Type]]&gt;0,VLOOKUP(_1_54128456121462410464578910174[[#This Row],[Type]],Main[[#All],[TYPE]:[UNIT]],'Unit Price'!D$1,FALSE),0)</f>
        <v>0</v>
      </c>
      <c r="I740" s="194">
        <f>IF(_1_54128456121462410464578910174[[#This Row],[Type]]&gt;0,VLOOKUP(_1_54128456121462410464578910174[[#This Row],[Type]],Main[[#All],[TYPE]:[UNIT]],'Unit Price'!G$1,FALSE),0)</f>
        <v>0</v>
      </c>
      <c r="J740" s="194">
        <f>IF(_1_54128456121462410464578910174[[#This Row],[Type]]&gt;0,VLOOKUP(_1_54128456121462410464578910174[[#This Row],[Type]],Main[[#All],[TYPE]:[UNIT]],'Unit Price'!H$1,FALSE),0)</f>
        <v>0</v>
      </c>
      <c r="K740" s="194">
        <f>IF(_1_54128456121462410464578910174[[#This Row],[Discount selection]]&gt;0,VLOOKUP(_1_54128456121462410464578910174[[#This Row],[Discount selection]],'Discount Structure'!$A$2:$B$30,2,"false"),0)</f>
        <v>1</v>
      </c>
      <c r="L740" s="194">
        <f>_1_54128456121462410464578910174[[#This Row],[LIST $]]*_1_54128456121462410464578910174[[#This Row],[DISCOUNT]]*_1_54128456121462410464578910174[[#This Row],[DISCOUNT 2]]</f>
        <v>0</v>
      </c>
      <c r="M740" s="194">
        <f>IF(OR(_1_54128456121462410464578910174[[#This Row],[UNIT]]&gt;0,_1_54128456121462410464578910174[[#This Row],[UNIT]]&lt;0),_1_54128456121462410464578910174[[#This Row],[UNIT]]*_1_54128456121462410464578910174[[#This Row],[COST]],0)</f>
        <v>0</v>
      </c>
      <c r="N740" s="194">
        <f t="shared" si="11"/>
        <v>1.5</v>
      </c>
      <c r="O740" s="198">
        <f>_1_54128456121462410464578910174[[#This Row],[TOTAL]]*_1_54128456121462410464578910174[[#This Row],[MARGIN]]</f>
        <v>0</v>
      </c>
      <c r="R740" s="41"/>
    </row>
    <row r="741" spans="4:18">
      <c r="D741" s="188"/>
      <c r="F741" s="168" t="s">
        <v>6202</v>
      </c>
      <c r="G741" s="193">
        <f>IF(_1_54128456121462410464578910174[[#This Row],[Type]]&gt;0,VLOOKUP(_1_54128456121462410464578910174[[#This Row],[Type]],Main[[#All],[TYPE]:[UNIT]],'Unit Price'!C$1,FALSE),0)</f>
        <v>0</v>
      </c>
      <c r="H741" s="197">
        <f>IF(_1_54128456121462410464578910174[[#This Row],[Type]]&gt;0,VLOOKUP(_1_54128456121462410464578910174[[#This Row],[Type]],Main[[#All],[TYPE]:[UNIT]],'Unit Price'!D$1,FALSE),0)</f>
        <v>0</v>
      </c>
      <c r="I741" s="194">
        <f>IF(_1_54128456121462410464578910174[[#This Row],[Type]]&gt;0,VLOOKUP(_1_54128456121462410464578910174[[#This Row],[Type]],Main[[#All],[TYPE]:[UNIT]],'Unit Price'!G$1,FALSE),0)</f>
        <v>0</v>
      </c>
      <c r="J741" s="194">
        <f>IF(_1_54128456121462410464578910174[[#This Row],[Type]]&gt;0,VLOOKUP(_1_54128456121462410464578910174[[#This Row],[Type]],Main[[#All],[TYPE]:[UNIT]],'Unit Price'!H$1,FALSE),0)</f>
        <v>0</v>
      </c>
      <c r="K741" s="194">
        <f>IF(_1_54128456121462410464578910174[[#This Row],[Discount selection]]&gt;0,VLOOKUP(_1_54128456121462410464578910174[[#This Row],[Discount selection]],'Discount Structure'!$A$2:$B$30,2,"false"),0)</f>
        <v>1</v>
      </c>
      <c r="L741" s="194">
        <f>_1_54128456121462410464578910174[[#This Row],[LIST $]]*_1_54128456121462410464578910174[[#This Row],[DISCOUNT]]*_1_54128456121462410464578910174[[#This Row],[DISCOUNT 2]]</f>
        <v>0</v>
      </c>
      <c r="M741" s="194">
        <f>IF(OR(_1_54128456121462410464578910174[[#This Row],[UNIT]]&gt;0,_1_54128456121462410464578910174[[#This Row],[UNIT]]&lt;0),_1_54128456121462410464578910174[[#This Row],[UNIT]]*_1_54128456121462410464578910174[[#This Row],[COST]],0)</f>
        <v>0</v>
      </c>
      <c r="N741" s="194">
        <f t="shared" si="11"/>
        <v>1.5</v>
      </c>
      <c r="O741" s="198">
        <f>_1_54128456121462410464578910174[[#This Row],[TOTAL]]*_1_54128456121462410464578910174[[#This Row],[MARGIN]]</f>
        <v>0</v>
      </c>
      <c r="R741" s="41"/>
    </row>
    <row r="742" spans="4:18">
      <c r="D742" s="188"/>
      <c r="F742" s="168" t="s">
        <v>6202</v>
      </c>
      <c r="G742" s="193">
        <f>IF(_1_54128456121462410464578910174[[#This Row],[Type]]&gt;0,VLOOKUP(_1_54128456121462410464578910174[[#This Row],[Type]],Main[[#All],[TYPE]:[UNIT]],'Unit Price'!C$1,FALSE),0)</f>
        <v>0</v>
      </c>
      <c r="H742" s="197">
        <f>IF(_1_54128456121462410464578910174[[#This Row],[Type]]&gt;0,VLOOKUP(_1_54128456121462410464578910174[[#This Row],[Type]],Main[[#All],[TYPE]:[UNIT]],'Unit Price'!D$1,FALSE),0)</f>
        <v>0</v>
      </c>
      <c r="I742" s="194">
        <f>IF(_1_54128456121462410464578910174[[#This Row],[Type]]&gt;0,VLOOKUP(_1_54128456121462410464578910174[[#This Row],[Type]],Main[[#All],[TYPE]:[UNIT]],'Unit Price'!G$1,FALSE),0)</f>
        <v>0</v>
      </c>
      <c r="J742" s="194">
        <f>IF(_1_54128456121462410464578910174[[#This Row],[Type]]&gt;0,VLOOKUP(_1_54128456121462410464578910174[[#This Row],[Type]],Main[[#All],[TYPE]:[UNIT]],'Unit Price'!H$1,FALSE),0)</f>
        <v>0</v>
      </c>
      <c r="K742" s="194">
        <f>IF(_1_54128456121462410464578910174[[#This Row],[Discount selection]]&gt;0,VLOOKUP(_1_54128456121462410464578910174[[#This Row],[Discount selection]],'Discount Structure'!$A$2:$B$30,2,"false"),0)</f>
        <v>1</v>
      </c>
      <c r="L742" s="194">
        <f>_1_54128456121462410464578910174[[#This Row],[LIST $]]*_1_54128456121462410464578910174[[#This Row],[DISCOUNT]]*_1_54128456121462410464578910174[[#This Row],[DISCOUNT 2]]</f>
        <v>0</v>
      </c>
      <c r="M742" s="194">
        <f>IF(OR(_1_54128456121462410464578910174[[#This Row],[UNIT]]&gt;0,_1_54128456121462410464578910174[[#This Row],[UNIT]]&lt;0),_1_54128456121462410464578910174[[#This Row],[UNIT]]*_1_54128456121462410464578910174[[#This Row],[COST]],0)</f>
        <v>0</v>
      </c>
      <c r="N742" s="194">
        <f t="shared" si="11"/>
        <v>1.5</v>
      </c>
      <c r="O742" s="198">
        <f>_1_54128456121462410464578910174[[#This Row],[TOTAL]]*_1_54128456121462410464578910174[[#This Row],[MARGIN]]</f>
        <v>0</v>
      </c>
      <c r="R742" s="41"/>
    </row>
    <row r="743" spans="4:18">
      <c r="D743" s="188"/>
      <c r="F743" s="168" t="s">
        <v>6202</v>
      </c>
      <c r="G743" s="193">
        <f>IF(_1_54128456121462410464578910174[[#This Row],[Type]]&gt;0,VLOOKUP(_1_54128456121462410464578910174[[#This Row],[Type]],Main[[#All],[TYPE]:[UNIT]],'Unit Price'!C$1,FALSE),0)</f>
        <v>0</v>
      </c>
      <c r="H743" s="197">
        <f>IF(_1_54128456121462410464578910174[[#This Row],[Type]]&gt;0,VLOOKUP(_1_54128456121462410464578910174[[#This Row],[Type]],Main[[#All],[TYPE]:[UNIT]],'Unit Price'!D$1,FALSE),0)</f>
        <v>0</v>
      </c>
      <c r="I743" s="194">
        <f>IF(_1_54128456121462410464578910174[[#This Row],[Type]]&gt;0,VLOOKUP(_1_54128456121462410464578910174[[#This Row],[Type]],Main[[#All],[TYPE]:[UNIT]],'Unit Price'!G$1,FALSE),0)</f>
        <v>0</v>
      </c>
      <c r="J743" s="194">
        <f>IF(_1_54128456121462410464578910174[[#This Row],[Type]]&gt;0,VLOOKUP(_1_54128456121462410464578910174[[#This Row],[Type]],Main[[#All],[TYPE]:[UNIT]],'Unit Price'!H$1,FALSE),0)</f>
        <v>0</v>
      </c>
      <c r="K743" s="194">
        <f>IF(_1_54128456121462410464578910174[[#This Row],[Discount selection]]&gt;0,VLOOKUP(_1_54128456121462410464578910174[[#This Row],[Discount selection]],'Discount Structure'!$A$2:$B$30,2,"false"),0)</f>
        <v>1</v>
      </c>
      <c r="L743" s="194">
        <f>_1_54128456121462410464578910174[[#This Row],[LIST $]]*_1_54128456121462410464578910174[[#This Row],[DISCOUNT]]*_1_54128456121462410464578910174[[#This Row],[DISCOUNT 2]]</f>
        <v>0</v>
      </c>
      <c r="M743" s="194">
        <f>IF(OR(_1_54128456121462410464578910174[[#This Row],[UNIT]]&gt;0,_1_54128456121462410464578910174[[#This Row],[UNIT]]&lt;0),_1_54128456121462410464578910174[[#This Row],[UNIT]]*_1_54128456121462410464578910174[[#This Row],[COST]],0)</f>
        <v>0</v>
      </c>
      <c r="N743" s="194">
        <f t="shared" si="11"/>
        <v>1.5</v>
      </c>
      <c r="O743" s="198">
        <f>_1_54128456121462410464578910174[[#This Row],[TOTAL]]*_1_54128456121462410464578910174[[#This Row],[MARGIN]]</f>
        <v>0</v>
      </c>
      <c r="R743" s="41"/>
    </row>
    <row r="744" spans="4:18">
      <c r="D744" s="188"/>
      <c r="F744" s="168" t="s">
        <v>6202</v>
      </c>
      <c r="G744" s="193">
        <f>IF(_1_54128456121462410464578910174[[#This Row],[Type]]&gt;0,VLOOKUP(_1_54128456121462410464578910174[[#This Row],[Type]],Main[[#All],[TYPE]:[UNIT]],'Unit Price'!C$1,FALSE),0)</f>
        <v>0</v>
      </c>
      <c r="H744" s="197">
        <f>IF(_1_54128456121462410464578910174[[#This Row],[Type]]&gt;0,VLOOKUP(_1_54128456121462410464578910174[[#This Row],[Type]],Main[[#All],[TYPE]:[UNIT]],'Unit Price'!D$1,FALSE),0)</f>
        <v>0</v>
      </c>
      <c r="I744" s="194">
        <f>IF(_1_54128456121462410464578910174[[#This Row],[Type]]&gt;0,VLOOKUP(_1_54128456121462410464578910174[[#This Row],[Type]],Main[[#All],[TYPE]:[UNIT]],'Unit Price'!G$1,FALSE),0)</f>
        <v>0</v>
      </c>
      <c r="J744" s="194">
        <f>IF(_1_54128456121462410464578910174[[#This Row],[Type]]&gt;0,VLOOKUP(_1_54128456121462410464578910174[[#This Row],[Type]],Main[[#All],[TYPE]:[UNIT]],'Unit Price'!H$1,FALSE),0)</f>
        <v>0</v>
      </c>
      <c r="K744" s="194">
        <f>IF(_1_54128456121462410464578910174[[#This Row],[Discount selection]]&gt;0,VLOOKUP(_1_54128456121462410464578910174[[#This Row],[Discount selection]],'Discount Structure'!$A$2:$B$30,2,"false"),0)</f>
        <v>1</v>
      </c>
      <c r="L744" s="194">
        <f>_1_54128456121462410464578910174[[#This Row],[LIST $]]*_1_54128456121462410464578910174[[#This Row],[DISCOUNT]]*_1_54128456121462410464578910174[[#This Row],[DISCOUNT 2]]</f>
        <v>0</v>
      </c>
      <c r="M744" s="194">
        <f>IF(OR(_1_54128456121462410464578910174[[#This Row],[UNIT]]&gt;0,_1_54128456121462410464578910174[[#This Row],[UNIT]]&lt;0),_1_54128456121462410464578910174[[#This Row],[UNIT]]*_1_54128456121462410464578910174[[#This Row],[COST]],0)</f>
        <v>0</v>
      </c>
      <c r="N744" s="194">
        <f t="shared" si="11"/>
        <v>1.5</v>
      </c>
      <c r="O744" s="198">
        <f>_1_54128456121462410464578910174[[#This Row],[TOTAL]]*_1_54128456121462410464578910174[[#This Row],[MARGIN]]</f>
        <v>0</v>
      </c>
      <c r="R744" s="41"/>
    </row>
    <row r="745" spans="4:18">
      <c r="D745" s="188"/>
      <c r="F745" s="168" t="s">
        <v>6202</v>
      </c>
      <c r="G745" s="193">
        <f>IF(_1_54128456121462410464578910174[[#This Row],[Type]]&gt;0,VLOOKUP(_1_54128456121462410464578910174[[#This Row],[Type]],Main[[#All],[TYPE]:[UNIT]],'Unit Price'!C$1,FALSE),0)</f>
        <v>0</v>
      </c>
      <c r="H745" s="197">
        <f>IF(_1_54128456121462410464578910174[[#This Row],[Type]]&gt;0,VLOOKUP(_1_54128456121462410464578910174[[#This Row],[Type]],Main[[#All],[TYPE]:[UNIT]],'Unit Price'!D$1,FALSE),0)</f>
        <v>0</v>
      </c>
      <c r="I745" s="194">
        <f>IF(_1_54128456121462410464578910174[[#This Row],[Type]]&gt;0,VLOOKUP(_1_54128456121462410464578910174[[#This Row],[Type]],Main[[#All],[TYPE]:[UNIT]],'Unit Price'!G$1,FALSE),0)</f>
        <v>0</v>
      </c>
      <c r="J745" s="194">
        <f>IF(_1_54128456121462410464578910174[[#This Row],[Type]]&gt;0,VLOOKUP(_1_54128456121462410464578910174[[#This Row],[Type]],Main[[#All],[TYPE]:[UNIT]],'Unit Price'!H$1,FALSE),0)</f>
        <v>0</v>
      </c>
      <c r="K745" s="194">
        <f>IF(_1_54128456121462410464578910174[[#This Row],[Discount selection]]&gt;0,VLOOKUP(_1_54128456121462410464578910174[[#This Row],[Discount selection]],'Discount Structure'!$A$2:$B$30,2,"false"),0)</f>
        <v>1</v>
      </c>
      <c r="L745" s="194">
        <f>_1_54128456121462410464578910174[[#This Row],[LIST $]]*_1_54128456121462410464578910174[[#This Row],[DISCOUNT]]*_1_54128456121462410464578910174[[#This Row],[DISCOUNT 2]]</f>
        <v>0</v>
      </c>
      <c r="M745" s="194">
        <f>IF(OR(_1_54128456121462410464578910174[[#This Row],[UNIT]]&gt;0,_1_54128456121462410464578910174[[#This Row],[UNIT]]&lt;0),_1_54128456121462410464578910174[[#This Row],[UNIT]]*_1_54128456121462410464578910174[[#This Row],[COST]],0)</f>
        <v>0</v>
      </c>
      <c r="N745" s="194">
        <f t="shared" si="11"/>
        <v>1.5</v>
      </c>
      <c r="O745" s="198">
        <f>_1_54128456121462410464578910174[[#This Row],[TOTAL]]*_1_54128456121462410464578910174[[#This Row],[MARGIN]]</f>
        <v>0</v>
      </c>
      <c r="R745" s="41"/>
    </row>
    <row r="746" spans="4:18">
      <c r="D746" s="188"/>
      <c r="F746" s="168" t="s">
        <v>6202</v>
      </c>
      <c r="G746" s="193">
        <f>IF(_1_54128456121462410464578910174[[#This Row],[Type]]&gt;0,VLOOKUP(_1_54128456121462410464578910174[[#This Row],[Type]],Main[[#All],[TYPE]:[UNIT]],'Unit Price'!C$1,FALSE),0)</f>
        <v>0</v>
      </c>
      <c r="H746" s="197">
        <f>IF(_1_54128456121462410464578910174[[#This Row],[Type]]&gt;0,VLOOKUP(_1_54128456121462410464578910174[[#This Row],[Type]],Main[[#All],[TYPE]:[UNIT]],'Unit Price'!D$1,FALSE),0)</f>
        <v>0</v>
      </c>
      <c r="I746" s="194">
        <f>IF(_1_54128456121462410464578910174[[#This Row],[Type]]&gt;0,VLOOKUP(_1_54128456121462410464578910174[[#This Row],[Type]],Main[[#All],[TYPE]:[UNIT]],'Unit Price'!G$1,FALSE),0)</f>
        <v>0</v>
      </c>
      <c r="J746" s="194">
        <f>IF(_1_54128456121462410464578910174[[#This Row],[Type]]&gt;0,VLOOKUP(_1_54128456121462410464578910174[[#This Row],[Type]],Main[[#All],[TYPE]:[UNIT]],'Unit Price'!H$1,FALSE),0)</f>
        <v>0</v>
      </c>
      <c r="K746" s="194">
        <f>IF(_1_54128456121462410464578910174[[#This Row],[Discount selection]]&gt;0,VLOOKUP(_1_54128456121462410464578910174[[#This Row],[Discount selection]],'Discount Structure'!$A$2:$B$30,2,"false"),0)</f>
        <v>1</v>
      </c>
      <c r="L746" s="194">
        <f>_1_54128456121462410464578910174[[#This Row],[LIST $]]*_1_54128456121462410464578910174[[#This Row],[DISCOUNT]]*_1_54128456121462410464578910174[[#This Row],[DISCOUNT 2]]</f>
        <v>0</v>
      </c>
      <c r="M746" s="194">
        <f>IF(OR(_1_54128456121462410464578910174[[#This Row],[UNIT]]&gt;0,_1_54128456121462410464578910174[[#This Row],[UNIT]]&lt;0),_1_54128456121462410464578910174[[#This Row],[UNIT]]*_1_54128456121462410464578910174[[#This Row],[COST]],0)</f>
        <v>0</v>
      </c>
      <c r="N746" s="194">
        <f t="shared" si="11"/>
        <v>1.5</v>
      </c>
      <c r="O746" s="198">
        <f>_1_54128456121462410464578910174[[#This Row],[TOTAL]]*_1_54128456121462410464578910174[[#This Row],[MARGIN]]</f>
        <v>0</v>
      </c>
      <c r="R746" s="41"/>
    </row>
    <row r="747" spans="4:18">
      <c r="D747" s="188"/>
      <c r="F747" s="168" t="s">
        <v>6202</v>
      </c>
      <c r="G747" s="193">
        <f>IF(_1_54128456121462410464578910174[[#This Row],[Type]]&gt;0,VLOOKUP(_1_54128456121462410464578910174[[#This Row],[Type]],Main[[#All],[TYPE]:[UNIT]],'Unit Price'!C$1,FALSE),0)</f>
        <v>0</v>
      </c>
      <c r="H747" s="197">
        <f>IF(_1_54128456121462410464578910174[[#This Row],[Type]]&gt;0,VLOOKUP(_1_54128456121462410464578910174[[#This Row],[Type]],Main[[#All],[TYPE]:[UNIT]],'Unit Price'!D$1,FALSE),0)</f>
        <v>0</v>
      </c>
      <c r="I747" s="194">
        <f>IF(_1_54128456121462410464578910174[[#This Row],[Type]]&gt;0,VLOOKUP(_1_54128456121462410464578910174[[#This Row],[Type]],Main[[#All],[TYPE]:[UNIT]],'Unit Price'!G$1,FALSE),0)</f>
        <v>0</v>
      </c>
      <c r="J747" s="194">
        <f>IF(_1_54128456121462410464578910174[[#This Row],[Type]]&gt;0,VLOOKUP(_1_54128456121462410464578910174[[#This Row],[Type]],Main[[#All],[TYPE]:[UNIT]],'Unit Price'!H$1,FALSE),0)</f>
        <v>0</v>
      </c>
      <c r="K747" s="194">
        <f>IF(_1_54128456121462410464578910174[[#This Row],[Discount selection]]&gt;0,VLOOKUP(_1_54128456121462410464578910174[[#This Row],[Discount selection]],'Discount Structure'!$A$2:$B$30,2,"false"),0)</f>
        <v>1</v>
      </c>
      <c r="L747" s="194">
        <f>_1_54128456121462410464578910174[[#This Row],[LIST $]]*_1_54128456121462410464578910174[[#This Row],[DISCOUNT]]*_1_54128456121462410464578910174[[#This Row],[DISCOUNT 2]]</f>
        <v>0</v>
      </c>
      <c r="M747" s="194">
        <f>IF(OR(_1_54128456121462410464578910174[[#This Row],[UNIT]]&gt;0,_1_54128456121462410464578910174[[#This Row],[UNIT]]&lt;0),_1_54128456121462410464578910174[[#This Row],[UNIT]]*_1_54128456121462410464578910174[[#This Row],[COST]],0)</f>
        <v>0</v>
      </c>
      <c r="N747" s="194">
        <f t="shared" si="11"/>
        <v>1.5</v>
      </c>
      <c r="O747" s="198">
        <f>_1_54128456121462410464578910174[[#This Row],[TOTAL]]*_1_54128456121462410464578910174[[#This Row],[MARGIN]]</f>
        <v>0</v>
      </c>
      <c r="R747" s="41"/>
    </row>
    <row r="748" spans="4:18">
      <c r="D748" s="188"/>
      <c r="F748" s="168" t="s">
        <v>6202</v>
      </c>
      <c r="G748" s="193">
        <f>IF(_1_54128456121462410464578910174[[#This Row],[Type]]&gt;0,VLOOKUP(_1_54128456121462410464578910174[[#This Row],[Type]],Main[[#All],[TYPE]:[UNIT]],'Unit Price'!C$1,FALSE),0)</f>
        <v>0</v>
      </c>
      <c r="H748" s="197">
        <f>IF(_1_54128456121462410464578910174[[#This Row],[Type]]&gt;0,VLOOKUP(_1_54128456121462410464578910174[[#This Row],[Type]],Main[[#All],[TYPE]:[UNIT]],'Unit Price'!D$1,FALSE),0)</f>
        <v>0</v>
      </c>
      <c r="I748" s="194">
        <f>IF(_1_54128456121462410464578910174[[#This Row],[Type]]&gt;0,VLOOKUP(_1_54128456121462410464578910174[[#This Row],[Type]],Main[[#All],[TYPE]:[UNIT]],'Unit Price'!G$1,FALSE),0)</f>
        <v>0</v>
      </c>
      <c r="J748" s="194">
        <f>IF(_1_54128456121462410464578910174[[#This Row],[Type]]&gt;0,VLOOKUP(_1_54128456121462410464578910174[[#This Row],[Type]],Main[[#All],[TYPE]:[UNIT]],'Unit Price'!H$1,FALSE),0)</f>
        <v>0</v>
      </c>
      <c r="K748" s="194">
        <f>IF(_1_54128456121462410464578910174[[#This Row],[Discount selection]]&gt;0,VLOOKUP(_1_54128456121462410464578910174[[#This Row],[Discount selection]],'Discount Structure'!$A$2:$B$30,2,"false"),0)</f>
        <v>1</v>
      </c>
      <c r="L748" s="194">
        <f>_1_54128456121462410464578910174[[#This Row],[LIST $]]*_1_54128456121462410464578910174[[#This Row],[DISCOUNT]]*_1_54128456121462410464578910174[[#This Row],[DISCOUNT 2]]</f>
        <v>0</v>
      </c>
      <c r="M748" s="194">
        <f>IF(OR(_1_54128456121462410464578910174[[#This Row],[UNIT]]&gt;0,_1_54128456121462410464578910174[[#This Row],[UNIT]]&lt;0),_1_54128456121462410464578910174[[#This Row],[UNIT]]*_1_54128456121462410464578910174[[#This Row],[COST]],0)</f>
        <v>0</v>
      </c>
      <c r="N748" s="194">
        <f t="shared" si="11"/>
        <v>1.5</v>
      </c>
      <c r="O748" s="198">
        <f>_1_54128456121462410464578910174[[#This Row],[TOTAL]]*_1_54128456121462410464578910174[[#This Row],[MARGIN]]</f>
        <v>0</v>
      </c>
      <c r="R748" s="41"/>
    </row>
    <row r="749" spans="4:18">
      <c r="D749" s="188"/>
      <c r="F749" s="168" t="s">
        <v>6202</v>
      </c>
      <c r="G749" s="193">
        <f>IF(_1_54128456121462410464578910174[[#This Row],[Type]]&gt;0,VLOOKUP(_1_54128456121462410464578910174[[#This Row],[Type]],Main[[#All],[TYPE]:[UNIT]],'Unit Price'!C$1,FALSE),0)</f>
        <v>0</v>
      </c>
      <c r="H749" s="197">
        <f>IF(_1_54128456121462410464578910174[[#This Row],[Type]]&gt;0,VLOOKUP(_1_54128456121462410464578910174[[#This Row],[Type]],Main[[#All],[TYPE]:[UNIT]],'Unit Price'!D$1,FALSE),0)</f>
        <v>0</v>
      </c>
      <c r="I749" s="194">
        <f>IF(_1_54128456121462410464578910174[[#This Row],[Type]]&gt;0,VLOOKUP(_1_54128456121462410464578910174[[#This Row],[Type]],Main[[#All],[TYPE]:[UNIT]],'Unit Price'!G$1,FALSE),0)</f>
        <v>0</v>
      </c>
      <c r="J749" s="194">
        <f>IF(_1_54128456121462410464578910174[[#This Row],[Type]]&gt;0,VLOOKUP(_1_54128456121462410464578910174[[#This Row],[Type]],Main[[#All],[TYPE]:[UNIT]],'Unit Price'!H$1,FALSE),0)</f>
        <v>0</v>
      </c>
      <c r="K749" s="194">
        <f>IF(_1_54128456121462410464578910174[[#This Row],[Discount selection]]&gt;0,VLOOKUP(_1_54128456121462410464578910174[[#This Row],[Discount selection]],'Discount Structure'!$A$2:$B$30,2,"false"),0)</f>
        <v>1</v>
      </c>
      <c r="L749" s="194">
        <f>_1_54128456121462410464578910174[[#This Row],[LIST $]]*_1_54128456121462410464578910174[[#This Row],[DISCOUNT]]*_1_54128456121462410464578910174[[#This Row],[DISCOUNT 2]]</f>
        <v>0</v>
      </c>
      <c r="M749" s="194">
        <f>IF(OR(_1_54128456121462410464578910174[[#This Row],[UNIT]]&gt;0,_1_54128456121462410464578910174[[#This Row],[UNIT]]&lt;0),_1_54128456121462410464578910174[[#This Row],[UNIT]]*_1_54128456121462410464578910174[[#This Row],[COST]],0)</f>
        <v>0</v>
      </c>
      <c r="N749" s="194">
        <f t="shared" si="11"/>
        <v>1.5</v>
      </c>
      <c r="O749" s="198">
        <f>_1_54128456121462410464578910174[[#This Row],[TOTAL]]*_1_54128456121462410464578910174[[#This Row],[MARGIN]]</f>
        <v>0</v>
      </c>
      <c r="R749" s="41"/>
    </row>
    <row r="750" spans="4:18">
      <c r="D750" s="188"/>
      <c r="F750" s="168" t="s">
        <v>6202</v>
      </c>
      <c r="G750" s="193">
        <f>IF(_1_54128456121462410464578910174[[#This Row],[Type]]&gt;0,VLOOKUP(_1_54128456121462410464578910174[[#This Row],[Type]],Main[[#All],[TYPE]:[UNIT]],'Unit Price'!C$1,FALSE),0)</f>
        <v>0</v>
      </c>
      <c r="H750" s="197">
        <f>IF(_1_54128456121462410464578910174[[#This Row],[Type]]&gt;0,VLOOKUP(_1_54128456121462410464578910174[[#This Row],[Type]],Main[[#All],[TYPE]:[UNIT]],'Unit Price'!D$1,FALSE),0)</f>
        <v>0</v>
      </c>
      <c r="I750" s="194">
        <f>IF(_1_54128456121462410464578910174[[#This Row],[Type]]&gt;0,VLOOKUP(_1_54128456121462410464578910174[[#This Row],[Type]],Main[[#All],[TYPE]:[UNIT]],'Unit Price'!G$1,FALSE),0)</f>
        <v>0</v>
      </c>
      <c r="J750" s="194">
        <f>IF(_1_54128456121462410464578910174[[#This Row],[Type]]&gt;0,VLOOKUP(_1_54128456121462410464578910174[[#This Row],[Type]],Main[[#All],[TYPE]:[UNIT]],'Unit Price'!H$1,FALSE),0)</f>
        <v>0</v>
      </c>
      <c r="K750" s="194">
        <f>IF(_1_54128456121462410464578910174[[#This Row],[Discount selection]]&gt;0,VLOOKUP(_1_54128456121462410464578910174[[#This Row],[Discount selection]],'Discount Structure'!$A$2:$B$30,2,"false"),0)</f>
        <v>1</v>
      </c>
      <c r="L750" s="194">
        <f>_1_54128456121462410464578910174[[#This Row],[LIST $]]*_1_54128456121462410464578910174[[#This Row],[DISCOUNT]]*_1_54128456121462410464578910174[[#This Row],[DISCOUNT 2]]</f>
        <v>0</v>
      </c>
      <c r="M750" s="194">
        <f>IF(OR(_1_54128456121462410464578910174[[#This Row],[UNIT]]&gt;0,_1_54128456121462410464578910174[[#This Row],[UNIT]]&lt;0),_1_54128456121462410464578910174[[#This Row],[UNIT]]*_1_54128456121462410464578910174[[#This Row],[COST]],0)</f>
        <v>0</v>
      </c>
      <c r="N750" s="194">
        <f t="shared" si="11"/>
        <v>1.5</v>
      </c>
      <c r="O750" s="198">
        <f>_1_54128456121462410464578910174[[#This Row],[TOTAL]]*_1_54128456121462410464578910174[[#This Row],[MARGIN]]</f>
        <v>0</v>
      </c>
      <c r="R750" s="41"/>
    </row>
    <row r="751" spans="4:18">
      <c r="D751" s="188"/>
      <c r="F751" s="168" t="s">
        <v>6202</v>
      </c>
      <c r="G751" s="193">
        <f>IF(_1_54128456121462410464578910174[[#This Row],[Type]]&gt;0,VLOOKUP(_1_54128456121462410464578910174[[#This Row],[Type]],Main[[#All],[TYPE]:[UNIT]],'Unit Price'!C$1,FALSE),0)</f>
        <v>0</v>
      </c>
      <c r="H751" s="197">
        <f>IF(_1_54128456121462410464578910174[[#This Row],[Type]]&gt;0,VLOOKUP(_1_54128456121462410464578910174[[#This Row],[Type]],Main[[#All],[TYPE]:[UNIT]],'Unit Price'!D$1,FALSE),0)</f>
        <v>0</v>
      </c>
      <c r="I751" s="194">
        <f>IF(_1_54128456121462410464578910174[[#This Row],[Type]]&gt;0,VLOOKUP(_1_54128456121462410464578910174[[#This Row],[Type]],Main[[#All],[TYPE]:[UNIT]],'Unit Price'!G$1,FALSE),0)</f>
        <v>0</v>
      </c>
      <c r="J751" s="194">
        <f>IF(_1_54128456121462410464578910174[[#This Row],[Type]]&gt;0,VLOOKUP(_1_54128456121462410464578910174[[#This Row],[Type]],Main[[#All],[TYPE]:[UNIT]],'Unit Price'!H$1,FALSE),0)</f>
        <v>0</v>
      </c>
      <c r="K751" s="194">
        <f>IF(_1_54128456121462410464578910174[[#This Row],[Discount selection]]&gt;0,VLOOKUP(_1_54128456121462410464578910174[[#This Row],[Discount selection]],'Discount Structure'!$A$2:$B$30,2,"false"),0)</f>
        <v>1</v>
      </c>
      <c r="L751" s="194">
        <f>_1_54128456121462410464578910174[[#This Row],[LIST $]]*_1_54128456121462410464578910174[[#This Row],[DISCOUNT]]*_1_54128456121462410464578910174[[#This Row],[DISCOUNT 2]]</f>
        <v>0</v>
      </c>
      <c r="M751" s="194">
        <f>IF(OR(_1_54128456121462410464578910174[[#This Row],[UNIT]]&gt;0,_1_54128456121462410464578910174[[#This Row],[UNIT]]&lt;0),_1_54128456121462410464578910174[[#This Row],[UNIT]]*_1_54128456121462410464578910174[[#This Row],[COST]],0)</f>
        <v>0</v>
      </c>
      <c r="N751" s="194">
        <f t="shared" si="11"/>
        <v>1.5</v>
      </c>
      <c r="O751" s="198">
        <f>_1_54128456121462410464578910174[[#This Row],[TOTAL]]*_1_54128456121462410464578910174[[#This Row],[MARGIN]]</f>
        <v>0</v>
      </c>
      <c r="R751" s="41"/>
    </row>
    <row r="752" spans="4:18">
      <c r="D752" s="188"/>
      <c r="F752" s="168" t="s">
        <v>6202</v>
      </c>
      <c r="G752" s="193">
        <f>IF(_1_54128456121462410464578910174[[#This Row],[Type]]&gt;0,VLOOKUP(_1_54128456121462410464578910174[[#This Row],[Type]],Main[[#All],[TYPE]:[UNIT]],'Unit Price'!C$1,FALSE),0)</f>
        <v>0</v>
      </c>
      <c r="H752" s="197">
        <f>IF(_1_54128456121462410464578910174[[#This Row],[Type]]&gt;0,VLOOKUP(_1_54128456121462410464578910174[[#This Row],[Type]],Main[[#All],[TYPE]:[UNIT]],'Unit Price'!D$1,FALSE),0)</f>
        <v>0</v>
      </c>
      <c r="I752" s="194">
        <f>IF(_1_54128456121462410464578910174[[#This Row],[Type]]&gt;0,VLOOKUP(_1_54128456121462410464578910174[[#This Row],[Type]],Main[[#All],[TYPE]:[UNIT]],'Unit Price'!G$1,FALSE),0)</f>
        <v>0</v>
      </c>
      <c r="J752" s="194">
        <f>IF(_1_54128456121462410464578910174[[#This Row],[Type]]&gt;0,VLOOKUP(_1_54128456121462410464578910174[[#This Row],[Type]],Main[[#All],[TYPE]:[UNIT]],'Unit Price'!H$1,FALSE),0)</f>
        <v>0</v>
      </c>
      <c r="K752" s="194">
        <f>IF(_1_54128456121462410464578910174[[#This Row],[Discount selection]]&gt;0,VLOOKUP(_1_54128456121462410464578910174[[#This Row],[Discount selection]],'Discount Structure'!$A$2:$B$30,2,"false"),0)</f>
        <v>1</v>
      </c>
      <c r="L752" s="194">
        <f>_1_54128456121462410464578910174[[#This Row],[LIST $]]*_1_54128456121462410464578910174[[#This Row],[DISCOUNT]]*_1_54128456121462410464578910174[[#This Row],[DISCOUNT 2]]</f>
        <v>0</v>
      </c>
      <c r="M752" s="194">
        <f>IF(OR(_1_54128456121462410464578910174[[#This Row],[UNIT]]&gt;0,_1_54128456121462410464578910174[[#This Row],[UNIT]]&lt;0),_1_54128456121462410464578910174[[#This Row],[UNIT]]*_1_54128456121462410464578910174[[#This Row],[COST]],0)</f>
        <v>0</v>
      </c>
      <c r="N752" s="194">
        <f t="shared" si="11"/>
        <v>1.5</v>
      </c>
      <c r="O752" s="198">
        <f>_1_54128456121462410464578910174[[#This Row],[TOTAL]]*_1_54128456121462410464578910174[[#This Row],[MARGIN]]</f>
        <v>0</v>
      </c>
      <c r="R752" s="41"/>
    </row>
    <row r="753" spans="4:18">
      <c r="D753" s="188"/>
      <c r="F753" s="168" t="s">
        <v>6202</v>
      </c>
      <c r="G753" s="193">
        <f>IF(_1_54128456121462410464578910174[[#This Row],[Type]]&gt;0,VLOOKUP(_1_54128456121462410464578910174[[#This Row],[Type]],Main[[#All],[TYPE]:[UNIT]],'Unit Price'!C$1,FALSE),0)</f>
        <v>0</v>
      </c>
      <c r="H753" s="197">
        <f>IF(_1_54128456121462410464578910174[[#This Row],[Type]]&gt;0,VLOOKUP(_1_54128456121462410464578910174[[#This Row],[Type]],Main[[#All],[TYPE]:[UNIT]],'Unit Price'!D$1,FALSE),0)</f>
        <v>0</v>
      </c>
      <c r="I753" s="194">
        <f>IF(_1_54128456121462410464578910174[[#This Row],[Type]]&gt;0,VLOOKUP(_1_54128456121462410464578910174[[#This Row],[Type]],Main[[#All],[TYPE]:[UNIT]],'Unit Price'!G$1,FALSE),0)</f>
        <v>0</v>
      </c>
      <c r="J753" s="194">
        <f>IF(_1_54128456121462410464578910174[[#This Row],[Type]]&gt;0,VLOOKUP(_1_54128456121462410464578910174[[#This Row],[Type]],Main[[#All],[TYPE]:[UNIT]],'Unit Price'!H$1,FALSE),0)</f>
        <v>0</v>
      </c>
      <c r="K753" s="194">
        <f>IF(_1_54128456121462410464578910174[[#This Row],[Discount selection]]&gt;0,VLOOKUP(_1_54128456121462410464578910174[[#This Row],[Discount selection]],'Discount Structure'!$A$2:$B$30,2,"false"),0)</f>
        <v>1</v>
      </c>
      <c r="L753" s="194">
        <f>_1_54128456121462410464578910174[[#This Row],[LIST $]]*_1_54128456121462410464578910174[[#This Row],[DISCOUNT]]*_1_54128456121462410464578910174[[#This Row],[DISCOUNT 2]]</f>
        <v>0</v>
      </c>
      <c r="M753" s="194">
        <f>IF(OR(_1_54128456121462410464578910174[[#This Row],[UNIT]]&gt;0,_1_54128456121462410464578910174[[#This Row],[UNIT]]&lt;0),_1_54128456121462410464578910174[[#This Row],[UNIT]]*_1_54128456121462410464578910174[[#This Row],[COST]],0)</f>
        <v>0</v>
      </c>
      <c r="N753" s="194">
        <f t="shared" si="11"/>
        <v>1.5</v>
      </c>
      <c r="O753" s="198">
        <f>_1_54128456121462410464578910174[[#This Row],[TOTAL]]*_1_54128456121462410464578910174[[#This Row],[MARGIN]]</f>
        <v>0</v>
      </c>
      <c r="R753" s="41"/>
    </row>
    <row r="754" spans="4:18">
      <c r="D754" s="188"/>
      <c r="F754" s="168" t="s">
        <v>6202</v>
      </c>
      <c r="G754" s="193">
        <f>IF(_1_54128456121462410464578910174[[#This Row],[Type]]&gt;0,VLOOKUP(_1_54128456121462410464578910174[[#This Row],[Type]],Main[[#All],[TYPE]:[UNIT]],'Unit Price'!C$1,FALSE),0)</f>
        <v>0</v>
      </c>
      <c r="H754" s="197">
        <f>IF(_1_54128456121462410464578910174[[#This Row],[Type]]&gt;0,VLOOKUP(_1_54128456121462410464578910174[[#This Row],[Type]],Main[[#All],[TYPE]:[UNIT]],'Unit Price'!D$1,FALSE),0)</f>
        <v>0</v>
      </c>
      <c r="I754" s="194">
        <f>IF(_1_54128456121462410464578910174[[#This Row],[Type]]&gt;0,VLOOKUP(_1_54128456121462410464578910174[[#This Row],[Type]],Main[[#All],[TYPE]:[UNIT]],'Unit Price'!G$1,FALSE),0)</f>
        <v>0</v>
      </c>
      <c r="J754" s="194">
        <f>IF(_1_54128456121462410464578910174[[#This Row],[Type]]&gt;0,VLOOKUP(_1_54128456121462410464578910174[[#This Row],[Type]],Main[[#All],[TYPE]:[UNIT]],'Unit Price'!H$1,FALSE),0)</f>
        <v>0</v>
      </c>
      <c r="K754" s="194">
        <f>IF(_1_54128456121462410464578910174[[#This Row],[Discount selection]]&gt;0,VLOOKUP(_1_54128456121462410464578910174[[#This Row],[Discount selection]],'Discount Structure'!$A$2:$B$30,2,"false"),0)</f>
        <v>1</v>
      </c>
      <c r="L754" s="194">
        <f>_1_54128456121462410464578910174[[#This Row],[LIST $]]*_1_54128456121462410464578910174[[#This Row],[DISCOUNT]]*_1_54128456121462410464578910174[[#This Row],[DISCOUNT 2]]</f>
        <v>0</v>
      </c>
      <c r="M754" s="194">
        <f>IF(OR(_1_54128456121462410464578910174[[#This Row],[UNIT]]&gt;0,_1_54128456121462410464578910174[[#This Row],[UNIT]]&lt;0),_1_54128456121462410464578910174[[#This Row],[UNIT]]*_1_54128456121462410464578910174[[#This Row],[COST]],0)</f>
        <v>0</v>
      </c>
      <c r="N754" s="194">
        <f t="shared" si="11"/>
        <v>1.5</v>
      </c>
      <c r="O754" s="198">
        <f>_1_54128456121462410464578910174[[#This Row],[TOTAL]]*_1_54128456121462410464578910174[[#This Row],[MARGIN]]</f>
        <v>0</v>
      </c>
      <c r="R754" s="41"/>
    </row>
    <row r="755" spans="4:18">
      <c r="D755" s="188"/>
      <c r="F755" s="168" t="s">
        <v>6202</v>
      </c>
      <c r="G755" s="193">
        <f>IF(_1_54128456121462410464578910174[[#This Row],[Type]]&gt;0,VLOOKUP(_1_54128456121462410464578910174[[#This Row],[Type]],Main[[#All],[TYPE]:[UNIT]],'Unit Price'!C$1,FALSE),0)</f>
        <v>0</v>
      </c>
      <c r="H755" s="197">
        <f>IF(_1_54128456121462410464578910174[[#This Row],[Type]]&gt;0,VLOOKUP(_1_54128456121462410464578910174[[#This Row],[Type]],Main[[#All],[TYPE]:[UNIT]],'Unit Price'!D$1,FALSE),0)</f>
        <v>0</v>
      </c>
      <c r="I755" s="194">
        <f>IF(_1_54128456121462410464578910174[[#This Row],[Type]]&gt;0,VLOOKUP(_1_54128456121462410464578910174[[#This Row],[Type]],Main[[#All],[TYPE]:[UNIT]],'Unit Price'!G$1,FALSE),0)</f>
        <v>0</v>
      </c>
      <c r="J755" s="194">
        <f>IF(_1_54128456121462410464578910174[[#This Row],[Type]]&gt;0,VLOOKUP(_1_54128456121462410464578910174[[#This Row],[Type]],Main[[#All],[TYPE]:[UNIT]],'Unit Price'!H$1,FALSE),0)</f>
        <v>0</v>
      </c>
      <c r="K755" s="194">
        <f>IF(_1_54128456121462410464578910174[[#This Row],[Discount selection]]&gt;0,VLOOKUP(_1_54128456121462410464578910174[[#This Row],[Discount selection]],'Discount Structure'!$A$2:$B$30,2,"false"),0)</f>
        <v>1</v>
      </c>
      <c r="L755" s="194">
        <f>_1_54128456121462410464578910174[[#This Row],[LIST $]]*_1_54128456121462410464578910174[[#This Row],[DISCOUNT]]*_1_54128456121462410464578910174[[#This Row],[DISCOUNT 2]]</f>
        <v>0</v>
      </c>
      <c r="M755" s="194">
        <f>IF(OR(_1_54128456121462410464578910174[[#This Row],[UNIT]]&gt;0,_1_54128456121462410464578910174[[#This Row],[UNIT]]&lt;0),_1_54128456121462410464578910174[[#This Row],[UNIT]]*_1_54128456121462410464578910174[[#This Row],[COST]],0)</f>
        <v>0</v>
      </c>
      <c r="N755" s="194">
        <f t="shared" si="11"/>
        <v>1.5</v>
      </c>
      <c r="O755" s="198">
        <f>_1_54128456121462410464578910174[[#This Row],[TOTAL]]*_1_54128456121462410464578910174[[#This Row],[MARGIN]]</f>
        <v>0</v>
      </c>
      <c r="R755" s="41"/>
    </row>
    <row r="756" spans="4:18">
      <c r="D756" s="188"/>
      <c r="F756" s="168" t="s">
        <v>6202</v>
      </c>
      <c r="G756" s="193">
        <f>IF(_1_54128456121462410464578910174[[#This Row],[Type]]&gt;0,VLOOKUP(_1_54128456121462410464578910174[[#This Row],[Type]],Main[[#All],[TYPE]:[UNIT]],'Unit Price'!C$1,FALSE),0)</f>
        <v>0</v>
      </c>
      <c r="H756" s="197">
        <f>IF(_1_54128456121462410464578910174[[#This Row],[Type]]&gt;0,VLOOKUP(_1_54128456121462410464578910174[[#This Row],[Type]],Main[[#All],[TYPE]:[UNIT]],'Unit Price'!D$1,FALSE),0)</f>
        <v>0</v>
      </c>
      <c r="I756" s="194">
        <f>IF(_1_54128456121462410464578910174[[#This Row],[Type]]&gt;0,VLOOKUP(_1_54128456121462410464578910174[[#This Row],[Type]],Main[[#All],[TYPE]:[UNIT]],'Unit Price'!G$1,FALSE),0)</f>
        <v>0</v>
      </c>
      <c r="J756" s="194">
        <f>IF(_1_54128456121462410464578910174[[#This Row],[Type]]&gt;0,VLOOKUP(_1_54128456121462410464578910174[[#This Row],[Type]],Main[[#All],[TYPE]:[UNIT]],'Unit Price'!H$1,FALSE),0)</f>
        <v>0</v>
      </c>
      <c r="K756" s="194">
        <f>IF(_1_54128456121462410464578910174[[#This Row],[Discount selection]]&gt;0,VLOOKUP(_1_54128456121462410464578910174[[#This Row],[Discount selection]],'Discount Structure'!$A$2:$B$30,2,"false"),0)</f>
        <v>1</v>
      </c>
      <c r="L756" s="194">
        <f>_1_54128456121462410464578910174[[#This Row],[LIST $]]*_1_54128456121462410464578910174[[#This Row],[DISCOUNT]]*_1_54128456121462410464578910174[[#This Row],[DISCOUNT 2]]</f>
        <v>0</v>
      </c>
      <c r="M756" s="194">
        <f>IF(OR(_1_54128456121462410464578910174[[#This Row],[UNIT]]&gt;0,_1_54128456121462410464578910174[[#This Row],[UNIT]]&lt;0),_1_54128456121462410464578910174[[#This Row],[UNIT]]*_1_54128456121462410464578910174[[#This Row],[COST]],0)</f>
        <v>0</v>
      </c>
      <c r="N756" s="194">
        <f t="shared" si="11"/>
        <v>1.5</v>
      </c>
      <c r="O756" s="198">
        <f>_1_54128456121462410464578910174[[#This Row],[TOTAL]]*_1_54128456121462410464578910174[[#This Row],[MARGIN]]</f>
        <v>0</v>
      </c>
      <c r="R756" s="41"/>
    </row>
    <row r="757" spans="4:18">
      <c r="D757" s="188"/>
      <c r="F757" s="168" t="s">
        <v>6202</v>
      </c>
      <c r="G757" s="193">
        <f>IF(_1_54128456121462410464578910174[[#This Row],[Type]]&gt;0,VLOOKUP(_1_54128456121462410464578910174[[#This Row],[Type]],Main[[#All],[TYPE]:[UNIT]],'Unit Price'!C$1,FALSE),0)</f>
        <v>0</v>
      </c>
      <c r="H757" s="197">
        <f>IF(_1_54128456121462410464578910174[[#This Row],[Type]]&gt;0,VLOOKUP(_1_54128456121462410464578910174[[#This Row],[Type]],Main[[#All],[TYPE]:[UNIT]],'Unit Price'!D$1,FALSE),0)</f>
        <v>0</v>
      </c>
      <c r="I757" s="194">
        <f>IF(_1_54128456121462410464578910174[[#This Row],[Type]]&gt;0,VLOOKUP(_1_54128456121462410464578910174[[#This Row],[Type]],Main[[#All],[TYPE]:[UNIT]],'Unit Price'!G$1,FALSE),0)</f>
        <v>0</v>
      </c>
      <c r="J757" s="194">
        <f>IF(_1_54128456121462410464578910174[[#This Row],[Type]]&gt;0,VLOOKUP(_1_54128456121462410464578910174[[#This Row],[Type]],Main[[#All],[TYPE]:[UNIT]],'Unit Price'!H$1,FALSE),0)</f>
        <v>0</v>
      </c>
      <c r="K757" s="194">
        <f>IF(_1_54128456121462410464578910174[[#This Row],[Discount selection]]&gt;0,VLOOKUP(_1_54128456121462410464578910174[[#This Row],[Discount selection]],'Discount Structure'!$A$2:$B$30,2,"false"),0)</f>
        <v>1</v>
      </c>
      <c r="L757" s="194">
        <f>_1_54128456121462410464578910174[[#This Row],[LIST $]]*_1_54128456121462410464578910174[[#This Row],[DISCOUNT]]*_1_54128456121462410464578910174[[#This Row],[DISCOUNT 2]]</f>
        <v>0</v>
      </c>
      <c r="M757" s="194">
        <f>IF(OR(_1_54128456121462410464578910174[[#This Row],[UNIT]]&gt;0,_1_54128456121462410464578910174[[#This Row],[UNIT]]&lt;0),_1_54128456121462410464578910174[[#This Row],[UNIT]]*_1_54128456121462410464578910174[[#This Row],[COST]],0)</f>
        <v>0</v>
      </c>
      <c r="N757" s="194">
        <f t="shared" si="11"/>
        <v>1.5</v>
      </c>
      <c r="O757" s="198">
        <f>_1_54128456121462410464578910174[[#This Row],[TOTAL]]*_1_54128456121462410464578910174[[#This Row],[MARGIN]]</f>
        <v>0</v>
      </c>
      <c r="R757" s="41"/>
    </row>
    <row r="758" spans="4:18">
      <c r="D758" s="188"/>
      <c r="F758" s="168" t="s">
        <v>6202</v>
      </c>
      <c r="G758" s="193">
        <f>IF(_1_54128456121462410464578910174[[#This Row],[Type]]&gt;0,VLOOKUP(_1_54128456121462410464578910174[[#This Row],[Type]],Main[[#All],[TYPE]:[UNIT]],'Unit Price'!C$1,FALSE),0)</f>
        <v>0</v>
      </c>
      <c r="H758" s="197">
        <f>IF(_1_54128456121462410464578910174[[#This Row],[Type]]&gt;0,VLOOKUP(_1_54128456121462410464578910174[[#This Row],[Type]],Main[[#All],[TYPE]:[UNIT]],'Unit Price'!D$1,FALSE),0)</f>
        <v>0</v>
      </c>
      <c r="I758" s="194">
        <f>IF(_1_54128456121462410464578910174[[#This Row],[Type]]&gt;0,VLOOKUP(_1_54128456121462410464578910174[[#This Row],[Type]],Main[[#All],[TYPE]:[UNIT]],'Unit Price'!G$1,FALSE),0)</f>
        <v>0</v>
      </c>
      <c r="J758" s="194">
        <f>IF(_1_54128456121462410464578910174[[#This Row],[Type]]&gt;0,VLOOKUP(_1_54128456121462410464578910174[[#This Row],[Type]],Main[[#All],[TYPE]:[UNIT]],'Unit Price'!H$1,FALSE),0)</f>
        <v>0</v>
      </c>
      <c r="K758" s="194">
        <f>IF(_1_54128456121462410464578910174[[#This Row],[Discount selection]]&gt;0,VLOOKUP(_1_54128456121462410464578910174[[#This Row],[Discount selection]],'Discount Structure'!$A$2:$B$30,2,"false"),0)</f>
        <v>1</v>
      </c>
      <c r="L758" s="194">
        <f>_1_54128456121462410464578910174[[#This Row],[LIST $]]*_1_54128456121462410464578910174[[#This Row],[DISCOUNT]]*_1_54128456121462410464578910174[[#This Row],[DISCOUNT 2]]</f>
        <v>0</v>
      </c>
      <c r="M758" s="194">
        <f>IF(OR(_1_54128456121462410464578910174[[#This Row],[UNIT]]&gt;0,_1_54128456121462410464578910174[[#This Row],[UNIT]]&lt;0),_1_54128456121462410464578910174[[#This Row],[UNIT]]*_1_54128456121462410464578910174[[#This Row],[COST]],0)</f>
        <v>0</v>
      </c>
      <c r="N758" s="194">
        <f t="shared" si="11"/>
        <v>1.5</v>
      </c>
      <c r="O758" s="198">
        <f>_1_54128456121462410464578910174[[#This Row],[TOTAL]]*_1_54128456121462410464578910174[[#This Row],[MARGIN]]</f>
        <v>0</v>
      </c>
      <c r="R758" s="41"/>
    </row>
    <row r="759" spans="4:18">
      <c r="D759" s="188"/>
      <c r="F759" s="168" t="s">
        <v>6202</v>
      </c>
      <c r="G759" s="193">
        <f>IF(_1_54128456121462410464578910174[[#This Row],[Type]]&gt;0,VLOOKUP(_1_54128456121462410464578910174[[#This Row],[Type]],Main[[#All],[TYPE]:[UNIT]],'Unit Price'!C$1,FALSE),0)</f>
        <v>0</v>
      </c>
      <c r="H759" s="197">
        <f>IF(_1_54128456121462410464578910174[[#This Row],[Type]]&gt;0,VLOOKUP(_1_54128456121462410464578910174[[#This Row],[Type]],Main[[#All],[TYPE]:[UNIT]],'Unit Price'!D$1,FALSE),0)</f>
        <v>0</v>
      </c>
      <c r="I759" s="194">
        <f>IF(_1_54128456121462410464578910174[[#This Row],[Type]]&gt;0,VLOOKUP(_1_54128456121462410464578910174[[#This Row],[Type]],Main[[#All],[TYPE]:[UNIT]],'Unit Price'!G$1,FALSE),0)</f>
        <v>0</v>
      </c>
      <c r="J759" s="194">
        <f>IF(_1_54128456121462410464578910174[[#This Row],[Type]]&gt;0,VLOOKUP(_1_54128456121462410464578910174[[#This Row],[Type]],Main[[#All],[TYPE]:[UNIT]],'Unit Price'!H$1,FALSE),0)</f>
        <v>0</v>
      </c>
      <c r="K759" s="194">
        <f>IF(_1_54128456121462410464578910174[[#This Row],[Discount selection]]&gt;0,VLOOKUP(_1_54128456121462410464578910174[[#This Row],[Discount selection]],'Discount Structure'!$A$2:$B$30,2,"false"),0)</f>
        <v>1</v>
      </c>
      <c r="L759" s="194">
        <f>_1_54128456121462410464578910174[[#This Row],[LIST $]]*_1_54128456121462410464578910174[[#This Row],[DISCOUNT]]*_1_54128456121462410464578910174[[#This Row],[DISCOUNT 2]]</f>
        <v>0</v>
      </c>
      <c r="M759" s="194">
        <f>IF(OR(_1_54128456121462410464578910174[[#This Row],[UNIT]]&gt;0,_1_54128456121462410464578910174[[#This Row],[UNIT]]&lt;0),_1_54128456121462410464578910174[[#This Row],[UNIT]]*_1_54128456121462410464578910174[[#This Row],[COST]],0)</f>
        <v>0</v>
      </c>
      <c r="N759" s="194">
        <f t="shared" si="11"/>
        <v>1.5</v>
      </c>
      <c r="O759" s="198">
        <f>_1_54128456121462410464578910174[[#This Row],[TOTAL]]*_1_54128456121462410464578910174[[#This Row],[MARGIN]]</f>
        <v>0</v>
      </c>
      <c r="R759" s="41"/>
    </row>
    <row r="760" spans="4:18">
      <c r="D760" s="188"/>
      <c r="F760" s="168" t="s">
        <v>6202</v>
      </c>
      <c r="G760" s="193">
        <f>IF(_1_54128456121462410464578910174[[#This Row],[Type]]&gt;0,VLOOKUP(_1_54128456121462410464578910174[[#This Row],[Type]],Main[[#All],[TYPE]:[UNIT]],'Unit Price'!C$1,FALSE),0)</f>
        <v>0</v>
      </c>
      <c r="H760" s="197">
        <f>IF(_1_54128456121462410464578910174[[#This Row],[Type]]&gt;0,VLOOKUP(_1_54128456121462410464578910174[[#This Row],[Type]],Main[[#All],[TYPE]:[UNIT]],'Unit Price'!D$1,FALSE),0)</f>
        <v>0</v>
      </c>
      <c r="I760" s="194">
        <f>IF(_1_54128456121462410464578910174[[#This Row],[Type]]&gt;0,VLOOKUP(_1_54128456121462410464578910174[[#This Row],[Type]],Main[[#All],[TYPE]:[UNIT]],'Unit Price'!G$1,FALSE),0)</f>
        <v>0</v>
      </c>
      <c r="J760" s="194">
        <f>IF(_1_54128456121462410464578910174[[#This Row],[Type]]&gt;0,VLOOKUP(_1_54128456121462410464578910174[[#This Row],[Type]],Main[[#All],[TYPE]:[UNIT]],'Unit Price'!H$1,FALSE),0)</f>
        <v>0</v>
      </c>
      <c r="K760" s="194">
        <f>IF(_1_54128456121462410464578910174[[#This Row],[Discount selection]]&gt;0,VLOOKUP(_1_54128456121462410464578910174[[#This Row],[Discount selection]],'Discount Structure'!$A$2:$B$30,2,"false"),0)</f>
        <v>1</v>
      </c>
      <c r="L760" s="194">
        <f>_1_54128456121462410464578910174[[#This Row],[LIST $]]*_1_54128456121462410464578910174[[#This Row],[DISCOUNT]]*_1_54128456121462410464578910174[[#This Row],[DISCOUNT 2]]</f>
        <v>0</v>
      </c>
      <c r="M760" s="194">
        <f>IF(OR(_1_54128456121462410464578910174[[#This Row],[UNIT]]&gt;0,_1_54128456121462410464578910174[[#This Row],[UNIT]]&lt;0),_1_54128456121462410464578910174[[#This Row],[UNIT]]*_1_54128456121462410464578910174[[#This Row],[COST]],0)</f>
        <v>0</v>
      </c>
      <c r="N760" s="194">
        <f t="shared" si="11"/>
        <v>1.5</v>
      </c>
      <c r="O760" s="198">
        <f>_1_54128456121462410464578910174[[#This Row],[TOTAL]]*_1_54128456121462410464578910174[[#This Row],[MARGIN]]</f>
        <v>0</v>
      </c>
      <c r="R760" s="41"/>
    </row>
    <row r="761" spans="4:18">
      <c r="D761" s="188"/>
      <c r="F761" s="168" t="s">
        <v>6202</v>
      </c>
      <c r="G761" s="193">
        <f>IF(_1_54128456121462410464578910174[[#This Row],[Type]]&gt;0,VLOOKUP(_1_54128456121462410464578910174[[#This Row],[Type]],Main[[#All],[TYPE]:[UNIT]],'Unit Price'!C$1,FALSE),0)</f>
        <v>0</v>
      </c>
      <c r="H761" s="197">
        <f>IF(_1_54128456121462410464578910174[[#This Row],[Type]]&gt;0,VLOOKUP(_1_54128456121462410464578910174[[#This Row],[Type]],Main[[#All],[TYPE]:[UNIT]],'Unit Price'!D$1,FALSE),0)</f>
        <v>0</v>
      </c>
      <c r="I761" s="194">
        <f>IF(_1_54128456121462410464578910174[[#This Row],[Type]]&gt;0,VLOOKUP(_1_54128456121462410464578910174[[#This Row],[Type]],Main[[#All],[TYPE]:[UNIT]],'Unit Price'!G$1,FALSE),0)</f>
        <v>0</v>
      </c>
      <c r="J761" s="194">
        <f>IF(_1_54128456121462410464578910174[[#This Row],[Type]]&gt;0,VLOOKUP(_1_54128456121462410464578910174[[#This Row],[Type]],Main[[#All],[TYPE]:[UNIT]],'Unit Price'!H$1,FALSE),0)</f>
        <v>0</v>
      </c>
      <c r="K761" s="194">
        <f>IF(_1_54128456121462410464578910174[[#This Row],[Discount selection]]&gt;0,VLOOKUP(_1_54128456121462410464578910174[[#This Row],[Discount selection]],'Discount Structure'!$A$2:$B$30,2,"false"),0)</f>
        <v>1</v>
      </c>
      <c r="L761" s="194">
        <f>_1_54128456121462410464578910174[[#This Row],[LIST $]]*_1_54128456121462410464578910174[[#This Row],[DISCOUNT]]*_1_54128456121462410464578910174[[#This Row],[DISCOUNT 2]]</f>
        <v>0</v>
      </c>
      <c r="M761" s="194">
        <f>IF(OR(_1_54128456121462410464578910174[[#This Row],[UNIT]]&gt;0,_1_54128456121462410464578910174[[#This Row],[UNIT]]&lt;0),_1_54128456121462410464578910174[[#This Row],[UNIT]]*_1_54128456121462410464578910174[[#This Row],[COST]],0)</f>
        <v>0</v>
      </c>
      <c r="N761" s="194">
        <f t="shared" si="11"/>
        <v>1.5</v>
      </c>
      <c r="O761" s="198">
        <f>_1_54128456121462410464578910174[[#This Row],[TOTAL]]*_1_54128456121462410464578910174[[#This Row],[MARGIN]]</f>
        <v>0</v>
      </c>
      <c r="R761" s="41"/>
    </row>
    <row r="762" spans="4:18">
      <c r="D762" s="188"/>
      <c r="F762" s="168" t="s">
        <v>6202</v>
      </c>
      <c r="G762" s="193">
        <f>IF(_1_54128456121462410464578910174[[#This Row],[Type]]&gt;0,VLOOKUP(_1_54128456121462410464578910174[[#This Row],[Type]],Main[[#All],[TYPE]:[UNIT]],'Unit Price'!C$1,FALSE),0)</f>
        <v>0</v>
      </c>
      <c r="H762" s="197">
        <f>IF(_1_54128456121462410464578910174[[#This Row],[Type]]&gt;0,VLOOKUP(_1_54128456121462410464578910174[[#This Row],[Type]],Main[[#All],[TYPE]:[UNIT]],'Unit Price'!D$1,FALSE),0)</f>
        <v>0</v>
      </c>
      <c r="I762" s="194">
        <f>IF(_1_54128456121462410464578910174[[#This Row],[Type]]&gt;0,VLOOKUP(_1_54128456121462410464578910174[[#This Row],[Type]],Main[[#All],[TYPE]:[UNIT]],'Unit Price'!G$1,FALSE),0)</f>
        <v>0</v>
      </c>
      <c r="J762" s="194">
        <f>IF(_1_54128456121462410464578910174[[#This Row],[Type]]&gt;0,VLOOKUP(_1_54128456121462410464578910174[[#This Row],[Type]],Main[[#All],[TYPE]:[UNIT]],'Unit Price'!H$1,FALSE),0)</f>
        <v>0</v>
      </c>
      <c r="K762" s="194">
        <f>IF(_1_54128456121462410464578910174[[#This Row],[Discount selection]]&gt;0,VLOOKUP(_1_54128456121462410464578910174[[#This Row],[Discount selection]],'Discount Structure'!$A$2:$B$30,2,"false"),0)</f>
        <v>1</v>
      </c>
      <c r="L762" s="194">
        <f>_1_54128456121462410464578910174[[#This Row],[LIST $]]*_1_54128456121462410464578910174[[#This Row],[DISCOUNT]]*_1_54128456121462410464578910174[[#This Row],[DISCOUNT 2]]</f>
        <v>0</v>
      </c>
      <c r="M762" s="194">
        <f>IF(OR(_1_54128456121462410464578910174[[#This Row],[UNIT]]&gt;0,_1_54128456121462410464578910174[[#This Row],[UNIT]]&lt;0),_1_54128456121462410464578910174[[#This Row],[UNIT]]*_1_54128456121462410464578910174[[#This Row],[COST]],0)</f>
        <v>0</v>
      </c>
      <c r="N762" s="194">
        <f t="shared" si="11"/>
        <v>1.5</v>
      </c>
      <c r="O762" s="198">
        <f>_1_54128456121462410464578910174[[#This Row],[TOTAL]]*_1_54128456121462410464578910174[[#This Row],[MARGIN]]</f>
        <v>0</v>
      </c>
      <c r="R762" s="41"/>
    </row>
    <row r="763" spans="4:18">
      <c r="D763" s="188"/>
      <c r="F763" s="168" t="s">
        <v>6202</v>
      </c>
      <c r="G763" s="193">
        <f>IF(_1_54128456121462410464578910174[[#This Row],[Type]]&gt;0,VLOOKUP(_1_54128456121462410464578910174[[#This Row],[Type]],Main[[#All],[TYPE]:[UNIT]],'Unit Price'!C$1,FALSE),0)</f>
        <v>0</v>
      </c>
      <c r="H763" s="197">
        <f>IF(_1_54128456121462410464578910174[[#This Row],[Type]]&gt;0,VLOOKUP(_1_54128456121462410464578910174[[#This Row],[Type]],Main[[#All],[TYPE]:[UNIT]],'Unit Price'!D$1,FALSE),0)</f>
        <v>0</v>
      </c>
      <c r="I763" s="194">
        <f>IF(_1_54128456121462410464578910174[[#This Row],[Type]]&gt;0,VLOOKUP(_1_54128456121462410464578910174[[#This Row],[Type]],Main[[#All],[TYPE]:[UNIT]],'Unit Price'!G$1,FALSE),0)</f>
        <v>0</v>
      </c>
      <c r="J763" s="194">
        <f>IF(_1_54128456121462410464578910174[[#This Row],[Type]]&gt;0,VLOOKUP(_1_54128456121462410464578910174[[#This Row],[Type]],Main[[#All],[TYPE]:[UNIT]],'Unit Price'!H$1,FALSE),0)</f>
        <v>0</v>
      </c>
      <c r="K763" s="194">
        <f>IF(_1_54128456121462410464578910174[[#This Row],[Discount selection]]&gt;0,VLOOKUP(_1_54128456121462410464578910174[[#This Row],[Discount selection]],'Discount Structure'!$A$2:$B$30,2,"false"),0)</f>
        <v>1</v>
      </c>
      <c r="L763" s="194">
        <f>_1_54128456121462410464578910174[[#This Row],[LIST $]]*_1_54128456121462410464578910174[[#This Row],[DISCOUNT]]*_1_54128456121462410464578910174[[#This Row],[DISCOUNT 2]]</f>
        <v>0</v>
      </c>
      <c r="M763" s="194">
        <f>IF(OR(_1_54128456121462410464578910174[[#This Row],[UNIT]]&gt;0,_1_54128456121462410464578910174[[#This Row],[UNIT]]&lt;0),_1_54128456121462410464578910174[[#This Row],[UNIT]]*_1_54128456121462410464578910174[[#This Row],[COST]],0)</f>
        <v>0</v>
      </c>
      <c r="N763" s="194">
        <f t="shared" si="11"/>
        <v>1.5</v>
      </c>
      <c r="O763" s="198">
        <f>_1_54128456121462410464578910174[[#This Row],[TOTAL]]*_1_54128456121462410464578910174[[#This Row],[MARGIN]]</f>
        <v>0</v>
      </c>
      <c r="R763" s="41"/>
    </row>
    <row r="764" spans="4:18">
      <c r="D764" s="188"/>
      <c r="F764" s="168" t="s">
        <v>6202</v>
      </c>
      <c r="G764" s="193">
        <f>IF(_1_54128456121462410464578910174[[#This Row],[Type]]&gt;0,VLOOKUP(_1_54128456121462410464578910174[[#This Row],[Type]],Main[[#All],[TYPE]:[UNIT]],'Unit Price'!C$1,FALSE),0)</f>
        <v>0</v>
      </c>
      <c r="H764" s="197">
        <f>IF(_1_54128456121462410464578910174[[#This Row],[Type]]&gt;0,VLOOKUP(_1_54128456121462410464578910174[[#This Row],[Type]],Main[[#All],[TYPE]:[UNIT]],'Unit Price'!D$1,FALSE),0)</f>
        <v>0</v>
      </c>
      <c r="I764" s="194">
        <f>IF(_1_54128456121462410464578910174[[#This Row],[Type]]&gt;0,VLOOKUP(_1_54128456121462410464578910174[[#This Row],[Type]],Main[[#All],[TYPE]:[UNIT]],'Unit Price'!G$1,FALSE),0)</f>
        <v>0</v>
      </c>
      <c r="J764" s="194">
        <f>IF(_1_54128456121462410464578910174[[#This Row],[Type]]&gt;0,VLOOKUP(_1_54128456121462410464578910174[[#This Row],[Type]],Main[[#All],[TYPE]:[UNIT]],'Unit Price'!H$1,FALSE),0)</f>
        <v>0</v>
      </c>
      <c r="K764" s="194">
        <f>IF(_1_54128456121462410464578910174[[#This Row],[Discount selection]]&gt;0,VLOOKUP(_1_54128456121462410464578910174[[#This Row],[Discount selection]],'Discount Structure'!$A$2:$B$30,2,"false"),0)</f>
        <v>1</v>
      </c>
      <c r="L764" s="194">
        <f>_1_54128456121462410464578910174[[#This Row],[LIST $]]*_1_54128456121462410464578910174[[#This Row],[DISCOUNT]]*_1_54128456121462410464578910174[[#This Row],[DISCOUNT 2]]</f>
        <v>0</v>
      </c>
      <c r="M764" s="194">
        <f>IF(OR(_1_54128456121462410464578910174[[#This Row],[UNIT]]&gt;0,_1_54128456121462410464578910174[[#This Row],[UNIT]]&lt;0),_1_54128456121462410464578910174[[#This Row],[UNIT]]*_1_54128456121462410464578910174[[#This Row],[COST]],0)</f>
        <v>0</v>
      </c>
      <c r="N764" s="194">
        <f t="shared" si="11"/>
        <v>1.5</v>
      </c>
      <c r="O764" s="198">
        <f>_1_54128456121462410464578910174[[#This Row],[TOTAL]]*_1_54128456121462410464578910174[[#This Row],[MARGIN]]</f>
        <v>0</v>
      </c>
      <c r="R764" s="41"/>
    </row>
    <row r="765" spans="4:18">
      <c r="D765" s="188"/>
      <c r="F765" s="168" t="s">
        <v>6202</v>
      </c>
      <c r="G765" s="193">
        <f>IF(_1_54128456121462410464578910174[[#This Row],[Type]]&gt;0,VLOOKUP(_1_54128456121462410464578910174[[#This Row],[Type]],Main[[#All],[TYPE]:[UNIT]],'Unit Price'!C$1,FALSE),0)</f>
        <v>0</v>
      </c>
      <c r="H765" s="197">
        <f>IF(_1_54128456121462410464578910174[[#This Row],[Type]]&gt;0,VLOOKUP(_1_54128456121462410464578910174[[#This Row],[Type]],Main[[#All],[TYPE]:[UNIT]],'Unit Price'!D$1,FALSE),0)</f>
        <v>0</v>
      </c>
      <c r="I765" s="194">
        <f>IF(_1_54128456121462410464578910174[[#This Row],[Type]]&gt;0,VLOOKUP(_1_54128456121462410464578910174[[#This Row],[Type]],Main[[#All],[TYPE]:[UNIT]],'Unit Price'!G$1,FALSE),0)</f>
        <v>0</v>
      </c>
      <c r="J765" s="194">
        <f>IF(_1_54128456121462410464578910174[[#This Row],[Type]]&gt;0,VLOOKUP(_1_54128456121462410464578910174[[#This Row],[Type]],Main[[#All],[TYPE]:[UNIT]],'Unit Price'!H$1,FALSE),0)</f>
        <v>0</v>
      </c>
      <c r="K765" s="194">
        <f>IF(_1_54128456121462410464578910174[[#This Row],[Discount selection]]&gt;0,VLOOKUP(_1_54128456121462410464578910174[[#This Row],[Discount selection]],'Discount Structure'!$A$2:$B$30,2,"false"),0)</f>
        <v>1</v>
      </c>
      <c r="L765" s="194">
        <f>_1_54128456121462410464578910174[[#This Row],[LIST $]]*_1_54128456121462410464578910174[[#This Row],[DISCOUNT]]*_1_54128456121462410464578910174[[#This Row],[DISCOUNT 2]]</f>
        <v>0</v>
      </c>
      <c r="M765" s="194">
        <f>IF(OR(_1_54128456121462410464578910174[[#This Row],[UNIT]]&gt;0,_1_54128456121462410464578910174[[#This Row],[UNIT]]&lt;0),_1_54128456121462410464578910174[[#This Row],[UNIT]]*_1_54128456121462410464578910174[[#This Row],[COST]],0)</f>
        <v>0</v>
      </c>
      <c r="N765" s="194">
        <f t="shared" si="11"/>
        <v>1.5</v>
      </c>
      <c r="O765" s="198">
        <f>_1_54128456121462410464578910174[[#This Row],[TOTAL]]*_1_54128456121462410464578910174[[#This Row],[MARGIN]]</f>
        <v>0</v>
      </c>
      <c r="R765" s="41"/>
    </row>
    <row r="766" spans="4:18">
      <c r="D766" s="188"/>
      <c r="F766" s="168" t="s">
        <v>6202</v>
      </c>
      <c r="G766" s="193">
        <f>IF(_1_54128456121462410464578910174[[#This Row],[Type]]&gt;0,VLOOKUP(_1_54128456121462410464578910174[[#This Row],[Type]],Main[[#All],[TYPE]:[UNIT]],'Unit Price'!C$1,FALSE),0)</f>
        <v>0</v>
      </c>
      <c r="H766" s="197">
        <f>IF(_1_54128456121462410464578910174[[#This Row],[Type]]&gt;0,VLOOKUP(_1_54128456121462410464578910174[[#This Row],[Type]],Main[[#All],[TYPE]:[UNIT]],'Unit Price'!D$1,FALSE),0)</f>
        <v>0</v>
      </c>
      <c r="I766" s="194">
        <f>IF(_1_54128456121462410464578910174[[#This Row],[Type]]&gt;0,VLOOKUP(_1_54128456121462410464578910174[[#This Row],[Type]],Main[[#All],[TYPE]:[UNIT]],'Unit Price'!G$1,FALSE),0)</f>
        <v>0</v>
      </c>
      <c r="J766" s="194">
        <f>IF(_1_54128456121462410464578910174[[#This Row],[Type]]&gt;0,VLOOKUP(_1_54128456121462410464578910174[[#This Row],[Type]],Main[[#All],[TYPE]:[UNIT]],'Unit Price'!H$1,FALSE),0)</f>
        <v>0</v>
      </c>
      <c r="K766" s="194">
        <f>IF(_1_54128456121462410464578910174[[#This Row],[Discount selection]]&gt;0,VLOOKUP(_1_54128456121462410464578910174[[#This Row],[Discount selection]],'Discount Structure'!$A$2:$B$30,2,"false"),0)</f>
        <v>1</v>
      </c>
      <c r="L766" s="194">
        <f>_1_54128456121462410464578910174[[#This Row],[LIST $]]*_1_54128456121462410464578910174[[#This Row],[DISCOUNT]]*_1_54128456121462410464578910174[[#This Row],[DISCOUNT 2]]</f>
        <v>0</v>
      </c>
      <c r="M766" s="194">
        <f>IF(OR(_1_54128456121462410464578910174[[#This Row],[UNIT]]&gt;0,_1_54128456121462410464578910174[[#This Row],[UNIT]]&lt;0),_1_54128456121462410464578910174[[#This Row],[UNIT]]*_1_54128456121462410464578910174[[#This Row],[COST]],0)</f>
        <v>0</v>
      </c>
      <c r="N766" s="194">
        <f t="shared" si="11"/>
        <v>1.5</v>
      </c>
      <c r="O766" s="198">
        <f>_1_54128456121462410464578910174[[#This Row],[TOTAL]]*_1_54128456121462410464578910174[[#This Row],[MARGIN]]</f>
        <v>0</v>
      </c>
      <c r="R766" s="41"/>
    </row>
    <row r="767" spans="4:18">
      <c r="D767" s="188"/>
      <c r="F767" s="168" t="s">
        <v>6202</v>
      </c>
      <c r="G767" s="193">
        <f>IF(_1_54128456121462410464578910174[[#This Row],[Type]]&gt;0,VLOOKUP(_1_54128456121462410464578910174[[#This Row],[Type]],Main[[#All],[TYPE]:[UNIT]],'Unit Price'!C$1,FALSE),0)</f>
        <v>0</v>
      </c>
      <c r="H767" s="197">
        <f>IF(_1_54128456121462410464578910174[[#This Row],[Type]]&gt;0,VLOOKUP(_1_54128456121462410464578910174[[#This Row],[Type]],Main[[#All],[TYPE]:[UNIT]],'Unit Price'!D$1,FALSE),0)</f>
        <v>0</v>
      </c>
      <c r="I767" s="194">
        <f>IF(_1_54128456121462410464578910174[[#This Row],[Type]]&gt;0,VLOOKUP(_1_54128456121462410464578910174[[#This Row],[Type]],Main[[#All],[TYPE]:[UNIT]],'Unit Price'!G$1,FALSE),0)</f>
        <v>0</v>
      </c>
      <c r="J767" s="194">
        <f>IF(_1_54128456121462410464578910174[[#This Row],[Type]]&gt;0,VLOOKUP(_1_54128456121462410464578910174[[#This Row],[Type]],Main[[#All],[TYPE]:[UNIT]],'Unit Price'!H$1,FALSE),0)</f>
        <v>0</v>
      </c>
      <c r="K767" s="194">
        <f>IF(_1_54128456121462410464578910174[[#This Row],[Discount selection]]&gt;0,VLOOKUP(_1_54128456121462410464578910174[[#This Row],[Discount selection]],'Discount Structure'!$A$2:$B$30,2,"false"),0)</f>
        <v>1</v>
      </c>
      <c r="L767" s="194">
        <f>_1_54128456121462410464578910174[[#This Row],[LIST $]]*_1_54128456121462410464578910174[[#This Row],[DISCOUNT]]*_1_54128456121462410464578910174[[#This Row],[DISCOUNT 2]]</f>
        <v>0</v>
      </c>
      <c r="M767" s="194">
        <f>IF(OR(_1_54128456121462410464578910174[[#This Row],[UNIT]]&gt;0,_1_54128456121462410464578910174[[#This Row],[UNIT]]&lt;0),_1_54128456121462410464578910174[[#This Row],[UNIT]]*_1_54128456121462410464578910174[[#This Row],[COST]],0)</f>
        <v>0</v>
      </c>
      <c r="N767" s="194">
        <f t="shared" si="11"/>
        <v>1.5</v>
      </c>
      <c r="O767" s="198">
        <f>_1_54128456121462410464578910174[[#This Row],[TOTAL]]*_1_54128456121462410464578910174[[#This Row],[MARGIN]]</f>
        <v>0</v>
      </c>
      <c r="R767" s="41"/>
    </row>
    <row r="768" spans="4:18">
      <c r="D768" s="188"/>
      <c r="F768" s="168" t="s">
        <v>6202</v>
      </c>
      <c r="G768" s="193">
        <f>IF(_1_54128456121462410464578910174[[#This Row],[Type]]&gt;0,VLOOKUP(_1_54128456121462410464578910174[[#This Row],[Type]],Main[[#All],[TYPE]:[UNIT]],'Unit Price'!C$1,FALSE),0)</f>
        <v>0</v>
      </c>
      <c r="H768" s="197">
        <f>IF(_1_54128456121462410464578910174[[#This Row],[Type]]&gt;0,VLOOKUP(_1_54128456121462410464578910174[[#This Row],[Type]],Main[[#All],[TYPE]:[UNIT]],'Unit Price'!D$1,FALSE),0)</f>
        <v>0</v>
      </c>
      <c r="I768" s="194">
        <f>IF(_1_54128456121462410464578910174[[#This Row],[Type]]&gt;0,VLOOKUP(_1_54128456121462410464578910174[[#This Row],[Type]],Main[[#All],[TYPE]:[UNIT]],'Unit Price'!G$1,FALSE),0)</f>
        <v>0</v>
      </c>
      <c r="J768" s="194">
        <f>IF(_1_54128456121462410464578910174[[#This Row],[Type]]&gt;0,VLOOKUP(_1_54128456121462410464578910174[[#This Row],[Type]],Main[[#All],[TYPE]:[UNIT]],'Unit Price'!H$1,FALSE),0)</f>
        <v>0</v>
      </c>
      <c r="K768" s="194">
        <f>IF(_1_54128456121462410464578910174[[#This Row],[Discount selection]]&gt;0,VLOOKUP(_1_54128456121462410464578910174[[#This Row],[Discount selection]],'Discount Structure'!$A$2:$B$30,2,"false"),0)</f>
        <v>1</v>
      </c>
      <c r="L768" s="194">
        <f>_1_54128456121462410464578910174[[#This Row],[LIST $]]*_1_54128456121462410464578910174[[#This Row],[DISCOUNT]]*_1_54128456121462410464578910174[[#This Row],[DISCOUNT 2]]</f>
        <v>0</v>
      </c>
      <c r="M768" s="194">
        <f>IF(OR(_1_54128456121462410464578910174[[#This Row],[UNIT]]&gt;0,_1_54128456121462410464578910174[[#This Row],[UNIT]]&lt;0),_1_54128456121462410464578910174[[#This Row],[UNIT]]*_1_54128456121462410464578910174[[#This Row],[COST]],0)</f>
        <v>0</v>
      </c>
      <c r="N768" s="194">
        <f t="shared" si="11"/>
        <v>1.5</v>
      </c>
      <c r="O768" s="198">
        <f>_1_54128456121462410464578910174[[#This Row],[TOTAL]]*_1_54128456121462410464578910174[[#This Row],[MARGIN]]</f>
        <v>0</v>
      </c>
      <c r="R768" s="41"/>
    </row>
    <row r="769" spans="4:18">
      <c r="D769" s="188"/>
      <c r="F769" s="168" t="s">
        <v>6202</v>
      </c>
      <c r="G769" s="193">
        <f>IF(_1_54128456121462410464578910174[[#This Row],[Type]]&gt;0,VLOOKUP(_1_54128456121462410464578910174[[#This Row],[Type]],Main[[#All],[TYPE]:[UNIT]],'Unit Price'!C$1,FALSE),0)</f>
        <v>0</v>
      </c>
      <c r="H769" s="197">
        <f>IF(_1_54128456121462410464578910174[[#This Row],[Type]]&gt;0,VLOOKUP(_1_54128456121462410464578910174[[#This Row],[Type]],Main[[#All],[TYPE]:[UNIT]],'Unit Price'!D$1,FALSE),0)</f>
        <v>0</v>
      </c>
      <c r="I769" s="194">
        <f>IF(_1_54128456121462410464578910174[[#This Row],[Type]]&gt;0,VLOOKUP(_1_54128456121462410464578910174[[#This Row],[Type]],Main[[#All],[TYPE]:[UNIT]],'Unit Price'!G$1,FALSE),0)</f>
        <v>0</v>
      </c>
      <c r="J769" s="194">
        <f>IF(_1_54128456121462410464578910174[[#This Row],[Type]]&gt;0,VLOOKUP(_1_54128456121462410464578910174[[#This Row],[Type]],Main[[#All],[TYPE]:[UNIT]],'Unit Price'!H$1,FALSE),0)</f>
        <v>0</v>
      </c>
      <c r="K769" s="194">
        <f>IF(_1_54128456121462410464578910174[[#This Row],[Discount selection]]&gt;0,VLOOKUP(_1_54128456121462410464578910174[[#This Row],[Discount selection]],'Discount Structure'!$A$2:$B$30,2,"false"),0)</f>
        <v>1</v>
      </c>
      <c r="L769" s="194">
        <f>_1_54128456121462410464578910174[[#This Row],[LIST $]]*_1_54128456121462410464578910174[[#This Row],[DISCOUNT]]*_1_54128456121462410464578910174[[#This Row],[DISCOUNT 2]]</f>
        <v>0</v>
      </c>
      <c r="M769" s="194">
        <f>IF(OR(_1_54128456121462410464578910174[[#This Row],[UNIT]]&gt;0,_1_54128456121462410464578910174[[#This Row],[UNIT]]&lt;0),_1_54128456121462410464578910174[[#This Row],[UNIT]]*_1_54128456121462410464578910174[[#This Row],[COST]],0)</f>
        <v>0</v>
      </c>
      <c r="N769" s="194">
        <f t="shared" si="11"/>
        <v>1.5</v>
      </c>
      <c r="O769" s="198">
        <f>_1_54128456121462410464578910174[[#This Row],[TOTAL]]*_1_54128456121462410464578910174[[#This Row],[MARGIN]]</f>
        <v>0</v>
      </c>
      <c r="R769" s="41"/>
    </row>
    <row r="770" spans="4:18">
      <c r="D770" s="188"/>
      <c r="F770" s="168" t="s">
        <v>6202</v>
      </c>
      <c r="G770" s="193">
        <f>IF(_1_54128456121462410464578910174[[#This Row],[Type]]&gt;0,VLOOKUP(_1_54128456121462410464578910174[[#This Row],[Type]],Main[[#All],[TYPE]:[UNIT]],'Unit Price'!C$1,FALSE),0)</f>
        <v>0</v>
      </c>
      <c r="H770" s="197">
        <f>IF(_1_54128456121462410464578910174[[#This Row],[Type]]&gt;0,VLOOKUP(_1_54128456121462410464578910174[[#This Row],[Type]],Main[[#All],[TYPE]:[UNIT]],'Unit Price'!D$1,FALSE),0)</f>
        <v>0</v>
      </c>
      <c r="I770" s="194">
        <f>IF(_1_54128456121462410464578910174[[#This Row],[Type]]&gt;0,VLOOKUP(_1_54128456121462410464578910174[[#This Row],[Type]],Main[[#All],[TYPE]:[UNIT]],'Unit Price'!G$1,FALSE),0)</f>
        <v>0</v>
      </c>
      <c r="J770" s="194">
        <f>IF(_1_54128456121462410464578910174[[#This Row],[Type]]&gt;0,VLOOKUP(_1_54128456121462410464578910174[[#This Row],[Type]],Main[[#All],[TYPE]:[UNIT]],'Unit Price'!H$1,FALSE),0)</f>
        <v>0</v>
      </c>
      <c r="K770" s="194">
        <f>IF(_1_54128456121462410464578910174[[#This Row],[Discount selection]]&gt;0,VLOOKUP(_1_54128456121462410464578910174[[#This Row],[Discount selection]],'Discount Structure'!$A$2:$B$30,2,"false"),0)</f>
        <v>1</v>
      </c>
      <c r="L770" s="194">
        <f>_1_54128456121462410464578910174[[#This Row],[LIST $]]*_1_54128456121462410464578910174[[#This Row],[DISCOUNT]]*_1_54128456121462410464578910174[[#This Row],[DISCOUNT 2]]</f>
        <v>0</v>
      </c>
      <c r="M770" s="194">
        <f>IF(OR(_1_54128456121462410464578910174[[#This Row],[UNIT]]&gt;0,_1_54128456121462410464578910174[[#This Row],[UNIT]]&lt;0),_1_54128456121462410464578910174[[#This Row],[UNIT]]*_1_54128456121462410464578910174[[#This Row],[COST]],0)</f>
        <v>0</v>
      </c>
      <c r="N770" s="194">
        <f t="shared" si="11"/>
        <v>1.5</v>
      </c>
      <c r="O770" s="198">
        <f>_1_54128456121462410464578910174[[#This Row],[TOTAL]]*_1_54128456121462410464578910174[[#This Row],[MARGIN]]</f>
        <v>0</v>
      </c>
      <c r="R770" s="41"/>
    </row>
    <row r="771" spans="4:18">
      <c r="D771" s="188"/>
      <c r="F771" s="168" t="s">
        <v>6202</v>
      </c>
      <c r="G771" s="193">
        <f>IF(_1_54128456121462410464578910174[[#This Row],[Type]]&gt;0,VLOOKUP(_1_54128456121462410464578910174[[#This Row],[Type]],Main[[#All],[TYPE]:[UNIT]],'Unit Price'!C$1,FALSE),0)</f>
        <v>0</v>
      </c>
      <c r="H771" s="197">
        <f>IF(_1_54128456121462410464578910174[[#This Row],[Type]]&gt;0,VLOOKUP(_1_54128456121462410464578910174[[#This Row],[Type]],Main[[#All],[TYPE]:[UNIT]],'Unit Price'!D$1,FALSE),0)</f>
        <v>0</v>
      </c>
      <c r="I771" s="194">
        <f>IF(_1_54128456121462410464578910174[[#This Row],[Type]]&gt;0,VLOOKUP(_1_54128456121462410464578910174[[#This Row],[Type]],Main[[#All],[TYPE]:[UNIT]],'Unit Price'!G$1,FALSE),0)</f>
        <v>0</v>
      </c>
      <c r="J771" s="194">
        <f>IF(_1_54128456121462410464578910174[[#This Row],[Type]]&gt;0,VLOOKUP(_1_54128456121462410464578910174[[#This Row],[Type]],Main[[#All],[TYPE]:[UNIT]],'Unit Price'!H$1,FALSE),0)</f>
        <v>0</v>
      </c>
      <c r="K771" s="194">
        <f>IF(_1_54128456121462410464578910174[[#This Row],[Discount selection]]&gt;0,VLOOKUP(_1_54128456121462410464578910174[[#This Row],[Discount selection]],'Discount Structure'!$A$2:$B$30,2,"false"),0)</f>
        <v>1</v>
      </c>
      <c r="L771" s="194">
        <f>_1_54128456121462410464578910174[[#This Row],[LIST $]]*_1_54128456121462410464578910174[[#This Row],[DISCOUNT]]*_1_54128456121462410464578910174[[#This Row],[DISCOUNT 2]]</f>
        <v>0</v>
      </c>
      <c r="M771" s="194">
        <f>IF(OR(_1_54128456121462410464578910174[[#This Row],[UNIT]]&gt;0,_1_54128456121462410464578910174[[#This Row],[UNIT]]&lt;0),_1_54128456121462410464578910174[[#This Row],[UNIT]]*_1_54128456121462410464578910174[[#This Row],[COST]],0)</f>
        <v>0</v>
      </c>
      <c r="N771" s="194">
        <f t="shared" si="11"/>
        <v>1.5</v>
      </c>
      <c r="O771" s="198">
        <f>_1_54128456121462410464578910174[[#This Row],[TOTAL]]*_1_54128456121462410464578910174[[#This Row],[MARGIN]]</f>
        <v>0</v>
      </c>
      <c r="R771" s="41"/>
    </row>
    <row r="772" spans="4:18">
      <c r="D772" s="188"/>
      <c r="F772" s="168" t="s">
        <v>6202</v>
      </c>
      <c r="G772" s="193">
        <f>IF(_1_54128456121462410464578910174[[#This Row],[Type]]&gt;0,VLOOKUP(_1_54128456121462410464578910174[[#This Row],[Type]],Main[[#All],[TYPE]:[UNIT]],'Unit Price'!C$1,FALSE),0)</f>
        <v>0</v>
      </c>
      <c r="H772" s="197">
        <f>IF(_1_54128456121462410464578910174[[#This Row],[Type]]&gt;0,VLOOKUP(_1_54128456121462410464578910174[[#This Row],[Type]],Main[[#All],[TYPE]:[UNIT]],'Unit Price'!D$1,FALSE),0)</f>
        <v>0</v>
      </c>
      <c r="I772" s="194">
        <f>IF(_1_54128456121462410464578910174[[#This Row],[Type]]&gt;0,VLOOKUP(_1_54128456121462410464578910174[[#This Row],[Type]],Main[[#All],[TYPE]:[UNIT]],'Unit Price'!G$1,FALSE),0)</f>
        <v>0</v>
      </c>
      <c r="J772" s="194">
        <f>IF(_1_54128456121462410464578910174[[#This Row],[Type]]&gt;0,VLOOKUP(_1_54128456121462410464578910174[[#This Row],[Type]],Main[[#All],[TYPE]:[UNIT]],'Unit Price'!H$1,FALSE),0)</f>
        <v>0</v>
      </c>
      <c r="K772" s="194">
        <f>IF(_1_54128456121462410464578910174[[#This Row],[Discount selection]]&gt;0,VLOOKUP(_1_54128456121462410464578910174[[#This Row],[Discount selection]],'Discount Structure'!$A$2:$B$30,2,"false"),0)</f>
        <v>1</v>
      </c>
      <c r="L772" s="194">
        <f>_1_54128456121462410464578910174[[#This Row],[LIST $]]*_1_54128456121462410464578910174[[#This Row],[DISCOUNT]]*_1_54128456121462410464578910174[[#This Row],[DISCOUNT 2]]</f>
        <v>0</v>
      </c>
      <c r="M772" s="194">
        <f>IF(OR(_1_54128456121462410464578910174[[#This Row],[UNIT]]&gt;0,_1_54128456121462410464578910174[[#This Row],[UNIT]]&lt;0),_1_54128456121462410464578910174[[#This Row],[UNIT]]*_1_54128456121462410464578910174[[#This Row],[COST]],0)</f>
        <v>0</v>
      </c>
      <c r="N772" s="194">
        <f t="shared" si="11"/>
        <v>1.5</v>
      </c>
      <c r="O772" s="198">
        <f>_1_54128456121462410464578910174[[#This Row],[TOTAL]]*_1_54128456121462410464578910174[[#This Row],[MARGIN]]</f>
        <v>0</v>
      </c>
      <c r="R772" s="41"/>
    </row>
    <row r="773" spans="4:18">
      <c r="D773" s="188"/>
      <c r="F773" s="168" t="s">
        <v>6202</v>
      </c>
      <c r="G773" s="193">
        <f>IF(_1_54128456121462410464578910174[[#This Row],[Type]]&gt;0,VLOOKUP(_1_54128456121462410464578910174[[#This Row],[Type]],Main[[#All],[TYPE]:[UNIT]],'Unit Price'!C$1,FALSE),0)</f>
        <v>0</v>
      </c>
      <c r="H773" s="197">
        <f>IF(_1_54128456121462410464578910174[[#This Row],[Type]]&gt;0,VLOOKUP(_1_54128456121462410464578910174[[#This Row],[Type]],Main[[#All],[TYPE]:[UNIT]],'Unit Price'!D$1,FALSE),0)</f>
        <v>0</v>
      </c>
      <c r="I773" s="194">
        <f>IF(_1_54128456121462410464578910174[[#This Row],[Type]]&gt;0,VLOOKUP(_1_54128456121462410464578910174[[#This Row],[Type]],Main[[#All],[TYPE]:[UNIT]],'Unit Price'!G$1,FALSE),0)</f>
        <v>0</v>
      </c>
      <c r="J773" s="194">
        <f>IF(_1_54128456121462410464578910174[[#This Row],[Type]]&gt;0,VLOOKUP(_1_54128456121462410464578910174[[#This Row],[Type]],Main[[#All],[TYPE]:[UNIT]],'Unit Price'!H$1,FALSE),0)</f>
        <v>0</v>
      </c>
      <c r="K773" s="194">
        <f>IF(_1_54128456121462410464578910174[[#This Row],[Discount selection]]&gt;0,VLOOKUP(_1_54128456121462410464578910174[[#This Row],[Discount selection]],'Discount Structure'!$A$2:$B$30,2,"false"),0)</f>
        <v>1</v>
      </c>
      <c r="L773" s="194">
        <f>_1_54128456121462410464578910174[[#This Row],[LIST $]]*_1_54128456121462410464578910174[[#This Row],[DISCOUNT]]*_1_54128456121462410464578910174[[#This Row],[DISCOUNT 2]]</f>
        <v>0</v>
      </c>
      <c r="M773" s="194">
        <f>IF(OR(_1_54128456121462410464578910174[[#This Row],[UNIT]]&gt;0,_1_54128456121462410464578910174[[#This Row],[UNIT]]&lt;0),_1_54128456121462410464578910174[[#This Row],[UNIT]]*_1_54128456121462410464578910174[[#This Row],[COST]],0)</f>
        <v>0</v>
      </c>
      <c r="N773" s="194">
        <f t="shared" si="11"/>
        <v>1.5</v>
      </c>
      <c r="O773" s="198">
        <f>_1_54128456121462410464578910174[[#This Row],[TOTAL]]*_1_54128456121462410464578910174[[#This Row],[MARGIN]]</f>
        <v>0</v>
      </c>
      <c r="R773" s="41"/>
    </row>
    <row r="774" spans="4:18">
      <c r="D774" s="188"/>
      <c r="F774" s="168" t="s">
        <v>6202</v>
      </c>
      <c r="G774" s="193">
        <f>IF(_1_54128456121462410464578910174[[#This Row],[Type]]&gt;0,VLOOKUP(_1_54128456121462410464578910174[[#This Row],[Type]],Main[[#All],[TYPE]:[UNIT]],'Unit Price'!C$1,FALSE),0)</f>
        <v>0</v>
      </c>
      <c r="H774" s="197">
        <f>IF(_1_54128456121462410464578910174[[#This Row],[Type]]&gt;0,VLOOKUP(_1_54128456121462410464578910174[[#This Row],[Type]],Main[[#All],[TYPE]:[UNIT]],'Unit Price'!D$1,FALSE),0)</f>
        <v>0</v>
      </c>
      <c r="I774" s="194">
        <f>IF(_1_54128456121462410464578910174[[#This Row],[Type]]&gt;0,VLOOKUP(_1_54128456121462410464578910174[[#This Row],[Type]],Main[[#All],[TYPE]:[UNIT]],'Unit Price'!G$1,FALSE),0)</f>
        <v>0</v>
      </c>
      <c r="J774" s="194">
        <f>IF(_1_54128456121462410464578910174[[#This Row],[Type]]&gt;0,VLOOKUP(_1_54128456121462410464578910174[[#This Row],[Type]],Main[[#All],[TYPE]:[UNIT]],'Unit Price'!H$1,FALSE),0)</f>
        <v>0</v>
      </c>
      <c r="K774" s="194">
        <f>IF(_1_54128456121462410464578910174[[#This Row],[Discount selection]]&gt;0,VLOOKUP(_1_54128456121462410464578910174[[#This Row],[Discount selection]],'Discount Structure'!$A$2:$B$30,2,"false"),0)</f>
        <v>1</v>
      </c>
      <c r="L774" s="194">
        <f>_1_54128456121462410464578910174[[#This Row],[LIST $]]*_1_54128456121462410464578910174[[#This Row],[DISCOUNT]]*_1_54128456121462410464578910174[[#This Row],[DISCOUNT 2]]</f>
        <v>0</v>
      </c>
      <c r="M774" s="194">
        <f>IF(OR(_1_54128456121462410464578910174[[#This Row],[UNIT]]&gt;0,_1_54128456121462410464578910174[[#This Row],[UNIT]]&lt;0),_1_54128456121462410464578910174[[#This Row],[UNIT]]*_1_54128456121462410464578910174[[#This Row],[COST]],0)</f>
        <v>0</v>
      </c>
      <c r="N774" s="194">
        <f t="shared" si="11"/>
        <v>1.5</v>
      </c>
      <c r="O774" s="198">
        <f>_1_54128456121462410464578910174[[#This Row],[TOTAL]]*_1_54128456121462410464578910174[[#This Row],[MARGIN]]</f>
        <v>0</v>
      </c>
      <c r="R774" s="41"/>
    </row>
    <row r="775" spans="4:18">
      <c r="D775" s="188"/>
      <c r="F775" s="168" t="s">
        <v>6202</v>
      </c>
      <c r="G775" s="193">
        <f>IF(_1_54128456121462410464578910174[[#This Row],[Type]]&gt;0,VLOOKUP(_1_54128456121462410464578910174[[#This Row],[Type]],Main[[#All],[TYPE]:[UNIT]],'Unit Price'!C$1,FALSE),0)</f>
        <v>0</v>
      </c>
      <c r="H775" s="197">
        <f>IF(_1_54128456121462410464578910174[[#This Row],[Type]]&gt;0,VLOOKUP(_1_54128456121462410464578910174[[#This Row],[Type]],Main[[#All],[TYPE]:[UNIT]],'Unit Price'!D$1,FALSE),0)</f>
        <v>0</v>
      </c>
      <c r="I775" s="194">
        <f>IF(_1_54128456121462410464578910174[[#This Row],[Type]]&gt;0,VLOOKUP(_1_54128456121462410464578910174[[#This Row],[Type]],Main[[#All],[TYPE]:[UNIT]],'Unit Price'!G$1,FALSE),0)</f>
        <v>0</v>
      </c>
      <c r="J775" s="194">
        <f>IF(_1_54128456121462410464578910174[[#This Row],[Type]]&gt;0,VLOOKUP(_1_54128456121462410464578910174[[#This Row],[Type]],Main[[#All],[TYPE]:[UNIT]],'Unit Price'!H$1,FALSE),0)</f>
        <v>0</v>
      </c>
      <c r="K775" s="194">
        <f>IF(_1_54128456121462410464578910174[[#This Row],[Discount selection]]&gt;0,VLOOKUP(_1_54128456121462410464578910174[[#This Row],[Discount selection]],'Discount Structure'!$A$2:$B$30,2,"false"),0)</f>
        <v>1</v>
      </c>
      <c r="L775" s="194">
        <f>_1_54128456121462410464578910174[[#This Row],[LIST $]]*_1_54128456121462410464578910174[[#This Row],[DISCOUNT]]*_1_54128456121462410464578910174[[#This Row],[DISCOUNT 2]]</f>
        <v>0</v>
      </c>
      <c r="M775" s="194">
        <f>IF(OR(_1_54128456121462410464578910174[[#This Row],[UNIT]]&gt;0,_1_54128456121462410464578910174[[#This Row],[UNIT]]&lt;0),_1_54128456121462410464578910174[[#This Row],[UNIT]]*_1_54128456121462410464578910174[[#This Row],[COST]],0)</f>
        <v>0</v>
      </c>
      <c r="N775" s="194">
        <f t="shared" si="11"/>
        <v>1.5</v>
      </c>
      <c r="O775" s="198">
        <f>_1_54128456121462410464578910174[[#This Row],[TOTAL]]*_1_54128456121462410464578910174[[#This Row],[MARGIN]]</f>
        <v>0</v>
      </c>
      <c r="R775" s="41"/>
    </row>
    <row r="776" spans="4:18">
      <c r="D776" s="188"/>
      <c r="F776" s="168" t="s">
        <v>6202</v>
      </c>
      <c r="G776" s="193">
        <f>IF(_1_54128456121462410464578910174[[#This Row],[Type]]&gt;0,VLOOKUP(_1_54128456121462410464578910174[[#This Row],[Type]],Main[[#All],[TYPE]:[UNIT]],'Unit Price'!C$1,FALSE),0)</f>
        <v>0</v>
      </c>
      <c r="H776" s="197">
        <f>IF(_1_54128456121462410464578910174[[#This Row],[Type]]&gt;0,VLOOKUP(_1_54128456121462410464578910174[[#This Row],[Type]],Main[[#All],[TYPE]:[UNIT]],'Unit Price'!D$1,FALSE),0)</f>
        <v>0</v>
      </c>
      <c r="I776" s="194">
        <f>IF(_1_54128456121462410464578910174[[#This Row],[Type]]&gt;0,VLOOKUP(_1_54128456121462410464578910174[[#This Row],[Type]],Main[[#All],[TYPE]:[UNIT]],'Unit Price'!G$1,FALSE),0)</f>
        <v>0</v>
      </c>
      <c r="J776" s="194">
        <f>IF(_1_54128456121462410464578910174[[#This Row],[Type]]&gt;0,VLOOKUP(_1_54128456121462410464578910174[[#This Row],[Type]],Main[[#All],[TYPE]:[UNIT]],'Unit Price'!H$1,FALSE),0)</f>
        <v>0</v>
      </c>
      <c r="K776" s="194">
        <f>IF(_1_54128456121462410464578910174[[#This Row],[Discount selection]]&gt;0,VLOOKUP(_1_54128456121462410464578910174[[#This Row],[Discount selection]],'Discount Structure'!$A$2:$B$30,2,"false"),0)</f>
        <v>1</v>
      </c>
      <c r="L776" s="194">
        <f>_1_54128456121462410464578910174[[#This Row],[LIST $]]*_1_54128456121462410464578910174[[#This Row],[DISCOUNT]]*_1_54128456121462410464578910174[[#This Row],[DISCOUNT 2]]</f>
        <v>0</v>
      </c>
      <c r="M776" s="194">
        <f>IF(OR(_1_54128456121462410464578910174[[#This Row],[UNIT]]&gt;0,_1_54128456121462410464578910174[[#This Row],[UNIT]]&lt;0),_1_54128456121462410464578910174[[#This Row],[UNIT]]*_1_54128456121462410464578910174[[#This Row],[COST]],0)</f>
        <v>0</v>
      </c>
      <c r="N776" s="194">
        <f t="shared" si="11"/>
        <v>1.5</v>
      </c>
      <c r="O776" s="198">
        <f>_1_54128456121462410464578910174[[#This Row],[TOTAL]]*_1_54128456121462410464578910174[[#This Row],[MARGIN]]</f>
        <v>0</v>
      </c>
      <c r="R776" s="41"/>
    </row>
    <row r="777" spans="4:18">
      <c r="D777" s="188"/>
      <c r="F777" s="168" t="s">
        <v>6202</v>
      </c>
      <c r="G777" s="193">
        <f>IF(_1_54128456121462410464578910174[[#This Row],[Type]]&gt;0,VLOOKUP(_1_54128456121462410464578910174[[#This Row],[Type]],Main[[#All],[TYPE]:[UNIT]],'Unit Price'!C$1,FALSE),0)</f>
        <v>0</v>
      </c>
      <c r="H777" s="197">
        <f>IF(_1_54128456121462410464578910174[[#This Row],[Type]]&gt;0,VLOOKUP(_1_54128456121462410464578910174[[#This Row],[Type]],Main[[#All],[TYPE]:[UNIT]],'Unit Price'!D$1,FALSE),0)</f>
        <v>0</v>
      </c>
      <c r="I777" s="194">
        <f>IF(_1_54128456121462410464578910174[[#This Row],[Type]]&gt;0,VLOOKUP(_1_54128456121462410464578910174[[#This Row],[Type]],Main[[#All],[TYPE]:[UNIT]],'Unit Price'!G$1,FALSE),0)</f>
        <v>0</v>
      </c>
      <c r="J777" s="194">
        <f>IF(_1_54128456121462410464578910174[[#This Row],[Type]]&gt;0,VLOOKUP(_1_54128456121462410464578910174[[#This Row],[Type]],Main[[#All],[TYPE]:[UNIT]],'Unit Price'!H$1,FALSE),0)</f>
        <v>0</v>
      </c>
      <c r="K777" s="194">
        <f>IF(_1_54128456121462410464578910174[[#This Row],[Discount selection]]&gt;0,VLOOKUP(_1_54128456121462410464578910174[[#This Row],[Discount selection]],'Discount Structure'!$A$2:$B$30,2,"false"),0)</f>
        <v>1</v>
      </c>
      <c r="L777" s="194">
        <f>_1_54128456121462410464578910174[[#This Row],[LIST $]]*_1_54128456121462410464578910174[[#This Row],[DISCOUNT]]*_1_54128456121462410464578910174[[#This Row],[DISCOUNT 2]]</f>
        <v>0</v>
      </c>
      <c r="M777" s="194">
        <f>IF(OR(_1_54128456121462410464578910174[[#This Row],[UNIT]]&gt;0,_1_54128456121462410464578910174[[#This Row],[UNIT]]&lt;0),_1_54128456121462410464578910174[[#This Row],[UNIT]]*_1_54128456121462410464578910174[[#This Row],[COST]],0)</f>
        <v>0</v>
      </c>
      <c r="N777" s="194">
        <f t="shared" si="11"/>
        <v>1.5</v>
      </c>
      <c r="O777" s="198">
        <f>_1_54128456121462410464578910174[[#This Row],[TOTAL]]*_1_54128456121462410464578910174[[#This Row],[MARGIN]]</f>
        <v>0</v>
      </c>
      <c r="R777" s="41"/>
    </row>
    <row r="778" spans="4:18">
      <c r="D778" s="188"/>
      <c r="F778" s="168" t="s">
        <v>6202</v>
      </c>
      <c r="G778" s="193">
        <f>IF(_1_54128456121462410464578910174[[#This Row],[Type]]&gt;0,VLOOKUP(_1_54128456121462410464578910174[[#This Row],[Type]],Main[[#All],[TYPE]:[UNIT]],'Unit Price'!C$1,FALSE),0)</f>
        <v>0</v>
      </c>
      <c r="H778" s="197">
        <f>IF(_1_54128456121462410464578910174[[#This Row],[Type]]&gt;0,VLOOKUP(_1_54128456121462410464578910174[[#This Row],[Type]],Main[[#All],[TYPE]:[UNIT]],'Unit Price'!D$1,FALSE),0)</f>
        <v>0</v>
      </c>
      <c r="I778" s="194">
        <f>IF(_1_54128456121462410464578910174[[#This Row],[Type]]&gt;0,VLOOKUP(_1_54128456121462410464578910174[[#This Row],[Type]],Main[[#All],[TYPE]:[UNIT]],'Unit Price'!G$1,FALSE),0)</f>
        <v>0</v>
      </c>
      <c r="J778" s="194">
        <f>IF(_1_54128456121462410464578910174[[#This Row],[Type]]&gt;0,VLOOKUP(_1_54128456121462410464578910174[[#This Row],[Type]],Main[[#All],[TYPE]:[UNIT]],'Unit Price'!H$1,FALSE),0)</f>
        <v>0</v>
      </c>
      <c r="K778" s="194">
        <f>IF(_1_54128456121462410464578910174[[#This Row],[Discount selection]]&gt;0,VLOOKUP(_1_54128456121462410464578910174[[#This Row],[Discount selection]],'Discount Structure'!$A$2:$B$30,2,"false"),0)</f>
        <v>1</v>
      </c>
      <c r="L778" s="194">
        <f>_1_54128456121462410464578910174[[#This Row],[LIST $]]*_1_54128456121462410464578910174[[#This Row],[DISCOUNT]]*_1_54128456121462410464578910174[[#This Row],[DISCOUNT 2]]</f>
        <v>0</v>
      </c>
      <c r="M778" s="194">
        <f>IF(OR(_1_54128456121462410464578910174[[#This Row],[UNIT]]&gt;0,_1_54128456121462410464578910174[[#This Row],[UNIT]]&lt;0),_1_54128456121462410464578910174[[#This Row],[UNIT]]*_1_54128456121462410464578910174[[#This Row],[COST]],0)</f>
        <v>0</v>
      </c>
      <c r="N778" s="194">
        <f t="shared" ref="N778:N841" si="12">$N$7</f>
        <v>1.5</v>
      </c>
      <c r="O778" s="198">
        <f>_1_54128456121462410464578910174[[#This Row],[TOTAL]]*_1_54128456121462410464578910174[[#This Row],[MARGIN]]</f>
        <v>0</v>
      </c>
      <c r="R778" s="41"/>
    </row>
    <row r="779" spans="4:18">
      <c r="D779" s="188"/>
      <c r="F779" s="168" t="s">
        <v>6202</v>
      </c>
      <c r="G779" s="193">
        <f>IF(_1_54128456121462410464578910174[[#This Row],[Type]]&gt;0,VLOOKUP(_1_54128456121462410464578910174[[#This Row],[Type]],Main[[#All],[TYPE]:[UNIT]],'Unit Price'!C$1,FALSE),0)</f>
        <v>0</v>
      </c>
      <c r="H779" s="197">
        <f>IF(_1_54128456121462410464578910174[[#This Row],[Type]]&gt;0,VLOOKUP(_1_54128456121462410464578910174[[#This Row],[Type]],Main[[#All],[TYPE]:[UNIT]],'Unit Price'!D$1,FALSE),0)</f>
        <v>0</v>
      </c>
      <c r="I779" s="194">
        <f>IF(_1_54128456121462410464578910174[[#This Row],[Type]]&gt;0,VLOOKUP(_1_54128456121462410464578910174[[#This Row],[Type]],Main[[#All],[TYPE]:[UNIT]],'Unit Price'!G$1,FALSE),0)</f>
        <v>0</v>
      </c>
      <c r="J779" s="194">
        <f>IF(_1_54128456121462410464578910174[[#This Row],[Type]]&gt;0,VLOOKUP(_1_54128456121462410464578910174[[#This Row],[Type]],Main[[#All],[TYPE]:[UNIT]],'Unit Price'!H$1,FALSE),0)</f>
        <v>0</v>
      </c>
      <c r="K779" s="194">
        <f>IF(_1_54128456121462410464578910174[[#This Row],[Discount selection]]&gt;0,VLOOKUP(_1_54128456121462410464578910174[[#This Row],[Discount selection]],'Discount Structure'!$A$2:$B$30,2,"false"),0)</f>
        <v>1</v>
      </c>
      <c r="L779" s="194">
        <f>_1_54128456121462410464578910174[[#This Row],[LIST $]]*_1_54128456121462410464578910174[[#This Row],[DISCOUNT]]*_1_54128456121462410464578910174[[#This Row],[DISCOUNT 2]]</f>
        <v>0</v>
      </c>
      <c r="M779" s="194">
        <f>IF(OR(_1_54128456121462410464578910174[[#This Row],[UNIT]]&gt;0,_1_54128456121462410464578910174[[#This Row],[UNIT]]&lt;0),_1_54128456121462410464578910174[[#This Row],[UNIT]]*_1_54128456121462410464578910174[[#This Row],[COST]],0)</f>
        <v>0</v>
      </c>
      <c r="N779" s="194">
        <f t="shared" si="12"/>
        <v>1.5</v>
      </c>
      <c r="O779" s="198">
        <f>_1_54128456121462410464578910174[[#This Row],[TOTAL]]*_1_54128456121462410464578910174[[#This Row],[MARGIN]]</f>
        <v>0</v>
      </c>
      <c r="R779" s="41"/>
    </row>
    <row r="780" spans="4:18">
      <c r="D780" s="188"/>
      <c r="F780" s="168" t="s">
        <v>6202</v>
      </c>
      <c r="G780" s="193">
        <f>IF(_1_54128456121462410464578910174[[#This Row],[Type]]&gt;0,VLOOKUP(_1_54128456121462410464578910174[[#This Row],[Type]],Main[[#All],[TYPE]:[UNIT]],'Unit Price'!C$1,FALSE),0)</f>
        <v>0</v>
      </c>
      <c r="H780" s="197">
        <f>IF(_1_54128456121462410464578910174[[#This Row],[Type]]&gt;0,VLOOKUP(_1_54128456121462410464578910174[[#This Row],[Type]],Main[[#All],[TYPE]:[UNIT]],'Unit Price'!D$1,FALSE),0)</f>
        <v>0</v>
      </c>
      <c r="I780" s="194">
        <f>IF(_1_54128456121462410464578910174[[#This Row],[Type]]&gt;0,VLOOKUP(_1_54128456121462410464578910174[[#This Row],[Type]],Main[[#All],[TYPE]:[UNIT]],'Unit Price'!G$1,FALSE),0)</f>
        <v>0</v>
      </c>
      <c r="J780" s="194">
        <f>IF(_1_54128456121462410464578910174[[#This Row],[Type]]&gt;0,VLOOKUP(_1_54128456121462410464578910174[[#This Row],[Type]],Main[[#All],[TYPE]:[UNIT]],'Unit Price'!H$1,FALSE),0)</f>
        <v>0</v>
      </c>
      <c r="K780" s="194">
        <f>IF(_1_54128456121462410464578910174[[#This Row],[Discount selection]]&gt;0,VLOOKUP(_1_54128456121462410464578910174[[#This Row],[Discount selection]],'Discount Structure'!$A$2:$B$30,2,"false"),0)</f>
        <v>1</v>
      </c>
      <c r="L780" s="194">
        <f>_1_54128456121462410464578910174[[#This Row],[LIST $]]*_1_54128456121462410464578910174[[#This Row],[DISCOUNT]]*_1_54128456121462410464578910174[[#This Row],[DISCOUNT 2]]</f>
        <v>0</v>
      </c>
      <c r="M780" s="194">
        <f>IF(OR(_1_54128456121462410464578910174[[#This Row],[UNIT]]&gt;0,_1_54128456121462410464578910174[[#This Row],[UNIT]]&lt;0),_1_54128456121462410464578910174[[#This Row],[UNIT]]*_1_54128456121462410464578910174[[#This Row],[COST]],0)</f>
        <v>0</v>
      </c>
      <c r="N780" s="194">
        <f t="shared" si="12"/>
        <v>1.5</v>
      </c>
      <c r="O780" s="198">
        <f>_1_54128456121462410464578910174[[#This Row],[TOTAL]]*_1_54128456121462410464578910174[[#This Row],[MARGIN]]</f>
        <v>0</v>
      </c>
      <c r="R780" s="41"/>
    </row>
    <row r="781" spans="4:18">
      <c r="D781" s="188"/>
      <c r="F781" s="168" t="s">
        <v>6202</v>
      </c>
      <c r="G781" s="193">
        <f>IF(_1_54128456121462410464578910174[[#This Row],[Type]]&gt;0,VLOOKUP(_1_54128456121462410464578910174[[#This Row],[Type]],Main[[#All],[TYPE]:[UNIT]],'Unit Price'!C$1,FALSE),0)</f>
        <v>0</v>
      </c>
      <c r="H781" s="197">
        <f>IF(_1_54128456121462410464578910174[[#This Row],[Type]]&gt;0,VLOOKUP(_1_54128456121462410464578910174[[#This Row],[Type]],Main[[#All],[TYPE]:[UNIT]],'Unit Price'!D$1,FALSE),0)</f>
        <v>0</v>
      </c>
      <c r="I781" s="194">
        <f>IF(_1_54128456121462410464578910174[[#This Row],[Type]]&gt;0,VLOOKUP(_1_54128456121462410464578910174[[#This Row],[Type]],Main[[#All],[TYPE]:[UNIT]],'Unit Price'!G$1,FALSE),0)</f>
        <v>0</v>
      </c>
      <c r="J781" s="194">
        <f>IF(_1_54128456121462410464578910174[[#This Row],[Type]]&gt;0,VLOOKUP(_1_54128456121462410464578910174[[#This Row],[Type]],Main[[#All],[TYPE]:[UNIT]],'Unit Price'!H$1,FALSE),0)</f>
        <v>0</v>
      </c>
      <c r="K781" s="194">
        <f>IF(_1_54128456121462410464578910174[[#This Row],[Discount selection]]&gt;0,VLOOKUP(_1_54128456121462410464578910174[[#This Row],[Discount selection]],'Discount Structure'!$A$2:$B$30,2,"false"),0)</f>
        <v>1</v>
      </c>
      <c r="L781" s="194">
        <f>_1_54128456121462410464578910174[[#This Row],[LIST $]]*_1_54128456121462410464578910174[[#This Row],[DISCOUNT]]*_1_54128456121462410464578910174[[#This Row],[DISCOUNT 2]]</f>
        <v>0</v>
      </c>
      <c r="M781" s="194">
        <f>IF(OR(_1_54128456121462410464578910174[[#This Row],[UNIT]]&gt;0,_1_54128456121462410464578910174[[#This Row],[UNIT]]&lt;0),_1_54128456121462410464578910174[[#This Row],[UNIT]]*_1_54128456121462410464578910174[[#This Row],[COST]],0)</f>
        <v>0</v>
      </c>
      <c r="N781" s="194">
        <f t="shared" si="12"/>
        <v>1.5</v>
      </c>
      <c r="O781" s="198">
        <f>_1_54128456121462410464578910174[[#This Row],[TOTAL]]*_1_54128456121462410464578910174[[#This Row],[MARGIN]]</f>
        <v>0</v>
      </c>
      <c r="R781" s="41"/>
    </row>
    <row r="782" spans="4:18">
      <c r="D782" s="188"/>
      <c r="F782" s="168" t="s">
        <v>6202</v>
      </c>
      <c r="G782" s="193">
        <f>IF(_1_54128456121462410464578910174[[#This Row],[Type]]&gt;0,VLOOKUP(_1_54128456121462410464578910174[[#This Row],[Type]],Main[[#All],[TYPE]:[UNIT]],'Unit Price'!C$1,FALSE),0)</f>
        <v>0</v>
      </c>
      <c r="H782" s="197">
        <f>IF(_1_54128456121462410464578910174[[#This Row],[Type]]&gt;0,VLOOKUP(_1_54128456121462410464578910174[[#This Row],[Type]],Main[[#All],[TYPE]:[UNIT]],'Unit Price'!D$1,FALSE),0)</f>
        <v>0</v>
      </c>
      <c r="I782" s="194">
        <f>IF(_1_54128456121462410464578910174[[#This Row],[Type]]&gt;0,VLOOKUP(_1_54128456121462410464578910174[[#This Row],[Type]],Main[[#All],[TYPE]:[UNIT]],'Unit Price'!G$1,FALSE),0)</f>
        <v>0</v>
      </c>
      <c r="J782" s="194">
        <f>IF(_1_54128456121462410464578910174[[#This Row],[Type]]&gt;0,VLOOKUP(_1_54128456121462410464578910174[[#This Row],[Type]],Main[[#All],[TYPE]:[UNIT]],'Unit Price'!H$1,FALSE),0)</f>
        <v>0</v>
      </c>
      <c r="K782" s="194">
        <f>IF(_1_54128456121462410464578910174[[#This Row],[Discount selection]]&gt;0,VLOOKUP(_1_54128456121462410464578910174[[#This Row],[Discount selection]],'Discount Structure'!$A$2:$B$30,2,"false"),0)</f>
        <v>1</v>
      </c>
      <c r="L782" s="194">
        <f>_1_54128456121462410464578910174[[#This Row],[LIST $]]*_1_54128456121462410464578910174[[#This Row],[DISCOUNT]]*_1_54128456121462410464578910174[[#This Row],[DISCOUNT 2]]</f>
        <v>0</v>
      </c>
      <c r="M782" s="194">
        <f>IF(OR(_1_54128456121462410464578910174[[#This Row],[UNIT]]&gt;0,_1_54128456121462410464578910174[[#This Row],[UNIT]]&lt;0),_1_54128456121462410464578910174[[#This Row],[UNIT]]*_1_54128456121462410464578910174[[#This Row],[COST]],0)</f>
        <v>0</v>
      </c>
      <c r="N782" s="194">
        <f t="shared" si="12"/>
        <v>1.5</v>
      </c>
      <c r="O782" s="198">
        <f>_1_54128456121462410464578910174[[#This Row],[TOTAL]]*_1_54128456121462410464578910174[[#This Row],[MARGIN]]</f>
        <v>0</v>
      </c>
      <c r="R782" s="41"/>
    </row>
    <row r="783" spans="4:18">
      <c r="D783" s="188"/>
      <c r="F783" s="168" t="s">
        <v>6202</v>
      </c>
      <c r="G783" s="193">
        <f>IF(_1_54128456121462410464578910174[[#This Row],[Type]]&gt;0,VLOOKUP(_1_54128456121462410464578910174[[#This Row],[Type]],Main[[#All],[TYPE]:[UNIT]],'Unit Price'!C$1,FALSE),0)</f>
        <v>0</v>
      </c>
      <c r="H783" s="197">
        <f>IF(_1_54128456121462410464578910174[[#This Row],[Type]]&gt;0,VLOOKUP(_1_54128456121462410464578910174[[#This Row],[Type]],Main[[#All],[TYPE]:[UNIT]],'Unit Price'!D$1,FALSE),0)</f>
        <v>0</v>
      </c>
      <c r="I783" s="194">
        <f>IF(_1_54128456121462410464578910174[[#This Row],[Type]]&gt;0,VLOOKUP(_1_54128456121462410464578910174[[#This Row],[Type]],Main[[#All],[TYPE]:[UNIT]],'Unit Price'!G$1,FALSE),0)</f>
        <v>0</v>
      </c>
      <c r="J783" s="194">
        <f>IF(_1_54128456121462410464578910174[[#This Row],[Type]]&gt;0,VLOOKUP(_1_54128456121462410464578910174[[#This Row],[Type]],Main[[#All],[TYPE]:[UNIT]],'Unit Price'!H$1,FALSE),0)</f>
        <v>0</v>
      </c>
      <c r="K783" s="194">
        <f>IF(_1_54128456121462410464578910174[[#This Row],[Discount selection]]&gt;0,VLOOKUP(_1_54128456121462410464578910174[[#This Row],[Discount selection]],'Discount Structure'!$A$2:$B$30,2,"false"),0)</f>
        <v>1</v>
      </c>
      <c r="L783" s="194">
        <f>_1_54128456121462410464578910174[[#This Row],[LIST $]]*_1_54128456121462410464578910174[[#This Row],[DISCOUNT]]*_1_54128456121462410464578910174[[#This Row],[DISCOUNT 2]]</f>
        <v>0</v>
      </c>
      <c r="M783" s="194">
        <f>IF(OR(_1_54128456121462410464578910174[[#This Row],[UNIT]]&gt;0,_1_54128456121462410464578910174[[#This Row],[UNIT]]&lt;0),_1_54128456121462410464578910174[[#This Row],[UNIT]]*_1_54128456121462410464578910174[[#This Row],[COST]],0)</f>
        <v>0</v>
      </c>
      <c r="N783" s="194">
        <f t="shared" si="12"/>
        <v>1.5</v>
      </c>
      <c r="O783" s="198">
        <f>_1_54128456121462410464578910174[[#This Row],[TOTAL]]*_1_54128456121462410464578910174[[#This Row],[MARGIN]]</f>
        <v>0</v>
      </c>
      <c r="R783" s="41"/>
    </row>
    <row r="784" spans="4:18">
      <c r="D784" s="188"/>
      <c r="F784" s="168" t="s">
        <v>6202</v>
      </c>
      <c r="G784" s="193">
        <f>IF(_1_54128456121462410464578910174[[#This Row],[Type]]&gt;0,VLOOKUP(_1_54128456121462410464578910174[[#This Row],[Type]],Main[[#All],[TYPE]:[UNIT]],'Unit Price'!C$1,FALSE),0)</f>
        <v>0</v>
      </c>
      <c r="H784" s="197">
        <f>IF(_1_54128456121462410464578910174[[#This Row],[Type]]&gt;0,VLOOKUP(_1_54128456121462410464578910174[[#This Row],[Type]],Main[[#All],[TYPE]:[UNIT]],'Unit Price'!D$1,FALSE),0)</f>
        <v>0</v>
      </c>
      <c r="I784" s="194">
        <f>IF(_1_54128456121462410464578910174[[#This Row],[Type]]&gt;0,VLOOKUP(_1_54128456121462410464578910174[[#This Row],[Type]],Main[[#All],[TYPE]:[UNIT]],'Unit Price'!G$1,FALSE),0)</f>
        <v>0</v>
      </c>
      <c r="J784" s="194">
        <f>IF(_1_54128456121462410464578910174[[#This Row],[Type]]&gt;0,VLOOKUP(_1_54128456121462410464578910174[[#This Row],[Type]],Main[[#All],[TYPE]:[UNIT]],'Unit Price'!H$1,FALSE),0)</f>
        <v>0</v>
      </c>
      <c r="K784" s="194">
        <f>IF(_1_54128456121462410464578910174[[#This Row],[Discount selection]]&gt;0,VLOOKUP(_1_54128456121462410464578910174[[#This Row],[Discount selection]],'Discount Structure'!$A$2:$B$30,2,"false"),0)</f>
        <v>1</v>
      </c>
      <c r="L784" s="194">
        <f>_1_54128456121462410464578910174[[#This Row],[LIST $]]*_1_54128456121462410464578910174[[#This Row],[DISCOUNT]]*_1_54128456121462410464578910174[[#This Row],[DISCOUNT 2]]</f>
        <v>0</v>
      </c>
      <c r="M784" s="194">
        <f>IF(OR(_1_54128456121462410464578910174[[#This Row],[UNIT]]&gt;0,_1_54128456121462410464578910174[[#This Row],[UNIT]]&lt;0),_1_54128456121462410464578910174[[#This Row],[UNIT]]*_1_54128456121462410464578910174[[#This Row],[COST]],0)</f>
        <v>0</v>
      </c>
      <c r="N784" s="194">
        <f t="shared" si="12"/>
        <v>1.5</v>
      </c>
      <c r="O784" s="198">
        <f>_1_54128456121462410464578910174[[#This Row],[TOTAL]]*_1_54128456121462410464578910174[[#This Row],[MARGIN]]</f>
        <v>0</v>
      </c>
      <c r="R784" s="41"/>
    </row>
    <row r="785" spans="4:18">
      <c r="D785" s="188"/>
      <c r="F785" s="168" t="s">
        <v>6202</v>
      </c>
      <c r="G785" s="193">
        <f>IF(_1_54128456121462410464578910174[[#This Row],[Type]]&gt;0,VLOOKUP(_1_54128456121462410464578910174[[#This Row],[Type]],Main[[#All],[TYPE]:[UNIT]],'Unit Price'!C$1,FALSE),0)</f>
        <v>0</v>
      </c>
      <c r="H785" s="197">
        <f>IF(_1_54128456121462410464578910174[[#This Row],[Type]]&gt;0,VLOOKUP(_1_54128456121462410464578910174[[#This Row],[Type]],Main[[#All],[TYPE]:[UNIT]],'Unit Price'!D$1,FALSE),0)</f>
        <v>0</v>
      </c>
      <c r="I785" s="194">
        <f>IF(_1_54128456121462410464578910174[[#This Row],[Type]]&gt;0,VLOOKUP(_1_54128456121462410464578910174[[#This Row],[Type]],Main[[#All],[TYPE]:[UNIT]],'Unit Price'!G$1,FALSE),0)</f>
        <v>0</v>
      </c>
      <c r="J785" s="194">
        <f>IF(_1_54128456121462410464578910174[[#This Row],[Type]]&gt;0,VLOOKUP(_1_54128456121462410464578910174[[#This Row],[Type]],Main[[#All],[TYPE]:[UNIT]],'Unit Price'!H$1,FALSE),0)</f>
        <v>0</v>
      </c>
      <c r="K785" s="194">
        <f>IF(_1_54128456121462410464578910174[[#This Row],[Discount selection]]&gt;0,VLOOKUP(_1_54128456121462410464578910174[[#This Row],[Discount selection]],'Discount Structure'!$A$2:$B$30,2,"false"),0)</f>
        <v>1</v>
      </c>
      <c r="L785" s="194">
        <f>_1_54128456121462410464578910174[[#This Row],[LIST $]]*_1_54128456121462410464578910174[[#This Row],[DISCOUNT]]*_1_54128456121462410464578910174[[#This Row],[DISCOUNT 2]]</f>
        <v>0</v>
      </c>
      <c r="M785" s="194">
        <f>IF(OR(_1_54128456121462410464578910174[[#This Row],[UNIT]]&gt;0,_1_54128456121462410464578910174[[#This Row],[UNIT]]&lt;0),_1_54128456121462410464578910174[[#This Row],[UNIT]]*_1_54128456121462410464578910174[[#This Row],[COST]],0)</f>
        <v>0</v>
      </c>
      <c r="N785" s="194">
        <f t="shared" si="12"/>
        <v>1.5</v>
      </c>
      <c r="O785" s="198">
        <f>_1_54128456121462410464578910174[[#This Row],[TOTAL]]*_1_54128456121462410464578910174[[#This Row],[MARGIN]]</f>
        <v>0</v>
      </c>
      <c r="R785" s="41"/>
    </row>
    <row r="786" spans="4:18">
      <c r="D786" s="188"/>
      <c r="F786" s="168" t="s">
        <v>6202</v>
      </c>
      <c r="G786" s="193">
        <f>IF(_1_54128456121462410464578910174[[#This Row],[Type]]&gt;0,VLOOKUP(_1_54128456121462410464578910174[[#This Row],[Type]],Main[[#All],[TYPE]:[UNIT]],'Unit Price'!C$1,FALSE),0)</f>
        <v>0</v>
      </c>
      <c r="H786" s="197">
        <f>IF(_1_54128456121462410464578910174[[#This Row],[Type]]&gt;0,VLOOKUP(_1_54128456121462410464578910174[[#This Row],[Type]],Main[[#All],[TYPE]:[UNIT]],'Unit Price'!D$1,FALSE),0)</f>
        <v>0</v>
      </c>
      <c r="I786" s="194">
        <f>IF(_1_54128456121462410464578910174[[#This Row],[Type]]&gt;0,VLOOKUP(_1_54128456121462410464578910174[[#This Row],[Type]],Main[[#All],[TYPE]:[UNIT]],'Unit Price'!G$1,FALSE),0)</f>
        <v>0</v>
      </c>
      <c r="J786" s="194">
        <f>IF(_1_54128456121462410464578910174[[#This Row],[Type]]&gt;0,VLOOKUP(_1_54128456121462410464578910174[[#This Row],[Type]],Main[[#All],[TYPE]:[UNIT]],'Unit Price'!H$1,FALSE),0)</f>
        <v>0</v>
      </c>
      <c r="K786" s="194">
        <f>IF(_1_54128456121462410464578910174[[#This Row],[Discount selection]]&gt;0,VLOOKUP(_1_54128456121462410464578910174[[#This Row],[Discount selection]],'Discount Structure'!$A$2:$B$30,2,"false"),0)</f>
        <v>1</v>
      </c>
      <c r="L786" s="194">
        <f>_1_54128456121462410464578910174[[#This Row],[LIST $]]*_1_54128456121462410464578910174[[#This Row],[DISCOUNT]]*_1_54128456121462410464578910174[[#This Row],[DISCOUNT 2]]</f>
        <v>0</v>
      </c>
      <c r="M786" s="194">
        <f>IF(OR(_1_54128456121462410464578910174[[#This Row],[UNIT]]&gt;0,_1_54128456121462410464578910174[[#This Row],[UNIT]]&lt;0),_1_54128456121462410464578910174[[#This Row],[UNIT]]*_1_54128456121462410464578910174[[#This Row],[COST]],0)</f>
        <v>0</v>
      </c>
      <c r="N786" s="194">
        <f t="shared" si="12"/>
        <v>1.5</v>
      </c>
      <c r="O786" s="198">
        <f>_1_54128456121462410464578910174[[#This Row],[TOTAL]]*_1_54128456121462410464578910174[[#This Row],[MARGIN]]</f>
        <v>0</v>
      </c>
      <c r="R786" s="41"/>
    </row>
    <row r="787" spans="4:18">
      <c r="D787" s="188"/>
      <c r="F787" s="168" t="s">
        <v>6202</v>
      </c>
      <c r="G787" s="193">
        <f>IF(_1_54128456121462410464578910174[[#This Row],[Type]]&gt;0,VLOOKUP(_1_54128456121462410464578910174[[#This Row],[Type]],Main[[#All],[TYPE]:[UNIT]],'Unit Price'!C$1,FALSE),0)</f>
        <v>0</v>
      </c>
      <c r="H787" s="197">
        <f>IF(_1_54128456121462410464578910174[[#This Row],[Type]]&gt;0,VLOOKUP(_1_54128456121462410464578910174[[#This Row],[Type]],Main[[#All],[TYPE]:[UNIT]],'Unit Price'!D$1,FALSE),0)</f>
        <v>0</v>
      </c>
      <c r="I787" s="194">
        <f>IF(_1_54128456121462410464578910174[[#This Row],[Type]]&gt;0,VLOOKUP(_1_54128456121462410464578910174[[#This Row],[Type]],Main[[#All],[TYPE]:[UNIT]],'Unit Price'!G$1,FALSE),0)</f>
        <v>0</v>
      </c>
      <c r="J787" s="194">
        <f>IF(_1_54128456121462410464578910174[[#This Row],[Type]]&gt;0,VLOOKUP(_1_54128456121462410464578910174[[#This Row],[Type]],Main[[#All],[TYPE]:[UNIT]],'Unit Price'!H$1,FALSE),0)</f>
        <v>0</v>
      </c>
      <c r="K787" s="194">
        <f>IF(_1_54128456121462410464578910174[[#This Row],[Discount selection]]&gt;0,VLOOKUP(_1_54128456121462410464578910174[[#This Row],[Discount selection]],'Discount Structure'!$A$2:$B$30,2,"false"),0)</f>
        <v>1</v>
      </c>
      <c r="L787" s="194">
        <f>_1_54128456121462410464578910174[[#This Row],[LIST $]]*_1_54128456121462410464578910174[[#This Row],[DISCOUNT]]*_1_54128456121462410464578910174[[#This Row],[DISCOUNT 2]]</f>
        <v>0</v>
      </c>
      <c r="M787" s="194">
        <f>IF(OR(_1_54128456121462410464578910174[[#This Row],[UNIT]]&gt;0,_1_54128456121462410464578910174[[#This Row],[UNIT]]&lt;0),_1_54128456121462410464578910174[[#This Row],[UNIT]]*_1_54128456121462410464578910174[[#This Row],[COST]],0)</f>
        <v>0</v>
      </c>
      <c r="N787" s="194">
        <f t="shared" si="12"/>
        <v>1.5</v>
      </c>
      <c r="O787" s="198">
        <f>_1_54128456121462410464578910174[[#This Row],[TOTAL]]*_1_54128456121462410464578910174[[#This Row],[MARGIN]]</f>
        <v>0</v>
      </c>
      <c r="R787" s="41"/>
    </row>
    <row r="788" spans="4:18">
      <c r="D788" s="188"/>
      <c r="F788" s="168" t="s">
        <v>6202</v>
      </c>
      <c r="G788" s="193">
        <f>IF(_1_54128456121462410464578910174[[#This Row],[Type]]&gt;0,VLOOKUP(_1_54128456121462410464578910174[[#This Row],[Type]],Main[[#All],[TYPE]:[UNIT]],'Unit Price'!C$1,FALSE),0)</f>
        <v>0</v>
      </c>
      <c r="H788" s="197">
        <f>IF(_1_54128456121462410464578910174[[#This Row],[Type]]&gt;0,VLOOKUP(_1_54128456121462410464578910174[[#This Row],[Type]],Main[[#All],[TYPE]:[UNIT]],'Unit Price'!D$1,FALSE),0)</f>
        <v>0</v>
      </c>
      <c r="I788" s="194">
        <f>IF(_1_54128456121462410464578910174[[#This Row],[Type]]&gt;0,VLOOKUP(_1_54128456121462410464578910174[[#This Row],[Type]],Main[[#All],[TYPE]:[UNIT]],'Unit Price'!G$1,FALSE),0)</f>
        <v>0</v>
      </c>
      <c r="J788" s="194">
        <f>IF(_1_54128456121462410464578910174[[#This Row],[Type]]&gt;0,VLOOKUP(_1_54128456121462410464578910174[[#This Row],[Type]],Main[[#All],[TYPE]:[UNIT]],'Unit Price'!H$1,FALSE),0)</f>
        <v>0</v>
      </c>
      <c r="K788" s="194">
        <f>IF(_1_54128456121462410464578910174[[#This Row],[Discount selection]]&gt;0,VLOOKUP(_1_54128456121462410464578910174[[#This Row],[Discount selection]],'Discount Structure'!$A$2:$B$30,2,"false"),0)</f>
        <v>1</v>
      </c>
      <c r="L788" s="194">
        <f>_1_54128456121462410464578910174[[#This Row],[LIST $]]*_1_54128456121462410464578910174[[#This Row],[DISCOUNT]]*_1_54128456121462410464578910174[[#This Row],[DISCOUNT 2]]</f>
        <v>0</v>
      </c>
      <c r="M788" s="194">
        <f>IF(OR(_1_54128456121462410464578910174[[#This Row],[UNIT]]&gt;0,_1_54128456121462410464578910174[[#This Row],[UNIT]]&lt;0),_1_54128456121462410464578910174[[#This Row],[UNIT]]*_1_54128456121462410464578910174[[#This Row],[COST]],0)</f>
        <v>0</v>
      </c>
      <c r="N788" s="194">
        <f t="shared" si="12"/>
        <v>1.5</v>
      </c>
      <c r="O788" s="198">
        <f>_1_54128456121462410464578910174[[#This Row],[TOTAL]]*_1_54128456121462410464578910174[[#This Row],[MARGIN]]</f>
        <v>0</v>
      </c>
      <c r="R788" s="41"/>
    </row>
    <row r="789" spans="4:18">
      <c r="D789" s="188"/>
      <c r="F789" s="168" t="s">
        <v>6202</v>
      </c>
      <c r="G789" s="193">
        <f>IF(_1_54128456121462410464578910174[[#This Row],[Type]]&gt;0,VLOOKUP(_1_54128456121462410464578910174[[#This Row],[Type]],Main[[#All],[TYPE]:[UNIT]],'Unit Price'!C$1,FALSE),0)</f>
        <v>0</v>
      </c>
      <c r="H789" s="197">
        <f>IF(_1_54128456121462410464578910174[[#This Row],[Type]]&gt;0,VLOOKUP(_1_54128456121462410464578910174[[#This Row],[Type]],Main[[#All],[TYPE]:[UNIT]],'Unit Price'!D$1,FALSE),0)</f>
        <v>0</v>
      </c>
      <c r="I789" s="194">
        <f>IF(_1_54128456121462410464578910174[[#This Row],[Type]]&gt;0,VLOOKUP(_1_54128456121462410464578910174[[#This Row],[Type]],Main[[#All],[TYPE]:[UNIT]],'Unit Price'!G$1,FALSE),0)</f>
        <v>0</v>
      </c>
      <c r="J789" s="194">
        <f>IF(_1_54128456121462410464578910174[[#This Row],[Type]]&gt;0,VLOOKUP(_1_54128456121462410464578910174[[#This Row],[Type]],Main[[#All],[TYPE]:[UNIT]],'Unit Price'!H$1,FALSE),0)</f>
        <v>0</v>
      </c>
      <c r="K789" s="194">
        <f>IF(_1_54128456121462410464578910174[[#This Row],[Discount selection]]&gt;0,VLOOKUP(_1_54128456121462410464578910174[[#This Row],[Discount selection]],'Discount Structure'!$A$2:$B$30,2,"false"),0)</f>
        <v>1</v>
      </c>
      <c r="L789" s="194">
        <f>_1_54128456121462410464578910174[[#This Row],[LIST $]]*_1_54128456121462410464578910174[[#This Row],[DISCOUNT]]*_1_54128456121462410464578910174[[#This Row],[DISCOUNT 2]]</f>
        <v>0</v>
      </c>
      <c r="M789" s="194">
        <f>IF(OR(_1_54128456121462410464578910174[[#This Row],[UNIT]]&gt;0,_1_54128456121462410464578910174[[#This Row],[UNIT]]&lt;0),_1_54128456121462410464578910174[[#This Row],[UNIT]]*_1_54128456121462410464578910174[[#This Row],[COST]],0)</f>
        <v>0</v>
      </c>
      <c r="N789" s="194">
        <f t="shared" si="12"/>
        <v>1.5</v>
      </c>
      <c r="O789" s="198">
        <f>_1_54128456121462410464578910174[[#This Row],[TOTAL]]*_1_54128456121462410464578910174[[#This Row],[MARGIN]]</f>
        <v>0</v>
      </c>
      <c r="R789" s="41"/>
    </row>
    <row r="790" spans="4:18">
      <c r="D790" s="188"/>
      <c r="F790" s="168" t="s">
        <v>6202</v>
      </c>
      <c r="G790" s="193">
        <f>IF(_1_54128456121462410464578910174[[#This Row],[Type]]&gt;0,VLOOKUP(_1_54128456121462410464578910174[[#This Row],[Type]],Main[[#All],[TYPE]:[UNIT]],'Unit Price'!C$1,FALSE),0)</f>
        <v>0</v>
      </c>
      <c r="H790" s="197">
        <f>IF(_1_54128456121462410464578910174[[#This Row],[Type]]&gt;0,VLOOKUP(_1_54128456121462410464578910174[[#This Row],[Type]],Main[[#All],[TYPE]:[UNIT]],'Unit Price'!D$1,FALSE),0)</f>
        <v>0</v>
      </c>
      <c r="I790" s="194">
        <f>IF(_1_54128456121462410464578910174[[#This Row],[Type]]&gt;0,VLOOKUP(_1_54128456121462410464578910174[[#This Row],[Type]],Main[[#All],[TYPE]:[UNIT]],'Unit Price'!G$1,FALSE),0)</f>
        <v>0</v>
      </c>
      <c r="J790" s="194">
        <f>IF(_1_54128456121462410464578910174[[#This Row],[Type]]&gt;0,VLOOKUP(_1_54128456121462410464578910174[[#This Row],[Type]],Main[[#All],[TYPE]:[UNIT]],'Unit Price'!H$1,FALSE),0)</f>
        <v>0</v>
      </c>
      <c r="K790" s="194">
        <f>IF(_1_54128456121462410464578910174[[#This Row],[Discount selection]]&gt;0,VLOOKUP(_1_54128456121462410464578910174[[#This Row],[Discount selection]],'Discount Structure'!$A$2:$B$30,2,"false"),0)</f>
        <v>1</v>
      </c>
      <c r="L790" s="194">
        <f>_1_54128456121462410464578910174[[#This Row],[LIST $]]*_1_54128456121462410464578910174[[#This Row],[DISCOUNT]]*_1_54128456121462410464578910174[[#This Row],[DISCOUNT 2]]</f>
        <v>0</v>
      </c>
      <c r="M790" s="194">
        <f>IF(OR(_1_54128456121462410464578910174[[#This Row],[UNIT]]&gt;0,_1_54128456121462410464578910174[[#This Row],[UNIT]]&lt;0),_1_54128456121462410464578910174[[#This Row],[UNIT]]*_1_54128456121462410464578910174[[#This Row],[COST]],0)</f>
        <v>0</v>
      </c>
      <c r="N790" s="194">
        <f t="shared" si="12"/>
        <v>1.5</v>
      </c>
      <c r="O790" s="198">
        <f>_1_54128456121462410464578910174[[#This Row],[TOTAL]]*_1_54128456121462410464578910174[[#This Row],[MARGIN]]</f>
        <v>0</v>
      </c>
      <c r="R790" s="41"/>
    </row>
    <row r="791" spans="4:18">
      <c r="D791" s="188"/>
      <c r="F791" s="168" t="s">
        <v>6202</v>
      </c>
      <c r="G791" s="193">
        <f>IF(_1_54128456121462410464578910174[[#This Row],[Type]]&gt;0,VLOOKUP(_1_54128456121462410464578910174[[#This Row],[Type]],Main[[#All],[TYPE]:[UNIT]],'Unit Price'!C$1,FALSE),0)</f>
        <v>0</v>
      </c>
      <c r="H791" s="197">
        <f>IF(_1_54128456121462410464578910174[[#This Row],[Type]]&gt;0,VLOOKUP(_1_54128456121462410464578910174[[#This Row],[Type]],Main[[#All],[TYPE]:[UNIT]],'Unit Price'!D$1,FALSE),0)</f>
        <v>0</v>
      </c>
      <c r="I791" s="194">
        <f>IF(_1_54128456121462410464578910174[[#This Row],[Type]]&gt;0,VLOOKUP(_1_54128456121462410464578910174[[#This Row],[Type]],Main[[#All],[TYPE]:[UNIT]],'Unit Price'!G$1,FALSE),0)</f>
        <v>0</v>
      </c>
      <c r="J791" s="194">
        <f>IF(_1_54128456121462410464578910174[[#This Row],[Type]]&gt;0,VLOOKUP(_1_54128456121462410464578910174[[#This Row],[Type]],Main[[#All],[TYPE]:[UNIT]],'Unit Price'!H$1,FALSE),0)</f>
        <v>0</v>
      </c>
      <c r="K791" s="194">
        <f>IF(_1_54128456121462410464578910174[[#This Row],[Discount selection]]&gt;0,VLOOKUP(_1_54128456121462410464578910174[[#This Row],[Discount selection]],'Discount Structure'!$A$2:$B$30,2,"false"),0)</f>
        <v>1</v>
      </c>
      <c r="L791" s="194">
        <f>_1_54128456121462410464578910174[[#This Row],[LIST $]]*_1_54128456121462410464578910174[[#This Row],[DISCOUNT]]*_1_54128456121462410464578910174[[#This Row],[DISCOUNT 2]]</f>
        <v>0</v>
      </c>
      <c r="M791" s="194">
        <f>IF(OR(_1_54128456121462410464578910174[[#This Row],[UNIT]]&gt;0,_1_54128456121462410464578910174[[#This Row],[UNIT]]&lt;0),_1_54128456121462410464578910174[[#This Row],[UNIT]]*_1_54128456121462410464578910174[[#This Row],[COST]],0)</f>
        <v>0</v>
      </c>
      <c r="N791" s="194">
        <f t="shared" si="12"/>
        <v>1.5</v>
      </c>
      <c r="O791" s="198">
        <f>_1_54128456121462410464578910174[[#This Row],[TOTAL]]*_1_54128456121462410464578910174[[#This Row],[MARGIN]]</f>
        <v>0</v>
      </c>
      <c r="R791" s="41"/>
    </row>
    <row r="792" spans="4:18">
      <c r="D792" s="188"/>
      <c r="F792" s="168" t="s">
        <v>6202</v>
      </c>
      <c r="G792" s="193">
        <f>IF(_1_54128456121462410464578910174[[#This Row],[Type]]&gt;0,VLOOKUP(_1_54128456121462410464578910174[[#This Row],[Type]],Main[[#All],[TYPE]:[UNIT]],'Unit Price'!C$1,FALSE),0)</f>
        <v>0</v>
      </c>
      <c r="H792" s="197">
        <f>IF(_1_54128456121462410464578910174[[#This Row],[Type]]&gt;0,VLOOKUP(_1_54128456121462410464578910174[[#This Row],[Type]],Main[[#All],[TYPE]:[UNIT]],'Unit Price'!D$1,FALSE),0)</f>
        <v>0</v>
      </c>
      <c r="I792" s="194">
        <f>IF(_1_54128456121462410464578910174[[#This Row],[Type]]&gt;0,VLOOKUP(_1_54128456121462410464578910174[[#This Row],[Type]],Main[[#All],[TYPE]:[UNIT]],'Unit Price'!G$1,FALSE),0)</f>
        <v>0</v>
      </c>
      <c r="J792" s="194">
        <f>IF(_1_54128456121462410464578910174[[#This Row],[Type]]&gt;0,VLOOKUP(_1_54128456121462410464578910174[[#This Row],[Type]],Main[[#All],[TYPE]:[UNIT]],'Unit Price'!H$1,FALSE),0)</f>
        <v>0</v>
      </c>
      <c r="K792" s="194">
        <f>IF(_1_54128456121462410464578910174[[#This Row],[Discount selection]]&gt;0,VLOOKUP(_1_54128456121462410464578910174[[#This Row],[Discount selection]],'Discount Structure'!$A$2:$B$30,2,"false"),0)</f>
        <v>1</v>
      </c>
      <c r="L792" s="194">
        <f>_1_54128456121462410464578910174[[#This Row],[LIST $]]*_1_54128456121462410464578910174[[#This Row],[DISCOUNT]]*_1_54128456121462410464578910174[[#This Row],[DISCOUNT 2]]</f>
        <v>0</v>
      </c>
      <c r="M792" s="194">
        <f>IF(OR(_1_54128456121462410464578910174[[#This Row],[UNIT]]&gt;0,_1_54128456121462410464578910174[[#This Row],[UNIT]]&lt;0),_1_54128456121462410464578910174[[#This Row],[UNIT]]*_1_54128456121462410464578910174[[#This Row],[COST]],0)</f>
        <v>0</v>
      </c>
      <c r="N792" s="194">
        <f t="shared" si="12"/>
        <v>1.5</v>
      </c>
      <c r="O792" s="198">
        <f>_1_54128456121462410464578910174[[#This Row],[TOTAL]]*_1_54128456121462410464578910174[[#This Row],[MARGIN]]</f>
        <v>0</v>
      </c>
      <c r="R792" s="41"/>
    </row>
    <row r="793" spans="4:18">
      <c r="D793" s="188"/>
      <c r="F793" s="168" t="s">
        <v>6202</v>
      </c>
      <c r="G793" s="193">
        <f>IF(_1_54128456121462410464578910174[[#This Row],[Type]]&gt;0,VLOOKUP(_1_54128456121462410464578910174[[#This Row],[Type]],Main[[#All],[TYPE]:[UNIT]],'Unit Price'!C$1,FALSE),0)</f>
        <v>0</v>
      </c>
      <c r="H793" s="197">
        <f>IF(_1_54128456121462410464578910174[[#This Row],[Type]]&gt;0,VLOOKUP(_1_54128456121462410464578910174[[#This Row],[Type]],Main[[#All],[TYPE]:[UNIT]],'Unit Price'!D$1,FALSE),0)</f>
        <v>0</v>
      </c>
      <c r="I793" s="194">
        <f>IF(_1_54128456121462410464578910174[[#This Row],[Type]]&gt;0,VLOOKUP(_1_54128456121462410464578910174[[#This Row],[Type]],Main[[#All],[TYPE]:[UNIT]],'Unit Price'!G$1,FALSE),0)</f>
        <v>0</v>
      </c>
      <c r="J793" s="194">
        <f>IF(_1_54128456121462410464578910174[[#This Row],[Type]]&gt;0,VLOOKUP(_1_54128456121462410464578910174[[#This Row],[Type]],Main[[#All],[TYPE]:[UNIT]],'Unit Price'!H$1,FALSE),0)</f>
        <v>0</v>
      </c>
      <c r="K793" s="194">
        <f>IF(_1_54128456121462410464578910174[[#This Row],[Discount selection]]&gt;0,VLOOKUP(_1_54128456121462410464578910174[[#This Row],[Discount selection]],'Discount Structure'!$A$2:$B$30,2,"false"),0)</f>
        <v>1</v>
      </c>
      <c r="L793" s="194">
        <f>_1_54128456121462410464578910174[[#This Row],[LIST $]]*_1_54128456121462410464578910174[[#This Row],[DISCOUNT]]*_1_54128456121462410464578910174[[#This Row],[DISCOUNT 2]]</f>
        <v>0</v>
      </c>
      <c r="M793" s="194">
        <f>IF(OR(_1_54128456121462410464578910174[[#This Row],[UNIT]]&gt;0,_1_54128456121462410464578910174[[#This Row],[UNIT]]&lt;0),_1_54128456121462410464578910174[[#This Row],[UNIT]]*_1_54128456121462410464578910174[[#This Row],[COST]],0)</f>
        <v>0</v>
      </c>
      <c r="N793" s="194">
        <f t="shared" si="12"/>
        <v>1.5</v>
      </c>
      <c r="O793" s="198">
        <f>_1_54128456121462410464578910174[[#This Row],[TOTAL]]*_1_54128456121462410464578910174[[#This Row],[MARGIN]]</f>
        <v>0</v>
      </c>
      <c r="R793" s="41"/>
    </row>
    <row r="794" spans="4:18">
      <c r="D794" s="188"/>
      <c r="F794" s="168" t="s">
        <v>6202</v>
      </c>
      <c r="G794" s="193">
        <f>IF(_1_54128456121462410464578910174[[#This Row],[Type]]&gt;0,VLOOKUP(_1_54128456121462410464578910174[[#This Row],[Type]],Main[[#All],[TYPE]:[UNIT]],'Unit Price'!C$1,FALSE),0)</f>
        <v>0</v>
      </c>
      <c r="H794" s="197">
        <f>IF(_1_54128456121462410464578910174[[#This Row],[Type]]&gt;0,VLOOKUP(_1_54128456121462410464578910174[[#This Row],[Type]],Main[[#All],[TYPE]:[UNIT]],'Unit Price'!D$1,FALSE),0)</f>
        <v>0</v>
      </c>
      <c r="I794" s="194">
        <f>IF(_1_54128456121462410464578910174[[#This Row],[Type]]&gt;0,VLOOKUP(_1_54128456121462410464578910174[[#This Row],[Type]],Main[[#All],[TYPE]:[UNIT]],'Unit Price'!G$1,FALSE),0)</f>
        <v>0</v>
      </c>
      <c r="J794" s="194">
        <f>IF(_1_54128456121462410464578910174[[#This Row],[Type]]&gt;0,VLOOKUP(_1_54128456121462410464578910174[[#This Row],[Type]],Main[[#All],[TYPE]:[UNIT]],'Unit Price'!H$1,FALSE),0)</f>
        <v>0</v>
      </c>
      <c r="K794" s="194">
        <f>IF(_1_54128456121462410464578910174[[#This Row],[Discount selection]]&gt;0,VLOOKUP(_1_54128456121462410464578910174[[#This Row],[Discount selection]],'Discount Structure'!$A$2:$B$30,2,"false"),0)</f>
        <v>1</v>
      </c>
      <c r="L794" s="194">
        <f>_1_54128456121462410464578910174[[#This Row],[LIST $]]*_1_54128456121462410464578910174[[#This Row],[DISCOUNT]]*_1_54128456121462410464578910174[[#This Row],[DISCOUNT 2]]</f>
        <v>0</v>
      </c>
      <c r="M794" s="194">
        <f>IF(OR(_1_54128456121462410464578910174[[#This Row],[UNIT]]&gt;0,_1_54128456121462410464578910174[[#This Row],[UNIT]]&lt;0),_1_54128456121462410464578910174[[#This Row],[UNIT]]*_1_54128456121462410464578910174[[#This Row],[COST]],0)</f>
        <v>0</v>
      </c>
      <c r="N794" s="194">
        <f t="shared" si="12"/>
        <v>1.5</v>
      </c>
      <c r="O794" s="198">
        <f>_1_54128456121462410464578910174[[#This Row],[TOTAL]]*_1_54128456121462410464578910174[[#This Row],[MARGIN]]</f>
        <v>0</v>
      </c>
      <c r="R794" s="41"/>
    </row>
    <row r="795" spans="4:18">
      <c r="D795" s="188"/>
      <c r="F795" s="168" t="s">
        <v>6202</v>
      </c>
      <c r="G795" s="193">
        <f>IF(_1_54128456121462410464578910174[[#This Row],[Type]]&gt;0,VLOOKUP(_1_54128456121462410464578910174[[#This Row],[Type]],Main[[#All],[TYPE]:[UNIT]],'Unit Price'!C$1,FALSE),0)</f>
        <v>0</v>
      </c>
      <c r="H795" s="197">
        <f>IF(_1_54128456121462410464578910174[[#This Row],[Type]]&gt;0,VLOOKUP(_1_54128456121462410464578910174[[#This Row],[Type]],Main[[#All],[TYPE]:[UNIT]],'Unit Price'!D$1,FALSE),0)</f>
        <v>0</v>
      </c>
      <c r="I795" s="194">
        <f>IF(_1_54128456121462410464578910174[[#This Row],[Type]]&gt;0,VLOOKUP(_1_54128456121462410464578910174[[#This Row],[Type]],Main[[#All],[TYPE]:[UNIT]],'Unit Price'!G$1,FALSE),0)</f>
        <v>0</v>
      </c>
      <c r="J795" s="194">
        <f>IF(_1_54128456121462410464578910174[[#This Row],[Type]]&gt;0,VLOOKUP(_1_54128456121462410464578910174[[#This Row],[Type]],Main[[#All],[TYPE]:[UNIT]],'Unit Price'!H$1,FALSE),0)</f>
        <v>0</v>
      </c>
      <c r="K795" s="194">
        <f>IF(_1_54128456121462410464578910174[[#This Row],[Discount selection]]&gt;0,VLOOKUP(_1_54128456121462410464578910174[[#This Row],[Discount selection]],'Discount Structure'!$A$2:$B$30,2,"false"),0)</f>
        <v>1</v>
      </c>
      <c r="L795" s="194">
        <f>_1_54128456121462410464578910174[[#This Row],[LIST $]]*_1_54128456121462410464578910174[[#This Row],[DISCOUNT]]*_1_54128456121462410464578910174[[#This Row],[DISCOUNT 2]]</f>
        <v>0</v>
      </c>
      <c r="M795" s="194">
        <f>IF(OR(_1_54128456121462410464578910174[[#This Row],[UNIT]]&gt;0,_1_54128456121462410464578910174[[#This Row],[UNIT]]&lt;0),_1_54128456121462410464578910174[[#This Row],[UNIT]]*_1_54128456121462410464578910174[[#This Row],[COST]],0)</f>
        <v>0</v>
      </c>
      <c r="N795" s="194">
        <f t="shared" si="12"/>
        <v>1.5</v>
      </c>
      <c r="O795" s="198">
        <f>_1_54128456121462410464578910174[[#This Row],[TOTAL]]*_1_54128456121462410464578910174[[#This Row],[MARGIN]]</f>
        <v>0</v>
      </c>
      <c r="R795" s="41"/>
    </row>
    <row r="796" spans="4:18">
      <c r="D796" s="188"/>
      <c r="F796" s="168" t="s">
        <v>6202</v>
      </c>
      <c r="G796" s="193">
        <f>IF(_1_54128456121462410464578910174[[#This Row],[Type]]&gt;0,VLOOKUP(_1_54128456121462410464578910174[[#This Row],[Type]],Main[[#All],[TYPE]:[UNIT]],'Unit Price'!C$1,FALSE),0)</f>
        <v>0</v>
      </c>
      <c r="H796" s="197">
        <f>IF(_1_54128456121462410464578910174[[#This Row],[Type]]&gt;0,VLOOKUP(_1_54128456121462410464578910174[[#This Row],[Type]],Main[[#All],[TYPE]:[UNIT]],'Unit Price'!D$1,FALSE),0)</f>
        <v>0</v>
      </c>
      <c r="I796" s="194">
        <f>IF(_1_54128456121462410464578910174[[#This Row],[Type]]&gt;0,VLOOKUP(_1_54128456121462410464578910174[[#This Row],[Type]],Main[[#All],[TYPE]:[UNIT]],'Unit Price'!G$1,FALSE),0)</f>
        <v>0</v>
      </c>
      <c r="J796" s="194">
        <f>IF(_1_54128456121462410464578910174[[#This Row],[Type]]&gt;0,VLOOKUP(_1_54128456121462410464578910174[[#This Row],[Type]],Main[[#All],[TYPE]:[UNIT]],'Unit Price'!H$1,FALSE),0)</f>
        <v>0</v>
      </c>
      <c r="K796" s="194">
        <f>IF(_1_54128456121462410464578910174[[#This Row],[Discount selection]]&gt;0,VLOOKUP(_1_54128456121462410464578910174[[#This Row],[Discount selection]],'Discount Structure'!$A$2:$B$30,2,"false"),0)</f>
        <v>1</v>
      </c>
      <c r="L796" s="194">
        <f>_1_54128456121462410464578910174[[#This Row],[LIST $]]*_1_54128456121462410464578910174[[#This Row],[DISCOUNT]]*_1_54128456121462410464578910174[[#This Row],[DISCOUNT 2]]</f>
        <v>0</v>
      </c>
      <c r="M796" s="194">
        <f>IF(OR(_1_54128456121462410464578910174[[#This Row],[UNIT]]&gt;0,_1_54128456121462410464578910174[[#This Row],[UNIT]]&lt;0),_1_54128456121462410464578910174[[#This Row],[UNIT]]*_1_54128456121462410464578910174[[#This Row],[COST]],0)</f>
        <v>0</v>
      </c>
      <c r="N796" s="194">
        <f t="shared" si="12"/>
        <v>1.5</v>
      </c>
      <c r="O796" s="198">
        <f>_1_54128456121462410464578910174[[#This Row],[TOTAL]]*_1_54128456121462410464578910174[[#This Row],[MARGIN]]</f>
        <v>0</v>
      </c>
      <c r="R796" s="41"/>
    </row>
    <row r="797" spans="4:18">
      <c r="D797" s="188"/>
      <c r="F797" s="168" t="s">
        <v>6202</v>
      </c>
      <c r="G797" s="193">
        <f>IF(_1_54128456121462410464578910174[[#This Row],[Type]]&gt;0,VLOOKUP(_1_54128456121462410464578910174[[#This Row],[Type]],Main[[#All],[TYPE]:[UNIT]],'Unit Price'!C$1,FALSE),0)</f>
        <v>0</v>
      </c>
      <c r="H797" s="197">
        <f>IF(_1_54128456121462410464578910174[[#This Row],[Type]]&gt;0,VLOOKUP(_1_54128456121462410464578910174[[#This Row],[Type]],Main[[#All],[TYPE]:[UNIT]],'Unit Price'!D$1,FALSE),0)</f>
        <v>0</v>
      </c>
      <c r="I797" s="194">
        <f>IF(_1_54128456121462410464578910174[[#This Row],[Type]]&gt;0,VLOOKUP(_1_54128456121462410464578910174[[#This Row],[Type]],Main[[#All],[TYPE]:[UNIT]],'Unit Price'!G$1,FALSE),0)</f>
        <v>0</v>
      </c>
      <c r="J797" s="194">
        <f>IF(_1_54128456121462410464578910174[[#This Row],[Type]]&gt;0,VLOOKUP(_1_54128456121462410464578910174[[#This Row],[Type]],Main[[#All],[TYPE]:[UNIT]],'Unit Price'!H$1,FALSE),0)</f>
        <v>0</v>
      </c>
      <c r="K797" s="194">
        <f>IF(_1_54128456121462410464578910174[[#This Row],[Discount selection]]&gt;0,VLOOKUP(_1_54128456121462410464578910174[[#This Row],[Discount selection]],'Discount Structure'!$A$2:$B$30,2,"false"),0)</f>
        <v>1</v>
      </c>
      <c r="L797" s="194">
        <f>_1_54128456121462410464578910174[[#This Row],[LIST $]]*_1_54128456121462410464578910174[[#This Row],[DISCOUNT]]*_1_54128456121462410464578910174[[#This Row],[DISCOUNT 2]]</f>
        <v>0</v>
      </c>
      <c r="M797" s="194">
        <f>IF(OR(_1_54128456121462410464578910174[[#This Row],[UNIT]]&gt;0,_1_54128456121462410464578910174[[#This Row],[UNIT]]&lt;0),_1_54128456121462410464578910174[[#This Row],[UNIT]]*_1_54128456121462410464578910174[[#This Row],[COST]],0)</f>
        <v>0</v>
      </c>
      <c r="N797" s="194">
        <f t="shared" si="12"/>
        <v>1.5</v>
      </c>
      <c r="O797" s="198">
        <f>_1_54128456121462410464578910174[[#This Row],[TOTAL]]*_1_54128456121462410464578910174[[#This Row],[MARGIN]]</f>
        <v>0</v>
      </c>
      <c r="R797" s="41"/>
    </row>
    <row r="798" spans="4:18">
      <c r="D798" s="188"/>
      <c r="F798" s="168" t="s">
        <v>6202</v>
      </c>
      <c r="G798" s="193">
        <f>IF(_1_54128456121462410464578910174[[#This Row],[Type]]&gt;0,VLOOKUP(_1_54128456121462410464578910174[[#This Row],[Type]],Main[[#All],[TYPE]:[UNIT]],'Unit Price'!C$1,FALSE),0)</f>
        <v>0</v>
      </c>
      <c r="H798" s="197">
        <f>IF(_1_54128456121462410464578910174[[#This Row],[Type]]&gt;0,VLOOKUP(_1_54128456121462410464578910174[[#This Row],[Type]],Main[[#All],[TYPE]:[UNIT]],'Unit Price'!D$1,FALSE),0)</f>
        <v>0</v>
      </c>
      <c r="I798" s="194">
        <f>IF(_1_54128456121462410464578910174[[#This Row],[Type]]&gt;0,VLOOKUP(_1_54128456121462410464578910174[[#This Row],[Type]],Main[[#All],[TYPE]:[UNIT]],'Unit Price'!G$1,FALSE),0)</f>
        <v>0</v>
      </c>
      <c r="J798" s="194">
        <f>IF(_1_54128456121462410464578910174[[#This Row],[Type]]&gt;0,VLOOKUP(_1_54128456121462410464578910174[[#This Row],[Type]],Main[[#All],[TYPE]:[UNIT]],'Unit Price'!H$1,FALSE),0)</f>
        <v>0</v>
      </c>
      <c r="K798" s="194">
        <f>IF(_1_54128456121462410464578910174[[#This Row],[Discount selection]]&gt;0,VLOOKUP(_1_54128456121462410464578910174[[#This Row],[Discount selection]],'Discount Structure'!$A$2:$B$30,2,"false"),0)</f>
        <v>1</v>
      </c>
      <c r="L798" s="194">
        <f>_1_54128456121462410464578910174[[#This Row],[LIST $]]*_1_54128456121462410464578910174[[#This Row],[DISCOUNT]]*_1_54128456121462410464578910174[[#This Row],[DISCOUNT 2]]</f>
        <v>0</v>
      </c>
      <c r="M798" s="194">
        <f>IF(OR(_1_54128456121462410464578910174[[#This Row],[UNIT]]&gt;0,_1_54128456121462410464578910174[[#This Row],[UNIT]]&lt;0),_1_54128456121462410464578910174[[#This Row],[UNIT]]*_1_54128456121462410464578910174[[#This Row],[COST]],0)</f>
        <v>0</v>
      </c>
      <c r="N798" s="194">
        <f t="shared" si="12"/>
        <v>1.5</v>
      </c>
      <c r="O798" s="198">
        <f>_1_54128456121462410464578910174[[#This Row],[TOTAL]]*_1_54128456121462410464578910174[[#This Row],[MARGIN]]</f>
        <v>0</v>
      </c>
      <c r="R798" s="41"/>
    </row>
    <row r="799" spans="4:18">
      <c r="D799" s="188"/>
      <c r="F799" s="168" t="s">
        <v>6202</v>
      </c>
      <c r="G799" s="193">
        <f>IF(_1_54128456121462410464578910174[[#This Row],[Type]]&gt;0,VLOOKUP(_1_54128456121462410464578910174[[#This Row],[Type]],Main[[#All],[TYPE]:[UNIT]],'Unit Price'!C$1,FALSE),0)</f>
        <v>0</v>
      </c>
      <c r="H799" s="197">
        <f>IF(_1_54128456121462410464578910174[[#This Row],[Type]]&gt;0,VLOOKUP(_1_54128456121462410464578910174[[#This Row],[Type]],Main[[#All],[TYPE]:[UNIT]],'Unit Price'!D$1,FALSE),0)</f>
        <v>0</v>
      </c>
      <c r="I799" s="194">
        <f>IF(_1_54128456121462410464578910174[[#This Row],[Type]]&gt;0,VLOOKUP(_1_54128456121462410464578910174[[#This Row],[Type]],Main[[#All],[TYPE]:[UNIT]],'Unit Price'!G$1,FALSE),0)</f>
        <v>0</v>
      </c>
      <c r="J799" s="194">
        <f>IF(_1_54128456121462410464578910174[[#This Row],[Type]]&gt;0,VLOOKUP(_1_54128456121462410464578910174[[#This Row],[Type]],Main[[#All],[TYPE]:[UNIT]],'Unit Price'!H$1,FALSE),0)</f>
        <v>0</v>
      </c>
      <c r="K799" s="194">
        <f>IF(_1_54128456121462410464578910174[[#This Row],[Discount selection]]&gt;0,VLOOKUP(_1_54128456121462410464578910174[[#This Row],[Discount selection]],'Discount Structure'!$A$2:$B$30,2,"false"),0)</f>
        <v>1</v>
      </c>
      <c r="L799" s="194">
        <f>_1_54128456121462410464578910174[[#This Row],[LIST $]]*_1_54128456121462410464578910174[[#This Row],[DISCOUNT]]*_1_54128456121462410464578910174[[#This Row],[DISCOUNT 2]]</f>
        <v>0</v>
      </c>
      <c r="M799" s="194">
        <f>IF(OR(_1_54128456121462410464578910174[[#This Row],[UNIT]]&gt;0,_1_54128456121462410464578910174[[#This Row],[UNIT]]&lt;0),_1_54128456121462410464578910174[[#This Row],[UNIT]]*_1_54128456121462410464578910174[[#This Row],[COST]],0)</f>
        <v>0</v>
      </c>
      <c r="N799" s="194">
        <f t="shared" si="12"/>
        <v>1.5</v>
      </c>
      <c r="O799" s="198">
        <f>_1_54128456121462410464578910174[[#This Row],[TOTAL]]*_1_54128456121462410464578910174[[#This Row],[MARGIN]]</f>
        <v>0</v>
      </c>
      <c r="R799" s="41"/>
    </row>
    <row r="800" spans="4:18">
      <c r="D800" s="188"/>
      <c r="F800" s="168" t="s">
        <v>6202</v>
      </c>
      <c r="G800" s="193">
        <f>IF(_1_54128456121462410464578910174[[#This Row],[Type]]&gt;0,VLOOKUP(_1_54128456121462410464578910174[[#This Row],[Type]],Main[[#All],[TYPE]:[UNIT]],'Unit Price'!C$1,FALSE),0)</f>
        <v>0</v>
      </c>
      <c r="H800" s="197">
        <f>IF(_1_54128456121462410464578910174[[#This Row],[Type]]&gt;0,VLOOKUP(_1_54128456121462410464578910174[[#This Row],[Type]],Main[[#All],[TYPE]:[UNIT]],'Unit Price'!D$1,FALSE),0)</f>
        <v>0</v>
      </c>
      <c r="I800" s="194">
        <f>IF(_1_54128456121462410464578910174[[#This Row],[Type]]&gt;0,VLOOKUP(_1_54128456121462410464578910174[[#This Row],[Type]],Main[[#All],[TYPE]:[UNIT]],'Unit Price'!G$1,FALSE),0)</f>
        <v>0</v>
      </c>
      <c r="J800" s="194">
        <f>IF(_1_54128456121462410464578910174[[#This Row],[Type]]&gt;0,VLOOKUP(_1_54128456121462410464578910174[[#This Row],[Type]],Main[[#All],[TYPE]:[UNIT]],'Unit Price'!H$1,FALSE),0)</f>
        <v>0</v>
      </c>
      <c r="K800" s="194">
        <f>IF(_1_54128456121462410464578910174[[#This Row],[Discount selection]]&gt;0,VLOOKUP(_1_54128456121462410464578910174[[#This Row],[Discount selection]],'Discount Structure'!$A$2:$B$30,2,"false"),0)</f>
        <v>1</v>
      </c>
      <c r="L800" s="194">
        <f>_1_54128456121462410464578910174[[#This Row],[LIST $]]*_1_54128456121462410464578910174[[#This Row],[DISCOUNT]]*_1_54128456121462410464578910174[[#This Row],[DISCOUNT 2]]</f>
        <v>0</v>
      </c>
      <c r="M800" s="194">
        <f>IF(OR(_1_54128456121462410464578910174[[#This Row],[UNIT]]&gt;0,_1_54128456121462410464578910174[[#This Row],[UNIT]]&lt;0),_1_54128456121462410464578910174[[#This Row],[UNIT]]*_1_54128456121462410464578910174[[#This Row],[COST]],0)</f>
        <v>0</v>
      </c>
      <c r="N800" s="194">
        <f t="shared" si="12"/>
        <v>1.5</v>
      </c>
      <c r="O800" s="198">
        <f>_1_54128456121462410464578910174[[#This Row],[TOTAL]]*_1_54128456121462410464578910174[[#This Row],[MARGIN]]</f>
        <v>0</v>
      </c>
      <c r="R800" s="41"/>
    </row>
    <row r="801" spans="4:18">
      <c r="D801" s="188"/>
      <c r="F801" s="168" t="s">
        <v>6202</v>
      </c>
      <c r="G801" s="193">
        <f>IF(_1_54128456121462410464578910174[[#This Row],[Type]]&gt;0,VLOOKUP(_1_54128456121462410464578910174[[#This Row],[Type]],Main[[#All],[TYPE]:[UNIT]],'Unit Price'!C$1,FALSE),0)</f>
        <v>0</v>
      </c>
      <c r="H801" s="197">
        <f>IF(_1_54128456121462410464578910174[[#This Row],[Type]]&gt;0,VLOOKUP(_1_54128456121462410464578910174[[#This Row],[Type]],Main[[#All],[TYPE]:[UNIT]],'Unit Price'!D$1,FALSE),0)</f>
        <v>0</v>
      </c>
      <c r="I801" s="194">
        <f>IF(_1_54128456121462410464578910174[[#This Row],[Type]]&gt;0,VLOOKUP(_1_54128456121462410464578910174[[#This Row],[Type]],Main[[#All],[TYPE]:[UNIT]],'Unit Price'!G$1,FALSE),0)</f>
        <v>0</v>
      </c>
      <c r="J801" s="194">
        <f>IF(_1_54128456121462410464578910174[[#This Row],[Type]]&gt;0,VLOOKUP(_1_54128456121462410464578910174[[#This Row],[Type]],Main[[#All],[TYPE]:[UNIT]],'Unit Price'!H$1,FALSE),0)</f>
        <v>0</v>
      </c>
      <c r="K801" s="194">
        <f>IF(_1_54128456121462410464578910174[[#This Row],[Discount selection]]&gt;0,VLOOKUP(_1_54128456121462410464578910174[[#This Row],[Discount selection]],'Discount Structure'!$A$2:$B$30,2,"false"),0)</f>
        <v>1</v>
      </c>
      <c r="L801" s="194">
        <f>_1_54128456121462410464578910174[[#This Row],[LIST $]]*_1_54128456121462410464578910174[[#This Row],[DISCOUNT]]*_1_54128456121462410464578910174[[#This Row],[DISCOUNT 2]]</f>
        <v>0</v>
      </c>
      <c r="M801" s="194">
        <f>IF(OR(_1_54128456121462410464578910174[[#This Row],[UNIT]]&gt;0,_1_54128456121462410464578910174[[#This Row],[UNIT]]&lt;0),_1_54128456121462410464578910174[[#This Row],[UNIT]]*_1_54128456121462410464578910174[[#This Row],[COST]],0)</f>
        <v>0</v>
      </c>
      <c r="N801" s="194">
        <f t="shared" si="12"/>
        <v>1.5</v>
      </c>
      <c r="O801" s="198">
        <f>_1_54128456121462410464578910174[[#This Row],[TOTAL]]*_1_54128456121462410464578910174[[#This Row],[MARGIN]]</f>
        <v>0</v>
      </c>
      <c r="R801" s="41"/>
    </row>
    <row r="802" spans="4:18">
      <c r="D802" s="188"/>
      <c r="F802" s="168" t="s">
        <v>6202</v>
      </c>
      <c r="G802" s="193">
        <f>IF(_1_54128456121462410464578910174[[#This Row],[Type]]&gt;0,VLOOKUP(_1_54128456121462410464578910174[[#This Row],[Type]],Main[[#All],[TYPE]:[UNIT]],'Unit Price'!C$1,FALSE),0)</f>
        <v>0</v>
      </c>
      <c r="H802" s="197">
        <f>IF(_1_54128456121462410464578910174[[#This Row],[Type]]&gt;0,VLOOKUP(_1_54128456121462410464578910174[[#This Row],[Type]],Main[[#All],[TYPE]:[UNIT]],'Unit Price'!D$1,FALSE),0)</f>
        <v>0</v>
      </c>
      <c r="I802" s="194">
        <f>IF(_1_54128456121462410464578910174[[#This Row],[Type]]&gt;0,VLOOKUP(_1_54128456121462410464578910174[[#This Row],[Type]],Main[[#All],[TYPE]:[UNIT]],'Unit Price'!G$1,FALSE),0)</f>
        <v>0</v>
      </c>
      <c r="J802" s="194">
        <f>IF(_1_54128456121462410464578910174[[#This Row],[Type]]&gt;0,VLOOKUP(_1_54128456121462410464578910174[[#This Row],[Type]],Main[[#All],[TYPE]:[UNIT]],'Unit Price'!H$1,FALSE),0)</f>
        <v>0</v>
      </c>
      <c r="K802" s="194">
        <f>IF(_1_54128456121462410464578910174[[#This Row],[Discount selection]]&gt;0,VLOOKUP(_1_54128456121462410464578910174[[#This Row],[Discount selection]],'Discount Structure'!$A$2:$B$30,2,"false"),0)</f>
        <v>1</v>
      </c>
      <c r="L802" s="194">
        <f>_1_54128456121462410464578910174[[#This Row],[LIST $]]*_1_54128456121462410464578910174[[#This Row],[DISCOUNT]]*_1_54128456121462410464578910174[[#This Row],[DISCOUNT 2]]</f>
        <v>0</v>
      </c>
      <c r="M802" s="194">
        <f>IF(OR(_1_54128456121462410464578910174[[#This Row],[UNIT]]&gt;0,_1_54128456121462410464578910174[[#This Row],[UNIT]]&lt;0),_1_54128456121462410464578910174[[#This Row],[UNIT]]*_1_54128456121462410464578910174[[#This Row],[COST]],0)</f>
        <v>0</v>
      </c>
      <c r="N802" s="194">
        <f t="shared" si="12"/>
        <v>1.5</v>
      </c>
      <c r="O802" s="198">
        <f>_1_54128456121462410464578910174[[#This Row],[TOTAL]]*_1_54128456121462410464578910174[[#This Row],[MARGIN]]</f>
        <v>0</v>
      </c>
      <c r="R802" s="41"/>
    </row>
    <row r="803" spans="4:18">
      <c r="D803" s="188"/>
      <c r="F803" s="168" t="s">
        <v>6202</v>
      </c>
      <c r="G803" s="193">
        <f>IF(_1_54128456121462410464578910174[[#This Row],[Type]]&gt;0,VLOOKUP(_1_54128456121462410464578910174[[#This Row],[Type]],Main[[#All],[TYPE]:[UNIT]],'Unit Price'!C$1,FALSE),0)</f>
        <v>0</v>
      </c>
      <c r="H803" s="197">
        <f>IF(_1_54128456121462410464578910174[[#This Row],[Type]]&gt;0,VLOOKUP(_1_54128456121462410464578910174[[#This Row],[Type]],Main[[#All],[TYPE]:[UNIT]],'Unit Price'!D$1,FALSE),0)</f>
        <v>0</v>
      </c>
      <c r="I803" s="194">
        <f>IF(_1_54128456121462410464578910174[[#This Row],[Type]]&gt;0,VLOOKUP(_1_54128456121462410464578910174[[#This Row],[Type]],Main[[#All],[TYPE]:[UNIT]],'Unit Price'!G$1,FALSE),0)</f>
        <v>0</v>
      </c>
      <c r="J803" s="194">
        <f>IF(_1_54128456121462410464578910174[[#This Row],[Type]]&gt;0,VLOOKUP(_1_54128456121462410464578910174[[#This Row],[Type]],Main[[#All],[TYPE]:[UNIT]],'Unit Price'!H$1,FALSE),0)</f>
        <v>0</v>
      </c>
      <c r="K803" s="194">
        <f>IF(_1_54128456121462410464578910174[[#This Row],[Discount selection]]&gt;0,VLOOKUP(_1_54128456121462410464578910174[[#This Row],[Discount selection]],'Discount Structure'!$A$2:$B$30,2,"false"),0)</f>
        <v>1</v>
      </c>
      <c r="L803" s="194">
        <f>_1_54128456121462410464578910174[[#This Row],[LIST $]]*_1_54128456121462410464578910174[[#This Row],[DISCOUNT]]*_1_54128456121462410464578910174[[#This Row],[DISCOUNT 2]]</f>
        <v>0</v>
      </c>
      <c r="M803" s="194">
        <f>IF(OR(_1_54128456121462410464578910174[[#This Row],[UNIT]]&gt;0,_1_54128456121462410464578910174[[#This Row],[UNIT]]&lt;0),_1_54128456121462410464578910174[[#This Row],[UNIT]]*_1_54128456121462410464578910174[[#This Row],[COST]],0)</f>
        <v>0</v>
      </c>
      <c r="N803" s="194">
        <f t="shared" si="12"/>
        <v>1.5</v>
      </c>
      <c r="O803" s="198">
        <f>_1_54128456121462410464578910174[[#This Row],[TOTAL]]*_1_54128456121462410464578910174[[#This Row],[MARGIN]]</f>
        <v>0</v>
      </c>
      <c r="R803" s="41"/>
    </row>
    <row r="804" spans="4:18">
      <c r="D804" s="188"/>
      <c r="F804" s="168" t="s">
        <v>6202</v>
      </c>
      <c r="G804" s="193">
        <f>IF(_1_54128456121462410464578910174[[#This Row],[Type]]&gt;0,VLOOKUP(_1_54128456121462410464578910174[[#This Row],[Type]],Main[[#All],[TYPE]:[UNIT]],'Unit Price'!C$1,FALSE),0)</f>
        <v>0</v>
      </c>
      <c r="H804" s="197">
        <f>IF(_1_54128456121462410464578910174[[#This Row],[Type]]&gt;0,VLOOKUP(_1_54128456121462410464578910174[[#This Row],[Type]],Main[[#All],[TYPE]:[UNIT]],'Unit Price'!D$1,FALSE),0)</f>
        <v>0</v>
      </c>
      <c r="I804" s="194">
        <f>IF(_1_54128456121462410464578910174[[#This Row],[Type]]&gt;0,VLOOKUP(_1_54128456121462410464578910174[[#This Row],[Type]],Main[[#All],[TYPE]:[UNIT]],'Unit Price'!G$1,FALSE),0)</f>
        <v>0</v>
      </c>
      <c r="J804" s="194">
        <f>IF(_1_54128456121462410464578910174[[#This Row],[Type]]&gt;0,VLOOKUP(_1_54128456121462410464578910174[[#This Row],[Type]],Main[[#All],[TYPE]:[UNIT]],'Unit Price'!H$1,FALSE),0)</f>
        <v>0</v>
      </c>
      <c r="K804" s="194">
        <f>IF(_1_54128456121462410464578910174[[#This Row],[Discount selection]]&gt;0,VLOOKUP(_1_54128456121462410464578910174[[#This Row],[Discount selection]],'Discount Structure'!$A$2:$B$30,2,"false"),0)</f>
        <v>1</v>
      </c>
      <c r="L804" s="194">
        <f>_1_54128456121462410464578910174[[#This Row],[LIST $]]*_1_54128456121462410464578910174[[#This Row],[DISCOUNT]]*_1_54128456121462410464578910174[[#This Row],[DISCOUNT 2]]</f>
        <v>0</v>
      </c>
      <c r="M804" s="194">
        <f>IF(OR(_1_54128456121462410464578910174[[#This Row],[UNIT]]&gt;0,_1_54128456121462410464578910174[[#This Row],[UNIT]]&lt;0),_1_54128456121462410464578910174[[#This Row],[UNIT]]*_1_54128456121462410464578910174[[#This Row],[COST]],0)</f>
        <v>0</v>
      </c>
      <c r="N804" s="194">
        <f t="shared" si="12"/>
        <v>1.5</v>
      </c>
      <c r="O804" s="198">
        <f>_1_54128456121462410464578910174[[#This Row],[TOTAL]]*_1_54128456121462410464578910174[[#This Row],[MARGIN]]</f>
        <v>0</v>
      </c>
      <c r="R804" s="41"/>
    </row>
    <row r="805" spans="4:18">
      <c r="D805" s="188"/>
      <c r="F805" s="168" t="s">
        <v>6202</v>
      </c>
      <c r="G805" s="193">
        <f>IF(_1_54128456121462410464578910174[[#This Row],[Type]]&gt;0,VLOOKUP(_1_54128456121462410464578910174[[#This Row],[Type]],Main[[#All],[TYPE]:[UNIT]],'Unit Price'!C$1,FALSE),0)</f>
        <v>0</v>
      </c>
      <c r="H805" s="197">
        <f>IF(_1_54128456121462410464578910174[[#This Row],[Type]]&gt;0,VLOOKUP(_1_54128456121462410464578910174[[#This Row],[Type]],Main[[#All],[TYPE]:[UNIT]],'Unit Price'!D$1,FALSE),0)</f>
        <v>0</v>
      </c>
      <c r="I805" s="194">
        <f>IF(_1_54128456121462410464578910174[[#This Row],[Type]]&gt;0,VLOOKUP(_1_54128456121462410464578910174[[#This Row],[Type]],Main[[#All],[TYPE]:[UNIT]],'Unit Price'!G$1,FALSE),0)</f>
        <v>0</v>
      </c>
      <c r="J805" s="194">
        <f>IF(_1_54128456121462410464578910174[[#This Row],[Type]]&gt;0,VLOOKUP(_1_54128456121462410464578910174[[#This Row],[Type]],Main[[#All],[TYPE]:[UNIT]],'Unit Price'!H$1,FALSE),0)</f>
        <v>0</v>
      </c>
      <c r="K805" s="194">
        <f>IF(_1_54128456121462410464578910174[[#This Row],[Discount selection]]&gt;0,VLOOKUP(_1_54128456121462410464578910174[[#This Row],[Discount selection]],'Discount Structure'!$A$2:$B$30,2,"false"),0)</f>
        <v>1</v>
      </c>
      <c r="L805" s="194">
        <f>_1_54128456121462410464578910174[[#This Row],[LIST $]]*_1_54128456121462410464578910174[[#This Row],[DISCOUNT]]*_1_54128456121462410464578910174[[#This Row],[DISCOUNT 2]]</f>
        <v>0</v>
      </c>
      <c r="M805" s="194">
        <f>IF(OR(_1_54128456121462410464578910174[[#This Row],[UNIT]]&gt;0,_1_54128456121462410464578910174[[#This Row],[UNIT]]&lt;0),_1_54128456121462410464578910174[[#This Row],[UNIT]]*_1_54128456121462410464578910174[[#This Row],[COST]],0)</f>
        <v>0</v>
      </c>
      <c r="N805" s="194">
        <f t="shared" si="12"/>
        <v>1.5</v>
      </c>
      <c r="O805" s="198">
        <f>_1_54128456121462410464578910174[[#This Row],[TOTAL]]*_1_54128456121462410464578910174[[#This Row],[MARGIN]]</f>
        <v>0</v>
      </c>
      <c r="R805" s="41"/>
    </row>
    <row r="806" spans="4:18">
      <c r="D806" s="188"/>
      <c r="F806" s="168" t="s">
        <v>6202</v>
      </c>
      <c r="G806" s="193">
        <f>IF(_1_54128456121462410464578910174[[#This Row],[Type]]&gt;0,VLOOKUP(_1_54128456121462410464578910174[[#This Row],[Type]],Main[[#All],[TYPE]:[UNIT]],'Unit Price'!C$1,FALSE),0)</f>
        <v>0</v>
      </c>
      <c r="H806" s="197">
        <f>IF(_1_54128456121462410464578910174[[#This Row],[Type]]&gt;0,VLOOKUP(_1_54128456121462410464578910174[[#This Row],[Type]],Main[[#All],[TYPE]:[UNIT]],'Unit Price'!D$1,FALSE),0)</f>
        <v>0</v>
      </c>
      <c r="I806" s="194">
        <f>IF(_1_54128456121462410464578910174[[#This Row],[Type]]&gt;0,VLOOKUP(_1_54128456121462410464578910174[[#This Row],[Type]],Main[[#All],[TYPE]:[UNIT]],'Unit Price'!G$1,FALSE),0)</f>
        <v>0</v>
      </c>
      <c r="J806" s="194">
        <f>IF(_1_54128456121462410464578910174[[#This Row],[Type]]&gt;0,VLOOKUP(_1_54128456121462410464578910174[[#This Row],[Type]],Main[[#All],[TYPE]:[UNIT]],'Unit Price'!H$1,FALSE),0)</f>
        <v>0</v>
      </c>
      <c r="K806" s="194">
        <f>IF(_1_54128456121462410464578910174[[#This Row],[Discount selection]]&gt;0,VLOOKUP(_1_54128456121462410464578910174[[#This Row],[Discount selection]],'Discount Structure'!$A$2:$B$30,2,"false"),0)</f>
        <v>1</v>
      </c>
      <c r="L806" s="194">
        <f>_1_54128456121462410464578910174[[#This Row],[LIST $]]*_1_54128456121462410464578910174[[#This Row],[DISCOUNT]]*_1_54128456121462410464578910174[[#This Row],[DISCOUNT 2]]</f>
        <v>0</v>
      </c>
      <c r="M806" s="194">
        <f>IF(OR(_1_54128456121462410464578910174[[#This Row],[UNIT]]&gt;0,_1_54128456121462410464578910174[[#This Row],[UNIT]]&lt;0),_1_54128456121462410464578910174[[#This Row],[UNIT]]*_1_54128456121462410464578910174[[#This Row],[COST]],0)</f>
        <v>0</v>
      </c>
      <c r="N806" s="194">
        <f t="shared" si="12"/>
        <v>1.5</v>
      </c>
      <c r="O806" s="198">
        <f>_1_54128456121462410464578910174[[#This Row],[TOTAL]]*_1_54128456121462410464578910174[[#This Row],[MARGIN]]</f>
        <v>0</v>
      </c>
      <c r="R806" s="41"/>
    </row>
    <row r="807" spans="4:18">
      <c r="D807" s="188"/>
      <c r="F807" s="168" t="s">
        <v>6202</v>
      </c>
      <c r="G807" s="193">
        <f>IF(_1_54128456121462410464578910174[[#This Row],[Type]]&gt;0,VLOOKUP(_1_54128456121462410464578910174[[#This Row],[Type]],Main[[#All],[TYPE]:[UNIT]],'Unit Price'!C$1,FALSE),0)</f>
        <v>0</v>
      </c>
      <c r="H807" s="197">
        <f>IF(_1_54128456121462410464578910174[[#This Row],[Type]]&gt;0,VLOOKUP(_1_54128456121462410464578910174[[#This Row],[Type]],Main[[#All],[TYPE]:[UNIT]],'Unit Price'!D$1,FALSE),0)</f>
        <v>0</v>
      </c>
      <c r="I807" s="194">
        <f>IF(_1_54128456121462410464578910174[[#This Row],[Type]]&gt;0,VLOOKUP(_1_54128456121462410464578910174[[#This Row],[Type]],Main[[#All],[TYPE]:[UNIT]],'Unit Price'!G$1,FALSE),0)</f>
        <v>0</v>
      </c>
      <c r="J807" s="194">
        <f>IF(_1_54128456121462410464578910174[[#This Row],[Type]]&gt;0,VLOOKUP(_1_54128456121462410464578910174[[#This Row],[Type]],Main[[#All],[TYPE]:[UNIT]],'Unit Price'!H$1,FALSE),0)</f>
        <v>0</v>
      </c>
      <c r="K807" s="194">
        <f>IF(_1_54128456121462410464578910174[[#This Row],[Discount selection]]&gt;0,VLOOKUP(_1_54128456121462410464578910174[[#This Row],[Discount selection]],'Discount Structure'!$A$2:$B$30,2,"false"),0)</f>
        <v>1</v>
      </c>
      <c r="L807" s="194">
        <f>_1_54128456121462410464578910174[[#This Row],[LIST $]]*_1_54128456121462410464578910174[[#This Row],[DISCOUNT]]*_1_54128456121462410464578910174[[#This Row],[DISCOUNT 2]]</f>
        <v>0</v>
      </c>
      <c r="M807" s="194">
        <f>IF(OR(_1_54128456121462410464578910174[[#This Row],[UNIT]]&gt;0,_1_54128456121462410464578910174[[#This Row],[UNIT]]&lt;0),_1_54128456121462410464578910174[[#This Row],[UNIT]]*_1_54128456121462410464578910174[[#This Row],[COST]],0)</f>
        <v>0</v>
      </c>
      <c r="N807" s="194">
        <f t="shared" si="12"/>
        <v>1.5</v>
      </c>
      <c r="O807" s="198">
        <f>_1_54128456121462410464578910174[[#This Row],[TOTAL]]*_1_54128456121462410464578910174[[#This Row],[MARGIN]]</f>
        <v>0</v>
      </c>
      <c r="R807" s="41"/>
    </row>
    <row r="808" spans="4:18">
      <c r="D808" s="188"/>
      <c r="F808" s="168" t="s">
        <v>6202</v>
      </c>
      <c r="G808" s="193">
        <f>IF(_1_54128456121462410464578910174[[#This Row],[Type]]&gt;0,VLOOKUP(_1_54128456121462410464578910174[[#This Row],[Type]],Main[[#All],[TYPE]:[UNIT]],'Unit Price'!C$1,FALSE),0)</f>
        <v>0</v>
      </c>
      <c r="H808" s="197">
        <f>IF(_1_54128456121462410464578910174[[#This Row],[Type]]&gt;0,VLOOKUP(_1_54128456121462410464578910174[[#This Row],[Type]],Main[[#All],[TYPE]:[UNIT]],'Unit Price'!D$1,FALSE),0)</f>
        <v>0</v>
      </c>
      <c r="I808" s="194">
        <f>IF(_1_54128456121462410464578910174[[#This Row],[Type]]&gt;0,VLOOKUP(_1_54128456121462410464578910174[[#This Row],[Type]],Main[[#All],[TYPE]:[UNIT]],'Unit Price'!G$1,FALSE),0)</f>
        <v>0</v>
      </c>
      <c r="J808" s="194">
        <f>IF(_1_54128456121462410464578910174[[#This Row],[Type]]&gt;0,VLOOKUP(_1_54128456121462410464578910174[[#This Row],[Type]],Main[[#All],[TYPE]:[UNIT]],'Unit Price'!H$1,FALSE),0)</f>
        <v>0</v>
      </c>
      <c r="K808" s="194">
        <f>IF(_1_54128456121462410464578910174[[#This Row],[Discount selection]]&gt;0,VLOOKUP(_1_54128456121462410464578910174[[#This Row],[Discount selection]],'Discount Structure'!$A$2:$B$30,2,"false"),0)</f>
        <v>1</v>
      </c>
      <c r="L808" s="194">
        <f>_1_54128456121462410464578910174[[#This Row],[LIST $]]*_1_54128456121462410464578910174[[#This Row],[DISCOUNT]]*_1_54128456121462410464578910174[[#This Row],[DISCOUNT 2]]</f>
        <v>0</v>
      </c>
      <c r="M808" s="194">
        <f>IF(OR(_1_54128456121462410464578910174[[#This Row],[UNIT]]&gt;0,_1_54128456121462410464578910174[[#This Row],[UNIT]]&lt;0),_1_54128456121462410464578910174[[#This Row],[UNIT]]*_1_54128456121462410464578910174[[#This Row],[COST]],0)</f>
        <v>0</v>
      </c>
      <c r="N808" s="194">
        <f t="shared" si="12"/>
        <v>1.5</v>
      </c>
      <c r="O808" s="198">
        <f>_1_54128456121462410464578910174[[#This Row],[TOTAL]]*_1_54128456121462410464578910174[[#This Row],[MARGIN]]</f>
        <v>0</v>
      </c>
      <c r="R808" s="41"/>
    </row>
    <row r="809" spans="4:18">
      <c r="D809" s="188"/>
      <c r="F809" s="168" t="s">
        <v>6202</v>
      </c>
      <c r="G809" s="193">
        <f>IF(_1_54128456121462410464578910174[[#This Row],[Type]]&gt;0,VLOOKUP(_1_54128456121462410464578910174[[#This Row],[Type]],Main[[#All],[TYPE]:[UNIT]],'Unit Price'!C$1,FALSE),0)</f>
        <v>0</v>
      </c>
      <c r="H809" s="197">
        <f>IF(_1_54128456121462410464578910174[[#This Row],[Type]]&gt;0,VLOOKUP(_1_54128456121462410464578910174[[#This Row],[Type]],Main[[#All],[TYPE]:[UNIT]],'Unit Price'!D$1,FALSE),0)</f>
        <v>0</v>
      </c>
      <c r="I809" s="194">
        <f>IF(_1_54128456121462410464578910174[[#This Row],[Type]]&gt;0,VLOOKUP(_1_54128456121462410464578910174[[#This Row],[Type]],Main[[#All],[TYPE]:[UNIT]],'Unit Price'!G$1,FALSE),0)</f>
        <v>0</v>
      </c>
      <c r="J809" s="194">
        <f>IF(_1_54128456121462410464578910174[[#This Row],[Type]]&gt;0,VLOOKUP(_1_54128456121462410464578910174[[#This Row],[Type]],Main[[#All],[TYPE]:[UNIT]],'Unit Price'!H$1,FALSE),0)</f>
        <v>0</v>
      </c>
      <c r="K809" s="194">
        <f>IF(_1_54128456121462410464578910174[[#This Row],[Discount selection]]&gt;0,VLOOKUP(_1_54128456121462410464578910174[[#This Row],[Discount selection]],'Discount Structure'!$A$2:$B$30,2,"false"),0)</f>
        <v>1</v>
      </c>
      <c r="L809" s="194">
        <f>_1_54128456121462410464578910174[[#This Row],[LIST $]]*_1_54128456121462410464578910174[[#This Row],[DISCOUNT]]*_1_54128456121462410464578910174[[#This Row],[DISCOUNT 2]]</f>
        <v>0</v>
      </c>
      <c r="M809" s="194">
        <f>IF(OR(_1_54128456121462410464578910174[[#This Row],[UNIT]]&gt;0,_1_54128456121462410464578910174[[#This Row],[UNIT]]&lt;0),_1_54128456121462410464578910174[[#This Row],[UNIT]]*_1_54128456121462410464578910174[[#This Row],[COST]],0)</f>
        <v>0</v>
      </c>
      <c r="N809" s="194">
        <f t="shared" si="12"/>
        <v>1.5</v>
      </c>
      <c r="O809" s="198">
        <f>_1_54128456121462410464578910174[[#This Row],[TOTAL]]*_1_54128456121462410464578910174[[#This Row],[MARGIN]]</f>
        <v>0</v>
      </c>
      <c r="R809" s="41"/>
    </row>
    <row r="810" spans="4:18">
      <c r="D810" s="188"/>
      <c r="F810" s="168" t="s">
        <v>6202</v>
      </c>
      <c r="G810" s="193">
        <f>IF(_1_54128456121462410464578910174[[#This Row],[Type]]&gt;0,VLOOKUP(_1_54128456121462410464578910174[[#This Row],[Type]],Main[[#All],[TYPE]:[UNIT]],'Unit Price'!C$1,FALSE),0)</f>
        <v>0</v>
      </c>
      <c r="H810" s="197">
        <f>IF(_1_54128456121462410464578910174[[#This Row],[Type]]&gt;0,VLOOKUP(_1_54128456121462410464578910174[[#This Row],[Type]],Main[[#All],[TYPE]:[UNIT]],'Unit Price'!D$1,FALSE),0)</f>
        <v>0</v>
      </c>
      <c r="I810" s="194">
        <f>IF(_1_54128456121462410464578910174[[#This Row],[Type]]&gt;0,VLOOKUP(_1_54128456121462410464578910174[[#This Row],[Type]],Main[[#All],[TYPE]:[UNIT]],'Unit Price'!G$1,FALSE),0)</f>
        <v>0</v>
      </c>
      <c r="J810" s="194">
        <f>IF(_1_54128456121462410464578910174[[#This Row],[Type]]&gt;0,VLOOKUP(_1_54128456121462410464578910174[[#This Row],[Type]],Main[[#All],[TYPE]:[UNIT]],'Unit Price'!H$1,FALSE),0)</f>
        <v>0</v>
      </c>
      <c r="K810" s="194">
        <f>IF(_1_54128456121462410464578910174[[#This Row],[Discount selection]]&gt;0,VLOOKUP(_1_54128456121462410464578910174[[#This Row],[Discount selection]],'Discount Structure'!$A$2:$B$30,2,"false"),0)</f>
        <v>1</v>
      </c>
      <c r="L810" s="194">
        <f>_1_54128456121462410464578910174[[#This Row],[LIST $]]*_1_54128456121462410464578910174[[#This Row],[DISCOUNT]]*_1_54128456121462410464578910174[[#This Row],[DISCOUNT 2]]</f>
        <v>0</v>
      </c>
      <c r="M810" s="194">
        <f>IF(OR(_1_54128456121462410464578910174[[#This Row],[UNIT]]&gt;0,_1_54128456121462410464578910174[[#This Row],[UNIT]]&lt;0),_1_54128456121462410464578910174[[#This Row],[UNIT]]*_1_54128456121462410464578910174[[#This Row],[COST]],0)</f>
        <v>0</v>
      </c>
      <c r="N810" s="194">
        <f t="shared" si="12"/>
        <v>1.5</v>
      </c>
      <c r="O810" s="198">
        <f>_1_54128456121462410464578910174[[#This Row],[TOTAL]]*_1_54128456121462410464578910174[[#This Row],[MARGIN]]</f>
        <v>0</v>
      </c>
      <c r="R810" s="41"/>
    </row>
    <row r="811" spans="4:18">
      <c r="D811" s="188"/>
      <c r="F811" s="168" t="s">
        <v>6202</v>
      </c>
      <c r="G811" s="193">
        <f>IF(_1_54128456121462410464578910174[[#This Row],[Type]]&gt;0,VLOOKUP(_1_54128456121462410464578910174[[#This Row],[Type]],Main[[#All],[TYPE]:[UNIT]],'Unit Price'!C$1,FALSE),0)</f>
        <v>0</v>
      </c>
      <c r="H811" s="197">
        <f>IF(_1_54128456121462410464578910174[[#This Row],[Type]]&gt;0,VLOOKUP(_1_54128456121462410464578910174[[#This Row],[Type]],Main[[#All],[TYPE]:[UNIT]],'Unit Price'!D$1,FALSE),0)</f>
        <v>0</v>
      </c>
      <c r="I811" s="194">
        <f>IF(_1_54128456121462410464578910174[[#This Row],[Type]]&gt;0,VLOOKUP(_1_54128456121462410464578910174[[#This Row],[Type]],Main[[#All],[TYPE]:[UNIT]],'Unit Price'!G$1,FALSE),0)</f>
        <v>0</v>
      </c>
      <c r="J811" s="194">
        <f>IF(_1_54128456121462410464578910174[[#This Row],[Type]]&gt;0,VLOOKUP(_1_54128456121462410464578910174[[#This Row],[Type]],Main[[#All],[TYPE]:[UNIT]],'Unit Price'!H$1,FALSE),0)</f>
        <v>0</v>
      </c>
      <c r="K811" s="194">
        <f>IF(_1_54128456121462410464578910174[[#This Row],[Discount selection]]&gt;0,VLOOKUP(_1_54128456121462410464578910174[[#This Row],[Discount selection]],'Discount Structure'!$A$2:$B$30,2,"false"),0)</f>
        <v>1</v>
      </c>
      <c r="L811" s="194">
        <f>_1_54128456121462410464578910174[[#This Row],[LIST $]]*_1_54128456121462410464578910174[[#This Row],[DISCOUNT]]*_1_54128456121462410464578910174[[#This Row],[DISCOUNT 2]]</f>
        <v>0</v>
      </c>
      <c r="M811" s="194">
        <f>IF(OR(_1_54128456121462410464578910174[[#This Row],[UNIT]]&gt;0,_1_54128456121462410464578910174[[#This Row],[UNIT]]&lt;0),_1_54128456121462410464578910174[[#This Row],[UNIT]]*_1_54128456121462410464578910174[[#This Row],[COST]],0)</f>
        <v>0</v>
      </c>
      <c r="N811" s="194">
        <f t="shared" si="12"/>
        <v>1.5</v>
      </c>
      <c r="O811" s="198">
        <f>_1_54128456121462410464578910174[[#This Row],[TOTAL]]*_1_54128456121462410464578910174[[#This Row],[MARGIN]]</f>
        <v>0</v>
      </c>
      <c r="R811" s="41"/>
    </row>
    <row r="812" spans="4:18">
      <c r="D812" s="188"/>
      <c r="F812" s="168" t="s">
        <v>6202</v>
      </c>
      <c r="G812" s="193">
        <f>IF(_1_54128456121462410464578910174[[#This Row],[Type]]&gt;0,VLOOKUP(_1_54128456121462410464578910174[[#This Row],[Type]],Main[[#All],[TYPE]:[UNIT]],'Unit Price'!C$1,FALSE),0)</f>
        <v>0</v>
      </c>
      <c r="H812" s="197">
        <f>IF(_1_54128456121462410464578910174[[#This Row],[Type]]&gt;0,VLOOKUP(_1_54128456121462410464578910174[[#This Row],[Type]],Main[[#All],[TYPE]:[UNIT]],'Unit Price'!D$1,FALSE),0)</f>
        <v>0</v>
      </c>
      <c r="I812" s="194">
        <f>IF(_1_54128456121462410464578910174[[#This Row],[Type]]&gt;0,VLOOKUP(_1_54128456121462410464578910174[[#This Row],[Type]],Main[[#All],[TYPE]:[UNIT]],'Unit Price'!G$1,FALSE),0)</f>
        <v>0</v>
      </c>
      <c r="J812" s="194">
        <f>IF(_1_54128456121462410464578910174[[#This Row],[Type]]&gt;0,VLOOKUP(_1_54128456121462410464578910174[[#This Row],[Type]],Main[[#All],[TYPE]:[UNIT]],'Unit Price'!H$1,FALSE),0)</f>
        <v>0</v>
      </c>
      <c r="K812" s="194">
        <f>IF(_1_54128456121462410464578910174[[#This Row],[Discount selection]]&gt;0,VLOOKUP(_1_54128456121462410464578910174[[#This Row],[Discount selection]],'Discount Structure'!$A$2:$B$30,2,"false"),0)</f>
        <v>1</v>
      </c>
      <c r="L812" s="194">
        <f>_1_54128456121462410464578910174[[#This Row],[LIST $]]*_1_54128456121462410464578910174[[#This Row],[DISCOUNT]]*_1_54128456121462410464578910174[[#This Row],[DISCOUNT 2]]</f>
        <v>0</v>
      </c>
      <c r="M812" s="194">
        <f>IF(OR(_1_54128456121462410464578910174[[#This Row],[UNIT]]&gt;0,_1_54128456121462410464578910174[[#This Row],[UNIT]]&lt;0),_1_54128456121462410464578910174[[#This Row],[UNIT]]*_1_54128456121462410464578910174[[#This Row],[COST]],0)</f>
        <v>0</v>
      </c>
      <c r="N812" s="194">
        <f t="shared" si="12"/>
        <v>1.5</v>
      </c>
      <c r="O812" s="198">
        <f>_1_54128456121462410464578910174[[#This Row],[TOTAL]]*_1_54128456121462410464578910174[[#This Row],[MARGIN]]</f>
        <v>0</v>
      </c>
      <c r="R812" s="41"/>
    </row>
    <row r="813" spans="4:18">
      <c r="D813" s="188"/>
      <c r="F813" s="168" t="s">
        <v>6202</v>
      </c>
      <c r="G813" s="193">
        <f>IF(_1_54128456121462410464578910174[[#This Row],[Type]]&gt;0,VLOOKUP(_1_54128456121462410464578910174[[#This Row],[Type]],Main[[#All],[TYPE]:[UNIT]],'Unit Price'!C$1,FALSE),0)</f>
        <v>0</v>
      </c>
      <c r="H813" s="197">
        <f>IF(_1_54128456121462410464578910174[[#This Row],[Type]]&gt;0,VLOOKUP(_1_54128456121462410464578910174[[#This Row],[Type]],Main[[#All],[TYPE]:[UNIT]],'Unit Price'!D$1,FALSE),0)</f>
        <v>0</v>
      </c>
      <c r="I813" s="194">
        <f>IF(_1_54128456121462410464578910174[[#This Row],[Type]]&gt;0,VLOOKUP(_1_54128456121462410464578910174[[#This Row],[Type]],Main[[#All],[TYPE]:[UNIT]],'Unit Price'!G$1,FALSE),0)</f>
        <v>0</v>
      </c>
      <c r="J813" s="194">
        <f>IF(_1_54128456121462410464578910174[[#This Row],[Type]]&gt;0,VLOOKUP(_1_54128456121462410464578910174[[#This Row],[Type]],Main[[#All],[TYPE]:[UNIT]],'Unit Price'!H$1,FALSE),0)</f>
        <v>0</v>
      </c>
      <c r="K813" s="194">
        <f>IF(_1_54128456121462410464578910174[[#This Row],[Discount selection]]&gt;0,VLOOKUP(_1_54128456121462410464578910174[[#This Row],[Discount selection]],'Discount Structure'!$A$2:$B$30,2,"false"),0)</f>
        <v>1</v>
      </c>
      <c r="L813" s="194">
        <f>_1_54128456121462410464578910174[[#This Row],[LIST $]]*_1_54128456121462410464578910174[[#This Row],[DISCOUNT]]*_1_54128456121462410464578910174[[#This Row],[DISCOUNT 2]]</f>
        <v>0</v>
      </c>
      <c r="M813" s="194">
        <f>IF(OR(_1_54128456121462410464578910174[[#This Row],[UNIT]]&gt;0,_1_54128456121462410464578910174[[#This Row],[UNIT]]&lt;0),_1_54128456121462410464578910174[[#This Row],[UNIT]]*_1_54128456121462410464578910174[[#This Row],[COST]],0)</f>
        <v>0</v>
      </c>
      <c r="N813" s="194">
        <f t="shared" si="12"/>
        <v>1.5</v>
      </c>
      <c r="O813" s="198">
        <f>_1_54128456121462410464578910174[[#This Row],[TOTAL]]*_1_54128456121462410464578910174[[#This Row],[MARGIN]]</f>
        <v>0</v>
      </c>
      <c r="R813" s="41"/>
    </row>
    <row r="814" spans="4:18">
      <c r="D814" s="188"/>
      <c r="F814" s="168" t="s">
        <v>6202</v>
      </c>
      <c r="G814" s="193">
        <f>IF(_1_54128456121462410464578910174[[#This Row],[Type]]&gt;0,VLOOKUP(_1_54128456121462410464578910174[[#This Row],[Type]],Main[[#All],[TYPE]:[UNIT]],'Unit Price'!C$1,FALSE),0)</f>
        <v>0</v>
      </c>
      <c r="H814" s="197">
        <f>IF(_1_54128456121462410464578910174[[#This Row],[Type]]&gt;0,VLOOKUP(_1_54128456121462410464578910174[[#This Row],[Type]],Main[[#All],[TYPE]:[UNIT]],'Unit Price'!D$1,FALSE),0)</f>
        <v>0</v>
      </c>
      <c r="I814" s="194">
        <f>IF(_1_54128456121462410464578910174[[#This Row],[Type]]&gt;0,VLOOKUP(_1_54128456121462410464578910174[[#This Row],[Type]],Main[[#All],[TYPE]:[UNIT]],'Unit Price'!G$1,FALSE),0)</f>
        <v>0</v>
      </c>
      <c r="J814" s="194">
        <f>IF(_1_54128456121462410464578910174[[#This Row],[Type]]&gt;0,VLOOKUP(_1_54128456121462410464578910174[[#This Row],[Type]],Main[[#All],[TYPE]:[UNIT]],'Unit Price'!H$1,FALSE),0)</f>
        <v>0</v>
      </c>
      <c r="K814" s="194">
        <f>IF(_1_54128456121462410464578910174[[#This Row],[Discount selection]]&gt;0,VLOOKUP(_1_54128456121462410464578910174[[#This Row],[Discount selection]],'Discount Structure'!$A$2:$B$30,2,"false"),0)</f>
        <v>1</v>
      </c>
      <c r="L814" s="194">
        <f>_1_54128456121462410464578910174[[#This Row],[LIST $]]*_1_54128456121462410464578910174[[#This Row],[DISCOUNT]]*_1_54128456121462410464578910174[[#This Row],[DISCOUNT 2]]</f>
        <v>0</v>
      </c>
      <c r="M814" s="194">
        <f>IF(OR(_1_54128456121462410464578910174[[#This Row],[UNIT]]&gt;0,_1_54128456121462410464578910174[[#This Row],[UNIT]]&lt;0),_1_54128456121462410464578910174[[#This Row],[UNIT]]*_1_54128456121462410464578910174[[#This Row],[COST]],0)</f>
        <v>0</v>
      </c>
      <c r="N814" s="194">
        <f t="shared" si="12"/>
        <v>1.5</v>
      </c>
      <c r="O814" s="198">
        <f>_1_54128456121462410464578910174[[#This Row],[TOTAL]]*_1_54128456121462410464578910174[[#This Row],[MARGIN]]</f>
        <v>0</v>
      </c>
      <c r="R814" s="41"/>
    </row>
    <row r="815" spans="4:18">
      <c r="D815" s="188"/>
      <c r="F815" s="168" t="s">
        <v>6202</v>
      </c>
      <c r="G815" s="193">
        <f>IF(_1_54128456121462410464578910174[[#This Row],[Type]]&gt;0,VLOOKUP(_1_54128456121462410464578910174[[#This Row],[Type]],Main[[#All],[TYPE]:[UNIT]],'Unit Price'!C$1,FALSE),0)</f>
        <v>0</v>
      </c>
      <c r="H815" s="197">
        <f>IF(_1_54128456121462410464578910174[[#This Row],[Type]]&gt;0,VLOOKUP(_1_54128456121462410464578910174[[#This Row],[Type]],Main[[#All],[TYPE]:[UNIT]],'Unit Price'!D$1,FALSE),0)</f>
        <v>0</v>
      </c>
      <c r="I815" s="194">
        <f>IF(_1_54128456121462410464578910174[[#This Row],[Type]]&gt;0,VLOOKUP(_1_54128456121462410464578910174[[#This Row],[Type]],Main[[#All],[TYPE]:[UNIT]],'Unit Price'!G$1,FALSE),0)</f>
        <v>0</v>
      </c>
      <c r="J815" s="194">
        <f>IF(_1_54128456121462410464578910174[[#This Row],[Type]]&gt;0,VLOOKUP(_1_54128456121462410464578910174[[#This Row],[Type]],Main[[#All],[TYPE]:[UNIT]],'Unit Price'!H$1,FALSE),0)</f>
        <v>0</v>
      </c>
      <c r="K815" s="194">
        <f>IF(_1_54128456121462410464578910174[[#This Row],[Discount selection]]&gt;0,VLOOKUP(_1_54128456121462410464578910174[[#This Row],[Discount selection]],'Discount Structure'!$A$2:$B$30,2,"false"),0)</f>
        <v>1</v>
      </c>
      <c r="L815" s="194">
        <f>_1_54128456121462410464578910174[[#This Row],[LIST $]]*_1_54128456121462410464578910174[[#This Row],[DISCOUNT]]*_1_54128456121462410464578910174[[#This Row],[DISCOUNT 2]]</f>
        <v>0</v>
      </c>
      <c r="M815" s="194">
        <f>IF(OR(_1_54128456121462410464578910174[[#This Row],[UNIT]]&gt;0,_1_54128456121462410464578910174[[#This Row],[UNIT]]&lt;0),_1_54128456121462410464578910174[[#This Row],[UNIT]]*_1_54128456121462410464578910174[[#This Row],[COST]],0)</f>
        <v>0</v>
      </c>
      <c r="N815" s="194">
        <f t="shared" si="12"/>
        <v>1.5</v>
      </c>
      <c r="O815" s="198">
        <f>_1_54128456121462410464578910174[[#This Row],[TOTAL]]*_1_54128456121462410464578910174[[#This Row],[MARGIN]]</f>
        <v>0</v>
      </c>
      <c r="R815" s="41"/>
    </row>
    <row r="816" spans="4:18">
      <c r="D816" s="188"/>
      <c r="F816" s="168" t="s">
        <v>6202</v>
      </c>
      <c r="G816" s="193">
        <f>IF(_1_54128456121462410464578910174[[#This Row],[Type]]&gt;0,VLOOKUP(_1_54128456121462410464578910174[[#This Row],[Type]],Main[[#All],[TYPE]:[UNIT]],'Unit Price'!C$1,FALSE),0)</f>
        <v>0</v>
      </c>
      <c r="H816" s="197">
        <f>IF(_1_54128456121462410464578910174[[#This Row],[Type]]&gt;0,VLOOKUP(_1_54128456121462410464578910174[[#This Row],[Type]],Main[[#All],[TYPE]:[UNIT]],'Unit Price'!D$1,FALSE),0)</f>
        <v>0</v>
      </c>
      <c r="I816" s="194">
        <f>IF(_1_54128456121462410464578910174[[#This Row],[Type]]&gt;0,VLOOKUP(_1_54128456121462410464578910174[[#This Row],[Type]],Main[[#All],[TYPE]:[UNIT]],'Unit Price'!G$1,FALSE),0)</f>
        <v>0</v>
      </c>
      <c r="J816" s="194">
        <f>IF(_1_54128456121462410464578910174[[#This Row],[Type]]&gt;0,VLOOKUP(_1_54128456121462410464578910174[[#This Row],[Type]],Main[[#All],[TYPE]:[UNIT]],'Unit Price'!H$1,FALSE),0)</f>
        <v>0</v>
      </c>
      <c r="K816" s="194">
        <f>IF(_1_54128456121462410464578910174[[#This Row],[Discount selection]]&gt;0,VLOOKUP(_1_54128456121462410464578910174[[#This Row],[Discount selection]],'Discount Structure'!$A$2:$B$30,2,"false"),0)</f>
        <v>1</v>
      </c>
      <c r="L816" s="194">
        <f>_1_54128456121462410464578910174[[#This Row],[LIST $]]*_1_54128456121462410464578910174[[#This Row],[DISCOUNT]]*_1_54128456121462410464578910174[[#This Row],[DISCOUNT 2]]</f>
        <v>0</v>
      </c>
      <c r="M816" s="194">
        <f>IF(OR(_1_54128456121462410464578910174[[#This Row],[UNIT]]&gt;0,_1_54128456121462410464578910174[[#This Row],[UNIT]]&lt;0),_1_54128456121462410464578910174[[#This Row],[UNIT]]*_1_54128456121462410464578910174[[#This Row],[COST]],0)</f>
        <v>0</v>
      </c>
      <c r="N816" s="194">
        <f t="shared" si="12"/>
        <v>1.5</v>
      </c>
      <c r="O816" s="198">
        <f>_1_54128456121462410464578910174[[#This Row],[TOTAL]]*_1_54128456121462410464578910174[[#This Row],[MARGIN]]</f>
        <v>0</v>
      </c>
      <c r="R816" s="41"/>
    </row>
    <row r="817" spans="4:18">
      <c r="D817" s="188"/>
      <c r="F817" s="168" t="s">
        <v>6202</v>
      </c>
      <c r="G817" s="193">
        <f>IF(_1_54128456121462410464578910174[[#This Row],[Type]]&gt;0,VLOOKUP(_1_54128456121462410464578910174[[#This Row],[Type]],Main[[#All],[TYPE]:[UNIT]],'Unit Price'!C$1,FALSE),0)</f>
        <v>0</v>
      </c>
      <c r="H817" s="197">
        <f>IF(_1_54128456121462410464578910174[[#This Row],[Type]]&gt;0,VLOOKUP(_1_54128456121462410464578910174[[#This Row],[Type]],Main[[#All],[TYPE]:[UNIT]],'Unit Price'!D$1,FALSE),0)</f>
        <v>0</v>
      </c>
      <c r="I817" s="194">
        <f>IF(_1_54128456121462410464578910174[[#This Row],[Type]]&gt;0,VLOOKUP(_1_54128456121462410464578910174[[#This Row],[Type]],Main[[#All],[TYPE]:[UNIT]],'Unit Price'!G$1,FALSE),0)</f>
        <v>0</v>
      </c>
      <c r="J817" s="194">
        <f>IF(_1_54128456121462410464578910174[[#This Row],[Type]]&gt;0,VLOOKUP(_1_54128456121462410464578910174[[#This Row],[Type]],Main[[#All],[TYPE]:[UNIT]],'Unit Price'!H$1,FALSE),0)</f>
        <v>0</v>
      </c>
      <c r="K817" s="194">
        <f>IF(_1_54128456121462410464578910174[[#This Row],[Discount selection]]&gt;0,VLOOKUP(_1_54128456121462410464578910174[[#This Row],[Discount selection]],'Discount Structure'!$A$2:$B$30,2,"false"),0)</f>
        <v>1</v>
      </c>
      <c r="L817" s="194">
        <f>_1_54128456121462410464578910174[[#This Row],[LIST $]]*_1_54128456121462410464578910174[[#This Row],[DISCOUNT]]*_1_54128456121462410464578910174[[#This Row],[DISCOUNT 2]]</f>
        <v>0</v>
      </c>
      <c r="M817" s="194">
        <f>IF(OR(_1_54128456121462410464578910174[[#This Row],[UNIT]]&gt;0,_1_54128456121462410464578910174[[#This Row],[UNIT]]&lt;0),_1_54128456121462410464578910174[[#This Row],[UNIT]]*_1_54128456121462410464578910174[[#This Row],[COST]],0)</f>
        <v>0</v>
      </c>
      <c r="N817" s="194">
        <f t="shared" si="12"/>
        <v>1.5</v>
      </c>
      <c r="O817" s="198">
        <f>_1_54128456121462410464578910174[[#This Row],[TOTAL]]*_1_54128456121462410464578910174[[#This Row],[MARGIN]]</f>
        <v>0</v>
      </c>
      <c r="R817" s="41"/>
    </row>
    <row r="818" spans="4:18">
      <c r="D818" s="188"/>
      <c r="F818" s="168" t="s">
        <v>6202</v>
      </c>
      <c r="G818" s="193">
        <f>IF(_1_54128456121462410464578910174[[#This Row],[Type]]&gt;0,VLOOKUP(_1_54128456121462410464578910174[[#This Row],[Type]],Main[[#All],[TYPE]:[UNIT]],'Unit Price'!C$1,FALSE),0)</f>
        <v>0</v>
      </c>
      <c r="H818" s="197">
        <f>IF(_1_54128456121462410464578910174[[#This Row],[Type]]&gt;0,VLOOKUP(_1_54128456121462410464578910174[[#This Row],[Type]],Main[[#All],[TYPE]:[UNIT]],'Unit Price'!D$1,FALSE),0)</f>
        <v>0</v>
      </c>
      <c r="I818" s="194">
        <f>IF(_1_54128456121462410464578910174[[#This Row],[Type]]&gt;0,VLOOKUP(_1_54128456121462410464578910174[[#This Row],[Type]],Main[[#All],[TYPE]:[UNIT]],'Unit Price'!G$1,FALSE),0)</f>
        <v>0</v>
      </c>
      <c r="J818" s="194">
        <f>IF(_1_54128456121462410464578910174[[#This Row],[Type]]&gt;0,VLOOKUP(_1_54128456121462410464578910174[[#This Row],[Type]],Main[[#All],[TYPE]:[UNIT]],'Unit Price'!H$1,FALSE),0)</f>
        <v>0</v>
      </c>
      <c r="K818" s="194">
        <f>IF(_1_54128456121462410464578910174[[#This Row],[Discount selection]]&gt;0,VLOOKUP(_1_54128456121462410464578910174[[#This Row],[Discount selection]],'Discount Structure'!$A$2:$B$30,2,"false"),0)</f>
        <v>1</v>
      </c>
      <c r="L818" s="194">
        <f>_1_54128456121462410464578910174[[#This Row],[LIST $]]*_1_54128456121462410464578910174[[#This Row],[DISCOUNT]]*_1_54128456121462410464578910174[[#This Row],[DISCOUNT 2]]</f>
        <v>0</v>
      </c>
      <c r="M818" s="194">
        <f>IF(OR(_1_54128456121462410464578910174[[#This Row],[UNIT]]&gt;0,_1_54128456121462410464578910174[[#This Row],[UNIT]]&lt;0),_1_54128456121462410464578910174[[#This Row],[UNIT]]*_1_54128456121462410464578910174[[#This Row],[COST]],0)</f>
        <v>0</v>
      </c>
      <c r="N818" s="194">
        <f t="shared" si="12"/>
        <v>1.5</v>
      </c>
      <c r="O818" s="198">
        <f>_1_54128456121462410464578910174[[#This Row],[TOTAL]]*_1_54128456121462410464578910174[[#This Row],[MARGIN]]</f>
        <v>0</v>
      </c>
      <c r="R818" s="41"/>
    </row>
    <row r="819" spans="4:18">
      <c r="D819" s="188"/>
      <c r="F819" s="168" t="s">
        <v>6202</v>
      </c>
      <c r="G819" s="193">
        <f>IF(_1_54128456121462410464578910174[[#This Row],[Type]]&gt;0,VLOOKUP(_1_54128456121462410464578910174[[#This Row],[Type]],Main[[#All],[TYPE]:[UNIT]],'Unit Price'!C$1,FALSE),0)</f>
        <v>0</v>
      </c>
      <c r="H819" s="197">
        <f>IF(_1_54128456121462410464578910174[[#This Row],[Type]]&gt;0,VLOOKUP(_1_54128456121462410464578910174[[#This Row],[Type]],Main[[#All],[TYPE]:[UNIT]],'Unit Price'!D$1,FALSE),0)</f>
        <v>0</v>
      </c>
      <c r="I819" s="194">
        <f>IF(_1_54128456121462410464578910174[[#This Row],[Type]]&gt;0,VLOOKUP(_1_54128456121462410464578910174[[#This Row],[Type]],Main[[#All],[TYPE]:[UNIT]],'Unit Price'!G$1,FALSE),0)</f>
        <v>0</v>
      </c>
      <c r="J819" s="194">
        <f>IF(_1_54128456121462410464578910174[[#This Row],[Type]]&gt;0,VLOOKUP(_1_54128456121462410464578910174[[#This Row],[Type]],Main[[#All],[TYPE]:[UNIT]],'Unit Price'!H$1,FALSE),0)</f>
        <v>0</v>
      </c>
      <c r="K819" s="194">
        <f>IF(_1_54128456121462410464578910174[[#This Row],[Discount selection]]&gt;0,VLOOKUP(_1_54128456121462410464578910174[[#This Row],[Discount selection]],'Discount Structure'!$A$2:$B$30,2,"false"),0)</f>
        <v>1</v>
      </c>
      <c r="L819" s="194">
        <f>_1_54128456121462410464578910174[[#This Row],[LIST $]]*_1_54128456121462410464578910174[[#This Row],[DISCOUNT]]*_1_54128456121462410464578910174[[#This Row],[DISCOUNT 2]]</f>
        <v>0</v>
      </c>
      <c r="M819" s="194">
        <f>IF(OR(_1_54128456121462410464578910174[[#This Row],[UNIT]]&gt;0,_1_54128456121462410464578910174[[#This Row],[UNIT]]&lt;0),_1_54128456121462410464578910174[[#This Row],[UNIT]]*_1_54128456121462410464578910174[[#This Row],[COST]],0)</f>
        <v>0</v>
      </c>
      <c r="N819" s="194">
        <f t="shared" si="12"/>
        <v>1.5</v>
      </c>
      <c r="O819" s="198">
        <f>_1_54128456121462410464578910174[[#This Row],[TOTAL]]*_1_54128456121462410464578910174[[#This Row],[MARGIN]]</f>
        <v>0</v>
      </c>
      <c r="R819" s="41"/>
    </row>
    <row r="820" spans="4:18">
      <c r="D820" s="188"/>
      <c r="F820" s="168" t="s">
        <v>6202</v>
      </c>
      <c r="G820" s="193">
        <f>IF(_1_54128456121462410464578910174[[#This Row],[Type]]&gt;0,VLOOKUP(_1_54128456121462410464578910174[[#This Row],[Type]],Main[[#All],[TYPE]:[UNIT]],'Unit Price'!C$1,FALSE),0)</f>
        <v>0</v>
      </c>
      <c r="H820" s="197">
        <f>IF(_1_54128456121462410464578910174[[#This Row],[Type]]&gt;0,VLOOKUP(_1_54128456121462410464578910174[[#This Row],[Type]],Main[[#All],[TYPE]:[UNIT]],'Unit Price'!D$1,FALSE),0)</f>
        <v>0</v>
      </c>
      <c r="I820" s="194">
        <f>IF(_1_54128456121462410464578910174[[#This Row],[Type]]&gt;0,VLOOKUP(_1_54128456121462410464578910174[[#This Row],[Type]],Main[[#All],[TYPE]:[UNIT]],'Unit Price'!G$1,FALSE),0)</f>
        <v>0</v>
      </c>
      <c r="J820" s="194">
        <f>IF(_1_54128456121462410464578910174[[#This Row],[Type]]&gt;0,VLOOKUP(_1_54128456121462410464578910174[[#This Row],[Type]],Main[[#All],[TYPE]:[UNIT]],'Unit Price'!H$1,FALSE),0)</f>
        <v>0</v>
      </c>
      <c r="K820" s="194">
        <f>IF(_1_54128456121462410464578910174[[#This Row],[Discount selection]]&gt;0,VLOOKUP(_1_54128456121462410464578910174[[#This Row],[Discount selection]],'Discount Structure'!$A$2:$B$30,2,"false"),0)</f>
        <v>1</v>
      </c>
      <c r="L820" s="194">
        <f>_1_54128456121462410464578910174[[#This Row],[LIST $]]*_1_54128456121462410464578910174[[#This Row],[DISCOUNT]]*_1_54128456121462410464578910174[[#This Row],[DISCOUNT 2]]</f>
        <v>0</v>
      </c>
      <c r="M820" s="194">
        <f>IF(OR(_1_54128456121462410464578910174[[#This Row],[UNIT]]&gt;0,_1_54128456121462410464578910174[[#This Row],[UNIT]]&lt;0),_1_54128456121462410464578910174[[#This Row],[UNIT]]*_1_54128456121462410464578910174[[#This Row],[COST]],0)</f>
        <v>0</v>
      </c>
      <c r="N820" s="194">
        <f t="shared" si="12"/>
        <v>1.5</v>
      </c>
      <c r="O820" s="198">
        <f>_1_54128456121462410464578910174[[#This Row],[TOTAL]]*_1_54128456121462410464578910174[[#This Row],[MARGIN]]</f>
        <v>0</v>
      </c>
      <c r="R820" s="41"/>
    </row>
    <row r="821" spans="4:18">
      <c r="D821" s="188"/>
      <c r="F821" s="168" t="s">
        <v>6202</v>
      </c>
      <c r="G821" s="193">
        <f>IF(_1_54128456121462410464578910174[[#This Row],[Type]]&gt;0,VLOOKUP(_1_54128456121462410464578910174[[#This Row],[Type]],Main[[#All],[TYPE]:[UNIT]],'Unit Price'!C$1,FALSE),0)</f>
        <v>0</v>
      </c>
      <c r="H821" s="197">
        <f>IF(_1_54128456121462410464578910174[[#This Row],[Type]]&gt;0,VLOOKUP(_1_54128456121462410464578910174[[#This Row],[Type]],Main[[#All],[TYPE]:[UNIT]],'Unit Price'!D$1,FALSE),0)</f>
        <v>0</v>
      </c>
      <c r="I821" s="194">
        <f>IF(_1_54128456121462410464578910174[[#This Row],[Type]]&gt;0,VLOOKUP(_1_54128456121462410464578910174[[#This Row],[Type]],Main[[#All],[TYPE]:[UNIT]],'Unit Price'!G$1,FALSE),0)</f>
        <v>0</v>
      </c>
      <c r="J821" s="194">
        <f>IF(_1_54128456121462410464578910174[[#This Row],[Type]]&gt;0,VLOOKUP(_1_54128456121462410464578910174[[#This Row],[Type]],Main[[#All],[TYPE]:[UNIT]],'Unit Price'!H$1,FALSE),0)</f>
        <v>0</v>
      </c>
      <c r="K821" s="194">
        <f>IF(_1_54128456121462410464578910174[[#This Row],[Discount selection]]&gt;0,VLOOKUP(_1_54128456121462410464578910174[[#This Row],[Discount selection]],'Discount Structure'!$A$2:$B$30,2,"false"),0)</f>
        <v>1</v>
      </c>
      <c r="L821" s="194">
        <f>_1_54128456121462410464578910174[[#This Row],[LIST $]]*_1_54128456121462410464578910174[[#This Row],[DISCOUNT]]*_1_54128456121462410464578910174[[#This Row],[DISCOUNT 2]]</f>
        <v>0</v>
      </c>
      <c r="M821" s="194">
        <f>IF(OR(_1_54128456121462410464578910174[[#This Row],[UNIT]]&gt;0,_1_54128456121462410464578910174[[#This Row],[UNIT]]&lt;0),_1_54128456121462410464578910174[[#This Row],[UNIT]]*_1_54128456121462410464578910174[[#This Row],[COST]],0)</f>
        <v>0</v>
      </c>
      <c r="N821" s="194">
        <f t="shared" si="12"/>
        <v>1.5</v>
      </c>
      <c r="O821" s="198">
        <f>_1_54128456121462410464578910174[[#This Row],[TOTAL]]*_1_54128456121462410464578910174[[#This Row],[MARGIN]]</f>
        <v>0</v>
      </c>
      <c r="R821" s="41"/>
    </row>
    <row r="822" spans="4:18">
      <c r="D822" s="188"/>
      <c r="F822" s="168" t="s">
        <v>6202</v>
      </c>
      <c r="G822" s="193">
        <f>IF(_1_54128456121462410464578910174[[#This Row],[Type]]&gt;0,VLOOKUP(_1_54128456121462410464578910174[[#This Row],[Type]],Main[[#All],[TYPE]:[UNIT]],'Unit Price'!C$1,FALSE),0)</f>
        <v>0</v>
      </c>
      <c r="H822" s="197">
        <f>IF(_1_54128456121462410464578910174[[#This Row],[Type]]&gt;0,VLOOKUP(_1_54128456121462410464578910174[[#This Row],[Type]],Main[[#All],[TYPE]:[UNIT]],'Unit Price'!D$1,FALSE),0)</f>
        <v>0</v>
      </c>
      <c r="I822" s="194">
        <f>IF(_1_54128456121462410464578910174[[#This Row],[Type]]&gt;0,VLOOKUP(_1_54128456121462410464578910174[[#This Row],[Type]],Main[[#All],[TYPE]:[UNIT]],'Unit Price'!G$1,FALSE),0)</f>
        <v>0</v>
      </c>
      <c r="J822" s="194">
        <f>IF(_1_54128456121462410464578910174[[#This Row],[Type]]&gt;0,VLOOKUP(_1_54128456121462410464578910174[[#This Row],[Type]],Main[[#All],[TYPE]:[UNIT]],'Unit Price'!H$1,FALSE),0)</f>
        <v>0</v>
      </c>
      <c r="K822" s="194">
        <f>IF(_1_54128456121462410464578910174[[#This Row],[Discount selection]]&gt;0,VLOOKUP(_1_54128456121462410464578910174[[#This Row],[Discount selection]],'Discount Structure'!$A$2:$B$30,2,"false"),0)</f>
        <v>1</v>
      </c>
      <c r="L822" s="194">
        <f>_1_54128456121462410464578910174[[#This Row],[LIST $]]*_1_54128456121462410464578910174[[#This Row],[DISCOUNT]]*_1_54128456121462410464578910174[[#This Row],[DISCOUNT 2]]</f>
        <v>0</v>
      </c>
      <c r="M822" s="194">
        <f>IF(OR(_1_54128456121462410464578910174[[#This Row],[UNIT]]&gt;0,_1_54128456121462410464578910174[[#This Row],[UNIT]]&lt;0),_1_54128456121462410464578910174[[#This Row],[UNIT]]*_1_54128456121462410464578910174[[#This Row],[COST]],0)</f>
        <v>0</v>
      </c>
      <c r="N822" s="194">
        <f t="shared" si="12"/>
        <v>1.5</v>
      </c>
      <c r="O822" s="198">
        <f>_1_54128456121462410464578910174[[#This Row],[TOTAL]]*_1_54128456121462410464578910174[[#This Row],[MARGIN]]</f>
        <v>0</v>
      </c>
      <c r="R822" s="41"/>
    </row>
    <row r="823" spans="4:18">
      <c r="D823" s="188"/>
      <c r="F823" s="168" t="s">
        <v>6202</v>
      </c>
      <c r="G823" s="193">
        <f>IF(_1_54128456121462410464578910174[[#This Row],[Type]]&gt;0,VLOOKUP(_1_54128456121462410464578910174[[#This Row],[Type]],Main[[#All],[TYPE]:[UNIT]],'Unit Price'!C$1,FALSE),0)</f>
        <v>0</v>
      </c>
      <c r="H823" s="197">
        <f>IF(_1_54128456121462410464578910174[[#This Row],[Type]]&gt;0,VLOOKUP(_1_54128456121462410464578910174[[#This Row],[Type]],Main[[#All],[TYPE]:[UNIT]],'Unit Price'!D$1,FALSE),0)</f>
        <v>0</v>
      </c>
      <c r="I823" s="194">
        <f>IF(_1_54128456121462410464578910174[[#This Row],[Type]]&gt;0,VLOOKUP(_1_54128456121462410464578910174[[#This Row],[Type]],Main[[#All],[TYPE]:[UNIT]],'Unit Price'!G$1,FALSE),0)</f>
        <v>0</v>
      </c>
      <c r="J823" s="194">
        <f>IF(_1_54128456121462410464578910174[[#This Row],[Type]]&gt;0,VLOOKUP(_1_54128456121462410464578910174[[#This Row],[Type]],Main[[#All],[TYPE]:[UNIT]],'Unit Price'!H$1,FALSE),0)</f>
        <v>0</v>
      </c>
      <c r="K823" s="194">
        <f>IF(_1_54128456121462410464578910174[[#This Row],[Discount selection]]&gt;0,VLOOKUP(_1_54128456121462410464578910174[[#This Row],[Discount selection]],'Discount Structure'!$A$2:$B$30,2,"false"),0)</f>
        <v>1</v>
      </c>
      <c r="L823" s="194">
        <f>_1_54128456121462410464578910174[[#This Row],[LIST $]]*_1_54128456121462410464578910174[[#This Row],[DISCOUNT]]*_1_54128456121462410464578910174[[#This Row],[DISCOUNT 2]]</f>
        <v>0</v>
      </c>
      <c r="M823" s="194">
        <f>IF(OR(_1_54128456121462410464578910174[[#This Row],[UNIT]]&gt;0,_1_54128456121462410464578910174[[#This Row],[UNIT]]&lt;0),_1_54128456121462410464578910174[[#This Row],[UNIT]]*_1_54128456121462410464578910174[[#This Row],[COST]],0)</f>
        <v>0</v>
      </c>
      <c r="N823" s="194">
        <f t="shared" si="12"/>
        <v>1.5</v>
      </c>
      <c r="O823" s="198">
        <f>_1_54128456121462410464578910174[[#This Row],[TOTAL]]*_1_54128456121462410464578910174[[#This Row],[MARGIN]]</f>
        <v>0</v>
      </c>
      <c r="R823" s="41"/>
    </row>
    <row r="824" spans="4:18">
      <c r="D824" s="188"/>
      <c r="F824" s="168" t="s">
        <v>6202</v>
      </c>
      <c r="G824" s="193">
        <f>IF(_1_54128456121462410464578910174[[#This Row],[Type]]&gt;0,VLOOKUP(_1_54128456121462410464578910174[[#This Row],[Type]],Main[[#All],[TYPE]:[UNIT]],'Unit Price'!C$1,FALSE),0)</f>
        <v>0</v>
      </c>
      <c r="H824" s="197">
        <f>IF(_1_54128456121462410464578910174[[#This Row],[Type]]&gt;0,VLOOKUP(_1_54128456121462410464578910174[[#This Row],[Type]],Main[[#All],[TYPE]:[UNIT]],'Unit Price'!D$1,FALSE),0)</f>
        <v>0</v>
      </c>
      <c r="I824" s="194">
        <f>IF(_1_54128456121462410464578910174[[#This Row],[Type]]&gt;0,VLOOKUP(_1_54128456121462410464578910174[[#This Row],[Type]],Main[[#All],[TYPE]:[UNIT]],'Unit Price'!G$1,FALSE),0)</f>
        <v>0</v>
      </c>
      <c r="J824" s="194">
        <f>IF(_1_54128456121462410464578910174[[#This Row],[Type]]&gt;0,VLOOKUP(_1_54128456121462410464578910174[[#This Row],[Type]],Main[[#All],[TYPE]:[UNIT]],'Unit Price'!H$1,FALSE),0)</f>
        <v>0</v>
      </c>
      <c r="K824" s="194">
        <f>IF(_1_54128456121462410464578910174[[#This Row],[Discount selection]]&gt;0,VLOOKUP(_1_54128456121462410464578910174[[#This Row],[Discount selection]],'Discount Structure'!$A$2:$B$30,2,"false"),0)</f>
        <v>1</v>
      </c>
      <c r="L824" s="194">
        <f>_1_54128456121462410464578910174[[#This Row],[LIST $]]*_1_54128456121462410464578910174[[#This Row],[DISCOUNT]]*_1_54128456121462410464578910174[[#This Row],[DISCOUNT 2]]</f>
        <v>0</v>
      </c>
      <c r="M824" s="194">
        <f>IF(OR(_1_54128456121462410464578910174[[#This Row],[UNIT]]&gt;0,_1_54128456121462410464578910174[[#This Row],[UNIT]]&lt;0),_1_54128456121462410464578910174[[#This Row],[UNIT]]*_1_54128456121462410464578910174[[#This Row],[COST]],0)</f>
        <v>0</v>
      </c>
      <c r="N824" s="194">
        <f t="shared" si="12"/>
        <v>1.5</v>
      </c>
      <c r="O824" s="198">
        <f>_1_54128456121462410464578910174[[#This Row],[TOTAL]]*_1_54128456121462410464578910174[[#This Row],[MARGIN]]</f>
        <v>0</v>
      </c>
      <c r="R824" s="41"/>
    </row>
    <row r="825" spans="4:18">
      <c r="D825" s="188"/>
      <c r="F825" s="168" t="s">
        <v>6202</v>
      </c>
      <c r="G825" s="193">
        <f>IF(_1_54128456121462410464578910174[[#This Row],[Type]]&gt;0,VLOOKUP(_1_54128456121462410464578910174[[#This Row],[Type]],Main[[#All],[TYPE]:[UNIT]],'Unit Price'!C$1,FALSE),0)</f>
        <v>0</v>
      </c>
      <c r="H825" s="197">
        <f>IF(_1_54128456121462410464578910174[[#This Row],[Type]]&gt;0,VLOOKUP(_1_54128456121462410464578910174[[#This Row],[Type]],Main[[#All],[TYPE]:[UNIT]],'Unit Price'!D$1,FALSE),0)</f>
        <v>0</v>
      </c>
      <c r="I825" s="194">
        <f>IF(_1_54128456121462410464578910174[[#This Row],[Type]]&gt;0,VLOOKUP(_1_54128456121462410464578910174[[#This Row],[Type]],Main[[#All],[TYPE]:[UNIT]],'Unit Price'!G$1,FALSE),0)</f>
        <v>0</v>
      </c>
      <c r="J825" s="194">
        <f>IF(_1_54128456121462410464578910174[[#This Row],[Type]]&gt;0,VLOOKUP(_1_54128456121462410464578910174[[#This Row],[Type]],Main[[#All],[TYPE]:[UNIT]],'Unit Price'!H$1,FALSE),0)</f>
        <v>0</v>
      </c>
      <c r="K825" s="194">
        <f>IF(_1_54128456121462410464578910174[[#This Row],[Discount selection]]&gt;0,VLOOKUP(_1_54128456121462410464578910174[[#This Row],[Discount selection]],'Discount Structure'!$A$2:$B$30,2,"false"),0)</f>
        <v>1</v>
      </c>
      <c r="L825" s="194">
        <f>_1_54128456121462410464578910174[[#This Row],[LIST $]]*_1_54128456121462410464578910174[[#This Row],[DISCOUNT]]*_1_54128456121462410464578910174[[#This Row],[DISCOUNT 2]]</f>
        <v>0</v>
      </c>
      <c r="M825" s="194">
        <f>IF(OR(_1_54128456121462410464578910174[[#This Row],[UNIT]]&gt;0,_1_54128456121462410464578910174[[#This Row],[UNIT]]&lt;0),_1_54128456121462410464578910174[[#This Row],[UNIT]]*_1_54128456121462410464578910174[[#This Row],[COST]],0)</f>
        <v>0</v>
      </c>
      <c r="N825" s="194">
        <f t="shared" si="12"/>
        <v>1.5</v>
      </c>
      <c r="O825" s="198">
        <f>_1_54128456121462410464578910174[[#This Row],[TOTAL]]*_1_54128456121462410464578910174[[#This Row],[MARGIN]]</f>
        <v>0</v>
      </c>
      <c r="R825" s="41"/>
    </row>
    <row r="826" spans="4:18">
      <c r="D826" s="188"/>
      <c r="F826" s="168" t="s">
        <v>6202</v>
      </c>
      <c r="G826" s="193">
        <f>IF(_1_54128456121462410464578910174[[#This Row],[Type]]&gt;0,VLOOKUP(_1_54128456121462410464578910174[[#This Row],[Type]],Main[[#All],[TYPE]:[UNIT]],'Unit Price'!C$1,FALSE),0)</f>
        <v>0</v>
      </c>
      <c r="H826" s="197">
        <f>IF(_1_54128456121462410464578910174[[#This Row],[Type]]&gt;0,VLOOKUP(_1_54128456121462410464578910174[[#This Row],[Type]],Main[[#All],[TYPE]:[UNIT]],'Unit Price'!D$1,FALSE),0)</f>
        <v>0</v>
      </c>
      <c r="I826" s="194">
        <f>IF(_1_54128456121462410464578910174[[#This Row],[Type]]&gt;0,VLOOKUP(_1_54128456121462410464578910174[[#This Row],[Type]],Main[[#All],[TYPE]:[UNIT]],'Unit Price'!G$1,FALSE),0)</f>
        <v>0</v>
      </c>
      <c r="J826" s="194">
        <f>IF(_1_54128456121462410464578910174[[#This Row],[Type]]&gt;0,VLOOKUP(_1_54128456121462410464578910174[[#This Row],[Type]],Main[[#All],[TYPE]:[UNIT]],'Unit Price'!H$1,FALSE),0)</f>
        <v>0</v>
      </c>
      <c r="K826" s="194">
        <f>IF(_1_54128456121462410464578910174[[#This Row],[Discount selection]]&gt;0,VLOOKUP(_1_54128456121462410464578910174[[#This Row],[Discount selection]],'Discount Structure'!$A$2:$B$30,2,"false"),0)</f>
        <v>1</v>
      </c>
      <c r="L826" s="194">
        <f>_1_54128456121462410464578910174[[#This Row],[LIST $]]*_1_54128456121462410464578910174[[#This Row],[DISCOUNT]]*_1_54128456121462410464578910174[[#This Row],[DISCOUNT 2]]</f>
        <v>0</v>
      </c>
      <c r="M826" s="194">
        <f>IF(OR(_1_54128456121462410464578910174[[#This Row],[UNIT]]&gt;0,_1_54128456121462410464578910174[[#This Row],[UNIT]]&lt;0),_1_54128456121462410464578910174[[#This Row],[UNIT]]*_1_54128456121462410464578910174[[#This Row],[COST]],0)</f>
        <v>0</v>
      </c>
      <c r="N826" s="194">
        <f t="shared" si="12"/>
        <v>1.5</v>
      </c>
      <c r="O826" s="198">
        <f>_1_54128456121462410464578910174[[#This Row],[TOTAL]]*_1_54128456121462410464578910174[[#This Row],[MARGIN]]</f>
        <v>0</v>
      </c>
      <c r="R826" s="41"/>
    </row>
    <row r="827" spans="4:18">
      <c r="D827" s="188"/>
      <c r="F827" s="168" t="s">
        <v>6202</v>
      </c>
      <c r="G827" s="193">
        <f>IF(_1_54128456121462410464578910174[[#This Row],[Type]]&gt;0,VLOOKUP(_1_54128456121462410464578910174[[#This Row],[Type]],Main[[#All],[TYPE]:[UNIT]],'Unit Price'!C$1,FALSE),0)</f>
        <v>0</v>
      </c>
      <c r="H827" s="197">
        <f>IF(_1_54128456121462410464578910174[[#This Row],[Type]]&gt;0,VLOOKUP(_1_54128456121462410464578910174[[#This Row],[Type]],Main[[#All],[TYPE]:[UNIT]],'Unit Price'!D$1,FALSE),0)</f>
        <v>0</v>
      </c>
      <c r="I827" s="194">
        <f>IF(_1_54128456121462410464578910174[[#This Row],[Type]]&gt;0,VLOOKUP(_1_54128456121462410464578910174[[#This Row],[Type]],Main[[#All],[TYPE]:[UNIT]],'Unit Price'!G$1,FALSE),0)</f>
        <v>0</v>
      </c>
      <c r="J827" s="194">
        <f>IF(_1_54128456121462410464578910174[[#This Row],[Type]]&gt;0,VLOOKUP(_1_54128456121462410464578910174[[#This Row],[Type]],Main[[#All],[TYPE]:[UNIT]],'Unit Price'!H$1,FALSE),0)</f>
        <v>0</v>
      </c>
      <c r="K827" s="194">
        <f>IF(_1_54128456121462410464578910174[[#This Row],[Discount selection]]&gt;0,VLOOKUP(_1_54128456121462410464578910174[[#This Row],[Discount selection]],'Discount Structure'!$A$2:$B$30,2,"false"),0)</f>
        <v>1</v>
      </c>
      <c r="L827" s="194">
        <f>_1_54128456121462410464578910174[[#This Row],[LIST $]]*_1_54128456121462410464578910174[[#This Row],[DISCOUNT]]*_1_54128456121462410464578910174[[#This Row],[DISCOUNT 2]]</f>
        <v>0</v>
      </c>
      <c r="M827" s="194">
        <f>IF(OR(_1_54128456121462410464578910174[[#This Row],[UNIT]]&gt;0,_1_54128456121462410464578910174[[#This Row],[UNIT]]&lt;0),_1_54128456121462410464578910174[[#This Row],[UNIT]]*_1_54128456121462410464578910174[[#This Row],[COST]],0)</f>
        <v>0</v>
      </c>
      <c r="N827" s="194">
        <f t="shared" si="12"/>
        <v>1.5</v>
      </c>
      <c r="O827" s="198">
        <f>_1_54128456121462410464578910174[[#This Row],[TOTAL]]*_1_54128456121462410464578910174[[#This Row],[MARGIN]]</f>
        <v>0</v>
      </c>
      <c r="R827" s="41"/>
    </row>
    <row r="828" spans="4:18">
      <c r="D828" s="188"/>
      <c r="F828" s="168" t="s">
        <v>6202</v>
      </c>
      <c r="G828" s="193">
        <f>IF(_1_54128456121462410464578910174[[#This Row],[Type]]&gt;0,VLOOKUP(_1_54128456121462410464578910174[[#This Row],[Type]],Main[[#All],[TYPE]:[UNIT]],'Unit Price'!C$1,FALSE),0)</f>
        <v>0</v>
      </c>
      <c r="H828" s="197">
        <f>IF(_1_54128456121462410464578910174[[#This Row],[Type]]&gt;0,VLOOKUP(_1_54128456121462410464578910174[[#This Row],[Type]],Main[[#All],[TYPE]:[UNIT]],'Unit Price'!D$1,FALSE),0)</f>
        <v>0</v>
      </c>
      <c r="I828" s="194">
        <f>IF(_1_54128456121462410464578910174[[#This Row],[Type]]&gt;0,VLOOKUP(_1_54128456121462410464578910174[[#This Row],[Type]],Main[[#All],[TYPE]:[UNIT]],'Unit Price'!G$1,FALSE),0)</f>
        <v>0</v>
      </c>
      <c r="J828" s="194">
        <f>IF(_1_54128456121462410464578910174[[#This Row],[Type]]&gt;0,VLOOKUP(_1_54128456121462410464578910174[[#This Row],[Type]],Main[[#All],[TYPE]:[UNIT]],'Unit Price'!H$1,FALSE),0)</f>
        <v>0</v>
      </c>
      <c r="K828" s="194">
        <f>IF(_1_54128456121462410464578910174[[#This Row],[Discount selection]]&gt;0,VLOOKUP(_1_54128456121462410464578910174[[#This Row],[Discount selection]],'Discount Structure'!$A$2:$B$30,2,"false"),0)</f>
        <v>1</v>
      </c>
      <c r="L828" s="194">
        <f>_1_54128456121462410464578910174[[#This Row],[LIST $]]*_1_54128456121462410464578910174[[#This Row],[DISCOUNT]]*_1_54128456121462410464578910174[[#This Row],[DISCOUNT 2]]</f>
        <v>0</v>
      </c>
      <c r="M828" s="194">
        <f>IF(OR(_1_54128456121462410464578910174[[#This Row],[UNIT]]&gt;0,_1_54128456121462410464578910174[[#This Row],[UNIT]]&lt;0),_1_54128456121462410464578910174[[#This Row],[UNIT]]*_1_54128456121462410464578910174[[#This Row],[COST]],0)</f>
        <v>0</v>
      </c>
      <c r="N828" s="194">
        <f t="shared" si="12"/>
        <v>1.5</v>
      </c>
      <c r="O828" s="198">
        <f>_1_54128456121462410464578910174[[#This Row],[TOTAL]]*_1_54128456121462410464578910174[[#This Row],[MARGIN]]</f>
        <v>0</v>
      </c>
      <c r="R828" s="41"/>
    </row>
    <row r="829" spans="4:18">
      <c r="D829" s="188"/>
      <c r="F829" s="168" t="s">
        <v>6202</v>
      </c>
      <c r="G829" s="193">
        <f>IF(_1_54128456121462410464578910174[[#This Row],[Type]]&gt;0,VLOOKUP(_1_54128456121462410464578910174[[#This Row],[Type]],Main[[#All],[TYPE]:[UNIT]],'Unit Price'!C$1,FALSE),0)</f>
        <v>0</v>
      </c>
      <c r="H829" s="197">
        <f>IF(_1_54128456121462410464578910174[[#This Row],[Type]]&gt;0,VLOOKUP(_1_54128456121462410464578910174[[#This Row],[Type]],Main[[#All],[TYPE]:[UNIT]],'Unit Price'!D$1,FALSE),0)</f>
        <v>0</v>
      </c>
      <c r="I829" s="194">
        <f>IF(_1_54128456121462410464578910174[[#This Row],[Type]]&gt;0,VLOOKUP(_1_54128456121462410464578910174[[#This Row],[Type]],Main[[#All],[TYPE]:[UNIT]],'Unit Price'!G$1,FALSE),0)</f>
        <v>0</v>
      </c>
      <c r="J829" s="194">
        <f>IF(_1_54128456121462410464578910174[[#This Row],[Type]]&gt;0,VLOOKUP(_1_54128456121462410464578910174[[#This Row],[Type]],Main[[#All],[TYPE]:[UNIT]],'Unit Price'!H$1,FALSE),0)</f>
        <v>0</v>
      </c>
      <c r="K829" s="194">
        <f>IF(_1_54128456121462410464578910174[[#This Row],[Discount selection]]&gt;0,VLOOKUP(_1_54128456121462410464578910174[[#This Row],[Discount selection]],'Discount Structure'!$A$2:$B$30,2,"false"),0)</f>
        <v>1</v>
      </c>
      <c r="L829" s="194">
        <f>_1_54128456121462410464578910174[[#This Row],[LIST $]]*_1_54128456121462410464578910174[[#This Row],[DISCOUNT]]*_1_54128456121462410464578910174[[#This Row],[DISCOUNT 2]]</f>
        <v>0</v>
      </c>
      <c r="M829" s="194">
        <f>IF(OR(_1_54128456121462410464578910174[[#This Row],[UNIT]]&gt;0,_1_54128456121462410464578910174[[#This Row],[UNIT]]&lt;0),_1_54128456121462410464578910174[[#This Row],[UNIT]]*_1_54128456121462410464578910174[[#This Row],[COST]],0)</f>
        <v>0</v>
      </c>
      <c r="N829" s="194">
        <f t="shared" si="12"/>
        <v>1.5</v>
      </c>
      <c r="O829" s="198">
        <f>_1_54128456121462410464578910174[[#This Row],[TOTAL]]*_1_54128456121462410464578910174[[#This Row],[MARGIN]]</f>
        <v>0</v>
      </c>
      <c r="R829" s="41"/>
    </row>
    <row r="830" spans="4:18">
      <c r="D830" s="188"/>
      <c r="F830" s="168" t="s">
        <v>6202</v>
      </c>
      <c r="G830" s="193">
        <f>IF(_1_54128456121462410464578910174[[#This Row],[Type]]&gt;0,VLOOKUP(_1_54128456121462410464578910174[[#This Row],[Type]],Main[[#All],[TYPE]:[UNIT]],'Unit Price'!C$1,FALSE),0)</f>
        <v>0</v>
      </c>
      <c r="H830" s="197">
        <f>IF(_1_54128456121462410464578910174[[#This Row],[Type]]&gt;0,VLOOKUP(_1_54128456121462410464578910174[[#This Row],[Type]],Main[[#All],[TYPE]:[UNIT]],'Unit Price'!D$1,FALSE),0)</f>
        <v>0</v>
      </c>
      <c r="I830" s="194">
        <f>IF(_1_54128456121462410464578910174[[#This Row],[Type]]&gt;0,VLOOKUP(_1_54128456121462410464578910174[[#This Row],[Type]],Main[[#All],[TYPE]:[UNIT]],'Unit Price'!G$1,FALSE),0)</f>
        <v>0</v>
      </c>
      <c r="J830" s="194">
        <f>IF(_1_54128456121462410464578910174[[#This Row],[Type]]&gt;0,VLOOKUP(_1_54128456121462410464578910174[[#This Row],[Type]],Main[[#All],[TYPE]:[UNIT]],'Unit Price'!H$1,FALSE),0)</f>
        <v>0</v>
      </c>
      <c r="K830" s="194">
        <f>IF(_1_54128456121462410464578910174[[#This Row],[Discount selection]]&gt;0,VLOOKUP(_1_54128456121462410464578910174[[#This Row],[Discount selection]],'Discount Structure'!$A$2:$B$30,2,"false"),0)</f>
        <v>1</v>
      </c>
      <c r="L830" s="194">
        <f>_1_54128456121462410464578910174[[#This Row],[LIST $]]*_1_54128456121462410464578910174[[#This Row],[DISCOUNT]]*_1_54128456121462410464578910174[[#This Row],[DISCOUNT 2]]</f>
        <v>0</v>
      </c>
      <c r="M830" s="194">
        <f>IF(OR(_1_54128456121462410464578910174[[#This Row],[UNIT]]&gt;0,_1_54128456121462410464578910174[[#This Row],[UNIT]]&lt;0),_1_54128456121462410464578910174[[#This Row],[UNIT]]*_1_54128456121462410464578910174[[#This Row],[COST]],0)</f>
        <v>0</v>
      </c>
      <c r="N830" s="194">
        <f t="shared" si="12"/>
        <v>1.5</v>
      </c>
      <c r="O830" s="198">
        <f>_1_54128456121462410464578910174[[#This Row],[TOTAL]]*_1_54128456121462410464578910174[[#This Row],[MARGIN]]</f>
        <v>0</v>
      </c>
      <c r="R830" s="41"/>
    </row>
    <row r="831" spans="4:18">
      <c r="D831" s="188"/>
      <c r="F831" s="168" t="s">
        <v>6202</v>
      </c>
      <c r="G831" s="193">
        <f>IF(_1_54128456121462410464578910174[[#This Row],[Type]]&gt;0,VLOOKUP(_1_54128456121462410464578910174[[#This Row],[Type]],Main[[#All],[TYPE]:[UNIT]],'Unit Price'!C$1,FALSE),0)</f>
        <v>0</v>
      </c>
      <c r="H831" s="197">
        <f>IF(_1_54128456121462410464578910174[[#This Row],[Type]]&gt;0,VLOOKUP(_1_54128456121462410464578910174[[#This Row],[Type]],Main[[#All],[TYPE]:[UNIT]],'Unit Price'!D$1,FALSE),0)</f>
        <v>0</v>
      </c>
      <c r="I831" s="194">
        <f>IF(_1_54128456121462410464578910174[[#This Row],[Type]]&gt;0,VLOOKUP(_1_54128456121462410464578910174[[#This Row],[Type]],Main[[#All],[TYPE]:[UNIT]],'Unit Price'!G$1,FALSE),0)</f>
        <v>0</v>
      </c>
      <c r="J831" s="194">
        <f>IF(_1_54128456121462410464578910174[[#This Row],[Type]]&gt;0,VLOOKUP(_1_54128456121462410464578910174[[#This Row],[Type]],Main[[#All],[TYPE]:[UNIT]],'Unit Price'!H$1,FALSE),0)</f>
        <v>0</v>
      </c>
      <c r="K831" s="194">
        <f>IF(_1_54128456121462410464578910174[[#This Row],[Discount selection]]&gt;0,VLOOKUP(_1_54128456121462410464578910174[[#This Row],[Discount selection]],'Discount Structure'!$A$2:$B$30,2,"false"),0)</f>
        <v>1</v>
      </c>
      <c r="L831" s="194">
        <f>_1_54128456121462410464578910174[[#This Row],[LIST $]]*_1_54128456121462410464578910174[[#This Row],[DISCOUNT]]*_1_54128456121462410464578910174[[#This Row],[DISCOUNT 2]]</f>
        <v>0</v>
      </c>
      <c r="M831" s="194">
        <f>IF(OR(_1_54128456121462410464578910174[[#This Row],[UNIT]]&gt;0,_1_54128456121462410464578910174[[#This Row],[UNIT]]&lt;0),_1_54128456121462410464578910174[[#This Row],[UNIT]]*_1_54128456121462410464578910174[[#This Row],[COST]],0)</f>
        <v>0</v>
      </c>
      <c r="N831" s="194">
        <f t="shared" si="12"/>
        <v>1.5</v>
      </c>
      <c r="O831" s="198">
        <f>_1_54128456121462410464578910174[[#This Row],[TOTAL]]*_1_54128456121462410464578910174[[#This Row],[MARGIN]]</f>
        <v>0</v>
      </c>
      <c r="R831" s="41"/>
    </row>
    <row r="832" spans="4:18">
      <c r="D832" s="188"/>
      <c r="F832" s="168" t="s">
        <v>6202</v>
      </c>
      <c r="G832" s="193">
        <f>IF(_1_54128456121462410464578910174[[#This Row],[Type]]&gt;0,VLOOKUP(_1_54128456121462410464578910174[[#This Row],[Type]],Main[[#All],[TYPE]:[UNIT]],'Unit Price'!C$1,FALSE),0)</f>
        <v>0</v>
      </c>
      <c r="H832" s="197">
        <f>IF(_1_54128456121462410464578910174[[#This Row],[Type]]&gt;0,VLOOKUP(_1_54128456121462410464578910174[[#This Row],[Type]],Main[[#All],[TYPE]:[UNIT]],'Unit Price'!D$1,FALSE),0)</f>
        <v>0</v>
      </c>
      <c r="I832" s="194">
        <f>IF(_1_54128456121462410464578910174[[#This Row],[Type]]&gt;0,VLOOKUP(_1_54128456121462410464578910174[[#This Row],[Type]],Main[[#All],[TYPE]:[UNIT]],'Unit Price'!G$1,FALSE),0)</f>
        <v>0</v>
      </c>
      <c r="J832" s="194">
        <f>IF(_1_54128456121462410464578910174[[#This Row],[Type]]&gt;0,VLOOKUP(_1_54128456121462410464578910174[[#This Row],[Type]],Main[[#All],[TYPE]:[UNIT]],'Unit Price'!H$1,FALSE),0)</f>
        <v>0</v>
      </c>
      <c r="K832" s="194">
        <f>IF(_1_54128456121462410464578910174[[#This Row],[Discount selection]]&gt;0,VLOOKUP(_1_54128456121462410464578910174[[#This Row],[Discount selection]],'Discount Structure'!$A$2:$B$30,2,"false"),0)</f>
        <v>1</v>
      </c>
      <c r="L832" s="194">
        <f>_1_54128456121462410464578910174[[#This Row],[LIST $]]*_1_54128456121462410464578910174[[#This Row],[DISCOUNT]]*_1_54128456121462410464578910174[[#This Row],[DISCOUNT 2]]</f>
        <v>0</v>
      </c>
      <c r="M832" s="194">
        <f>IF(OR(_1_54128456121462410464578910174[[#This Row],[UNIT]]&gt;0,_1_54128456121462410464578910174[[#This Row],[UNIT]]&lt;0),_1_54128456121462410464578910174[[#This Row],[UNIT]]*_1_54128456121462410464578910174[[#This Row],[COST]],0)</f>
        <v>0</v>
      </c>
      <c r="N832" s="194">
        <f t="shared" si="12"/>
        <v>1.5</v>
      </c>
      <c r="O832" s="198">
        <f>_1_54128456121462410464578910174[[#This Row],[TOTAL]]*_1_54128456121462410464578910174[[#This Row],[MARGIN]]</f>
        <v>0</v>
      </c>
      <c r="R832" s="41"/>
    </row>
    <row r="833" spans="4:18">
      <c r="D833" s="188"/>
      <c r="F833" s="168" t="s">
        <v>6202</v>
      </c>
      <c r="G833" s="193">
        <f>IF(_1_54128456121462410464578910174[[#This Row],[Type]]&gt;0,VLOOKUP(_1_54128456121462410464578910174[[#This Row],[Type]],Main[[#All],[TYPE]:[UNIT]],'Unit Price'!C$1,FALSE),0)</f>
        <v>0</v>
      </c>
      <c r="H833" s="197">
        <f>IF(_1_54128456121462410464578910174[[#This Row],[Type]]&gt;0,VLOOKUP(_1_54128456121462410464578910174[[#This Row],[Type]],Main[[#All],[TYPE]:[UNIT]],'Unit Price'!D$1,FALSE),0)</f>
        <v>0</v>
      </c>
      <c r="I833" s="194">
        <f>IF(_1_54128456121462410464578910174[[#This Row],[Type]]&gt;0,VLOOKUP(_1_54128456121462410464578910174[[#This Row],[Type]],Main[[#All],[TYPE]:[UNIT]],'Unit Price'!G$1,FALSE),0)</f>
        <v>0</v>
      </c>
      <c r="J833" s="194">
        <f>IF(_1_54128456121462410464578910174[[#This Row],[Type]]&gt;0,VLOOKUP(_1_54128456121462410464578910174[[#This Row],[Type]],Main[[#All],[TYPE]:[UNIT]],'Unit Price'!H$1,FALSE),0)</f>
        <v>0</v>
      </c>
      <c r="K833" s="194">
        <f>IF(_1_54128456121462410464578910174[[#This Row],[Discount selection]]&gt;0,VLOOKUP(_1_54128456121462410464578910174[[#This Row],[Discount selection]],'Discount Structure'!$A$2:$B$30,2,"false"),0)</f>
        <v>1</v>
      </c>
      <c r="L833" s="194">
        <f>_1_54128456121462410464578910174[[#This Row],[LIST $]]*_1_54128456121462410464578910174[[#This Row],[DISCOUNT]]*_1_54128456121462410464578910174[[#This Row],[DISCOUNT 2]]</f>
        <v>0</v>
      </c>
      <c r="M833" s="194">
        <f>IF(OR(_1_54128456121462410464578910174[[#This Row],[UNIT]]&gt;0,_1_54128456121462410464578910174[[#This Row],[UNIT]]&lt;0),_1_54128456121462410464578910174[[#This Row],[UNIT]]*_1_54128456121462410464578910174[[#This Row],[COST]],0)</f>
        <v>0</v>
      </c>
      <c r="N833" s="194">
        <f t="shared" si="12"/>
        <v>1.5</v>
      </c>
      <c r="O833" s="198">
        <f>_1_54128456121462410464578910174[[#This Row],[TOTAL]]*_1_54128456121462410464578910174[[#This Row],[MARGIN]]</f>
        <v>0</v>
      </c>
      <c r="R833" s="41"/>
    </row>
    <row r="834" spans="4:18">
      <c r="D834" s="188"/>
      <c r="F834" s="168" t="s">
        <v>6202</v>
      </c>
      <c r="G834" s="193">
        <f>IF(_1_54128456121462410464578910174[[#This Row],[Type]]&gt;0,VLOOKUP(_1_54128456121462410464578910174[[#This Row],[Type]],Main[[#All],[TYPE]:[UNIT]],'Unit Price'!C$1,FALSE),0)</f>
        <v>0</v>
      </c>
      <c r="H834" s="197">
        <f>IF(_1_54128456121462410464578910174[[#This Row],[Type]]&gt;0,VLOOKUP(_1_54128456121462410464578910174[[#This Row],[Type]],Main[[#All],[TYPE]:[UNIT]],'Unit Price'!D$1,FALSE),0)</f>
        <v>0</v>
      </c>
      <c r="I834" s="194">
        <f>IF(_1_54128456121462410464578910174[[#This Row],[Type]]&gt;0,VLOOKUP(_1_54128456121462410464578910174[[#This Row],[Type]],Main[[#All],[TYPE]:[UNIT]],'Unit Price'!G$1,FALSE),0)</f>
        <v>0</v>
      </c>
      <c r="J834" s="194">
        <f>IF(_1_54128456121462410464578910174[[#This Row],[Type]]&gt;0,VLOOKUP(_1_54128456121462410464578910174[[#This Row],[Type]],Main[[#All],[TYPE]:[UNIT]],'Unit Price'!H$1,FALSE),0)</f>
        <v>0</v>
      </c>
      <c r="K834" s="194">
        <f>IF(_1_54128456121462410464578910174[[#This Row],[Discount selection]]&gt;0,VLOOKUP(_1_54128456121462410464578910174[[#This Row],[Discount selection]],'Discount Structure'!$A$2:$B$30,2,"false"),0)</f>
        <v>1</v>
      </c>
      <c r="L834" s="194">
        <f>_1_54128456121462410464578910174[[#This Row],[LIST $]]*_1_54128456121462410464578910174[[#This Row],[DISCOUNT]]*_1_54128456121462410464578910174[[#This Row],[DISCOUNT 2]]</f>
        <v>0</v>
      </c>
      <c r="M834" s="194">
        <f>IF(OR(_1_54128456121462410464578910174[[#This Row],[UNIT]]&gt;0,_1_54128456121462410464578910174[[#This Row],[UNIT]]&lt;0),_1_54128456121462410464578910174[[#This Row],[UNIT]]*_1_54128456121462410464578910174[[#This Row],[COST]],0)</f>
        <v>0</v>
      </c>
      <c r="N834" s="194">
        <f t="shared" si="12"/>
        <v>1.5</v>
      </c>
      <c r="O834" s="198">
        <f>_1_54128456121462410464578910174[[#This Row],[TOTAL]]*_1_54128456121462410464578910174[[#This Row],[MARGIN]]</f>
        <v>0</v>
      </c>
      <c r="R834" s="41"/>
    </row>
    <row r="835" spans="4:18">
      <c r="D835" s="188"/>
      <c r="F835" s="168" t="s">
        <v>6202</v>
      </c>
      <c r="G835" s="193">
        <f>IF(_1_54128456121462410464578910174[[#This Row],[Type]]&gt;0,VLOOKUP(_1_54128456121462410464578910174[[#This Row],[Type]],Main[[#All],[TYPE]:[UNIT]],'Unit Price'!C$1,FALSE),0)</f>
        <v>0</v>
      </c>
      <c r="H835" s="197">
        <f>IF(_1_54128456121462410464578910174[[#This Row],[Type]]&gt;0,VLOOKUP(_1_54128456121462410464578910174[[#This Row],[Type]],Main[[#All],[TYPE]:[UNIT]],'Unit Price'!D$1,FALSE),0)</f>
        <v>0</v>
      </c>
      <c r="I835" s="194">
        <f>IF(_1_54128456121462410464578910174[[#This Row],[Type]]&gt;0,VLOOKUP(_1_54128456121462410464578910174[[#This Row],[Type]],Main[[#All],[TYPE]:[UNIT]],'Unit Price'!G$1,FALSE),0)</f>
        <v>0</v>
      </c>
      <c r="J835" s="194">
        <f>IF(_1_54128456121462410464578910174[[#This Row],[Type]]&gt;0,VLOOKUP(_1_54128456121462410464578910174[[#This Row],[Type]],Main[[#All],[TYPE]:[UNIT]],'Unit Price'!H$1,FALSE),0)</f>
        <v>0</v>
      </c>
      <c r="K835" s="194">
        <f>IF(_1_54128456121462410464578910174[[#This Row],[Discount selection]]&gt;0,VLOOKUP(_1_54128456121462410464578910174[[#This Row],[Discount selection]],'Discount Structure'!$A$2:$B$30,2,"false"),0)</f>
        <v>1</v>
      </c>
      <c r="L835" s="194">
        <f>_1_54128456121462410464578910174[[#This Row],[LIST $]]*_1_54128456121462410464578910174[[#This Row],[DISCOUNT]]*_1_54128456121462410464578910174[[#This Row],[DISCOUNT 2]]</f>
        <v>0</v>
      </c>
      <c r="M835" s="194">
        <f>IF(OR(_1_54128456121462410464578910174[[#This Row],[UNIT]]&gt;0,_1_54128456121462410464578910174[[#This Row],[UNIT]]&lt;0),_1_54128456121462410464578910174[[#This Row],[UNIT]]*_1_54128456121462410464578910174[[#This Row],[COST]],0)</f>
        <v>0</v>
      </c>
      <c r="N835" s="194">
        <f t="shared" si="12"/>
        <v>1.5</v>
      </c>
      <c r="O835" s="198">
        <f>_1_54128456121462410464578910174[[#This Row],[TOTAL]]*_1_54128456121462410464578910174[[#This Row],[MARGIN]]</f>
        <v>0</v>
      </c>
      <c r="R835" s="41"/>
    </row>
    <row r="836" spans="4:18">
      <c r="D836" s="188"/>
      <c r="F836" s="168" t="s">
        <v>6202</v>
      </c>
      <c r="G836" s="193">
        <f>IF(_1_54128456121462410464578910174[[#This Row],[Type]]&gt;0,VLOOKUP(_1_54128456121462410464578910174[[#This Row],[Type]],Main[[#All],[TYPE]:[UNIT]],'Unit Price'!C$1,FALSE),0)</f>
        <v>0</v>
      </c>
      <c r="H836" s="197">
        <f>IF(_1_54128456121462410464578910174[[#This Row],[Type]]&gt;0,VLOOKUP(_1_54128456121462410464578910174[[#This Row],[Type]],Main[[#All],[TYPE]:[UNIT]],'Unit Price'!D$1,FALSE),0)</f>
        <v>0</v>
      </c>
      <c r="I836" s="194">
        <f>IF(_1_54128456121462410464578910174[[#This Row],[Type]]&gt;0,VLOOKUP(_1_54128456121462410464578910174[[#This Row],[Type]],Main[[#All],[TYPE]:[UNIT]],'Unit Price'!G$1,FALSE),0)</f>
        <v>0</v>
      </c>
      <c r="J836" s="194">
        <f>IF(_1_54128456121462410464578910174[[#This Row],[Type]]&gt;0,VLOOKUP(_1_54128456121462410464578910174[[#This Row],[Type]],Main[[#All],[TYPE]:[UNIT]],'Unit Price'!H$1,FALSE),0)</f>
        <v>0</v>
      </c>
      <c r="K836" s="194">
        <f>IF(_1_54128456121462410464578910174[[#This Row],[Discount selection]]&gt;0,VLOOKUP(_1_54128456121462410464578910174[[#This Row],[Discount selection]],'Discount Structure'!$A$2:$B$30,2,"false"),0)</f>
        <v>1</v>
      </c>
      <c r="L836" s="194">
        <f>_1_54128456121462410464578910174[[#This Row],[LIST $]]*_1_54128456121462410464578910174[[#This Row],[DISCOUNT]]*_1_54128456121462410464578910174[[#This Row],[DISCOUNT 2]]</f>
        <v>0</v>
      </c>
      <c r="M836" s="194">
        <f>IF(OR(_1_54128456121462410464578910174[[#This Row],[UNIT]]&gt;0,_1_54128456121462410464578910174[[#This Row],[UNIT]]&lt;0),_1_54128456121462410464578910174[[#This Row],[UNIT]]*_1_54128456121462410464578910174[[#This Row],[COST]],0)</f>
        <v>0</v>
      </c>
      <c r="N836" s="194">
        <f t="shared" si="12"/>
        <v>1.5</v>
      </c>
      <c r="O836" s="198">
        <f>_1_54128456121462410464578910174[[#This Row],[TOTAL]]*_1_54128456121462410464578910174[[#This Row],[MARGIN]]</f>
        <v>0</v>
      </c>
      <c r="R836" s="41"/>
    </row>
    <row r="837" spans="4:18">
      <c r="D837" s="188"/>
      <c r="F837" s="168" t="s">
        <v>6202</v>
      </c>
      <c r="G837" s="193">
        <f>IF(_1_54128456121462410464578910174[[#This Row],[Type]]&gt;0,VLOOKUP(_1_54128456121462410464578910174[[#This Row],[Type]],Main[[#All],[TYPE]:[UNIT]],'Unit Price'!C$1,FALSE),0)</f>
        <v>0</v>
      </c>
      <c r="H837" s="197">
        <f>IF(_1_54128456121462410464578910174[[#This Row],[Type]]&gt;0,VLOOKUP(_1_54128456121462410464578910174[[#This Row],[Type]],Main[[#All],[TYPE]:[UNIT]],'Unit Price'!D$1,FALSE),0)</f>
        <v>0</v>
      </c>
      <c r="I837" s="194">
        <f>IF(_1_54128456121462410464578910174[[#This Row],[Type]]&gt;0,VLOOKUP(_1_54128456121462410464578910174[[#This Row],[Type]],Main[[#All],[TYPE]:[UNIT]],'Unit Price'!G$1,FALSE),0)</f>
        <v>0</v>
      </c>
      <c r="J837" s="194">
        <f>IF(_1_54128456121462410464578910174[[#This Row],[Type]]&gt;0,VLOOKUP(_1_54128456121462410464578910174[[#This Row],[Type]],Main[[#All],[TYPE]:[UNIT]],'Unit Price'!H$1,FALSE),0)</f>
        <v>0</v>
      </c>
      <c r="K837" s="194">
        <f>IF(_1_54128456121462410464578910174[[#This Row],[Discount selection]]&gt;0,VLOOKUP(_1_54128456121462410464578910174[[#This Row],[Discount selection]],'Discount Structure'!$A$2:$B$30,2,"false"),0)</f>
        <v>1</v>
      </c>
      <c r="L837" s="194">
        <f>_1_54128456121462410464578910174[[#This Row],[LIST $]]*_1_54128456121462410464578910174[[#This Row],[DISCOUNT]]*_1_54128456121462410464578910174[[#This Row],[DISCOUNT 2]]</f>
        <v>0</v>
      </c>
      <c r="M837" s="194">
        <f>IF(OR(_1_54128456121462410464578910174[[#This Row],[UNIT]]&gt;0,_1_54128456121462410464578910174[[#This Row],[UNIT]]&lt;0),_1_54128456121462410464578910174[[#This Row],[UNIT]]*_1_54128456121462410464578910174[[#This Row],[COST]],0)</f>
        <v>0</v>
      </c>
      <c r="N837" s="194">
        <f t="shared" si="12"/>
        <v>1.5</v>
      </c>
      <c r="O837" s="198">
        <f>_1_54128456121462410464578910174[[#This Row],[TOTAL]]*_1_54128456121462410464578910174[[#This Row],[MARGIN]]</f>
        <v>0</v>
      </c>
      <c r="R837" s="41"/>
    </row>
    <row r="838" spans="4:18">
      <c r="D838" s="188"/>
      <c r="F838" s="168" t="s">
        <v>6202</v>
      </c>
      <c r="G838" s="193">
        <f>IF(_1_54128456121462410464578910174[[#This Row],[Type]]&gt;0,VLOOKUP(_1_54128456121462410464578910174[[#This Row],[Type]],Main[[#All],[TYPE]:[UNIT]],'Unit Price'!C$1,FALSE),0)</f>
        <v>0</v>
      </c>
      <c r="H838" s="197">
        <f>IF(_1_54128456121462410464578910174[[#This Row],[Type]]&gt;0,VLOOKUP(_1_54128456121462410464578910174[[#This Row],[Type]],Main[[#All],[TYPE]:[UNIT]],'Unit Price'!D$1,FALSE),0)</f>
        <v>0</v>
      </c>
      <c r="I838" s="194">
        <f>IF(_1_54128456121462410464578910174[[#This Row],[Type]]&gt;0,VLOOKUP(_1_54128456121462410464578910174[[#This Row],[Type]],Main[[#All],[TYPE]:[UNIT]],'Unit Price'!G$1,FALSE),0)</f>
        <v>0</v>
      </c>
      <c r="J838" s="194">
        <f>IF(_1_54128456121462410464578910174[[#This Row],[Type]]&gt;0,VLOOKUP(_1_54128456121462410464578910174[[#This Row],[Type]],Main[[#All],[TYPE]:[UNIT]],'Unit Price'!H$1,FALSE),0)</f>
        <v>0</v>
      </c>
      <c r="K838" s="194">
        <f>IF(_1_54128456121462410464578910174[[#This Row],[Discount selection]]&gt;0,VLOOKUP(_1_54128456121462410464578910174[[#This Row],[Discount selection]],'Discount Structure'!$A$2:$B$30,2,"false"),0)</f>
        <v>1</v>
      </c>
      <c r="L838" s="194">
        <f>_1_54128456121462410464578910174[[#This Row],[LIST $]]*_1_54128456121462410464578910174[[#This Row],[DISCOUNT]]*_1_54128456121462410464578910174[[#This Row],[DISCOUNT 2]]</f>
        <v>0</v>
      </c>
      <c r="M838" s="194">
        <f>IF(OR(_1_54128456121462410464578910174[[#This Row],[UNIT]]&gt;0,_1_54128456121462410464578910174[[#This Row],[UNIT]]&lt;0),_1_54128456121462410464578910174[[#This Row],[UNIT]]*_1_54128456121462410464578910174[[#This Row],[COST]],0)</f>
        <v>0</v>
      </c>
      <c r="N838" s="194">
        <f t="shared" si="12"/>
        <v>1.5</v>
      </c>
      <c r="O838" s="198">
        <f>_1_54128456121462410464578910174[[#This Row],[TOTAL]]*_1_54128456121462410464578910174[[#This Row],[MARGIN]]</f>
        <v>0</v>
      </c>
      <c r="R838" s="41"/>
    </row>
    <row r="839" spans="4:18">
      <c r="D839" s="188"/>
      <c r="F839" s="168" t="s">
        <v>6202</v>
      </c>
      <c r="G839" s="193">
        <f>IF(_1_54128456121462410464578910174[[#This Row],[Type]]&gt;0,VLOOKUP(_1_54128456121462410464578910174[[#This Row],[Type]],Main[[#All],[TYPE]:[UNIT]],'Unit Price'!C$1,FALSE),0)</f>
        <v>0</v>
      </c>
      <c r="H839" s="197">
        <f>IF(_1_54128456121462410464578910174[[#This Row],[Type]]&gt;0,VLOOKUP(_1_54128456121462410464578910174[[#This Row],[Type]],Main[[#All],[TYPE]:[UNIT]],'Unit Price'!D$1,FALSE),0)</f>
        <v>0</v>
      </c>
      <c r="I839" s="194">
        <f>IF(_1_54128456121462410464578910174[[#This Row],[Type]]&gt;0,VLOOKUP(_1_54128456121462410464578910174[[#This Row],[Type]],Main[[#All],[TYPE]:[UNIT]],'Unit Price'!G$1,FALSE),0)</f>
        <v>0</v>
      </c>
      <c r="J839" s="194">
        <f>IF(_1_54128456121462410464578910174[[#This Row],[Type]]&gt;0,VLOOKUP(_1_54128456121462410464578910174[[#This Row],[Type]],Main[[#All],[TYPE]:[UNIT]],'Unit Price'!H$1,FALSE),0)</f>
        <v>0</v>
      </c>
      <c r="K839" s="194">
        <f>IF(_1_54128456121462410464578910174[[#This Row],[Discount selection]]&gt;0,VLOOKUP(_1_54128456121462410464578910174[[#This Row],[Discount selection]],'Discount Structure'!$A$2:$B$30,2,"false"),0)</f>
        <v>1</v>
      </c>
      <c r="L839" s="194">
        <f>_1_54128456121462410464578910174[[#This Row],[LIST $]]*_1_54128456121462410464578910174[[#This Row],[DISCOUNT]]*_1_54128456121462410464578910174[[#This Row],[DISCOUNT 2]]</f>
        <v>0</v>
      </c>
      <c r="M839" s="194">
        <f>IF(OR(_1_54128456121462410464578910174[[#This Row],[UNIT]]&gt;0,_1_54128456121462410464578910174[[#This Row],[UNIT]]&lt;0),_1_54128456121462410464578910174[[#This Row],[UNIT]]*_1_54128456121462410464578910174[[#This Row],[COST]],0)</f>
        <v>0</v>
      </c>
      <c r="N839" s="194">
        <f t="shared" si="12"/>
        <v>1.5</v>
      </c>
      <c r="O839" s="198">
        <f>_1_54128456121462410464578910174[[#This Row],[TOTAL]]*_1_54128456121462410464578910174[[#This Row],[MARGIN]]</f>
        <v>0</v>
      </c>
      <c r="R839" s="41"/>
    </row>
    <row r="840" spans="4:18">
      <c r="D840" s="188"/>
      <c r="F840" s="168" t="s">
        <v>6202</v>
      </c>
      <c r="G840" s="193">
        <f>IF(_1_54128456121462410464578910174[[#This Row],[Type]]&gt;0,VLOOKUP(_1_54128456121462410464578910174[[#This Row],[Type]],Main[[#All],[TYPE]:[UNIT]],'Unit Price'!C$1,FALSE),0)</f>
        <v>0</v>
      </c>
      <c r="H840" s="197">
        <f>IF(_1_54128456121462410464578910174[[#This Row],[Type]]&gt;0,VLOOKUP(_1_54128456121462410464578910174[[#This Row],[Type]],Main[[#All],[TYPE]:[UNIT]],'Unit Price'!D$1,FALSE),0)</f>
        <v>0</v>
      </c>
      <c r="I840" s="194">
        <f>IF(_1_54128456121462410464578910174[[#This Row],[Type]]&gt;0,VLOOKUP(_1_54128456121462410464578910174[[#This Row],[Type]],Main[[#All],[TYPE]:[UNIT]],'Unit Price'!G$1,FALSE),0)</f>
        <v>0</v>
      </c>
      <c r="J840" s="194">
        <f>IF(_1_54128456121462410464578910174[[#This Row],[Type]]&gt;0,VLOOKUP(_1_54128456121462410464578910174[[#This Row],[Type]],Main[[#All],[TYPE]:[UNIT]],'Unit Price'!H$1,FALSE),0)</f>
        <v>0</v>
      </c>
      <c r="K840" s="194">
        <f>IF(_1_54128456121462410464578910174[[#This Row],[Discount selection]]&gt;0,VLOOKUP(_1_54128456121462410464578910174[[#This Row],[Discount selection]],'Discount Structure'!$A$2:$B$30,2,"false"),0)</f>
        <v>1</v>
      </c>
      <c r="L840" s="194">
        <f>_1_54128456121462410464578910174[[#This Row],[LIST $]]*_1_54128456121462410464578910174[[#This Row],[DISCOUNT]]*_1_54128456121462410464578910174[[#This Row],[DISCOUNT 2]]</f>
        <v>0</v>
      </c>
      <c r="M840" s="194">
        <f>IF(OR(_1_54128456121462410464578910174[[#This Row],[UNIT]]&gt;0,_1_54128456121462410464578910174[[#This Row],[UNIT]]&lt;0),_1_54128456121462410464578910174[[#This Row],[UNIT]]*_1_54128456121462410464578910174[[#This Row],[COST]],0)</f>
        <v>0</v>
      </c>
      <c r="N840" s="194">
        <f t="shared" si="12"/>
        <v>1.5</v>
      </c>
      <c r="O840" s="198">
        <f>_1_54128456121462410464578910174[[#This Row],[TOTAL]]*_1_54128456121462410464578910174[[#This Row],[MARGIN]]</f>
        <v>0</v>
      </c>
      <c r="R840" s="41"/>
    </row>
    <row r="841" spans="4:18">
      <c r="D841" s="188"/>
      <c r="F841" s="168" t="s">
        <v>6202</v>
      </c>
      <c r="G841" s="193">
        <f>IF(_1_54128456121462410464578910174[[#This Row],[Type]]&gt;0,VLOOKUP(_1_54128456121462410464578910174[[#This Row],[Type]],Main[[#All],[TYPE]:[UNIT]],'Unit Price'!C$1,FALSE),0)</f>
        <v>0</v>
      </c>
      <c r="H841" s="197">
        <f>IF(_1_54128456121462410464578910174[[#This Row],[Type]]&gt;0,VLOOKUP(_1_54128456121462410464578910174[[#This Row],[Type]],Main[[#All],[TYPE]:[UNIT]],'Unit Price'!D$1,FALSE),0)</f>
        <v>0</v>
      </c>
      <c r="I841" s="194">
        <f>IF(_1_54128456121462410464578910174[[#This Row],[Type]]&gt;0,VLOOKUP(_1_54128456121462410464578910174[[#This Row],[Type]],Main[[#All],[TYPE]:[UNIT]],'Unit Price'!G$1,FALSE),0)</f>
        <v>0</v>
      </c>
      <c r="J841" s="194">
        <f>IF(_1_54128456121462410464578910174[[#This Row],[Type]]&gt;0,VLOOKUP(_1_54128456121462410464578910174[[#This Row],[Type]],Main[[#All],[TYPE]:[UNIT]],'Unit Price'!H$1,FALSE),0)</f>
        <v>0</v>
      </c>
      <c r="K841" s="194">
        <f>IF(_1_54128456121462410464578910174[[#This Row],[Discount selection]]&gt;0,VLOOKUP(_1_54128456121462410464578910174[[#This Row],[Discount selection]],'Discount Structure'!$A$2:$B$30,2,"false"),0)</f>
        <v>1</v>
      </c>
      <c r="L841" s="194">
        <f>_1_54128456121462410464578910174[[#This Row],[LIST $]]*_1_54128456121462410464578910174[[#This Row],[DISCOUNT]]*_1_54128456121462410464578910174[[#This Row],[DISCOUNT 2]]</f>
        <v>0</v>
      </c>
      <c r="M841" s="194">
        <f>IF(OR(_1_54128456121462410464578910174[[#This Row],[UNIT]]&gt;0,_1_54128456121462410464578910174[[#This Row],[UNIT]]&lt;0),_1_54128456121462410464578910174[[#This Row],[UNIT]]*_1_54128456121462410464578910174[[#This Row],[COST]],0)</f>
        <v>0</v>
      </c>
      <c r="N841" s="194">
        <f t="shared" si="12"/>
        <v>1.5</v>
      </c>
      <c r="O841" s="198">
        <f>_1_54128456121462410464578910174[[#This Row],[TOTAL]]*_1_54128456121462410464578910174[[#This Row],[MARGIN]]</f>
        <v>0</v>
      </c>
      <c r="R841" s="41"/>
    </row>
    <row r="842" spans="4:18">
      <c r="D842" s="188"/>
      <c r="F842" s="168" t="s">
        <v>6202</v>
      </c>
      <c r="G842" s="193">
        <f>IF(_1_54128456121462410464578910174[[#This Row],[Type]]&gt;0,VLOOKUP(_1_54128456121462410464578910174[[#This Row],[Type]],Main[[#All],[TYPE]:[UNIT]],'Unit Price'!C$1,FALSE),0)</f>
        <v>0</v>
      </c>
      <c r="H842" s="197">
        <f>IF(_1_54128456121462410464578910174[[#This Row],[Type]]&gt;0,VLOOKUP(_1_54128456121462410464578910174[[#This Row],[Type]],Main[[#All],[TYPE]:[UNIT]],'Unit Price'!D$1,FALSE),0)</f>
        <v>0</v>
      </c>
      <c r="I842" s="194">
        <f>IF(_1_54128456121462410464578910174[[#This Row],[Type]]&gt;0,VLOOKUP(_1_54128456121462410464578910174[[#This Row],[Type]],Main[[#All],[TYPE]:[UNIT]],'Unit Price'!G$1,FALSE),0)</f>
        <v>0</v>
      </c>
      <c r="J842" s="194">
        <f>IF(_1_54128456121462410464578910174[[#This Row],[Type]]&gt;0,VLOOKUP(_1_54128456121462410464578910174[[#This Row],[Type]],Main[[#All],[TYPE]:[UNIT]],'Unit Price'!H$1,FALSE),0)</f>
        <v>0</v>
      </c>
      <c r="K842" s="194">
        <f>IF(_1_54128456121462410464578910174[[#This Row],[Discount selection]]&gt;0,VLOOKUP(_1_54128456121462410464578910174[[#This Row],[Discount selection]],'Discount Structure'!$A$2:$B$30,2,"false"),0)</f>
        <v>1</v>
      </c>
      <c r="L842" s="194">
        <f>_1_54128456121462410464578910174[[#This Row],[LIST $]]*_1_54128456121462410464578910174[[#This Row],[DISCOUNT]]*_1_54128456121462410464578910174[[#This Row],[DISCOUNT 2]]</f>
        <v>0</v>
      </c>
      <c r="M842" s="194">
        <f>IF(OR(_1_54128456121462410464578910174[[#This Row],[UNIT]]&gt;0,_1_54128456121462410464578910174[[#This Row],[UNIT]]&lt;0),_1_54128456121462410464578910174[[#This Row],[UNIT]]*_1_54128456121462410464578910174[[#This Row],[COST]],0)</f>
        <v>0</v>
      </c>
      <c r="N842" s="194">
        <f t="shared" ref="N842:N905" si="13">$N$7</f>
        <v>1.5</v>
      </c>
      <c r="O842" s="198">
        <f>_1_54128456121462410464578910174[[#This Row],[TOTAL]]*_1_54128456121462410464578910174[[#This Row],[MARGIN]]</f>
        <v>0</v>
      </c>
      <c r="R842" s="41"/>
    </row>
    <row r="843" spans="4:18">
      <c r="D843" s="188"/>
      <c r="F843" s="168" t="s">
        <v>6202</v>
      </c>
      <c r="G843" s="193">
        <f>IF(_1_54128456121462410464578910174[[#This Row],[Type]]&gt;0,VLOOKUP(_1_54128456121462410464578910174[[#This Row],[Type]],Main[[#All],[TYPE]:[UNIT]],'Unit Price'!C$1,FALSE),0)</f>
        <v>0</v>
      </c>
      <c r="H843" s="197">
        <f>IF(_1_54128456121462410464578910174[[#This Row],[Type]]&gt;0,VLOOKUP(_1_54128456121462410464578910174[[#This Row],[Type]],Main[[#All],[TYPE]:[UNIT]],'Unit Price'!D$1,FALSE),0)</f>
        <v>0</v>
      </c>
      <c r="I843" s="194">
        <f>IF(_1_54128456121462410464578910174[[#This Row],[Type]]&gt;0,VLOOKUP(_1_54128456121462410464578910174[[#This Row],[Type]],Main[[#All],[TYPE]:[UNIT]],'Unit Price'!G$1,FALSE),0)</f>
        <v>0</v>
      </c>
      <c r="J843" s="194">
        <f>IF(_1_54128456121462410464578910174[[#This Row],[Type]]&gt;0,VLOOKUP(_1_54128456121462410464578910174[[#This Row],[Type]],Main[[#All],[TYPE]:[UNIT]],'Unit Price'!H$1,FALSE),0)</f>
        <v>0</v>
      </c>
      <c r="K843" s="194">
        <f>IF(_1_54128456121462410464578910174[[#This Row],[Discount selection]]&gt;0,VLOOKUP(_1_54128456121462410464578910174[[#This Row],[Discount selection]],'Discount Structure'!$A$2:$B$30,2,"false"),0)</f>
        <v>1</v>
      </c>
      <c r="L843" s="194">
        <f>_1_54128456121462410464578910174[[#This Row],[LIST $]]*_1_54128456121462410464578910174[[#This Row],[DISCOUNT]]*_1_54128456121462410464578910174[[#This Row],[DISCOUNT 2]]</f>
        <v>0</v>
      </c>
      <c r="M843" s="194">
        <f>IF(OR(_1_54128456121462410464578910174[[#This Row],[UNIT]]&gt;0,_1_54128456121462410464578910174[[#This Row],[UNIT]]&lt;0),_1_54128456121462410464578910174[[#This Row],[UNIT]]*_1_54128456121462410464578910174[[#This Row],[COST]],0)</f>
        <v>0</v>
      </c>
      <c r="N843" s="194">
        <f t="shared" si="13"/>
        <v>1.5</v>
      </c>
      <c r="O843" s="198">
        <f>_1_54128456121462410464578910174[[#This Row],[TOTAL]]*_1_54128456121462410464578910174[[#This Row],[MARGIN]]</f>
        <v>0</v>
      </c>
      <c r="R843" s="41"/>
    </row>
    <row r="844" spans="4:18">
      <c r="D844" s="188"/>
      <c r="F844" s="168" t="s">
        <v>6202</v>
      </c>
      <c r="G844" s="193">
        <f>IF(_1_54128456121462410464578910174[[#This Row],[Type]]&gt;0,VLOOKUP(_1_54128456121462410464578910174[[#This Row],[Type]],Main[[#All],[TYPE]:[UNIT]],'Unit Price'!C$1,FALSE),0)</f>
        <v>0</v>
      </c>
      <c r="H844" s="197">
        <f>IF(_1_54128456121462410464578910174[[#This Row],[Type]]&gt;0,VLOOKUP(_1_54128456121462410464578910174[[#This Row],[Type]],Main[[#All],[TYPE]:[UNIT]],'Unit Price'!D$1,FALSE),0)</f>
        <v>0</v>
      </c>
      <c r="I844" s="194">
        <f>IF(_1_54128456121462410464578910174[[#This Row],[Type]]&gt;0,VLOOKUP(_1_54128456121462410464578910174[[#This Row],[Type]],Main[[#All],[TYPE]:[UNIT]],'Unit Price'!G$1,FALSE),0)</f>
        <v>0</v>
      </c>
      <c r="J844" s="194">
        <f>IF(_1_54128456121462410464578910174[[#This Row],[Type]]&gt;0,VLOOKUP(_1_54128456121462410464578910174[[#This Row],[Type]],Main[[#All],[TYPE]:[UNIT]],'Unit Price'!H$1,FALSE),0)</f>
        <v>0</v>
      </c>
      <c r="K844" s="194">
        <f>IF(_1_54128456121462410464578910174[[#This Row],[Discount selection]]&gt;0,VLOOKUP(_1_54128456121462410464578910174[[#This Row],[Discount selection]],'Discount Structure'!$A$2:$B$30,2,"false"),0)</f>
        <v>1</v>
      </c>
      <c r="L844" s="194">
        <f>_1_54128456121462410464578910174[[#This Row],[LIST $]]*_1_54128456121462410464578910174[[#This Row],[DISCOUNT]]*_1_54128456121462410464578910174[[#This Row],[DISCOUNT 2]]</f>
        <v>0</v>
      </c>
      <c r="M844" s="194">
        <f>IF(OR(_1_54128456121462410464578910174[[#This Row],[UNIT]]&gt;0,_1_54128456121462410464578910174[[#This Row],[UNIT]]&lt;0),_1_54128456121462410464578910174[[#This Row],[UNIT]]*_1_54128456121462410464578910174[[#This Row],[COST]],0)</f>
        <v>0</v>
      </c>
      <c r="N844" s="194">
        <f t="shared" si="13"/>
        <v>1.5</v>
      </c>
      <c r="O844" s="198">
        <f>_1_54128456121462410464578910174[[#This Row],[TOTAL]]*_1_54128456121462410464578910174[[#This Row],[MARGIN]]</f>
        <v>0</v>
      </c>
      <c r="R844" s="41"/>
    </row>
    <row r="845" spans="4:18">
      <c r="D845" s="188"/>
      <c r="F845" s="168" t="s">
        <v>6202</v>
      </c>
      <c r="G845" s="193">
        <f>IF(_1_54128456121462410464578910174[[#This Row],[Type]]&gt;0,VLOOKUP(_1_54128456121462410464578910174[[#This Row],[Type]],Main[[#All],[TYPE]:[UNIT]],'Unit Price'!C$1,FALSE),0)</f>
        <v>0</v>
      </c>
      <c r="H845" s="197">
        <f>IF(_1_54128456121462410464578910174[[#This Row],[Type]]&gt;0,VLOOKUP(_1_54128456121462410464578910174[[#This Row],[Type]],Main[[#All],[TYPE]:[UNIT]],'Unit Price'!D$1,FALSE),0)</f>
        <v>0</v>
      </c>
      <c r="I845" s="194">
        <f>IF(_1_54128456121462410464578910174[[#This Row],[Type]]&gt;0,VLOOKUP(_1_54128456121462410464578910174[[#This Row],[Type]],Main[[#All],[TYPE]:[UNIT]],'Unit Price'!G$1,FALSE),0)</f>
        <v>0</v>
      </c>
      <c r="J845" s="194">
        <f>IF(_1_54128456121462410464578910174[[#This Row],[Type]]&gt;0,VLOOKUP(_1_54128456121462410464578910174[[#This Row],[Type]],Main[[#All],[TYPE]:[UNIT]],'Unit Price'!H$1,FALSE),0)</f>
        <v>0</v>
      </c>
      <c r="K845" s="194">
        <f>IF(_1_54128456121462410464578910174[[#This Row],[Discount selection]]&gt;0,VLOOKUP(_1_54128456121462410464578910174[[#This Row],[Discount selection]],'Discount Structure'!$A$2:$B$30,2,"false"),0)</f>
        <v>1</v>
      </c>
      <c r="L845" s="194">
        <f>_1_54128456121462410464578910174[[#This Row],[LIST $]]*_1_54128456121462410464578910174[[#This Row],[DISCOUNT]]*_1_54128456121462410464578910174[[#This Row],[DISCOUNT 2]]</f>
        <v>0</v>
      </c>
      <c r="M845" s="194">
        <f>IF(OR(_1_54128456121462410464578910174[[#This Row],[UNIT]]&gt;0,_1_54128456121462410464578910174[[#This Row],[UNIT]]&lt;0),_1_54128456121462410464578910174[[#This Row],[UNIT]]*_1_54128456121462410464578910174[[#This Row],[COST]],0)</f>
        <v>0</v>
      </c>
      <c r="N845" s="194">
        <f t="shared" si="13"/>
        <v>1.5</v>
      </c>
      <c r="O845" s="198">
        <f>_1_54128456121462410464578910174[[#This Row],[TOTAL]]*_1_54128456121462410464578910174[[#This Row],[MARGIN]]</f>
        <v>0</v>
      </c>
      <c r="R845" s="41"/>
    </row>
    <row r="846" spans="4:18">
      <c r="D846" s="188"/>
      <c r="F846" s="168" t="s">
        <v>6202</v>
      </c>
      <c r="G846" s="193">
        <f>IF(_1_54128456121462410464578910174[[#This Row],[Type]]&gt;0,VLOOKUP(_1_54128456121462410464578910174[[#This Row],[Type]],Main[[#All],[TYPE]:[UNIT]],'Unit Price'!C$1,FALSE),0)</f>
        <v>0</v>
      </c>
      <c r="H846" s="197">
        <f>IF(_1_54128456121462410464578910174[[#This Row],[Type]]&gt;0,VLOOKUP(_1_54128456121462410464578910174[[#This Row],[Type]],Main[[#All],[TYPE]:[UNIT]],'Unit Price'!D$1,FALSE),0)</f>
        <v>0</v>
      </c>
      <c r="I846" s="194">
        <f>IF(_1_54128456121462410464578910174[[#This Row],[Type]]&gt;0,VLOOKUP(_1_54128456121462410464578910174[[#This Row],[Type]],Main[[#All],[TYPE]:[UNIT]],'Unit Price'!G$1,FALSE),0)</f>
        <v>0</v>
      </c>
      <c r="J846" s="194">
        <f>IF(_1_54128456121462410464578910174[[#This Row],[Type]]&gt;0,VLOOKUP(_1_54128456121462410464578910174[[#This Row],[Type]],Main[[#All],[TYPE]:[UNIT]],'Unit Price'!H$1,FALSE),0)</f>
        <v>0</v>
      </c>
      <c r="K846" s="194">
        <f>IF(_1_54128456121462410464578910174[[#This Row],[Discount selection]]&gt;0,VLOOKUP(_1_54128456121462410464578910174[[#This Row],[Discount selection]],'Discount Structure'!$A$2:$B$30,2,"false"),0)</f>
        <v>1</v>
      </c>
      <c r="L846" s="194">
        <f>_1_54128456121462410464578910174[[#This Row],[LIST $]]*_1_54128456121462410464578910174[[#This Row],[DISCOUNT]]*_1_54128456121462410464578910174[[#This Row],[DISCOUNT 2]]</f>
        <v>0</v>
      </c>
      <c r="M846" s="194">
        <f>IF(OR(_1_54128456121462410464578910174[[#This Row],[UNIT]]&gt;0,_1_54128456121462410464578910174[[#This Row],[UNIT]]&lt;0),_1_54128456121462410464578910174[[#This Row],[UNIT]]*_1_54128456121462410464578910174[[#This Row],[COST]],0)</f>
        <v>0</v>
      </c>
      <c r="N846" s="194">
        <f t="shared" si="13"/>
        <v>1.5</v>
      </c>
      <c r="O846" s="198">
        <f>_1_54128456121462410464578910174[[#This Row],[TOTAL]]*_1_54128456121462410464578910174[[#This Row],[MARGIN]]</f>
        <v>0</v>
      </c>
      <c r="R846" s="41"/>
    </row>
    <row r="847" spans="4:18">
      <c r="D847" s="188"/>
      <c r="F847" s="168" t="s">
        <v>6202</v>
      </c>
      <c r="G847" s="193">
        <f>IF(_1_54128456121462410464578910174[[#This Row],[Type]]&gt;0,VLOOKUP(_1_54128456121462410464578910174[[#This Row],[Type]],Main[[#All],[TYPE]:[UNIT]],'Unit Price'!C$1,FALSE),0)</f>
        <v>0</v>
      </c>
      <c r="H847" s="197">
        <f>IF(_1_54128456121462410464578910174[[#This Row],[Type]]&gt;0,VLOOKUP(_1_54128456121462410464578910174[[#This Row],[Type]],Main[[#All],[TYPE]:[UNIT]],'Unit Price'!D$1,FALSE),0)</f>
        <v>0</v>
      </c>
      <c r="I847" s="194">
        <f>IF(_1_54128456121462410464578910174[[#This Row],[Type]]&gt;0,VLOOKUP(_1_54128456121462410464578910174[[#This Row],[Type]],Main[[#All],[TYPE]:[UNIT]],'Unit Price'!G$1,FALSE),0)</f>
        <v>0</v>
      </c>
      <c r="J847" s="194">
        <f>IF(_1_54128456121462410464578910174[[#This Row],[Type]]&gt;0,VLOOKUP(_1_54128456121462410464578910174[[#This Row],[Type]],Main[[#All],[TYPE]:[UNIT]],'Unit Price'!H$1,FALSE),0)</f>
        <v>0</v>
      </c>
      <c r="K847" s="194">
        <f>IF(_1_54128456121462410464578910174[[#This Row],[Discount selection]]&gt;0,VLOOKUP(_1_54128456121462410464578910174[[#This Row],[Discount selection]],'Discount Structure'!$A$2:$B$30,2,"false"),0)</f>
        <v>1</v>
      </c>
      <c r="L847" s="194">
        <f>_1_54128456121462410464578910174[[#This Row],[LIST $]]*_1_54128456121462410464578910174[[#This Row],[DISCOUNT]]*_1_54128456121462410464578910174[[#This Row],[DISCOUNT 2]]</f>
        <v>0</v>
      </c>
      <c r="M847" s="194">
        <f>IF(OR(_1_54128456121462410464578910174[[#This Row],[UNIT]]&gt;0,_1_54128456121462410464578910174[[#This Row],[UNIT]]&lt;0),_1_54128456121462410464578910174[[#This Row],[UNIT]]*_1_54128456121462410464578910174[[#This Row],[COST]],0)</f>
        <v>0</v>
      </c>
      <c r="N847" s="194">
        <f t="shared" si="13"/>
        <v>1.5</v>
      </c>
      <c r="O847" s="198">
        <f>_1_54128456121462410464578910174[[#This Row],[TOTAL]]*_1_54128456121462410464578910174[[#This Row],[MARGIN]]</f>
        <v>0</v>
      </c>
      <c r="R847" s="41"/>
    </row>
    <row r="848" spans="4:18">
      <c r="D848" s="188"/>
      <c r="F848" s="168" t="s">
        <v>6202</v>
      </c>
      <c r="G848" s="193">
        <f>IF(_1_54128456121462410464578910174[[#This Row],[Type]]&gt;0,VLOOKUP(_1_54128456121462410464578910174[[#This Row],[Type]],Main[[#All],[TYPE]:[UNIT]],'Unit Price'!C$1,FALSE),0)</f>
        <v>0</v>
      </c>
      <c r="H848" s="197">
        <f>IF(_1_54128456121462410464578910174[[#This Row],[Type]]&gt;0,VLOOKUP(_1_54128456121462410464578910174[[#This Row],[Type]],Main[[#All],[TYPE]:[UNIT]],'Unit Price'!D$1,FALSE),0)</f>
        <v>0</v>
      </c>
      <c r="I848" s="194">
        <f>IF(_1_54128456121462410464578910174[[#This Row],[Type]]&gt;0,VLOOKUP(_1_54128456121462410464578910174[[#This Row],[Type]],Main[[#All],[TYPE]:[UNIT]],'Unit Price'!G$1,FALSE),0)</f>
        <v>0</v>
      </c>
      <c r="J848" s="194">
        <f>IF(_1_54128456121462410464578910174[[#This Row],[Type]]&gt;0,VLOOKUP(_1_54128456121462410464578910174[[#This Row],[Type]],Main[[#All],[TYPE]:[UNIT]],'Unit Price'!H$1,FALSE),0)</f>
        <v>0</v>
      </c>
      <c r="K848" s="194">
        <f>IF(_1_54128456121462410464578910174[[#This Row],[Discount selection]]&gt;0,VLOOKUP(_1_54128456121462410464578910174[[#This Row],[Discount selection]],'Discount Structure'!$A$2:$B$30,2,"false"),0)</f>
        <v>1</v>
      </c>
      <c r="L848" s="194">
        <f>_1_54128456121462410464578910174[[#This Row],[LIST $]]*_1_54128456121462410464578910174[[#This Row],[DISCOUNT]]*_1_54128456121462410464578910174[[#This Row],[DISCOUNT 2]]</f>
        <v>0</v>
      </c>
      <c r="M848" s="194">
        <f>IF(OR(_1_54128456121462410464578910174[[#This Row],[UNIT]]&gt;0,_1_54128456121462410464578910174[[#This Row],[UNIT]]&lt;0),_1_54128456121462410464578910174[[#This Row],[UNIT]]*_1_54128456121462410464578910174[[#This Row],[COST]],0)</f>
        <v>0</v>
      </c>
      <c r="N848" s="194">
        <f t="shared" si="13"/>
        <v>1.5</v>
      </c>
      <c r="O848" s="198">
        <f>_1_54128456121462410464578910174[[#This Row],[TOTAL]]*_1_54128456121462410464578910174[[#This Row],[MARGIN]]</f>
        <v>0</v>
      </c>
      <c r="R848" s="41"/>
    </row>
    <row r="849" spans="4:18">
      <c r="D849" s="188"/>
      <c r="F849" s="168" t="s">
        <v>6202</v>
      </c>
      <c r="G849" s="193">
        <f>IF(_1_54128456121462410464578910174[[#This Row],[Type]]&gt;0,VLOOKUP(_1_54128456121462410464578910174[[#This Row],[Type]],Main[[#All],[TYPE]:[UNIT]],'Unit Price'!C$1,FALSE),0)</f>
        <v>0</v>
      </c>
      <c r="H849" s="197">
        <f>IF(_1_54128456121462410464578910174[[#This Row],[Type]]&gt;0,VLOOKUP(_1_54128456121462410464578910174[[#This Row],[Type]],Main[[#All],[TYPE]:[UNIT]],'Unit Price'!D$1,FALSE),0)</f>
        <v>0</v>
      </c>
      <c r="I849" s="194">
        <f>IF(_1_54128456121462410464578910174[[#This Row],[Type]]&gt;0,VLOOKUP(_1_54128456121462410464578910174[[#This Row],[Type]],Main[[#All],[TYPE]:[UNIT]],'Unit Price'!G$1,FALSE),0)</f>
        <v>0</v>
      </c>
      <c r="J849" s="194">
        <f>IF(_1_54128456121462410464578910174[[#This Row],[Type]]&gt;0,VLOOKUP(_1_54128456121462410464578910174[[#This Row],[Type]],Main[[#All],[TYPE]:[UNIT]],'Unit Price'!H$1,FALSE),0)</f>
        <v>0</v>
      </c>
      <c r="K849" s="194">
        <f>IF(_1_54128456121462410464578910174[[#This Row],[Discount selection]]&gt;0,VLOOKUP(_1_54128456121462410464578910174[[#This Row],[Discount selection]],'Discount Structure'!$A$2:$B$30,2,"false"),0)</f>
        <v>1</v>
      </c>
      <c r="L849" s="194">
        <f>_1_54128456121462410464578910174[[#This Row],[LIST $]]*_1_54128456121462410464578910174[[#This Row],[DISCOUNT]]*_1_54128456121462410464578910174[[#This Row],[DISCOUNT 2]]</f>
        <v>0</v>
      </c>
      <c r="M849" s="194">
        <f>IF(OR(_1_54128456121462410464578910174[[#This Row],[UNIT]]&gt;0,_1_54128456121462410464578910174[[#This Row],[UNIT]]&lt;0),_1_54128456121462410464578910174[[#This Row],[UNIT]]*_1_54128456121462410464578910174[[#This Row],[COST]],0)</f>
        <v>0</v>
      </c>
      <c r="N849" s="194">
        <f t="shared" si="13"/>
        <v>1.5</v>
      </c>
      <c r="O849" s="198">
        <f>_1_54128456121462410464578910174[[#This Row],[TOTAL]]*_1_54128456121462410464578910174[[#This Row],[MARGIN]]</f>
        <v>0</v>
      </c>
      <c r="R849" s="41"/>
    </row>
    <row r="850" spans="4:18">
      <c r="D850" s="188"/>
      <c r="F850" s="168" t="s">
        <v>6202</v>
      </c>
      <c r="G850" s="193">
        <f>IF(_1_54128456121462410464578910174[[#This Row],[Type]]&gt;0,VLOOKUP(_1_54128456121462410464578910174[[#This Row],[Type]],Main[[#All],[TYPE]:[UNIT]],'Unit Price'!C$1,FALSE),0)</f>
        <v>0</v>
      </c>
      <c r="H850" s="197">
        <f>IF(_1_54128456121462410464578910174[[#This Row],[Type]]&gt;0,VLOOKUP(_1_54128456121462410464578910174[[#This Row],[Type]],Main[[#All],[TYPE]:[UNIT]],'Unit Price'!D$1,FALSE),0)</f>
        <v>0</v>
      </c>
      <c r="I850" s="194">
        <f>IF(_1_54128456121462410464578910174[[#This Row],[Type]]&gt;0,VLOOKUP(_1_54128456121462410464578910174[[#This Row],[Type]],Main[[#All],[TYPE]:[UNIT]],'Unit Price'!G$1,FALSE),0)</f>
        <v>0</v>
      </c>
      <c r="J850" s="194">
        <f>IF(_1_54128456121462410464578910174[[#This Row],[Type]]&gt;0,VLOOKUP(_1_54128456121462410464578910174[[#This Row],[Type]],Main[[#All],[TYPE]:[UNIT]],'Unit Price'!H$1,FALSE),0)</f>
        <v>0</v>
      </c>
      <c r="K850" s="194">
        <f>IF(_1_54128456121462410464578910174[[#This Row],[Discount selection]]&gt;0,VLOOKUP(_1_54128456121462410464578910174[[#This Row],[Discount selection]],'Discount Structure'!$A$2:$B$30,2,"false"),0)</f>
        <v>1</v>
      </c>
      <c r="L850" s="194">
        <f>_1_54128456121462410464578910174[[#This Row],[LIST $]]*_1_54128456121462410464578910174[[#This Row],[DISCOUNT]]*_1_54128456121462410464578910174[[#This Row],[DISCOUNT 2]]</f>
        <v>0</v>
      </c>
      <c r="M850" s="194">
        <f>IF(OR(_1_54128456121462410464578910174[[#This Row],[UNIT]]&gt;0,_1_54128456121462410464578910174[[#This Row],[UNIT]]&lt;0),_1_54128456121462410464578910174[[#This Row],[UNIT]]*_1_54128456121462410464578910174[[#This Row],[COST]],0)</f>
        <v>0</v>
      </c>
      <c r="N850" s="194">
        <f t="shared" si="13"/>
        <v>1.5</v>
      </c>
      <c r="O850" s="198">
        <f>_1_54128456121462410464578910174[[#This Row],[TOTAL]]*_1_54128456121462410464578910174[[#This Row],[MARGIN]]</f>
        <v>0</v>
      </c>
      <c r="R850" s="41"/>
    </row>
    <row r="851" spans="4:18">
      <c r="D851" s="188"/>
      <c r="F851" s="168" t="s">
        <v>6202</v>
      </c>
      <c r="G851" s="193">
        <f>IF(_1_54128456121462410464578910174[[#This Row],[Type]]&gt;0,VLOOKUP(_1_54128456121462410464578910174[[#This Row],[Type]],Main[[#All],[TYPE]:[UNIT]],'Unit Price'!C$1,FALSE),0)</f>
        <v>0</v>
      </c>
      <c r="H851" s="197">
        <f>IF(_1_54128456121462410464578910174[[#This Row],[Type]]&gt;0,VLOOKUP(_1_54128456121462410464578910174[[#This Row],[Type]],Main[[#All],[TYPE]:[UNIT]],'Unit Price'!D$1,FALSE),0)</f>
        <v>0</v>
      </c>
      <c r="I851" s="194">
        <f>IF(_1_54128456121462410464578910174[[#This Row],[Type]]&gt;0,VLOOKUP(_1_54128456121462410464578910174[[#This Row],[Type]],Main[[#All],[TYPE]:[UNIT]],'Unit Price'!G$1,FALSE),0)</f>
        <v>0</v>
      </c>
      <c r="J851" s="194">
        <f>IF(_1_54128456121462410464578910174[[#This Row],[Type]]&gt;0,VLOOKUP(_1_54128456121462410464578910174[[#This Row],[Type]],Main[[#All],[TYPE]:[UNIT]],'Unit Price'!H$1,FALSE),0)</f>
        <v>0</v>
      </c>
      <c r="K851" s="194">
        <f>IF(_1_54128456121462410464578910174[[#This Row],[Discount selection]]&gt;0,VLOOKUP(_1_54128456121462410464578910174[[#This Row],[Discount selection]],'Discount Structure'!$A$2:$B$30,2,"false"),0)</f>
        <v>1</v>
      </c>
      <c r="L851" s="194">
        <f>_1_54128456121462410464578910174[[#This Row],[LIST $]]*_1_54128456121462410464578910174[[#This Row],[DISCOUNT]]*_1_54128456121462410464578910174[[#This Row],[DISCOUNT 2]]</f>
        <v>0</v>
      </c>
      <c r="M851" s="194">
        <f>IF(OR(_1_54128456121462410464578910174[[#This Row],[UNIT]]&gt;0,_1_54128456121462410464578910174[[#This Row],[UNIT]]&lt;0),_1_54128456121462410464578910174[[#This Row],[UNIT]]*_1_54128456121462410464578910174[[#This Row],[COST]],0)</f>
        <v>0</v>
      </c>
      <c r="N851" s="194">
        <f t="shared" si="13"/>
        <v>1.5</v>
      </c>
      <c r="O851" s="198">
        <f>_1_54128456121462410464578910174[[#This Row],[TOTAL]]*_1_54128456121462410464578910174[[#This Row],[MARGIN]]</f>
        <v>0</v>
      </c>
      <c r="R851" s="41"/>
    </row>
    <row r="852" spans="4:18">
      <c r="D852" s="188"/>
      <c r="F852" s="168" t="s">
        <v>6202</v>
      </c>
      <c r="G852" s="193">
        <f>IF(_1_54128456121462410464578910174[[#This Row],[Type]]&gt;0,VLOOKUP(_1_54128456121462410464578910174[[#This Row],[Type]],Main[[#All],[TYPE]:[UNIT]],'Unit Price'!C$1,FALSE),0)</f>
        <v>0</v>
      </c>
      <c r="H852" s="197">
        <f>IF(_1_54128456121462410464578910174[[#This Row],[Type]]&gt;0,VLOOKUP(_1_54128456121462410464578910174[[#This Row],[Type]],Main[[#All],[TYPE]:[UNIT]],'Unit Price'!D$1,FALSE),0)</f>
        <v>0</v>
      </c>
      <c r="I852" s="194">
        <f>IF(_1_54128456121462410464578910174[[#This Row],[Type]]&gt;0,VLOOKUP(_1_54128456121462410464578910174[[#This Row],[Type]],Main[[#All],[TYPE]:[UNIT]],'Unit Price'!G$1,FALSE),0)</f>
        <v>0</v>
      </c>
      <c r="J852" s="194">
        <f>IF(_1_54128456121462410464578910174[[#This Row],[Type]]&gt;0,VLOOKUP(_1_54128456121462410464578910174[[#This Row],[Type]],Main[[#All],[TYPE]:[UNIT]],'Unit Price'!H$1,FALSE),0)</f>
        <v>0</v>
      </c>
      <c r="K852" s="194">
        <f>IF(_1_54128456121462410464578910174[[#This Row],[Discount selection]]&gt;0,VLOOKUP(_1_54128456121462410464578910174[[#This Row],[Discount selection]],'Discount Structure'!$A$2:$B$30,2,"false"),0)</f>
        <v>1</v>
      </c>
      <c r="L852" s="194">
        <f>_1_54128456121462410464578910174[[#This Row],[LIST $]]*_1_54128456121462410464578910174[[#This Row],[DISCOUNT]]*_1_54128456121462410464578910174[[#This Row],[DISCOUNT 2]]</f>
        <v>0</v>
      </c>
      <c r="M852" s="194">
        <f>IF(OR(_1_54128456121462410464578910174[[#This Row],[UNIT]]&gt;0,_1_54128456121462410464578910174[[#This Row],[UNIT]]&lt;0),_1_54128456121462410464578910174[[#This Row],[UNIT]]*_1_54128456121462410464578910174[[#This Row],[COST]],0)</f>
        <v>0</v>
      </c>
      <c r="N852" s="194">
        <f t="shared" si="13"/>
        <v>1.5</v>
      </c>
      <c r="O852" s="198">
        <f>_1_54128456121462410464578910174[[#This Row],[TOTAL]]*_1_54128456121462410464578910174[[#This Row],[MARGIN]]</f>
        <v>0</v>
      </c>
      <c r="R852" s="41"/>
    </row>
    <row r="853" spans="4:18">
      <c r="D853" s="188"/>
      <c r="F853" s="168" t="s">
        <v>6202</v>
      </c>
      <c r="G853" s="193">
        <f>IF(_1_54128456121462410464578910174[[#This Row],[Type]]&gt;0,VLOOKUP(_1_54128456121462410464578910174[[#This Row],[Type]],Main[[#All],[TYPE]:[UNIT]],'Unit Price'!C$1,FALSE),0)</f>
        <v>0</v>
      </c>
      <c r="H853" s="197">
        <f>IF(_1_54128456121462410464578910174[[#This Row],[Type]]&gt;0,VLOOKUP(_1_54128456121462410464578910174[[#This Row],[Type]],Main[[#All],[TYPE]:[UNIT]],'Unit Price'!D$1,FALSE),0)</f>
        <v>0</v>
      </c>
      <c r="I853" s="194">
        <f>IF(_1_54128456121462410464578910174[[#This Row],[Type]]&gt;0,VLOOKUP(_1_54128456121462410464578910174[[#This Row],[Type]],Main[[#All],[TYPE]:[UNIT]],'Unit Price'!G$1,FALSE),0)</f>
        <v>0</v>
      </c>
      <c r="J853" s="194">
        <f>IF(_1_54128456121462410464578910174[[#This Row],[Type]]&gt;0,VLOOKUP(_1_54128456121462410464578910174[[#This Row],[Type]],Main[[#All],[TYPE]:[UNIT]],'Unit Price'!H$1,FALSE),0)</f>
        <v>0</v>
      </c>
      <c r="K853" s="194">
        <f>IF(_1_54128456121462410464578910174[[#This Row],[Discount selection]]&gt;0,VLOOKUP(_1_54128456121462410464578910174[[#This Row],[Discount selection]],'Discount Structure'!$A$2:$B$30,2,"false"),0)</f>
        <v>1</v>
      </c>
      <c r="L853" s="194">
        <f>_1_54128456121462410464578910174[[#This Row],[LIST $]]*_1_54128456121462410464578910174[[#This Row],[DISCOUNT]]*_1_54128456121462410464578910174[[#This Row],[DISCOUNT 2]]</f>
        <v>0</v>
      </c>
      <c r="M853" s="194">
        <f>IF(OR(_1_54128456121462410464578910174[[#This Row],[UNIT]]&gt;0,_1_54128456121462410464578910174[[#This Row],[UNIT]]&lt;0),_1_54128456121462410464578910174[[#This Row],[UNIT]]*_1_54128456121462410464578910174[[#This Row],[COST]],0)</f>
        <v>0</v>
      </c>
      <c r="N853" s="194">
        <f t="shared" si="13"/>
        <v>1.5</v>
      </c>
      <c r="O853" s="198">
        <f>_1_54128456121462410464578910174[[#This Row],[TOTAL]]*_1_54128456121462410464578910174[[#This Row],[MARGIN]]</f>
        <v>0</v>
      </c>
      <c r="R853" s="41"/>
    </row>
    <row r="854" spans="4:18">
      <c r="D854" s="188"/>
      <c r="F854" s="168" t="s">
        <v>6202</v>
      </c>
      <c r="G854" s="193">
        <f>IF(_1_54128456121462410464578910174[[#This Row],[Type]]&gt;0,VLOOKUP(_1_54128456121462410464578910174[[#This Row],[Type]],Main[[#All],[TYPE]:[UNIT]],'Unit Price'!C$1,FALSE),0)</f>
        <v>0</v>
      </c>
      <c r="H854" s="197">
        <f>IF(_1_54128456121462410464578910174[[#This Row],[Type]]&gt;0,VLOOKUP(_1_54128456121462410464578910174[[#This Row],[Type]],Main[[#All],[TYPE]:[UNIT]],'Unit Price'!D$1,FALSE),0)</f>
        <v>0</v>
      </c>
      <c r="I854" s="194">
        <f>IF(_1_54128456121462410464578910174[[#This Row],[Type]]&gt;0,VLOOKUP(_1_54128456121462410464578910174[[#This Row],[Type]],Main[[#All],[TYPE]:[UNIT]],'Unit Price'!G$1,FALSE),0)</f>
        <v>0</v>
      </c>
      <c r="J854" s="194">
        <f>IF(_1_54128456121462410464578910174[[#This Row],[Type]]&gt;0,VLOOKUP(_1_54128456121462410464578910174[[#This Row],[Type]],Main[[#All],[TYPE]:[UNIT]],'Unit Price'!H$1,FALSE),0)</f>
        <v>0</v>
      </c>
      <c r="K854" s="194">
        <f>IF(_1_54128456121462410464578910174[[#This Row],[Discount selection]]&gt;0,VLOOKUP(_1_54128456121462410464578910174[[#This Row],[Discount selection]],'Discount Structure'!$A$2:$B$30,2,"false"),0)</f>
        <v>1</v>
      </c>
      <c r="L854" s="194">
        <f>_1_54128456121462410464578910174[[#This Row],[LIST $]]*_1_54128456121462410464578910174[[#This Row],[DISCOUNT]]*_1_54128456121462410464578910174[[#This Row],[DISCOUNT 2]]</f>
        <v>0</v>
      </c>
      <c r="M854" s="194">
        <f>IF(OR(_1_54128456121462410464578910174[[#This Row],[UNIT]]&gt;0,_1_54128456121462410464578910174[[#This Row],[UNIT]]&lt;0),_1_54128456121462410464578910174[[#This Row],[UNIT]]*_1_54128456121462410464578910174[[#This Row],[COST]],0)</f>
        <v>0</v>
      </c>
      <c r="N854" s="194">
        <f t="shared" si="13"/>
        <v>1.5</v>
      </c>
      <c r="O854" s="198">
        <f>_1_54128456121462410464578910174[[#This Row],[TOTAL]]*_1_54128456121462410464578910174[[#This Row],[MARGIN]]</f>
        <v>0</v>
      </c>
      <c r="R854" s="41"/>
    </row>
    <row r="855" spans="4:18">
      <c r="D855" s="188"/>
      <c r="F855" s="168" t="s">
        <v>6202</v>
      </c>
      <c r="G855" s="193">
        <f>IF(_1_54128456121462410464578910174[[#This Row],[Type]]&gt;0,VLOOKUP(_1_54128456121462410464578910174[[#This Row],[Type]],Main[[#All],[TYPE]:[UNIT]],'Unit Price'!C$1,FALSE),0)</f>
        <v>0</v>
      </c>
      <c r="H855" s="197">
        <f>IF(_1_54128456121462410464578910174[[#This Row],[Type]]&gt;0,VLOOKUP(_1_54128456121462410464578910174[[#This Row],[Type]],Main[[#All],[TYPE]:[UNIT]],'Unit Price'!D$1,FALSE),0)</f>
        <v>0</v>
      </c>
      <c r="I855" s="194">
        <f>IF(_1_54128456121462410464578910174[[#This Row],[Type]]&gt;0,VLOOKUP(_1_54128456121462410464578910174[[#This Row],[Type]],Main[[#All],[TYPE]:[UNIT]],'Unit Price'!G$1,FALSE),0)</f>
        <v>0</v>
      </c>
      <c r="J855" s="194">
        <f>IF(_1_54128456121462410464578910174[[#This Row],[Type]]&gt;0,VLOOKUP(_1_54128456121462410464578910174[[#This Row],[Type]],Main[[#All],[TYPE]:[UNIT]],'Unit Price'!H$1,FALSE),0)</f>
        <v>0</v>
      </c>
      <c r="K855" s="194">
        <f>IF(_1_54128456121462410464578910174[[#This Row],[Discount selection]]&gt;0,VLOOKUP(_1_54128456121462410464578910174[[#This Row],[Discount selection]],'Discount Structure'!$A$2:$B$30,2,"false"),0)</f>
        <v>1</v>
      </c>
      <c r="L855" s="194">
        <f>_1_54128456121462410464578910174[[#This Row],[LIST $]]*_1_54128456121462410464578910174[[#This Row],[DISCOUNT]]*_1_54128456121462410464578910174[[#This Row],[DISCOUNT 2]]</f>
        <v>0</v>
      </c>
      <c r="M855" s="194">
        <f>IF(OR(_1_54128456121462410464578910174[[#This Row],[UNIT]]&gt;0,_1_54128456121462410464578910174[[#This Row],[UNIT]]&lt;0),_1_54128456121462410464578910174[[#This Row],[UNIT]]*_1_54128456121462410464578910174[[#This Row],[COST]],0)</f>
        <v>0</v>
      </c>
      <c r="N855" s="194">
        <f t="shared" si="13"/>
        <v>1.5</v>
      </c>
      <c r="O855" s="198">
        <f>_1_54128456121462410464578910174[[#This Row],[TOTAL]]*_1_54128456121462410464578910174[[#This Row],[MARGIN]]</f>
        <v>0</v>
      </c>
      <c r="R855" s="41"/>
    </row>
    <row r="856" spans="4:18">
      <c r="D856" s="188"/>
      <c r="F856" s="168" t="s">
        <v>6202</v>
      </c>
      <c r="G856" s="193">
        <f>IF(_1_54128456121462410464578910174[[#This Row],[Type]]&gt;0,VLOOKUP(_1_54128456121462410464578910174[[#This Row],[Type]],Main[[#All],[TYPE]:[UNIT]],'Unit Price'!C$1,FALSE),0)</f>
        <v>0</v>
      </c>
      <c r="H856" s="197">
        <f>IF(_1_54128456121462410464578910174[[#This Row],[Type]]&gt;0,VLOOKUP(_1_54128456121462410464578910174[[#This Row],[Type]],Main[[#All],[TYPE]:[UNIT]],'Unit Price'!D$1,FALSE),0)</f>
        <v>0</v>
      </c>
      <c r="I856" s="194">
        <f>IF(_1_54128456121462410464578910174[[#This Row],[Type]]&gt;0,VLOOKUP(_1_54128456121462410464578910174[[#This Row],[Type]],Main[[#All],[TYPE]:[UNIT]],'Unit Price'!G$1,FALSE),0)</f>
        <v>0</v>
      </c>
      <c r="J856" s="194">
        <f>IF(_1_54128456121462410464578910174[[#This Row],[Type]]&gt;0,VLOOKUP(_1_54128456121462410464578910174[[#This Row],[Type]],Main[[#All],[TYPE]:[UNIT]],'Unit Price'!H$1,FALSE),0)</f>
        <v>0</v>
      </c>
      <c r="K856" s="194">
        <f>IF(_1_54128456121462410464578910174[[#This Row],[Discount selection]]&gt;0,VLOOKUP(_1_54128456121462410464578910174[[#This Row],[Discount selection]],'Discount Structure'!$A$2:$B$30,2,"false"),0)</f>
        <v>1</v>
      </c>
      <c r="L856" s="194">
        <f>_1_54128456121462410464578910174[[#This Row],[LIST $]]*_1_54128456121462410464578910174[[#This Row],[DISCOUNT]]*_1_54128456121462410464578910174[[#This Row],[DISCOUNT 2]]</f>
        <v>0</v>
      </c>
      <c r="M856" s="194">
        <f>IF(OR(_1_54128456121462410464578910174[[#This Row],[UNIT]]&gt;0,_1_54128456121462410464578910174[[#This Row],[UNIT]]&lt;0),_1_54128456121462410464578910174[[#This Row],[UNIT]]*_1_54128456121462410464578910174[[#This Row],[COST]],0)</f>
        <v>0</v>
      </c>
      <c r="N856" s="194">
        <f t="shared" si="13"/>
        <v>1.5</v>
      </c>
      <c r="O856" s="198">
        <f>_1_54128456121462410464578910174[[#This Row],[TOTAL]]*_1_54128456121462410464578910174[[#This Row],[MARGIN]]</f>
        <v>0</v>
      </c>
      <c r="R856" s="41"/>
    </row>
    <row r="857" spans="4:18">
      <c r="D857" s="188"/>
      <c r="F857" s="168" t="s">
        <v>6202</v>
      </c>
      <c r="G857" s="193">
        <f>IF(_1_54128456121462410464578910174[[#This Row],[Type]]&gt;0,VLOOKUP(_1_54128456121462410464578910174[[#This Row],[Type]],Main[[#All],[TYPE]:[UNIT]],'Unit Price'!C$1,FALSE),0)</f>
        <v>0</v>
      </c>
      <c r="H857" s="197">
        <f>IF(_1_54128456121462410464578910174[[#This Row],[Type]]&gt;0,VLOOKUP(_1_54128456121462410464578910174[[#This Row],[Type]],Main[[#All],[TYPE]:[UNIT]],'Unit Price'!D$1,FALSE),0)</f>
        <v>0</v>
      </c>
      <c r="I857" s="194">
        <f>IF(_1_54128456121462410464578910174[[#This Row],[Type]]&gt;0,VLOOKUP(_1_54128456121462410464578910174[[#This Row],[Type]],Main[[#All],[TYPE]:[UNIT]],'Unit Price'!G$1,FALSE),0)</f>
        <v>0</v>
      </c>
      <c r="J857" s="194">
        <f>IF(_1_54128456121462410464578910174[[#This Row],[Type]]&gt;0,VLOOKUP(_1_54128456121462410464578910174[[#This Row],[Type]],Main[[#All],[TYPE]:[UNIT]],'Unit Price'!H$1,FALSE),0)</f>
        <v>0</v>
      </c>
      <c r="K857" s="194">
        <f>IF(_1_54128456121462410464578910174[[#This Row],[Discount selection]]&gt;0,VLOOKUP(_1_54128456121462410464578910174[[#This Row],[Discount selection]],'Discount Structure'!$A$2:$B$30,2,"false"),0)</f>
        <v>1</v>
      </c>
      <c r="L857" s="194">
        <f>_1_54128456121462410464578910174[[#This Row],[LIST $]]*_1_54128456121462410464578910174[[#This Row],[DISCOUNT]]*_1_54128456121462410464578910174[[#This Row],[DISCOUNT 2]]</f>
        <v>0</v>
      </c>
      <c r="M857" s="194">
        <f>IF(OR(_1_54128456121462410464578910174[[#This Row],[UNIT]]&gt;0,_1_54128456121462410464578910174[[#This Row],[UNIT]]&lt;0),_1_54128456121462410464578910174[[#This Row],[UNIT]]*_1_54128456121462410464578910174[[#This Row],[COST]],0)</f>
        <v>0</v>
      </c>
      <c r="N857" s="194">
        <f t="shared" si="13"/>
        <v>1.5</v>
      </c>
      <c r="O857" s="198">
        <f>_1_54128456121462410464578910174[[#This Row],[TOTAL]]*_1_54128456121462410464578910174[[#This Row],[MARGIN]]</f>
        <v>0</v>
      </c>
      <c r="R857" s="41"/>
    </row>
    <row r="858" spans="4:18">
      <c r="D858" s="188"/>
      <c r="F858" s="168" t="s">
        <v>6202</v>
      </c>
      <c r="G858" s="193">
        <f>IF(_1_54128456121462410464578910174[[#This Row],[Type]]&gt;0,VLOOKUP(_1_54128456121462410464578910174[[#This Row],[Type]],Main[[#All],[TYPE]:[UNIT]],'Unit Price'!C$1,FALSE),0)</f>
        <v>0</v>
      </c>
      <c r="H858" s="197">
        <f>IF(_1_54128456121462410464578910174[[#This Row],[Type]]&gt;0,VLOOKUP(_1_54128456121462410464578910174[[#This Row],[Type]],Main[[#All],[TYPE]:[UNIT]],'Unit Price'!D$1,FALSE),0)</f>
        <v>0</v>
      </c>
      <c r="I858" s="194">
        <f>IF(_1_54128456121462410464578910174[[#This Row],[Type]]&gt;0,VLOOKUP(_1_54128456121462410464578910174[[#This Row],[Type]],Main[[#All],[TYPE]:[UNIT]],'Unit Price'!G$1,FALSE),0)</f>
        <v>0</v>
      </c>
      <c r="J858" s="194">
        <f>IF(_1_54128456121462410464578910174[[#This Row],[Type]]&gt;0,VLOOKUP(_1_54128456121462410464578910174[[#This Row],[Type]],Main[[#All],[TYPE]:[UNIT]],'Unit Price'!H$1,FALSE),0)</f>
        <v>0</v>
      </c>
      <c r="K858" s="194">
        <f>IF(_1_54128456121462410464578910174[[#This Row],[Discount selection]]&gt;0,VLOOKUP(_1_54128456121462410464578910174[[#This Row],[Discount selection]],'Discount Structure'!$A$2:$B$30,2,"false"),0)</f>
        <v>1</v>
      </c>
      <c r="L858" s="194">
        <f>_1_54128456121462410464578910174[[#This Row],[LIST $]]*_1_54128456121462410464578910174[[#This Row],[DISCOUNT]]*_1_54128456121462410464578910174[[#This Row],[DISCOUNT 2]]</f>
        <v>0</v>
      </c>
      <c r="M858" s="194">
        <f>IF(OR(_1_54128456121462410464578910174[[#This Row],[UNIT]]&gt;0,_1_54128456121462410464578910174[[#This Row],[UNIT]]&lt;0),_1_54128456121462410464578910174[[#This Row],[UNIT]]*_1_54128456121462410464578910174[[#This Row],[COST]],0)</f>
        <v>0</v>
      </c>
      <c r="N858" s="194">
        <f t="shared" si="13"/>
        <v>1.5</v>
      </c>
      <c r="O858" s="198">
        <f>_1_54128456121462410464578910174[[#This Row],[TOTAL]]*_1_54128456121462410464578910174[[#This Row],[MARGIN]]</f>
        <v>0</v>
      </c>
      <c r="R858" s="41"/>
    </row>
    <row r="859" spans="4:18">
      <c r="D859" s="188"/>
      <c r="F859" s="168" t="s">
        <v>6202</v>
      </c>
      <c r="G859" s="193">
        <f>IF(_1_54128456121462410464578910174[[#This Row],[Type]]&gt;0,VLOOKUP(_1_54128456121462410464578910174[[#This Row],[Type]],Main[[#All],[TYPE]:[UNIT]],'Unit Price'!C$1,FALSE),0)</f>
        <v>0</v>
      </c>
      <c r="H859" s="197">
        <f>IF(_1_54128456121462410464578910174[[#This Row],[Type]]&gt;0,VLOOKUP(_1_54128456121462410464578910174[[#This Row],[Type]],Main[[#All],[TYPE]:[UNIT]],'Unit Price'!D$1,FALSE),0)</f>
        <v>0</v>
      </c>
      <c r="I859" s="194">
        <f>IF(_1_54128456121462410464578910174[[#This Row],[Type]]&gt;0,VLOOKUP(_1_54128456121462410464578910174[[#This Row],[Type]],Main[[#All],[TYPE]:[UNIT]],'Unit Price'!G$1,FALSE),0)</f>
        <v>0</v>
      </c>
      <c r="J859" s="194">
        <f>IF(_1_54128456121462410464578910174[[#This Row],[Type]]&gt;0,VLOOKUP(_1_54128456121462410464578910174[[#This Row],[Type]],Main[[#All],[TYPE]:[UNIT]],'Unit Price'!H$1,FALSE),0)</f>
        <v>0</v>
      </c>
      <c r="K859" s="194">
        <f>IF(_1_54128456121462410464578910174[[#This Row],[Discount selection]]&gt;0,VLOOKUP(_1_54128456121462410464578910174[[#This Row],[Discount selection]],'Discount Structure'!$A$2:$B$30,2,"false"),0)</f>
        <v>1</v>
      </c>
      <c r="L859" s="194">
        <f>_1_54128456121462410464578910174[[#This Row],[LIST $]]*_1_54128456121462410464578910174[[#This Row],[DISCOUNT]]*_1_54128456121462410464578910174[[#This Row],[DISCOUNT 2]]</f>
        <v>0</v>
      </c>
      <c r="M859" s="194">
        <f>IF(OR(_1_54128456121462410464578910174[[#This Row],[UNIT]]&gt;0,_1_54128456121462410464578910174[[#This Row],[UNIT]]&lt;0),_1_54128456121462410464578910174[[#This Row],[UNIT]]*_1_54128456121462410464578910174[[#This Row],[COST]],0)</f>
        <v>0</v>
      </c>
      <c r="N859" s="194">
        <f t="shared" si="13"/>
        <v>1.5</v>
      </c>
      <c r="O859" s="198">
        <f>_1_54128456121462410464578910174[[#This Row],[TOTAL]]*_1_54128456121462410464578910174[[#This Row],[MARGIN]]</f>
        <v>0</v>
      </c>
      <c r="R859" s="41"/>
    </row>
    <row r="860" spans="4:18">
      <c r="D860" s="188"/>
      <c r="F860" s="168" t="s">
        <v>6202</v>
      </c>
      <c r="G860" s="193">
        <f>IF(_1_54128456121462410464578910174[[#This Row],[Type]]&gt;0,VLOOKUP(_1_54128456121462410464578910174[[#This Row],[Type]],Main[[#All],[TYPE]:[UNIT]],'Unit Price'!C$1,FALSE),0)</f>
        <v>0</v>
      </c>
      <c r="H860" s="197">
        <f>IF(_1_54128456121462410464578910174[[#This Row],[Type]]&gt;0,VLOOKUP(_1_54128456121462410464578910174[[#This Row],[Type]],Main[[#All],[TYPE]:[UNIT]],'Unit Price'!D$1,FALSE),0)</f>
        <v>0</v>
      </c>
      <c r="I860" s="194">
        <f>IF(_1_54128456121462410464578910174[[#This Row],[Type]]&gt;0,VLOOKUP(_1_54128456121462410464578910174[[#This Row],[Type]],Main[[#All],[TYPE]:[UNIT]],'Unit Price'!G$1,FALSE),0)</f>
        <v>0</v>
      </c>
      <c r="J860" s="194">
        <f>IF(_1_54128456121462410464578910174[[#This Row],[Type]]&gt;0,VLOOKUP(_1_54128456121462410464578910174[[#This Row],[Type]],Main[[#All],[TYPE]:[UNIT]],'Unit Price'!H$1,FALSE),0)</f>
        <v>0</v>
      </c>
      <c r="K860" s="194">
        <f>IF(_1_54128456121462410464578910174[[#This Row],[Discount selection]]&gt;0,VLOOKUP(_1_54128456121462410464578910174[[#This Row],[Discount selection]],'Discount Structure'!$A$2:$B$30,2,"false"),0)</f>
        <v>1</v>
      </c>
      <c r="L860" s="194">
        <f>_1_54128456121462410464578910174[[#This Row],[LIST $]]*_1_54128456121462410464578910174[[#This Row],[DISCOUNT]]*_1_54128456121462410464578910174[[#This Row],[DISCOUNT 2]]</f>
        <v>0</v>
      </c>
      <c r="M860" s="194">
        <f>IF(OR(_1_54128456121462410464578910174[[#This Row],[UNIT]]&gt;0,_1_54128456121462410464578910174[[#This Row],[UNIT]]&lt;0),_1_54128456121462410464578910174[[#This Row],[UNIT]]*_1_54128456121462410464578910174[[#This Row],[COST]],0)</f>
        <v>0</v>
      </c>
      <c r="N860" s="194">
        <f t="shared" si="13"/>
        <v>1.5</v>
      </c>
      <c r="O860" s="198">
        <f>_1_54128456121462410464578910174[[#This Row],[TOTAL]]*_1_54128456121462410464578910174[[#This Row],[MARGIN]]</f>
        <v>0</v>
      </c>
      <c r="R860" s="41"/>
    </row>
    <row r="861" spans="4:18">
      <c r="D861" s="188"/>
      <c r="F861" s="168" t="s">
        <v>6202</v>
      </c>
      <c r="G861" s="193">
        <f>IF(_1_54128456121462410464578910174[[#This Row],[Type]]&gt;0,VLOOKUP(_1_54128456121462410464578910174[[#This Row],[Type]],Main[[#All],[TYPE]:[UNIT]],'Unit Price'!C$1,FALSE),0)</f>
        <v>0</v>
      </c>
      <c r="H861" s="197">
        <f>IF(_1_54128456121462410464578910174[[#This Row],[Type]]&gt;0,VLOOKUP(_1_54128456121462410464578910174[[#This Row],[Type]],Main[[#All],[TYPE]:[UNIT]],'Unit Price'!D$1,FALSE),0)</f>
        <v>0</v>
      </c>
      <c r="I861" s="194">
        <f>IF(_1_54128456121462410464578910174[[#This Row],[Type]]&gt;0,VLOOKUP(_1_54128456121462410464578910174[[#This Row],[Type]],Main[[#All],[TYPE]:[UNIT]],'Unit Price'!G$1,FALSE),0)</f>
        <v>0</v>
      </c>
      <c r="J861" s="194">
        <f>IF(_1_54128456121462410464578910174[[#This Row],[Type]]&gt;0,VLOOKUP(_1_54128456121462410464578910174[[#This Row],[Type]],Main[[#All],[TYPE]:[UNIT]],'Unit Price'!H$1,FALSE),0)</f>
        <v>0</v>
      </c>
      <c r="K861" s="194">
        <f>IF(_1_54128456121462410464578910174[[#This Row],[Discount selection]]&gt;0,VLOOKUP(_1_54128456121462410464578910174[[#This Row],[Discount selection]],'Discount Structure'!$A$2:$B$30,2,"false"),0)</f>
        <v>1</v>
      </c>
      <c r="L861" s="194">
        <f>_1_54128456121462410464578910174[[#This Row],[LIST $]]*_1_54128456121462410464578910174[[#This Row],[DISCOUNT]]*_1_54128456121462410464578910174[[#This Row],[DISCOUNT 2]]</f>
        <v>0</v>
      </c>
      <c r="M861" s="194">
        <f>IF(OR(_1_54128456121462410464578910174[[#This Row],[UNIT]]&gt;0,_1_54128456121462410464578910174[[#This Row],[UNIT]]&lt;0),_1_54128456121462410464578910174[[#This Row],[UNIT]]*_1_54128456121462410464578910174[[#This Row],[COST]],0)</f>
        <v>0</v>
      </c>
      <c r="N861" s="194">
        <f t="shared" si="13"/>
        <v>1.5</v>
      </c>
      <c r="O861" s="198">
        <f>_1_54128456121462410464578910174[[#This Row],[TOTAL]]*_1_54128456121462410464578910174[[#This Row],[MARGIN]]</f>
        <v>0</v>
      </c>
      <c r="R861" s="41"/>
    </row>
    <row r="862" spans="4:18">
      <c r="D862" s="188"/>
      <c r="F862" s="168" t="s">
        <v>6202</v>
      </c>
      <c r="G862" s="193">
        <f>IF(_1_54128456121462410464578910174[[#This Row],[Type]]&gt;0,VLOOKUP(_1_54128456121462410464578910174[[#This Row],[Type]],Main[[#All],[TYPE]:[UNIT]],'Unit Price'!C$1,FALSE),0)</f>
        <v>0</v>
      </c>
      <c r="H862" s="197">
        <f>IF(_1_54128456121462410464578910174[[#This Row],[Type]]&gt;0,VLOOKUP(_1_54128456121462410464578910174[[#This Row],[Type]],Main[[#All],[TYPE]:[UNIT]],'Unit Price'!D$1,FALSE),0)</f>
        <v>0</v>
      </c>
      <c r="I862" s="194">
        <f>IF(_1_54128456121462410464578910174[[#This Row],[Type]]&gt;0,VLOOKUP(_1_54128456121462410464578910174[[#This Row],[Type]],Main[[#All],[TYPE]:[UNIT]],'Unit Price'!G$1,FALSE),0)</f>
        <v>0</v>
      </c>
      <c r="J862" s="194">
        <f>IF(_1_54128456121462410464578910174[[#This Row],[Type]]&gt;0,VLOOKUP(_1_54128456121462410464578910174[[#This Row],[Type]],Main[[#All],[TYPE]:[UNIT]],'Unit Price'!H$1,FALSE),0)</f>
        <v>0</v>
      </c>
      <c r="K862" s="194">
        <f>IF(_1_54128456121462410464578910174[[#This Row],[Discount selection]]&gt;0,VLOOKUP(_1_54128456121462410464578910174[[#This Row],[Discount selection]],'Discount Structure'!$A$2:$B$30,2,"false"),0)</f>
        <v>1</v>
      </c>
      <c r="L862" s="194">
        <f>_1_54128456121462410464578910174[[#This Row],[LIST $]]*_1_54128456121462410464578910174[[#This Row],[DISCOUNT]]*_1_54128456121462410464578910174[[#This Row],[DISCOUNT 2]]</f>
        <v>0</v>
      </c>
      <c r="M862" s="194">
        <f>IF(OR(_1_54128456121462410464578910174[[#This Row],[UNIT]]&gt;0,_1_54128456121462410464578910174[[#This Row],[UNIT]]&lt;0),_1_54128456121462410464578910174[[#This Row],[UNIT]]*_1_54128456121462410464578910174[[#This Row],[COST]],0)</f>
        <v>0</v>
      </c>
      <c r="N862" s="194">
        <f t="shared" si="13"/>
        <v>1.5</v>
      </c>
      <c r="O862" s="198">
        <f>_1_54128456121462410464578910174[[#This Row],[TOTAL]]*_1_54128456121462410464578910174[[#This Row],[MARGIN]]</f>
        <v>0</v>
      </c>
      <c r="R862" s="41"/>
    </row>
    <row r="863" spans="4:18">
      <c r="D863" s="188"/>
      <c r="F863" s="168" t="s">
        <v>6202</v>
      </c>
      <c r="G863" s="193">
        <f>IF(_1_54128456121462410464578910174[[#This Row],[Type]]&gt;0,VLOOKUP(_1_54128456121462410464578910174[[#This Row],[Type]],Main[[#All],[TYPE]:[UNIT]],'Unit Price'!C$1,FALSE),0)</f>
        <v>0</v>
      </c>
      <c r="H863" s="197">
        <f>IF(_1_54128456121462410464578910174[[#This Row],[Type]]&gt;0,VLOOKUP(_1_54128456121462410464578910174[[#This Row],[Type]],Main[[#All],[TYPE]:[UNIT]],'Unit Price'!D$1,FALSE),0)</f>
        <v>0</v>
      </c>
      <c r="I863" s="194">
        <f>IF(_1_54128456121462410464578910174[[#This Row],[Type]]&gt;0,VLOOKUP(_1_54128456121462410464578910174[[#This Row],[Type]],Main[[#All],[TYPE]:[UNIT]],'Unit Price'!G$1,FALSE),0)</f>
        <v>0</v>
      </c>
      <c r="J863" s="194">
        <f>IF(_1_54128456121462410464578910174[[#This Row],[Type]]&gt;0,VLOOKUP(_1_54128456121462410464578910174[[#This Row],[Type]],Main[[#All],[TYPE]:[UNIT]],'Unit Price'!H$1,FALSE),0)</f>
        <v>0</v>
      </c>
      <c r="K863" s="194">
        <f>IF(_1_54128456121462410464578910174[[#This Row],[Discount selection]]&gt;0,VLOOKUP(_1_54128456121462410464578910174[[#This Row],[Discount selection]],'Discount Structure'!$A$2:$B$30,2,"false"),0)</f>
        <v>1</v>
      </c>
      <c r="L863" s="194">
        <f>_1_54128456121462410464578910174[[#This Row],[LIST $]]*_1_54128456121462410464578910174[[#This Row],[DISCOUNT]]*_1_54128456121462410464578910174[[#This Row],[DISCOUNT 2]]</f>
        <v>0</v>
      </c>
      <c r="M863" s="194">
        <f>IF(OR(_1_54128456121462410464578910174[[#This Row],[UNIT]]&gt;0,_1_54128456121462410464578910174[[#This Row],[UNIT]]&lt;0),_1_54128456121462410464578910174[[#This Row],[UNIT]]*_1_54128456121462410464578910174[[#This Row],[COST]],0)</f>
        <v>0</v>
      </c>
      <c r="N863" s="194">
        <f t="shared" si="13"/>
        <v>1.5</v>
      </c>
      <c r="O863" s="198">
        <f>_1_54128456121462410464578910174[[#This Row],[TOTAL]]*_1_54128456121462410464578910174[[#This Row],[MARGIN]]</f>
        <v>0</v>
      </c>
      <c r="R863" s="41"/>
    </row>
    <row r="864" spans="4:18">
      <c r="D864" s="188"/>
      <c r="F864" s="168" t="s">
        <v>6202</v>
      </c>
      <c r="G864" s="193">
        <f>IF(_1_54128456121462410464578910174[[#This Row],[Type]]&gt;0,VLOOKUP(_1_54128456121462410464578910174[[#This Row],[Type]],Main[[#All],[TYPE]:[UNIT]],'Unit Price'!C$1,FALSE),0)</f>
        <v>0</v>
      </c>
      <c r="H864" s="197">
        <f>IF(_1_54128456121462410464578910174[[#This Row],[Type]]&gt;0,VLOOKUP(_1_54128456121462410464578910174[[#This Row],[Type]],Main[[#All],[TYPE]:[UNIT]],'Unit Price'!D$1,FALSE),0)</f>
        <v>0</v>
      </c>
      <c r="I864" s="194">
        <f>IF(_1_54128456121462410464578910174[[#This Row],[Type]]&gt;0,VLOOKUP(_1_54128456121462410464578910174[[#This Row],[Type]],Main[[#All],[TYPE]:[UNIT]],'Unit Price'!G$1,FALSE),0)</f>
        <v>0</v>
      </c>
      <c r="J864" s="194">
        <f>IF(_1_54128456121462410464578910174[[#This Row],[Type]]&gt;0,VLOOKUP(_1_54128456121462410464578910174[[#This Row],[Type]],Main[[#All],[TYPE]:[UNIT]],'Unit Price'!H$1,FALSE),0)</f>
        <v>0</v>
      </c>
      <c r="K864" s="194">
        <f>IF(_1_54128456121462410464578910174[[#This Row],[Discount selection]]&gt;0,VLOOKUP(_1_54128456121462410464578910174[[#This Row],[Discount selection]],'Discount Structure'!$A$2:$B$30,2,"false"),0)</f>
        <v>1</v>
      </c>
      <c r="L864" s="194">
        <f>_1_54128456121462410464578910174[[#This Row],[LIST $]]*_1_54128456121462410464578910174[[#This Row],[DISCOUNT]]*_1_54128456121462410464578910174[[#This Row],[DISCOUNT 2]]</f>
        <v>0</v>
      </c>
      <c r="M864" s="194">
        <f>IF(OR(_1_54128456121462410464578910174[[#This Row],[UNIT]]&gt;0,_1_54128456121462410464578910174[[#This Row],[UNIT]]&lt;0),_1_54128456121462410464578910174[[#This Row],[UNIT]]*_1_54128456121462410464578910174[[#This Row],[COST]],0)</f>
        <v>0</v>
      </c>
      <c r="N864" s="194">
        <f t="shared" si="13"/>
        <v>1.5</v>
      </c>
      <c r="O864" s="198">
        <f>_1_54128456121462410464578910174[[#This Row],[TOTAL]]*_1_54128456121462410464578910174[[#This Row],[MARGIN]]</f>
        <v>0</v>
      </c>
      <c r="R864" s="41"/>
    </row>
    <row r="865" spans="4:18">
      <c r="D865" s="188"/>
      <c r="E865" s="42"/>
      <c r="F865" s="168" t="s">
        <v>6202</v>
      </c>
      <c r="G865" s="193">
        <f>IF(_1_54128456121462410464578910174[[#This Row],[Type]]&gt;0,VLOOKUP(_1_54128456121462410464578910174[[#This Row],[Type]],Main[[#All],[TYPE]:[UNIT]],'Unit Price'!C$1,FALSE),0)</f>
        <v>0</v>
      </c>
      <c r="H865" s="197">
        <f>IF(_1_54128456121462410464578910174[[#This Row],[Type]]&gt;0,VLOOKUP(_1_54128456121462410464578910174[[#This Row],[Type]],Main[[#All],[TYPE]:[UNIT]],'Unit Price'!D$1,FALSE),0)</f>
        <v>0</v>
      </c>
      <c r="I865" s="194">
        <f>IF(_1_54128456121462410464578910174[[#This Row],[Type]]&gt;0,VLOOKUP(_1_54128456121462410464578910174[[#This Row],[Type]],Main[[#All],[TYPE]:[UNIT]],'Unit Price'!G$1,FALSE),0)</f>
        <v>0</v>
      </c>
      <c r="J865" s="194">
        <f>IF(_1_54128456121462410464578910174[[#This Row],[Type]]&gt;0,VLOOKUP(_1_54128456121462410464578910174[[#This Row],[Type]],Main[[#All],[TYPE]:[UNIT]],'Unit Price'!H$1,FALSE),0)</f>
        <v>0</v>
      </c>
      <c r="K865" s="194">
        <f>IF(_1_54128456121462410464578910174[[#This Row],[Discount selection]]&gt;0,VLOOKUP(_1_54128456121462410464578910174[[#This Row],[Discount selection]],'Discount Structure'!$A$2:$B$30,2,"false"),0)</f>
        <v>1</v>
      </c>
      <c r="L865" s="194">
        <f>_1_54128456121462410464578910174[[#This Row],[LIST $]]*_1_54128456121462410464578910174[[#This Row],[DISCOUNT]]*_1_54128456121462410464578910174[[#This Row],[DISCOUNT 2]]</f>
        <v>0</v>
      </c>
      <c r="M865" s="194">
        <f>IF(OR(_1_54128456121462410464578910174[[#This Row],[UNIT]]&gt;0,_1_54128456121462410464578910174[[#This Row],[UNIT]]&lt;0),_1_54128456121462410464578910174[[#This Row],[UNIT]]*_1_54128456121462410464578910174[[#This Row],[COST]],0)</f>
        <v>0</v>
      </c>
      <c r="N865" s="194">
        <f t="shared" si="13"/>
        <v>1.5</v>
      </c>
      <c r="O865" s="198">
        <f>_1_54128456121462410464578910174[[#This Row],[TOTAL]]*_1_54128456121462410464578910174[[#This Row],[MARGIN]]</f>
        <v>0</v>
      </c>
      <c r="P865" s="198"/>
      <c r="R865" s="41"/>
    </row>
    <row r="866" spans="4:18">
      <c r="D866" s="188"/>
      <c r="E866" s="42"/>
      <c r="F866" s="168" t="s">
        <v>6202</v>
      </c>
      <c r="G866" s="193">
        <f>IF(_1_54128456121462410464578910174[[#This Row],[Type]]&gt;0,VLOOKUP(_1_54128456121462410464578910174[[#This Row],[Type]],Main[[#All],[TYPE]:[UNIT]],'Unit Price'!C$1,FALSE),0)</f>
        <v>0</v>
      </c>
      <c r="H866" s="197">
        <f>IF(_1_54128456121462410464578910174[[#This Row],[Type]]&gt;0,VLOOKUP(_1_54128456121462410464578910174[[#This Row],[Type]],Main[[#All],[TYPE]:[UNIT]],'Unit Price'!D$1,FALSE),0)</f>
        <v>0</v>
      </c>
      <c r="I866" s="194">
        <f>IF(_1_54128456121462410464578910174[[#This Row],[Type]]&gt;0,VLOOKUP(_1_54128456121462410464578910174[[#This Row],[Type]],Main[[#All],[TYPE]:[UNIT]],'Unit Price'!G$1,FALSE),0)</f>
        <v>0</v>
      </c>
      <c r="J866" s="194">
        <f>IF(_1_54128456121462410464578910174[[#This Row],[Type]]&gt;0,VLOOKUP(_1_54128456121462410464578910174[[#This Row],[Type]],Main[[#All],[TYPE]:[UNIT]],'Unit Price'!H$1,FALSE),0)</f>
        <v>0</v>
      </c>
      <c r="K866" s="194">
        <f>IF(_1_54128456121462410464578910174[[#This Row],[Discount selection]]&gt;0,VLOOKUP(_1_54128456121462410464578910174[[#This Row],[Discount selection]],'Discount Structure'!$A$2:$B$30,2,"false"),0)</f>
        <v>1</v>
      </c>
      <c r="L866" s="194">
        <f>_1_54128456121462410464578910174[[#This Row],[LIST $]]*_1_54128456121462410464578910174[[#This Row],[DISCOUNT]]*_1_54128456121462410464578910174[[#This Row],[DISCOUNT 2]]</f>
        <v>0</v>
      </c>
      <c r="M866" s="194">
        <f>IF(OR(_1_54128456121462410464578910174[[#This Row],[UNIT]]&gt;0,_1_54128456121462410464578910174[[#This Row],[UNIT]]&lt;0),_1_54128456121462410464578910174[[#This Row],[UNIT]]*_1_54128456121462410464578910174[[#This Row],[COST]],0)</f>
        <v>0</v>
      </c>
      <c r="N866" s="194">
        <f t="shared" si="13"/>
        <v>1.5</v>
      </c>
      <c r="O866" s="198">
        <f>_1_54128456121462410464578910174[[#This Row],[TOTAL]]*_1_54128456121462410464578910174[[#This Row],[MARGIN]]</f>
        <v>0</v>
      </c>
      <c r="P866" s="198"/>
      <c r="R866" s="41"/>
    </row>
    <row r="867" spans="4:18">
      <c r="D867" s="188"/>
      <c r="E867" s="42"/>
      <c r="F867" s="168" t="s">
        <v>6202</v>
      </c>
      <c r="G867" s="193">
        <f>IF(_1_54128456121462410464578910174[[#This Row],[Type]]&gt;0,VLOOKUP(_1_54128456121462410464578910174[[#This Row],[Type]],Main[[#All],[TYPE]:[UNIT]],'Unit Price'!C$1,FALSE),0)</f>
        <v>0</v>
      </c>
      <c r="H867" s="197">
        <f>IF(_1_54128456121462410464578910174[[#This Row],[Type]]&gt;0,VLOOKUP(_1_54128456121462410464578910174[[#This Row],[Type]],Main[[#All],[TYPE]:[UNIT]],'Unit Price'!D$1,FALSE),0)</f>
        <v>0</v>
      </c>
      <c r="I867" s="194">
        <f>IF(_1_54128456121462410464578910174[[#This Row],[Type]]&gt;0,VLOOKUP(_1_54128456121462410464578910174[[#This Row],[Type]],Main[[#All],[TYPE]:[UNIT]],'Unit Price'!G$1,FALSE),0)</f>
        <v>0</v>
      </c>
      <c r="J867" s="194">
        <f>IF(_1_54128456121462410464578910174[[#This Row],[Type]]&gt;0,VLOOKUP(_1_54128456121462410464578910174[[#This Row],[Type]],Main[[#All],[TYPE]:[UNIT]],'Unit Price'!H$1,FALSE),0)</f>
        <v>0</v>
      </c>
      <c r="K867" s="194">
        <f>IF(_1_54128456121462410464578910174[[#This Row],[Discount selection]]&gt;0,VLOOKUP(_1_54128456121462410464578910174[[#This Row],[Discount selection]],'Discount Structure'!$A$2:$B$30,2,"false"),0)</f>
        <v>1</v>
      </c>
      <c r="L867" s="194">
        <f>_1_54128456121462410464578910174[[#This Row],[LIST $]]*_1_54128456121462410464578910174[[#This Row],[DISCOUNT]]*_1_54128456121462410464578910174[[#This Row],[DISCOUNT 2]]</f>
        <v>0</v>
      </c>
      <c r="M867" s="194">
        <f>IF(OR(_1_54128456121462410464578910174[[#This Row],[UNIT]]&gt;0,_1_54128456121462410464578910174[[#This Row],[UNIT]]&lt;0),_1_54128456121462410464578910174[[#This Row],[UNIT]]*_1_54128456121462410464578910174[[#This Row],[COST]],0)</f>
        <v>0</v>
      </c>
      <c r="N867" s="194">
        <f t="shared" si="13"/>
        <v>1.5</v>
      </c>
      <c r="O867" s="198">
        <f>_1_54128456121462410464578910174[[#This Row],[TOTAL]]*_1_54128456121462410464578910174[[#This Row],[MARGIN]]</f>
        <v>0</v>
      </c>
      <c r="P867" s="198"/>
      <c r="R867" s="41"/>
    </row>
    <row r="868" spans="4:18">
      <c r="D868" s="188"/>
      <c r="E868" s="42"/>
      <c r="F868" s="168" t="s">
        <v>6202</v>
      </c>
      <c r="G868" s="193">
        <f>IF(_1_54128456121462410464578910174[[#This Row],[Type]]&gt;0,VLOOKUP(_1_54128456121462410464578910174[[#This Row],[Type]],Main[[#All],[TYPE]:[UNIT]],'Unit Price'!C$1,FALSE),0)</f>
        <v>0</v>
      </c>
      <c r="H868" s="197">
        <f>IF(_1_54128456121462410464578910174[[#This Row],[Type]]&gt;0,VLOOKUP(_1_54128456121462410464578910174[[#This Row],[Type]],Main[[#All],[TYPE]:[UNIT]],'Unit Price'!D$1,FALSE),0)</f>
        <v>0</v>
      </c>
      <c r="I868" s="194">
        <f>IF(_1_54128456121462410464578910174[[#This Row],[Type]]&gt;0,VLOOKUP(_1_54128456121462410464578910174[[#This Row],[Type]],Main[[#All],[TYPE]:[UNIT]],'Unit Price'!G$1,FALSE),0)</f>
        <v>0</v>
      </c>
      <c r="J868" s="194">
        <f>IF(_1_54128456121462410464578910174[[#This Row],[Type]]&gt;0,VLOOKUP(_1_54128456121462410464578910174[[#This Row],[Type]],Main[[#All],[TYPE]:[UNIT]],'Unit Price'!H$1,FALSE),0)</f>
        <v>0</v>
      </c>
      <c r="K868" s="194">
        <f>IF(_1_54128456121462410464578910174[[#This Row],[Discount selection]]&gt;0,VLOOKUP(_1_54128456121462410464578910174[[#This Row],[Discount selection]],'Discount Structure'!$A$2:$B$30,2,"false"),0)</f>
        <v>1</v>
      </c>
      <c r="L868" s="194">
        <f>_1_54128456121462410464578910174[[#This Row],[LIST $]]*_1_54128456121462410464578910174[[#This Row],[DISCOUNT]]*_1_54128456121462410464578910174[[#This Row],[DISCOUNT 2]]</f>
        <v>0</v>
      </c>
      <c r="M868" s="194">
        <f>IF(OR(_1_54128456121462410464578910174[[#This Row],[UNIT]]&gt;0,_1_54128456121462410464578910174[[#This Row],[UNIT]]&lt;0),_1_54128456121462410464578910174[[#This Row],[UNIT]]*_1_54128456121462410464578910174[[#This Row],[COST]],0)</f>
        <v>0</v>
      </c>
      <c r="N868" s="194">
        <f t="shared" si="13"/>
        <v>1.5</v>
      </c>
      <c r="O868" s="198">
        <f>_1_54128456121462410464578910174[[#This Row],[TOTAL]]*_1_54128456121462410464578910174[[#This Row],[MARGIN]]</f>
        <v>0</v>
      </c>
      <c r="P868" s="198"/>
      <c r="R868" s="41"/>
    </row>
    <row r="869" spans="4:18">
      <c r="D869" s="188"/>
      <c r="E869" s="42"/>
      <c r="F869" s="168" t="s">
        <v>6202</v>
      </c>
      <c r="G869" s="193">
        <f>IF(_1_54128456121462410464578910174[[#This Row],[Type]]&gt;0,VLOOKUP(_1_54128456121462410464578910174[[#This Row],[Type]],Main[[#All],[TYPE]:[UNIT]],'Unit Price'!C$1,FALSE),0)</f>
        <v>0</v>
      </c>
      <c r="H869" s="197">
        <f>IF(_1_54128456121462410464578910174[[#This Row],[Type]]&gt;0,VLOOKUP(_1_54128456121462410464578910174[[#This Row],[Type]],Main[[#All],[TYPE]:[UNIT]],'Unit Price'!D$1,FALSE),0)</f>
        <v>0</v>
      </c>
      <c r="I869" s="194">
        <f>IF(_1_54128456121462410464578910174[[#This Row],[Type]]&gt;0,VLOOKUP(_1_54128456121462410464578910174[[#This Row],[Type]],Main[[#All],[TYPE]:[UNIT]],'Unit Price'!G$1,FALSE),0)</f>
        <v>0</v>
      </c>
      <c r="J869" s="194">
        <f>IF(_1_54128456121462410464578910174[[#This Row],[Type]]&gt;0,VLOOKUP(_1_54128456121462410464578910174[[#This Row],[Type]],Main[[#All],[TYPE]:[UNIT]],'Unit Price'!H$1,FALSE),0)</f>
        <v>0</v>
      </c>
      <c r="K869" s="194">
        <f>IF(_1_54128456121462410464578910174[[#This Row],[Discount selection]]&gt;0,VLOOKUP(_1_54128456121462410464578910174[[#This Row],[Discount selection]],'Discount Structure'!$A$2:$B$30,2,"false"),0)</f>
        <v>1</v>
      </c>
      <c r="L869" s="194">
        <f>_1_54128456121462410464578910174[[#This Row],[LIST $]]*_1_54128456121462410464578910174[[#This Row],[DISCOUNT]]*_1_54128456121462410464578910174[[#This Row],[DISCOUNT 2]]</f>
        <v>0</v>
      </c>
      <c r="M869" s="194">
        <f>IF(OR(_1_54128456121462410464578910174[[#This Row],[UNIT]]&gt;0,_1_54128456121462410464578910174[[#This Row],[UNIT]]&lt;0),_1_54128456121462410464578910174[[#This Row],[UNIT]]*_1_54128456121462410464578910174[[#This Row],[COST]],0)</f>
        <v>0</v>
      </c>
      <c r="N869" s="194">
        <f t="shared" si="13"/>
        <v>1.5</v>
      </c>
      <c r="O869" s="198">
        <f>_1_54128456121462410464578910174[[#This Row],[TOTAL]]*_1_54128456121462410464578910174[[#This Row],[MARGIN]]</f>
        <v>0</v>
      </c>
      <c r="P869" s="198"/>
      <c r="R869" s="41"/>
    </row>
    <row r="870" spans="4:18">
      <c r="D870" s="188"/>
      <c r="E870" s="42"/>
      <c r="F870" s="168" t="s">
        <v>6202</v>
      </c>
      <c r="G870" s="193">
        <f>IF(_1_54128456121462410464578910174[[#This Row],[Type]]&gt;0,VLOOKUP(_1_54128456121462410464578910174[[#This Row],[Type]],Main[[#All],[TYPE]:[UNIT]],'Unit Price'!C$1,FALSE),0)</f>
        <v>0</v>
      </c>
      <c r="H870" s="197">
        <f>IF(_1_54128456121462410464578910174[[#This Row],[Type]]&gt;0,VLOOKUP(_1_54128456121462410464578910174[[#This Row],[Type]],Main[[#All],[TYPE]:[UNIT]],'Unit Price'!D$1,FALSE),0)</f>
        <v>0</v>
      </c>
      <c r="I870" s="194">
        <f>IF(_1_54128456121462410464578910174[[#This Row],[Type]]&gt;0,VLOOKUP(_1_54128456121462410464578910174[[#This Row],[Type]],Main[[#All],[TYPE]:[UNIT]],'Unit Price'!G$1,FALSE),0)</f>
        <v>0</v>
      </c>
      <c r="J870" s="194">
        <f>IF(_1_54128456121462410464578910174[[#This Row],[Type]]&gt;0,VLOOKUP(_1_54128456121462410464578910174[[#This Row],[Type]],Main[[#All],[TYPE]:[UNIT]],'Unit Price'!H$1,FALSE),0)</f>
        <v>0</v>
      </c>
      <c r="K870" s="194">
        <f>IF(_1_54128456121462410464578910174[[#This Row],[Discount selection]]&gt;0,VLOOKUP(_1_54128456121462410464578910174[[#This Row],[Discount selection]],'Discount Structure'!$A$2:$B$30,2,"false"),0)</f>
        <v>1</v>
      </c>
      <c r="L870" s="194">
        <f>_1_54128456121462410464578910174[[#This Row],[LIST $]]*_1_54128456121462410464578910174[[#This Row],[DISCOUNT]]*_1_54128456121462410464578910174[[#This Row],[DISCOUNT 2]]</f>
        <v>0</v>
      </c>
      <c r="M870" s="194">
        <f>IF(OR(_1_54128456121462410464578910174[[#This Row],[UNIT]]&gt;0,_1_54128456121462410464578910174[[#This Row],[UNIT]]&lt;0),_1_54128456121462410464578910174[[#This Row],[UNIT]]*_1_54128456121462410464578910174[[#This Row],[COST]],0)</f>
        <v>0</v>
      </c>
      <c r="N870" s="194">
        <f t="shared" si="13"/>
        <v>1.5</v>
      </c>
      <c r="O870" s="198">
        <f>_1_54128456121462410464578910174[[#This Row],[TOTAL]]*_1_54128456121462410464578910174[[#This Row],[MARGIN]]</f>
        <v>0</v>
      </c>
      <c r="P870" s="198"/>
      <c r="R870" s="41"/>
    </row>
    <row r="871" spans="4:18">
      <c r="D871" s="188"/>
      <c r="E871" s="42"/>
      <c r="F871" s="168" t="s">
        <v>6202</v>
      </c>
      <c r="G871" s="193">
        <f>IF(_1_54128456121462410464578910174[[#This Row],[Type]]&gt;0,VLOOKUP(_1_54128456121462410464578910174[[#This Row],[Type]],Main[[#All],[TYPE]:[UNIT]],'Unit Price'!C$1,FALSE),0)</f>
        <v>0</v>
      </c>
      <c r="H871" s="197">
        <f>IF(_1_54128456121462410464578910174[[#This Row],[Type]]&gt;0,VLOOKUP(_1_54128456121462410464578910174[[#This Row],[Type]],Main[[#All],[TYPE]:[UNIT]],'Unit Price'!D$1,FALSE),0)</f>
        <v>0</v>
      </c>
      <c r="I871" s="194">
        <f>IF(_1_54128456121462410464578910174[[#This Row],[Type]]&gt;0,VLOOKUP(_1_54128456121462410464578910174[[#This Row],[Type]],Main[[#All],[TYPE]:[UNIT]],'Unit Price'!G$1,FALSE),0)</f>
        <v>0</v>
      </c>
      <c r="J871" s="194">
        <f>IF(_1_54128456121462410464578910174[[#This Row],[Type]]&gt;0,VLOOKUP(_1_54128456121462410464578910174[[#This Row],[Type]],Main[[#All],[TYPE]:[UNIT]],'Unit Price'!H$1,FALSE),0)</f>
        <v>0</v>
      </c>
      <c r="K871" s="194">
        <f>IF(_1_54128456121462410464578910174[[#This Row],[Discount selection]]&gt;0,VLOOKUP(_1_54128456121462410464578910174[[#This Row],[Discount selection]],'Discount Structure'!$A$2:$B$30,2,"false"),0)</f>
        <v>1</v>
      </c>
      <c r="L871" s="194">
        <f>_1_54128456121462410464578910174[[#This Row],[LIST $]]*_1_54128456121462410464578910174[[#This Row],[DISCOUNT]]*_1_54128456121462410464578910174[[#This Row],[DISCOUNT 2]]</f>
        <v>0</v>
      </c>
      <c r="M871" s="194">
        <f>IF(OR(_1_54128456121462410464578910174[[#This Row],[UNIT]]&gt;0,_1_54128456121462410464578910174[[#This Row],[UNIT]]&lt;0),_1_54128456121462410464578910174[[#This Row],[UNIT]]*_1_54128456121462410464578910174[[#This Row],[COST]],0)</f>
        <v>0</v>
      </c>
      <c r="N871" s="194">
        <f t="shared" si="13"/>
        <v>1.5</v>
      </c>
      <c r="O871" s="198">
        <f>_1_54128456121462410464578910174[[#This Row],[TOTAL]]*_1_54128456121462410464578910174[[#This Row],[MARGIN]]</f>
        <v>0</v>
      </c>
      <c r="P871" s="198"/>
      <c r="R871" s="41"/>
    </row>
    <row r="872" spans="4:18">
      <c r="D872" s="188"/>
      <c r="E872" s="42"/>
      <c r="F872" s="168" t="s">
        <v>6202</v>
      </c>
      <c r="G872" s="193">
        <f>IF(_1_54128456121462410464578910174[[#This Row],[Type]]&gt;0,VLOOKUP(_1_54128456121462410464578910174[[#This Row],[Type]],Main[[#All],[TYPE]:[UNIT]],'Unit Price'!C$1,FALSE),0)</f>
        <v>0</v>
      </c>
      <c r="H872" s="197">
        <f>IF(_1_54128456121462410464578910174[[#This Row],[Type]]&gt;0,VLOOKUP(_1_54128456121462410464578910174[[#This Row],[Type]],Main[[#All],[TYPE]:[UNIT]],'Unit Price'!D$1,FALSE),0)</f>
        <v>0</v>
      </c>
      <c r="I872" s="194">
        <f>IF(_1_54128456121462410464578910174[[#This Row],[Type]]&gt;0,VLOOKUP(_1_54128456121462410464578910174[[#This Row],[Type]],Main[[#All],[TYPE]:[UNIT]],'Unit Price'!G$1,FALSE),0)</f>
        <v>0</v>
      </c>
      <c r="J872" s="194">
        <f>IF(_1_54128456121462410464578910174[[#This Row],[Type]]&gt;0,VLOOKUP(_1_54128456121462410464578910174[[#This Row],[Type]],Main[[#All],[TYPE]:[UNIT]],'Unit Price'!H$1,FALSE),0)</f>
        <v>0</v>
      </c>
      <c r="K872" s="194">
        <f>IF(_1_54128456121462410464578910174[[#This Row],[Discount selection]]&gt;0,VLOOKUP(_1_54128456121462410464578910174[[#This Row],[Discount selection]],'Discount Structure'!$A$2:$B$30,2,"false"),0)</f>
        <v>1</v>
      </c>
      <c r="L872" s="194">
        <f>_1_54128456121462410464578910174[[#This Row],[LIST $]]*_1_54128456121462410464578910174[[#This Row],[DISCOUNT]]*_1_54128456121462410464578910174[[#This Row],[DISCOUNT 2]]</f>
        <v>0</v>
      </c>
      <c r="M872" s="194">
        <f>IF(OR(_1_54128456121462410464578910174[[#This Row],[UNIT]]&gt;0,_1_54128456121462410464578910174[[#This Row],[UNIT]]&lt;0),_1_54128456121462410464578910174[[#This Row],[UNIT]]*_1_54128456121462410464578910174[[#This Row],[COST]],0)</f>
        <v>0</v>
      </c>
      <c r="N872" s="194">
        <f t="shared" si="13"/>
        <v>1.5</v>
      </c>
      <c r="O872" s="198">
        <f>_1_54128456121462410464578910174[[#This Row],[TOTAL]]*_1_54128456121462410464578910174[[#This Row],[MARGIN]]</f>
        <v>0</v>
      </c>
      <c r="P872" s="198"/>
      <c r="R872" s="41"/>
    </row>
    <row r="873" spans="4:18">
      <c r="D873" s="188"/>
      <c r="E873" s="42"/>
      <c r="F873" s="168" t="s">
        <v>6202</v>
      </c>
      <c r="G873" s="193">
        <f>IF(_1_54128456121462410464578910174[[#This Row],[Type]]&gt;0,VLOOKUP(_1_54128456121462410464578910174[[#This Row],[Type]],Main[[#All],[TYPE]:[UNIT]],'Unit Price'!C$1,FALSE),0)</f>
        <v>0</v>
      </c>
      <c r="H873" s="197">
        <f>IF(_1_54128456121462410464578910174[[#This Row],[Type]]&gt;0,VLOOKUP(_1_54128456121462410464578910174[[#This Row],[Type]],Main[[#All],[TYPE]:[UNIT]],'Unit Price'!D$1,FALSE),0)</f>
        <v>0</v>
      </c>
      <c r="I873" s="194">
        <f>IF(_1_54128456121462410464578910174[[#This Row],[Type]]&gt;0,VLOOKUP(_1_54128456121462410464578910174[[#This Row],[Type]],Main[[#All],[TYPE]:[UNIT]],'Unit Price'!G$1,FALSE),0)</f>
        <v>0</v>
      </c>
      <c r="J873" s="194">
        <f>IF(_1_54128456121462410464578910174[[#This Row],[Type]]&gt;0,VLOOKUP(_1_54128456121462410464578910174[[#This Row],[Type]],Main[[#All],[TYPE]:[UNIT]],'Unit Price'!H$1,FALSE),0)</f>
        <v>0</v>
      </c>
      <c r="K873" s="194">
        <f>IF(_1_54128456121462410464578910174[[#This Row],[Discount selection]]&gt;0,VLOOKUP(_1_54128456121462410464578910174[[#This Row],[Discount selection]],'Discount Structure'!$A$2:$B$30,2,"false"),0)</f>
        <v>1</v>
      </c>
      <c r="L873" s="194">
        <f>_1_54128456121462410464578910174[[#This Row],[LIST $]]*_1_54128456121462410464578910174[[#This Row],[DISCOUNT]]*_1_54128456121462410464578910174[[#This Row],[DISCOUNT 2]]</f>
        <v>0</v>
      </c>
      <c r="M873" s="194">
        <f>IF(OR(_1_54128456121462410464578910174[[#This Row],[UNIT]]&gt;0,_1_54128456121462410464578910174[[#This Row],[UNIT]]&lt;0),_1_54128456121462410464578910174[[#This Row],[UNIT]]*_1_54128456121462410464578910174[[#This Row],[COST]],0)</f>
        <v>0</v>
      </c>
      <c r="N873" s="194">
        <f t="shared" si="13"/>
        <v>1.5</v>
      </c>
      <c r="O873" s="198">
        <f>_1_54128456121462410464578910174[[#This Row],[TOTAL]]*_1_54128456121462410464578910174[[#This Row],[MARGIN]]</f>
        <v>0</v>
      </c>
      <c r="P873" s="198"/>
      <c r="R873" s="41"/>
    </row>
    <row r="874" spans="4:18">
      <c r="D874" s="188"/>
      <c r="E874" s="42"/>
      <c r="F874" s="168" t="s">
        <v>6202</v>
      </c>
      <c r="G874" s="193">
        <f>IF(_1_54128456121462410464578910174[[#This Row],[Type]]&gt;0,VLOOKUP(_1_54128456121462410464578910174[[#This Row],[Type]],Main[[#All],[TYPE]:[UNIT]],'Unit Price'!C$1,FALSE),0)</f>
        <v>0</v>
      </c>
      <c r="H874" s="197">
        <f>IF(_1_54128456121462410464578910174[[#This Row],[Type]]&gt;0,VLOOKUP(_1_54128456121462410464578910174[[#This Row],[Type]],Main[[#All],[TYPE]:[UNIT]],'Unit Price'!D$1,FALSE),0)</f>
        <v>0</v>
      </c>
      <c r="I874" s="194">
        <f>IF(_1_54128456121462410464578910174[[#This Row],[Type]]&gt;0,VLOOKUP(_1_54128456121462410464578910174[[#This Row],[Type]],Main[[#All],[TYPE]:[UNIT]],'Unit Price'!G$1,FALSE),0)</f>
        <v>0</v>
      </c>
      <c r="J874" s="194">
        <f>IF(_1_54128456121462410464578910174[[#This Row],[Type]]&gt;0,VLOOKUP(_1_54128456121462410464578910174[[#This Row],[Type]],Main[[#All],[TYPE]:[UNIT]],'Unit Price'!H$1,FALSE),0)</f>
        <v>0</v>
      </c>
      <c r="K874" s="194">
        <f>IF(_1_54128456121462410464578910174[[#This Row],[Discount selection]]&gt;0,VLOOKUP(_1_54128456121462410464578910174[[#This Row],[Discount selection]],'Discount Structure'!$A$2:$B$30,2,"false"),0)</f>
        <v>1</v>
      </c>
      <c r="L874" s="194">
        <f>_1_54128456121462410464578910174[[#This Row],[LIST $]]*_1_54128456121462410464578910174[[#This Row],[DISCOUNT]]*_1_54128456121462410464578910174[[#This Row],[DISCOUNT 2]]</f>
        <v>0</v>
      </c>
      <c r="M874" s="194">
        <f>IF(OR(_1_54128456121462410464578910174[[#This Row],[UNIT]]&gt;0,_1_54128456121462410464578910174[[#This Row],[UNIT]]&lt;0),_1_54128456121462410464578910174[[#This Row],[UNIT]]*_1_54128456121462410464578910174[[#This Row],[COST]],0)</f>
        <v>0</v>
      </c>
      <c r="N874" s="194">
        <f t="shared" si="13"/>
        <v>1.5</v>
      </c>
      <c r="O874" s="198">
        <f>_1_54128456121462410464578910174[[#This Row],[TOTAL]]*_1_54128456121462410464578910174[[#This Row],[MARGIN]]</f>
        <v>0</v>
      </c>
      <c r="P874" s="198"/>
      <c r="R874" s="41"/>
    </row>
    <row r="875" spans="4:18">
      <c r="D875" s="188"/>
      <c r="E875" s="42"/>
      <c r="F875" s="168" t="s">
        <v>6202</v>
      </c>
      <c r="G875" s="193">
        <f>IF(_1_54128456121462410464578910174[[#This Row],[Type]]&gt;0,VLOOKUP(_1_54128456121462410464578910174[[#This Row],[Type]],Main[[#All],[TYPE]:[UNIT]],'Unit Price'!C$1,FALSE),0)</f>
        <v>0</v>
      </c>
      <c r="H875" s="197">
        <f>IF(_1_54128456121462410464578910174[[#This Row],[Type]]&gt;0,VLOOKUP(_1_54128456121462410464578910174[[#This Row],[Type]],Main[[#All],[TYPE]:[UNIT]],'Unit Price'!D$1,FALSE),0)</f>
        <v>0</v>
      </c>
      <c r="I875" s="194">
        <f>IF(_1_54128456121462410464578910174[[#This Row],[Type]]&gt;0,VLOOKUP(_1_54128456121462410464578910174[[#This Row],[Type]],Main[[#All],[TYPE]:[UNIT]],'Unit Price'!G$1,FALSE),0)</f>
        <v>0</v>
      </c>
      <c r="J875" s="194">
        <f>IF(_1_54128456121462410464578910174[[#This Row],[Type]]&gt;0,VLOOKUP(_1_54128456121462410464578910174[[#This Row],[Type]],Main[[#All],[TYPE]:[UNIT]],'Unit Price'!H$1,FALSE),0)</f>
        <v>0</v>
      </c>
      <c r="K875" s="194">
        <f>IF(_1_54128456121462410464578910174[[#This Row],[Discount selection]]&gt;0,VLOOKUP(_1_54128456121462410464578910174[[#This Row],[Discount selection]],'Discount Structure'!$A$2:$B$30,2,"false"),0)</f>
        <v>1</v>
      </c>
      <c r="L875" s="194">
        <f>_1_54128456121462410464578910174[[#This Row],[LIST $]]*_1_54128456121462410464578910174[[#This Row],[DISCOUNT]]*_1_54128456121462410464578910174[[#This Row],[DISCOUNT 2]]</f>
        <v>0</v>
      </c>
      <c r="M875" s="194">
        <f>IF(OR(_1_54128456121462410464578910174[[#This Row],[UNIT]]&gt;0,_1_54128456121462410464578910174[[#This Row],[UNIT]]&lt;0),_1_54128456121462410464578910174[[#This Row],[UNIT]]*_1_54128456121462410464578910174[[#This Row],[COST]],0)</f>
        <v>0</v>
      </c>
      <c r="N875" s="194">
        <f t="shared" si="13"/>
        <v>1.5</v>
      </c>
      <c r="O875" s="198">
        <f>_1_54128456121462410464578910174[[#This Row],[TOTAL]]*_1_54128456121462410464578910174[[#This Row],[MARGIN]]</f>
        <v>0</v>
      </c>
      <c r="P875" s="198"/>
      <c r="R875" s="41"/>
    </row>
    <row r="876" spans="4:18">
      <c r="D876" s="188"/>
      <c r="E876" s="42"/>
      <c r="F876" s="168" t="s">
        <v>6202</v>
      </c>
      <c r="G876" s="193">
        <f>IF(_1_54128456121462410464578910174[[#This Row],[Type]]&gt;0,VLOOKUP(_1_54128456121462410464578910174[[#This Row],[Type]],Main[[#All],[TYPE]:[UNIT]],'Unit Price'!C$1,FALSE),0)</f>
        <v>0</v>
      </c>
      <c r="H876" s="197">
        <f>IF(_1_54128456121462410464578910174[[#This Row],[Type]]&gt;0,VLOOKUP(_1_54128456121462410464578910174[[#This Row],[Type]],Main[[#All],[TYPE]:[UNIT]],'Unit Price'!D$1,FALSE),0)</f>
        <v>0</v>
      </c>
      <c r="I876" s="194">
        <f>IF(_1_54128456121462410464578910174[[#This Row],[Type]]&gt;0,VLOOKUP(_1_54128456121462410464578910174[[#This Row],[Type]],Main[[#All],[TYPE]:[UNIT]],'Unit Price'!G$1,FALSE),0)</f>
        <v>0</v>
      </c>
      <c r="J876" s="194">
        <f>IF(_1_54128456121462410464578910174[[#This Row],[Type]]&gt;0,VLOOKUP(_1_54128456121462410464578910174[[#This Row],[Type]],Main[[#All],[TYPE]:[UNIT]],'Unit Price'!H$1,FALSE),0)</f>
        <v>0</v>
      </c>
      <c r="K876" s="194">
        <f>IF(_1_54128456121462410464578910174[[#This Row],[Discount selection]]&gt;0,VLOOKUP(_1_54128456121462410464578910174[[#This Row],[Discount selection]],'Discount Structure'!$A$2:$B$30,2,"false"),0)</f>
        <v>1</v>
      </c>
      <c r="L876" s="194">
        <f>_1_54128456121462410464578910174[[#This Row],[LIST $]]*_1_54128456121462410464578910174[[#This Row],[DISCOUNT]]*_1_54128456121462410464578910174[[#This Row],[DISCOUNT 2]]</f>
        <v>0</v>
      </c>
      <c r="M876" s="194">
        <f>IF(OR(_1_54128456121462410464578910174[[#This Row],[UNIT]]&gt;0,_1_54128456121462410464578910174[[#This Row],[UNIT]]&lt;0),_1_54128456121462410464578910174[[#This Row],[UNIT]]*_1_54128456121462410464578910174[[#This Row],[COST]],0)</f>
        <v>0</v>
      </c>
      <c r="N876" s="194">
        <f t="shared" si="13"/>
        <v>1.5</v>
      </c>
      <c r="O876" s="198">
        <f>_1_54128456121462410464578910174[[#This Row],[TOTAL]]*_1_54128456121462410464578910174[[#This Row],[MARGIN]]</f>
        <v>0</v>
      </c>
      <c r="P876" s="198"/>
      <c r="R876" s="41"/>
    </row>
    <row r="877" spans="4:18">
      <c r="D877" s="188"/>
      <c r="E877" s="42"/>
      <c r="F877" s="168" t="s">
        <v>6202</v>
      </c>
      <c r="G877" s="193">
        <f>IF(_1_54128456121462410464578910174[[#This Row],[Type]]&gt;0,VLOOKUP(_1_54128456121462410464578910174[[#This Row],[Type]],Main[[#All],[TYPE]:[UNIT]],'Unit Price'!C$1,FALSE),0)</f>
        <v>0</v>
      </c>
      <c r="H877" s="197">
        <f>IF(_1_54128456121462410464578910174[[#This Row],[Type]]&gt;0,VLOOKUP(_1_54128456121462410464578910174[[#This Row],[Type]],Main[[#All],[TYPE]:[UNIT]],'Unit Price'!D$1,FALSE),0)</f>
        <v>0</v>
      </c>
      <c r="I877" s="194">
        <f>IF(_1_54128456121462410464578910174[[#This Row],[Type]]&gt;0,VLOOKUP(_1_54128456121462410464578910174[[#This Row],[Type]],Main[[#All],[TYPE]:[UNIT]],'Unit Price'!G$1,FALSE),0)</f>
        <v>0</v>
      </c>
      <c r="J877" s="194">
        <f>IF(_1_54128456121462410464578910174[[#This Row],[Type]]&gt;0,VLOOKUP(_1_54128456121462410464578910174[[#This Row],[Type]],Main[[#All],[TYPE]:[UNIT]],'Unit Price'!H$1,FALSE),0)</f>
        <v>0</v>
      </c>
      <c r="K877" s="194">
        <f>IF(_1_54128456121462410464578910174[[#This Row],[Discount selection]]&gt;0,VLOOKUP(_1_54128456121462410464578910174[[#This Row],[Discount selection]],'Discount Structure'!$A$2:$B$30,2,"false"),0)</f>
        <v>1</v>
      </c>
      <c r="L877" s="194">
        <f>_1_54128456121462410464578910174[[#This Row],[LIST $]]*_1_54128456121462410464578910174[[#This Row],[DISCOUNT]]*_1_54128456121462410464578910174[[#This Row],[DISCOUNT 2]]</f>
        <v>0</v>
      </c>
      <c r="M877" s="194">
        <f>IF(OR(_1_54128456121462410464578910174[[#This Row],[UNIT]]&gt;0,_1_54128456121462410464578910174[[#This Row],[UNIT]]&lt;0),_1_54128456121462410464578910174[[#This Row],[UNIT]]*_1_54128456121462410464578910174[[#This Row],[COST]],0)</f>
        <v>0</v>
      </c>
      <c r="N877" s="194">
        <f t="shared" si="13"/>
        <v>1.5</v>
      </c>
      <c r="O877" s="198">
        <f>_1_54128456121462410464578910174[[#This Row],[TOTAL]]*_1_54128456121462410464578910174[[#This Row],[MARGIN]]</f>
        <v>0</v>
      </c>
      <c r="P877" s="198"/>
      <c r="R877" s="41"/>
    </row>
    <row r="878" spans="4:18">
      <c r="D878" s="188"/>
      <c r="E878" s="42"/>
      <c r="F878" s="168" t="s">
        <v>6202</v>
      </c>
      <c r="G878" s="193">
        <f>IF(_1_54128456121462410464578910174[[#This Row],[Type]]&gt;0,VLOOKUP(_1_54128456121462410464578910174[[#This Row],[Type]],Main[[#All],[TYPE]:[UNIT]],'Unit Price'!C$1,FALSE),0)</f>
        <v>0</v>
      </c>
      <c r="H878" s="197">
        <f>IF(_1_54128456121462410464578910174[[#This Row],[Type]]&gt;0,VLOOKUP(_1_54128456121462410464578910174[[#This Row],[Type]],Main[[#All],[TYPE]:[UNIT]],'Unit Price'!D$1,FALSE),0)</f>
        <v>0</v>
      </c>
      <c r="I878" s="194">
        <f>IF(_1_54128456121462410464578910174[[#This Row],[Type]]&gt;0,VLOOKUP(_1_54128456121462410464578910174[[#This Row],[Type]],Main[[#All],[TYPE]:[UNIT]],'Unit Price'!G$1,FALSE),0)</f>
        <v>0</v>
      </c>
      <c r="J878" s="194">
        <f>IF(_1_54128456121462410464578910174[[#This Row],[Type]]&gt;0,VLOOKUP(_1_54128456121462410464578910174[[#This Row],[Type]],Main[[#All],[TYPE]:[UNIT]],'Unit Price'!H$1,FALSE),0)</f>
        <v>0</v>
      </c>
      <c r="K878" s="194">
        <f>IF(_1_54128456121462410464578910174[[#This Row],[Discount selection]]&gt;0,VLOOKUP(_1_54128456121462410464578910174[[#This Row],[Discount selection]],'Discount Structure'!$A$2:$B$30,2,"false"),0)</f>
        <v>1</v>
      </c>
      <c r="L878" s="194">
        <f>_1_54128456121462410464578910174[[#This Row],[LIST $]]*_1_54128456121462410464578910174[[#This Row],[DISCOUNT]]*_1_54128456121462410464578910174[[#This Row],[DISCOUNT 2]]</f>
        <v>0</v>
      </c>
      <c r="M878" s="194">
        <f>IF(OR(_1_54128456121462410464578910174[[#This Row],[UNIT]]&gt;0,_1_54128456121462410464578910174[[#This Row],[UNIT]]&lt;0),_1_54128456121462410464578910174[[#This Row],[UNIT]]*_1_54128456121462410464578910174[[#This Row],[COST]],0)</f>
        <v>0</v>
      </c>
      <c r="N878" s="194">
        <f t="shared" si="13"/>
        <v>1.5</v>
      </c>
      <c r="O878" s="198">
        <f>_1_54128456121462410464578910174[[#This Row],[TOTAL]]*_1_54128456121462410464578910174[[#This Row],[MARGIN]]</f>
        <v>0</v>
      </c>
      <c r="P878" s="198"/>
      <c r="R878" s="41"/>
    </row>
    <row r="879" spans="4:18">
      <c r="D879" s="188"/>
      <c r="E879" s="42"/>
      <c r="F879" s="168" t="s">
        <v>6202</v>
      </c>
      <c r="G879" s="193">
        <f>IF(_1_54128456121462410464578910174[[#This Row],[Type]]&gt;0,VLOOKUP(_1_54128456121462410464578910174[[#This Row],[Type]],Main[[#All],[TYPE]:[UNIT]],'Unit Price'!C$1,FALSE),0)</f>
        <v>0</v>
      </c>
      <c r="H879" s="197">
        <f>IF(_1_54128456121462410464578910174[[#This Row],[Type]]&gt;0,VLOOKUP(_1_54128456121462410464578910174[[#This Row],[Type]],Main[[#All],[TYPE]:[UNIT]],'Unit Price'!D$1,FALSE),0)</f>
        <v>0</v>
      </c>
      <c r="I879" s="194">
        <f>IF(_1_54128456121462410464578910174[[#This Row],[Type]]&gt;0,VLOOKUP(_1_54128456121462410464578910174[[#This Row],[Type]],Main[[#All],[TYPE]:[UNIT]],'Unit Price'!G$1,FALSE),0)</f>
        <v>0</v>
      </c>
      <c r="J879" s="194">
        <f>IF(_1_54128456121462410464578910174[[#This Row],[Type]]&gt;0,VLOOKUP(_1_54128456121462410464578910174[[#This Row],[Type]],Main[[#All],[TYPE]:[UNIT]],'Unit Price'!H$1,FALSE),0)</f>
        <v>0</v>
      </c>
      <c r="K879" s="194">
        <f>IF(_1_54128456121462410464578910174[[#This Row],[Discount selection]]&gt;0,VLOOKUP(_1_54128456121462410464578910174[[#This Row],[Discount selection]],'Discount Structure'!$A$2:$B$30,2,"false"),0)</f>
        <v>1</v>
      </c>
      <c r="L879" s="194">
        <f>_1_54128456121462410464578910174[[#This Row],[LIST $]]*_1_54128456121462410464578910174[[#This Row],[DISCOUNT]]*_1_54128456121462410464578910174[[#This Row],[DISCOUNT 2]]</f>
        <v>0</v>
      </c>
      <c r="M879" s="194">
        <f>IF(OR(_1_54128456121462410464578910174[[#This Row],[UNIT]]&gt;0,_1_54128456121462410464578910174[[#This Row],[UNIT]]&lt;0),_1_54128456121462410464578910174[[#This Row],[UNIT]]*_1_54128456121462410464578910174[[#This Row],[COST]],0)</f>
        <v>0</v>
      </c>
      <c r="N879" s="194">
        <f t="shared" si="13"/>
        <v>1.5</v>
      </c>
      <c r="O879" s="198">
        <f>_1_54128456121462410464578910174[[#This Row],[TOTAL]]*_1_54128456121462410464578910174[[#This Row],[MARGIN]]</f>
        <v>0</v>
      </c>
      <c r="P879" s="198"/>
      <c r="R879" s="41"/>
    </row>
    <row r="880" spans="4:18">
      <c r="D880" s="188"/>
      <c r="E880" s="42"/>
      <c r="F880" s="168" t="s">
        <v>6202</v>
      </c>
      <c r="G880" s="193">
        <f>IF(_1_54128456121462410464578910174[[#This Row],[Type]]&gt;0,VLOOKUP(_1_54128456121462410464578910174[[#This Row],[Type]],Main[[#All],[TYPE]:[UNIT]],'Unit Price'!C$1,FALSE),0)</f>
        <v>0</v>
      </c>
      <c r="H880" s="197">
        <f>IF(_1_54128456121462410464578910174[[#This Row],[Type]]&gt;0,VLOOKUP(_1_54128456121462410464578910174[[#This Row],[Type]],Main[[#All],[TYPE]:[UNIT]],'Unit Price'!D$1,FALSE),0)</f>
        <v>0</v>
      </c>
      <c r="I880" s="194">
        <f>IF(_1_54128456121462410464578910174[[#This Row],[Type]]&gt;0,VLOOKUP(_1_54128456121462410464578910174[[#This Row],[Type]],Main[[#All],[TYPE]:[UNIT]],'Unit Price'!G$1,FALSE),0)</f>
        <v>0</v>
      </c>
      <c r="J880" s="194">
        <f>IF(_1_54128456121462410464578910174[[#This Row],[Type]]&gt;0,VLOOKUP(_1_54128456121462410464578910174[[#This Row],[Type]],Main[[#All],[TYPE]:[UNIT]],'Unit Price'!H$1,FALSE),0)</f>
        <v>0</v>
      </c>
      <c r="K880" s="194">
        <f>IF(_1_54128456121462410464578910174[[#This Row],[Discount selection]]&gt;0,VLOOKUP(_1_54128456121462410464578910174[[#This Row],[Discount selection]],'Discount Structure'!$A$2:$B$30,2,"false"),0)</f>
        <v>1</v>
      </c>
      <c r="L880" s="194">
        <f>_1_54128456121462410464578910174[[#This Row],[LIST $]]*_1_54128456121462410464578910174[[#This Row],[DISCOUNT]]*_1_54128456121462410464578910174[[#This Row],[DISCOUNT 2]]</f>
        <v>0</v>
      </c>
      <c r="M880" s="194">
        <f>IF(OR(_1_54128456121462410464578910174[[#This Row],[UNIT]]&gt;0,_1_54128456121462410464578910174[[#This Row],[UNIT]]&lt;0),_1_54128456121462410464578910174[[#This Row],[UNIT]]*_1_54128456121462410464578910174[[#This Row],[COST]],0)</f>
        <v>0</v>
      </c>
      <c r="N880" s="194">
        <f t="shared" si="13"/>
        <v>1.5</v>
      </c>
      <c r="O880" s="198">
        <f>_1_54128456121462410464578910174[[#This Row],[TOTAL]]*_1_54128456121462410464578910174[[#This Row],[MARGIN]]</f>
        <v>0</v>
      </c>
      <c r="P880" s="198"/>
      <c r="R880" s="41"/>
    </row>
    <row r="881" spans="4:18">
      <c r="D881" s="188"/>
      <c r="E881" s="42"/>
      <c r="F881" s="168" t="s">
        <v>6202</v>
      </c>
      <c r="G881" s="193">
        <f>IF(_1_54128456121462410464578910174[[#This Row],[Type]]&gt;0,VLOOKUP(_1_54128456121462410464578910174[[#This Row],[Type]],Main[[#All],[TYPE]:[UNIT]],'Unit Price'!C$1,FALSE),0)</f>
        <v>0</v>
      </c>
      <c r="H881" s="197">
        <f>IF(_1_54128456121462410464578910174[[#This Row],[Type]]&gt;0,VLOOKUP(_1_54128456121462410464578910174[[#This Row],[Type]],Main[[#All],[TYPE]:[UNIT]],'Unit Price'!D$1,FALSE),0)</f>
        <v>0</v>
      </c>
      <c r="I881" s="194">
        <f>IF(_1_54128456121462410464578910174[[#This Row],[Type]]&gt;0,VLOOKUP(_1_54128456121462410464578910174[[#This Row],[Type]],Main[[#All],[TYPE]:[UNIT]],'Unit Price'!G$1,FALSE),0)</f>
        <v>0</v>
      </c>
      <c r="J881" s="194">
        <f>IF(_1_54128456121462410464578910174[[#This Row],[Type]]&gt;0,VLOOKUP(_1_54128456121462410464578910174[[#This Row],[Type]],Main[[#All],[TYPE]:[UNIT]],'Unit Price'!H$1,FALSE),0)</f>
        <v>0</v>
      </c>
      <c r="K881" s="194">
        <f>IF(_1_54128456121462410464578910174[[#This Row],[Discount selection]]&gt;0,VLOOKUP(_1_54128456121462410464578910174[[#This Row],[Discount selection]],'Discount Structure'!$A$2:$B$30,2,"false"),0)</f>
        <v>1</v>
      </c>
      <c r="L881" s="194">
        <f>_1_54128456121462410464578910174[[#This Row],[LIST $]]*_1_54128456121462410464578910174[[#This Row],[DISCOUNT]]*_1_54128456121462410464578910174[[#This Row],[DISCOUNT 2]]</f>
        <v>0</v>
      </c>
      <c r="M881" s="194">
        <f>IF(OR(_1_54128456121462410464578910174[[#This Row],[UNIT]]&gt;0,_1_54128456121462410464578910174[[#This Row],[UNIT]]&lt;0),_1_54128456121462410464578910174[[#This Row],[UNIT]]*_1_54128456121462410464578910174[[#This Row],[COST]],0)</f>
        <v>0</v>
      </c>
      <c r="N881" s="194">
        <f t="shared" si="13"/>
        <v>1.5</v>
      </c>
      <c r="O881" s="198">
        <f>_1_54128456121462410464578910174[[#This Row],[TOTAL]]*_1_54128456121462410464578910174[[#This Row],[MARGIN]]</f>
        <v>0</v>
      </c>
      <c r="P881" s="198"/>
      <c r="R881" s="41"/>
    </row>
    <row r="882" spans="4:18">
      <c r="D882" s="188"/>
      <c r="E882" s="42"/>
      <c r="F882" s="168" t="s">
        <v>6202</v>
      </c>
      <c r="G882" s="193">
        <f>IF(_1_54128456121462410464578910174[[#This Row],[Type]]&gt;0,VLOOKUP(_1_54128456121462410464578910174[[#This Row],[Type]],Main[[#All],[TYPE]:[UNIT]],'Unit Price'!C$1,FALSE),0)</f>
        <v>0</v>
      </c>
      <c r="H882" s="197">
        <f>IF(_1_54128456121462410464578910174[[#This Row],[Type]]&gt;0,VLOOKUP(_1_54128456121462410464578910174[[#This Row],[Type]],Main[[#All],[TYPE]:[UNIT]],'Unit Price'!D$1,FALSE),0)</f>
        <v>0</v>
      </c>
      <c r="I882" s="194">
        <f>IF(_1_54128456121462410464578910174[[#This Row],[Type]]&gt;0,VLOOKUP(_1_54128456121462410464578910174[[#This Row],[Type]],Main[[#All],[TYPE]:[UNIT]],'Unit Price'!G$1,FALSE),0)</f>
        <v>0</v>
      </c>
      <c r="J882" s="194">
        <f>IF(_1_54128456121462410464578910174[[#This Row],[Type]]&gt;0,VLOOKUP(_1_54128456121462410464578910174[[#This Row],[Type]],Main[[#All],[TYPE]:[UNIT]],'Unit Price'!H$1,FALSE),0)</f>
        <v>0</v>
      </c>
      <c r="K882" s="194">
        <f>IF(_1_54128456121462410464578910174[[#This Row],[Discount selection]]&gt;0,VLOOKUP(_1_54128456121462410464578910174[[#This Row],[Discount selection]],'Discount Structure'!$A$2:$B$30,2,"false"),0)</f>
        <v>1</v>
      </c>
      <c r="L882" s="194">
        <f>_1_54128456121462410464578910174[[#This Row],[LIST $]]*_1_54128456121462410464578910174[[#This Row],[DISCOUNT]]*_1_54128456121462410464578910174[[#This Row],[DISCOUNT 2]]</f>
        <v>0</v>
      </c>
      <c r="M882" s="194">
        <f>IF(OR(_1_54128456121462410464578910174[[#This Row],[UNIT]]&gt;0,_1_54128456121462410464578910174[[#This Row],[UNIT]]&lt;0),_1_54128456121462410464578910174[[#This Row],[UNIT]]*_1_54128456121462410464578910174[[#This Row],[COST]],0)</f>
        <v>0</v>
      </c>
      <c r="N882" s="194">
        <f t="shared" si="13"/>
        <v>1.5</v>
      </c>
      <c r="O882" s="198">
        <f>_1_54128456121462410464578910174[[#This Row],[TOTAL]]*_1_54128456121462410464578910174[[#This Row],[MARGIN]]</f>
        <v>0</v>
      </c>
      <c r="P882" s="198"/>
      <c r="R882" s="41"/>
    </row>
    <row r="883" spans="4:18">
      <c r="D883" s="188"/>
      <c r="E883" s="42"/>
      <c r="F883" s="168" t="s">
        <v>6202</v>
      </c>
      <c r="G883" s="193">
        <f>IF(_1_54128456121462410464578910174[[#This Row],[Type]]&gt;0,VLOOKUP(_1_54128456121462410464578910174[[#This Row],[Type]],Main[[#All],[TYPE]:[UNIT]],'Unit Price'!C$1,FALSE),0)</f>
        <v>0</v>
      </c>
      <c r="H883" s="197">
        <f>IF(_1_54128456121462410464578910174[[#This Row],[Type]]&gt;0,VLOOKUP(_1_54128456121462410464578910174[[#This Row],[Type]],Main[[#All],[TYPE]:[UNIT]],'Unit Price'!D$1,FALSE),0)</f>
        <v>0</v>
      </c>
      <c r="I883" s="194">
        <f>IF(_1_54128456121462410464578910174[[#This Row],[Type]]&gt;0,VLOOKUP(_1_54128456121462410464578910174[[#This Row],[Type]],Main[[#All],[TYPE]:[UNIT]],'Unit Price'!G$1,FALSE),0)</f>
        <v>0</v>
      </c>
      <c r="J883" s="194">
        <f>IF(_1_54128456121462410464578910174[[#This Row],[Type]]&gt;0,VLOOKUP(_1_54128456121462410464578910174[[#This Row],[Type]],Main[[#All],[TYPE]:[UNIT]],'Unit Price'!H$1,FALSE),0)</f>
        <v>0</v>
      </c>
      <c r="K883" s="194">
        <f>IF(_1_54128456121462410464578910174[[#This Row],[Discount selection]]&gt;0,VLOOKUP(_1_54128456121462410464578910174[[#This Row],[Discount selection]],'Discount Structure'!$A$2:$B$30,2,"false"),0)</f>
        <v>1</v>
      </c>
      <c r="L883" s="194">
        <f>_1_54128456121462410464578910174[[#This Row],[LIST $]]*_1_54128456121462410464578910174[[#This Row],[DISCOUNT]]*_1_54128456121462410464578910174[[#This Row],[DISCOUNT 2]]</f>
        <v>0</v>
      </c>
      <c r="M883" s="194">
        <f>IF(OR(_1_54128456121462410464578910174[[#This Row],[UNIT]]&gt;0,_1_54128456121462410464578910174[[#This Row],[UNIT]]&lt;0),_1_54128456121462410464578910174[[#This Row],[UNIT]]*_1_54128456121462410464578910174[[#This Row],[COST]],0)</f>
        <v>0</v>
      </c>
      <c r="N883" s="194">
        <f t="shared" si="13"/>
        <v>1.5</v>
      </c>
      <c r="O883" s="198">
        <f>_1_54128456121462410464578910174[[#This Row],[TOTAL]]*_1_54128456121462410464578910174[[#This Row],[MARGIN]]</f>
        <v>0</v>
      </c>
      <c r="P883" s="198"/>
      <c r="R883" s="41"/>
    </row>
    <row r="884" spans="4:18">
      <c r="D884" s="188"/>
      <c r="E884" s="42"/>
      <c r="F884" s="168" t="s">
        <v>6202</v>
      </c>
      <c r="G884" s="193">
        <f>IF(_1_54128456121462410464578910174[[#This Row],[Type]]&gt;0,VLOOKUP(_1_54128456121462410464578910174[[#This Row],[Type]],Main[[#All],[TYPE]:[UNIT]],'Unit Price'!C$1,FALSE),0)</f>
        <v>0</v>
      </c>
      <c r="H884" s="197">
        <f>IF(_1_54128456121462410464578910174[[#This Row],[Type]]&gt;0,VLOOKUP(_1_54128456121462410464578910174[[#This Row],[Type]],Main[[#All],[TYPE]:[UNIT]],'Unit Price'!D$1,FALSE),0)</f>
        <v>0</v>
      </c>
      <c r="I884" s="194">
        <f>IF(_1_54128456121462410464578910174[[#This Row],[Type]]&gt;0,VLOOKUP(_1_54128456121462410464578910174[[#This Row],[Type]],Main[[#All],[TYPE]:[UNIT]],'Unit Price'!G$1,FALSE),0)</f>
        <v>0</v>
      </c>
      <c r="J884" s="194">
        <f>IF(_1_54128456121462410464578910174[[#This Row],[Type]]&gt;0,VLOOKUP(_1_54128456121462410464578910174[[#This Row],[Type]],Main[[#All],[TYPE]:[UNIT]],'Unit Price'!H$1,FALSE),0)</f>
        <v>0</v>
      </c>
      <c r="K884" s="194">
        <f>IF(_1_54128456121462410464578910174[[#This Row],[Discount selection]]&gt;0,VLOOKUP(_1_54128456121462410464578910174[[#This Row],[Discount selection]],'Discount Structure'!$A$2:$B$30,2,"false"),0)</f>
        <v>1</v>
      </c>
      <c r="L884" s="194">
        <f>_1_54128456121462410464578910174[[#This Row],[LIST $]]*_1_54128456121462410464578910174[[#This Row],[DISCOUNT]]*_1_54128456121462410464578910174[[#This Row],[DISCOUNT 2]]</f>
        <v>0</v>
      </c>
      <c r="M884" s="194">
        <f>IF(OR(_1_54128456121462410464578910174[[#This Row],[UNIT]]&gt;0,_1_54128456121462410464578910174[[#This Row],[UNIT]]&lt;0),_1_54128456121462410464578910174[[#This Row],[UNIT]]*_1_54128456121462410464578910174[[#This Row],[COST]],0)</f>
        <v>0</v>
      </c>
      <c r="N884" s="194">
        <f t="shared" si="13"/>
        <v>1.5</v>
      </c>
      <c r="O884" s="198">
        <f>_1_54128456121462410464578910174[[#This Row],[TOTAL]]*_1_54128456121462410464578910174[[#This Row],[MARGIN]]</f>
        <v>0</v>
      </c>
      <c r="P884" s="198"/>
      <c r="R884" s="41"/>
    </row>
    <row r="885" spans="4:18">
      <c r="D885" s="188"/>
      <c r="E885" s="42"/>
      <c r="F885" s="168" t="s">
        <v>6202</v>
      </c>
      <c r="G885" s="193">
        <f>IF(_1_54128456121462410464578910174[[#This Row],[Type]]&gt;0,VLOOKUP(_1_54128456121462410464578910174[[#This Row],[Type]],Main[[#All],[TYPE]:[UNIT]],'Unit Price'!C$1,FALSE),0)</f>
        <v>0</v>
      </c>
      <c r="H885" s="197">
        <f>IF(_1_54128456121462410464578910174[[#This Row],[Type]]&gt;0,VLOOKUP(_1_54128456121462410464578910174[[#This Row],[Type]],Main[[#All],[TYPE]:[UNIT]],'Unit Price'!D$1,FALSE),0)</f>
        <v>0</v>
      </c>
      <c r="I885" s="194">
        <f>IF(_1_54128456121462410464578910174[[#This Row],[Type]]&gt;0,VLOOKUP(_1_54128456121462410464578910174[[#This Row],[Type]],Main[[#All],[TYPE]:[UNIT]],'Unit Price'!G$1,FALSE),0)</f>
        <v>0</v>
      </c>
      <c r="J885" s="194">
        <f>IF(_1_54128456121462410464578910174[[#This Row],[Type]]&gt;0,VLOOKUP(_1_54128456121462410464578910174[[#This Row],[Type]],Main[[#All],[TYPE]:[UNIT]],'Unit Price'!H$1,FALSE),0)</f>
        <v>0</v>
      </c>
      <c r="K885" s="194">
        <f>IF(_1_54128456121462410464578910174[[#This Row],[Discount selection]]&gt;0,VLOOKUP(_1_54128456121462410464578910174[[#This Row],[Discount selection]],'Discount Structure'!$A$2:$B$30,2,"false"),0)</f>
        <v>1</v>
      </c>
      <c r="L885" s="194">
        <f>_1_54128456121462410464578910174[[#This Row],[LIST $]]*_1_54128456121462410464578910174[[#This Row],[DISCOUNT]]*_1_54128456121462410464578910174[[#This Row],[DISCOUNT 2]]</f>
        <v>0</v>
      </c>
      <c r="M885" s="194">
        <f>IF(OR(_1_54128456121462410464578910174[[#This Row],[UNIT]]&gt;0,_1_54128456121462410464578910174[[#This Row],[UNIT]]&lt;0),_1_54128456121462410464578910174[[#This Row],[UNIT]]*_1_54128456121462410464578910174[[#This Row],[COST]],0)</f>
        <v>0</v>
      </c>
      <c r="N885" s="194">
        <f t="shared" si="13"/>
        <v>1.5</v>
      </c>
      <c r="O885" s="198">
        <f>_1_54128456121462410464578910174[[#This Row],[TOTAL]]*_1_54128456121462410464578910174[[#This Row],[MARGIN]]</f>
        <v>0</v>
      </c>
      <c r="P885" s="198"/>
      <c r="R885" s="41"/>
    </row>
    <row r="886" spans="4:18">
      <c r="D886" s="188"/>
      <c r="E886" s="42"/>
      <c r="F886" s="168" t="s">
        <v>6202</v>
      </c>
      <c r="G886" s="193">
        <f>IF(_1_54128456121462410464578910174[[#This Row],[Type]]&gt;0,VLOOKUP(_1_54128456121462410464578910174[[#This Row],[Type]],Main[[#All],[TYPE]:[UNIT]],'Unit Price'!C$1,FALSE),0)</f>
        <v>0</v>
      </c>
      <c r="H886" s="197">
        <f>IF(_1_54128456121462410464578910174[[#This Row],[Type]]&gt;0,VLOOKUP(_1_54128456121462410464578910174[[#This Row],[Type]],Main[[#All],[TYPE]:[UNIT]],'Unit Price'!D$1,FALSE),0)</f>
        <v>0</v>
      </c>
      <c r="I886" s="194">
        <f>IF(_1_54128456121462410464578910174[[#This Row],[Type]]&gt;0,VLOOKUP(_1_54128456121462410464578910174[[#This Row],[Type]],Main[[#All],[TYPE]:[UNIT]],'Unit Price'!G$1,FALSE),0)</f>
        <v>0</v>
      </c>
      <c r="J886" s="194">
        <f>IF(_1_54128456121462410464578910174[[#This Row],[Type]]&gt;0,VLOOKUP(_1_54128456121462410464578910174[[#This Row],[Type]],Main[[#All],[TYPE]:[UNIT]],'Unit Price'!H$1,FALSE),0)</f>
        <v>0</v>
      </c>
      <c r="K886" s="194">
        <f>IF(_1_54128456121462410464578910174[[#This Row],[Discount selection]]&gt;0,VLOOKUP(_1_54128456121462410464578910174[[#This Row],[Discount selection]],'Discount Structure'!$A$2:$B$30,2,"false"),0)</f>
        <v>1</v>
      </c>
      <c r="L886" s="194">
        <f>_1_54128456121462410464578910174[[#This Row],[LIST $]]*_1_54128456121462410464578910174[[#This Row],[DISCOUNT]]*_1_54128456121462410464578910174[[#This Row],[DISCOUNT 2]]</f>
        <v>0</v>
      </c>
      <c r="M886" s="194">
        <f>IF(OR(_1_54128456121462410464578910174[[#This Row],[UNIT]]&gt;0,_1_54128456121462410464578910174[[#This Row],[UNIT]]&lt;0),_1_54128456121462410464578910174[[#This Row],[UNIT]]*_1_54128456121462410464578910174[[#This Row],[COST]],0)</f>
        <v>0</v>
      </c>
      <c r="N886" s="194">
        <f t="shared" si="13"/>
        <v>1.5</v>
      </c>
      <c r="O886" s="198">
        <f>_1_54128456121462410464578910174[[#This Row],[TOTAL]]*_1_54128456121462410464578910174[[#This Row],[MARGIN]]</f>
        <v>0</v>
      </c>
      <c r="P886" s="198"/>
      <c r="R886" s="41"/>
    </row>
    <row r="887" spans="4:18">
      <c r="D887" s="188"/>
      <c r="E887" s="42"/>
      <c r="F887" s="168" t="s">
        <v>6202</v>
      </c>
      <c r="G887" s="193">
        <f>IF(_1_54128456121462410464578910174[[#This Row],[Type]]&gt;0,VLOOKUP(_1_54128456121462410464578910174[[#This Row],[Type]],Main[[#All],[TYPE]:[UNIT]],'Unit Price'!C$1,FALSE),0)</f>
        <v>0</v>
      </c>
      <c r="H887" s="197">
        <f>IF(_1_54128456121462410464578910174[[#This Row],[Type]]&gt;0,VLOOKUP(_1_54128456121462410464578910174[[#This Row],[Type]],Main[[#All],[TYPE]:[UNIT]],'Unit Price'!D$1,FALSE),0)</f>
        <v>0</v>
      </c>
      <c r="I887" s="194">
        <f>IF(_1_54128456121462410464578910174[[#This Row],[Type]]&gt;0,VLOOKUP(_1_54128456121462410464578910174[[#This Row],[Type]],Main[[#All],[TYPE]:[UNIT]],'Unit Price'!G$1,FALSE),0)</f>
        <v>0</v>
      </c>
      <c r="J887" s="194">
        <f>IF(_1_54128456121462410464578910174[[#This Row],[Type]]&gt;0,VLOOKUP(_1_54128456121462410464578910174[[#This Row],[Type]],Main[[#All],[TYPE]:[UNIT]],'Unit Price'!H$1,FALSE),0)</f>
        <v>0</v>
      </c>
      <c r="K887" s="194">
        <f>IF(_1_54128456121462410464578910174[[#This Row],[Discount selection]]&gt;0,VLOOKUP(_1_54128456121462410464578910174[[#This Row],[Discount selection]],'Discount Structure'!$A$2:$B$30,2,"false"),0)</f>
        <v>1</v>
      </c>
      <c r="L887" s="194">
        <f>_1_54128456121462410464578910174[[#This Row],[LIST $]]*_1_54128456121462410464578910174[[#This Row],[DISCOUNT]]*_1_54128456121462410464578910174[[#This Row],[DISCOUNT 2]]</f>
        <v>0</v>
      </c>
      <c r="M887" s="194">
        <f>IF(OR(_1_54128456121462410464578910174[[#This Row],[UNIT]]&gt;0,_1_54128456121462410464578910174[[#This Row],[UNIT]]&lt;0),_1_54128456121462410464578910174[[#This Row],[UNIT]]*_1_54128456121462410464578910174[[#This Row],[COST]],0)</f>
        <v>0</v>
      </c>
      <c r="N887" s="194">
        <f t="shared" si="13"/>
        <v>1.5</v>
      </c>
      <c r="O887" s="198">
        <f>_1_54128456121462410464578910174[[#This Row],[TOTAL]]*_1_54128456121462410464578910174[[#This Row],[MARGIN]]</f>
        <v>0</v>
      </c>
      <c r="P887" s="198"/>
      <c r="R887" s="41"/>
    </row>
    <row r="888" spans="4:18">
      <c r="D888" s="188"/>
      <c r="E888" s="42"/>
      <c r="F888" s="168" t="s">
        <v>6202</v>
      </c>
      <c r="G888" s="193">
        <f>IF(_1_54128456121462410464578910174[[#This Row],[Type]]&gt;0,VLOOKUP(_1_54128456121462410464578910174[[#This Row],[Type]],Main[[#All],[TYPE]:[UNIT]],'Unit Price'!C$1,FALSE),0)</f>
        <v>0</v>
      </c>
      <c r="H888" s="197">
        <f>IF(_1_54128456121462410464578910174[[#This Row],[Type]]&gt;0,VLOOKUP(_1_54128456121462410464578910174[[#This Row],[Type]],Main[[#All],[TYPE]:[UNIT]],'Unit Price'!D$1,FALSE),0)</f>
        <v>0</v>
      </c>
      <c r="I888" s="194">
        <f>IF(_1_54128456121462410464578910174[[#This Row],[Type]]&gt;0,VLOOKUP(_1_54128456121462410464578910174[[#This Row],[Type]],Main[[#All],[TYPE]:[UNIT]],'Unit Price'!G$1,FALSE),0)</f>
        <v>0</v>
      </c>
      <c r="J888" s="194">
        <f>IF(_1_54128456121462410464578910174[[#This Row],[Type]]&gt;0,VLOOKUP(_1_54128456121462410464578910174[[#This Row],[Type]],Main[[#All],[TYPE]:[UNIT]],'Unit Price'!H$1,FALSE),0)</f>
        <v>0</v>
      </c>
      <c r="K888" s="194">
        <f>IF(_1_54128456121462410464578910174[[#This Row],[Discount selection]]&gt;0,VLOOKUP(_1_54128456121462410464578910174[[#This Row],[Discount selection]],'Discount Structure'!$A$2:$B$30,2,"false"),0)</f>
        <v>1</v>
      </c>
      <c r="L888" s="194">
        <f>_1_54128456121462410464578910174[[#This Row],[LIST $]]*_1_54128456121462410464578910174[[#This Row],[DISCOUNT]]*_1_54128456121462410464578910174[[#This Row],[DISCOUNT 2]]</f>
        <v>0</v>
      </c>
      <c r="M888" s="194">
        <f>IF(OR(_1_54128456121462410464578910174[[#This Row],[UNIT]]&gt;0,_1_54128456121462410464578910174[[#This Row],[UNIT]]&lt;0),_1_54128456121462410464578910174[[#This Row],[UNIT]]*_1_54128456121462410464578910174[[#This Row],[COST]],0)</f>
        <v>0</v>
      </c>
      <c r="N888" s="194">
        <f t="shared" si="13"/>
        <v>1.5</v>
      </c>
      <c r="O888" s="198">
        <f>_1_54128456121462410464578910174[[#This Row],[TOTAL]]*_1_54128456121462410464578910174[[#This Row],[MARGIN]]</f>
        <v>0</v>
      </c>
      <c r="P888" s="198"/>
      <c r="R888" s="41"/>
    </row>
    <row r="889" spans="4:18">
      <c r="D889" s="188"/>
      <c r="E889" s="42"/>
      <c r="F889" s="168" t="s">
        <v>6202</v>
      </c>
      <c r="G889" s="193">
        <f>IF(_1_54128456121462410464578910174[[#This Row],[Type]]&gt;0,VLOOKUP(_1_54128456121462410464578910174[[#This Row],[Type]],Main[[#All],[TYPE]:[UNIT]],'Unit Price'!C$1,FALSE),0)</f>
        <v>0</v>
      </c>
      <c r="H889" s="197">
        <f>IF(_1_54128456121462410464578910174[[#This Row],[Type]]&gt;0,VLOOKUP(_1_54128456121462410464578910174[[#This Row],[Type]],Main[[#All],[TYPE]:[UNIT]],'Unit Price'!D$1,FALSE),0)</f>
        <v>0</v>
      </c>
      <c r="I889" s="194">
        <f>IF(_1_54128456121462410464578910174[[#This Row],[Type]]&gt;0,VLOOKUP(_1_54128456121462410464578910174[[#This Row],[Type]],Main[[#All],[TYPE]:[UNIT]],'Unit Price'!G$1,FALSE),0)</f>
        <v>0</v>
      </c>
      <c r="J889" s="194">
        <f>IF(_1_54128456121462410464578910174[[#This Row],[Type]]&gt;0,VLOOKUP(_1_54128456121462410464578910174[[#This Row],[Type]],Main[[#All],[TYPE]:[UNIT]],'Unit Price'!H$1,FALSE),0)</f>
        <v>0</v>
      </c>
      <c r="K889" s="194">
        <f>IF(_1_54128456121462410464578910174[[#This Row],[Discount selection]]&gt;0,VLOOKUP(_1_54128456121462410464578910174[[#This Row],[Discount selection]],'Discount Structure'!$A$2:$B$30,2,"false"),0)</f>
        <v>1</v>
      </c>
      <c r="L889" s="194">
        <f>_1_54128456121462410464578910174[[#This Row],[LIST $]]*_1_54128456121462410464578910174[[#This Row],[DISCOUNT]]*_1_54128456121462410464578910174[[#This Row],[DISCOUNT 2]]</f>
        <v>0</v>
      </c>
      <c r="M889" s="194">
        <f>IF(OR(_1_54128456121462410464578910174[[#This Row],[UNIT]]&gt;0,_1_54128456121462410464578910174[[#This Row],[UNIT]]&lt;0),_1_54128456121462410464578910174[[#This Row],[UNIT]]*_1_54128456121462410464578910174[[#This Row],[COST]],0)</f>
        <v>0</v>
      </c>
      <c r="N889" s="194">
        <f t="shared" si="13"/>
        <v>1.5</v>
      </c>
      <c r="O889" s="198">
        <f>_1_54128456121462410464578910174[[#This Row],[TOTAL]]*_1_54128456121462410464578910174[[#This Row],[MARGIN]]</f>
        <v>0</v>
      </c>
      <c r="P889" s="198"/>
      <c r="R889" s="41"/>
    </row>
    <row r="890" spans="4:18">
      <c r="D890" s="188"/>
      <c r="E890" s="42"/>
      <c r="F890" s="168" t="s">
        <v>6202</v>
      </c>
      <c r="G890" s="193">
        <f>IF(_1_54128456121462410464578910174[[#This Row],[Type]]&gt;0,VLOOKUP(_1_54128456121462410464578910174[[#This Row],[Type]],Main[[#All],[TYPE]:[UNIT]],'Unit Price'!C$1,FALSE),0)</f>
        <v>0</v>
      </c>
      <c r="H890" s="197">
        <f>IF(_1_54128456121462410464578910174[[#This Row],[Type]]&gt;0,VLOOKUP(_1_54128456121462410464578910174[[#This Row],[Type]],Main[[#All],[TYPE]:[UNIT]],'Unit Price'!D$1,FALSE),0)</f>
        <v>0</v>
      </c>
      <c r="I890" s="194">
        <f>IF(_1_54128456121462410464578910174[[#This Row],[Type]]&gt;0,VLOOKUP(_1_54128456121462410464578910174[[#This Row],[Type]],Main[[#All],[TYPE]:[UNIT]],'Unit Price'!G$1,FALSE),0)</f>
        <v>0</v>
      </c>
      <c r="J890" s="194">
        <f>IF(_1_54128456121462410464578910174[[#This Row],[Type]]&gt;0,VLOOKUP(_1_54128456121462410464578910174[[#This Row],[Type]],Main[[#All],[TYPE]:[UNIT]],'Unit Price'!H$1,FALSE),0)</f>
        <v>0</v>
      </c>
      <c r="K890" s="194">
        <f>IF(_1_54128456121462410464578910174[[#This Row],[Discount selection]]&gt;0,VLOOKUP(_1_54128456121462410464578910174[[#This Row],[Discount selection]],'Discount Structure'!$A$2:$B$30,2,"false"),0)</f>
        <v>1</v>
      </c>
      <c r="L890" s="194">
        <f>_1_54128456121462410464578910174[[#This Row],[LIST $]]*_1_54128456121462410464578910174[[#This Row],[DISCOUNT]]*_1_54128456121462410464578910174[[#This Row],[DISCOUNT 2]]</f>
        <v>0</v>
      </c>
      <c r="M890" s="194">
        <f>IF(OR(_1_54128456121462410464578910174[[#This Row],[UNIT]]&gt;0,_1_54128456121462410464578910174[[#This Row],[UNIT]]&lt;0),_1_54128456121462410464578910174[[#This Row],[UNIT]]*_1_54128456121462410464578910174[[#This Row],[COST]],0)</f>
        <v>0</v>
      </c>
      <c r="N890" s="194">
        <f t="shared" si="13"/>
        <v>1.5</v>
      </c>
      <c r="O890" s="198">
        <f>_1_54128456121462410464578910174[[#This Row],[TOTAL]]*_1_54128456121462410464578910174[[#This Row],[MARGIN]]</f>
        <v>0</v>
      </c>
      <c r="P890" s="198"/>
      <c r="R890" s="41"/>
    </row>
    <row r="891" spans="4:18">
      <c r="D891" s="188"/>
      <c r="E891" s="42"/>
      <c r="F891" s="168" t="s">
        <v>6202</v>
      </c>
      <c r="G891" s="193">
        <f>IF(_1_54128456121462410464578910174[[#This Row],[Type]]&gt;0,VLOOKUP(_1_54128456121462410464578910174[[#This Row],[Type]],Main[[#All],[TYPE]:[UNIT]],'Unit Price'!C$1,FALSE),0)</f>
        <v>0</v>
      </c>
      <c r="H891" s="197">
        <f>IF(_1_54128456121462410464578910174[[#This Row],[Type]]&gt;0,VLOOKUP(_1_54128456121462410464578910174[[#This Row],[Type]],Main[[#All],[TYPE]:[UNIT]],'Unit Price'!D$1,FALSE),0)</f>
        <v>0</v>
      </c>
      <c r="I891" s="194">
        <f>IF(_1_54128456121462410464578910174[[#This Row],[Type]]&gt;0,VLOOKUP(_1_54128456121462410464578910174[[#This Row],[Type]],Main[[#All],[TYPE]:[UNIT]],'Unit Price'!G$1,FALSE),0)</f>
        <v>0</v>
      </c>
      <c r="J891" s="194">
        <f>IF(_1_54128456121462410464578910174[[#This Row],[Type]]&gt;0,VLOOKUP(_1_54128456121462410464578910174[[#This Row],[Type]],Main[[#All],[TYPE]:[UNIT]],'Unit Price'!H$1,FALSE),0)</f>
        <v>0</v>
      </c>
      <c r="K891" s="194">
        <f>IF(_1_54128456121462410464578910174[[#This Row],[Discount selection]]&gt;0,VLOOKUP(_1_54128456121462410464578910174[[#This Row],[Discount selection]],'Discount Structure'!$A$2:$B$30,2,"false"),0)</f>
        <v>1</v>
      </c>
      <c r="L891" s="194">
        <f>_1_54128456121462410464578910174[[#This Row],[LIST $]]*_1_54128456121462410464578910174[[#This Row],[DISCOUNT]]*_1_54128456121462410464578910174[[#This Row],[DISCOUNT 2]]</f>
        <v>0</v>
      </c>
      <c r="M891" s="194">
        <f>IF(OR(_1_54128456121462410464578910174[[#This Row],[UNIT]]&gt;0,_1_54128456121462410464578910174[[#This Row],[UNIT]]&lt;0),_1_54128456121462410464578910174[[#This Row],[UNIT]]*_1_54128456121462410464578910174[[#This Row],[COST]],0)</f>
        <v>0</v>
      </c>
      <c r="N891" s="194">
        <f t="shared" si="13"/>
        <v>1.5</v>
      </c>
      <c r="O891" s="198">
        <f>_1_54128456121462410464578910174[[#This Row],[TOTAL]]*_1_54128456121462410464578910174[[#This Row],[MARGIN]]</f>
        <v>0</v>
      </c>
      <c r="P891" s="198"/>
      <c r="R891" s="41"/>
    </row>
    <row r="892" spans="4:18">
      <c r="D892" s="188"/>
      <c r="E892" s="42"/>
      <c r="F892" s="168" t="s">
        <v>6202</v>
      </c>
      <c r="G892" s="193">
        <f>IF(_1_54128456121462410464578910174[[#This Row],[Type]]&gt;0,VLOOKUP(_1_54128456121462410464578910174[[#This Row],[Type]],Main[[#All],[TYPE]:[UNIT]],'Unit Price'!C$1,FALSE),0)</f>
        <v>0</v>
      </c>
      <c r="H892" s="197">
        <f>IF(_1_54128456121462410464578910174[[#This Row],[Type]]&gt;0,VLOOKUP(_1_54128456121462410464578910174[[#This Row],[Type]],Main[[#All],[TYPE]:[UNIT]],'Unit Price'!D$1,FALSE),0)</f>
        <v>0</v>
      </c>
      <c r="I892" s="194">
        <f>IF(_1_54128456121462410464578910174[[#This Row],[Type]]&gt;0,VLOOKUP(_1_54128456121462410464578910174[[#This Row],[Type]],Main[[#All],[TYPE]:[UNIT]],'Unit Price'!G$1,FALSE),0)</f>
        <v>0</v>
      </c>
      <c r="J892" s="194">
        <f>IF(_1_54128456121462410464578910174[[#This Row],[Type]]&gt;0,VLOOKUP(_1_54128456121462410464578910174[[#This Row],[Type]],Main[[#All],[TYPE]:[UNIT]],'Unit Price'!H$1,FALSE),0)</f>
        <v>0</v>
      </c>
      <c r="K892" s="194">
        <f>IF(_1_54128456121462410464578910174[[#This Row],[Discount selection]]&gt;0,VLOOKUP(_1_54128456121462410464578910174[[#This Row],[Discount selection]],'Discount Structure'!$A$2:$B$30,2,"false"),0)</f>
        <v>1</v>
      </c>
      <c r="L892" s="194">
        <f>_1_54128456121462410464578910174[[#This Row],[LIST $]]*_1_54128456121462410464578910174[[#This Row],[DISCOUNT]]*_1_54128456121462410464578910174[[#This Row],[DISCOUNT 2]]</f>
        <v>0</v>
      </c>
      <c r="M892" s="194">
        <f>IF(OR(_1_54128456121462410464578910174[[#This Row],[UNIT]]&gt;0,_1_54128456121462410464578910174[[#This Row],[UNIT]]&lt;0),_1_54128456121462410464578910174[[#This Row],[UNIT]]*_1_54128456121462410464578910174[[#This Row],[COST]],0)</f>
        <v>0</v>
      </c>
      <c r="N892" s="194">
        <f t="shared" si="13"/>
        <v>1.5</v>
      </c>
      <c r="O892" s="198">
        <f>_1_54128456121462410464578910174[[#This Row],[TOTAL]]*_1_54128456121462410464578910174[[#This Row],[MARGIN]]</f>
        <v>0</v>
      </c>
      <c r="P892" s="198"/>
      <c r="R892" s="41"/>
    </row>
    <row r="893" spans="4:18">
      <c r="D893" s="188"/>
      <c r="E893" s="42"/>
      <c r="F893" s="168" t="s">
        <v>6202</v>
      </c>
      <c r="G893" s="193">
        <f>IF(_1_54128456121462410464578910174[[#This Row],[Type]]&gt;0,VLOOKUP(_1_54128456121462410464578910174[[#This Row],[Type]],Main[[#All],[TYPE]:[UNIT]],'Unit Price'!C$1,FALSE),0)</f>
        <v>0</v>
      </c>
      <c r="H893" s="197">
        <f>IF(_1_54128456121462410464578910174[[#This Row],[Type]]&gt;0,VLOOKUP(_1_54128456121462410464578910174[[#This Row],[Type]],Main[[#All],[TYPE]:[UNIT]],'Unit Price'!D$1,FALSE),0)</f>
        <v>0</v>
      </c>
      <c r="I893" s="194">
        <f>IF(_1_54128456121462410464578910174[[#This Row],[Type]]&gt;0,VLOOKUP(_1_54128456121462410464578910174[[#This Row],[Type]],Main[[#All],[TYPE]:[UNIT]],'Unit Price'!G$1,FALSE),0)</f>
        <v>0</v>
      </c>
      <c r="J893" s="194">
        <f>IF(_1_54128456121462410464578910174[[#This Row],[Type]]&gt;0,VLOOKUP(_1_54128456121462410464578910174[[#This Row],[Type]],Main[[#All],[TYPE]:[UNIT]],'Unit Price'!H$1,FALSE),0)</f>
        <v>0</v>
      </c>
      <c r="K893" s="194">
        <f>IF(_1_54128456121462410464578910174[[#This Row],[Discount selection]]&gt;0,VLOOKUP(_1_54128456121462410464578910174[[#This Row],[Discount selection]],'Discount Structure'!$A$2:$B$30,2,"false"),0)</f>
        <v>1</v>
      </c>
      <c r="L893" s="194">
        <f>_1_54128456121462410464578910174[[#This Row],[LIST $]]*_1_54128456121462410464578910174[[#This Row],[DISCOUNT]]*_1_54128456121462410464578910174[[#This Row],[DISCOUNT 2]]</f>
        <v>0</v>
      </c>
      <c r="M893" s="194">
        <f>IF(OR(_1_54128456121462410464578910174[[#This Row],[UNIT]]&gt;0,_1_54128456121462410464578910174[[#This Row],[UNIT]]&lt;0),_1_54128456121462410464578910174[[#This Row],[UNIT]]*_1_54128456121462410464578910174[[#This Row],[COST]],0)</f>
        <v>0</v>
      </c>
      <c r="N893" s="194">
        <f t="shared" si="13"/>
        <v>1.5</v>
      </c>
      <c r="O893" s="198">
        <f>_1_54128456121462410464578910174[[#This Row],[TOTAL]]*_1_54128456121462410464578910174[[#This Row],[MARGIN]]</f>
        <v>0</v>
      </c>
      <c r="P893" s="198"/>
      <c r="R893" s="41"/>
    </row>
    <row r="894" spans="4:18">
      <c r="D894" s="188"/>
      <c r="E894" s="42"/>
      <c r="F894" s="168" t="s">
        <v>6202</v>
      </c>
      <c r="G894" s="193">
        <f>IF(_1_54128456121462410464578910174[[#This Row],[Type]]&gt;0,VLOOKUP(_1_54128456121462410464578910174[[#This Row],[Type]],Main[[#All],[TYPE]:[UNIT]],'Unit Price'!C$1,FALSE),0)</f>
        <v>0</v>
      </c>
      <c r="H894" s="197">
        <f>IF(_1_54128456121462410464578910174[[#This Row],[Type]]&gt;0,VLOOKUP(_1_54128456121462410464578910174[[#This Row],[Type]],Main[[#All],[TYPE]:[UNIT]],'Unit Price'!D$1,FALSE),0)</f>
        <v>0</v>
      </c>
      <c r="I894" s="194">
        <f>IF(_1_54128456121462410464578910174[[#This Row],[Type]]&gt;0,VLOOKUP(_1_54128456121462410464578910174[[#This Row],[Type]],Main[[#All],[TYPE]:[UNIT]],'Unit Price'!G$1,FALSE),0)</f>
        <v>0</v>
      </c>
      <c r="J894" s="194">
        <f>IF(_1_54128456121462410464578910174[[#This Row],[Type]]&gt;0,VLOOKUP(_1_54128456121462410464578910174[[#This Row],[Type]],Main[[#All],[TYPE]:[UNIT]],'Unit Price'!H$1,FALSE),0)</f>
        <v>0</v>
      </c>
      <c r="K894" s="194">
        <f>IF(_1_54128456121462410464578910174[[#This Row],[Discount selection]]&gt;0,VLOOKUP(_1_54128456121462410464578910174[[#This Row],[Discount selection]],'Discount Structure'!$A$2:$B$30,2,"false"),0)</f>
        <v>1</v>
      </c>
      <c r="L894" s="194">
        <f>_1_54128456121462410464578910174[[#This Row],[LIST $]]*_1_54128456121462410464578910174[[#This Row],[DISCOUNT]]*_1_54128456121462410464578910174[[#This Row],[DISCOUNT 2]]</f>
        <v>0</v>
      </c>
      <c r="M894" s="194">
        <f>IF(OR(_1_54128456121462410464578910174[[#This Row],[UNIT]]&gt;0,_1_54128456121462410464578910174[[#This Row],[UNIT]]&lt;0),_1_54128456121462410464578910174[[#This Row],[UNIT]]*_1_54128456121462410464578910174[[#This Row],[COST]],0)</f>
        <v>0</v>
      </c>
      <c r="N894" s="194">
        <f t="shared" si="13"/>
        <v>1.5</v>
      </c>
      <c r="O894" s="198">
        <f>_1_54128456121462410464578910174[[#This Row],[TOTAL]]*_1_54128456121462410464578910174[[#This Row],[MARGIN]]</f>
        <v>0</v>
      </c>
      <c r="P894" s="198"/>
      <c r="R894" s="41"/>
    </row>
    <row r="895" spans="4:18">
      <c r="D895" s="188"/>
      <c r="E895" s="42"/>
      <c r="F895" s="168" t="s">
        <v>6202</v>
      </c>
      <c r="G895" s="193">
        <f>IF(_1_54128456121462410464578910174[[#This Row],[Type]]&gt;0,VLOOKUP(_1_54128456121462410464578910174[[#This Row],[Type]],Main[[#All],[TYPE]:[UNIT]],'Unit Price'!C$1,FALSE),0)</f>
        <v>0</v>
      </c>
      <c r="H895" s="197">
        <f>IF(_1_54128456121462410464578910174[[#This Row],[Type]]&gt;0,VLOOKUP(_1_54128456121462410464578910174[[#This Row],[Type]],Main[[#All],[TYPE]:[UNIT]],'Unit Price'!D$1,FALSE),0)</f>
        <v>0</v>
      </c>
      <c r="I895" s="194">
        <f>IF(_1_54128456121462410464578910174[[#This Row],[Type]]&gt;0,VLOOKUP(_1_54128456121462410464578910174[[#This Row],[Type]],Main[[#All],[TYPE]:[UNIT]],'Unit Price'!G$1,FALSE),0)</f>
        <v>0</v>
      </c>
      <c r="J895" s="194">
        <f>IF(_1_54128456121462410464578910174[[#This Row],[Type]]&gt;0,VLOOKUP(_1_54128456121462410464578910174[[#This Row],[Type]],Main[[#All],[TYPE]:[UNIT]],'Unit Price'!H$1,FALSE),0)</f>
        <v>0</v>
      </c>
      <c r="K895" s="194">
        <f>IF(_1_54128456121462410464578910174[[#This Row],[Discount selection]]&gt;0,VLOOKUP(_1_54128456121462410464578910174[[#This Row],[Discount selection]],'Discount Structure'!$A$2:$B$30,2,"false"),0)</f>
        <v>1</v>
      </c>
      <c r="L895" s="194">
        <f>_1_54128456121462410464578910174[[#This Row],[LIST $]]*_1_54128456121462410464578910174[[#This Row],[DISCOUNT]]*_1_54128456121462410464578910174[[#This Row],[DISCOUNT 2]]</f>
        <v>0</v>
      </c>
      <c r="M895" s="194">
        <f>IF(OR(_1_54128456121462410464578910174[[#This Row],[UNIT]]&gt;0,_1_54128456121462410464578910174[[#This Row],[UNIT]]&lt;0),_1_54128456121462410464578910174[[#This Row],[UNIT]]*_1_54128456121462410464578910174[[#This Row],[COST]],0)</f>
        <v>0</v>
      </c>
      <c r="N895" s="194">
        <f t="shared" si="13"/>
        <v>1.5</v>
      </c>
      <c r="O895" s="198">
        <f>_1_54128456121462410464578910174[[#This Row],[TOTAL]]*_1_54128456121462410464578910174[[#This Row],[MARGIN]]</f>
        <v>0</v>
      </c>
      <c r="P895" s="198"/>
      <c r="R895" s="41"/>
    </row>
    <row r="896" spans="4:18">
      <c r="D896" s="188"/>
      <c r="E896" s="42"/>
      <c r="F896" s="168" t="s">
        <v>6202</v>
      </c>
      <c r="G896" s="193">
        <f>IF(_1_54128456121462410464578910174[[#This Row],[Type]]&gt;0,VLOOKUP(_1_54128456121462410464578910174[[#This Row],[Type]],Main[[#All],[TYPE]:[UNIT]],'Unit Price'!C$1,FALSE),0)</f>
        <v>0</v>
      </c>
      <c r="H896" s="197">
        <f>IF(_1_54128456121462410464578910174[[#This Row],[Type]]&gt;0,VLOOKUP(_1_54128456121462410464578910174[[#This Row],[Type]],Main[[#All],[TYPE]:[UNIT]],'Unit Price'!D$1,FALSE),0)</f>
        <v>0</v>
      </c>
      <c r="I896" s="194">
        <f>IF(_1_54128456121462410464578910174[[#This Row],[Type]]&gt;0,VLOOKUP(_1_54128456121462410464578910174[[#This Row],[Type]],Main[[#All],[TYPE]:[UNIT]],'Unit Price'!G$1,FALSE),0)</f>
        <v>0</v>
      </c>
      <c r="J896" s="194">
        <f>IF(_1_54128456121462410464578910174[[#This Row],[Type]]&gt;0,VLOOKUP(_1_54128456121462410464578910174[[#This Row],[Type]],Main[[#All],[TYPE]:[UNIT]],'Unit Price'!H$1,FALSE),0)</f>
        <v>0</v>
      </c>
      <c r="K896" s="194">
        <f>IF(_1_54128456121462410464578910174[[#This Row],[Discount selection]]&gt;0,VLOOKUP(_1_54128456121462410464578910174[[#This Row],[Discount selection]],'Discount Structure'!$A$2:$B$30,2,"false"),0)</f>
        <v>1</v>
      </c>
      <c r="L896" s="194">
        <f>_1_54128456121462410464578910174[[#This Row],[LIST $]]*_1_54128456121462410464578910174[[#This Row],[DISCOUNT]]*_1_54128456121462410464578910174[[#This Row],[DISCOUNT 2]]</f>
        <v>0</v>
      </c>
      <c r="M896" s="194">
        <f>IF(OR(_1_54128456121462410464578910174[[#This Row],[UNIT]]&gt;0,_1_54128456121462410464578910174[[#This Row],[UNIT]]&lt;0),_1_54128456121462410464578910174[[#This Row],[UNIT]]*_1_54128456121462410464578910174[[#This Row],[COST]],0)</f>
        <v>0</v>
      </c>
      <c r="N896" s="194">
        <f t="shared" si="13"/>
        <v>1.5</v>
      </c>
      <c r="O896" s="198">
        <f>_1_54128456121462410464578910174[[#This Row],[TOTAL]]*_1_54128456121462410464578910174[[#This Row],[MARGIN]]</f>
        <v>0</v>
      </c>
      <c r="P896" s="198"/>
      <c r="R896" s="41"/>
    </row>
    <row r="897" spans="4:18">
      <c r="D897" s="188"/>
      <c r="E897" s="42"/>
      <c r="F897" s="168" t="s">
        <v>6202</v>
      </c>
      <c r="G897" s="193">
        <f>IF(_1_54128456121462410464578910174[[#This Row],[Type]]&gt;0,VLOOKUP(_1_54128456121462410464578910174[[#This Row],[Type]],Main[[#All],[TYPE]:[UNIT]],'Unit Price'!C$1,FALSE),0)</f>
        <v>0</v>
      </c>
      <c r="H897" s="197">
        <f>IF(_1_54128456121462410464578910174[[#This Row],[Type]]&gt;0,VLOOKUP(_1_54128456121462410464578910174[[#This Row],[Type]],Main[[#All],[TYPE]:[UNIT]],'Unit Price'!D$1,FALSE),0)</f>
        <v>0</v>
      </c>
      <c r="I897" s="194">
        <f>IF(_1_54128456121462410464578910174[[#This Row],[Type]]&gt;0,VLOOKUP(_1_54128456121462410464578910174[[#This Row],[Type]],Main[[#All],[TYPE]:[UNIT]],'Unit Price'!G$1,FALSE),0)</f>
        <v>0</v>
      </c>
      <c r="J897" s="194">
        <f>IF(_1_54128456121462410464578910174[[#This Row],[Type]]&gt;0,VLOOKUP(_1_54128456121462410464578910174[[#This Row],[Type]],Main[[#All],[TYPE]:[UNIT]],'Unit Price'!H$1,FALSE),0)</f>
        <v>0</v>
      </c>
      <c r="K897" s="194">
        <f>IF(_1_54128456121462410464578910174[[#This Row],[Discount selection]]&gt;0,VLOOKUP(_1_54128456121462410464578910174[[#This Row],[Discount selection]],'Discount Structure'!$A$2:$B$30,2,"false"),0)</f>
        <v>1</v>
      </c>
      <c r="L897" s="194">
        <f>_1_54128456121462410464578910174[[#This Row],[LIST $]]*_1_54128456121462410464578910174[[#This Row],[DISCOUNT]]*_1_54128456121462410464578910174[[#This Row],[DISCOUNT 2]]</f>
        <v>0</v>
      </c>
      <c r="M897" s="194">
        <f>IF(OR(_1_54128456121462410464578910174[[#This Row],[UNIT]]&gt;0,_1_54128456121462410464578910174[[#This Row],[UNIT]]&lt;0),_1_54128456121462410464578910174[[#This Row],[UNIT]]*_1_54128456121462410464578910174[[#This Row],[COST]],0)</f>
        <v>0</v>
      </c>
      <c r="N897" s="194">
        <f t="shared" si="13"/>
        <v>1.5</v>
      </c>
      <c r="O897" s="198">
        <f>_1_54128456121462410464578910174[[#This Row],[TOTAL]]*_1_54128456121462410464578910174[[#This Row],[MARGIN]]</f>
        <v>0</v>
      </c>
      <c r="P897" s="198"/>
      <c r="R897" s="41"/>
    </row>
    <row r="898" spans="4:18">
      <c r="D898" s="188"/>
      <c r="E898" s="42"/>
      <c r="F898" s="168" t="s">
        <v>6202</v>
      </c>
      <c r="G898" s="193">
        <f>IF(_1_54128456121462410464578910174[[#This Row],[Type]]&gt;0,VLOOKUP(_1_54128456121462410464578910174[[#This Row],[Type]],Main[[#All],[TYPE]:[UNIT]],'Unit Price'!C$1,FALSE),0)</f>
        <v>0</v>
      </c>
      <c r="H898" s="197">
        <f>IF(_1_54128456121462410464578910174[[#This Row],[Type]]&gt;0,VLOOKUP(_1_54128456121462410464578910174[[#This Row],[Type]],Main[[#All],[TYPE]:[UNIT]],'Unit Price'!D$1,FALSE),0)</f>
        <v>0</v>
      </c>
      <c r="I898" s="194">
        <f>IF(_1_54128456121462410464578910174[[#This Row],[Type]]&gt;0,VLOOKUP(_1_54128456121462410464578910174[[#This Row],[Type]],Main[[#All],[TYPE]:[UNIT]],'Unit Price'!G$1,FALSE),0)</f>
        <v>0</v>
      </c>
      <c r="J898" s="194">
        <f>IF(_1_54128456121462410464578910174[[#This Row],[Type]]&gt;0,VLOOKUP(_1_54128456121462410464578910174[[#This Row],[Type]],Main[[#All],[TYPE]:[UNIT]],'Unit Price'!H$1,FALSE),0)</f>
        <v>0</v>
      </c>
      <c r="K898" s="194">
        <f>IF(_1_54128456121462410464578910174[[#This Row],[Discount selection]]&gt;0,VLOOKUP(_1_54128456121462410464578910174[[#This Row],[Discount selection]],'Discount Structure'!$A$2:$B$30,2,"false"),0)</f>
        <v>1</v>
      </c>
      <c r="L898" s="194">
        <f>_1_54128456121462410464578910174[[#This Row],[LIST $]]*_1_54128456121462410464578910174[[#This Row],[DISCOUNT]]*_1_54128456121462410464578910174[[#This Row],[DISCOUNT 2]]</f>
        <v>0</v>
      </c>
      <c r="M898" s="194">
        <f>IF(OR(_1_54128456121462410464578910174[[#This Row],[UNIT]]&gt;0,_1_54128456121462410464578910174[[#This Row],[UNIT]]&lt;0),_1_54128456121462410464578910174[[#This Row],[UNIT]]*_1_54128456121462410464578910174[[#This Row],[COST]],0)</f>
        <v>0</v>
      </c>
      <c r="N898" s="194">
        <f t="shared" si="13"/>
        <v>1.5</v>
      </c>
      <c r="O898" s="198">
        <f>_1_54128456121462410464578910174[[#This Row],[TOTAL]]*_1_54128456121462410464578910174[[#This Row],[MARGIN]]</f>
        <v>0</v>
      </c>
      <c r="P898" s="198"/>
      <c r="R898" s="41"/>
    </row>
    <row r="899" spans="4:18">
      <c r="D899" s="188"/>
      <c r="E899" s="42"/>
      <c r="F899" s="168" t="s">
        <v>6202</v>
      </c>
      <c r="G899" s="193">
        <f>IF(_1_54128456121462410464578910174[[#This Row],[Type]]&gt;0,VLOOKUP(_1_54128456121462410464578910174[[#This Row],[Type]],Main[[#All],[TYPE]:[UNIT]],'Unit Price'!C$1,FALSE),0)</f>
        <v>0</v>
      </c>
      <c r="H899" s="197">
        <f>IF(_1_54128456121462410464578910174[[#This Row],[Type]]&gt;0,VLOOKUP(_1_54128456121462410464578910174[[#This Row],[Type]],Main[[#All],[TYPE]:[UNIT]],'Unit Price'!D$1,FALSE),0)</f>
        <v>0</v>
      </c>
      <c r="I899" s="194">
        <f>IF(_1_54128456121462410464578910174[[#This Row],[Type]]&gt;0,VLOOKUP(_1_54128456121462410464578910174[[#This Row],[Type]],Main[[#All],[TYPE]:[UNIT]],'Unit Price'!G$1,FALSE),0)</f>
        <v>0</v>
      </c>
      <c r="J899" s="194">
        <f>IF(_1_54128456121462410464578910174[[#This Row],[Type]]&gt;0,VLOOKUP(_1_54128456121462410464578910174[[#This Row],[Type]],Main[[#All],[TYPE]:[UNIT]],'Unit Price'!H$1,FALSE),0)</f>
        <v>0</v>
      </c>
      <c r="K899" s="194">
        <f>IF(_1_54128456121462410464578910174[[#This Row],[Discount selection]]&gt;0,VLOOKUP(_1_54128456121462410464578910174[[#This Row],[Discount selection]],'Discount Structure'!$A$2:$B$30,2,"false"),0)</f>
        <v>1</v>
      </c>
      <c r="L899" s="194">
        <f>_1_54128456121462410464578910174[[#This Row],[LIST $]]*_1_54128456121462410464578910174[[#This Row],[DISCOUNT]]*_1_54128456121462410464578910174[[#This Row],[DISCOUNT 2]]</f>
        <v>0</v>
      </c>
      <c r="M899" s="194">
        <f>IF(OR(_1_54128456121462410464578910174[[#This Row],[UNIT]]&gt;0,_1_54128456121462410464578910174[[#This Row],[UNIT]]&lt;0),_1_54128456121462410464578910174[[#This Row],[UNIT]]*_1_54128456121462410464578910174[[#This Row],[COST]],0)</f>
        <v>0</v>
      </c>
      <c r="N899" s="194">
        <f t="shared" si="13"/>
        <v>1.5</v>
      </c>
      <c r="O899" s="198">
        <f>_1_54128456121462410464578910174[[#This Row],[TOTAL]]*_1_54128456121462410464578910174[[#This Row],[MARGIN]]</f>
        <v>0</v>
      </c>
      <c r="P899" s="198"/>
      <c r="R899" s="41"/>
    </row>
    <row r="900" spans="4:18">
      <c r="D900" s="188"/>
      <c r="E900" s="42"/>
      <c r="F900" s="168" t="s">
        <v>6202</v>
      </c>
      <c r="G900" s="193">
        <f>IF(_1_54128456121462410464578910174[[#This Row],[Type]]&gt;0,VLOOKUP(_1_54128456121462410464578910174[[#This Row],[Type]],Main[[#All],[TYPE]:[UNIT]],'Unit Price'!C$1,FALSE),0)</f>
        <v>0</v>
      </c>
      <c r="H900" s="197">
        <f>IF(_1_54128456121462410464578910174[[#This Row],[Type]]&gt;0,VLOOKUP(_1_54128456121462410464578910174[[#This Row],[Type]],Main[[#All],[TYPE]:[UNIT]],'Unit Price'!D$1,FALSE),0)</f>
        <v>0</v>
      </c>
      <c r="I900" s="194">
        <f>IF(_1_54128456121462410464578910174[[#This Row],[Type]]&gt;0,VLOOKUP(_1_54128456121462410464578910174[[#This Row],[Type]],Main[[#All],[TYPE]:[UNIT]],'Unit Price'!G$1,FALSE),0)</f>
        <v>0</v>
      </c>
      <c r="J900" s="194">
        <f>IF(_1_54128456121462410464578910174[[#This Row],[Type]]&gt;0,VLOOKUP(_1_54128456121462410464578910174[[#This Row],[Type]],Main[[#All],[TYPE]:[UNIT]],'Unit Price'!H$1,FALSE),0)</f>
        <v>0</v>
      </c>
      <c r="K900" s="194">
        <f>IF(_1_54128456121462410464578910174[[#This Row],[Discount selection]]&gt;0,VLOOKUP(_1_54128456121462410464578910174[[#This Row],[Discount selection]],'Discount Structure'!$A$2:$B$30,2,"false"),0)</f>
        <v>1</v>
      </c>
      <c r="L900" s="194">
        <f>_1_54128456121462410464578910174[[#This Row],[LIST $]]*_1_54128456121462410464578910174[[#This Row],[DISCOUNT]]*_1_54128456121462410464578910174[[#This Row],[DISCOUNT 2]]</f>
        <v>0</v>
      </c>
      <c r="M900" s="194">
        <f>IF(OR(_1_54128456121462410464578910174[[#This Row],[UNIT]]&gt;0,_1_54128456121462410464578910174[[#This Row],[UNIT]]&lt;0),_1_54128456121462410464578910174[[#This Row],[UNIT]]*_1_54128456121462410464578910174[[#This Row],[COST]],0)</f>
        <v>0</v>
      </c>
      <c r="N900" s="194">
        <f t="shared" si="13"/>
        <v>1.5</v>
      </c>
      <c r="O900" s="198">
        <f>_1_54128456121462410464578910174[[#This Row],[TOTAL]]*_1_54128456121462410464578910174[[#This Row],[MARGIN]]</f>
        <v>0</v>
      </c>
      <c r="P900" s="198"/>
      <c r="R900" s="41"/>
    </row>
    <row r="901" spans="4:18">
      <c r="D901" s="188"/>
      <c r="E901" s="42"/>
      <c r="F901" s="168" t="s">
        <v>6202</v>
      </c>
      <c r="G901" s="193">
        <f>IF(_1_54128456121462410464578910174[[#This Row],[Type]]&gt;0,VLOOKUP(_1_54128456121462410464578910174[[#This Row],[Type]],Main[[#All],[TYPE]:[UNIT]],'Unit Price'!C$1,FALSE),0)</f>
        <v>0</v>
      </c>
      <c r="H901" s="197">
        <f>IF(_1_54128456121462410464578910174[[#This Row],[Type]]&gt;0,VLOOKUP(_1_54128456121462410464578910174[[#This Row],[Type]],Main[[#All],[TYPE]:[UNIT]],'Unit Price'!D$1,FALSE),0)</f>
        <v>0</v>
      </c>
      <c r="I901" s="194">
        <f>IF(_1_54128456121462410464578910174[[#This Row],[Type]]&gt;0,VLOOKUP(_1_54128456121462410464578910174[[#This Row],[Type]],Main[[#All],[TYPE]:[UNIT]],'Unit Price'!G$1,FALSE),0)</f>
        <v>0</v>
      </c>
      <c r="J901" s="194">
        <f>IF(_1_54128456121462410464578910174[[#This Row],[Type]]&gt;0,VLOOKUP(_1_54128456121462410464578910174[[#This Row],[Type]],Main[[#All],[TYPE]:[UNIT]],'Unit Price'!H$1,FALSE),0)</f>
        <v>0</v>
      </c>
      <c r="K901" s="194">
        <f>IF(_1_54128456121462410464578910174[[#This Row],[Discount selection]]&gt;0,VLOOKUP(_1_54128456121462410464578910174[[#This Row],[Discount selection]],'Discount Structure'!$A$2:$B$30,2,"false"),0)</f>
        <v>1</v>
      </c>
      <c r="L901" s="194">
        <f>_1_54128456121462410464578910174[[#This Row],[LIST $]]*_1_54128456121462410464578910174[[#This Row],[DISCOUNT]]*_1_54128456121462410464578910174[[#This Row],[DISCOUNT 2]]</f>
        <v>0</v>
      </c>
      <c r="M901" s="194">
        <f>IF(OR(_1_54128456121462410464578910174[[#This Row],[UNIT]]&gt;0,_1_54128456121462410464578910174[[#This Row],[UNIT]]&lt;0),_1_54128456121462410464578910174[[#This Row],[UNIT]]*_1_54128456121462410464578910174[[#This Row],[COST]],0)</f>
        <v>0</v>
      </c>
      <c r="N901" s="194">
        <f t="shared" si="13"/>
        <v>1.5</v>
      </c>
      <c r="O901" s="198">
        <f>_1_54128456121462410464578910174[[#This Row],[TOTAL]]*_1_54128456121462410464578910174[[#This Row],[MARGIN]]</f>
        <v>0</v>
      </c>
      <c r="P901" s="198"/>
      <c r="R901" s="41"/>
    </row>
    <row r="902" spans="4:18">
      <c r="D902" s="188"/>
      <c r="E902" s="42"/>
      <c r="F902" s="168" t="s">
        <v>6202</v>
      </c>
      <c r="G902" s="193">
        <f>IF(_1_54128456121462410464578910174[[#This Row],[Type]]&gt;0,VLOOKUP(_1_54128456121462410464578910174[[#This Row],[Type]],Main[[#All],[TYPE]:[UNIT]],'Unit Price'!C$1,FALSE),0)</f>
        <v>0</v>
      </c>
      <c r="H902" s="197">
        <f>IF(_1_54128456121462410464578910174[[#This Row],[Type]]&gt;0,VLOOKUP(_1_54128456121462410464578910174[[#This Row],[Type]],Main[[#All],[TYPE]:[UNIT]],'Unit Price'!D$1,FALSE),0)</f>
        <v>0</v>
      </c>
      <c r="I902" s="194">
        <f>IF(_1_54128456121462410464578910174[[#This Row],[Type]]&gt;0,VLOOKUP(_1_54128456121462410464578910174[[#This Row],[Type]],Main[[#All],[TYPE]:[UNIT]],'Unit Price'!G$1,FALSE),0)</f>
        <v>0</v>
      </c>
      <c r="J902" s="194">
        <f>IF(_1_54128456121462410464578910174[[#This Row],[Type]]&gt;0,VLOOKUP(_1_54128456121462410464578910174[[#This Row],[Type]],Main[[#All],[TYPE]:[UNIT]],'Unit Price'!H$1,FALSE),0)</f>
        <v>0</v>
      </c>
      <c r="K902" s="194">
        <f>IF(_1_54128456121462410464578910174[[#This Row],[Discount selection]]&gt;0,VLOOKUP(_1_54128456121462410464578910174[[#This Row],[Discount selection]],'Discount Structure'!$A$2:$B$30,2,"false"),0)</f>
        <v>1</v>
      </c>
      <c r="L902" s="194">
        <f>_1_54128456121462410464578910174[[#This Row],[LIST $]]*_1_54128456121462410464578910174[[#This Row],[DISCOUNT]]*_1_54128456121462410464578910174[[#This Row],[DISCOUNT 2]]</f>
        <v>0</v>
      </c>
      <c r="M902" s="194">
        <f>IF(OR(_1_54128456121462410464578910174[[#This Row],[UNIT]]&gt;0,_1_54128456121462410464578910174[[#This Row],[UNIT]]&lt;0),_1_54128456121462410464578910174[[#This Row],[UNIT]]*_1_54128456121462410464578910174[[#This Row],[COST]],0)</f>
        <v>0</v>
      </c>
      <c r="N902" s="194">
        <f t="shared" si="13"/>
        <v>1.5</v>
      </c>
      <c r="O902" s="198">
        <f>_1_54128456121462410464578910174[[#This Row],[TOTAL]]*_1_54128456121462410464578910174[[#This Row],[MARGIN]]</f>
        <v>0</v>
      </c>
      <c r="P902" s="198"/>
      <c r="R902" s="41"/>
    </row>
    <row r="903" spans="4:18">
      <c r="D903" s="188"/>
      <c r="E903" s="42"/>
      <c r="F903" s="168" t="s">
        <v>6202</v>
      </c>
      <c r="G903" s="193">
        <f>IF(_1_54128456121462410464578910174[[#This Row],[Type]]&gt;0,VLOOKUP(_1_54128456121462410464578910174[[#This Row],[Type]],Main[[#All],[TYPE]:[UNIT]],'Unit Price'!C$1,FALSE),0)</f>
        <v>0</v>
      </c>
      <c r="H903" s="197">
        <f>IF(_1_54128456121462410464578910174[[#This Row],[Type]]&gt;0,VLOOKUP(_1_54128456121462410464578910174[[#This Row],[Type]],Main[[#All],[TYPE]:[UNIT]],'Unit Price'!D$1,FALSE),0)</f>
        <v>0</v>
      </c>
      <c r="I903" s="194">
        <f>IF(_1_54128456121462410464578910174[[#This Row],[Type]]&gt;0,VLOOKUP(_1_54128456121462410464578910174[[#This Row],[Type]],Main[[#All],[TYPE]:[UNIT]],'Unit Price'!G$1,FALSE),0)</f>
        <v>0</v>
      </c>
      <c r="J903" s="194">
        <f>IF(_1_54128456121462410464578910174[[#This Row],[Type]]&gt;0,VLOOKUP(_1_54128456121462410464578910174[[#This Row],[Type]],Main[[#All],[TYPE]:[UNIT]],'Unit Price'!H$1,FALSE),0)</f>
        <v>0</v>
      </c>
      <c r="K903" s="194">
        <f>IF(_1_54128456121462410464578910174[[#This Row],[Discount selection]]&gt;0,VLOOKUP(_1_54128456121462410464578910174[[#This Row],[Discount selection]],'Discount Structure'!$A$2:$B$30,2,"false"),0)</f>
        <v>1</v>
      </c>
      <c r="L903" s="194">
        <f>_1_54128456121462410464578910174[[#This Row],[LIST $]]*_1_54128456121462410464578910174[[#This Row],[DISCOUNT]]*_1_54128456121462410464578910174[[#This Row],[DISCOUNT 2]]</f>
        <v>0</v>
      </c>
      <c r="M903" s="194">
        <f>IF(OR(_1_54128456121462410464578910174[[#This Row],[UNIT]]&gt;0,_1_54128456121462410464578910174[[#This Row],[UNIT]]&lt;0),_1_54128456121462410464578910174[[#This Row],[UNIT]]*_1_54128456121462410464578910174[[#This Row],[COST]],0)</f>
        <v>0</v>
      </c>
      <c r="N903" s="194">
        <f t="shared" si="13"/>
        <v>1.5</v>
      </c>
      <c r="O903" s="198">
        <f>_1_54128456121462410464578910174[[#This Row],[TOTAL]]*_1_54128456121462410464578910174[[#This Row],[MARGIN]]</f>
        <v>0</v>
      </c>
      <c r="P903" s="198"/>
      <c r="R903" s="41"/>
    </row>
    <row r="904" spans="4:18">
      <c r="D904" s="188"/>
      <c r="E904" s="42"/>
      <c r="F904" s="168" t="s">
        <v>6202</v>
      </c>
      <c r="G904" s="193">
        <f>IF(_1_54128456121462410464578910174[[#This Row],[Type]]&gt;0,VLOOKUP(_1_54128456121462410464578910174[[#This Row],[Type]],Main[[#All],[TYPE]:[UNIT]],'Unit Price'!C$1,FALSE),0)</f>
        <v>0</v>
      </c>
      <c r="H904" s="197">
        <f>IF(_1_54128456121462410464578910174[[#This Row],[Type]]&gt;0,VLOOKUP(_1_54128456121462410464578910174[[#This Row],[Type]],Main[[#All],[TYPE]:[UNIT]],'Unit Price'!D$1,FALSE),0)</f>
        <v>0</v>
      </c>
      <c r="I904" s="194">
        <f>IF(_1_54128456121462410464578910174[[#This Row],[Type]]&gt;0,VLOOKUP(_1_54128456121462410464578910174[[#This Row],[Type]],Main[[#All],[TYPE]:[UNIT]],'Unit Price'!G$1,FALSE),0)</f>
        <v>0</v>
      </c>
      <c r="J904" s="194">
        <f>IF(_1_54128456121462410464578910174[[#This Row],[Type]]&gt;0,VLOOKUP(_1_54128456121462410464578910174[[#This Row],[Type]],Main[[#All],[TYPE]:[UNIT]],'Unit Price'!H$1,FALSE),0)</f>
        <v>0</v>
      </c>
      <c r="K904" s="194">
        <f>IF(_1_54128456121462410464578910174[[#This Row],[Discount selection]]&gt;0,VLOOKUP(_1_54128456121462410464578910174[[#This Row],[Discount selection]],'Discount Structure'!$A$2:$B$30,2,"false"),0)</f>
        <v>1</v>
      </c>
      <c r="L904" s="194">
        <f>_1_54128456121462410464578910174[[#This Row],[LIST $]]*_1_54128456121462410464578910174[[#This Row],[DISCOUNT]]*_1_54128456121462410464578910174[[#This Row],[DISCOUNT 2]]</f>
        <v>0</v>
      </c>
      <c r="M904" s="194">
        <f>IF(OR(_1_54128456121462410464578910174[[#This Row],[UNIT]]&gt;0,_1_54128456121462410464578910174[[#This Row],[UNIT]]&lt;0),_1_54128456121462410464578910174[[#This Row],[UNIT]]*_1_54128456121462410464578910174[[#This Row],[COST]],0)</f>
        <v>0</v>
      </c>
      <c r="N904" s="194">
        <f t="shared" si="13"/>
        <v>1.5</v>
      </c>
      <c r="O904" s="198">
        <f>_1_54128456121462410464578910174[[#This Row],[TOTAL]]*_1_54128456121462410464578910174[[#This Row],[MARGIN]]</f>
        <v>0</v>
      </c>
      <c r="P904" s="198"/>
      <c r="R904" s="41"/>
    </row>
    <row r="905" spans="4:18">
      <c r="D905" s="188"/>
      <c r="E905" s="42"/>
      <c r="F905" s="168" t="s">
        <v>6202</v>
      </c>
      <c r="G905" s="193">
        <f>IF(_1_54128456121462410464578910174[[#This Row],[Type]]&gt;0,VLOOKUP(_1_54128456121462410464578910174[[#This Row],[Type]],Main[[#All],[TYPE]:[UNIT]],'Unit Price'!C$1,FALSE),0)</f>
        <v>0</v>
      </c>
      <c r="H905" s="197">
        <f>IF(_1_54128456121462410464578910174[[#This Row],[Type]]&gt;0,VLOOKUP(_1_54128456121462410464578910174[[#This Row],[Type]],Main[[#All],[TYPE]:[UNIT]],'Unit Price'!D$1,FALSE),0)</f>
        <v>0</v>
      </c>
      <c r="I905" s="194">
        <f>IF(_1_54128456121462410464578910174[[#This Row],[Type]]&gt;0,VLOOKUP(_1_54128456121462410464578910174[[#This Row],[Type]],Main[[#All],[TYPE]:[UNIT]],'Unit Price'!G$1,FALSE),0)</f>
        <v>0</v>
      </c>
      <c r="J905" s="194">
        <f>IF(_1_54128456121462410464578910174[[#This Row],[Type]]&gt;0,VLOOKUP(_1_54128456121462410464578910174[[#This Row],[Type]],Main[[#All],[TYPE]:[UNIT]],'Unit Price'!H$1,FALSE),0)</f>
        <v>0</v>
      </c>
      <c r="K905" s="194">
        <f>IF(_1_54128456121462410464578910174[[#This Row],[Discount selection]]&gt;0,VLOOKUP(_1_54128456121462410464578910174[[#This Row],[Discount selection]],'Discount Structure'!$A$2:$B$30,2,"false"),0)</f>
        <v>1</v>
      </c>
      <c r="L905" s="194">
        <f>_1_54128456121462410464578910174[[#This Row],[LIST $]]*_1_54128456121462410464578910174[[#This Row],[DISCOUNT]]*_1_54128456121462410464578910174[[#This Row],[DISCOUNT 2]]</f>
        <v>0</v>
      </c>
      <c r="M905" s="194">
        <f>IF(OR(_1_54128456121462410464578910174[[#This Row],[UNIT]]&gt;0,_1_54128456121462410464578910174[[#This Row],[UNIT]]&lt;0),_1_54128456121462410464578910174[[#This Row],[UNIT]]*_1_54128456121462410464578910174[[#This Row],[COST]],0)</f>
        <v>0</v>
      </c>
      <c r="N905" s="194">
        <f t="shared" si="13"/>
        <v>1.5</v>
      </c>
      <c r="O905" s="198">
        <f>_1_54128456121462410464578910174[[#This Row],[TOTAL]]*_1_54128456121462410464578910174[[#This Row],[MARGIN]]</f>
        <v>0</v>
      </c>
      <c r="P905" s="198"/>
      <c r="R905" s="41"/>
    </row>
    <row r="906" spans="4:18">
      <c r="D906" s="188"/>
      <c r="E906" s="42"/>
      <c r="F906" s="168" t="s">
        <v>6202</v>
      </c>
      <c r="G906" s="193">
        <f>IF(_1_54128456121462410464578910174[[#This Row],[Type]]&gt;0,VLOOKUP(_1_54128456121462410464578910174[[#This Row],[Type]],Main[[#All],[TYPE]:[UNIT]],'Unit Price'!C$1,FALSE),0)</f>
        <v>0</v>
      </c>
      <c r="H906" s="197">
        <f>IF(_1_54128456121462410464578910174[[#This Row],[Type]]&gt;0,VLOOKUP(_1_54128456121462410464578910174[[#This Row],[Type]],Main[[#All],[TYPE]:[UNIT]],'Unit Price'!D$1,FALSE),0)</f>
        <v>0</v>
      </c>
      <c r="I906" s="194">
        <f>IF(_1_54128456121462410464578910174[[#This Row],[Type]]&gt;0,VLOOKUP(_1_54128456121462410464578910174[[#This Row],[Type]],Main[[#All],[TYPE]:[UNIT]],'Unit Price'!G$1,FALSE),0)</f>
        <v>0</v>
      </c>
      <c r="J906" s="194">
        <f>IF(_1_54128456121462410464578910174[[#This Row],[Type]]&gt;0,VLOOKUP(_1_54128456121462410464578910174[[#This Row],[Type]],Main[[#All],[TYPE]:[UNIT]],'Unit Price'!H$1,FALSE),0)</f>
        <v>0</v>
      </c>
      <c r="K906" s="194">
        <f>IF(_1_54128456121462410464578910174[[#This Row],[Discount selection]]&gt;0,VLOOKUP(_1_54128456121462410464578910174[[#This Row],[Discount selection]],'Discount Structure'!$A$2:$B$30,2,"false"),0)</f>
        <v>1</v>
      </c>
      <c r="L906" s="194">
        <f>_1_54128456121462410464578910174[[#This Row],[LIST $]]*_1_54128456121462410464578910174[[#This Row],[DISCOUNT]]*_1_54128456121462410464578910174[[#This Row],[DISCOUNT 2]]</f>
        <v>0</v>
      </c>
      <c r="M906" s="194">
        <f>IF(OR(_1_54128456121462410464578910174[[#This Row],[UNIT]]&gt;0,_1_54128456121462410464578910174[[#This Row],[UNIT]]&lt;0),_1_54128456121462410464578910174[[#This Row],[UNIT]]*_1_54128456121462410464578910174[[#This Row],[COST]],0)</f>
        <v>0</v>
      </c>
      <c r="N906" s="194">
        <f t="shared" ref="N906:N969" si="14">$N$7</f>
        <v>1.5</v>
      </c>
      <c r="O906" s="198">
        <f>_1_54128456121462410464578910174[[#This Row],[TOTAL]]*_1_54128456121462410464578910174[[#This Row],[MARGIN]]</f>
        <v>0</v>
      </c>
      <c r="P906" s="198"/>
      <c r="R906" s="41"/>
    </row>
    <row r="907" spans="4:18">
      <c r="D907" s="188"/>
      <c r="E907" s="42"/>
      <c r="F907" s="168" t="s">
        <v>6202</v>
      </c>
      <c r="G907" s="193">
        <f>IF(_1_54128456121462410464578910174[[#This Row],[Type]]&gt;0,VLOOKUP(_1_54128456121462410464578910174[[#This Row],[Type]],Main[[#All],[TYPE]:[UNIT]],'Unit Price'!C$1,FALSE),0)</f>
        <v>0</v>
      </c>
      <c r="H907" s="197">
        <f>IF(_1_54128456121462410464578910174[[#This Row],[Type]]&gt;0,VLOOKUP(_1_54128456121462410464578910174[[#This Row],[Type]],Main[[#All],[TYPE]:[UNIT]],'Unit Price'!D$1,FALSE),0)</f>
        <v>0</v>
      </c>
      <c r="I907" s="194">
        <f>IF(_1_54128456121462410464578910174[[#This Row],[Type]]&gt;0,VLOOKUP(_1_54128456121462410464578910174[[#This Row],[Type]],Main[[#All],[TYPE]:[UNIT]],'Unit Price'!G$1,FALSE),0)</f>
        <v>0</v>
      </c>
      <c r="J907" s="194">
        <f>IF(_1_54128456121462410464578910174[[#This Row],[Type]]&gt;0,VLOOKUP(_1_54128456121462410464578910174[[#This Row],[Type]],Main[[#All],[TYPE]:[UNIT]],'Unit Price'!H$1,FALSE),0)</f>
        <v>0</v>
      </c>
      <c r="K907" s="194">
        <f>IF(_1_54128456121462410464578910174[[#This Row],[Discount selection]]&gt;0,VLOOKUP(_1_54128456121462410464578910174[[#This Row],[Discount selection]],'Discount Structure'!$A$2:$B$30,2,"false"),0)</f>
        <v>1</v>
      </c>
      <c r="L907" s="194">
        <f>_1_54128456121462410464578910174[[#This Row],[LIST $]]*_1_54128456121462410464578910174[[#This Row],[DISCOUNT]]*_1_54128456121462410464578910174[[#This Row],[DISCOUNT 2]]</f>
        <v>0</v>
      </c>
      <c r="M907" s="194">
        <f>IF(OR(_1_54128456121462410464578910174[[#This Row],[UNIT]]&gt;0,_1_54128456121462410464578910174[[#This Row],[UNIT]]&lt;0),_1_54128456121462410464578910174[[#This Row],[UNIT]]*_1_54128456121462410464578910174[[#This Row],[COST]],0)</f>
        <v>0</v>
      </c>
      <c r="N907" s="194">
        <f t="shared" si="14"/>
        <v>1.5</v>
      </c>
      <c r="O907" s="198">
        <f>_1_54128456121462410464578910174[[#This Row],[TOTAL]]*_1_54128456121462410464578910174[[#This Row],[MARGIN]]</f>
        <v>0</v>
      </c>
      <c r="P907" s="198"/>
      <c r="R907" s="41"/>
    </row>
    <row r="908" spans="4:18">
      <c r="D908" s="188"/>
      <c r="E908" s="42"/>
      <c r="F908" s="168" t="s">
        <v>6202</v>
      </c>
      <c r="G908" s="193">
        <f>IF(_1_54128456121462410464578910174[[#This Row],[Type]]&gt;0,VLOOKUP(_1_54128456121462410464578910174[[#This Row],[Type]],Main[[#All],[TYPE]:[UNIT]],'Unit Price'!C$1,FALSE),0)</f>
        <v>0</v>
      </c>
      <c r="H908" s="197">
        <f>IF(_1_54128456121462410464578910174[[#This Row],[Type]]&gt;0,VLOOKUP(_1_54128456121462410464578910174[[#This Row],[Type]],Main[[#All],[TYPE]:[UNIT]],'Unit Price'!D$1,FALSE),0)</f>
        <v>0</v>
      </c>
      <c r="I908" s="194">
        <f>IF(_1_54128456121462410464578910174[[#This Row],[Type]]&gt;0,VLOOKUP(_1_54128456121462410464578910174[[#This Row],[Type]],Main[[#All],[TYPE]:[UNIT]],'Unit Price'!G$1,FALSE),0)</f>
        <v>0</v>
      </c>
      <c r="J908" s="194">
        <f>IF(_1_54128456121462410464578910174[[#This Row],[Type]]&gt;0,VLOOKUP(_1_54128456121462410464578910174[[#This Row],[Type]],Main[[#All],[TYPE]:[UNIT]],'Unit Price'!H$1,FALSE),0)</f>
        <v>0</v>
      </c>
      <c r="K908" s="194">
        <f>IF(_1_54128456121462410464578910174[[#This Row],[Discount selection]]&gt;0,VLOOKUP(_1_54128456121462410464578910174[[#This Row],[Discount selection]],'Discount Structure'!$A$2:$B$30,2,"false"),0)</f>
        <v>1</v>
      </c>
      <c r="L908" s="194">
        <f>_1_54128456121462410464578910174[[#This Row],[LIST $]]*_1_54128456121462410464578910174[[#This Row],[DISCOUNT]]*_1_54128456121462410464578910174[[#This Row],[DISCOUNT 2]]</f>
        <v>0</v>
      </c>
      <c r="M908" s="194">
        <f>IF(OR(_1_54128456121462410464578910174[[#This Row],[UNIT]]&gt;0,_1_54128456121462410464578910174[[#This Row],[UNIT]]&lt;0),_1_54128456121462410464578910174[[#This Row],[UNIT]]*_1_54128456121462410464578910174[[#This Row],[COST]],0)</f>
        <v>0</v>
      </c>
      <c r="N908" s="194">
        <f t="shared" si="14"/>
        <v>1.5</v>
      </c>
      <c r="O908" s="198">
        <f>_1_54128456121462410464578910174[[#This Row],[TOTAL]]*_1_54128456121462410464578910174[[#This Row],[MARGIN]]</f>
        <v>0</v>
      </c>
      <c r="P908" s="198"/>
      <c r="R908" s="41"/>
    </row>
    <row r="909" spans="4:18">
      <c r="D909" s="188"/>
      <c r="E909" s="42"/>
      <c r="F909" s="168" t="s">
        <v>6202</v>
      </c>
      <c r="G909" s="193">
        <f>IF(_1_54128456121462410464578910174[[#This Row],[Type]]&gt;0,VLOOKUP(_1_54128456121462410464578910174[[#This Row],[Type]],Main[[#All],[TYPE]:[UNIT]],'Unit Price'!C$1,FALSE),0)</f>
        <v>0</v>
      </c>
      <c r="H909" s="197">
        <f>IF(_1_54128456121462410464578910174[[#This Row],[Type]]&gt;0,VLOOKUP(_1_54128456121462410464578910174[[#This Row],[Type]],Main[[#All],[TYPE]:[UNIT]],'Unit Price'!D$1,FALSE),0)</f>
        <v>0</v>
      </c>
      <c r="I909" s="194">
        <f>IF(_1_54128456121462410464578910174[[#This Row],[Type]]&gt;0,VLOOKUP(_1_54128456121462410464578910174[[#This Row],[Type]],Main[[#All],[TYPE]:[UNIT]],'Unit Price'!G$1,FALSE),0)</f>
        <v>0</v>
      </c>
      <c r="J909" s="194">
        <f>IF(_1_54128456121462410464578910174[[#This Row],[Type]]&gt;0,VLOOKUP(_1_54128456121462410464578910174[[#This Row],[Type]],Main[[#All],[TYPE]:[UNIT]],'Unit Price'!H$1,FALSE),0)</f>
        <v>0</v>
      </c>
      <c r="K909" s="194">
        <f>IF(_1_54128456121462410464578910174[[#This Row],[Discount selection]]&gt;0,VLOOKUP(_1_54128456121462410464578910174[[#This Row],[Discount selection]],'Discount Structure'!$A$2:$B$30,2,"false"),0)</f>
        <v>1</v>
      </c>
      <c r="L909" s="194">
        <f>_1_54128456121462410464578910174[[#This Row],[LIST $]]*_1_54128456121462410464578910174[[#This Row],[DISCOUNT]]*_1_54128456121462410464578910174[[#This Row],[DISCOUNT 2]]</f>
        <v>0</v>
      </c>
      <c r="M909" s="194">
        <f>IF(OR(_1_54128456121462410464578910174[[#This Row],[UNIT]]&gt;0,_1_54128456121462410464578910174[[#This Row],[UNIT]]&lt;0),_1_54128456121462410464578910174[[#This Row],[UNIT]]*_1_54128456121462410464578910174[[#This Row],[COST]],0)</f>
        <v>0</v>
      </c>
      <c r="N909" s="194">
        <f t="shared" si="14"/>
        <v>1.5</v>
      </c>
      <c r="O909" s="198">
        <f>_1_54128456121462410464578910174[[#This Row],[TOTAL]]*_1_54128456121462410464578910174[[#This Row],[MARGIN]]</f>
        <v>0</v>
      </c>
      <c r="P909" s="198"/>
      <c r="R909" s="41"/>
    </row>
    <row r="910" spans="4:18">
      <c r="D910" s="188"/>
      <c r="E910" s="42"/>
      <c r="F910" s="168" t="s">
        <v>6202</v>
      </c>
      <c r="G910" s="193">
        <f>IF(_1_54128456121462410464578910174[[#This Row],[Type]]&gt;0,VLOOKUP(_1_54128456121462410464578910174[[#This Row],[Type]],Main[[#All],[TYPE]:[UNIT]],'Unit Price'!C$1,FALSE),0)</f>
        <v>0</v>
      </c>
      <c r="H910" s="197">
        <f>IF(_1_54128456121462410464578910174[[#This Row],[Type]]&gt;0,VLOOKUP(_1_54128456121462410464578910174[[#This Row],[Type]],Main[[#All],[TYPE]:[UNIT]],'Unit Price'!D$1,FALSE),0)</f>
        <v>0</v>
      </c>
      <c r="I910" s="194">
        <f>IF(_1_54128456121462410464578910174[[#This Row],[Type]]&gt;0,VLOOKUP(_1_54128456121462410464578910174[[#This Row],[Type]],Main[[#All],[TYPE]:[UNIT]],'Unit Price'!G$1,FALSE),0)</f>
        <v>0</v>
      </c>
      <c r="J910" s="194">
        <f>IF(_1_54128456121462410464578910174[[#This Row],[Type]]&gt;0,VLOOKUP(_1_54128456121462410464578910174[[#This Row],[Type]],Main[[#All],[TYPE]:[UNIT]],'Unit Price'!H$1,FALSE),0)</f>
        <v>0</v>
      </c>
      <c r="K910" s="194">
        <f>IF(_1_54128456121462410464578910174[[#This Row],[Discount selection]]&gt;0,VLOOKUP(_1_54128456121462410464578910174[[#This Row],[Discount selection]],'Discount Structure'!$A$2:$B$30,2,"false"),0)</f>
        <v>1</v>
      </c>
      <c r="L910" s="194">
        <f>_1_54128456121462410464578910174[[#This Row],[LIST $]]*_1_54128456121462410464578910174[[#This Row],[DISCOUNT]]*_1_54128456121462410464578910174[[#This Row],[DISCOUNT 2]]</f>
        <v>0</v>
      </c>
      <c r="M910" s="194">
        <f>IF(OR(_1_54128456121462410464578910174[[#This Row],[UNIT]]&gt;0,_1_54128456121462410464578910174[[#This Row],[UNIT]]&lt;0),_1_54128456121462410464578910174[[#This Row],[UNIT]]*_1_54128456121462410464578910174[[#This Row],[COST]],0)</f>
        <v>0</v>
      </c>
      <c r="N910" s="194">
        <f t="shared" si="14"/>
        <v>1.5</v>
      </c>
      <c r="O910" s="198">
        <f>_1_54128456121462410464578910174[[#This Row],[TOTAL]]*_1_54128456121462410464578910174[[#This Row],[MARGIN]]</f>
        <v>0</v>
      </c>
      <c r="P910" s="198"/>
      <c r="R910" s="41"/>
    </row>
    <row r="911" spans="4:18">
      <c r="D911" s="188"/>
      <c r="E911" s="42"/>
      <c r="F911" s="168" t="s">
        <v>6202</v>
      </c>
      <c r="G911" s="193">
        <f>IF(_1_54128456121462410464578910174[[#This Row],[Type]]&gt;0,VLOOKUP(_1_54128456121462410464578910174[[#This Row],[Type]],Main[[#All],[TYPE]:[UNIT]],'Unit Price'!C$1,FALSE),0)</f>
        <v>0</v>
      </c>
      <c r="H911" s="197">
        <f>IF(_1_54128456121462410464578910174[[#This Row],[Type]]&gt;0,VLOOKUP(_1_54128456121462410464578910174[[#This Row],[Type]],Main[[#All],[TYPE]:[UNIT]],'Unit Price'!D$1,FALSE),0)</f>
        <v>0</v>
      </c>
      <c r="I911" s="194">
        <f>IF(_1_54128456121462410464578910174[[#This Row],[Type]]&gt;0,VLOOKUP(_1_54128456121462410464578910174[[#This Row],[Type]],Main[[#All],[TYPE]:[UNIT]],'Unit Price'!G$1,FALSE),0)</f>
        <v>0</v>
      </c>
      <c r="J911" s="194">
        <f>IF(_1_54128456121462410464578910174[[#This Row],[Type]]&gt;0,VLOOKUP(_1_54128456121462410464578910174[[#This Row],[Type]],Main[[#All],[TYPE]:[UNIT]],'Unit Price'!H$1,FALSE),0)</f>
        <v>0</v>
      </c>
      <c r="K911" s="194">
        <f>IF(_1_54128456121462410464578910174[[#This Row],[Discount selection]]&gt;0,VLOOKUP(_1_54128456121462410464578910174[[#This Row],[Discount selection]],'Discount Structure'!$A$2:$B$30,2,"false"),0)</f>
        <v>1</v>
      </c>
      <c r="L911" s="194">
        <f>_1_54128456121462410464578910174[[#This Row],[LIST $]]*_1_54128456121462410464578910174[[#This Row],[DISCOUNT]]*_1_54128456121462410464578910174[[#This Row],[DISCOUNT 2]]</f>
        <v>0</v>
      </c>
      <c r="M911" s="194">
        <f>IF(OR(_1_54128456121462410464578910174[[#This Row],[UNIT]]&gt;0,_1_54128456121462410464578910174[[#This Row],[UNIT]]&lt;0),_1_54128456121462410464578910174[[#This Row],[UNIT]]*_1_54128456121462410464578910174[[#This Row],[COST]],0)</f>
        <v>0</v>
      </c>
      <c r="N911" s="194">
        <f t="shared" si="14"/>
        <v>1.5</v>
      </c>
      <c r="O911" s="198">
        <f>_1_54128456121462410464578910174[[#This Row],[TOTAL]]*_1_54128456121462410464578910174[[#This Row],[MARGIN]]</f>
        <v>0</v>
      </c>
      <c r="P911" s="198"/>
      <c r="R911" s="41"/>
    </row>
    <row r="912" spans="4:18">
      <c r="D912" s="188"/>
      <c r="E912" s="42"/>
      <c r="F912" s="168" t="s">
        <v>6202</v>
      </c>
      <c r="G912" s="193">
        <f>IF(_1_54128456121462410464578910174[[#This Row],[Type]]&gt;0,VLOOKUP(_1_54128456121462410464578910174[[#This Row],[Type]],Main[[#All],[TYPE]:[UNIT]],'Unit Price'!C$1,FALSE),0)</f>
        <v>0</v>
      </c>
      <c r="H912" s="197">
        <f>IF(_1_54128456121462410464578910174[[#This Row],[Type]]&gt;0,VLOOKUP(_1_54128456121462410464578910174[[#This Row],[Type]],Main[[#All],[TYPE]:[UNIT]],'Unit Price'!D$1,FALSE),0)</f>
        <v>0</v>
      </c>
      <c r="I912" s="194">
        <f>IF(_1_54128456121462410464578910174[[#This Row],[Type]]&gt;0,VLOOKUP(_1_54128456121462410464578910174[[#This Row],[Type]],Main[[#All],[TYPE]:[UNIT]],'Unit Price'!G$1,FALSE),0)</f>
        <v>0</v>
      </c>
      <c r="J912" s="194">
        <f>IF(_1_54128456121462410464578910174[[#This Row],[Type]]&gt;0,VLOOKUP(_1_54128456121462410464578910174[[#This Row],[Type]],Main[[#All],[TYPE]:[UNIT]],'Unit Price'!H$1,FALSE),0)</f>
        <v>0</v>
      </c>
      <c r="K912" s="194">
        <f>IF(_1_54128456121462410464578910174[[#This Row],[Discount selection]]&gt;0,VLOOKUP(_1_54128456121462410464578910174[[#This Row],[Discount selection]],'Discount Structure'!$A$2:$B$30,2,"false"),0)</f>
        <v>1</v>
      </c>
      <c r="L912" s="194">
        <f>_1_54128456121462410464578910174[[#This Row],[LIST $]]*_1_54128456121462410464578910174[[#This Row],[DISCOUNT]]*_1_54128456121462410464578910174[[#This Row],[DISCOUNT 2]]</f>
        <v>0</v>
      </c>
      <c r="M912" s="194">
        <f>IF(OR(_1_54128456121462410464578910174[[#This Row],[UNIT]]&gt;0,_1_54128456121462410464578910174[[#This Row],[UNIT]]&lt;0),_1_54128456121462410464578910174[[#This Row],[UNIT]]*_1_54128456121462410464578910174[[#This Row],[COST]],0)</f>
        <v>0</v>
      </c>
      <c r="N912" s="194">
        <f t="shared" si="14"/>
        <v>1.5</v>
      </c>
      <c r="O912" s="198">
        <f>_1_54128456121462410464578910174[[#This Row],[TOTAL]]*_1_54128456121462410464578910174[[#This Row],[MARGIN]]</f>
        <v>0</v>
      </c>
      <c r="P912" s="198"/>
      <c r="R912" s="41"/>
    </row>
    <row r="913" spans="4:18">
      <c r="D913" s="188"/>
      <c r="E913" s="42"/>
      <c r="F913" s="168" t="s">
        <v>6202</v>
      </c>
      <c r="G913" s="193">
        <f>IF(_1_54128456121462410464578910174[[#This Row],[Type]]&gt;0,VLOOKUP(_1_54128456121462410464578910174[[#This Row],[Type]],Main[[#All],[TYPE]:[UNIT]],'Unit Price'!C$1,FALSE),0)</f>
        <v>0</v>
      </c>
      <c r="H913" s="197">
        <f>IF(_1_54128456121462410464578910174[[#This Row],[Type]]&gt;0,VLOOKUP(_1_54128456121462410464578910174[[#This Row],[Type]],Main[[#All],[TYPE]:[UNIT]],'Unit Price'!D$1,FALSE),0)</f>
        <v>0</v>
      </c>
      <c r="I913" s="194">
        <f>IF(_1_54128456121462410464578910174[[#This Row],[Type]]&gt;0,VLOOKUP(_1_54128456121462410464578910174[[#This Row],[Type]],Main[[#All],[TYPE]:[UNIT]],'Unit Price'!G$1,FALSE),0)</f>
        <v>0</v>
      </c>
      <c r="J913" s="194">
        <f>IF(_1_54128456121462410464578910174[[#This Row],[Type]]&gt;0,VLOOKUP(_1_54128456121462410464578910174[[#This Row],[Type]],Main[[#All],[TYPE]:[UNIT]],'Unit Price'!H$1,FALSE),0)</f>
        <v>0</v>
      </c>
      <c r="K913" s="194">
        <f>IF(_1_54128456121462410464578910174[[#This Row],[Discount selection]]&gt;0,VLOOKUP(_1_54128456121462410464578910174[[#This Row],[Discount selection]],'Discount Structure'!$A$2:$B$30,2,"false"),0)</f>
        <v>1</v>
      </c>
      <c r="L913" s="194">
        <f>_1_54128456121462410464578910174[[#This Row],[LIST $]]*_1_54128456121462410464578910174[[#This Row],[DISCOUNT]]*_1_54128456121462410464578910174[[#This Row],[DISCOUNT 2]]</f>
        <v>0</v>
      </c>
      <c r="M913" s="194">
        <f>IF(OR(_1_54128456121462410464578910174[[#This Row],[UNIT]]&gt;0,_1_54128456121462410464578910174[[#This Row],[UNIT]]&lt;0),_1_54128456121462410464578910174[[#This Row],[UNIT]]*_1_54128456121462410464578910174[[#This Row],[COST]],0)</f>
        <v>0</v>
      </c>
      <c r="N913" s="194">
        <f t="shared" si="14"/>
        <v>1.5</v>
      </c>
      <c r="O913" s="198">
        <f>_1_54128456121462410464578910174[[#This Row],[TOTAL]]*_1_54128456121462410464578910174[[#This Row],[MARGIN]]</f>
        <v>0</v>
      </c>
      <c r="P913" s="198"/>
      <c r="R913" s="41"/>
    </row>
    <row r="914" spans="4:18">
      <c r="D914" s="188"/>
      <c r="E914" s="42"/>
      <c r="F914" s="168" t="s">
        <v>6202</v>
      </c>
      <c r="G914" s="193">
        <f>IF(_1_54128456121462410464578910174[[#This Row],[Type]]&gt;0,VLOOKUP(_1_54128456121462410464578910174[[#This Row],[Type]],Main[[#All],[TYPE]:[UNIT]],'Unit Price'!C$1,FALSE),0)</f>
        <v>0</v>
      </c>
      <c r="H914" s="197">
        <f>IF(_1_54128456121462410464578910174[[#This Row],[Type]]&gt;0,VLOOKUP(_1_54128456121462410464578910174[[#This Row],[Type]],Main[[#All],[TYPE]:[UNIT]],'Unit Price'!D$1,FALSE),0)</f>
        <v>0</v>
      </c>
      <c r="I914" s="194">
        <f>IF(_1_54128456121462410464578910174[[#This Row],[Type]]&gt;0,VLOOKUP(_1_54128456121462410464578910174[[#This Row],[Type]],Main[[#All],[TYPE]:[UNIT]],'Unit Price'!G$1,FALSE),0)</f>
        <v>0</v>
      </c>
      <c r="J914" s="194">
        <f>IF(_1_54128456121462410464578910174[[#This Row],[Type]]&gt;0,VLOOKUP(_1_54128456121462410464578910174[[#This Row],[Type]],Main[[#All],[TYPE]:[UNIT]],'Unit Price'!H$1,FALSE),0)</f>
        <v>0</v>
      </c>
      <c r="K914" s="194">
        <f>IF(_1_54128456121462410464578910174[[#This Row],[Discount selection]]&gt;0,VLOOKUP(_1_54128456121462410464578910174[[#This Row],[Discount selection]],'Discount Structure'!$A$2:$B$30,2,"false"),0)</f>
        <v>1</v>
      </c>
      <c r="L914" s="194">
        <f>_1_54128456121462410464578910174[[#This Row],[LIST $]]*_1_54128456121462410464578910174[[#This Row],[DISCOUNT]]*_1_54128456121462410464578910174[[#This Row],[DISCOUNT 2]]</f>
        <v>0</v>
      </c>
      <c r="M914" s="194">
        <f>IF(OR(_1_54128456121462410464578910174[[#This Row],[UNIT]]&gt;0,_1_54128456121462410464578910174[[#This Row],[UNIT]]&lt;0),_1_54128456121462410464578910174[[#This Row],[UNIT]]*_1_54128456121462410464578910174[[#This Row],[COST]],0)</f>
        <v>0</v>
      </c>
      <c r="N914" s="194">
        <f t="shared" si="14"/>
        <v>1.5</v>
      </c>
      <c r="O914" s="198">
        <f>_1_54128456121462410464578910174[[#This Row],[TOTAL]]*_1_54128456121462410464578910174[[#This Row],[MARGIN]]</f>
        <v>0</v>
      </c>
      <c r="P914" s="198"/>
      <c r="R914" s="41"/>
    </row>
    <row r="915" spans="4:18">
      <c r="D915" s="188"/>
      <c r="E915" s="42"/>
      <c r="F915" s="168" t="s">
        <v>6202</v>
      </c>
      <c r="G915" s="193">
        <f>IF(_1_54128456121462410464578910174[[#This Row],[Type]]&gt;0,VLOOKUP(_1_54128456121462410464578910174[[#This Row],[Type]],Main[[#All],[TYPE]:[UNIT]],'Unit Price'!C$1,FALSE),0)</f>
        <v>0</v>
      </c>
      <c r="H915" s="197">
        <f>IF(_1_54128456121462410464578910174[[#This Row],[Type]]&gt;0,VLOOKUP(_1_54128456121462410464578910174[[#This Row],[Type]],Main[[#All],[TYPE]:[UNIT]],'Unit Price'!D$1,FALSE),0)</f>
        <v>0</v>
      </c>
      <c r="I915" s="194">
        <f>IF(_1_54128456121462410464578910174[[#This Row],[Type]]&gt;0,VLOOKUP(_1_54128456121462410464578910174[[#This Row],[Type]],Main[[#All],[TYPE]:[UNIT]],'Unit Price'!G$1,FALSE),0)</f>
        <v>0</v>
      </c>
      <c r="J915" s="194">
        <f>IF(_1_54128456121462410464578910174[[#This Row],[Type]]&gt;0,VLOOKUP(_1_54128456121462410464578910174[[#This Row],[Type]],Main[[#All],[TYPE]:[UNIT]],'Unit Price'!H$1,FALSE),0)</f>
        <v>0</v>
      </c>
      <c r="K915" s="194">
        <f>IF(_1_54128456121462410464578910174[[#This Row],[Discount selection]]&gt;0,VLOOKUP(_1_54128456121462410464578910174[[#This Row],[Discount selection]],'Discount Structure'!$A$2:$B$30,2,"false"),0)</f>
        <v>1</v>
      </c>
      <c r="L915" s="194">
        <f>_1_54128456121462410464578910174[[#This Row],[LIST $]]*_1_54128456121462410464578910174[[#This Row],[DISCOUNT]]*_1_54128456121462410464578910174[[#This Row],[DISCOUNT 2]]</f>
        <v>0</v>
      </c>
      <c r="M915" s="194">
        <f>IF(OR(_1_54128456121462410464578910174[[#This Row],[UNIT]]&gt;0,_1_54128456121462410464578910174[[#This Row],[UNIT]]&lt;0),_1_54128456121462410464578910174[[#This Row],[UNIT]]*_1_54128456121462410464578910174[[#This Row],[COST]],0)</f>
        <v>0</v>
      </c>
      <c r="N915" s="194">
        <f t="shared" si="14"/>
        <v>1.5</v>
      </c>
      <c r="O915" s="198">
        <f>_1_54128456121462410464578910174[[#This Row],[TOTAL]]*_1_54128456121462410464578910174[[#This Row],[MARGIN]]</f>
        <v>0</v>
      </c>
      <c r="P915" s="198"/>
      <c r="R915" s="41"/>
    </row>
    <row r="916" spans="4:18">
      <c r="D916" s="188"/>
      <c r="E916" s="42"/>
      <c r="F916" s="168" t="s">
        <v>6202</v>
      </c>
      <c r="G916" s="193">
        <f>IF(_1_54128456121462410464578910174[[#This Row],[Type]]&gt;0,VLOOKUP(_1_54128456121462410464578910174[[#This Row],[Type]],Main[[#All],[TYPE]:[UNIT]],'Unit Price'!C$1,FALSE),0)</f>
        <v>0</v>
      </c>
      <c r="H916" s="197">
        <f>IF(_1_54128456121462410464578910174[[#This Row],[Type]]&gt;0,VLOOKUP(_1_54128456121462410464578910174[[#This Row],[Type]],Main[[#All],[TYPE]:[UNIT]],'Unit Price'!D$1,FALSE),0)</f>
        <v>0</v>
      </c>
      <c r="I916" s="194">
        <f>IF(_1_54128456121462410464578910174[[#This Row],[Type]]&gt;0,VLOOKUP(_1_54128456121462410464578910174[[#This Row],[Type]],Main[[#All],[TYPE]:[UNIT]],'Unit Price'!G$1,FALSE),0)</f>
        <v>0</v>
      </c>
      <c r="J916" s="194">
        <f>IF(_1_54128456121462410464578910174[[#This Row],[Type]]&gt;0,VLOOKUP(_1_54128456121462410464578910174[[#This Row],[Type]],Main[[#All],[TYPE]:[UNIT]],'Unit Price'!H$1,FALSE),0)</f>
        <v>0</v>
      </c>
      <c r="K916" s="194">
        <f>IF(_1_54128456121462410464578910174[[#This Row],[Discount selection]]&gt;0,VLOOKUP(_1_54128456121462410464578910174[[#This Row],[Discount selection]],'Discount Structure'!$A$2:$B$30,2,"false"),0)</f>
        <v>1</v>
      </c>
      <c r="L916" s="194">
        <f>_1_54128456121462410464578910174[[#This Row],[LIST $]]*_1_54128456121462410464578910174[[#This Row],[DISCOUNT]]*_1_54128456121462410464578910174[[#This Row],[DISCOUNT 2]]</f>
        <v>0</v>
      </c>
      <c r="M916" s="194">
        <f>IF(OR(_1_54128456121462410464578910174[[#This Row],[UNIT]]&gt;0,_1_54128456121462410464578910174[[#This Row],[UNIT]]&lt;0),_1_54128456121462410464578910174[[#This Row],[UNIT]]*_1_54128456121462410464578910174[[#This Row],[COST]],0)</f>
        <v>0</v>
      </c>
      <c r="N916" s="194">
        <f t="shared" si="14"/>
        <v>1.5</v>
      </c>
      <c r="O916" s="198">
        <f>_1_54128456121462410464578910174[[#This Row],[TOTAL]]*_1_54128456121462410464578910174[[#This Row],[MARGIN]]</f>
        <v>0</v>
      </c>
      <c r="P916" s="198"/>
      <c r="R916" s="41"/>
    </row>
    <row r="917" spans="4:18">
      <c r="D917" s="188"/>
      <c r="E917" s="42"/>
      <c r="F917" s="168" t="s">
        <v>6202</v>
      </c>
      <c r="G917" s="193">
        <f>IF(_1_54128456121462410464578910174[[#This Row],[Type]]&gt;0,VLOOKUP(_1_54128456121462410464578910174[[#This Row],[Type]],Main[[#All],[TYPE]:[UNIT]],'Unit Price'!C$1,FALSE),0)</f>
        <v>0</v>
      </c>
      <c r="H917" s="197">
        <f>IF(_1_54128456121462410464578910174[[#This Row],[Type]]&gt;0,VLOOKUP(_1_54128456121462410464578910174[[#This Row],[Type]],Main[[#All],[TYPE]:[UNIT]],'Unit Price'!D$1,FALSE),0)</f>
        <v>0</v>
      </c>
      <c r="I917" s="194">
        <f>IF(_1_54128456121462410464578910174[[#This Row],[Type]]&gt;0,VLOOKUP(_1_54128456121462410464578910174[[#This Row],[Type]],Main[[#All],[TYPE]:[UNIT]],'Unit Price'!G$1,FALSE),0)</f>
        <v>0</v>
      </c>
      <c r="J917" s="194">
        <f>IF(_1_54128456121462410464578910174[[#This Row],[Type]]&gt;0,VLOOKUP(_1_54128456121462410464578910174[[#This Row],[Type]],Main[[#All],[TYPE]:[UNIT]],'Unit Price'!H$1,FALSE),0)</f>
        <v>0</v>
      </c>
      <c r="K917" s="194">
        <f>IF(_1_54128456121462410464578910174[[#This Row],[Discount selection]]&gt;0,VLOOKUP(_1_54128456121462410464578910174[[#This Row],[Discount selection]],'Discount Structure'!$A$2:$B$30,2,"false"),0)</f>
        <v>1</v>
      </c>
      <c r="L917" s="194">
        <f>_1_54128456121462410464578910174[[#This Row],[LIST $]]*_1_54128456121462410464578910174[[#This Row],[DISCOUNT]]*_1_54128456121462410464578910174[[#This Row],[DISCOUNT 2]]</f>
        <v>0</v>
      </c>
      <c r="M917" s="194">
        <f>IF(OR(_1_54128456121462410464578910174[[#This Row],[UNIT]]&gt;0,_1_54128456121462410464578910174[[#This Row],[UNIT]]&lt;0),_1_54128456121462410464578910174[[#This Row],[UNIT]]*_1_54128456121462410464578910174[[#This Row],[COST]],0)</f>
        <v>0</v>
      </c>
      <c r="N917" s="194">
        <f t="shared" si="14"/>
        <v>1.5</v>
      </c>
      <c r="O917" s="198">
        <f>_1_54128456121462410464578910174[[#This Row],[TOTAL]]*_1_54128456121462410464578910174[[#This Row],[MARGIN]]</f>
        <v>0</v>
      </c>
      <c r="P917" s="198"/>
      <c r="R917" s="41"/>
    </row>
    <row r="918" spans="4:18">
      <c r="D918" s="188"/>
      <c r="E918" s="42"/>
      <c r="F918" s="168" t="s">
        <v>6202</v>
      </c>
      <c r="G918" s="193">
        <f>IF(_1_54128456121462410464578910174[[#This Row],[Type]]&gt;0,VLOOKUP(_1_54128456121462410464578910174[[#This Row],[Type]],Main[[#All],[TYPE]:[UNIT]],'Unit Price'!C$1,FALSE),0)</f>
        <v>0</v>
      </c>
      <c r="H918" s="197">
        <f>IF(_1_54128456121462410464578910174[[#This Row],[Type]]&gt;0,VLOOKUP(_1_54128456121462410464578910174[[#This Row],[Type]],Main[[#All],[TYPE]:[UNIT]],'Unit Price'!D$1,FALSE),0)</f>
        <v>0</v>
      </c>
      <c r="I918" s="194">
        <f>IF(_1_54128456121462410464578910174[[#This Row],[Type]]&gt;0,VLOOKUP(_1_54128456121462410464578910174[[#This Row],[Type]],Main[[#All],[TYPE]:[UNIT]],'Unit Price'!G$1,FALSE),0)</f>
        <v>0</v>
      </c>
      <c r="J918" s="194">
        <f>IF(_1_54128456121462410464578910174[[#This Row],[Type]]&gt;0,VLOOKUP(_1_54128456121462410464578910174[[#This Row],[Type]],Main[[#All],[TYPE]:[UNIT]],'Unit Price'!H$1,FALSE),0)</f>
        <v>0</v>
      </c>
      <c r="K918" s="194">
        <f>IF(_1_54128456121462410464578910174[[#This Row],[Discount selection]]&gt;0,VLOOKUP(_1_54128456121462410464578910174[[#This Row],[Discount selection]],'Discount Structure'!$A$2:$B$30,2,"false"),0)</f>
        <v>1</v>
      </c>
      <c r="L918" s="194">
        <f>_1_54128456121462410464578910174[[#This Row],[LIST $]]*_1_54128456121462410464578910174[[#This Row],[DISCOUNT]]*_1_54128456121462410464578910174[[#This Row],[DISCOUNT 2]]</f>
        <v>0</v>
      </c>
      <c r="M918" s="194">
        <f>IF(OR(_1_54128456121462410464578910174[[#This Row],[UNIT]]&gt;0,_1_54128456121462410464578910174[[#This Row],[UNIT]]&lt;0),_1_54128456121462410464578910174[[#This Row],[UNIT]]*_1_54128456121462410464578910174[[#This Row],[COST]],0)</f>
        <v>0</v>
      </c>
      <c r="N918" s="194">
        <f t="shared" si="14"/>
        <v>1.5</v>
      </c>
      <c r="O918" s="198">
        <f>_1_54128456121462410464578910174[[#This Row],[TOTAL]]*_1_54128456121462410464578910174[[#This Row],[MARGIN]]</f>
        <v>0</v>
      </c>
      <c r="P918" s="198"/>
      <c r="R918" s="41"/>
    </row>
    <row r="919" spans="4:18">
      <c r="D919" s="188"/>
      <c r="E919" s="42"/>
      <c r="F919" s="168" t="s">
        <v>6202</v>
      </c>
      <c r="G919" s="193">
        <f>IF(_1_54128456121462410464578910174[[#This Row],[Type]]&gt;0,VLOOKUP(_1_54128456121462410464578910174[[#This Row],[Type]],Main[[#All],[TYPE]:[UNIT]],'Unit Price'!C$1,FALSE),0)</f>
        <v>0</v>
      </c>
      <c r="H919" s="197">
        <f>IF(_1_54128456121462410464578910174[[#This Row],[Type]]&gt;0,VLOOKUP(_1_54128456121462410464578910174[[#This Row],[Type]],Main[[#All],[TYPE]:[UNIT]],'Unit Price'!D$1,FALSE),0)</f>
        <v>0</v>
      </c>
      <c r="I919" s="194">
        <f>IF(_1_54128456121462410464578910174[[#This Row],[Type]]&gt;0,VLOOKUP(_1_54128456121462410464578910174[[#This Row],[Type]],Main[[#All],[TYPE]:[UNIT]],'Unit Price'!G$1,FALSE),0)</f>
        <v>0</v>
      </c>
      <c r="J919" s="194">
        <f>IF(_1_54128456121462410464578910174[[#This Row],[Type]]&gt;0,VLOOKUP(_1_54128456121462410464578910174[[#This Row],[Type]],Main[[#All],[TYPE]:[UNIT]],'Unit Price'!H$1,FALSE),0)</f>
        <v>0</v>
      </c>
      <c r="K919" s="194">
        <f>IF(_1_54128456121462410464578910174[[#This Row],[Discount selection]]&gt;0,VLOOKUP(_1_54128456121462410464578910174[[#This Row],[Discount selection]],'Discount Structure'!$A$2:$B$30,2,"false"),0)</f>
        <v>1</v>
      </c>
      <c r="L919" s="194">
        <f>_1_54128456121462410464578910174[[#This Row],[LIST $]]*_1_54128456121462410464578910174[[#This Row],[DISCOUNT]]*_1_54128456121462410464578910174[[#This Row],[DISCOUNT 2]]</f>
        <v>0</v>
      </c>
      <c r="M919" s="194">
        <f>IF(OR(_1_54128456121462410464578910174[[#This Row],[UNIT]]&gt;0,_1_54128456121462410464578910174[[#This Row],[UNIT]]&lt;0),_1_54128456121462410464578910174[[#This Row],[UNIT]]*_1_54128456121462410464578910174[[#This Row],[COST]],0)</f>
        <v>0</v>
      </c>
      <c r="N919" s="194">
        <f t="shared" si="14"/>
        <v>1.5</v>
      </c>
      <c r="O919" s="198">
        <f>_1_54128456121462410464578910174[[#This Row],[TOTAL]]*_1_54128456121462410464578910174[[#This Row],[MARGIN]]</f>
        <v>0</v>
      </c>
      <c r="P919" s="198"/>
      <c r="R919" s="41"/>
    </row>
    <row r="920" spans="4:18">
      <c r="D920" s="188"/>
      <c r="E920" s="42"/>
      <c r="F920" s="168" t="s">
        <v>6202</v>
      </c>
      <c r="G920" s="193">
        <f>IF(_1_54128456121462410464578910174[[#This Row],[Type]]&gt;0,VLOOKUP(_1_54128456121462410464578910174[[#This Row],[Type]],Main[[#All],[TYPE]:[UNIT]],'Unit Price'!C$1,FALSE),0)</f>
        <v>0</v>
      </c>
      <c r="H920" s="197">
        <f>IF(_1_54128456121462410464578910174[[#This Row],[Type]]&gt;0,VLOOKUP(_1_54128456121462410464578910174[[#This Row],[Type]],Main[[#All],[TYPE]:[UNIT]],'Unit Price'!D$1,FALSE),0)</f>
        <v>0</v>
      </c>
      <c r="I920" s="194">
        <f>IF(_1_54128456121462410464578910174[[#This Row],[Type]]&gt;0,VLOOKUP(_1_54128456121462410464578910174[[#This Row],[Type]],Main[[#All],[TYPE]:[UNIT]],'Unit Price'!G$1,FALSE),0)</f>
        <v>0</v>
      </c>
      <c r="J920" s="194">
        <f>IF(_1_54128456121462410464578910174[[#This Row],[Type]]&gt;0,VLOOKUP(_1_54128456121462410464578910174[[#This Row],[Type]],Main[[#All],[TYPE]:[UNIT]],'Unit Price'!H$1,FALSE),0)</f>
        <v>0</v>
      </c>
      <c r="K920" s="194">
        <f>IF(_1_54128456121462410464578910174[[#This Row],[Discount selection]]&gt;0,VLOOKUP(_1_54128456121462410464578910174[[#This Row],[Discount selection]],'Discount Structure'!$A$2:$B$30,2,"false"),0)</f>
        <v>1</v>
      </c>
      <c r="L920" s="194">
        <f>_1_54128456121462410464578910174[[#This Row],[LIST $]]*_1_54128456121462410464578910174[[#This Row],[DISCOUNT]]*_1_54128456121462410464578910174[[#This Row],[DISCOUNT 2]]</f>
        <v>0</v>
      </c>
      <c r="M920" s="194">
        <f>IF(OR(_1_54128456121462410464578910174[[#This Row],[UNIT]]&gt;0,_1_54128456121462410464578910174[[#This Row],[UNIT]]&lt;0),_1_54128456121462410464578910174[[#This Row],[UNIT]]*_1_54128456121462410464578910174[[#This Row],[COST]],0)</f>
        <v>0</v>
      </c>
      <c r="N920" s="194">
        <f t="shared" si="14"/>
        <v>1.5</v>
      </c>
      <c r="O920" s="198">
        <f>_1_54128456121462410464578910174[[#This Row],[TOTAL]]*_1_54128456121462410464578910174[[#This Row],[MARGIN]]</f>
        <v>0</v>
      </c>
      <c r="P920" s="198"/>
      <c r="R920" s="41"/>
    </row>
    <row r="921" spans="4:18">
      <c r="D921" s="188"/>
      <c r="E921" s="42"/>
      <c r="F921" s="168" t="s">
        <v>6202</v>
      </c>
      <c r="G921" s="193">
        <f>IF(_1_54128456121462410464578910174[[#This Row],[Type]]&gt;0,VLOOKUP(_1_54128456121462410464578910174[[#This Row],[Type]],Main[[#All],[TYPE]:[UNIT]],'Unit Price'!C$1,FALSE),0)</f>
        <v>0</v>
      </c>
      <c r="H921" s="197">
        <f>IF(_1_54128456121462410464578910174[[#This Row],[Type]]&gt;0,VLOOKUP(_1_54128456121462410464578910174[[#This Row],[Type]],Main[[#All],[TYPE]:[UNIT]],'Unit Price'!D$1,FALSE),0)</f>
        <v>0</v>
      </c>
      <c r="I921" s="194">
        <f>IF(_1_54128456121462410464578910174[[#This Row],[Type]]&gt;0,VLOOKUP(_1_54128456121462410464578910174[[#This Row],[Type]],Main[[#All],[TYPE]:[UNIT]],'Unit Price'!G$1,FALSE),0)</f>
        <v>0</v>
      </c>
      <c r="J921" s="194">
        <f>IF(_1_54128456121462410464578910174[[#This Row],[Type]]&gt;0,VLOOKUP(_1_54128456121462410464578910174[[#This Row],[Type]],Main[[#All],[TYPE]:[UNIT]],'Unit Price'!H$1,FALSE),0)</f>
        <v>0</v>
      </c>
      <c r="K921" s="194">
        <f>IF(_1_54128456121462410464578910174[[#This Row],[Discount selection]]&gt;0,VLOOKUP(_1_54128456121462410464578910174[[#This Row],[Discount selection]],'Discount Structure'!$A$2:$B$30,2,"false"),0)</f>
        <v>1</v>
      </c>
      <c r="L921" s="194">
        <f>_1_54128456121462410464578910174[[#This Row],[LIST $]]*_1_54128456121462410464578910174[[#This Row],[DISCOUNT]]*_1_54128456121462410464578910174[[#This Row],[DISCOUNT 2]]</f>
        <v>0</v>
      </c>
      <c r="M921" s="194">
        <f>IF(OR(_1_54128456121462410464578910174[[#This Row],[UNIT]]&gt;0,_1_54128456121462410464578910174[[#This Row],[UNIT]]&lt;0),_1_54128456121462410464578910174[[#This Row],[UNIT]]*_1_54128456121462410464578910174[[#This Row],[COST]],0)</f>
        <v>0</v>
      </c>
      <c r="N921" s="194">
        <f t="shared" si="14"/>
        <v>1.5</v>
      </c>
      <c r="O921" s="198">
        <f>_1_54128456121462410464578910174[[#This Row],[TOTAL]]*_1_54128456121462410464578910174[[#This Row],[MARGIN]]</f>
        <v>0</v>
      </c>
      <c r="P921" s="198"/>
      <c r="R921" s="41"/>
    </row>
    <row r="922" spans="4:18">
      <c r="D922" s="188"/>
      <c r="E922" s="42"/>
      <c r="F922" s="168" t="s">
        <v>6202</v>
      </c>
      <c r="G922" s="193">
        <f>IF(_1_54128456121462410464578910174[[#This Row],[Type]]&gt;0,VLOOKUP(_1_54128456121462410464578910174[[#This Row],[Type]],Main[[#All],[TYPE]:[UNIT]],'Unit Price'!C$1,FALSE),0)</f>
        <v>0</v>
      </c>
      <c r="H922" s="197">
        <f>IF(_1_54128456121462410464578910174[[#This Row],[Type]]&gt;0,VLOOKUP(_1_54128456121462410464578910174[[#This Row],[Type]],Main[[#All],[TYPE]:[UNIT]],'Unit Price'!D$1,FALSE),0)</f>
        <v>0</v>
      </c>
      <c r="I922" s="194">
        <f>IF(_1_54128456121462410464578910174[[#This Row],[Type]]&gt;0,VLOOKUP(_1_54128456121462410464578910174[[#This Row],[Type]],Main[[#All],[TYPE]:[UNIT]],'Unit Price'!G$1,FALSE),0)</f>
        <v>0</v>
      </c>
      <c r="J922" s="194">
        <f>IF(_1_54128456121462410464578910174[[#This Row],[Type]]&gt;0,VLOOKUP(_1_54128456121462410464578910174[[#This Row],[Type]],Main[[#All],[TYPE]:[UNIT]],'Unit Price'!H$1,FALSE),0)</f>
        <v>0</v>
      </c>
      <c r="K922" s="194">
        <f>IF(_1_54128456121462410464578910174[[#This Row],[Discount selection]]&gt;0,VLOOKUP(_1_54128456121462410464578910174[[#This Row],[Discount selection]],'Discount Structure'!$A$2:$B$30,2,"false"),0)</f>
        <v>1</v>
      </c>
      <c r="L922" s="194">
        <f>_1_54128456121462410464578910174[[#This Row],[LIST $]]*_1_54128456121462410464578910174[[#This Row],[DISCOUNT]]*_1_54128456121462410464578910174[[#This Row],[DISCOUNT 2]]</f>
        <v>0</v>
      </c>
      <c r="M922" s="194">
        <f>IF(OR(_1_54128456121462410464578910174[[#This Row],[UNIT]]&gt;0,_1_54128456121462410464578910174[[#This Row],[UNIT]]&lt;0),_1_54128456121462410464578910174[[#This Row],[UNIT]]*_1_54128456121462410464578910174[[#This Row],[COST]],0)</f>
        <v>0</v>
      </c>
      <c r="N922" s="194">
        <f t="shared" si="14"/>
        <v>1.5</v>
      </c>
      <c r="O922" s="198">
        <f>_1_54128456121462410464578910174[[#This Row],[TOTAL]]*_1_54128456121462410464578910174[[#This Row],[MARGIN]]</f>
        <v>0</v>
      </c>
      <c r="P922" s="198"/>
      <c r="R922" s="41"/>
    </row>
    <row r="923" spans="4:18">
      <c r="D923" s="188"/>
      <c r="E923" s="42"/>
      <c r="F923" s="168" t="s">
        <v>6202</v>
      </c>
      <c r="G923" s="193">
        <f>IF(_1_54128456121462410464578910174[[#This Row],[Type]]&gt;0,VLOOKUP(_1_54128456121462410464578910174[[#This Row],[Type]],Main[[#All],[TYPE]:[UNIT]],'Unit Price'!C$1,FALSE),0)</f>
        <v>0</v>
      </c>
      <c r="H923" s="197">
        <f>IF(_1_54128456121462410464578910174[[#This Row],[Type]]&gt;0,VLOOKUP(_1_54128456121462410464578910174[[#This Row],[Type]],Main[[#All],[TYPE]:[UNIT]],'Unit Price'!D$1,FALSE),0)</f>
        <v>0</v>
      </c>
      <c r="I923" s="194">
        <f>IF(_1_54128456121462410464578910174[[#This Row],[Type]]&gt;0,VLOOKUP(_1_54128456121462410464578910174[[#This Row],[Type]],Main[[#All],[TYPE]:[UNIT]],'Unit Price'!G$1,FALSE),0)</f>
        <v>0</v>
      </c>
      <c r="J923" s="194">
        <f>IF(_1_54128456121462410464578910174[[#This Row],[Type]]&gt;0,VLOOKUP(_1_54128456121462410464578910174[[#This Row],[Type]],Main[[#All],[TYPE]:[UNIT]],'Unit Price'!H$1,FALSE),0)</f>
        <v>0</v>
      </c>
      <c r="K923" s="194">
        <f>IF(_1_54128456121462410464578910174[[#This Row],[Discount selection]]&gt;0,VLOOKUP(_1_54128456121462410464578910174[[#This Row],[Discount selection]],'Discount Structure'!$A$2:$B$30,2,"false"),0)</f>
        <v>1</v>
      </c>
      <c r="L923" s="194">
        <f>_1_54128456121462410464578910174[[#This Row],[LIST $]]*_1_54128456121462410464578910174[[#This Row],[DISCOUNT]]*_1_54128456121462410464578910174[[#This Row],[DISCOUNT 2]]</f>
        <v>0</v>
      </c>
      <c r="M923" s="194">
        <f>IF(OR(_1_54128456121462410464578910174[[#This Row],[UNIT]]&gt;0,_1_54128456121462410464578910174[[#This Row],[UNIT]]&lt;0),_1_54128456121462410464578910174[[#This Row],[UNIT]]*_1_54128456121462410464578910174[[#This Row],[COST]],0)</f>
        <v>0</v>
      </c>
      <c r="N923" s="194">
        <f t="shared" si="14"/>
        <v>1.5</v>
      </c>
      <c r="O923" s="198">
        <f>_1_54128456121462410464578910174[[#This Row],[TOTAL]]*_1_54128456121462410464578910174[[#This Row],[MARGIN]]</f>
        <v>0</v>
      </c>
      <c r="P923" s="198"/>
      <c r="R923" s="41"/>
    </row>
    <row r="924" spans="4:18">
      <c r="D924" s="188"/>
      <c r="E924" s="42"/>
      <c r="F924" s="168" t="s">
        <v>6202</v>
      </c>
      <c r="G924" s="193">
        <f>IF(_1_54128456121462410464578910174[[#This Row],[Type]]&gt;0,VLOOKUP(_1_54128456121462410464578910174[[#This Row],[Type]],Main[[#All],[TYPE]:[UNIT]],'Unit Price'!C$1,FALSE),0)</f>
        <v>0</v>
      </c>
      <c r="H924" s="197">
        <f>IF(_1_54128456121462410464578910174[[#This Row],[Type]]&gt;0,VLOOKUP(_1_54128456121462410464578910174[[#This Row],[Type]],Main[[#All],[TYPE]:[UNIT]],'Unit Price'!D$1,FALSE),0)</f>
        <v>0</v>
      </c>
      <c r="I924" s="194">
        <f>IF(_1_54128456121462410464578910174[[#This Row],[Type]]&gt;0,VLOOKUP(_1_54128456121462410464578910174[[#This Row],[Type]],Main[[#All],[TYPE]:[UNIT]],'Unit Price'!G$1,FALSE),0)</f>
        <v>0</v>
      </c>
      <c r="J924" s="194">
        <f>IF(_1_54128456121462410464578910174[[#This Row],[Type]]&gt;0,VLOOKUP(_1_54128456121462410464578910174[[#This Row],[Type]],Main[[#All],[TYPE]:[UNIT]],'Unit Price'!H$1,FALSE),0)</f>
        <v>0</v>
      </c>
      <c r="K924" s="194">
        <f>IF(_1_54128456121462410464578910174[[#This Row],[Discount selection]]&gt;0,VLOOKUP(_1_54128456121462410464578910174[[#This Row],[Discount selection]],'Discount Structure'!$A$2:$B$30,2,"false"),0)</f>
        <v>1</v>
      </c>
      <c r="L924" s="194">
        <f>_1_54128456121462410464578910174[[#This Row],[LIST $]]*_1_54128456121462410464578910174[[#This Row],[DISCOUNT]]*_1_54128456121462410464578910174[[#This Row],[DISCOUNT 2]]</f>
        <v>0</v>
      </c>
      <c r="M924" s="194">
        <f>IF(OR(_1_54128456121462410464578910174[[#This Row],[UNIT]]&gt;0,_1_54128456121462410464578910174[[#This Row],[UNIT]]&lt;0),_1_54128456121462410464578910174[[#This Row],[UNIT]]*_1_54128456121462410464578910174[[#This Row],[COST]],0)</f>
        <v>0</v>
      </c>
      <c r="N924" s="194">
        <f t="shared" si="14"/>
        <v>1.5</v>
      </c>
      <c r="O924" s="198">
        <f>_1_54128456121462410464578910174[[#This Row],[TOTAL]]*_1_54128456121462410464578910174[[#This Row],[MARGIN]]</f>
        <v>0</v>
      </c>
      <c r="P924" s="198"/>
      <c r="R924" s="41"/>
    </row>
    <row r="925" spans="4:18">
      <c r="D925" s="188"/>
      <c r="E925" s="42"/>
      <c r="F925" s="168" t="s">
        <v>6202</v>
      </c>
      <c r="G925" s="193">
        <f>IF(_1_54128456121462410464578910174[[#This Row],[Type]]&gt;0,VLOOKUP(_1_54128456121462410464578910174[[#This Row],[Type]],Main[[#All],[TYPE]:[UNIT]],'Unit Price'!C$1,FALSE),0)</f>
        <v>0</v>
      </c>
      <c r="H925" s="197">
        <f>IF(_1_54128456121462410464578910174[[#This Row],[Type]]&gt;0,VLOOKUP(_1_54128456121462410464578910174[[#This Row],[Type]],Main[[#All],[TYPE]:[UNIT]],'Unit Price'!D$1,FALSE),0)</f>
        <v>0</v>
      </c>
      <c r="I925" s="194">
        <f>IF(_1_54128456121462410464578910174[[#This Row],[Type]]&gt;0,VLOOKUP(_1_54128456121462410464578910174[[#This Row],[Type]],Main[[#All],[TYPE]:[UNIT]],'Unit Price'!G$1,FALSE),0)</f>
        <v>0</v>
      </c>
      <c r="J925" s="194">
        <f>IF(_1_54128456121462410464578910174[[#This Row],[Type]]&gt;0,VLOOKUP(_1_54128456121462410464578910174[[#This Row],[Type]],Main[[#All],[TYPE]:[UNIT]],'Unit Price'!H$1,FALSE),0)</f>
        <v>0</v>
      </c>
      <c r="K925" s="194">
        <f>IF(_1_54128456121462410464578910174[[#This Row],[Discount selection]]&gt;0,VLOOKUP(_1_54128456121462410464578910174[[#This Row],[Discount selection]],'Discount Structure'!$A$2:$B$30,2,"false"),0)</f>
        <v>1</v>
      </c>
      <c r="L925" s="194">
        <f>_1_54128456121462410464578910174[[#This Row],[LIST $]]*_1_54128456121462410464578910174[[#This Row],[DISCOUNT]]*_1_54128456121462410464578910174[[#This Row],[DISCOUNT 2]]</f>
        <v>0</v>
      </c>
      <c r="M925" s="194">
        <f>IF(OR(_1_54128456121462410464578910174[[#This Row],[UNIT]]&gt;0,_1_54128456121462410464578910174[[#This Row],[UNIT]]&lt;0),_1_54128456121462410464578910174[[#This Row],[UNIT]]*_1_54128456121462410464578910174[[#This Row],[COST]],0)</f>
        <v>0</v>
      </c>
      <c r="N925" s="194">
        <f t="shared" si="14"/>
        <v>1.5</v>
      </c>
      <c r="O925" s="198">
        <f>_1_54128456121462410464578910174[[#This Row],[TOTAL]]*_1_54128456121462410464578910174[[#This Row],[MARGIN]]</f>
        <v>0</v>
      </c>
      <c r="P925" s="198"/>
      <c r="R925" s="41"/>
    </row>
    <row r="926" spans="4:18">
      <c r="D926" s="188"/>
      <c r="E926" s="42"/>
      <c r="F926" s="168" t="s">
        <v>6202</v>
      </c>
      <c r="G926" s="193">
        <f>IF(_1_54128456121462410464578910174[[#This Row],[Type]]&gt;0,VLOOKUP(_1_54128456121462410464578910174[[#This Row],[Type]],Main[[#All],[TYPE]:[UNIT]],'Unit Price'!C$1,FALSE),0)</f>
        <v>0</v>
      </c>
      <c r="H926" s="197">
        <f>IF(_1_54128456121462410464578910174[[#This Row],[Type]]&gt;0,VLOOKUP(_1_54128456121462410464578910174[[#This Row],[Type]],Main[[#All],[TYPE]:[UNIT]],'Unit Price'!D$1,FALSE),0)</f>
        <v>0</v>
      </c>
      <c r="I926" s="194">
        <f>IF(_1_54128456121462410464578910174[[#This Row],[Type]]&gt;0,VLOOKUP(_1_54128456121462410464578910174[[#This Row],[Type]],Main[[#All],[TYPE]:[UNIT]],'Unit Price'!G$1,FALSE),0)</f>
        <v>0</v>
      </c>
      <c r="J926" s="194">
        <f>IF(_1_54128456121462410464578910174[[#This Row],[Type]]&gt;0,VLOOKUP(_1_54128456121462410464578910174[[#This Row],[Type]],Main[[#All],[TYPE]:[UNIT]],'Unit Price'!H$1,FALSE),0)</f>
        <v>0</v>
      </c>
      <c r="K926" s="194">
        <f>IF(_1_54128456121462410464578910174[[#This Row],[Discount selection]]&gt;0,VLOOKUP(_1_54128456121462410464578910174[[#This Row],[Discount selection]],'Discount Structure'!$A$2:$B$30,2,"false"),0)</f>
        <v>1</v>
      </c>
      <c r="L926" s="194">
        <f>_1_54128456121462410464578910174[[#This Row],[LIST $]]*_1_54128456121462410464578910174[[#This Row],[DISCOUNT]]*_1_54128456121462410464578910174[[#This Row],[DISCOUNT 2]]</f>
        <v>0</v>
      </c>
      <c r="M926" s="194">
        <f>IF(OR(_1_54128456121462410464578910174[[#This Row],[UNIT]]&gt;0,_1_54128456121462410464578910174[[#This Row],[UNIT]]&lt;0),_1_54128456121462410464578910174[[#This Row],[UNIT]]*_1_54128456121462410464578910174[[#This Row],[COST]],0)</f>
        <v>0</v>
      </c>
      <c r="N926" s="194">
        <f t="shared" si="14"/>
        <v>1.5</v>
      </c>
      <c r="O926" s="198">
        <f>_1_54128456121462410464578910174[[#This Row],[TOTAL]]*_1_54128456121462410464578910174[[#This Row],[MARGIN]]</f>
        <v>0</v>
      </c>
      <c r="P926" s="198"/>
      <c r="R926" s="41"/>
    </row>
    <row r="927" spans="4:18">
      <c r="D927" s="188"/>
      <c r="E927" s="42"/>
      <c r="F927" s="168" t="s">
        <v>6202</v>
      </c>
      <c r="G927" s="193">
        <f>IF(_1_54128456121462410464578910174[[#This Row],[Type]]&gt;0,VLOOKUP(_1_54128456121462410464578910174[[#This Row],[Type]],Main[[#All],[TYPE]:[UNIT]],'Unit Price'!C$1,FALSE),0)</f>
        <v>0</v>
      </c>
      <c r="H927" s="197">
        <f>IF(_1_54128456121462410464578910174[[#This Row],[Type]]&gt;0,VLOOKUP(_1_54128456121462410464578910174[[#This Row],[Type]],Main[[#All],[TYPE]:[UNIT]],'Unit Price'!D$1,FALSE),0)</f>
        <v>0</v>
      </c>
      <c r="I927" s="194">
        <f>IF(_1_54128456121462410464578910174[[#This Row],[Type]]&gt;0,VLOOKUP(_1_54128456121462410464578910174[[#This Row],[Type]],Main[[#All],[TYPE]:[UNIT]],'Unit Price'!G$1,FALSE),0)</f>
        <v>0</v>
      </c>
      <c r="J927" s="194">
        <f>IF(_1_54128456121462410464578910174[[#This Row],[Type]]&gt;0,VLOOKUP(_1_54128456121462410464578910174[[#This Row],[Type]],Main[[#All],[TYPE]:[UNIT]],'Unit Price'!H$1,FALSE),0)</f>
        <v>0</v>
      </c>
      <c r="K927" s="194">
        <f>IF(_1_54128456121462410464578910174[[#This Row],[Discount selection]]&gt;0,VLOOKUP(_1_54128456121462410464578910174[[#This Row],[Discount selection]],'Discount Structure'!$A$2:$B$30,2,"false"),0)</f>
        <v>1</v>
      </c>
      <c r="L927" s="194">
        <f>_1_54128456121462410464578910174[[#This Row],[LIST $]]*_1_54128456121462410464578910174[[#This Row],[DISCOUNT]]*_1_54128456121462410464578910174[[#This Row],[DISCOUNT 2]]</f>
        <v>0</v>
      </c>
      <c r="M927" s="194">
        <f>IF(OR(_1_54128456121462410464578910174[[#This Row],[UNIT]]&gt;0,_1_54128456121462410464578910174[[#This Row],[UNIT]]&lt;0),_1_54128456121462410464578910174[[#This Row],[UNIT]]*_1_54128456121462410464578910174[[#This Row],[COST]],0)</f>
        <v>0</v>
      </c>
      <c r="N927" s="194">
        <f t="shared" si="14"/>
        <v>1.5</v>
      </c>
      <c r="O927" s="198">
        <f>_1_54128456121462410464578910174[[#This Row],[TOTAL]]*_1_54128456121462410464578910174[[#This Row],[MARGIN]]</f>
        <v>0</v>
      </c>
      <c r="P927" s="198"/>
      <c r="R927" s="41"/>
    </row>
    <row r="928" spans="4:18">
      <c r="D928" s="188"/>
      <c r="E928" s="42"/>
      <c r="F928" s="168" t="s">
        <v>6202</v>
      </c>
      <c r="G928" s="193">
        <f>IF(_1_54128456121462410464578910174[[#This Row],[Type]]&gt;0,VLOOKUP(_1_54128456121462410464578910174[[#This Row],[Type]],Main[[#All],[TYPE]:[UNIT]],'Unit Price'!C$1,FALSE),0)</f>
        <v>0</v>
      </c>
      <c r="H928" s="197">
        <f>IF(_1_54128456121462410464578910174[[#This Row],[Type]]&gt;0,VLOOKUP(_1_54128456121462410464578910174[[#This Row],[Type]],Main[[#All],[TYPE]:[UNIT]],'Unit Price'!D$1,FALSE),0)</f>
        <v>0</v>
      </c>
      <c r="I928" s="194">
        <f>IF(_1_54128456121462410464578910174[[#This Row],[Type]]&gt;0,VLOOKUP(_1_54128456121462410464578910174[[#This Row],[Type]],Main[[#All],[TYPE]:[UNIT]],'Unit Price'!G$1,FALSE),0)</f>
        <v>0</v>
      </c>
      <c r="J928" s="194">
        <f>IF(_1_54128456121462410464578910174[[#This Row],[Type]]&gt;0,VLOOKUP(_1_54128456121462410464578910174[[#This Row],[Type]],Main[[#All],[TYPE]:[UNIT]],'Unit Price'!H$1,FALSE),0)</f>
        <v>0</v>
      </c>
      <c r="K928" s="194">
        <f>IF(_1_54128456121462410464578910174[[#This Row],[Discount selection]]&gt;0,VLOOKUP(_1_54128456121462410464578910174[[#This Row],[Discount selection]],'Discount Structure'!$A$2:$B$30,2,"false"),0)</f>
        <v>1</v>
      </c>
      <c r="L928" s="194">
        <f>_1_54128456121462410464578910174[[#This Row],[LIST $]]*_1_54128456121462410464578910174[[#This Row],[DISCOUNT]]*_1_54128456121462410464578910174[[#This Row],[DISCOUNT 2]]</f>
        <v>0</v>
      </c>
      <c r="M928" s="194">
        <f>IF(OR(_1_54128456121462410464578910174[[#This Row],[UNIT]]&gt;0,_1_54128456121462410464578910174[[#This Row],[UNIT]]&lt;0),_1_54128456121462410464578910174[[#This Row],[UNIT]]*_1_54128456121462410464578910174[[#This Row],[COST]],0)</f>
        <v>0</v>
      </c>
      <c r="N928" s="194">
        <f t="shared" si="14"/>
        <v>1.5</v>
      </c>
      <c r="O928" s="198">
        <f>_1_54128456121462410464578910174[[#This Row],[TOTAL]]*_1_54128456121462410464578910174[[#This Row],[MARGIN]]</f>
        <v>0</v>
      </c>
      <c r="P928" s="198"/>
      <c r="R928" s="41"/>
    </row>
    <row r="929" spans="4:18">
      <c r="D929" s="188"/>
      <c r="E929" s="42"/>
      <c r="F929" s="168" t="s">
        <v>6202</v>
      </c>
      <c r="G929" s="193">
        <f>IF(_1_54128456121462410464578910174[[#This Row],[Type]]&gt;0,VLOOKUP(_1_54128456121462410464578910174[[#This Row],[Type]],Main[[#All],[TYPE]:[UNIT]],'Unit Price'!C$1,FALSE),0)</f>
        <v>0</v>
      </c>
      <c r="H929" s="197">
        <f>IF(_1_54128456121462410464578910174[[#This Row],[Type]]&gt;0,VLOOKUP(_1_54128456121462410464578910174[[#This Row],[Type]],Main[[#All],[TYPE]:[UNIT]],'Unit Price'!D$1,FALSE),0)</f>
        <v>0</v>
      </c>
      <c r="I929" s="194">
        <f>IF(_1_54128456121462410464578910174[[#This Row],[Type]]&gt;0,VLOOKUP(_1_54128456121462410464578910174[[#This Row],[Type]],Main[[#All],[TYPE]:[UNIT]],'Unit Price'!G$1,FALSE),0)</f>
        <v>0</v>
      </c>
      <c r="J929" s="194">
        <f>IF(_1_54128456121462410464578910174[[#This Row],[Type]]&gt;0,VLOOKUP(_1_54128456121462410464578910174[[#This Row],[Type]],Main[[#All],[TYPE]:[UNIT]],'Unit Price'!H$1,FALSE),0)</f>
        <v>0</v>
      </c>
      <c r="K929" s="194">
        <f>IF(_1_54128456121462410464578910174[[#This Row],[Discount selection]]&gt;0,VLOOKUP(_1_54128456121462410464578910174[[#This Row],[Discount selection]],'Discount Structure'!$A$2:$B$30,2,"false"),0)</f>
        <v>1</v>
      </c>
      <c r="L929" s="194">
        <f>_1_54128456121462410464578910174[[#This Row],[LIST $]]*_1_54128456121462410464578910174[[#This Row],[DISCOUNT]]*_1_54128456121462410464578910174[[#This Row],[DISCOUNT 2]]</f>
        <v>0</v>
      </c>
      <c r="M929" s="194">
        <f>IF(OR(_1_54128456121462410464578910174[[#This Row],[UNIT]]&gt;0,_1_54128456121462410464578910174[[#This Row],[UNIT]]&lt;0),_1_54128456121462410464578910174[[#This Row],[UNIT]]*_1_54128456121462410464578910174[[#This Row],[COST]],0)</f>
        <v>0</v>
      </c>
      <c r="N929" s="194">
        <f t="shared" si="14"/>
        <v>1.5</v>
      </c>
      <c r="O929" s="198">
        <f>_1_54128456121462410464578910174[[#This Row],[TOTAL]]*_1_54128456121462410464578910174[[#This Row],[MARGIN]]</f>
        <v>0</v>
      </c>
      <c r="P929" s="198"/>
      <c r="R929" s="41"/>
    </row>
    <row r="930" spans="4:18">
      <c r="D930" s="188"/>
      <c r="E930" s="42"/>
      <c r="F930" s="168" t="s">
        <v>6202</v>
      </c>
      <c r="G930" s="193">
        <f>IF(_1_54128456121462410464578910174[[#This Row],[Type]]&gt;0,VLOOKUP(_1_54128456121462410464578910174[[#This Row],[Type]],Main[[#All],[TYPE]:[UNIT]],'Unit Price'!C$1,FALSE),0)</f>
        <v>0</v>
      </c>
      <c r="H930" s="197">
        <f>IF(_1_54128456121462410464578910174[[#This Row],[Type]]&gt;0,VLOOKUP(_1_54128456121462410464578910174[[#This Row],[Type]],Main[[#All],[TYPE]:[UNIT]],'Unit Price'!D$1,FALSE),0)</f>
        <v>0</v>
      </c>
      <c r="I930" s="194">
        <f>IF(_1_54128456121462410464578910174[[#This Row],[Type]]&gt;0,VLOOKUP(_1_54128456121462410464578910174[[#This Row],[Type]],Main[[#All],[TYPE]:[UNIT]],'Unit Price'!G$1,FALSE),0)</f>
        <v>0</v>
      </c>
      <c r="J930" s="194">
        <f>IF(_1_54128456121462410464578910174[[#This Row],[Type]]&gt;0,VLOOKUP(_1_54128456121462410464578910174[[#This Row],[Type]],Main[[#All],[TYPE]:[UNIT]],'Unit Price'!H$1,FALSE),0)</f>
        <v>0</v>
      </c>
      <c r="K930" s="194">
        <f>IF(_1_54128456121462410464578910174[[#This Row],[Discount selection]]&gt;0,VLOOKUP(_1_54128456121462410464578910174[[#This Row],[Discount selection]],'Discount Structure'!$A$2:$B$30,2,"false"),0)</f>
        <v>1</v>
      </c>
      <c r="L930" s="194">
        <f>_1_54128456121462410464578910174[[#This Row],[LIST $]]*_1_54128456121462410464578910174[[#This Row],[DISCOUNT]]*_1_54128456121462410464578910174[[#This Row],[DISCOUNT 2]]</f>
        <v>0</v>
      </c>
      <c r="M930" s="194">
        <f>IF(OR(_1_54128456121462410464578910174[[#This Row],[UNIT]]&gt;0,_1_54128456121462410464578910174[[#This Row],[UNIT]]&lt;0),_1_54128456121462410464578910174[[#This Row],[UNIT]]*_1_54128456121462410464578910174[[#This Row],[COST]],0)</f>
        <v>0</v>
      </c>
      <c r="N930" s="194">
        <f t="shared" si="14"/>
        <v>1.5</v>
      </c>
      <c r="O930" s="198">
        <f>_1_54128456121462410464578910174[[#This Row],[TOTAL]]*_1_54128456121462410464578910174[[#This Row],[MARGIN]]</f>
        <v>0</v>
      </c>
      <c r="P930" s="198"/>
      <c r="R930" s="41"/>
    </row>
    <row r="931" spans="4:18">
      <c r="D931" s="188"/>
      <c r="E931" s="42"/>
      <c r="F931" s="168" t="s">
        <v>6202</v>
      </c>
      <c r="G931" s="193">
        <f>IF(_1_54128456121462410464578910174[[#This Row],[Type]]&gt;0,VLOOKUP(_1_54128456121462410464578910174[[#This Row],[Type]],Main[[#All],[TYPE]:[UNIT]],'Unit Price'!C$1,FALSE),0)</f>
        <v>0</v>
      </c>
      <c r="H931" s="197">
        <f>IF(_1_54128456121462410464578910174[[#This Row],[Type]]&gt;0,VLOOKUP(_1_54128456121462410464578910174[[#This Row],[Type]],Main[[#All],[TYPE]:[UNIT]],'Unit Price'!D$1,FALSE),0)</f>
        <v>0</v>
      </c>
      <c r="I931" s="194">
        <f>IF(_1_54128456121462410464578910174[[#This Row],[Type]]&gt;0,VLOOKUP(_1_54128456121462410464578910174[[#This Row],[Type]],Main[[#All],[TYPE]:[UNIT]],'Unit Price'!G$1,FALSE),0)</f>
        <v>0</v>
      </c>
      <c r="J931" s="194">
        <f>IF(_1_54128456121462410464578910174[[#This Row],[Type]]&gt;0,VLOOKUP(_1_54128456121462410464578910174[[#This Row],[Type]],Main[[#All],[TYPE]:[UNIT]],'Unit Price'!H$1,FALSE),0)</f>
        <v>0</v>
      </c>
      <c r="K931" s="194">
        <f>IF(_1_54128456121462410464578910174[[#This Row],[Discount selection]]&gt;0,VLOOKUP(_1_54128456121462410464578910174[[#This Row],[Discount selection]],'Discount Structure'!$A$2:$B$30,2,"false"),0)</f>
        <v>1</v>
      </c>
      <c r="L931" s="194">
        <f>_1_54128456121462410464578910174[[#This Row],[LIST $]]*_1_54128456121462410464578910174[[#This Row],[DISCOUNT]]*_1_54128456121462410464578910174[[#This Row],[DISCOUNT 2]]</f>
        <v>0</v>
      </c>
      <c r="M931" s="194">
        <f>IF(OR(_1_54128456121462410464578910174[[#This Row],[UNIT]]&gt;0,_1_54128456121462410464578910174[[#This Row],[UNIT]]&lt;0),_1_54128456121462410464578910174[[#This Row],[UNIT]]*_1_54128456121462410464578910174[[#This Row],[COST]],0)</f>
        <v>0</v>
      </c>
      <c r="N931" s="194">
        <f t="shared" si="14"/>
        <v>1.5</v>
      </c>
      <c r="O931" s="198">
        <f>_1_54128456121462410464578910174[[#This Row],[TOTAL]]*_1_54128456121462410464578910174[[#This Row],[MARGIN]]</f>
        <v>0</v>
      </c>
      <c r="P931" s="198"/>
      <c r="R931" s="41"/>
    </row>
    <row r="932" spans="4:18">
      <c r="D932" s="188"/>
      <c r="E932" s="42"/>
      <c r="F932" s="168" t="s">
        <v>6202</v>
      </c>
      <c r="G932" s="193">
        <f>IF(_1_54128456121462410464578910174[[#This Row],[Type]]&gt;0,VLOOKUP(_1_54128456121462410464578910174[[#This Row],[Type]],Main[[#All],[TYPE]:[UNIT]],'Unit Price'!C$1,FALSE),0)</f>
        <v>0</v>
      </c>
      <c r="H932" s="197">
        <f>IF(_1_54128456121462410464578910174[[#This Row],[Type]]&gt;0,VLOOKUP(_1_54128456121462410464578910174[[#This Row],[Type]],Main[[#All],[TYPE]:[UNIT]],'Unit Price'!D$1,FALSE),0)</f>
        <v>0</v>
      </c>
      <c r="I932" s="194">
        <f>IF(_1_54128456121462410464578910174[[#This Row],[Type]]&gt;0,VLOOKUP(_1_54128456121462410464578910174[[#This Row],[Type]],Main[[#All],[TYPE]:[UNIT]],'Unit Price'!G$1,FALSE),0)</f>
        <v>0</v>
      </c>
      <c r="J932" s="194">
        <f>IF(_1_54128456121462410464578910174[[#This Row],[Type]]&gt;0,VLOOKUP(_1_54128456121462410464578910174[[#This Row],[Type]],Main[[#All],[TYPE]:[UNIT]],'Unit Price'!H$1,FALSE),0)</f>
        <v>0</v>
      </c>
      <c r="K932" s="194">
        <f>IF(_1_54128456121462410464578910174[[#This Row],[Discount selection]]&gt;0,VLOOKUP(_1_54128456121462410464578910174[[#This Row],[Discount selection]],'Discount Structure'!$A$2:$B$30,2,"false"),0)</f>
        <v>1</v>
      </c>
      <c r="L932" s="194">
        <f>_1_54128456121462410464578910174[[#This Row],[LIST $]]*_1_54128456121462410464578910174[[#This Row],[DISCOUNT]]*_1_54128456121462410464578910174[[#This Row],[DISCOUNT 2]]</f>
        <v>0</v>
      </c>
      <c r="M932" s="194">
        <f>IF(OR(_1_54128456121462410464578910174[[#This Row],[UNIT]]&gt;0,_1_54128456121462410464578910174[[#This Row],[UNIT]]&lt;0),_1_54128456121462410464578910174[[#This Row],[UNIT]]*_1_54128456121462410464578910174[[#This Row],[COST]],0)</f>
        <v>0</v>
      </c>
      <c r="N932" s="194">
        <f t="shared" si="14"/>
        <v>1.5</v>
      </c>
      <c r="O932" s="198">
        <f>_1_54128456121462410464578910174[[#This Row],[TOTAL]]*_1_54128456121462410464578910174[[#This Row],[MARGIN]]</f>
        <v>0</v>
      </c>
      <c r="P932" s="198"/>
      <c r="R932" s="41"/>
    </row>
    <row r="933" spans="4:18">
      <c r="D933" s="188"/>
      <c r="E933" s="42"/>
      <c r="F933" s="168" t="s">
        <v>6202</v>
      </c>
      <c r="G933" s="193">
        <f>IF(_1_54128456121462410464578910174[[#This Row],[Type]]&gt;0,VLOOKUP(_1_54128456121462410464578910174[[#This Row],[Type]],Main[[#All],[TYPE]:[UNIT]],'Unit Price'!C$1,FALSE),0)</f>
        <v>0</v>
      </c>
      <c r="H933" s="197">
        <f>IF(_1_54128456121462410464578910174[[#This Row],[Type]]&gt;0,VLOOKUP(_1_54128456121462410464578910174[[#This Row],[Type]],Main[[#All],[TYPE]:[UNIT]],'Unit Price'!D$1,FALSE),0)</f>
        <v>0</v>
      </c>
      <c r="I933" s="194">
        <f>IF(_1_54128456121462410464578910174[[#This Row],[Type]]&gt;0,VLOOKUP(_1_54128456121462410464578910174[[#This Row],[Type]],Main[[#All],[TYPE]:[UNIT]],'Unit Price'!G$1,FALSE),0)</f>
        <v>0</v>
      </c>
      <c r="J933" s="194">
        <f>IF(_1_54128456121462410464578910174[[#This Row],[Type]]&gt;0,VLOOKUP(_1_54128456121462410464578910174[[#This Row],[Type]],Main[[#All],[TYPE]:[UNIT]],'Unit Price'!H$1,FALSE),0)</f>
        <v>0</v>
      </c>
      <c r="K933" s="194">
        <f>IF(_1_54128456121462410464578910174[[#This Row],[Discount selection]]&gt;0,VLOOKUP(_1_54128456121462410464578910174[[#This Row],[Discount selection]],'Discount Structure'!$A$2:$B$30,2,"false"),0)</f>
        <v>1</v>
      </c>
      <c r="L933" s="194">
        <f>_1_54128456121462410464578910174[[#This Row],[LIST $]]*_1_54128456121462410464578910174[[#This Row],[DISCOUNT]]*_1_54128456121462410464578910174[[#This Row],[DISCOUNT 2]]</f>
        <v>0</v>
      </c>
      <c r="M933" s="194">
        <f>IF(OR(_1_54128456121462410464578910174[[#This Row],[UNIT]]&gt;0,_1_54128456121462410464578910174[[#This Row],[UNIT]]&lt;0),_1_54128456121462410464578910174[[#This Row],[UNIT]]*_1_54128456121462410464578910174[[#This Row],[COST]],0)</f>
        <v>0</v>
      </c>
      <c r="N933" s="194">
        <f t="shared" si="14"/>
        <v>1.5</v>
      </c>
      <c r="O933" s="198">
        <f>_1_54128456121462410464578910174[[#This Row],[TOTAL]]*_1_54128456121462410464578910174[[#This Row],[MARGIN]]</f>
        <v>0</v>
      </c>
      <c r="P933" s="198"/>
      <c r="R933" s="41"/>
    </row>
    <row r="934" spans="4:18">
      <c r="D934" s="188"/>
      <c r="E934" s="42"/>
      <c r="F934" s="168" t="s">
        <v>6202</v>
      </c>
      <c r="G934" s="193">
        <f>IF(_1_54128456121462410464578910174[[#This Row],[Type]]&gt;0,VLOOKUP(_1_54128456121462410464578910174[[#This Row],[Type]],Main[[#All],[TYPE]:[UNIT]],'Unit Price'!C$1,FALSE),0)</f>
        <v>0</v>
      </c>
      <c r="H934" s="197">
        <f>IF(_1_54128456121462410464578910174[[#This Row],[Type]]&gt;0,VLOOKUP(_1_54128456121462410464578910174[[#This Row],[Type]],Main[[#All],[TYPE]:[UNIT]],'Unit Price'!D$1,FALSE),0)</f>
        <v>0</v>
      </c>
      <c r="I934" s="194">
        <f>IF(_1_54128456121462410464578910174[[#This Row],[Type]]&gt;0,VLOOKUP(_1_54128456121462410464578910174[[#This Row],[Type]],Main[[#All],[TYPE]:[UNIT]],'Unit Price'!G$1,FALSE),0)</f>
        <v>0</v>
      </c>
      <c r="J934" s="194">
        <f>IF(_1_54128456121462410464578910174[[#This Row],[Type]]&gt;0,VLOOKUP(_1_54128456121462410464578910174[[#This Row],[Type]],Main[[#All],[TYPE]:[UNIT]],'Unit Price'!H$1,FALSE),0)</f>
        <v>0</v>
      </c>
      <c r="K934" s="194">
        <f>IF(_1_54128456121462410464578910174[[#This Row],[Discount selection]]&gt;0,VLOOKUP(_1_54128456121462410464578910174[[#This Row],[Discount selection]],'Discount Structure'!$A$2:$B$30,2,"false"),0)</f>
        <v>1</v>
      </c>
      <c r="L934" s="194">
        <f>_1_54128456121462410464578910174[[#This Row],[LIST $]]*_1_54128456121462410464578910174[[#This Row],[DISCOUNT]]*_1_54128456121462410464578910174[[#This Row],[DISCOUNT 2]]</f>
        <v>0</v>
      </c>
      <c r="M934" s="194">
        <f>IF(OR(_1_54128456121462410464578910174[[#This Row],[UNIT]]&gt;0,_1_54128456121462410464578910174[[#This Row],[UNIT]]&lt;0),_1_54128456121462410464578910174[[#This Row],[UNIT]]*_1_54128456121462410464578910174[[#This Row],[COST]],0)</f>
        <v>0</v>
      </c>
      <c r="N934" s="194">
        <f t="shared" si="14"/>
        <v>1.5</v>
      </c>
      <c r="O934" s="198">
        <f>_1_54128456121462410464578910174[[#This Row],[TOTAL]]*_1_54128456121462410464578910174[[#This Row],[MARGIN]]</f>
        <v>0</v>
      </c>
      <c r="P934" s="198"/>
      <c r="R934" s="41"/>
    </row>
    <row r="935" spans="4:18">
      <c r="D935" s="188"/>
      <c r="E935" s="42"/>
      <c r="F935" s="168" t="s">
        <v>6202</v>
      </c>
      <c r="G935" s="193">
        <f>IF(_1_54128456121462410464578910174[[#This Row],[Type]]&gt;0,VLOOKUP(_1_54128456121462410464578910174[[#This Row],[Type]],Main[[#All],[TYPE]:[UNIT]],'Unit Price'!C$1,FALSE),0)</f>
        <v>0</v>
      </c>
      <c r="H935" s="197">
        <f>IF(_1_54128456121462410464578910174[[#This Row],[Type]]&gt;0,VLOOKUP(_1_54128456121462410464578910174[[#This Row],[Type]],Main[[#All],[TYPE]:[UNIT]],'Unit Price'!D$1,FALSE),0)</f>
        <v>0</v>
      </c>
      <c r="I935" s="194">
        <f>IF(_1_54128456121462410464578910174[[#This Row],[Type]]&gt;0,VLOOKUP(_1_54128456121462410464578910174[[#This Row],[Type]],Main[[#All],[TYPE]:[UNIT]],'Unit Price'!G$1,FALSE),0)</f>
        <v>0</v>
      </c>
      <c r="J935" s="194">
        <f>IF(_1_54128456121462410464578910174[[#This Row],[Type]]&gt;0,VLOOKUP(_1_54128456121462410464578910174[[#This Row],[Type]],Main[[#All],[TYPE]:[UNIT]],'Unit Price'!H$1,FALSE),0)</f>
        <v>0</v>
      </c>
      <c r="K935" s="194">
        <f>IF(_1_54128456121462410464578910174[[#This Row],[Discount selection]]&gt;0,VLOOKUP(_1_54128456121462410464578910174[[#This Row],[Discount selection]],'Discount Structure'!$A$2:$B$30,2,"false"),0)</f>
        <v>1</v>
      </c>
      <c r="L935" s="194">
        <f>_1_54128456121462410464578910174[[#This Row],[LIST $]]*_1_54128456121462410464578910174[[#This Row],[DISCOUNT]]*_1_54128456121462410464578910174[[#This Row],[DISCOUNT 2]]</f>
        <v>0</v>
      </c>
      <c r="M935" s="194">
        <f>IF(OR(_1_54128456121462410464578910174[[#This Row],[UNIT]]&gt;0,_1_54128456121462410464578910174[[#This Row],[UNIT]]&lt;0),_1_54128456121462410464578910174[[#This Row],[UNIT]]*_1_54128456121462410464578910174[[#This Row],[COST]],0)</f>
        <v>0</v>
      </c>
      <c r="N935" s="194">
        <f t="shared" si="14"/>
        <v>1.5</v>
      </c>
      <c r="O935" s="198">
        <f>_1_54128456121462410464578910174[[#This Row],[TOTAL]]*_1_54128456121462410464578910174[[#This Row],[MARGIN]]</f>
        <v>0</v>
      </c>
      <c r="P935" s="198"/>
      <c r="R935" s="41"/>
    </row>
    <row r="936" spans="4:18">
      <c r="D936" s="188"/>
      <c r="E936" s="42"/>
      <c r="F936" s="168" t="s">
        <v>6202</v>
      </c>
      <c r="G936" s="193">
        <f>IF(_1_54128456121462410464578910174[[#This Row],[Type]]&gt;0,VLOOKUP(_1_54128456121462410464578910174[[#This Row],[Type]],Main[[#All],[TYPE]:[UNIT]],'Unit Price'!C$1,FALSE),0)</f>
        <v>0</v>
      </c>
      <c r="H936" s="197">
        <f>IF(_1_54128456121462410464578910174[[#This Row],[Type]]&gt;0,VLOOKUP(_1_54128456121462410464578910174[[#This Row],[Type]],Main[[#All],[TYPE]:[UNIT]],'Unit Price'!D$1,FALSE),0)</f>
        <v>0</v>
      </c>
      <c r="I936" s="194">
        <f>IF(_1_54128456121462410464578910174[[#This Row],[Type]]&gt;0,VLOOKUP(_1_54128456121462410464578910174[[#This Row],[Type]],Main[[#All],[TYPE]:[UNIT]],'Unit Price'!G$1,FALSE),0)</f>
        <v>0</v>
      </c>
      <c r="J936" s="194">
        <f>IF(_1_54128456121462410464578910174[[#This Row],[Type]]&gt;0,VLOOKUP(_1_54128456121462410464578910174[[#This Row],[Type]],Main[[#All],[TYPE]:[UNIT]],'Unit Price'!H$1,FALSE),0)</f>
        <v>0</v>
      </c>
      <c r="K936" s="194">
        <f>IF(_1_54128456121462410464578910174[[#This Row],[Discount selection]]&gt;0,VLOOKUP(_1_54128456121462410464578910174[[#This Row],[Discount selection]],'Discount Structure'!$A$2:$B$30,2,"false"),0)</f>
        <v>1</v>
      </c>
      <c r="L936" s="194">
        <f>_1_54128456121462410464578910174[[#This Row],[LIST $]]*_1_54128456121462410464578910174[[#This Row],[DISCOUNT]]*_1_54128456121462410464578910174[[#This Row],[DISCOUNT 2]]</f>
        <v>0</v>
      </c>
      <c r="M936" s="194">
        <f>IF(OR(_1_54128456121462410464578910174[[#This Row],[UNIT]]&gt;0,_1_54128456121462410464578910174[[#This Row],[UNIT]]&lt;0),_1_54128456121462410464578910174[[#This Row],[UNIT]]*_1_54128456121462410464578910174[[#This Row],[COST]],0)</f>
        <v>0</v>
      </c>
      <c r="N936" s="194">
        <f t="shared" si="14"/>
        <v>1.5</v>
      </c>
      <c r="O936" s="198">
        <f>_1_54128456121462410464578910174[[#This Row],[TOTAL]]*_1_54128456121462410464578910174[[#This Row],[MARGIN]]</f>
        <v>0</v>
      </c>
      <c r="P936" s="198"/>
      <c r="R936" s="41"/>
    </row>
    <row r="937" spans="4:18">
      <c r="D937" s="188"/>
      <c r="E937" s="42"/>
      <c r="F937" s="168" t="s">
        <v>6202</v>
      </c>
      <c r="G937" s="193">
        <f>IF(_1_54128456121462410464578910174[[#This Row],[Type]]&gt;0,VLOOKUP(_1_54128456121462410464578910174[[#This Row],[Type]],Main[[#All],[TYPE]:[UNIT]],'Unit Price'!C$1,FALSE),0)</f>
        <v>0</v>
      </c>
      <c r="H937" s="197">
        <f>IF(_1_54128456121462410464578910174[[#This Row],[Type]]&gt;0,VLOOKUP(_1_54128456121462410464578910174[[#This Row],[Type]],Main[[#All],[TYPE]:[UNIT]],'Unit Price'!D$1,FALSE),0)</f>
        <v>0</v>
      </c>
      <c r="I937" s="194">
        <f>IF(_1_54128456121462410464578910174[[#This Row],[Type]]&gt;0,VLOOKUP(_1_54128456121462410464578910174[[#This Row],[Type]],Main[[#All],[TYPE]:[UNIT]],'Unit Price'!G$1,FALSE),0)</f>
        <v>0</v>
      </c>
      <c r="J937" s="194">
        <f>IF(_1_54128456121462410464578910174[[#This Row],[Type]]&gt;0,VLOOKUP(_1_54128456121462410464578910174[[#This Row],[Type]],Main[[#All],[TYPE]:[UNIT]],'Unit Price'!H$1,FALSE),0)</f>
        <v>0</v>
      </c>
      <c r="K937" s="194">
        <f>IF(_1_54128456121462410464578910174[[#This Row],[Discount selection]]&gt;0,VLOOKUP(_1_54128456121462410464578910174[[#This Row],[Discount selection]],'Discount Structure'!$A$2:$B$30,2,"false"),0)</f>
        <v>1</v>
      </c>
      <c r="L937" s="194">
        <f>_1_54128456121462410464578910174[[#This Row],[LIST $]]*_1_54128456121462410464578910174[[#This Row],[DISCOUNT]]*_1_54128456121462410464578910174[[#This Row],[DISCOUNT 2]]</f>
        <v>0</v>
      </c>
      <c r="M937" s="194">
        <f>IF(OR(_1_54128456121462410464578910174[[#This Row],[UNIT]]&gt;0,_1_54128456121462410464578910174[[#This Row],[UNIT]]&lt;0),_1_54128456121462410464578910174[[#This Row],[UNIT]]*_1_54128456121462410464578910174[[#This Row],[COST]],0)</f>
        <v>0</v>
      </c>
      <c r="N937" s="194">
        <f t="shared" si="14"/>
        <v>1.5</v>
      </c>
      <c r="O937" s="198">
        <f>_1_54128456121462410464578910174[[#This Row],[TOTAL]]*_1_54128456121462410464578910174[[#This Row],[MARGIN]]</f>
        <v>0</v>
      </c>
      <c r="P937" s="198"/>
      <c r="R937" s="41"/>
    </row>
    <row r="938" spans="4:18">
      <c r="D938" s="188"/>
      <c r="E938" s="42"/>
      <c r="F938" s="168" t="s">
        <v>6202</v>
      </c>
      <c r="G938" s="193">
        <f>IF(_1_54128456121462410464578910174[[#This Row],[Type]]&gt;0,VLOOKUP(_1_54128456121462410464578910174[[#This Row],[Type]],Main[[#All],[TYPE]:[UNIT]],'Unit Price'!C$1,FALSE),0)</f>
        <v>0</v>
      </c>
      <c r="H938" s="197">
        <f>IF(_1_54128456121462410464578910174[[#This Row],[Type]]&gt;0,VLOOKUP(_1_54128456121462410464578910174[[#This Row],[Type]],Main[[#All],[TYPE]:[UNIT]],'Unit Price'!D$1,FALSE),0)</f>
        <v>0</v>
      </c>
      <c r="I938" s="194">
        <f>IF(_1_54128456121462410464578910174[[#This Row],[Type]]&gt;0,VLOOKUP(_1_54128456121462410464578910174[[#This Row],[Type]],Main[[#All],[TYPE]:[UNIT]],'Unit Price'!G$1,FALSE),0)</f>
        <v>0</v>
      </c>
      <c r="J938" s="194">
        <f>IF(_1_54128456121462410464578910174[[#This Row],[Type]]&gt;0,VLOOKUP(_1_54128456121462410464578910174[[#This Row],[Type]],Main[[#All],[TYPE]:[UNIT]],'Unit Price'!H$1,FALSE),0)</f>
        <v>0</v>
      </c>
      <c r="K938" s="194">
        <f>IF(_1_54128456121462410464578910174[[#This Row],[Discount selection]]&gt;0,VLOOKUP(_1_54128456121462410464578910174[[#This Row],[Discount selection]],'Discount Structure'!$A$2:$B$30,2,"false"),0)</f>
        <v>1</v>
      </c>
      <c r="L938" s="194">
        <f>_1_54128456121462410464578910174[[#This Row],[LIST $]]*_1_54128456121462410464578910174[[#This Row],[DISCOUNT]]*_1_54128456121462410464578910174[[#This Row],[DISCOUNT 2]]</f>
        <v>0</v>
      </c>
      <c r="M938" s="194">
        <f>IF(OR(_1_54128456121462410464578910174[[#This Row],[UNIT]]&gt;0,_1_54128456121462410464578910174[[#This Row],[UNIT]]&lt;0),_1_54128456121462410464578910174[[#This Row],[UNIT]]*_1_54128456121462410464578910174[[#This Row],[COST]],0)</f>
        <v>0</v>
      </c>
      <c r="N938" s="194">
        <f t="shared" si="14"/>
        <v>1.5</v>
      </c>
      <c r="O938" s="198">
        <f>_1_54128456121462410464578910174[[#This Row],[TOTAL]]*_1_54128456121462410464578910174[[#This Row],[MARGIN]]</f>
        <v>0</v>
      </c>
      <c r="P938" s="198"/>
      <c r="R938" s="41"/>
    </row>
    <row r="939" spans="4:18">
      <c r="D939" s="188"/>
      <c r="E939" s="42"/>
      <c r="F939" s="168" t="s">
        <v>6202</v>
      </c>
      <c r="G939" s="193">
        <f>IF(_1_54128456121462410464578910174[[#This Row],[Type]]&gt;0,VLOOKUP(_1_54128456121462410464578910174[[#This Row],[Type]],Main[[#All],[TYPE]:[UNIT]],'Unit Price'!C$1,FALSE),0)</f>
        <v>0</v>
      </c>
      <c r="H939" s="197">
        <f>IF(_1_54128456121462410464578910174[[#This Row],[Type]]&gt;0,VLOOKUP(_1_54128456121462410464578910174[[#This Row],[Type]],Main[[#All],[TYPE]:[UNIT]],'Unit Price'!D$1,FALSE),0)</f>
        <v>0</v>
      </c>
      <c r="I939" s="194">
        <f>IF(_1_54128456121462410464578910174[[#This Row],[Type]]&gt;0,VLOOKUP(_1_54128456121462410464578910174[[#This Row],[Type]],Main[[#All],[TYPE]:[UNIT]],'Unit Price'!G$1,FALSE),0)</f>
        <v>0</v>
      </c>
      <c r="J939" s="194">
        <f>IF(_1_54128456121462410464578910174[[#This Row],[Type]]&gt;0,VLOOKUP(_1_54128456121462410464578910174[[#This Row],[Type]],Main[[#All],[TYPE]:[UNIT]],'Unit Price'!H$1,FALSE),0)</f>
        <v>0</v>
      </c>
      <c r="K939" s="194">
        <f>IF(_1_54128456121462410464578910174[[#This Row],[Discount selection]]&gt;0,VLOOKUP(_1_54128456121462410464578910174[[#This Row],[Discount selection]],'Discount Structure'!$A$2:$B$30,2,"false"),0)</f>
        <v>1</v>
      </c>
      <c r="L939" s="194">
        <f>_1_54128456121462410464578910174[[#This Row],[LIST $]]*_1_54128456121462410464578910174[[#This Row],[DISCOUNT]]*_1_54128456121462410464578910174[[#This Row],[DISCOUNT 2]]</f>
        <v>0</v>
      </c>
      <c r="M939" s="194">
        <f>IF(OR(_1_54128456121462410464578910174[[#This Row],[UNIT]]&gt;0,_1_54128456121462410464578910174[[#This Row],[UNIT]]&lt;0),_1_54128456121462410464578910174[[#This Row],[UNIT]]*_1_54128456121462410464578910174[[#This Row],[COST]],0)</f>
        <v>0</v>
      </c>
      <c r="N939" s="194">
        <f t="shared" si="14"/>
        <v>1.5</v>
      </c>
      <c r="O939" s="198">
        <f>_1_54128456121462410464578910174[[#This Row],[TOTAL]]*_1_54128456121462410464578910174[[#This Row],[MARGIN]]</f>
        <v>0</v>
      </c>
      <c r="P939" s="198"/>
      <c r="R939" s="41"/>
    </row>
    <row r="940" spans="4:18">
      <c r="D940" s="188"/>
      <c r="E940" s="42"/>
      <c r="F940" s="168" t="s">
        <v>6202</v>
      </c>
      <c r="G940" s="193">
        <f>IF(_1_54128456121462410464578910174[[#This Row],[Type]]&gt;0,VLOOKUP(_1_54128456121462410464578910174[[#This Row],[Type]],Main[[#All],[TYPE]:[UNIT]],'Unit Price'!C$1,FALSE),0)</f>
        <v>0</v>
      </c>
      <c r="H940" s="197">
        <f>IF(_1_54128456121462410464578910174[[#This Row],[Type]]&gt;0,VLOOKUP(_1_54128456121462410464578910174[[#This Row],[Type]],Main[[#All],[TYPE]:[UNIT]],'Unit Price'!D$1,FALSE),0)</f>
        <v>0</v>
      </c>
      <c r="I940" s="194">
        <f>IF(_1_54128456121462410464578910174[[#This Row],[Type]]&gt;0,VLOOKUP(_1_54128456121462410464578910174[[#This Row],[Type]],Main[[#All],[TYPE]:[UNIT]],'Unit Price'!G$1,FALSE),0)</f>
        <v>0</v>
      </c>
      <c r="J940" s="194">
        <f>IF(_1_54128456121462410464578910174[[#This Row],[Type]]&gt;0,VLOOKUP(_1_54128456121462410464578910174[[#This Row],[Type]],Main[[#All],[TYPE]:[UNIT]],'Unit Price'!H$1,FALSE),0)</f>
        <v>0</v>
      </c>
      <c r="K940" s="194">
        <f>IF(_1_54128456121462410464578910174[[#This Row],[Discount selection]]&gt;0,VLOOKUP(_1_54128456121462410464578910174[[#This Row],[Discount selection]],'Discount Structure'!$A$2:$B$30,2,"false"),0)</f>
        <v>1</v>
      </c>
      <c r="L940" s="194">
        <f>_1_54128456121462410464578910174[[#This Row],[LIST $]]*_1_54128456121462410464578910174[[#This Row],[DISCOUNT]]*_1_54128456121462410464578910174[[#This Row],[DISCOUNT 2]]</f>
        <v>0</v>
      </c>
      <c r="M940" s="194">
        <f>IF(OR(_1_54128456121462410464578910174[[#This Row],[UNIT]]&gt;0,_1_54128456121462410464578910174[[#This Row],[UNIT]]&lt;0),_1_54128456121462410464578910174[[#This Row],[UNIT]]*_1_54128456121462410464578910174[[#This Row],[COST]],0)</f>
        <v>0</v>
      </c>
      <c r="N940" s="194">
        <f t="shared" si="14"/>
        <v>1.5</v>
      </c>
      <c r="O940" s="198">
        <f>_1_54128456121462410464578910174[[#This Row],[TOTAL]]*_1_54128456121462410464578910174[[#This Row],[MARGIN]]</f>
        <v>0</v>
      </c>
      <c r="P940" s="198"/>
      <c r="R940" s="41"/>
    </row>
    <row r="941" spans="4:18">
      <c r="D941" s="188"/>
      <c r="E941" s="42"/>
      <c r="F941" s="168" t="s">
        <v>6202</v>
      </c>
      <c r="G941" s="193">
        <f>IF(_1_54128456121462410464578910174[[#This Row],[Type]]&gt;0,VLOOKUP(_1_54128456121462410464578910174[[#This Row],[Type]],Main[[#All],[TYPE]:[UNIT]],'Unit Price'!C$1,FALSE),0)</f>
        <v>0</v>
      </c>
      <c r="H941" s="197">
        <f>IF(_1_54128456121462410464578910174[[#This Row],[Type]]&gt;0,VLOOKUP(_1_54128456121462410464578910174[[#This Row],[Type]],Main[[#All],[TYPE]:[UNIT]],'Unit Price'!D$1,FALSE),0)</f>
        <v>0</v>
      </c>
      <c r="I941" s="194">
        <f>IF(_1_54128456121462410464578910174[[#This Row],[Type]]&gt;0,VLOOKUP(_1_54128456121462410464578910174[[#This Row],[Type]],Main[[#All],[TYPE]:[UNIT]],'Unit Price'!G$1,FALSE),0)</f>
        <v>0</v>
      </c>
      <c r="J941" s="194">
        <f>IF(_1_54128456121462410464578910174[[#This Row],[Type]]&gt;0,VLOOKUP(_1_54128456121462410464578910174[[#This Row],[Type]],Main[[#All],[TYPE]:[UNIT]],'Unit Price'!H$1,FALSE),0)</f>
        <v>0</v>
      </c>
      <c r="K941" s="194">
        <f>IF(_1_54128456121462410464578910174[[#This Row],[Discount selection]]&gt;0,VLOOKUP(_1_54128456121462410464578910174[[#This Row],[Discount selection]],'Discount Structure'!$A$2:$B$30,2,"false"),0)</f>
        <v>1</v>
      </c>
      <c r="L941" s="194">
        <f>_1_54128456121462410464578910174[[#This Row],[LIST $]]*_1_54128456121462410464578910174[[#This Row],[DISCOUNT]]*_1_54128456121462410464578910174[[#This Row],[DISCOUNT 2]]</f>
        <v>0</v>
      </c>
      <c r="M941" s="194">
        <f>IF(OR(_1_54128456121462410464578910174[[#This Row],[UNIT]]&gt;0,_1_54128456121462410464578910174[[#This Row],[UNIT]]&lt;0),_1_54128456121462410464578910174[[#This Row],[UNIT]]*_1_54128456121462410464578910174[[#This Row],[COST]],0)</f>
        <v>0</v>
      </c>
      <c r="N941" s="194">
        <f t="shared" si="14"/>
        <v>1.5</v>
      </c>
      <c r="O941" s="198">
        <f>_1_54128456121462410464578910174[[#This Row],[TOTAL]]*_1_54128456121462410464578910174[[#This Row],[MARGIN]]</f>
        <v>0</v>
      </c>
      <c r="P941" s="198"/>
      <c r="R941" s="41"/>
    </row>
    <row r="942" spans="4:18">
      <c r="D942" s="188"/>
      <c r="E942" s="42"/>
      <c r="F942" s="168" t="s">
        <v>6202</v>
      </c>
      <c r="G942" s="193">
        <f>IF(_1_54128456121462410464578910174[[#This Row],[Type]]&gt;0,VLOOKUP(_1_54128456121462410464578910174[[#This Row],[Type]],Main[[#All],[TYPE]:[UNIT]],'Unit Price'!C$1,FALSE),0)</f>
        <v>0</v>
      </c>
      <c r="H942" s="197">
        <f>IF(_1_54128456121462410464578910174[[#This Row],[Type]]&gt;0,VLOOKUP(_1_54128456121462410464578910174[[#This Row],[Type]],Main[[#All],[TYPE]:[UNIT]],'Unit Price'!D$1,FALSE),0)</f>
        <v>0</v>
      </c>
      <c r="I942" s="194">
        <f>IF(_1_54128456121462410464578910174[[#This Row],[Type]]&gt;0,VLOOKUP(_1_54128456121462410464578910174[[#This Row],[Type]],Main[[#All],[TYPE]:[UNIT]],'Unit Price'!G$1,FALSE),0)</f>
        <v>0</v>
      </c>
      <c r="J942" s="194">
        <f>IF(_1_54128456121462410464578910174[[#This Row],[Type]]&gt;0,VLOOKUP(_1_54128456121462410464578910174[[#This Row],[Type]],Main[[#All],[TYPE]:[UNIT]],'Unit Price'!H$1,FALSE),0)</f>
        <v>0</v>
      </c>
      <c r="K942" s="194">
        <f>IF(_1_54128456121462410464578910174[[#This Row],[Discount selection]]&gt;0,VLOOKUP(_1_54128456121462410464578910174[[#This Row],[Discount selection]],'Discount Structure'!$A$2:$B$30,2,"false"),0)</f>
        <v>1</v>
      </c>
      <c r="L942" s="194">
        <f>_1_54128456121462410464578910174[[#This Row],[LIST $]]*_1_54128456121462410464578910174[[#This Row],[DISCOUNT]]*_1_54128456121462410464578910174[[#This Row],[DISCOUNT 2]]</f>
        <v>0</v>
      </c>
      <c r="M942" s="194">
        <f>IF(OR(_1_54128456121462410464578910174[[#This Row],[UNIT]]&gt;0,_1_54128456121462410464578910174[[#This Row],[UNIT]]&lt;0),_1_54128456121462410464578910174[[#This Row],[UNIT]]*_1_54128456121462410464578910174[[#This Row],[COST]],0)</f>
        <v>0</v>
      </c>
      <c r="N942" s="194">
        <f t="shared" si="14"/>
        <v>1.5</v>
      </c>
      <c r="O942" s="198">
        <f>_1_54128456121462410464578910174[[#This Row],[TOTAL]]*_1_54128456121462410464578910174[[#This Row],[MARGIN]]</f>
        <v>0</v>
      </c>
      <c r="P942" s="198"/>
      <c r="R942" s="41"/>
    </row>
    <row r="943" spans="4:18">
      <c r="D943" s="188"/>
      <c r="E943" s="42"/>
      <c r="F943" s="168" t="s">
        <v>6202</v>
      </c>
      <c r="G943" s="193">
        <f>IF(_1_54128456121462410464578910174[[#This Row],[Type]]&gt;0,VLOOKUP(_1_54128456121462410464578910174[[#This Row],[Type]],Main[[#All],[TYPE]:[UNIT]],'Unit Price'!C$1,FALSE),0)</f>
        <v>0</v>
      </c>
      <c r="H943" s="197">
        <f>IF(_1_54128456121462410464578910174[[#This Row],[Type]]&gt;0,VLOOKUP(_1_54128456121462410464578910174[[#This Row],[Type]],Main[[#All],[TYPE]:[UNIT]],'Unit Price'!D$1,FALSE),0)</f>
        <v>0</v>
      </c>
      <c r="I943" s="194">
        <f>IF(_1_54128456121462410464578910174[[#This Row],[Type]]&gt;0,VLOOKUP(_1_54128456121462410464578910174[[#This Row],[Type]],Main[[#All],[TYPE]:[UNIT]],'Unit Price'!G$1,FALSE),0)</f>
        <v>0</v>
      </c>
      <c r="J943" s="194">
        <f>IF(_1_54128456121462410464578910174[[#This Row],[Type]]&gt;0,VLOOKUP(_1_54128456121462410464578910174[[#This Row],[Type]],Main[[#All],[TYPE]:[UNIT]],'Unit Price'!H$1,FALSE),0)</f>
        <v>0</v>
      </c>
      <c r="K943" s="194">
        <f>IF(_1_54128456121462410464578910174[[#This Row],[Discount selection]]&gt;0,VLOOKUP(_1_54128456121462410464578910174[[#This Row],[Discount selection]],'Discount Structure'!$A$2:$B$30,2,"false"),0)</f>
        <v>1</v>
      </c>
      <c r="L943" s="194">
        <f>_1_54128456121462410464578910174[[#This Row],[LIST $]]*_1_54128456121462410464578910174[[#This Row],[DISCOUNT]]*_1_54128456121462410464578910174[[#This Row],[DISCOUNT 2]]</f>
        <v>0</v>
      </c>
      <c r="M943" s="194">
        <f>IF(OR(_1_54128456121462410464578910174[[#This Row],[UNIT]]&gt;0,_1_54128456121462410464578910174[[#This Row],[UNIT]]&lt;0),_1_54128456121462410464578910174[[#This Row],[UNIT]]*_1_54128456121462410464578910174[[#This Row],[COST]],0)</f>
        <v>0</v>
      </c>
      <c r="N943" s="194">
        <f t="shared" si="14"/>
        <v>1.5</v>
      </c>
      <c r="O943" s="198">
        <f>_1_54128456121462410464578910174[[#This Row],[TOTAL]]*_1_54128456121462410464578910174[[#This Row],[MARGIN]]</f>
        <v>0</v>
      </c>
      <c r="P943" s="198"/>
      <c r="R943" s="41"/>
    </row>
    <row r="944" spans="4:18">
      <c r="D944" s="188"/>
      <c r="E944" s="42"/>
      <c r="F944" s="168" t="s">
        <v>6202</v>
      </c>
      <c r="G944" s="193">
        <f>IF(_1_54128456121462410464578910174[[#This Row],[Type]]&gt;0,VLOOKUP(_1_54128456121462410464578910174[[#This Row],[Type]],Main[[#All],[TYPE]:[UNIT]],'Unit Price'!C$1,FALSE),0)</f>
        <v>0</v>
      </c>
      <c r="H944" s="197">
        <f>IF(_1_54128456121462410464578910174[[#This Row],[Type]]&gt;0,VLOOKUP(_1_54128456121462410464578910174[[#This Row],[Type]],Main[[#All],[TYPE]:[UNIT]],'Unit Price'!D$1,FALSE),0)</f>
        <v>0</v>
      </c>
      <c r="I944" s="194">
        <f>IF(_1_54128456121462410464578910174[[#This Row],[Type]]&gt;0,VLOOKUP(_1_54128456121462410464578910174[[#This Row],[Type]],Main[[#All],[TYPE]:[UNIT]],'Unit Price'!G$1,FALSE),0)</f>
        <v>0</v>
      </c>
      <c r="J944" s="194">
        <f>IF(_1_54128456121462410464578910174[[#This Row],[Type]]&gt;0,VLOOKUP(_1_54128456121462410464578910174[[#This Row],[Type]],Main[[#All],[TYPE]:[UNIT]],'Unit Price'!H$1,FALSE),0)</f>
        <v>0</v>
      </c>
      <c r="K944" s="194">
        <f>IF(_1_54128456121462410464578910174[[#This Row],[Discount selection]]&gt;0,VLOOKUP(_1_54128456121462410464578910174[[#This Row],[Discount selection]],'Discount Structure'!$A$2:$B$30,2,"false"),0)</f>
        <v>1</v>
      </c>
      <c r="L944" s="194">
        <f>_1_54128456121462410464578910174[[#This Row],[LIST $]]*_1_54128456121462410464578910174[[#This Row],[DISCOUNT]]*_1_54128456121462410464578910174[[#This Row],[DISCOUNT 2]]</f>
        <v>0</v>
      </c>
      <c r="M944" s="194">
        <f>IF(OR(_1_54128456121462410464578910174[[#This Row],[UNIT]]&gt;0,_1_54128456121462410464578910174[[#This Row],[UNIT]]&lt;0),_1_54128456121462410464578910174[[#This Row],[UNIT]]*_1_54128456121462410464578910174[[#This Row],[COST]],0)</f>
        <v>0</v>
      </c>
      <c r="N944" s="194">
        <f t="shared" si="14"/>
        <v>1.5</v>
      </c>
      <c r="O944" s="198">
        <f>_1_54128456121462410464578910174[[#This Row],[TOTAL]]*_1_54128456121462410464578910174[[#This Row],[MARGIN]]</f>
        <v>0</v>
      </c>
      <c r="P944" s="198"/>
      <c r="R944" s="41"/>
    </row>
    <row r="945" spans="4:18">
      <c r="D945" s="188"/>
      <c r="E945" s="42"/>
      <c r="F945" s="168" t="s">
        <v>6202</v>
      </c>
      <c r="G945" s="193">
        <f>IF(_1_54128456121462410464578910174[[#This Row],[Type]]&gt;0,VLOOKUP(_1_54128456121462410464578910174[[#This Row],[Type]],Main[[#All],[TYPE]:[UNIT]],'Unit Price'!C$1,FALSE),0)</f>
        <v>0</v>
      </c>
      <c r="H945" s="197">
        <f>IF(_1_54128456121462410464578910174[[#This Row],[Type]]&gt;0,VLOOKUP(_1_54128456121462410464578910174[[#This Row],[Type]],Main[[#All],[TYPE]:[UNIT]],'Unit Price'!D$1,FALSE),0)</f>
        <v>0</v>
      </c>
      <c r="I945" s="194">
        <f>IF(_1_54128456121462410464578910174[[#This Row],[Type]]&gt;0,VLOOKUP(_1_54128456121462410464578910174[[#This Row],[Type]],Main[[#All],[TYPE]:[UNIT]],'Unit Price'!G$1,FALSE),0)</f>
        <v>0</v>
      </c>
      <c r="J945" s="194">
        <f>IF(_1_54128456121462410464578910174[[#This Row],[Type]]&gt;0,VLOOKUP(_1_54128456121462410464578910174[[#This Row],[Type]],Main[[#All],[TYPE]:[UNIT]],'Unit Price'!H$1,FALSE),0)</f>
        <v>0</v>
      </c>
      <c r="K945" s="194">
        <f>IF(_1_54128456121462410464578910174[[#This Row],[Discount selection]]&gt;0,VLOOKUP(_1_54128456121462410464578910174[[#This Row],[Discount selection]],'Discount Structure'!$A$2:$B$30,2,"false"),0)</f>
        <v>1</v>
      </c>
      <c r="L945" s="194">
        <f>_1_54128456121462410464578910174[[#This Row],[LIST $]]*_1_54128456121462410464578910174[[#This Row],[DISCOUNT]]*_1_54128456121462410464578910174[[#This Row],[DISCOUNT 2]]</f>
        <v>0</v>
      </c>
      <c r="M945" s="194">
        <f>IF(OR(_1_54128456121462410464578910174[[#This Row],[UNIT]]&gt;0,_1_54128456121462410464578910174[[#This Row],[UNIT]]&lt;0),_1_54128456121462410464578910174[[#This Row],[UNIT]]*_1_54128456121462410464578910174[[#This Row],[COST]],0)</f>
        <v>0</v>
      </c>
      <c r="N945" s="194">
        <f t="shared" si="14"/>
        <v>1.5</v>
      </c>
      <c r="O945" s="198">
        <f>_1_54128456121462410464578910174[[#This Row],[TOTAL]]*_1_54128456121462410464578910174[[#This Row],[MARGIN]]</f>
        <v>0</v>
      </c>
      <c r="P945" s="198"/>
      <c r="R945" s="41"/>
    </row>
    <row r="946" spans="4:18">
      <c r="D946" s="188"/>
      <c r="E946" s="42"/>
      <c r="F946" s="168" t="s">
        <v>6202</v>
      </c>
      <c r="G946" s="193">
        <f>IF(_1_54128456121462410464578910174[[#This Row],[Type]]&gt;0,VLOOKUP(_1_54128456121462410464578910174[[#This Row],[Type]],Main[[#All],[TYPE]:[UNIT]],'Unit Price'!C$1,FALSE),0)</f>
        <v>0</v>
      </c>
      <c r="H946" s="197">
        <f>IF(_1_54128456121462410464578910174[[#This Row],[Type]]&gt;0,VLOOKUP(_1_54128456121462410464578910174[[#This Row],[Type]],Main[[#All],[TYPE]:[UNIT]],'Unit Price'!D$1,FALSE),0)</f>
        <v>0</v>
      </c>
      <c r="I946" s="194">
        <f>IF(_1_54128456121462410464578910174[[#This Row],[Type]]&gt;0,VLOOKUP(_1_54128456121462410464578910174[[#This Row],[Type]],Main[[#All],[TYPE]:[UNIT]],'Unit Price'!G$1,FALSE),0)</f>
        <v>0</v>
      </c>
      <c r="J946" s="194">
        <f>IF(_1_54128456121462410464578910174[[#This Row],[Type]]&gt;0,VLOOKUP(_1_54128456121462410464578910174[[#This Row],[Type]],Main[[#All],[TYPE]:[UNIT]],'Unit Price'!H$1,FALSE),0)</f>
        <v>0</v>
      </c>
      <c r="K946" s="194">
        <f>IF(_1_54128456121462410464578910174[[#This Row],[Discount selection]]&gt;0,VLOOKUP(_1_54128456121462410464578910174[[#This Row],[Discount selection]],'Discount Structure'!$A$2:$B$30,2,"false"),0)</f>
        <v>1</v>
      </c>
      <c r="L946" s="194">
        <f>_1_54128456121462410464578910174[[#This Row],[LIST $]]*_1_54128456121462410464578910174[[#This Row],[DISCOUNT]]*_1_54128456121462410464578910174[[#This Row],[DISCOUNT 2]]</f>
        <v>0</v>
      </c>
      <c r="M946" s="194">
        <f>IF(OR(_1_54128456121462410464578910174[[#This Row],[UNIT]]&gt;0,_1_54128456121462410464578910174[[#This Row],[UNIT]]&lt;0),_1_54128456121462410464578910174[[#This Row],[UNIT]]*_1_54128456121462410464578910174[[#This Row],[COST]],0)</f>
        <v>0</v>
      </c>
      <c r="N946" s="194">
        <f t="shared" si="14"/>
        <v>1.5</v>
      </c>
      <c r="O946" s="198">
        <f>_1_54128456121462410464578910174[[#This Row],[TOTAL]]*_1_54128456121462410464578910174[[#This Row],[MARGIN]]</f>
        <v>0</v>
      </c>
      <c r="P946" s="198"/>
      <c r="R946" s="41"/>
    </row>
    <row r="947" spans="4:18">
      <c r="D947" s="188"/>
      <c r="E947" s="42"/>
      <c r="F947" s="168" t="s">
        <v>6202</v>
      </c>
      <c r="G947" s="193">
        <f>IF(_1_54128456121462410464578910174[[#This Row],[Type]]&gt;0,VLOOKUP(_1_54128456121462410464578910174[[#This Row],[Type]],Main[[#All],[TYPE]:[UNIT]],'Unit Price'!C$1,FALSE),0)</f>
        <v>0</v>
      </c>
      <c r="H947" s="197">
        <f>IF(_1_54128456121462410464578910174[[#This Row],[Type]]&gt;0,VLOOKUP(_1_54128456121462410464578910174[[#This Row],[Type]],Main[[#All],[TYPE]:[UNIT]],'Unit Price'!D$1,FALSE),0)</f>
        <v>0</v>
      </c>
      <c r="I947" s="194">
        <f>IF(_1_54128456121462410464578910174[[#This Row],[Type]]&gt;0,VLOOKUP(_1_54128456121462410464578910174[[#This Row],[Type]],Main[[#All],[TYPE]:[UNIT]],'Unit Price'!G$1,FALSE),0)</f>
        <v>0</v>
      </c>
      <c r="J947" s="194">
        <f>IF(_1_54128456121462410464578910174[[#This Row],[Type]]&gt;0,VLOOKUP(_1_54128456121462410464578910174[[#This Row],[Type]],Main[[#All],[TYPE]:[UNIT]],'Unit Price'!H$1,FALSE),0)</f>
        <v>0</v>
      </c>
      <c r="K947" s="194">
        <f>IF(_1_54128456121462410464578910174[[#This Row],[Discount selection]]&gt;0,VLOOKUP(_1_54128456121462410464578910174[[#This Row],[Discount selection]],'Discount Structure'!$A$2:$B$30,2,"false"),0)</f>
        <v>1</v>
      </c>
      <c r="L947" s="194">
        <f>_1_54128456121462410464578910174[[#This Row],[LIST $]]*_1_54128456121462410464578910174[[#This Row],[DISCOUNT]]*_1_54128456121462410464578910174[[#This Row],[DISCOUNT 2]]</f>
        <v>0</v>
      </c>
      <c r="M947" s="194">
        <f>IF(OR(_1_54128456121462410464578910174[[#This Row],[UNIT]]&gt;0,_1_54128456121462410464578910174[[#This Row],[UNIT]]&lt;0),_1_54128456121462410464578910174[[#This Row],[UNIT]]*_1_54128456121462410464578910174[[#This Row],[COST]],0)</f>
        <v>0</v>
      </c>
      <c r="N947" s="194">
        <f t="shared" si="14"/>
        <v>1.5</v>
      </c>
      <c r="O947" s="198">
        <f>_1_54128456121462410464578910174[[#This Row],[TOTAL]]*_1_54128456121462410464578910174[[#This Row],[MARGIN]]</f>
        <v>0</v>
      </c>
      <c r="P947" s="198"/>
      <c r="R947" s="41"/>
    </row>
    <row r="948" spans="4:18">
      <c r="D948" s="188"/>
      <c r="E948" s="42"/>
      <c r="F948" s="168" t="s">
        <v>6202</v>
      </c>
      <c r="G948" s="193">
        <f>IF(_1_54128456121462410464578910174[[#This Row],[Type]]&gt;0,VLOOKUP(_1_54128456121462410464578910174[[#This Row],[Type]],Main[[#All],[TYPE]:[UNIT]],'Unit Price'!C$1,FALSE),0)</f>
        <v>0</v>
      </c>
      <c r="H948" s="197">
        <f>IF(_1_54128456121462410464578910174[[#This Row],[Type]]&gt;0,VLOOKUP(_1_54128456121462410464578910174[[#This Row],[Type]],Main[[#All],[TYPE]:[UNIT]],'Unit Price'!D$1,FALSE),0)</f>
        <v>0</v>
      </c>
      <c r="I948" s="194">
        <f>IF(_1_54128456121462410464578910174[[#This Row],[Type]]&gt;0,VLOOKUP(_1_54128456121462410464578910174[[#This Row],[Type]],Main[[#All],[TYPE]:[UNIT]],'Unit Price'!G$1,FALSE),0)</f>
        <v>0</v>
      </c>
      <c r="J948" s="194">
        <f>IF(_1_54128456121462410464578910174[[#This Row],[Type]]&gt;0,VLOOKUP(_1_54128456121462410464578910174[[#This Row],[Type]],Main[[#All],[TYPE]:[UNIT]],'Unit Price'!H$1,FALSE),0)</f>
        <v>0</v>
      </c>
      <c r="K948" s="194">
        <f>IF(_1_54128456121462410464578910174[[#This Row],[Discount selection]]&gt;0,VLOOKUP(_1_54128456121462410464578910174[[#This Row],[Discount selection]],'Discount Structure'!$A$2:$B$30,2,"false"),0)</f>
        <v>1</v>
      </c>
      <c r="L948" s="194">
        <f>_1_54128456121462410464578910174[[#This Row],[LIST $]]*_1_54128456121462410464578910174[[#This Row],[DISCOUNT]]*_1_54128456121462410464578910174[[#This Row],[DISCOUNT 2]]</f>
        <v>0</v>
      </c>
      <c r="M948" s="194">
        <f>IF(OR(_1_54128456121462410464578910174[[#This Row],[UNIT]]&gt;0,_1_54128456121462410464578910174[[#This Row],[UNIT]]&lt;0),_1_54128456121462410464578910174[[#This Row],[UNIT]]*_1_54128456121462410464578910174[[#This Row],[COST]],0)</f>
        <v>0</v>
      </c>
      <c r="N948" s="194">
        <f t="shared" si="14"/>
        <v>1.5</v>
      </c>
      <c r="O948" s="198">
        <f>_1_54128456121462410464578910174[[#This Row],[TOTAL]]*_1_54128456121462410464578910174[[#This Row],[MARGIN]]</f>
        <v>0</v>
      </c>
      <c r="P948" s="198"/>
      <c r="R948" s="41"/>
    </row>
    <row r="949" spans="4:18">
      <c r="D949" s="188"/>
      <c r="E949" s="42"/>
      <c r="F949" s="168" t="s">
        <v>6202</v>
      </c>
      <c r="G949" s="193">
        <f>IF(_1_54128456121462410464578910174[[#This Row],[Type]]&gt;0,VLOOKUP(_1_54128456121462410464578910174[[#This Row],[Type]],Main[[#All],[TYPE]:[UNIT]],'Unit Price'!C$1,FALSE),0)</f>
        <v>0</v>
      </c>
      <c r="H949" s="197">
        <f>IF(_1_54128456121462410464578910174[[#This Row],[Type]]&gt;0,VLOOKUP(_1_54128456121462410464578910174[[#This Row],[Type]],Main[[#All],[TYPE]:[UNIT]],'Unit Price'!D$1,FALSE),0)</f>
        <v>0</v>
      </c>
      <c r="I949" s="194">
        <f>IF(_1_54128456121462410464578910174[[#This Row],[Type]]&gt;0,VLOOKUP(_1_54128456121462410464578910174[[#This Row],[Type]],Main[[#All],[TYPE]:[UNIT]],'Unit Price'!G$1,FALSE),0)</f>
        <v>0</v>
      </c>
      <c r="J949" s="194">
        <f>IF(_1_54128456121462410464578910174[[#This Row],[Type]]&gt;0,VLOOKUP(_1_54128456121462410464578910174[[#This Row],[Type]],Main[[#All],[TYPE]:[UNIT]],'Unit Price'!H$1,FALSE),0)</f>
        <v>0</v>
      </c>
      <c r="K949" s="194">
        <f>IF(_1_54128456121462410464578910174[[#This Row],[Discount selection]]&gt;0,VLOOKUP(_1_54128456121462410464578910174[[#This Row],[Discount selection]],'Discount Structure'!$A$2:$B$30,2,"false"),0)</f>
        <v>1</v>
      </c>
      <c r="L949" s="194">
        <f>_1_54128456121462410464578910174[[#This Row],[LIST $]]*_1_54128456121462410464578910174[[#This Row],[DISCOUNT]]*_1_54128456121462410464578910174[[#This Row],[DISCOUNT 2]]</f>
        <v>0</v>
      </c>
      <c r="M949" s="194">
        <f>IF(OR(_1_54128456121462410464578910174[[#This Row],[UNIT]]&gt;0,_1_54128456121462410464578910174[[#This Row],[UNIT]]&lt;0),_1_54128456121462410464578910174[[#This Row],[UNIT]]*_1_54128456121462410464578910174[[#This Row],[COST]],0)</f>
        <v>0</v>
      </c>
      <c r="N949" s="194">
        <f t="shared" si="14"/>
        <v>1.5</v>
      </c>
      <c r="O949" s="198">
        <f>_1_54128456121462410464578910174[[#This Row],[TOTAL]]*_1_54128456121462410464578910174[[#This Row],[MARGIN]]</f>
        <v>0</v>
      </c>
      <c r="P949" s="198"/>
      <c r="R949" s="41"/>
    </row>
    <row r="950" spans="4:18">
      <c r="D950" s="188"/>
      <c r="E950" s="42"/>
      <c r="F950" s="168" t="s">
        <v>6202</v>
      </c>
      <c r="G950" s="193">
        <f>IF(_1_54128456121462410464578910174[[#This Row],[Type]]&gt;0,VLOOKUP(_1_54128456121462410464578910174[[#This Row],[Type]],Main[[#All],[TYPE]:[UNIT]],'Unit Price'!C$1,FALSE),0)</f>
        <v>0</v>
      </c>
      <c r="H950" s="197">
        <f>IF(_1_54128456121462410464578910174[[#This Row],[Type]]&gt;0,VLOOKUP(_1_54128456121462410464578910174[[#This Row],[Type]],Main[[#All],[TYPE]:[UNIT]],'Unit Price'!D$1,FALSE),0)</f>
        <v>0</v>
      </c>
      <c r="I950" s="194">
        <f>IF(_1_54128456121462410464578910174[[#This Row],[Type]]&gt;0,VLOOKUP(_1_54128456121462410464578910174[[#This Row],[Type]],Main[[#All],[TYPE]:[UNIT]],'Unit Price'!G$1,FALSE),0)</f>
        <v>0</v>
      </c>
      <c r="J950" s="194">
        <f>IF(_1_54128456121462410464578910174[[#This Row],[Type]]&gt;0,VLOOKUP(_1_54128456121462410464578910174[[#This Row],[Type]],Main[[#All],[TYPE]:[UNIT]],'Unit Price'!H$1,FALSE),0)</f>
        <v>0</v>
      </c>
      <c r="K950" s="194">
        <f>IF(_1_54128456121462410464578910174[[#This Row],[Discount selection]]&gt;0,VLOOKUP(_1_54128456121462410464578910174[[#This Row],[Discount selection]],'Discount Structure'!$A$2:$B$30,2,"false"),0)</f>
        <v>1</v>
      </c>
      <c r="L950" s="194">
        <f>_1_54128456121462410464578910174[[#This Row],[LIST $]]*_1_54128456121462410464578910174[[#This Row],[DISCOUNT]]*_1_54128456121462410464578910174[[#This Row],[DISCOUNT 2]]</f>
        <v>0</v>
      </c>
      <c r="M950" s="194">
        <f>IF(OR(_1_54128456121462410464578910174[[#This Row],[UNIT]]&gt;0,_1_54128456121462410464578910174[[#This Row],[UNIT]]&lt;0),_1_54128456121462410464578910174[[#This Row],[UNIT]]*_1_54128456121462410464578910174[[#This Row],[COST]],0)</f>
        <v>0</v>
      </c>
      <c r="N950" s="194">
        <f t="shared" si="14"/>
        <v>1.5</v>
      </c>
      <c r="O950" s="198">
        <f>_1_54128456121462410464578910174[[#This Row],[TOTAL]]*_1_54128456121462410464578910174[[#This Row],[MARGIN]]</f>
        <v>0</v>
      </c>
      <c r="P950" s="198"/>
      <c r="R950" s="41"/>
    </row>
    <row r="951" spans="4:18">
      <c r="D951" s="188"/>
      <c r="E951" s="42"/>
      <c r="F951" s="168" t="s">
        <v>6202</v>
      </c>
      <c r="G951" s="193">
        <f>IF(_1_54128456121462410464578910174[[#This Row],[Type]]&gt;0,VLOOKUP(_1_54128456121462410464578910174[[#This Row],[Type]],Main[[#All],[TYPE]:[UNIT]],'Unit Price'!C$1,FALSE),0)</f>
        <v>0</v>
      </c>
      <c r="H951" s="197">
        <f>IF(_1_54128456121462410464578910174[[#This Row],[Type]]&gt;0,VLOOKUP(_1_54128456121462410464578910174[[#This Row],[Type]],Main[[#All],[TYPE]:[UNIT]],'Unit Price'!D$1,FALSE),0)</f>
        <v>0</v>
      </c>
      <c r="I951" s="194">
        <f>IF(_1_54128456121462410464578910174[[#This Row],[Type]]&gt;0,VLOOKUP(_1_54128456121462410464578910174[[#This Row],[Type]],Main[[#All],[TYPE]:[UNIT]],'Unit Price'!G$1,FALSE),0)</f>
        <v>0</v>
      </c>
      <c r="J951" s="194">
        <f>IF(_1_54128456121462410464578910174[[#This Row],[Type]]&gt;0,VLOOKUP(_1_54128456121462410464578910174[[#This Row],[Type]],Main[[#All],[TYPE]:[UNIT]],'Unit Price'!H$1,FALSE),0)</f>
        <v>0</v>
      </c>
      <c r="K951" s="194">
        <f>IF(_1_54128456121462410464578910174[[#This Row],[Discount selection]]&gt;0,VLOOKUP(_1_54128456121462410464578910174[[#This Row],[Discount selection]],'Discount Structure'!$A$2:$B$30,2,"false"),0)</f>
        <v>1</v>
      </c>
      <c r="L951" s="194">
        <f>_1_54128456121462410464578910174[[#This Row],[LIST $]]*_1_54128456121462410464578910174[[#This Row],[DISCOUNT]]*_1_54128456121462410464578910174[[#This Row],[DISCOUNT 2]]</f>
        <v>0</v>
      </c>
      <c r="M951" s="194">
        <f>IF(OR(_1_54128456121462410464578910174[[#This Row],[UNIT]]&gt;0,_1_54128456121462410464578910174[[#This Row],[UNIT]]&lt;0),_1_54128456121462410464578910174[[#This Row],[UNIT]]*_1_54128456121462410464578910174[[#This Row],[COST]],0)</f>
        <v>0</v>
      </c>
      <c r="N951" s="194">
        <f t="shared" si="14"/>
        <v>1.5</v>
      </c>
      <c r="O951" s="198">
        <f>_1_54128456121462410464578910174[[#This Row],[TOTAL]]*_1_54128456121462410464578910174[[#This Row],[MARGIN]]</f>
        <v>0</v>
      </c>
      <c r="P951" s="198"/>
      <c r="R951" s="41"/>
    </row>
    <row r="952" spans="4:18">
      <c r="D952" s="188"/>
      <c r="E952" s="42"/>
      <c r="F952" s="168" t="s">
        <v>6202</v>
      </c>
      <c r="G952" s="193">
        <f>IF(_1_54128456121462410464578910174[[#This Row],[Type]]&gt;0,VLOOKUP(_1_54128456121462410464578910174[[#This Row],[Type]],Main[[#All],[TYPE]:[UNIT]],'Unit Price'!C$1,FALSE),0)</f>
        <v>0</v>
      </c>
      <c r="H952" s="197">
        <f>IF(_1_54128456121462410464578910174[[#This Row],[Type]]&gt;0,VLOOKUP(_1_54128456121462410464578910174[[#This Row],[Type]],Main[[#All],[TYPE]:[UNIT]],'Unit Price'!D$1,FALSE),0)</f>
        <v>0</v>
      </c>
      <c r="I952" s="194">
        <f>IF(_1_54128456121462410464578910174[[#This Row],[Type]]&gt;0,VLOOKUP(_1_54128456121462410464578910174[[#This Row],[Type]],Main[[#All],[TYPE]:[UNIT]],'Unit Price'!G$1,FALSE),0)</f>
        <v>0</v>
      </c>
      <c r="J952" s="194">
        <f>IF(_1_54128456121462410464578910174[[#This Row],[Type]]&gt;0,VLOOKUP(_1_54128456121462410464578910174[[#This Row],[Type]],Main[[#All],[TYPE]:[UNIT]],'Unit Price'!H$1,FALSE),0)</f>
        <v>0</v>
      </c>
      <c r="K952" s="194">
        <f>IF(_1_54128456121462410464578910174[[#This Row],[Discount selection]]&gt;0,VLOOKUP(_1_54128456121462410464578910174[[#This Row],[Discount selection]],'Discount Structure'!$A$2:$B$30,2,"false"),0)</f>
        <v>1</v>
      </c>
      <c r="L952" s="194">
        <f>_1_54128456121462410464578910174[[#This Row],[LIST $]]*_1_54128456121462410464578910174[[#This Row],[DISCOUNT]]*_1_54128456121462410464578910174[[#This Row],[DISCOUNT 2]]</f>
        <v>0</v>
      </c>
      <c r="M952" s="194">
        <f>IF(OR(_1_54128456121462410464578910174[[#This Row],[UNIT]]&gt;0,_1_54128456121462410464578910174[[#This Row],[UNIT]]&lt;0),_1_54128456121462410464578910174[[#This Row],[UNIT]]*_1_54128456121462410464578910174[[#This Row],[COST]],0)</f>
        <v>0</v>
      </c>
      <c r="N952" s="194">
        <f t="shared" si="14"/>
        <v>1.5</v>
      </c>
      <c r="O952" s="198">
        <f>_1_54128456121462410464578910174[[#This Row],[TOTAL]]*_1_54128456121462410464578910174[[#This Row],[MARGIN]]</f>
        <v>0</v>
      </c>
      <c r="P952" s="198"/>
      <c r="R952" s="41"/>
    </row>
    <row r="953" spans="4:18">
      <c r="D953" s="188"/>
      <c r="E953" s="42"/>
      <c r="F953" s="168" t="s">
        <v>6202</v>
      </c>
      <c r="G953" s="193">
        <f>IF(_1_54128456121462410464578910174[[#This Row],[Type]]&gt;0,VLOOKUP(_1_54128456121462410464578910174[[#This Row],[Type]],Main[[#All],[TYPE]:[UNIT]],'Unit Price'!C$1,FALSE),0)</f>
        <v>0</v>
      </c>
      <c r="H953" s="197">
        <f>IF(_1_54128456121462410464578910174[[#This Row],[Type]]&gt;0,VLOOKUP(_1_54128456121462410464578910174[[#This Row],[Type]],Main[[#All],[TYPE]:[UNIT]],'Unit Price'!D$1,FALSE),0)</f>
        <v>0</v>
      </c>
      <c r="I953" s="194">
        <f>IF(_1_54128456121462410464578910174[[#This Row],[Type]]&gt;0,VLOOKUP(_1_54128456121462410464578910174[[#This Row],[Type]],Main[[#All],[TYPE]:[UNIT]],'Unit Price'!G$1,FALSE),0)</f>
        <v>0</v>
      </c>
      <c r="J953" s="194">
        <f>IF(_1_54128456121462410464578910174[[#This Row],[Type]]&gt;0,VLOOKUP(_1_54128456121462410464578910174[[#This Row],[Type]],Main[[#All],[TYPE]:[UNIT]],'Unit Price'!H$1,FALSE),0)</f>
        <v>0</v>
      </c>
      <c r="K953" s="194">
        <f>IF(_1_54128456121462410464578910174[[#This Row],[Discount selection]]&gt;0,VLOOKUP(_1_54128456121462410464578910174[[#This Row],[Discount selection]],'Discount Structure'!$A$2:$B$30,2,"false"),0)</f>
        <v>1</v>
      </c>
      <c r="L953" s="194">
        <f>_1_54128456121462410464578910174[[#This Row],[LIST $]]*_1_54128456121462410464578910174[[#This Row],[DISCOUNT]]*_1_54128456121462410464578910174[[#This Row],[DISCOUNT 2]]</f>
        <v>0</v>
      </c>
      <c r="M953" s="194">
        <f>IF(OR(_1_54128456121462410464578910174[[#This Row],[UNIT]]&gt;0,_1_54128456121462410464578910174[[#This Row],[UNIT]]&lt;0),_1_54128456121462410464578910174[[#This Row],[UNIT]]*_1_54128456121462410464578910174[[#This Row],[COST]],0)</f>
        <v>0</v>
      </c>
      <c r="N953" s="194">
        <f t="shared" si="14"/>
        <v>1.5</v>
      </c>
      <c r="O953" s="198">
        <f>_1_54128456121462410464578910174[[#This Row],[TOTAL]]*_1_54128456121462410464578910174[[#This Row],[MARGIN]]</f>
        <v>0</v>
      </c>
      <c r="P953" s="198"/>
      <c r="R953" s="41"/>
    </row>
    <row r="954" spans="4:18">
      <c r="D954" s="188"/>
      <c r="E954" s="42"/>
      <c r="F954" s="168" t="s">
        <v>6202</v>
      </c>
      <c r="G954" s="193">
        <f>IF(_1_54128456121462410464578910174[[#This Row],[Type]]&gt;0,VLOOKUP(_1_54128456121462410464578910174[[#This Row],[Type]],Main[[#All],[TYPE]:[UNIT]],'Unit Price'!C$1,FALSE),0)</f>
        <v>0</v>
      </c>
      <c r="H954" s="197">
        <f>IF(_1_54128456121462410464578910174[[#This Row],[Type]]&gt;0,VLOOKUP(_1_54128456121462410464578910174[[#This Row],[Type]],Main[[#All],[TYPE]:[UNIT]],'Unit Price'!D$1,FALSE),0)</f>
        <v>0</v>
      </c>
      <c r="I954" s="194">
        <f>IF(_1_54128456121462410464578910174[[#This Row],[Type]]&gt;0,VLOOKUP(_1_54128456121462410464578910174[[#This Row],[Type]],Main[[#All],[TYPE]:[UNIT]],'Unit Price'!G$1,FALSE),0)</f>
        <v>0</v>
      </c>
      <c r="J954" s="194">
        <f>IF(_1_54128456121462410464578910174[[#This Row],[Type]]&gt;0,VLOOKUP(_1_54128456121462410464578910174[[#This Row],[Type]],Main[[#All],[TYPE]:[UNIT]],'Unit Price'!H$1,FALSE),0)</f>
        <v>0</v>
      </c>
      <c r="K954" s="194">
        <f>IF(_1_54128456121462410464578910174[[#This Row],[Discount selection]]&gt;0,VLOOKUP(_1_54128456121462410464578910174[[#This Row],[Discount selection]],'Discount Structure'!$A$2:$B$30,2,"false"),0)</f>
        <v>1</v>
      </c>
      <c r="L954" s="194">
        <f>_1_54128456121462410464578910174[[#This Row],[LIST $]]*_1_54128456121462410464578910174[[#This Row],[DISCOUNT]]*_1_54128456121462410464578910174[[#This Row],[DISCOUNT 2]]</f>
        <v>0</v>
      </c>
      <c r="M954" s="194">
        <f>IF(OR(_1_54128456121462410464578910174[[#This Row],[UNIT]]&gt;0,_1_54128456121462410464578910174[[#This Row],[UNIT]]&lt;0),_1_54128456121462410464578910174[[#This Row],[UNIT]]*_1_54128456121462410464578910174[[#This Row],[COST]],0)</f>
        <v>0</v>
      </c>
      <c r="N954" s="194">
        <f t="shared" si="14"/>
        <v>1.5</v>
      </c>
      <c r="O954" s="198">
        <f>_1_54128456121462410464578910174[[#This Row],[TOTAL]]*_1_54128456121462410464578910174[[#This Row],[MARGIN]]</f>
        <v>0</v>
      </c>
      <c r="P954" s="198"/>
      <c r="R954" s="41"/>
    </row>
    <row r="955" spans="4:18">
      <c r="D955" s="188"/>
      <c r="E955" s="42"/>
      <c r="F955" s="168" t="s">
        <v>6202</v>
      </c>
      <c r="G955" s="193">
        <f>IF(_1_54128456121462410464578910174[[#This Row],[Type]]&gt;0,VLOOKUP(_1_54128456121462410464578910174[[#This Row],[Type]],Main[[#All],[TYPE]:[UNIT]],'Unit Price'!C$1,FALSE),0)</f>
        <v>0</v>
      </c>
      <c r="H955" s="197">
        <f>IF(_1_54128456121462410464578910174[[#This Row],[Type]]&gt;0,VLOOKUP(_1_54128456121462410464578910174[[#This Row],[Type]],Main[[#All],[TYPE]:[UNIT]],'Unit Price'!D$1,FALSE),0)</f>
        <v>0</v>
      </c>
      <c r="I955" s="194">
        <f>IF(_1_54128456121462410464578910174[[#This Row],[Type]]&gt;0,VLOOKUP(_1_54128456121462410464578910174[[#This Row],[Type]],Main[[#All],[TYPE]:[UNIT]],'Unit Price'!G$1,FALSE),0)</f>
        <v>0</v>
      </c>
      <c r="J955" s="194">
        <f>IF(_1_54128456121462410464578910174[[#This Row],[Type]]&gt;0,VLOOKUP(_1_54128456121462410464578910174[[#This Row],[Type]],Main[[#All],[TYPE]:[UNIT]],'Unit Price'!H$1,FALSE),0)</f>
        <v>0</v>
      </c>
      <c r="K955" s="194">
        <f>IF(_1_54128456121462410464578910174[[#This Row],[Discount selection]]&gt;0,VLOOKUP(_1_54128456121462410464578910174[[#This Row],[Discount selection]],'Discount Structure'!$A$2:$B$30,2,"false"),0)</f>
        <v>1</v>
      </c>
      <c r="L955" s="194">
        <f>_1_54128456121462410464578910174[[#This Row],[LIST $]]*_1_54128456121462410464578910174[[#This Row],[DISCOUNT]]*_1_54128456121462410464578910174[[#This Row],[DISCOUNT 2]]</f>
        <v>0</v>
      </c>
      <c r="M955" s="194">
        <f>IF(OR(_1_54128456121462410464578910174[[#This Row],[UNIT]]&gt;0,_1_54128456121462410464578910174[[#This Row],[UNIT]]&lt;0),_1_54128456121462410464578910174[[#This Row],[UNIT]]*_1_54128456121462410464578910174[[#This Row],[COST]],0)</f>
        <v>0</v>
      </c>
      <c r="N955" s="194">
        <f t="shared" si="14"/>
        <v>1.5</v>
      </c>
      <c r="O955" s="198">
        <f>_1_54128456121462410464578910174[[#This Row],[TOTAL]]*_1_54128456121462410464578910174[[#This Row],[MARGIN]]</f>
        <v>0</v>
      </c>
      <c r="P955" s="198"/>
      <c r="R955" s="41"/>
    </row>
    <row r="956" spans="4:18">
      <c r="D956" s="188"/>
      <c r="E956" s="42"/>
      <c r="F956" s="168" t="s">
        <v>6202</v>
      </c>
      <c r="G956" s="193">
        <f>IF(_1_54128456121462410464578910174[[#This Row],[Type]]&gt;0,VLOOKUP(_1_54128456121462410464578910174[[#This Row],[Type]],Main[[#All],[TYPE]:[UNIT]],'Unit Price'!C$1,FALSE),0)</f>
        <v>0</v>
      </c>
      <c r="H956" s="197">
        <f>IF(_1_54128456121462410464578910174[[#This Row],[Type]]&gt;0,VLOOKUP(_1_54128456121462410464578910174[[#This Row],[Type]],Main[[#All],[TYPE]:[UNIT]],'Unit Price'!D$1,FALSE),0)</f>
        <v>0</v>
      </c>
      <c r="I956" s="194">
        <f>IF(_1_54128456121462410464578910174[[#This Row],[Type]]&gt;0,VLOOKUP(_1_54128456121462410464578910174[[#This Row],[Type]],Main[[#All],[TYPE]:[UNIT]],'Unit Price'!G$1,FALSE),0)</f>
        <v>0</v>
      </c>
      <c r="J956" s="194">
        <f>IF(_1_54128456121462410464578910174[[#This Row],[Type]]&gt;0,VLOOKUP(_1_54128456121462410464578910174[[#This Row],[Type]],Main[[#All],[TYPE]:[UNIT]],'Unit Price'!H$1,FALSE),0)</f>
        <v>0</v>
      </c>
      <c r="K956" s="194">
        <f>IF(_1_54128456121462410464578910174[[#This Row],[Discount selection]]&gt;0,VLOOKUP(_1_54128456121462410464578910174[[#This Row],[Discount selection]],'Discount Structure'!$A$2:$B$30,2,"false"),0)</f>
        <v>1</v>
      </c>
      <c r="L956" s="194">
        <f>_1_54128456121462410464578910174[[#This Row],[LIST $]]*_1_54128456121462410464578910174[[#This Row],[DISCOUNT]]*_1_54128456121462410464578910174[[#This Row],[DISCOUNT 2]]</f>
        <v>0</v>
      </c>
      <c r="M956" s="194">
        <f>IF(OR(_1_54128456121462410464578910174[[#This Row],[UNIT]]&gt;0,_1_54128456121462410464578910174[[#This Row],[UNIT]]&lt;0),_1_54128456121462410464578910174[[#This Row],[UNIT]]*_1_54128456121462410464578910174[[#This Row],[COST]],0)</f>
        <v>0</v>
      </c>
      <c r="N956" s="194">
        <f t="shared" si="14"/>
        <v>1.5</v>
      </c>
      <c r="O956" s="198">
        <f>_1_54128456121462410464578910174[[#This Row],[TOTAL]]*_1_54128456121462410464578910174[[#This Row],[MARGIN]]</f>
        <v>0</v>
      </c>
      <c r="P956" s="198"/>
      <c r="R956" s="41"/>
    </row>
    <row r="957" spans="4:18">
      <c r="D957" s="188"/>
      <c r="E957" s="42"/>
      <c r="F957" s="168" t="s">
        <v>6202</v>
      </c>
      <c r="G957" s="193">
        <f>IF(_1_54128456121462410464578910174[[#This Row],[Type]]&gt;0,VLOOKUP(_1_54128456121462410464578910174[[#This Row],[Type]],Main[[#All],[TYPE]:[UNIT]],'Unit Price'!C$1,FALSE),0)</f>
        <v>0</v>
      </c>
      <c r="H957" s="197">
        <f>IF(_1_54128456121462410464578910174[[#This Row],[Type]]&gt;0,VLOOKUP(_1_54128456121462410464578910174[[#This Row],[Type]],Main[[#All],[TYPE]:[UNIT]],'Unit Price'!D$1,FALSE),0)</f>
        <v>0</v>
      </c>
      <c r="I957" s="194">
        <f>IF(_1_54128456121462410464578910174[[#This Row],[Type]]&gt;0,VLOOKUP(_1_54128456121462410464578910174[[#This Row],[Type]],Main[[#All],[TYPE]:[UNIT]],'Unit Price'!G$1,FALSE),0)</f>
        <v>0</v>
      </c>
      <c r="J957" s="194">
        <f>IF(_1_54128456121462410464578910174[[#This Row],[Type]]&gt;0,VLOOKUP(_1_54128456121462410464578910174[[#This Row],[Type]],Main[[#All],[TYPE]:[UNIT]],'Unit Price'!H$1,FALSE),0)</f>
        <v>0</v>
      </c>
      <c r="K957" s="194">
        <f>IF(_1_54128456121462410464578910174[[#This Row],[Discount selection]]&gt;0,VLOOKUP(_1_54128456121462410464578910174[[#This Row],[Discount selection]],'Discount Structure'!$A$2:$B$30,2,"false"),0)</f>
        <v>1</v>
      </c>
      <c r="L957" s="194">
        <f>_1_54128456121462410464578910174[[#This Row],[LIST $]]*_1_54128456121462410464578910174[[#This Row],[DISCOUNT]]*_1_54128456121462410464578910174[[#This Row],[DISCOUNT 2]]</f>
        <v>0</v>
      </c>
      <c r="M957" s="194">
        <f>IF(OR(_1_54128456121462410464578910174[[#This Row],[UNIT]]&gt;0,_1_54128456121462410464578910174[[#This Row],[UNIT]]&lt;0),_1_54128456121462410464578910174[[#This Row],[UNIT]]*_1_54128456121462410464578910174[[#This Row],[COST]],0)</f>
        <v>0</v>
      </c>
      <c r="N957" s="194">
        <f t="shared" si="14"/>
        <v>1.5</v>
      </c>
      <c r="O957" s="198">
        <f>_1_54128456121462410464578910174[[#This Row],[TOTAL]]*_1_54128456121462410464578910174[[#This Row],[MARGIN]]</f>
        <v>0</v>
      </c>
      <c r="P957" s="198"/>
      <c r="R957" s="41"/>
    </row>
    <row r="958" spans="4:18">
      <c r="D958" s="188"/>
      <c r="E958" s="42"/>
      <c r="F958" s="168" t="s">
        <v>6202</v>
      </c>
      <c r="G958" s="193">
        <f>IF(_1_54128456121462410464578910174[[#This Row],[Type]]&gt;0,VLOOKUP(_1_54128456121462410464578910174[[#This Row],[Type]],Main[[#All],[TYPE]:[UNIT]],'Unit Price'!C$1,FALSE),0)</f>
        <v>0</v>
      </c>
      <c r="H958" s="197">
        <f>IF(_1_54128456121462410464578910174[[#This Row],[Type]]&gt;0,VLOOKUP(_1_54128456121462410464578910174[[#This Row],[Type]],Main[[#All],[TYPE]:[UNIT]],'Unit Price'!D$1,FALSE),0)</f>
        <v>0</v>
      </c>
      <c r="I958" s="194">
        <f>IF(_1_54128456121462410464578910174[[#This Row],[Type]]&gt;0,VLOOKUP(_1_54128456121462410464578910174[[#This Row],[Type]],Main[[#All],[TYPE]:[UNIT]],'Unit Price'!G$1,FALSE),0)</f>
        <v>0</v>
      </c>
      <c r="J958" s="194">
        <f>IF(_1_54128456121462410464578910174[[#This Row],[Type]]&gt;0,VLOOKUP(_1_54128456121462410464578910174[[#This Row],[Type]],Main[[#All],[TYPE]:[UNIT]],'Unit Price'!H$1,FALSE),0)</f>
        <v>0</v>
      </c>
      <c r="K958" s="194">
        <f>IF(_1_54128456121462410464578910174[[#This Row],[Discount selection]]&gt;0,VLOOKUP(_1_54128456121462410464578910174[[#This Row],[Discount selection]],'Discount Structure'!$A$2:$B$30,2,"false"),0)</f>
        <v>1</v>
      </c>
      <c r="L958" s="194">
        <f>_1_54128456121462410464578910174[[#This Row],[LIST $]]*_1_54128456121462410464578910174[[#This Row],[DISCOUNT]]*_1_54128456121462410464578910174[[#This Row],[DISCOUNT 2]]</f>
        <v>0</v>
      </c>
      <c r="M958" s="194">
        <f>IF(OR(_1_54128456121462410464578910174[[#This Row],[UNIT]]&gt;0,_1_54128456121462410464578910174[[#This Row],[UNIT]]&lt;0),_1_54128456121462410464578910174[[#This Row],[UNIT]]*_1_54128456121462410464578910174[[#This Row],[COST]],0)</f>
        <v>0</v>
      </c>
      <c r="N958" s="194">
        <f t="shared" si="14"/>
        <v>1.5</v>
      </c>
      <c r="O958" s="198">
        <f>_1_54128456121462410464578910174[[#This Row],[TOTAL]]*_1_54128456121462410464578910174[[#This Row],[MARGIN]]</f>
        <v>0</v>
      </c>
      <c r="P958" s="198"/>
      <c r="R958" s="41"/>
    </row>
    <row r="959" spans="4:18">
      <c r="D959" s="188"/>
      <c r="E959" s="42"/>
      <c r="F959" s="168" t="s">
        <v>6202</v>
      </c>
      <c r="G959" s="193">
        <f>IF(_1_54128456121462410464578910174[[#This Row],[Type]]&gt;0,VLOOKUP(_1_54128456121462410464578910174[[#This Row],[Type]],Main[[#All],[TYPE]:[UNIT]],'Unit Price'!C$1,FALSE),0)</f>
        <v>0</v>
      </c>
      <c r="H959" s="197">
        <f>IF(_1_54128456121462410464578910174[[#This Row],[Type]]&gt;0,VLOOKUP(_1_54128456121462410464578910174[[#This Row],[Type]],Main[[#All],[TYPE]:[UNIT]],'Unit Price'!D$1,FALSE),0)</f>
        <v>0</v>
      </c>
      <c r="I959" s="194">
        <f>IF(_1_54128456121462410464578910174[[#This Row],[Type]]&gt;0,VLOOKUP(_1_54128456121462410464578910174[[#This Row],[Type]],Main[[#All],[TYPE]:[UNIT]],'Unit Price'!G$1,FALSE),0)</f>
        <v>0</v>
      </c>
      <c r="J959" s="194">
        <f>IF(_1_54128456121462410464578910174[[#This Row],[Type]]&gt;0,VLOOKUP(_1_54128456121462410464578910174[[#This Row],[Type]],Main[[#All],[TYPE]:[UNIT]],'Unit Price'!H$1,FALSE),0)</f>
        <v>0</v>
      </c>
      <c r="K959" s="194">
        <f>IF(_1_54128456121462410464578910174[[#This Row],[Discount selection]]&gt;0,VLOOKUP(_1_54128456121462410464578910174[[#This Row],[Discount selection]],'Discount Structure'!$A$2:$B$30,2,"false"),0)</f>
        <v>1</v>
      </c>
      <c r="L959" s="194">
        <f>_1_54128456121462410464578910174[[#This Row],[LIST $]]*_1_54128456121462410464578910174[[#This Row],[DISCOUNT]]*_1_54128456121462410464578910174[[#This Row],[DISCOUNT 2]]</f>
        <v>0</v>
      </c>
      <c r="M959" s="194">
        <f>IF(OR(_1_54128456121462410464578910174[[#This Row],[UNIT]]&gt;0,_1_54128456121462410464578910174[[#This Row],[UNIT]]&lt;0),_1_54128456121462410464578910174[[#This Row],[UNIT]]*_1_54128456121462410464578910174[[#This Row],[COST]],0)</f>
        <v>0</v>
      </c>
      <c r="N959" s="194">
        <f t="shared" si="14"/>
        <v>1.5</v>
      </c>
      <c r="O959" s="198">
        <f>_1_54128456121462410464578910174[[#This Row],[TOTAL]]*_1_54128456121462410464578910174[[#This Row],[MARGIN]]</f>
        <v>0</v>
      </c>
      <c r="P959" s="198"/>
      <c r="R959" s="41"/>
    </row>
    <row r="960" spans="4:18">
      <c r="D960" s="188"/>
      <c r="E960" s="42"/>
      <c r="F960" s="168" t="s">
        <v>6202</v>
      </c>
      <c r="G960" s="193">
        <f>IF(_1_54128456121462410464578910174[[#This Row],[Type]]&gt;0,VLOOKUP(_1_54128456121462410464578910174[[#This Row],[Type]],Main[[#All],[TYPE]:[UNIT]],'Unit Price'!C$1,FALSE),0)</f>
        <v>0</v>
      </c>
      <c r="H960" s="197">
        <f>IF(_1_54128456121462410464578910174[[#This Row],[Type]]&gt;0,VLOOKUP(_1_54128456121462410464578910174[[#This Row],[Type]],Main[[#All],[TYPE]:[UNIT]],'Unit Price'!D$1,FALSE),0)</f>
        <v>0</v>
      </c>
      <c r="I960" s="194">
        <f>IF(_1_54128456121462410464578910174[[#This Row],[Type]]&gt;0,VLOOKUP(_1_54128456121462410464578910174[[#This Row],[Type]],Main[[#All],[TYPE]:[UNIT]],'Unit Price'!G$1,FALSE),0)</f>
        <v>0</v>
      </c>
      <c r="J960" s="194">
        <f>IF(_1_54128456121462410464578910174[[#This Row],[Type]]&gt;0,VLOOKUP(_1_54128456121462410464578910174[[#This Row],[Type]],Main[[#All],[TYPE]:[UNIT]],'Unit Price'!H$1,FALSE),0)</f>
        <v>0</v>
      </c>
      <c r="K960" s="194">
        <f>IF(_1_54128456121462410464578910174[[#This Row],[Discount selection]]&gt;0,VLOOKUP(_1_54128456121462410464578910174[[#This Row],[Discount selection]],'Discount Structure'!$A$2:$B$30,2,"false"),0)</f>
        <v>1</v>
      </c>
      <c r="L960" s="194">
        <f>_1_54128456121462410464578910174[[#This Row],[LIST $]]*_1_54128456121462410464578910174[[#This Row],[DISCOUNT]]*_1_54128456121462410464578910174[[#This Row],[DISCOUNT 2]]</f>
        <v>0</v>
      </c>
      <c r="M960" s="194">
        <f>IF(OR(_1_54128456121462410464578910174[[#This Row],[UNIT]]&gt;0,_1_54128456121462410464578910174[[#This Row],[UNIT]]&lt;0),_1_54128456121462410464578910174[[#This Row],[UNIT]]*_1_54128456121462410464578910174[[#This Row],[COST]],0)</f>
        <v>0</v>
      </c>
      <c r="N960" s="194">
        <f t="shared" si="14"/>
        <v>1.5</v>
      </c>
      <c r="O960" s="198">
        <f>_1_54128456121462410464578910174[[#This Row],[TOTAL]]*_1_54128456121462410464578910174[[#This Row],[MARGIN]]</f>
        <v>0</v>
      </c>
      <c r="P960" s="198"/>
      <c r="R960" s="41"/>
    </row>
    <row r="961" spans="4:18">
      <c r="D961" s="188"/>
      <c r="E961" s="42"/>
      <c r="F961" s="168" t="s">
        <v>6202</v>
      </c>
      <c r="G961" s="193">
        <f>IF(_1_54128456121462410464578910174[[#This Row],[Type]]&gt;0,VLOOKUP(_1_54128456121462410464578910174[[#This Row],[Type]],Main[[#All],[TYPE]:[UNIT]],'Unit Price'!C$1,FALSE),0)</f>
        <v>0</v>
      </c>
      <c r="H961" s="197">
        <f>IF(_1_54128456121462410464578910174[[#This Row],[Type]]&gt;0,VLOOKUP(_1_54128456121462410464578910174[[#This Row],[Type]],Main[[#All],[TYPE]:[UNIT]],'Unit Price'!D$1,FALSE),0)</f>
        <v>0</v>
      </c>
      <c r="I961" s="194">
        <f>IF(_1_54128456121462410464578910174[[#This Row],[Type]]&gt;0,VLOOKUP(_1_54128456121462410464578910174[[#This Row],[Type]],Main[[#All],[TYPE]:[UNIT]],'Unit Price'!G$1,FALSE),0)</f>
        <v>0</v>
      </c>
      <c r="J961" s="194">
        <f>IF(_1_54128456121462410464578910174[[#This Row],[Type]]&gt;0,VLOOKUP(_1_54128456121462410464578910174[[#This Row],[Type]],Main[[#All],[TYPE]:[UNIT]],'Unit Price'!H$1,FALSE),0)</f>
        <v>0</v>
      </c>
      <c r="K961" s="194">
        <f>IF(_1_54128456121462410464578910174[[#This Row],[Discount selection]]&gt;0,VLOOKUP(_1_54128456121462410464578910174[[#This Row],[Discount selection]],'Discount Structure'!$A$2:$B$30,2,"false"),0)</f>
        <v>1</v>
      </c>
      <c r="L961" s="194">
        <f>_1_54128456121462410464578910174[[#This Row],[LIST $]]*_1_54128456121462410464578910174[[#This Row],[DISCOUNT]]*_1_54128456121462410464578910174[[#This Row],[DISCOUNT 2]]</f>
        <v>0</v>
      </c>
      <c r="M961" s="194">
        <f>IF(OR(_1_54128456121462410464578910174[[#This Row],[UNIT]]&gt;0,_1_54128456121462410464578910174[[#This Row],[UNIT]]&lt;0),_1_54128456121462410464578910174[[#This Row],[UNIT]]*_1_54128456121462410464578910174[[#This Row],[COST]],0)</f>
        <v>0</v>
      </c>
      <c r="N961" s="194">
        <f t="shared" si="14"/>
        <v>1.5</v>
      </c>
      <c r="O961" s="198">
        <f>_1_54128456121462410464578910174[[#This Row],[TOTAL]]*_1_54128456121462410464578910174[[#This Row],[MARGIN]]</f>
        <v>0</v>
      </c>
      <c r="P961" s="198"/>
      <c r="R961" s="41"/>
    </row>
    <row r="962" spans="4:18">
      <c r="D962" s="188"/>
      <c r="E962" s="42"/>
      <c r="F962" s="168" t="s">
        <v>6202</v>
      </c>
      <c r="G962" s="193">
        <f>IF(_1_54128456121462410464578910174[[#This Row],[Type]]&gt;0,VLOOKUP(_1_54128456121462410464578910174[[#This Row],[Type]],Main[[#All],[TYPE]:[UNIT]],'Unit Price'!C$1,FALSE),0)</f>
        <v>0</v>
      </c>
      <c r="H962" s="197">
        <f>IF(_1_54128456121462410464578910174[[#This Row],[Type]]&gt;0,VLOOKUP(_1_54128456121462410464578910174[[#This Row],[Type]],Main[[#All],[TYPE]:[UNIT]],'Unit Price'!D$1,FALSE),0)</f>
        <v>0</v>
      </c>
      <c r="I962" s="194">
        <f>IF(_1_54128456121462410464578910174[[#This Row],[Type]]&gt;0,VLOOKUP(_1_54128456121462410464578910174[[#This Row],[Type]],Main[[#All],[TYPE]:[UNIT]],'Unit Price'!G$1,FALSE),0)</f>
        <v>0</v>
      </c>
      <c r="J962" s="194">
        <f>IF(_1_54128456121462410464578910174[[#This Row],[Type]]&gt;0,VLOOKUP(_1_54128456121462410464578910174[[#This Row],[Type]],Main[[#All],[TYPE]:[UNIT]],'Unit Price'!H$1,FALSE),0)</f>
        <v>0</v>
      </c>
      <c r="K962" s="194">
        <f>IF(_1_54128456121462410464578910174[[#This Row],[Discount selection]]&gt;0,VLOOKUP(_1_54128456121462410464578910174[[#This Row],[Discount selection]],'Discount Structure'!$A$2:$B$30,2,"false"),0)</f>
        <v>1</v>
      </c>
      <c r="L962" s="194">
        <f>_1_54128456121462410464578910174[[#This Row],[LIST $]]*_1_54128456121462410464578910174[[#This Row],[DISCOUNT]]*_1_54128456121462410464578910174[[#This Row],[DISCOUNT 2]]</f>
        <v>0</v>
      </c>
      <c r="M962" s="194">
        <f>IF(OR(_1_54128456121462410464578910174[[#This Row],[UNIT]]&gt;0,_1_54128456121462410464578910174[[#This Row],[UNIT]]&lt;0),_1_54128456121462410464578910174[[#This Row],[UNIT]]*_1_54128456121462410464578910174[[#This Row],[COST]],0)</f>
        <v>0</v>
      </c>
      <c r="N962" s="194">
        <f t="shared" si="14"/>
        <v>1.5</v>
      </c>
      <c r="O962" s="198">
        <f>_1_54128456121462410464578910174[[#This Row],[TOTAL]]*_1_54128456121462410464578910174[[#This Row],[MARGIN]]</f>
        <v>0</v>
      </c>
      <c r="P962" s="198"/>
      <c r="R962" s="41"/>
    </row>
    <row r="963" spans="4:18">
      <c r="D963" s="188"/>
      <c r="E963" s="42"/>
      <c r="F963" s="168" t="s">
        <v>6202</v>
      </c>
      <c r="G963" s="193">
        <f>IF(_1_54128456121462410464578910174[[#This Row],[Type]]&gt;0,VLOOKUP(_1_54128456121462410464578910174[[#This Row],[Type]],Main[[#All],[TYPE]:[UNIT]],'Unit Price'!C$1,FALSE),0)</f>
        <v>0</v>
      </c>
      <c r="H963" s="197">
        <f>IF(_1_54128456121462410464578910174[[#This Row],[Type]]&gt;0,VLOOKUP(_1_54128456121462410464578910174[[#This Row],[Type]],Main[[#All],[TYPE]:[UNIT]],'Unit Price'!D$1,FALSE),0)</f>
        <v>0</v>
      </c>
      <c r="I963" s="194">
        <f>IF(_1_54128456121462410464578910174[[#This Row],[Type]]&gt;0,VLOOKUP(_1_54128456121462410464578910174[[#This Row],[Type]],Main[[#All],[TYPE]:[UNIT]],'Unit Price'!G$1,FALSE),0)</f>
        <v>0</v>
      </c>
      <c r="J963" s="194">
        <f>IF(_1_54128456121462410464578910174[[#This Row],[Type]]&gt;0,VLOOKUP(_1_54128456121462410464578910174[[#This Row],[Type]],Main[[#All],[TYPE]:[UNIT]],'Unit Price'!H$1,FALSE),0)</f>
        <v>0</v>
      </c>
      <c r="K963" s="194">
        <f>IF(_1_54128456121462410464578910174[[#This Row],[Discount selection]]&gt;0,VLOOKUP(_1_54128456121462410464578910174[[#This Row],[Discount selection]],'Discount Structure'!$A$2:$B$30,2,"false"),0)</f>
        <v>1</v>
      </c>
      <c r="L963" s="194">
        <f>_1_54128456121462410464578910174[[#This Row],[LIST $]]*_1_54128456121462410464578910174[[#This Row],[DISCOUNT]]*_1_54128456121462410464578910174[[#This Row],[DISCOUNT 2]]</f>
        <v>0</v>
      </c>
      <c r="M963" s="194">
        <f>IF(OR(_1_54128456121462410464578910174[[#This Row],[UNIT]]&gt;0,_1_54128456121462410464578910174[[#This Row],[UNIT]]&lt;0),_1_54128456121462410464578910174[[#This Row],[UNIT]]*_1_54128456121462410464578910174[[#This Row],[COST]],0)</f>
        <v>0</v>
      </c>
      <c r="N963" s="194">
        <f t="shared" si="14"/>
        <v>1.5</v>
      </c>
      <c r="O963" s="198">
        <f>_1_54128456121462410464578910174[[#This Row],[TOTAL]]*_1_54128456121462410464578910174[[#This Row],[MARGIN]]</f>
        <v>0</v>
      </c>
      <c r="P963" s="198"/>
      <c r="R963" s="41"/>
    </row>
    <row r="964" spans="4:18">
      <c r="D964" s="188"/>
      <c r="E964" s="42"/>
      <c r="F964" s="168" t="s">
        <v>6202</v>
      </c>
      <c r="G964" s="193">
        <f>IF(_1_54128456121462410464578910174[[#This Row],[Type]]&gt;0,VLOOKUP(_1_54128456121462410464578910174[[#This Row],[Type]],Main[[#All],[TYPE]:[UNIT]],'Unit Price'!C$1,FALSE),0)</f>
        <v>0</v>
      </c>
      <c r="H964" s="197">
        <f>IF(_1_54128456121462410464578910174[[#This Row],[Type]]&gt;0,VLOOKUP(_1_54128456121462410464578910174[[#This Row],[Type]],Main[[#All],[TYPE]:[UNIT]],'Unit Price'!D$1,FALSE),0)</f>
        <v>0</v>
      </c>
      <c r="I964" s="194">
        <f>IF(_1_54128456121462410464578910174[[#This Row],[Type]]&gt;0,VLOOKUP(_1_54128456121462410464578910174[[#This Row],[Type]],Main[[#All],[TYPE]:[UNIT]],'Unit Price'!G$1,FALSE),0)</f>
        <v>0</v>
      </c>
      <c r="J964" s="194">
        <f>IF(_1_54128456121462410464578910174[[#This Row],[Type]]&gt;0,VLOOKUP(_1_54128456121462410464578910174[[#This Row],[Type]],Main[[#All],[TYPE]:[UNIT]],'Unit Price'!H$1,FALSE),0)</f>
        <v>0</v>
      </c>
      <c r="K964" s="194">
        <f>IF(_1_54128456121462410464578910174[[#This Row],[Discount selection]]&gt;0,VLOOKUP(_1_54128456121462410464578910174[[#This Row],[Discount selection]],'Discount Structure'!$A$2:$B$30,2,"false"),0)</f>
        <v>1</v>
      </c>
      <c r="L964" s="194">
        <f>_1_54128456121462410464578910174[[#This Row],[LIST $]]*_1_54128456121462410464578910174[[#This Row],[DISCOUNT]]*_1_54128456121462410464578910174[[#This Row],[DISCOUNT 2]]</f>
        <v>0</v>
      </c>
      <c r="M964" s="194">
        <f>IF(OR(_1_54128456121462410464578910174[[#This Row],[UNIT]]&gt;0,_1_54128456121462410464578910174[[#This Row],[UNIT]]&lt;0),_1_54128456121462410464578910174[[#This Row],[UNIT]]*_1_54128456121462410464578910174[[#This Row],[COST]],0)</f>
        <v>0</v>
      </c>
      <c r="N964" s="194">
        <f t="shared" si="14"/>
        <v>1.5</v>
      </c>
      <c r="O964" s="198">
        <f>_1_54128456121462410464578910174[[#This Row],[TOTAL]]*_1_54128456121462410464578910174[[#This Row],[MARGIN]]</f>
        <v>0</v>
      </c>
      <c r="P964" s="198"/>
      <c r="R964" s="41"/>
    </row>
    <row r="965" spans="4:18">
      <c r="D965" s="188"/>
      <c r="E965" s="42"/>
      <c r="F965" s="168" t="s">
        <v>6202</v>
      </c>
      <c r="G965" s="193">
        <f>IF(_1_54128456121462410464578910174[[#This Row],[Type]]&gt;0,VLOOKUP(_1_54128456121462410464578910174[[#This Row],[Type]],Main[[#All],[TYPE]:[UNIT]],'Unit Price'!C$1,FALSE),0)</f>
        <v>0</v>
      </c>
      <c r="H965" s="197">
        <f>IF(_1_54128456121462410464578910174[[#This Row],[Type]]&gt;0,VLOOKUP(_1_54128456121462410464578910174[[#This Row],[Type]],Main[[#All],[TYPE]:[UNIT]],'Unit Price'!D$1,FALSE),0)</f>
        <v>0</v>
      </c>
      <c r="I965" s="194">
        <f>IF(_1_54128456121462410464578910174[[#This Row],[Type]]&gt;0,VLOOKUP(_1_54128456121462410464578910174[[#This Row],[Type]],Main[[#All],[TYPE]:[UNIT]],'Unit Price'!G$1,FALSE),0)</f>
        <v>0</v>
      </c>
      <c r="J965" s="194">
        <f>IF(_1_54128456121462410464578910174[[#This Row],[Type]]&gt;0,VLOOKUP(_1_54128456121462410464578910174[[#This Row],[Type]],Main[[#All],[TYPE]:[UNIT]],'Unit Price'!H$1,FALSE),0)</f>
        <v>0</v>
      </c>
      <c r="K965" s="194">
        <f>IF(_1_54128456121462410464578910174[[#This Row],[Discount selection]]&gt;0,VLOOKUP(_1_54128456121462410464578910174[[#This Row],[Discount selection]],'Discount Structure'!$A$2:$B$30,2,"false"),0)</f>
        <v>1</v>
      </c>
      <c r="L965" s="194">
        <f>_1_54128456121462410464578910174[[#This Row],[LIST $]]*_1_54128456121462410464578910174[[#This Row],[DISCOUNT]]*_1_54128456121462410464578910174[[#This Row],[DISCOUNT 2]]</f>
        <v>0</v>
      </c>
      <c r="M965" s="194">
        <f>IF(OR(_1_54128456121462410464578910174[[#This Row],[UNIT]]&gt;0,_1_54128456121462410464578910174[[#This Row],[UNIT]]&lt;0),_1_54128456121462410464578910174[[#This Row],[UNIT]]*_1_54128456121462410464578910174[[#This Row],[COST]],0)</f>
        <v>0</v>
      </c>
      <c r="N965" s="194">
        <f t="shared" si="14"/>
        <v>1.5</v>
      </c>
      <c r="O965" s="198">
        <f>_1_54128456121462410464578910174[[#This Row],[TOTAL]]*_1_54128456121462410464578910174[[#This Row],[MARGIN]]</f>
        <v>0</v>
      </c>
      <c r="P965" s="198"/>
      <c r="R965" s="41"/>
    </row>
    <row r="966" spans="4:18">
      <c r="D966" s="188"/>
      <c r="E966" s="42"/>
      <c r="F966" s="168" t="s">
        <v>6202</v>
      </c>
      <c r="G966" s="193">
        <f>IF(_1_54128456121462410464578910174[[#This Row],[Type]]&gt;0,VLOOKUP(_1_54128456121462410464578910174[[#This Row],[Type]],Main[[#All],[TYPE]:[UNIT]],'Unit Price'!C$1,FALSE),0)</f>
        <v>0</v>
      </c>
      <c r="H966" s="197">
        <f>IF(_1_54128456121462410464578910174[[#This Row],[Type]]&gt;0,VLOOKUP(_1_54128456121462410464578910174[[#This Row],[Type]],Main[[#All],[TYPE]:[UNIT]],'Unit Price'!D$1,FALSE),0)</f>
        <v>0</v>
      </c>
      <c r="I966" s="194">
        <f>IF(_1_54128456121462410464578910174[[#This Row],[Type]]&gt;0,VLOOKUP(_1_54128456121462410464578910174[[#This Row],[Type]],Main[[#All],[TYPE]:[UNIT]],'Unit Price'!G$1,FALSE),0)</f>
        <v>0</v>
      </c>
      <c r="J966" s="194">
        <f>IF(_1_54128456121462410464578910174[[#This Row],[Type]]&gt;0,VLOOKUP(_1_54128456121462410464578910174[[#This Row],[Type]],Main[[#All],[TYPE]:[UNIT]],'Unit Price'!H$1,FALSE),0)</f>
        <v>0</v>
      </c>
      <c r="K966" s="194">
        <f>IF(_1_54128456121462410464578910174[[#This Row],[Discount selection]]&gt;0,VLOOKUP(_1_54128456121462410464578910174[[#This Row],[Discount selection]],'Discount Structure'!$A$2:$B$30,2,"false"),0)</f>
        <v>1</v>
      </c>
      <c r="L966" s="194">
        <f>_1_54128456121462410464578910174[[#This Row],[LIST $]]*_1_54128456121462410464578910174[[#This Row],[DISCOUNT]]*_1_54128456121462410464578910174[[#This Row],[DISCOUNT 2]]</f>
        <v>0</v>
      </c>
      <c r="M966" s="194">
        <f>IF(OR(_1_54128456121462410464578910174[[#This Row],[UNIT]]&gt;0,_1_54128456121462410464578910174[[#This Row],[UNIT]]&lt;0),_1_54128456121462410464578910174[[#This Row],[UNIT]]*_1_54128456121462410464578910174[[#This Row],[COST]],0)</f>
        <v>0</v>
      </c>
      <c r="N966" s="194">
        <f t="shared" si="14"/>
        <v>1.5</v>
      </c>
      <c r="O966" s="198">
        <f>_1_54128456121462410464578910174[[#This Row],[TOTAL]]*_1_54128456121462410464578910174[[#This Row],[MARGIN]]</f>
        <v>0</v>
      </c>
      <c r="P966" s="198"/>
      <c r="R966" s="41"/>
    </row>
    <row r="967" spans="4:18">
      <c r="D967" s="188"/>
      <c r="E967" s="42"/>
      <c r="F967" s="168" t="s">
        <v>6202</v>
      </c>
      <c r="G967" s="193">
        <f>IF(_1_54128456121462410464578910174[[#This Row],[Type]]&gt;0,VLOOKUP(_1_54128456121462410464578910174[[#This Row],[Type]],Main[[#All],[TYPE]:[UNIT]],'Unit Price'!C$1,FALSE),0)</f>
        <v>0</v>
      </c>
      <c r="H967" s="197">
        <f>IF(_1_54128456121462410464578910174[[#This Row],[Type]]&gt;0,VLOOKUP(_1_54128456121462410464578910174[[#This Row],[Type]],Main[[#All],[TYPE]:[UNIT]],'Unit Price'!D$1,FALSE),0)</f>
        <v>0</v>
      </c>
      <c r="I967" s="194">
        <f>IF(_1_54128456121462410464578910174[[#This Row],[Type]]&gt;0,VLOOKUP(_1_54128456121462410464578910174[[#This Row],[Type]],Main[[#All],[TYPE]:[UNIT]],'Unit Price'!G$1,FALSE),0)</f>
        <v>0</v>
      </c>
      <c r="J967" s="194">
        <f>IF(_1_54128456121462410464578910174[[#This Row],[Type]]&gt;0,VLOOKUP(_1_54128456121462410464578910174[[#This Row],[Type]],Main[[#All],[TYPE]:[UNIT]],'Unit Price'!H$1,FALSE),0)</f>
        <v>0</v>
      </c>
      <c r="K967" s="194">
        <f>IF(_1_54128456121462410464578910174[[#This Row],[Discount selection]]&gt;0,VLOOKUP(_1_54128456121462410464578910174[[#This Row],[Discount selection]],'Discount Structure'!$A$2:$B$30,2,"false"),0)</f>
        <v>1</v>
      </c>
      <c r="L967" s="194">
        <f>_1_54128456121462410464578910174[[#This Row],[LIST $]]*_1_54128456121462410464578910174[[#This Row],[DISCOUNT]]*_1_54128456121462410464578910174[[#This Row],[DISCOUNT 2]]</f>
        <v>0</v>
      </c>
      <c r="M967" s="194">
        <f>IF(OR(_1_54128456121462410464578910174[[#This Row],[UNIT]]&gt;0,_1_54128456121462410464578910174[[#This Row],[UNIT]]&lt;0),_1_54128456121462410464578910174[[#This Row],[UNIT]]*_1_54128456121462410464578910174[[#This Row],[COST]],0)</f>
        <v>0</v>
      </c>
      <c r="N967" s="194">
        <f t="shared" si="14"/>
        <v>1.5</v>
      </c>
      <c r="O967" s="198">
        <f>_1_54128456121462410464578910174[[#This Row],[TOTAL]]*_1_54128456121462410464578910174[[#This Row],[MARGIN]]</f>
        <v>0</v>
      </c>
      <c r="P967" s="198"/>
      <c r="R967" s="41"/>
    </row>
    <row r="968" spans="4:18">
      <c r="D968" s="188"/>
      <c r="E968" s="42"/>
      <c r="F968" s="168" t="s">
        <v>6202</v>
      </c>
      <c r="G968" s="193">
        <f>IF(_1_54128456121462410464578910174[[#This Row],[Type]]&gt;0,VLOOKUP(_1_54128456121462410464578910174[[#This Row],[Type]],Main[[#All],[TYPE]:[UNIT]],'Unit Price'!C$1,FALSE),0)</f>
        <v>0</v>
      </c>
      <c r="H968" s="197">
        <f>IF(_1_54128456121462410464578910174[[#This Row],[Type]]&gt;0,VLOOKUP(_1_54128456121462410464578910174[[#This Row],[Type]],Main[[#All],[TYPE]:[UNIT]],'Unit Price'!D$1,FALSE),0)</f>
        <v>0</v>
      </c>
      <c r="I968" s="194">
        <f>IF(_1_54128456121462410464578910174[[#This Row],[Type]]&gt;0,VLOOKUP(_1_54128456121462410464578910174[[#This Row],[Type]],Main[[#All],[TYPE]:[UNIT]],'Unit Price'!G$1,FALSE),0)</f>
        <v>0</v>
      </c>
      <c r="J968" s="194">
        <f>IF(_1_54128456121462410464578910174[[#This Row],[Type]]&gt;0,VLOOKUP(_1_54128456121462410464578910174[[#This Row],[Type]],Main[[#All],[TYPE]:[UNIT]],'Unit Price'!H$1,FALSE),0)</f>
        <v>0</v>
      </c>
      <c r="K968" s="194">
        <f>IF(_1_54128456121462410464578910174[[#This Row],[Discount selection]]&gt;0,VLOOKUP(_1_54128456121462410464578910174[[#This Row],[Discount selection]],'Discount Structure'!$A$2:$B$30,2,"false"),0)</f>
        <v>1</v>
      </c>
      <c r="L968" s="194">
        <f>_1_54128456121462410464578910174[[#This Row],[LIST $]]*_1_54128456121462410464578910174[[#This Row],[DISCOUNT]]*_1_54128456121462410464578910174[[#This Row],[DISCOUNT 2]]</f>
        <v>0</v>
      </c>
      <c r="M968" s="194">
        <f>IF(OR(_1_54128456121462410464578910174[[#This Row],[UNIT]]&gt;0,_1_54128456121462410464578910174[[#This Row],[UNIT]]&lt;0),_1_54128456121462410464578910174[[#This Row],[UNIT]]*_1_54128456121462410464578910174[[#This Row],[COST]],0)</f>
        <v>0</v>
      </c>
      <c r="N968" s="194">
        <f t="shared" si="14"/>
        <v>1.5</v>
      </c>
      <c r="O968" s="198">
        <f>_1_54128456121462410464578910174[[#This Row],[TOTAL]]*_1_54128456121462410464578910174[[#This Row],[MARGIN]]</f>
        <v>0</v>
      </c>
      <c r="P968" s="198"/>
      <c r="R968" s="41"/>
    </row>
    <row r="969" spans="4:18">
      <c r="D969" s="188"/>
      <c r="E969" s="42"/>
      <c r="F969" s="168" t="s">
        <v>6202</v>
      </c>
      <c r="G969" s="193">
        <f>IF(_1_54128456121462410464578910174[[#This Row],[Type]]&gt;0,VLOOKUP(_1_54128456121462410464578910174[[#This Row],[Type]],Main[[#All],[TYPE]:[UNIT]],'Unit Price'!C$1,FALSE),0)</f>
        <v>0</v>
      </c>
      <c r="H969" s="197">
        <f>IF(_1_54128456121462410464578910174[[#This Row],[Type]]&gt;0,VLOOKUP(_1_54128456121462410464578910174[[#This Row],[Type]],Main[[#All],[TYPE]:[UNIT]],'Unit Price'!D$1,FALSE),0)</f>
        <v>0</v>
      </c>
      <c r="I969" s="194">
        <f>IF(_1_54128456121462410464578910174[[#This Row],[Type]]&gt;0,VLOOKUP(_1_54128456121462410464578910174[[#This Row],[Type]],Main[[#All],[TYPE]:[UNIT]],'Unit Price'!G$1,FALSE),0)</f>
        <v>0</v>
      </c>
      <c r="J969" s="194">
        <f>IF(_1_54128456121462410464578910174[[#This Row],[Type]]&gt;0,VLOOKUP(_1_54128456121462410464578910174[[#This Row],[Type]],Main[[#All],[TYPE]:[UNIT]],'Unit Price'!H$1,FALSE),0)</f>
        <v>0</v>
      </c>
      <c r="K969" s="194">
        <f>IF(_1_54128456121462410464578910174[[#This Row],[Discount selection]]&gt;0,VLOOKUP(_1_54128456121462410464578910174[[#This Row],[Discount selection]],'Discount Structure'!$A$2:$B$30,2,"false"),0)</f>
        <v>1</v>
      </c>
      <c r="L969" s="194">
        <f>_1_54128456121462410464578910174[[#This Row],[LIST $]]*_1_54128456121462410464578910174[[#This Row],[DISCOUNT]]*_1_54128456121462410464578910174[[#This Row],[DISCOUNT 2]]</f>
        <v>0</v>
      </c>
      <c r="M969" s="194">
        <f>IF(OR(_1_54128456121462410464578910174[[#This Row],[UNIT]]&gt;0,_1_54128456121462410464578910174[[#This Row],[UNIT]]&lt;0),_1_54128456121462410464578910174[[#This Row],[UNIT]]*_1_54128456121462410464578910174[[#This Row],[COST]],0)</f>
        <v>0</v>
      </c>
      <c r="N969" s="194">
        <f t="shared" si="14"/>
        <v>1.5</v>
      </c>
      <c r="O969" s="198">
        <f>_1_54128456121462410464578910174[[#This Row],[TOTAL]]*_1_54128456121462410464578910174[[#This Row],[MARGIN]]</f>
        <v>0</v>
      </c>
      <c r="P969" s="198"/>
      <c r="R969" s="41"/>
    </row>
    <row r="970" spans="4:18">
      <c r="D970" s="188"/>
      <c r="E970" s="42"/>
      <c r="F970" s="168" t="s">
        <v>6202</v>
      </c>
      <c r="G970" s="193">
        <f>IF(_1_54128456121462410464578910174[[#This Row],[Type]]&gt;0,VLOOKUP(_1_54128456121462410464578910174[[#This Row],[Type]],Main[[#All],[TYPE]:[UNIT]],'Unit Price'!C$1,FALSE),0)</f>
        <v>0</v>
      </c>
      <c r="H970" s="197">
        <f>IF(_1_54128456121462410464578910174[[#This Row],[Type]]&gt;0,VLOOKUP(_1_54128456121462410464578910174[[#This Row],[Type]],Main[[#All],[TYPE]:[UNIT]],'Unit Price'!D$1,FALSE),0)</f>
        <v>0</v>
      </c>
      <c r="I970" s="194">
        <f>IF(_1_54128456121462410464578910174[[#This Row],[Type]]&gt;0,VLOOKUP(_1_54128456121462410464578910174[[#This Row],[Type]],Main[[#All],[TYPE]:[UNIT]],'Unit Price'!G$1,FALSE),0)</f>
        <v>0</v>
      </c>
      <c r="J970" s="194">
        <f>IF(_1_54128456121462410464578910174[[#This Row],[Type]]&gt;0,VLOOKUP(_1_54128456121462410464578910174[[#This Row],[Type]],Main[[#All],[TYPE]:[UNIT]],'Unit Price'!H$1,FALSE),0)</f>
        <v>0</v>
      </c>
      <c r="K970" s="194">
        <f>IF(_1_54128456121462410464578910174[[#This Row],[Discount selection]]&gt;0,VLOOKUP(_1_54128456121462410464578910174[[#This Row],[Discount selection]],'Discount Structure'!$A$2:$B$30,2,"false"),0)</f>
        <v>1</v>
      </c>
      <c r="L970" s="194">
        <f>_1_54128456121462410464578910174[[#This Row],[LIST $]]*_1_54128456121462410464578910174[[#This Row],[DISCOUNT]]*_1_54128456121462410464578910174[[#This Row],[DISCOUNT 2]]</f>
        <v>0</v>
      </c>
      <c r="M970" s="194">
        <f>IF(OR(_1_54128456121462410464578910174[[#This Row],[UNIT]]&gt;0,_1_54128456121462410464578910174[[#This Row],[UNIT]]&lt;0),_1_54128456121462410464578910174[[#This Row],[UNIT]]*_1_54128456121462410464578910174[[#This Row],[COST]],0)</f>
        <v>0</v>
      </c>
      <c r="N970" s="194">
        <f t="shared" ref="N970:N999" si="15">$N$7</f>
        <v>1.5</v>
      </c>
      <c r="O970" s="198">
        <f>_1_54128456121462410464578910174[[#This Row],[TOTAL]]*_1_54128456121462410464578910174[[#This Row],[MARGIN]]</f>
        <v>0</v>
      </c>
      <c r="P970" s="198"/>
      <c r="R970" s="41"/>
    </row>
    <row r="971" spans="4:18">
      <c r="D971" s="188"/>
      <c r="E971" s="42"/>
      <c r="F971" s="168" t="s">
        <v>6202</v>
      </c>
      <c r="G971" s="193">
        <f>IF(_1_54128456121462410464578910174[[#This Row],[Type]]&gt;0,VLOOKUP(_1_54128456121462410464578910174[[#This Row],[Type]],Main[[#All],[TYPE]:[UNIT]],'Unit Price'!C$1,FALSE),0)</f>
        <v>0</v>
      </c>
      <c r="H971" s="197">
        <f>IF(_1_54128456121462410464578910174[[#This Row],[Type]]&gt;0,VLOOKUP(_1_54128456121462410464578910174[[#This Row],[Type]],Main[[#All],[TYPE]:[UNIT]],'Unit Price'!D$1,FALSE),0)</f>
        <v>0</v>
      </c>
      <c r="I971" s="194">
        <f>IF(_1_54128456121462410464578910174[[#This Row],[Type]]&gt;0,VLOOKUP(_1_54128456121462410464578910174[[#This Row],[Type]],Main[[#All],[TYPE]:[UNIT]],'Unit Price'!G$1,FALSE),0)</f>
        <v>0</v>
      </c>
      <c r="J971" s="194">
        <f>IF(_1_54128456121462410464578910174[[#This Row],[Type]]&gt;0,VLOOKUP(_1_54128456121462410464578910174[[#This Row],[Type]],Main[[#All],[TYPE]:[UNIT]],'Unit Price'!H$1,FALSE),0)</f>
        <v>0</v>
      </c>
      <c r="K971" s="194">
        <f>IF(_1_54128456121462410464578910174[[#This Row],[Discount selection]]&gt;0,VLOOKUP(_1_54128456121462410464578910174[[#This Row],[Discount selection]],'Discount Structure'!$A$2:$B$30,2,"false"),0)</f>
        <v>1</v>
      </c>
      <c r="L971" s="194">
        <f>_1_54128456121462410464578910174[[#This Row],[LIST $]]*_1_54128456121462410464578910174[[#This Row],[DISCOUNT]]*_1_54128456121462410464578910174[[#This Row],[DISCOUNT 2]]</f>
        <v>0</v>
      </c>
      <c r="M971" s="194">
        <f>IF(OR(_1_54128456121462410464578910174[[#This Row],[UNIT]]&gt;0,_1_54128456121462410464578910174[[#This Row],[UNIT]]&lt;0),_1_54128456121462410464578910174[[#This Row],[UNIT]]*_1_54128456121462410464578910174[[#This Row],[COST]],0)</f>
        <v>0</v>
      </c>
      <c r="N971" s="194">
        <f t="shared" si="15"/>
        <v>1.5</v>
      </c>
      <c r="O971" s="198">
        <f>_1_54128456121462410464578910174[[#This Row],[TOTAL]]*_1_54128456121462410464578910174[[#This Row],[MARGIN]]</f>
        <v>0</v>
      </c>
      <c r="P971" s="198"/>
      <c r="R971" s="41"/>
    </row>
    <row r="972" spans="4:18">
      <c r="D972" s="188"/>
      <c r="E972" s="42"/>
      <c r="F972" s="168" t="s">
        <v>6202</v>
      </c>
      <c r="G972" s="193">
        <f>IF(_1_54128456121462410464578910174[[#This Row],[Type]]&gt;0,VLOOKUP(_1_54128456121462410464578910174[[#This Row],[Type]],Main[[#All],[TYPE]:[UNIT]],'Unit Price'!C$1,FALSE),0)</f>
        <v>0</v>
      </c>
      <c r="H972" s="197">
        <f>IF(_1_54128456121462410464578910174[[#This Row],[Type]]&gt;0,VLOOKUP(_1_54128456121462410464578910174[[#This Row],[Type]],Main[[#All],[TYPE]:[UNIT]],'Unit Price'!D$1,FALSE),0)</f>
        <v>0</v>
      </c>
      <c r="I972" s="194">
        <f>IF(_1_54128456121462410464578910174[[#This Row],[Type]]&gt;0,VLOOKUP(_1_54128456121462410464578910174[[#This Row],[Type]],Main[[#All],[TYPE]:[UNIT]],'Unit Price'!G$1,FALSE),0)</f>
        <v>0</v>
      </c>
      <c r="J972" s="194">
        <f>IF(_1_54128456121462410464578910174[[#This Row],[Type]]&gt;0,VLOOKUP(_1_54128456121462410464578910174[[#This Row],[Type]],Main[[#All],[TYPE]:[UNIT]],'Unit Price'!H$1,FALSE),0)</f>
        <v>0</v>
      </c>
      <c r="K972" s="194">
        <f>IF(_1_54128456121462410464578910174[[#This Row],[Discount selection]]&gt;0,VLOOKUP(_1_54128456121462410464578910174[[#This Row],[Discount selection]],'Discount Structure'!$A$2:$B$30,2,"false"),0)</f>
        <v>1</v>
      </c>
      <c r="L972" s="194">
        <f>_1_54128456121462410464578910174[[#This Row],[LIST $]]*_1_54128456121462410464578910174[[#This Row],[DISCOUNT]]*_1_54128456121462410464578910174[[#This Row],[DISCOUNT 2]]</f>
        <v>0</v>
      </c>
      <c r="M972" s="194">
        <f>IF(OR(_1_54128456121462410464578910174[[#This Row],[UNIT]]&gt;0,_1_54128456121462410464578910174[[#This Row],[UNIT]]&lt;0),_1_54128456121462410464578910174[[#This Row],[UNIT]]*_1_54128456121462410464578910174[[#This Row],[COST]],0)</f>
        <v>0</v>
      </c>
      <c r="N972" s="194">
        <f t="shared" si="15"/>
        <v>1.5</v>
      </c>
      <c r="O972" s="198">
        <f>_1_54128456121462410464578910174[[#This Row],[TOTAL]]*_1_54128456121462410464578910174[[#This Row],[MARGIN]]</f>
        <v>0</v>
      </c>
      <c r="P972" s="198"/>
      <c r="R972" s="41"/>
    </row>
    <row r="973" spans="4:18">
      <c r="D973" s="188"/>
      <c r="E973" s="42"/>
      <c r="F973" s="168" t="s">
        <v>6202</v>
      </c>
      <c r="G973" s="193">
        <f>IF(_1_54128456121462410464578910174[[#This Row],[Type]]&gt;0,VLOOKUP(_1_54128456121462410464578910174[[#This Row],[Type]],Main[[#All],[TYPE]:[UNIT]],'Unit Price'!C$1,FALSE),0)</f>
        <v>0</v>
      </c>
      <c r="H973" s="197">
        <f>IF(_1_54128456121462410464578910174[[#This Row],[Type]]&gt;0,VLOOKUP(_1_54128456121462410464578910174[[#This Row],[Type]],Main[[#All],[TYPE]:[UNIT]],'Unit Price'!D$1,FALSE),0)</f>
        <v>0</v>
      </c>
      <c r="I973" s="194">
        <f>IF(_1_54128456121462410464578910174[[#This Row],[Type]]&gt;0,VLOOKUP(_1_54128456121462410464578910174[[#This Row],[Type]],Main[[#All],[TYPE]:[UNIT]],'Unit Price'!G$1,FALSE),0)</f>
        <v>0</v>
      </c>
      <c r="J973" s="194">
        <f>IF(_1_54128456121462410464578910174[[#This Row],[Type]]&gt;0,VLOOKUP(_1_54128456121462410464578910174[[#This Row],[Type]],Main[[#All],[TYPE]:[UNIT]],'Unit Price'!H$1,FALSE),0)</f>
        <v>0</v>
      </c>
      <c r="K973" s="194">
        <f>IF(_1_54128456121462410464578910174[[#This Row],[Discount selection]]&gt;0,VLOOKUP(_1_54128456121462410464578910174[[#This Row],[Discount selection]],'Discount Structure'!$A$2:$B$30,2,"false"),0)</f>
        <v>1</v>
      </c>
      <c r="L973" s="194">
        <f>_1_54128456121462410464578910174[[#This Row],[LIST $]]*_1_54128456121462410464578910174[[#This Row],[DISCOUNT]]*_1_54128456121462410464578910174[[#This Row],[DISCOUNT 2]]</f>
        <v>0</v>
      </c>
      <c r="M973" s="194">
        <f>IF(OR(_1_54128456121462410464578910174[[#This Row],[UNIT]]&gt;0,_1_54128456121462410464578910174[[#This Row],[UNIT]]&lt;0),_1_54128456121462410464578910174[[#This Row],[UNIT]]*_1_54128456121462410464578910174[[#This Row],[COST]],0)</f>
        <v>0</v>
      </c>
      <c r="N973" s="194">
        <f t="shared" si="15"/>
        <v>1.5</v>
      </c>
      <c r="O973" s="198">
        <f>_1_54128456121462410464578910174[[#This Row],[TOTAL]]*_1_54128456121462410464578910174[[#This Row],[MARGIN]]</f>
        <v>0</v>
      </c>
      <c r="P973" s="198"/>
      <c r="R973" s="41"/>
    </row>
    <row r="974" spans="4:18">
      <c r="D974" s="188"/>
      <c r="E974" s="42"/>
      <c r="F974" s="168" t="s">
        <v>6202</v>
      </c>
      <c r="G974" s="193">
        <f>IF(_1_54128456121462410464578910174[[#This Row],[Type]]&gt;0,VLOOKUP(_1_54128456121462410464578910174[[#This Row],[Type]],Main[[#All],[TYPE]:[UNIT]],'Unit Price'!C$1,FALSE),0)</f>
        <v>0</v>
      </c>
      <c r="H974" s="197">
        <f>IF(_1_54128456121462410464578910174[[#This Row],[Type]]&gt;0,VLOOKUP(_1_54128456121462410464578910174[[#This Row],[Type]],Main[[#All],[TYPE]:[UNIT]],'Unit Price'!D$1,FALSE),0)</f>
        <v>0</v>
      </c>
      <c r="I974" s="194">
        <f>IF(_1_54128456121462410464578910174[[#This Row],[Type]]&gt;0,VLOOKUP(_1_54128456121462410464578910174[[#This Row],[Type]],Main[[#All],[TYPE]:[UNIT]],'Unit Price'!G$1,FALSE),0)</f>
        <v>0</v>
      </c>
      <c r="J974" s="194">
        <f>IF(_1_54128456121462410464578910174[[#This Row],[Type]]&gt;0,VLOOKUP(_1_54128456121462410464578910174[[#This Row],[Type]],Main[[#All],[TYPE]:[UNIT]],'Unit Price'!H$1,FALSE),0)</f>
        <v>0</v>
      </c>
      <c r="K974" s="194">
        <f>IF(_1_54128456121462410464578910174[[#This Row],[Discount selection]]&gt;0,VLOOKUP(_1_54128456121462410464578910174[[#This Row],[Discount selection]],'Discount Structure'!$A$2:$B$30,2,"false"),0)</f>
        <v>1</v>
      </c>
      <c r="L974" s="194">
        <f>_1_54128456121462410464578910174[[#This Row],[LIST $]]*_1_54128456121462410464578910174[[#This Row],[DISCOUNT]]*_1_54128456121462410464578910174[[#This Row],[DISCOUNT 2]]</f>
        <v>0</v>
      </c>
      <c r="M974" s="194">
        <f>IF(OR(_1_54128456121462410464578910174[[#This Row],[UNIT]]&gt;0,_1_54128456121462410464578910174[[#This Row],[UNIT]]&lt;0),_1_54128456121462410464578910174[[#This Row],[UNIT]]*_1_54128456121462410464578910174[[#This Row],[COST]],0)</f>
        <v>0</v>
      </c>
      <c r="N974" s="194">
        <f t="shared" si="15"/>
        <v>1.5</v>
      </c>
      <c r="O974" s="198">
        <f>_1_54128456121462410464578910174[[#This Row],[TOTAL]]*_1_54128456121462410464578910174[[#This Row],[MARGIN]]</f>
        <v>0</v>
      </c>
      <c r="P974" s="198"/>
      <c r="R974" s="41"/>
    </row>
    <row r="975" spans="4:18">
      <c r="D975" s="188"/>
      <c r="E975" s="42"/>
      <c r="F975" s="168" t="s">
        <v>6202</v>
      </c>
      <c r="G975" s="193">
        <f>IF(_1_54128456121462410464578910174[[#This Row],[Type]]&gt;0,VLOOKUP(_1_54128456121462410464578910174[[#This Row],[Type]],Main[[#All],[TYPE]:[UNIT]],'Unit Price'!C$1,FALSE),0)</f>
        <v>0</v>
      </c>
      <c r="H975" s="197">
        <f>IF(_1_54128456121462410464578910174[[#This Row],[Type]]&gt;0,VLOOKUP(_1_54128456121462410464578910174[[#This Row],[Type]],Main[[#All],[TYPE]:[UNIT]],'Unit Price'!D$1,FALSE),0)</f>
        <v>0</v>
      </c>
      <c r="I975" s="194">
        <f>IF(_1_54128456121462410464578910174[[#This Row],[Type]]&gt;0,VLOOKUP(_1_54128456121462410464578910174[[#This Row],[Type]],Main[[#All],[TYPE]:[UNIT]],'Unit Price'!G$1,FALSE),0)</f>
        <v>0</v>
      </c>
      <c r="J975" s="194">
        <f>IF(_1_54128456121462410464578910174[[#This Row],[Type]]&gt;0,VLOOKUP(_1_54128456121462410464578910174[[#This Row],[Type]],Main[[#All],[TYPE]:[UNIT]],'Unit Price'!H$1,FALSE),0)</f>
        <v>0</v>
      </c>
      <c r="K975" s="194">
        <f>IF(_1_54128456121462410464578910174[[#This Row],[Discount selection]]&gt;0,VLOOKUP(_1_54128456121462410464578910174[[#This Row],[Discount selection]],'Discount Structure'!$A$2:$B$30,2,"false"),0)</f>
        <v>1</v>
      </c>
      <c r="L975" s="194">
        <f>_1_54128456121462410464578910174[[#This Row],[LIST $]]*_1_54128456121462410464578910174[[#This Row],[DISCOUNT]]*_1_54128456121462410464578910174[[#This Row],[DISCOUNT 2]]</f>
        <v>0</v>
      </c>
      <c r="M975" s="194">
        <f>IF(OR(_1_54128456121462410464578910174[[#This Row],[UNIT]]&gt;0,_1_54128456121462410464578910174[[#This Row],[UNIT]]&lt;0),_1_54128456121462410464578910174[[#This Row],[UNIT]]*_1_54128456121462410464578910174[[#This Row],[COST]],0)</f>
        <v>0</v>
      </c>
      <c r="N975" s="194">
        <f t="shared" si="15"/>
        <v>1.5</v>
      </c>
      <c r="O975" s="198">
        <f>_1_54128456121462410464578910174[[#This Row],[TOTAL]]*_1_54128456121462410464578910174[[#This Row],[MARGIN]]</f>
        <v>0</v>
      </c>
      <c r="P975" s="198"/>
      <c r="R975" s="41"/>
    </row>
    <row r="976" spans="4:18">
      <c r="D976" s="188"/>
      <c r="E976" s="42"/>
      <c r="F976" s="168" t="s">
        <v>6202</v>
      </c>
      <c r="G976" s="193">
        <f>IF(_1_54128456121462410464578910174[[#This Row],[Type]]&gt;0,VLOOKUP(_1_54128456121462410464578910174[[#This Row],[Type]],Main[[#All],[TYPE]:[UNIT]],'Unit Price'!C$1,FALSE),0)</f>
        <v>0</v>
      </c>
      <c r="H976" s="197">
        <f>IF(_1_54128456121462410464578910174[[#This Row],[Type]]&gt;0,VLOOKUP(_1_54128456121462410464578910174[[#This Row],[Type]],Main[[#All],[TYPE]:[UNIT]],'Unit Price'!D$1,FALSE),0)</f>
        <v>0</v>
      </c>
      <c r="I976" s="194">
        <f>IF(_1_54128456121462410464578910174[[#This Row],[Type]]&gt;0,VLOOKUP(_1_54128456121462410464578910174[[#This Row],[Type]],Main[[#All],[TYPE]:[UNIT]],'Unit Price'!G$1,FALSE),0)</f>
        <v>0</v>
      </c>
      <c r="J976" s="194">
        <f>IF(_1_54128456121462410464578910174[[#This Row],[Type]]&gt;0,VLOOKUP(_1_54128456121462410464578910174[[#This Row],[Type]],Main[[#All],[TYPE]:[UNIT]],'Unit Price'!H$1,FALSE),0)</f>
        <v>0</v>
      </c>
      <c r="K976" s="194">
        <f>IF(_1_54128456121462410464578910174[[#This Row],[Discount selection]]&gt;0,VLOOKUP(_1_54128456121462410464578910174[[#This Row],[Discount selection]],'Discount Structure'!$A$2:$B$30,2,"false"),0)</f>
        <v>1</v>
      </c>
      <c r="L976" s="194">
        <f>_1_54128456121462410464578910174[[#This Row],[LIST $]]*_1_54128456121462410464578910174[[#This Row],[DISCOUNT]]*_1_54128456121462410464578910174[[#This Row],[DISCOUNT 2]]</f>
        <v>0</v>
      </c>
      <c r="M976" s="194">
        <f>IF(OR(_1_54128456121462410464578910174[[#This Row],[UNIT]]&gt;0,_1_54128456121462410464578910174[[#This Row],[UNIT]]&lt;0),_1_54128456121462410464578910174[[#This Row],[UNIT]]*_1_54128456121462410464578910174[[#This Row],[COST]],0)</f>
        <v>0</v>
      </c>
      <c r="N976" s="194">
        <f t="shared" si="15"/>
        <v>1.5</v>
      </c>
      <c r="O976" s="198">
        <f>_1_54128456121462410464578910174[[#This Row],[TOTAL]]*_1_54128456121462410464578910174[[#This Row],[MARGIN]]</f>
        <v>0</v>
      </c>
      <c r="P976" s="198"/>
      <c r="R976" s="41"/>
    </row>
    <row r="977" spans="4:18">
      <c r="D977" s="188"/>
      <c r="E977" s="42"/>
      <c r="F977" s="168" t="s">
        <v>6202</v>
      </c>
      <c r="G977" s="193">
        <f>IF(_1_54128456121462410464578910174[[#This Row],[Type]]&gt;0,VLOOKUP(_1_54128456121462410464578910174[[#This Row],[Type]],Main[[#All],[TYPE]:[UNIT]],'Unit Price'!C$1,FALSE),0)</f>
        <v>0</v>
      </c>
      <c r="H977" s="197">
        <f>IF(_1_54128456121462410464578910174[[#This Row],[Type]]&gt;0,VLOOKUP(_1_54128456121462410464578910174[[#This Row],[Type]],Main[[#All],[TYPE]:[UNIT]],'Unit Price'!D$1,FALSE),0)</f>
        <v>0</v>
      </c>
      <c r="I977" s="194">
        <f>IF(_1_54128456121462410464578910174[[#This Row],[Type]]&gt;0,VLOOKUP(_1_54128456121462410464578910174[[#This Row],[Type]],Main[[#All],[TYPE]:[UNIT]],'Unit Price'!G$1,FALSE),0)</f>
        <v>0</v>
      </c>
      <c r="J977" s="194">
        <f>IF(_1_54128456121462410464578910174[[#This Row],[Type]]&gt;0,VLOOKUP(_1_54128456121462410464578910174[[#This Row],[Type]],Main[[#All],[TYPE]:[UNIT]],'Unit Price'!H$1,FALSE),0)</f>
        <v>0</v>
      </c>
      <c r="K977" s="194">
        <f>IF(_1_54128456121462410464578910174[[#This Row],[Discount selection]]&gt;0,VLOOKUP(_1_54128456121462410464578910174[[#This Row],[Discount selection]],'Discount Structure'!$A$2:$B$30,2,"false"),0)</f>
        <v>1</v>
      </c>
      <c r="L977" s="194">
        <f>_1_54128456121462410464578910174[[#This Row],[LIST $]]*_1_54128456121462410464578910174[[#This Row],[DISCOUNT]]*_1_54128456121462410464578910174[[#This Row],[DISCOUNT 2]]</f>
        <v>0</v>
      </c>
      <c r="M977" s="194">
        <f>IF(OR(_1_54128456121462410464578910174[[#This Row],[UNIT]]&gt;0,_1_54128456121462410464578910174[[#This Row],[UNIT]]&lt;0),_1_54128456121462410464578910174[[#This Row],[UNIT]]*_1_54128456121462410464578910174[[#This Row],[COST]],0)</f>
        <v>0</v>
      </c>
      <c r="N977" s="194">
        <f t="shared" si="15"/>
        <v>1.5</v>
      </c>
      <c r="O977" s="198">
        <f>_1_54128456121462410464578910174[[#This Row],[TOTAL]]*_1_54128456121462410464578910174[[#This Row],[MARGIN]]</f>
        <v>0</v>
      </c>
      <c r="P977" s="198"/>
      <c r="R977" s="41"/>
    </row>
    <row r="978" spans="4:18">
      <c r="D978" s="188"/>
      <c r="E978" s="42"/>
      <c r="F978" s="168" t="s">
        <v>6202</v>
      </c>
      <c r="G978" s="193">
        <f>IF(_1_54128456121462410464578910174[[#This Row],[Type]]&gt;0,VLOOKUP(_1_54128456121462410464578910174[[#This Row],[Type]],Main[[#All],[TYPE]:[UNIT]],'Unit Price'!C$1,FALSE),0)</f>
        <v>0</v>
      </c>
      <c r="H978" s="197">
        <f>IF(_1_54128456121462410464578910174[[#This Row],[Type]]&gt;0,VLOOKUP(_1_54128456121462410464578910174[[#This Row],[Type]],Main[[#All],[TYPE]:[UNIT]],'Unit Price'!D$1,FALSE),0)</f>
        <v>0</v>
      </c>
      <c r="I978" s="194">
        <f>IF(_1_54128456121462410464578910174[[#This Row],[Type]]&gt;0,VLOOKUP(_1_54128456121462410464578910174[[#This Row],[Type]],Main[[#All],[TYPE]:[UNIT]],'Unit Price'!G$1,FALSE),0)</f>
        <v>0</v>
      </c>
      <c r="J978" s="194">
        <f>IF(_1_54128456121462410464578910174[[#This Row],[Type]]&gt;0,VLOOKUP(_1_54128456121462410464578910174[[#This Row],[Type]],Main[[#All],[TYPE]:[UNIT]],'Unit Price'!H$1,FALSE),0)</f>
        <v>0</v>
      </c>
      <c r="K978" s="194">
        <f>IF(_1_54128456121462410464578910174[[#This Row],[Discount selection]]&gt;0,VLOOKUP(_1_54128456121462410464578910174[[#This Row],[Discount selection]],'Discount Structure'!$A$2:$B$30,2,"false"),0)</f>
        <v>1</v>
      </c>
      <c r="L978" s="194">
        <f>_1_54128456121462410464578910174[[#This Row],[LIST $]]*_1_54128456121462410464578910174[[#This Row],[DISCOUNT]]*_1_54128456121462410464578910174[[#This Row],[DISCOUNT 2]]</f>
        <v>0</v>
      </c>
      <c r="M978" s="194">
        <f>IF(OR(_1_54128456121462410464578910174[[#This Row],[UNIT]]&gt;0,_1_54128456121462410464578910174[[#This Row],[UNIT]]&lt;0),_1_54128456121462410464578910174[[#This Row],[UNIT]]*_1_54128456121462410464578910174[[#This Row],[COST]],0)</f>
        <v>0</v>
      </c>
      <c r="N978" s="194">
        <f t="shared" si="15"/>
        <v>1.5</v>
      </c>
      <c r="O978" s="198">
        <f>_1_54128456121462410464578910174[[#This Row],[TOTAL]]*_1_54128456121462410464578910174[[#This Row],[MARGIN]]</f>
        <v>0</v>
      </c>
      <c r="P978" s="198"/>
      <c r="R978" s="41"/>
    </row>
    <row r="979" spans="4:18">
      <c r="D979" s="188"/>
      <c r="E979" s="42"/>
      <c r="F979" s="168" t="s">
        <v>6202</v>
      </c>
      <c r="G979" s="193">
        <f>IF(_1_54128456121462410464578910174[[#This Row],[Type]]&gt;0,VLOOKUP(_1_54128456121462410464578910174[[#This Row],[Type]],Main[[#All],[TYPE]:[UNIT]],'Unit Price'!C$1,FALSE),0)</f>
        <v>0</v>
      </c>
      <c r="H979" s="197">
        <f>IF(_1_54128456121462410464578910174[[#This Row],[Type]]&gt;0,VLOOKUP(_1_54128456121462410464578910174[[#This Row],[Type]],Main[[#All],[TYPE]:[UNIT]],'Unit Price'!D$1,FALSE),0)</f>
        <v>0</v>
      </c>
      <c r="I979" s="194">
        <f>IF(_1_54128456121462410464578910174[[#This Row],[Type]]&gt;0,VLOOKUP(_1_54128456121462410464578910174[[#This Row],[Type]],Main[[#All],[TYPE]:[UNIT]],'Unit Price'!G$1,FALSE),0)</f>
        <v>0</v>
      </c>
      <c r="J979" s="194">
        <f>IF(_1_54128456121462410464578910174[[#This Row],[Type]]&gt;0,VLOOKUP(_1_54128456121462410464578910174[[#This Row],[Type]],Main[[#All],[TYPE]:[UNIT]],'Unit Price'!H$1,FALSE),0)</f>
        <v>0</v>
      </c>
      <c r="K979" s="194">
        <f>IF(_1_54128456121462410464578910174[[#This Row],[Discount selection]]&gt;0,VLOOKUP(_1_54128456121462410464578910174[[#This Row],[Discount selection]],'Discount Structure'!$A$2:$B$30,2,"false"),0)</f>
        <v>1</v>
      </c>
      <c r="L979" s="194">
        <f>_1_54128456121462410464578910174[[#This Row],[LIST $]]*_1_54128456121462410464578910174[[#This Row],[DISCOUNT]]*_1_54128456121462410464578910174[[#This Row],[DISCOUNT 2]]</f>
        <v>0</v>
      </c>
      <c r="M979" s="194">
        <f>IF(OR(_1_54128456121462410464578910174[[#This Row],[UNIT]]&gt;0,_1_54128456121462410464578910174[[#This Row],[UNIT]]&lt;0),_1_54128456121462410464578910174[[#This Row],[UNIT]]*_1_54128456121462410464578910174[[#This Row],[COST]],0)</f>
        <v>0</v>
      </c>
      <c r="N979" s="194">
        <f t="shared" si="15"/>
        <v>1.5</v>
      </c>
      <c r="O979" s="198">
        <f>_1_54128456121462410464578910174[[#This Row],[TOTAL]]*_1_54128456121462410464578910174[[#This Row],[MARGIN]]</f>
        <v>0</v>
      </c>
      <c r="P979" s="198"/>
      <c r="R979" s="41"/>
    </row>
    <row r="980" spans="4:18">
      <c r="D980" s="188"/>
      <c r="E980" s="42"/>
      <c r="F980" s="168" t="s">
        <v>6202</v>
      </c>
      <c r="G980" s="193">
        <f>IF(_1_54128456121462410464578910174[[#This Row],[Type]]&gt;0,VLOOKUP(_1_54128456121462410464578910174[[#This Row],[Type]],Main[[#All],[TYPE]:[UNIT]],'Unit Price'!C$1,FALSE),0)</f>
        <v>0</v>
      </c>
      <c r="H980" s="197">
        <f>IF(_1_54128456121462410464578910174[[#This Row],[Type]]&gt;0,VLOOKUP(_1_54128456121462410464578910174[[#This Row],[Type]],Main[[#All],[TYPE]:[UNIT]],'Unit Price'!D$1,FALSE),0)</f>
        <v>0</v>
      </c>
      <c r="I980" s="194">
        <f>IF(_1_54128456121462410464578910174[[#This Row],[Type]]&gt;0,VLOOKUP(_1_54128456121462410464578910174[[#This Row],[Type]],Main[[#All],[TYPE]:[UNIT]],'Unit Price'!G$1,FALSE),0)</f>
        <v>0</v>
      </c>
      <c r="J980" s="194">
        <f>IF(_1_54128456121462410464578910174[[#This Row],[Type]]&gt;0,VLOOKUP(_1_54128456121462410464578910174[[#This Row],[Type]],Main[[#All],[TYPE]:[UNIT]],'Unit Price'!H$1,FALSE),0)</f>
        <v>0</v>
      </c>
      <c r="K980" s="194">
        <f>IF(_1_54128456121462410464578910174[[#This Row],[Discount selection]]&gt;0,VLOOKUP(_1_54128456121462410464578910174[[#This Row],[Discount selection]],'Discount Structure'!$A$2:$B$30,2,"false"),0)</f>
        <v>1</v>
      </c>
      <c r="L980" s="194">
        <f>_1_54128456121462410464578910174[[#This Row],[LIST $]]*_1_54128456121462410464578910174[[#This Row],[DISCOUNT]]*_1_54128456121462410464578910174[[#This Row],[DISCOUNT 2]]</f>
        <v>0</v>
      </c>
      <c r="M980" s="194">
        <f>IF(OR(_1_54128456121462410464578910174[[#This Row],[UNIT]]&gt;0,_1_54128456121462410464578910174[[#This Row],[UNIT]]&lt;0),_1_54128456121462410464578910174[[#This Row],[UNIT]]*_1_54128456121462410464578910174[[#This Row],[COST]],0)</f>
        <v>0</v>
      </c>
      <c r="N980" s="194">
        <f t="shared" si="15"/>
        <v>1.5</v>
      </c>
      <c r="O980" s="198">
        <f>_1_54128456121462410464578910174[[#This Row],[TOTAL]]*_1_54128456121462410464578910174[[#This Row],[MARGIN]]</f>
        <v>0</v>
      </c>
      <c r="P980" s="198"/>
      <c r="R980" s="41"/>
    </row>
    <row r="981" spans="4:18">
      <c r="D981" s="188"/>
      <c r="E981" s="42"/>
      <c r="F981" s="168" t="s">
        <v>6202</v>
      </c>
      <c r="G981" s="193">
        <f>IF(_1_54128456121462410464578910174[[#This Row],[Type]]&gt;0,VLOOKUP(_1_54128456121462410464578910174[[#This Row],[Type]],Main[[#All],[TYPE]:[UNIT]],'Unit Price'!C$1,FALSE),0)</f>
        <v>0</v>
      </c>
      <c r="H981" s="197">
        <f>IF(_1_54128456121462410464578910174[[#This Row],[Type]]&gt;0,VLOOKUP(_1_54128456121462410464578910174[[#This Row],[Type]],Main[[#All],[TYPE]:[UNIT]],'Unit Price'!D$1,FALSE),0)</f>
        <v>0</v>
      </c>
      <c r="I981" s="194">
        <f>IF(_1_54128456121462410464578910174[[#This Row],[Type]]&gt;0,VLOOKUP(_1_54128456121462410464578910174[[#This Row],[Type]],Main[[#All],[TYPE]:[UNIT]],'Unit Price'!G$1,FALSE),0)</f>
        <v>0</v>
      </c>
      <c r="J981" s="194">
        <f>IF(_1_54128456121462410464578910174[[#This Row],[Type]]&gt;0,VLOOKUP(_1_54128456121462410464578910174[[#This Row],[Type]],Main[[#All],[TYPE]:[UNIT]],'Unit Price'!H$1,FALSE),0)</f>
        <v>0</v>
      </c>
      <c r="K981" s="194">
        <f>IF(_1_54128456121462410464578910174[[#This Row],[Discount selection]]&gt;0,VLOOKUP(_1_54128456121462410464578910174[[#This Row],[Discount selection]],'Discount Structure'!$A$2:$B$30,2,"false"),0)</f>
        <v>1</v>
      </c>
      <c r="L981" s="194">
        <f>_1_54128456121462410464578910174[[#This Row],[LIST $]]*_1_54128456121462410464578910174[[#This Row],[DISCOUNT]]*_1_54128456121462410464578910174[[#This Row],[DISCOUNT 2]]</f>
        <v>0</v>
      </c>
      <c r="M981" s="194">
        <f>IF(OR(_1_54128456121462410464578910174[[#This Row],[UNIT]]&gt;0,_1_54128456121462410464578910174[[#This Row],[UNIT]]&lt;0),_1_54128456121462410464578910174[[#This Row],[UNIT]]*_1_54128456121462410464578910174[[#This Row],[COST]],0)</f>
        <v>0</v>
      </c>
      <c r="N981" s="194">
        <f t="shared" si="15"/>
        <v>1.5</v>
      </c>
      <c r="O981" s="198">
        <f>_1_54128456121462410464578910174[[#This Row],[TOTAL]]*_1_54128456121462410464578910174[[#This Row],[MARGIN]]</f>
        <v>0</v>
      </c>
      <c r="P981" s="198"/>
      <c r="R981" s="41"/>
    </row>
    <row r="982" spans="4:18">
      <c r="D982" s="188"/>
      <c r="E982" s="42"/>
      <c r="F982" s="168" t="s">
        <v>6202</v>
      </c>
      <c r="G982" s="193">
        <f>IF(_1_54128456121462410464578910174[[#This Row],[Type]]&gt;0,VLOOKUP(_1_54128456121462410464578910174[[#This Row],[Type]],Main[[#All],[TYPE]:[UNIT]],'Unit Price'!C$1,FALSE),0)</f>
        <v>0</v>
      </c>
      <c r="H982" s="197">
        <f>IF(_1_54128456121462410464578910174[[#This Row],[Type]]&gt;0,VLOOKUP(_1_54128456121462410464578910174[[#This Row],[Type]],Main[[#All],[TYPE]:[UNIT]],'Unit Price'!D$1,FALSE),0)</f>
        <v>0</v>
      </c>
      <c r="I982" s="194">
        <f>IF(_1_54128456121462410464578910174[[#This Row],[Type]]&gt;0,VLOOKUP(_1_54128456121462410464578910174[[#This Row],[Type]],Main[[#All],[TYPE]:[UNIT]],'Unit Price'!G$1,FALSE),0)</f>
        <v>0</v>
      </c>
      <c r="J982" s="194">
        <f>IF(_1_54128456121462410464578910174[[#This Row],[Type]]&gt;0,VLOOKUP(_1_54128456121462410464578910174[[#This Row],[Type]],Main[[#All],[TYPE]:[UNIT]],'Unit Price'!H$1,FALSE),0)</f>
        <v>0</v>
      </c>
      <c r="K982" s="194">
        <f>IF(_1_54128456121462410464578910174[[#This Row],[Discount selection]]&gt;0,VLOOKUP(_1_54128456121462410464578910174[[#This Row],[Discount selection]],'Discount Structure'!$A$2:$B$30,2,"false"),0)</f>
        <v>1</v>
      </c>
      <c r="L982" s="194">
        <f>_1_54128456121462410464578910174[[#This Row],[LIST $]]*_1_54128456121462410464578910174[[#This Row],[DISCOUNT]]*_1_54128456121462410464578910174[[#This Row],[DISCOUNT 2]]</f>
        <v>0</v>
      </c>
      <c r="M982" s="194">
        <f>IF(OR(_1_54128456121462410464578910174[[#This Row],[UNIT]]&gt;0,_1_54128456121462410464578910174[[#This Row],[UNIT]]&lt;0),_1_54128456121462410464578910174[[#This Row],[UNIT]]*_1_54128456121462410464578910174[[#This Row],[COST]],0)</f>
        <v>0</v>
      </c>
      <c r="N982" s="194">
        <f t="shared" si="15"/>
        <v>1.5</v>
      </c>
      <c r="O982" s="198">
        <f>_1_54128456121462410464578910174[[#This Row],[TOTAL]]*_1_54128456121462410464578910174[[#This Row],[MARGIN]]</f>
        <v>0</v>
      </c>
      <c r="P982" s="198"/>
      <c r="R982" s="41"/>
    </row>
    <row r="983" spans="4:18">
      <c r="D983" s="188"/>
      <c r="E983" s="42"/>
      <c r="F983" s="168" t="s">
        <v>6202</v>
      </c>
      <c r="G983" s="193">
        <f>IF(_1_54128456121462410464578910174[[#This Row],[Type]]&gt;0,VLOOKUP(_1_54128456121462410464578910174[[#This Row],[Type]],Main[[#All],[TYPE]:[UNIT]],'Unit Price'!C$1,FALSE),0)</f>
        <v>0</v>
      </c>
      <c r="H983" s="197">
        <f>IF(_1_54128456121462410464578910174[[#This Row],[Type]]&gt;0,VLOOKUP(_1_54128456121462410464578910174[[#This Row],[Type]],Main[[#All],[TYPE]:[UNIT]],'Unit Price'!D$1,FALSE),0)</f>
        <v>0</v>
      </c>
      <c r="I983" s="194">
        <f>IF(_1_54128456121462410464578910174[[#This Row],[Type]]&gt;0,VLOOKUP(_1_54128456121462410464578910174[[#This Row],[Type]],Main[[#All],[TYPE]:[UNIT]],'Unit Price'!G$1,FALSE),0)</f>
        <v>0</v>
      </c>
      <c r="J983" s="194">
        <f>IF(_1_54128456121462410464578910174[[#This Row],[Type]]&gt;0,VLOOKUP(_1_54128456121462410464578910174[[#This Row],[Type]],Main[[#All],[TYPE]:[UNIT]],'Unit Price'!H$1,FALSE),0)</f>
        <v>0</v>
      </c>
      <c r="K983" s="194">
        <f>IF(_1_54128456121462410464578910174[[#This Row],[Discount selection]]&gt;0,VLOOKUP(_1_54128456121462410464578910174[[#This Row],[Discount selection]],'Discount Structure'!$A$2:$B$30,2,"false"),0)</f>
        <v>1</v>
      </c>
      <c r="L983" s="194">
        <f>_1_54128456121462410464578910174[[#This Row],[LIST $]]*_1_54128456121462410464578910174[[#This Row],[DISCOUNT]]*_1_54128456121462410464578910174[[#This Row],[DISCOUNT 2]]</f>
        <v>0</v>
      </c>
      <c r="M983" s="194">
        <f>IF(OR(_1_54128456121462410464578910174[[#This Row],[UNIT]]&gt;0,_1_54128456121462410464578910174[[#This Row],[UNIT]]&lt;0),_1_54128456121462410464578910174[[#This Row],[UNIT]]*_1_54128456121462410464578910174[[#This Row],[COST]],0)</f>
        <v>0</v>
      </c>
      <c r="N983" s="194">
        <f t="shared" si="15"/>
        <v>1.5</v>
      </c>
      <c r="O983" s="198">
        <f>_1_54128456121462410464578910174[[#This Row],[TOTAL]]*_1_54128456121462410464578910174[[#This Row],[MARGIN]]</f>
        <v>0</v>
      </c>
      <c r="P983" s="198"/>
      <c r="R983" s="41"/>
    </row>
    <row r="984" spans="4:18">
      <c r="D984" s="188"/>
      <c r="E984" s="42"/>
      <c r="F984" s="168" t="s">
        <v>6202</v>
      </c>
      <c r="G984" s="193">
        <f>IF(_1_54128456121462410464578910174[[#This Row],[Type]]&gt;0,VLOOKUP(_1_54128456121462410464578910174[[#This Row],[Type]],Main[[#All],[TYPE]:[UNIT]],'Unit Price'!C$1,FALSE),0)</f>
        <v>0</v>
      </c>
      <c r="H984" s="197">
        <f>IF(_1_54128456121462410464578910174[[#This Row],[Type]]&gt;0,VLOOKUP(_1_54128456121462410464578910174[[#This Row],[Type]],Main[[#All],[TYPE]:[UNIT]],'Unit Price'!D$1,FALSE),0)</f>
        <v>0</v>
      </c>
      <c r="I984" s="194">
        <f>IF(_1_54128456121462410464578910174[[#This Row],[Type]]&gt;0,VLOOKUP(_1_54128456121462410464578910174[[#This Row],[Type]],Main[[#All],[TYPE]:[UNIT]],'Unit Price'!G$1,FALSE),0)</f>
        <v>0</v>
      </c>
      <c r="J984" s="194">
        <f>IF(_1_54128456121462410464578910174[[#This Row],[Type]]&gt;0,VLOOKUP(_1_54128456121462410464578910174[[#This Row],[Type]],Main[[#All],[TYPE]:[UNIT]],'Unit Price'!H$1,FALSE),0)</f>
        <v>0</v>
      </c>
      <c r="K984" s="194">
        <f>IF(_1_54128456121462410464578910174[[#This Row],[Discount selection]]&gt;0,VLOOKUP(_1_54128456121462410464578910174[[#This Row],[Discount selection]],'Discount Structure'!$A$2:$B$30,2,"false"),0)</f>
        <v>1</v>
      </c>
      <c r="L984" s="194">
        <f>_1_54128456121462410464578910174[[#This Row],[LIST $]]*_1_54128456121462410464578910174[[#This Row],[DISCOUNT]]*_1_54128456121462410464578910174[[#This Row],[DISCOUNT 2]]</f>
        <v>0</v>
      </c>
      <c r="M984" s="194">
        <f>IF(OR(_1_54128456121462410464578910174[[#This Row],[UNIT]]&gt;0,_1_54128456121462410464578910174[[#This Row],[UNIT]]&lt;0),_1_54128456121462410464578910174[[#This Row],[UNIT]]*_1_54128456121462410464578910174[[#This Row],[COST]],0)</f>
        <v>0</v>
      </c>
      <c r="N984" s="194">
        <f t="shared" si="15"/>
        <v>1.5</v>
      </c>
      <c r="O984" s="198">
        <f>_1_54128456121462410464578910174[[#This Row],[TOTAL]]*_1_54128456121462410464578910174[[#This Row],[MARGIN]]</f>
        <v>0</v>
      </c>
      <c r="P984" s="198"/>
      <c r="R984" s="41"/>
    </row>
    <row r="985" spans="4:18">
      <c r="D985" s="188"/>
      <c r="E985" s="42"/>
      <c r="F985" s="168" t="s">
        <v>6202</v>
      </c>
      <c r="G985" s="193">
        <f>IF(_1_54128456121462410464578910174[[#This Row],[Type]]&gt;0,VLOOKUP(_1_54128456121462410464578910174[[#This Row],[Type]],Main[[#All],[TYPE]:[UNIT]],'Unit Price'!C$1,FALSE),0)</f>
        <v>0</v>
      </c>
      <c r="H985" s="197">
        <f>IF(_1_54128456121462410464578910174[[#This Row],[Type]]&gt;0,VLOOKUP(_1_54128456121462410464578910174[[#This Row],[Type]],Main[[#All],[TYPE]:[UNIT]],'Unit Price'!D$1,FALSE),0)</f>
        <v>0</v>
      </c>
      <c r="I985" s="194">
        <f>IF(_1_54128456121462410464578910174[[#This Row],[Type]]&gt;0,VLOOKUP(_1_54128456121462410464578910174[[#This Row],[Type]],Main[[#All],[TYPE]:[UNIT]],'Unit Price'!G$1,FALSE),0)</f>
        <v>0</v>
      </c>
      <c r="J985" s="194">
        <f>IF(_1_54128456121462410464578910174[[#This Row],[Type]]&gt;0,VLOOKUP(_1_54128456121462410464578910174[[#This Row],[Type]],Main[[#All],[TYPE]:[UNIT]],'Unit Price'!H$1,FALSE),0)</f>
        <v>0</v>
      </c>
      <c r="K985" s="194">
        <f>IF(_1_54128456121462410464578910174[[#This Row],[Discount selection]]&gt;0,VLOOKUP(_1_54128456121462410464578910174[[#This Row],[Discount selection]],'Discount Structure'!$A$2:$B$30,2,"false"),0)</f>
        <v>1</v>
      </c>
      <c r="L985" s="194">
        <f>_1_54128456121462410464578910174[[#This Row],[LIST $]]*_1_54128456121462410464578910174[[#This Row],[DISCOUNT]]*_1_54128456121462410464578910174[[#This Row],[DISCOUNT 2]]</f>
        <v>0</v>
      </c>
      <c r="M985" s="194">
        <f>IF(OR(_1_54128456121462410464578910174[[#This Row],[UNIT]]&gt;0,_1_54128456121462410464578910174[[#This Row],[UNIT]]&lt;0),_1_54128456121462410464578910174[[#This Row],[UNIT]]*_1_54128456121462410464578910174[[#This Row],[COST]],0)</f>
        <v>0</v>
      </c>
      <c r="N985" s="194">
        <f t="shared" si="15"/>
        <v>1.5</v>
      </c>
      <c r="O985" s="198">
        <f>_1_54128456121462410464578910174[[#This Row],[TOTAL]]*_1_54128456121462410464578910174[[#This Row],[MARGIN]]</f>
        <v>0</v>
      </c>
      <c r="P985" s="198"/>
      <c r="R985" s="41"/>
    </row>
    <row r="986" spans="4:18">
      <c r="D986" s="188"/>
      <c r="E986" s="42"/>
      <c r="F986" s="168" t="s">
        <v>6202</v>
      </c>
      <c r="G986" s="193">
        <f>IF(_1_54128456121462410464578910174[[#This Row],[Type]]&gt;0,VLOOKUP(_1_54128456121462410464578910174[[#This Row],[Type]],Main[[#All],[TYPE]:[UNIT]],'Unit Price'!C$1,FALSE),0)</f>
        <v>0</v>
      </c>
      <c r="H986" s="197">
        <f>IF(_1_54128456121462410464578910174[[#This Row],[Type]]&gt;0,VLOOKUP(_1_54128456121462410464578910174[[#This Row],[Type]],Main[[#All],[TYPE]:[UNIT]],'Unit Price'!D$1,FALSE),0)</f>
        <v>0</v>
      </c>
      <c r="I986" s="194">
        <f>IF(_1_54128456121462410464578910174[[#This Row],[Type]]&gt;0,VLOOKUP(_1_54128456121462410464578910174[[#This Row],[Type]],Main[[#All],[TYPE]:[UNIT]],'Unit Price'!G$1,FALSE),0)</f>
        <v>0</v>
      </c>
      <c r="J986" s="194">
        <f>IF(_1_54128456121462410464578910174[[#This Row],[Type]]&gt;0,VLOOKUP(_1_54128456121462410464578910174[[#This Row],[Type]],Main[[#All],[TYPE]:[UNIT]],'Unit Price'!H$1,FALSE),0)</f>
        <v>0</v>
      </c>
      <c r="K986" s="194">
        <f>IF(_1_54128456121462410464578910174[[#This Row],[Discount selection]]&gt;0,VLOOKUP(_1_54128456121462410464578910174[[#This Row],[Discount selection]],'Discount Structure'!$A$2:$B$30,2,"false"),0)</f>
        <v>1</v>
      </c>
      <c r="L986" s="194">
        <f>_1_54128456121462410464578910174[[#This Row],[LIST $]]*_1_54128456121462410464578910174[[#This Row],[DISCOUNT]]*_1_54128456121462410464578910174[[#This Row],[DISCOUNT 2]]</f>
        <v>0</v>
      </c>
      <c r="M986" s="194">
        <f>IF(OR(_1_54128456121462410464578910174[[#This Row],[UNIT]]&gt;0,_1_54128456121462410464578910174[[#This Row],[UNIT]]&lt;0),_1_54128456121462410464578910174[[#This Row],[UNIT]]*_1_54128456121462410464578910174[[#This Row],[COST]],0)</f>
        <v>0</v>
      </c>
      <c r="N986" s="194">
        <f t="shared" si="15"/>
        <v>1.5</v>
      </c>
      <c r="O986" s="198">
        <f>_1_54128456121462410464578910174[[#This Row],[TOTAL]]*_1_54128456121462410464578910174[[#This Row],[MARGIN]]</f>
        <v>0</v>
      </c>
      <c r="P986" s="198"/>
      <c r="R986" s="41"/>
    </row>
    <row r="987" spans="4:18">
      <c r="D987" s="188"/>
      <c r="E987" s="42"/>
      <c r="F987" s="168" t="s">
        <v>6202</v>
      </c>
      <c r="G987" s="193">
        <f>IF(_1_54128456121462410464578910174[[#This Row],[Type]]&gt;0,VLOOKUP(_1_54128456121462410464578910174[[#This Row],[Type]],Main[[#All],[TYPE]:[UNIT]],'Unit Price'!C$1,FALSE),0)</f>
        <v>0</v>
      </c>
      <c r="H987" s="197">
        <f>IF(_1_54128456121462410464578910174[[#This Row],[Type]]&gt;0,VLOOKUP(_1_54128456121462410464578910174[[#This Row],[Type]],Main[[#All],[TYPE]:[UNIT]],'Unit Price'!D$1,FALSE),0)</f>
        <v>0</v>
      </c>
      <c r="I987" s="194">
        <f>IF(_1_54128456121462410464578910174[[#This Row],[Type]]&gt;0,VLOOKUP(_1_54128456121462410464578910174[[#This Row],[Type]],Main[[#All],[TYPE]:[UNIT]],'Unit Price'!G$1,FALSE),0)</f>
        <v>0</v>
      </c>
      <c r="J987" s="194">
        <f>IF(_1_54128456121462410464578910174[[#This Row],[Type]]&gt;0,VLOOKUP(_1_54128456121462410464578910174[[#This Row],[Type]],Main[[#All],[TYPE]:[UNIT]],'Unit Price'!H$1,FALSE),0)</f>
        <v>0</v>
      </c>
      <c r="K987" s="194">
        <f>IF(_1_54128456121462410464578910174[[#This Row],[Discount selection]]&gt;0,VLOOKUP(_1_54128456121462410464578910174[[#This Row],[Discount selection]],'Discount Structure'!$A$2:$B$30,2,"false"),0)</f>
        <v>1</v>
      </c>
      <c r="L987" s="194">
        <f>_1_54128456121462410464578910174[[#This Row],[LIST $]]*_1_54128456121462410464578910174[[#This Row],[DISCOUNT]]*_1_54128456121462410464578910174[[#This Row],[DISCOUNT 2]]</f>
        <v>0</v>
      </c>
      <c r="M987" s="194">
        <f>IF(OR(_1_54128456121462410464578910174[[#This Row],[UNIT]]&gt;0,_1_54128456121462410464578910174[[#This Row],[UNIT]]&lt;0),_1_54128456121462410464578910174[[#This Row],[UNIT]]*_1_54128456121462410464578910174[[#This Row],[COST]],0)</f>
        <v>0</v>
      </c>
      <c r="N987" s="194">
        <f t="shared" si="15"/>
        <v>1.5</v>
      </c>
      <c r="O987" s="198">
        <f>_1_54128456121462410464578910174[[#This Row],[TOTAL]]*_1_54128456121462410464578910174[[#This Row],[MARGIN]]</f>
        <v>0</v>
      </c>
      <c r="P987" s="198"/>
      <c r="R987" s="41"/>
    </row>
    <row r="988" spans="4:18">
      <c r="D988" s="188"/>
      <c r="E988" s="42"/>
      <c r="F988" s="168" t="s">
        <v>6202</v>
      </c>
      <c r="G988" s="193">
        <f>IF(_1_54128456121462410464578910174[[#This Row],[Type]]&gt;0,VLOOKUP(_1_54128456121462410464578910174[[#This Row],[Type]],Main[[#All],[TYPE]:[UNIT]],'Unit Price'!C$1,FALSE),0)</f>
        <v>0</v>
      </c>
      <c r="H988" s="197">
        <f>IF(_1_54128456121462410464578910174[[#This Row],[Type]]&gt;0,VLOOKUP(_1_54128456121462410464578910174[[#This Row],[Type]],Main[[#All],[TYPE]:[UNIT]],'Unit Price'!D$1,FALSE),0)</f>
        <v>0</v>
      </c>
      <c r="I988" s="194">
        <f>IF(_1_54128456121462410464578910174[[#This Row],[Type]]&gt;0,VLOOKUP(_1_54128456121462410464578910174[[#This Row],[Type]],Main[[#All],[TYPE]:[UNIT]],'Unit Price'!G$1,FALSE),0)</f>
        <v>0</v>
      </c>
      <c r="J988" s="194">
        <f>IF(_1_54128456121462410464578910174[[#This Row],[Type]]&gt;0,VLOOKUP(_1_54128456121462410464578910174[[#This Row],[Type]],Main[[#All],[TYPE]:[UNIT]],'Unit Price'!H$1,FALSE),0)</f>
        <v>0</v>
      </c>
      <c r="K988" s="194">
        <f>IF(_1_54128456121462410464578910174[[#This Row],[Discount selection]]&gt;0,VLOOKUP(_1_54128456121462410464578910174[[#This Row],[Discount selection]],'Discount Structure'!$A$2:$B$30,2,"false"),0)</f>
        <v>1</v>
      </c>
      <c r="L988" s="194">
        <f>_1_54128456121462410464578910174[[#This Row],[LIST $]]*_1_54128456121462410464578910174[[#This Row],[DISCOUNT]]*_1_54128456121462410464578910174[[#This Row],[DISCOUNT 2]]</f>
        <v>0</v>
      </c>
      <c r="M988" s="194">
        <f>IF(OR(_1_54128456121462410464578910174[[#This Row],[UNIT]]&gt;0,_1_54128456121462410464578910174[[#This Row],[UNIT]]&lt;0),_1_54128456121462410464578910174[[#This Row],[UNIT]]*_1_54128456121462410464578910174[[#This Row],[COST]],0)</f>
        <v>0</v>
      </c>
      <c r="N988" s="194">
        <f t="shared" si="15"/>
        <v>1.5</v>
      </c>
      <c r="O988" s="198">
        <f>_1_54128456121462410464578910174[[#This Row],[TOTAL]]*_1_54128456121462410464578910174[[#This Row],[MARGIN]]</f>
        <v>0</v>
      </c>
      <c r="P988" s="198"/>
      <c r="R988" s="41"/>
    </row>
    <row r="989" spans="4:18">
      <c r="D989" s="188"/>
      <c r="E989" s="42"/>
      <c r="F989" s="168" t="s">
        <v>6202</v>
      </c>
      <c r="G989" s="193">
        <f>IF(_1_54128456121462410464578910174[[#This Row],[Type]]&gt;0,VLOOKUP(_1_54128456121462410464578910174[[#This Row],[Type]],Main[[#All],[TYPE]:[UNIT]],'Unit Price'!C$1,FALSE),0)</f>
        <v>0</v>
      </c>
      <c r="H989" s="197">
        <f>IF(_1_54128456121462410464578910174[[#This Row],[Type]]&gt;0,VLOOKUP(_1_54128456121462410464578910174[[#This Row],[Type]],Main[[#All],[TYPE]:[UNIT]],'Unit Price'!D$1,FALSE),0)</f>
        <v>0</v>
      </c>
      <c r="I989" s="194">
        <f>IF(_1_54128456121462410464578910174[[#This Row],[Type]]&gt;0,VLOOKUP(_1_54128456121462410464578910174[[#This Row],[Type]],Main[[#All],[TYPE]:[UNIT]],'Unit Price'!G$1,FALSE),0)</f>
        <v>0</v>
      </c>
      <c r="J989" s="194">
        <f>IF(_1_54128456121462410464578910174[[#This Row],[Type]]&gt;0,VLOOKUP(_1_54128456121462410464578910174[[#This Row],[Type]],Main[[#All],[TYPE]:[UNIT]],'Unit Price'!H$1,FALSE),0)</f>
        <v>0</v>
      </c>
      <c r="K989" s="194">
        <f>IF(_1_54128456121462410464578910174[[#This Row],[Discount selection]]&gt;0,VLOOKUP(_1_54128456121462410464578910174[[#This Row],[Discount selection]],'Discount Structure'!$A$2:$B$30,2,"false"),0)</f>
        <v>1</v>
      </c>
      <c r="L989" s="194">
        <f>_1_54128456121462410464578910174[[#This Row],[LIST $]]*_1_54128456121462410464578910174[[#This Row],[DISCOUNT]]*_1_54128456121462410464578910174[[#This Row],[DISCOUNT 2]]</f>
        <v>0</v>
      </c>
      <c r="M989" s="194">
        <f>IF(OR(_1_54128456121462410464578910174[[#This Row],[UNIT]]&gt;0,_1_54128456121462410464578910174[[#This Row],[UNIT]]&lt;0),_1_54128456121462410464578910174[[#This Row],[UNIT]]*_1_54128456121462410464578910174[[#This Row],[COST]],0)</f>
        <v>0</v>
      </c>
      <c r="N989" s="194">
        <f t="shared" si="15"/>
        <v>1.5</v>
      </c>
      <c r="O989" s="198">
        <f>_1_54128456121462410464578910174[[#This Row],[TOTAL]]*_1_54128456121462410464578910174[[#This Row],[MARGIN]]</f>
        <v>0</v>
      </c>
      <c r="P989" s="198"/>
      <c r="R989" s="41"/>
    </row>
    <row r="990" spans="4:18">
      <c r="D990" s="188"/>
      <c r="E990" s="42"/>
      <c r="F990" s="168" t="s">
        <v>6202</v>
      </c>
      <c r="G990" s="193">
        <f>IF(_1_54128456121462410464578910174[[#This Row],[Type]]&gt;0,VLOOKUP(_1_54128456121462410464578910174[[#This Row],[Type]],Main[[#All],[TYPE]:[UNIT]],'Unit Price'!C$1,FALSE),0)</f>
        <v>0</v>
      </c>
      <c r="H990" s="197">
        <f>IF(_1_54128456121462410464578910174[[#This Row],[Type]]&gt;0,VLOOKUP(_1_54128456121462410464578910174[[#This Row],[Type]],Main[[#All],[TYPE]:[UNIT]],'Unit Price'!D$1,FALSE),0)</f>
        <v>0</v>
      </c>
      <c r="I990" s="194">
        <f>IF(_1_54128456121462410464578910174[[#This Row],[Type]]&gt;0,VLOOKUP(_1_54128456121462410464578910174[[#This Row],[Type]],Main[[#All],[TYPE]:[UNIT]],'Unit Price'!G$1,FALSE),0)</f>
        <v>0</v>
      </c>
      <c r="J990" s="194">
        <f>IF(_1_54128456121462410464578910174[[#This Row],[Type]]&gt;0,VLOOKUP(_1_54128456121462410464578910174[[#This Row],[Type]],Main[[#All],[TYPE]:[UNIT]],'Unit Price'!H$1,FALSE),0)</f>
        <v>0</v>
      </c>
      <c r="K990" s="194">
        <f>IF(_1_54128456121462410464578910174[[#This Row],[Discount selection]]&gt;0,VLOOKUP(_1_54128456121462410464578910174[[#This Row],[Discount selection]],'Discount Structure'!$A$2:$B$30,2,"false"),0)</f>
        <v>1</v>
      </c>
      <c r="L990" s="194">
        <f>_1_54128456121462410464578910174[[#This Row],[LIST $]]*_1_54128456121462410464578910174[[#This Row],[DISCOUNT]]*_1_54128456121462410464578910174[[#This Row],[DISCOUNT 2]]</f>
        <v>0</v>
      </c>
      <c r="M990" s="194">
        <f>IF(OR(_1_54128456121462410464578910174[[#This Row],[UNIT]]&gt;0,_1_54128456121462410464578910174[[#This Row],[UNIT]]&lt;0),_1_54128456121462410464578910174[[#This Row],[UNIT]]*_1_54128456121462410464578910174[[#This Row],[COST]],0)</f>
        <v>0</v>
      </c>
      <c r="N990" s="194">
        <f t="shared" si="15"/>
        <v>1.5</v>
      </c>
      <c r="O990" s="198">
        <f>_1_54128456121462410464578910174[[#This Row],[TOTAL]]*_1_54128456121462410464578910174[[#This Row],[MARGIN]]</f>
        <v>0</v>
      </c>
      <c r="P990" s="198"/>
      <c r="R990" s="41"/>
    </row>
    <row r="991" spans="4:18">
      <c r="D991" s="188"/>
      <c r="E991" s="42"/>
      <c r="F991" s="168" t="s">
        <v>6202</v>
      </c>
      <c r="G991" s="193">
        <f>IF(_1_54128456121462410464578910174[[#This Row],[Type]]&gt;0,VLOOKUP(_1_54128456121462410464578910174[[#This Row],[Type]],Main[[#All],[TYPE]:[UNIT]],'Unit Price'!C$1,FALSE),0)</f>
        <v>0</v>
      </c>
      <c r="H991" s="197">
        <f>IF(_1_54128456121462410464578910174[[#This Row],[Type]]&gt;0,VLOOKUP(_1_54128456121462410464578910174[[#This Row],[Type]],Main[[#All],[TYPE]:[UNIT]],'Unit Price'!D$1,FALSE),0)</f>
        <v>0</v>
      </c>
      <c r="I991" s="194">
        <f>IF(_1_54128456121462410464578910174[[#This Row],[Type]]&gt;0,VLOOKUP(_1_54128456121462410464578910174[[#This Row],[Type]],Main[[#All],[TYPE]:[UNIT]],'Unit Price'!G$1,FALSE),0)</f>
        <v>0</v>
      </c>
      <c r="J991" s="194">
        <f>IF(_1_54128456121462410464578910174[[#This Row],[Type]]&gt;0,VLOOKUP(_1_54128456121462410464578910174[[#This Row],[Type]],Main[[#All],[TYPE]:[UNIT]],'Unit Price'!H$1,FALSE),0)</f>
        <v>0</v>
      </c>
      <c r="K991" s="194">
        <f>IF(_1_54128456121462410464578910174[[#This Row],[Discount selection]]&gt;0,VLOOKUP(_1_54128456121462410464578910174[[#This Row],[Discount selection]],'Discount Structure'!$A$2:$B$30,2,"false"),0)</f>
        <v>1</v>
      </c>
      <c r="L991" s="194">
        <f>_1_54128456121462410464578910174[[#This Row],[LIST $]]*_1_54128456121462410464578910174[[#This Row],[DISCOUNT]]*_1_54128456121462410464578910174[[#This Row],[DISCOUNT 2]]</f>
        <v>0</v>
      </c>
      <c r="M991" s="194">
        <f>IF(OR(_1_54128456121462410464578910174[[#This Row],[UNIT]]&gt;0,_1_54128456121462410464578910174[[#This Row],[UNIT]]&lt;0),_1_54128456121462410464578910174[[#This Row],[UNIT]]*_1_54128456121462410464578910174[[#This Row],[COST]],0)</f>
        <v>0</v>
      </c>
      <c r="N991" s="194">
        <f t="shared" si="15"/>
        <v>1.5</v>
      </c>
      <c r="O991" s="198">
        <f>_1_54128456121462410464578910174[[#This Row],[TOTAL]]*_1_54128456121462410464578910174[[#This Row],[MARGIN]]</f>
        <v>0</v>
      </c>
      <c r="P991" s="198"/>
      <c r="R991" s="41"/>
    </row>
    <row r="992" spans="4:18">
      <c r="D992" s="188"/>
      <c r="E992" s="42"/>
      <c r="F992" s="168" t="s">
        <v>6202</v>
      </c>
      <c r="G992" s="193">
        <f>IF(_1_54128456121462410464578910174[[#This Row],[Type]]&gt;0,VLOOKUP(_1_54128456121462410464578910174[[#This Row],[Type]],Main[[#All],[TYPE]:[UNIT]],'Unit Price'!C$1,FALSE),0)</f>
        <v>0</v>
      </c>
      <c r="H992" s="197">
        <f>IF(_1_54128456121462410464578910174[[#This Row],[Type]]&gt;0,VLOOKUP(_1_54128456121462410464578910174[[#This Row],[Type]],Main[[#All],[TYPE]:[UNIT]],'Unit Price'!D$1,FALSE),0)</f>
        <v>0</v>
      </c>
      <c r="I992" s="194">
        <f>IF(_1_54128456121462410464578910174[[#This Row],[Type]]&gt;0,VLOOKUP(_1_54128456121462410464578910174[[#This Row],[Type]],Main[[#All],[TYPE]:[UNIT]],'Unit Price'!G$1,FALSE),0)</f>
        <v>0</v>
      </c>
      <c r="J992" s="194">
        <f>IF(_1_54128456121462410464578910174[[#This Row],[Type]]&gt;0,VLOOKUP(_1_54128456121462410464578910174[[#This Row],[Type]],Main[[#All],[TYPE]:[UNIT]],'Unit Price'!H$1,FALSE),0)</f>
        <v>0</v>
      </c>
      <c r="K992" s="194">
        <f>IF(_1_54128456121462410464578910174[[#This Row],[Discount selection]]&gt;0,VLOOKUP(_1_54128456121462410464578910174[[#This Row],[Discount selection]],'Discount Structure'!$A$2:$B$30,2,"false"),0)</f>
        <v>1</v>
      </c>
      <c r="L992" s="194">
        <f>_1_54128456121462410464578910174[[#This Row],[LIST $]]*_1_54128456121462410464578910174[[#This Row],[DISCOUNT]]*_1_54128456121462410464578910174[[#This Row],[DISCOUNT 2]]</f>
        <v>0</v>
      </c>
      <c r="M992" s="194">
        <f>IF(OR(_1_54128456121462410464578910174[[#This Row],[UNIT]]&gt;0,_1_54128456121462410464578910174[[#This Row],[UNIT]]&lt;0),_1_54128456121462410464578910174[[#This Row],[UNIT]]*_1_54128456121462410464578910174[[#This Row],[COST]],0)</f>
        <v>0</v>
      </c>
      <c r="N992" s="194">
        <f t="shared" si="15"/>
        <v>1.5</v>
      </c>
      <c r="O992" s="198">
        <f>_1_54128456121462410464578910174[[#This Row],[TOTAL]]*_1_54128456121462410464578910174[[#This Row],[MARGIN]]</f>
        <v>0</v>
      </c>
      <c r="P992" s="198"/>
      <c r="R992" s="41"/>
    </row>
    <row r="993" spans="4:18">
      <c r="D993" s="188"/>
      <c r="E993" s="42"/>
      <c r="F993" s="168" t="s">
        <v>6202</v>
      </c>
      <c r="G993" s="193">
        <f>IF(_1_54128456121462410464578910174[[#This Row],[Type]]&gt;0,VLOOKUP(_1_54128456121462410464578910174[[#This Row],[Type]],Main[[#All],[TYPE]:[UNIT]],'Unit Price'!C$1,FALSE),0)</f>
        <v>0</v>
      </c>
      <c r="H993" s="197">
        <f>IF(_1_54128456121462410464578910174[[#This Row],[Type]]&gt;0,VLOOKUP(_1_54128456121462410464578910174[[#This Row],[Type]],Main[[#All],[TYPE]:[UNIT]],'Unit Price'!D$1,FALSE),0)</f>
        <v>0</v>
      </c>
      <c r="I993" s="194">
        <f>IF(_1_54128456121462410464578910174[[#This Row],[Type]]&gt;0,VLOOKUP(_1_54128456121462410464578910174[[#This Row],[Type]],Main[[#All],[TYPE]:[UNIT]],'Unit Price'!G$1,FALSE),0)</f>
        <v>0</v>
      </c>
      <c r="J993" s="194">
        <f>IF(_1_54128456121462410464578910174[[#This Row],[Type]]&gt;0,VLOOKUP(_1_54128456121462410464578910174[[#This Row],[Type]],Main[[#All],[TYPE]:[UNIT]],'Unit Price'!H$1,FALSE),0)</f>
        <v>0</v>
      </c>
      <c r="K993" s="194">
        <f>IF(_1_54128456121462410464578910174[[#This Row],[Discount selection]]&gt;0,VLOOKUP(_1_54128456121462410464578910174[[#This Row],[Discount selection]],'Discount Structure'!$A$2:$B$30,2,"false"),0)</f>
        <v>1</v>
      </c>
      <c r="L993" s="194">
        <f>_1_54128456121462410464578910174[[#This Row],[LIST $]]*_1_54128456121462410464578910174[[#This Row],[DISCOUNT]]*_1_54128456121462410464578910174[[#This Row],[DISCOUNT 2]]</f>
        <v>0</v>
      </c>
      <c r="M993" s="194">
        <f>IF(OR(_1_54128456121462410464578910174[[#This Row],[UNIT]]&gt;0,_1_54128456121462410464578910174[[#This Row],[UNIT]]&lt;0),_1_54128456121462410464578910174[[#This Row],[UNIT]]*_1_54128456121462410464578910174[[#This Row],[COST]],0)</f>
        <v>0</v>
      </c>
      <c r="N993" s="194">
        <f t="shared" si="15"/>
        <v>1.5</v>
      </c>
      <c r="O993" s="198">
        <f>_1_54128456121462410464578910174[[#This Row],[TOTAL]]*_1_54128456121462410464578910174[[#This Row],[MARGIN]]</f>
        <v>0</v>
      </c>
      <c r="P993" s="198"/>
      <c r="R993" s="41"/>
    </row>
    <row r="994" spans="4:18">
      <c r="D994" s="188"/>
      <c r="E994" s="42"/>
      <c r="F994" s="168" t="s">
        <v>6202</v>
      </c>
      <c r="G994" s="193">
        <f>IF(_1_54128456121462410464578910174[[#This Row],[Type]]&gt;0,VLOOKUP(_1_54128456121462410464578910174[[#This Row],[Type]],Main[[#All],[TYPE]:[UNIT]],'Unit Price'!C$1,FALSE),0)</f>
        <v>0</v>
      </c>
      <c r="H994" s="197">
        <f>IF(_1_54128456121462410464578910174[[#This Row],[Type]]&gt;0,VLOOKUP(_1_54128456121462410464578910174[[#This Row],[Type]],Main[[#All],[TYPE]:[UNIT]],'Unit Price'!D$1,FALSE),0)</f>
        <v>0</v>
      </c>
      <c r="I994" s="194">
        <f>IF(_1_54128456121462410464578910174[[#This Row],[Type]]&gt;0,VLOOKUP(_1_54128456121462410464578910174[[#This Row],[Type]],Main[[#All],[TYPE]:[UNIT]],'Unit Price'!G$1,FALSE),0)</f>
        <v>0</v>
      </c>
      <c r="J994" s="194">
        <f>IF(_1_54128456121462410464578910174[[#This Row],[Type]]&gt;0,VLOOKUP(_1_54128456121462410464578910174[[#This Row],[Type]],Main[[#All],[TYPE]:[UNIT]],'Unit Price'!H$1,FALSE),0)</f>
        <v>0</v>
      </c>
      <c r="K994" s="194">
        <f>IF(_1_54128456121462410464578910174[[#This Row],[Discount selection]]&gt;0,VLOOKUP(_1_54128456121462410464578910174[[#This Row],[Discount selection]],'Discount Structure'!$A$2:$B$30,2,"false"),0)</f>
        <v>1</v>
      </c>
      <c r="L994" s="194">
        <f>_1_54128456121462410464578910174[[#This Row],[LIST $]]*_1_54128456121462410464578910174[[#This Row],[DISCOUNT]]*_1_54128456121462410464578910174[[#This Row],[DISCOUNT 2]]</f>
        <v>0</v>
      </c>
      <c r="M994" s="194">
        <f>IF(OR(_1_54128456121462410464578910174[[#This Row],[UNIT]]&gt;0,_1_54128456121462410464578910174[[#This Row],[UNIT]]&lt;0),_1_54128456121462410464578910174[[#This Row],[UNIT]]*_1_54128456121462410464578910174[[#This Row],[COST]],0)</f>
        <v>0</v>
      </c>
      <c r="N994" s="194">
        <f t="shared" si="15"/>
        <v>1.5</v>
      </c>
      <c r="O994" s="198">
        <f>_1_54128456121462410464578910174[[#This Row],[TOTAL]]*_1_54128456121462410464578910174[[#This Row],[MARGIN]]</f>
        <v>0</v>
      </c>
      <c r="P994" s="198"/>
      <c r="R994" s="41"/>
    </row>
    <row r="995" spans="4:18">
      <c r="D995" s="188"/>
      <c r="E995" s="42"/>
      <c r="F995" s="168" t="s">
        <v>6202</v>
      </c>
      <c r="G995" s="193">
        <f>IF(_1_54128456121462410464578910174[[#This Row],[Type]]&gt;0,VLOOKUP(_1_54128456121462410464578910174[[#This Row],[Type]],Main[[#All],[TYPE]:[UNIT]],'Unit Price'!C$1,FALSE),0)</f>
        <v>0</v>
      </c>
      <c r="H995" s="197">
        <f>IF(_1_54128456121462410464578910174[[#This Row],[Type]]&gt;0,VLOOKUP(_1_54128456121462410464578910174[[#This Row],[Type]],Main[[#All],[TYPE]:[UNIT]],'Unit Price'!D$1,FALSE),0)</f>
        <v>0</v>
      </c>
      <c r="I995" s="194">
        <f>IF(_1_54128456121462410464578910174[[#This Row],[Type]]&gt;0,VLOOKUP(_1_54128456121462410464578910174[[#This Row],[Type]],Main[[#All],[TYPE]:[UNIT]],'Unit Price'!G$1,FALSE),0)</f>
        <v>0</v>
      </c>
      <c r="J995" s="194">
        <f>IF(_1_54128456121462410464578910174[[#This Row],[Type]]&gt;0,VLOOKUP(_1_54128456121462410464578910174[[#This Row],[Type]],Main[[#All],[TYPE]:[UNIT]],'Unit Price'!H$1,FALSE),0)</f>
        <v>0</v>
      </c>
      <c r="K995" s="194">
        <f>IF(_1_54128456121462410464578910174[[#This Row],[Discount selection]]&gt;0,VLOOKUP(_1_54128456121462410464578910174[[#This Row],[Discount selection]],'Discount Structure'!$A$2:$B$30,2,"false"),0)</f>
        <v>1</v>
      </c>
      <c r="L995" s="194">
        <f>_1_54128456121462410464578910174[[#This Row],[LIST $]]*_1_54128456121462410464578910174[[#This Row],[DISCOUNT]]*_1_54128456121462410464578910174[[#This Row],[DISCOUNT 2]]</f>
        <v>0</v>
      </c>
      <c r="M995" s="194">
        <f>IF(OR(_1_54128456121462410464578910174[[#This Row],[UNIT]]&gt;0,_1_54128456121462410464578910174[[#This Row],[UNIT]]&lt;0),_1_54128456121462410464578910174[[#This Row],[UNIT]]*_1_54128456121462410464578910174[[#This Row],[COST]],0)</f>
        <v>0</v>
      </c>
      <c r="N995" s="194">
        <f t="shared" si="15"/>
        <v>1.5</v>
      </c>
      <c r="O995" s="198">
        <f>_1_54128456121462410464578910174[[#This Row],[TOTAL]]*_1_54128456121462410464578910174[[#This Row],[MARGIN]]</f>
        <v>0</v>
      </c>
      <c r="P995" s="198"/>
      <c r="R995" s="41"/>
    </row>
    <row r="996" spans="4:18">
      <c r="D996" s="188"/>
      <c r="E996" s="42"/>
      <c r="F996" s="168" t="s">
        <v>6202</v>
      </c>
      <c r="G996" s="193">
        <f>IF(_1_54128456121462410464578910174[[#This Row],[Type]]&gt;0,VLOOKUP(_1_54128456121462410464578910174[[#This Row],[Type]],Main[[#All],[TYPE]:[UNIT]],'Unit Price'!C$1,FALSE),0)</f>
        <v>0</v>
      </c>
      <c r="H996" s="197">
        <f>IF(_1_54128456121462410464578910174[[#This Row],[Type]]&gt;0,VLOOKUP(_1_54128456121462410464578910174[[#This Row],[Type]],Main[[#All],[TYPE]:[UNIT]],'Unit Price'!D$1,FALSE),0)</f>
        <v>0</v>
      </c>
      <c r="I996" s="194">
        <f>IF(_1_54128456121462410464578910174[[#This Row],[Type]]&gt;0,VLOOKUP(_1_54128456121462410464578910174[[#This Row],[Type]],Main[[#All],[TYPE]:[UNIT]],'Unit Price'!G$1,FALSE),0)</f>
        <v>0</v>
      </c>
      <c r="J996" s="194">
        <f>IF(_1_54128456121462410464578910174[[#This Row],[Type]]&gt;0,VLOOKUP(_1_54128456121462410464578910174[[#This Row],[Type]],Main[[#All],[TYPE]:[UNIT]],'Unit Price'!H$1,FALSE),0)</f>
        <v>0</v>
      </c>
      <c r="K996" s="194">
        <f>IF(_1_54128456121462410464578910174[[#This Row],[Discount selection]]&gt;0,VLOOKUP(_1_54128456121462410464578910174[[#This Row],[Discount selection]],'Discount Structure'!$A$2:$B$30,2,"false"),0)</f>
        <v>1</v>
      </c>
      <c r="L996" s="194">
        <f>_1_54128456121462410464578910174[[#This Row],[LIST $]]*_1_54128456121462410464578910174[[#This Row],[DISCOUNT]]*_1_54128456121462410464578910174[[#This Row],[DISCOUNT 2]]</f>
        <v>0</v>
      </c>
      <c r="M996" s="194">
        <f>IF(OR(_1_54128456121462410464578910174[[#This Row],[UNIT]]&gt;0,_1_54128456121462410464578910174[[#This Row],[UNIT]]&lt;0),_1_54128456121462410464578910174[[#This Row],[UNIT]]*_1_54128456121462410464578910174[[#This Row],[COST]],0)</f>
        <v>0</v>
      </c>
      <c r="N996" s="194">
        <f t="shared" si="15"/>
        <v>1.5</v>
      </c>
      <c r="O996" s="198">
        <f>_1_54128456121462410464578910174[[#This Row],[TOTAL]]*_1_54128456121462410464578910174[[#This Row],[MARGIN]]</f>
        <v>0</v>
      </c>
      <c r="P996" s="198"/>
      <c r="R996" s="41"/>
    </row>
    <row r="997" spans="4:18">
      <c r="D997" s="188"/>
      <c r="E997" s="42"/>
      <c r="F997" s="168" t="s">
        <v>6202</v>
      </c>
      <c r="G997" s="193">
        <f>IF(_1_54128456121462410464578910174[[#This Row],[Type]]&gt;0,VLOOKUP(_1_54128456121462410464578910174[[#This Row],[Type]],Main[[#All],[TYPE]:[UNIT]],'Unit Price'!C$1,FALSE),0)</f>
        <v>0</v>
      </c>
      <c r="H997" s="197">
        <f>IF(_1_54128456121462410464578910174[[#This Row],[Type]]&gt;0,VLOOKUP(_1_54128456121462410464578910174[[#This Row],[Type]],Main[[#All],[TYPE]:[UNIT]],'Unit Price'!D$1,FALSE),0)</f>
        <v>0</v>
      </c>
      <c r="I997" s="194">
        <f>IF(_1_54128456121462410464578910174[[#This Row],[Type]]&gt;0,VLOOKUP(_1_54128456121462410464578910174[[#This Row],[Type]],Main[[#All],[TYPE]:[UNIT]],'Unit Price'!G$1,FALSE),0)</f>
        <v>0</v>
      </c>
      <c r="J997" s="194">
        <f>IF(_1_54128456121462410464578910174[[#This Row],[Type]]&gt;0,VLOOKUP(_1_54128456121462410464578910174[[#This Row],[Type]],Main[[#All],[TYPE]:[UNIT]],'Unit Price'!H$1,FALSE),0)</f>
        <v>0</v>
      </c>
      <c r="K997" s="194">
        <f>IF(_1_54128456121462410464578910174[[#This Row],[Discount selection]]&gt;0,VLOOKUP(_1_54128456121462410464578910174[[#This Row],[Discount selection]],'Discount Structure'!$A$2:$B$30,2,"false"),0)</f>
        <v>1</v>
      </c>
      <c r="L997" s="194">
        <f>_1_54128456121462410464578910174[[#This Row],[LIST $]]*_1_54128456121462410464578910174[[#This Row],[DISCOUNT]]*_1_54128456121462410464578910174[[#This Row],[DISCOUNT 2]]</f>
        <v>0</v>
      </c>
      <c r="M997" s="194">
        <f>IF(OR(_1_54128456121462410464578910174[[#This Row],[UNIT]]&gt;0,_1_54128456121462410464578910174[[#This Row],[UNIT]]&lt;0),_1_54128456121462410464578910174[[#This Row],[UNIT]]*_1_54128456121462410464578910174[[#This Row],[COST]],0)</f>
        <v>0</v>
      </c>
      <c r="N997" s="194">
        <f t="shared" si="15"/>
        <v>1.5</v>
      </c>
      <c r="O997" s="198">
        <f>_1_54128456121462410464578910174[[#This Row],[TOTAL]]*_1_54128456121462410464578910174[[#This Row],[MARGIN]]</f>
        <v>0</v>
      </c>
      <c r="P997" s="198"/>
      <c r="R997" s="41"/>
    </row>
    <row r="998" spans="4:18">
      <c r="D998" s="188"/>
      <c r="E998" s="42"/>
      <c r="F998" s="168" t="s">
        <v>6202</v>
      </c>
      <c r="G998" s="193">
        <f>IF(_1_54128456121462410464578910174[[#This Row],[Type]]&gt;0,VLOOKUP(_1_54128456121462410464578910174[[#This Row],[Type]],Main[[#All],[TYPE]:[UNIT]],'Unit Price'!C$1,FALSE),0)</f>
        <v>0</v>
      </c>
      <c r="H998" s="197">
        <f>IF(_1_54128456121462410464578910174[[#This Row],[Type]]&gt;0,VLOOKUP(_1_54128456121462410464578910174[[#This Row],[Type]],Main[[#All],[TYPE]:[UNIT]],'Unit Price'!D$1,FALSE),0)</f>
        <v>0</v>
      </c>
      <c r="I998" s="194">
        <f>IF(_1_54128456121462410464578910174[[#This Row],[Type]]&gt;0,VLOOKUP(_1_54128456121462410464578910174[[#This Row],[Type]],Main[[#All],[TYPE]:[UNIT]],'Unit Price'!G$1,FALSE),0)</f>
        <v>0</v>
      </c>
      <c r="J998" s="194">
        <f>IF(_1_54128456121462410464578910174[[#This Row],[Type]]&gt;0,VLOOKUP(_1_54128456121462410464578910174[[#This Row],[Type]],Main[[#All],[TYPE]:[UNIT]],'Unit Price'!H$1,FALSE),0)</f>
        <v>0</v>
      </c>
      <c r="K998" s="194">
        <f>IF(_1_54128456121462410464578910174[[#This Row],[Discount selection]]&gt;0,VLOOKUP(_1_54128456121462410464578910174[[#This Row],[Discount selection]],'Discount Structure'!$A$2:$B$30,2,"false"),0)</f>
        <v>1</v>
      </c>
      <c r="L998" s="194">
        <f>_1_54128456121462410464578910174[[#This Row],[LIST $]]*_1_54128456121462410464578910174[[#This Row],[DISCOUNT]]*_1_54128456121462410464578910174[[#This Row],[DISCOUNT 2]]</f>
        <v>0</v>
      </c>
      <c r="M998" s="194">
        <f>IF(OR(_1_54128456121462410464578910174[[#This Row],[UNIT]]&gt;0,_1_54128456121462410464578910174[[#This Row],[UNIT]]&lt;0),_1_54128456121462410464578910174[[#This Row],[UNIT]]*_1_54128456121462410464578910174[[#This Row],[COST]],0)</f>
        <v>0</v>
      </c>
      <c r="N998" s="194">
        <f t="shared" si="15"/>
        <v>1.5</v>
      </c>
      <c r="O998" s="198">
        <f>_1_54128456121462410464578910174[[#This Row],[TOTAL]]*_1_54128456121462410464578910174[[#This Row],[MARGIN]]</f>
        <v>0</v>
      </c>
      <c r="P998" s="198"/>
      <c r="R998" s="41"/>
    </row>
    <row r="999" spans="4:18">
      <c r="D999" s="188"/>
      <c r="E999" s="42"/>
      <c r="F999" s="168" t="s">
        <v>6202</v>
      </c>
      <c r="G999" s="193">
        <f>IF(_1_54128456121462410464578910174[[#This Row],[Type]]&gt;0,VLOOKUP(_1_54128456121462410464578910174[[#This Row],[Type]],Main[[#All],[TYPE]:[UNIT]],'Unit Price'!C$1,FALSE),0)</f>
        <v>0</v>
      </c>
      <c r="H999" s="197">
        <f>IF(_1_54128456121462410464578910174[[#This Row],[Type]]&gt;0,VLOOKUP(_1_54128456121462410464578910174[[#This Row],[Type]],Main[[#All],[TYPE]:[UNIT]],'Unit Price'!D$1,FALSE),0)</f>
        <v>0</v>
      </c>
      <c r="I999" s="194">
        <f>IF(_1_54128456121462410464578910174[[#This Row],[Type]]&gt;0,VLOOKUP(_1_54128456121462410464578910174[[#This Row],[Type]],Main[[#All],[TYPE]:[UNIT]],'Unit Price'!G$1,FALSE),0)</f>
        <v>0</v>
      </c>
      <c r="J999" s="194">
        <f>IF(_1_54128456121462410464578910174[[#This Row],[Type]]&gt;0,VLOOKUP(_1_54128456121462410464578910174[[#This Row],[Type]],Main[[#All],[TYPE]:[UNIT]],'Unit Price'!H$1,FALSE),0)</f>
        <v>0</v>
      </c>
      <c r="K999" s="194">
        <f>IF(_1_54128456121462410464578910174[[#This Row],[Discount selection]]&gt;0,VLOOKUP(_1_54128456121462410464578910174[[#This Row],[Discount selection]],'Discount Structure'!$A$2:$B$30,2,"false"),0)</f>
        <v>1</v>
      </c>
      <c r="L999" s="194">
        <f>_1_54128456121462410464578910174[[#This Row],[LIST $]]*_1_54128456121462410464578910174[[#This Row],[DISCOUNT]]*_1_54128456121462410464578910174[[#This Row],[DISCOUNT 2]]</f>
        <v>0</v>
      </c>
      <c r="M999" s="194">
        <f>IF(OR(_1_54128456121462410464578910174[[#This Row],[UNIT]]&gt;0,_1_54128456121462410464578910174[[#This Row],[UNIT]]&lt;0),_1_54128456121462410464578910174[[#This Row],[UNIT]]*_1_54128456121462410464578910174[[#This Row],[COST]],0)</f>
        <v>0</v>
      </c>
      <c r="N999" s="194">
        <f t="shared" si="15"/>
        <v>1.5</v>
      </c>
      <c r="O999" s="198">
        <f>_1_54128456121462410464578910174[[#This Row],[TOTAL]]*_1_54128456121462410464578910174[[#This Row],[MARGIN]]</f>
        <v>0</v>
      </c>
      <c r="P999" s="198"/>
      <c r="R999" s="41"/>
    </row>
    <row r="1000" spans="4:18">
      <c r="D1000" s="188"/>
      <c r="E1000" s="42"/>
      <c r="F1000" s="168" t="s">
        <v>6202</v>
      </c>
      <c r="G1000" s="193">
        <f>IF(_1_54128456121462410464578910174[[#This Row],[Type]]&gt;0,VLOOKUP(_1_54128456121462410464578910174[[#This Row],[Type]],Main[[#All],[TYPE]:[UNIT]],'Unit Price'!C$1,FALSE),0)</f>
        <v>0</v>
      </c>
      <c r="H1000" s="197">
        <f>IF(_1_54128456121462410464578910174[[#This Row],[Type]]&gt;0,VLOOKUP(_1_54128456121462410464578910174[[#This Row],[Type]],Main[[#All],[TYPE]:[UNIT]],'Unit Price'!D$1,FALSE),0)</f>
        <v>0</v>
      </c>
      <c r="I1000" s="194">
        <f>IF(_1_54128456121462410464578910174[[#This Row],[Type]]&gt;0,VLOOKUP(_1_54128456121462410464578910174[[#This Row],[Type]],Main[[#All],[TYPE]:[UNIT]],'Unit Price'!G$1,FALSE),0)</f>
        <v>0</v>
      </c>
      <c r="J1000" s="194">
        <f>IF(_1_54128456121462410464578910174[[#This Row],[Type]]&gt;0,VLOOKUP(_1_54128456121462410464578910174[[#This Row],[Type]],Main[[#All],[TYPE]:[UNIT]],'Unit Price'!H$1,FALSE),0)</f>
        <v>0</v>
      </c>
      <c r="K1000" s="194">
        <f>IF(_1_54128456121462410464578910174[[#This Row],[Discount selection]]&gt;0,VLOOKUP(_1_54128456121462410464578910174[[#This Row],[Discount selection]],'Discount Structure'!$A$2:$B$30,2,"false"),0)</f>
        <v>1</v>
      </c>
      <c r="L1000" s="194">
        <f>_1_54128456121462410464578910174[[#This Row],[LIST $]]*_1_54128456121462410464578910174[[#This Row],[DISCOUNT]]*_1_54128456121462410464578910174[[#This Row],[DISCOUNT 2]]</f>
        <v>0</v>
      </c>
      <c r="M1000" s="194">
        <f>IF(OR(_1_54128456121462410464578910174[[#This Row],[UNIT]]&gt;0,_1_54128456121462410464578910174[[#This Row],[UNIT]]&lt;0),_1_54128456121462410464578910174[[#This Row],[UNIT]]*_1_54128456121462410464578910174[[#This Row],[COST]],0)</f>
        <v>0</v>
      </c>
      <c r="N1000" s="194">
        <f>$N$7</f>
        <v>1.5</v>
      </c>
      <c r="O1000" s="198">
        <f>_1_54128456121462410464578910174[[#This Row],[TOTAL]]*_1_54128456121462410464578910174[[#This Row],[MARGIN]]</f>
        <v>0</v>
      </c>
      <c r="P1000" s="198"/>
      <c r="R1000" s="41"/>
    </row>
    <row r="1001" spans="4:18">
      <c r="D1001" s="188"/>
      <c r="E1001" s="42"/>
      <c r="F1001" s="168" t="s">
        <v>6202</v>
      </c>
      <c r="G1001" s="193">
        <f>IF(_1_54128456121462410464578910174[[#This Row],[Type]]&gt;0,VLOOKUP(_1_54128456121462410464578910174[[#This Row],[Type]],Main[[#All],[TYPE]:[UNIT]],'Unit Price'!C$1,FALSE),0)</f>
        <v>0</v>
      </c>
      <c r="H1001" s="197">
        <f>IF(_1_54128456121462410464578910174[[#This Row],[Type]]&gt;0,VLOOKUP(_1_54128456121462410464578910174[[#This Row],[Type]],Main[[#All],[TYPE]:[UNIT]],'Unit Price'!D$1,FALSE),0)</f>
        <v>0</v>
      </c>
      <c r="I1001" s="194">
        <f>IF(_1_54128456121462410464578910174[[#This Row],[Type]]&gt;0,VLOOKUP(_1_54128456121462410464578910174[[#This Row],[Type]],Main[[#All],[TYPE]:[UNIT]],'Unit Price'!G$1,FALSE),0)</f>
        <v>0</v>
      </c>
      <c r="J1001" s="194">
        <f>IF(_1_54128456121462410464578910174[[#This Row],[Type]]&gt;0,VLOOKUP(_1_54128456121462410464578910174[[#This Row],[Type]],Main[[#All],[TYPE]:[UNIT]],'Unit Price'!H$1,FALSE),0)</f>
        <v>0</v>
      </c>
      <c r="K1001" s="194">
        <f>IF(_1_54128456121462410464578910174[[#This Row],[Discount selection]]&gt;0,VLOOKUP(_1_54128456121462410464578910174[[#This Row],[Discount selection]],'Discount Structure'!$A$2:$B$30,2,"false"),0)</f>
        <v>1</v>
      </c>
      <c r="L1001" s="194">
        <f>_1_54128456121462410464578910174[[#This Row],[LIST $]]*_1_54128456121462410464578910174[[#This Row],[DISCOUNT]]*_1_54128456121462410464578910174[[#This Row],[DISCOUNT 2]]</f>
        <v>0</v>
      </c>
      <c r="M1001" s="194">
        <f>IF(OR(_1_54128456121462410464578910174[[#This Row],[UNIT]]&gt;0,_1_54128456121462410464578910174[[#This Row],[UNIT]]&lt;0),_1_54128456121462410464578910174[[#This Row],[UNIT]]*_1_54128456121462410464578910174[[#This Row],[COST]],0)</f>
        <v>0</v>
      </c>
      <c r="N1001" s="194">
        <f>$N$7</f>
        <v>1.5</v>
      </c>
      <c r="O1001" s="198">
        <f>_1_54128456121462410464578910174[[#This Row],[TOTAL]]*_1_54128456121462410464578910174[[#This Row],[MARGIN]]</f>
        <v>0</v>
      </c>
      <c r="P1001" s="198"/>
      <c r="R1001" s="41"/>
    </row>
  </sheetData>
  <sheetProtection formatCells="0" formatColumns="0" formatRows="0" insertColumns="0" insertRows="0" deleteColumns="0" deleteRows="0"/>
  <conditionalFormatting sqref="E1:E1048576">
    <cfRule type="colorScale" priority="6">
      <colorScale>
        <cfvo type="min"/>
        <cfvo type="percentile" val="50"/>
        <cfvo type="max"/>
        <color rgb="FFFF7128"/>
        <color rgb="FFFFEB84"/>
        <color rgb="FFFFEF9C"/>
      </colorScale>
    </cfRule>
  </conditionalFormatting>
  <conditionalFormatting sqref="K1:K1048576">
    <cfRule type="cellIs" dxfId="36" priority="7" operator="equal">
      <formula>$K$7</formula>
    </cfRule>
  </conditionalFormatting>
  <conditionalFormatting sqref="N1:N1048576">
    <cfRule type="cellIs" dxfId="35" priority="8" operator="equal">
      <formula>$N$7</formula>
    </cfRule>
  </conditionalFormatting>
  <conditionalFormatting sqref="H1:H1048576">
    <cfRule type="containsText" dxfId="34" priority="1" operator="containsText" text="ABB">
      <formula>NOT(ISERROR(SEARCH("ABB",H1)))</formula>
    </cfRule>
    <cfRule type="containsText" dxfId="33" priority="2" operator="containsText" text="LS">
      <formula>NOT(ISERROR(SEARCH("LS",H1)))</formula>
    </cfRule>
    <cfRule type="containsText" dxfId="32" priority="3" operator="containsText" text="SCHNEIDER">
      <formula>NOT(ISERROR(SEARCH("SCHNEIDER",H1)))</formula>
    </cfRule>
    <cfRule type="containsText" dxfId="31" priority="4" operator="containsText" text="CHINT">
      <formula>NOT(ISERROR(SEARCH("CHINT",H1)))</formula>
    </cfRule>
    <cfRule type="containsText" dxfId="30" priority="5" operator="containsText" text="0">
      <formula>NOT(ISERROR(SEARCH("0",H1)))</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07E3A12-E981-445D-B2FC-769620556A02}">
          <x14:formula1>
            <xm:f>'Unit Price'!$B:$B</xm:f>
          </x14:formula1>
          <xm:sqref>D79:D1001 D9:D77</xm:sqref>
        </x14:dataValidation>
        <x14:dataValidation type="list" allowBlank="1" showInputMessage="1" showErrorMessage="1" xr:uid="{62F06A62-A379-4C67-BC1A-B0F60382837E}">
          <x14:formula1>
            <xm:f>'Discount Structure'!$A$2:$A$30</xm:f>
          </x14:formula1>
          <xm:sqref>F9:F1001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94CA7-A90B-477E-9B20-3F1EBA4F0EE7}">
  <sheetPr codeName="Sheet221"/>
  <dimension ref="A1:R1001"/>
  <sheetViews>
    <sheetView topLeftCell="A2" zoomScale="85" zoomScaleNormal="85" workbookViewId="0">
      <selection activeCell="D33" sqref="D33"/>
    </sheetView>
  </sheetViews>
  <sheetFormatPr defaultColWidth="21.28515625" defaultRowHeight="15"/>
  <cols>
    <col min="1" max="1" width="18.85546875" style="131" bestFit="1" customWidth="1"/>
    <col min="2" max="2" width="73.42578125" style="131" bestFit="1" customWidth="1"/>
    <col min="3" max="3" width="11.85546875" style="131" customWidth="1"/>
    <col min="4" max="4" width="33.7109375" style="40" customWidth="1"/>
    <col min="5" max="5" width="10.7109375" style="41" bestFit="1" customWidth="1"/>
    <col min="6" max="6" width="19.85546875" style="42" bestFit="1" customWidth="1"/>
    <col min="7" max="7" width="44.140625" style="192" bestFit="1" customWidth="1"/>
    <col min="8" max="8" width="11.85546875" style="197" bestFit="1" customWidth="1"/>
    <col min="9" max="9" width="8.7109375" style="194" bestFit="1" customWidth="1"/>
    <col min="10" max="10" width="12.7109375" style="194" bestFit="1" customWidth="1"/>
    <col min="11" max="11" width="14.28515625" style="194" bestFit="1" customWidth="1"/>
    <col min="12" max="12" width="10.28515625" style="194" bestFit="1" customWidth="1"/>
    <col min="13" max="13" width="12.85546875" style="194" bestFit="1" customWidth="1"/>
    <col min="14" max="14" width="11" style="194" bestFit="1" customWidth="1"/>
    <col min="15" max="15" width="15.140625" style="194" bestFit="1" customWidth="1"/>
    <col min="16" max="16" width="10.28515625" style="194" bestFit="1" customWidth="1"/>
    <col min="17" max="17" width="21.28515625" style="41"/>
    <col min="18" max="18" width="21.28515625" style="43"/>
    <col min="19" max="16384" width="21.28515625" style="41"/>
  </cols>
  <sheetData>
    <row r="1" spans="1:18" ht="46.5">
      <c r="A1" s="218" t="s">
        <v>5780</v>
      </c>
      <c r="B1" s="218" t="s">
        <v>29</v>
      </c>
      <c r="C1" s="219"/>
      <c r="F1" s="41"/>
      <c r="G1" s="39"/>
      <c r="H1" s="42"/>
      <c r="I1" s="41"/>
      <c r="J1" s="41"/>
      <c r="K1" s="41"/>
      <c r="L1" s="41"/>
      <c r="M1" s="41"/>
      <c r="N1" s="41"/>
      <c r="O1" s="43"/>
      <c r="P1" s="41"/>
      <c r="R1" s="41"/>
    </row>
    <row r="2" spans="1:18" ht="46.5">
      <c r="A2" s="161" t="s">
        <v>7836</v>
      </c>
      <c r="B2" s="161" t="s">
        <v>7824</v>
      </c>
      <c r="C2" s="184"/>
      <c r="F2" s="41"/>
      <c r="G2" s="39"/>
      <c r="H2" s="42"/>
      <c r="I2" s="41"/>
      <c r="J2" s="41"/>
      <c r="K2" s="41"/>
      <c r="L2" s="41"/>
      <c r="M2" s="41"/>
      <c r="N2" s="41"/>
      <c r="O2" s="43"/>
      <c r="P2" s="41"/>
      <c r="R2" s="41"/>
    </row>
    <row r="3" spans="1:18">
      <c r="A3" s="40"/>
      <c r="B3" s="40"/>
      <c r="C3" s="40"/>
      <c r="D3" s="41"/>
      <c r="F3" s="41"/>
      <c r="G3" s="39"/>
      <c r="H3" s="42"/>
      <c r="I3" s="41"/>
      <c r="J3" s="41"/>
      <c r="K3" s="41"/>
      <c r="L3" s="41"/>
      <c r="M3" s="41"/>
      <c r="N3" s="41"/>
      <c r="O3" s="43"/>
      <c r="P3" s="41"/>
      <c r="R3" s="41"/>
    </row>
    <row r="4" spans="1:18">
      <c r="A4" s="40"/>
      <c r="B4" s="40"/>
      <c r="C4" s="40"/>
      <c r="D4" s="41"/>
      <c r="F4" s="41"/>
      <c r="G4" s="39"/>
      <c r="H4" s="42"/>
      <c r="I4" s="41"/>
      <c r="J4" s="41"/>
      <c r="K4" s="41"/>
      <c r="L4" s="41"/>
      <c r="M4" s="41"/>
      <c r="N4" s="41"/>
      <c r="O4" s="43"/>
      <c r="P4" s="41"/>
      <c r="R4" s="41"/>
    </row>
    <row r="5" spans="1:18">
      <c r="A5" s="40"/>
      <c r="B5" s="40"/>
      <c r="C5" s="40"/>
      <c r="D5" s="41"/>
      <c r="F5" s="41"/>
      <c r="G5" s="39"/>
      <c r="H5" s="42"/>
      <c r="I5" s="41"/>
      <c r="J5" s="41"/>
      <c r="K5" s="41"/>
      <c r="L5" s="41"/>
      <c r="M5" s="41"/>
      <c r="N5" s="41"/>
      <c r="O5" s="43"/>
      <c r="P5" s="41"/>
      <c r="R5" s="41"/>
    </row>
    <row r="6" spans="1:18" ht="15.75">
      <c r="A6" s="40"/>
      <c r="B6" s="40"/>
      <c r="C6" s="40"/>
      <c r="D6" s="41"/>
      <c r="F6" s="41"/>
      <c r="G6" s="39"/>
      <c r="H6" s="42"/>
      <c r="I6" s="41"/>
      <c r="J6" s="41"/>
      <c r="K6" s="41"/>
      <c r="L6" s="41"/>
      <c r="M6" s="206" t="s">
        <v>279</v>
      </c>
      <c r="N6" s="207"/>
      <c r="O6" s="208" t="s">
        <v>280</v>
      </c>
      <c r="P6" s="206" t="s">
        <v>281</v>
      </c>
      <c r="R6" s="41"/>
    </row>
    <row r="7" spans="1:18">
      <c r="F7" s="40"/>
      <c r="G7" s="39"/>
      <c r="H7" s="42"/>
      <c r="I7" s="41"/>
      <c r="J7" s="41"/>
      <c r="K7" s="41">
        <v>1</v>
      </c>
      <c r="L7" s="41"/>
      <c r="M7" s="209">
        <f>SUM(_1_541284561214624104645789101745[TOTAL])</f>
        <v>4883.0189342999993</v>
      </c>
      <c r="N7" s="41">
        <v>1.5</v>
      </c>
      <c r="O7" s="210">
        <f>SUM(_1_541284561214624104645789101745[QUOTE])</f>
        <v>7324.5284014500003</v>
      </c>
      <c r="P7" s="209">
        <f>O7-M7</f>
        <v>2441.509467150001</v>
      </c>
      <c r="R7" s="41"/>
    </row>
    <row r="8" spans="1:18">
      <c r="A8" s="220" t="s">
        <v>6194</v>
      </c>
      <c r="B8" s="220" t="s">
        <v>6195</v>
      </c>
      <c r="C8" s="220" t="s">
        <v>6196</v>
      </c>
      <c r="D8" s="40" t="s">
        <v>283</v>
      </c>
      <c r="E8" s="191" t="s">
        <v>284</v>
      </c>
      <c r="F8" s="40" t="s">
        <v>6206</v>
      </c>
      <c r="G8" s="193" t="s">
        <v>278</v>
      </c>
      <c r="H8" s="199" t="s">
        <v>282</v>
      </c>
      <c r="I8" s="200" t="s">
        <v>285</v>
      </c>
      <c r="J8" s="200" t="s">
        <v>286</v>
      </c>
      <c r="K8" s="200" t="s">
        <v>287</v>
      </c>
      <c r="L8" s="201" t="s">
        <v>288</v>
      </c>
      <c r="M8" s="202" t="s">
        <v>289</v>
      </c>
      <c r="N8" s="200" t="s">
        <v>290</v>
      </c>
      <c r="O8" s="203" t="s">
        <v>291</v>
      </c>
      <c r="R8" s="41"/>
    </row>
    <row r="9" spans="1:18">
      <c r="A9" s="357"/>
      <c r="B9" s="354"/>
      <c r="C9" s="168"/>
      <c r="D9" s="311"/>
      <c r="F9" s="168" t="s">
        <v>6202</v>
      </c>
      <c r="G9" s="193">
        <f>IF(_1_541284561214624104645789101745[[#This Row],[Type]]&gt;0,VLOOKUP(_1_541284561214624104645789101745[[#This Row],[Type]],Main[[#All],[TYPE]:[UNIT]],'Unit Price'!C$1,FALSE),0)</f>
        <v>0</v>
      </c>
      <c r="H9" s="197">
        <f>IF(_1_541284561214624104645789101745[[#This Row],[Type]]&gt;0,VLOOKUP(_1_541284561214624104645789101745[[#This Row],[Type]],Main[[#All],[TYPE]:[UNIT]],'Unit Price'!D$1,FALSE),0)</f>
        <v>0</v>
      </c>
      <c r="I9" s="194">
        <f>IF(_1_541284561214624104645789101745[[#This Row],[Type]]&gt;0,VLOOKUP(_1_541284561214624104645789101745[[#This Row],[Type]],Main[[#All],[TYPE]:[UNIT]],'Unit Price'!G$1,FALSE),0)</f>
        <v>0</v>
      </c>
      <c r="J9" s="194">
        <f>IF(_1_541284561214624104645789101745[[#This Row],[Type]]&gt;0,VLOOKUP(_1_541284561214624104645789101745[[#This Row],[Type]],Main[[#All],[TYPE]:[UNIT]],'Unit Price'!H$1,FALSE),0)</f>
        <v>0</v>
      </c>
      <c r="K9" s="194">
        <f>IF(_1_541284561214624104645789101745[[#This Row],[Discount selection]]&gt;0,VLOOKUP(_1_541284561214624104645789101745[[#This Row],[Discount selection]],'Discount Structure'!$A$2:$B$30,2,"false"),0)</f>
        <v>1</v>
      </c>
      <c r="L9" s="194">
        <f>_1_541284561214624104645789101745[[#This Row],[LIST $]]*_1_541284561214624104645789101745[[#This Row],[DISCOUNT]]*_1_541284561214624104645789101745[[#This Row],[DISCOUNT 2]]</f>
        <v>0</v>
      </c>
      <c r="M9" s="194">
        <f>IF(OR(_1_541284561214624104645789101745[[#This Row],[UNIT]]&gt;0,_1_541284561214624104645789101745[[#This Row],[UNIT]]&lt;0),_1_541284561214624104645789101745[[#This Row],[UNIT]]*_1_541284561214624104645789101745[[#This Row],[COST]],0)</f>
        <v>0</v>
      </c>
      <c r="N9" s="194">
        <f t="shared" ref="N9:N73" si="0">$N$7</f>
        <v>1.5</v>
      </c>
      <c r="O9" s="198">
        <f>_1_541284561214624104645789101745[[#This Row],[TOTAL]]*_1_541284561214624104645789101745[[#This Row],[MARGIN]]</f>
        <v>0</v>
      </c>
      <c r="P9" s="198"/>
      <c r="R9" s="41"/>
    </row>
    <row r="10" spans="1:18">
      <c r="B10" s="168"/>
      <c r="C10" s="312"/>
      <c r="D10" s="311" t="s">
        <v>1570</v>
      </c>
      <c r="E10" s="41">
        <v>1</v>
      </c>
      <c r="F10" s="168" t="s">
        <v>6202</v>
      </c>
      <c r="G10" s="193" t="str">
        <f>IF(_1_541284561214624104645789101745[[#This Row],[Type]]&gt;0,VLOOKUP(_1_541284561214624104645789101745[[#This Row],[Type]],Main[[#All],[TYPE]:[UNIT]],'Unit Price'!C$1,FALSE),0)</f>
        <v>63A 3P 50kA MCCB</v>
      </c>
      <c r="H10" s="197" t="str">
        <f>IF(_1_541284561214624104645789101745[[#This Row],[Type]]&gt;0,VLOOKUP(_1_541284561214624104645789101745[[#This Row],[Type]],Main[[#All],[TYPE]:[UNIT]],'Unit Price'!D$1,FALSE),0)</f>
        <v>CHINT</v>
      </c>
      <c r="I10" s="194">
        <f>IF(_1_541284561214624104645789101745[[#This Row],[Type]]&gt;0,VLOOKUP(_1_541284561214624104645789101745[[#This Row],[Type]],Main[[#All],[TYPE]:[UNIT]],'Unit Price'!G$1,FALSE),0)</f>
        <v>501</v>
      </c>
      <c r="J10" s="194">
        <f>IF(_1_541284561214624104645789101745[[#This Row],[Type]]&gt;0,VLOOKUP(_1_541284561214624104645789101745[[#This Row],[Type]],Main[[#All],[TYPE]:[UNIT]],'Unit Price'!H$1,FALSE),0)</f>
        <v>0.47155599999999998</v>
      </c>
      <c r="K10" s="194">
        <f>IF(_1_541284561214624104645789101745[[#This Row],[Discount selection]]&gt;0,VLOOKUP(_1_541284561214624104645789101745[[#This Row],[Discount selection]],'Discount Structure'!$A$2:$B$30,2,"false"),0)</f>
        <v>1</v>
      </c>
      <c r="L10" s="194">
        <f>_1_541284561214624104645789101745[[#This Row],[LIST $]]*_1_541284561214624104645789101745[[#This Row],[DISCOUNT]]*_1_541284561214624104645789101745[[#This Row],[DISCOUNT 2]]</f>
        <v>236.24955599999998</v>
      </c>
      <c r="M10" s="194">
        <f>IF(OR(_1_541284561214624104645789101745[[#This Row],[UNIT]]&gt;0,_1_541284561214624104645789101745[[#This Row],[UNIT]]&lt;0),_1_541284561214624104645789101745[[#This Row],[UNIT]]*_1_541284561214624104645789101745[[#This Row],[COST]],0)</f>
        <v>236.24955599999998</v>
      </c>
      <c r="N10" s="194">
        <f t="shared" si="0"/>
        <v>1.5</v>
      </c>
      <c r="O10" s="198">
        <f>_1_541284561214624104645789101745[[#This Row],[TOTAL]]*_1_541284561214624104645789101745[[#This Row],[MARGIN]]</f>
        <v>354.37433399999998</v>
      </c>
      <c r="R10" s="41"/>
    </row>
    <row r="11" spans="1:18">
      <c r="D11" s="188" t="s">
        <v>301</v>
      </c>
      <c r="E11" s="41">
        <v>1</v>
      </c>
      <c r="F11" s="168" t="s">
        <v>6202</v>
      </c>
      <c r="G11" s="193" t="str">
        <f>IF(_1_541284561214624104645789101745[[#This Row],[Type]]&gt;0,VLOOKUP(_1_541284561214624104645789101745[[#This Row],[Type]],Main[[#All],[TYPE]:[UNIT]],'Unit Price'!C$1,FALSE),0)</f>
        <v>HRC FUSE</v>
      </c>
      <c r="H11" s="197" t="str">
        <f>IF(_1_541284561214624104645789101745[[#This Row],[Type]]&gt;0,VLOOKUP(_1_541284561214624104645789101745[[#This Row],[Type]],Main[[#All],[TYPE]:[UNIT]],'Unit Price'!D$1,FALSE),0)</f>
        <v>HAMA</v>
      </c>
      <c r="I11" s="194">
        <f>IF(_1_541284561214624104645789101745[[#This Row],[Type]]&gt;0,VLOOKUP(_1_541284561214624104645789101745[[#This Row],[Type]],Main[[#All],[TYPE]:[UNIT]],'Unit Price'!G$1,FALSE),0)</f>
        <v>6</v>
      </c>
      <c r="J11" s="194">
        <f>IF(_1_541284561214624104645789101745[[#This Row],[Type]]&gt;0,VLOOKUP(_1_541284561214624104645789101745[[#This Row],[Type]],Main[[#All],[TYPE]:[UNIT]],'Unit Price'!H$1,FALSE),0)</f>
        <v>1</v>
      </c>
      <c r="K11" s="194">
        <f>IF(_1_541284561214624104645789101745[[#This Row],[Discount selection]]&gt;0,VLOOKUP(_1_541284561214624104645789101745[[#This Row],[Discount selection]],'Discount Structure'!$A$2:$B$30,2,"false"),0)</f>
        <v>1</v>
      </c>
      <c r="L11" s="194">
        <f>_1_541284561214624104645789101745[[#This Row],[LIST $]]*_1_541284561214624104645789101745[[#This Row],[DISCOUNT]]*_1_541284561214624104645789101745[[#This Row],[DISCOUNT 2]]</f>
        <v>6</v>
      </c>
      <c r="M11" s="194">
        <f>IF(OR(_1_541284561214624104645789101745[[#This Row],[UNIT]]&gt;0,_1_541284561214624104645789101745[[#This Row],[UNIT]]&lt;0),_1_541284561214624104645789101745[[#This Row],[UNIT]]*_1_541284561214624104645789101745[[#This Row],[COST]],0)</f>
        <v>6</v>
      </c>
      <c r="N11" s="194">
        <f t="shared" si="0"/>
        <v>1.5</v>
      </c>
      <c r="O11" s="198">
        <f>_1_541284561214624104645789101745[[#This Row],[TOTAL]]*_1_541284561214624104645789101745[[#This Row],[MARGIN]]</f>
        <v>9</v>
      </c>
      <c r="R11" s="41"/>
    </row>
    <row r="12" spans="1:18">
      <c r="D12" s="188" t="s">
        <v>7447</v>
      </c>
      <c r="E12" s="313">
        <v>1</v>
      </c>
      <c r="F12" s="168" t="s">
        <v>6202</v>
      </c>
      <c r="G12" s="193" t="str">
        <f>IF(_1_541284561214624104645789101745[[#This Row],[Type]]&gt;0,VLOOKUP(_1_541284561214624104645789101745[[#This Row],[Type]],Main[[#All],[TYPE]:[UNIT]],'Unit Price'!C$1,FALSE),0)</f>
        <v>Shunt Trip 230VAC - NM8-125</v>
      </c>
      <c r="H12" s="197" t="str">
        <f>IF(_1_541284561214624104645789101745[[#This Row],[Type]]&gt;0,VLOOKUP(_1_541284561214624104645789101745[[#This Row],[Type]],Main[[#All],[TYPE]:[UNIT]],'Unit Price'!D$1,FALSE),0)</f>
        <v>CHINT</v>
      </c>
      <c r="I12" s="194">
        <f>IF(_1_541284561214624104645789101745[[#This Row],[Type]]&gt;0,VLOOKUP(_1_541284561214624104645789101745[[#This Row],[Type]],Main[[#All],[TYPE]:[UNIT]],'Unit Price'!G$1,FALSE),0)</f>
        <v>195</v>
      </c>
      <c r="J12" s="194">
        <f>IF(_1_541284561214624104645789101745[[#This Row],[Type]]&gt;0,VLOOKUP(_1_541284561214624104645789101745[[#This Row],[Type]],Main[[#All],[TYPE]:[UNIT]],'Unit Price'!H$1,FALSE),0)</f>
        <v>0.47155599999999998</v>
      </c>
      <c r="K12" s="194">
        <f>IF(_1_541284561214624104645789101745[[#This Row],[Discount selection]]&gt;0,VLOOKUP(_1_541284561214624104645789101745[[#This Row],[Discount selection]],'Discount Structure'!$A$2:$B$30,2,"false"),0)</f>
        <v>1</v>
      </c>
      <c r="L12" s="194">
        <f>_1_541284561214624104645789101745[[#This Row],[LIST $]]*_1_541284561214624104645789101745[[#This Row],[DISCOUNT]]*_1_541284561214624104645789101745[[#This Row],[DISCOUNT 2]]</f>
        <v>91.953419999999994</v>
      </c>
      <c r="M12" s="194">
        <f>IF(OR(_1_541284561214624104645789101745[[#This Row],[UNIT]]&gt;0,_1_541284561214624104645789101745[[#This Row],[UNIT]]&lt;0),_1_541284561214624104645789101745[[#This Row],[UNIT]]*_1_541284561214624104645789101745[[#This Row],[COST]],0)</f>
        <v>91.953419999999994</v>
      </c>
      <c r="N12" s="194">
        <f>$N$7</f>
        <v>1.5</v>
      </c>
      <c r="O12" s="198">
        <f>_1_541284561214624104645789101745[[#This Row],[TOTAL]]*_1_541284561214624104645789101745[[#This Row],[MARGIN]]</f>
        <v>137.93012999999999</v>
      </c>
      <c r="R12" s="41"/>
    </row>
    <row r="13" spans="1:18">
      <c r="D13" s="188" t="s">
        <v>311</v>
      </c>
      <c r="E13" s="41">
        <v>3</v>
      </c>
      <c r="F13" s="168" t="s">
        <v>6202</v>
      </c>
      <c r="G13" s="193" t="str">
        <f>IF(_1_541284561214624104645789101745[[#This Row],[Type]]&gt;0,VLOOKUP(_1_541284561214624104645789101745[[#This Row],[Type]],Main[[#All],[TYPE]:[UNIT]],'Unit Price'!C$1,FALSE),0)</f>
        <v>CONTROL CABLE</v>
      </c>
      <c r="H13" s="197" t="str">
        <f>IF(_1_541284561214624104645789101745[[#This Row],[Type]]&gt;0,VLOOKUP(_1_541284561214624104645789101745[[#This Row],[Type]],Main[[#All],[TYPE]:[UNIT]],'Unit Price'!D$1,FALSE),0)</f>
        <v>UC</v>
      </c>
      <c r="I13" s="194">
        <f>IF(_1_541284561214624104645789101745[[#This Row],[Type]]&gt;0,VLOOKUP(_1_541284561214624104645789101745[[#This Row],[Type]],Main[[#All],[TYPE]:[UNIT]],'Unit Price'!G$1,FALSE),0)</f>
        <v>1</v>
      </c>
      <c r="J13" s="194">
        <f>IF(_1_541284561214624104645789101745[[#This Row],[Type]]&gt;0,VLOOKUP(_1_541284561214624104645789101745[[#This Row],[Type]],Main[[#All],[TYPE]:[UNIT]],'Unit Price'!H$1,FALSE),0)</f>
        <v>1</v>
      </c>
      <c r="K13" s="194">
        <f>IF(_1_541284561214624104645789101745[[#This Row],[Discount selection]]&gt;0,VLOOKUP(_1_541284561214624104645789101745[[#This Row],[Discount selection]],'Discount Structure'!$A$2:$B$30,2,"false"),0)</f>
        <v>1</v>
      </c>
      <c r="L13" s="194">
        <f>_1_541284561214624104645789101745[[#This Row],[LIST $]]*_1_541284561214624104645789101745[[#This Row],[DISCOUNT]]*_1_541284561214624104645789101745[[#This Row],[DISCOUNT 2]]</f>
        <v>1</v>
      </c>
      <c r="M13" s="194">
        <f>IF(OR(_1_541284561214624104645789101745[[#This Row],[UNIT]]&gt;0,_1_541284561214624104645789101745[[#This Row],[UNIT]]&lt;0),_1_541284561214624104645789101745[[#This Row],[UNIT]]*_1_541284561214624104645789101745[[#This Row],[COST]],0)</f>
        <v>3</v>
      </c>
      <c r="N13" s="194">
        <f t="shared" si="0"/>
        <v>1.5</v>
      </c>
      <c r="O13" s="198">
        <f>_1_541284561214624104645789101745[[#This Row],[TOTAL]]*_1_541284561214624104645789101745[[#This Row],[MARGIN]]</f>
        <v>4.5</v>
      </c>
      <c r="R13" s="41"/>
    </row>
    <row r="14" spans="1:18">
      <c r="A14" s="168"/>
      <c r="C14" s="168"/>
      <c r="D14" s="188" t="s">
        <v>6375</v>
      </c>
      <c r="E14" s="41">
        <v>8</v>
      </c>
      <c r="F14" s="168" t="s">
        <v>6202</v>
      </c>
      <c r="G14" s="193" t="str">
        <f>IF(_1_541284561214624104645789101745[[#This Row],[Type]]&gt;0,VLOOKUP(_1_541284561214624104645789101745[[#This Row],[Type]],Main[[#All],[TYPE]:[UNIT]],'Unit Price'!C$1,FALSE),0)</f>
        <v>BUSBAR, 116A, 15kA
25mm x 3mm</v>
      </c>
      <c r="H14" s="197" t="str">
        <f>IF(_1_541284561214624104645789101745[[#This Row],[Type]]&gt;0,VLOOKUP(_1_541284561214624104645789101745[[#This Row],[Type]],Main[[#All],[TYPE]:[UNIT]],'Unit Price'!D$1,FALSE),0)</f>
        <v>LUVATA</v>
      </c>
      <c r="I14" s="194">
        <f>IF(_1_541284561214624104645789101745[[#This Row],[Type]]&gt;0,VLOOKUP(_1_541284561214624104645789101745[[#This Row],[Type]],Main[[#All],[TYPE]:[UNIT]],'Unit Price'!G$1,FALSE),0)</f>
        <v>43.484999999999999</v>
      </c>
      <c r="J14" s="194">
        <f>IF(_1_541284561214624104645789101745[[#This Row],[Type]]&gt;0,VLOOKUP(_1_541284561214624104645789101745[[#This Row],[Type]],Main[[#All],[TYPE]:[UNIT]],'Unit Price'!H$1,FALSE),0)</f>
        <v>1</v>
      </c>
      <c r="K14" s="194">
        <f>IF(_1_541284561214624104645789101745[[#This Row],[Discount selection]]&gt;0,VLOOKUP(_1_541284561214624104645789101745[[#This Row],[Discount selection]],'Discount Structure'!$A$2:$B$30,2,"false"),0)</f>
        <v>1</v>
      </c>
      <c r="L14" s="194">
        <f>_1_541284561214624104645789101745[[#This Row],[LIST $]]*_1_541284561214624104645789101745[[#This Row],[DISCOUNT]]*_1_541284561214624104645789101745[[#This Row],[DISCOUNT 2]]</f>
        <v>43.484999999999999</v>
      </c>
      <c r="M14" s="194">
        <f>IF(OR(_1_541284561214624104645789101745[[#This Row],[UNIT]]&gt;0,_1_541284561214624104645789101745[[#This Row],[UNIT]]&lt;0),_1_541284561214624104645789101745[[#This Row],[UNIT]]*_1_541284561214624104645789101745[[#This Row],[COST]],0)</f>
        <v>347.88</v>
      </c>
      <c r="N14" s="194">
        <f t="shared" si="0"/>
        <v>1.5</v>
      </c>
      <c r="O14" s="198">
        <f>_1_541284561214624104645789101745[[#This Row],[TOTAL]]*_1_541284561214624104645789101745[[#This Row],[MARGIN]]</f>
        <v>521.81999999999994</v>
      </c>
      <c r="R14" s="41"/>
    </row>
    <row r="15" spans="1:18">
      <c r="C15" s="168"/>
      <c r="D15" s="188" t="s">
        <v>335</v>
      </c>
      <c r="E15" s="41">
        <v>1</v>
      </c>
      <c r="F15" s="168" t="s">
        <v>6202</v>
      </c>
      <c r="G15" s="193" t="str">
        <f>IF(_1_541284561214624104645789101745[[#This Row],[Type]]&gt;0,VLOOKUP(_1_541284561214624104645789101745[[#This Row],[Type]],Main[[#All],[TYPE]:[UNIT]],'Unit Price'!C$1,FALSE),0)</f>
        <v>6A ~ 40A 3P 6kA MCB</v>
      </c>
      <c r="H15" s="197" t="str">
        <f>IF(_1_541284561214624104645789101745[[#This Row],[Type]]&gt;0,VLOOKUP(_1_541284561214624104645789101745[[#This Row],[Type]],Main[[#All],[TYPE]:[UNIT]],'Unit Price'!D$1,FALSE),0)</f>
        <v>CHINT</v>
      </c>
      <c r="I15" s="194">
        <f>IF(_1_541284561214624104645789101745[[#This Row],[Type]]&gt;0,VLOOKUP(_1_541284561214624104645789101745[[#This Row],[Type]],Main[[#All],[TYPE]:[UNIT]],'Unit Price'!G$1,FALSE),0)</f>
        <v>51.8</v>
      </c>
      <c r="J15" s="194">
        <f>IF(_1_541284561214624104645789101745[[#This Row],[Type]]&gt;0,VLOOKUP(_1_541284561214624104645789101745[[#This Row],[Type]],Main[[#All],[TYPE]:[UNIT]],'Unit Price'!H$1,FALSE),0)</f>
        <v>0.47155599999999998</v>
      </c>
      <c r="K15" s="194">
        <f>IF(_1_541284561214624104645789101745[[#This Row],[Discount selection]]&gt;0,VLOOKUP(_1_541284561214624104645789101745[[#This Row],[Discount selection]],'Discount Structure'!$A$2:$B$30,2,"false"),0)</f>
        <v>1</v>
      </c>
      <c r="L15" s="194">
        <f>_1_541284561214624104645789101745[[#This Row],[LIST $]]*_1_541284561214624104645789101745[[#This Row],[DISCOUNT]]*_1_541284561214624104645789101745[[#This Row],[DISCOUNT 2]]</f>
        <v>24.426600799999996</v>
      </c>
      <c r="M15" s="194">
        <f>IF(OR(_1_541284561214624104645789101745[[#This Row],[UNIT]]&gt;0,_1_541284561214624104645789101745[[#This Row],[UNIT]]&lt;0),_1_541284561214624104645789101745[[#This Row],[UNIT]]*_1_541284561214624104645789101745[[#This Row],[COST]],0)</f>
        <v>24.426600799999996</v>
      </c>
      <c r="N15" s="194">
        <f t="shared" si="0"/>
        <v>1.5</v>
      </c>
      <c r="O15" s="198">
        <f>_1_541284561214624104645789101745[[#This Row],[TOTAL]]*_1_541284561214624104645789101745[[#This Row],[MARGIN]]</f>
        <v>36.639901199999997</v>
      </c>
      <c r="R15" s="41"/>
    </row>
    <row r="16" spans="1:18">
      <c r="A16" s="168"/>
      <c r="C16" s="168"/>
      <c r="D16" s="188" t="s">
        <v>311</v>
      </c>
      <c r="E16" s="41">
        <v>2</v>
      </c>
      <c r="F16" s="168" t="s">
        <v>6202</v>
      </c>
      <c r="G16" s="193" t="str">
        <f>IF(_1_541284561214624104645789101745[[#This Row],[Type]]&gt;0,VLOOKUP(_1_541284561214624104645789101745[[#This Row],[Type]],Main[[#All],[TYPE]:[UNIT]],'Unit Price'!C$1,FALSE),0)</f>
        <v>CONTROL CABLE</v>
      </c>
      <c r="H16" s="197" t="str">
        <f>IF(_1_541284561214624104645789101745[[#This Row],[Type]]&gt;0,VLOOKUP(_1_541284561214624104645789101745[[#This Row],[Type]],Main[[#All],[TYPE]:[UNIT]],'Unit Price'!D$1,FALSE),0)</f>
        <v>UC</v>
      </c>
      <c r="I16" s="194">
        <f>IF(_1_541284561214624104645789101745[[#This Row],[Type]]&gt;0,VLOOKUP(_1_541284561214624104645789101745[[#This Row],[Type]],Main[[#All],[TYPE]:[UNIT]],'Unit Price'!G$1,FALSE),0)</f>
        <v>1</v>
      </c>
      <c r="J16" s="194">
        <f>IF(_1_541284561214624104645789101745[[#This Row],[Type]]&gt;0,VLOOKUP(_1_541284561214624104645789101745[[#This Row],[Type]],Main[[#All],[TYPE]:[UNIT]],'Unit Price'!H$1,FALSE),0)</f>
        <v>1</v>
      </c>
      <c r="K16" s="194">
        <f>IF(_1_541284561214624104645789101745[[#This Row],[Discount selection]]&gt;0,VLOOKUP(_1_541284561214624104645789101745[[#This Row],[Discount selection]],'Discount Structure'!$A$2:$B$30,2,"false"),0)</f>
        <v>1</v>
      </c>
      <c r="L16" s="194">
        <f>_1_541284561214624104645789101745[[#This Row],[LIST $]]*_1_541284561214624104645789101745[[#This Row],[DISCOUNT]]*_1_541284561214624104645789101745[[#This Row],[DISCOUNT 2]]</f>
        <v>1</v>
      </c>
      <c r="M16" s="194">
        <f>IF(OR(_1_541284561214624104645789101745[[#This Row],[UNIT]]&gt;0,_1_541284561214624104645789101745[[#This Row],[UNIT]]&lt;0),_1_541284561214624104645789101745[[#This Row],[UNIT]]*_1_541284561214624104645789101745[[#This Row],[COST]],0)</f>
        <v>2</v>
      </c>
      <c r="N16" s="194">
        <f t="shared" si="0"/>
        <v>1.5</v>
      </c>
      <c r="O16" s="198">
        <f>_1_541284561214624104645789101745[[#This Row],[TOTAL]]*_1_541284561214624104645789101745[[#This Row],[MARGIN]]</f>
        <v>3</v>
      </c>
      <c r="R16" s="41"/>
    </row>
    <row r="17" spans="1:18">
      <c r="C17" s="168"/>
      <c r="D17" s="314"/>
      <c r="F17" s="168" t="s">
        <v>6202</v>
      </c>
      <c r="G17" s="193">
        <f>IF(_1_541284561214624104645789101745[[#This Row],[Type]]&gt;0,VLOOKUP(_1_541284561214624104645789101745[[#This Row],[Type]],Main[[#All],[TYPE]:[UNIT]],'Unit Price'!C$1,FALSE),0)</f>
        <v>0</v>
      </c>
      <c r="H17" s="197">
        <f>IF(_1_541284561214624104645789101745[[#This Row],[Type]]&gt;0,VLOOKUP(_1_541284561214624104645789101745[[#This Row],[Type]],Main[[#All],[TYPE]:[UNIT]],'Unit Price'!D$1,FALSE),0)</f>
        <v>0</v>
      </c>
      <c r="I17" s="194">
        <f>IF(_1_541284561214624104645789101745[[#This Row],[Type]]&gt;0,VLOOKUP(_1_541284561214624104645789101745[[#This Row],[Type]],Main[[#All],[TYPE]:[UNIT]],'Unit Price'!G$1,FALSE),0)</f>
        <v>0</v>
      </c>
      <c r="J17" s="194">
        <f>IF(_1_541284561214624104645789101745[[#This Row],[Type]]&gt;0,VLOOKUP(_1_541284561214624104645789101745[[#This Row],[Type]],Main[[#All],[TYPE]:[UNIT]],'Unit Price'!H$1,FALSE),0)</f>
        <v>0</v>
      </c>
      <c r="K17" s="194">
        <f>IF(_1_541284561214624104645789101745[[#This Row],[Discount selection]]&gt;0,VLOOKUP(_1_541284561214624104645789101745[[#This Row],[Discount selection]],'Discount Structure'!$A$2:$B$30,2,"false"),0)</f>
        <v>1</v>
      </c>
      <c r="L17" s="194">
        <f>_1_541284561214624104645789101745[[#This Row],[LIST $]]*_1_541284561214624104645789101745[[#This Row],[DISCOUNT]]*_1_541284561214624104645789101745[[#This Row],[DISCOUNT 2]]</f>
        <v>0</v>
      </c>
      <c r="M17" s="194">
        <f>IF(OR(_1_541284561214624104645789101745[[#This Row],[UNIT]]&gt;0,_1_541284561214624104645789101745[[#This Row],[UNIT]]&lt;0),_1_541284561214624104645789101745[[#This Row],[UNIT]]*_1_541284561214624104645789101745[[#This Row],[COST]],0)</f>
        <v>0</v>
      </c>
      <c r="N17" s="194">
        <f t="shared" si="0"/>
        <v>1.5</v>
      </c>
      <c r="O17" s="198">
        <f>_1_541284561214624104645789101745[[#This Row],[TOTAL]]*_1_541284561214624104645789101745[[#This Row],[MARGIN]]</f>
        <v>0</v>
      </c>
      <c r="R17" s="41"/>
    </row>
    <row r="18" spans="1:18">
      <c r="A18" s="168"/>
      <c r="C18" s="168"/>
      <c r="D18" s="188" t="s">
        <v>301</v>
      </c>
      <c r="E18" s="41">
        <v>3</v>
      </c>
      <c r="F18" s="168" t="s">
        <v>6202</v>
      </c>
      <c r="G18" s="193" t="str">
        <f>IF(_1_541284561214624104645789101745[[#This Row],[Type]]&gt;0,VLOOKUP(_1_541284561214624104645789101745[[#This Row],[Type]],Main[[#All],[TYPE]:[UNIT]],'Unit Price'!C$1,FALSE),0)</f>
        <v>HRC FUSE</v>
      </c>
      <c r="H18" s="197" t="str">
        <f>IF(_1_541284561214624104645789101745[[#This Row],[Type]]&gt;0,VLOOKUP(_1_541284561214624104645789101745[[#This Row],[Type]],Main[[#All],[TYPE]:[UNIT]],'Unit Price'!D$1,FALSE),0)</f>
        <v>HAMA</v>
      </c>
      <c r="I18" s="194">
        <f>IF(_1_541284561214624104645789101745[[#This Row],[Type]]&gt;0,VLOOKUP(_1_541284561214624104645789101745[[#This Row],[Type]],Main[[#All],[TYPE]:[UNIT]],'Unit Price'!G$1,FALSE),0)</f>
        <v>6</v>
      </c>
      <c r="J18" s="194">
        <f>IF(_1_541284561214624104645789101745[[#This Row],[Type]]&gt;0,VLOOKUP(_1_541284561214624104645789101745[[#This Row],[Type]],Main[[#All],[TYPE]:[UNIT]],'Unit Price'!H$1,FALSE),0)</f>
        <v>1</v>
      </c>
      <c r="K18" s="194">
        <f>IF(_1_541284561214624104645789101745[[#This Row],[Discount selection]]&gt;0,VLOOKUP(_1_541284561214624104645789101745[[#This Row],[Discount selection]],'Discount Structure'!$A$2:$B$30,2,"false"),0)</f>
        <v>1</v>
      </c>
      <c r="L18" s="194">
        <f>_1_541284561214624104645789101745[[#This Row],[LIST $]]*_1_541284561214624104645789101745[[#This Row],[DISCOUNT]]*_1_541284561214624104645789101745[[#This Row],[DISCOUNT 2]]</f>
        <v>6</v>
      </c>
      <c r="M18" s="194">
        <f>IF(OR(_1_541284561214624104645789101745[[#This Row],[UNIT]]&gt;0,_1_541284561214624104645789101745[[#This Row],[UNIT]]&lt;0),_1_541284561214624104645789101745[[#This Row],[UNIT]]*_1_541284561214624104645789101745[[#This Row],[COST]],0)</f>
        <v>18</v>
      </c>
      <c r="N18" s="194">
        <f t="shared" si="0"/>
        <v>1.5</v>
      </c>
      <c r="O18" s="198">
        <f>_1_541284561214624104645789101745[[#This Row],[TOTAL]]*_1_541284561214624104645789101745[[#This Row],[MARGIN]]</f>
        <v>27</v>
      </c>
      <c r="R18" s="41"/>
    </row>
    <row r="19" spans="1:18">
      <c r="C19" s="168"/>
      <c r="D19" s="188" t="s">
        <v>2162</v>
      </c>
      <c r="E19" s="41">
        <v>3</v>
      </c>
      <c r="F19" s="168" t="s">
        <v>6202</v>
      </c>
      <c r="G19" s="193" t="str">
        <f>IF(_1_541284561214624104645789101745[[#This Row],[Type]]&gt;0,VLOOKUP(_1_541284561214624104645789101745[[#This Row],[Type]],Main[[#All],[TYPE]:[UNIT]],'Unit Price'!C$1,FALSE),0)</f>
        <v>PILOT LAMP,240VAC</v>
      </c>
      <c r="H19" s="197" t="str">
        <f>IF(_1_541284561214624104645789101745[[#This Row],[Type]]&gt;0,VLOOKUP(_1_541284561214624104645789101745[[#This Row],[Type]],Main[[#All],[TYPE]:[UNIT]],'Unit Price'!D$1,FALSE),0)</f>
        <v>FD</v>
      </c>
      <c r="I19" s="194">
        <f>IF(_1_541284561214624104645789101745[[#This Row],[Type]]&gt;0,VLOOKUP(_1_541284561214624104645789101745[[#This Row],[Type]],Main[[#All],[TYPE]:[UNIT]],'Unit Price'!G$1,FALSE),0)</f>
        <v>4</v>
      </c>
      <c r="J19" s="194">
        <f>IF(_1_541284561214624104645789101745[[#This Row],[Type]]&gt;0,VLOOKUP(_1_541284561214624104645789101745[[#This Row],[Type]],Main[[#All],[TYPE]:[UNIT]],'Unit Price'!H$1,FALSE),0)</f>
        <v>1</v>
      </c>
      <c r="K19" s="194">
        <f>IF(_1_541284561214624104645789101745[[#This Row],[Discount selection]]&gt;0,VLOOKUP(_1_541284561214624104645789101745[[#This Row],[Discount selection]],'Discount Structure'!$A$2:$B$30,2,"false"),0)</f>
        <v>1</v>
      </c>
      <c r="L19" s="194">
        <f>_1_541284561214624104645789101745[[#This Row],[LIST $]]*_1_541284561214624104645789101745[[#This Row],[DISCOUNT]]*_1_541284561214624104645789101745[[#This Row],[DISCOUNT 2]]</f>
        <v>4</v>
      </c>
      <c r="M19" s="194">
        <f>IF(OR(_1_541284561214624104645789101745[[#This Row],[UNIT]]&gt;0,_1_541284561214624104645789101745[[#This Row],[UNIT]]&lt;0),_1_541284561214624104645789101745[[#This Row],[UNIT]]*_1_541284561214624104645789101745[[#This Row],[COST]],0)</f>
        <v>12</v>
      </c>
      <c r="N19" s="194">
        <f t="shared" si="0"/>
        <v>1.5</v>
      </c>
      <c r="O19" s="198">
        <f>_1_541284561214624104645789101745[[#This Row],[TOTAL]]*_1_541284561214624104645789101745[[#This Row],[MARGIN]]</f>
        <v>18</v>
      </c>
      <c r="R19" s="41"/>
    </row>
    <row r="20" spans="1:18">
      <c r="A20" s="168"/>
      <c r="B20" s="168"/>
      <c r="C20" s="168"/>
      <c r="D20" s="188" t="s">
        <v>2462</v>
      </c>
      <c r="E20" s="41">
        <v>1</v>
      </c>
      <c r="F20" s="168" t="s">
        <v>6202</v>
      </c>
      <c r="G20" s="193" t="str">
        <f>IF(_1_541284561214624104645789101745[[#This Row],[Type]]&gt;0,VLOOKUP(_1_541284561214624104645789101745[[#This Row],[Type]],Main[[#All],[TYPE]:[UNIT]],'Unit Price'!C$1,FALSE),0)</f>
        <v>ANALOGUE VOLTMETER, 90 Deg Cls 1.5, 96x96mm</v>
      </c>
      <c r="H20" s="197" t="str">
        <f>IF(_1_541284561214624104645789101745[[#This Row],[Type]]&gt;0,VLOOKUP(_1_541284561214624104645789101745[[#This Row],[Type]],Main[[#All],[TYPE]:[UNIT]],'Unit Price'!D$1,FALSE),0)</f>
        <v>IMETEC</v>
      </c>
      <c r="I20" s="194">
        <f>IF(_1_541284561214624104645789101745[[#This Row],[Type]]&gt;0,VLOOKUP(_1_541284561214624104645789101745[[#This Row],[Type]],Main[[#All],[TYPE]:[UNIT]],'Unit Price'!G$1,FALSE),0)</f>
        <v>16.5</v>
      </c>
      <c r="J20" s="194">
        <f>IF(_1_541284561214624104645789101745[[#This Row],[Type]]&gt;0,VLOOKUP(_1_541284561214624104645789101745[[#This Row],[Type]],Main[[#All],[TYPE]:[UNIT]],'Unit Price'!H$1,FALSE),0)</f>
        <v>1</v>
      </c>
      <c r="K20" s="194">
        <f>IF(_1_541284561214624104645789101745[[#This Row],[Discount selection]]&gt;0,VLOOKUP(_1_541284561214624104645789101745[[#This Row],[Discount selection]],'Discount Structure'!$A$2:$B$30,2,"false"),0)</f>
        <v>1</v>
      </c>
      <c r="L20" s="194">
        <f>_1_541284561214624104645789101745[[#This Row],[LIST $]]*_1_541284561214624104645789101745[[#This Row],[DISCOUNT]]*_1_541284561214624104645789101745[[#This Row],[DISCOUNT 2]]</f>
        <v>16.5</v>
      </c>
      <c r="M20" s="194">
        <f>IF(OR(_1_541284561214624104645789101745[[#This Row],[UNIT]]&gt;0,_1_541284561214624104645789101745[[#This Row],[UNIT]]&lt;0),_1_541284561214624104645789101745[[#This Row],[UNIT]]*_1_541284561214624104645789101745[[#This Row],[COST]],0)</f>
        <v>16.5</v>
      </c>
      <c r="N20" s="194">
        <f t="shared" si="0"/>
        <v>1.5</v>
      </c>
      <c r="O20" s="198">
        <f>_1_541284561214624104645789101745[[#This Row],[TOTAL]]*_1_541284561214624104645789101745[[#This Row],[MARGIN]]</f>
        <v>24.75</v>
      </c>
      <c r="R20" s="41"/>
    </row>
    <row r="21" spans="1:18">
      <c r="C21" s="168"/>
      <c r="D21" s="188" t="s">
        <v>3539</v>
      </c>
      <c r="E21" s="41">
        <v>1</v>
      </c>
      <c r="F21" s="168" t="s">
        <v>6202</v>
      </c>
      <c r="G21" s="193" t="str">
        <f>IF(_1_541284561214624104645789101745[[#This Row],[Type]]&gt;0,VLOOKUP(_1_541284561214624104645789101745[[#This Row],[Type]],Main[[#All],[TYPE]:[UNIT]],'Unit Price'!C$1,FALSE),0)</f>
        <v>SELECTOR SWITCH, VOLMETER</v>
      </c>
      <c r="H21" s="197" t="str">
        <f>IF(_1_541284561214624104645789101745[[#This Row],[Type]]&gt;0,VLOOKUP(_1_541284561214624104645789101745[[#This Row],[Type]],Main[[#All],[TYPE]:[UNIT]],'Unit Price'!D$1,FALSE),0)</f>
        <v>SALZER</v>
      </c>
      <c r="I21" s="194">
        <f>IF(_1_541284561214624104645789101745[[#This Row],[Type]]&gt;0,VLOOKUP(_1_541284561214624104645789101745[[#This Row],[Type]],Main[[#All],[TYPE]:[UNIT]],'Unit Price'!G$1,FALSE),0)</f>
        <v>18</v>
      </c>
      <c r="J21" s="194">
        <f>IF(_1_541284561214624104645789101745[[#This Row],[Type]]&gt;0,VLOOKUP(_1_541284561214624104645789101745[[#This Row],[Type]],Main[[#All],[TYPE]:[UNIT]],'Unit Price'!H$1,FALSE),0)</f>
        <v>1</v>
      </c>
      <c r="K21" s="194">
        <f>IF(_1_541284561214624104645789101745[[#This Row],[Discount selection]]&gt;0,VLOOKUP(_1_541284561214624104645789101745[[#This Row],[Discount selection]],'Discount Structure'!$A$2:$B$30,2,"false"),0)</f>
        <v>1</v>
      </c>
      <c r="L21" s="194">
        <f>_1_541284561214624104645789101745[[#This Row],[LIST $]]*_1_541284561214624104645789101745[[#This Row],[DISCOUNT]]*_1_541284561214624104645789101745[[#This Row],[DISCOUNT 2]]</f>
        <v>18</v>
      </c>
      <c r="M21" s="194">
        <f>IF(OR(_1_541284561214624104645789101745[[#This Row],[UNIT]]&gt;0,_1_541284561214624104645789101745[[#This Row],[UNIT]]&lt;0),_1_541284561214624104645789101745[[#This Row],[UNIT]]*_1_541284561214624104645789101745[[#This Row],[COST]],0)</f>
        <v>18</v>
      </c>
      <c r="N21" s="194">
        <f t="shared" si="0"/>
        <v>1.5</v>
      </c>
      <c r="O21" s="198">
        <f>_1_541284561214624104645789101745[[#This Row],[TOTAL]]*_1_541284561214624104645789101745[[#This Row],[MARGIN]]</f>
        <v>27</v>
      </c>
      <c r="R21" s="41"/>
    </row>
    <row r="22" spans="1:18">
      <c r="A22" s="168"/>
      <c r="C22" s="168"/>
      <c r="D22" s="188" t="s">
        <v>2923</v>
      </c>
      <c r="E22" s="41">
        <v>3</v>
      </c>
      <c r="F22" s="168" t="s">
        <v>6202</v>
      </c>
      <c r="G22" s="193" t="str">
        <f>IF(_1_541284561214624104645789101745[[#This Row],[Type]]&gt;0,VLOOKUP(_1_541284561214624104645789101745[[#This Row],[Type]],Main[[#All],[TYPE]:[UNIT]],'Unit Price'!C$1,FALSE),0)</f>
        <v>100/5A CL1 MCT</v>
      </c>
      <c r="H22" s="197" t="str">
        <f>IF(_1_541284561214624104645789101745[[#This Row],[Type]]&gt;0,VLOOKUP(_1_541284561214624104645789101745[[#This Row],[Type]],Main[[#All],[TYPE]:[UNIT]],'Unit Price'!D$1,FALSE),0)</f>
        <v>Mun Hean</v>
      </c>
      <c r="I22" s="194">
        <f>IF(_1_541284561214624104645789101745[[#This Row],[Type]]&gt;0,VLOOKUP(_1_541284561214624104645789101745[[#This Row],[Type]],Main[[#All],[TYPE]:[UNIT]],'Unit Price'!G$1,FALSE),0)</f>
        <v>118</v>
      </c>
      <c r="J22" s="194">
        <f>IF(_1_541284561214624104645789101745[[#This Row],[Type]]&gt;0,VLOOKUP(_1_541284561214624104645789101745[[#This Row],[Type]],Main[[#All],[TYPE]:[UNIT]],'Unit Price'!H$1,FALSE),0)</f>
        <v>0.54826874999999997</v>
      </c>
      <c r="K22" s="194">
        <f>IF(_1_541284561214624104645789101745[[#This Row],[Discount selection]]&gt;0,VLOOKUP(_1_541284561214624104645789101745[[#This Row],[Discount selection]],'Discount Structure'!$A$2:$B$30,2,"false"),0)</f>
        <v>1</v>
      </c>
      <c r="L22" s="194">
        <f>_1_541284561214624104645789101745[[#This Row],[LIST $]]*_1_541284561214624104645789101745[[#This Row],[DISCOUNT]]*_1_541284561214624104645789101745[[#This Row],[DISCOUNT 2]]</f>
        <v>64.695712499999999</v>
      </c>
      <c r="M22" s="194">
        <f>IF(OR(_1_541284561214624104645789101745[[#This Row],[UNIT]]&gt;0,_1_541284561214624104645789101745[[#This Row],[UNIT]]&lt;0),_1_541284561214624104645789101745[[#This Row],[UNIT]]*_1_541284561214624104645789101745[[#This Row],[COST]],0)</f>
        <v>194.08713749999998</v>
      </c>
      <c r="N22" s="194">
        <f t="shared" si="0"/>
        <v>1.5</v>
      </c>
      <c r="O22" s="198">
        <f>_1_541284561214624104645789101745[[#This Row],[TOTAL]]*_1_541284561214624104645789101745[[#This Row],[MARGIN]]</f>
        <v>291.13070625</v>
      </c>
      <c r="R22" s="41"/>
    </row>
    <row r="23" spans="1:18">
      <c r="C23" s="168"/>
      <c r="D23" s="314" t="s">
        <v>2452</v>
      </c>
      <c r="E23" s="41">
        <v>1</v>
      </c>
      <c r="F23" s="168" t="s">
        <v>6202</v>
      </c>
      <c r="G23" s="193" t="str">
        <f>IF(_1_541284561214624104645789101745[[#This Row],[Type]]&gt;0,VLOOKUP(_1_541284561214624104645789101745[[#This Row],[Type]],Main[[#All],[TYPE]:[UNIT]],'Unit Price'!C$1,FALSE),0)</f>
        <v>ANALOGUE AMMETER, 90 Deg Cls 1.5, 96x96mm</v>
      </c>
      <c r="H23" s="197" t="str">
        <f>IF(_1_541284561214624104645789101745[[#This Row],[Type]]&gt;0,VLOOKUP(_1_541284561214624104645789101745[[#This Row],[Type]],Main[[#All],[TYPE]:[UNIT]],'Unit Price'!D$1,FALSE),0)</f>
        <v>IMETEC</v>
      </c>
      <c r="I23" s="194">
        <f>IF(_1_541284561214624104645789101745[[#This Row],[Type]]&gt;0,VLOOKUP(_1_541284561214624104645789101745[[#This Row],[Type]],Main[[#All],[TYPE]:[UNIT]],'Unit Price'!G$1,FALSE),0)</f>
        <v>16.5</v>
      </c>
      <c r="J23" s="194">
        <f>IF(_1_541284561214624104645789101745[[#This Row],[Type]]&gt;0,VLOOKUP(_1_541284561214624104645789101745[[#This Row],[Type]],Main[[#All],[TYPE]:[UNIT]],'Unit Price'!H$1,FALSE),0)</f>
        <v>1</v>
      </c>
      <c r="K23" s="194">
        <f>IF(_1_541284561214624104645789101745[[#This Row],[Discount selection]]&gt;0,VLOOKUP(_1_541284561214624104645789101745[[#This Row],[Discount selection]],'Discount Structure'!$A$2:$B$30,2,"false"),0)</f>
        <v>1</v>
      </c>
      <c r="L23" s="194">
        <f>_1_541284561214624104645789101745[[#This Row],[LIST $]]*_1_541284561214624104645789101745[[#This Row],[DISCOUNT]]*_1_541284561214624104645789101745[[#This Row],[DISCOUNT 2]]</f>
        <v>16.5</v>
      </c>
      <c r="M23" s="194">
        <f>IF(OR(_1_541284561214624104645789101745[[#This Row],[UNIT]]&gt;0,_1_541284561214624104645789101745[[#This Row],[UNIT]]&lt;0),_1_541284561214624104645789101745[[#This Row],[UNIT]]*_1_541284561214624104645789101745[[#This Row],[COST]],0)</f>
        <v>16.5</v>
      </c>
      <c r="N23" s="194">
        <f t="shared" si="0"/>
        <v>1.5</v>
      </c>
      <c r="O23" s="198">
        <f>_1_541284561214624104645789101745[[#This Row],[TOTAL]]*_1_541284561214624104645789101745[[#This Row],[MARGIN]]</f>
        <v>24.75</v>
      </c>
      <c r="R23" s="41"/>
    </row>
    <row r="24" spans="1:18">
      <c r="C24" s="168"/>
      <c r="D24" s="188" t="s">
        <v>311</v>
      </c>
      <c r="E24" s="41">
        <v>20</v>
      </c>
      <c r="F24" s="168" t="s">
        <v>6202</v>
      </c>
      <c r="G24" s="193" t="str">
        <f>IF(_1_541284561214624104645789101745[[#This Row],[Type]]&gt;0,VLOOKUP(_1_541284561214624104645789101745[[#This Row],[Type]],Main[[#All],[TYPE]:[UNIT]],'Unit Price'!C$1,FALSE),0)</f>
        <v>CONTROL CABLE</v>
      </c>
      <c r="H24" s="197" t="str">
        <f>IF(_1_541284561214624104645789101745[[#This Row],[Type]]&gt;0,VLOOKUP(_1_541284561214624104645789101745[[#This Row],[Type]],Main[[#All],[TYPE]:[UNIT]],'Unit Price'!D$1,FALSE),0)</f>
        <v>UC</v>
      </c>
      <c r="I24" s="194">
        <f>IF(_1_541284561214624104645789101745[[#This Row],[Type]]&gt;0,VLOOKUP(_1_541284561214624104645789101745[[#This Row],[Type]],Main[[#All],[TYPE]:[UNIT]],'Unit Price'!G$1,FALSE),0)</f>
        <v>1</v>
      </c>
      <c r="J24" s="194">
        <f>IF(_1_541284561214624104645789101745[[#This Row],[Type]]&gt;0,VLOOKUP(_1_541284561214624104645789101745[[#This Row],[Type]],Main[[#All],[TYPE]:[UNIT]],'Unit Price'!H$1,FALSE),0)</f>
        <v>1</v>
      </c>
      <c r="K24" s="194">
        <f>IF(_1_541284561214624104645789101745[[#This Row],[Discount selection]]&gt;0,VLOOKUP(_1_541284561214624104645789101745[[#This Row],[Discount selection]],'Discount Structure'!$A$2:$B$30,2,"false"),0)</f>
        <v>1</v>
      </c>
      <c r="L24" s="194">
        <f>_1_541284561214624104645789101745[[#This Row],[LIST $]]*_1_541284561214624104645789101745[[#This Row],[DISCOUNT]]*_1_541284561214624104645789101745[[#This Row],[DISCOUNT 2]]</f>
        <v>1</v>
      </c>
      <c r="M24" s="194">
        <f>IF(OR(_1_541284561214624104645789101745[[#This Row],[UNIT]]&gt;0,_1_541284561214624104645789101745[[#This Row],[UNIT]]&lt;0),_1_541284561214624104645789101745[[#This Row],[UNIT]]*_1_541284561214624104645789101745[[#This Row],[COST]],0)</f>
        <v>20</v>
      </c>
      <c r="N24" s="194">
        <f t="shared" si="0"/>
        <v>1.5</v>
      </c>
      <c r="O24" s="198">
        <f>_1_541284561214624104645789101745[[#This Row],[TOTAL]]*_1_541284561214624104645789101745[[#This Row],[MARGIN]]</f>
        <v>30</v>
      </c>
      <c r="R24" s="41"/>
    </row>
    <row r="25" spans="1:18">
      <c r="C25" s="168"/>
      <c r="D25" s="188"/>
      <c r="F25" s="168" t="s">
        <v>6202</v>
      </c>
      <c r="G25" s="193">
        <f>IF(_1_541284561214624104645789101745[[#This Row],[Type]]&gt;0,VLOOKUP(_1_541284561214624104645789101745[[#This Row],[Type]],Main[[#All],[TYPE]:[UNIT]],'Unit Price'!C$1,FALSE),0)</f>
        <v>0</v>
      </c>
      <c r="H25" s="197">
        <f>IF(_1_541284561214624104645789101745[[#This Row],[Type]]&gt;0,VLOOKUP(_1_541284561214624104645789101745[[#This Row],[Type]],Main[[#All],[TYPE]:[UNIT]],'Unit Price'!D$1,FALSE),0)</f>
        <v>0</v>
      </c>
      <c r="I25" s="194">
        <f>IF(_1_541284561214624104645789101745[[#This Row],[Type]]&gt;0,VLOOKUP(_1_541284561214624104645789101745[[#This Row],[Type]],Main[[#All],[TYPE]:[UNIT]],'Unit Price'!G$1,FALSE),0)</f>
        <v>0</v>
      </c>
      <c r="J25" s="194">
        <f>IF(_1_541284561214624104645789101745[[#This Row],[Type]]&gt;0,VLOOKUP(_1_541284561214624104645789101745[[#This Row],[Type]],Main[[#All],[TYPE]:[UNIT]],'Unit Price'!H$1,FALSE),0)</f>
        <v>0</v>
      </c>
      <c r="K25" s="194">
        <f>IF(_1_541284561214624104645789101745[[#This Row],[Discount selection]]&gt;0,VLOOKUP(_1_541284561214624104645789101745[[#This Row],[Discount selection]],'Discount Structure'!$A$2:$B$30,2,"false"),0)</f>
        <v>1</v>
      </c>
      <c r="L25" s="194">
        <f>_1_541284561214624104645789101745[[#This Row],[LIST $]]*_1_541284561214624104645789101745[[#This Row],[DISCOUNT]]*_1_541284561214624104645789101745[[#This Row],[DISCOUNT 2]]</f>
        <v>0</v>
      </c>
      <c r="M25" s="194">
        <f>IF(OR(_1_541284561214624104645789101745[[#This Row],[UNIT]]&gt;0,_1_541284561214624104645789101745[[#This Row],[UNIT]]&lt;0),_1_541284561214624104645789101745[[#This Row],[UNIT]]*_1_541284561214624104645789101745[[#This Row],[COST]],0)</f>
        <v>0</v>
      </c>
      <c r="N25" s="194">
        <f t="shared" si="0"/>
        <v>1.5</v>
      </c>
      <c r="O25" s="198">
        <f>_1_541284561214624104645789101745[[#This Row],[TOTAL]]*_1_541284561214624104645789101745[[#This Row],[MARGIN]]</f>
        <v>0</v>
      </c>
      <c r="R25" s="41"/>
    </row>
    <row r="26" spans="1:18">
      <c r="C26" s="168"/>
      <c r="D26" s="188" t="s">
        <v>1525</v>
      </c>
      <c r="E26" s="41">
        <v>9</v>
      </c>
      <c r="F26" s="168" t="s">
        <v>6202</v>
      </c>
      <c r="G26" s="193" t="str">
        <f>IF(_1_541284561214624104645789101745[[#This Row],[Type]]&gt;0,VLOOKUP(_1_541284561214624104645789101745[[#This Row],[Type]],Main[[#All],[TYPE]:[UNIT]],'Unit Price'!C$1,FALSE),0)</f>
        <v>6A ~ 40A 2P 10KA MCB</v>
      </c>
      <c r="H26" s="197" t="str">
        <f>IF(_1_541284561214624104645789101745[[#This Row],[Type]]&gt;0,VLOOKUP(_1_541284561214624104645789101745[[#This Row],[Type]],Main[[#All],[TYPE]:[UNIT]],'Unit Price'!D$1,FALSE),0)</f>
        <v>CHINT</v>
      </c>
      <c r="I26" s="194">
        <f>IF(_1_541284561214624104645789101745[[#This Row],[Type]]&gt;0,VLOOKUP(_1_541284561214624104645789101745[[#This Row],[Type]],Main[[#All],[TYPE]:[UNIT]],'Unit Price'!G$1,FALSE),0)</f>
        <v>51.2</v>
      </c>
      <c r="J26" s="194">
        <f>IF(_1_541284561214624104645789101745[[#This Row],[Type]]&gt;0,VLOOKUP(_1_541284561214624104645789101745[[#This Row],[Type]],Main[[#All],[TYPE]:[UNIT]],'Unit Price'!H$1,FALSE),0)</f>
        <v>0.47155599999999998</v>
      </c>
      <c r="K26" s="194">
        <f>IF(_1_541284561214624104645789101745[[#This Row],[Discount selection]]&gt;0,VLOOKUP(_1_541284561214624104645789101745[[#This Row],[Discount selection]],'Discount Structure'!$A$2:$B$30,2,"false"),0)</f>
        <v>1</v>
      </c>
      <c r="L26" s="194">
        <f>_1_541284561214624104645789101745[[#This Row],[LIST $]]*_1_541284561214624104645789101745[[#This Row],[DISCOUNT]]*_1_541284561214624104645789101745[[#This Row],[DISCOUNT 2]]</f>
        <v>24.143667199999999</v>
      </c>
      <c r="M26" s="194">
        <f>IF(OR(_1_541284561214624104645789101745[[#This Row],[UNIT]]&gt;0,_1_541284561214624104645789101745[[#This Row],[UNIT]]&lt;0),_1_541284561214624104645789101745[[#This Row],[UNIT]]*_1_541284561214624104645789101745[[#This Row],[COST]],0)</f>
        <v>217.29300480000001</v>
      </c>
      <c r="N26" s="194">
        <f t="shared" si="0"/>
        <v>1.5</v>
      </c>
      <c r="O26" s="198">
        <f>_1_541284561214624104645789101745[[#This Row],[TOTAL]]*_1_541284561214624104645789101745[[#This Row],[MARGIN]]</f>
        <v>325.93950719999998</v>
      </c>
      <c r="R26" s="41"/>
    </row>
    <row r="27" spans="1:18">
      <c r="B27" s="168"/>
      <c r="C27" s="168"/>
      <c r="D27" s="188" t="s">
        <v>1537</v>
      </c>
      <c r="E27" s="41">
        <v>6</v>
      </c>
      <c r="F27" s="168" t="s">
        <v>6202</v>
      </c>
      <c r="G27" s="193" t="str">
        <f>IF(_1_541284561214624104645789101745[[#This Row],[Type]]&gt;0,VLOOKUP(_1_541284561214624104645789101745[[#This Row],[Type]],Main[[#All],[TYPE]:[UNIT]],'Unit Price'!C$1,FALSE),0)</f>
        <v>25A, 40A 1P+N 10mA RCBO</v>
      </c>
      <c r="H27" s="197" t="str">
        <f>IF(_1_541284561214624104645789101745[[#This Row],[Type]]&gt;0,VLOOKUP(_1_541284561214624104645789101745[[#This Row],[Type]],Main[[#All],[TYPE]:[UNIT]],'Unit Price'!D$1,FALSE),0)</f>
        <v>CHINT</v>
      </c>
      <c r="I27" s="194">
        <f>IF(_1_541284561214624104645789101745[[#This Row],[Type]]&gt;0,VLOOKUP(_1_541284561214624104645789101745[[#This Row],[Type]],Main[[#All],[TYPE]:[UNIT]],'Unit Price'!G$1,FALSE),0)</f>
        <v>144</v>
      </c>
      <c r="J27" s="194">
        <f>IF(_1_541284561214624104645789101745[[#This Row],[Type]]&gt;0,VLOOKUP(_1_541284561214624104645789101745[[#This Row],[Type]],Main[[#All],[TYPE]:[UNIT]],'Unit Price'!H$1,FALSE),0)</f>
        <v>0.47155599999999998</v>
      </c>
      <c r="K27" s="194">
        <f>IF(_1_541284561214624104645789101745[[#This Row],[Discount selection]]&gt;0,VLOOKUP(_1_541284561214624104645789101745[[#This Row],[Discount selection]],'Discount Structure'!$A$2:$B$30,2,"false"),0)</f>
        <v>1</v>
      </c>
      <c r="L27" s="194">
        <f>_1_541284561214624104645789101745[[#This Row],[LIST $]]*_1_541284561214624104645789101745[[#This Row],[DISCOUNT]]*_1_541284561214624104645789101745[[#This Row],[DISCOUNT 2]]</f>
        <v>67.904063999999991</v>
      </c>
      <c r="M27" s="194">
        <f>IF(OR(_1_541284561214624104645789101745[[#This Row],[UNIT]]&gt;0,_1_541284561214624104645789101745[[#This Row],[UNIT]]&lt;0),_1_541284561214624104645789101745[[#This Row],[UNIT]]*_1_541284561214624104645789101745[[#This Row],[COST]],0)</f>
        <v>407.42438399999992</v>
      </c>
      <c r="N27" s="194">
        <f t="shared" si="0"/>
        <v>1.5</v>
      </c>
      <c r="O27" s="198">
        <f>_1_541284561214624104645789101745[[#This Row],[TOTAL]]*_1_541284561214624104645789101745[[#This Row],[MARGIN]]</f>
        <v>611.13657599999988</v>
      </c>
      <c r="R27" s="41"/>
    </row>
    <row r="28" spans="1:18">
      <c r="A28" s="168"/>
      <c r="C28" s="168"/>
      <c r="D28" s="188" t="s">
        <v>294</v>
      </c>
      <c r="E28" s="41">
        <v>6</v>
      </c>
      <c r="F28" s="168" t="s">
        <v>6202</v>
      </c>
      <c r="G28" s="193" t="str">
        <f>IF(_1_541284561214624104645789101745[[#This Row],[Type]]&gt;0,VLOOKUP(_1_541284561214624104645789101745[[#This Row],[Type]],Main[[#All],[TYPE]:[UNIT]],'Unit Price'!C$1,FALSE),0)</f>
        <v>6A ~ 40A 2P 6kA MCB</v>
      </c>
      <c r="H28" s="197" t="str">
        <f>IF(_1_541284561214624104645789101745[[#This Row],[Type]]&gt;0,VLOOKUP(_1_541284561214624104645789101745[[#This Row],[Type]],Main[[#All],[TYPE]:[UNIT]],'Unit Price'!D$1,FALSE),0)</f>
        <v>CHINT</v>
      </c>
      <c r="I28" s="194">
        <f>IF(_1_541284561214624104645789101745[[#This Row],[Type]]&gt;0,VLOOKUP(_1_541284561214624104645789101745[[#This Row],[Type]],Main[[#All],[TYPE]:[UNIT]],'Unit Price'!G$1,FALSE),0)</f>
        <v>33.9</v>
      </c>
      <c r="J28" s="194">
        <f>IF(_1_541284561214624104645789101745[[#This Row],[Type]]&gt;0,VLOOKUP(_1_541284561214624104645789101745[[#This Row],[Type]],Main[[#All],[TYPE]:[UNIT]],'Unit Price'!H$1,FALSE),0)</f>
        <v>0.47155599999999998</v>
      </c>
      <c r="K28" s="194">
        <f>IF(_1_541284561214624104645789101745[[#This Row],[Discount selection]]&gt;0,VLOOKUP(_1_541284561214624104645789101745[[#This Row],[Discount selection]],'Discount Structure'!$A$2:$B$30,2,"false"),0)</f>
        <v>1</v>
      </c>
      <c r="L28" s="194">
        <f>_1_541284561214624104645789101745[[#This Row],[LIST $]]*_1_541284561214624104645789101745[[#This Row],[DISCOUNT]]*_1_541284561214624104645789101745[[#This Row],[DISCOUNT 2]]</f>
        <v>15.985748399999999</v>
      </c>
      <c r="M28" s="194">
        <f>IF(OR(_1_541284561214624104645789101745[[#This Row],[UNIT]]&gt;0,_1_541284561214624104645789101745[[#This Row],[UNIT]]&lt;0),_1_541284561214624104645789101745[[#This Row],[UNIT]]*_1_541284561214624104645789101745[[#This Row],[COST]],0)</f>
        <v>95.914490399999991</v>
      </c>
      <c r="N28" s="194">
        <f t="shared" si="0"/>
        <v>1.5</v>
      </c>
      <c r="O28" s="198">
        <f>_1_541284561214624104645789101745[[#This Row],[TOTAL]]*_1_541284561214624104645789101745[[#This Row],[MARGIN]]</f>
        <v>143.87173559999999</v>
      </c>
      <c r="R28" s="41"/>
    </row>
    <row r="29" spans="1:18">
      <c r="A29" s="168"/>
      <c r="C29" s="168"/>
      <c r="D29" s="188" t="s">
        <v>299</v>
      </c>
      <c r="E29" s="41">
        <v>20</v>
      </c>
      <c r="F29" s="168" t="s">
        <v>6202</v>
      </c>
      <c r="G29" s="193" t="str">
        <f>IF(_1_541284561214624104645789101745[[#This Row],[Type]]&gt;0,VLOOKUP(_1_541284561214624104645789101745[[#This Row],[Type]],Main[[#All],[TYPE]:[UNIT]],'Unit Price'!C$1,FALSE),0)</f>
        <v>10MM SQ PVC CABLE (40A)</v>
      </c>
      <c r="H29" s="197" t="str">
        <f>IF(_1_541284561214624104645789101745[[#This Row],[Type]]&gt;0,VLOOKUP(_1_541284561214624104645789101745[[#This Row],[Type]],Main[[#All],[TYPE]:[UNIT]],'Unit Price'!D$1,FALSE),0)</f>
        <v>UC</v>
      </c>
      <c r="I29" s="194">
        <f>IF(_1_541284561214624104645789101745[[#This Row],[Type]]&gt;0,VLOOKUP(_1_541284561214624104645789101745[[#This Row],[Type]],Main[[#All],[TYPE]:[UNIT]],'Unit Price'!G$1,FALSE),0)</f>
        <v>6</v>
      </c>
      <c r="J29" s="194">
        <f>IF(_1_541284561214624104645789101745[[#This Row],[Type]]&gt;0,VLOOKUP(_1_541284561214624104645789101745[[#This Row],[Type]],Main[[#All],[TYPE]:[UNIT]],'Unit Price'!H$1,FALSE),0)</f>
        <v>1</v>
      </c>
      <c r="K29" s="194">
        <f>IF(_1_541284561214624104645789101745[[#This Row],[Discount selection]]&gt;0,VLOOKUP(_1_541284561214624104645789101745[[#This Row],[Discount selection]],'Discount Structure'!$A$2:$B$30,2,"false"),0)</f>
        <v>1</v>
      </c>
      <c r="L29" s="194">
        <f>_1_541284561214624104645789101745[[#This Row],[LIST $]]*_1_541284561214624104645789101745[[#This Row],[DISCOUNT]]*_1_541284561214624104645789101745[[#This Row],[DISCOUNT 2]]</f>
        <v>6</v>
      </c>
      <c r="M29" s="194">
        <f>IF(OR(_1_541284561214624104645789101745[[#This Row],[UNIT]]&gt;0,_1_541284561214624104645789101745[[#This Row],[UNIT]]&lt;0),_1_541284561214624104645789101745[[#This Row],[UNIT]]*_1_541284561214624104645789101745[[#This Row],[COST]],0)</f>
        <v>120</v>
      </c>
      <c r="N29" s="194">
        <f t="shared" si="0"/>
        <v>1.5</v>
      </c>
      <c r="O29" s="198">
        <f>_1_541284561214624104645789101745[[#This Row],[TOTAL]]*_1_541284561214624104645789101745[[#This Row],[MARGIN]]</f>
        <v>180</v>
      </c>
      <c r="R29" s="41"/>
    </row>
    <row r="30" spans="1:18">
      <c r="A30" s="168"/>
      <c r="C30" s="168"/>
      <c r="D30" s="188"/>
      <c r="F30" s="168" t="s">
        <v>6202</v>
      </c>
      <c r="G30" s="193">
        <f>IF(_1_541284561214624104645789101745[[#This Row],[Type]]&gt;0,VLOOKUP(_1_541284561214624104645789101745[[#This Row],[Type]],Main[[#All],[TYPE]:[UNIT]],'Unit Price'!C$1,FALSE),0)</f>
        <v>0</v>
      </c>
      <c r="H30" s="197">
        <f>IF(_1_541284561214624104645789101745[[#This Row],[Type]]&gt;0,VLOOKUP(_1_541284561214624104645789101745[[#This Row],[Type]],Main[[#All],[TYPE]:[UNIT]],'Unit Price'!D$1,FALSE),0)</f>
        <v>0</v>
      </c>
      <c r="I30" s="194">
        <f>IF(_1_541284561214624104645789101745[[#This Row],[Type]]&gt;0,VLOOKUP(_1_541284561214624104645789101745[[#This Row],[Type]],Main[[#All],[TYPE]:[UNIT]],'Unit Price'!G$1,FALSE),0)</f>
        <v>0</v>
      </c>
      <c r="J30" s="194">
        <f>IF(_1_541284561214624104645789101745[[#This Row],[Type]]&gt;0,VLOOKUP(_1_541284561214624104645789101745[[#This Row],[Type]],Main[[#All],[TYPE]:[UNIT]],'Unit Price'!H$1,FALSE),0)</f>
        <v>0</v>
      </c>
      <c r="K30" s="194">
        <f>IF(_1_541284561214624104645789101745[[#This Row],[Discount selection]]&gt;0,VLOOKUP(_1_541284561214624104645789101745[[#This Row],[Discount selection]],'Discount Structure'!$A$2:$B$30,2,"false"),0)</f>
        <v>1</v>
      </c>
      <c r="L30" s="194">
        <f>_1_541284561214624104645789101745[[#This Row],[LIST $]]*_1_541284561214624104645789101745[[#This Row],[DISCOUNT]]*_1_541284561214624104645789101745[[#This Row],[DISCOUNT 2]]</f>
        <v>0</v>
      </c>
      <c r="M30" s="194">
        <f>IF(OR(_1_541284561214624104645789101745[[#This Row],[UNIT]]&gt;0,_1_541284561214624104645789101745[[#This Row],[UNIT]]&lt;0),_1_541284561214624104645789101745[[#This Row],[UNIT]]*_1_541284561214624104645789101745[[#This Row],[COST]],0)</f>
        <v>0</v>
      </c>
      <c r="N30" s="194">
        <f t="shared" si="0"/>
        <v>1.5</v>
      </c>
      <c r="O30" s="198">
        <f>_1_541284561214624104645789101745[[#This Row],[TOTAL]]*_1_541284561214624104645789101745[[#This Row],[MARGIN]]</f>
        <v>0</v>
      </c>
      <c r="R30" s="41"/>
    </row>
    <row r="31" spans="1:18">
      <c r="A31" s="168"/>
      <c r="C31" s="168"/>
      <c r="D31" s="188" t="s">
        <v>5722</v>
      </c>
      <c r="E31" s="41">
        <v>15</v>
      </c>
      <c r="F31" s="168" t="s">
        <v>6202</v>
      </c>
      <c r="G31" s="193" t="str">
        <f>IF(_1_541284561214624104645789101745[[#This Row],[Type]]&gt;0,VLOOKUP(_1_541284561214624104645789101745[[#This Row],[Type]],Main[[#All],[TYPE]:[UNIT]],'Unit Price'!C$1,FALSE),0)</f>
        <v>50A, 63A 1P+N 30mA RCBO</v>
      </c>
      <c r="H31" s="197" t="str">
        <f>IF(_1_541284561214624104645789101745[[#This Row],[Type]]&gt;0,VLOOKUP(_1_541284561214624104645789101745[[#This Row],[Type]],Main[[#All],[TYPE]:[UNIT]],'Unit Price'!D$1,FALSE),0)</f>
        <v>CHINT</v>
      </c>
      <c r="I31" s="194">
        <f>IF(_1_541284561214624104645789101745[[#This Row],[Type]]&gt;0,VLOOKUP(_1_541284561214624104645789101745[[#This Row],[Type]],Main[[#All],[TYPE]:[UNIT]],'Unit Price'!G$1,FALSE),0)</f>
        <v>179</v>
      </c>
      <c r="J31" s="194">
        <f>IF(_1_541284561214624104645789101745[[#This Row],[Type]]&gt;0,VLOOKUP(_1_541284561214624104645789101745[[#This Row],[Type]],Main[[#All],[TYPE]:[UNIT]],'Unit Price'!H$1,FALSE),0)</f>
        <v>0.47155599999999998</v>
      </c>
      <c r="K31" s="194">
        <f>IF(_1_541284561214624104645789101745[[#This Row],[Discount selection]]&gt;0,VLOOKUP(_1_541284561214624104645789101745[[#This Row],[Discount selection]],'Discount Structure'!$A$2:$B$30,2,"false"),0)</f>
        <v>1</v>
      </c>
      <c r="L31" s="194">
        <f>_1_541284561214624104645789101745[[#This Row],[LIST $]]*_1_541284561214624104645789101745[[#This Row],[DISCOUNT]]*_1_541284561214624104645789101745[[#This Row],[DISCOUNT 2]]</f>
        <v>84.408524</v>
      </c>
      <c r="M31" s="194">
        <f>IF(OR(_1_541284561214624104645789101745[[#This Row],[UNIT]]&gt;0,_1_541284561214624104645789101745[[#This Row],[UNIT]]&lt;0),_1_541284561214624104645789101745[[#This Row],[UNIT]]*_1_541284561214624104645789101745[[#This Row],[COST]],0)</f>
        <v>1266.1278600000001</v>
      </c>
      <c r="N31" s="194">
        <f t="shared" si="0"/>
        <v>1.5</v>
      </c>
      <c r="O31" s="198">
        <f>_1_541284561214624104645789101745[[#This Row],[TOTAL]]*_1_541284561214624104645789101745[[#This Row],[MARGIN]]</f>
        <v>1899.1917900000001</v>
      </c>
      <c r="R31" s="41"/>
    </row>
    <row r="32" spans="1:18">
      <c r="C32" s="168"/>
      <c r="D32" s="188" t="s">
        <v>294</v>
      </c>
      <c r="E32" s="41">
        <v>12</v>
      </c>
      <c r="F32" s="168" t="s">
        <v>6202</v>
      </c>
      <c r="G32" s="193" t="str">
        <f>IF(_1_541284561214624104645789101745[[#This Row],[Type]]&gt;0,VLOOKUP(_1_541284561214624104645789101745[[#This Row],[Type]],Main[[#All],[TYPE]:[UNIT]],'Unit Price'!C$1,FALSE),0)</f>
        <v>6A ~ 40A 2P 6kA MCB</v>
      </c>
      <c r="H32" s="197" t="str">
        <f>IF(_1_541284561214624104645789101745[[#This Row],[Type]]&gt;0,VLOOKUP(_1_541284561214624104645789101745[[#This Row],[Type]],Main[[#All],[TYPE]:[UNIT]],'Unit Price'!D$1,FALSE),0)</f>
        <v>CHINT</v>
      </c>
      <c r="I32" s="194">
        <f>IF(_1_541284561214624104645789101745[[#This Row],[Type]]&gt;0,VLOOKUP(_1_541284561214624104645789101745[[#This Row],[Type]],Main[[#All],[TYPE]:[UNIT]],'Unit Price'!G$1,FALSE),0)</f>
        <v>33.9</v>
      </c>
      <c r="J32" s="194">
        <f>IF(_1_541284561214624104645789101745[[#This Row],[Type]]&gt;0,VLOOKUP(_1_541284561214624104645789101745[[#This Row],[Type]],Main[[#All],[TYPE]:[UNIT]],'Unit Price'!H$1,FALSE),0)</f>
        <v>0.47155599999999998</v>
      </c>
      <c r="K32" s="194">
        <f>IF(_1_541284561214624104645789101745[[#This Row],[Discount selection]]&gt;0,VLOOKUP(_1_541284561214624104645789101745[[#This Row],[Discount selection]],'Discount Structure'!$A$2:$B$30,2,"false"),0)</f>
        <v>1</v>
      </c>
      <c r="L32" s="194">
        <f>_1_541284561214624104645789101745[[#This Row],[LIST $]]*_1_541284561214624104645789101745[[#This Row],[DISCOUNT]]*_1_541284561214624104645789101745[[#This Row],[DISCOUNT 2]]</f>
        <v>15.985748399999999</v>
      </c>
      <c r="M32" s="194">
        <f>IF(OR(_1_541284561214624104645789101745[[#This Row],[UNIT]]&gt;0,_1_541284561214624104645789101745[[#This Row],[UNIT]]&lt;0),_1_541284561214624104645789101745[[#This Row],[UNIT]]*_1_541284561214624104645789101745[[#This Row],[COST]],0)</f>
        <v>191.82898079999998</v>
      </c>
      <c r="N32" s="194">
        <f t="shared" si="0"/>
        <v>1.5</v>
      </c>
      <c r="O32" s="198">
        <f>_1_541284561214624104645789101745[[#This Row],[TOTAL]]*_1_541284561214624104645789101745[[#This Row],[MARGIN]]</f>
        <v>287.74347119999999</v>
      </c>
      <c r="R32" s="41"/>
    </row>
    <row r="33" spans="1:18">
      <c r="A33" s="331"/>
      <c r="C33" s="168"/>
      <c r="D33" s="188" t="s">
        <v>299</v>
      </c>
      <c r="E33" s="41">
        <v>20</v>
      </c>
      <c r="F33" s="168" t="s">
        <v>6202</v>
      </c>
      <c r="G33" s="193" t="str">
        <f>IF(_1_541284561214624104645789101745[[#This Row],[Type]]&gt;0,VLOOKUP(_1_541284561214624104645789101745[[#This Row],[Type]],Main[[#All],[TYPE]:[UNIT]],'Unit Price'!C$1,FALSE),0)</f>
        <v>10MM SQ PVC CABLE (40A)</v>
      </c>
      <c r="H33" s="197" t="str">
        <f>IF(_1_541284561214624104645789101745[[#This Row],[Type]]&gt;0,VLOOKUP(_1_541284561214624104645789101745[[#This Row],[Type]],Main[[#All],[TYPE]:[UNIT]],'Unit Price'!D$1,FALSE),0)</f>
        <v>UC</v>
      </c>
      <c r="I33" s="194">
        <f>IF(_1_541284561214624104645789101745[[#This Row],[Type]]&gt;0,VLOOKUP(_1_541284561214624104645789101745[[#This Row],[Type]],Main[[#All],[TYPE]:[UNIT]],'Unit Price'!G$1,FALSE),0)</f>
        <v>6</v>
      </c>
      <c r="J33" s="194">
        <f>IF(_1_541284561214624104645789101745[[#This Row],[Type]]&gt;0,VLOOKUP(_1_541284561214624104645789101745[[#This Row],[Type]],Main[[#All],[TYPE]:[UNIT]],'Unit Price'!H$1,FALSE),0)</f>
        <v>1</v>
      </c>
      <c r="K33" s="194">
        <f>IF(_1_541284561214624104645789101745[[#This Row],[Discount selection]]&gt;0,VLOOKUP(_1_541284561214624104645789101745[[#This Row],[Discount selection]],'Discount Structure'!$A$2:$B$30,2,"false"),0)</f>
        <v>1</v>
      </c>
      <c r="L33" s="194">
        <f>_1_541284561214624104645789101745[[#This Row],[LIST $]]*_1_541284561214624104645789101745[[#This Row],[DISCOUNT]]*_1_541284561214624104645789101745[[#This Row],[DISCOUNT 2]]</f>
        <v>6</v>
      </c>
      <c r="M33" s="194">
        <f>IF(OR(_1_541284561214624104645789101745[[#This Row],[UNIT]]&gt;0,_1_541284561214624104645789101745[[#This Row],[UNIT]]&lt;0),_1_541284561214624104645789101745[[#This Row],[UNIT]]*_1_541284561214624104645789101745[[#This Row],[COST]],0)</f>
        <v>120</v>
      </c>
      <c r="N33" s="194">
        <f t="shared" si="0"/>
        <v>1.5</v>
      </c>
      <c r="O33" s="198">
        <f>_1_541284561214624104645789101745[[#This Row],[TOTAL]]*_1_541284561214624104645789101745[[#This Row],[MARGIN]]</f>
        <v>180</v>
      </c>
      <c r="R33" s="41"/>
    </row>
    <row r="34" spans="1:18">
      <c r="C34" s="168"/>
      <c r="D34" s="188"/>
      <c r="F34" s="168" t="s">
        <v>6202</v>
      </c>
      <c r="G34" s="193">
        <f>IF(_1_541284561214624104645789101745[[#This Row],[Type]]&gt;0,VLOOKUP(_1_541284561214624104645789101745[[#This Row],[Type]],Main[[#All],[TYPE]:[UNIT]],'Unit Price'!C$1,FALSE),0)</f>
        <v>0</v>
      </c>
      <c r="H34" s="197">
        <f>IF(_1_541284561214624104645789101745[[#This Row],[Type]]&gt;0,VLOOKUP(_1_541284561214624104645789101745[[#This Row],[Type]],Main[[#All],[TYPE]:[UNIT]],'Unit Price'!D$1,FALSE),0)</f>
        <v>0</v>
      </c>
      <c r="I34" s="194">
        <f>IF(_1_541284561214624104645789101745[[#This Row],[Type]]&gt;0,VLOOKUP(_1_541284561214624104645789101745[[#This Row],[Type]],Main[[#All],[TYPE]:[UNIT]],'Unit Price'!G$1,FALSE),0)</f>
        <v>0</v>
      </c>
      <c r="J34" s="194">
        <f>IF(_1_541284561214624104645789101745[[#This Row],[Type]]&gt;0,VLOOKUP(_1_541284561214624104645789101745[[#This Row],[Type]],Main[[#All],[TYPE]:[UNIT]],'Unit Price'!H$1,FALSE),0)</f>
        <v>0</v>
      </c>
      <c r="K34" s="194">
        <f>IF(_1_541284561214624104645789101745[[#This Row],[Discount selection]]&gt;0,VLOOKUP(_1_541284561214624104645789101745[[#This Row],[Discount selection]],'Discount Structure'!$A$2:$B$30,2,"false"),0)</f>
        <v>1</v>
      </c>
      <c r="L34" s="194">
        <f>_1_541284561214624104645789101745[[#This Row],[LIST $]]*_1_541284561214624104645789101745[[#This Row],[DISCOUNT]]*_1_541284561214624104645789101745[[#This Row],[DISCOUNT 2]]</f>
        <v>0</v>
      </c>
      <c r="M34" s="194">
        <f>IF(OR(_1_541284561214624104645789101745[[#This Row],[UNIT]]&gt;0,_1_541284561214624104645789101745[[#This Row],[UNIT]]&lt;0),_1_541284561214624104645789101745[[#This Row],[UNIT]]*_1_541284561214624104645789101745[[#This Row],[COST]],0)</f>
        <v>0</v>
      </c>
      <c r="N34" s="194">
        <f t="shared" si="0"/>
        <v>1.5</v>
      </c>
      <c r="O34" s="198">
        <f>_1_541284561214624104645789101745[[#This Row],[TOTAL]]*_1_541284561214624104645789101745[[#This Row],[MARGIN]]</f>
        <v>0</v>
      </c>
      <c r="R34" s="41"/>
    </row>
    <row r="35" spans="1:18">
      <c r="C35" s="168"/>
      <c r="D35" s="188" t="s">
        <v>7636</v>
      </c>
      <c r="E35" s="41">
        <v>1</v>
      </c>
      <c r="F35" s="168" t="s">
        <v>6202</v>
      </c>
      <c r="G35" s="193" t="str">
        <f>IF(_1_541284561214624104645789101745[[#This Row],[Type]]&gt;0,VLOOKUP(_1_541284561214624104645789101745[[#This Row],[Type]],Main[[#All],[TYPE]:[UNIT]],'Unit Price'!C$1,FALSE),0)</f>
        <v>SSB, 1.6mm THICK
12 OUT MCCBs
1200x(550+550)x250</v>
      </c>
      <c r="H35" s="197" t="str">
        <f>IF(_1_541284561214624104645789101745[[#This Row],[Type]]&gt;0,VLOOKUP(_1_541284561214624104645789101745[[#This Row],[Type]],Main[[#All],[TYPE]:[UNIT]],'Unit Price'!D$1,FALSE),0)</f>
        <v>TK</v>
      </c>
      <c r="I35" s="194">
        <f>IF(_1_541284561214624104645789101745[[#This Row],[Type]]&gt;0,VLOOKUP(_1_541284561214624104645789101745[[#This Row],[Type]],Main[[#All],[TYPE]:[UNIT]],'Unit Price'!G$1,FALSE),0)</f>
        <v>1410</v>
      </c>
      <c r="J35" s="194">
        <f>IF(_1_541284561214624104645789101745[[#This Row],[Type]]&gt;0,VLOOKUP(_1_541284561214624104645789101745[[#This Row],[Type]],Main[[#All],[TYPE]:[UNIT]],'Unit Price'!H$1,FALSE),0)</f>
        <v>1</v>
      </c>
      <c r="K35" s="194">
        <f>IF(_1_541284561214624104645789101745[[#This Row],[Discount selection]]&gt;0,VLOOKUP(_1_541284561214624104645789101745[[#This Row],[Discount selection]],'Discount Structure'!$A$2:$B$30,2,"false"),0)</f>
        <v>1</v>
      </c>
      <c r="L35" s="194">
        <f>_1_541284561214624104645789101745[[#This Row],[LIST $]]*_1_541284561214624104645789101745[[#This Row],[DISCOUNT]]*_1_541284561214624104645789101745[[#This Row],[DISCOUNT 2]]</f>
        <v>1410</v>
      </c>
      <c r="M35" s="194">
        <f>IF(OR(_1_541284561214624104645789101745[[#This Row],[UNIT]]&gt;0,_1_541284561214624104645789101745[[#This Row],[UNIT]]&lt;0),_1_541284561214624104645789101745[[#This Row],[UNIT]]*_1_541284561214624104645789101745[[#This Row],[COST]],0)</f>
        <v>1410</v>
      </c>
      <c r="N35" s="194">
        <f t="shared" si="0"/>
        <v>1.5</v>
      </c>
      <c r="O35" s="198">
        <f>_1_541284561214624104645789101745[[#This Row],[TOTAL]]*_1_541284561214624104645789101745[[#This Row],[MARGIN]]</f>
        <v>2115</v>
      </c>
      <c r="R35" s="41"/>
    </row>
    <row r="36" spans="1:18">
      <c r="A36" s="168"/>
      <c r="B36" s="315"/>
      <c r="C36" s="168"/>
      <c r="D36" s="188" t="s">
        <v>6375</v>
      </c>
      <c r="E36" s="41">
        <v>1.1000000000000001</v>
      </c>
      <c r="F36" s="168" t="s">
        <v>6202</v>
      </c>
      <c r="G36" s="193" t="str">
        <f>IF(_1_541284561214624104645789101745[[#This Row],[Type]]&gt;0,VLOOKUP(_1_541284561214624104645789101745[[#This Row],[Type]],Main[[#All],[TYPE]:[UNIT]],'Unit Price'!C$1,FALSE),0)</f>
        <v>BUSBAR, 116A, 15kA
25mm x 3mm</v>
      </c>
      <c r="H36" s="197" t="str">
        <f>IF(_1_541284561214624104645789101745[[#This Row],[Type]]&gt;0,VLOOKUP(_1_541284561214624104645789101745[[#This Row],[Type]],Main[[#All],[TYPE]:[UNIT]],'Unit Price'!D$1,FALSE),0)</f>
        <v>LUVATA</v>
      </c>
      <c r="I36" s="194">
        <f>IF(_1_541284561214624104645789101745[[#This Row],[Type]]&gt;0,VLOOKUP(_1_541284561214624104645789101745[[#This Row],[Type]],Main[[#All],[TYPE]:[UNIT]],'Unit Price'!G$1,FALSE),0)</f>
        <v>43.484999999999999</v>
      </c>
      <c r="J36" s="194">
        <f>IF(_1_541284561214624104645789101745[[#This Row],[Type]]&gt;0,VLOOKUP(_1_541284561214624104645789101745[[#This Row],[Type]],Main[[#All],[TYPE]:[UNIT]],'Unit Price'!H$1,FALSE),0)</f>
        <v>1</v>
      </c>
      <c r="K36" s="194">
        <f>IF(_1_541284561214624104645789101745[[#This Row],[Discount selection]]&gt;0,VLOOKUP(_1_541284561214624104645789101745[[#This Row],[Discount selection]],'Discount Structure'!$A$2:$B$30,2,"false"),0)</f>
        <v>1</v>
      </c>
      <c r="L36" s="194">
        <f>_1_541284561214624104645789101745[[#This Row],[LIST $]]*_1_541284561214624104645789101745[[#This Row],[DISCOUNT]]*_1_541284561214624104645789101745[[#This Row],[DISCOUNT 2]]</f>
        <v>43.484999999999999</v>
      </c>
      <c r="M36" s="194">
        <f>IF(OR(_1_541284561214624104645789101745[[#This Row],[UNIT]]&gt;0,_1_541284561214624104645789101745[[#This Row],[UNIT]]&lt;0),_1_541284561214624104645789101745[[#This Row],[UNIT]]*_1_541284561214624104645789101745[[#This Row],[COST]],0)</f>
        <v>47.833500000000001</v>
      </c>
      <c r="N36" s="194">
        <f t="shared" si="0"/>
        <v>1.5</v>
      </c>
      <c r="O36" s="198">
        <f>_1_541284561214624104645789101745[[#This Row],[TOTAL]]*_1_541284561214624104645789101745[[#This Row],[MARGIN]]</f>
        <v>71.750249999999994</v>
      </c>
      <c r="R36" s="41"/>
    </row>
    <row r="37" spans="1:18">
      <c r="A37" s="168"/>
      <c r="C37" s="168"/>
      <c r="D37" s="188"/>
      <c r="F37" s="168" t="s">
        <v>6202</v>
      </c>
      <c r="G37" s="193">
        <f>IF(_1_541284561214624104645789101745[[#This Row],[Type]]&gt;0,VLOOKUP(_1_541284561214624104645789101745[[#This Row],[Type]],Main[[#All],[TYPE]:[UNIT]],'Unit Price'!C$1,FALSE),0)</f>
        <v>0</v>
      </c>
      <c r="H37" s="197">
        <f>IF(_1_541284561214624104645789101745[[#This Row],[Type]]&gt;0,VLOOKUP(_1_541284561214624104645789101745[[#This Row],[Type]],Main[[#All],[TYPE]:[UNIT]],'Unit Price'!D$1,FALSE),0)</f>
        <v>0</v>
      </c>
      <c r="I37" s="194">
        <f>IF(_1_541284561214624104645789101745[[#This Row],[Type]]&gt;0,VLOOKUP(_1_541284561214624104645789101745[[#This Row],[Type]],Main[[#All],[TYPE]:[UNIT]],'Unit Price'!G$1,FALSE),0)</f>
        <v>0</v>
      </c>
      <c r="J37" s="194">
        <f>IF(_1_541284561214624104645789101745[[#This Row],[Type]]&gt;0,VLOOKUP(_1_541284561214624104645789101745[[#This Row],[Type]],Main[[#All],[TYPE]:[UNIT]],'Unit Price'!H$1,FALSE),0)</f>
        <v>0</v>
      </c>
      <c r="K37" s="194">
        <f>IF(_1_541284561214624104645789101745[[#This Row],[Discount selection]]&gt;0,VLOOKUP(_1_541284561214624104645789101745[[#This Row],[Discount selection]],'Discount Structure'!$A$2:$B$30,2,"false"),0)</f>
        <v>1</v>
      </c>
      <c r="L37" s="194">
        <f>_1_541284561214624104645789101745[[#This Row],[LIST $]]*_1_541284561214624104645789101745[[#This Row],[DISCOUNT]]*_1_541284561214624104645789101745[[#This Row],[DISCOUNT 2]]</f>
        <v>0</v>
      </c>
      <c r="M37" s="194">
        <f>IF(OR(_1_541284561214624104645789101745[[#This Row],[UNIT]]&gt;0,_1_541284561214624104645789101745[[#This Row],[UNIT]]&lt;0),_1_541284561214624104645789101745[[#This Row],[UNIT]]*_1_541284561214624104645789101745[[#This Row],[COST]],0)</f>
        <v>0</v>
      </c>
      <c r="N37" s="194">
        <f t="shared" si="0"/>
        <v>1.5</v>
      </c>
      <c r="O37" s="198">
        <f>_1_541284561214624104645789101745[[#This Row],[TOTAL]]*_1_541284561214624104645789101745[[#This Row],[MARGIN]]</f>
        <v>0</v>
      </c>
      <c r="R37" s="41"/>
    </row>
    <row r="38" spans="1:18">
      <c r="C38" s="168"/>
      <c r="D38" s="188"/>
      <c r="F38" s="168" t="s">
        <v>6202</v>
      </c>
      <c r="G38" s="193">
        <f>IF(_1_541284561214624104645789101745[[#This Row],[Type]]&gt;0,VLOOKUP(_1_541284561214624104645789101745[[#This Row],[Type]],Main[[#All],[TYPE]:[UNIT]],'Unit Price'!C$1,FALSE),0)</f>
        <v>0</v>
      </c>
      <c r="H38" s="197">
        <f>IF(_1_541284561214624104645789101745[[#This Row],[Type]]&gt;0,VLOOKUP(_1_541284561214624104645789101745[[#This Row],[Type]],Main[[#All],[TYPE]:[UNIT]],'Unit Price'!D$1,FALSE),0)</f>
        <v>0</v>
      </c>
      <c r="I38" s="194">
        <f>IF(_1_541284561214624104645789101745[[#This Row],[Type]]&gt;0,VLOOKUP(_1_541284561214624104645789101745[[#This Row],[Type]],Main[[#All],[TYPE]:[UNIT]],'Unit Price'!G$1,FALSE),0)</f>
        <v>0</v>
      </c>
      <c r="J38" s="194">
        <f>IF(_1_541284561214624104645789101745[[#This Row],[Type]]&gt;0,VLOOKUP(_1_541284561214624104645789101745[[#This Row],[Type]],Main[[#All],[TYPE]:[UNIT]],'Unit Price'!H$1,FALSE),0)</f>
        <v>0</v>
      </c>
      <c r="K38" s="194">
        <f>IF(_1_541284561214624104645789101745[[#This Row],[Discount selection]]&gt;0,VLOOKUP(_1_541284561214624104645789101745[[#This Row],[Discount selection]],'Discount Structure'!$A$2:$B$30,2,"false"),0)</f>
        <v>1</v>
      </c>
      <c r="L38" s="194">
        <f>_1_541284561214624104645789101745[[#This Row],[LIST $]]*_1_541284561214624104645789101745[[#This Row],[DISCOUNT]]*_1_541284561214624104645789101745[[#This Row],[DISCOUNT 2]]</f>
        <v>0</v>
      </c>
      <c r="M38" s="194">
        <f>IF(OR(_1_541284561214624104645789101745[[#This Row],[UNIT]]&gt;0,_1_541284561214624104645789101745[[#This Row],[UNIT]]&lt;0),_1_541284561214624104645789101745[[#This Row],[UNIT]]*_1_541284561214624104645789101745[[#This Row],[COST]],0)</f>
        <v>0</v>
      </c>
      <c r="N38" s="194">
        <f t="shared" si="0"/>
        <v>1.5</v>
      </c>
      <c r="O38" s="198">
        <f>_1_541284561214624104645789101745[[#This Row],[TOTAL]]*_1_541284561214624104645789101745[[#This Row],[MARGIN]]</f>
        <v>0</v>
      </c>
      <c r="R38" s="41"/>
    </row>
    <row r="39" spans="1:18">
      <c r="C39" s="168"/>
      <c r="D39" s="188"/>
      <c r="F39" s="168" t="s">
        <v>6202</v>
      </c>
      <c r="G39" s="193">
        <f>IF(_1_541284561214624104645789101745[[#This Row],[Type]]&gt;0,VLOOKUP(_1_541284561214624104645789101745[[#This Row],[Type]],Main[[#All],[TYPE]:[UNIT]],'Unit Price'!C$1,FALSE),0)</f>
        <v>0</v>
      </c>
      <c r="H39" s="197">
        <f>IF(_1_541284561214624104645789101745[[#This Row],[Type]]&gt;0,VLOOKUP(_1_541284561214624104645789101745[[#This Row],[Type]],Main[[#All],[TYPE]:[UNIT]],'Unit Price'!D$1,FALSE),0)</f>
        <v>0</v>
      </c>
      <c r="I39" s="194">
        <f>IF(_1_541284561214624104645789101745[[#This Row],[Type]]&gt;0,VLOOKUP(_1_541284561214624104645789101745[[#This Row],[Type]],Main[[#All],[TYPE]:[UNIT]],'Unit Price'!G$1,FALSE),0)</f>
        <v>0</v>
      </c>
      <c r="J39" s="194">
        <f>IF(_1_541284561214624104645789101745[[#This Row],[Type]]&gt;0,VLOOKUP(_1_541284561214624104645789101745[[#This Row],[Type]],Main[[#All],[TYPE]:[UNIT]],'Unit Price'!H$1,FALSE),0)</f>
        <v>0</v>
      </c>
      <c r="K39" s="194">
        <f>IF(_1_541284561214624104645789101745[[#This Row],[Discount selection]]&gt;0,VLOOKUP(_1_541284561214624104645789101745[[#This Row],[Discount selection]],'Discount Structure'!$A$2:$B$30,2,"false"),0)</f>
        <v>1</v>
      </c>
      <c r="L39" s="194">
        <f>_1_541284561214624104645789101745[[#This Row],[LIST $]]*_1_541284561214624104645789101745[[#This Row],[DISCOUNT]]*_1_541284561214624104645789101745[[#This Row],[DISCOUNT 2]]</f>
        <v>0</v>
      </c>
      <c r="M39" s="194">
        <f>IF(OR(_1_541284561214624104645789101745[[#This Row],[UNIT]]&gt;0,_1_541284561214624104645789101745[[#This Row],[UNIT]]&lt;0),_1_541284561214624104645789101745[[#This Row],[UNIT]]*_1_541284561214624104645789101745[[#This Row],[COST]],0)</f>
        <v>0</v>
      </c>
      <c r="N39" s="194">
        <f t="shared" si="0"/>
        <v>1.5</v>
      </c>
      <c r="O39" s="198">
        <f>_1_541284561214624104645789101745[[#This Row],[TOTAL]]*_1_541284561214624104645789101745[[#This Row],[MARGIN]]</f>
        <v>0</v>
      </c>
      <c r="R39" s="41"/>
    </row>
    <row r="40" spans="1:18">
      <c r="C40" s="168"/>
      <c r="D40" s="188"/>
      <c r="F40" s="168" t="s">
        <v>6202</v>
      </c>
      <c r="G40" s="193">
        <f>IF(_1_541284561214624104645789101745[[#This Row],[Type]]&gt;0,VLOOKUP(_1_541284561214624104645789101745[[#This Row],[Type]],Main[[#All],[TYPE]:[UNIT]],'Unit Price'!C$1,FALSE),0)</f>
        <v>0</v>
      </c>
      <c r="H40" s="197">
        <f>IF(_1_541284561214624104645789101745[[#This Row],[Type]]&gt;0,VLOOKUP(_1_541284561214624104645789101745[[#This Row],[Type]],Main[[#All],[TYPE]:[UNIT]],'Unit Price'!D$1,FALSE),0)</f>
        <v>0</v>
      </c>
      <c r="I40" s="194">
        <f>IF(_1_541284561214624104645789101745[[#This Row],[Type]]&gt;0,VLOOKUP(_1_541284561214624104645789101745[[#This Row],[Type]],Main[[#All],[TYPE]:[UNIT]],'Unit Price'!G$1,FALSE),0)</f>
        <v>0</v>
      </c>
      <c r="J40" s="194">
        <f>IF(_1_541284561214624104645789101745[[#This Row],[Type]]&gt;0,VLOOKUP(_1_541284561214624104645789101745[[#This Row],[Type]],Main[[#All],[TYPE]:[UNIT]],'Unit Price'!H$1,FALSE),0)</f>
        <v>0</v>
      </c>
      <c r="K40" s="194">
        <f>IF(_1_541284561214624104645789101745[[#This Row],[Discount selection]]&gt;0,VLOOKUP(_1_541284561214624104645789101745[[#This Row],[Discount selection]],'Discount Structure'!$A$2:$B$30,2,"false"),0)</f>
        <v>1</v>
      </c>
      <c r="L40" s="194">
        <f>_1_541284561214624104645789101745[[#This Row],[LIST $]]*_1_541284561214624104645789101745[[#This Row],[DISCOUNT]]*_1_541284561214624104645789101745[[#This Row],[DISCOUNT 2]]</f>
        <v>0</v>
      </c>
      <c r="M40" s="194">
        <f>IF(OR(_1_541284561214624104645789101745[[#This Row],[UNIT]]&gt;0,_1_541284561214624104645789101745[[#This Row],[UNIT]]&lt;0),_1_541284561214624104645789101745[[#This Row],[UNIT]]*_1_541284561214624104645789101745[[#This Row],[COST]],0)</f>
        <v>0</v>
      </c>
      <c r="N40" s="194">
        <f t="shared" si="0"/>
        <v>1.5</v>
      </c>
      <c r="O40" s="198">
        <f>_1_541284561214624104645789101745[[#This Row],[TOTAL]]*_1_541284561214624104645789101745[[#This Row],[MARGIN]]</f>
        <v>0</v>
      </c>
      <c r="R40" s="41"/>
    </row>
    <row r="41" spans="1:18">
      <c r="A41" s="316"/>
      <c r="C41" s="168"/>
      <c r="D41" s="188"/>
      <c r="F41" s="168" t="s">
        <v>6202</v>
      </c>
      <c r="G41" s="193">
        <f>IF(_1_541284561214624104645789101745[[#This Row],[Type]]&gt;0,VLOOKUP(_1_541284561214624104645789101745[[#This Row],[Type]],Main[[#All],[TYPE]:[UNIT]],'Unit Price'!C$1,FALSE),0)</f>
        <v>0</v>
      </c>
      <c r="H41" s="197">
        <f>IF(_1_541284561214624104645789101745[[#This Row],[Type]]&gt;0,VLOOKUP(_1_541284561214624104645789101745[[#This Row],[Type]],Main[[#All],[TYPE]:[UNIT]],'Unit Price'!D$1,FALSE),0)</f>
        <v>0</v>
      </c>
      <c r="I41" s="194">
        <f>IF(_1_541284561214624104645789101745[[#This Row],[Type]]&gt;0,VLOOKUP(_1_541284561214624104645789101745[[#This Row],[Type]],Main[[#All],[TYPE]:[UNIT]],'Unit Price'!G$1,FALSE),0)</f>
        <v>0</v>
      </c>
      <c r="J41" s="194">
        <f>IF(_1_541284561214624104645789101745[[#This Row],[Type]]&gt;0,VLOOKUP(_1_541284561214624104645789101745[[#This Row],[Type]],Main[[#All],[TYPE]:[UNIT]],'Unit Price'!H$1,FALSE),0)</f>
        <v>0</v>
      </c>
      <c r="K41" s="194">
        <f>IF(_1_541284561214624104645789101745[[#This Row],[Discount selection]]&gt;0,VLOOKUP(_1_541284561214624104645789101745[[#This Row],[Discount selection]],'Discount Structure'!$A$2:$B$30,2,"false"),0)</f>
        <v>1</v>
      </c>
      <c r="L41" s="194">
        <f>_1_541284561214624104645789101745[[#This Row],[LIST $]]*_1_541284561214624104645789101745[[#This Row],[DISCOUNT]]*_1_541284561214624104645789101745[[#This Row],[DISCOUNT 2]]</f>
        <v>0</v>
      </c>
      <c r="M41" s="194">
        <f>IF(OR(_1_541284561214624104645789101745[[#This Row],[UNIT]]&gt;0,_1_541284561214624104645789101745[[#This Row],[UNIT]]&lt;0),_1_541284561214624104645789101745[[#This Row],[UNIT]]*_1_541284561214624104645789101745[[#This Row],[COST]],0)</f>
        <v>0</v>
      </c>
      <c r="N41" s="194">
        <f t="shared" si="0"/>
        <v>1.5</v>
      </c>
      <c r="O41" s="198">
        <f>_1_541284561214624104645789101745[[#This Row],[TOTAL]]*_1_541284561214624104645789101745[[#This Row],[MARGIN]]</f>
        <v>0</v>
      </c>
      <c r="R41" s="41"/>
    </row>
    <row r="42" spans="1:18">
      <c r="C42" s="168"/>
      <c r="D42" s="188"/>
      <c r="F42" s="168" t="s">
        <v>6202</v>
      </c>
      <c r="G42" s="193">
        <f>IF(_1_541284561214624104645789101745[[#This Row],[Type]]&gt;0,VLOOKUP(_1_541284561214624104645789101745[[#This Row],[Type]],Main[[#All],[TYPE]:[UNIT]],'Unit Price'!C$1,FALSE),0)</f>
        <v>0</v>
      </c>
      <c r="H42" s="197">
        <f>IF(_1_541284561214624104645789101745[[#This Row],[Type]]&gt;0,VLOOKUP(_1_541284561214624104645789101745[[#This Row],[Type]],Main[[#All],[TYPE]:[UNIT]],'Unit Price'!D$1,FALSE),0)</f>
        <v>0</v>
      </c>
      <c r="I42" s="194">
        <f>IF(_1_541284561214624104645789101745[[#This Row],[Type]]&gt;0,VLOOKUP(_1_541284561214624104645789101745[[#This Row],[Type]],Main[[#All],[TYPE]:[UNIT]],'Unit Price'!G$1,FALSE),0)</f>
        <v>0</v>
      </c>
      <c r="J42" s="194">
        <f>IF(_1_541284561214624104645789101745[[#This Row],[Type]]&gt;0,VLOOKUP(_1_541284561214624104645789101745[[#This Row],[Type]],Main[[#All],[TYPE]:[UNIT]],'Unit Price'!H$1,FALSE),0)</f>
        <v>0</v>
      </c>
      <c r="K42" s="194">
        <f>IF(_1_541284561214624104645789101745[[#This Row],[Discount selection]]&gt;0,VLOOKUP(_1_541284561214624104645789101745[[#This Row],[Discount selection]],'Discount Structure'!$A$2:$B$30,2,"false"),0)</f>
        <v>1</v>
      </c>
      <c r="L42" s="194">
        <f>_1_541284561214624104645789101745[[#This Row],[LIST $]]*_1_541284561214624104645789101745[[#This Row],[DISCOUNT]]*_1_541284561214624104645789101745[[#This Row],[DISCOUNT 2]]</f>
        <v>0</v>
      </c>
      <c r="M42" s="194">
        <f>IF(OR(_1_541284561214624104645789101745[[#This Row],[UNIT]]&gt;0,_1_541284561214624104645789101745[[#This Row],[UNIT]]&lt;0),_1_541284561214624104645789101745[[#This Row],[UNIT]]*_1_541284561214624104645789101745[[#This Row],[COST]],0)</f>
        <v>0</v>
      </c>
      <c r="N42" s="194">
        <f t="shared" si="0"/>
        <v>1.5</v>
      </c>
      <c r="O42" s="198">
        <f>_1_541284561214624104645789101745[[#This Row],[TOTAL]]*_1_541284561214624104645789101745[[#This Row],[MARGIN]]</f>
        <v>0</v>
      </c>
      <c r="R42" s="41"/>
    </row>
    <row r="43" spans="1:18">
      <c r="C43" s="168"/>
      <c r="D43" s="188"/>
      <c r="F43" s="168" t="s">
        <v>6202</v>
      </c>
      <c r="G43" s="193">
        <f>IF(_1_541284561214624104645789101745[[#This Row],[Type]]&gt;0,VLOOKUP(_1_541284561214624104645789101745[[#This Row],[Type]],Main[[#All],[TYPE]:[UNIT]],'Unit Price'!C$1,FALSE),0)</f>
        <v>0</v>
      </c>
      <c r="H43" s="197">
        <f>IF(_1_541284561214624104645789101745[[#This Row],[Type]]&gt;0,VLOOKUP(_1_541284561214624104645789101745[[#This Row],[Type]],Main[[#All],[TYPE]:[UNIT]],'Unit Price'!D$1,FALSE),0)</f>
        <v>0</v>
      </c>
      <c r="I43" s="194">
        <f>IF(_1_541284561214624104645789101745[[#This Row],[Type]]&gt;0,VLOOKUP(_1_541284561214624104645789101745[[#This Row],[Type]],Main[[#All],[TYPE]:[UNIT]],'Unit Price'!G$1,FALSE),0)</f>
        <v>0</v>
      </c>
      <c r="J43" s="194">
        <f>IF(_1_541284561214624104645789101745[[#This Row],[Type]]&gt;0,VLOOKUP(_1_541284561214624104645789101745[[#This Row],[Type]],Main[[#All],[TYPE]:[UNIT]],'Unit Price'!H$1,FALSE),0)</f>
        <v>0</v>
      </c>
      <c r="K43" s="194">
        <f>IF(_1_541284561214624104645789101745[[#This Row],[Discount selection]]&gt;0,VLOOKUP(_1_541284561214624104645789101745[[#This Row],[Discount selection]],'Discount Structure'!$A$2:$B$30,2,"false"),0)</f>
        <v>1</v>
      </c>
      <c r="L43" s="194">
        <f>_1_541284561214624104645789101745[[#This Row],[LIST $]]*_1_541284561214624104645789101745[[#This Row],[DISCOUNT]]*_1_541284561214624104645789101745[[#This Row],[DISCOUNT 2]]</f>
        <v>0</v>
      </c>
      <c r="M43" s="194">
        <f>IF(OR(_1_541284561214624104645789101745[[#This Row],[UNIT]]&gt;0,_1_541284561214624104645789101745[[#This Row],[UNIT]]&lt;0),_1_541284561214624104645789101745[[#This Row],[UNIT]]*_1_541284561214624104645789101745[[#This Row],[COST]],0)</f>
        <v>0</v>
      </c>
      <c r="N43" s="194">
        <f t="shared" si="0"/>
        <v>1.5</v>
      </c>
      <c r="O43" s="198">
        <f>_1_541284561214624104645789101745[[#This Row],[TOTAL]]*_1_541284561214624104645789101745[[#This Row],[MARGIN]]</f>
        <v>0</v>
      </c>
      <c r="R43" s="41"/>
    </row>
    <row r="44" spans="1:18">
      <c r="C44" s="168"/>
      <c r="D44" s="188"/>
      <c r="F44" s="168" t="s">
        <v>6202</v>
      </c>
      <c r="G44" s="193">
        <f>IF(_1_541284561214624104645789101745[[#This Row],[Type]]&gt;0,VLOOKUP(_1_541284561214624104645789101745[[#This Row],[Type]],Main[[#All],[TYPE]:[UNIT]],'Unit Price'!C$1,FALSE),0)</f>
        <v>0</v>
      </c>
      <c r="H44" s="197">
        <f>IF(_1_541284561214624104645789101745[[#This Row],[Type]]&gt;0,VLOOKUP(_1_541284561214624104645789101745[[#This Row],[Type]],Main[[#All],[TYPE]:[UNIT]],'Unit Price'!D$1,FALSE),0)</f>
        <v>0</v>
      </c>
      <c r="I44" s="194">
        <f>IF(_1_541284561214624104645789101745[[#This Row],[Type]]&gt;0,VLOOKUP(_1_541284561214624104645789101745[[#This Row],[Type]],Main[[#All],[TYPE]:[UNIT]],'Unit Price'!G$1,FALSE),0)</f>
        <v>0</v>
      </c>
      <c r="J44" s="194">
        <f>IF(_1_541284561214624104645789101745[[#This Row],[Type]]&gt;0,VLOOKUP(_1_541284561214624104645789101745[[#This Row],[Type]],Main[[#All],[TYPE]:[UNIT]],'Unit Price'!H$1,FALSE),0)</f>
        <v>0</v>
      </c>
      <c r="K44" s="194">
        <f>IF(_1_541284561214624104645789101745[[#This Row],[Discount selection]]&gt;0,VLOOKUP(_1_541284561214624104645789101745[[#This Row],[Discount selection]],'Discount Structure'!$A$2:$B$30,2,"false"),0)</f>
        <v>1</v>
      </c>
      <c r="L44" s="194">
        <f>_1_541284561214624104645789101745[[#This Row],[LIST $]]*_1_541284561214624104645789101745[[#This Row],[DISCOUNT]]*_1_541284561214624104645789101745[[#This Row],[DISCOUNT 2]]</f>
        <v>0</v>
      </c>
      <c r="M44" s="194">
        <f>IF(OR(_1_541284561214624104645789101745[[#This Row],[UNIT]]&gt;0,_1_541284561214624104645789101745[[#This Row],[UNIT]]&lt;0),_1_541284561214624104645789101745[[#This Row],[UNIT]]*_1_541284561214624104645789101745[[#This Row],[COST]],0)</f>
        <v>0</v>
      </c>
      <c r="N44" s="194">
        <f t="shared" si="0"/>
        <v>1.5</v>
      </c>
      <c r="O44" s="198">
        <f>_1_541284561214624104645789101745[[#This Row],[TOTAL]]*_1_541284561214624104645789101745[[#This Row],[MARGIN]]</f>
        <v>0</v>
      </c>
      <c r="R44" s="41"/>
    </row>
    <row r="45" spans="1:18">
      <c r="C45" s="168"/>
      <c r="D45" s="188"/>
      <c r="F45" s="168" t="s">
        <v>6202</v>
      </c>
      <c r="G45" s="193">
        <f>IF(_1_541284561214624104645789101745[[#This Row],[Type]]&gt;0,VLOOKUP(_1_541284561214624104645789101745[[#This Row],[Type]],Main[[#All],[TYPE]:[UNIT]],'Unit Price'!C$1,FALSE),0)</f>
        <v>0</v>
      </c>
      <c r="H45" s="197">
        <f>IF(_1_541284561214624104645789101745[[#This Row],[Type]]&gt;0,VLOOKUP(_1_541284561214624104645789101745[[#This Row],[Type]],Main[[#All],[TYPE]:[UNIT]],'Unit Price'!D$1,FALSE),0)</f>
        <v>0</v>
      </c>
      <c r="I45" s="194">
        <f>IF(_1_541284561214624104645789101745[[#This Row],[Type]]&gt;0,VLOOKUP(_1_541284561214624104645789101745[[#This Row],[Type]],Main[[#All],[TYPE]:[UNIT]],'Unit Price'!G$1,FALSE),0)</f>
        <v>0</v>
      </c>
      <c r="J45" s="194">
        <f>IF(_1_541284561214624104645789101745[[#This Row],[Type]]&gt;0,VLOOKUP(_1_541284561214624104645789101745[[#This Row],[Type]],Main[[#All],[TYPE]:[UNIT]],'Unit Price'!H$1,FALSE),0)</f>
        <v>0</v>
      </c>
      <c r="K45" s="194">
        <f>IF(_1_541284561214624104645789101745[[#This Row],[Discount selection]]&gt;0,VLOOKUP(_1_541284561214624104645789101745[[#This Row],[Discount selection]],'Discount Structure'!$A$2:$B$30,2,"false"),0)</f>
        <v>1</v>
      </c>
      <c r="L45" s="194">
        <f>_1_541284561214624104645789101745[[#This Row],[LIST $]]*_1_541284561214624104645789101745[[#This Row],[DISCOUNT]]*_1_541284561214624104645789101745[[#This Row],[DISCOUNT 2]]</f>
        <v>0</v>
      </c>
      <c r="M45" s="194">
        <f>IF(OR(_1_541284561214624104645789101745[[#This Row],[UNIT]]&gt;0,_1_541284561214624104645789101745[[#This Row],[UNIT]]&lt;0),_1_541284561214624104645789101745[[#This Row],[UNIT]]*_1_541284561214624104645789101745[[#This Row],[COST]],0)</f>
        <v>0</v>
      </c>
      <c r="N45" s="194">
        <f t="shared" si="0"/>
        <v>1.5</v>
      </c>
      <c r="O45" s="198">
        <f>_1_541284561214624104645789101745[[#This Row],[TOTAL]]*_1_541284561214624104645789101745[[#This Row],[MARGIN]]</f>
        <v>0</v>
      </c>
      <c r="R45" s="41"/>
    </row>
    <row r="46" spans="1:18">
      <c r="C46" s="168"/>
      <c r="D46" s="188"/>
      <c r="F46" s="168" t="s">
        <v>6202</v>
      </c>
      <c r="G46" s="193">
        <f>IF(_1_541284561214624104645789101745[[#This Row],[Type]]&gt;0,VLOOKUP(_1_541284561214624104645789101745[[#This Row],[Type]],Main[[#All],[TYPE]:[UNIT]],'Unit Price'!C$1,FALSE),0)</f>
        <v>0</v>
      </c>
      <c r="H46" s="197">
        <f>IF(_1_541284561214624104645789101745[[#This Row],[Type]]&gt;0,VLOOKUP(_1_541284561214624104645789101745[[#This Row],[Type]],Main[[#All],[TYPE]:[UNIT]],'Unit Price'!D$1,FALSE),0)</f>
        <v>0</v>
      </c>
      <c r="I46" s="194">
        <f>IF(_1_541284561214624104645789101745[[#This Row],[Type]]&gt;0,VLOOKUP(_1_541284561214624104645789101745[[#This Row],[Type]],Main[[#All],[TYPE]:[UNIT]],'Unit Price'!G$1,FALSE),0)</f>
        <v>0</v>
      </c>
      <c r="J46" s="194">
        <f>IF(_1_541284561214624104645789101745[[#This Row],[Type]]&gt;0,VLOOKUP(_1_541284561214624104645789101745[[#This Row],[Type]],Main[[#All],[TYPE]:[UNIT]],'Unit Price'!H$1,FALSE),0)</f>
        <v>0</v>
      </c>
      <c r="K46" s="194">
        <f>IF(_1_541284561214624104645789101745[[#This Row],[Discount selection]]&gt;0,VLOOKUP(_1_541284561214624104645789101745[[#This Row],[Discount selection]],'Discount Structure'!$A$2:$B$30,2,"false"),0)</f>
        <v>1</v>
      </c>
      <c r="L46" s="194">
        <f>_1_541284561214624104645789101745[[#This Row],[LIST $]]*_1_541284561214624104645789101745[[#This Row],[DISCOUNT]]*_1_541284561214624104645789101745[[#This Row],[DISCOUNT 2]]</f>
        <v>0</v>
      </c>
      <c r="M46" s="194">
        <f>IF(OR(_1_541284561214624104645789101745[[#This Row],[UNIT]]&gt;0,_1_541284561214624104645789101745[[#This Row],[UNIT]]&lt;0),_1_541284561214624104645789101745[[#This Row],[UNIT]]*_1_541284561214624104645789101745[[#This Row],[COST]],0)</f>
        <v>0</v>
      </c>
      <c r="N46" s="194">
        <f t="shared" si="0"/>
        <v>1.5</v>
      </c>
      <c r="O46" s="198">
        <f>_1_541284561214624104645789101745[[#This Row],[TOTAL]]*_1_541284561214624104645789101745[[#This Row],[MARGIN]]</f>
        <v>0</v>
      </c>
      <c r="R46" s="41"/>
    </row>
    <row r="47" spans="1:18">
      <c r="C47" s="168"/>
      <c r="D47" s="188"/>
      <c r="F47" s="168" t="s">
        <v>6202</v>
      </c>
      <c r="G47" s="193">
        <f>IF(_1_541284561214624104645789101745[[#This Row],[Type]]&gt;0,VLOOKUP(_1_541284561214624104645789101745[[#This Row],[Type]],Main[[#All],[TYPE]:[UNIT]],'Unit Price'!C$1,FALSE),0)</f>
        <v>0</v>
      </c>
      <c r="H47" s="197">
        <f>IF(_1_541284561214624104645789101745[[#This Row],[Type]]&gt;0,VLOOKUP(_1_541284561214624104645789101745[[#This Row],[Type]],Main[[#All],[TYPE]:[UNIT]],'Unit Price'!D$1,FALSE),0)</f>
        <v>0</v>
      </c>
      <c r="I47" s="194">
        <f>IF(_1_541284561214624104645789101745[[#This Row],[Type]]&gt;0,VLOOKUP(_1_541284561214624104645789101745[[#This Row],[Type]],Main[[#All],[TYPE]:[UNIT]],'Unit Price'!G$1,FALSE),0)</f>
        <v>0</v>
      </c>
      <c r="J47" s="194">
        <f>IF(_1_541284561214624104645789101745[[#This Row],[Type]]&gt;0,VLOOKUP(_1_541284561214624104645789101745[[#This Row],[Type]],Main[[#All],[TYPE]:[UNIT]],'Unit Price'!H$1,FALSE),0)</f>
        <v>0</v>
      </c>
      <c r="K47" s="194">
        <f>IF(_1_541284561214624104645789101745[[#This Row],[Discount selection]]&gt;0,VLOOKUP(_1_541284561214624104645789101745[[#This Row],[Discount selection]],'Discount Structure'!$A$2:$B$30,2,"false"),0)</f>
        <v>1</v>
      </c>
      <c r="L47" s="194">
        <f>_1_541284561214624104645789101745[[#This Row],[LIST $]]*_1_541284561214624104645789101745[[#This Row],[DISCOUNT]]*_1_541284561214624104645789101745[[#This Row],[DISCOUNT 2]]</f>
        <v>0</v>
      </c>
      <c r="M47" s="194">
        <f>IF(OR(_1_541284561214624104645789101745[[#This Row],[UNIT]]&gt;0,_1_541284561214624104645789101745[[#This Row],[UNIT]]&lt;0),_1_541284561214624104645789101745[[#This Row],[UNIT]]*_1_541284561214624104645789101745[[#This Row],[COST]],0)</f>
        <v>0</v>
      </c>
      <c r="N47" s="194">
        <f t="shared" si="0"/>
        <v>1.5</v>
      </c>
      <c r="O47" s="198">
        <f>_1_541284561214624104645789101745[[#This Row],[TOTAL]]*_1_541284561214624104645789101745[[#This Row],[MARGIN]]</f>
        <v>0</v>
      </c>
      <c r="R47" s="41"/>
    </row>
    <row r="48" spans="1:18">
      <c r="C48" s="168"/>
      <c r="D48" s="188"/>
      <c r="F48" s="168" t="s">
        <v>6202</v>
      </c>
      <c r="G48" s="193">
        <f>IF(_1_541284561214624104645789101745[[#This Row],[Type]]&gt;0,VLOOKUP(_1_541284561214624104645789101745[[#This Row],[Type]],Main[[#All],[TYPE]:[UNIT]],'Unit Price'!C$1,FALSE),0)</f>
        <v>0</v>
      </c>
      <c r="H48" s="197">
        <f>IF(_1_541284561214624104645789101745[[#This Row],[Type]]&gt;0,VLOOKUP(_1_541284561214624104645789101745[[#This Row],[Type]],Main[[#All],[TYPE]:[UNIT]],'Unit Price'!D$1,FALSE),0)</f>
        <v>0</v>
      </c>
      <c r="I48" s="194">
        <f>IF(_1_541284561214624104645789101745[[#This Row],[Type]]&gt;0,VLOOKUP(_1_541284561214624104645789101745[[#This Row],[Type]],Main[[#All],[TYPE]:[UNIT]],'Unit Price'!G$1,FALSE),0)</f>
        <v>0</v>
      </c>
      <c r="J48" s="194">
        <f>IF(_1_541284561214624104645789101745[[#This Row],[Type]]&gt;0,VLOOKUP(_1_541284561214624104645789101745[[#This Row],[Type]],Main[[#All],[TYPE]:[UNIT]],'Unit Price'!H$1,FALSE),0)</f>
        <v>0</v>
      </c>
      <c r="K48" s="194">
        <f>IF(_1_541284561214624104645789101745[[#This Row],[Discount selection]]&gt;0,VLOOKUP(_1_541284561214624104645789101745[[#This Row],[Discount selection]],'Discount Structure'!$A$2:$B$30,2,"false"),0)</f>
        <v>1</v>
      </c>
      <c r="L48" s="194">
        <f>_1_541284561214624104645789101745[[#This Row],[LIST $]]*_1_541284561214624104645789101745[[#This Row],[DISCOUNT]]*_1_541284561214624104645789101745[[#This Row],[DISCOUNT 2]]</f>
        <v>0</v>
      </c>
      <c r="M48" s="194">
        <f>IF(OR(_1_541284561214624104645789101745[[#This Row],[UNIT]]&gt;0,_1_541284561214624104645789101745[[#This Row],[UNIT]]&lt;0),_1_541284561214624104645789101745[[#This Row],[UNIT]]*_1_541284561214624104645789101745[[#This Row],[COST]],0)</f>
        <v>0</v>
      </c>
      <c r="N48" s="194">
        <f t="shared" si="0"/>
        <v>1.5</v>
      </c>
      <c r="O48" s="198">
        <f>_1_541284561214624104645789101745[[#This Row],[TOTAL]]*_1_541284561214624104645789101745[[#This Row],[MARGIN]]</f>
        <v>0</v>
      </c>
      <c r="R48" s="41"/>
    </row>
    <row r="49" spans="1:18">
      <c r="C49" s="168"/>
      <c r="D49" s="188"/>
      <c r="F49" s="168" t="s">
        <v>6202</v>
      </c>
      <c r="G49" s="193">
        <f>IF(_1_541284561214624104645789101745[[#This Row],[Type]]&gt;0,VLOOKUP(_1_541284561214624104645789101745[[#This Row],[Type]],Main[[#All],[TYPE]:[UNIT]],'Unit Price'!C$1,FALSE),0)</f>
        <v>0</v>
      </c>
      <c r="H49" s="197">
        <f>IF(_1_541284561214624104645789101745[[#This Row],[Type]]&gt;0,VLOOKUP(_1_541284561214624104645789101745[[#This Row],[Type]],Main[[#All],[TYPE]:[UNIT]],'Unit Price'!D$1,FALSE),0)</f>
        <v>0</v>
      </c>
      <c r="I49" s="194">
        <f>IF(_1_541284561214624104645789101745[[#This Row],[Type]]&gt;0,VLOOKUP(_1_541284561214624104645789101745[[#This Row],[Type]],Main[[#All],[TYPE]:[UNIT]],'Unit Price'!G$1,FALSE),0)</f>
        <v>0</v>
      </c>
      <c r="J49" s="194">
        <f>IF(_1_541284561214624104645789101745[[#This Row],[Type]]&gt;0,VLOOKUP(_1_541284561214624104645789101745[[#This Row],[Type]],Main[[#All],[TYPE]:[UNIT]],'Unit Price'!H$1,FALSE),0)</f>
        <v>0</v>
      </c>
      <c r="K49" s="194">
        <f>IF(_1_541284561214624104645789101745[[#This Row],[Discount selection]]&gt;0,VLOOKUP(_1_541284561214624104645789101745[[#This Row],[Discount selection]],'Discount Structure'!$A$2:$B$30,2,"false"),0)</f>
        <v>1</v>
      </c>
      <c r="L49" s="194">
        <f>_1_541284561214624104645789101745[[#This Row],[LIST $]]*_1_541284561214624104645789101745[[#This Row],[DISCOUNT]]*_1_541284561214624104645789101745[[#This Row],[DISCOUNT 2]]</f>
        <v>0</v>
      </c>
      <c r="M49" s="194">
        <f>IF(OR(_1_541284561214624104645789101745[[#This Row],[UNIT]]&gt;0,_1_541284561214624104645789101745[[#This Row],[UNIT]]&lt;0),_1_541284561214624104645789101745[[#This Row],[UNIT]]*_1_541284561214624104645789101745[[#This Row],[COST]],0)</f>
        <v>0</v>
      </c>
      <c r="N49" s="194">
        <f t="shared" si="0"/>
        <v>1.5</v>
      </c>
      <c r="O49" s="198">
        <f>_1_541284561214624104645789101745[[#This Row],[TOTAL]]*_1_541284561214624104645789101745[[#This Row],[MARGIN]]</f>
        <v>0</v>
      </c>
      <c r="R49" s="41"/>
    </row>
    <row r="50" spans="1:18">
      <c r="C50" s="168"/>
      <c r="D50" s="188"/>
      <c r="F50" s="168" t="s">
        <v>6202</v>
      </c>
      <c r="G50" s="193">
        <f>IF(_1_541284561214624104645789101745[[#This Row],[Type]]&gt;0,VLOOKUP(_1_541284561214624104645789101745[[#This Row],[Type]],Main[[#All],[TYPE]:[UNIT]],'Unit Price'!C$1,FALSE),0)</f>
        <v>0</v>
      </c>
      <c r="H50" s="197">
        <f>IF(_1_541284561214624104645789101745[[#This Row],[Type]]&gt;0,VLOOKUP(_1_541284561214624104645789101745[[#This Row],[Type]],Main[[#All],[TYPE]:[UNIT]],'Unit Price'!D$1,FALSE),0)</f>
        <v>0</v>
      </c>
      <c r="I50" s="194">
        <f>IF(_1_541284561214624104645789101745[[#This Row],[Type]]&gt;0,VLOOKUP(_1_541284561214624104645789101745[[#This Row],[Type]],Main[[#All],[TYPE]:[UNIT]],'Unit Price'!G$1,FALSE),0)</f>
        <v>0</v>
      </c>
      <c r="J50" s="194">
        <f>IF(_1_541284561214624104645789101745[[#This Row],[Type]]&gt;0,VLOOKUP(_1_541284561214624104645789101745[[#This Row],[Type]],Main[[#All],[TYPE]:[UNIT]],'Unit Price'!H$1,FALSE),0)</f>
        <v>0</v>
      </c>
      <c r="K50" s="194">
        <f>IF(_1_541284561214624104645789101745[[#This Row],[Discount selection]]&gt;0,VLOOKUP(_1_541284561214624104645789101745[[#This Row],[Discount selection]],'Discount Structure'!$A$2:$B$30,2,"false"),0)</f>
        <v>1</v>
      </c>
      <c r="L50" s="194">
        <f>_1_541284561214624104645789101745[[#This Row],[LIST $]]*_1_541284561214624104645789101745[[#This Row],[DISCOUNT]]*_1_541284561214624104645789101745[[#This Row],[DISCOUNT 2]]</f>
        <v>0</v>
      </c>
      <c r="M50" s="194">
        <f>IF(OR(_1_541284561214624104645789101745[[#This Row],[UNIT]]&gt;0,_1_541284561214624104645789101745[[#This Row],[UNIT]]&lt;0),_1_541284561214624104645789101745[[#This Row],[UNIT]]*_1_541284561214624104645789101745[[#This Row],[COST]],0)</f>
        <v>0</v>
      </c>
      <c r="N50" s="194">
        <f t="shared" si="0"/>
        <v>1.5</v>
      </c>
      <c r="O50" s="198">
        <f>_1_541284561214624104645789101745[[#This Row],[TOTAL]]*_1_541284561214624104645789101745[[#This Row],[MARGIN]]</f>
        <v>0</v>
      </c>
      <c r="R50" s="41"/>
    </row>
    <row r="51" spans="1:18">
      <c r="C51" s="168"/>
      <c r="D51" s="188"/>
      <c r="F51" s="168" t="s">
        <v>6202</v>
      </c>
      <c r="G51" s="193">
        <f>IF(_1_541284561214624104645789101745[[#This Row],[Type]]&gt;0,VLOOKUP(_1_541284561214624104645789101745[[#This Row],[Type]],Main[[#All],[TYPE]:[UNIT]],'Unit Price'!C$1,FALSE),0)</f>
        <v>0</v>
      </c>
      <c r="H51" s="197">
        <f>IF(_1_541284561214624104645789101745[[#This Row],[Type]]&gt;0,VLOOKUP(_1_541284561214624104645789101745[[#This Row],[Type]],Main[[#All],[TYPE]:[UNIT]],'Unit Price'!D$1,FALSE),0)</f>
        <v>0</v>
      </c>
      <c r="I51" s="194">
        <f>IF(_1_541284561214624104645789101745[[#This Row],[Type]]&gt;0,VLOOKUP(_1_541284561214624104645789101745[[#This Row],[Type]],Main[[#All],[TYPE]:[UNIT]],'Unit Price'!G$1,FALSE),0)</f>
        <v>0</v>
      </c>
      <c r="J51" s="194">
        <f>IF(_1_541284561214624104645789101745[[#This Row],[Type]]&gt;0,VLOOKUP(_1_541284561214624104645789101745[[#This Row],[Type]],Main[[#All],[TYPE]:[UNIT]],'Unit Price'!H$1,FALSE),0)</f>
        <v>0</v>
      </c>
      <c r="K51" s="194">
        <f>IF(_1_541284561214624104645789101745[[#This Row],[Discount selection]]&gt;0,VLOOKUP(_1_541284561214624104645789101745[[#This Row],[Discount selection]],'Discount Structure'!$A$2:$B$30,2,"false"),0)</f>
        <v>1</v>
      </c>
      <c r="L51" s="194">
        <f>_1_541284561214624104645789101745[[#This Row],[LIST $]]*_1_541284561214624104645789101745[[#This Row],[DISCOUNT]]*_1_541284561214624104645789101745[[#This Row],[DISCOUNT 2]]</f>
        <v>0</v>
      </c>
      <c r="M51" s="194">
        <f>IF(OR(_1_541284561214624104645789101745[[#This Row],[UNIT]]&gt;0,_1_541284561214624104645789101745[[#This Row],[UNIT]]&lt;0),_1_541284561214624104645789101745[[#This Row],[UNIT]]*_1_541284561214624104645789101745[[#This Row],[COST]],0)</f>
        <v>0</v>
      </c>
      <c r="N51" s="194">
        <f t="shared" si="0"/>
        <v>1.5</v>
      </c>
      <c r="O51" s="198">
        <f>_1_541284561214624104645789101745[[#This Row],[TOTAL]]*_1_541284561214624104645789101745[[#This Row],[MARGIN]]</f>
        <v>0</v>
      </c>
      <c r="R51" s="41"/>
    </row>
    <row r="52" spans="1:18">
      <c r="C52" s="168"/>
      <c r="D52" s="188"/>
      <c r="F52" s="168" t="s">
        <v>6202</v>
      </c>
      <c r="G52" s="193">
        <f>IF(_1_541284561214624104645789101745[[#This Row],[Type]]&gt;0,VLOOKUP(_1_541284561214624104645789101745[[#This Row],[Type]],Main[[#All],[TYPE]:[UNIT]],'Unit Price'!C$1,FALSE),0)</f>
        <v>0</v>
      </c>
      <c r="H52" s="197">
        <f>IF(_1_541284561214624104645789101745[[#This Row],[Type]]&gt;0,VLOOKUP(_1_541284561214624104645789101745[[#This Row],[Type]],Main[[#All],[TYPE]:[UNIT]],'Unit Price'!D$1,FALSE),0)</f>
        <v>0</v>
      </c>
      <c r="I52" s="194">
        <f>IF(_1_541284561214624104645789101745[[#This Row],[Type]]&gt;0,VLOOKUP(_1_541284561214624104645789101745[[#This Row],[Type]],Main[[#All],[TYPE]:[UNIT]],'Unit Price'!G$1,FALSE),0)</f>
        <v>0</v>
      </c>
      <c r="J52" s="194">
        <f>IF(_1_541284561214624104645789101745[[#This Row],[Type]]&gt;0,VLOOKUP(_1_541284561214624104645789101745[[#This Row],[Type]],Main[[#All],[TYPE]:[UNIT]],'Unit Price'!H$1,FALSE),0)</f>
        <v>0</v>
      </c>
      <c r="K52" s="194">
        <f>IF(_1_541284561214624104645789101745[[#This Row],[Discount selection]]&gt;0,VLOOKUP(_1_541284561214624104645789101745[[#This Row],[Discount selection]],'Discount Structure'!$A$2:$B$30,2,"false"),0)</f>
        <v>1</v>
      </c>
      <c r="L52" s="194">
        <f>_1_541284561214624104645789101745[[#This Row],[LIST $]]*_1_541284561214624104645789101745[[#This Row],[DISCOUNT]]*_1_541284561214624104645789101745[[#This Row],[DISCOUNT 2]]</f>
        <v>0</v>
      </c>
      <c r="M52" s="194">
        <f>IF(OR(_1_541284561214624104645789101745[[#This Row],[UNIT]]&gt;0,_1_541284561214624104645789101745[[#This Row],[UNIT]]&lt;0),_1_541284561214624104645789101745[[#This Row],[UNIT]]*_1_541284561214624104645789101745[[#This Row],[COST]],0)</f>
        <v>0</v>
      </c>
      <c r="N52" s="194">
        <f t="shared" si="0"/>
        <v>1.5</v>
      </c>
      <c r="O52" s="198">
        <f>_1_541284561214624104645789101745[[#This Row],[TOTAL]]*_1_541284561214624104645789101745[[#This Row],[MARGIN]]</f>
        <v>0</v>
      </c>
      <c r="R52" s="41"/>
    </row>
    <row r="53" spans="1:18">
      <c r="C53" s="168"/>
      <c r="D53" s="188"/>
      <c r="F53" s="168" t="s">
        <v>6202</v>
      </c>
      <c r="G53" s="193">
        <f>IF(_1_541284561214624104645789101745[[#This Row],[Type]]&gt;0,VLOOKUP(_1_541284561214624104645789101745[[#This Row],[Type]],Main[[#All],[TYPE]:[UNIT]],'Unit Price'!C$1,FALSE),0)</f>
        <v>0</v>
      </c>
      <c r="H53" s="197">
        <f>IF(_1_541284561214624104645789101745[[#This Row],[Type]]&gt;0,VLOOKUP(_1_541284561214624104645789101745[[#This Row],[Type]],Main[[#All],[TYPE]:[UNIT]],'Unit Price'!D$1,FALSE),0)</f>
        <v>0</v>
      </c>
      <c r="I53" s="194">
        <f>IF(_1_541284561214624104645789101745[[#This Row],[Type]]&gt;0,VLOOKUP(_1_541284561214624104645789101745[[#This Row],[Type]],Main[[#All],[TYPE]:[UNIT]],'Unit Price'!G$1,FALSE),0)</f>
        <v>0</v>
      </c>
      <c r="J53" s="194">
        <f>IF(_1_541284561214624104645789101745[[#This Row],[Type]]&gt;0,VLOOKUP(_1_541284561214624104645789101745[[#This Row],[Type]],Main[[#All],[TYPE]:[UNIT]],'Unit Price'!H$1,FALSE),0)</f>
        <v>0</v>
      </c>
      <c r="K53" s="194">
        <f>IF(_1_541284561214624104645789101745[[#This Row],[Discount selection]]&gt;0,VLOOKUP(_1_541284561214624104645789101745[[#This Row],[Discount selection]],'Discount Structure'!$A$2:$B$30,2,"false"),0)</f>
        <v>1</v>
      </c>
      <c r="L53" s="194">
        <f>_1_541284561214624104645789101745[[#This Row],[LIST $]]*_1_541284561214624104645789101745[[#This Row],[DISCOUNT]]*_1_541284561214624104645789101745[[#This Row],[DISCOUNT 2]]</f>
        <v>0</v>
      </c>
      <c r="M53" s="194">
        <f>IF(OR(_1_541284561214624104645789101745[[#This Row],[UNIT]]&gt;0,_1_541284561214624104645789101745[[#This Row],[UNIT]]&lt;0),_1_541284561214624104645789101745[[#This Row],[UNIT]]*_1_541284561214624104645789101745[[#This Row],[COST]],0)</f>
        <v>0</v>
      </c>
      <c r="N53" s="194">
        <f t="shared" si="0"/>
        <v>1.5</v>
      </c>
      <c r="O53" s="198">
        <f>_1_541284561214624104645789101745[[#This Row],[TOTAL]]*_1_541284561214624104645789101745[[#This Row],[MARGIN]]</f>
        <v>0</v>
      </c>
      <c r="R53" s="41"/>
    </row>
    <row r="54" spans="1:18">
      <c r="C54" s="168"/>
      <c r="D54" s="188"/>
      <c r="F54" s="168" t="s">
        <v>6202</v>
      </c>
      <c r="G54" s="193">
        <f>IF(_1_541284561214624104645789101745[[#This Row],[Type]]&gt;0,VLOOKUP(_1_541284561214624104645789101745[[#This Row],[Type]],Main[[#All],[TYPE]:[UNIT]],'Unit Price'!C$1,FALSE),0)</f>
        <v>0</v>
      </c>
      <c r="H54" s="197">
        <f>IF(_1_541284561214624104645789101745[[#This Row],[Type]]&gt;0,VLOOKUP(_1_541284561214624104645789101745[[#This Row],[Type]],Main[[#All],[TYPE]:[UNIT]],'Unit Price'!D$1,FALSE),0)</f>
        <v>0</v>
      </c>
      <c r="I54" s="194">
        <f>IF(_1_541284561214624104645789101745[[#This Row],[Type]]&gt;0,VLOOKUP(_1_541284561214624104645789101745[[#This Row],[Type]],Main[[#All],[TYPE]:[UNIT]],'Unit Price'!G$1,FALSE),0)</f>
        <v>0</v>
      </c>
      <c r="J54" s="194">
        <f>IF(_1_541284561214624104645789101745[[#This Row],[Type]]&gt;0,VLOOKUP(_1_541284561214624104645789101745[[#This Row],[Type]],Main[[#All],[TYPE]:[UNIT]],'Unit Price'!H$1,FALSE),0)</f>
        <v>0</v>
      </c>
      <c r="K54" s="194">
        <f>IF(_1_541284561214624104645789101745[[#This Row],[Discount selection]]&gt;0,VLOOKUP(_1_541284561214624104645789101745[[#This Row],[Discount selection]],'Discount Structure'!$A$2:$B$30,2,"false"),0)</f>
        <v>1</v>
      </c>
      <c r="L54" s="194">
        <f>_1_541284561214624104645789101745[[#This Row],[LIST $]]*_1_541284561214624104645789101745[[#This Row],[DISCOUNT]]*_1_541284561214624104645789101745[[#This Row],[DISCOUNT 2]]</f>
        <v>0</v>
      </c>
      <c r="M54" s="194">
        <f>IF(OR(_1_541284561214624104645789101745[[#This Row],[UNIT]]&gt;0,_1_541284561214624104645789101745[[#This Row],[UNIT]]&lt;0),_1_541284561214624104645789101745[[#This Row],[UNIT]]*_1_541284561214624104645789101745[[#This Row],[COST]],0)</f>
        <v>0</v>
      </c>
      <c r="N54" s="194">
        <f t="shared" si="0"/>
        <v>1.5</v>
      </c>
      <c r="O54" s="198">
        <f>_1_541284561214624104645789101745[[#This Row],[TOTAL]]*_1_541284561214624104645789101745[[#This Row],[MARGIN]]</f>
        <v>0</v>
      </c>
      <c r="R54" s="41"/>
    </row>
    <row r="55" spans="1:18">
      <c r="C55" s="168"/>
      <c r="D55" s="188"/>
      <c r="F55" s="168" t="s">
        <v>6202</v>
      </c>
      <c r="G55" s="193">
        <f>IF(_1_541284561214624104645789101745[[#This Row],[Type]]&gt;0,VLOOKUP(_1_541284561214624104645789101745[[#This Row],[Type]],Main[[#All],[TYPE]:[UNIT]],'Unit Price'!C$1,FALSE),0)</f>
        <v>0</v>
      </c>
      <c r="H55" s="197">
        <f>IF(_1_541284561214624104645789101745[[#This Row],[Type]]&gt;0,VLOOKUP(_1_541284561214624104645789101745[[#This Row],[Type]],Main[[#All],[TYPE]:[UNIT]],'Unit Price'!D$1,FALSE),0)</f>
        <v>0</v>
      </c>
      <c r="I55" s="194">
        <f>IF(_1_541284561214624104645789101745[[#This Row],[Type]]&gt;0,VLOOKUP(_1_541284561214624104645789101745[[#This Row],[Type]],Main[[#All],[TYPE]:[UNIT]],'Unit Price'!G$1,FALSE),0)</f>
        <v>0</v>
      </c>
      <c r="J55" s="194">
        <f>IF(_1_541284561214624104645789101745[[#This Row],[Type]]&gt;0,VLOOKUP(_1_541284561214624104645789101745[[#This Row],[Type]],Main[[#All],[TYPE]:[UNIT]],'Unit Price'!H$1,FALSE),0)</f>
        <v>0</v>
      </c>
      <c r="K55" s="194">
        <f>IF(_1_541284561214624104645789101745[[#This Row],[Discount selection]]&gt;0,VLOOKUP(_1_541284561214624104645789101745[[#This Row],[Discount selection]],'Discount Structure'!$A$2:$B$30,2,"false"),0)</f>
        <v>1</v>
      </c>
      <c r="L55" s="194">
        <f>_1_541284561214624104645789101745[[#This Row],[LIST $]]*_1_541284561214624104645789101745[[#This Row],[DISCOUNT]]*_1_541284561214624104645789101745[[#This Row],[DISCOUNT 2]]</f>
        <v>0</v>
      </c>
      <c r="M55" s="194">
        <f>IF(OR(_1_541284561214624104645789101745[[#This Row],[UNIT]]&gt;0,_1_541284561214624104645789101745[[#This Row],[UNIT]]&lt;0),_1_541284561214624104645789101745[[#This Row],[UNIT]]*_1_541284561214624104645789101745[[#This Row],[COST]],0)</f>
        <v>0</v>
      </c>
      <c r="N55" s="194">
        <f t="shared" si="0"/>
        <v>1.5</v>
      </c>
      <c r="O55" s="198">
        <f>_1_541284561214624104645789101745[[#This Row],[TOTAL]]*_1_541284561214624104645789101745[[#This Row],[MARGIN]]</f>
        <v>0</v>
      </c>
      <c r="R55" s="41"/>
    </row>
    <row r="56" spans="1:18">
      <c r="B56" s="317"/>
      <c r="C56" s="168"/>
      <c r="D56" s="188"/>
      <c r="F56" s="168" t="s">
        <v>6202</v>
      </c>
      <c r="G56" s="193">
        <f>IF(_1_541284561214624104645789101745[[#This Row],[Type]]&gt;0,VLOOKUP(_1_541284561214624104645789101745[[#This Row],[Type]],Main[[#All],[TYPE]:[UNIT]],'Unit Price'!C$1,FALSE),0)</f>
        <v>0</v>
      </c>
      <c r="H56" s="197">
        <f>IF(_1_541284561214624104645789101745[[#This Row],[Type]]&gt;0,VLOOKUP(_1_541284561214624104645789101745[[#This Row],[Type]],Main[[#All],[TYPE]:[UNIT]],'Unit Price'!D$1,FALSE),0)</f>
        <v>0</v>
      </c>
      <c r="I56" s="194">
        <f>IF(_1_541284561214624104645789101745[[#This Row],[Type]]&gt;0,VLOOKUP(_1_541284561214624104645789101745[[#This Row],[Type]],Main[[#All],[TYPE]:[UNIT]],'Unit Price'!G$1,FALSE),0)</f>
        <v>0</v>
      </c>
      <c r="J56" s="194">
        <f>IF(_1_541284561214624104645789101745[[#This Row],[Type]]&gt;0,VLOOKUP(_1_541284561214624104645789101745[[#This Row],[Type]],Main[[#All],[TYPE]:[UNIT]],'Unit Price'!H$1,FALSE),0)</f>
        <v>0</v>
      </c>
      <c r="K56" s="194">
        <f>IF(_1_541284561214624104645789101745[[#This Row],[Discount selection]]&gt;0,VLOOKUP(_1_541284561214624104645789101745[[#This Row],[Discount selection]],'Discount Structure'!$A$2:$B$30,2,"false"),0)</f>
        <v>1</v>
      </c>
      <c r="L56" s="194">
        <f>_1_541284561214624104645789101745[[#This Row],[LIST $]]*_1_541284561214624104645789101745[[#This Row],[DISCOUNT]]*_1_541284561214624104645789101745[[#This Row],[DISCOUNT 2]]</f>
        <v>0</v>
      </c>
      <c r="M56" s="194">
        <f>IF(OR(_1_541284561214624104645789101745[[#This Row],[UNIT]]&gt;0,_1_541284561214624104645789101745[[#This Row],[UNIT]]&lt;0),_1_541284561214624104645789101745[[#This Row],[UNIT]]*_1_541284561214624104645789101745[[#This Row],[COST]],0)</f>
        <v>0</v>
      </c>
      <c r="N56" s="194">
        <f t="shared" si="0"/>
        <v>1.5</v>
      </c>
      <c r="O56" s="198">
        <f>_1_541284561214624104645789101745[[#This Row],[TOTAL]]*_1_541284561214624104645789101745[[#This Row],[MARGIN]]</f>
        <v>0</v>
      </c>
      <c r="R56" s="41"/>
    </row>
    <row r="57" spans="1:18">
      <c r="A57" s="168"/>
      <c r="C57" s="168"/>
      <c r="D57" s="188"/>
      <c r="F57" s="168" t="s">
        <v>6202</v>
      </c>
      <c r="G57" s="193">
        <f>IF(_1_541284561214624104645789101745[[#This Row],[Type]]&gt;0,VLOOKUP(_1_541284561214624104645789101745[[#This Row],[Type]],Main[[#All],[TYPE]:[UNIT]],'Unit Price'!C$1,FALSE),0)</f>
        <v>0</v>
      </c>
      <c r="H57" s="197">
        <f>IF(_1_541284561214624104645789101745[[#This Row],[Type]]&gt;0,VLOOKUP(_1_541284561214624104645789101745[[#This Row],[Type]],Main[[#All],[TYPE]:[UNIT]],'Unit Price'!D$1,FALSE),0)</f>
        <v>0</v>
      </c>
      <c r="I57" s="194">
        <f>IF(_1_541284561214624104645789101745[[#This Row],[Type]]&gt;0,VLOOKUP(_1_541284561214624104645789101745[[#This Row],[Type]],Main[[#All],[TYPE]:[UNIT]],'Unit Price'!G$1,FALSE),0)</f>
        <v>0</v>
      </c>
      <c r="J57" s="194">
        <f>IF(_1_541284561214624104645789101745[[#This Row],[Type]]&gt;0,VLOOKUP(_1_541284561214624104645789101745[[#This Row],[Type]],Main[[#All],[TYPE]:[UNIT]],'Unit Price'!H$1,FALSE),0)</f>
        <v>0</v>
      </c>
      <c r="K57" s="194">
        <f>IF(_1_541284561214624104645789101745[[#This Row],[Discount selection]]&gt;0,VLOOKUP(_1_541284561214624104645789101745[[#This Row],[Discount selection]],'Discount Structure'!$A$2:$B$30,2,"false"),0)</f>
        <v>1</v>
      </c>
      <c r="L57" s="194">
        <f>_1_541284561214624104645789101745[[#This Row],[LIST $]]*_1_541284561214624104645789101745[[#This Row],[DISCOUNT]]*_1_541284561214624104645789101745[[#This Row],[DISCOUNT 2]]</f>
        <v>0</v>
      </c>
      <c r="M57" s="194">
        <f>IF(OR(_1_541284561214624104645789101745[[#This Row],[UNIT]]&gt;0,_1_541284561214624104645789101745[[#This Row],[UNIT]]&lt;0),_1_541284561214624104645789101745[[#This Row],[UNIT]]*_1_541284561214624104645789101745[[#This Row],[COST]],0)</f>
        <v>0</v>
      </c>
      <c r="N57" s="194">
        <f t="shared" si="0"/>
        <v>1.5</v>
      </c>
      <c r="O57" s="198">
        <f>_1_541284561214624104645789101745[[#This Row],[TOTAL]]*_1_541284561214624104645789101745[[#This Row],[MARGIN]]</f>
        <v>0</v>
      </c>
      <c r="R57" s="41"/>
    </row>
    <row r="58" spans="1:18">
      <c r="B58" s="317"/>
      <c r="C58" s="168"/>
      <c r="D58" s="188"/>
      <c r="F58" s="168" t="s">
        <v>6202</v>
      </c>
      <c r="G58" s="193">
        <f>IF(_1_541284561214624104645789101745[[#This Row],[Type]]&gt;0,VLOOKUP(_1_541284561214624104645789101745[[#This Row],[Type]],Main[[#All],[TYPE]:[UNIT]],'Unit Price'!C$1,FALSE),0)</f>
        <v>0</v>
      </c>
      <c r="H58" s="197">
        <f>IF(_1_541284561214624104645789101745[[#This Row],[Type]]&gt;0,VLOOKUP(_1_541284561214624104645789101745[[#This Row],[Type]],Main[[#All],[TYPE]:[UNIT]],'Unit Price'!D$1,FALSE),0)</f>
        <v>0</v>
      </c>
      <c r="I58" s="194">
        <f>IF(_1_541284561214624104645789101745[[#This Row],[Type]]&gt;0,VLOOKUP(_1_541284561214624104645789101745[[#This Row],[Type]],Main[[#All],[TYPE]:[UNIT]],'Unit Price'!G$1,FALSE),0)</f>
        <v>0</v>
      </c>
      <c r="J58" s="194">
        <f>IF(_1_541284561214624104645789101745[[#This Row],[Type]]&gt;0,VLOOKUP(_1_541284561214624104645789101745[[#This Row],[Type]],Main[[#All],[TYPE]:[UNIT]],'Unit Price'!H$1,FALSE),0)</f>
        <v>0</v>
      </c>
      <c r="K58" s="194">
        <f>IF(_1_541284561214624104645789101745[[#This Row],[Discount selection]]&gt;0,VLOOKUP(_1_541284561214624104645789101745[[#This Row],[Discount selection]],'Discount Structure'!$A$2:$B$30,2,"false"),0)</f>
        <v>1</v>
      </c>
      <c r="L58" s="194">
        <f>_1_541284561214624104645789101745[[#This Row],[LIST $]]*_1_541284561214624104645789101745[[#This Row],[DISCOUNT]]*_1_541284561214624104645789101745[[#This Row],[DISCOUNT 2]]</f>
        <v>0</v>
      </c>
      <c r="M58" s="194">
        <f>IF(OR(_1_541284561214624104645789101745[[#This Row],[UNIT]]&gt;0,_1_541284561214624104645789101745[[#This Row],[UNIT]]&lt;0),_1_541284561214624104645789101745[[#This Row],[UNIT]]*_1_541284561214624104645789101745[[#This Row],[COST]],0)</f>
        <v>0</v>
      </c>
      <c r="N58" s="194">
        <f t="shared" si="0"/>
        <v>1.5</v>
      </c>
      <c r="O58" s="198">
        <f>_1_541284561214624104645789101745[[#This Row],[TOTAL]]*_1_541284561214624104645789101745[[#This Row],[MARGIN]]</f>
        <v>0</v>
      </c>
      <c r="R58" s="41"/>
    </row>
    <row r="59" spans="1:18">
      <c r="C59" s="168"/>
      <c r="D59" s="188"/>
      <c r="F59" s="168" t="s">
        <v>6202</v>
      </c>
      <c r="G59" s="193">
        <f>IF(_1_541284561214624104645789101745[[#This Row],[Type]]&gt;0,VLOOKUP(_1_541284561214624104645789101745[[#This Row],[Type]],Main[[#All],[TYPE]:[UNIT]],'Unit Price'!C$1,FALSE),0)</f>
        <v>0</v>
      </c>
      <c r="H59" s="197">
        <f>IF(_1_541284561214624104645789101745[[#This Row],[Type]]&gt;0,VLOOKUP(_1_541284561214624104645789101745[[#This Row],[Type]],Main[[#All],[TYPE]:[UNIT]],'Unit Price'!D$1,FALSE),0)</f>
        <v>0</v>
      </c>
      <c r="I59" s="194">
        <f>IF(_1_541284561214624104645789101745[[#This Row],[Type]]&gt;0,VLOOKUP(_1_541284561214624104645789101745[[#This Row],[Type]],Main[[#All],[TYPE]:[UNIT]],'Unit Price'!G$1,FALSE),0)</f>
        <v>0</v>
      </c>
      <c r="J59" s="194">
        <f>IF(_1_541284561214624104645789101745[[#This Row],[Type]]&gt;0,VLOOKUP(_1_541284561214624104645789101745[[#This Row],[Type]],Main[[#All],[TYPE]:[UNIT]],'Unit Price'!H$1,FALSE),0)</f>
        <v>0</v>
      </c>
      <c r="K59" s="194">
        <f>IF(_1_541284561214624104645789101745[[#This Row],[Discount selection]]&gt;0,VLOOKUP(_1_541284561214624104645789101745[[#This Row],[Discount selection]],'Discount Structure'!$A$2:$B$30,2,"false"),0)</f>
        <v>1</v>
      </c>
      <c r="L59" s="194">
        <f>_1_541284561214624104645789101745[[#This Row],[LIST $]]*_1_541284561214624104645789101745[[#This Row],[DISCOUNT]]*_1_541284561214624104645789101745[[#This Row],[DISCOUNT 2]]</f>
        <v>0</v>
      </c>
      <c r="M59" s="194">
        <f>IF(OR(_1_541284561214624104645789101745[[#This Row],[UNIT]]&gt;0,_1_541284561214624104645789101745[[#This Row],[UNIT]]&lt;0),_1_541284561214624104645789101745[[#This Row],[UNIT]]*_1_541284561214624104645789101745[[#This Row],[COST]],0)</f>
        <v>0</v>
      </c>
      <c r="N59" s="194">
        <f t="shared" si="0"/>
        <v>1.5</v>
      </c>
      <c r="O59" s="198">
        <f>_1_541284561214624104645789101745[[#This Row],[TOTAL]]*_1_541284561214624104645789101745[[#This Row],[MARGIN]]</f>
        <v>0</v>
      </c>
      <c r="R59" s="41"/>
    </row>
    <row r="60" spans="1:18">
      <c r="C60" s="168"/>
      <c r="D60" s="188"/>
      <c r="F60" s="168" t="s">
        <v>6202</v>
      </c>
      <c r="G60" s="193">
        <f>IF(_1_541284561214624104645789101745[[#This Row],[Type]]&gt;0,VLOOKUP(_1_541284561214624104645789101745[[#This Row],[Type]],Main[[#All],[TYPE]:[UNIT]],'Unit Price'!C$1,FALSE),0)</f>
        <v>0</v>
      </c>
      <c r="H60" s="197">
        <f>IF(_1_541284561214624104645789101745[[#This Row],[Type]]&gt;0,VLOOKUP(_1_541284561214624104645789101745[[#This Row],[Type]],Main[[#All],[TYPE]:[UNIT]],'Unit Price'!D$1,FALSE),0)</f>
        <v>0</v>
      </c>
      <c r="I60" s="194">
        <f>IF(_1_541284561214624104645789101745[[#This Row],[Type]]&gt;0,VLOOKUP(_1_541284561214624104645789101745[[#This Row],[Type]],Main[[#All],[TYPE]:[UNIT]],'Unit Price'!G$1,FALSE),0)</f>
        <v>0</v>
      </c>
      <c r="J60" s="194">
        <f>IF(_1_541284561214624104645789101745[[#This Row],[Type]]&gt;0,VLOOKUP(_1_541284561214624104645789101745[[#This Row],[Type]],Main[[#All],[TYPE]:[UNIT]],'Unit Price'!H$1,FALSE),0)</f>
        <v>0</v>
      </c>
      <c r="K60" s="194">
        <f>IF(_1_541284561214624104645789101745[[#This Row],[Discount selection]]&gt;0,VLOOKUP(_1_541284561214624104645789101745[[#This Row],[Discount selection]],'Discount Structure'!$A$2:$B$30,2,"false"),0)</f>
        <v>1</v>
      </c>
      <c r="L60" s="194">
        <f>_1_541284561214624104645789101745[[#This Row],[LIST $]]*_1_541284561214624104645789101745[[#This Row],[DISCOUNT]]*_1_541284561214624104645789101745[[#This Row],[DISCOUNT 2]]</f>
        <v>0</v>
      </c>
      <c r="M60" s="194">
        <f>IF(OR(_1_541284561214624104645789101745[[#This Row],[UNIT]]&gt;0,_1_541284561214624104645789101745[[#This Row],[UNIT]]&lt;0),_1_541284561214624104645789101745[[#This Row],[UNIT]]*_1_541284561214624104645789101745[[#This Row],[COST]],0)</f>
        <v>0</v>
      </c>
      <c r="N60" s="194">
        <f t="shared" si="0"/>
        <v>1.5</v>
      </c>
      <c r="O60" s="198">
        <f>_1_541284561214624104645789101745[[#This Row],[TOTAL]]*_1_541284561214624104645789101745[[#This Row],[MARGIN]]</f>
        <v>0</v>
      </c>
      <c r="R60" s="41"/>
    </row>
    <row r="61" spans="1:18">
      <c r="B61" s="168"/>
      <c r="C61" s="168"/>
      <c r="D61" s="361"/>
      <c r="F61" s="168" t="s">
        <v>6202</v>
      </c>
      <c r="G61" s="193">
        <f>IF(_1_541284561214624104645789101745[[#This Row],[Type]]&gt;0,VLOOKUP(_1_541284561214624104645789101745[[#This Row],[Type]],Main[[#All],[TYPE]:[UNIT]],'Unit Price'!C$1,FALSE),0)</f>
        <v>0</v>
      </c>
      <c r="H61" s="197">
        <f>IF(_1_541284561214624104645789101745[[#This Row],[Type]]&gt;0,VLOOKUP(_1_541284561214624104645789101745[[#This Row],[Type]],Main[[#All],[TYPE]:[UNIT]],'Unit Price'!D$1,FALSE),0)</f>
        <v>0</v>
      </c>
      <c r="I61" s="194">
        <f>IF(_1_541284561214624104645789101745[[#This Row],[Type]]&gt;0,VLOOKUP(_1_541284561214624104645789101745[[#This Row],[Type]],Main[[#All],[TYPE]:[UNIT]],'Unit Price'!G$1,FALSE),0)</f>
        <v>0</v>
      </c>
      <c r="J61" s="194">
        <f>IF(_1_541284561214624104645789101745[[#This Row],[Type]]&gt;0,VLOOKUP(_1_541284561214624104645789101745[[#This Row],[Type]],Main[[#All],[TYPE]:[UNIT]],'Unit Price'!H$1,FALSE),0)</f>
        <v>0</v>
      </c>
      <c r="K61" s="194">
        <f>IF(_1_541284561214624104645789101745[[#This Row],[Discount selection]]&gt;0,VLOOKUP(_1_541284561214624104645789101745[[#This Row],[Discount selection]],'Discount Structure'!$A$2:$B$30,2,"false"),0)</f>
        <v>1</v>
      </c>
      <c r="L61" s="194">
        <f>_1_541284561214624104645789101745[[#This Row],[LIST $]]*_1_541284561214624104645789101745[[#This Row],[DISCOUNT]]*_1_541284561214624104645789101745[[#This Row],[DISCOUNT 2]]</f>
        <v>0</v>
      </c>
      <c r="M61" s="194">
        <f>IF(OR(_1_541284561214624104645789101745[[#This Row],[UNIT]]&gt;0,_1_541284561214624104645789101745[[#This Row],[UNIT]]&lt;0),_1_541284561214624104645789101745[[#This Row],[UNIT]]*_1_541284561214624104645789101745[[#This Row],[COST]],0)</f>
        <v>0</v>
      </c>
      <c r="N61" s="194">
        <f t="shared" si="0"/>
        <v>1.5</v>
      </c>
      <c r="O61" s="198">
        <f>_1_541284561214624104645789101745[[#This Row],[TOTAL]]*_1_541284561214624104645789101745[[#This Row],[MARGIN]]</f>
        <v>0</v>
      </c>
      <c r="R61" s="41"/>
    </row>
    <row r="62" spans="1:18">
      <c r="C62" s="168"/>
      <c r="D62" s="188"/>
      <c r="F62" s="168" t="s">
        <v>6202</v>
      </c>
      <c r="G62" s="193">
        <f>IF(_1_541284561214624104645789101745[[#This Row],[Type]]&gt;0,VLOOKUP(_1_541284561214624104645789101745[[#This Row],[Type]],Main[[#All],[TYPE]:[UNIT]],'Unit Price'!C$1,FALSE),0)</f>
        <v>0</v>
      </c>
      <c r="H62" s="197">
        <f>IF(_1_541284561214624104645789101745[[#This Row],[Type]]&gt;0,VLOOKUP(_1_541284561214624104645789101745[[#This Row],[Type]],Main[[#All],[TYPE]:[UNIT]],'Unit Price'!D$1,FALSE),0)</f>
        <v>0</v>
      </c>
      <c r="I62" s="194">
        <f>IF(_1_541284561214624104645789101745[[#This Row],[Type]]&gt;0,VLOOKUP(_1_541284561214624104645789101745[[#This Row],[Type]],Main[[#All],[TYPE]:[UNIT]],'Unit Price'!G$1,FALSE),0)</f>
        <v>0</v>
      </c>
      <c r="J62" s="194">
        <f>IF(_1_541284561214624104645789101745[[#This Row],[Type]]&gt;0,VLOOKUP(_1_541284561214624104645789101745[[#This Row],[Type]],Main[[#All],[TYPE]:[UNIT]],'Unit Price'!H$1,FALSE),0)</f>
        <v>0</v>
      </c>
      <c r="K62" s="194">
        <f>IF(_1_541284561214624104645789101745[[#This Row],[Discount selection]]&gt;0,VLOOKUP(_1_541284561214624104645789101745[[#This Row],[Discount selection]],'Discount Structure'!$A$2:$B$30,2,"false"),0)</f>
        <v>1</v>
      </c>
      <c r="L62" s="194">
        <f>_1_541284561214624104645789101745[[#This Row],[LIST $]]*_1_541284561214624104645789101745[[#This Row],[DISCOUNT]]*_1_541284561214624104645789101745[[#This Row],[DISCOUNT 2]]</f>
        <v>0</v>
      </c>
      <c r="M62" s="194">
        <f>IF(OR(_1_541284561214624104645789101745[[#This Row],[UNIT]]&gt;0,_1_541284561214624104645789101745[[#This Row],[UNIT]]&lt;0),_1_541284561214624104645789101745[[#This Row],[UNIT]]*_1_541284561214624104645789101745[[#This Row],[COST]],0)</f>
        <v>0</v>
      </c>
      <c r="N62" s="194">
        <f t="shared" si="0"/>
        <v>1.5</v>
      </c>
      <c r="O62" s="198">
        <f>_1_541284561214624104645789101745[[#This Row],[TOTAL]]*_1_541284561214624104645789101745[[#This Row],[MARGIN]]</f>
        <v>0</v>
      </c>
      <c r="R62" s="41"/>
    </row>
    <row r="63" spans="1:18">
      <c r="C63" s="168"/>
      <c r="D63" s="188"/>
      <c r="F63" s="168" t="s">
        <v>6202</v>
      </c>
      <c r="G63" s="193">
        <f>IF(_1_541284561214624104645789101745[[#This Row],[Type]]&gt;0,VLOOKUP(_1_541284561214624104645789101745[[#This Row],[Type]],Main[[#All],[TYPE]:[UNIT]],'Unit Price'!C$1,FALSE),0)</f>
        <v>0</v>
      </c>
      <c r="H63" s="197">
        <f>IF(_1_541284561214624104645789101745[[#This Row],[Type]]&gt;0,VLOOKUP(_1_541284561214624104645789101745[[#This Row],[Type]],Main[[#All],[TYPE]:[UNIT]],'Unit Price'!D$1,FALSE),0)</f>
        <v>0</v>
      </c>
      <c r="I63" s="194">
        <f>IF(_1_541284561214624104645789101745[[#This Row],[Type]]&gt;0,VLOOKUP(_1_541284561214624104645789101745[[#This Row],[Type]],Main[[#All],[TYPE]:[UNIT]],'Unit Price'!G$1,FALSE),0)</f>
        <v>0</v>
      </c>
      <c r="J63" s="194">
        <f>IF(_1_541284561214624104645789101745[[#This Row],[Type]]&gt;0,VLOOKUP(_1_541284561214624104645789101745[[#This Row],[Type]],Main[[#All],[TYPE]:[UNIT]],'Unit Price'!H$1,FALSE),0)</f>
        <v>0</v>
      </c>
      <c r="K63" s="194">
        <f>IF(_1_541284561214624104645789101745[[#This Row],[Discount selection]]&gt;0,VLOOKUP(_1_541284561214624104645789101745[[#This Row],[Discount selection]],'Discount Structure'!$A$2:$B$30,2,"false"),0)</f>
        <v>1</v>
      </c>
      <c r="L63" s="194">
        <f>_1_541284561214624104645789101745[[#This Row],[LIST $]]*_1_541284561214624104645789101745[[#This Row],[DISCOUNT]]*_1_541284561214624104645789101745[[#This Row],[DISCOUNT 2]]</f>
        <v>0</v>
      </c>
      <c r="M63" s="194">
        <f>IF(OR(_1_541284561214624104645789101745[[#This Row],[UNIT]]&gt;0,_1_541284561214624104645789101745[[#This Row],[UNIT]]&lt;0),_1_541284561214624104645789101745[[#This Row],[UNIT]]*_1_541284561214624104645789101745[[#This Row],[COST]],0)</f>
        <v>0</v>
      </c>
      <c r="N63" s="194">
        <f t="shared" si="0"/>
        <v>1.5</v>
      </c>
      <c r="O63" s="198">
        <f>_1_541284561214624104645789101745[[#This Row],[TOTAL]]*_1_541284561214624104645789101745[[#This Row],[MARGIN]]</f>
        <v>0</v>
      </c>
      <c r="R63" s="41"/>
    </row>
    <row r="64" spans="1:18">
      <c r="C64" s="168"/>
      <c r="D64" s="188"/>
      <c r="F64" s="168" t="s">
        <v>6202</v>
      </c>
      <c r="G64" s="193">
        <f>IF(_1_541284561214624104645789101745[[#This Row],[Type]]&gt;0,VLOOKUP(_1_541284561214624104645789101745[[#This Row],[Type]],Main[[#All],[TYPE]:[UNIT]],'Unit Price'!C$1,FALSE),0)</f>
        <v>0</v>
      </c>
      <c r="H64" s="197">
        <f>IF(_1_541284561214624104645789101745[[#This Row],[Type]]&gt;0,VLOOKUP(_1_541284561214624104645789101745[[#This Row],[Type]],Main[[#All],[TYPE]:[UNIT]],'Unit Price'!D$1,FALSE),0)</f>
        <v>0</v>
      </c>
      <c r="I64" s="194">
        <f>IF(_1_541284561214624104645789101745[[#This Row],[Type]]&gt;0,VLOOKUP(_1_541284561214624104645789101745[[#This Row],[Type]],Main[[#All],[TYPE]:[UNIT]],'Unit Price'!G$1,FALSE),0)</f>
        <v>0</v>
      </c>
      <c r="J64" s="194">
        <f>IF(_1_541284561214624104645789101745[[#This Row],[Type]]&gt;0,VLOOKUP(_1_541284561214624104645789101745[[#This Row],[Type]],Main[[#All],[TYPE]:[UNIT]],'Unit Price'!H$1,FALSE),0)</f>
        <v>0</v>
      </c>
      <c r="K64" s="194">
        <f>IF(_1_541284561214624104645789101745[[#This Row],[Discount selection]]&gt;0,VLOOKUP(_1_541284561214624104645789101745[[#This Row],[Discount selection]],'Discount Structure'!$A$2:$B$30,2,"false"),0)</f>
        <v>1</v>
      </c>
      <c r="L64" s="194">
        <f>_1_541284561214624104645789101745[[#This Row],[LIST $]]*_1_541284561214624104645789101745[[#This Row],[DISCOUNT]]*_1_541284561214624104645789101745[[#This Row],[DISCOUNT 2]]</f>
        <v>0</v>
      </c>
      <c r="M64" s="194">
        <f>IF(OR(_1_541284561214624104645789101745[[#This Row],[UNIT]]&gt;0,_1_541284561214624104645789101745[[#This Row],[UNIT]]&lt;0),_1_541284561214624104645789101745[[#This Row],[UNIT]]*_1_541284561214624104645789101745[[#This Row],[COST]],0)</f>
        <v>0</v>
      </c>
      <c r="N64" s="194">
        <f t="shared" si="0"/>
        <v>1.5</v>
      </c>
      <c r="O64" s="198">
        <f>_1_541284561214624104645789101745[[#This Row],[TOTAL]]*_1_541284561214624104645789101745[[#This Row],[MARGIN]]</f>
        <v>0</v>
      </c>
      <c r="R64" s="41"/>
    </row>
    <row r="65" spans="1:18">
      <c r="C65" s="168"/>
      <c r="D65" s="188"/>
      <c r="F65" s="168" t="s">
        <v>6202</v>
      </c>
      <c r="G65" s="193">
        <f>IF(_1_541284561214624104645789101745[[#This Row],[Type]]&gt;0,VLOOKUP(_1_541284561214624104645789101745[[#This Row],[Type]],Main[[#All],[TYPE]:[UNIT]],'Unit Price'!C$1,FALSE),0)</f>
        <v>0</v>
      </c>
      <c r="H65" s="197">
        <f>IF(_1_541284561214624104645789101745[[#This Row],[Type]]&gt;0,VLOOKUP(_1_541284561214624104645789101745[[#This Row],[Type]],Main[[#All],[TYPE]:[UNIT]],'Unit Price'!D$1,FALSE),0)</f>
        <v>0</v>
      </c>
      <c r="I65" s="194">
        <f>IF(_1_541284561214624104645789101745[[#This Row],[Type]]&gt;0,VLOOKUP(_1_541284561214624104645789101745[[#This Row],[Type]],Main[[#All],[TYPE]:[UNIT]],'Unit Price'!G$1,FALSE),0)</f>
        <v>0</v>
      </c>
      <c r="J65" s="194">
        <f>IF(_1_541284561214624104645789101745[[#This Row],[Type]]&gt;0,VLOOKUP(_1_541284561214624104645789101745[[#This Row],[Type]],Main[[#All],[TYPE]:[UNIT]],'Unit Price'!H$1,FALSE),0)</f>
        <v>0</v>
      </c>
      <c r="K65" s="194">
        <f>IF(_1_541284561214624104645789101745[[#This Row],[Discount selection]]&gt;0,VLOOKUP(_1_541284561214624104645789101745[[#This Row],[Discount selection]],'Discount Structure'!$A$2:$B$30,2,"false"),0)</f>
        <v>1</v>
      </c>
      <c r="L65" s="194">
        <f>_1_541284561214624104645789101745[[#This Row],[LIST $]]*_1_541284561214624104645789101745[[#This Row],[DISCOUNT]]*_1_541284561214624104645789101745[[#This Row],[DISCOUNT 2]]</f>
        <v>0</v>
      </c>
      <c r="M65" s="194">
        <f>IF(OR(_1_541284561214624104645789101745[[#This Row],[UNIT]]&gt;0,_1_541284561214624104645789101745[[#This Row],[UNIT]]&lt;0),_1_541284561214624104645789101745[[#This Row],[UNIT]]*_1_541284561214624104645789101745[[#This Row],[COST]],0)</f>
        <v>0</v>
      </c>
      <c r="N65" s="194">
        <f t="shared" si="0"/>
        <v>1.5</v>
      </c>
      <c r="O65" s="198">
        <f>_1_541284561214624104645789101745[[#This Row],[TOTAL]]*_1_541284561214624104645789101745[[#This Row],[MARGIN]]</f>
        <v>0</v>
      </c>
      <c r="R65" s="41"/>
    </row>
    <row r="66" spans="1:18">
      <c r="B66" s="363"/>
      <c r="C66" s="168"/>
      <c r="D66" s="188"/>
      <c r="F66" s="168" t="s">
        <v>6202</v>
      </c>
      <c r="G66" s="193">
        <f>IF(_1_541284561214624104645789101745[[#This Row],[Type]]&gt;0,VLOOKUP(_1_541284561214624104645789101745[[#This Row],[Type]],Main[[#All],[TYPE]:[UNIT]],'Unit Price'!C$1,FALSE),0)</f>
        <v>0</v>
      </c>
      <c r="H66" s="197">
        <f>IF(_1_541284561214624104645789101745[[#This Row],[Type]]&gt;0,VLOOKUP(_1_541284561214624104645789101745[[#This Row],[Type]],Main[[#All],[TYPE]:[UNIT]],'Unit Price'!D$1,FALSE),0)</f>
        <v>0</v>
      </c>
      <c r="I66" s="194">
        <f>IF(_1_541284561214624104645789101745[[#This Row],[Type]]&gt;0,VLOOKUP(_1_541284561214624104645789101745[[#This Row],[Type]],Main[[#All],[TYPE]:[UNIT]],'Unit Price'!G$1,FALSE),0)</f>
        <v>0</v>
      </c>
      <c r="J66" s="194">
        <f>IF(_1_541284561214624104645789101745[[#This Row],[Type]]&gt;0,VLOOKUP(_1_541284561214624104645789101745[[#This Row],[Type]],Main[[#All],[TYPE]:[UNIT]],'Unit Price'!H$1,FALSE),0)</f>
        <v>0</v>
      </c>
      <c r="K66" s="194">
        <f>IF(_1_541284561214624104645789101745[[#This Row],[Discount selection]]&gt;0,VLOOKUP(_1_541284561214624104645789101745[[#This Row],[Discount selection]],'Discount Structure'!$A$2:$B$30,2,"false"),0)</f>
        <v>1</v>
      </c>
      <c r="L66" s="194">
        <f>_1_541284561214624104645789101745[[#This Row],[LIST $]]*_1_541284561214624104645789101745[[#This Row],[DISCOUNT]]*_1_541284561214624104645789101745[[#This Row],[DISCOUNT 2]]</f>
        <v>0</v>
      </c>
      <c r="M66" s="194">
        <f>IF(OR(_1_541284561214624104645789101745[[#This Row],[UNIT]]&gt;0,_1_541284561214624104645789101745[[#This Row],[UNIT]]&lt;0),_1_541284561214624104645789101745[[#This Row],[UNIT]]*_1_541284561214624104645789101745[[#This Row],[COST]],0)</f>
        <v>0</v>
      </c>
      <c r="N66" s="194">
        <f t="shared" si="0"/>
        <v>1.5</v>
      </c>
      <c r="O66" s="198">
        <f>_1_541284561214624104645789101745[[#This Row],[TOTAL]]*_1_541284561214624104645789101745[[#This Row],[MARGIN]]</f>
        <v>0</v>
      </c>
      <c r="R66" s="41"/>
    </row>
    <row r="67" spans="1:18">
      <c r="C67" s="168"/>
      <c r="D67" s="188"/>
      <c r="F67" s="168" t="s">
        <v>6202</v>
      </c>
      <c r="G67" s="193">
        <f>IF(_1_541284561214624104645789101745[[#This Row],[Type]]&gt;0,VLOOKUP(_1_541284561214624104645789101745[[#This Row],[Type]],Main[[#All],[TYPE]:[UNIT]],'Unit Price'!C$1,FALSE),0)</f>
        <v>0</v>
      </c>
      <c r="H67" s="197">
        <f>IF(_1_541284561214624104645789101745[[#This Row],[Type]]&gt;0,VLOOKUP(_1_541284561214624104645789101745[[#This Row],[Type]],Main[[#All],[TYPE]:[UNIT]],'Unit Price'!D$1,FALSE),0)</f>
        <v>0</v>
      </c>
      <c r="I67" s="194">
        <f>IF(_1_541284561214624104645789101745[[#This Row],[Type]]&gt;0,VLOOKUP(_1_541284561214624104645789101745[[#This Row],[Type]],Main[[#All],[TYPE]:[UNIT]],'Unit Price'!G$1,FALSE),0)</f>
        <v>0</v>
      </c>
      <c r="J67" s="194">
        <f>IF(_1_541284561214624104645789101745[[#This Row],[Type]]&gt;0,VLOOKUP(_1_541284561214624104645789101745[[#This Row],[Type]],Main[[#All],[TYPE]:[UNIT]],'Unit Price'!H$1,FALSE),0)</f>
        <v>0</v>
      </c>
      <c r="K67" s="194">
        <f>IF(_1_541284561214624104645789101745[[#This Row],[Discount selection]]&gt;0,VLOOKUP(_1_541284561214624104645789101745[[#This Row],[Discount selection]],'Discount Structure'!$A$2:$B$30,2,"false"),0)</f>
        <v>1</v>
      </c>
      <c r="L67" s="194">
        <f>_1_541284561214624104645789101745[[#This Row],[LIST $]]*_1_541284561214624104645789101745[[#This Row],[DISCOUNT]]*_1_541284561214624104645789101745[[#This Row],[DISCOUNT 2]]</f>
        <v>0</v>
      </c>
      <c r="M67" s="194">
        <f>IF(OR(_1_541284561214624104645789101745[[#This Row],[UNIT]]&gt;0,_1_541284561214624104645789101745[[#This Row],[UNIT]]&lt;0),_1_541284561214624104645789101745[[#This Row],[UNIT]]*_1_541284561214624104645789101745[[#This Row],[COST]],0)</f>
        <v>0</v>
      </c>
      <c r="N67" s="194">
        <f t="shared" si="0"/>
        <v>1.5</v>
      </c>
      <c r="O67" s="198">
        <f>_1_541284561214624104645789101745[[#This Row],[TOTAL]]*_1_541284561214624104645789101745[[#This Row],[MARGIN]]</f>
        <v>0</v>
      </c>
      <c r="R67" s="41"/>
    </row>
    <row r="68" spans="1:18">
      <c r="A68" s="168"/>
      <c r="C68" s="168"/>
      <c r="D68" s="188"/>
      <c r="F68" s="168" t="s">
        <v>6202</v>
      </c>
      <c r="G68" s="193">
        <f>IF(_1_541284561214624104645789101745[[#This Row],[Type]]&gt;0,VLOOKUP(_1_541284561214624104645789101745[[#This Row],[Type]],Main[[#All],[TYPE]:[UNIT]],'Unit Price'!C$1,FALSE),0)</f>
        <v>0</v>
      </c>
      <c r="H68" s="197">
        <f>IF(_1_541284561214624104645789101745[[#This Row],[Type]]&gt;0,VLOOKUP(_1_541284561214624104645789101745[[#This Row],[Type]],Main[[#All],[TYPE]:[UNIT]],'Unit Price'!D$1,FALSE),0)</f>
        <v>0</v>
      </c>
      <c r="I68" s="194">
        <f>IF(_1_541284561214624104645789101745[[#This Row],[Type]]&gt;0,VLOOKUP(_1_541284561214624104645789101745[[#This Row],[Type]],Main[[#All],[TYPE]:[UNIT]],'Unit Price'!G$1,FALSE),0)</f>
        <v>0</v>
      </c>
      <c r="J68" s="194">
        <f>IF(_1_541284561214624104645789101745[[#This Row],[Type]]&gt;0,VLOOKUP(_1_541284561214624104645789101745[[#This Row],[Type]],Main[[#All],[TYPE]:[UNIT]],'Unit Price'!H$1,FALSE),0)</f>
        <v>0</v>
      </c>
      <c r="K68" s="194">
        <f>IF(_1_541284561214624104645789101745[[#This Row],[Discount selection]]&gt;0,VLOOKUP(_1_541284561214624104645789101745[[#This Row],[Discount selection]],'Discount Structure'!$A$2:$B$30,2,"false"),0)</f>
        <v>1</v>
      </c>
      <c r="L68" s="194">
        <f>_1_541284561214624104645789101745[[#This Row],[LIST $]]*_1_541284561214624104645789101745[[#This Row],[DISCOUNT]]*_1_541284561214624104645789101745[[#This Row],[DISCOUNT 2]]</f>
        <v>0</v>
      </c>
      <c r="M68" s="194">
        <f>IF(OR(_1_541284561214624104645789101745[[#This Row],[UNIT]]&gt;0,_1_541284561214624104645789101745[[#This Row],[UNIT]]&lt;0),_1_541284561214624104645789101745[[#This Row],[UNIT]]*_1_541284561214624104645789101745[[#This Row],[COST]],0)</f>
        <v>0</v>
      </c>
      <c r="N68" s="194">
        <f t="shared" si="0"/>
        <v>1.5</v>
      </c>
      <c r="O68" s="198">
        <f>_1_541284561214624104645789101745[[#This Row],[TOTAL]]*_1_541284561214624104645789101745[[#This Row],[MARGIN]]</f>
        <v>0</v>
      </c>
      <c r="R68" s="41"/>
    </row>
    <row r="69" spans="1:18">
      <c r="A69" s="168"/>
      <c r="C69" s="168"/>
      <c r="D69" s="188"/>
      <c r="F69" s="168" t="s">
        <v>6202</v>
      </c>
      <c r="G69" s="193">
        <f>IF(_1_541284561214624104645789101745[[#This Row],[Type]]&gt;0,VLOOKUP(_1_541284561214624104645789101745[[#This Row],[Type]],Main[[#All],[TYPE]:[UNIT]],'Unit Price'!C$1,FALSE),0)</f>
        <v>0</v>
      </c>
      <c r="H69" s="197">
        <f>IF(_1_541284561214624104645789101745[[#This Row],[Type]]&gt;0,VLOOKUP(_1_541284561214624104645789101745[[#This Row],[Type]],Main[[#All],[TYPE]:[UNIT]],'Unit Price'!D$1,FALSE),0)</f>
        <v>0</v>
      </c>
      <c r="I69" s="194">
        <f>IF(_1_541284561214624104645789101745[[#This Row],[Type]]&gt;0,VLOOKUP(_1_541284561214624104645789101745[[#This Row],[Type]],Main[[#All],[TYPE]:[UNIT]],'Unit Price'!G$1,FALSE),0)</f>
        <v>0</v>
      </c>
      <c r="J69" s="194">
        <f>IF(_1_541284561214624104645789101745[[#This Row],[Type]]&gt;0,VLOOKUP(_1_541284561214624104645789101745[[#This Row],[Type]],Main[[#All],[TYPE]:[UNIT]],'Unit Price'!H$1,FALSE),0)</f>
        <v>0</v>
      </c>
      <c r="K69" s="194">
        <f>IF(_1_541284561214624104645789101745[[#This Row],[Discount selection]]&gt;0,VLOOKUP(_1_541284561214624104645789101745[[#This Row],[Discount selection]],'Discount Structure'!$A$2:$B$30,2,"false"),0)</f>
        <v>1</v>
      </c>
      <c r="L69" s="194">
        <f>_1_541284561214624104645789101745[[#This Row],[LIST $]]*_1_541284561214624104645789101745[[#This Row],[DISCOUNT]]*_1_541284561214624104645789101745[[#This Row],[DISCOUNT 2]]</f>
        <v>0</v>
      </c>
      <c r="M69" s="194">
        <f>IF(OR(_1_541284561214624104645789101745[[#This Row],[UNIT]]&gt;0,_1_541284561214624104645789101745[[#This Row],[UNIT]]&lt;0),_1_541284561214624104645789101745[[#This Row],[UNIT]]*_1_541284561214624104645789101745[[#This Row],[COST]],0)</f>
        <v>0</v>
      </c>
      <c r="N69" s="194">
        <f t="shared" si="0"/>
        <v>1.5</v>
      </c>
      <c r="O69" s="198">
        <f>_1_541284561214624104645789101745[[#This Row],[TOTAL]]*_1_541284561214624104645789101745[[#This Row],[MARGIN]]</f>
        <v>0</v>
      </c>
      <c r="R69" s="41"/>
    </row>
    <row r="70" spans="1:18">
      <c r="C70" s="168"/>
      <c r="D70" s="188"/>
      <c r="F70" s="168" t="s">
        <v>6202</v>
      </c>
      <c r="G70" s="193">
        <f>IF(_1_541284561214624104645789101745[[#This Row],[Type]]&gt;0,VLOOKUP(_1_541284561214624104645789101745[[#This Row],[Type]],Main[[#All],[TYPE]:[UNIT]],'Unit Price'!C$1,FALSE),0)</f>
        <v>0</v>
      </c>
      <c r="H70" s="197">
        <f>IF(_1_541284561214624104645789101745[[#This Row],[Type]]&gt;0,VLOOKUP(_1_541284561214624104645789101745[[#This Row],[Type]],Main[[#All],[TYPE]:[UNIT]],'Unit Price'!D$1,FALSE),0)</f>
        <v>0</v>
      </c>
      <c r="I70" s="194">
        <f>IF(_1_541284561214624104645789101745[[#This Row],[Type]]&gt;0,VLOOKUP(_1_541284561214624104645789101745[[#This Row],[Type]],Main[[#All],[TYPE]:[UNIT]],'Unit Price'!G$1,FALSE),0)</f>
        <v>0</v>
      </c>
      <c r="J70" s="194">
        <f>IF(_1_541284561214624104645789101745[[#This Row],[Type]]&gt;0,VLOOKUP(_1_541284561214624104645789101745[[#This Row],[Type]],Main[[#All],[TYPE]:[UNIT]],'Unit Price'!H$1,FALSE),0)</f>
        <v>0</v>
      </c>
      <c r="K70" s="194">
        <f>IF(_1_541284561214624104645789101745[[#This Row],[Discount selection]]&gt;0,VLOOKUP(_1_541284561214624104645789101745[[#This Row],[Discount selection]],'Discount Structure'!$A$2:$B$30,2,"false"),0)</f>
        <v>1</v>
      </c>
      <c r="L70" s="194">
        <f>_1_541284561214624104645789101745[[#This Row],[LIST $]]*_1_541284561214624104645789101745[[#This Row],[DISCOUNT]]*_1_541284561214624104645789101745[[#This Row],[DISCOUNT 2]]</f>
        <v>0</v>
      </c>
      <c r="M70" s="194">
        <f>IF(OR(_1_541284561214624104645789101745[[#This Row],[UNIT]]&gt;0,_1_541284561214624104645789101745[[#This Row],[UNIT]]&lt;0),_1_541284561214624104645789101745[[#This Row],[UNIT]]*_1_541284561214624104645789101745[[#This Row],[COST]],0)</f>
        <v>0</v>
      </c>
      <c r="N70" s="194">
        <f t="shared" si="0"/>
        <v>1.5</v>
      </c>
      <c r="O70" s="198">
        <f>_1_541284561214624104645789101745[[#This Row],[TOTAL]]*_1_541284561214624104645789101745[[#This Row],[MARGIN]]</f>
        <v>0</v>
      </c>
      <c r="R70" s="41"/>
    </row>
    <row r="71" spans="1:18">
      <c r="C71" s="168"/>
      <c r="D71" s="188"/>
      <c r="F71" s="168" t="s">
        <v>6202</v>
      </c>
      <c r="G71" s="193">
        <f>IF(_1_541284561214624104645789101745[[#This Row],[Type]]&gt;0,VLOOKUP(_1_541284561214624104645789101745[[#This Row],[Type]],Main[[#All],[TYPE]:[UNIT]],'Unit Price'!C$1,FALSE),0)</f>
        <v>0</v>
      </c>
      <c r="H71" s="197">
        <f>IF(_1_541284561214624104645789101745[[#This Row],[Type]]&gt;0,VLOOKUP(_1_541284561214624104645789101745[[#This Row],[Type]],Main[[#All],[TYPE]:[UNIT]],'Unit Price'!D$1,FALSE),0)</f>
        <v>0</v>
      </c>
      <c r="I71" s="194">
        <f>IF(_1_541284561214624104645789101745[[#This Row],[Type]]&gt;0,VLOOKUP(_1_541284561214624104645789101745[[#This Row],[Type]],Main[[#All],[TYPE]:[UNIT]],'Unit Price'!G$1,FALSE),0)</f>
        <v>0</v>
      </c>
      <c r="J71" s="194">
        <f>IF(_1_541284561214624104645789101745[[#This Row],[Type]]&gt;0,VLOOKUP(_1_541284561214624104645789101745[[#This Row],[Type]],Main[[#All],[TYPE]:[UNIT]],'Unit Price'!H$1,FALSE),0)</f>
        <v>0</v>
      </c>
      <c r="K71" s="194">
        <f>IF(_1_541284561214624104645789101745[[#This Row],[Discount selection]]&gt;0,VLOOKUP(_1_541284561214624104645789101745[[#This Row],[Discount selection]],'Discount Structure'!$A$2:$B$30,2,"false"),0)</f>
        <v>1</v>
      </c>
      <c r="L71" s="194">
        <f>_1_541284561214624104645789101745[[#This Row],[LIST $]]*_1_541284561214624104645789101745[[#This Row],[DISCOUNT]]*_1_541284561214624104645789101745[[#This Row],[DISCOUNT 2]]</f>
        <v>0</v>
      </c>
      <c r="M71" s="194">
        <f>IF(OR(_1_541284561214624104645789101745[[#This Row],[UNIT]]&gt;0,_1_541284561214624104645789101745[[#This Row],[UNIT]]&lt;0),_1_541284561214624104645789101745[[#This Row],[UNIT]]*_1_541284561214624104645789101745[[#This Row],[COST]],0)</f>
        <v>0</v>
      </c>
      <c r="N71" s="194">
        <f t="shared" si="0"/>
        <v>1.5</v>
      </c>
      <c r="O71" s="198">
        <f>_1_541284561214624104645789101745[[#This Row],[TOTAL]]*_1_541284561214624104645789101745[[#This Row],[MARGIN]]</f>
        <v>0</v>
      </c>
      <c r="R71" s="41"/>
    </row>
    <row r="72" spans="1:18">
      <c r="A72" s="168"/>
      <c r="C72" s="168"/>
      <c r="D72" s="188"/>
      <c r="F72" s="168" t="s">
        <v>6202</v>
      </c>
      <c r="G72" s="193">
        <f>IF(_1_541284561214624104645789101745[[#This Row],[Type]]&gt;0,VLOOKUP(_1_541284561214624104645789101745[[#This Row],[Type]],Main[[#All],[TYPE]:[UNIT]],'Unit Price'!C$1,FALSE),0)</f>
        <v>0</v>
      </c>
      <c r="H72" s="197">
        <f>IF(_1_541284561214624104645789101745[[#This Row],[Type]]&gt;0,VLOOKUP(_1_541284561214624104645789101745[[#This Row],[Type]],Main[[#All],[TYPE]:[UNIT]],'Unit Price'!D$1,FALSE),0)</f>
        <v>0</v>
      </c>
      <c r="I72" s="194">
        <f>IF(_1_541284561214624104645789101745[[#This Row],[Type]]&gt;0,VLOOKUP(_1_541284561214624104645789101745[[#This Row],[Type]],Main[[#All],[TYPE]:[UNIT]],'Unit Price'!G$1,FALSE),0)</f>
        <v>0</v>
      </c>
      <c r="J72" s="194">
        <f>IF(_1_541284561214624104645789101745[[#This Row],[Type]]&gt;0,VLOOKUP(_1_541284561214624104645789101745[[#This Row],[Type]],Main[[#All],[TYPE]:[UNIT]],'Unit Price'!H$1,FALSE),0)</f>
        <v>0</v>
      </c>
      <c r="K72" s="194">
        <f>IF(_1_541284561214624104645789101745[[#This Row],[Discount selection]]&gt;0,VLOOKUP(_1_541284561214624104645789101745[[#This Row],[Discount selection]],'Discount Structure'!$A$2:$B$30,2,"false"),0)</f>
        <v>1</v>
      </c>
      <c r="L72" s="194">
        <f>_1_541284561214624104645789101745[[#This Row],[LIST $]]*_1_541284561214624104645789101745[[#This Row],[DISCOUNT]]*_1_541284561214624104645789101745[[#This Row],[DISCOUNT 2]]</f>
        <v>0</v>
      </c>
      <c r="M72" s="194">
        <f>IF(OR(_1_541284561214624104645789101745[[#This Row],[UNIT]]&gt;0,_1_541284561214624104645789101745[[#This Row],[UNIT]]&lt;0),_1_541284561214624104645789101745[[#This Row],[UNIT]]*_1_541284561214624104645789101745[[#This Row],[COST]],0)</f>
        <v>0</v>
      </c>
      <c r="N72" s="194">
        <f t="shared" si="0"/>
        <v>1.5</v>
      </c>
      <c r="O72" s="198">
        <f>_1_541284561214624104645789101745[[#This Row],[TOTAL]]*_1_541284561214624104645789101745[[#This Row],[MARGIN]]</f>
        <v>0</v>
      </c>
      <c r="R72" s="41"/>
    </row>
    <row r="73" spans="1:18">
      <c r="C73" s="168"/>
      <c r="D73" s="188"/>
      <c r="F73" s="168" t="s">
        <v>6202</v>
      </c>
      <c r="G73" s="193">
        <f>IF(_1_541284561214624104645789101745[[#This Row],[Type]]&gt;0,VLOOKUP(_1_541284561214624104645789101745[[#This Row],[Type]],Main[[#All],[TYPE]:[UNIT]],'Unit Price'!C$1,FALSE),0)</f>
        <v>0</v>
      </c>
      <c r="H73" s="197">
        <f>IF(_1_541284561214624104645789101745[[#This Row],[Type]]&gt;0,VLOOKUP(_1_541284561214624104645789101745[[#This Row],[Type]],Main[[#All],[TYPE]:[UNIT]],'Unit Price'!D$1,FALSE),0)</f>
        <v>0</v>
      </c>
      <c r="I73" s="194">
        <f>IF(_1_541284561214624104645789101745[[#This Row],[Type]]&gt;0,VLOOKUP(_1_541284561214624104645789101745[[#This Row],[Type]],Main[[#All],[TYPE]:[UNIT]],'Unit Price'!G$1,FALSE),0)</f>
        <v>0</v>
      </c>
      <c r="J73" s="194">
        <f>IF(_1_541284561214624104645789101745[[#This Row],[Type]]&gt;0,VLOOKUP(_1_541284561214624104645789101745[[#This Row],[Type]],Main[[#All],[TYPE]:[UNIT]],'Unit Price'!H$1,FALSE),0)</f>
        <v>0</v>
      </c>
      <c r="K73" s="194">
        <f>IF(_1_541284561214624104645789101745[[#This Row],[Discount selection]]&gt;0,VLOOKUP(_1_541284561214624104645789101745[[#This Row],[Discount selection]],'Discount Structure'!$A$2:$B$30,2,"false"),0)</f>
        <v>1</v>
      </c>
      <c r="L73" s="194">
        <f>_1_541284561214624104645789101745[[#This Row],[LIST $]]*_1_541284561214624104645789101745[[#This Row],[DISCOUNT]]*_1_541284561214624104645789101745[[#This Row],[DISCOUNT 2]]</f>
        <v>0</v>
      </c>
      <c r="M73" s="194">
        <f>IF(OR(_1_541284561214624104645789101745[[#This Row],[UNIT]]&gt;0,_1_541284561214624104645789101745[[#This Row],[UNIT]]&lt;0),_1_541284561214624104645789101745[[#This Row],[UNIT]]*_1_541284561214624104645789101745[[#This Row],[COST]],0)</f>
        <v>0</v>
      </c>
      <c r="N73" s="194">
        <f t="shared" si="0"/>
        <v>1.5</v>
      </c>
      <c r="O73" s="198">
        <f>_1_541284561214624104645789101745[[#This Row],[TOTAL]]*_1_541284561214624104645789101745[[#This Row],[MARGIN]]</f>
        <v>0</v>
      </c>
      <c r="R73" s="41"/>
    </row>
    <row r="74" spans="1:18">
      <c r="A74" s="356"/>
      <c r="C74" s="168"/>
      <c r="D74" s="188"/>
      <c r="F74" s="168" t="s">
        <v>6202</v>
      </c>
      <c r="G74" s="193">
        <f>IF(_1_541284561214624104645789101745[[#This Row],[Type]]&gt;0,VLOOKUP(_1_541284561214624104645789101745[[#This Row],[Type]],Main[[#All],[TYPE]:[UNIT]],'Unit Price'!C$1,FALSE),0)</f>
        <v>0</v>
      </c>
      <c r="H74" s="197">
        <f>IF(_1_541284561214624104645789101745[[#This Row],[Type]]&gt;0,VLOOKUP(_1_541284561214624104645789101745[[#This Row],[Type]],Main[[#All],[TYPE]:[UNIT]],'Unit Price'!D$1,FALSE),0)</f>
        <v>0</v>
      </c>
      <c r="I74" s="194">
        <f>IF(_1_541284561214624104645789101745[[#This Row],[Type]]&gt;0,VLOOKUP(_1_541284561214624104645789101745[[#This Row],[Type]],Main[[#All],[TYPE]:[UNIT]],'Unit Price'!G$1,FALSE),0)</f>
        <v>0</v>
      </c>
      <c r="J74" s="194">
        <f>IF(_1_541284561214624104645789101745[[#This Row],[Type]]&gt;0,VLOOKUP(_1_541284561214624104645789101745[[#This Row],[Type]],Main[[#All],[TYPE]:[UNIT]],'Unit Price'!H$1,FALSE),0)</f>
        <v>0</v>
      </c>
      <c r="K74" s="194">
        <f>IF(_1_541284561214624104645789101745[[#This Row],[Discount selection]]&gt;0,VLOOKUP(_1_541284561214624104645789101745[[#This Row],[Discount selection]],'Discount Structure'!$A$2:$B$30,2,"false"),0)</f>
        <v>1</v>
      </c>
      <c r="L74" s="194">
        <f>_1_541284561214624104645789101745[[#This Row],[LIST $]]*_1_541284561214624104645789101745[[#This Row],[DISCOUNT]]*_1_541284561214624104645789101745[[#This Row],[DISCOUNT 2]]</f>
        <v>0</v>
      </c>
      <c r="M74" s="194">
        <f>IF(OR(_1_541284561214624104645789101745[[#This Row],[UNIT]]&gt;0,_1_541284561214624104645789101745[[#This Row],[UNIT]]&lt;0),_1_541284561214624104645789101745[[#This Row],[UNIT]]*_1_541284561214624104645789101745[[#This Row],[COST]],0)</f>
        <v>0</v>
      </c>
      <c r="N74" s="194">
        <f t="shared" ref="N74:N137" si="1">$N$7</f>
        <v>1.5</v>
      </c>
      <c r="O74" s="198">
        <f>_1_541284561214624104645789101745[[#This Row],[TOTAL]]*_1_541284561214624104645789101745[[#This Row],[MARGIN]]</f>
        <v>0</v>
      </c>
      <c r="R74" s="41"/>
    </row>
    <row r="75" spans="1:18">
      <c r="C75" s="168"/>
      <c r="D75" s="188"/>
      <c r="F75" s="168" t="s">
        <v>6202</v>
      </c>
      <c r="G75" s="193">
        <f>IF(_1_541284561214624104645789101745[[#This Row],[Type]]&gt;0,VLOOKUP(_1_541284561214624104645789101745[[#This Row],[Type]],Main[[#All],[TYPE]:[UNIT]],'Unit Price'!C$1,FALSE),0)</f>
        <v>0</v>
      </c>
      <c r="H75" s="197">
        <f>IF(_1_541284561214624104645789101745[[#This Row],[Type]]&gt;0,VLOOKUP(_1_541284561214624104645789101745[[#This Row],[Type]],Main[[#All],[TYPE]:[UNIT]],'Unit Price'!D$1,FALSE),0)</f>
        <v>0</v>
      </c>
      <c r="I75" s="194">
        <f>IF(_1_541284561214624104645789101745[[#This Row],[Type]]&gt;0,VLOOKUP(_1_541284561214624104645789101745[[#This Row],[Type]],Main[[#All],[TYPE]:[UNIT]],'Unit Price'!G$1,FALSE),0)</f>
        <v>0</v>
      </c>
      <c r="J75" s="194">
        <f>IF(_1_541284561214624104645789101745[[#This Row],[Type]]&gt;0,VLOOKUP(_1_541284561214624104645789101745[[#This Row],[Type]],Main[[#All],[TYPE]:[UNIT]],'Unit Price'!H$1,FALSE),0)</f>
        <v>0</v>
      </c>
      <c r="K75" s="194">
        <f>IF(_1_541284561214624104645789101745[[#This Row],[Discount selection]]&gt;0,VLOOKUP(_1_541284561214624104645789101745[[#This Row],[Discount selection]],'Discount Structure'!$A$2:$B$30,2,"false"),0)</f>
        <v>1</v>
      </c>
      <c r="L75" s="194">
        <f>_1_541284561214624104645789101745[[#This Row],[LIST $]]*_1_541284561214624104645789101745[[#This Row],[DISCOUNT]]*_1_541284561214624104645789101745[[#This Row],[DISCOUNT 2]]</f>
        <v>0</v>
      </c>
      <c r="M75" s="194">
        <f>IF(OR(_1_541284561214624104645789101745[[#This Row],[UNIT]]&gt;0,_1_541284561214624104645789101745[[#This Row],[UNIT]]&lt;0),_1_541284561214624104645789101745[[#This Row],[UNIT]]*_1_541284561214624104645789101745[[#This Row],[COST]],0)</f>
        <v>0</v>
      </c>
      <c r="N75" s="194">
        <f t="shared" si="1"/>
        <v>1.5</v>
      </c>
      <c r="O75" s="198">
        <f>_1_541284561214624104645789101745[[#This Row],[TOTAL]]*_1_541284561214624104645789101745[[#This Row],[MARGIN]]</f>
        <v>0</v>
      </c>
      <c r="R75" s="41"/>
    </row>
    <row r="76" spans="1:18">
      <c r="A76" s="355"/>
      <c r="C76" s="168"/>
      <c r="D76" s="188"/>
      <c r="F76" s="168" t="s">
        <v>6202</v>
      </c>
      <c r="G76" s="193">
        <f>IF(_1_541284561214624104645789101745[[#This Row],[Type]]&gt;0,VLOOKUP(_1_541284561214624104645789101745[[#This Row],[Type]],Main[[#All],[TYPE]:[UNIT]],'Unit Price'!C$1,FALSE),0)</f>
        <v>0</v>
      </c>
      <c r="H76" s="197">
        <f>IF(_1_541284561214624104645789101745[[#This Row],[Type]]&gt;0,VLOOKUP(_1_541284561214624104645789101745[[#This Row],[Type]],Main[[#All],[TYPE]:[UNIT]],'Unit Price'!D$1,FALSE),0)</f>
        <v>0</v>
      </c>
      <c r="I76" s="194">
        <f>IF(_1_541284561214624104645789101745[[#This Row],[Type]]&gt;0,VLOOKUP(_1_541284561214624104645789101745[[#This Row],[Type]],Main[[#All],[TYPE]:[UNIT]],'Unit Price'!G$1,FALSE),0)</f>
        <v>0</v>
      </c>
      <c r="J76" s="194">
        <f>IF(_1_541284561214624104645789101745[[#This Row],[Type]]&gt;0,VLOOKUP(_1_541284561214624104645789101745[[#This Row],[Type]],Main[[#All],[TYPE]:[UNIT]],'Unit Price'!H$1,FALSE),0)</f>
        <v>0</v>
      </c>
      <c r="K76" s="194">
        <f>IF(_1_541284561214624104645789101745[[#This Row],[Discount selection]]&gt;0,VLOOKUP(_1_541284561214624104645789101745[[#This Row],[Discount selection]],'Discount Structure'!$A$2:$B$30,2,"false"),0)</f>
        <v>1</v>
      </c>
      <c r="L76" s="194">
        <f>_1_541284561214624104645789101745[[#This Row],[LIST $]]*_1_541284561214624104645789101745[[#This Row],[DISCOUNT]]*_1_541284561214624104645789101745[[#This Row],[DISCOUNT 2]]</f>
        <v>0</v>
      </c>
      <c r="M76" s="194">
        <f>IF(OR(_1_541284561214624104645789101745[[#This Row],[UNIT]]&gt;0,_1_541284561214624104645789101745[[#This Row],[UNIT]]&lt;0),_1_541284561214624104645789101745[[#This Row],[UNIT]]*_1_541284561214624104645789101745[[#This Row],[COST]],0)</f>
        <v>0</v>
      </c>
      <c r="N76" s="194">
        <f t="shared" si="1"/>
        <v>1.5</v>
      </c>
      <c r="O76" s="198">
        <f>_1_541284561214624104645789101745[[#This Row],[TOTAL]]*_1_541284561214624104645789101745[[#This Row],[MARGIN]]</f>
        <v>0</v>
      </c>
      <c r="R76" s="41"/>
    </row>
    <row r="77" spans="1:18">
      <c r="C77" s="168"/>
      <c r="D77" s="188"/>
      <c r="F77" s="168" t="s">
        <v>6202</v>
      </c>
      <c r="G77" s="193">
        <f>IF(_1_541284561214624104645789101745[[#This Row],[Type]]&gt;0,VLOOKUP(_1_541284561214624104645789101745[[#This Row],[Type]],Main[[#All],[TYPE]:[UNIT]],'Unit Price'!C$1,FALSE),0)</f>
        <v>0</v>
      </c>
      <c r="H77" s="197">
        <f>IF(_1_541284561214624104645789101745[[#This Row],[Type]]&gt;0,VLOOKUP(_1_541284561214624104645789101745[[#This Row],[Type]],Main[[#All],[TYPE]:[UNIT]],'Unit Price'!D$1,FALSE),0)</f>
        <v>0</v>
      </c>
      <c r="I77" s="194">
        <f>IF(_1_541284561214624104645789101745[[#This Row],[Type]]&gt;0,VLOOKUP(_1_541284561214624104645789101745[[#This Row],[Type]],Main[[#All],[TYPE]:[UNIT]],'Unit Price'!G$1,FALSE),0)</f>
        <v>0</v>
      </c>
      <c r="J77" s="194">
        <f>IF(_1_541284561214624104645789101745[[#This Row],[Type]]&gt;0,VLOOKUP(_1_541284561214624104645789101745[[#This Row],[Type]],Main[[#All],[TYPE]:[UNIT]],'Unit Price'!H$1,FALSE),0)</f>
        <v>0</v>
      </c>
      <c r="K77" s="194">
        <f>IF(_1_541284561214624104645789101745[[#This Row],[Discount selection]]&gt;0,VLOOKUP(_1_541284561214624104645789101745[[#This Row],[Discount selection]],'Discount Structure'!$A$2:$B$30,2,"false"),0)</f>
        <v>1</v>
      </c>
      <c r="L77" s="194">
        <f>_1_541284561214624104645789101745[[#This Row],[LIST $]]*_1_541284561214624104645789101745[[#This Row],[DISCOUNT]]*_1_541284561214624104645789101745[[#This Row],[DISCOUNT 2]]</f>
        <v>0</v>
      </c>
      <c r="M77" s="194">
        <f>IF(OR(_1_541284561214624104645789101745[[#This Row],[UNIT]]&gt;0,_1_541284561214624104645789101745[[#This Row],[UNIT]]&lt;0),_1_541284561214624104645789101745[[#This Row],[UNIT]]*_1_541284561214624104645789101745[[#This Row],[COST]],0)</f>
        <v>0</v>
      </c>
      <c r="N77" s="194">
        <f t="shared" si="1"/>
        <v>1.5</v>
      </c>
      <c r="O77" s="198">
        <f>_1_541284561214624104645789101745[[#This Row],[TOTAL]]*_1_541284561214624104645789101745[[#This Row],[MARGIN]]</f>
        <v>0</v>
      </c>
      <c r="R77" s="41"/>
    </row>
    <row r="78" spans="1:18">
      <c r="A78" s="316"/>
      <c r="C78" s="168"/>
      <c r="D78" s="311"/>
      <c r="F78" s="168" t="s">
        <v>6202</v>
      </c>
      <c r="G78" s="193">
        <f>IF(_1_541284561214624104645789101745[[#This Row],[Type]]&gt;0,VLOOKUP(_1_541284561214624104645789101745[[#This Row],[Type]],Main[[#All],[TYPE]:[UNIT]],'Unit Price'!C$1,FALSE),0)</f>
        <v>0</v>
      </c>
      <c r="H78" s="197">
        <f>IF(_1_541284561214624104645789101745[[#This Row],[Type]]&gt;0,VLOOKUP(_1_541284561214624104645789101745[[#This Row],[Type]],Main[[#All],[TYPE]:[UNIT]],'Unit Price'!D$1,FALSE),0)</f>
        <v>0</v>
      </c>
      <c r="I78" s="194">
        <f>IF(_1_541284561214624104645789101745[[#This Row],[Type]]&gt;0,VLOOKUP(_1_541284561214624104645789101745[[#This Row],[Type]],Main[[#All],[TYPE]:[UNIT]],'Unit Price'!G$1,FALSE),0)</f>
        <v>0</v>
      </c>
      <c r="J78" s="194">
        <f>IF(_1_541284561214624104645789101745[[#This Row],[Type]]&gt;0,VLOOKUP(_1_541284561214624104645789101745[[#This Row],[Type]],Main[[#All],[TYPE]:[UNIT]],'Unit Price'!H$1,FALSE),0)</f>
        <v>0</v>
      </c>
      <c r="K78" s="194">
        <f>IF(_1_541284561214624104645789101745[[#This Row],[Discount selection]]&gt;0,VLOOKUP(_1_541284561214624104645789101745[[#This Row],[Discount selection]],'Discount Structure'!$A$2:$B$30,2,"false"),0)</f>
        <v>1</v>
      </c>
      <c r="L78" s="194">
        <f>_1_541284561214624104645789101745[[#This Row],[LIST $]]*_1_541284561214624104645789101745[[#This Row],[DISCOUNT]]*_1_541284561214624104645789101745[[#This Row],[DISCOUNT 2]]</f>
        <v>0</v>
      </c>
      <c r="M78" s="194">
        <f>IF(OR(_1_541284561214624104645789101745[[#This Row],[UNIT]]&gt;0,_1_541284561214624104645789101745[[#This Row],[UNIT]]&lt;0),_1_541284561214624104645789101745[[#This Row],[UNIT]]*_1_541284561214624104645789101745[[#This Row],[COST]],0)</f>
        <v>0</v>
      </c>
      <c r="N78" s="194">
        <f t="shared" si="1"/>
        <v>1.5</v>
      </c>
      <c r="O78" s="198">
        <f>_1_541284561214624104645789101745[[#This Row],[TOTAL]]*_1_541284561214624104645789101745[[#This Row],[MARGIN]]</f>
        <v>0</v>
      </c>
      <c r="R78" s="41"/>
    </row>
    <row r="79" spans="1:18">
      <c r="C79" s="168"/>
      <c r="D79" s="188"/>
      <c r="F79" s="168" t="s">
        <v>6202</v>
      </c>
      <c r="G79" s="193">
        <f>IF(_1_541284561214624104645789101745[[#This Row],[Type]]&gt;0,VLOOKUP(_1_541284561214624104645789101745[[#This Row],[Type]],Main[[#All],[TYPE]:[UNIT]],'Unit Price'!C$1,FALSE),0)</f>
        <v>0</v>
      </c>
      <c r="H79" s="197">
        <f>IF(_1_541284561214624104645789101745[[#This Row],[Type]]&gt;0,VLOOKUP(_1_541284561214624104645789101745[[#This Row],[Type]],Main[[#All],[TYPE]:[UNIT]],'Unit Price'!D$1,FALSE),0)</f>
        <v>0</v>
      </c>
      <c r="I79" s="194">
        <f>IF(_1_541284561214624104645789101745[[#This Row],[Type]]&gt;0,VLOOKUP(_1_541284561214624104645789101745[[#This Row],[Type]],Main[[#All],[TYPE]:[UNIT]],'Unit Price'!G$1,FALSE),0)</f>
        <v>0</v>
      </c>
      <c r="J79" s="194">
        <f>IF(_1_541284561214624104645789101745[[#This Row],[Type]]&gt;0,VLOOKUP(_1_541284561214624104645789101745[[#This Row],[Type]],Main[[#All],[TYPE]:[UNIT]],'Unit Price'!H$1,FALSE),0)</f>
        <v>0</v>
      </c>
      <c r="K79" s="194">
        <f>IF(_1_541284561214624104645789101745[[#This Row],[Discount selection]]&gt;0,VLOOKUP(_1_541284561214624104645789101745[[#This Row],[Discount selection]],'Discount Structure'!$A$2:$B$30,2,"false"),0)</f>
        <v>1</v>
      </c>
      <c r="L79" s="194">
        <f>_1_541284561214624104645789101745[[#This Row],[LIST $]]*_1_541284561214624104645789101745[[#This Row],[DISCOUNT]]*_1_541284561214624104645789101745[[#This Row],[DISCOUNT 2]]</f>
        <v>0</v>
      </c>
      <c r="M79" s="194">
        <f>IF(OR(_1_541284561214624104645789101745[[#This Row],[UNIT]]&gt;0,_1_541284561214624104645789101745[[#This Row],[UNIT]]&lt;0),_1_541284561214624104645789101745[[#This Row],[UNIT]]*_1_541284561214624104645789101745[[#This Row],[COST]],0)</f>
        <v>0</v>
      </c>
      <c r="N79" s="194">
        <f t="shared" si="1"/>
        <v>1.5</v>
      </c>
      <c r="O79" s="198">
        <f>_1_541284561214624104645789101745[[#This Row],[TOTAL]]*_1_541284561214624104645789101745[[#This Row],[MARGIN]]</f>
        <v>0</v>
      </c>
      <c r="R79" s="41"/>
    </row>
    <row r="80" spans="1:18">
      <c r="A80" s="362"/>
      <c r="C80" s="168"/>
      <c r="D80" s="188"/>
      <c r="F80" s="168" t="s">
        <v>6202</v>
      </c>
      <c r="G80" s="193">
        <f>IF(_1_541284561214624104645789101745[[#This Row],[Type]]&gt;0,VLOOKUP(_1_541284561214624104645789101745[[#This Row],[Type]],Main[[#All],[TYPE]:[UNIT]],'Unit Price'!C$1,FALSE),0)</f>
        <v>0</v>
      </c>
      <c r="H80" s="197">
        <f>IF(_1_541284561214624104645789101745[[#This Row],[Type]]&gt;0,VLOOKUP(_1_541284561214624104645789101745[[#This Row],[Type]],Main[[#All],[TYPE]:[UNIT]],'Unit Price'!D$1,FALSE),0)</f>
        <v>0</v>
      </c>
      <c r="I80" s="194">
        <f>IF(_1_541284561214624104645789101745[[#This Row],[Type]]&gt;0,VLOOKUP(_1_541284561214624104645789101745[[#This Row],[Type]],Main[[#All],[TYPE]:[UNIT]],'Unit Price'!G$1,FALSE),0)</f>
        <v>0</v>
      </c>
      <c r="J80" s="194">
        <f>IF(_1_541284561214624104645789101745[[#This Row],[Type]]&gt;0,VLOOKUP(_1_541284561214624104645789101745[[#This Row],[Type]],Main[[#All],[TYPE]:[UNIT]],'Unit Price'!H$1,FALSE),0)</f>
        <v>0</v>
      </c>
      <c r="K80" s="194">
        <f>IF(_1_541284561214624104645789101745[[#This Row],[Discount selection]]&gt;0,VLOOKUP(_1_541284561214624104645789101745[[#This Row],[Discount selection]],'Discount Structure'!$A$2:$B$30,2,"false"),0)</f>
        <v>1</v>
      </c>
      <c r="L80" s="194">
        <f>_1_541284561214624104645789101745[[#This Row],[LIST $]]*_1_541284561214624104645789101745[[#This Row],[DISCOUNT]]*_1_541284561214624104645789101745[[#This Row],[DISCOUNT 2]]</f>
        <v>0</v>
      </c>
      <c r="M80" s="194">
        <f>IF(OR(_1_541284561214624104645789101745[[#This Row],[UNIT]]&gt;0,_1_541284561214624104645789101745[[#This Row],[UNIT]]&lt;0),_1_541284561214624104645789101745[[#This Row],[UNIT]]*_1_541284561214624104645789101745[[#This Row],[COST]],0)</f>
        <v>0</v>
      </c>
      <c r="N80" s="194">
        <f t="shared" si="1"/>
        <v>1.5</v>
      </c>
      <c r="O80" s="198">
        <f>_1_541284561214624104645789101745[[#This Row],[TOTAL]]*_1_541284561214624104645789101745[[#This Row],[MARGIN]]</f>
        <v>0</v>
      </c>
      <c r="R80" s="41"/>
    </row>
    <row r="81" spans="1:18">
      <c r="A81" s="362"/>
      <c r="C81" s="168"/>
      <c r="D81" s="188"/>
      <c r="F81" s="168" t="s">
        <v>6202</v>
      </c>
      <c r="G81" s="193">
        <f>IF(_1_541284561214624104645789101745[[#This Row],[Type]]&gt;0,VLOOKUP(_1_541284561214624104645789101745[[#This Row],[Type]],Main[[#All],[TYPE]:[UNIT]],'Unit Price'!C$1,FALSE),0)</f>
        <v>0</v>
      </c>
      <c r="H81" s="197">
        <f>IF(_1_541284561214624104645789101745[[#This Row],[Type]]&gt;0,VLOOKUP(_1_541284561214624104645789101745[[#This Row],[Type]],Main[[#All],[TYPE]:[UNIT]],'Unit Price'!D$1,FALSE),0)</f>
        <v>0</v>
      </c>
      <c r="I81" s="194">
        <f>IF(_1_541284561214624104645789101745[[#This Row],[Type]]&gt;0,VLOOKUP(_1_541284561214624104645789101745[[#This Row],[Type]],Main[[#All],[TYPE]:[UNIT]],'Unit Price'!G$1,FALSE),0)</f>
        <v>0</v>
      </c>
      <c r="J81" s="194">
        <f>IF(_1_541284561214624104645789101745[[#This Row],[Type]]&gt;0,VLOOKUP(_1_541284561214624104645789101745[[#This Row],[Type]],Main[[#All],[TYPE]:[UNIT]],'Unit Price'!H$1,FALSE),0)</f>
        <v>0</v>
      </c>
      <c r="K81" s="194">
        <f>IF(_1_541284561214624104645789101745[[#This Row],[Discount selection]]&gt;0,VLOOKUP(_1_541284561214624104645789101745[[#This Row],[Discount selection]],'Discount Structure'!$A$2:$B$30,2,"false"),0)</f>
        <v>1</v>
      </c>
      <c r="L81" s="194">
        <f>_1_541284561214624104645789101745[[#This Row],[LIST $]]*_1_541284561214624104645789101745[[#This Row],[DISCOUNT]]*_1_541284561214624104645789101745[[#This Row],[DISCOUNT 2]]</f>
        <v>0</v>
      </c>
      <c r="M81" s="194">
        <f>IF(OR(_1_541284561214624104645789101745[[#This Row],[UNIT]]&gt;0,_1_541284561214624104645789101745[[#This Row],[UNIT]]&lt;0),_1_541284561214624104645789101745[[#This Row],[UNIT]]*_1_541284561214624104645789101745[[#This Row],[COST]],0)</f>
        <v>0</v>
      </c>
      <c r="N81" s="194">
        <f t="shared" si="1"/>
        <v>1.5</v>
      </c>
      <c r="O81" s="198">
        <f>_1_541284561214624104645789101745[[#This Row],[TOTAL]]*_1_541284561214624104645789101745[[#This Row],[MARGIN]]</f>
        <v>0</v>
      </c>
      <c r="R81" s="41"/>
    </row>
    <row r="82" spans="1:18">
      <c r="A82" s="329"/>
      <c r="C82" s="168"/>
      <c r="D82" s="188"/>
      <c r="F82" s="168" t="s">
        <v>6202</v>
      </c>
      <c r="G82" s="193">
        <f>IF(_1_541284561214624104645789101745[[#This Row],[Type]]&gt;0,VLOOKUP(_1_541284561214624104645789101745[[#This Row],[Type]],Main[[#All],[TYPE]:[UNIT]],'Unit Price'!C$1,FALSE),0)</f>
        <v>0</v>
      </c>
      <c r="H82" s="197">
        <f>IF(_1_541284561214624104645789101745[[#This Row],[Type]]&gt;0,VLOOKUP(_1_541284561214624104645789101745[[#This Row],[Type]],Main[[#All],[TYPE]:[UNIT]],'Unit Price'!D$1,FALSE),0)</f>
        <v>0</v>
      </c>
      <c r="I82" s="194">
        <f>IF(_1_541284561214624104645789101745[[#This Row],[Type]]&gt;0,VLOOKUP(_1_541284561214624104645789101745[[#This Row],[Type]],Main[[#All],[TYPE]:[UNIT]],'Unit Price'!G$1,FALSE),0)</f>
        <v>0</v>
      </c>
      <c r="J82" s="194">
        <f>IF(_1_541284561214624104645789101745[[#This Row],[Type]]&gt;0,VLOOKUP(_1_541284561214624104645789101745[[#This Row],[Type]],Main[[#All],[TYPE]:[UNIT]],'Unit Price'!H$1,FALSE),0)</f>
        <v>0</v>
      </c>
      <c r="K82" s="194">
        <f>IF(_1_541284561214624104645789101745[[#This Row],[Discount selection]]&gt;0,VLOOKUP(_1_541284561214624104645789101745[[#This Row],[Discount selection]],'Discount Structure'!$A$2:$B$30,2,"false"),0)</f>
        <v>1</v>
      </c>
      <c r="L82" s="194">
        <f>_1_541284561214624104645789101745[[#This Row],[LIST $]]*_1_541284561214624104645789101745[[#This Row],[DISCOUNT]]*_1_541284561214624104645789101745[[#This Row],[DISCOUNT 2]]</f>
        <v>0</v>
      </c>
      <c r="M82" s="194">
        <f>IF(OR(_1_541284561214624104645789101745[[#This Row],[UNIT]]&gt;0,_1_541284561214624104645789101745[[#This Row],[UNIT]]&lt;0),_1_541284561214624104645789101745[[#This Row],[UNIT]]*_1_541284561214624104645789101745[[#This Row],[COST]],0)</f>
        <v>0</v>
      </c>
      <c r="N82" s="194">
        <f t="shared" si="1"/>
        <v>1.5</v>
      </c>
      <c r="O82" s="198">
        <f>_1_541284561214624104645789101745[[#This Row],[TOTAL]]*_1_541284561214624104645789101745[[#This Row],[MARGIN]]</f>
        <v>0</v>
      </c>
      <c r="R82" s="41"/>
    </row>
    <row r="83" spans="1:18">
      <c r="A83" s="329"/>
      <c r="C83" s="168"/>
      <c r="D83" s="188"/>
      <c r="F83" s="168" t="s">
        <v>6202</v>
      </c>
      <c r="G83" s="193">
        <f>IF(_1_541284561214624104645789101745[[#This Row],[Type]]&gt;0,VLOOKUP(_1_541284561214624104645789101745[[#This Row],[Type]],Main[[#All],[TYPE]:[UNIT]],'Unit Price'!C$1,FALSE),0)</f>
        <v>0</v>
      </c>
      <c r="H83" s="197">
        <f>IF(_1_541284561214624104645789101745[[#This Row],[Type]]&gt;0,VLOOKUP(_1_541284561214624104645789101745[[#This Row],[Type]],Main[[#All],[TYPE]:[UNIT]],'Unit Price'!D$1,FALSE),0)</f>
        <v>0</v>
      </c>
      <c r="I83" s="194">
        <f>IF(_1_541284561214624104645789101745[[#This Row],[Type]]&gt;0,VLOOKUP(_1_541284561214624104645789101745[[#This Row],[Type]],Main[[#All],[TYPE]:[UNIT]],'Unit Price'!G$1,FALSE),0)</f>
        <v>0</v>
      </c>
      <c r="J83" s="194">
        <f>IF(_1_541284561214624104645789101745[[#This Row],[Type]]&gt;0,VLOOKUP(_1_541284561214624104645789101745[[#This Row],[Type]],Main[[#All],[TYPE]:[UNIT]],'Unit Price'!H$1,FALSE),0)</f>
        <v>0</v>
      </c>
      <c r="K83" s="194">
        <f>IF(_1_541284561214624104645789101745[[#This Row],[Discount selection]]&gt;0,VLOOKUP(_1_541284561214624104645789101745[[#This Row],[Discount selection]],'Discount Structure'!$A$2:$B$30,2,"false"),0)</f>
        <v>1</v>
      </c>
      <c r="L83" s="194">
        <f>_1_541284561214624104645789101745[[#This Row],[LIST $]]*_1_541284561214624104645789101745[[#This Row],[DISCOUNT]]*_1_541284561214624104645789101745[[#This Row],[DISCOUNT 2]]</f>
        <v>0</v>
      </c>
      <c r="M83" s="194">
        <f>IF(OR(_1_541284561214624104645789101745[[#This Row],[UNIT]]&gt;0,_1_541284561214624104645789101745[[#This Row],[UNIT]]&lt;0),_1_541284561214624104645789101745[[#This Row],[UNIT]]*_1_541284561214624104645789101745[[#This Row],[COST]],0)</f>
        <v>0</v>
      </c>
      <c r="N83" s="194">
        <f t="shared" si="1"/>
        <v>1.5</v>
      </c>
      <c r="O83" s="198">
        <f>_1_541284561214624104645789101745[[#This Row],[TOTAL]]*_1_541284561214624104645789101745[[#This Row],[MARGIN]]</f>
        <v>0</v>
      </c>
      <c r="R83" s="41"/>
    </row>
    <row r="84" spans="1:18">
      <c r="A84" s="364"/>
      <c r="C84" s="168"/>
      <c r="D84" s="188"/>
      <c r="F84" s="168" t="s">
        <v>6202</v>
      </c>
      <c r="G84" s="193">
        <f>IF(_1_541284561214624104645789101745[[#This Row],[Type]]&gt;0,VLOOKUP(_1_541284561214624104645789101745[[#This Row],[Type]],Main[[#All],[TYPE]:[UNIT]],'Unit Price'!C$1,FALSE),0)</f>
        <v>0</v>
      </c>
      <c r="H84" s="197">
        <f>IF(_1_541284561214624104645789101745[[#This Row],[Type]]&gt;0,VLOOKUP(_1_541284561214624104645789101745[[#This Row],[Type]],Main[[#All],[TYPE]:[UNIT]],'Unit Price'!D$1,FALSE),0)</f>
        <v>0</v>
      </c>
      <c r="I84" s="194">
        <f>IF(_1_541284561214624104645789101745[[#This Row],[Type]]&gt;0,VLOOKUP(_1_541284561214624104645789101745[[#This Row],[Type]],Main[[#All],[TYPE]:[UNIT]],'Unit Price'!G$1,FALSE),0)</f>
        <v>0</v>
      </c>
      <c r="J84" s="194">
        <f>IF(_1_541284561214624104645789101745[[#This Row],[Type]]&gt;0,VLOOKUP(_1_541284561214624104645789101745[[#This Row],[Type]],Main[[#All],[TYPE]:[UNIT]],'Unit Price'!H$1,FALSE),0)</f>
        <v>0</v>
      </c>
      <c r="K84" s="194">
        <f>IF(_1_541284561214624104645789101745[[#This Row],[Discount selection]]&gt;0,VLOOKUP(_1_541284561214624104645789101745[[#This Row],[Discount selection]],'Discount Structure'!$A$2:$B$30,2,"false"),0)</f>
        <v>1</v>
      </c>
      <c r="L84" s="194">
        <f>_1_541284561214624104645789101745[[#This Row],[LIST $]]*_1_541284561214624104645789101745[[#This Row],[DISCOUNT]]*_1_541284561214624104645789101745[[#This Row],[DISCOUNT 2]]</f>
        <v>0</v>
      </c>
      <c r="M84" s="194">
        <f>IF(OR(_1_541284561214624104645789101745[[#This Row],[UNIT]]&gt;0,_1_541284561214624104645789101745[[#This Row],[UNIT]]&lt;0),_1_541284561214624104645789101745[[#This Row],[UNIT]]*_1_541284561214624104645789101745[[#This Row],[COST]],0)</f>
        <v>0</v>
      </c>
      <c r="N84" s="194">
        <f t="shared" si="1"/>
        <v>1.5</v>
      </c>
      <c r="O84" s="198">
        <f>_1_541284561214624104645789101745[[#This Row],[TOTAL]]*_1_541284561214624104645789101745[[#This Row],[MARGIN]]</f>
        <v>0</v>
      </c>
      <c r="R84" s="41"/>
    </row>
    <row r="85" spans="1:18">
      <c r="C85" s="168"/>
      <c r="D85" s="188"/>
      <c r="F85" s="168" t="s">
        <v>6202</v>
      </c>
      <c r="G85" s="193">
        <f>IF(_1_541284561214624104645789101745[[#This Row],[Type]]&gt;0,VLOOKUP(_1_541284561214624104645789101745[[#This Row],[Type]],Main[[#All],[TYPE]:[UNIT]],'Unit Price'!C$1,FALSE),0)</f>
        <v>0</v>
      </c>
      <c r="H85" s="197">
        <f>IF(_1_541284561214624104645789101745[[#This Row],[Type]]&gt;0,VLOOKUP(_1_541284561214624104645789101745[[#This Row],[Type]],Main[[#All],[TYPE]:[UNIT]],'Unit Price'!D$1,FALSE),0)</f>
        <v>0</v>
      </c>
      <c r="I85" s="194">
        <f>IF(_1_541284561214624104645789101745[[#This Row],[Type]]&gt;0,VLOOKUP(_1_541284561214624104645789101745[[#This Row],[Type]],Main[[#All],[TYPE]:[UNIT]],'Unit Price'!G$1,FALSE),0)</f>
        <v>0</v>
      </c>
      <c r="J85" s="194">
        <f>IF(_1_541284561214624104645789101745[[#This Row],[Type]]&gt;0,VLOOKUP(_1_541284561214624104645789101745[[#This Row],[Type]],Main[[#All],[TYPE]:[UNIT]],'Unit Price'!H$1,FALSE),0)</f>
        <v>0</v>
      </c>
      <c r="K85" s="194">
        <f>IF(_1_541284561214624104645789101745[[#This Row],[Discount selection]]&gt;0,VLOOKUP(_1_541284561214624104645789101745[[#This Row],[Discount selection]],'Discount Structure'!$A$2:$B$30,2,"false"),0)</f>
        <v>1</v>
      </c>
      <c r="L85" s="194">
        <f>_1_541284561214624104645789101745[[#This Row],[LIST $]]*_1_541284561214624104645789101745[[#This Row],[DISCOUNT]]*_1_541284561214624104645789101745[[#This Row],[DISCOUNT 2]]</f>
        <v>0</v>
      </c>
      <c r="M85" s="194">
        <f>IF(OR(_1_541284561214624104645789101745[[#This Row],[UNIT]]&gt;0,_1_541284561214624104645789101745[[#This Row],[UNIT]]&lt;0),_1_541284561214624104645789101745[[#This Row],[UNIT]]*_1_541284561214624104645789101745[[#This Row],[COST]],0)</f>
        <v>0</v>
      </c>
      <c r="N85" s="194">
        <f t="shared" si="1"/>
        <v>1.5</v>
      </c>
      <c r="O85" s="198">
        <f>_1_541284561214624104645789101745[[#This Row],[TOTAL]]*_1_541284561214624104645789101745[[#This Row],[MARGIN]]</f>
        <v>0</v>
      </c>
      <c r="R85" s="41"/>
    </row>
    <row r="86" spans="1:18">
      <c r="C86" s="168"/>
      <c r="D86" s="188"/>
      <c r="F86" s="168" t="s">
        <v>6202</v>
      </c>
      <c r="G86" s="193">
        <f>IF(_1_541284561214624104645789101745[[#This Row],[Type]]&gt;0,VLOOKUP(_1_541284561214624104645789101745[[#This Row],[Type]],Main[[#All],[TYPE]:[UNIT]],'Unit Price'!C$1,FALSE),0)</f>
        <v>0</v>
      </c>
      <c r="H86" s="197">
        <f>IF(_1_541284561214624104645789101745[[#This Row],[Type]]&gt;0,VLOOKUP(_1_541284561214624104645789101745[[#This Row],[Type]],Main[[#All],[TYPE]:[UNIT]],'Unit Price'!D$1,FALSE),0)</f>
        <v>0</v>
      </c>
      <c r="I86" s="194">
        <f>IF(_1_541284561214624104645789101745[[#This Row],[Type]]&gt;0,VLOOKUP(_1_541284561214624104645789101745[[#This Row],[Type]],Main[[#All],[TYPE]:[UNIT]],'Unit Price'!G$1,FALSE),0)</f>
        <v>0</v>
      </c>
      <c r="J86" s="194">
        <f>IF(_1_541284561214624104645789101745[[#This Row],[Type]]&gt;0,VLOOKUP(_1_541284561214624104645789101745[[#This Row],[Type]],Main[[#All],[TYPE]:[UNIT]],'Unit Price'!H$1,FALSE),0)</f>
        <v>0</v>
      </c>
      <c r="K86" s="194">
        <f>IF(_1_541284561214624104645789101745[[#This Row],[Discount selection]]&gt;0,VLOOKUP(_1_541284561214624104645789101745[[#This Row],[Discount selection]],'Discount Structure'!$A$2:$B$30,2,"false"),0)</f>
        <v>1</v>
      </c>
      <c r="L86" s="194">
        <f>_1_541284561214624104645789101745[[#This Row],[LIST $]]*_1_541284561214624104645789101745[[#This Row],[DISCOUNT]]*_1_541284561214624104645789101745[[#This Row],[DISCOUNT 2]]</f>
        <v>0</v>
      </c>
      <c r="M86" s="194">
        <f>IF(OR(_1_541284561214624104645789101745[[#This Row],[UNIT]]&gt;0,_1_541284561214624104645789101745[[#This Row],[UNIT]]&lt;0),_1_541284561214624104645789101745[[#This Row],[UNIT]]*_1_541284561214624104645789101745[[#This Row],[COST]],0)</f>
        <v>0</v>
      </c>
      <c r="N86" s="194">
        <f t="shared" si="1"/>
        <v>1.5</v>
      </c>
      <c r="O86" s="198">
        <f>_1_541284561214624104645789101745[[#This Row],[TOTAL]]*_1_541284561214624104645789101745[[#This Row],[MARGIN]]</f>
        <v>0</v>
      </c>
      <c r="R86" s="41"/>
    </row>
    <row r="87" spans="1:18">
      <c r="C87" s="168"/>
      <c r="D87" s="188"/>
      <c r="F87" s="168" t="s">
        <v>6202</v>
      </c>
      <c r="G87" s="193">
        <f>IF(_1_541284561214624104645789101745[[#This Row],[Type]]&gt;0,VLOOKUP(_1_541284561214624104645789101745[[#This Row],[Type]],Main[[#All],[TYPE]:[UNIT]],'Unit Price'!C$1,FALSE),0)</f>
        <v>0</v>
      </c>
      <c r="H87" s="197">
        <f>IF(_1_541284561214624104645789101745[[#This Row],[Type]]&gt;0,VLOOKUP(_1_541284561214624104645789101745[[#This Row],[Type]],Main[[#All],[TYPE]:[UNIT]],'Unit Price'!D$1,FALSE),0)</f>
        <v>0</v>
      </c>
      <c r="I87" s="194">
        <f>IF(_1_541284561214624104645789101745[[#This Row],[Type]]&gt;0,VLOOKUP(_1_541284561214624104645789101745[[#This Row],[Type]],Main[[#All],[TYPE]:[UNIT]],'Unit Price'!G$1,FALSE),0)</f>
        <v>0</v>
      </c>
      <c r="J87" s="194">
        <f>IF(_1_541284561214624104645789101745[[#This Row],[Type]]&gt;0,VLOOKUP(_1_541284561214624104645789101745[[#This Row],[Type]],Main[[#All],[TYPE]:[UNIT]],'Unit Price'!H$1,FALSE),0)</f>
        <v>0</v>
      </c>
      <c r="K87" s="194">
        <f>IF(_1_541284561214624104645789101745[[#This Row],[Discount selection]]&gt;0,VLOOKUP(_1_541284561214624104645789101745[[#This Row],[Discount selection]],'Discount Structure'!$A$2:$B$30,2,"false"),0)</f>
        <v>1</v>
      </c>
      <c r="L87" s="194">
        <f>_1_541284561214624104645789101745[[#This Row],[LIST $]]*_1_541284561214624104645789101745[[#This Row],[DISCOUNT]]*_1_541284561214624104645789101745[[#This Row],[DISCOUNT 2]]</f>
        <v>0</v>
      </c>
      <c r="M87" s="194">
        <f>IF(OR(_1_541284561214624104645789101745[[#This Row],[UNIT]]&gt;0,_1_541284561214624104645789101745[[#This Row],[UNIT]]&lt;0),_1_541284561214624104645789101745[[#This Row],[UNIT]]*_1_541284561214624104645789101745[[#This Row],[COST]],0)</f>
        <v>0</v>
      </c>
      <c r="N87" s="194">
        <f t="shared" si="1"/>
        <v>1.5</v>
      </c>
      <c r="O87" s="198">
        <f>_1_541284561214624104645789101745[[#This Row],[TOTAL]]*_1_541284561214624104645789101745[[#This Row],[MARGIN]]</f>
        <v>0</v>
      </c>
      <c r="R87" s="41"/>
    </row>
    <row r="88" spans="1:18">
      <c r="C88" s="168"/>
      <c r="D88" s="188"/>
      <c r="F88" s="168" t="s">
        <v>6202</v>
      </c>
      <c r="G88" s="193">
        <f>IF(_1_541284561214624104645789101745[[#This Row],[Type]]&gt;0,VLOOKUP(_1_541284561214624104645789101745[[#This Row],[Type]],Main[[#All],[TYPE]:[UNIT]],'Unit Price'!C$1,FALSE),0)</f>
        <v>0</v>
      </c>
      <c r="H88" s="197">
        <f>IF(_1_541284561214624104645789101745[[#This Row],[Type]]&gt;0,VLOOKUP(_1_541284561214624104645789101745[[#This Row],[Type]],Main[[#All],[TYPE]:[UNIT]],'Unit Price'!D$1,FALSE),0)</f>
        <v>0</v>
      </c>
      <c r="I88" s="194">
        <f>IF(_1_541284561214624104645789101745[[#This Row],[Type]]&gt;0,VLOOKUP(_1_541284561214624104645789101745[[#This Row],[Type]],Main[[#All],[TYPE]:[UNIT]],'Unit Price'!G$1,FALSE),0)</f>
        <v>0</v>
      </c>
      <c r="J88" s="194">
        <f>IF(_1_541284561214624104645789101745[[#This Row],[Type]]&gt;0,VLOOKUP(_1_541284561214624104645789101745[[#This Row],[Type]],Main[[#All],[TYPE]:[UNIT]],'Unit Price'!H$1,FALSE),0)</f>
        <v>0</v>
      </c>
      <c r="K88" s="194">
        <f>IF(_1_541284561214624104645789101745[[#This Row],[Discount selection]]&gt;0,VLOOKUP(_1_541284561214624104645789101745[[#This Row],[Discount selection]],'Discount Structure'!$A$2:$B$30,2,"false"),0)</f>
        <v>1</v>
      </c>
      <c r="L88" s="194">
        <f>_1_541284561214624104645789101745[[#This Row],[LIST $]]*_1_541284561214624104645789101745[[#This Row],[DISCOUNT]]*_1_541284561214624104645789101745[[#This Row],[DISCOUNT 2]]</f>
        <v>0</v>
      </c>
      <c r="M88" s="194">
        <f>IF(OR(_1_541284561214624104645789101745[[#This Row],[UNIT]]&gt;0,_1_541284561214624104645789101745[[#This Row],[UNIT]]&lt;0),_1_541284561214624104645789101745[[#This Row],[UNIT]]*_1_541284561214624104645789101745[[#This Row],[COST]],0)</f>
        <v>0</v>
      </c>
      <c r="N88" s="194">
        <f t="shared" si="1"/>
        <v>1.5</v>
      </c>
      <c r="O88" s="198">
        <f>_1_541284561214624104645789101745[[#This Row],[TOTAL]]*_1_541284561214624104645789101745[[#This Row],[MARGIN]]</f>
        <v>0</v>
      </c>
      <c r="R88" s="41"/>
    </row>
    <row r="89" spans="1:18">
      <c r="C89" s="168"/>
      <c r="D89" s="188"/>
      <c r="F89" s="168" t="s">
        <v>6202</v>
      </c>
      <c r="G89" s="193">
        <f>IF(_1_541284561214624104645789101745[[#This Row],[Type]]&gt;0,VLOOKUP(_1_541284561214624104645789101745[[#This Row],[Type]],Main[[#All],[TYPE]:[UNIT]],'Unit Price'!C$1,FALSE),0)</f>
        <v>0</v>
      </c>
      <c r="H89" s="197">
        <f>IF(_1_541284561214624104645789101745[[#This Row],[Type]]&gt;0,VLOOKUP(_1_541284561214624104645789101745[[#This Row],[Type]],Main[[#All],[TYPE]:[UNIT]],'Unit Price'!D$1,FALSE),0)</f>
        <v>0</v>
      </c>
      <c r="I89" s="194">
        <f>IF(_1_541284561214624104645789101745[[#This Row],[Type]]&gt;0,VLOOKUP(_1_541284561214624104645789101745[[#This Row],[Type]],Main[[#All],[TYPE]:[UNIT]],'Unit Price'!G$1,FALSE),0)</f>
        <v>0</v>
      </c>
      <c r="J89" s="194">
        <f>IF(_1_541284561214624104645789101745[[#This Row],[Type]]&gt;0,VLOOKUP(_1_541284561214624104645789101745[[#This Row],[Type]],Main[[#All],[TYPE]:[UNIT]],'Unit Price'!H$1,FALSE),0)</f>
        <v>0</v>
      </c>
      <c r="K89" s="194">
        <f>IF(_1_541284561214624104645789101745[[#This Row],[Discount selection]]&gt;0,VLOOKUP(_1_541284561214624104645789101745[[#This Row],[Discount selection]],'Discount Structure'!$A$2:$B$30,2,"false"),0)</f>
        <v>1</v>
      </c>
      <c r="L89" s="194">
        <f>_1_541284561214624104645789101745[[#This Row],[LIST $]]*_1_541284561214624104645789101745[[#This Row],[DISCOUNT]]*_1_541284561214624104645789101745[[#This Row],[DISCOUNT 2]]</f>
        <v>0</v>
      </c>
      <c r="M89" s="194">
        <f>IF(OR(_1_541284561214624104645789101745[[#This Row],[UNIT]]&gt;0,_1_541284561214624104645789101745[[#This Row],[UNIT]]&lt;0),_1_541284561214624104645789101745[[#This Row],[UNIT]]*_1_541284561214624104645789101745[[#This Row],[COST]],0)</f>
        <v>0</v>
      </c>
      <c r="N89" s="194">
        <f t="shared" si="1"/>
        <v>1.5</v>
      </c>
      <c r="O89" s="198">
        <f>_1_541284561214624104645789101745[[#This Row],[TOTAL]]*_1_541284561214624104645789101745[[#This Row],[MARGIN]]</f>
        <v>0</v>
      </c>
      <c r="R89" s="41"/>
    </row>
    <row r="90" spans="1:18">
      <c r="C90" s="168"/>
      <c r="D90" s="188"/>
      <c r="F90" s="168" t="s">
        <v>6202</v>
      </c>
      <c r="G90" s="193">
        <f>IF(_1_541284561214624104645789101745[[#This Row],[Type]]&gt;0,VLOOKUP(_1_541284561214624104645789101745[[#This Row],[Type]],Main[[#All],[TYPE]:[UNIT]],'Unit Price'!C$1,FALSE),0)</f>
        <v>0</v>
      </c>
      <c r="H90" s="197">
        <f>IF(_1_541284561214624104645789101745[[#This Row],[Type]]&gt;0,VLOOKUP(_1_541284561214624104645789101745[[#This Row],[Type]],Main[[#All],[TYPE]:[UNIT]],'Unit Price'!D$1,FALSE),0)</f>
        <v>0</v>
      </c>
      <c r="I90" s="194">
        <f>IF(_1_541284561214624104645789101745[[#This Row],[Type]]&gt;0,VLOOKUP(_1_541284561214624104645789101745[[#This Row],[Type]],Main[[#All],[TYPE]:[UNIT]],'Unit Price'!G$1,FALSE),0)</f>
        <v>0</v>
      </c>
      <c r="J90" s="194">
        <f>IF(_1_541284561214624104645789101745[[#This Row],[Type]]&gt;0,VLOOKUP(_1_541284561214624104645789101745[[#This Row],[Type]],Main[[#All],[TYPE]:[UNIT]],'Unit Price'!H$1,FALSE),0)</f>
        <v>0</v>
      </c>
      <c r="K90" s="194">
        <f>IF(_1_541284561214624104645789101745[[#This Row],[Discount selection]]&gt;0,VLOOKUP(_1_541284561214624104645789101745[[#This Row],[Discount selection]],'Discount Structure'!$A$2:$B$30,2,"false"),0)</f>
        <v>1</v>
      </c>
      <c r="L90" s="194">
        <f>_1_541284561214624104645789101745[[#This Row],[LIST $]]*_1_541284561214624104645789101745[[#This Row],[DISCOUNT]]*_1_541284561214624104645789101745[[#This Row],[DISCOUNT 2]]</f>
        <v>0</v>
      </c>
      <c r="M90" s="194">
        <f>IF(OR(_1_541284561214624104645789101745[[#This Row],[UNIT]]&gt;0,_1_541284561214624104645789101745[[#This Row],[UNIT]]&lt;0),_1_541284561214624104645789101745[[#This Row],[UNIT]]*_1_541284561214624104645789101745[[#This Row],[COST]],0)</f>
        <v>0</v>
      </c>
      <c r="N90" s="194">
        <f t="shared" si="1"/>
        <v>1.5</v>
      </c>
      <c r="O90" s="198">
        <f>_1_541284561214624104645789101745[[#This Row],[TOTAL]]*_1_541284561214624104645789101745[[#This Row],[MARGIN]]</f>
        <v>0</v>
      </c>
      <c r="R90" s="41"/>
    </row>
    <row r="91" spans="1:18">
      <c r="A91" s="168"/>
      <c r="B91" s="168"/>
      <c r="C91" s="168"/>
      <c r="D91" s="188"/>
      <c r="F91" s="168" t="s">
        <v>6202</v>
      </c>
      <c r="G91" s="193">
        <f>IF(_1_541284561214624104645789101745[[#This Row],[Type]]&gt;0,VLOOKUP(_1_541284561214624104645789101745[[#This Row],[Type]],Main[[#All],[TYPE]:[UNIT]],'Unit Price'!C$1,FALSE),0)</f>
        <v>0</v>
      </c>
      <c r="H91" s="197">
        <f>IF(_1_541284561214624104645789101745[[#This Row],[Type]]&gt;0,VLOOKUP(_1_541284561214624104645789101745[[#This Row],[Type]],Main[[#All],[TYPE]:[UNIT]],'Unit Price'!D$1,FALSE),0)</f>
        <v>0</v>
      </c>
      <c r="I91" s="194">
        <f>IF(_1_541284561214624104645789101745[[#This Row],[Type]]&gt;0,VLOOKUP(_1_541284561214624104645789101745[[#This Row],[Type]],Main[[#All],[TYPE]:[UNIT]],'Unit Price'!G$1,FALSE),0)</f>
        <v>0</v>
      </c>
      <c r="J91" s="194">
        <f>IF(_1_541284561214624104645789101745[[#This Row],[Type]]&gt;0,VLOOKUP(_1_541284561214624104645789101745[[#This Row],[Type]],Main[[#All],[TYPE]:[UNIT]],'Unit Price'!H$1,FALSE),0)</f>
        <v>0</v>
      </c>
      <c r="K91" s="194">
        <f>IF(_1_541284561214624104645789101745[[#This Row],[Discount selection]]&gt;0,VLOOKUP(_1_541284561214624104645789101745[[#This Row],[Discount selection]],'Discount Structure'!$A$2:$B$30,2,"false"),0)</f>
        <v>1</v>
      </c>
      <c r="L91" s="194">
        <f>_1_541284561214624104645789101745[[#This Row],[LIST $]]*_1_541284561214624104645789101745[[#This Row],[DISCOUNT]]*_1_541284561214624104645789101745[[#This Row],[DISCOUNT 2]]</f>
        <v>0</v>
      </c>
      <c r="M91" s="194">
        <f>IF(OR(_1_541284561214624104645789101745[[#This Row],[UNIT]]&gt;0,_1_541284561214624104645789101745[[#This Row],[UNIT]]&lt;0),_1_541284561214624104645789101745[[#This Row],[UNIT]]*_1_541284561214624104645789101745[[#This Row],[COST]],0)</f>
        <v>0</v>
      </c>
      <c r="N91" s="194">
        <f t="shared" si="1"/>
        <v>1.5</v>
      </c>
      <c r="O91" s="198">
        <f>_1_541284561214624104645789101745[[#This Row],[TOTAL]]*_1_541284561214624104645789101745[[#This Row],[MARGIN]]</f>
        <v>0</v>
      </c>
      <c r="R91" s="41"/>
    </row>
    <row r="92" spans="1:18">
      <c r="A92" s="168"/>
      <c r="C92" s="168"/>
      <c r="D92" s="188"/>
      <c r="F92" s="168" t="s">
        <v>6202</v>
      </c>
      <c r="G92" s="193">
        <f>IF(_1_541284561214624104645789101745[[#This Row],[Type]]&gt;0,VLOOKUP(_1_541284561214624104645789101745[[#This Row],[Type]],Main[[#All],[TYPE]:[UNIT]],'Unit Price'!C$1,FALSE),0)</f>
        <v>0</v>
      </c>
      <c r="H92" s="197">
        <f>IF(_1_541284561214624104645789101745[[#This Row],[Type]]&gt;0,VLOOKUP(_1_541284561214624104645789101745[[#This Row],[Type]],Main[[#All],[TYPE]:[UNIT]],'Unit Price'!D$1,FALSE),0)</f>
        <v>0</v>
      </c>
      <c r="I92" s="194">
        <f>IF(_1_541284561214624104645789101745[[#This Row],[Type]]&gt;0,VLOOKUP(_1_541284561214624104645789101745[[#This Row],[Type]],Main[[#All],[TYPE]:[UNIT]],'Unit Price'!G$1,FALSE),0)</f>
        <v>0</v>
      </c>
      <c r="J92" s="194">
        <f>IF(_1_541284561214624104645789101745[[#This Row],[Type]]&gt;0,VLOOKUP(_1_541284561214624104645789101745[[#This Row],[Type]],Main[[#All],[TYPE]:[UNIT]],'Unit Price'!H$1,FALSE),0)</f>
        <v>0</v>
      </c>
      <c r="K92" s="194">
        <f>IF(_1_541284561214624104645789101745[[#This Row],[Discount selection]]&gt;0,VLOOKUP(_1_541284561214624104645789101745[[#This Row],[Discount selection]],'Discount Structure'!$A$2:$B$30,2,"false"),0)</f>
        <v>1</v>
      </c>
      <c r="L92" s="194">
        <f>_1_541284561214624104645789101745[[#This Row],[LIST $]]*_1_541284561214624104645789101745[[#This Row],[DISCOUNT]]*_1_541284561214624104645789101745[[#This Row],[DISCOUNT 2]]</f>
        <v>0</v>
      </c>
      <c r="M92" s="194">
        <f>IF(OR(_1_541284561214624104645789101745[[#This Row],[UNIT]]&gt;0,_1_541284561214624104645789101745[[#This Row],[UNIT]]&lt;0),_1_541284561214624104645789101745[[#This Row],[UNIT]]*_1_541284561214624104645789101745[[#This Row],[COST]],0)</f>
        <v>0</v>
      </c>
      <c r="N92" s="194">
        <f t="shared" si="1"/>
        <v>1.5</v>
      </c>
      <c r="O92" s="198">
        <f>_1_541284561214624104645789101745[[#This Row],[TOTAL]]*_1_541284561214624104645789101745[[#This Row],[MARGIN]]</f>
        <v>0</v>
      </c>
      <c r="R92" s="41"/>
    </row>
    <row r="93" spans="1:18">
      <c r="A93" s="168"/>
      <c r="B93" s="168"/>
      <c r="C93" s="168"/>
      <c r="D93" s="188"/>
      <c r="F93" s="168" t="s">
        <v>6202</v>
      </c>
      <c r="G93" s="193">
        <f>IF(_1_541284561214624104645789101745[[#This Row],[Type]]&gt;0,VLOOKUP(_1_541284561214624104645789101745[[#This Row],[Type]],Main[[#All],[TYPE]:[UNIT]],'Unit Price'!C$1,FALSE),0)</f>
        <v>0</v>
      </c>
      <c r="H93" s="197">
        <f>IF(_1_541284561214624104645789101745[[#This Row],[Type]]&gt;0,VLOOKUP(_1_541284561214624104645789101745[[#This Row],[Type]],Main[[#All],[TYPE]:[UNIT]],'Unit Price'!D$1,FALSE),0)</f>
        <v>0</v>
      </c>
      <c r="I93" s="194">
        <f>IF(_1_541284561214624104645789101745[[#This Row],[Type]]&gt;0,VLOOKUP(_1_541284561214624104645789101745[[#This Row],[Type]],Main[[#All],[TYPE]:[UNIT]],'Unit Price'!G$1,FALSE),0)</f>
        <v>0</v>
      </c>
      <c r="J93" s="194">
        <f>IF(_1_541284561214624104645789101745[[#This Row],[Type]]&gt;0,VLOOKUP(_1_541284561214624104645789101745[[#This Row],[Type]],Main[[#All],[TYPE]:[UNIT]],'Unit Price'!H$1,FALSE),0)</f>
        <v>0</v>
      </c>
      <c r="K93" s="194">
        <f>IF(_1_541284561214624104645789101745[[#This Row],[Discount selection]]&gt;0,VLOOKUP(_1_541284561214624104645789101745[[#This Row],[Discount selection]],'Discount Structure'!$A$2:$B$30,2,"false"),0)</f>
        <v>1</v>
      </c>
      <c r="L93" s="194">
        <f>_1_541284561214624104645789101745[[#This Row],[LIST $]]*_1_541284561214624104645789101745[[#This Row],[DISCOUNT]]*_1_541284561214624104645789101745[[#This Row],[DISCOUNT 2]]</f>
        <v>0</v>
      </c>
      <c r="M93" s="194">
        <f>IF(OR(_1_541284561214624104645789101745[[#This Row],[UNIT]]&gt;0,_1_541284561214624104645789101745[[#This Row],[UNIT]]&lt;0),_1_541284561214624104645789101745[[#This Row],[UNIT]]*_1_541284561214624104645789101745[[#This Row],[COST]],0)</f>
        <v>0</v>
      </c>
      <c r="N93" s="194">
        <f t="shared" si="1"/>
        <v>1.5</v>
      </c>
      <c r="O93" s="198">
        <f>_1_541284561214624104645789101745[[#This Row],[TOTAL]]*_1_541284561214624104645789101745[[#This Row],[MARGIN]]</f>
        <v>0</v>
      </c>
      <c r="R93" s="41"/>
    </row>
    <row r="94" spans="1:18">
      <c r="A94" s="168"/>
      <c r="B94" s="168"/>
      <c r="C94" s="168"/>
      <c r="D94" s="188"/>
      <c r="F94" s="168" t="s">
        <v>6202</v>
      </c>
      <c r="G94" s="193">
        <f>IF(_1_541284561214624104645789101745[[#This Row],[Type]]&gt;0,VLOOKUP(_1_541284561214624104645789101745[[#This Row],[Type]],Main[[#All],[TYPE]:[UNIT]],'Unit Price'!C$1,FALSE),0)</f>
        <v>0</v>
      </c>
      <c r="H94" s="197">
        <f>IF(_1_541284561214624104645789101745[[#This Row],[Type]]&gt;0,VLOOKUP(_1_541284561214624104645789101745[[#This Row],[Type]],Main[[#All],[TYPE]:[UNIT]],'Unit Price'!D$1,FALSE),0)</f>
        <v>0</v>
      </c>
      <c r="I94" s="194">
        <f>IF(_1_541284561214624104645789101745[[#This Row],[Type]]&gt;0,VLOOKUP(_1_541284561214624104645789101745[[#This Row],[Type]],Main[[#All],[TYPE]:[UNIT]],'Unit Price'!G$1,FALSE),0)</f>
        <v>0</v>
      </c>
      <c r="J94" s="194">
        <f>IF(_1_541284561214624104645789101745[[#This Row],[Type]]&gt;0,VLOOKUP(_1_541284561214624104645789101745[[#This Row],[Type]],Main[[#All],[TYPE]:[UNIT]],'Unit Price'!H$1,FALSE),0)</f>
        <v>0</v>
      </c>
      <c r="K94" s="194">
        <f>IF(_1_541284561214624104645789101745[[#This Row],[Discount selection]]&gt;0,VLOOKUP(_1_541284561214624104645789101745[[#This Row],[Discount selection]],'Discount Structure'!$A$2:$B$30,2,"false"),0)</f>
        <v>1</v>
      </c>
      <c r="L94" s="194">
        <f>_1_541284561214624104645789101745[[#This Row],[LIST $]]*_1_541284561214624104645789101745[[#This Row],[DISCOUNT]]*_1_541284561214624104645789101745[[#This Row],[DISCOUNT 2]]</f>
        <v>0</v>
      </c>
      <c r="M94" s="194">
        <f>IF(OR(_1_541284561214624104645789101745[[#This Row],[UNIT]]&gt;0,_1_541284561214624104645789101745[[#This Row],[UNIT]]&lt;0),_1_541284561214624104645789101745[[#This Row],[UNIT]]*_1_541284561214624104645789101745[[#This Row],[COST]],0)</f>
        <v>0</v>
      </c>
      <c r="N94" s="194">
        <f t="shared" si="1"/>
        <v>1.5</v>
      </c>
      <c r="O94" s="198">
        <f>_1_541284561214624104645789101745[[#This Row],[TOTAL]]*_1_541284561214624104645789101745[[#This Row],[MARGIN]]</f>
        <v>0</v>
      </c>
      <c r="R94" s="41"/>
    </row>
    <row r="95" spans="1:18">
      <c r="A95" s="168"/>
      <c r="C95" s="168"/>
      <c r="D95" s="188"/>
      <c r="F95" s="168" t="s">
        <v>6202</v>
      </c>
      <c r="G95" s="193">
        <f>IF(_1_541284561214624104645789101745[[#This Row],[Type]]&gt;0,VLOOKUP(_1_541284561214624104645789101745[[#This Row],[Type]],Main[[#All],[TYPE]:[UNIT]],'Unit Price'!C$1,FALSE),0)</f>
        <v>0</v>
      </c>
      <c r="H95" s="197">
        <f>IF(_1_541284561214624104645789101745[[#This Row],[Type]]&gt;0,VLOOKUP(_1_541284561214624104645789101745[[#This Row],[Type]],Main[[#All],[TYPE]:[UNIT]],'Unit Price'!D$1,FALSE),0)</f>
        <v>0</v>
      </c>
      <c r="I95" s="194">
        <f>IF(_1_541284561214624104645789101745[[#This Row],[Type]]&gt;0,VLOOKUP(_1_541284561214624104645789101745[[#This Row],[Type]],Main[[#All],[TYPE]:[UNIT]],'Unit Price'!G$1,FALSE),0)</f>
        <v>0</v>
      </c>
      <c r="J95" s="194">
        <f>IF(_1_541284561214624104645789101745[[#This Row],[Type]]&gt;0,VLOOKUP(_1_541284561214624104645789101745[[#This Row],[Type]],Main[[#All],[TYPE]:[UNIT]],'Unit Price'!H$1,FALSE),0)</f>
        <v>0</v>
      </c>
      <c r="K95" s="194">
        <f>IF(_1_541284561214624104645789101745[[#This Row],[Discount selection]]&gt;0,VLOOKUP(_1_541284561214624104645789101745[[#This Row],[Discount selection]],'Discount Structure'!$A$2:$B$30,2,"false"),0)</f>
        <v>1</v>
      </c>
      <c r="L95" s="194">
        <f>_1_541284561214624104645789101745[[#This Row],[LIST $]]*_1_541284561214624104645789101745[[#This Row],[DISCOUNT]]*_1_541284561214624104645789101745[[#This Row],[DISCOUNT 2]]</f>
        <v>0</v>
      </c>
      <c r="M95" s="194">
        <f>IF(OR(_1_541284561214624104645789101745[[#This Row],[UNIT]]&gt;0,_1_541284561214624104645789101745[[#This Row],[UNIT]]&lt;0),_1_541284561214624104645789101745[[#This Row],[UNIT]]*_1_541284561214624104645789101745[[#This Row],[COST]],0)</f>
        <v>0</v>
      </c>
      <c r="N95" s="194">
        <f t="shared" si="1"/>
        <v>1.5</v>
      </c>
      <c r="O95" s="198">
        <f>_1_541284561214624104645789101745[[#This Row],[TOTAL]]*_1_541284561214624104645789101745[[#This Row],[MARGIN]]</f>
        <v>0</v>
      </c>
      <c r="R95" s="41"/>
    </row>
    <row r="96" spans="1:18">
      <c r="A96" s="320"/>
      <c r="B96" s="351"/>
      <c r="C96" s="168"/>
      <c r="D96" s="188"/>
      <c r="E96" s="313"/>
      <c r="F96" s="168" t="s">
        <v>6202</v>
      </c>
      <c r="G96" s="193">
        <f>IF(_1_541284561214624104645789101745[[#This Row],[Type]]&gt;0,VLOOKUP(_1_541284561214624104645789101745[[#This Row],[Type]],Main[[#All],[TYPE]:[UNIT]],'Unit Price'!C$1,FALSE),0)</f>
        <v>0</v>
      </c>
      <c r="H96" s="197">
        <f>IF(_1_541284561214624104645789101745[[#This Row],[Type]]&gt;0,VLOOKUP(_1_541284561214624104645789101745[[#This Row],[Type]],Main[[#All],[TYPE]:[UNIT]],'Unit Price'!D$1,FALSE),0)</f>
        <v>0</v>
      </c>
      <c r="I96" s="194">
        <f>IF(_1_541284561214624104645789101745[[#This Row],[Type]]&gt;0,VLOOKUP(_1_541284561214624104645789101745[[#This Row],[Type]],Main[[#All],[TYPE]:[UNIT]],'Unit Price'!G$1,FALSE),0)</f>
        <v>0</v>
      </c>
      <c r="J96" s="194">
        <f>IF(_1_541284561214624104645789101745[[#This Row],[Type]]&gt;0,VLOOKUP(_1_541284561214624104645789101745[[#This Row],[Type]],Main[[#All],[TYPE]:[UNIT]],'Unit Price'!H$1,FALSE),0)</f>
        <v>0</v>
      </c>
      <c r="K96" s="194">
        <f>IF(_1_541284561214624104645789101745[[#This Row],[Discount selection]]&gt;0,VLOOKUP(_1_541284561214624104645789101745[[#This Row],[Discount selection]],'Discount Structure'!$A$2:$B$30,2,"false"),0)</f>
        <v>1</v>
      </c>
      <c r="L96" s="194">
        <f>_1_541284561214624104645789101745[[#This Row],[LIST $]]*_1_541284561214624104645789101745[[#This Row],[DISCOUNT]]*_1_541284561214624104645789101745[[#This Row],[DISCOUNT 2]]</f>
        <v>0</v>
      </c>
      <c r="M96" s="194">
        <f>IF(OR(_1_541284561214624104645789101745[[#This Row],[UNIT]]&gt;0,_1_541284561214624104645789101745[[#This Row],[UNIT]]&lt;0),_1_541284561214624104645789101745[[#This Row],[UNIT]]*_1_541284561214624104645789101745[[#This Row],[COST]],0)</f>
        <v>0</v>
      </c>
      <c r="N96" s="194">
        <f t="shared" si="1"/>
        <v>1.5</v>
      </c>
      <c r="O96" s="198">
        <f>_1_541284561214624104645789101745[[#This Row],[TOTAL]]*_1_541284561214624104645789101745[[#This Row],[MARGIN]]</f>
        <v>0</v>
      </c>
      <c r="R96" s="41"/>
    </row>
    <row r="97" spans="1:18">
      <c r="A97" s="340"/>
      <c r="B97" s="168"/>
      <c r="C97" s="168"/>
      <c r="D97" s="188"/>
      <c r="F97" s="168" t="s">
        <v>6202</v>
      </c>
      <c r="G97" s="193">
        <f>IF(_1_541284561214624104645789101745[[#This Row],[Type]]&gt;0,VLOOKUP(_1_541284561214624104645789101745[[#This Row],[Type]],Main[[#All],[TYPE]:[UNIT]],'Unit Price'!C$1,FALSE),0)</f>
        <v>0</v>
      </c>
      <c r="H97" s="197">
        <f>IF(_1_541284561214624104645789101745[[#This Row],[Type]]&gt;0,VLOOKUP(_1_541284561214624104645789101745[[#This Row],[Type]],Main[[#All],[TYPE]:[UNIT]],'Unit Price'!D$1,FALSE),0)</f>
        <v>0</v>
      </c>
      <c r="I97" s="194">
        <f>IF(_1_541284561214624104645789101745[[#This Row],[Type]]&gt;0,VLOOKUP(_1_541284561214624104645789101745[[#This Row],[Type]],Main[[#All],[TYPE]:[UNIT]],'Unit Price'!G$1,FALSE),0)</f>
        <v>0</v>
      </c>
      <c r="J97" s="194">
        <f>IF(_1_541284561214624104645789101745[[#This Row],[Type]]&gt;0,VLOOKUP(_1_541284561214624104645789101745[[#This Row],[Type]],Main[[#All],[TYPE]:[UNIT]],'Unit Price'!H$1,FALSE),0)</f>
        <v>0</v>
      </c>
      <c r="K97" s="194">
        <f>IF(_1_541284561214624104645789101745[[#This Row],[Discount selection]]&gt;0,VLOOKUP(_1_541284561214624104645789101745[[#This Row],[Discount selection]],'Discount Structure'!$A$2:$B$30,2,"false"),0)</f>
        <v>1</v>
      </c>
      <c r="L97" s="194">
        <f>_1_541284561214624104645789101745[[#This Row],[LIST $]]*_1_541284561214624104645789101745[[#This Row],[DISCOUNT]]*_1_541284561214624104645789101745[[#This Row],[DISCOUNT 2]]</f>
        <v>0</v>
      </c>
      <c r="M97" s="194">
        <f>IF(OR(_1_541284561214624104645789101745[[#This Row],[UNIT]]&gt;0,_1_541284561214624104645789101745[[#This Row],[UNIT]]&lt;0),_1_541284561214624104645789101745[[#This Row],[UNIT]]*_1_541284561214624104645789101745[[#This Row],[COST]],0)</f>
        <v>0</v>
      </c>
      <c r="N97" s="194">
        <f t="shared" si="1"/>
        <v>1.5</v>
      </c>
      <c r="O97" s="198">
        <f>_1_541284561214624104645789101745[[#This Row],[TOTAL]]*_1_541284561214624104645789101745[[#This Row],[MARGIN]]</f>
        <v>0</v>
      </c>
      <c r="R97" s="41"/>
    </row>
    <row r="98" spans="1:18">
      <c r="A98" s="168"/>
      <c r="C98" s="168"/>
      <c r="D98" s="188"/>
      <c r="F98" s="168" t="s">
        <v>6202</v>
      </c>
      <c r="G98" s="193">
        <f>IF(_1_541284561214624104645789101745[[#This Row],[Type]]&gt;0,VLOOKUP(_1_541284561214624104645789101745[[#This Row],[Type]],Main[[#All],[TYPE]:[UNIT]],'Unit Price'!C$1,FALSE),0)</f>
        <v>0</v>
      </c>
      <c r="H98" s="197">
        <f>IF(_1_541284561214624104645789101745[[#This Row],[Type]]&gt;0,VLOOKUP(_1_541284561214624104645789101745[[#This Row],[Type]],Main[[#All],[TYPE]:[UNIT]],'Unit Price'!D$1,FALSE),0)</f>
        <v>0</v>
      </c>
      <c r="I98" s="194">
        <f>IF(_1_541284561214624104645789101745[[#This Row],[Type]]&gt;0,VLOOKUP(_1_541284561214624104645789101745[[#This Row],[Type]],Main[[#All],[TYPE]:[UNIT]],'Unit Price'!G$1,FALSE),0)</f>
        <v>0</v>
      </c>
      <c r="J98" s="194">
        <f>IF(_1_541284561214624104645789101745[[#This Row],[Type]]&gt;0,VLOOKUP(_1_541284561214624104645789101745[[#This Row],[Type]],Main[[#All],[TYPE]:[UNIT]],'Unit Price'!H$1,FALSE),0)</f>
        <v>0</v>
      </c>
      <c r="K98" s="194">
        <f>IF(_1_541284561214624104645789101745[[#This Row],[Discount selection]]&gt;0,VLOOKUP(_1_541284561214624104645789101745[[#This Row],[Discount selection]],'Discount Structure'!$A$2:$B$30,2,"false"),0)</f>
        <v>1</v>
      </c>
      <c r="L98" s="194">
        <f>_1_541284561214624104645789101745[[#This Row],[LIST $]]*_1_541284561214624104645789101745[[#This Row],[DISCOUNT]]*_1_541284561214624104645789101745[[#This Row],[DISCOUNT 2]]</f>
        <v>0</v>
      </c>
      <c r="M98" s="194">
        <f>IF(OR(_1_541284561214624104645789101745[[#This Row],[UNIT]]&gt;0,_1_541284561214624104645789101745[[#This Row],[UNIT]]&lt;0),_1_541284561214624104645789101745[[#This Row],[UNIT]]*_1_541284561214624104645789101745[[#This Row],[COST]],0)</f>
        <v>0</v>
      </c>
      <c r="N98" s="194">
        <f t="shared" si="1"/>
        <v>1.5</v>
      </c>
      <c r="O98" s="198">
        <f>_1_541284561214624104645789101745[[#This Row],[TOTAL]]*_1_541284561214624104645789101745[[#This Row],[MARGIN]]</f>
        <v>0</v>
      </c>
      <c r="R98" s="41"/>
    </row>
    <row r="99" spans="1:18">
      <c r="C99" s="168"/>
      <c r="D99" s="188"/>
      <c r="F99" s="168" t="s">
        <v>6202</v>
      </c>
      <c r="G99" s="193">
        <f>IF(_1_541284561214624104645789101745[[#This Row],[Type]]&gt;0,VLOOKUP(_1_541284561214624104645789101745[[#This Row],[Type]],Main[[#All],[TYPE]:[UNIT]],'Unit Price'!C$1,FALSE),0)</f>
        <v>0</v>
      </c>
      <c r="H99" s="197">
        <f>IF(_1_541284561214624104645789101745[[#This Row],[Type]]&gt;0,VLOOKUP(_1_541284561214624104645789101745[[#This Row],[Type]],Main[[#All],[TYPE]:[UNIT]],'Unit Price'!D$1,FALSE),0)</f>
        <v>0</v>
      </c>
      <c r="I99" s="194">
        <f>IF(_1_541284561214624104645789101745[[#This Row],[Type]]&gt;0,VLOOKUP(_1_541284561214624104645789101745[[#This Row],[Type]],Main[[#All],[TYPE]:[UNIT]],'Unit Price'!G$1,FALSE),0)</f>
        <v>0</v>
      </c>
      <c r="J99" s="194">
        <f>IF(_1_541284561214624104645789101745[[#This Row],[Type]]&gt;0,VLOOKUP(_1_541284561214624104645789101745[[#This Row],[Type]],Main[[#All],[TYPE]:[UNIT]],'Unit Price'!H$1,FALSE),0)</f>
        <v>0</v>
      </c>
      <c r="K99" s="194">
        <f>IF(_1_541284561214624104645789101745[[#This Row],[Discount selection]]&gt;0,VLOOKUP(_1_541284561214624104645789101745[[#This Row],[Discount selection]],'Discount Structure'!$A$2:$B$30,2,"false"),0)</f>
        <v>1</v>
      </c>
      <c r="L99" s="194">
        <f>_1_541284561214624104645789101745[[#This Row],[LIST $]]*_1_541284561214624104645789101745[[#This Row],[DISCOUNT]]*_1_541284561214624104645789101745[[#This Row],[DISCOUNT 2]]</f>
        <v>0</v>
      </c>
      <c r="M99" s="194">
        <f>IF(OR(_1_541284561214624104645789101745[[#This Row],[UNIT]]&gt;0,_1_541284561214624104645789101745[[#This Row],[UNIT]]&lt;0),_1_541284561214624104645789101745[[#This Row],[UNIT]]*_1_541284561214624104645789101745[[#This Row],[COST]],0)</f>
        <v>0</v>
      </c>
      <c r="N99" s="194">
        <f t="shared" si="1"/>
        <v>1.5</v>
      </c>
      <c r="O99" s="198">
        <f>_1_541284561214624104645789101745[[#This Row],[TOTAL]]*_1_541284561214624104645789101745[[#This Row],[MARGIN]]</f>
        <v>0</v>
      </c>
      <c r="R99" s="41"/>
    </row>
    <row r="100" spans="1:18">
      <c r="C100" s="168"/>
      <c r="D100" s="188"/>
      <c r="F100" s="168" t="s">
        <v>6202</v>
      </c>
      <c r="G100" s="193">
        <f>IF(_1_541284561214624104645789101745[[#This Row],[Type]]&gt;0,VLOOKUP(_1_541284561214624104645789101745[[#This Row],[Type]],Main[[#All],[TYPE]:[UNIT]],'Unit Price'!C$1,FALSE),0)</f>
        <v>0</v>
      </c>
      <c r="H100" s="197">
        <f>IF(_1_541284561214624104645789101745[[#This Row],[Type]]&gt;0,VLOOKUP(_1_541284561214624104645789101745[[#This Row],[Type]],Main[[#All],[TYPE]:[UNIT]],'Unit Price'!D$1,FALSE),0)</f>
        <v>0</v>
      </c>
      <c r="I100" s="194">
        <f>IF(_1_541284561214624104645789101745[[#This Row],[Type]]&gt;0,VLOOKUP(_1_541284561214624104645789101745[[#This Row],[Type]],Main[[#All],[TYPE]:[UNIT]],'Unit Price'!G$1,FALSE),0)</f>
        <v>0</v>
      </c>
      <c r="J100" s="194">
        <f>IF(_1_541284561214624104645789101745[[#This Row],[Type]]&gt;0,VLOOKUP(_1_541284561214624104645789101745[[#This Row],[Type]],Main[[#All],[TYPE]:[UNIT]],'Unit Price'!H$1,FALSE),0)</f>
        <v>0</v>
      </c>
      <c r="K100" s="194">
        <f>IF(_1_541284561214624104645789101745[[#This Row],[Discount selection]]&gt;0,VLOOKUP(_1_541284561214624104645789101745[[#This Row],[Discount selection]],'Discount Structure'!$A$2:$B$30,2,"false"),0)</f>
        <v>1</v>
      </c>
      <c r="L100" s="194">
        <f>_1_541284561214624104645789101745[[#This Row],[LIST $]]*_1_541284561214624104645789101745[[#This Row],[DISCOUNT]]*_1_541284561214624104645789101745[[#This Row],[DISCOUNT 2]]</f>
        <v>0</v>
      </c>
      <c r="M100" s="194">
        <f>IF(OR(_1_541284561214624104645789101745[[#This Row],[UNIT]]&gt;0,_1_541284561214624104645789101745[[#This Row],[UNIT]]&lt;0),_1_541284561214624104645789101745[[#This Row],[UNIT]]*_1_541284561214624104645789101745[[#This Row],[COST]],0)</f>
        <v>0</v>
      </c>
      <c r="N100" s="194">
        <f t="shared" si="1"/>
        <v>1.5</v>
      </c>
      <c r="O100" s="198">
        <f>_1_541284561214624104645789101745[[#This Row],[TOTAL]]*_1_541284561214624104645789101745[[#This Row],[MARGIN]]</f>
        <v>0</v>
      </c>
      <c r="R100" s="41"/>
    </row>
    <row r="101" spans="1:18">
      <c r="B101" s="168"/>
      <c r="C101" s="168"/>
      <c r="D101" s="188"/>
      <c r="F101" s="168" t="s">
        <v>6202</v>
      </c>
      <c r="G101" s="193">
        <f>IF(_1_541284561214624104645789101745[[#This Row],[Type]]&gt;0,VLOOKUP(_1_541284561214624104645789101745[[#This Row],[Type]],Main[[#All],[TYPE]:[UNIT]],'Unit Price'!C$1,FALSE),0)</f>
        <v>0</v>
      </c>
      <c r="H101" s="197">
        <f>IF(_1_541284561214624104645789101745[[#This Row],[Type]]&gt;0,VLOOKUP(_1_541284561214624104645789101745[[#This Row],[Type]],Main[[#All],[TYPE]:[UNIT]],'Unit Price'!D$1,FALSE),0)</f>
        <v>0</v>
      </c>
      <c r="I101" s="194">
        <f>IF(_1_541284561214624104645789101745[[#This Row],[Type]]&gt;0,VLOOKUP(_1_541284561214624104645789101745[[#This Row],[Type]],Main[[#All],[TYPE]:[UNIT]],'Unit Price'!G$1,FALSE),0)</f>
        <v>0</v>
      </c>
      <c r="J101" s="194">
        <f>IF(_1_541284561214624104645789101745[[#This Row],[Type]]&gt;0,VLOOKUP(_1_541284561214624104645789101745[[#This Row],[Type]],Main[[#All],[TYPE]:[UNIT]],'Unit Price'!H$1,FALSE),0)</f>
        <v>0</v>
      </c>
      <c r="K101" s="194">
        <f>IF(_1_541284561214624104645789101745[[#This Row],[Discount selection]]&gt;0,VLOOKUP(_1_541284561214624104645789101745[[#This Row],[Discount selection]],'Discount Structure'!$A$2:$B$30,2,"false"),0)</f>
        <v>1</v>
      </c>
      <c r="L101" s="194">
        <f>_1_541284561214624104645789101745[[#This Row],[LIST $]]*_1_541284561214624104645789101745[[#This Row],[DISCOUNT]]*_1_541284561214624104645789101745[[#This Row],[DISCOUNT 2]]</f>
        <v>0</v>
      </c>
      <c r="M101" s="194">
        <f>IF(OR(_1_541284561214624104645789101745[[#This Row],[UNIT]]&gt;0,_1_541284561214624104645789101745[[#This Row],[UNIT]]&lt;0),_1_541284561214624104645789101745[[#This Row],[UNIT]]*_1_541284561214624104645789101745[[#This Row],[COST]],0)</f>
        <v>0</v>
      </c>
      <c r="N101" s="194">
        <f t="shared" si="1"/>
        <v>1.5</v>
      </c>
      <c r="O101" s="198">
        <f>_1_541284561214624104645789101745[[#This Row],[TOTAL]]*_1_541284561214624104645789101745[[#This Row],[MARGIN]]</f>
        <v>0</v>
      </c>
      <c r="R101" s="41"/>
    </row>
    <row r="102" spans="1:18">
      <c r="A102" s="168"/>
      <c r="C102" s="168"/>
      <c r="D102" s="188"/>
      <c r="F102" s="168" t="s">
        <v>6202</v>
      </c>
      <c r="G102" s="193">
        <f>IF(_1_541284561214624104645789101745[[#This Row],[Type]]&gt;0,VLOOKUP(_1_541284561214624104645789101745[[#This Row],[Type]],Main[[#All],[TYPE]:[UNIT]],'Unit Price'!C$1,FALSE),0)</f>
        <v>0</v>
      </c>
      <c r="H102" s="197">
        <f>IF(_1_541284561214624104645789101745[[#This Row],[Type]]&gt;0,VLOOKUP(_1_541284561214624104645789101745[[#This Row],[Type]],Main[[#All],[TYPE]:[UNIT]],'Unit Price'!D$1,FALSE),0)</f>
        <v>0</v>
      </c>
      <c r="I102" s="194">
        <f>IF(_1_541284561214624104645789101745[[#This Row],[Type]]&gt;0,VLOOKUP(_1_541284561214624104645789101745[[#This Row],[Type]],Main[[#All],[TYPE]:[UNIT]],'Unit Price'!G$1,FALSE),0)</f>
        <v>0</v>
      </c>
      <c r="J102" s="194">
        <f>IF(_1_541284561214624104645789101745[[#This Row],[Type]]&gt;0,VLOOKUP(_1_541284561214624104645789101745[[#This Row],[Type]],Main[[#All],[TYPE]:[UNIT]],'Unit Price'!H$1,FALSE),0)</f>
        <v>0</v>
      </c>
      <c r="K102" s="194">
        <f>IF(_1_541284561214624104645789101745[[#This Row],[Discount selection]]&gt;0,VLOOKUP(_1_541284561214624104645789101745[[#This Row],[Discount selection]],'Discount Structure'!$A$2:$B$30,2,"false"),0)</f>
        <v>1</v>
      </c>
      <c r="L102" s="194">
        <f>_1_541284561214624104645789101745[[#This Row],[LIST $]]*_1_541284561214624104645789101745[[#This Row],[DISCOUNT]]*_1_541284561214624104645789101745[[#This Row],[DISCOUNT 2]]</f>
        <v>0</v>
      </c>
      <c r="M102" s="194">
        <f>IF(OR(_1_541284561214624104645789101745[[#This Row],[UNIT]]&gt;0,_1_541284561214624104645789101745[[#This Row],[UNIT]]&lt;0),_1_541284561214624104645789101745[[#This Row],[UNIT]]*_1_541284561214624104645789101745[[#This Row],[COST]],0)</f>
        <v>0</v>
      </c>
      <c r="N102" s="194">
        <f t="shared" si="1"/>
        <v>1.5</v>
      </c>
      <c r="O102" s="198">
        <f>_1_541284561214624104645789101745[[#This Row],[TOTAL]]*_1_541284561214624104645789101745[[#This Row],[MARGIN]]</f>
        <v>0</v>
      </c>
      <c r="R102" s="41"/>
    </row>
    <row r="103" spans="1:18">
      <c r="A103" s="168"/>
      <c r="B103" s="168"/>
      <c r="C103" s="168"/>
      <c r="D103" s="188"/>
      <c r="F103" s="168" t="s">
        <v>6202</v>
      </c>
      <c r="G103" s="193">
        <f>IF(_1_541284561214624104645789101745[[#This Row],[Type]]&gt;0,VLOOKUP(_1_541284561214624104645789101745[[#This Row],[Type]],Main[[#All],[TYPE]:[UNIT]],'Unit Price'!C$1,FALSE),0)</f>
        <v>0</v>
      </c>
      <c r="H103" s="197">
        <f>IF(_1_541284561214624104645789101745[[#This Row],[Type]]&gt;0,VLOOKUP(_1_541284561214624104645789101745[[#This Row],[Type]],Main[[#All],[TYPE]:[UNIT]],'Unit Price'!D$1,FALSE),0)</f>
        <v>0</v>
      </c>
      <c r="I103" s="194">
        <f>IF(_1_541284561214624104645789101745[[#This Row],[Type]]&gt;0,VLOOKUP(_1_541284561214624104645789101745[[#This Row],[Type]],Main[[#All],[TYPE]:[UNIT]],'Unit Price'!G$1,FALSE),0)</f>
        <v>0</v>
      </c>
      <c r="J103" s="194">
        <f>IF(_1_541284561214624104645789101745[[#This Row],[Type]]&gt;0,VLOOKUP(_1_541284561214624104645789101745[[#This Row],[Type]],Main[[#All],[TYPE]:[UNIT]],'Unit Price'!H$1,FALSE),0)</f>
        <v>0</v>
      </c>
      <c r="K103" s="194">
        <f>IF(_1_541284561214624104645789101745[[#This Row],[Discount selection]]&gt;0,VLOOKUP(_1_541284561214624104645789101745[[#This Row],[Discount selection]],'Discount Structure'!$A$2:$B$30,2,"false"),0)</f>
        <v>1</v>
      </c>
      <c r="L103" s="194">
        <f>_1_541284561214624104645789101745[[#This Row],[LIST $]]*_1_541284561214624104645789101745[[#This Row],[DISCOUNT]]*_1_541284561214624104645789101745[[#This Row],[DISCOUNT 2]]</f>
        <v>0</v>
      </c>
      <c r="M103" s="194">
        <f>IF(OR(_1_541284561214624104645789101745[[#This Row],[UNIT]]&gt;0,_1_541284561214624104645789101745[[#This Row],[UNIT]]&lt;0),_1_541284561214624104645789101745[[#This Row],[UNIT]]*_1_541284561214624104645789101745[[#This Row],[COST]],0)</f>
        <v>0</v>
      </c>
      <c r="N103" s="194">
        <f t="shared" si="1"/>
        <v>1.5</v>
      </c>
      <c r="O103" s="198">
        <f>_1_541284561214624104645789101745[[#This Row],[TOTAL]]*_1_541284561214624104645789101745[[#This Row],[MARGIN]]</f>
        <v>0</v>
      </c>
      <c r="R103" s="41"/>
    </row>
    <row r="104" spans="1:18">
      <c r="B104" s="168"/>
      <c r="C104" s="168"/>
      <c r="D104" s="188"/>
      <c r="F104" s="168" t="s">
        <v>6202</v>
      </c>
      <c r="G104" s="204">
        <f>IF(_1_541284561214624104645789101745[[#This Row],[Type]]&gt;0,VLOOKUP(_1_541284561214624104645789101745[[#This Row],[Type]],Main[[#All],[TYPE]:[UNIT]],'Unit Price'!C$1,FALSE),0)</f>
        <v>0</v>
      </c>
      <c r="H104" s="197">
        <f>IF(_1_541284561214624104645789101745[[#This Row],[Type]]&gt;0,VLOOKUP(_1_541284561214624104645789101745[[#This Row],[Type]],Main[[#All],[TYPE]:[UNIT]],'Unit Price'!D$1,FALSE),0)</f>
        <v>0</v>
      </c>
      <c r="I104" s="194">
        <f>IF(_1_541284561214624104645789101745[[#This Row],[Type]]&gt;0,VLOOKUP(_1_541284561214624104645789101745[[#This Row],[Type]],Main[[#All],[TYPE]:[UNIT]],'Unit Price'!G$1,FALSE),0)</f>
        <v>0</v>
      </c>
      <c r="J104" s="194">
        <f>IF(_1_541284561214624104645789101745[[#This Row],[Type]]&gt;0,VLOOKUP(_1_541284561214624104645789101745[[#This Row],[Type]],Main[[#All],[TYPE]:[UNIT]],'Unit Price'!H$1,FALSE),0)</f>
        <v>0</v>
      </c>
      <c r="K104" s="194">
        <f>IF(_1_541284561214624104645789101745[[#This Row],[Discount selection]]&gt;0,VLOOKUP(_1_541284561214624104645789101745[[#This Row],[Discount selection]],'Discount Structure'!$A$2:$B$30,2,"false"),0)</f>
        <v>1</v>
      </c>
      <c r="L104" s="194">
        <f>_1_541284561214624104645789101745[[#This Row],[LIST $]]*_1_541284561214624104645789101745[[#This Row],[DISCOUNT]]*_1_541284561214624104645789101745[[#This Row],[DISCOUNT 2]]</f>
        <v>0</v>
      </c>
      <c r="M104" s="194">
        <f>IF(OR(_1_541284561214624104645789101745[[#This Row],[UNIT]]&gt;0,_1_541284561214624104645789101745[[#This Row],[UNIT]]&lt;0),_1_541284561214624104645789101745[[#This Row],[UNIT]]*_1_541284561214624104645789101745[[#This Row],[COST]],0)</f>
        <v>0</v>
      </c>
      <c r="N104" s="194">
        <f t="shared" si="1"/>
        <v>1.5</v>
      </c>
      <c r="O104" s="198">
        <f>_1_541284561214624104645789101745[[#This Row],[TOTAL]]*_1_541284561214624104645789101745[[#This Row],[MARGIN]]</f>
        <v>0</v>
      </c>
      <c r="R104" s="41"/>
    </row>
    <row r="105" spans="1:18">
      <c r="B105" s="168"/>
      <c r="C105" s="168"/>
      <c r="D105" s="188"/>
      <c r="F105" s="168" t="s">
        <v>6202</v>
      </c>
      <c r="G105" s="193">
        <f>IF(_1_541284561214624104645789101745[[#This Row],[Type]]&gt;0,VLOOKUP(_1_541284561214624104645789101745[[#This Row],[Type]],Main[[#All],[TYPE]:[UNIT]],'Unit Price'!C$1,FALSE),0)</f>
        <v>0</v>
      </c>
      <c r="H105" s="197">
        <f>IF(_1_541284561214624104645789101745[[#This Row],[Type]]&gt;0,VLOOKUP(_1_541284561214624104645789101745[[#This Row],[Type]],Main[[#All],[TYPE]:[UNIT]],'Unit Price'!D$1,FALSE),0)</f>
        <v>0</v>
      </c>
      <c r="I105" s="194">
        <f>IF(_1_541284561214624104645789101745[[#This Row],[Type]]&gt;0,VLOOKUP(_1_541284561214624104645789101745[[#This Row],[Type]],Main[[#All],[TYPE]:[UNIT]],'Unit Price'!G$1,FALSE),0)</f>
        <v>0</v>
      </c>
      <c r="J105" s="194">
        <f>IF(_1_541284561214624104645789101745[[#This Row],[Type]]&gt;0,VLOOKUP(_1_541284561214624104645789101745[[#This Row],[Type]],Main[[#All],[TYPE]:[UNIT]],'Unit Price'!H$1,FALSE),0)</f>
        <v>0</v>
      </c>
      <c r="K105" s="194">
        <f>IF(_1_541284561214624104645789101745[[#This Row],[Discount selection]]&gt;0,VLOOKUP(_1_541284561214624104645789101745[[#This Row],[Discount selection]],'Discount Structure'!$A$2:$B$30,2,"false"),0)</f>
        <v>1</v>
      </c>
      <c r="L105" s="194">
        <f>_1_541284561214624104645789101745[[#This Row],[LIST $]]*_1_541284561214624104645789101745[[#This Row],[DISCOUNT]]*_1_541284561214624104645789101745[[#This Row],[DISCOUNT 2]]</f>
        <v>0</v>
      </c>
      <c r="M105" s="194">
        <f>IF(OR(_1_541284561214624104645789101745[[#This Row],[UNIT]]&gt;0,_1_541284561214624104645789101745[[#This Row],[UNIT]]&lt;0),_1_541284561214624104645789101745[[#This Row],[UNIT]]*_1_541284561214624104645789101745[[#This Row],[COST]],0)</f>
        <v>0</v>
      </c>
      <c r="N105" s="194">
        <f t="shared" si="1"/>
        <v>1.5</v>
      </c>
      <c r="O105" s="198">
        <f>_1_541284561214624104645789101745[[#This Row],[TOTAL]]*_1_541284561214624104645789101745[[#This Row],[MARGIN]]</f>
        <v>0</v>
      </c>
      <c r="R105" s="41"/>
    </row>
    <row r="106" spans="1:18">
      <c r="B106" s="318"/>
      <c r="C106" s="168"/>
      <c r="D106" s="188"/>
      <c r="F106" s="168" t="s">
        <v>6202</v>
      </c>
      <c r="G106" s="204">
        <f>IF(_1_541284561214624104645789101745[[#This Row],[Type]]&gt;0,VLOOKUP(_1_541284561214624104645789101745[[#This Row],[Type]],Main[[#All],[TYPE]:[UNIT]],'Unit Price'!C$1,FALSE),0)</f>
        <v>0</v>
      </c>
      <c r="H106" s="197">
        <f>IF(_1_541284561214624104645789101745[[#This Row],[Type]]&gt;0,VLOOKUP(_1_541284561214624104645789101745[[#This Row],[Type]],Main[[#All],[TYPE]:[UNIT]],'Unit Price'!D$1,FALSE),0)</f>
        <v>0</v>
      </c>
      <c r="I106" s="194">
        <f>IF(_1_541284561214624104645789101745[[#This Row],[Type]]&gt;0,VLOOKUP(_1_541284561214624104645789101745[[#This Row],[Type]],Main[[#All],[TYPE]:[UNIT]],'Unit Price'!G$1,FALSE),0)</f>
        <v>0</v>
      </c>
      <c r="J106" s="194">
        <f>IF(_1_541284561214624104645789101745[[#This Row],[Type]]&gt;0,VLOOKUP(_1_541284561214624104645789101745[[#This Row],[Type]],Main[[#All],[TYPE]:[UNIT]],'Unit Price'!H$1,FALSE),0)</f>
        <v>0</v>
      </c>
      <c r="K106" s="194">
        <f>IF(_1_541284561214624104645789101745[[#This Row],[Discount selection]]&gt;0,VLOOKUP(_1_541284561214624104645789101745[[#This Row],[Discount selection]],'Discount Structure'!$A$2:$B$30,2,"false"),0)</f>
        <v>1</v>
      </c>
      <c r="L106" s="194">
        <f>_1_541284561214624104645789101745[[#This Row],[LIST $]]*_1_541284561214624104645789101745[[#This Row],[DISCOUNT]]*_1_541284561214624104645789101745[[#This Row],[DISCOUNT 2]]</f>
        <v>0</v>
      </c>
      <c r="M106" s="194">
        <f>IF(OR(_1_541284561214624104645789101745[[#This Row],[UNIT]]&gt;0,_1_541284561214624104645789101745[[#This Row],[UNIT]]&lt;0),_1_541284561214624104645789101745[[#This Row],[UNIT]]*_1_541284561214624104645789101745[[#This Row],[COST]],0)</f>
        <v>0</v>
      </c>
      <c r="N106" s="194">
        <f t="shared" si="1"/>
        <v>1.5</v>
      </c>
      <c r="O106" s="198">
        <f>_1_541284561214624104645789101745[[#This Row],[TOTAL]]*_1_541284561214624104645789101745[[#This Row],[MARGIN]]</f>
        <v>0</v>
      </c>
      <c r="R106" s="41"/>
    </row>
    <row r="107" spans="1:18">
      <c r="A107" s="341"/>
      <c r="C107" s="168"/>
      <c r="D107" s="188"/>
      <c r="F107" s="168" t="s">
        <v>6202</v>
      </c>
      <c r="G107" s="193">
        <f>IF(_1_541284561214624104645789101745[[#This Row],[Type]]&gt;0,VLOOKUP(_1_541284561214624104645789101745[[#This Row],[Type]],Main[[#All],[TYPE]:[UNIT]],'Unit Price'!C$1,FALSE),0)</f>
        <v>0</v>
      </c>
      <c r="H107" s="197">
        <f>IF(_1_541284561214624104645789101745[[#This Row],[Type]]&gt;0,VLOOKUP(_1_541284561214624104645789101745[[#This Row],[Type]],Main[[#All],[TYPE]:[UNIT]],'Unit Price'!D$1,FALSE),0)</f>
        <v>0</v>
      </c>
      <c r="I107" s="194">
        <f>IF(_1_541284561214624104645789101745[[#This Row],[Type]]&gt;0,VLOOKUP(_1_541284561214624104645789101745[[#This Row],[Type]],Main[[#All],[TYPE]:[UNIT]],'Unit Price'!G$1,FALSE),0)</f>
        <v>0</v>
      </c>
      <c r="J107" s="194">
        <f>IF(_1_541284561214624104645789101745[[#This Row],[Type]]&gt;0,VLOOKUP(_1_541284561214624104645789101745[[#This Row],[Type]],Main[[#All],[TYPE]:[UNIT]],'Unit Price'!H$1,FALSE),0)</f>
        <v>0</v>
      </c>
      <c r="K107" s="194">
        <f>IF(_1_541284561214624104645789101745[[#This Row],[Discount selection]]&gt;0,VLOOKUP(_1_541284561214624104645789101745[[#This Row],[Discount selection]],'Discount Structure'!$A$2:$B$30,2,"false"),0)</f>
        <v>1</v>
      </c>
      <c r="L107" s="194">
        <f>_1_541284561214624104645789101745[[#This Row],[LIST $]]*_1_541284561214624104645789101745[[#This Row],[DISCOUNT]]*_1_541284561214624104645789101745[[#This Row],[DISCOUNT 2]]</f>
        <v>0</v>
      </c>
      <c r="M107" s="194">
        <f>IF(OR(_1_541284561214624104645789101745[[#This Row],[UNIT]]&gt;0,_1_541284561214624104645789101745[[#This Row],[UNIT]]&lt;0),_1_541284561214624104645789101745[[#This Row],[UNIT]]*_1_541284561214624104645789101745[[#This Row],[COST]],0)</f>
        <v>0</v>
      </c>
      <c r="N107" s="194">
        <f t="shared" si="1"/>
        <v>1.5</v>
      </c>
      <c r="O107" s="198">
        <f>_1_541284561214624104645789101745[[#This Row],[TOTAL]]*_1_541284561214624104645789101745[[#This Row],[MARGIN]]</f>
        <v>0</v>
      </c>
      <c r="R107" s="41"/>
    </row>
    <row r="108" spans="1:18">
      <c r="B108" s="318"/>
      <c r="C108" s="168"/>
      <c r="D108" s="188"/>
      <c r="F108" s="168" t="s">
        <v>6202</v>
      </c>
      <c r="G108" s="204">
        <f>IF(_1_541284561214624104645789101745[[#This Row],[Type]]&gt;0,VLOOKUP(_1_541284561214624104645789101745[[#This Row],[Type]],Main[[#All],[TYPE]:[UNIT]],'Unit Price'!C$1,FALSE),0)</f>
        <v>0</v>
      </c>
      <c r="H108" s="197">
        <f>IF(_1_541284561214624104645789101745[[#This Row],[Type]]&gt;0,VLOOKUP(_1_541284561214624104645789101745[[#This Row],[Type]],Main[[#All],[TYPE]:[UNIT]],'Unit Price'!D$1,FALSE),0)</f>
        <v>0</v>
      </c>
      <c r="I108" s="194">
        <f>IF(_1_541284561214624104645789101745[[#This Row],[Type]]&gt;0,VLOOKUP(_1_541284561214624104645789101745[[#This Row],[Type]],Main[[#All],[TYPE]:[UNIT]],'Unit Price'!G$1,FALSE),0)</f>
        <v>0</v>
      </c>
      <c r="J108" s="194">
        <f>IF(_1_541284561214624104645789101745[[#This Row],[Type]]&gt;0,VLOOKUP(_1_541284561214624104645789101745[[#This Row],[Type]],Main[[#All],[TYPE]:[UNIT]],'Unit Price'!H$1,FALSE),0)</f>
        <v>0</v>
      </c>
      <c r="K108" s="194">
        <f>IF(_1_541284561214624104645789101745[[#This Row],[Discount selection]]&gt;0,VLOOKUP(_1_541284561214624104645789101745[[#This Row],[Discount selection]],'Discount Structure'!$A$2:$B$30,2,"false"),0)</f>
        <v>1</v>
      </c>
      <c r="L108" s="194">
        <f>_1_541284561214624104645789101745[[#This Row],[LIST $]]*_1_541284561214624104645789101745[[#This Row],[DISCOUNT]]*_1_541284561214624104645789101745[[#This Row],[DISCOUNT 2]]</f>
        <v>0</v>
      </c>
      <c r="M108" s="194">
        <f>IF(OR(_1_541284561214624104645789101745[[#This Row],[UNIT]]&gt;0,_1_541284561214624104645789101745[[#This Row],[UNIT]]&lt;0),_1_541284561214624104645789101745[[#This Row],[UNIT]]*_1_541284561214624104645789101745[[#This Row],[COST]],0)</f>
        <v>0</v>
      </c>
      <c r="N108" s="194">
        <f t="shared" si="1"/>
        <v>1.5</v>
      </c>
      <c r="O108" s="198">
        <f>_1_541284561214624104645789101745[[#This Row],[TOTAL]]*_1_541284561214624104645789101745[[#This Row],[MARGIN]]</f>
        <v>0</v>
      </c>
      <c r="R108" s="41"/>
    </row>
    <row r="109" spans="1:18">
      <c r="A109" s="312"/>
      <c r="B109" s="321"/>
      <c r="C109" s="168"/>
      <c r="D109" s="188"/>
      <c r="F109" s="168" t="s">
        <v>6202</v>
      </c>
      <c r="G109" s="193">
        <f>IF(_1_541284561214624104645789101745[[#This Row],[Type]]&gt;0,VLOOKUP(_1_541284561214624104645789101745[[#This Row],[Type]],Main[[#All],[TYPE]:[UNIT]],'Unit Price'!C$1,FALSE),0)</f>
        <v>0</v>
      </c>
      <c r="H109" s="197">
        <f>IF(_1_541284561214624104645789101745[[#This Row],[Type]]&gt;0,VLOOKUP(_1_541284561214624104645789101745[[#This Row],[Type]],Main[[#All],[TYPE]:[UNIT]],'Unit Price'!D$1,FALSE),0)</f>
        <v>0</v>
      </c>
      <c r="I109" s="194">
        <f>IF(_1_541284561214624104645789101745[[#This Row],[Type]]&gt;0,VLOOKUP(_1_541284561214624104645789101745[[#This Row],[Type]],Main[[#All],[TYPE]:[UNIT]],'Unit Price'!G$1,FALSE),0)</f>
        <v>0</v>
      </c>
      <c r="J109" s="194">
        <f>IF(_1_541284561214624104645789101745[[#This Row],[Type]]&gt;0,VLOOKUP(_1_541284561214624104645789101745[[#This Row],[Type]],Main[[#All],[TYPE]:[UNIT]],'Unit Price'!H$1,FALSE),0)</f>
        <v>0</v>
      </c>
      <c r="K109" s="194">
        <f>IF(_1_541284561214624104645789101745[[#This Row],[Discount selection]]&gt;0,VLOOKUP(_1_541284561214624104645789101745[[#This Row],[Discount selection]],'Discount Structure'!$A$2:$B$30,2,"false"),0)</f>
        <v>1</v>
      </c>
      <c r="L109" s="194">
        <f>_1_541284561214624104645789101745[[#This Row],[LIST $]]*_1_541284561214624104645789101745[[#This Row],[DISCOUNT]]*_1_541284561214624104645789101745[[#This Row],[DISCOUNT 2]]</f>
        <v>0</v>
      </c>
      <c r="M109" s="194">
        <f>IF(OR(_1_541284561214624104645789101745[[#This Row],[UNIT]]&gt;0,_1_541284561214624104645789101745[[#This Row],[UNIT]]&lt;0),_1_541284561214624104645789101745[[#This Row],[UNIT]]*_1_541284561214624104645789101745[[#This Row],[COST]],0)</f>
        <v>0</v>
      </c>
      <c r="N109" s="194">
        <f t="shared" si="1"/>
        <v>1.5</v>
      </c>
      <c r="O109" s="198">
        <f>_1_541284561214624104645789101745[[#This Row],[TOTAL]]*_1_541284561214624104645789101745[[#This Row],[MARGIN]]</f>
        <v>0</v>
      </c>
      <c r="R109" s="41"/>
    </row>
    <row r="110" spans="1:18">
      <c r="B110" s="322"/>
      <c r="C110" s="168"/>
      <c r="D110" s="188"/>
      <c r="F110" s="168" t="s">
        <v>6202</v>
      </c>
      <c r="G110" s="193">
        <f>IF(_1_541284561214624104645789101745[[#This Row],[Type]]&gt;0,VLOOKUP(_1_541284561214624104645789101745[[#This Row],[Type]],Main[[#All],[TYPE]:[UNIT]],'Unit Price'!C$1,FALSE),0)</f>
        <v>0</v>
      </c>
      <c r="H110" s="197">
        <f>IF(_1_541284561214624104645789101745[[#This Row],[Type]]&gt;0,VLOOKUP(_1_541284561214624104645789101745[[#This Row],[Type]],Main[[#All],[TYPE]:[UNIT]],'Unit Price'!D$1,FALSE),0)</f>
        <v>0</v>
      </c>
      <c r="I110" s="194">
        <f>IF(_1_541284561214624104645789101745[[#This Row],[Type]]&gt;0,VLOOKUP(_1_541284561214624104645789101745[[#This Row],[Type]],Main[[#All],[TYPE]:[UNIT]],'Unit Price'!G$1,FALSE),0)</f>
        <v>0</v>
      </c>
      <c r="J110" s="194">
        <f>IF(_1_541284561214624104645789101745[[#This Row],[Type]]&gt;0,VLOOKUP(_1_541284561214624104645789101745[[#This Row],[Type]],Main[[#All],[TYPE]:[UNIT]],'Unit Price'!H$1,FALSE),0)</f>
        <v>0</v>
      </c>
      <c r="K110" s="194">
        <f>IF(_1_541284561214624104645789101745[[#This Row],[Discount selection]]&gt;0,VLOOKUP(_1_541284561214624104645789101745[[#This Row],[Discount selection]],'Discount Structure'!$A$2:$B$30,2,"false"),0)</f>
        <v>1</v>
      </c>
      <c r="L110" s="194">
        <f>_1_541284561214624104645789101745[[#This Row],[LIST $]]*_1_541284561214624104645789101745[[#This Row],[DISCOUNT]]*_1_541284561214624104645789101745[[#This Row],[DISCOUNT 2]]</f>
        <v>0</v>
      </c>
      <c r="M110" s="194">
        <f>IF(OR(_1_541284561214624104645789101745[[#This Row],[UNIT]]&gt;0,_1_541284561214624104645789101745[[#This Row],[UNIT]]&lt;0),_1_541284561214624104645789101745[[#This Row],[UNIT]]*_1_541284561214624104645789101745[[#This Row],[COST]],0)</f>
        <v>0</v>
      </c>
      <c r="N110" s="194">
        <f t="shared" si="1"/>
        <v>1.5</v>
      </c>
      <c r="O110" s="198">
        <f>_1_541284561214624104645789101745[[#This Row],[TOTAL]]*_1_541284561214624104645789101745[[#This Row],[MARGIN]]</f>
        <v>0</v>
      </c>
      <c r="R110" s="41"/>
    </row>
    <row r="111" spans="1:18">
      <c r="C111" s="168"/>
      <c r="D111" s="188"/>
      <c r="F111" s="168" t="s">
        <v>6202</v>
      </c>
      <c r="G111" s="193">
        <f>IF(_1_541284561214624104645789101745[[#This Row],[Type]]&gt;0,VLOOKUP(_1_541284561214624104645789101745[[#This Row],[Type]],Main[[#All],[TYPE]:[UNIT]],'Unit Price'!C$1,FALSE),0)</f>
        <v>0</v>
      </c>
      <c r="H111" s="197">
        <f>IF(_1_541284561214624104645789101745[[#This Row],[Type]]&gt;0,VLOOKUP(_1_541284561214624104645789101745[[#This Row],[Type]],Main[[#All],[TYPE]:[UNIT]],'Unit Price'!D$1,FALSE),0)</f>
        <v>0</v>
      </c>
      <c r="I111" s="194">
        <f>IF(_1_541284561214624104645789101745[[#This Row],[Type]]&gt;0,VLOOKUP(_1_541284561214624104645789101745[[#This Row],[Type]],Main[[#All],[TYPE]:[UNIT]],'Unit Price'!G$1,FALSE),0)</f>
        <v>0</v>
      </c>
      <c r="J111" s="194">
        <f>IF(_1_541284561214624104645789101745[[#This Row],[Type]]&gt;0,VLOOKUP(_1_541284561214624104645789101745[[#This Row],[Type]],Main[[#All],[TYPE]:[UNIT]],'Unit Price'!H$1,FALSE),0)</f>
        <v>0</v>
      </c>
      <c r="K111" s="194">
        <f>IF(_1_541284561214624104645789101745[[#This Row],[Discount selection]]&gt;0,VLOOKUP(_1_541284561214624104645789101745[[#This Row],[Discount selection]],'Discount Structure'!$A$2:$B$30,2,"false"),0)</f>
        <v>1</v>
      </c>
      <c r="L111" s="194">
        <f>_1_541284561214624104645789101745[[#This Row],[LIST $]]*_1_541284561214624104645789101745[[#This Row],[DISCOUNT]]*_1_541284561214624104645789101745[[#This Row],[DISCOUNT 2]]</f>
        <v>0</v>
      </c>
      <c r="M111" s="194">
        <f>IF(OR(_1_541284561214624104645789101745[[#This Row],[UNIT]]&gt;0,_1_541284561214624104645789101745[[#This Row],[UNIT]]&lt;0),_1_541284561214624104645789101745[[#This Row],[UNIT]]*_1_541284561214624104645789101745[[#This Row],[COST]],0)</f>
        <v>0</v>
      </c>
      <c r="N111" s="194">
        <f t="shared" si="1"/>
        <v>1.5</v>
      </c>
      <c r="O111" s="198">
        <f>_1_541284561214624104645789101745[[#This Row],[TOTAL]]*_1_541284561214624104645789101745[[#This Row],[MARGIN]]</f>
        <v>0</v>
      </c>
      <c r="R111" s="41"/>
    </row>
    <row r="112" spans="1:18">
      <c r="C112" s="168"/>
      <c r="D112" s="188"/>
      <c r="F112" s="168" t="s">
        <v>6202</v>
      </c>
      <c r="G112" s="193">
        <f>IF(_1_541284561214624104645789101745[[#This Row],[Type]]&gt;0,VLOOKUP(_1_541284561214624104645789101745[[#This Row],[Type]],Main[[#All],[TYPE]:[UNIT]],'Unit Price'!C$1,FALSE),0)</f>
        <v>0</v>
      </c>
      <c r="H112" s="197">
        <f>IF(_1_541284561214624104645789101745[[#This Row],[Type]]&gt;0,VLOOKUP(_1_541284561214624104645789101745[[#This Row],[Type]],Main[[#All],[TYPE]:[UNIT]],'Unit Price'!D$1,FALSE),0)</f>
        <v>0</v>
      </c>
      <c r="I112" s="194">
        <f>IF(_1_541284561214624104645789101745[[#This Row],[Type]]&gt;0,VLOOKUP(_1_541284561214624104645789101745[[#This Row],[Type]],Main[[#All],[TYPE]:[UNIT]],'Unit Price'!G$1,FALSE),0)</f>
        <v>0</v>
      </c>
      <c r="J112" s="194">
        <f>IF(_1_541284561214624104645789101745[[#This Row],[Type]]&gt;0,VLOOKUP(_1_541284561214624104645789101745[[#This Row],[Type]],Main[[#All],[TYPE]:[UNIT]],'Unit Price'!H$1,FALSE),0)</f>
        <v>0</v>
      </c>
      <c r="K112" s="194">
        <f>IF(_1_541284561214624104645789101745[[#This Row],[Discount selection]]&gt;0,VLOOKUP(_1_541284561214624104645789101745[[#This Row],[Discount selection]],'Discount Structure'!$A$2:$B$30,2,"false"),0)</f>
        <v>1</v>
      </c>
      <c r="L112" s="194">
        <f>_1_541284561214624104645789101745[[#This Row],[LIST $]]*_1_541284561214624104645789101745[[#This Row],[DISCOUNT]]*_1_541284561214624104645789101745[[#This Row],[DISCOUNT 2]]</f>
        <v>0</v>
      </c>
      <c r="M112" s="194">
        <f>IF(OR(_1_541284561214624104645789101745[[#This Row],[UNIT]]&gt;0,_1_541284561214624104645789101745[[#This Row],[UNIT]]&lt;0),_1_541284561214624104645789101745[[#This Row],[UNIT]]*_1_541284561214624104645789101745[[#This Row],[COST]],0)</f>
        <v>0</v>
      </c>
      <c r="N112" s="194">
        <f t="shared" si="1"/>
        <v>1.5</v>
      </c>
      <c r="O112" s="198">
        <f>_1_541284561214624104645789101745[[#This Row],[TOTAL]]*_1_541284561214624104645789101745[[#This Row],[MARGIN]]</f>
        <v>0</v>
      </c>
      <c r="R112" s="41"/>
    </row>
    <row r="113" spans="1:18">
      <c r="A113" s="168"/>
      <c r="C113" s="168"/>
      <c r="D113" s="188"/>
      <c r="F113" s="168" t="s">
        <v>6202</v>
      </c>
      <c r="G113" s="193">
        <f>IF(_1_541284561214624104645789101745[[#This Row],[Type]]&gt;0,VLOOKUP(_1_541284561214624104645789101745[[#This Row],[Type]],Main[[#All],[TYPE]:[UNIT]],'Unit Price'!C$1,FALSE),0)</f>
        <v>0</v>
      </c>
      <c r="H113" s="197">
        <f>IF(_1_541284561214624104645789101745[[#This Row],[Type]]&gt;0,VLOOKUP(_1_541284561214624104645789101745[[#This Row],[Type]],Main[[#All],[TYPE]:[UNIT]],'Unit Price'!D$1,FALSE),0)</f>
        <v>0</v>
      </c>
      <c r="I113" s="194">
        <f>IF(_1_541284561214624104645789101745[[#This Row],[Type]]&gt;0,VLOOKUP(_1_541284561214624104645789101745[[#This Row],[Type]],Main[[#All],[TYPE]:[UNIT]],'Unit Price'!G$1,FALSE),0)</f>
        <v>0</v>
      </c>
      <c r="J113" s="194">
        <f>IF(_1_541284561214624104645789101745[[#This Row],[Type]]&gt;0,VLOOKUP(_1_541284561214624104645789101745[[#This Row],[Type]],Main[[#All],[TYPE]:[UNIT]],'Unit Price'!H$1,FALSE),0)</f>
        <v>0</v>
      </c>
      <c r="K113" s="194">
        <f>IF(_1_541284561214624104645789101745[[#This Row],[Discount selection]]&gt;0,VLOOKUP(_1_541284561214624104645789101745[[#This Row],[Discount selection]],'Discount Structure'!$A$2:$B$30,2,"false"),0)</f>
        <v>1</v>
      </c>
      <c r="L113" s="194">
        <f>_1_541284561214624104645789101745[[#This Row],[LIST $]]*_1_541284561214624104645789101745[[#This Row],[DISCOUNT]]*_1_541284561214624104645789101745[[#This Row],[DISCOUNT 2]]</f>
        <v>0</v>
      </c>
      <c r="M113" s="194">
        <f>IF(OR(_1_541284561214624104645789101745[[#This Row],[UNIT]]&gt;0,_1_541284561214624104645789101745[[#This Row],[UNIT]]&lt;0),_1_541284561214624104645789101745[[#This Row],[UNIT]]*_1_541284561214624104645789101745[[#This Row],[COST]],0)</f>
        <v>0</v>
      </c>
      <c r="N113" s="194">
        <f t="shared" si="1"/>
        <v>1.5</v>
      </c>
      <c r="O113" s="198">
        <f>_1_541284561214624104645789101745[[#This Row],[TOTAL]]*_1_541284561214624104645789101745[[#This Row],[MARGIN]]</f>
        <v>0</v>
      </c>
      <c r="R113" s="41"/>
    </row>
    <row r="114" spans="1:18">
      <c r="C114" s="168"/>
      <c r="D114" s="188"/>
      <c r="F114" s="168" t="s">
        <v>6202</v>
      </c>
      <c r="G114" s="193">
        <f>IF(_1_541284561214624104645789101745[[#This Row],[Type]]&gt;0,VLOOKUP(_1_541284561214624104645789101745[[#This Row],[Type]],Main[[#All],[TYPE]:[UNIT]],'Unit Price'!C$1,FALSE),0)</f>
        <v>0</v>
      </c>
      <c r="H114" s="197">
        <f>IF(_1_541284561214624104645789101745[[#This Row],[Type]]&gt;0,VLOOKUP(_1_541284561214624104645789101745[[#This Row],[Type]],Main[[#All],[TYPE]:[UNIT]],'Unit Price'!D$1,FALSE),0)</f>
        <v>0</v>
      </c>
      <c r="I114" s="194">
        <f>IF(_1_541284561214624104645789101745[[#This Row],[Type]]&gt;0,VLOOKUP(_1_541284561214624104645789101745[[#This Row],[Type]],Main[[#All],[TYPE]:[UNIT]],'Unit Price'!G$1,FALSE),0)</f>
        <v>0</v>
      </c>
      <c r="J114" s="194">
        <f>IF(_1_541284561214624104645789101745[[#This Row],[Type]]&gt;0,VLOOKUP(_1_541284561214624104645789101745[[#This Row],[Type]],Main[[#All],[TYPE]:[UNIT]],'Unit Price'!H$1,FALSE),0)</f>
        <v>0</v>
      </c>
      <c r="K114" s="194">
        <f>IF(_1_541284561214624104645789101745[[#This Row],[Discount selection]]&gt;0,VLOOKUP(_1_541284561214624104645789101745[[#This Row],[Discount selection]],'Discount Structure'!$A$2:$B$30,2,"false"),0)</f>
        <v>1</v>
      </c>
      <c r="L114" s="194">
        <f>_1_541284561214624104645789101745[[#This Row],[LIST $]]*_1_541284561214624104645789101745[[#This Row],[DISCOUNT]]*_1_541284561214624104645789101745[[#This Row],[DISCOUNT 2]]</f>
        <v>0</v>
      </c>
      <c r="M114" s="194">
        <f>IF(OR(_1_541284561214624104645789101745[[#This Row],[UNIT]]&gt;0,_1_541284561214624104645789101745[[#This Row],[UNIT]]&lt;0),_1_541284561214624104645789101745[[#This Row],[UNIT]]*_1_541284561214624104645789101745[[#This Row],[COST]],0)</f>
        <v>0</v>
      </c>
      <c r="N114" s="194">
        <f t="shared" si="1"/>
        <v>1.5</v>
      </c>
      <c r="O114" s="198">
        <f>_1_541284561214624104645789101745[[#This Row],[TOTAL]]*_1_541284561214624104645789101745[[#This Row],[MARGIN]]</f>
        <v>0</v>
      </c>
      <c r="R114" s="41"/>
    </row>
    <row r="115" spans="1:18">
      <c r="C115" s="168"/>
      <c r="D115" s="188"/>
      <c r="F115" s="168" t="s">
        <v>6202</v>
      </c>
      <c r="G115" s="193">
        <f>IF(_1_541284561214624104645789101745[[#This Row],[Type]]&gt;0,VLOOKUP(_1_541284561214624104645789101745[[#This Row],[Type]],Main[[#All],[TYPE]:[UNIT]],'Unit Price'!C$1,FALSE),0)</f>
        <v>0</v>
      </c>
      <c r="H115" s="197">
        <f>IF(_1_541284561214624104645789101745[[#This Row],[Type]]&gt;0,VLOOKUP(_1_541284561214624104645789101745[[#This Row],[Type]],Main[[#All],[TYPE]:[UNIT]],'Unit Price'!D$1,FALSE),0)</f>
        <v>0</v>
      </c>
      <c r="I115" s="194">
        <f>IF(_1_541284561214624104645789101745[[#This Row],[Type]]&gt;0,VLOOKUP(_1_541284561214624104645789101745[[#This Row],[Type]],Main[[#All],[TYPE]:[UNIT]],'Unit Price'!G$1,FALSE),0)</f>
        <v>0</v>
      </c>
      <c r="J115" s="194">
        <f>IF(_1_541284561214624104645789101745[[#This Row],[Type]]&gt;0,VLOOKUP(_1_541284561214624104645789101745[[#This Row],[Type]],Main[[#All],[TYPE]:[UNIT]],'Unit Price'!H$1,FALSE),0)</f>
        <v>0</v>
      </c>
      <c r="K115" s="194">
        <f>IF(_1_541284561214624104645789101745[[#This Row],[Discount selection]]&gt;0,VLOOKUP(_1_541284561214624104645789101745[[#This Row],[Discount selection]],'Discount Structure'!$A$2:$B$30,2,"false"),0)</f>
        <v>1</v>
      </c>
      <c r="L115" s="194">
        <f>_1_541284561214624104645789101745[[#This Row],[LIST $]]*_1_541284561214624104645789101745[[#This Row],[DISCOUNT]]*_1_541284561214624104645789101745[[#This Row],[DISCOUNT 2]]</f>
        <v>0</v>
      </c>
      <c r="M115" s="194">
        <f>IF(OR(_1_541284561214624104645789101745[[#This Row],[UNIT]]&gt;0,_1_541284561214624104645789101745[[#This Row],[UNIT]]&lt;0),_1_541284561214624104645789101745[[#This Row],[UNIT]]*_1_541284561214624104645789101745[[#This Row],[COST]],0)</f>
        <v>0</v>
      </c>
      <c r="N115" s="194">
        <f t="shared" si="1"/>
        <v>1.5</v>
      </c>
      <c r="O115" s="198">
        <f>_1_541284561214624104645789101745[[#This Row],[TOTAL]]*_1_541284561214624104645789101745[[#This Row],[MARGIN]]</f>
        <v>0</v>
      </c>
      <c r="R115" s="41"/>
    </row>
    <row r="116" spans="1:18">
      <c r="A116" s="339"/>
      <c r="C116" s="168"/>
      <c r="D116" s="188"/>
      <c r="F116" s="168" t="s">
        <v>6202</v>
      </c>
      <c r="G116" s="193">
        <f>IF(_1_541284561214624104645789101745[[#This Row],[Type]]&gt;0,VLOOKUP(_1_541284561214624104645789101745[[#This Row],[Type]],Main[[#All],[TYPE]:[UNIT]],'Unit Price'!C$1,FALSE),0)</f>
        <v>0</v>
      </c>
      <c r="H116" s="197">
        <f>IF(_1_541284561214624104645789101745[[#This Row],[Type]]&gt;0,VLOOKUP(_1_541284561214624104645789101745[[#This Row],[Type]],Main[[#All],[TYPE]:[UNIT]],'Unit Price'!D$1,FALSE),0)</f>
        <v>0</v>
      </c>
      <c r="I116" s="194">
        <f>IF(_1_541284561214624104645789101745[[#This Row],[Type]]&gt;0,VLOOKUP(_1_541284561214624104645789101745[[#This Row],[Type]],Main[[#All],[TYPE]:[UNIT]],'Unit Price'!G$1,FALSE),0)</f>
        <v>0</v>
      </c>
      <c r="J116" s="194">
        <f>IF(_1_541284561214624104645789101745[[#This Row],[Type]]&gt;0,VLOOKUP(_1_541284561214624104645789101745[[#This Row],[Type]],Main[[#All],[TYPE]:[UNIT]],'Unit Price'!H$1,FALSE),0)</f>
        <v>0</v>
      </c>
      <c r="K116" s="194">
        <f>IF(_1_541284561214624104645789101745[[#This Row],[Discount selection]]&gt;0,VLOOKUP(_1_541284561214624104645789101745[[#This Row],[Discount selection]],'Discount Structure'!$A$2:$B$30,2,"false"),0)</f>
        <v>1</v>
      </c>
      <c r="L116" s="194">
        <f>_1_541284561214624104645789101745[[#This Row],[LIST $]]*_1_541284561214624104645789101745[[#This Row],[DISCOUNT]]*_1_541284561214624104645789101745[[#This Row],[DISCOUNT 2]]</f>
        <v>0</v>
      </c>
      <c r="M116" s="194">
        <f>IF(OR(_1_541284561214624104645789101745[[#This Row],[UNIT]]&gt;0,_1_541284561214624104645789101745[[#This Row],[UNIT]]&lt;0),_1_541284561214624104645789101745[[#This Row],[UNIT]]*_1_541284561214624104645789101745[[#This Row],[COST]],0)</f>
        <v>0</v>
      </c>
      <c r="N116" s="194">
        <f t="shared" si="1"/>
        <v>1.5</v>
      </c>
      <c r="O116" s="198">
        <f>_1_541284561214624104645789101745[[#This Row],[TOTAL]]*_1_541284561214624104645789101745[[#This Row],[MARGIN]]</f>
        <v>0</v>
      </c>
      <c r="R116" s="41"/>
    </row>
    <row r="117" spans="1:18">
      <c r="C117" s="168"/>
      <c r="D117" s="188"/>
      <c r="F117" s="168" t="s">
        <v>6202</v>
      </c>
      <c r="G117" s="193">
        <f>IF(_1_541284561214624104645789101745[[#This Row],[Type]]&gt;0,VLOOKUP(_1_541284561214624104645789101745[[#This Row],[Type]],Main[[#All],[TYPE]:[UNIT]],'Unit Price'!C$1,FALSE),0)</f>
        <v>0</v>
      </c>
      <c r="H117" s="197">
        <f>IF(_1_541284561214624104645789101745[[#This Row],[Type]]&gt;0,VLOOKUP(_1_541284561214624104645789101745[[#This Row],[Type]],Main[[#All],[TYPE]:[UNIT]],'Unit Price'!D$1,FALSE),0)</f>
        <v>0</v>
      </c>
      <c r="I117" s="194">
        <f>IF(_1_541284561214624104645789101745[[#This Row],[Type]]&gt;0,VLOOKUP(_1_541284561214624104645789101745[[#This Row],[Type]],Main[[#All],[TYPE]:[UNIT]],'Unit Price'!G$1,FALSE),0)</f>
        <v>0</v>
      </c>
      <c r="J117" s="194">
        <f>IF(_1_541284561214624104645789101745[[#This Row],[Type]]&gt;0,VLOOKUP(_1_541284561214624104645789101745[[#This Row],[Type]],Main[[#All],[TYPE]:[UNIT]],'Unit Price'!H$1,FALSE),0)</f>
        <v>0</v>
      </c>
      <c r="K117" s="194">
        <f>IF(_1_541284561214624104645789101745[[#This Row],[Discount selection]]&gt;0,VLOOKUP(_1_541284561214624104645789101745[[#This Row],[Discount selection]],'Discount Structure'!$A$2:$B$30,2,"false"),0)</f>
        <v>1</v>
      </c>
      <c r="L117" s="194">
        <f>_1_541284561214624104645789101745[[#This Row],[LIST $]]*_1_541284561214624104645789101745[[#This Row],[DISCOUNT]]*_1_541284561214624104645789101745[[#This Row],[DISCOUNT 2]]</f>
        <v>0</v>
      </c>
      <c r="M117" s="194">
        <f>IF(OR(_1_541284561214624104645789101745[[#This Row],[UNIT]]&gt;0,_1_541284561214624104645789101745[[#This Row],[UNIT]]&lt;0),_1_541284561214624104645789101745[[#This Row],[UNIT]]*_1_541284561214624104645789101745[[#This Row],[COST]],0)</f>
        <v>0</v>
      </c>
      <c r="N117" s="194">
        <f t="shared" si="1"/>
        <v>1.5</v>
      </c>
      <c r="O117" s="198">
        <f>_1_541284561214624104645789101745[[#This Row],[TOTAL]]*_1_541284561214624104645789101745[[#This Row],[MARGIN]]</f>
        <v>0</v>
      </c>
      <c r="R117" s="41"/>
    </row>
    <row r="118" spans="1:18">
      <c r="A118" s="329"/>
      <c r="C118" s="168"/>
      <c r="D118" s="188"/>
      <c r="F118" s="168" t="s">
        <v>6202</v>
      </c>
      <c r="G118" s="193">
        <f>IF(_1_541284561214624104645789101745[[#This Row],[Type]]&gt;0,VLOOKUP(_1_541284561214624104645789101745[[#This Row],[Type]],Main[[#All],[TYPE]:[UNIT]],'Unit Price'!C$1,FALSE),0)</f>
        <v>0</v>
      </c>
      <c r="H118" s="197">
        <f>IF(_1_541284561214624104645789101745[[#This Row],[Type]]&gt;0,VLOOKUP(_1_541284561214624104645789101745[[#This Row],[Type]],Main[[#All],[TYPE]:[UNIT]],'Unit Price'!D$1,FALSE),0)</f>
        <v>0</v>
      </c>
      <c r="I118" s="194">
        <f>IF(_1_541284561214624104645789101745[[#This Row],[Type]]&gt;0,VLOOKUP(_1_541284561214624104645789101745[[#This Row],[Type]],Main[[#All],[TYPE]:[UNIT]],'Unit Price'!G$1,FALSE),0)</f>
        <v>0</v>
      </c>
      <c r="J118" s="194">
        <f>IF(_1_541284561214624104645789101745[[#This Row],[Type]]&gt;0,VLOOKUP(_1_541284561214624104645789101745[[#This Row],[Type]],Main[[#All],[TYPE]:[UNIT]],'Unit Price'!H$1,FALSE),0)</f>
        <v>0</v>
      </c>
      <c r="K118" s="194">
        <f>IF(_1_541284561214624104645789101745[[#This Row],[Discount selection]]&gt;0,VLOOKUP(_1_541284561214624104645789101745[[#This Row],[Discount selection]],'Discount Structure'!$A$2:$B$30,2,"false"),0)</f>
        <v>1</v>
      </c>
      <c r="L118" s="194">
        <f>_1_541284561214624104645789101745[[#This Row],[LIST $]]*_1_541284561214624104645789101745[[#This Row],[DISCOUNT]]*_1_541284561214624104645789101745[[#This Row],[DISCOUNT 2]]</f>
        <v>0</v>
      </c>
      <c r="M118" s="194">
        <f>IF(OR(_1_541284561214624104645789101745[[#This Row],[UNIT]]&gt;0,_1_541284561214624104645789101745[[#This Row],[UNIT]]&lt;0),_1_541284561214624104645789101745[[#This Row],[UNIT]]*_1_541284561214624104645789101745[[#This Row],[COST]],0)</f>
        <v>0</v>
      </c>
      <c r="N118" s="194">
        <f t="shared" si="1"/>
        <v>1.5</v>
      </c>
      <c r="O118" s="198">
        <f>_1_541284561214624104645789101745[[#This Row],[TOTAL]]*_1_541284561214624104645789101745[[#This Row],[MARGIN]]</f>
        <v>0</v>
      </c>
      <c r="R118" s="41"/>
    </row>
    <row r="119" spans="1:18">
      <c r="B119" s="329"/>
      <c r="C119" s="168"/>
      <c r="D119" s="188"/>
      <c r="F119" s="168" t="s">
        <v>6202</v>
      </c>
      <c r="G119" s="193">
        <f>IF(_1_541284561214624104645789101745[[#This Row],[Type]]&gt;0,VLOOKUP(_1_541284561214624104645789101745[[#This Row],[Type]],Main[[#All],[TYPE]:[UNIT]],'Unit Price'!C$1,FALSE),0)</f>
        <v>0</v>
      </c>
      <c r="H119" s="197">
        <f>IF(_1_541284561214624104645789101745[[#This Row],[Type]]&gt;0,VLOOKUP(_1_541284561214624104645789101745[[#This Row],[Type]],Main[[#All],[TYPE]:[UNIT]],'Unit Price'!D$1,FALSE),0)</f>
        <v>0</v>
      </c>
      <c r="I119" s="194">
        <f>IF(_1_541284561214624104645789101745[[#This Row],[Type]]&gt;0,VLOOKUP(_1_541284561214624104645789101745[[#This Row],[Type]],Main[[#All],[TYPE]:[UNIT]],'Unit Price'!G$1,FALSE),0)</f>
        <v>0</v>
      </c>
      <c r="J119" s="194">
        <f>IF(_1_541284561214624104645789101745[[#This Row],[Type]]&gt;0,VLOOKUP(_1_541284561214624104645789101745[[#This Row],[Type]],Main[[#All],[TYPE]:[UNIT]],'Unit Price'!H$1,FALSE),0)</f>
        <v>0</v>
      </c>
      <c r="K119" s="194">
        <f>IF(_1_541284561214624104645789101745[[#This Row],[Discount selection]]&gt;0,VLOOKUP(_1_541284561214624104645789101745[[#This Row],[Discount selection]],'Discount Structure'!$A$2:$B$30,2,"false"),0)</f>
        <v>1</v>
      </c>
      <c r="L119" s="194">
        <f>_1_541284561214624104645789101745[[#This Row],[LIST $]]*_1_541284561214624104645789101745[[#This Row],[DISCOUNT]]*_1_541284561214624104645789101745[[#This Row],[DISCOUNT 2]]</f>
        <v>0</v>
      </c>
      <c r="M119" s="194">
        <f>IF(OR(_1_541284561214624104645789101745[[#This Row],[UNIT]]&gt;0,_1_541284561214624104645789101745[[#This Row],[UNIT]]&lt;0),_1_541284561214624104645789101745[[#This Row],[UNIT]]*_1_541284561214624104645789101745[[#This Row],[COST]],0)</f>
        <v>0</v>
      </c>
      <c r="N119" s="194">
        <f t="shared" si="1"/>
        <v>1.5</v>
      </c>
      <c r="O119" s="198">
        <f>_1_541284561214624104645789101745[[#This Row],[TOTAL]]*_1_541284561214624104645789101745[[#This Row],[MARGIN]]</f>
        <v>0</v>
      </c>
      <c r="R119" s="41"/>
    </row>
    <row r="120" spans="1:18">
      <c r="C120" s="168"/>
      <c r="D120" s="188"/>
      <c r="F120" s="168" t="s">
        <v>6202</v>
      </c>
      <c r="G120" s="193">
        <f>IF(_1_541284561214624104645789101745[[#This Row],[Type]]&gt;0,VLOOKUP(_1_541284561214624104645789101745[[#This Row],[Type]],Main[[#All],[TYPE]:[UNIT]],'Unit Price'!C$1,FALSE),0)</f>
        <v>0</v>
      </c>
      <c r="H120" s="197">
        <f>IF(_1_541284561214624104645789101745[[#This Row],[Type]]&gt;0,VLOOKUP(_1_541284561214624104645789101745[[#This Row],[Type]],Main[[#All],[TYPE]:[UNIT]],'Unit Price'!D$1,FALSE),0)</f>
        <v>0</v>
      </c>
      <c r="I120" s="194">
        <f>IF(_1_541284561214624104645789101745[[#This Row],[Type]]&gt;0,VLOOKUP(_1_541284561214624104645789101745[[#This Row],[Type]],Main[[#All],[TYPE]:[UNIT]],'Unit Price'!G$1,FALSE),0)</f>
        <v>0</v>
      </c>
      <c r="J120" s="194">
        <f>IF(_1_541284561214624104645789101745[[#This Row],[Type]]&gt;0,VLOOKUP(_1_541284561214624104645789101745[[#This Row],[Type]],Main[[#All],[TYPE]:[UNIT]],'Unit Price'!H$1,FALSE),0)</f>
        <v>0</v>
      </c>
      <c r="K120" s="194">
        <f>IF(_1_541284561214624104645789101745[[#This Row],[Discount selection]]&gt;0,VLOOKUP(_1_541284561214624104645789101745[[#This Row],[Discount selection]],'Discount Structure'!$A$2:$B$30,2,"false"),0)</f>
        <v>1</v>
      </c>
      <c r="L120" s="194">
        <f>_1_541284561214624104645789101745[[#This Row],[LIST $]]*_1_541284561214624104645789101745[[#This Row],[DISCOUNT]]*_1_541284561214624104645789101745[[#This Row],[DISCOUNT 2]]</f>
        <v>0</v>
      </c>
      <c r="M120" s="194">
        <f>IF(OR(_1_541284561214624104645789101745[[#This Row],[UNIT]]&gt;0,_1_541284561214624104645789101745[[#This Row],[UNIT]]&lt;0),_1_541284561214624104645789101745[[#This Row],[UNIT]]*_1_541284561214624104645789101745[[#This Row],[COST]],0)</f>
        <v>0</v>
      </c>
      <c r="N120" s="194">
        <f t="shared" si="1"/>
        <v>1.5</v>
      </c>
      <c r="O120" s="198">
        <f>_1_541284561214624104645789101745[[#This Row],[TOTAL]]*_1_541284561214624104645789101745[[#This Row],[MARGIN]]</f>
        <v>0</v>
      </c>
      <c r="R120" s="41"/>
    </row>
    <row r="121" spans="1:18">
      <c r="C121" s="168"/>
      <c r="D121" s="188"/>
      <c r="F121" s="168" t="s">
        <v>6202</v>
      </c>
      <c r="G121" s="193">
        <f>IF(_1_541284561214624104645789101745[[#This Row],[Type]]&gt;0,VLOOKUP(_1_541284561214624104645789101745[[#This Row],[Type]],Main[[#All],[TYPE]:[UNIT]],'Unit Price'!C$1,FALSE),0)</f>
        <v>0</v>
      </c>
      <c r="H121" s="197">
        <f>IF(_1_541284561214624104645789101745[[#This Row],[Type]]&gt;0,VLOOKUP(_1_541284561214624104645789101745[[#This Row],[Type]],Main[[#All],[TYPE]:[UNIT]],'Unit Price'!D$1,FALSE),0)</f>
        <v>0</v>
      </c>
      <c r="I121" s="194">
        <f>IF(_1_541284561214624104645789101745[[#This Row],[Type]]&gt;0,VLOOKUP(_1_541284561214624104645789101745[[#This Row],[Type]],Main[[#All],[TYPE]:[UNIT]],'Unit Price'!G$1,FALSE),0)</f>
        <v>0</v>
      </c>
      <c r="J121" s="194">
        <f>IF(_1_541284561214624104645789101745[[#This Row],[Type]]&gt;0,VLOOKUP(_1_541284561214624104645789101745[[#This Row],[Type]],Main[[#All],[TYPE]:[UNIT]],'Unit Price'!H$1,FALSE),0)</f>
        <v>0</v>
      </c>
      <c r="K121" s="194">
        <f>IF(_1_541284561214624104645789101745[[#This Row],[Discount selection]]&gt;0,VLOOKUP(_1_541284561214624104645789101745[[#This Row],[Discount selection]],'Discount Structure'!$A$2:$B$30,2,"false"),0)</f>
        <v>1</v>
      </c>
      <c r="L121" s="194">
        <f>_1_541284561214624104645789101745[[#This Row],[LIST $]]*_1_541284561214624104645789101745[[#This Row],[DISCOUNT]]*_1_541284561214624104645789101745[[#This Row],[DISCOUNT 2]]</f>
        <v>0</v>
      </c>
      <c r="M121" s="194">
        <f>IF(OR(_1_541284561214624104645789101745[[#This Row],[UNIT]]&gt;0,_1_541284561214624104645789101745[[#This Row],[UNIT]]&lt;0),_1_541284561214624104645789101745[[#This Row],[UNIT]]*_1_541284561214624104645789101745[[#This Row],[COST]],0)</f>
        <v>0</v>
      </c>
      <c r="N121" s="194">
        <f t="shared" si="1"/>
        <v>1.5</v>
      </c>
      <c r="O121" s="198">
        <f>_1_541284561214624104645789101745[[#This Row],[TOTAL]]*_1_541284561214624104645789101745[[#This Row],[MARGIN]]</f>
        <v>0</v>
      </c>
      <c r="R121" s="41"/>
    </row>
    <row r="122" spans="1:18">
      <c r="C122" s="168"/>
      <c r="D122" s="188"/>
      <c r="F122" s="168" t="s">
        <v>6202</v>
      </c>
      <c r="G122" s="193">
        <f>IF(_1_541284561214624104645789101745[[#This Row],[Type]]&gt;0,VLOOKUP(_1_541284561214624104645789101745[[#This Row],[Type]],Main[[#All],[TYPE]:[UNIT]],'Unit Price'!C$1,FALSE),0)</f>
        <v>0</v>
      </c>
      <c r="H122" s="197">
        <f>IF(_1_541284561214624104645789101745[[#This Row],[Type]]&gt;0,VLOOKUP(_1_541284561214624104645789101745[[#This Row],[Type]],Main[[#All],[TYPE]:[UNIT]],'Unit Price'!D$1,FALSE),0)</f>
        <v>0</v>
      </c>
      <c r="I122" s="194">
        <f>IF(_1_541284561214624104645789101745[[#This Row],[Type]]&gt;0,VLOOKUP(_1_541284561214624104645789101745[[#This Row],[Type]],Main[[#All],[TYPE]:[UNIT]],'Unit Price'!G$1,FALSE),0)</f>
        <v>0</v>
      </c>
      <c r="J122" s="194">
        <f>IF(_1_541284561214624104645789101745[[#This Row],[Type]]&gt;0,VLOOKUP(_1_541284561214624104645789101745[[#This Row],[Type]],Main[[#All],[TYPE]:[UNIT]],'Unit Price'!H$1,FALSE),0)</f>
        <v>0</v>
      </c>
      <c r="K122" s="194">
        <f>IF(_1_541284561214624104645789101745[[#This Row],[Discount selection]]&gt;0,VLOOKUP(_1_541284561214624104645789101745[[#This Row],[Discount selection]],'Discount Structure'!$A$2:$B$30,2,"false"),0)</f>
        <v>1</v>
      </c>
      <c r="L122" s="194">
        <f>_1_541284561214624104645789101745[[#This Row],[LIST $]]*_1_541284561214624104645789101745[[#This Row],[DISCOUNT]]*_1_541284561214624104645789101745[[#This Row],[DISCOUNT 2]]</f>
        <v>0</v>
      </c>
      <c r="M122" s="194">
        <f>IF(OR(_1_541284561214624104645789101745[[#This Row],[UNIT]]&gt;0,_1_541284561214624104645789101745[[#This Row],[UNIT]]&lt;0),_1_541284561214624104645789101745[[#This Row],[UNIT]]*_1_541284561214624104645789101745[[#This Row],[COST]],0)</f>
        <v>0</v>
      </c>
      <c r="N122" s="194">
        <f t="shared" si="1"/>
        <v>1.5</v>
      </c>
      <c r="O122" s="198">
        <f>_1_541284561214624104645789101745[[#This Row],[TOTAL]]*_1_541284561214624104645789101745[[#This Row],[MARGIN]]</f>
        <v>0</v>
      </c>
      <c r="R122" s="41"/>
    </row>
    <row r="123" spans="1:18">
      <c r="C123" s="168"/>
      <c r="D123" s="188"/>
      <c r="F123" s="168" t="s">
        <v>6202</v>
      </c>
      <c r="G123" s="193">
        <f>IF(_1_541284561214624104645789101745[[#This Row],[Type]]&gt;0,VLOOKUP(_1_541284561214624104645789101745[[#This Row],[Type]],Main[[#All],[TYPE]:[UNIT]],'Unit Price'!C$1,FALSE),0)</f>
        <v>0</v>
      </c>
      <c r="H123" s="197">
        <f>IF(_1_541284561214624104645789101745[[#This Row],[Type]]&gt;0,VLOOKUP(_1_541284561214624104645789101745[[#This Row],[Type]],Main[[#All],[TYPE]:[UNIT]],'Unit Price'!D$1,FALSE),0)</f>
        <v>0</v>
      </c>
      <c r="I123" s="194">
        <f>IF(_1_541284561214624104645789101745[[#This Row],[Type]]&gt;0,VLOOKUP(_1_541284561214624104645789101745[[#This Row],[Type]],Main[[#All],[TYPE]:[UNIT]],'Unit Price'!G$1,FALSE),0)</f>
        <v>0</v>
      </c>
      <c r="J123" s="194">
        <f>IF(_1_541284561214624104645789101745[[#This Row],[Type]]&gt;0,VLOOKUP(_1_541284561214624104645789101745[[#This Row],[Type]],Main[[#All],[TYPE]:[UNIT]],'Unit Price'!H$1,FALSE),0)</f>
        <v>0</v>
      </c>
      <c r="K123" s="194">
        <f>IF(_1_541284561214624104645789101745[[#This Row],[Discount selection]]&gt;0,VLOOKUP(_1_541284561214624104645789101745[[#This Row],[Discount selection]],'Discount Structure'!$A$2:$B$30,2,"false"),0)</f>
        <v>1</v>
      </c>
      <c r="L123" s="194">
        <f>_1_541284561214624104645789101745[[#This Row],[LIST $]]*_1_541284561214624104645789101745[[#This Row],[DISCOUNT]]*_1_541284561214624104645789101745[[#This Row],[DISCOUNT 2]]</f>
        <v>0</v>
      </c>
      <c r="M123" s="194">
        <f>IF(OR(_1_541284561214624104645789101745[[#This Row],[UNIT]]&gt;0,_1_541284561214624104645789101745[[#This Row],[UNIT]]&lt;0),_1_541284561214624104645789101745[[#This Row],[UNIT]]*_1_541284561214624104645789101745[[#This Row],[COST]],0)</f>
        <v>0</v>
      </c>
      <c r="N123" s="194">
        <f t="shared" si="1"/>
        <v>1.5</v>
      </c>
      <c r="O123" s="198">
        <f>_1_541284561214624104645789101745[[#This Row],[TOTAL]]*_1_541284561214624104645789101745[[#This Row],[MARGIN]]</f>
        <v>0</v>
      </c>
      <c r="R123" s="41"/>
    </row>
    <row r="124" spans="1:18">
      <c r="C124" s="168"/>
      <c r="D124" s="188"/>
      <c r="F124" s="168" t="s">
        <v>6202</v>
      </c>
      <c r="G124" s="193">
        <f>IF(_1_541284561214624104645789101745[[#This Row],[Type]]&gt;0,VLOOKUP(_1_541284561214624104645789101745[[#This Row],[Type]],Main[[#All],[TYPE]:[UNIT]],'Unit Price'!C$1,FALSE),0)</f>
        <v>0</v>
      </c>
      <c r="H124" s="197">
        <f>IF(_1_541284561214624104645789101745[[#This Row],[Type]]&gt;0,VLOOKUP(_1_541284561214624104645789101745[[#This Row],[Type]],Main[[#All],[TYPE]:[UNIT]],'Unit Price'!D$1,FALSE),0)</f>
        <v>0</v>
      </c>
      <c r="I124" s="194">
        <f>IF(_1_541284561214624104645789101745[[#This Row],[Type]]&gt;0,VLOOKUP(_1_541284561214624104645789101745[[#This Row],[Type]],Main[[#All],[TYPE]:[UNIT]],'Unit Price'!G$1,FALSE),0)</f>
        <v>0</v>
      </c>
      <c r="J124" s="194">
        <f>IF(_1_541284561214624104645789101745[[#This Row],[Type]]&gt;0,VLOOKUP(_1_541284561214624104645789101745[[#This Row],[Type]],Main[[#All],[TYPE]:[UNIT]],'Unit Price'!H$1,FALSE),0)</f>
        <v>0</v>
      </c>
      <c r="K124" s="194">
        <f>IF(_1_541284561214624104645789101745[[#This Row],[Discount selection]]&gt;0,VLOOKUP(_1_541284561214624104645789101745[[#This Row],[Discount selection]],'Discount Structure'!$A$2:$B$30,2,"false"),0)</f>
        <v>1</v>
      </c>
      <c r="L124" s="194">
        <f>_1_541284561214624104645789101745[[#This Row],[LIST $]]*_1_541284561214624104645789101745[[#This Row],[DISCOUNT]]*_1_541284561214624104645789101745[[#This Row],[DISCOUNT 2]]</f>
        <v>0</v>
      </c>
      <c r="M124" s="194">
        <f>IF(OR(_1_541284561214624104645789101745[[#This Row],[UNIT]]&gt;0,_1_541284561214624104645789101745[[#This Row],[UNIT]]&lt;0),_1_541284561214624104645789101745[[#This Row],[UNIT]]*_1_541284561214624104645789101745[[#This Row],[COST]],0)</f>
        <v>0</v>
      </c>
      <c r="N124" s="194">
        <f t="shared" si="1"/>
        <v>1.5</v>
      </c>
      <c r="O124" s="198">
        <f>_1_541284561214624104645789101745[[#This Row],[TOTAL]]*_1_541284561214624104645789101745[[#This Row],[MARGIN]]</f>
        <v>0</v>
      </c>
      <c r="R124" s="41"/>
    </row>
    <row r="125" spans="1:18">
      <c r="C125" s="168"/>
      <c r="D125" s="188"/>
      <c r="F125" s="168" t="s">
        <v>6202</v>
      </c>
      <c r="G125" s="193">
        <f>IF(_1_541284561214624104645789101745[[#This Row],[Type]]&gt;0,VLOOKUP(_1_541284561214624104645789101745[[#This Row],[Type]],Main[[#All],[TYPE]:[UNIT]],'Unit Price'!C$1,FALSE),0)</f>
        <v>0</v>
      </c>
      <c r="H125" s="197">
        <f>IF(_1_541284561214624104645789101745[[#This Row],[Type]]&gt;0,VLOOKUP(_1_541284561214624104645789101745[[#This Row],[Type]],Main[[#All],[TYPE]:[UNIT]],'Unit Price'!D$1,FALSE),0)</f>
        <v>0</v>
      </c>
      <c r="I125" s="194">
        <f>IF(_1_541284561214624104645789101745[[#This Row],[Type]]&gt;0,VLOOKUP(_1_541284561214624104645789101745[[#This Row],[Type]],Main[[#All],[TYPE]:[UNIT]],'Unit Price'!G$1,FALSE),0)</f>
        <v>0</v>
      </c>
      <c r="J125" s="194">
        <f>IF(_1_541284561214624104645789101745[[#This Row],[Type]]&gt;0,VLOOKUP(_1_541284561214624104645789101745[[#This Row],[Type]],Main[[#All],[TYPE]:[UNIT]],'Unit Price'!H$1,FALSE),0)</f>
        <v>0</v>
      </c>
      <c r="K125" s="194">
        <f>IF(_1_541284561214624104645789101745[[#This Row],[Discount selection]]&gt;0,VLOOKUP(_1_541284561214624104645789101745[[#This Row],[Discount selection]],'Discount Structure'!$A$2:$B$30,2,"false"),0)</f>
        <v>1</v>
      </c>
      <c r="L125" s="194">
        <f>_1_541284561214624104645789101745[[#This Row],[LIST $]]*_1_541284561214624104645789101745[[#This Row],[DISCOUNT]]*_1_541284561214624104645789101745[[#This Row],[DISCOUNT 2]]</f>
        <v>0</v>
      </c>
      <c r="M125" s="194">
        <f>IF(OR(_1_541284561214624104645789101745[[#This Row],[UNIT]]&gt;0,_1_541284561214624104645789101745[[#This Row],[UNIT]]&lt;0),_1_541284561214624104645789101745[[#This Row],[UNIT]]*_1_541284561214624104645789101745[[#This Row],[COST]],0)</f>
        <v>0</v>
      </c>
      <c r="N125" s="194">
        <f t="shared" si="1"/>
        <v>1.5</v>
      </c>
      <c r="O125" s="198">
        <f>_1_541284561214624104645789101745[[#This Row],[TOTAL]]*_1_541284561214624104645789101745[[#This Row],[MARGIN]]</f>
        <v>0</v>
      </c>
      <c r="R125" s="41"/>
    </row>
    <row r="126" spans="1:18">
      <c r="C126" s="168"/>
      <c r="D126" s="188"/>
      <c r="F126" s="168" t="s">
        <v>6202</v>
      </c>
      <c r="G126" s="193">
        <f>IF(_1_541284561214624104645789101745[[#This Row],[Type]]&gt;0,VLOOKUP(_1_541284561214624104645789101745[[#This Row],[Type]],Main[[#All],[TYPE]:[UNIT]],'Unit Price'!C$1,FALSE),0)</f>
        <v>0</v>
      </c>
      <c r="H126" s="197">
        <f>IF(_1_541284561214624104645789101745[[#This Row],[Type]]&gt;0,VLOOKUP(_1_541284561214624104645789101745[[#This Row],[Type]],Main[[#All],[TYPE]:[UNIT]],'Unit Price'!D$1,FALSE),0)</f>
        <v>0</v>
      </c>
      <c r="I126" s="194">
        <f>IF(_1_541284561214624104645789101745[[#This Row],[Type]]&gt;0,VLOOKUP(_1_541284561214624104645789101745[[#This Row],[Type]],Main[[#All],[TYPE]:[UNIT]],'Unit Price'!G$1,FALSE),0)</f>
        <v>0</v>
      </c>
      <c r="J126" s="194">
        <f>IF(_1_541284561214624104645789101745[[#This Row],[Type]]&gt;0,VLOOKUP(_1_541284561214624104645789101745[[#This Row],[Type]],Main[[#All],[TYPE]:[UNIT]],'Unit Price'!H$1,FALSE),0)</f>
        <v>0</v>
      </c>
      <c r="K126" s="194">
        <f>IF(_1_541284561214624104645789101745[[#This Row],[Discount selection]]&gt;0,VLOOKUP(_1_541284561214624104645789101745[[#This Row],[Discount selection]],'Discount Structure'!$A$2:$B$30,2,"false"),0)</f>
        <v>1</v>
      </c>
      <c r="L126" s="194">
        <f>_1_541284561214624104645789101745[[#This Row],[LIST $]]*_1_541284561214624104645789101745[[#This Row],[DISCOUNT]]*_1_541284561214624104645789101745[[#This Row],[DISCOUNT 2]]</f>
        <v>0</v>
      </c>
      <c r="M126" s="194">
        <f>IF(OR(_1_541284561214624104645789101745[[#This Row],[UNIT]]&gt;0,_1_541284561214624104645789101745[[#This Row],[UNIT]]&lt;0),_1_541284561214624104645789101745[[#This Row],[UNIT]]*_1_541284561214624104645789101745[[#This Row],[COST]],0)</f>
        <v>0</v>
      </c>
      <c r="N126" s="194">
        <f t="shared" si="1"/>
        <v>1.5</v>
      </c>
      <c r="O126" s="198">
        <f>_1_541284561214624104645789101745[[#This Row],[TOTAL]]*_1_541284561214624104645789101745[[#This Row],[MARGIN]]</f>
        <v>0</v>
      </c>
      <c r="R126" s="41"/>
    </row>
    <row r="127" spans="1:18">
      <c r="C127" s="168"/>
      <c r="D127" s="188"/>
      <c r="F127" s="168" t="s">
        <v>6202</v>
      </c>
      <c r="G127" s="193">
        <f>IF(_1_541284561214624104645789101745[[#This Row],[Type]]&gt;0,VLOOKUP(_1_541284561214624104645789101745[[#This Row],[Type]],Main[[#All],[TYPE]:[UNIT]],'Unit Price'!C$1,FALSE),0)</f>
        <v>0</v>
      </c>
      <c r="H127" s="197">
        <f>IF(_1_541284561214624104645789101745[[#This Row],[Type]]&gt;0,VLOOKUP(_1_541284561214624104645789101745[[#This Row],[Type]],Main[[#All],[TYPE]:[UNIT]],'Unit Price'!D$1,FALSE),0)</f>
        <v>0</v>
      </c>
      <c r="I127" s="194">
        <f>IF(_1_541284561214624104645789101745[[#This Row],[Type]]&gt;0,VLOOKUP(_1_541284561214624104645789101745[[#This Row],[Type]],Main[[#All],[TYPE]:[UNIT]],'Unit Price'!G$1,FALSE),0)</f>
        <v>0</v>
      </c>
      <c r="J127" s="194">
        <f>IF(_1_541284561214624104645789101745[[#This Row],[Type]]&gt;0,VLOOKUP(_1_541284561214624104645789101745[[#This Row],[Type]],Main[[#All],[TYPE]:[UNIT]],'Unit Price'!H$1,FALSE),0)</f>
        <v>0</v>
      </c>
      <c r="K127" s="194">
        <f>IF(_1_541284561214624104645789101745[[#This Row],[Discount selection]]&gt;0,VLOOKUP(_1_541284561214624104645789101745[[#This Row],[Discount selection]],'Discount Structure'!$A$2:$B$30,2,"false"),0)</f>
        <v>1</v>
      </c>
      <c r="L127" s="194">
        <f>_1_541284561214624104645789101745[[#This Row],[LIST $]]*_1_541284561214624104645789101745[[#This Row],[DISCOUNT]]*_1_541284561214624104645789101745[[#This Row],[DISCOUNT 2]]</f>
        <v>0</v>
      </c>
      <c r="M127" s="194">
        <f>IF(OR(_1_541284561214624104645789101745[[#This Row],[UNIT]]&gt;0,_1_541284561214624104645789101745[[#This Row],[UNIT]]&lt;0),_1_541284561214624104645789101745[[#This Row],[UNIT]]*_1_541284561214624104645789101745[[#This Row],[COST]],0)</f>
        <v>0</v>
      </c>
      <c r="N127" s="194">
        <f t="shared" si="1"/>
        <v>1.5</v>
      </c>
      <c r="O127" s="198">
        <f>_1_541284561214624104645789101745[[#This Row],[TOTAL]]*_1_541284561214624104645789101745[[#This Row],[MARGIN]]</f>
        <v>0</v>
      </c>
      <c r="R127" s="41"/>
    </row>
    <row r="128" spans="1:18">
      <c r="C128" s="168"/>
      <c r="D128" s="188"/>
      <c r="F128" s="168" t="s">
        <v>6202</v>
      </c>
      <c r="G128" s="193">
        <f>IF(_1_541284561214624104645789101745[[#This Row],[Type]]&gt;0,VLOOKUP(_1_541284561214624104645789101745[[#This Row],[Type]],Main[[#All],[TYPE]:[UNIT]],'Unit Price'!C$1,FALSE),0)</f>
        <v>0</v>
      </c>
      <c r="H128" s="197">
        <f>IF(_1_541284561214624104645789101745[[#This Row],[Type]]&gt;0,VLOOKUP(_1_541284561214624104645789101745[[#This Row],[Type]],Main[[#All],[TYPE]:[UNIT]],'Unit Price'!D$1,FALSE),0)</f>
        <v>0</v>
      </c>
      <c r="I128" s="194">
        <f>IF(_1_541284561214624104645789101745[[#This Row],[Type]]&gt;0,VLOOKUP(_1_541284561214624104645789101745[[#This Row],[Type]],Main[[#All],[TYPE]:[UNIT]],'Unit Price'!G$1,FALSE),0)</f>
        <v>0</v>
      </c>
      <c r="J128" s="194">
        <f>IF(_1_541284561214624104645789101745[[#This Row],[Type]]&gt;0,VLOOKUP(_1_541284561214624104645789101745[[#This Row],[Type]],Main[[#All],[TYPE]:[UNIT]],'Unit Price'!H$1,FALSE),0)</f>
        <v>0</v>
      </c>
      <c r="K128" s="194">
        <f>IF(_1_541284561214624104645789101745[[#This Row],[Discount selection]]&gt;0,VLOOKUP(_1_541284561214624104645789101745[[#This Row],[Discount selection]],'Discount Structure'!$A$2:$B$30,2,"false"),0)</f>
        <v>1</v>
      </c>
      <c r="L128" s="194">
        <f>_1_541284561214624104645789101745[[#This Row],[LIST $]]*_1_541284561214624104645789101745[[#This Row],[DISCOUNT]]*_1_541284561214624104645789101745[[#This Row],[DISCOUNT 2]]</f>
        <v>0</v>
      </c>
      <c r="M128" s="194">
        <f>IF(OR(_1_541284561214624104645789101745[[#This Row],[UNIT]]&gt;0,_1_541284561214624104645789101745[[#This Row],[UNIT]]&lt;0),_1_541284561214624104645789101745[[#This Row],[UNIT]]*_1_541284561214624104645789101745[[#This Row],[COST]],0)</f>
        <v>0</v>
      </c>
      <c r="N128" s="194">
        <f t="shared" si="1"/>
        <v>1.5</v>
      </c>
      <c r="O128" s="198">
        <f>_1_541284561214624104645789101745[[#This Row],[TOTAL]]*_1_541284561214624104645789101745[[#This Row],[MARGIN]]</f>
        <v>0</v>
      </c>
      <c r="R128" s="41"/>
    </row>
    <row r="129" spans="1:18">
      <c r="C129" s="168"/>
      <c r="D129" s="188"/>
      <c r="F129" s="168" t="s">
        <v>6202</v>
      </c>
      <c r="G129" s="193">
        <f>IF(_1_541284561214624104645789101745[[#This Row],[Type]]&gt;0,VLOOKUP(_1_541284561214624104645789101745[[#This Row],[Type]],Main[[#All],[TYPE]:[UNIT]],'Unit Price'!C$1,FALSE),0)</f>
        <v>0</v>
      </c>
      <c r="H129" s="197">
        <f>IF(_1_541284561214624104645789101745[[#This Row],[Type]]&gt;0,VLOOKUP(_1_541284561214624104645789101745[[#This Row],[Type]],Main[[#All],[TYPE]:[UNIT]],'Unit Price'!D$1,FALSE),0)</f>
        <v>0</v>
      </c>
      <c r="I129" s="194">
        <f>IF(_1_541284561214624104645789101745[[#This Row],[Type]]&gt;0,VLOOKUP(_1_541284561214624104645789101745[[#This Row],[Type]],Main[[#All],[TYPE]:[UNIT]],'Unit Price'!G$1,FALSE),0)</f>
        <v>0</v>
      </c>
      <c r="J129" s="194">
        <f>IF(_1_541284561214624104645789101745[[#This Row],[Type]]&gt;0,VLOOKUP(_1_541284561214624104645789101745[[#This Row],[Type]],Main[[#All],[TYPE]:[UNIT]],'Unit Price'!H$1,FALSE),0)</f>
        <v>0</v>
      </c>
      <c r="K129" s="194">
        <f>IF(_1_541284561214624104645789101745[[#This Row],[Discount selection]]&gt;0,VLOOKUP(_1_541284561214624104645789101745[[#This Row],[Discount selection]],'Discount Structure'!$A$2:$B$30,2,"false"),0)</f>
        <v>1</v>
      </c>
      <c r="L129" s="194">
        <f>_1_541284561214624104645789101745[[#This Row],[LIST $]]*_1_541284561214624104645789101745[[#This Row],[DISCOUNT]]*_1_541284561214624104645789101745[[#This Row],[DISCOUNT 2]]</f>
        <v>0</v>
      </c>
      <c r="M129" s="194">
        <f>IF(OR(_1_541284561214624104645789101745[[#This Row],[UNIT]]&gt;0,_1_541284561214624104645789101745[[#This Row],[UNIT]]&lt;0),_1_541284561214624104645789101745[[#This Row],[UNIT]]*_1_541284561214624104645789101745[[#This Row],[COST]],0)</f>
        <v>0</v>
      </c>
      <c r="N129" s="194">
        <f t="shared" si="1"/>
        <v>1.5</v>
      </c>
      <c r="O129" s="198">
        <f>_1_541284561214624104645789101745[[#This Row],[TOTAL]]*_1_541284561214624104645789101745[[#This Row],[MARGIN]]</f>
        <v>0</v>
      </c>
      <c r="R129" s="41"/>
    </row>
    <row r="130" spans="1:18">
      <c r="C130" s="168"/>
      <c r="D130" s="188"/>
      <c r="F130" s="168" t="s">
        <v>6202</v>
      </c>
      <c r="G130" s="193">
        <f>IF(_1_541284561214624104645789101745[[#This Row],[Type]]&gt;0,VLOOKUP(_1_541284561214624104645789101745[[#This Row],[Type]],Main[[#All],[TYPE]:[UNIT]],'Unit Price'!C$1,FALSE),0)</f>
        <v>0</v>
      </c>
      <c r="H130" s="197">
        <f>IF(_1_541284561214624104645789101745[[#This Row],[Type]]&gt;0,VLOOKUP(_1_541284561214624104645789101745[[#This Row],[Type]],Main[[#All],[TYPE]:[UNIT]],'Unit Price'!D$1,FALSE),0)</f>
        <v>0</v>
      </c>
      <c r="I130" s="194">
        <f>IF(_1_541284561214624104645789101745[[#This Row],[Type]]&gt;0,VLOOKUP(_1_541284561214624104645789101745[[#This Row],[Type]],Main[[#All],[TYPE]:[UNIT]],'Unit Price'!G$1,FALSE),0)</f>
        <v>0</v>
      </c>
      <c r="J130" s="194">
        <f>IF(_1_541284561214624104645789101745[[#This Row],[Type]]&gt;0,VLOOKUP(_1_541284561214624104645789101745[[#This Row],[Type]],Main[[#All],[TYPE]:[UNIT]],'Unit Price'!H$1,FALSE),0)</f>
        <v>0</v>
      </c>
      <c r="K130" s="194">
        <f>IF(_1_541284561214624104645789101745[[#This Row],[Discount selection]]&gt;0,VLOOKUP(_1_541284561214624104645789101745[[#This Row],[Discount selection]],'Discount Structure'!$A$2:$B$30,2,"false"),0)</f>
        <v>1</v>
      </c>
      <c r="L130" s="194">
        <f>_1_541284561214624104645789101745[[#This Row],[LIST $]]*_1_541284561214624104645789101745[[#This Row],[DISCOUNT]]*_1_541284561214624104645789101745[[#This Row],[DISCOUNT 2]]</f>
        <v>0</v>
      </c>
      <c r="M130" s="194">
        <f>IF(OR(_1_541284561214624104645789101745[[#This Row],[UNIT]]&gt;0,_1_541284561214624104645789101745[[#This Row],[UNIT]]&lt;0),_1_541284561214624104645789101745[[#This Row],[UNIT]]*_1_541284561214624104645789101745[[#This Row],[COST]],0)</f>
        <v>0</v>
      </c>
      <c r="N130" s="194">
        <f t="shared" si="1"/>
        <v>1.5</v>
      </c>
      <c r="O130" s="198">
        <f>_1_541284561214624104645789101745[[#This Row],[TOTAL]]*_1_541284561214624104645789101745[[#This Row],[MARGIN]]</f>
        <v>0</v>
      </c>
      <c r="R130" s="41"/>
    </row>
    <row r="131" spans="1:18">
      <c r="C131" s="168"/>
      <c r="D131" s="188"/>
      <c r="F131" s="168" t="s">
        <v>6202</v>
      </c>
      <c r="G131" s="193">
        <f>IF(_1_541284561214624104645789101745[[#This Row],[Type]]&gt;0,VLOOKUP(_1_541284561214624104645789101745[[#This Row],[Type]],Main[[#All],[TYPE]:[UNIT]],'Unit Price'!C$1,FALSE),0)</f>
        <v>0</v>
      </c>
      <c r="H131" s="197">
        <f>IF(_1_541284561214624104645789101745[[#This Row],[Type]]&gt;0,VLOOKUP(_1_541284561214624104645789101745[[#This Row],[Type]],Main[[#All],[TYPE]:[UNIT]],'Unit Price'!D$1,FALSE),0)</f>
        <v>0</v>
      </c>
      <c r="I131" s="194">
        <f>IF(_1_541284561214624104645789101745[[#This Row],[Type]]&gt;0,VLOOKUP(_1_541284561214624104645789101745[[#This Row],[Type]],Main[[#All],[TYPE]:[UNIT]],'Unit Price'!G$1,FALSE),0)</f>
        <v>0</v>
      </c>
      <c r="J131" s="194">
        <f>IF(_1_541284561214624104645789101745[[#This Row],[Type]]&gt;0,VLOOKUP(_1_541284561214624104645789101745[[#This Row],[Type]],Main[[#All],[TYPE]:[UNIT]],'Unit Price'!H$1,FALSE),0)</f>
        <v>0</v>
      </c>
      <c r="K131" s="194">
        <f>IF(_1_541284561214624104645789101745[[#This Row],[Discount selection]]&gt;0,VLOOKUP(_1_541284561214624104645789101745[[#This Row],[Discount selection]],'Discount Structure'!$A$2:$B$30,2,"false"),0)</f>
        <v>1</v>
      </c>
      <c r="L131" s="194">
        <f>_1_541284561214624104645789101745[[#This Row],[LIST $]]*_1_541284561214624104645789101745[[#This Row],[DISCOUNT]]*_1_541284561214624104645789101745[[#This Row],[DISCOUNT 2]]</f>
        <v>0</v>
      </c>
      <c r="M131" s="194">
        <f>IF(OR(_1_541284561214624104645789101745[[#This Row],[UNIT]]&gt;0,_1_541284561214624104645789101745[[#This Row],[UNIT]]&lt;0),_1_541284561214624104645789101745[[#This Row],[UNIT]]*_1_541284561214624104645789101745[[#This Row],[COST]],0)</f>
        <v>0</v>
      </c>
      <c r="N131" s="194">
        <f t="shared" si="1"/>
        <v>1.5</v>
      </c>
      <c r="O131" s="198">
        <f>_1_541284561214624104645789101745[[#This Row],[TOTAL]]*_1_541284561214624104645789101745[[#This Row],[MARGIN]]</f>
        <v>0</v>
      </c>
      <c r="R131" s="41"/>
    </row>
    <row r="132" spans="1:18">
      <c r="C132" s="168"/>
      <c r="D132" s="188"/>
      <c r="F132" s="168" t="s">
        <v>6202</v>
      </c>
      <c r="G132" s="193">
        <f>IF(_1_541284561214624104645789101745[[#This Row],[Type]]&gt;0,VLOOKUP(_1_541284561214624104645789101745[[#This Row],[Type]],Main[[#All],[TYPE]:[UNIT]],'Unit Price'!C$1,FALSE),0)</f>
        <v>0</v>
      </c>
      <c r="H132" s="197">
        <f>IF(_1_541284561214624104645789101745[[#This Row],[Type]]&gt;0,VLOOKUP(_1_541284561214624104645789101745[[#This Row],[Type]],Main[[#All],[TYPE]:[UNIT]],'Unit Price'!D$1,FALSE),0)</f>
        <v>0</v>
      </c>
      <c r="I132" s="194">
        <f>IF(_1_541284561214624104645789101745[[#This Row],[Type]]&gt;0,VLOOKUP(_1_541284561214624104645789101745[[#This Row],[Type]],Main[[#All],[TYPE]:[UNIT]],'Unit Price'!G$1,FALSE),0)</f>
        <v>0</v>
      </c>
      <c r="J132" s="194">
        <f>IF(_1_541284561214624104645789101745[[#This Row],[Type]]&gt;0,VLOOKUP(_1_541284561214624104645789101745[[#This Row],[Type]],Main[[#All],[TYPE]:[UNIT]],'Unit Price'!H$1,FALSE),0)</f>
        <v>0</v>
      </c>
      <c r="K132" s="194">
        <f>IF(_1_541284561214624104645789101745[[#This Row],[Discount selection]]&gt;0,VLOOKUP(_1_541284561214624104645789101745[[#This Row],[Discount selection]],'Discount Structure'!$A$2:$B$30,2,"false"),0)</f>
        <v>1</v>
      </c>
      <c r="L132" s="194">
        <f>_1_541284561214624104645789101745[[#This Row],[LIST $]]*_1_541284561214624104645789101745[[#This Row],[DISCOUNT]]*_1_541284561214624104645789101745[[#This Row],[DISCOUNT 2]]</f>
        <v>0</v>
      </c>
      <c r="M132" s="194">
        <f>IF(OR(_1_541284561214624104645789101745[[#This Row],[UNIT]]&gt;0,_1_541284561214624104645789101745[[#This Row],[UNIT]]&lt;0),_1_541284561214624104645789101745[[#This Row],[UNIT]]*_1_541284561214624104645789101745[[#This Row],[COST]],0)</f>
        <v>0</v>
      </c>
      <c r="N132" s="194">
        <f t="shared" si="1"/>
        <v>1.5</v>
      </c>
      <c r="O132" s="198">
        <f>_1_541284561214624104645789101745[[#This Row],[TOTAL]]*_1_541284561214624104645789101745[[#This Row],[MARGIN]]</f>
        <v>0</v>
      </c>
      <c r="R132" s="41"/>
    </row>
    <row r="133" spans="1:18">
      <c r="C133" s="168"/>
      <c r="D133" s="188"/>
      <c r="F133" s="168" t="s">
        <v>6202</v>
      </c>
      <c r="G133" s="193">
        <f>IF(_1_541284561214624104645789101745[[#This Row],[Type]]&gt;0,VLOOKUP(_1_541284561214624104645789101745[[#This Row],[Type]],Main[[#All],[TYPE]:[UNIT]],'Unit Price'!C$1,FALSE),0)</f>
        <v>0</v>
      </c>
      <c r="H133" s="197">
        <f>IF(_1_541284561214624104645789101745[[#This Row],[Type]]&gt;0,VLOOKUP(_1_541284561214624104645789101745[[#This Row],[Type]],Main[[#All],[TYPE]:[UNIT]],'Unit Price'!D$1,FALSE),0)</f>
        <v>0</v>
      </c>
      <c r="I133" s="194">
        <f>IF(_1_541284561214624104645789101745[[#This Row],[Type]]&gt;0,VLOOKUP(_1_541284561214624104645789101745[[#This Row],[Type]],Main[[#All],[TYPE]:[UNIT]],'Unit Price'!G$1,FALSE),0)</f>
        <v>0</v>
      </c>
      <c r="J133" s="194">
        <f>IF(_1_541284561214624104645789101745[[#This Row],[Type]]&gt;0,VLOOKUP(_1_541284561214624104645789101745[[#This Row],[Type]],Main[[#All],[TYPE]:[UNIT]],'Unit Price'!H$1,FALSE),0)</f>
        <v>0</v>
      </c>
      <c r="K133" s="194">
        <f>IF(_1_541284561214624104645789101745[[#This Row],[Discount selection]]&gt;0,VLOOKUP(_1_541284561214624104645789101745[[#This Row],[Discount selection]],'Discount Structure'!$A$2:$B$30,2,"false"),0)</f>
        <v>1</v>
      </c>
      <c r="L133" s="194">
        <f>_1_541284561214624104645789101745[[#This Row],[LIST $]]*_1_541284561214624104645789101745[[#This Row],[DISCOUNT]]*_1_541284561214624104645789101745[[#This Row],[DISCOUNT 2]]</f>
        <v>0</v>
      </c>
      <c r="M133" s="194">
        <f>IF(OR(_1_541284561214624104645789101745[[#This Row],[UNIT]]&gt;0,_1_541284561214624104645789101745[[#This Row],[UNIT]]&lt;0),_1_541284561214624104645789101745[[#This Row],[UNIT]]*_1_541284561214624104645789101745[[#This Row],[COST]],0)</f>
        <v>0</v>
      </c>
      <c r="N133" s="194">
        <f t="shared" si="1"/>
        <v>1.5</v>
      </c>
      <c r="O133" s="198">
        <f>_1_541284561214624104645789101745[[#This Row],[TOTAL]]*_1_541284561214624104645789101745[[#This Row],[MARGIN]]</f>
        <v>0</v>
      </c>
      <c r="R133" s="41"/>
    </row>
    <row r="134" spans="1:18">
      <c r="C134" s="168"/>
      <c r="D134" s="188"/>
      <c r="F134" s="168" t="s">
        <v>6202</v>
      </c>
      <c r="G134" s="193">
        <f>IF(_1_541284561214624104645789101745[[#This Row],[Type]]&gt;0,VLOOKUP(_1_541284561214624104645789101745[[#This Row],[Type]],Main[[#All],[TYPE]:[UNIT]],'Unit Price'!C$1,FALSE),0)</f>
        <v>0</v>
      </c>
      <c r="H134" s="197">
        <f>IF(_1_541284561214624104645789101745[[#This Row],[Type]]&gt;0,VLOOKUP(_1_541284561214624104645789101745[[#This Row],[Type]],Main[[#All],[TYPE]:[UNIT]],'Unit Price'!D$1,FALSE),0)</f>
        <v>0</v>
      </c>
      <c r="I134" s="194">
        <f>IF(_1_541284561214624104645789101745[[#This Row],[Type]]&gt;0,VLOOKUP(_1_541284561214624104645789101745[[#This Row],[Type]],Main[[#All],[TYPE]:[UNIT]],'Unit Price'!G$1,FALSE),0)</f>
        <v>0</v>
      </c>
      <c r="J134" s="194">
        <f>IF(_1_541284561214624104645789101745[[#This Row],[Type]]&gt;0,VLOOKUP(_1_541284561214624104645789101745[[#This Row],[Type]],Main[[#All],[TYPE]:[UNIT]],'Unit Price'!H$1,FALSE),0)</f>
        <v>0</v>
      </c>
      <c r="K134" s="194">
        <f>IF(_1_541284561214624104645789101745[[#This Row],[Discount selection]]&gt;0,VLOOKUP(_1_541284561214624104645789101745[[#This Row],[Discount selection]],'Discount Structure'!$A$2:$B$30,2,"false"),0)</f>
        <v>1</v>
      </c>
      <c r="L134" s="194">
        <f>_1_541284561214624104645789101745[[#This Row],[LIST $]]*_1_541284561214624104645789101745[[#This Row],[DISCOUNT]]*_1_541284561214624104645789101745[[#This Row],[DISCOUNT 2]]</f>
        <v>0</v>
      </c>
      <c r="M134" s="194">
        <f>IF(OR(_1_541284561214624104645789101745[[#This Row],[UNIT]]&gt;0,_1_541284561214624104645789101745[[#This Row],[UNIT]]&lt;0),_1_541284561214624104645789101745[[#This Row],[UNIT]]*_1_541284561214624104645789101745[[#This Row],[COST]],0)</f>
        <v>0</v>
      </c>
      <c r="N134" s="194">
        <f t="shared" si="1"/>
        <v>1.5</v>
      </c>
      <c r="O134" s="198">
        <f>_1_541284561214624104645789101745[[#This Row],[TOTAL]]*_1_541284561214624104645789101745[[#This Row],[MARGIN]]</f>
        <v>0</v>
      </c>
      <c r="R134" s="41"/>
    </row>
    <row r="135" spans="1:18">
      <c r="C135" s="168"/>
      <c r="D135" s="188"/>
      <c r="F135" s="168" t="s">
        <v>6202</v>
      </c>
      <c r="G135" s="193">
        <f>IF(_1_541284561214624104645789101745[[#This Row],[Type]]&gt;0,VLOOKUP(_1_541284561214624104645789101745[[#This Row],[Type]],Main[[#All],[TYPE]:[UNIT]],'Unit Price'!C$1,FALSE),0)</f>
        <v>0</v>
      </c>
      <c r="H135" s="197">
        <f>IF(_1_541284561214624104645789101745[[#This Row],[Type]]&gt;0,VLOOKUP(_1_541284561214624104645789101745[[#This Row],[Type]],Main[[#All],[TYPE]:[UNIT]],'Unit Price'!D$1,FALSE),0)</f>
        <v>0</v>
      </c>
      <c r="I135" s="194">
        <f>IF(_1_541284561214624104645789101745[[#This Row],[Type]]&gt;0,VLOOKUP(_1_541284561214624104645789101745[[#This Row],[Type]],Main[[#All],[TYPE]:[UNIT]],'Unit Price'!G$1,FALSE),0)</f>
        <v>0</v>
      </c>
      <c r="J135" s="194">
        <f>IF(_1_541284561214624104645789101745[[#This Row],[Type]]&gt;0,VLOOKUP(_1_541284561214624104645789101745[[#This Row],[Type]],Main[[#All],[TYPE]:[UNIT]],'Unit Price'!H$1,FALSE),0)</f>
        <v>0</v>
      </c>
      <c r="K135" s="194">
        <f>IF(_1_541284561214624104645789101745[[#This Row],[Discount selection]]&gt;0,VLOOKUP(_1_541284561214624104645789101745[[#This Row],[Discount selection]],'Discount Structure'!$A$2:$B$30,2,"false"),0)</f>
        <v>1</v>
      </c>
      <c r="L135" s="194">
        <f>_1_541284561214624104645789101745[[#This Row],[LIST $]]*_1_541284561214624104645789101745[[#This Row],[DISCOUNT]]*_1_541284561214624104645789101745[[#This Row],[DISCOUNT 2]]</f>
        <v>0</v>
      </c>
      <c r="M135" s="194">
        <f>IF(OR(_1_541284561214624104645789101745[[#This Row],[UNIT]]&gt;0,_1_541284561214624104645789101745[[#This Row],[UNIT]]&lt;0),_1_541284561214624104645789101745[[#This Row],[UNIT]]*_1_541284561214624104645789101745[[#This Row],[COST]],0)</f>
        <v>0</v>
      </c>
      <c r="N135" s="194">
        <f t="shared" si="1"/>
        <v>1.5</v>
      </c>
      <c r="O135" s="198">
        <f>_1_541284561214624104645789101745[[#This Row],[TOTAL]]*_1_541284561214624104645789101745[[#This Row],[MARGIN]]</f>
        <v>0</v>
      </c>
      <c r="R135" s="41"/>
    </row>
    <row r="136" spans="1:18">
      <c r="C136" s="168"/>
      <c r="D136" s="188"/>
      <c r="F136" s="168" t="s">
        <v>6202</v>
      </c>
      <c r="G136" s="193">
        <f>IF(_1_541284561214624104645789101745[[#This Row],[Type]]&gt;0,VLOOKUP(_1_541284561214624104645789101745[[#This Row],[Type]],Main[[#All],[TYPE]:[UNIT]],'Unit Price'!C$1,FALSE),0)</f>
        <v>0</v>
      </c>
      <c r="H136" s="197">
        <f>IF(_1_541284561214624104645789101745[[#This Row],[Type]]&gt;0,VLOOKUP(_1_541284561214624104645789101745[[#This Row],[Type]],Main[[#All],[TYPE]:[UNIT]],'Unit Price'!D$1,FALSE),0)</f>
        <v>0</v>
      </c>
      <c r="I136" s="194">
        <f>IF(_1_541284561214624104645789101745[[#This Row],[Type]]&gt;0,VLOOKUP(_1_541284561214624104645789101745[[#This Row],[Type]],Main[[#All],[TYPE]:[UNIT]],'Unit Price'!G$1,FALSE),0)</f>
        <v>0</v>
      </c>
      <c r="J136" s="194">
        <f>IF(_1_541284561214624104645789101745[[#This Row],[Type]]&gt;0,VLOOKUP(_1_541284561214624104645789101745[[#This Row],[Type]],Main[[#All],[TYPE]:[UNIT]],'Unit Price'!H$1,FALSE),0)</f>
        <v>0</v>
      </c>
      <c r="K136" s="194">
        <f>IF(_1_541284561214624104645789101745[[#This Row],[Discount selection]]&gt;0,VLOOKUP(_1_541284561214624104645789101745[[#This Row],[Discount selection]],'Discount Structure'!$A$2:$B$30,2,"false"),0)</f>
        <v>1</v>
      </c>
      <c r="L136" s="194">
        <f>_1_541284561214624104645789101745[[#This Row],[LIST $]]*_1_541284561214624104645789101745[[#This Row],[DISCOUNT]]*_1_541284561214624104645789101745[[#This Row],[DISCOUNT 2]]</f>
        <v>0</v>
      </c>
      <c r="M136" s="194">
        <f>IF(OR(_1_541284561214624104645789101745[[#This Row],[UNIT]]&gt;0,_1_541284561214624104645789101745[[#This Row],[UNIT]]&lt;0),_1_541284561214624104645789101745[[#This Row],[UNIT]]*_1_541284561214624104645789101745[[#This Row],[COST]],0)</f>
        <v>0</v>
      </c>
      <c r="N136" s="194">
        <f t="shared" si="1"/>
        <v>1.5</v>
      </c>
      <c r="O136" s="198">
        <f>_1_541284561214624104645789101745[[#This Row],[TOTAL]]*_1_541284561214624104645789101745[[#This Row],[MARGIN]]</f>
        <v>0</v>
      </c>
      <c r="R136" s="41"/>
    </row>
    <row r="137" spans="1:18">
      <c r="A137" s="168"/>
      <c r="C137" s="168"/>
      <c r="D137" s="188"/>
      <c r="F137" s="168" t="s">
        <v>6202</v>
      </c>
      <c r="G137" s="193">
        <f>IF(_1_541284561214624104645789101745[[#This Row],[Type]]&gt;0,VLOOKUP(_1_541284561214624104645789101745[[#This Row],[Type]],Main[[#All],[TYPE]:[UNIT]],'Unit Price'!C$1,FALSE),0)</f>
        <v>0</v>
      </c>
      <c r="H137" s="197">
        <f>IF(_1_541284561214624104645789101745[[#This Row],[Type]]&gt;0,VLOOKUP(_1_541284561214624104645789101745[[#This Row],[Type]],Main[[#All],[TYPE]:[UNIT]],'Unit Price'!D$1,FALSE),0)</f>
        <v>0</v>
      </c>
      <c r="I137" s="194">
        <f>IF(_1_541284561214624104645789101745[[#This Row],[Type]]&gt;0,VLOOKUP(_1_541284561214624104645789101745[[#This Row],[Type]],Main[[#All],[TYPE]:[UNIT]],'Unit Price'!G$1,FALSE),0)</f>
        <v>0</v>
      </c>
      <c r="J137" s="194">
        <f>IF(_1_541284561214624104645789101745[[#This Row],[Type]]&gt;0,VLOOKUP(_1_541284561214624104645789101745[[#This Row],[Type]],Main[[#All],[TYPE]:[UNIT]],'Unit Price'!H$1,FALSE),0)</f>
        <v>0</v>
      </c>
      <c r="K137" s="194">
        <f>IF(_1_541284561214624104645789101745[[#This Row],[Discount selection]]&gt;0,VLOOKUP(_1_541284561214624104645789101745[[#This Row],[Discount selection]],'Discount Structure'!$A$2:$B$30,2,"false"),0)</f>
        <v>1</v>
      </c>
      <c r="L137" s="194">
        <f>_1_541284561214624104645789101745[[#This Row],[LIST $]]*_1_541284561214624104645789101745[[#This Row],[DISCOUNT]]*_1_541284561214624104645789101745[[#This Row],[DISCOUNT 2]]</f>
        <v>0</v>
      </c>
      <c r="M137" s="194">
        <f>IF(OR(_1_541284561214624104645789101745[[#This Row],[UNIT]]&gt;0,_1_541284561214624104645789101745[[#This Row],[UNIT]]&lt;0),_1_541284561214624104645789101745[[#This Row],[UNIT]]*_1_541284561214624104645789101745[[#This Row],[COST]],0)</f>
        <v>0</v>
      </c>
      <c r="N137" s="194">
        <f t="shared" si="1"/>
        <v>1.5</v>
      </c>
      <c r="O137" s="198">
        <f>_1_541284561214624104645789101745[[#This Row],[TOTAL]]*_1_541284561214624104645789101745[[#This Row],[MARGIN]]</f>
        <v>0</v>
      </c>
      <c r="R137" s="41"/>
    </row>
    <row r="138" spans="1:18">
      <c r="B138" s="168"/>
      <c r="C138" s="168"/>
      <c r="D138" s="188"/>
      <c r="E138" s="313"/>
      <c r="F138" s="168" t="s">
        <v>6202</v>
      </c>
      <c r="G138" s="193">
        <f>IF(_1_541284561214624104645789101745[[#This Row],[Type]]&gt;0,VLOOKUP(_1_541284561214624104645789101745[[#This Row],[Type]],Main[[#All],[TYPE]:[UNIT]],'Unit Price'!C$1,FALSE),0)</f>
        <v>0</v>
      </c>
      <c r="H138" s="197">
        <f>IF(_1_541284561214624104645789101745[[#This Row],[Type]]&gt;0,VLOOKUP(_1_541284561214624104645789101745[[#This Row],[Type]],Main[[#All],[TYPE]:[UNIT]],'Unit Price'!D$1,FALSE),0)</f>
        <v>0</v>
      </c>
      <c r="I138" s="194">
        <f>IF(_1_541284561214624104645789101745[[#This Row],[Type]]&gt;0,VLOOKUP(_1_541284561214624104645789101745[[#This Row],[Type]],Main[[#All],[TYPE]:[UNIT]],'Unit Price'!G$1,FALSE),0)</f>
        <v>0</v>
      </c>
      <c r="J138" s="194">
        <f>IF(_1_541284561214624104645789101745[[#This Row],[Type]]&gt;0,VLOOKUP(_1_541284561214624104645789101745[[#This Row],[Type]],Main[[#All],[TYPE]:[UNIT]],'Unit Price'!H$1,FALSE),0)</f>
        <v>0</v>
      </c>
      <c r="K138" s="194">
        <f>IF(_1_541284561214624104645789101745[[#This Row],[Discount selection]]&gt;0,VLOOKUP(_1_541284561214624104645789101745[[#This Row],[Discount selection]],'Discount Structure'!$A$2:$B$30,2,"false"),0)</f>
        <v>1</v>
      </c>
      <c r="L138" s="194">
        <f>_1_541284561214624104645789101745[[#This Row],[LIST $]]*_1_541284561214624104645789101745[[#This Row],[DISCOUNT]]*_1_541284561214624104645789101745[[#This Row],[DISCOUNT 2]]</f>
        <v>0</v>
      </c>
      <c r="M138" s="194">
        <f>IF(OR(_1_541284561214624104645789101745[[#This Row],[UNIT]]&gt;0,_1_541284561214624104645789101745[[#This Row],[UNIT]]&lt;0),_1_541284561214624104645789101745[[#This Row],[UNIT]]*_1_541284561214624104645789101745[[#This Row],[COST]],0)</f>
        <v>0</v>
      </c>
      <c r="N138" s="194">
        <f t="shared" ref="N138:N201" si="2">$N$7</f>
        <v>1.5</v>
      </c>
      <c r="O138" s="198">
        <f>_1_541284561214624104645789101745[[#This Row],[TOTAL]]*_1_541284561214624104645789101745[[#This Row],[MARGIN]]</f>
        <v>0</v>
      </c>
      <c r="R138" s="41"/>
    </row>
    <row r="139" spans="1:18">
      <c r="A139" s="168"/>
      <c r="C139" s="168"/>
      <c r="D139" s="188"/>
      <c r="F139" s="168" t="s">
        <v>6202</v>
      </c>
      <c r="G139" s="193">
        <f>IF(_1_541284561214624104645789101745[[#This Row],[Type]]&gt;0,VLOOKUP(_1_541284561214624104645789101745[[#This Row],[Type]],Main[[#All],[TYPE]:[UNIT]],'Unit Price'!C$1,FALSE),0)</f>
        <v>0</v>
      </c>
      <c r="H139" s="197">
        <f>IF(_1_541284561214624104645789101745[[#This Row],[Type]]&gt;0,VLOOKUP(_1_541284561214624104645789101745[[#This Row],[Type]],Main[[#All],[TYPE]:[UNIT]],'Unit Price'!D$1,FALSE),0)</f>
        <v>0</v>
      </c>
      <c r="I139" s="194">
        <f>IF(_1_541284561214624104645789101745[[#This Row],[Type]]&gt;0,VLOOKUP(_1_541284561214624104645789101745[[#This Row],[Type]],Main[[#All],[TYPE]:[UNIT]],'Unit Price'!G$1,FALSE),0)</f>
        <v>0</v>
      </c>
      <c r="J139" s="194">
        <f>IF(_1_541284561214624104645789101745[[#This Row],[Type]]&gt;0,VLOOKUP(_1_541284561214624104645789101745[[#This Row],[Type]],Main[[#All],[TYPE]:[UNIT]],'Unit Price'!H$1,FALSE),0)</f>
        <v>0</v>
      </c>
      <c r="K139" s="194">
        <f>IF(_1_541284561214624104645789101745[[#This Row],[Discount selection]]&gt;0,VLOOKUP(_1_541284561214624104645789101745[[#This Row],[Discount selection]],'Discount Structure'!$A$2:$B$30,2,"false"),0)</f>
        <v>1</v>
      </c>
      <c r="L139" s="194">
        <f>_1_541284561214624104645789101745[[#This Row],[LIST $]]*_1_541284561214624104645789101745[[#This Row],[DISCOUNT]]*_1_541284561214624104645789101745[[#This Row],[DISCOUNT 2]]</f>
        <v>0</v>
      </c>
      <c r="M139" s="194">
        <f>IF(OR(_1_541284561214624104645789101745[[#This Row],[UNIT]]&gt;0,_1_541284561214624104645789101745[[#This Row],[UNIT]]&lt;0),_1_541284561214624104645789101745[[#This Row],[UNIT]]*_1_541284561214624104645789101745[[#This Row],[COST]],0)</f>
        <v>0</v>
      </c>
      <c r="N139" s="194">
        <f t="shared" si="2"/>
        <v>1.5</v>
      </c>
      <c r="O139" s="198">
        <f>_1_541284561214624104645789101745[[#This Row],[TOTAL]]*_1_541284561214624104645789101745[[#This Row],[MARGIN]]</f>
        <v>0</v>
      </c>
      <c r="R139" s="41"/>
    </row>
    <row r="140" spans="1:18">
      <c r="A140" s="168"/>
      <c r="B140" s="168"/>
      <c r="C140" s="168"/>
      <c r="D140" s="188"/>
      <c r="F140" s="168" t="s">
        <v>6202</v>
      </c>
      <c r="G140" s="193">
        <f>IF(_1_541284561214624104645789101745[[#This Row],[Type]]&gt;0,VLOOKUP(_1_541284561214624104645789101745[[#This Row],[Type]],Main[[#All],[TYPE]:[UNIT]],'Unit Price'!C$1,FALSE),0)</f>
        <v>0</v>
      </c>
      <c r="H140" s="197">
        <f>IF(_1_541284561214624104645789101745[[#This Row],[Type]]&gt;0,VLOOKUP(_1_541284561214624104645789101745[[#This Row],[Type]],Main[[#All],[TYPE]:[UNIT]],'Unit Price'!D$1,FALSE),0)</f>
        <v>0</v>
      </c>
      <c r="I140" s="194">
        <f>IF(_1_541284561214624104645789101745[[#This Row],[Type]]&gt;0,VLOOKUP(_1_541284561214624104645789101745[[#This Row],[Type]],Main[[#All],[TYPE]:[UNIT]],'Unit Price'!G$1,FALSE),0)</f>
        <v>0</v>
      </c>
      <c r="J140" s="194">
        <f>IF(_1_541284561214624104645789101745[[#This Row],[Type]]&gt;0,VLOOKUP(_1_541284561214624104645789101745[[#This Row],[Type]],Main[[#All],[TYPE]:[UNIT]],'Unit Price'!H$1,FALSE),0)</f>
        <v>0</v>
      </c>
      <c r="K140" s="194">
        <f>IF(_1_541284561214624104645789101745[[#This Row],[Discount selection]]&gt;0,VLOOKUP(_1_541284561214624104645789101745[[#This Row],[Discount selection]],'Discount Structure'!$A$2:$B$30,2,"false"),0)</f>
        <v>1</v>
      </c>
      <c r="L140" s="194">
        <f>_1_541284561214624104645789101745[[#This Row],[LIST $]]*_1_541284561214624104645789101745[[#This Row],[DISCOUNT]]*_1_541284561214624104645789101745[[#This Row],[DISCOUNT 2]]</f>
        <v>0</v>
      </c>
      <c r="M140" s="194">
        <f>IF(OR(_1_541284561214624104645789101745[[#This Row],[UNIT]]&gt;0,_1_541284561214624104645789101745[[#This Row],[UNIT]]&lt;0),_1_541284561214624104645789101745[[#This Row],[UNIT]]*_1_541284561214624104645789101745[[#This Row],[COST]],0)</f>
        <v>0</v>
      </c>
      <c r="N140" s="194">
        <f t="shared" si="2"/>
        <v>1.5</v>
      </c>
      <c r="O140" s="198">
        <f>_1_541284561214624104645789101745[[#This Row],[TOTAL]]*_1_541284561214624104645789101745[[#This Row],[MARGIN]]</f>
        <v>0</v>
      </c>
      <c r="R140" s="41"/>
    </row>
    <row r="141" spans="1:18">
      <c r="C141" s="168"/>
      <c r="D141" s="188"/>
      <c r="F141" s="168" t="s">
        <v>6202</v>
      </c>
      <c r="G141" s="193">
        <f>IF(_1_541284561214624104645789101745[[#This Row],[Type]]&gt;0,VLOOKUP(_1_541284561214624104645789101745[[#This Row],[Type]],Main[[#All],[TYPE]:[UNIT]],'Unit Price'!C$1,FALSE),0)</f>
        <v>0</v>
      </c>
      <c r="H141" s="197">
        <f>IF(_1_541284561214624104645789101745[[#This Row],[Type]]&gt;0,VLOOKUP(_1_541284561214624104645789101745[[#This Row],[Type]],Main[[#All],[TYPE]:[UNIT]],'Unit Price'!D$1,FALSE),0)</f>
        <v>0</v>
      </c>
      <c r="I141" s="194">
        <f>IF(_1_541284561214624104645789101745[[#This Row],[Type]]&gt;0,VLOOKUP(_1_541284561214624104645789101745[[#This Row],[Type]],Main[[#All],[TYPE]:[UNIT]],'Unit Price'!G$1,FALSE),0)</f>
        <v>0</v>
      </c>
      <c r="J141" s="194">
        <f>IF(_1_541284561214624104645789101745[[#This Row],[Type]]&gt;0,VLOOKUP(_1_541284561214624104645789101745[[#This Row],[Type]],Main[[#All],[TYPE]:[UNIT]],'Unit Price'!H$1,FALSE),0)</f>
        <v>0</v>
      </c>
      <c r="K141" s="194">
        <f>IF(_1_541284561214624104645789101745[[#This Row],[Discount selection]]&gt;0,VLOOKUP(_1_541284561214624104645789101745[[#This Row],[Discount selection]],'Discount Structure'!$A$2:$B$30,2,"false"),0)</f>
        <v>1</v>
      </c>
      <c r="L141" s="194">
        <f>_1_541284561214624104645789101745[[#This Row],[LIST $]]*_1_541284561214624104645789101745[[#This Row],[DISCOUNT]]*_1_541284561214624104645789101745[[#This Row],[DISCOUNT 2]]</f>
        <v>0</v>
      </c>
      <c r="M141" s="194">
        <f>IF(OR(_1_541284561214624104645789101745[[#This Row],[UNIT]]&gt;0,_1_541284561214624104645789101745[[#This Row],[UNIT]]&lt;0),_1_541284561214624104645789101745[[#This Row],[UNIT]]*_1_541284561214624104645789101745[[#This Row],[COST]],0)</f>
        <v>0</v>
      </c>
      <c r="N141" s="194">
        <f t="shared" si="2"/>
        <v>1.5</v>
      </c>
      <c r="O141" s="198">
        <f>_1_541284561214624104645789101745[[#This Row],[TOTAL]]*_1_541284561214624104645789101745[[#This Row],[MARGIN]]</f>
        <v>0</v>
      </c>
      <c r="R141" s="41"/>
    </row>
    <row r="142" spans="1:18">
      <c r="C142" s="168"/>
      <c r="D142" s="188"/>
      <c r="F142" s="168" t="s">
        <v>6202</v>
      </c>
      <c r="G142" s="193">
        <f>IF(_1_541284561214624104645789101745[[#This Row],[Type]]&gt;0,VLOOKUP(_1_541284561214624104645789101745[[#This Row],[Type]],Main[[#All],[TYPE]:[UNIT]],'Unit Price'!C$1,FALSE),0)</f>
        <v>0</v>
      </c>
      <c r="H142" s="197">
        <f>IF(_1_541284561214624104645789101745[[#This Row],[Type]]&gt;0,VLOOKUP(_1_541284561214624104645789101745[[#This Row],[Type]],Main[[#All],[TYPE]:[UNIT]],'Unit Price'!D$1,FALSE),0)</f>
        <v>0</v>
      </c>
      <c r="I142" s="194">
        <f>IF(_1_541284561214624104645789101745[[#This Row],[Type]]&gt;0,VLOOKUP(_1_541284561214624104645789101745[[#This Row],[Type]],Main[[#All],[TYPE]:[UNIT]],'Unit Price'!G$1,FALSE),0)</f>
        <v>0</v>
      </c>
      <c r="J142" s="194">
        <f>IF(_1_541284561214624104645789101745[[#This Row],[Type]]&gt;0,VLOOKUP(_1_541284561214624104645789101745[[#This Row],[Type]],Main[[#All],[TYPE]:[UNIT]],'Unit Price'!H$1,FALSE),0)</f>
        <v>0</v>
      </c>
      <c r="K142" s="194">
        <f>IF(_1_541284561214624104645789101745[[#This Row],[Discount selection]]&gt;0,VLOOKUP(_1_541284561214624104645789101745[[#This Row],[Discount selection]],'Discount Structure'!$A$2:$B$30,2,"false"),0)</f>
        <v>1</v>
      </c>
      <c r="L142" s="194">
        <f>_1_541284561214624104645789101745[[#This Row],[LIST $]]*_1_541284561214624104645789101745[[#This Row],[DISCOUNT]]*_1_541284561214624104645789101745[[#This Row],[DISCOUNT 2]]</f>
        <v>0</v>
      </c>
      <c r="M142" s="194">
        <f>IF(OR(_1_541284561214624104645789101745[[#This Row],[UNIT]]&gt;0,_1_541284561214624104645789101745[[#This Row],[UNIT]]&lt;0),_1_541284561214624104645789101745[[#This Row],[UNIT]]*_1_541284561214624104645789101745[[#This Row],[COST]],0)</f>
        <v>0</v>
      </c>
      <c r="N142" s="194">
        <f t="shared" si="2"/>
        <v>1.5</v>
      </c>
      <c r="O142" s="198">
        <f>_1_541284561214624104645789101745[[#This Row],[TOTAL]]*_1_541284561214624104645789101745[[#This Row],[MARGIN]]</f>
        <v>0</v>
      </c>
      <c r="R142" s="41"/>
    </row>
    <row r="143" spans="1:18">
      <c r="C143" s="168"/>
      <c r="D143" s="188"/>
      <c r="F143" s="168" t="s">
        <v>6202</v>
      </c>
      <c r="G143" s="193">
        <f>IF(_1_541284561214624104645789101745[[#This Row],[Type]]&gt;0,VLOOKUP(_1_541284561214624104645789101745[[#This Row],[Type]],Main[[#All],[TYPE]:[UNIT]],'Unit Price'!C$1,FALSE),0)</f>
        <v>0</v>
      </c>
      <c r="H143" s="197">
        <f>IF(_1_541284561214624104645789101745[[#This Row],[Type]]&gt;0,VLOOKUP(_1_541284561214624104645789101745[[#This Row],[Type]],Main[[#All],[TYPE]:[UNIT]],'Unit Price'!D$1,FALSE),0)</f>
        <v>0</v>
      </c>
      <c r="I143" s="194">
        <f>IF(_1_541284561214624104645789101745[[#This Row],[Type]]&gt;0,VLOOKUP(_1_541284561214624104645789101745[[#This Row],[Type]],Main[[#All],[TYPE]:[UNIT]],'Unit Price'!G$1,FALSE),0)</f>
        <v>0</v>
      </c>
      <c r="J143" s="194">
        <f>IF(_1_541284561214624104645789101745[[#This Row],[Type]]&gt;0,VLOOKUP(_1_541284561214624104645789101745[[#This Row],[Type]],Main[[#All],[TYPE]:[UNIT]],'Unit Price'!H$1,FALSE),0)</f>
        <v>0</v>
      </c>
      <c r="K143" s="194">
        <f>IF(_1_541284561214624104645789101745[[#This Row],[Discount selection]]&gt;0,VLOOKUP(_1_541284561214624104645789101745[[#This Row],[Discount selection]],'Discount Structure'!$A$2:$B$30,2,"false"),0)</f>
        <v>1</v>
      </c>
      <c r="L143" s="194">
        <f>_1_541284561214624104645789101745[[#This Row],[LIST $]]*_1_541284561214624104645789101745[[#This Row],[DISCOUNT]]*_1_541284561214624104645789101745[[#This Row],[DISCOUNT 2]]</f>
        <v>0</v>
      </c>
      <c r="M143" s="194">
        <f>IF(OR(_1_541284561214624104645789101745[[#This Row],[UNIT]]&gt;0,_1_541284561214624104645789101745[[#This Row],[UNIT]]&lt;0),_1_541284561214624104645789101745[[#This Row],[UNIT]]*_1_541284561214624104645789101745[[#This Row],[COST]],0)</f>
        <v>0</v>
      </c>
      <c r="N143" s="194">
        <f t="shared" si="2"/>
        <v>1.5</v>
      </c>
      <c r="O143" s="198">
        <f>_1_541284561214624104645789101745[[#This Row],[TOTAL]]*_1_541284561214624104645789101745[[#This Row],[MARGIN]]</f>
        <v>0</v>
      </c>
      <c r="R143" s="41"/>
    </row>
    <row r="144" spans="1:18">
      <c r="C144" s="168"/>
      <c r="D144" s="188"/>
      <c r="F144" s="168" t="s">
        <v>6202</v>
      </c>
      <c r="G144" s="193">
        <f>IF(_1_541284561214624104645789101745[[#This Row],[Type]]&gt;0,VLOOKUP(_1_541284561214624104645789101745[[#This Row],[Type]],Main[[#All],[TYPE]:[UNIT]],'Unit Price'!C$1,FALSE),0)</f>
        <v>0</v>
      </c>
      <c r="H144" s="197">
        <f>IF(_1_541284561214624104645789101745[[#This Row],[Type]]&gt;0,VLOOKUP(_1_541284561214624104645789101745[[#This Row],[Type]],Main[[#All],[TYPE]:[UNIT]],'Unit Price'!D$1,FALSE),0)</f>
        <v>0</v>
      </c>
      <c r="I144" s="194">
        <f>IF(_1_541284561214624104645789101745[[#This Row],[Type]]&gt;0,VLOOKUP(_1_541284561214624104645789101745[[#This Row],[Type]],Main[[#All],[TYPE]:[UNIT]],'Unit Price'!G$1,FALSE),0)</f>
        <v>0</v>
      </c>
      <c r="J144" s="194">
        <f>IF(_1_541284561214624104645789101745[[#This Row],[Type]]&gt;0,VLOOKUP(_1_541284561214624104645789101745[[#This Row],[Type]],Main[[#All],[TYPE]:[UNIT]],'Unit Price'!H$1,FALSE),0)</f>
        <v>0</v>
      </c>
      <c r="K144" s="194">
        <f>IF(_1_541284561214624104645789101745[[#This Row],[Discount selection]]&gt;0,VLOOKUP(_1_541284561214624104645789101745[[#This Row],[Discount selection]],'Discount Structure'!$A$2:$B$30,2,"false"),0)</f>
        <v>1</v>
      </c>
      <c r="L144" s="194">
        <f>_1_541284561214624104645789101745[[#This Row],[LIST $]]*_1_541284561214624104645789101745[[#This Row],[DISCOUNT]]*_1_541284561214624104645789101745[[#This Row],[DISCOUNT 2]]</f>
        <v>0</v>
      </c>
      <c r="M144" s="194">
        <f>IF(OR(_1_541284561214624104645789101745[[#This Row],[UNIT]]&gt;0,_1_541284561214624104645789101745[[#This Row],[UNIT]]&lt;0),_1_541284561214624104645789101745[[#This Row],[UNIT]]*_1_541284561214624104645789101745[[#This Row],[COST]],0)</f>
        <v>0</v>
      </c>
      <c r="N144" s="194">
        <f t="shared" si="2"/>
        <v>1.5</v>
      </c>
      <c r="O144" s="198">
        <f>_1_541284561214624104645789101745[[#This Row],[TOTAL]]*_1_541284561214624104645789101745[[#This Row],[MARGIN]]</f>
        <v>0</v>
      </c>
      <c r="R144" s="41"/>
    </row>
    <row r="145" spans="1:18">
      <c r="C145" s="168"/>
      <c r="D145" s="188"/>
      <c r="F145" s="168" t="s">
        <v>6202</v>
      </c>
      <c r="G145" s="193">
        <f>IF(_1_541284561214624104645789101745[[#This Row],[Type]]&gt;0,VLOOKUP(_1_541284561214624104645789101745[[#This Row],[Type]],Main[[#All],[TYPE]:[UNIT]],'Unit Price'!C$1,FALSE),0)</f>
        <v>0</v>
      </c>
      <c r="H145" s="197">
        <f>IF(_1_541284561214624104645789101745[[#This Row],[Type]]&gt;0,VLOOKUP(_1_541284561214624104645789101745[[#This Row],[Type]],Main[[#All],[TYPE]:[UNIT]],'Unit Price'!D$1,FALSE),0)</f>
        <v>0</v>
      </c>
      <c r="I145" s="194">
        <f>IF(_1_541284561214624104645789101745[[#This Row],[Type]]&gt;0,VLOOKUP(_1_541284561214624104645789101745[[#This Row],[Type]],Main[[#All],[TYPE]:[UNIT]],'Unit Price'!G$1,FALSE),0)</f>
        <v>0</v>
      </c>
      <c r="J145" s="194">
        <f>IF(_1_541284561214624104645789101745[[#This Row],[Type]]&gt;0,VLOOKUP(_1_541284561214624104645789101745[[#This Row],[Type]],Main[[#All],[TYPE]:[UNIT]],'Unit Price'!H$1,FALSE),0)</f>
        <v>0</v>
      </c>
      <c r="K145" s="194">
        <f>IF(_1_541284561214624104645789101745[[#This Row],[Discount selection]]&gt;0,VLOOKUP(_1_541284561214624104645789101745[[#This Row],[Discount selection]],'Discount Structure'!$A$2:$B$30,2,"false"),0)</f>
        <v>1</v>
      </c>
      <c r="L145" s="194">
        <f>_1_541284561214624104645789101745[[#This Row],[LIST $]]*_1_541284561214624104645789101745[[#This Row],[DISCOUNT]]*_1_541284561214624104645789101745[[#This Row],[DISCOUNT 2]]</f>
        <v>0</v>
      </c>
      <c r="M145" s="194">
        <f>IF(OR(_1_541284561214624104645789101745[[#This Row],[UNIT]]&gt;0,_1_541284561214624104645789101745[[#This Row],[UNIT]]&lt;0),_1_541284561214624104645789101745[[#This Row],[UNIT]]*_1_541284561214624104645789101745[[#This Row],[COST]],0)</f>
        <v>0</v>
      </c>
      <c r="N145" s="194">
        <f t="shared" si="2"/>
        <v>1.5</v>
      </c>
      <c r="O145" s="198">
        <f>_1_541284561214624104645789101745[[#This Row],[TOTAL]]*_1_541284561214624104645789101745[[#This Row],[MARGIN]]</f>
        <v>0</v>
      </c>
      <c r="R145" s="41"/>
    </row>
    <row r="146" spans="1:18">
      <c r="C146" s="168"/>
      <c r="D146" s="188"/>
      <c r="F146" s="168" t="s">
        <v>6202</v>
      </c>
      <c r="G146" s="193">
        <f>IF(_1_541284561214624104645789101745[[#This Row],[Type]]&gt;0,VLOOKUP(_1_541284561214624104645789101745[[#This Row],[Type]],Main[[#All],[TYPE]:[UNIT]],'Unit Price'!C$1,FALSE),0)</f>
        <v>0</v>
      </c>
      <c r="H146" s="197">
        <f>IF(_1_541284561214624104645789101745[[#This Row],[Type]]&gt;0,VLOOKUP(_1_541284561214624104645789101745[[#This Row],[Type]],Main[[#All],[TYPE]:[UNIT]],'Unit Price'!D$1,FALSE),0)</f>
        <v>0</v>
      </c>
      <c r="I146" s="194">
        <f>IF(_1_541284561214624104645789101745[[#This Row],[Type]]&gt;0,VLOOKUP(_1_541284561214624104645789101745[[#This Row],[Type]],Main[[#All],[TYPE]:[UNIT]],'Unit Price'!G$1,FALSE),0)</f>
        <v>0</v>
      </c>
      <c r="J146" s="194">
        <f>IF(_1_541284561214624104645789101745[[#This Row],[Type]]&gt;0,VLOOKUP(_1_541284561214624104645789101745[[#This Row],[Type]],Main[[#All],[TYPE]:[UNIT]],'Unit Price'!H$1,FALSE),0)</f>
        <v>0</v>
      </c>
      <c r="K146" s="194">
        <f>IF(_1_541284561214624104645789101745[[#This Row],[Discount selection]]&gt;0,VLOOKUP(_1_541284561214624104645789101745[[#This Row],[Discount selection]],'Discount Structure'!$A$2:$B$30,2,"false"),0)</f>
        <v>1</v>
      </c>
      <c r="L146" s="194">
        <f>_1_541284561214624104645789101745[[#This Row],[LIST $]]*_1_541284561214624104645789101745[[#This Row],[DISCOUNT]]*_1_541284561214624104645789101745[[#This Row],[DISCOUNT 2]]</f>
        <v>0</v>
      </c>
      <c r="M146" s="194">
        <f>IF(OR(_1_541284561214624104645789101745[[#This Row],[UNIT]]&gt;0,_1_541284561214624104645789101745[[#This Row],[UNIT]]&lt;0),_1_541284561214624104645789101745[[#This Row],[UNIT]]*_1_541284561214624104645789101745[[#This Row],[COST]],0)</f>
        <v>0</v>
      </c>
      <c r="N146" s="194">
        <f t="shared" si="2"/>
        <v>1.5</v>
      </c>
      <c r="O146" s="198">
        <f>_1_541284561214624104645789101745[[#This Row],[TOTAL]]*_1_541284561214624104645789101745[[#This Row],[MARGIN]]</f>
        <v>0</v>
      </c>
      <c r="R146" s="41"/>
    </row>
    <row r="147" spans="1:18">
      <c r="C147" s="168"/>
      <c r="D147" s="188"/>
      <c r="F147" s="168" t="s">
        <v>6202</v>
      </c>
      <c r="G147" s="193">
        <f>IF(_1_541284561214624104645789101745[[#This Row],[Type]]&gt;0,VLOOKUP(_1_541284561214624104645789101745[[#This Row],[Type]],Main[[#All],[TYPE]:[UNIT]],'Unit Price'!C$1,FALSE),0)</f>
        <v>0</v>
      </c>
      <c r="H147" s="197">
        <f>IF(_1_541284561214624104645789101745[[#This Row],[Type]]&gt;0,VLOOKUP(_1_541284561214624104645789101745[[#This Row],[Type]],Main[[#All],[TYPE]:[UNIT]],'Unit Price'!D$1,FALSE),0)</f>
        <v>0</v>
      </c>
      <c r="I147" s="194">
        <f>IF(_1_541284561214624104645789101745[[#This Row],[Type]]&gt;0,VLOOKUP(_1_541284561214624104645789101745[[#This Row],[Type]],Main[[#All],[TYPE]:[UNIT]],'Unit Price'!G$1,FALSE),0)</f>
        <v>0</v>
      </c>
      <c r="J147" s="194">
        <f>IF(_1_541284561214624104645789101745[[#This Row],[Type]]&gt;0,VLOOKUP(_1_541284561214624104645789101745[[#This Row],[Type]],Main[[#All],[TYPE]:[UNIT]],'Unit Price'!H$1,FALSE),0)</f>
        <v>0</v>
      </c>
      <c r="K147" s="194">
        <f>IF(_1_541284561214624104645789101745[[#This Row],[Discount selection]]&gt;0,VLOOKUP(_1_541284561214624104645789101745[[#This Row],[Discount selection]],'Discount Structure'!$A$2:$B$30,2,"false"),0)</f>
        <v>1</v>
      </c>
      <c r="L147" s="194">
        <f>_1_541284561214624104645789101745[[#This Row],[LIST $]]*_1_541284561214624104645789101745[[#This Row],[DISCOUNT]]*_1_541284561214624104645789101745[[#This Row],[DISCOUNT 2]]</f>
        <v>0</v>
      </c>
      <c r="M147" s="194">
        <f>IF(OR(_1_541284561214624104645789101745[[#This Row],[UNIT]]&gt;0,_1_541284561214624104645789101745[[#This Row],[UNIT]]&lt;0),_1_541284561214624104645789101745[[#This Row],[UNIT]]*_1_541284561214624104645789101745[[#This Row],[COST]],0)</f>
        <v>0</v>
      </c>
      <c r="N147" s="194">
        <f t="shared" si="2"/>
        <v>1.5</v>
      </c>
      <c r="O147" s="198">
        <f>_1_541284561214624104645789101745[[#This Row],[TOTAL]]*_1_541284561214624104645789101745[[#This Row],[MARGIN]]</f>
        <v>0</v>
      </c>
      <c r="R147" s="41"/>
    </row>
    <row r="148" spans="1:18">
      <c r="C148" s="168"/>
      <c r="D148" s="188"/>
      <c r="F148" s="168" t="s">
        <v>6202</v>
      </c>
      <c r="G148" s="193">
        <f>IF(_1_541284561214624104645789101745[[#This Row],[Type]]&gt;0,VLOOKUP(_1_541284561214624104645789101745[[#This Row],[Type]],Main[[#All],[TYPE]:[UNIT]],'Unit Price'!C$1,FALSE),0)</f>
        <v>0</v>
      </c>
      <c r="H148" s="197">
        <f>IF(_1_541284561214624104645789101745[[#This Row],[Type]]&gt;0,VLOOKUP(_1_541284561214624104645789101745[[#This Row],[Type]],Main[[#All],[TYPE]:[UNIT]],'Unit Price'!D$1,FALSE),0)</f>
        <v>0</v>
      </c>
      <c r="I148" s="194">
        <f>IF(_1_541284561214624104645789101745[[#This Row],[Type]]&gt;0,VLOOKUP(_1_541284561214624104645789101745[[#This Row],[Type]],Main[[#All],[TYPE]:[UNIT]],'Unit Price'!G$1,FALSE),0)</f>
        <v>0</v>
      </c>
      <c r="J148" s="194">
        <f>IF(_1_541284561214624104645789101745[[#This Row],[Type]]&gt;0,VLOOKUP(_1_541284561214624104645789101745[[#This Row],[Type]],Main[[#All],[TYPE]:[UNIT]],'Unit Price'!H$1,FALSE),0)</f>
        <v>0</v>
      </c>
      <c r="K148" s="194">
        <f>IF(_1_541284561214624104645789101745[[#This Row],[Discount selection]]&gt;0,VLOOKUP(_1_541284561214624104645789101745[[#This Row],[Discount selection]],'Discount Structure'!$A$2:$B$30,2,"false"),0)</f>
        <v>1</v>
      </c>
      <c r="L148" s="194">
        <f>_1_541284561214624104645789101745[[#This Row],[LIST $]]*_1_541284561214624104645789101745[[#This Row],[DISCOUNT]]*_1_541284561214624104645789101745[[#This Row],[DISCOUNT 2]]</f>
        <v>0</v>
      </c>
      <c r="M148" s="194">
        <f>IF(OR(_1_541284561214624104645789101745[[#This Row],[UNIT]]&gt;0,_1_541284561214624104645789101745[[#This Row],[UNIT]]&lt;0),_1_541284561214624104645789101745[[#This Row],[UNIT]]*_1_541284561214624104645789101745[[#This Row],[COST]],0)</f>
        <v>0</v>
      </c>
      <c r="N148" s="194">
        <f t="shared" si="2"/>
        <v>1.5</v>
      </c>
      <c r="O148" s="198">
        <f>_1_541284561214624104645789101745[[#This Row],[TOTAL]]*_1_541284561214624104645789101745[[#This Row],[MARGIN]]</f>
        <v>0</v>
      </c>
      <c r="R148" s="41"/>
    </row>
    <row r="149" spans="1:18">
      <c r="C149" s="168"/>
      <c r="D149" s="188"/>
      <c r="F149" s="168" t="s">
        <v>6202</v>
      </c>
      <c r="G149" s="193">
        <f>IF(_1_541284561214624104645789101745[[#This Row],[Type]]&gt;0,VLOOKUP(_1_541284561214624104645789101745[[#This Row],[Type]],Main[[#All],[TYPE]:[UNIT]],'Unit Price'!C$1,FALSE),0)</f>
        <v>0</v>
      </c>
      <c r="H149" s="197">
        <f>IF(_1_541284561214624104645789101745[[#This Row],[Type]]&gt;0,VLOOKUP(_1_541284561214624104645789101745[[#This Row],[Type]],Main[[#All],[TYPE]:[UNIT]],'Unit Price'!D$1,FALSE),0)</f>
        <v>0</v>
      </c>
      <c r="I149" s="194">
        <f>IF(_1_541284561214624104645789101745[[#This Row],[Type]]&gt;0,VLOOKUP(_1_541284561214624104645789101745[[#This Row],[Type]],Main[[#All],[TYPE]:[UNIT]],'Unit Price'!G$1,FALSE),0)</f>
        <v>0</v>
      </c>
      <c r="J149" s="194">
        <f>IF(_1_541284561214624104645789101745[[#This Row],[Type]]&gt;0,VLOOKUP(_1_541284561214624104645789101745[[#This Row],[Type]],Main[[#All],[TYPE]:[UNIT]],'Unit Price'!H$1,FALSE),0)</f>
        <v>0</v>
      </c>
      <c r="K149" s="194">
        <f>IF(_1_541284561214624104645789101745[[#This Row],[Discount selection]]&gt;0,VLOOKUP(_1_541284561214624104645789101745[[#This Row],[Discount selection]],'Discount Structure'!$A$2:$B$30,2,"false"),0)</f>
        <v>1</v>
      </c>
      <c r="L149" s="194">
        <f>_1_541284561214624104645789101745[[#This Row],[LIST $]]*_1_541284561214624104645789101745[[#This Row],[DISCOUNT]]*_1_541284561214624104645789101745[[#This Row],[DISCOUNT 2]]</f>
        <v>0</v>
      </c>
      <c r="M149" s="194">
        <f>IF(OR(_1_541284561214624104645789101745[[#This Row],[UNIT]]&gt;0,_1_541284561214624104645789101745[[#This Row],[UNIT]]&lt;0),_1_541284561214624104645789101745[[#This Row],[UNIT]]*_1_541284561214624104645789101745[[#This Row],[COST]],0)</f>
        <v>0</v>
      </c>
      <c r="N149" s="194">
        <f t="shared" si="2"/>
        <v>1.5</v>
      </c>
      <c r="O149" s="198">
        <f>_1_541284561214624104645789101745[[#This Row],[TOTAL]]*_1_541284561214624104645789101745[[#This Row],[MARGIN]]</f>
        <v>0</v>
      </c>
      <c r="R149" s="41"/>
    </row>
    <row r="150" spans="1:18">
      <c r="B150" s="168"/>
      <c r="C150" s="168"/>
      <c r="D150" s="188"/>
      <c r="F150" s="168" t="s">
        <v>6202</v>
      </c>
      <c r="G150" s="193">
        <f>IF(_1_541284561214624104645789101745[[#This Row],[Type]]&gt;0,VLOOKUP(_1_541284561214624104645789101745[[#This Row],[Type]],Main[[#All],[TYPE]:[UNIT]],'Unit Price'!C$1,FALSE),0)</f>
        <v>0</v>
      </c>
      <c r="H150" s="197">
        <f>IF(_1_541284561214624104645789101745[[#This Row],[Type]]&gt;0,VLOOKUP(_1_541284561214624104645789101745[[#This Row],[Type]],Main[[#All],[TYPE]:[UNIT]],'Unit Price'!D$1,FALSE),0)</f>
        <v>0</v>
      </c>
      <c r="I150" s="194">
        <f>IF(_1_541284561214624104645789101745[[#This Row],[Type]]&gt;0,VLOOKUP(_1_541284561214624104645789101745[[#This Row],[Type]],Main[[#All],[TYPE]:[UNIT]],'Unit Price'!G$1,FALSE),0)</f>
        <v>0</v>
      </c>
      <c r="J150" s="194">
        <f>IF(_1_541284561214624104645789101745[[#This Row],[Type]]&gt;0,VLOOKUP(_1_541284561214624104645789101745[[#This Row],[Type]],Main[[#All],[TYPE]:[UNIT]],'Unit Price'!H$1,FALSE),0)</f>
        <v>0</v>
      </c>
      <c r="K150" s="194">
        <f>IF(_1_541284561214624104645789101745[[#This Row],[Discount selection]]&gt;0,VLOOKUP(_1_541284561214624104645789101745[[#This Row],[Discount selection]],'Discount Structure'!$A$2:$B$30,2,"false"),0)</f>
        <v>1</v>
      </c>
      <c r="L150" s="194">
        <f>_1_541284561214624104645789101745[[#This Row],[LIST $]]*_1_541284561214624104645789101745[[#This Row],[DISCOUNT]]*_1_541284561214624104645789101745[[#This Row],[DISCOUNT 2]]</f>
        <v>0</v>
      </c>
      <c r="M150" s="194">
        <f>IF(OR(_1_541284561214624104645789101745[[#This Row],[UNIT]]&gt;0,_1_541284561214624104645789101745[[#This Row],[UNIT]]&lt;0),_1_541284561214624104645789101745[[#This Row],[UNIT]]*_1_541284561214624104645789101745[[#This Row],[COST]],0)</f>
        <v>0</v>
      </c>
      <c r="N150" s="194">
        <f t="shared" si="2"/>
        <v>1.5</v>
      </c>
      <c r="O150" s="198">
        <f>_1_541284561214624104645789101745[[#This Row],[TOTAL]]*_1_541284561214624104645789101745[[#This Row],[MARGIN]]</f>
        <v>0</v>
      </c>
      <c r="R150" s="41"/>
    </row>
    <row r="151" spans="1:18">
      <c r="C151" s="168"/>
      <c r="D151" s="188"/>
      <c r="F151" s="168" t="s">
        <v>6202</v>
      </c>
      <c r="G151" s="193">
        <f>IF(_1_541284561214624104645789101745[[#This Row],[Type]]&gt;0,VLOOKUP(_1_541284561214624104645789101745[[#This Row],[Type]],Main[[#All],[TYPE]:[UNIT]],'Unit Price'!C$1,FALSE),0)</f>
        <v>0</v>
      </c>
      <c r="H151" s="197">
        <f>IF(_1_541284561214624104645789101745[[#This Row],[Type]]&gt;0,VLOOKUP(_1_541284561214624104645789101745[[#This Row],[Type]],Main[[#All],[TYPE]:[UNIT]],'Unit Price'!D$1,FALSE),0)</f>
        <v>0</v>
      </c>
      <c r="I151" s="194">
        <f>IF(_1_541284561214624104645789101745[[#This Row],[Type]]&gt;0,VLOOKUP(_1_541284561214624104645789101745[[#This Row],[Type]],Main[[#All],[TYPE]:[UNIT]],'Unit Price'!G$1,FALSE),0)</f>
        <v>0</v>
      </c>
      <c r="J151" s="194">
        <f>IF(_1_541284561214624104645789101745[[#This Row],[Type]]&gt;0,VLOOKUP(_1_541284561214624104645789101745[[#This Row],[Type]],Main[[#All],[TYPE]:[UNIT]],'Unit Price'!H$1,FALSE),0)</f>
        <v>0</v>
      </c>
      <c r="K151" s="194">
        <f>IF(_1_541284561214624104645789101745[[#This Row],[Discount selection]]&gt;0,VLOOKUP(_1_541284561214624104645789101745[[#This Row],[Discount selection]],'Discount Structure'!$A$2:$B$30,2,"false"),0)</f>
        <v>1</v>
      </c>
      <c r="L151" s="194">
        <f>_1_541284561214624104645789101745[[#This Row],[LIST $]]*_1_541284561214624104645789101745[[#This Row],[DISCOUNT]]*_1_541284561214624104645789101745[[#This Row],[DISCOUNT 2]]</f>
        <v>0</v>
      </c>
      <c r="M151" s="194">
        <f>IF(OR(_1_541284561214624104645789101745[[#This Row],[UNIT]]&gt;0,_1_541284561214624104645789101745[[#This Row],[UNIT]]&lt;0),_1_541284561214624104645789101745[[#This Row],[UNIT]]*_1_541284561214624104645789101745[[#This Row],[COST]],0)</f>
        <v>0</v>
      </c>
      <c r="N151" s="194">
        <f t="shared" si="2"/>
        <v>1.5</v>
      </c>
      <c r="O151" s="198">
        <f>_1_541284561214624104645789101745[[#This Row],[TOTAL]]*_1_541284561214624104645789101745[[#This Row],[MARGIN]]</f>
        <v>0</v>
      </c>
      <c r="R151" s="41"/>
    </row>
    <row r="152" spans="1:18">
      <c r="C152" s="168"/>
      <c r="D152" s="188"/>
      <c r="F152" s="168" t="s">
        <v>6202</v>
      </c>
      <c r="G152" s="193">
        <f>IF(_1_541284561214624104645789101745[[#This Row],[Type]]&gt;0,VLOOKUP(_1_541284561214624104645789101745[[#This Row],[Type]],Main[[#All],[TYPE]:[UNIT]],'Unit Price'!C$1,FALSE),0)</f>
        <v>0</v>
      </c>
      <c r="H152" s="197">
        <f>IF(_1_541284561214624104645789101745[[#This Row],[Type]]&gt;0,VLOOKUP(_1_541284561214624104645789101745[[#This Row],[Type]],Main[[#All],[TYPE]:[UNIT]],'Unit Price'!D$1,FALSE),0)</f>
        <v>0</v>
      </c>
      <c r="I152" s="194">
        <f>IF(_1_541284561214624104645789101745[[#This Row],[Type]]&gt;0,VLOOKUP(_1_541284561214624104645789101745[[#This Row],[Type]],Main[[#All],[TYPE]:[UNIT]],'Unit Price'!G$1,FALSE),0)</f>
        <v>0</v>
      </c>
      <c r="J152" s="194">
        <f>IF(_1_541284561214624104645789101745[[#This Row],[Type]]&gt;0,VLOOKUP(_1_541284561214624104645789101745[[#This Row],[Type]],Main[[#All],[TYPE]:[UNIT]],'Unit Price'!H$1,FALSE),0)</f>
        <v>0</v>
      </c>
      <c r="K152" s="194">
        <f>IF(_1_541284561214624104645789101745[[#This Row],[Discount selection]]&gt;0,VLOOKUP(_1_541284561214624104645789101745[[#This Row],[Discount selection]],'Discount Structure'!$A$2:$B$30,2,"false"),0)</f>
        <v>1</v>
      </c>
      <c r="L152" s="194">
        <f>_1_541284561214624104645789101745[[#This Row],[LIST $]]*_1_541284561214624104645789101745[[#This Row],[DISCOUNT]]*_1_541284561214624104645789101745[[#This Row],[DISCOUNT 2]]</f>
        <v>0</v>
      </c>
      <c r="M152" s="194">
        <f>IF(OR(_1_541284561214624104645789101745[[#This Row],[UNIT]]&gt;0,_1_541284561214624104645789101745[[#This Row],[UNIT]]&lt;0),_1_541284561214624104645789101745[[#This Row],[UNIT]]*_1_541284561214624104645789101745[[#This Row],[COST]],0)</f>
        <v>0</v>
      </c>
      <c r="N152" s="194">
        <f t="shared" si="2"/>
        <v>1.5</v>
      </c>
      <c r="O152" s="198">
        <f>_1_541284561214624104645789101745[[#This Row],[TOTAL]]*_1_541284561214624104645789101745[[#This Row],[MARGIN]]</f>
        <v>0</v>
      </c>
      <c r="R152" s="41"/>
    </row>
    <row r="153" spans="1:18">
      <c r="A153" s="168"/>
      <c r="C153" s="168"/>
      <c r="D153" s="188"/>
      <c r="F153" s="168" t="s">
        <v>6202</v>
      </c>
      <c r="G153" s="193">
        <f>IF(_1_541284561214624104645789101745[[#This Row],[Type]]&gt;0,VLOOKUP(_1_541284561214624104645789101745[[#This Row],[Type]],Main[[#All],[TYPE]:[UNIT]],'Unit Price'!C$1,FALSE),0)</f>
        <v>0</v>
      </c>
      <c r="H153" s="197">
        <f>IF(_1_541284561214624104645789101745[[#This Row],[Type]]&gt;0,VLOOKUP(_1_541284561214624104645789101745[[#This Row],[Type]],Main[[#All],[TYPE]:[UNIT]],'Unit Price'!D$1,FALSE),0)</f>
        <v>0</v>
      </c>
      <c r="I153" s="194">
        <f>IF(_1_541284561214624104645789101745[[#This Row],[Type]]&gt;0,VLOOKUP(_1_541284561214624104645789101745[[#This Row],[Type]],Main[[#All],[TYPE]:[UNIT]],'Unit Price'!G$1,FALSE),0)</f>
        <v>0</v>
      </c>
      <c r="J153" s="194">
        <f>IF(_1_541284561214624104645789101745[[#This Row],[Type]]&gt;0,VLOOKUP(_1_541284561214624104645789101745[[#This Row],[Type]],Main[[#All],[TYPE]:[UNIT]],'Unit Price'!H$1,FALSE),0)</f>
        <v>0</v>
      </c>
      <c r="K153" s="194">
        <f>IF(_1_541284561214624104645789101745[[#This Row],[Discount selection]]&gt;0,VLOOKUP(_1_541284561214624104645789101745[[#This Row],[Discount selection]],'Discount Structure'!$A$2:$B$30,2,"false"),0)</f>
        <v>1</v>
      </c>
      <c r="L153" s="194">
        <f>_1_541284561214624104645789101745[[#This Row],[LIST $]]*_1_541284561214624104645789101745[[#This Row],[DISCOUNT]]*_1_541284561214624104645789101745[[#This Row],[DISCOUNT 2]]</f>
        <v>0</v>
      </c>
      <c r="M153" s="194">
        <f>IF(OR(_1_541284561214624104645789101745[[#This Row],[UNIT]]&gt;0,_1_541284561214624104645789101745[[#This Row],[UNIT]]&lt;0),_1_541284561214624104645789101745[[#This Row],[UNIT]]*_1_541284561214624104645789101745[[#This Row],[COST]],0)</f>
        <v>0</v>
      </c>
      <c r="N153" s="194">
        <f t="shared" si="2"/>
        <v>1.5</v>
      </c>
      <c r="O153" s="198">
        <f>_1_541284561214624104645789101745[[#This Row],[TOTAL]]*_1_541284561214624104645789101745[[#This Row],[MARGIN]]</f>
        <v>0</v>
      </c>
      <c r="R153" s="41"/>
    </row>
    <row r="154" spans="1:18">
      <c r="A154" s="168"/>
      <c r="C154" s="168"/>
      <c r="D154" s="188"/>
      <c r="F154" s="168" t="s">
        <v>6202</v>
      </c>
      <c r="G154" s="193">
        <f>IF(_1_541284561214624104645789101745[[#This Row],[Type]]&gt;0,VLOOKUP(_1_541284561214624104645789101745[[#This Row],[Type]],Main[[#All],[TYPE]:[UNIT]],'Unit Price'!C$1,FALSE),0)</f>
        <v>0</v>
      </c>
      <c r="H154" s="197">
        <f>IF(_1_541284561214624104645789101745[[#This Row],[Type]]&gt;0,VLOOKUP(_1_541284561214624104645789101745[[#This Row],[Type]],Main[[#All],[TYPE]:[UNIT]],'Unit Price'!D$1,FALSE),0)</f>
        <v>0</v>
      </c>
      <c r="I154" s="194">
        <f>IF(_1_541284561214624104645789101745[[#This Row],[Type]]&gt;0,VLOOKUP(_1_541284561214624104645789101745[[#This Row],[Type]],Main[[#All],[TYPE]:[UNIT]],'Unit Price'!G$1,FALSE),0)</f>
        <v>0</v>
      </c>
      <c r="J154" s="194">
        <f>IF(_1_541284561214624104645789101745[[#This Row],[Type]]&gt;0,VLOOKUP(_1_541284561214624104645789101745[[#This Row],[Type]],Main[[#All],[TYPE]:[UNIT]],'Unit Price'!H$1,FALSE),0)</f>
        <v>0</v>
      </c>
      <c r="K154" s="194">
        <f>IF(_1_541284561214624104645789101745[[#This Row],[Discount selection]]&gt;0,VLOOKUP(_1_541284561214624104645789101745[[#This Row],[Discount selection]],'Discount Structure'!$A$2:$B$30,2,"false"),0)</f>
        <v>1</v>
      </c>
      <c r="L154" s="194">
        <f>_1_541284561214624104645789101745[[#This Row],[LIST $]]*_1_541284561214624104645789101745[[#This Row],[DISCOUNT]]*_1_541284561214624104645789101745[[#This Row],[DISCOUNT 2]]</f>
        <v>0</v>
      </c>
      <c r="M154" s="194">
        <f>IF(OR(_1_541284561214624104645789101745[[#This Row],[UNIT]]&gt;0,_1_541284561214624104645789101745[[#This Row],[UNIT]]&lt;0),_1_541284561214624104645789101745[[#This Row],[UNIT]]*_1_541284561214624104645789101745[[#This Row],[COST]],0)</f>
        <v>0</v>
      </c>
      <c r="N154" s="194">
        <f t="shared" si="2"/>
        <v>1.5</v>
      </c>
      <c r="O154" s="198">
        <f>_1_541284561214624104645789101745[[#This Row],[TOTAL]]*_1_541284561214624104645789101745[[#This Row],[MARGIN]]</f>
        <v>0</v>
      </c>
      <c r="R154" s="41"/>
    </row>
    <row r="155" spans="1:18">
      <c r="B155" s="168"/>
      <c r="C155" s="168"/>
      <c r="D155" s="188"/>
      <c r="F155" s="168" t="s">
        <v>6202</v>
      </c>
      <c r="G155" s="193">
        <f>IF(_1_541284561214624104645789101745[[#This Row],[Type]]&gt;0,VLOOKUP(_1_541284561214624104645789101745[[#This Row],[Type]],Main[[#All],[TYPE]:[UNIT]],'Unit Price'!C$1,FALSE),0)</f>
        <v>0</v>
      </c>
      <c r="H155" s="197">
        <f>IF(_1_541284561214624104645789101745[[#This Row],[Type]]&gt;0,VLOOKUP(_1_541284561214624104645789101745[[#This Row],[Type]],Main[[#All],[TYPE]:[UNIT]],'Unit Price'!D$1,FALSE),0)</f>
        <v>0</v>
      </c>
      <c r="I155" s="194">
        <f>IF(_1_541284561214624104645789101745[[#This Row],[Type]]&gt;0,VLOOKUP(_1_541284561214624104645789101745[[#This Row],[Type]],Main[[#All],[TYPE]:[UNIT]],'Unit Price'!G$1,FALSE),0)</f>
        <v>0</v>
      </c>
      <c r="J155" s="194">
        <f>IF(_1_541284561214624104645789101745[[#This Row],[Type]]&gt;0,VLOOKUP(_1_541284561214624104645789101745[[#This Row],[Type]],Main[[#All],[TYPE]:[UNIT]],'Unit Price'!H$1,FALSE),0)</f>
        <v>0</v>
      </c>
      <c r="K155" s="194">
        <f>IF(_1_541284561214624104645789101745[[#This Row],[Discount selection]]&gt;0,VLOOKUP(_1_541284561214624104645789101745[[#This Row],[Discount selection]],'Discount Structure'!$A$2:$B$30,2,"false"),0)</f>
        <v>1</v>
      </c>
      <c r="L155" s="194">
        <f>_1_541284561214624104645789101745[[#This Row],[LIST $]]*_1_541284561214624104645789101745[[#This Row],[DISCOUNT]]*_1_541284561214624104645789101745[[#This Row],[DISCOUNT 2]]</f>
        <v>0</v>
      </c>
      <c r="M155" s="194">
        <f>IF(OR(_1_541284561214624104645789101745[[#This Row],[UNIT]]&gt;0,_1_541284561214624104645789101745[[#This Row],[UNIT]]&lt;0),_1_541284561214624104645789101745[[#This Row],[UNIT]]*_1_541284561214624104645789101745[[#This Row],[COST]],0)</f>
        <v>0</v>
      </c>
      <c r="N155" s="194">
        <f t="shared" si="2"/>
        <v>1.5</v>
      </c>
      <c r="O155" s="198">
        <f>_1_541284561214624104645789101745[[#This Row],[TOTAL]]*_1_541284561214624104645789101745[[#This Row],[MARGIN]]</f>
        <v>0</v>
      </c>
      <c r="R155" s="41"/>
    </row>
    <row r="156" spans="1:18">
      <c r="C156" s="168"/>
      <c r="D156" s="188"/>
      <c r="F156" s="168" t="s">
        <v>6202</v>
      </c>
      <c r="G156" s="193">
        <f>IF(_1_541284561214624104645789101745[[#This Row],[Type]]&gt;0,VLOOKUP(_1_541284561214624104645789101745[[#This Row],[Type]],Main[[#All],[TYPE]:[UNIT]],'Unit Price'!C$1,FALSE),0)</f>
        <v>0</v>
      </c>
      <c r="H156" s="197">
        <f>IF(_1_541284561214624104645789101745[[#This Row],[Type]]&gt;0,VLOOKUP(_1_541284561214624104645789101745[[#This Row],[Type]],Main[[#All],[TYPE]:[UNIT]],'Unit Price'!D$1,FALSE),0)</f>
        <v>0</v>
      </c>
      <c r="I156" s="194">
        <f>IF(_1_541284561214624104645789101745[[#This Row],[Type]]&gt;0,VLOOKUP(_1_541284561214624104645789101745[[#This Row],[Type]],Main[[#All],[TYPE]:[UNIT]],'Unit Price'!G$1,FALSE),0)</f>
        <v>0</v>
      </c>
      <c r="J156" s="194">
        <f>IF(_1_541284561214624104645789101745[[#This Row],[Type]]&gt;0,VLOOKUP(_1_541284561214624104645789101745[[#This Row],[Type]],Main[[#All],[TYPE]:[UNIT]],'Unit Price'!H$1,FALSE),0)</f>
        <v>0</v>
      </c>
      <c r="K156" s="194">
        <f>IF(_1_541284561214624104645789101745[[#This Row],[Discount selection]]&gt;0,VLOOKUP(_1_541284561214624104645789101745[[#This Row],[Discount selection]],'Discount Structure'!$A$2:$B$30,2,"false"),0)</f>
        <v>1</v>
      </c>
      <c r="L156" s="194">
        <f>_1_541284561214624104645789101745[[#This Row],[LIST $]]*_1_541284561214624104645789101745[[#This Row],[DISCOUNT]]*_1_541284561214624104645789101745[[#This Row],[DISCOUNT 2]]</f>
        <v>0</v>
      </c>
      <c r="M156" s="194">
        <f>IF(OR(_1_541284561214624104645789101745[[#This Row],[UNIT]]&gt;0,_1_541284561214624104645789101745[[#This Row],[UNIT]]&lt;0),_1_541284561214624104645789101745[[#This Row],[UNIT]]*_1_541284561214624104645789101745[[#This Row],[COST]],0)</f>
        <v>0</v>
      </c>
      <c r="N156" s="194">
        <f t="shared" si="2"/>
        <v>1.5</v>
      </c>
      <c r="O156" s="198">
        <f>_1_541284561214624104645789101745[[#This Row],[TOTAL]]*_1_541284561214624104645789101745[[#This Row],[MARGIN]]</f>
        <v>0</v>
      </c>
      <c r="R156" s="41"/>
    </row>
    <row r="157" spans="1:18">
      <c r="C157" s="168"/>
      <c r="D157" s="188"/>
      <c r="F157" s="168" t="s">
        <v>6202</v>
      </c>
      <c r="G157" s="193">
        <f>IF(_1_541284561214624104645789101745[[#This Row],[Type]]&gt;0,VLOOKUP(_1_541284561214624104645789101745[[#This Row],[Type]],Main[[#All],[TYPE]:[UNIT]],'Unit Price'!C$1,FALSE),0)</f>
        <v>0</v>
      </c>
      <c r="H157" s="197">
        <f>IF(_1_541284561214624104645789101745[[#This Row],[Type]]&gt;0,VLOOKUP(_1_541284561214624104645789101745[[#This Row],[Type]],Main[[#All],[TYPE]:[UNIT]],'Unit Price'!D$1,FALSE),0)</f>
        <v>0</v>
      </c>
      <c r="I157" s="194">
        <f>IF(_1_541284561214624104645789101745[[#This Row],[Type]]&gt;0,VLOOKUP(_1_541284561214624104645789101745[[#This Row],[Type]],Main[[#All],[TYPE]:[UNIT]],'Unit Price'!G$1,FALSE),0)</f>
        <v>0</v>
      </c>
      <c r="J157" s="194">
        <f>IF(_1_541284561214624104645789101745[[#This Row],[Type]]&gt;0,VLOOKUP(_1_541284561214624104645789101745[[#This Row],[Type]],Main[[#All],[TYPE]:[UNIT]],'Unit Price'!H$1,FALSE),0)</f>
        <v>0</v>
      </c>
      <c r="K157" s="194">
        <f>IF(_1_541284561214624104645789101745[[#This Row],[Discount selection]]&gt;0,VLOOKUP(_1_541284561214624104645789101745[[#This Row],[Discount selection]],'Discount Structure'!$A$2:$B$30,2,"false"),0)</f>
        <v>1</v>
      </c>
      <c r="L157" s="194">
        <f>_1_541284561214624104645789101745[[#This Row],[LIST $]]*_1_541284561214624104645789101745[[#This Row],[DISCOUNT]]*_1_541284561214624104645789101745[[#This Row],[DISCOUNT 2]]</f>
        <v>0</v>
      </c>
      <c r="M157" s="194">
        <f>IF(OR(_1_541284561214624104645789101745[[#This Row],[UNIT]]&gt;0,_1_541284561214624104645789101745[[#This Row],[UNIT]]&lt;0),_1_541284561214624104645789101745[[#This Row],[UNIT]]*_1_541284561214624104645789101745[[#This Row],[COST]],0)</f>
        <v>0</v>
      </c>
      <c r="N157" s="194">
        <f t="shared" si="2"/>
        <v>1.5</v>
      </c>
      <c r="O157" s="198">
        <f>_1_541284561214624104645789101745[[#This Row],[TOTAL]]*_1_541284561214624104645789101745[[#This Row],[MARGIN]]</f>
        <v>0</v>
      </c>
      <c r="R157" s="41"/>
    </row>
    <row r="158" spans="1:18">
      <c r="C158" s="168"/>
      <c r="D158" s="188"/>
      <c r="F158" s="168" t="s">
        <v>6202</v>
      </c>
      <c r="G158" s="193">
        <f>IF(_1_541284561214624104645789101745[[#This Row],[Type]]&gt;0,VLOOKUP(_1_541284561214624104645789101745[[#This Row],[Type]],Main[[#All],[TYPE]:[UNIT]],'Unit Price'!C$1,FALSE),0)</f>
        <v>0</v>
      </c>
      <c r="H158" s="197">
        <f>IF(_1_541284561214624104645789101745[[#This Row],[Type]]&gt;0,VLOOKUP(_1_541284561214624104645789101745[[#This Row],[Type]],Main[[#All],[TYPE]:[UNIT]],'Unit Price'!D$1,FALSE),0)</f>
        <v>0</v>
      </c>
      <c r="I158" s="194">
        <f>IF(_1_541284561214624104645789101745[[#This Row],[Type]]&gt;0,VLOOKUP(_1_541284561214624104645789101745[[#This Row],[Type]],Main[[#All],[TYPE]:[UNIT]],'Unit Price'!G$1,FALSE),0)</f>
        <v>0</v>
      </c>
      <c r="J158" s="194">
        <f>IF(_1_541284561214624104645789101745[[#This Row],[Type]]&gt;0,VLOOKUP(_1_541284561214624104645789101745[[#This Row],[Type]],Main[[#All],[TYPE]:[UNIT]],'Unit Price'!H$1,FALSE),0)</f>
        <v>0</v>
      </c>
      <c r="K158" s="194">
        <f>IF(_1_541284561214624104645789101745[[#This Row],[Discount selection]]&gt;0,VLOOKUP(_1_541284561214624104645789101745[[#This Row],[Discount selection]],'Discount Structure'!$A$2:$B$30,2,"false"),0)</f>
        <v>1</v>
      </c>
      <c r="L158" s="194">
        <f>_1_541284561214624104645789101745[[#This Row],[LIST $]]*_1_541284561214624104645789101745[[#This Row],[DISCOUNT]]*_1_541284561214624104645789101745[[#This Row],[DISCOUNT 2]]</f>
        <v>0</v>
      </c>
      <c r="M158" s="194">
        <f>IF(OR(_1_541284561214624104645789101745[[#This Row],[UNIT]]&gt;0,_1_541284561214624104645789101745[[#This Row],[UNIT]]&lt;0),_1_541284561214624104645789101745[[#This Row],[UNIT]]*_1_541284561214624104645789101745[[#This Row],[COST]],0)</f>
        <v>0</v>
      </c>
      <c r="N158" s="194">
        <f t="shared" si="2"/>
        <v>1.5</v>
      </c>
      <c r="O158" s="198">
        <f>_1_541284561214624104645789101745[[#This Row],[TOTAL]]*_1_541284561214624104645789101745[[#This Row],[MARGIN]]</f>
        <v>0</v>
      </c>
      <c r="R158" s="41"/>
    </row>
    <row r="159" spans="1:18">
      <c r="C159" s="168"/>
      <c r="D159" s="188"/>
      <c r="F159" s="168" t="s">
        <v>6202</v>
      </c>
      <c r="G159" s="193">
        <f>IF(_1_541284561214624104645789101745[[#This Row],[Type]]&gt;0,VLOOKUP(_1_541284561214624104645789101745[[#This Row],[Type]],Main[[#All],[TYPE]:[UNIT]],'Unit Price'!C$1,FALSE),0)</f>
        <v>0</v>
      </c>
      <c r="H159" s="197">
        <f>IF(_1_541284561214624104645789101745[[#This Row],[Type]]&gt;0,VLOOKUP(_1_541284561214624104645789101745[[#This Row],[Type]],Main[[#All],[TYPE]:[UNIT]],'Unit Price'!D$1,FALSE),0)</f>
        <v>0</v>
      </c>
      <c r="I159" s="194">
        <f>IF(_1_541284561214624104645789101745[[#This Row],[Type]]&gt;0,VLOOKUP(_1_541284561214624104645789101745[[#This Row],[Type]],Main[[#All],[TYPE]:[UNIT]],'Unit Price'!G$1,FALSE),0)</f>
        <v>0</v>
      </c>
      <c r="J159" s="194">
        <f>IF(_1_541284561214624104645789101745[[#This Row],[Type]]&gt;0,VLOOKUP(_1_541284561214624104645789101745[[#This Row],[Type]],Main[[#All],[TYPE]:[UNIT]],'Unit Price'!H$1,FALSE),0)</f>
        <v>0</v>
      </c>
      <c r="K159" s="194">
        <f>IF(_1_541284561214624104645789101745[[#This Row],[Discount selection]]&gt;0,VLOOKUP(_1_541284561214624104645789101745[[#This Row],[Discount selection]],'Discount Structure'!$A$2:$B$30,2,"false"),0)</f>
        <v>1</v>
      </c>
      <c r="L159" s="194">
        <f>_1_541284561214624104645789101745[[#This Row],[LIST $]]*_1_541284561214624104645789101745[[#This Row],[DISCOUNT]]*_1_541284561214624104645789101745[[#This Row],[DISCOUNT 2]]</f>
        <v>0</v>
      </c>
      <c r="M159" s="194">
        <f>IF(OR(_1_541284561214624104645789101745[[#This Row],[UNIT]]&gt;0,_1_541284561214624104645789101745[[#This Row],[UNIT]]&lt;0),_1_541284561214624104645789101745[[#This Row],[UNIT]]*_1_541284561214624104645789101745[[#This Row],[COST]],0)</f>
        <v>0</v>
      </c>
      <c r="N159" s="194">
        <f t="shared" si="2"/>
        <v>1.5</v>
      </c>
      <c r="O159" s="198">
        <f>_1_541284561214624104645789101745[[#This Row],[TOTAL]]*_1_541284561214624104645789101745[[#This Row],[MARGIN]]</f>
        <v>0</v>
      </c>
      <c r="R159" s="41"/>
    </row>
    <row r="160" spans="1:18">
      <c r="C160" s="168"/>
      <c r="D160" s="188"/>
      <c r="F160" s="168" t="s">
        <v>6202</v>
      </c>
      <c r="G160" s="193">
        <f>IF(_1_541284561214624104645789101745[[#This Row],[Type]]&gt;0,VLOOKUP(_1_541284561214624104645789101745[[#This Row],[Type]],Main[[#All],[TYPE]:[UNIT]],'Unit Price'!C$1,FALSE),0)</f>
        <v>0</v>
      </c>
      <c r="H160" s="197">
        <f>IF(_1_541284561214624104645789101745[[#This Row],[Type]]&gt;0,VLOOKUP(_1_541284561214624104645789101745[[#This Row],[Type]],Main[[#All],[TYPE]:[UNIT]],'Unit Price'!D$1,FALSE),0)</f>
        <v>0</v>
      </c>
      <c r="I160" s="194">
        <f>IF(_1_541284561214624104645789101745[[#This Row],[Type]]&gt;0,VLOOKUP(_1_541284561214624104645789101745[[#This Row],[Type]],Main[[#All],[TYPE]:[UNIT]],'Unit Price'!G$1,FALSE),0)</f>
        <v>0</v>
      </c>
      <c r="J160" s="194">
        <f>IF(_1_541284561214624104645789101745[[#This Row],[Type]]&gt;0,VLOOKUP(_1_541284561214624104645789101745[[#This Row],[Type]],Main[[#All],[TYPE]:[UNIT]],'Unit Price'!H$1,FALSE),0)</f>
        <v>0</v>
      </c>
      <c r="K160" s="194">
        <f>IF(_1_541284561214624104645789101745[[#This Row],[Discount selection]]&gt;0,VLOOKUP(_1_541284561214624104645789101745[[#This Row],[Discount selection]],'Discount Structure'!$A$2:$B$30,2,"false"),0)</f>
        <v>1</v>
      </c>
      <c r="L160" s="194">
        <f>_1_541284561214624104645789101745[[#This Row],[LIST $]]*_1_541284561214624104645789101745[[#This Row],[DISCOUNT]]*_1_541284561214624104645789101745[[#This Row],[DISCOUNT 2]]</f>
        <v>0</v>
      </c>
      <c r="M160" s="194">
        <f>IF(OR(_1_541284561214624104645789101745[[#This Row],[UNIT]]&gt;0,_1_541284561214624104645789101745[[#This Row],[UNIT]]&lt;0),_1_541284561214624104645789101745[[#This Row],[UNIT]]*_1_541284561214624104645789101745[[#This Row],[COST]],0)</f>
        <v>0</v>
      </c>
      <c r="N160" s="194">
        <f t="shared" si="2"/>
        <v>1.5</v>
      </c>
      <c r="O160" s="198">
        <f>_1_541284561214624104645789101745[[#This Row],[TOTAL]]*_1_541284561214624104645789101745[[#This Row],[MARGIN]]</f>
        <v>0</v>
      </c>
      <c r="R160" s="41"/>
    </row>
    <row r="161" spans="1:18">
      <c r="A161" s="168"/>
      <c r="C161" s="168"/>
      <c r="D161" s="188"/>
      <c r="F161" s="168" t="s">
        <v>6202</v>
      </c>
      <c r="G161" s="193">
        <f>IF(_1_541284561214624104645789101745[[#This Row],[Type]]&gt;0,VLOOKUP(_1_541284561214624104645789101745[[#This Row],[Type]],Main[[#All],[TYPE]:[UNIT]],'Unit Price'!C$1,FALSE),0)</f>
        <v>0</v>
      </c>
      <c r="H161" s="197">
        <f>IF(_1_541284561214624104645789101745[[#This Row],[Type]]&gt;0,VLOOKUP(_1_541284561214624104645789101745[[#This Row],[Type]],Main[[#All],[TYPE]:[UNIT]],'Unit Price'!D$1,FALSE),0)</f>
        <v>0</v>
      </c>
      <c r="I161" s="194">
        <f>IF(_1_541284561214624104645789101745[[#This Row],[Type]]&gt;0,VLOOKUP(_1_541284561214624104645789101745[[#This Row],[Type]],Main[[#All],[TYPE]:[UNIT]],'Unit Price'!G$1,FALSE),0)</f>
        <v>0</v>
      </c>
      <c r="J161" s="194">
        <f>IF(_1_541284561214624104645789101745[[#This Row],[Type]]&gt;0,VLOOKUP(_1_541284561214624104645789101745[[#This Row],[Type]],Main[[#All],[TYPE]:[UNIT]],'Unit Price'!H$1,FALSE),0)</f>
        <v>0</v>
      </c>
      <c r="K161" s="194">
        <f>IF(_1_541284561214624104645789101745[[#This Row],[Discount selection]]&gt;0,VLOOKUP(_1_541284561214624104645789101745[[#This Row],[Discount selection]],'Discount Structure'!$A$2:$B$30,2,"false"),0)</f>
        <v>1</v>
      </c>
      <c r="L161" s="194">
        <f>_1_541284561214624104645789101745[[#This Row],[LIST $]]*_1_541284561214624104645789101745[[#This Row],[DISCOUNT]]*_1_541284561214624104645789101745[[#This Row],[DISCOUNT 2]]</f>
        <v>0</v>
      </c>
      <c r="M161" s="194">
        <f>IF(OR(_1_541284561214624104645789101745[[#This Row],[UNIT]]&gt;0,_1_541284561214624104645789101745[[#This Row],[UNIT]]&lt;0),_1_541284561214624104645789101745[[#This Row],[UNIT]]*_1_541284561214624104645789101745[[#This Row],[COST]],0)</f>
        <v>0</v>
      </c>
      <c r="N161" s="194">
        <f t="shared" si="2"/>
        <v>1.5</v>
      </c>
      <c r="O161" s="198">
        <f>_1_541284561214624104645789101745[[#This Row],[TOTAL]]*_1_541284561214624104645789101745[[#This Row],[MARGIN]]</f>
        <v>0</v>
      </c>
      <c r="R161" s="41"/>
    </row>
    <row r="162" spans="1:18">
      <c r="B162" s="168"/>
      <c r="C162" s="168"/>
      <c r="D162" s="188"/>
      <c r="F162" s="168" t="s">
        <v>6202</v>
      </c>
      <c r="G162" s="193">
        <f>IF(_1_541284561214624104645789101745[[#This Row],[Type]]&gt;0,VLOOKUP(_1_541284561214624104645789101745[[#This Row],[Type]],Main[[#All],[TYPE]:[UNIT]],'Unit Price'!C$1,FALSE),0)</f>
        <v>0</v>
      </c>
      <c r="H162" s="197">
        <f>IF(_1_541284561214624104645789101745[[#This Row],[Type]]&gt;0,VLOOKUP(_1_541284561214624104645789101745[[#This Row],[Type]],Main[[#All],[TYPE]:[UNIT]],'Unit Price'!D$1,FALSE),0)</f>
        <v>0</v>
      </c>
      <c r="I162" s="194">
        <f>IF(_1_541284561214624104645789101745[[#This Row],[Type]]&gt;0,VLOOKUP(_1_541284561214624104645789101745[[#This Row],[Type]],Main[[#All],[TYPE]:[UNIT]],'Unit Price'!G$1,FALSE),0)</f>
        <v>0</v>
      </c>
      <c r="J162" s="194">
        <f>IF(_1_541284561214624104645789101745[[#This Row],[Type]]&gt;0,VLOOKUP(_1_541284561214624104645789101745[[#This Row],[Type]],Main[[#All],[TYPE]:[UNIT]],'Unit Price'!H$1,FALSE),0)</f>
        <v>0</v>
      </c>
      <c r="K162" s="194">
        <f>IF(_1_541284561214624104645789101745[[#This Row],[Discount selection]]&gt;0,VLOOKUP(_1_541284561214624104645789101745[[#This Row],[Discount selection]],'Discount Structure'!$A$2:$B$30,2,"false"),0)</f>
        <v>1</v>
      </c>
      <c r="L162" s="194">
        <f>_1_541284561214624104645789101745[[#This Row],[LIST $]]*_1_541284561214624104645789101745[[#This Row],[DISCOUNT]]*_1_541284561214624104645789101745[[#This Row],[DISCOUNT 2]]</f>
        <v>0</v>
      </c>
      <c r="M162" s="194">
        <f>IF(OR(_1_541284561214624104645789101745[[#This Row],[UNIT]]&gt;0,_1_541284561214624104645789101745[[#This Row],[UNIT]]&lt;0),_1_541284561214624104645789101745[[#This Row],[UNIT]]*_1_541284561214624104645789101745[[#This Row],[COST]],0)</f>
        <v>0</v>
      </c>
      <c r="N162" s="194">
        <f t="shared" si="2"/>
        <v>1.5</v>
      </c>
      <c r="O162" s="198">
        <f>_1_541284561214624104645789101745[[#This Row],[TOTAL]]*_1_541284561214624104645789101745[[#This Row],[MARGIN]]</f>
        <v>0</v>
      </c>
      <c r="R162" s="41"/>
    </row>
    <row r="163" spans="1:18">
      <c r="A163" s="168"/>
      <c r="C163" s="168"/>
      <c r="D163" s="188"/>
      <c r="F163" s="168" t="s">
        <v>6202</v>
      </c>
      <c r="G163" s="193">
        <f>IF(_1_541284561214624104645789101745[[#This Row],[Type]]&gt;0,VLOOKUP(_1_541284561214624104645789101745[[#This Row],[Type]],Main[[#All],[TYPE]:[UNIT]],'Unit Price'!C$1,FALSE),0)</f>
        <v>0</v>
      </c>
      <c r="H163" s="197">
        <f>IF(_1_541284561214624104645789101745[[#This Row],[Type]]&gt;0,VLOOKUP(_1_541284561214624104645789101745[[#This Row],[Type]],Main[[#All],[TYPE]:[UNIT]],'Unit Price'!D$1,FALSE),0)</f>
        <v>0</v>
      </c>
      <c r="I163" s="194">
        <f>IF(_1_541284561214624104645789101745[[#This Row],[Type]]&gt;0,VLOOKUP(_1_541284561214624104645789101745[[#This Row],[Type]],Main[[#All],[TYPE]:[UNIT]],'Unit Price'!G$1,FALSE),0)</f>
        <v>0</v>
      </c>
      <c r="J163" s="194">
        <f>IF(_1_541284561214624104645789101745[[#This Row],[Type]]&gt;0,VLOOKUP(_1_541284561214624104645789101745[[#This Row],[Type]],Main[[#All],[TYPE]:[UNIT]],'Unit Price'!H$1,FALSE),0)</f>
        <v>0</v>
      </c>
      <c r="K163" s="194">
        <f>IF(_1_541284561214624104645789101745[[#This Row],[Discount selection]]&gt;0,VLOOKUP(_1_541284561214624104645789101745[[#This Row],[Discount selection]],'Discount Structure'!$A$2:$B$30,2,"false"),0)</f>
        <v>1</v>
      </c>
      <c r="L163" s="194">
        <f>_1_541284561214624104645789101745[[#This Row],[LIST $]]*_1_541284561214624104645789101745[[#This Row],[DISCOUNT]]*_1_541284561214624104645789101745[[#This Row],[DISCOUNT 2]]</f>
        <v>0</v>
      </c>
      <c r="M163" s="194">
        <f>IF(OR(_1_541284561214624104645789101745[[#This Row],[UNIT]]&gt;0,_1_541284561214624104645789101745[[#This Row],[UNIT]]&lt;0),_1_541284561214624104645789101745[[#This Row],[UNIT]]*_1_541284561214624104645789101745[[#This Row],[COST]],0)</f>
        <v>0</v>
      </c>
      <c r="N163" s="194">
        <f t="shared" si="2"/>
        <v>1.5</v>
      </c>
      <c r="O163" s="198">
        <f>_1_541284561214624104645789101745[[#This Row],[TOTAL]]*_1_541284561214624104645789101745[[#This Row],[MARGIN]]</f>
        <v>0</v>
      </c>
      <c r="R163" s="41"/>
    </row>
    <row r="164" spans="1:18">
      <c r="B164" s="168"/>
      <c r="C164" s="168"/>
      <c r="D164" s="188"/>
      <c r="F164" s="168" t="s">
        <v>6202</v>
      </c>
      <c r="G164" s="193">
        <f>IF(_1_541284561214624104645789101745[[#This Row],[Type]]&gt;0,VLOOKUP(_1_541284561214624104645789101745[[#This Row],[Type]],Main[[#All],[TYPE]:[UNIT]],'Unit Price'!C$1,FALSE),0)</f>
        <v>0</v>
      </c>
      <c r="H164" s="197">
        <f>IF(_1_541284561214624104645789101745[[#This Row],[Type]]&gt;0,VLOOKUP(_1_541284561214624104645789101745[[#This Row],[Type]],Main[[#All],[TYPE]:[UNIT]],'Unit Price'!D$1,FALSE),0)</f>
        <v>0</v>
      </c>
      <c r="I164" s="194">
        <f>IF(_1_541284561214624104645789101745[[#This Row],[Type]]&gt;0,VLOOKUP(_1_541284561214624104645789101745[[#This Row],[Type]],Main[[#All],[TYPE]:[UNIT]],'Unit Price'!G$1,FALSE),0)</f>
        <v>0</v>
      </c>
      <c r="J164" s="194">
        <f>IF(_1_541284561214624104645789101745[[#This Row],[Type]]&gt;0,VLOOKUP(_1_541284561214624104645789101745[[#This Row],[Type]],Main[[#All],[TYPE]:[UNIT]],'Unit Price'!H$1,FALSE),0)</f>
        <v>0</v>
      </c>
      <c r="K164" s="194">
        <f>IF(_1_541284561214624104645789101745[[#This Row],[Discount selection]]&gt;0,VLOOKUP(_1_541284561214624104645789101745[[#This Row],[Discount selection]],'Discount Structure'!$A$2:$B$30,2,"false"),0)</f>
        <v>1</v>
      </c>
      <c r="L164" s="194">
        <f>_1_541284561214624104645789101745[[#This Row],[LIST $]]*_1_541284561214624104645789101745[[#This Row],[DISCOUNT]]*_1_541284561214624104645789101745[[#This Row],[DISCOUNT 2]]</f>
        <v>0</v>
      </c>
      <c r="M164" s="194">
        <f>IF(OR(_1_541284561214624104645789101745[[#This Row],[UNIT]]&gt;0,_1_541284561214624104645789101745[[#This Row],[UNIT]]&lt;0),_1_541284561214624104645789101745[[#This Row],[UNIT]]*_1_541284561214624104645789101745[[#This Row],[COST]],0)</f>
        <v>0</v>
      </c>
      <c r="N164" s="194">
        <f t="shared" si="2"/>
        <v>1.5</v>
      </c>
      <c r="O164" s="198">
        <f>_1_541284561214624104645789101745[[#This Row],[TOTAL]]*_1_541284561214624104645789101745[[#This Row],[MARGIN]]</f>
        <v>0</v>
      </c>
      <c r="R164" s="41"/>
    </row>
    <row r="165" spans="1:18">
      <c r="A165" s="168"/>
      <c r="C165" s="168"/>
      <c r="D165" s="188"/>
      <c r="F165" s="168" t="s">
        <v>6202</v>
      </c>
      <c r="G165" s="193">
        <f>IF(_1_541284561214624104645789101745[[#This Row],[Type]]&gt;0,VLOOKUP(_1_541284561214624104645789101745[[#This Row],[Type]],Main[[#All],[TYPE]:[UNIT]],'Unit Price'!C$1,FALSE),0)</f>
        <v>0</v>
      </c>
      <c r="H165" s="197">
        <f>IF(_1_541284561214624104645789101745[[#This Row],[Type]]&gt;0,VLOOKUP(_1_541284561214624104645789101745[[#This Row],[Type]],Main[[#All],[TYPE]:[UNIT]],'Unit Price'!D$1,FALSE),0)</f>
        <v>0</v>
      </c>
      <c r="I165" s="194">
        <f>IF(_1_541284561214624104645789101745[[#This Row],[Type]]&gt;0,VLOOKUP(_1_541284561214624104645789101745[[#This Row],[Type]],Main[[#All],[TYPE]:[UNIT]],'Unit Price'!G$1,FALSE),0)</f>
        <v>0</v>
      </c>
      <c r="J165" s="194">
        <f>IF(_1_541284561214624104645789101745[[#This Row],[Type]]&gt;0,VLOOKUP(_1_541284561214624104645789101745[[#This Row],[Type]],Main[[#All],[TYPE]:[UNIT]],'Unit Price'!H$1,FALSE),0)</f>
        <v>0</v>
      </c>
      <c r="K165" s="194">
        <f>IF(_1_541284561214624104645789101745[[#This Row],[Discount selection]]&gt;0,VLOOKUP(_1_541284561214624104645789101745[[#This Row],[Discount selection]],'Discount Structure'!$A$2:$B$30,2,"false"),0)</f>
        <v>1</v>
      </c>
      <c r="L165" s="194">
        <f>_1_541284561214624104645789101745[[#This Row],[LIST $]]*_1_541284561214624104645789101745[[#This Row],[DISCOUNT]]*_1_541284561214624104645789101745[[#This Row],[DISCOUNT 2]]</f>
        <v>0</v>
      </c>
      <c r="M165" s="194">
        <f>IF(OR(_1_541284561214624104645789101745[[#This Row],[UNIT]]&gt;0,_1_541284561214624104645789101745[[#This Row],[UNIT]]&lt;0),_1_541284561214624104645789101745[[#This Row],[UNIT]]*_1_541284561214624104645789101745[[#This Row],[COST]],0)</f>
        <v>0</v>
      </c>
      <c r="N165" s="194">
        <f t="shared" si="2"/>
        <v>1.5</v>
      </c>
      <c r="O165" s="198">
        <f>_1_541284561214624104645789101745[[#This Row],[TOTAL]]*_1_541284561214624104645789101745[[#This Row],[MARGIN]]</f>
        <v>0</v>
      </c>
      <c r="R165" s="41"/>
    </row>
    <row r="166" spans="1:18">
      <c r="B166" s="168"/>
      <c r="C166" s="168"/>
      <c r="D166" s="188"/>
      <c r="F166" s="168" t="s">
        <v>6202</v>
      </c>
      <c r="G166" s="193">
        <f>IF(_1_541284561214624104645789101745[[#This Row],[Type]]&gt;0,VLOOKUP(_1_541284561214624104645789101745[[#This Row],[Type]],Main[[#All],[TYPE]:[UNIT]],'Unit Price'!C$1,FALSE),0)</f>
        <v>0</v>
      </c>
      <c r="H166" s="197">
        <f>IF(_1_541284561214624104645789101745[[#This Row],[Type]]&gt;0,VLOOKUP(_1_541284561214624104645789101745[[#This Row],[Type]],Main[[#All],[TYPE]:[UNIT]],'Unit Price'!D$1,FALSE),0)</f>
        <v>0</v>
      </c>
      <c r="I166" s="194">
        <f>IF(_1_541284561214624104645789101745[[#This Row],[Type]]&gt;0,VLOOKUP(_1_541284561214624104645789101745[[#This Row],[Type]],Main[[#All],[TYPE]:[UNIT]],'Unit Price'!G$1,FALSE),0)</f>
        <v>0</v>
      </c>
      <c r="J166" s="194">
        <f>IF(_1_541284561214624104645789101745[[#This Row],[Type]]&gt;0,VLOOKUP(_1_541284561214624104645789101745[[#This Row],[Type]],Main[[#All],[TYPE]:[UNIT]],'Unit Price'!H$1,FALSE),0)</f>
        <v>0</v>
      </c>
      <c r="K166" s="194">
        <f>IF(_1_541284561214624104645789101745[[#This Row],[Discount selection]]&gt;0,VLOOKUP(_1_541284561214624104645789101745[[#This Row],[Discount selection]],'Discount Structure'!$A$2:$B$30,2,"false"),0)</f>
        <v>1</v>
      </c>
      <c r="L166" s="194">
        <f>_1_541284561214624104645789101745[[#This Row],[LIST $]]*_1_541284561214624104645789101745[[#This Row],[DISCOUNT]]*_1_541284561214624104645789101745[[#This Row],[DISCOUNT 2]]</f>
        <v>0</v>
      </c>
      <c r="M166" s="194">
        <f>IF(OR(_1_541284561214624104645789101745[[#This Row],[UNIT]]&gt;0,_1_541284561214624104645789101745[[#This Row],[UNIT]]&lt;0),_1_541284561214624104645789101745[[#This Row],[UNIT]]*_1_541284561214624104645789101745[[#This Row],[COST]],0)</f>
        <v>0</v>
      </c>
      <c r="N166" s="194">
        <f t="shared" si="2"/>
        <v>1.5</v>
      </c>
      <c r="O166" s="198">
        <f>_1_541284561214624104645789101745[[#This Row],[TOTAL]]*_1_541284561214624104645789101745[[#This Row],[MARGIN]]</f>
        <v>0</v>
      </c>
      <c r="R166" s="41"/>
    </row>
    <row r="167" spans="1:18">
      <c r="A167" s="168"/>
      <c r="C167" s="168"/>
      <c r="D167" s="188"/>
      <c r="F167" s="168" t="s">
        <v>6202</v>
      </c>
      <c r="G167" s="193">
        <f>IF(_1_541284561214624104645789101745[[#This Row],[Type]]&gt;0,VLOOKUP(_1_541284561214624104645789101745[[#This Row],[Type]],Main[[#All],[TYPE]:[UNIT]],'Unit Price'!C$1,FALSE),0)</f>
        <v>0</v>
      </c>
      <c r="H167" s="197">
        <f>IF(_1_541284561214624104645789101745[[#This Row],[Type]]&gt;0,VLOOKUP(_1_541284561214624104645789101745[[#This Row],[Type]],Main[[#All],[TYPE]:[UNIT]],'Unit Price'!D$1,FALSE),0)</f>
        <v>0</v>
      </c>
      <c r="I167" s="194">
        <f>IF(_1_541284561214624104645789101745[[#This Row],[Type]]&gt;0,VLOOKUP(_1_541284561214624104645789101745[[#This Row],[Type]],Main[[#All],[TYPE]:[UNIT]],'Unit Price'!G$1,FALSE),0)</f>
        <v>0</v>
      </c>
      <c r="J167" s="194">
        <f>IF(_1_541284561214624104645789101745[[#This Row],[Type]]&gt;0,VLOOKUP(_1_541284561214624104645789101745[[#This Row],[Type]],Main[[#All],[TYPE]:[UNIT]],'Unit Price'!H$1,FALSE),0)</f>
        <v>0</v>
      </c>
      <c r="K167" s="194">
        <f>IF(_1_541284561214624104645789101745[[#This Row],[Discount selection]]&gt;0,VLOOKUP(_1_541284561214624104645789101745[[#This Row],[Discount selection]],'Discount Structure'!$A$2:$B$30,2,"false"),0)</f>
        <v>1</v>
      </c>
      <c r="L167" s="194">
        <f>_1_541284561214624104645789101745[[#This Row],[LIST $]]*_1_541284561214624104645789101745[[#This Row],[DISCOUNT]]*_1_541284561214624104645789101745[[#This Row],[DISCOUNT 2]]</f>
        <v>0</v>
      </c>
      <c r="M167" s="194">
        <f>IF(OR(_1_541284561214624104645789101745[[#This Row],[UNIT]]&gt;0,_1_541284561214624104645789101745[[#This Row],[UNIT]]&lt;0),_1_541284561214624104645789101745[[#This Row],[UNIT]]*_1_541284561214624104645789101745[[#This Row],[COST]],0)</f>
        <v>0</v>
      </c>
      <c r="N167" s="194">
        <f t="shared" si="2"/>
        <v>1.5</v>
      </c>
      <c r="O167" s="198">
        <f>_1_541284561214624104645789101745[[#This Row],[TOTAL]]*_1_541284561214624104645789101745[[#This Row],[MARGIN]]</f>
        <v>0</v>
      </c>
      <c r="R167" s="41"/>
    </row>
    <row r="168" spans="1:18">
      <c r="B168" s="168"/>
      <c r="C168" s="168"/>
      <c r="D168" s="188"/>
      <c r="F168" s="168" t="s">
        <v>6202</v>
      </c>
      <c r="G168" s="193">
        <f>IF(_1_541284561214624104645789101745[[#This Row],[Type]]&gt;0,VLOOKUP(_1_541284561214624104645789101745[[#This Row],[Type]],Main[[#All],[TYPE]:[UNIT]],'Unit Price'!C$1,FALSE),0)</f>
        <v>0</v>
      </c>
      <c r="H168" s="197">
        <f>IF(_1_541284561214624104645789101745[[#This Row],[Type]]&gt;0,VLOOKUP(_1_541284561214624104645789101745[[#This Row],[Type]],Main[[#All],[TYPE]:[UNIT]],'Unit Price'!D$1,FALSE),0)</f>
        <v>0</v>
      </c>
      <c r="I168" s="194">
        <f>IF(_1_541284561214624104645789101745[[#This Row],[Type]]&gt;0,VLOOKUP(_1_541284561214624104645789101745[[#This Row],[Type]],Main[[#All],[TYPE]:[UNIT]],'Unit Price'!G$1,FALSE),0)</f>
        <v>0</v>
      </c>
      <c r="J168" s="194">
        <f>IF(_1_541284561214624104645789101745[[#This Row],[Type]]&gt;0,VLOOKUP(_1_541284561214624104645789101745[[#This Row],[Type]],Main[[#All],[TYPE]:[UNIT]],'Unit Price'!H$1,FALSE),0)</f>
        <v>0</v>
      </c>
      <c r="K168" s="194">
        <f>IF(_1_541284561214624104645789101745[[#This Row],[Discount selection]]&gt;0,VLOOKUP(_1_541284561214624104645789101745[[#This Row],[Discount selection]],'Discount Structure'!$A$2:$B$30,2,"false"),0)</f>
        <v>1</v>
      </c>
      <c r="L168" s="194">
        <f>_1_541284561214624104645789101745[[#This Row],[LIST $]]*_1_541284561214624104645789101745[[#This Row],[DISCOUNT]]*_1_541284561214624104645789101745[[#This Row],[DISCOUNT 2]]</f>
        <v>0</v>
      </c>
      <c r="M168" s="194">
        <f>IF(OR(_1_541284561214624104645789101745[[#This Row],[UNIT]]&gt;0,_1_541284561214624104645789101745[[#This Row],[UNIT]]&lt;0),_1_541284561214624104645789101745[[#This Row],[UNIT]]*_1_541284561214624104645789101745[[#This Row],[COST]],0)</f>
        <v>0</v>
      </c>
      <c r="N168" s="194">
        <f t="shared" si="2"/>
        <v>1.5</v>
      </c>
      <c r="O168" s="198">
        <f>_1_541284561214624104645789101745[[#This Row],[TOTAL]]*_1_541284561214624104645789101745[[#This Row],[MARGIN]]</f>
        <v>0</v>
      </c>
      <c r="R168" s="41"/>
    </row>
    <row r="169" spans="1:18">
      <c r="A169" s="168"/>
      <c r="C169" s="168"/>
      <c r="D169" s="188"/>
      <c r="F169" s="168" t="s">
        <v>6202</v>
      </c>
      <c r="G169" s="193">
        <f>IF(_1_541284561214624104645789101745[[#This Row],[Type]]&gt;0,VLOOKUP(_1_541284561214624104645789101745[[#This Row],[Type]],Main[[#All],[TYPE]:[UNIT]],'Unit Price'!C$1,FALSE),0)</f>
        <v>0</v>
      </c>
      <c r="H169" s="197">
        <f>IF(_1_541284561214624104645789101745[[#This Row],[Type]]&gt;0,VLOOKUP(_1_541284561214624104645789101745[[#This Row],[Type]],Main[[#All],[TYPE]:[UNIT]],'Unit Price'!D$1,FALSE),0)</f>
        <v>0</v>
      </c>
      <c r="I169" s="194">
        <f>IF(_1_541284561214624104645789101745[[#This Row],[Type]]&gt;0,VLOOKUP(_1_541284561214624104645789101745[[#This Row],[Type]],Main[[#All],[TYPE]:[UNIT]],'Unit Price'!G$1,FALSE),0)</f>
        <v>0</v>
      </c>
      <c r="J169" s="194">
        <f>IF(_1_541284561214624104645789101745[[#This Row],[Type]]&gt;0,VLOOKUP(_1_541284561214624104645789101745[[#This Row],[Type]],Main[[#All],[TYPE]:[UNIT]],'Unit Price'!H$1,FALSE),0)</f>
        <v>0</v>
      </c>
      <c r="K169" s="194">
        <f>IF(_1_541284561214624104645789101745[[#This Row],[Discount selection]]&gt;0,VLOOKUP(_1_541284561214624104645789101745[[#This Row],[Discount selection]],'Discount Structure'!$A$2:$B$30,2,"false"),0)</f>
        <v>1</v>
      </c>
      <c r="L169" s="194">
        <f>_1_541284561214624104645789101745[[#This Row],[LIST $]]*_1_541284561214624104645789101745[[#This Row],[DISCOUNT]]*_1_541284561214624104645789101745[[#This Row],[DISCOUNT 2]]</f>
        <v>0</v>
      </c>
      <c r="M169" s="194">
        <f>IF(OR(_1_541284561214624104645789101745[[#This Row],[UNIT]]&gt;0,_1_541284561214624104645789101745[[#This Row],[UNIT]]&lt;0),_1_541284561214624104645789101745[[#This Row],[UNIT]]*_1_541284561214624104645789101745[[#This Row],[COST]],0)</f>
        <v>0</v>
      </c>
      <c r="N169" s="194">
        <f t="shared" si="2"/>
        <v>1.5</v>
      </c>
      <c r="O169" s="198">
        <f>_1_541284561214624104645789101745[[#This Row],[TOTAL]]*_1_541284561214624104645789101745[[#This Row],[MARGIN]]</f>
        <v>0</v>
      </c>
      <c r="R169" s="41"/>
    </row>
    <row r="170" spans="1:18">
      <c r="B170" s="168"/>
      <c r="C170" s="168"/>
      <c r="D170" s="188"/>
      <c r="F170" s="168" t="s">
        <v>6202</v>
      </c>
      <c r="G170" s="193">
        <f>IF(_1_541284561214624104645789101745[[#This Row],[Type]]&gt;0,VLOOKUP(_1_541284561214624104645789101745[[#This Row],[Type]],Main[[#All],[TYPE]:[UNIT]],'Unit Price'!C$1,FALSE),0)</f>
        <v>0</v>
      </c>
      <c r="H170" s="197">
        <f>IF(_1_541284561214624104645789101745[[#This Row],[Type]]&gt;0,VLOOKUP(_1_541284561214624104645789101745[[#This Row],[Type]],Main[[#All],[TYPE]:[UNIT]],'Unit Price'!D$1,FALSE),0)</f>
        <v>0</v>
      </c>
      <c r="I170" s="194">
        <f>IF(_1_541284561214624104645789101745[[#This Row],[Type]]&gt;0,VLOOKUP(_1_541284561214624104645789101745[[#This Row],[Type]],Main[[#All],[TYPE]:[UNIT]],'Unit Price'!G$1,FALSE),0)</f>
        <v>0</v>
      </c>
      <c r="J170" s="194">
        <f>IF(_1_541284561214624104645789101745[[#This Row],[Type]]&gt;0,VLOOKUP(_1_541284561214624104645789101745[[#This Row],[Type]],Main[[#All],[TYPE]:[UNIT]],'Unit Price'!H$1,FALSE),0)</f>
        <v>0</v>
      </c>
      <c r="K170" s="194">
        <f>IF(_1_541284561214624104645789101745[[#This Row],[Discount selection]]&gt;0,VLOOKUP(_1_541284561214624104645789101745[[#This Row],[Discount selection]],'Discount Structure'!$A$2:$B$30,2,"false"),0)</f>
        <v>1</v>
      </c>
      <c r="L170" s="194">
        <f>_1_541284561214624104645789101745[[#This Row],[LIST $]]*_1_541284561214624104645789101745[[#This Row],[DISCOUNT]]*_1_541284561214624104645789101745[[#This Row],[DISCOUNT 2]]</f>
        <v>0</v>
      </c>
      <c r="M170" s="194">
        <f>IF(OR(_1_541284561214624104645789101745[[#This Row],[UNIT]]&gt;0,_1_541284561214624104645789101745[[#This Row],[UNIT]]&lt;0),_1_541284561214624104645789101745[[#This Row],[UNIT]]*_1_541284561214624104645789101745[[#This Row],[COST]],0)</f>
        <v>0</v>
      </c>
      <c r="N170" s="194">
        <f t="shared" si="2"/>
        <v>1.5</v>
      </c>
      <c r="O170" s="198">
        <f>_1_541284561214624104645789101745[[#This Row],[TOTAL]]*_1_541284561214624104645789101745[[#This Row],[MARGIN]]</f>
        <v>0</v>
      </c>
      <c r="R170" s="41"/>
    </row>
    <row r="171" spans="1:18">
      <c r="C171" s="168"/>
      <c r="D171" s="188"/>
      <c r="F171" s="168" t="s">
        <v>6202</v>
      </c>
      <c r="G171" s="193">
        <f>IF(_1_541284561214624104645789101745[[#This Row],[Type]]&gt;0,VLOOKUP(_1_541284561214624104645789101745[[#This Row],[Type]],Main[[#All],[TYPE]:[UNIT]],'Unit Price'!C$1,FALSE),0)</f>
        <v>0</v>
      </c>
      <c r="H171" s="197">
        <f>IF(_1_541284561214624104645789101745[[#This Row],[Type]]&gt;0,VLOOKUP(_1_541284561214624104645789101745[[#This Row],[Type]],Main[[#All],[TYPE]:[UNIT]],'Unit Price'!D$1,FALSE),0)</f>
        <v>0</v>
      </c>
      <c r="I171" s="194">
        <f>IF(_1_541284561214624104645789101745[[#This Row],[Type]]&gt;0,VLOOKUP(_1_541284561214624104645789101745[[#This Row],[Type]],Main[[#All],[TYPE]:[UNIT]],'Unit Price'!G$1,FALSE),0)</f>
        <v>0</v>
      </c>
      <c r="J171" s="194">
        <f>IF(_1_541284561214624104645789101745[[#This Row],[Type]]&gt;0,VLOOKUP(_1_541284561214624104645789101745[[#This Row],[Type]],Main[[#All],[TYPE]:[UNIT]],'Unit Price'!H$1,FALSE),0)</f>
        <v>0</v>
      </c>
      <c r="K171" s="194">
        <f>IF(_1_541284561214624104645789101745[[#This Row],[Discount selection]]&gt;0,VLOOKUP(_1_541284561214624104645789101745[[#This Row],[Discount selection]],'Discount Structure'!$A$2:$B$30,2,"false"),0)</f>
        <v>1</v>
      </c>
      <c r="L171" s="194">
        <f>_1_541284561214624104645789101745[[#This Row],[LIST $]]*_1_541284561214624104645789101745[[#This Row],[DISCOUNT]]*_1_541284561214624104645789101745[[#This Row],[DISCOUNT 2]]</f>
        <v>0</v>
      </c>
      <c r="M171" s="194">
        <f>IF(OR(_1_541284561214624104645789101745[[#This Row],[UNIT]]&gt;0,_1_541284561214624104645789101745[[#This Row],[UNIT]]&lt;0),_1_541284561214624104645789101745[[#This Row],[UNIT]]*_1_541284561214624104645789101745[[#This Row],[COST]],0)</f>
        <v>0</v>
      </c>
      <c r="N171" s="194">
        <f t="shared" si="2"/>
        <v>1.5</v>
      </c>
      <c r="O171" s="198">
        <f>_1_541284561214624104645789101745[[#This Row],[TOTAL]]*_1_541284561214624104645789101745[[#This Row],[MARGIN]]</f>
        <v>0</v>
      </c>
      <c r="R171" s="41"/>
    </row>
    <row r="172" spans="1:18">
      <c r="C172" s="168"/>
      <c r="D172" s="188"/>
      <c r="F172" s="168" t="s">
        <v>6202</v>
      </c>
      <c r="G172" s="193">
        <f>IF(_1_541284561214624104645789101745[[#This Row],[Type]]&gt;0,VLOOKUP(_1_541284561214624104645789101745[[#This Row],[Type]],Main[[#All],[TYPE]:[UNIT]],'Unit Price'!C$1,FALSE),0)</f>
        <v>0</v>
      </c>
      <c r="H172" s="197">
        <f>IF(_1_541284561214624104645789101745[[#This Row],[Type]]&gt;0,VLOOKUP(_1_541284561214624104645789101745[[#This Row],[Type]],Main[[#All],[TYPE]:[UNIT]],'Unit Price'!D$1,FALSE),0)</f>
        <v>0</v>
      </c>
      <c r="I172" s="194">
        <f>IF(_1_541284561214624104645789101745[[#This Row],[Type]]&gt;0,VLOOKUP(_1_541284561214624104645789101745[[#This Row],[Type]],Main[[#All],[TYPE]:[UNIT]],'Unit Price'!G$1,FALSE),0)</f>
        <v>0</v>
      </c>
      <c r="J172" s="194">
        <f>IF(_1_541284561214624104645789101745[[#This Row],[Type]]&gt;0,VLOOKUP(_1_541284561214624104645789101745[[#This Row],[Type]],Main[[#All],[TYPE]:[UNIT]],'Unit Price'!H$1,FALSE),0)</f>
        <v>0</v>
      </c>
      <c r="K172" s="194">
        <f>IF(_1_541284561214624104645789101745[[#This Row],[Discount selection]]&gt;0,VLOOKUP(_1_541284561214624104645789101745[[#This Row],[Discount selection]],'Discount Structure'!$A$2:$B$30,2,"false"),0)</f>
        <v>1</v>
      </c>
      <c r="L172" s="194">
        <f>_1_541284561214624104645789101745[[#This Row],[LIST $]]*_1_541284561214624104645789101745[[#This Row],[DISCOUNT]]*_1_541284561214624104645789101745[[#This Row],[DISCOUNT 2]]</f>
        <v>0</v>
      </c>
      <c r="M172" s="194">
        <f>IF(OR(_1_541284561214624104645789101745[[#This Row],[UNIT]]&gt;0,_1_541284561214624104645789101745[[#This Row],[UNIT]]&lt;0),_1_541284561214624104645789101745[[#This Row],[UNIT]]*_1_541284561214624104645789101745[[#This Row],[COST]],0)</f>
        <v>0</v>
      </c>
      <c r="N172" s="194">
        <f t="shared" si="2"/>
        <v>1.5</v>
      </c>
      <c r="O172" s="198">
        <f>_1_541284561214624104645789101745[[#This Row],[TOTAL]]*_1_541284561214624104645789101745[[#This Row],[MARGIN]]</f>
        <v>0</v>
      </c>
      <c r="R172" s="41"/>
    </row>
    <row r="173" spans="1:18">
      <c r="C173" s="168"/>
      <c r="D173" s="188"/>
      <c r="F173" s="168" t="s">
        <v>6202</v>
      </c>
      <c r="G173" s="193">
        <f>IF(_1_541284561214624104645789101745[[#This Row],[Type]]&gt;0,VLOOKUP(_1_541284561214624104645789101745[[#This Row],[Type]],Main[[#All],[TYPE]:[UNIT]],'Unit Price'!C$1,FALSE),0)</f>
        <v>0</v>
      </c>
      <c r="H173" s="197">
        <f>IF(_1_541284561214624104645789101745[[#This Row],[Type]]&gt;0,VLOOKUP(_1_541284561214624104645789101745[[#This Row],[Type]],Main[[#All],[TYPE]:[UNIT]],'Unit Price'!D$1,FALSE),0)</f>
        <v>0</v>
      </c>
      <c r="I173" s="194">
        <f>IF(_1_541284561214624104645789101745[[#This Row],[Type]]&gt;0,VLOOKUP(_1_541284561214624104645789101745[[#This Row],[Type]],Main[[#All],[TYPE]:[UNIT]],'Unit Price'!G$1,FALSE),0)</f>
        <v>0</v>
      </c>
      <c r="J173" s="194">
        <f>IF(_1_541284561214624104645789101745[[#This Row],[Type]]&gt;0,VLOOKUP(_1_541284561214624104645789101745[[#This Row],[Type]],Main[[#All],[TYPE]:[UNIT]],'Unit Price'!H$1,FALSE),0)</f>
        <v>0</v>
      </c>
      <c r="K173" s="194">
        <f>IF(_1_541284561214624104645789101745[[#This Row],[Discount selection]]&gt;0,VLOOKUP(_1_541284561214624104645789101745[[#This Row],[Discount selection]],'Discount Structure'!$A$2:$B$30,2,"false"),0)</f>
        <v>1</v>
      </c>
      <c r="L173" s="194">
        <f>_1_541284561214624104645789101745[[#This Row],[LIST $]]*_1_541284561214624104645789101745[[#This Row],[DISCOUNT]]*_1_541284561214624104645789101745[[#This Row],[DISCOUNT 2]]</f>
        <v>0</v>
      </c>
      <c r="M173" s="194">
        <f>IF(OR(_1_541284561214624104645789101745[[#This Row],[UNIT]]&gt;0,_1_541284561214624104645789101745[[#This Row],[UNIT]]&lt;0),_1_541284561214624104645789101745[[#This Row],[UNIT]]*_1_541284561214624104645789101745[[#This Row],[COST]],0)</f>
        <v>0</v>
      </c>
      <c r="N173" s="194">
        <f t="shared" si="2"/>
        <v>1.5</v>
      </c>
      <c r="O173" s="198">
        <f>_1_541284561214624104645789101745[[#This Row],[TOTAL]]*_1_541284561214624104645789101745[[#This Row],[MARGIN]]</f>
        <v>0</v>
      </c>
      <c r="R173" s="41"/>
    </row>
    <row r="174" spans="1:18">
      <c r="C174" s="168"/>
      <c r="D174" s="188"/>
      <c r="F174" s="168" t="s">
        <v>6202</v>
      </c>
      <c r="G174" s="193">
        <f>IF(_1_541284561214624104645789101745[[#This Row],[Type]]&gt;0,VLOOKUP(_1_541284561214624104645789101745[[#This Row],[Type]],Main[[#All],[TYPE]:[UNIT]],'Unit Price'!C$1,FALSE),0)</f>
        <v>0</v>
      </c>
      <c r="H174" s="197">
        <f>IF(_1_541284561214624104645789101745[[#This Row],[Type]]&gt;0,VLOOKUP(_1_541284561214624104645789101745[[#This Row],[Type]],Main[[#All],[TYPE]:[UNIT]],'Unit Price'!D$1,FALSE),0)</f>
        <v>0</v>
      </c>
      <c r="I174" s="194">
        <f>IF(_1_541284561214624104645789101745[[#This Row],[Type]]&gt;0,VLOOKUP(_1_541284561214624104645789101745[[#This Row],[Type]],Main[[#All],[TYPE]:[UNIT]],'Unit Price'!G$1,FALSE),0)</f>
        <v>0</v>
      </c>
      <c r="J174" s="194">
        <f>IF(_1_541284561214624104645789101745[[#This Row],[Type]]&gt;0,VLOOKUP(_1_541284561214624104645789101745[[#This Row],[Type]],Main[[#All],[TYPE]:[UNIT]],'Unit Price'!H$1,FALSE),0)</f>
        <v>0</v>
      </c>
      <c r="K174" s="194">
        <f>IF(_1_541284561214624104645789101745[[#This Row],[Discount selection]]&gt;0,VLOOKUP(_1_541284561214624104645789101745[[#This Row],[Discount selection]],'Discount Structure'!$A$2:$B$30,2,"false"),0)</f>
        <v>1</v>
      </c>
      <c r="L174" s="194">
        <f>_1_541284561214624104645789101745[[#This Row],[LIST $]]*_1_541284561214624104645789101745[[#This Row],[DISCOUNT]]*_1_541284561214624104645789101745[[#This Row],[DISCOUNT 2]]</f>
        <v>0</v>
      </c>
      <c r="M174" s="194">
        <f>IF(OR(_1_541284561214624104645789101745[[#This Row],[UNIT]]&gt;0,_1_541284561214624104645789101745[[#This Row],[UNIT]]&lt;0),_1_541284561214624104645789101745[[#This Row],[UNIT]]*_1_541284561214624104645789101745[[#This Row],[COST]],0)</f>
        <v>0</v>
      </c>
      <c r="N174" s="194">
        <f t="shared" si="2"/>
        <v>1.5</v>
      </c>
      <c r="O174" s="198">
        <f>_1_541284561214624104645789101745[[#This Row],[TOTAL]]*_1_541284561214624104645789101745[[#This Row],[MARGIN]]</f>
        <v>0</v>
      </c>
      <c r="R174" s="41"/>
    </row>
    <row r="175" spans="1:18">
      <c r="C175" s="168"/>
      <c r="D175" s="188"/>
      <c r="F175" s="168" t="s">
        <v>6202</v>
      </c>
      <c r="G175" s="193">
        <f>IF(_1_541284561214624104645789101745[[#This Row],[Type]]&gt;0,VLOOKUP(_1_541284561214624104645789101745[[#This Row],[Type]],Main[[#All],[TYPE]:[UNIT]],'Unit Price'!C$1,FALSE),0)</f>
        <v>0</v>
      </c>
      <c r="H175" s="197">
        <f>IF(_1_541284561214624104645789101745[[#This Row],[Type]]&gt;0,VLOOKUP(_1_541284561214624104645789101745[[#This Row],[Type]],Main[[#All],[TYPE]:[UNIT]],'Unit Price'!D$1,FALSE),0)</f>
        <v>0</v>
      </c>
      <c r="I175" s="194">
        <f>IF(_1_541284561214624104645789101745[[#This Row],[Type]]&gt;0,VLOOKUP(_1_541284561214624104645789101745[[#This Row],[Type]],Main[[#All],[TYPE]:[UNIT]],'Unit Price'!G$1,FALSE),0)</f>
        <v>0</v>
      </c>
      <c r="J175" s="194">
        <f>IF(_1_541284561214624104645789101745[[#This Row],[Type]]&gt;0,VLOOKUP(_1_541284561214624104645789101745[[#This Row],[Type]],Main[[#All],[TYPE]:[UNIT]],'Unit Price'!H$1,FALSE),0)</f>
        <v>0</v>
      </c>
      <c r="K175" s="194">
        <f>IF(_1_541284561214624104645789101745[[#This Row],[Discount selection]]&gt;0,VLOOKUP(_1_541284561214624104645789101745[[#This Row],[Discount selection]],'Discount Structure'!$A$2:$B$30,2,"false"),0)</f>
        <v>1</v>
      </c>
      <c r="L175" s="194">
        <f>_1_541284561214624104645789101745[[#This Row],[LIST $]]*_1_541284561214624104645789101745[[#This Row],[DISCOUNT]]*_1_541284561214624104645789101745[[#This Row],[DISCOUNT 2]]</f>
        <v>0</v>
      </c>
      <c r="M175" s="194">
        <f>IF(OR(_1_541284561214624104645789101745[[#This Row],[UNIT]]&gt;0,_1_541284561214624104645789101745[[#This Row],[UNIT]]&lt;0),_1_541284561214624104645789101745[[#This Row],[UNIT]]*_1_541284561214624104645789101745[[#This Row],[COST]],0)</f>
        <v>0</v>
      </c>
      <c r="N175" s="194">
        <f t="shared" si="2"/>
        <v>1.5</v>
      </c>
      <c r="O175" s="198">
        <f>_1_541284561214624104645789101745[[#This Row],[TOTAL]]*_1_541284561214624104645789101745[[#This Row],[MARGIN]]</f>
        <v>0</v>
      </c>
      <c r="R175" s="41"/>
    </row>
    <row r="176" spans="1:18">
      <c r="C176" s="168"/>
      <c r="D176" s="188"/>
      <c r="F176" s="168" t="s">
        <v>6202</v>
      </c>
      <c r="G176" s="193">
        <f>IF(_1_541284561214624104645789101745[[#This Row],[Type]]&gt;0,VLOOKUP(_1_541284561214624104645789101745[[#This Row],[Type]],Main[[#All],[TYPE]:[UNIT]],'Unit Price'!C$1,FALSE),0)</f>
        <v>0</v>
      </c>
      <c r="H176" s="197">
        <f>IF(_1_541284561214624104645789101745[[#This Row],[Type]]&gt;0,VLOOKUP(_1_541284561214624104645789101745[[#This Row],[Type]],Main[[#All],[TYPE]:[UNIT]],'Unit Price'!D$1,FALSE),0)</f>
        <v>0</v>
      </c>
      <c r="I176" s="194">
        <f>IF(_1_541284561214624104645789101745[[#This Row],[Type]]&gt;0,VLOOKUP(_1_541284561214624104645789101745[[#This Row],[Type]],Main[[#All],[TYPE]:[UNIT]],'Unit Price'!G$1,FALSE),0)</f>
        <v>0</v>
      </c>
      <c r="J176" s="194">
        <f>IF(_1_541284561214624104645789101745[[#This Row],[Type]]&gt;0,VLOOKUP(_1_541284561214624104645789101745[[#This Row],[Type]],Main[[#All],[TYPE]:[UNIT]],'Unit Price'!H$1,FALSE),0)</f>
        <v>0</v>
      </c>
      <c r="K176" s="194">
        <f>IF(_1_541284561214624104645789101745[[#This Row],[Discount selection]]&gt;0,VLOOKUP(_1_541284561214624104645789101745[[#This Row],[Discount selection]],'Discount Structure'!$A$2:$B$30,2,"false"),0)</f>
        <v>1</v>
      </c>
      <c r="L176" s="194">
        <f>_1_541284561214624104645789101745[[#This Row],[LIST $]]*_1_541284561214624104645789101745[[#This Row],[DISCOUNT]]*_1_541284561214624104645789101745[[#This Row],[DISCOUNT 2]]</f>
        <v>0</v>
      </c>
      <c r="M176" s="194">
        <f>IF(OR(_1_541284561214624104645789101745[[#This Row],[UNIT]]&gt;0,_1_541284561214624104645789101745[[#This Row],[UNIT]]&lt;0),_1_541284561214624104645789101745[[#This Row],[UNIT]]*_1_541284561214624104645789101745[[#This Row],[COST]],0)</f>
        <v>0</v>
      </c>
      <c r="N176" s="194">
        <f t="shared" si="2"/>
        <v>1.5</v>
      </c>
      <c r="O176" s="198">
        <f>_1_541284561214624104645789101745[[#This Row],[TOTAL]]*_1_541284561214624104645789101745[[#This Row],[MARGIN]]</f>
        <v>0</v>
      </c>
      <c r="R176" s="41"/>
    </row>
    <row r="177" spans="2:18">
      <c r="C177" s="168"/>
      <c r="D177" s="188"/>
      <c r="F177" s="168" t="s">
        <v>6202</v>
      </c>
      <c r="G177" s="193">
        <f>IF(_1_541284561214624104645789101745[[#This Row],[Type]]&gt;0,VLOOKUP(_1_541284561214624104645789101745[[#This Row],[Type]],Main[[#All],[TYPE]:[UNIT]],'Unit Price'!C$1,FALSE),0)</f>
        <v>0</v>
      </c>
      <c r="H177" s="197">
        <f>IF(_1_541284561214624104645789101745[[#This Row],[Type]]&gt;0,VLOOKUP(_1_541284561214624104645789101745[[#This Row],[Type]],Main[[#All],[TYPE]:[UNIT]],'Unit Price'!D$1,FALSE),0)</f>
        <v>0</v>
      </c>
      <c r="I177" s="194">
        <f>IF(_1_541284561214624104645789101745[[#This Row],[Type]]&gt;0,VLOOKUP(_1_541284561214624104645789101745[[#This Row],[Type]],Main[[#All],[TYPE]:[UNIT]],'Unit Price'!G$1,FALSE),0)</f>
        <v>0</v>
      </c>
      <c r="J177" s="194">
        <f>IF(_1_541284561214624104645789101745[[#This Row],[Type]]&gt;0,VLOOKUP(_1_541284561214624104645789101745[[#This Row],[Type]],Main[[#All],[TYPE]:[UNIT]],'Unit Price'!H$1,FALSE),0)</f>
        <v>0</v>
      </c>
      <c r="K177" s="194">
        <f>IF(_1_541284561214624104645789101745[[#This Row],[Discount selection]]&gt;0,VLOOKUP(_1_541284561214624104645789101745[[#This Row],[Discount selection]],'Discount Structure'!$A$2:$B$30,2,"false"),0)</f>
        <v>1</v>
      </c>
      <c r="L177" s="194">
        <f>_1_541284561214624104645789101745[[#This Row],[LIST $]]*_1_541284561214624104645789101745[[#This Row],[DISCOUNT]]*_1_541284561214624104645789101745[[#This Row],[DISCOUNT 2]]</f>
        <v>0</v>
      </c>
      <c r="M177" s="194">
        <f>IF(OR(_1_541284561214624104645789101745[[#This Row],[UNIT]]&gt;0,_1_541284561214624104645789101745[[#This Row],[UNIT]]&lt;0),_1_541284561214624104645789101745[[#This Row],[UNIT]]*_1_541284561214624104645789101745[[#This Row],[COST]],0)</f>
        <v>0</v>
      </c>
      <c r="N177" s="194">
        <f t="shared" si="2"/>
        <v>1.5</v>
      </c>
      <c r="O177" s="198">
        <f>_1_541284561214624104645789101745[[#This Row],[TOTAL]]*_1_541284561214624104645789101745[[#This Row],[MARGIN]]</f>
        <v>0</v>
      </c>
      <c r="R177" s="41"/>
    </row>
    <row r="178" spans="2:18">
      <c r="C178" s="168"/>
      <c r="D178" s="188"/>
      <c r="F178" s="168" t="s">
        <v>6202</v>
      </c>
      <c r="G178" s="193">
        <f>IF(_1_541284561214624104645789101745[[#This Row],[Type]]&gt;0,VLOOKUP(_1_541284561214624104645789101745[[#This Row],[Type]],Main[[#All],[TYPE]:[UNIT]],'Unit Price'!C$1,FALSE),0)</f>
        <v>0</v>
      </c>
      <c r="H178" s="197">
        <f>IF(_1_541284561214624104645789101745[[#This Row],[Type]]&gt;0,VLOOKUP(_1_541284561214624104645789101745[[#This Row],[Type]],Main[[#All],[TYPE]:[UNIT]],'Unit Price'!D$1,FALSE),0)</f>
        <v>0</v>
      </c>
      <c r="I178" s="194">
        <f>IF(_1_541284561214624104645789101745[[#This Row],[Type]]&gt;0,VLOOKUP(_1_541284561214624104645789101745[[#This Row],[Type]],Main[[#All],[TYPE]:[UNIT]],'Unit Price'!G$1,FALSE),0)</f>
        <v>0</v>
      </c>
      <c r="J178" s="194">
        <f>IF(_1_541284561214624104645789101745[[#This Row],[Type]]&gt;0,VLOOKUP(_1_541284561214624104645789101745[[#This Row],[Type]],Main[[#All],[TYPE]:[UNIT]],'Unit Price'!H$1,FALSE),0)</f>
        <v>0</v>
      </c>
      <c r="K178" s="194">
        <f>IF(_1_541284561214624104645789101745[[#This Row],[Discount selection]]&gt;0,VLOOKUP(_1_541284561214624104645789101745[[#This Row],[Discount selection]],'Discount Structure'!$A$2:$B$30,2,"false"),0)</f>
        <v>1</v>
      </c>
      <c r="L178" s="194">
        <f>_1_541284561214624104645789101745[[#This Row],[LIST $]]*_1_541284561214624104645789101745[[#This Row],[DISCOUNT]]*_1_541284561214624104645789101745[[#This Row],[DISCOUNT 2]]</f>
        <v>0</v>
      </c>
      <c r="M178" s="194">
        <f>IF(OR(_1_541284561214624104645789101745[[#This Row],[UNIT]]&gt;0,_1_541284561214624104645789101745[[#This Row],[UNIT]]&lt;0),_1_541284561214624104645789101745[[#This Row],[UNIT]]*_1_541284561214624104645789101745[[#This Row],[COST]],0)</f>
        <v>0</v>
      </c>
      <c r="N178" s="194">
        <f t="shared" si="2"/>
        <v>1.5</v>
      </c>
      <c r="O178" s="198">
        <f>_1_541284561214624104645789101745[[#This Row],[TOTAL]]*_1_541284561214624104645789101745[[#This Row],[MARGIN]]</f>
        <v>0</v>
      </c>
      <c r="R178" s="41"/>
    </row>
    <row r="179" spans="2:18">
      <c r="C179" s="168"/>
      <c r="D179" s="188"/>
      <c r="F179" s="168" t="s">
        <v>6202</v>
      </c>
      <c r="G179" s="193">
        <f>IF(_1_541284561214624104645789101745[[#This Row],[Type]]&gt;0,VLOOKUP(_1_541284561214624104645789101745[[#This Row],[Type]],Main[[#All],[TYPE]:[UNIT]],'Unit Price'!C$1,FALSE),0)</f>
        <v>0</v>
      </c>
      <c r="H179" s="197">
        <f>IF(_1_541284561214624104645789101745[[#This Row],[Type]]&gt;0,VLOOKUP(_1_541284561214624104645789101745[[#This Row],[Type]],Main[[#All],[TYPE]:[UNIT]],'Unit Price'!D$1,FALSE),0)</f>
        <v>0</v>
      </c>
      <c r="I179" s="194">
        <f>IF(_1_541284561214624104645789101745[[#This Row],[Type]]&gt;0,VLOOKUP(_1_541284561214624104645789101745[[#This Row],[Type]],Main[[#All],[TYPE]:[UNIT]],'Unit Price'!G$1,FALSE),0)</f>
        <v>0</v>
      </c>
      <c r="J179" s="194">
        <f>IF(_1_541284561214624104645789101745[[#This Row],[Type]]&gt;0,VLOOKUP(_1_541284561214624104645789101745[[#This Row],[Type]],Main[[#All],[TYPE]:[UNIT]],'Unit Price'!H$1,FALSE),0)</f>
        <v>0</v>
      </c>
      <c r="K179" s="194">
        <f>IF(_1_541284561214624104645789101745[[#This Row],[Discount selection]]&gt;0,VLOOKUP(_1_541284561214624104645789101745[[#This Row],[Discount selection]],'Discount Structure'!$A$2:$B$30,2,"false"),0)</f>
        <v>1</v>
      </c>
      <c r="L179" s="194">
        <f>_1_541284561214624104645789101745[[#This Row],[LIST $]]*_1_541284561214624104645789101745[[#This Row],[DISCOUNT]]*_1_541284561214624104645789101745[[#This Row],[DISCOUNT 2]]</f>
        <v>0</v>
      </c>
      <c r="M179" s="194">
        <f>IF(OR(_1_541284561214624104645789101745[[#This Row],[UNIT]]&gt;0,_1_541284561214624104645789101745[[#This Row],[UNIT]]&lt;0),_1_541284561214624104645789101745[[#This Row],[UNIT]]*_1_541284561214624104645789101745[[#This Row],[COST]],0)</f>
        <v>0</v>
      </c>
      <c r="N179" s="194">
        <f t="shared" si="2"/>
        <v>1.5</v>
      </c>
      <c r="O179" s="198">
        <f>_1_541284561214624104645789101745[[#This Row],[TOTAL]]*_1_541284561214624104645789101745[[#This Row],[MARGIN]]</f>
        <v>0</v>
      </c>
      <c r="R179" s="41"/>
    </row>
    <row r="180" spans="2:18">
      <c r="C180" s="168"/>
      <c r="D180" s="188"/>
      <c r="F180" s="168" t="s">
        <v>6202</v>
      </c>
      <c r="G180" s="193">
        <f>IF(_1_541284561214624104645789101745[[#This Row],[Type]]&gt;0,VLOOKUP(_1_541284561214624104645789101745[[#This Row],[Type]],Main[[#All],[TYPE]:[UNIT]],'Unit Price'!C$1,FALSE),0)</f>
        <v>0</v>
      </c>
      <c r="H180" s="197">
        <f>IF(_1_541284561214624104645789101745[[#This Row],[Type]]&gt;0,VLOOKUP(_1_541284561214624104645789101745[[#This Row],[Type]],Main[[#All],[TYPE]:[UNIT]],'Unit Price'!D$1,FALSE),0)</f>
        <v>0</v>
      </c>
      <c r="I180" s="194">
        <f>IF(_1_541284561214624104645789101745[[#This Row],[Type]]&gt;0,VLOOKUP(_1_541284561214624104645789101745[[#This Row],[Type]],Main[[#All],[TYPE]:[UNIT]],'Unit Price'!G$1,FALSE),0)</f>
        <v>0</v>
      </c>
      <c r="J180" s="194">
        <f>IF(_1_541284561214624104645789101745[[#This Row],[Type]]&gt;0,VLOOKUP(_1_541284561214624104645789101745[[#This Row],[Type]],Main[[#All],[TYPE]:[UNIT]],'Unit Price'!H$1,FALSE),0)</f>
        <v>0</v>
      </c>
      <c r="K180" s="194">
        <f>IF(_1_541284561214624104645789101745[[#This Row],[Discount selection]]&gt;0,VLOOKUP(_1_541284561214624104645789101745[[#This Row],[Discount selection]],'Discount Structure'!$A$2:$B$30,2,"false"),0)</f>
        <v>1</v>
      </c>
      <c r="L180" s="194">
        <f>_1_541284561214624104645789101745[[#This Row],[LIST $]]*_1_541284561214624104645789101745[[#This Row],[DISCOUNT]]*_1_541284561214624104645789101745[[#This Row],[DISCOUNT 2]]</f>
        <v>0</v>
      </c>
      <c r="M180" s="194">
        <f>IF(OR(_1_541284561214624104645789101745[[#This Row],[UNIT]]&gt;0,_1_541284561214624104645789101745[[#This Row],[UNIT]]&lt;0),_1_541284561214624104645789101745[[#This Row],[UNIT]]*_1_541284561214624104645789101745[[#This Row],[COST]],0)</f>
        <v>0</v>
      </c>
      <c r="N180" s="194">
        <f t="shared" si="2"/>
        <v>1.5</v>
      </c>
      <c r="O180" s="198">
        <f>_1_541284561214624104645789101745[[#This Row],[TOTAL]]*_1_541284561214624104645789101745[[#This Row],[MARGIN]]</f>
        <v>0</v>
      </c>
      <c r="R180" s="41"/>
    </row>
    <row r="181" spans="2:18">
      <c r="C181" s="168"/>
      <c r="D181" s="188"/>
      <c r="F181" s="168" t="s">
        <v>6202</v>
      </c>
      <c r="G181" s="193">
        <f>IF(_1_541284561214624104645789101745[[#This Row],[Type]]&gt;0,VLOOKUP(_1_541284561214624104645789101745[[#This Row],[Type]],Main[[#All],[TYPE]:[UNIT]],'Unit Price'!C$1,FALSE),0)</f>
        <v>0</v>
      </c>
      <c r="H181" s="197">
        <f>IF(_1_541284561214624104645789101745[[#This Row],[Type]]&gt;0,VLOOKUP(_1_541284561214624104645789101745[[#This Row],[Type]],Main[[#All],[TYPE]:[UNIT]],'Unit Price'!D$1,FALSE),0)</f>
        <v>0</v>
      </c>
      <c r="I181" s="194">
        <f>IF(_1_541284561214624104645789101745[[#This Row],[Type]]&gt;0,VLOOKUP(_1_541284561214624104645789101745[[#This Row],[Type]],Main[[#All],[TYPE]:[UNIT]],'Unit Price'!G$1,FALSE),0)</f>
        <v>0</v>
      </c>
      <c r="J181" s="194">
        <f>IF(_1_541284561214624104645789101745[[#This Row],[Type]]&gt;0,VLOOKUP(_1_541284561214624104645789101745[[#This Row],[Type]],Main[[#All],[TYPE]:[UNIT]],'Unit Price'!H$1,FALSE),0)</f>
        <v>0</v>
      </c>
      <c r="K181" s="194">
        <f>IF(_1_541284561214624104645789101745[[#This Row],[Discount selection]]&gt;0,VLOOKUP(_1_541284561214624104645789101745[[#This Row],[Discount selection]],'Discount Structure'!$A$2:$B$30,2,"false"),0)</f>
        <v>1</v>
      </c>
      <c r="L181" s="194">
        <f>_1_541284561214624104645789101745[[#This Row],[LIST $]]*_1_541284561214624104645789101745[[#This Row],[DISCOUNT]]*_1_541284561214624104645789101745[[#This Row],[DISCOUNT 2]]</f>
        <v>0</v>
      </c>
      <c r="M181" s="194">
        <f>IF(OR(_1_541284561214624104645789101745[[#This Row],[UNIT]]&gt;0,_1_541284561214624104645789101745[[#This Row],[UNIT]]&lt;0),_1_541284561214624104645789101745[[#This Row],[UNIT]]*_1_541284561214624104645789101745[[#This Row],[COST]],0)</f>
        <v>0</v>
      </c>
      <c r="N181" s="194">
        <f t="shared" si="2"/>
        <v>1.5</v>
      </c>
      <c r="O181" s="198">
        <f>_1_541284561214624104645789101745[[#This Row],[TOTAL]]*_1_541284561214624104645789101745[[#This Row],[MARGIN]]</f>
        <v>0</v>
      </c>
      <c r="R181" s="41"/>
    </row>
    <row r="182" spans="2:18">
      <c r="C182" s="168"/>
      <c r="D182" s="188"/>
      <c r="F182" s="168" t="s">
        <v>6202</v>
      </c>
      <c r="G182" s="193">
        <f>IF(_1_541284561214624104645789101745[[#This Row],[Type]]&gt;0,VLOOKUP(_1_541284561214624104645789101745[[#This Row],[Type]],Main[[#All],[TYPE]:[UNIT]],'Unit Price'!C$1,FALSE),0)</f>
        <v>0</v>
      </c>
      <c r="H182" s="197">
        <f>IF(_1_541284561214624104645789101745[[#This Row],[Type]]&gt;0,VLOOKUP(_1_541284561214624104645789101745[[#This Row],[Type]],Main[[#All],[TYPE]:[UNIT]],'Unit Price'!D$1,FALSE),0)</f>
        <v>0</v>
      </c>
      <c r="I182" s="194">
        <f>IF(_1_541284561214624104645789101745[[#This Row],[Type]]&gt;0,VLOOKUP(_1_541284561214624104645789101745[[#This Row],[Type]],Main[[#All],[TYPE]:[UNIT]],'Unit Price'!G$1,FALSE),0)</f>
        <v>0</v>
      </c>
      <c r="J182" s="194">
        <f>IF(_1_541284561214624104645789101745[[#This Row],[Type]]&gt;0,VLOOKUP(_1_541284561214624104645789101745[[#This Row],[Type]],Main[[#All],[TYPE]:[UNIT]],'Unit Price'!H$1,FALSE),0)</f>
        <v>0</v>
      </c>
      <c r="K182" s="194">
        <f>IF(_1_541284561214624104645789101745[[#This Row],[Discount selection]]&gt;0,VLOOKUP(_1_541284561214624104645789101745[[#This Row],[Discount selection]],'Discount Structure'!$A$2:$B$30,2,"false"),0)</f>
        <v>1</v>
      </c>
      <c r="L182" s="194">
        <f>_1_541284561214624104645789101745[[#This Row],[LIST $]]*_1_541284561214624104645789101745[[#This Row],[DISCOUNT]]*_1_541284561214624104645789101745[[#This Row],[DISCOUNT 2]]</f>
        <v>0</v>
      </c>
      <c r="M182" s="194">
        <f>IF(OR(_1_541284561214624104645789101745[[#This Row],[UNIT]]&gt;0,_1_541284561214624104645789101745[[#This Row],[UNIT]]&lt;0),_1_541284561214624104645789101745[[#This Row],[UNIT]]*_1_541284561214624104645789101745[[#This Row],[COST]],0)</f>
        <v>0</v>
      </c>
      <c r="N182" s="194">
        <f t="shared" si="2"/>
        <v>1.5</v>
      </c>
      <c r="O182" s="198">
        <f>_1_541284561214624104645789101745[[#This Row],[TOTAL]]*_1_541284561214624104645789101745[[#This Row],[MARGIN]]</f>
        <v>0</v>
      </c>
      <c r="R182" s="41"/>
    </row>
    <row r="183" spans="2:18">
      <c r="C183" s="168"/>
      <c r="D183" s="188"/>
      <c r="F183" s="168" t="s">
        <v>6202</v>
      </c>
      <c r="G183" s="193">
        <f>IF(_1_541284561214624104645789101745[[#This Row],[Type]]&gt;0,VLOOKUP(_1_541284561214624104645789101745[[#This Row],[Type]],Main[[#All],[TYPE]:[UNIT]],'Unit Price'!C$1,FALSE),0)</f>
        <v>0</v>
      </c>
      <c r="H183" s="197">
        <f>IF(_1_541284561214624104645789101745[[#This Row],[Type]]&gt;0,VLOOKUP(_1_541284561214624104645789101745[[#This Row],[Type]],Main[[#All],[TYPE]:[UNIT]],'Unit Price'!D$1,FALSE),0)</f>
        <v>0</v>
      </c>
      <c r="I183" s="194">
        <f>IF(_1_541284561214624104645789101745[[#This Row],[Type]]&gt;0,VLOOKUP(_1_541284561214624104645789101745[[#This Row],[Type]],Main[[#All],[TYPE]:[UNIT]],'Unit Price'!G$1,FALSE),0)</f>
        <v>0</v>
      </c>
      <c r="J183" s="194">
        <f>IF(_1_541284561214624104645789101745[[#This Row],[Type]]&gt;0,VLOOKUP(_1_541284561214624104645789101745[[#This Row],[Type]],Main[[#All],[TYPE]:[UNIT]],'Unit Price'!H$1,FALSE),0)</f>
        <v>0</v>
      </c>
      <c r="K183" s="194">
        <f>IF(_1_541284561214624104645789101745[[#This Row],[Discount selection]]&gt;0,VLOOKUP(_1_541284561214624104645789101745[[#This Row],[Discount selection]],'Discount Structure'!$A$2:$B$30,2,"false"),0)</f>
        <v>1</v>
      </c>
      <c r="L183" s="194">
        <f>_1_541284561214624104645789101745[[#This Row],[LIST $]]*_1_541284561214624104645789101745[[#This Row],[DISCOUNT]]*_1_541284561214624104645789101745[[#This Row],[DISCOUNT 2]]</f>
        <v>0</v>
      </c>
      <c r="M183" s="194">
        <f>IF(OR(_1_541284561214624104645789101745[[#This Row],[UNIT]]&gt;0,_1_541284561214624104645789101745[[#This Row],[UNIT]]&lt;0),_1_541284561214624104645789101745[[#This Row],[UNIT]]*_1_541284561214624104645789101745[[#This Row],[COST]],0)</f>
        <v>0</v>
      </c>
      <c r="N183" s="194">
        <f t="shared" si="2"/>
        <v>1.5</v>
      </c>
      <c r="O183" s="198">
        <f>_1_541284561214624104645789101745[[#This Row],[TOTAL]]*_1_541284561214624104645789101745[[#This Row],[MARGIN]]</f>
        <v>0</v>
      </c>
      <c r="R183" s="41"/>
    </row>
    <row r="184" spans="2:18">
      <c r="C184" s="168"/>
      <c r="D184" s="188"/>
      <c r="F184" s="168" t="s">
        <v>6202</v>
      </c>
      <c r="G184" s="193">
        <f>IF(_1_541284561214624104645789101745[[#This Row],[Type]]&gt;0,VLOOKUP(_1_541284561214624104645789101745[[#This Row],[Type]],Main[[#All],[TYPE]:[UNIT]],'Unit Price'!C$1,FALSE),0)</f>
        <v>0</v>
      </c>
      <c r="H184" s="197">
        <f>IF(_1_541284561214624104645789101745[[#This Row],[Type]]&gt;0,VLOOKUP(_1_541284561214624104645789101745[[#This Row],[Type]],Main[[#All],[TYPE]:[UNIT]],'Unit Price'!D$1,FALSE),0)</f>
        <v>0</v>
      </c>
      <c r="I184" s="194">
        <f>IF(_1_541284561214624104645789101745[[#This Row],[Type]]&gt;0,VLOOKUP(_1_541284561214624104645789101745[[#This Row],[Type]],Main[[#All],[TYPE]:[UNIT]],'Unit Price'!G$1,FALSE),0)</f>
        <v>0</v>
      </c>
      <c r="J184" s="194">
        <f>IF(_1_541284561214624104645789101745[[#This Row],[Type]]&gt;0,VLOOKUP(_1_541284561214624104645789101745[[#This Row],[Type]],Main[[#All],[TYPE]:[UNIT]],'Unit Price'!H$1,FALSE),0)</f>
        <v>0</v>
      </c>
      <c r="K184" s="194">
        <f>IF(_1_541284561214624104645789101745[[#This Row],[Discount selection]]&gt;0,VLOOKUP(_1_541284561214624104645789101745[[#This Row],[Discount selection]],'Discount Structure'!$A$2:$B$30,2,"false"),0)</f>
        <v>1</v>
      </c>
      <c r="L184" s="194">
        <f>_1_541284561214624104645789101745[[#This Row],[LIST $]]*_1_541284561214624104645789101745[[#This Row],[DISCOUNT]]*_1_541284561214624104645789101745[[#This Row],[DISCOUNT 2]]</f>
        <v>0</v>
      </c>
      <c r="M184" s="194">
        <f>IF(OR(_1_541284561214624104645789101745[[#This Row],[UNIT]]&gt;0,_1_541284561214624104645789101745[[#This Row],[UNIT]]&lt;0),_1_541284561214624104645789101745[[#This Row],[UNIT]]*_1_541284561214624104645789101745[[#This Row],[COST]],0)</f>
        <v>0</v>
      </c>
      <c r="N184" s="194">
        <f t="shared" si="2"/>
        <v>1.5</v>
      </c>
      <c r="O184" s="198">
        <f>_1_541284561214624104645789101745[[#This Row],[TOTAL]]*_1_541284561214624104645789101745[[#This Row],[MARGIN]]</f>
        <v>0</v>
      </c>
      <c r="R184" s="41"/>
    </row>
    <row r="185" spans="2:18">
      <c r="C185" s="168"/>
      <c r="D185" s="188"/>
      <c r="F185" s="168" t="s">
        <v>6202</v>
      </c>
      <c r="G185" s="193">
        <f>IF(_1_541284561214624104645789101745[[#This Row],[Type]]&gt;0,VLOOKUP(_1_541284561214624104645789101745[[#This Row],[Type]],Main[[#All],[TYPE]:[UNIT]],'Unit Price'!C$1,FALSE),0)</f>
        <v>0</v>
      </c>
      <c r="H185" s="197">
        <f>IF(_1_541284561214624104645789101745[[#This Row],[Type]]&gt;0,VLOOKUP(_1_541284561214624104645789101745[[#This Row],[Type]],Main[[#All],[TYPE]:[UNIT]],'Unit Price'!D$1,FALSE),0)</f>
        <v>0</v>
      </c>
      <c r="I185" s="194">
        <f>IF(_1_541284561214624104645789101745[[#This Row],[Type]]&gt;0,VLOOKUP(_1_541284561214624104645789101745[[#This Row],[Type]],Main[[#All],[TYPE]:[UNIT]],'Unit Price'!G$1,FALSE),0)</f>
        <v>0</v>
      </c>
      <c r="J185" s="194">
        <f>IF(_1_541284561214624104645789101745[[#This Row],[Type]]&gt;0,VLOOKUP(_1_541284561214624104645789101745[[#This Row],[Type]],Main[[#All],[TYPE]:[UNIT]],'Unit Price'!H$1,FALSE),0)</f>
        <v>0</v>
      </c>
      <c r="K185" s="194">
        <f>IF(_1_541284561214624104645789101745[[#This Row],[Discount selection]]&gt;0,VLOOKUP(_1_541284561214624104645789101745[[#This Row],[Discount selection]],'Discount Structure'!$A$2:$B$30,2,"false"),0)</f>
        <v>1</v>
      </c>
      <c r="L185" s="194">
        <f>_1_541284561214624104645789101745[[#This Row],[LIST $]]*_1_541284561214624104645789101745[[#This Row],[DISCOUNT]]*_1_541284561214624104645789101745[[#This Row],[DISCOUNT 2]]</f>
        <v>0</v>
      </c>
      <c r="M185" s="194">
        <f>IF(OR(_1_541284561214624104645789101745[[#This Row],[UNIT]]&gt;0,_1_541284561214624104645789101745[[#This Row],[UNIT]]&lt;0),_1_541284561214624104645789101745[[#This Row],[UNIT]]*_1_541284561214624104645789101745[[#This Row],[COST]],0)</f>
        <v>0</v>
      </c>
      <c r="N185" s="194">
        <f t="shared" si="2"/>
        <v>1.5</v>
      </c>
      <c r="O185" s="198">
        <f>_1_541284561214624104645789101745[[#This Row],[TOTAL]]*_1_541284561214624104645789101745[[#This Row],[MARGIN]]</f>
        <v>0</v>
      </c>
      <c r="R185" s="41"/>
    </row>
    <row r="186" spans="2:18">
      <c r="C186" s="168"/>
      <c r="D186" s="188"/>
      <c r="F186" s="168" t="s">
        <v>6202</v>
      </c>
      <c r="G186" s="193">
        <f>IF(_1_541284561214624104645789101745[[#This Row],[Type]]&gt;0,VLOOKUP(_1_541284561214624104645789101745[[#This Row],[Type]],Main[[#All],[TYPE]:[UNIT]],'Unit Price'!C$1,FALSE),0)</f>
        <v>0</v>
      </c>
      <c r="H186" s="197">
        <f>IF(_1_541284561214624104645789101745[[#This Row],[Type]]&gt;0,VLOOKUP(_1_541284561214624104645789101745[[#This Row],[Type]],Main[[#All],[TYPE]:[UNIT]],'Unit Price'!D$1,FALSE),0)</f>
        <v>0</v>
      </c>
      <c r="I186" s="194">
        <f>IF(_1_541284561214624104645789101745[[#This Row],[Type]]&gt;0,VLOOKUP(_1_541284561214624104645789101745[[#This Row],[Type]],Main[[#All],[TYPE]:[UNIT]],'Unit Price'!G$1,FALSE),0)</f>
        <v>0</v>
      </c>
      <c r="J186" s="194">
        <f>IF(_1_541284561214624104645789101745[[#This Row],[Type]]&gt;0,VLOOKUP(_1_541284561214624104645789101745[[#This Row],[Type]],Main[[#All],[TYPE]:[UNIT]],'Unit Price'!H$1,FALSE),0)</f>
        <v>0</v>
      </c>
      <c r="K186" s="194">
        <f>IF(_1_541284561214624104645789101745[[#This Row],[Discount selection]]&gt;0,VLOOKUP(_1_541284561214624104645789101745[[#This Row],[Discount selection]],'Discount Structure'!$A$2:$B$30,2,"false"),0)</f>
        <v>1</v>
      </c>
      <c r="L186" s="194">
        <f>_1_541284561214624104645789101745[[#This Row],[LIST $]]*_1_541284561214624104645789101745[[#This Row],[DISCOUNT]]*_1_541284561214624104645789101745[[#This Row],[DISCOUNT 2]]</f>
        <v>0</v>
      </c>
      <c r="M186" s="194">
        <f>IF(OR(_1_541284561214624104645789101745[[#This Row],[UNIT]]&gt;0,_1_541284561214624104645789101745[[#This Row],[UNIT]]&lt;0),_1_541284561214624104645789101745[[#This Row],[UNIT]]*_1_541284561214624104645789101745[[#This Row],[COST]],0)</f>
        <v>0</v>
      </c>
      <c r="N186" s="194">
        <f t="shared" si="2"/>
        <v>1.5</v>
      </c>
      <c r="O186" s="198">
        <f>_1_541284561214624104645789101745[[#This Row],[TOTAL]]*_1_541284561214624104645789101745[[#This Row],[MARGIN]]</f>
        <v>0</v>
      </c>
      <c r="R186" s="41"/>
    </row>
    <row r="187" spans="2:18">
      <c r="C187" s="168"/>
      <c r="D187" s="188"/>
      <c r="F187" s="168" t="s">
        <v>6202</v>
      </c>
      <c r="G187" s="193">
        <f>IF(_1_541284561214624104645789101745[[#This Row],[Type]]&gt;0,VLOOKUP(_1_541284561214624104645789101745[[#This Row],[Type]],Main[[#All],[TYPE]:[UNIT]],'Unit Price'!C$1,FALSE),0)</f>
        <v>0</v>
      </c>
      <c r="H187" s="197">
        <f>IF(_1_541284561214624104645789101745[[#This Row],[Type]]&gt;0,VLOOKUP(_1_541284561214624104645789101745[[#This Row],[Type]],Main[[#All],[TYPE]:[UNIT]],'Unit Price'!D$1,FALSE),0)</f>
        <v>0</v>
      </c>
      <c r="I187" s="194">
        <f>IF(_1_541284561214624104645789101745[[#This Row],[Type]]&gt;0,VLOOKUP(_1_541284561214624104645789101745[[#This Row],[Type]],Main[[#All],[TYPE]:[UNIT]],'Unit Price'!G$1,FALSE),0)</f>
        <v>0</v>
      </c>
      <c r="J187" s="194">
        <f>IF(_1_541284561214624104645789101745[[#This Row],[Type]]&gt;0,VLOOKUP(_1_541284561214624104645789101745[[#This Row],[Type]],Main[[#All],[TYPE]:[UNIT]],'Unit Price'!H$1,FALSE),0)</f>
        <v>0</v>
      </c>
      <c r="K187" s="194">
        <f>IF(_1_541284561214624104645789101745[[#This Row],[Discount selection]]&gt;0,VLOOKUP(_1_541284561214624104645789101745[[#This Row],[Discount selection]],'Discount Structure'!$A$2:$B$30,2,"false"),0)</f>
        <v>1</v>
      </c>
      <c r="L187" s="194">
        <f>_1_541284561214624104645789101745[[#This Row],[LIST $]]*_1_541284561214624104645789101745[[#This Row],[DISCOUNT]]*_1_541284561214624104645789101745[[#This Row],[DISCOUNT 2]]</f>
        <v>0</v>
      </c>
      <c r="M187" s="194">
        <f>IF(OR(_1_541284561214624104645789101745[[#This Row],[UNIT]]&gt;0,_1_541284561214624104645789101745[[#This Row],[UNIT]]&lt;0),_1_541284561214624104645789101745[[#This Row],[UNIT]]*_1_541284561214624104645789101745[[#This Row],[COST]],0)</f>
        <v>0</v>
      </c>
      <c r="N187" s="194">
        <f t="shared" si="2"/>
        <v>1.5</v>
      </c>
      <c r="O187" s="198">
        <f>_1_541284561214624104645789101745[[#This Row],[TOTAL]]*_1_541284561214624104645789101745[[#This Row],[MARGIN]]</f>
        <v>0</v>
      </c>
      <c r="R187" s="41"/>
    </row>
    <row r="188" spans="2:18">
      <c r="B188" s="168"/>
      <c r="C188" s="168"/>
      <c r="D188" s="188"/>
      <c r="F188" s="168" t="s">
        <v>6202</v>
      </c>
      <c r="G188" s="193">
        <f>IF(_1_541284561214624104645789101745[[#This Row],[Type]]&gt;0,VLOOKUP(_1_541284561214624104645789101745[[#This Row],[Type]],Main[[#All],[TYPE]:[UNIT]],'Unit Price'!C$1,FALSE),0)</f>
        <v>0</v>
      </c>
      <c r="H188" s="197">
        <f>IF(_1_541284561214624104645789101745[[#This Row],[Type]]&gt;0,VLOOKUP(_1_541284561214624104645789101745[[#This Row],[Type]],Main[[#All],[TYPE]:[UNIT]],'Unit Price'!D$1,FALSE),0)</f>
        <v>0</v>
      </c>
      <c r="I188" s="194">
        <f>IF(_1_541284561214624104645789101745[[#This Row],[Type]]&gt;0,VLOOKUP(_1_541284561214624104645789101745[[#This Row],[Type]],Main[[#All],[TYPE]:[UNIT]],'Unit Price'!G$1,FALSE),0)</f>
        <v>0</v>
      </c>
      <c r="J188" s="194">
        <f>IF(_1_541284561214624104645789101745[[#This Row],[Type]]&gt;0,VLOOKUP(_1_541284561214624104645789101745[[#This Row],[Type]],Main[[#All],[TYPE]:[UNIT]],'Unit Price'!H$1,FALSE),0)</f>
        <v>0</v>
      </c>
      <c r="K188" s="194">
        <f>IF(_1_541284561214624104645789101745[[#This Row],[Discount selection]]&gt;0,VLOOKUP(_1_541284561214624104645789101745[[#This Row],[Discount selection]],'Discount Structure'!$A$2:$B$30,2,"false"),0)</f>
        <v>1</v>
      </c>
      <c r="L188" s="194">
        <f>_1_541284561214624104645789101745[[#This Row],[LIST $]]*_1_541284561214624104645789101745[[#This Row],[DISCOUNT]]*_1_541284561214624104645789101745[[#This Row],[DISCOUNT 2]]</f>
        <v>0</v>
      </c>
      <c r="M188" s="194">
        <f>IF(OR(_1_541284561214624104645789101745[[#This Row],[UNIT]]&gt;0,_1_541284561214624104645789101745[[#This Row],[UNIT]]&lt;0),_1_541284561214624104645789101745[[#This Row],[UNIT]]*_1_541284561214624104645789101745[[#This Row],[COST]],0)</f>
        <v>0</v>
      </c>
      <c r="N188" s="194">
        <f t="shared" si="2"/>
        <v>1.5</v>
      </c>
      <c r="O188" s="198">
        <f>_1_541284561214624104645789101745[[#This Row],[TOTAL]]*_1_541284561214624104645789101745[[#This Row],[MARGIN]]</f>
        <v>0</v>
      </c>
      <c r="R188" s="41"/>
    </row>
    <row r="189" spans="2:18">
      <c r="C189" s="168"/>
      <c r="D189" s="188"/>
      <c r="F189" s="168" t="s">
        <v>6202</v>
      </c>
      <c r="G189" s="193">
        <f>IF(_1_541284561214624104645789101745[[#This Row],[Type]]&gt;0,VLOOKUP(_1_541284561214624104645789101745[[#This Row],[Type]],Main[[#All],[TYPE]:[UNIT]],'Unit Price'!C$1,FALSE),0)</f>
        <v>0</v>
      </c>
      <c r="H189" s="197">
        <f>IF(_1_541284561214624104645789101745[[#This Row],[Type]]&gt;0,VLOOKUP(_1_541284561214624104645789101745[[#This Row],[Type]],Main[[#All],[TYPE]:[UNIT]],'Unit Price'!D$1,FALSE),0)</f>
        <v>0</v>
      </c>
      <c r="I189" s="194">
        <f>IF(_1_541284561214624104645789101745[[#This Row],[Type]]&gt;0,VLOOKUP(_1_541284561214624104645789101745[[#This Row],[Type]],Main[[#All],[TYPE]:[UNIT]],'Unit Price'!G$1,FALSE),0)</f>
        <v>0</v>
      </c>
      <c r="J189" s="194">
        <f>IF(_1_541284561214624104645789101745[[#This Row],[Type]]&gt;0,VLOOKUP(_1_541284561214624104645789101745[[#This Row],[Type]],Main[[#All],[TYPE]:[UNIT]],'Unit Price'!H$1,FALSE),0)</f>
        <v>0</v>
      </c>
      <c r="K189" s="194">
        <f>IF(_1_541284561214624104645789101745[[#This Row],[Discount selection]]&gt;0,VLOOKUP(_1_541284561214624104645789101745[[#This Row],[Discount selection]],'Discount Structure'!$A$2:$B$30,2,"false"),0)</f>
        <v>1</v>
      </c>
      <c r="L189" s="194">
        <f>_1_541284561214624104645789101745[[#This Row],[LIST $]]*_1_541284561214624104645789101745[[#This Row],[DISCOUNT]]*_1_541284561214624104645789101745[[#This Row],[DISCOUNT 2]]</f>
        <v>0</v>
      </c>
      <c r="M189" s="194">
        <f>IF(OR(_1_541284561214624104645789101745[[#This Row],[UNIT]]&gt;0,_1_541284561214624104645789101745[[#This Row],[UNIT]]&lt;0),_1_541284561214624104645789101745[[#This Row],[UNIT]]*_1_541284561214624104645789101745[[#This Row],[COST]],0)</f>
        <v>0</v>
      </c>
      <c r="N189" s="194">
        <f t="shared" si="2"/>
        <v>1.5</v>
      </c>
      <c r="O189" s="198">
        <f>_1_541284561214624104645789101745[[#This Row],[TOTAL]]*_1_541284561214624104645789101745[[#This Row],[MARGIN]]</f>
        <v>0</v>
      </c>
      <c r="R189" s="41"/>
    </row>
    <row r="190" spans="2:18">
      <c r="C190" s="168"/>
      <c r="D190" s="188"/>
      <c r="F190" s="168" t="s">
        <v>6202</v>
      </c>
      <c r="G190" s="193">
        <f>IF(_1_541284561214624104645789101745[[#This Row],[Type]]&gt;0,VLOOKUP(_1_541284561214624104645789101745[[#This Row],[Type]],Main[[#All],[TYPE]:[UNIT]],'Unit Price'!C$1,FALSE),0)</f>
        <v>0</v>
      </c>
      <c r="H190" s="197">
        <f>IF(_1_541284561214624104645789101745[[#This Row],[Type]]&gt;0,VLOOKUP(_1_541284561214624104645789101745[[#This Row],[Type]],Main[[#All],[TYPE]:[UNIT]],'Unit Price'!D$1,FALSE),0)</f>
        <v>0</v>
      </c>
      <c r="I190" s="194">
        <f>IF(_1_541284561214624104645789101745[[#This Row],[Type]]&gt;0,VLOOKUP(_1_541284561214624104645789101745[[#This Row],[Type]],Main[[#All],[TYPE]:[UNIT]],'Unit Price'!G$1,FALSE),0)</f>
        <v>0</v>
      </c>
      <c r="J190" s="194">
        <f>IF(_1_541284561214624104645789101745[[#This Row],[Type]]&gt;0,VLOOKUP(_1_541284561214624104645789101745[[#This Row],[Type]],Main[[#All],[TYPE]:[UNIT]],'Unit Price'!H$1,FALSE),0)</f>
        <v>0</v>
      </c>
      <c r="K190" s="194">
        <f>IF(_1_541284561214624104645789101745[[#This Row],[Discount selection]]&gt;0,VLOOKUP(_1_541284561214624104645789101745[[#This Row],[Discount selection]],'Discount Structure'!$A$2:$B$30,2,"false"),0)</f>
        <v>1</v>
      </c>
      <c r="L190" s="194">
        <f>_1_541284561214624104645789101745[[#This Row],[LIST $]]*_1_541284561214624104645789101745[[#This Row],[DISCOUNT]]*_1_541284561214624104645789101745[[#This Row],[DISCOUNT 2]]</f>
        <v>0</v>
      </c>
      <c r="M190" s="194">
        <f>IF(OR(_1_541284561214624104645789101745[[#This Row],[UNIT]]&gt;0,_1_541284561214624104645789101745[[#This Row],[UNIT]]&lt;0),_1_541284561214624104645789101745[[#This Row],[UNIT]]*_1_541284561214624104645789101745[[#This Row],[COST]],0)</f>
        <v>0</v>
      </c>
      <c r="N190" s="194">
        <f t="shared" si="2"/>
        <v>1.5</v>
      </c>
      <c r="O190" s="198">
        <f>_1_541284561214624104645789101745[[#This Row],[TOTAL]]*_1_541284561214624104645789101745[[#This Row],[MARGIN]]</f>
        <v>0</v>
      </c>
      <c r="R190" s="41"/>
    </row>
    <row r="191" spans="2:18">
      <c r="C191" s="168"/>
      <c r="D191" s="188"/>
      <c r="F191" s="168" t="s">
        <v>6202</v>
      </c>
      <c r="G191" s="193">
        <f>IF(_1_541284561214624104645789101745[[#This Row],[Type]]&gt;0,VLOOKUP(_1_541284561214624104645789101745[[#This Row],[Type]],Main[[#All],[TYPE]:[UNIT]],'Unit Price'!C$1,FALSE),0)</f>
        <v>0</v>
      </c>
      <c r="H191" s="197">
        <f>IF(_1_541284561214624104645789101745[[#This Row],[Type]]&gt;0,VLOOKUP(_1_541284561214624104645789101745[[#This Row],[Type]],Main[[#All],[TYPE]:[UNIT]],'Unit Price'!D$1,FALSE),0)</f>
        <v>0</v>
      </c>
      <c r="I191" s="194">
        <f>IF(_1_541284561214624104645789101745[[#This Row],[Type]]&gt;0,VLOOKUP(_1_541284561214624104645789101745[[#This Row],[Type]],Main[[#All],[TYPE]:[UNIT]],'Unit Price'!G$1,FALSE),0)</f>
        <v>0</v>
      </c>
      <c r="J191" s="194">
        <f>IF(_1_541284561214624104645789101745[[#This Row],[Type]]&gt;0,VLOOKUP(_1_541284561214624104645789101745[[#This Row],[Type]],Main[[#All],[TYPE]:[UNIT]],'Unit Price'!H$1,FALSE),0)</f>
        <v>0</v>
      </c>
      <c r="K191" s="194">
        <f>IF(_1_541284561214624104645789101745[[#This Row],[Discount selection]]&gt;0,VLOOKUP(_1_541284561214624104645789101745[[#This Row],[Discount selection]],'Discount Structure'!$A$2:$B$30,2,"false"),0)</f>
        <v>1</v>
      </c>
      <c r="L191" s="194">
        <f>_1_541284561214624104645789101745[[#This Row],[LIST $]]*_1_541284561214624104645789101745[[#This Row],[DISCOUNT]]*_1_541284561214624104645789101745[[#This Row],[DISCOUNT 2]]</f>
        <v>0</v>
      </c>
      <c r="M191" s="194">
        <f>IF(OR(_1_541284561214624104645789101745[[#This Row],[UNIT]]&gt;0,_1_541284561214624104645789101745[[#This Row],[UNIT]]&lt;0),_1_541284561214624104645789101745[[#This Row],[UNIT]]*_1_541284561214624104645789101745[[#This Row],[COST]],0)</f>
        <v>0</v>
      </c>
      <c r="N191" s="194">
        <f t="shared" si="2"/>
        <v>1.5</v>
      </c>
      <c r="O191" s="198">
        <f>_1_541284561214624104645789101745[[#This Row],[TOTAL]]*_1_541284561214624104645789101745[[#This Row],[MARGIN]]</f>
        <v>0</v>
      </c>
      <c r="R191" s="41"/>
    </row>
    <row r="192" spans="2:18">
      <c r="C192" s="168"/>
      <c r="D192" s="188"/>
      <c r="F192" s="168" t="s">
        <v>6202</v>
      </c>
      <c r="G192" s="193">
        <f>IF(_1_541284561214624104645789101745[[#This Row],[Type]]&gt;0,VLOOKUP(_1_541284561214624104645789101745[[#This Row],[Type]],Main[[#All],[TYPE]:[UNIT]],'Unit Price'!C$1,FALSE),0)</f>
        <v>0</v>
      </c>
      <c r="H192" s="197">
        <f>IF(_1_541284561214624104645789101745[[#This Row],[Type]]&gt;0,VLOOKUP(_1_541284561214624104645789101745[[#This Row],[Type]],Main[[#All],[TYPE]:[UNIT]],'Unit Price'!D$1,FALSE),0)</f>
        <v>0</v>
      </c>
      <c r="I192" s="194">
        <f>IF(_1_541284561214624104645789101745[[#This Row],[Type]]&gt;0,VLOOKUP(_1_541284561214624104645789101745[[#This Row],[Type]],Main[[#All],[TYPE]:[UNIT]],'Unit Price'!G$1,FALSE),0)</f>
        <v>0</v>
      </c>
      <c r="J192" s="194">
        <f>IF(_1_541284561214624104645789101745[[#This Row],[Type]]&gt;0,VLOOKUP(_1_541284561214624104645789101745[[#This Row],[Type]],Main[[#All],[TYPE]:[UNIT]],'Unit Price'!H$1,FALSE),0)</f>
        <v>0</v>
      </c>
      <c r="K192" s="194">
        <f>IF(_1_541284561214624104645789101745[[#This Row],[Discount selection]]&gt;0,VLOOKUP(_1_541284561214624104645789101745[[#This Row],[Discount selection]],'Discount Structure'!$A$2:$B$30,2,"false"),0)</f>
        <v>1</v>
      </c>
      <c r="L192" s="194">
        <f>_1_541284561214624104645789101745[[#This Row],[LIST $]]*_1_541284561214624104645789101745[[#This Row],[DISCOUNT]]*_1_541284561214624104645789101745[[#This Row],[DISCOUNT 2]]</f>
        <v>0</v>
      </c>
      <c r="M192" s="194">
        <f>IF(OR(_1_541284561214624104645789101745[[#This Row],[UNIT]]&gt;0,_1_541284561214624104645789101745[[#This Row],[UNIT]]&lt;0),_1_541284561214624104645789101745[[#This Row],[UNIT]]*_1_541284561214624104645789101745[[#This Row],[COST]],0)</f>
        <v>0</v>
      </c>
      <c r="N192" s="194">
        <f t="shared" si="2"/>
        <v>1.5</v>
      </c>
      <c r="O192" s="198">
        <f>_1_541284561214624104645789101745[[#This Row],[TOTAL]]*_1_541284561214624104645789101745[[#This Row],[MARGIN]]</f>
        <v>0</v>
      </c>
      <c r="R192" s="41"/>
    </row>
    <row r="193" spans="1:18">
      <c r="A193" s="168"/>
      <c r="C193" s="168"/>
      <c r="D193" s="188"/>
      <c r="F193" s="168" t="s">
        <v>6202</v>
      </c>
      <c r="G193" s="193">
        <f>IF(_1_541284561214624104645789101745[[#This Row],[Type]]&gt;0,VLOOKUP(_1_541284561214624104645789101745[[#This Row],[Type]],Main[[#All],[TYPE]:[UNIT]],'Unit Price'!C$1,FALSE),0)</f>
        <v>0</v>
      </c>
      <c r="H193" s="197">
        <f>IF(_1_541284561214624104645789101745[[#This Row],[Type]]&gt;0,VLOOKUP(_1_541284561214624104645789101745[[#This Row],[Type]],Main[[#All],[TYPE]:[UNIT]],'Unit Price'!D$1,FALSE),0)</f>
        <v>0</v>
      </c>
      <c r="I193" s="194">
        <f>IF(_1_541284561214624104645789101745[[#This Row],[Type]]&gt;0,VLOOKUP(_1_541284561214624104645789101745[[#This Row],[Type]],Main[[#All],[TYPE]:[UNIT]],'Unit Price'!G$1,FALSE),0)</f>
        <v>0</v>
      </c>
      <c r="J193" s="194">
        <f>IF(_1_541284561214624104645789101745[[#This Row],[Type]]&gt;0,VLOOKUP(_1_541284561214624104645789101745[[#This Row],[Type]],Main[[#All],[TYPE]:[UNIT]],'Unit Price'!H$1,FALSE),0)</f>
        <v>0</v>
      </c>
      <c r="K193" s="194">
        <f>IF(_1_541284561214624104645789101745[[#This Row],[Discount selection]]&gt;0,VLOOKUP(_1_541284561214624104645789101745[[#This Row],[Discount selection]],'Discount Structure'!$A$2:$B$30,2,"false"),0)</f>
        <v>1</v>
      </c>
      <c r="L193" s="194">
        <f>_1_541284561214624104645789101745[[#This Row],[LIST $]]*_1_541284561214624104645789101745[[#This Row],[DISCOUNT]]*_1_541284561214624104645789101745[[#This Row],[DISCOUNT 2]]</f>
        <v>0</v>
      </c>
      <c r="M193" s="194">
        <f>IF(OR(_1_541284561214624104645789101745[[#This Row],[UNIT]]&gt;0,_1_541284561214624104645789101745[[#This Row],[UNIT]]&lt;0),_1_541284561214624104645789101745[[#This Row],[UNIT]]*_1_541284561214624104645789101745[[#This Row],[COST]],0)</f>
        <v>0</v>
      </c>
      <c r="N193" s="194">
        <f t="shared" si="2"/>
        <v>1.5</v>
      </c>
      <c r="O193" s="198">
        <f>_1_541284561214624104645789101745[[#This Row],[TOTAL]]*_1_541284561214624104645789101745[[#This Row],[MARGIN]]</f>
        <v>0</v>
      </c>
      <c r="R193" s="41"/>
    </row>
    <row r="194" spans="1:18">
      <c r="C194" s="168"/>
      <c r="D194" s="188"/>
      <c r="F194" s="168" t="s">
        <v>6202</v>
      </c>
      <c r="G194" s="193">
        <f>IF(_1_541284561214624104645789101745[[#This Row],[Type]]&gt;0,VLOOKUP(_1_541284561214624104645789101745[[#This Row],[Type]],Main[[#All],[TYPE]:[UNIT]],'Unit Price'!C$1,FALSE),0)</f>
        <v>0</v>
      </c>
      <c r="H194" s="197">
        <f>IF(_1_541284561214624104645789101745[[#This Row],[Type]]&gt;0,VLOOKUP(_1_541284561214624104645789101745[[#This Row],[Type]],Main[[#All],[TYPE]:[UNIT]],'Unit Price'!D$1,FALSE),0)</f>
        <v>0</v>
      </c>
      <c r="I194" s="194">
        <f>IF(_1_541284561214624104645789101745[[#This Row],[Type]]&gt;0,VLOOKUP(_1_541284561214624104645789101745[[#This Row],[Type]],Main[[#All],[TYPE]:[UNIT]],'Unit Price'!G$1,FALSE),0)</f>
        <v>0</v>
      </c>
      <c r="J194" s="194">
        <f>IF(_1_541284561214624104645789101745[[#This Row],[Type]]&gt;0,VLOOKUP(_1_541284561214624104645789101745[[#This Row],[Type]],Main[[#All],[TYPE]:[UNIT]],'Unit Price'!H$1,FALSE),0)</f>
        <v>0</v>
      </c>
      <c r="K194" s="194">
        <f>IF(_1_541284561214624104645789101745[[#This Row],[Discount selection]]&gt;0,VLOOKUP(_1_541284561214624104645789101745[[#This Row],[Discount selection]],'Discount Structure'!$A$2:$B$30,2,"false"),0)</f>
        <v>1</v>
      </c>
      <c r="L194" s="194">
        <f>_1_541284561214624104645789101745[[#This Row],[LIST $]]*_1_541284561214624104645789101745[[#This Row],[DISCOUNT]]*_1_541284561214624104645789101745[[#This Row],[DISCOUNT 2]]</f>
        <v>0</v>
      </c>
      <c r="M194" s="194">
        <f>IF(OR(_1_541284561214624104645789101745[[#This Row],[UNIT]]&gt;0,_1_541284561214624104645789101745[[#This Row],[UNIT]]&lt;0),_1_541284561214624104645789101745[[#This Row],[UNIT]]*_1_541284561214624104645789101745[[#This Row],[COST]],0)</f>
        <v>0</v>
      </c>
      <c r="N194" s="194">
        <f t="shared" si="2"/>
        <v>1.5</v>
      </c>
      <c r="O194" s="198">
        <f>_1_541284561214624104645789101745[[#This Row],[TOTAL]]*_1_541284561214624104645789101745[[#This Row],[MARGIN]]</f>
        <v>0</v>
      </c>
      <c r="R194" s="41"/>
    </row>
    <row r="195" spans="1:18">
      <c r="C195" s="168"/>
      <c r="D195" s="188"/>
      <c r="F195" s="168" t="s">
        <v>6202</v>
      </c>
      <c r="G195" s="193">
        <f>IF(_1_541284561214624104645789101745[[#This Row],[Type]]&gt;0,VLOOKUP(_1_541284561214624104645789101745[[#This Row],[Type]],Main[[#All],[TYPE]:[UNIT]],'Unit Price'!C$1,FALSE),0)</f>
        <v>0</v>
      </c>
      <c r="H195" s="197">
        <f>IF(_1_541284561214624104645789101745[[#This Row],[Type]]&gt;0,VLOOKUP(_1_541284561214624104645789101745[[#This Row],[Type]],Main[[#All],[TYPE]:[UNIT]],'Unit Price'!D$1,FALSE),0)</f>
        <v>0</v>
      </c>
      <c r="I195" s="194">
        <f>IF(_1_541284561214624104645789101745[[#This Row],[Type]]&gt;0,VLOOKUP(_1_541284561214624104645789101745[[#This Row],[Type]],Main[[#All],[TYPE]:[UNIT]],'Unit Price'!G$1,FALSE),0)</f>
        <v>0</v>
      </c>
      <c r="J195" s="194">
        <f>IF(_1_541284561214624104645789101745[[#This Row],[Type]]&gt;0,VLOOKUP(_1_541284561214624104645789101745[[#This Row],[Type]],Main[[#All],[TYPE]:[UNIT]],'Unit Price'!H$1,FALSE),0)</f>
        <v>0</v>
      </c>
      <c r="K195" s="194">
        <f>IF(_1_541284561214624104645789101745[[#This Row],[Discount selection]]&gt;0,VLOOKUP(_1_541284561214624104645789101745[[#This Row],[Discount selection]],'Discount Structure'!$A$2:$B$30,2,"false"),0)</f>
        <v>1</v>
      </c>
      <c r="L195" s="194">
        <f>_1_541284561214624104645789101745[[#This Row],[LIST $]]*_1_541284561214624104645789101745[[#This Row],[DISCOUNT]]*_1_541284561214624104645789101745[[#This Row],[DISCOUNT 2]]</f>
        <v>0</v>
      </c>
      <c r="M195" s="194">
        <f>IF(OR(_1_541284561214624104645789101745[[#This Row],[UNIT]]&gt;0,_1_541284561214624104645789101745[[#This Row],[UNIT]]&lt;0),_1_541284561214624104645789101745[[#This Row],[UNIT]]*_1_541284561214624104645789101745[[#This Row],[COST]],0)</f>
        <v>0</v>
      </c>
      <c r="N195" s="194">
        <f t="shared" si="2"/>
        <v>1.5</v>
      </c>
      <c r="O195" s="198">
        <f>_1_541284561214624104645789101745[[#This Row],[TOTAL]]*_1_541284561214624104645789101745[[#This Row],[MARGIN]]</f>
        <v>0</v>
      </c>
      <c r="R195" s="41"/>
    </row>
    <row r="196" spans="1:18">
      <c r="C196" s="168"/>
      <c r="D196" s="188"/>
      <c r="F196" s="168" t="s">
        <v>6202</v>
      </c>
      <c r="G196" s="193">
        <f>IF(_1_541284561214624104645789101745[[#This Row],[Type]]&gt;0,VLOOKUP(_1_541284561214624104645789101745[[#This Row],[Type]],Main[[#All],[TYPE]:[UNIT]],'Unit Price'!C$1,FALSE),0)</f>
        <v>0</v>
      </c>
      <c r="H196" s="197">
        <f>IF(_1_541284561214624104645789101745[[#This Row],[Type]]&gt;0,VLOOKUP(_1_541284561214624104645789101745[[#This Row],[Type]],Main[[#All],[TYPE]:[UNIT]],'Unit Price'!D$1,FALSE),0)</f>
        <v>0</v>
      </c>
      <c r="I196" s="194">
        <f>IF(_1_541284561214624104645789101745[[#This Row],[Type]]&gt;0,VLOOKUP(_1_541284561214624104645789101745[[#This Row],[Type]],Main[[#All],[TYPE]:[UNIT]],'Unit Price'!G$1,FALSE),0)</f>
        <v>0</v>
      </c>
      <c r="J196" s="194">
        <f>IF(_1_541284561214624104645789101745[[#This Row],[Type]]&gt;0,VLOOKUP(_1_541284561214624104645789101745[[#This Row],[Type]],Main[[#All],[TYPE]:[UNIT]],'Unit Price'!H$1,FALSE),0)</f>
        <v>0</v>
      </c>
      <c r="K196" s="194">
        <f>IF(_1_541284561214624104645789101745[[#This Row],[Discount selection]]&gt;0,VLOOKUP(_1_541284561214624104645789101745[[#This Row],[Discount selection]],'Discount Structure'!$A$2:$B$30,2,"false"),0)</f>
        <v>1</v>
      </c>
      <c r="L196" s="194">
        <f>_1_541284561214624104645789101745[[#This Row],[LIST $]]*_1_541284561214624104645789101745[[#This Row],[DISCOUNT]]*_1_541284561214624104645789101745[[#This Row],[DISCOUNT 2]]</f>
        <v>0</v>
      </c>
      <c r="M196" s="194">
        <f>IF(OR(_1_541284561214624104645789101745[[#This Row],[UNIT]]&gt;0,_1_541284561214624104645789101745[[#This Row],[UNIT]]&lt;0),_1_541284561214624104645789101745[[#This Row],[UNIT]]*_1_541284561214624104645789101745[[#This Row],[COST]],0)</f>
        <v>0</v>
      </c>
      <c r="N196" s="194">
        <f t="shared" si="2"/>
        <v>1.5</v>
      </c>
      <c r="O196" s="198">
        <f>_1_541284561214624104645789101745[[#This Row],[TOTAL]]*_1_541284561214624104645789101745[[#This Row],[MARGIN]]</f>
        <v>0</v>
      </c>
      <c r="R196" s="41"/>
    </row>
    <row r="197" spans="1:18">
      <c r="A197" s="168"/>
      <c r="C197" s="168"/>
      <c r="D197" s="188"/>
      <c r="F197" s="168" t="s">
        <v>6202</v>
      </c>
      <c r="G197" s="193">
        <f>IF(_1_541284561214624104645789101745[[#This Row],[Type]]&gt;0,VLOOKUP(_1_541284561214624104645789101745[[#This Row],[Type]],Main[[#All],[TYPE]:[UNIT]],'Unit Price'!C$1,FALSE),0)</f>
        <v>0</v>
      </c>
      <c r="H197" s="197">
        <f>IF(_1_541284561214624104645789101745[[#This Row],[Type]]&gt;0,VLOOKUP(_1_541284561214624104645789101745[[#This Row],[Type]],Main[[#All],[TYPE]:[UNIT]],'Unit Price'!D$1,FALSE),0)</f>
        <v>0</v>
      </c>
      <c r="I197" s="194">
        <f>IF(_1_541284561214624104645789101745[[#This Row],[Type]]&gt;0,VLOOKUP(_1_541284561214624104645789101745[[#This Row],[Type]],Main[[#All],[TYPE]:[UNIT]],'Unit Price'!G$1,FALSE),0)</f>
        <v>0</v>
      </c>
      <c r="J197" s="194">
        <f>IF(_1_541284561214624104645789101745[[#This Row],[Type]]&gt;0,VLOOKUP(_1_541284561214624104645789101745[[#This Row],[Type]],Main[[#All],[TYPE]:[UNIT]],'Unit Price'!H$1,FALSE),0)</f>
        <v>0</v>
      </c>
      <c r="K197" s="194">
        <f>IF(_1_541284561214624104645789101745[[#This Row],[Discount selection]]&gt;0,VLOOKUP(_1_541284561214624104645789101745[[#This Row],[Discount selection]],'Discount Structure'!$A$2:$B$30,2,"false"),0)</f>
        <v>1</v>
      </c>
      <c r="L197" s="194">
        <f>_1_541284561214624104645789101745[[#This Row],[LIST $]]*_1_541284561214624104645789101745[[#This Row],[DISCOUNT]]*_1_541284561214624104645789101745[[#This Row],[DISCOUNT 2]]</f>
        <v>0</v>
      </c>
      <c r="M197" s="194">
        <f>IF(OR(_1_541284561214624104645789101745[[#This Row],[UNIT]]&gt;0,_1_541284561214624104645789101745[[#This Row],[UNIT]]&lt;0),_1_541284561214624104645789101745[[#This Row],[UNIT]]*_1_541284561214624104645789101745[[#This Row],[COST]],0)</f>
        <v>0</v>
      </c>
      <c r="N197" s="194">
        <f t="shared" si="2"/>
        <v>1.5</v>
      </c>
      <c r="O197" s="198">
        <f>_1_541284561214624104645789101745[[#This Row],[TOTAL]]*_1_541284561214624104645789101745[[#This Row],[MARGIN]]</f>
        <v>0</v>
      </c>
      <c r="R197" s="41"/>
    </row>
    <row r="198" spans="1:18">
      <c r="C198" s="168"/>
      <c r="D198" s="188"/>
      <c r="F198" s="168" t="s">
        <v>6202</v>
      </c>
      <c r="G198" s="193">
        <f>IF(_1_541284561214624104645789101745[[#This Row],[Type]]&gt;0,VLOOKUP(_1_541284561214624104645789101745[[#This Row],[Type]],Main[[#All],[TYPE]:[UNIT]],'Unit Price'!C$1,FALSE),0)</f>
        <v>0</v>
      </c>
      <c r="H198" s="197">
        <f>IF(_1_541284561214624104645789101745[[#This Row],[Type]]&gt;0,VLOOKUP(_1_541284561214624104645789101745[[#This Row],[Type]],Main[[#All],[TYPE]:[UNIT]],'Unit Price'!D$1,FALSE),0)</f>
        <v>0</v>
      </c>
      <c r="I198" s="194">
        <f>IF(_1_541284561214624104645789101745[[#This Row],[Type]]&gt;0,VLOOKUP(_1_541284561214624104645789101745[[#This Row],[Type]],Main[[#All],[TYPE]:[UNIT]],'Unit Price'!G$1,FALSE),0)</f>
        <v>0</v>
      </c>
      <c r="J198" s="194">
        <f>IF(_1_541284561214624104645789101745[[#This Row],[Type]]&gt;0,VLOOKUP(_1_541284561214624104645789101745[[#This Row],[Type]],Main[[#All],[TYPE]:[UNIT]],'Unit Price'!H$1,FALSE),0)</f>
        <v>0</v>
      </c>
      <c r="K198" s="194">
        <f>IF(_1_541284561214624104645789101745[[#This Row],[Discount selection]]&gt;0,VLOOKUP(_1_541284561214624104645789101745[[#This Row],[Discount selection]],'Discount Structure'!$A$2:$B$30,2,"false"),0)</f>
        <v>1</v>
      </c>
      <c r="L198" s="194">
        <f>_1_541284561214624104645789101745[[#This Row],[LIST $]]*_1_541284561214624104645789101745[[#This Row],[DISCOUNT]]*_1_541284561214624104645789101745[[#This Row],[DISCOUNT 2]]</f>
        <v>0</v>
      </c>
      <c r="M198" s="194">
        <f>IF(OR(_1_541284561214624104645789101745[[#This Row],[UNIT]]&gt;0,_1_541284561214624104645789101745[[#This Row],[UNIT]]&lt;0),_1_541284561214624104645789101745[[#This Row],[UNIT]]*_1_541284561214624104645789101745[[#This Row],[COST]],0)</f>
        <v>0</v>
      </c>
      <c r="N198" s="194">
        <f t="shared" si="2"/>
        <v>1.5</v>
      </c>
      <c r="O198" s="198">
        <f>_1_541284561214624104645789101745[[#This Row],[TOTAL]]*_1_541284561214624104645789101745[[#This Row],[MARGIN]]</f>
        <v>0</v>
      </c>
      <c r="R198" s="41"/>
    </row>
    <row r="199" spans="1:18">
      <c r="C199" s="168"/>
      <c r="D199" s="188"/>
      <c r="F199" s="168" t="s">
        <v>6202</v>
      </c>
      <c r="G199" s="193">
        <f>IF(_1_541284561214624104645789101745[[#This Row],[Type]]&gt;0,VLOOKUP(_1_541284561214624104645789101745[[#This Row],[Type]],Main[[#All],[TYPE]:[UNIT]],'Unit Price'!C$1,FALSE),0)</f>
        <v>0</v>
      </c>
      <c r="H199" s="197">
        <f>IF(_1_541284561214624104645789101745[[#This Row],[Type]]&gt;0,VLOOKUP(_1_541284561214624104645789101745[[#This Row],[Type]],Main[[#All],[TYPE]:[UNIT]],'Unit Price'!D$1,FALSE),0)</f>
        <v>0</v>
      </c>
      <c r="I199" s="194">
        <f>IF(_1_541284561214624104645789101745[[#This Row],[Type]]&gt;0,VLOOKUP(_1_541284561214624104645789101745[[#This Row],[Type]],Main[[#All],[TYPE]:[UNIT]],'Unit Price'!G$1,FALSE),0)</f>
        <v>0</v>
      </c>
      <c r="J199" s="194">
        <f>IF(_1_541284561214624104645789101745[[#This Row],[Type]]&gt;0,VLOOKUP(_1_541284561214624104645789101745[[#This Row],[Type]],Main[[#All],[TYPE]:[UNIT]],'Unit Price'!H$1,FALSE),0)</f>
        <v>0</v>
      </c>
      <c r="K199" s="194">
        <f>IF(_1_541284561214624104645789101745[[#This Row],[Discount selection]]&gt;0,VLOOKUP(_1_541284561214624104645789101745[[#This Row],[Discount selection]],'Discount Structure'!$A$2:$B$30,2,"false"),0)</f>
        <v>1</v>
      </c>
      <c r="L199" s="194">
        <f>_1_541284561214624104645789101745[[#This Row],[LIST $]]*_1_541284561214624104645789101745[[#This Row],[DISCOUNT]]*_1_541284561214624104645789101745[[#This Row],[DISCOUNT 2]]</f>
        <v>0</v>
      </c>
      <c r="M199" s="194">
        <f>IF(OR(_1_541284561214624104645789101745[[#This Row],[UNIT]]&gt;0,_1_541284561214624104645789101745[[#This Row],[UNIT]]&lt;0),_1_541284561214624104645789101745[[#This Row],[UNIT]]*_1_541284561214624104645789101745[[#This Row],[COST]],0)</f>
        <v>0</v>
      </c>
      <c r="N199" s="194">
        <f t="shared" si="2"/>
        <v>1.5</v>
      </c>
      <c r="O199" s="198">
        <f>_1_541284561214624104645789101745[[#This Row],[TOTAL]]*_1_541284561214624104645789101745[[#This Row],[MARGIN]]</f>
        <v>0</v>
      </c>
      <c r="R199" s="41"/>
    </row>
    <row r="200" spans="1:18">
      <c r="A200" s="168"/>
      <c r="C200" s="168"/>
      <c r="D200" s="188"/>
      <c r="F200" s="168" t="s">
        <v>6202</v>
      </c>
      <c r="G200" s="193">
        <f>IF(_1_541284561214624104645789101745[[#This Row],[Type]]&gt;0,VLOOKUP(_1_541284561214624104645789101745[[#This Row],[Type]],Main[[#All],[TYPE]:[UNIT]],'Unit Price'!C$1,FALSE),0)</f>
        <v>0</v>
      </c>
      <c r="H200" s="197">
        <f>IF(_1_541284561214624104645789101745[[#This Row],[Type]]&gt;0,VLOOKUP(_1_541284561214624104645789101745[[#This Row],[Type]],Main[[#All],[TYPE]:[UNIT]],'Unit Price'!D$1,FALSE),0)</f>
        <v>0</v>
      </c>
      <c r="I200" s="194">
        <f>IF(_1_541284561214624104645789101745[[#This Row],[Type]]&gt;0,VLOOKUP(_1_541284561214624104645789101745[[#This Row],[Type]],Main[[#All],[TYPE]:[UNIT]],'Unit Price'!G$1,FALSE),0)</f>
        <v>0</v>
      </c>
      <c r="J200" s="194">
        <f>IF(_1_541284561214624104645789101745[[#This Row],[Type]]&gt;0,VLOOKUP(_1_541284561214624104645789101745[[#This Row],[Type]],Main[[#All],[TYPE]:[UNIT]],'Unit Price'!H$1,FALSE),0)</f>
        <v>0</v>
      </c>
      <c r="K200" s="194">
        <f>IF(_1_541284561214624104645789101745[[#This Row],[Discount selection]]&gt;0,VLOOKUP(_1_541284561214624104645789101745[[#This Row],[Discount selection]],'Discount Structure'!$A$2:$B$30,2,"false"),0)</f>
        <v>1</v>
      </c>
      <c r="L200" s="194">
        <f>_1_541284561214624104645789101745[[#This Row],[LIST $]]*_1_541284561214624104645789101745[[#This Row],[DISCOUNT]]*_1_541284561214624104645789101745[[#This Row],[DISCOUNT 2]]</f>
        <v>0</v>
      </c>
      <c r="M200" s="194">
        <f>IF(OR(_1_541284561214624104645789101745[[#This Row],[UNIT]]&gt;0,_1_541284561214624104645789101745[[#This Row],[UNIT]]&lt;0),_1_541284561214624104645789101745[[#This Row],[UNIT]]*_1_541284561214624104645789101745[[#This Row],[COST]],0)</f>
        <v>0</v>
      </c>
      <c r="N200" s="194">
        <f t="shared" si="2"/>
        <v>1.5</v>
      </c>
      <c r="O200" s="198">
        <f>_1_541284561214624104645789101745[[#This Row],[TOTAL]]*_1_541284561214624104645789101745[[#This Row],[MARGIN]]</f>
        <v>0</v>
      </c>
      <c r="R200" s="41"/>
    </row>
    <row r="201" spans="1:18">
      <c r="B201" s="168"/>
      <c r="C201" s="168"/>
      <c r="D201" s="188"/>
      <c r="F201" s="168" t="s">
        <v>6202</v>
      </c>
      <c r="G201" s="193">
        <f>IF(_1_541284561214624104645789101745[[#This Row],[Type]]&gt;0,VLOOKUP(_1_541284561214624104645789101745[[#This Row],[Type]],Main[[#All],[TYPE]:[UNIT]],'Unit Price'!C$1,FALSE),0)</f>
        <v>0</v>
      </c>
      <c r="H201" s="197">
        <f>IF(_1_541284561214624104645789101745[[#This Row],[Type]]&gt;0,VLOOKUP(_1_541284561214624104645789101745[[#This Row],[Type]],Main[[#All],[TYPE]:[UNIT]],'Unit Price'!D$1,FALSE),0)</f>
        <v>0</v>
      </c>
      <c r="I201" s="194">
        <f>IF(_1_541284561214624104645789101745[[#This Row],[Type]]&gt;0,VLOOKUP(_1_541284561214624104645789101745[[#This Row],[Type]],Main[[#All],[TYPE]:[UNIT]],'Unit Price'!G$1,FALSE),0)</f>
        <v>0</v>
      </c>
      <c r="J201" s="194">
        <f>IF(_1_541284561214624104645789101745[[#This Row],[Type]]&gt;0,VLOOKUP(_1_541284561214624104645789101745[[#This Row],[Type]],Main[[#All],[TYPE]:[UNIT]],'Unit Price'!H$1,FALSE),0)</f>
        <v>0</v>
      </c>
      <c r="K201" s="194">
        <f>IF(_1_541284561214624104645789101745[[#This Row],[Discount selection]]&gt;0,VLOOKUP(_1_541284561214624104645789101745[[#This Row],[Discount selection]],'Discount Structure'!$A$2:$B$30,2,"false"),0)</f>
        <v>1</v>
      </c>
      <c r="L201" s="194">
        <f>_1_541284561214624104645789101745[[#This Row],[LIST $]]*_1_541284561214624104645789101745[[#This Row],[DISCOUNT]]*_1_541284561214624104645789101745[[#This Row],[DISCOUNT 2]]</f>
        <v>0</v>
      </c>
      <c r="M201" s="194">
        <f>IF(OR(_1_541284561214624104645789101745[[#This Row],[UNIT]]&gt;0,_1_541284561214624104645789101745[[#This Row],[UNIT]]&lt;0),_1_541284561214624104645789101745[[#This Row],[UNIT]]*_1_541284561214624104645789101745[[#This Row],[COST]],0)</f>
        <v>0</v>
      </c>
      <c r="N201" s="194">
        <f t="shared" si="2"/>
        <v>1.5</v>
      </c>
      <c r="O201" s="198">
        <f>_1_541284561214624104645789101745[[#This Row],[TOTAL]]*_1_541284561214624104645789101745[[#This Row],[MARGIN]]</f>
        <v>0</v>
      </c>
      <c r="R201" s="41"/>
    </row>
    <row r="202" spans="1:18">
      <c r="C202" s="168"/>
      <c r="D202" s="188"/>
      <c r="F202" s="168" t="s">
        <v>6202</v>
      </c>
      <c r="G202" s="193">
        <f>IF(_1_541284561214624104645789101745[[#This Row],[Type]]&gt;0,VLOOKUP(_1_541284561214624104645789101745[[#This Row],[Type]],Main[[#All],[TYPE]:[UNIT]],'Unit Price'!C$1,FALSE),0)</f>
        <v>0</v>
      </c>
      <c r="H202" s="197">
        <f>IF(_1_541284561214624104645789101745[[#This Row],[Type]]&gt;0,VLOOKUP(_1_541284561214624104645789101745[[#This Row],[Type]],Main[[#All],[TYPE]:[UNIT]],'Unit Price'!D$1,FALSE),0)</f>
        <v>0</v>
      </c>
      <c r="I202" s="194">
        <f>IF(_1_541284561214624104645789101745[[#This Row],[Type]]&gt;0,VLOOKUP(_1_541284561214624104645789101745[[#This Row],[Type]],Main[[#All],[TYPE]:[UNIT]],'Unit Price'!G$1,FALSE),0)</f>
        <v>0</v>
      </c>
      <c r="J202" s="194">
        <f>IF(_1_541284561214624104645789101745[[#This Row],[Type]]&gt;0,VLOOKUP(_1_541284561214624104645789101745[[#This Row],[Type]],Main[[#All],[TYPE]:[UNIT]],'Unit Price'!H$1,FALSE),0)</f>
        <v>0</v>
      </c>
      <c r="K202" s="194">
        <f>IF(_1_541284561214624104645789101745[[#This Row],[Discount selection]]&gt;0,VLOOKUP(_1_541284561214624104645789101745[[#This Row],[Discount selection]],'Discount Structure'!$A$2:$B$30,2,"false"),0)</f>
        <v>1</v>
      </c>
      <c r="L202" s="194">
        <f>_1_541284561214624104645789101745[[#This Row],[LIST $]]*_1_541284561214624104645789101745[[#This Row],[DISCOUNT]]*_1_541284561214624104645789101745[[#This Row],[DISCOUNT 2]]</f>
        <v>0</v>
      </c>
      <c r="M202" s="194">
        <f>IF(OR(_1_541284561214624104645789101745[[#This Row],[UNIT]]&gt;0,_1_541284561214624104645789101745[[#This Row],[UNIT]]&lt;0),_1_541284561214624104645789101745[[#This Row],[UNIT]]*_1_541284561214624104645789101745[[#This Row],[COST]],0)</f>
        <v>0</v>
      </c>
      <c r="N202" s="194">
        <f t="shared" ref="N202:N265" si="3">$N$7</f>
        <v>1.5</v>
      </c>
      <c r="O202" s="198">
        <f>_1_541284561214624104645789101745[[#This Row],[TOTAL]]*_1_541284561214624104645789101745[[#This Row],[MARGIN]]</f>
        <v>0</v>
      </c>
      <c r="R202" s="41"/>
    </row>
    <row r="203" spans="1:18">
      <c r="A203" s="168"/>
      <c r="C203" s="168"/>
      <c r="D203" s="188"/>
      <c r="F203" s="168" t="s">
        <v>6202</v>
      </c>
      <c r="G203" s="193">
        <f>IF(_1_541284561214624104645789101745[[#This Row],[Type]]&gt;0,VLOOKUP(_1_541284561214624104645789101745[[#This Row],[Type]],Main[[#All],[TYPE]:[UNIT]],'Unit Price'!C$1,FALSE),0)</f>
        <v>0</v>
      </c>
      <c r="H203" s="197">
        <f>IF(_1_541284561214624104645789101745[[#This Row],[Type]]&gt;0,VLOOKUP(_1_541284561214624104645789101745[[#This Row],[Type]],Main[[#All],[TYPE]:[UNIT]],'Unit Price'!D$1,FALSE),0)</f>
        <v>0</v>
      </c>
      <c r="I203" s="194">
        <f>IF(_1_541284561214624104645789101745[[#This Row],[Type]]&gt;0,VLOOKUP(_1_541284561214624104645789101745[[#This Row],[Type]],Main[[#All],[TYPE]:[UNIT]],'Unit Price'!G$1,FALSE),0)</f>
        <v>0</v>
      </c>
      <c r="J203" s="194">
        <f>IF(_1_541284561214624104645789101745[[#This Row],[Type]]&gt;0,VLOOKUP(_1_541284561214624104645789101745[[#This Row],[Type]],Main[[#All],[TYPE]:[UNIT]],'Unit Price'!H$1,FALSE),0)</f>
        <v>0</v>
      </c>
      <c r="K203" s="194">
        <f>IF(_1_541284561214624104645789101745[[#This Row],[Discount selection]]&gt;0,VLOOKUP(_1_541284561214624104645789101745[[#This Row],[Discount selection]],'Discount Structure'!$A$2:$B$30,2,"false"),0)</f>
        <v>1</v>
      </c>
      <c r="L203" s="194">
        <f>_1_541284561214624104645789101745[[#This Row],[LIST $]]*_1_541284561214624104645789101745[[#This Row],[DISCOUNT]]*_1_541284561214624104645789101745[[#This Row],[DISCOUNT 2]]</f>
        <v>0</v>
      </c>
      <c r="M203" s="194">
        <f>IF(OR(_1_541284561214624104645789101745[[#This Row],[UNIT]]&gt;0,_1_541284561214624104645789101745[[#This Row],[UNIT]]&lt;0),_1_541284561214624104645789101745[[#This Row],[UNIT]]*_1_541284561214624104645789101745[[#This Row],[COST]],0)</f>
        <v>0</v>
      </c>
      <c r="N203" s="194">
        <f t="shared" si="3"/>
        <v>1.5</v>
      </c>
      <c r="O203" s="198">
        <f>_1_541284561214624104645789101745[[#This Row],[TOTAL]]*_1_541284561214624104645789101745[[#This Row],[MARGIN]]</f>
        <v>0</v>
      </c>
      <c r="R203" s="41"/>
    </row>
    <row r="204" spans="1:18">
      <c r="C204" s="168"/>
      <c r="D204" s="188"/>
      <c r="F204" s="168" t="s">
        <v>6202</v>
      </c>
      <c r="G204" s="193">
        <f>IF(_1_541284561214624104645789101745[[#This Row],[Type]]&gt;0,VLOOKUP(_1_541284561214624104645789101745[[#This Row],[Type]],Main[[#All],[TYPE]:[UNIT]],'Unit Price'!C$1,FALSE),0)</f>
        <v>0</v>
      </c>
      <c r="H204" s="197">
        <f>IF(_1_541284561214624104645789101745[[#This Row],[Type]]&gt;0,VLOOKUP(_1_541284561214624104645789101745[[#This Row],[Type]],Main[[#All],[TYPE]:[UNIT]],'Unit Price'!D$1,FALSE),0)</f>
        <v>0</v>
      </c>
      <c r="I204" s="194">
        <f>IF(_1_541284561214624104645789101745[[#This Row],[Type]]&gt;0,VLOOKUP(_1_541284561214624104645789101745[[#This Row],[Type]],Main[[#All],[TYPE]:[UNIT]],'Unit Price'!G$1,FALSE),0)</f>
        <v>0</v>
      </c>
      <c r="J204" s="194">
        <f>IF(_1_541284561214624104645789101745[[#This Row],[Type]]&gt;0,VLOOKUP(_1_541284561214624104645789101745[[#This Row],[Type]],Main[[#All],[TYPE]:[UNIT]],'Unit Price'!H$1,FALSE),0)</f>
        <v>0</v>
      </c>
      <c r="K204" s="194">
        <f>IF(_1_541284561214624104645789101745[[#This Row],[Discount selection]]&gt;0,VLOOKUP(_1_541284561214624104645789101745[[#This Row],[Discount selection]],'Discount Structure'!$A$2:$B$30,2,"false"),0)</f>
        <v>1</v>
      </c>
      <c r="L204" s="194">
        <f>_1_541284561214624104645789101745[[#This Row],[LIST $]]*_1_541284561214624104645789101745[[#This Row],[DISCOUNT]]*_1_541284561214624104645789101745[[#This Row],[DISCOUNT 2]]</f>
        <v>0</v>
      </c>
      <c r="M204" s="194">
        <f>IF(OR(_1_541284561214624104645789101745[[#This Row],[UNIT]]&gt;0,_1_541284561214624104645789101745[[#This Row],[UNIT]]&lt;0),_1_541284561214624104645789101745[[#This Row],[UNIT]]*_1_541284561214624104645789101745[[#This Row],[COST]],0)</f>
        <v>0</v>
      </c>
      <c r="N204" s="194">
        <f t="shared" si="3"/>
        <v>1.5</v>
      </c>
      <c r="O204" s="198">
        <f>_1_541284561214624104645789101745[[#This Row],[TOTAL]]*_1_541284561214624104645789101745[[#This Row],[MARGIN]]</f>
        <v>0</v>
      </c>
      <c r="R204" s="41"/>
    </row>
    <row r="205" spans="1:18">
      <c r="C205" s="168"/>
      <c r="D205" s="188"/>
      <c r="F205" s="168" t="s">
        <v>6202</v>
      </c>
      <c r="G205" s="193">
        <f>IF(_1_541284561214624104645789101745[[#This Row],[Type]]&gt;0,VLOOKUP(_1_541284561214624104645789101745[[#This Row],[Type]],Main[[#All],[TYPE]:[UNIT]],'Unit Price'!C$1,FALSE),0)</f>
        <v>0</v>
      </c>
      <c r="H205" s="197">
        <f>IF(_1_541284561214624104645789101745[[#This Row],[Type]]&gt;0,VLOOKUP(_1_541284561214624104645789101745[[#This Row],[Type]],Main[[#All],[TYPE]:[UNIT]],'Unit Price'!D$1,FALSE),0)</f>
        <v>0</v>
      </c>
      <c r="I205" s="194">
        <f>IF(_1_541284561214624104645789101745[[#This Row],[Type]]&gt;0,VLOOKUP(_1_541284561214624104645789101745[[#This Row],[Type]],Main[[#All],[TYPE]:[UNIT]],'Unit Price'!G$1,FALSE),0)</f>
        <v>0</v>
      </c>
      <c r="J205" s="194">
        <f>IF(_1_541284561214624104645789101745[[#This Row],[Type]]&gt;0,VLOOKUP(_1_541284561214624104645789101745[[#This Row],[Type]],Main[[#All],[TYPE]:[UNIT]],'Unit Price'!H$1,FALSE),0)</f>
        <v>0</v>
      </c>
      <c r="K205" s="194">
        <f>IF(_1_541284561214624104645789101745[[#This Row],[Discount selection]]&gt;0,VLOOKUP(_1_541284561214624104645789101745[[#This Row],[Discount selection]],'Discount Structure'!$A$2:$B$30,2,"false"),0)</f>
        <v>1</v>
      </c>
      <c r="L205" s="194">
        <f>_1_541284561214624104645789101745[[#This Row],[LIST $]]*_1_541284561214624104645789101745[[#This Row],[DISCOUNT]]*_1_541284561214624104645789101745[[#This Row],[DISCOUNT 2]]</f>
        <v>0</v>
      </c>
      <c r="M205" s="194">
        <f>IF(OR(_1_541284561214624104645789101745[[#This Row],[UNIT]]&gt;0,_1_541284561214624104645789101745[[#This Row],[UNIT]]&lt;0),_1_541284561214624104645789101745[[#This Row],[UNIT]]*_1_541284561214624104645789101745[[#This Row],[COST]],0)</f>
        <v>0</v>
      </c>
      <c r="N205" s="194">
        <f t="shared" si="3"/>
        <v>1.5</v>
      </c>
      <c r="O205" s="198">
        <f>_1_541284561214624104645789101745[[#This Row],[TOTAL]]*_1_541284561214624104645789101745[[#This Row],[MARGIN]]</f>
        <v>0</v>
      </c>
      <c r="R205" s="41"/>
    </row>
    <row r="206" spans="1:18">
      <c r="C206" s="168"/>
      <c r="D206" s="188"/>
      <c r="F206" s="168" t="s">
        <v>6202</v>
      </c>
      <c r="G206" s="193">
        <f>IF(_1_541284561214624104645789101745[[#This Row],[Type]]&gt;0,VLOOKUP(_1_541284561214624104645789101745[[#This Row],[Type]],Main[[#All],[TYPE]:[UNIT]],'Unit Price'!C$1,FALSE),0)</f>
        <v>0</v>
      </c>
      <c r="H206" s="197">
        <f>IF(_1_541284561214624104645789101745[[#This Row],[Type]]&gt;0,VLOOKUP(_1_541284561214624104645789101745[[#This Row],[Type]],Main[[#All],[TYPE]:[UNIT]],'Unit Price'!D$1,FALSE),0)</f>
        <v>0</v>
      </c>
      <c r="I206" s="194">
        <f>IF(_1_541284561214624104645789101745[[#This Row],[Type]]&gt;0,VLOOKUP(_1_541284561214624104645789101745[[#This Row],[Type]],Main[[#All],[TYPE]:[UNIT]],'Unit Price'!G$1,FALSE),0)</f>
        <v>0</v>
      </c>
      <c r="J206" s="194">
        <f>IF(_1_541284561214624104645789101745[[#This Row],[Type]]&gt;0,VLOOKUP(_1_541284561214624104645789101745[[#This Row],[Type]],Main[[#All],[TYPE]:[UNIT]],'Unit Price'!H$1,FALSE),0)</f>
        <v>0</v>
      </c>
      <c r="K206" s="194">
        <f>IF(_1_541284561214624104645789101745[[#This Row],[Discount selection]]&gt;0,VLOOKUP(_1_541284561214624104645789101745[[#This Row],[Discount selection]],'Discount Structure'!$A$2:$B$30,2,"false"),0)</f>
        <v>1</v>
      </c>
      <c r="L206" s="194">
        <f>_1_541284561214624104645789101745[[#This Row],[LIST $]]*_1_541284561214624104645789101745[[#This Row],[DISCOUNT]]*_1_541284561214624104645789101745[[#This Row],[DISCOUNT 2]]</f>
        <v>0</v>
      </c>
      <c r="M206" s="194">
        <f>IF(OR(_1_541284561214624104645789101745[[#This Row],[UNIT]]&gt;0,_1_541284561214624104645789101745[[#This Row],[UNIT]]&lt;0),_1_541284561214624104645789101745[[#This Row],[UNIT]]*_1_541284561214624104645789101745[[#This Row],[COST]],0)</f>
        <v>0</v>
      </c>
      <c r="N206" s="194">
        <f t="shared" si="3"/>
        <v>1.5</v>
      </c>
      <c r="O206" s="198">
        <f>_1_541284561214624104645789101745[[#This Row],[TOTAL]]*_1_541284561214624104645789101745[[#This Row],[MARGIN]]</f>
        <v>0</v>
      </c>
      <c r="R206" s="41"/>
    </row>
    <row r="207" spans="1:18">
      <c r="C207" s="168"/>
      <c r="D207" s="188"/>
      <c r="F207" s="168" t="s">
        <v>6202</v>
      </c>
      <c r="G207" s="193">
        <f>IF(_1_541284561214624104645789101745[[#This Row],[Type]]&gt;0,VLOOKUP(_1_541284561214624104645789101745[[#This Row],[Type]],Main[[#All],[TYPE]:[UNIT]],'Unit Price'!C$1,FALSE),0)</f>
        <v>0</v>
      </c>
      <c r="H207" s="197">
        <f>IF(_1_541284561214624104645789101745[[#This Row],[Type]]&gt;0,VLOOKUP(_1_541284561214624104645789101745[[#This Row],[Type]],Main[[#All],[TYPE]:[UNIT]],'Unit Price'!D$1,FALSE),0)</f>
        <v>0</v>
      </c>
      <c r="I207" s="194">
        <f>IF(_1_541284561214624104645789101745[[#This Row],[Type]]&gt;0,VLOOKUP(_1_541284561214624104645789101745[[#This Row],[Type]],Main[[#All],[TYPE]:[UNIT]],'Unit Price'!G$1,FALSE),0)</f>
        <v>0</v>
      </c>
      <c r="J207" s="194">
        <f>IF(_1_541284561214624104645789101745[[#This Row],[Type]]&gt;0,VLOOKUP(_1_541284561214624104645789101745[[#This Row],[Type]],Main[[#All],[TYPE]:[UNIT]],'Unit Price'!H$1,FALSE),0)</f>
        <v>0</v>
      </c>
      <c r="K207" s="194">
        <f>IF(_1_541284561214624104645789101745[[#This Row],[Discount selection]]&gt;0,VLOOKUP(_1_541284561214624104645789101745[[#This Row],[Discount selection]],'Discount Structure'!$A$2:$B$30,2,"false"),0)</f>
        <v>1</v>
      </c>
      <c r="L207" s="194">
        <f>_1_541284561214624104645789101745[[#This Row],[LIST $]]*_1_541284561214624104645789101745[[#This Row],[DISCOUNT]]*_1_541284561214624104645789101745[[#This Row],[DISCOUNT 2]]</f>
        <v>0</v>
      </c>
      <c r="M207" s="194">
        <f>IF(OR(_1_541284561214624104645789101745[[#This Row],[UNIT]]&gt;0,_1_541284561214624104645789101745[[#This Row],[UNIT]]&lt;0),_1_541284561214624104645789101745[[#This Row],[UNIT]]*_1_541284561214624104645789101745[[#This Row],[COST]],0)</f>
        <v>0</v>
      </c>
      <c r="N207" s="194">
        <f t="shared" si="3"/>
        <v>1.5</v>
      </c>
      <c r="O207" s="198">
        <f>_1_541284561214624104645789101745[[#This Row],[TOTAL]]*_1_541284561214624104645789101745[[#This Row],[MARGIN]]</f>
        <v>0</v>
      </c>
      <c r="R207" s="41"/>
    </row>
    <row r="208" spans="1:18">
      <c r="C208" s="168"/>
      <c r="D208" s="188"/>
      <c r="F208" s="168" t="s">
        <v>6202</v>
      </c>
      <c r="G208" s="193">
        <f>IF(_1_541284561214624104645789101745[[#This Row],[Type]]&gt;0,VLOOKUP(_1_541284561214624104645789101745[[#This Row],[Type]],Main[[#All],[TYPE]:[UNIT]],'Unit Price'!C$1,FALSE),0)</f>
        <v>0</v>
      </c>
      <c r="H208" s="197">
        <f>IF(_1_541284561214624104645789101745[[#This Row],[Type]]&gt;0,VLOOKUP(_1_541284561214624104645789101745[[#This Row],[Type]],Main[[#All],[TYPE]:[UNIT]],'Unit Price'!D$1,FALSE),0)</f>
        <v>0</v>
      </c>
      <c r="I208" s="194">
        <f>IF(_1_541284561214624104645789101745[[#This Row],[Type]]&gt;0,VLOOKUP(_1_541284561214624104645789101745[[#This Row],[Type]],Main[[#All],[TYPE]:[UNIT]],'Unit Price'!G$1,FALSE),0)</f>
        <v>0</v>
      </c>
      <c r="J208" s="194">
        <f>IF(_1_541284561214624104645789101745[[#This Row],[Type]]&gt;0,VLOOKUP(_1_541284561214624104645789101745[[#This Row],[Type]],Main[[#All],[TYPE]:[UNIT]],'Unit Price'!H$1,FALSE),0)</f>
        <v>0</v>
      </c>
      <c r="K208" s="194">
        <f>IF(_1_541284561214624104645789101745[[#This Row],[Discount selection]]&gt;0,VLOOKUP(_1_541284561214624104645789101745[[#This Row],[Discount selection]],'Discount Structure'!$A$2:$B$30,2,"false"),0)</f>
        <v>1</v>
      </c>
      <c r="L208" s="194">
        <f>_1_541284561214624104645789101745[[#This Row],[LIST $]]*_1_541284561214624104645789101745[[#This Row],[DISCOUNT]]*_1_541284561214624104645789101745[[#This Row],[DISCOUNT 2]]</f>
        <v>0</v>
      </c>
      <c r="M208" s="194">
        <f>IF(OR(_1_541284561214624104645789101745[[#This Row],[UNIT]]&gt;0,_1_541284561214624104645789101745[[#This Row],[UNIT]]&lt;0),_1_541284561214624104645789101745[[#This Row],[UNIT]]*_1_541284561214624104645789101745[[#This Row],[COST]],0)</f>
        <v>0</v>
      </c>
      <c r="N208" s="194">
        <f t="shared" si="3"/>
        <v>1.5</v>
      </c>
      <c r="O208" s="198">
        <f>_1_541284561214624104645789101745[[#This Row],[TOTAL]]*_1_541284561214624104645789101745[[#This Row],[MARGIN]]</f>
        <v>0</v>
      </c>
      <c r="R208" s="41"/>
    </row>
    <row r="209" spans="3:18">
      <c r="C209" s="168"/>
      <c r="D209" s="188"/>
      <c r="F209" s="168" t="s">
        <v>6202</v>
      </c>
      <c r="G209" s="193">
        <f>IF(_1_541284561214624104645789101745[[#This Row],[Type]]&gt;0,VLOOKUP(_1_541284561214624104645789101745[[#This Row],[Type]],Main[[#All],[TYPE]:[UNIT]],'Unit Price'!C$1,FALSE),0)</f>
        <v>0</v>
      </c>
      <c r="H209" s="197">
        <f>IF(_1_541284561214624104645789101745[[#This Row],[Type]]&gt;0,VLOOKUP(_1_541284561214624104645789101745[[#This Row],[Type]],Main[[#All],[TYPE]:[UNIT]],'Unit Price'!D$1,FALSE),0)</f>
        <v>0</v>
      </c>
      <c r="I209" s="194">
        <f>IF(_1_541284561214624104645789101745[[#This Row],[Type]]&gt;0,VLOOKUP(_1_541284561214624104645789101745[[#This Row],[Type]],Main[[#All],[TYPE]:[UNIT]],'Unit Price'!G$1,FALSE),0)</f>
        <v>0</v>
      </c>
      <c r="J209" s="194">
        <f>IF(_1_541284561214624104645789101745[[#This Row],[Type]]&gt;0,VLOOKUP(_1_541284561214624104645789101745[[#This Row],[Type]],Main[[#All],[TYPE]:[UNIT]],'Unit Price'!H$1,FALSE),0)</f>
        <v>0</v>
      </c>
      <c r="K209" s="194">
        <f>IF(_1_541284561214624104645789101745[[#This Row],[Discount selection]]&gt;0,VLOOKUP(_1_541284561214624104645789101745[[#This Row],[Discount selection]],'Discount Structure'!$A$2:$B$30,2,"false"),0)</f>
        <v>1</v>
      </c>
      <c r="L209" s="194">
        <f>_1_541284561214624104645789101745[[#This Row],[LIST $]]*_1_541284561214624104645789101745[[#This Row],[DISCOUNT]]*_1_541284561214624104645789101745[[#This Row],[DISCOUNT 2]]</f>
        <v>0</v>
      </c>
      <c r="M209" s="194">
        <f>IF(OR(_1_541284561214624104645789101745[[#This Row],[UNIT]]&gt;0,_1_541284561214624104645789101745[[#This Row],[UNIT]]&lt;0),_1_541284561214624104645789101745[[#This Row],[UNIT]]*_1_541284561214624104645789101745[[#This Row],[COST]],0)</f>
        <v>0</v>
      </c>
      <c r="N209" s="194">
        <f t="shared" si="3"/>
        <v>1.5</v>
      </c>
      <c r="O209" s="198">
        <f>_1_541284561214624104645789101745[[#This Row],[TOTAL]]*_1_541284561214624104645789101745[[#This Row],[MARGIN]]</f>
        <v>0</v>
      </c>
      <c r="R209" s="41"/>
    </row>
    <row r="210" spans="3:18">
      <c r="C210" s="168"/>
      <c r="D210" s="188"/>
      <c r="F210" s="168" t="s">
        <v>6202</v>
      </c>
      <c r="G210" s="193">
        <f>IF(_1_541284561214624104645789101745[[#This Row],[Type]]&gt;0,VLOOKUP(_1_541284561214624104645789101745[[#This Row],[Type]],Main[[#All],[TYPE]:[UNIT]],'Unit Price'!C$1,FALSE),0)</f>
        <v>0</v>
      </c>
      <c r="H210" s="197">
        <f>IF(_1_541284561214624104645789101745[[#This Row],[Type]]&gt;0,VLOOKUP(_1_541284561214624104645789101745[[#This Row],[Type]],Main[[#All],[TYPE]:[UNIT]],'Unit Price'!D$1,FALSE),0)</f>
        <v>0</v>
      </c>
      <c r="I210" s="194">
        <f>IF(_1_541284561214624104645789101745[[#This Row],[Type]]&gt;0,VLOOKUP(_1_541284561214624104645789101745[[#This Row],[Type]],Main[[#All],[TYPE]:[UNIT]],'Unit Price'!G$1,FALSE),0)</f>
        <v>0</v>
      </c>
      <c r="J210" s="194">
        <f>IF(_1_541284561214624104645789101745[[#This Row],[Type]]&gt;0,VLOOKUP(_1_541284561214624104645789101745[[#This Row],[Type]],Main[[#All],[TYPE]:[UNIT]],'Unit Price'!H$1,FALSE),0)</f>
        <v>0</v>
      </c>
      <c r="K210" s="194">
        <f>IF(_1_541284561214624104645789101745[[#This Row],[Discount selection]]&gt;0,VLOOKUP(_1_541284561214624104645789101745[[#This Row],[Discount selection]],'Discount Structure'!$A$2:$B$30,2,"false"),0)</f>
        <v>1</v>
      </c>
      <c r="L210" s="194">
        <f>_1_541284561214624104645789101745[[#This Row],[LIST $]]*_1_541284561214624104645789101745[[#This Row],[DISCOUNT]]*_1_541284561214624104645789101745[[#This Row],[DISCOUNT 2]]</f>
        <v>0</v>
      </c>
      <c r="M210" s="194">
        <f>IF(OR(_1_541284561214624104645789101745[[#This Row],[UNIT]]&gt;0,_1_541284561214624104645789101745[[#This Row],[UNIT]]&lt;0),_1_541284561214624104645789101745[[#This Row],[UNIT]]*_1_541284561214624104645789101745[[#This Row],[COST]],0)</f>
        <v>0</v>
      </c>
      <c r="N210" s="194">
        <f t="shared" si="3"/>
        <v>1.5</v>
      </c>
      <c r="O210" s="198">
        <f>_1_541284561214624104645789101745[[#This Row],[TOTAL]]*_1_541284561214624104645789101745[[#This Row],[MARGIN]]</f>
        <v>0</v>
      </c>
      <c r="R210" s="41"/>
    </row>
    <row r="211" spans="3:18">
      <c r="C211" s="168"/>
      <c r="D211" s="188"/>
      <c r="F211" s="168" t="s">
        <v>6202</v>
      </c>
      <c r="G211" s="193">
        <f>IF(_1_541284561214624104645789101745[[#This Row],[Type]]&gt;0,VLOOKUP(_1_541284561214624104645789101745[[#This Row],[Type]],Main[[#All],[TYPE]:[UNIT]],'Unit Price'!C$1,FALSE),0)</f>
        <v>0</v>
      </c>
      <c r="H211" s="197">
        <f>IF(_1_541284561214624104645789101745[[#This Row],[Type]]&gt;0,VLOOKUP(_1_541284561214624104645789101745[[#This Row],[Type]],Main[[#All],[TYPE]:[UNIT]],'Unit Price'!D$1,FALSE),0)</f>
        <v>0</v>
      </c>
      <c r="I211" s="194">
        <f>IF(_1_541284561214624104645789101745[[#This Row],[Type]]&gt;0,VLOOKUP(_1_541284561214624104645789101745[[#This Row],[Type]],Main[[#All],[TYPE]:[UNIT]],'Unit Price'!G$1,FALSE),0)</f>
        <v>0</v>
      </c>
      <c r="J211" s="194">
        <f>IF(_1_541284561214624104645789101745[[#This Row],[Type]]&gt;0,VLOOKUP(_1_541284561214624104645789101745[[#This Row],[Type]],Main[[#All],[TYPE]:[UNIT]],'Unit Price'!H$1,FALSE),0)</f>
        <v>0</v>
      </c>
      <c r="K211" s="194">
        <f>IF(_1_541284561214624104645789101745[[#This Row],[Discount selection]]&gt;0,VLOOKUP(_1_541284561214624104645789101745[[#This Row],[Discount selection]],'Discount Structure'!$A$2:$B$30,2,"false"),0)</f>
        <v>1</v>
      </c>
      <c r="L211" s="194">
        <f>_1_541284561214624104645789101745[[#This Row],[LIST $]]*_1_541284561214624104645789101745[[#This Row],[DISCOUNT]]*_1_541284561214624104645789101745[[#This Row],[DISCOUNT 2]]</f>
        <v>0</v>
      </c>
      <c r="M211" s="194">
        <f>IF(OR(_1_541284561214624104645789101745[[#This Row],[UNIT]]&gt;0,_1_541284561214624104645789101745[[#This Row],[UNIT]]&lt;0),_1_541284561214624104645789101745[[#This Row],[UNIT]]*_1_541284561214624104645789101745[[#This Row],[COST]],0)</f>
        <v>0</v>
      </c>
      <c r="N211" s="194">
        <f t="shared" si="3"/>
        <v>1.5</v>
      </c>
      <c r="O211" s="198">
        <f>_1_541284561214624104645789101745[[#This Row],[TOTAL]]*_1_541284561214624104645789101745[[#This Row],[MARGIN]]</f>
        <v>0</v>
      </c>
      <c r="R211" s="41"/>
    </row>
    <row r="212" spans="3:18">
      <c r="C212" s="168"/>
      <c r="D212" s="188"/>
      <c r="F212" s="168" t="s">
        <v>6202</v>
      </c>
      <c r="G212" s="193">
        <f>IF(_1_541284561214624104645789101745[[#This Row],[Type]]&gt;0,VLOOKUP(_1_541284561214624104645789101745[[#This Row],[Type]],Main[[#All],[TYPE]:[UNIT]],'Unit Price'!C$1,FALSE),0)</f>
        <v>0</v>
      </c>
      <c r="H212" s="197">
        <f>IF(_1_541284561214624104645789101745[[#This Row],[Type]]&gt;0,VLOOKUP(_1_541284561214624104645789101745[[#This Row],[Type]],Main[[#All],[TYPE]:[UNIT]],'Unit Price'!D$1,FALSE),0)</f>
        <v>0</v>
      </c>
      <c r="I212" s="194">
        <f>IF(_1_541284561214624104645789101745[[#This Row],[Type]]&gt;0,VLOOKUP(_1_541284561214624104645789101745[[#This Row],[Type]],Main[[#All],[TYPE]:[UNIT]],'Unit Price'!G$1,FALSE),0)</f>
        <v>0</v>
      </c>
      <c r="J212" s="194">
        <f>IF(_1_541284561214624104645789101745[[#This Row],[Type]]&gt;0,VLOOKUP(_1_541284561214624104645789101745[[#This Row],[Type]],Main[[#All],[TYPE]:[UNIT]],'Unit Price'!H$1,FALSE),0)</f>
        <v>0</v>
      </c>
      <c r="K212" s="194">
        <f>IF(_1_541284561214624104645789101745[[#This Row],[Discount selection]]&gt;0,VLOOKUP(_1_541284561214624104645789101745[[#This Row],[Discount selection]],'Discount Structure'!$A$2:$B$30,2,"false"),0)</f>
        <v>1</v>
      </c>
      <c r="L212" s="194">
        <f>_1_541284561214624104645789101745[[#This Row],[LIST $]]*_1_541284561214624104645789101745[[#This Row],[DISCOUNT]]*_1_541284561214624104645789101745[[#This Row],[DISCOUNT 2]]</f>
        <v>0</v>
      </c>
      <c r="M212" s="194">
        <f>IF(OR(_1_541284561214624104645789101745[[#This Row],[UNIT]]&gt;0,_1_541284561214624104645789101745[[#This Row],[UNIT]]&lt;0),_1_541284561214624104645789101745[[#This Row],[UNIT]]*_1_541284561214624104645789101745[[#This Row],[COST]],0)</f>
        <v>0</v>
      </c>
      <c r="N212" s="194">
        <f t="shared" si="3"/>
        <v>1.5</v>
      </c>
      <c r="O212" s="198">
        <f>_1_541284561214624104645789101745[[#This Row],[TOTAL]]*_1_541284561214624104645789101745[[#This Row],[MARGIN]]</f>
        <v>0</v>
      </c>
      <c r="R212" s="41"/>
    </row>
    <row r="213" spans="3:18">
      <c r="C213" s="168"/>
      <c r="D213" s="188"/>
      <c r="F213" s="168" t="s">
        <v>6202</v>
      </c>
      <c r="G213" s="193">
        <f>IF(_1_541284561214624104645789101745[[#This Row],[Type]]&gt;0,VLOOKUP(_1_541284561214624104645789101745[[#This Row],[Type]],Main[[#All],[TYPE]:[UNIT]],'Unit Price'!C$1,FALSE),0)</f>
        <v>0</v>
      </c>
      <c r="H213" s="197">
        <f>IF(_1_541284561214624104645789101745[[#This Row],[Type]]&gt;0,VLOOKUP(_1_541284561214624104645789101745[[#This Row],[Type]],Main[[#All],[TYPE]:[UNIT]],'Unit Price'!D$1,FALSE),0)</f>
        <v>0</v>
      </c>
      <c r="I213" s="194">
        <f>IF(_1_541284561214624104645789101745[[#This Row],[Type]]&gt;0,VLOOKUP(_1_541284561214624104645789101745[[#This Row],[Type]],Main[[#All],[TYPE]:[UNIT]],'Unit Price'!G$1,FALSE),0)</f>
        <v>0</v>
      </c>
      <c r="J213" s="194">
        <f>IF(_1_541284561214624104645789101745[[#This Row],[Type]]&gt;0,VLOOKUP(_1_541284561214624104645789101745[[#This Row],[Type]],Main[[#All],[TYPE]:[UNIT]],'Unit Price'!H$1,FALSE),0)</f>
        <v>0</v>
      </c>
      <c r="K213" s="194">
        <f>IF(_1_541284561214624104645789101745[[#This Row],[Discount selection]]&gt;0,VLOOKUP(_1_541284561214624104645789101745[[#This Row],[Discount selection]],'Discount Structure'!$A$2:$B$30,2,"false"),0)</f>
        <v>1</v>
      </c>
      <c r="L213" s="194">
        <f>_1_541284561214624104645789101745[[#This Row],[LIST $]]*_1_541284561214624104645789101745[[#This Row],[DISCOUNT]]*_1_541284561214624104645789101745[[#This Row],[DISCOUNT 2]]</f>
        <v>0</v>
      </c>
      <c r="M213" s="194">
        <f>IF(OR(_1_541284561214624104645789101745[[#This Row],[UNIT]]&gt;0,_1_541284561214624104645789101745[[#This Row],[UNIT]]&lt;0),_1_541284561214624104645789101745[[#This Row],[UNIT]]*_1_541284561214624104645789101745[[#This Row],[COST]],0)</f>
        <v>0</v>
      </c>
      <c r="N213" s="194">
        <f t="shared" si="3"/>
        <v>1.5</v>
      </c>
      <c r="O213" s="198">
        <f>_1_541284561214624104645789101745[[#This Row],[TOTAL]]*_1_541284561214624104645789101745[[#This Row],[MARGIN]]</f>
        <v>0</v>
      </c>
      <c r="R213" s="41"/>
    </row>
    <row r="214" spans="3:18">
      <c r="C214" s="168"/>
      <c r="D214" s="188"/>
      <c r="F214" s="168" t="s">
        <v>6202</v>
      </c>
      <c r="G214" s="193">
        <f>IF(_1_541284561214624104645789101745[[#This Row],[Type]]&gt;0,VLOOKUP(_1_541284561214624104645789101745[[#This Row],[Type]],Main[[#All],[TYPE]:[UNIT]],'Unit Price'!C$1,FALSE),0)</f>
        <v>0</v>
      </c>
      <c r="H214" s="197">
        <f>IF(_1_541284561214624104645789101745[[#This Row],[Type]]&gt;0,VLOOKUP(_1_541284561214624104645789101745[[#This Row],[Type]],Main[[#All],[TYPE]:[UNIT]],'Unit Price'!D$1,FALSE),0)</f>
        <v>0</v>
      </c>
      <c r="I214" s="194">
        <f>IF(_1_541284561214624104645789101745[[#This Row],[Type]]&gt;0,VLOOKUP(_1_541284561214624104645789101745[[#This Row],[Type]],Main[[#All],[TYPE]:[UNIT]],'Unit Price'!G$1,FALSE),0)</f>
        <v>0</v>
      </c>
      <c r="J214" s="194">
        <f>IF(_1_541284561214624104645789101745[[#This Row],[Type]]&gt;0,VLOOKUP(_1_541284561214624104645789101745[[#This Row],[Type]],Main[[#All],[TYPE]:[UNIT]],'Unit Price'!H$1,FALSE),0)</f>
        <v>0</v>
      </c>
      <c r="K214" s="194">
        <f>IF(_1_541284561214624104645789101745[[#This Row],[Discount selection]]&gt;0,VLOOKUP(_1_541284561214624104645789101745[[#This Row],[Discount selection]],'Discount Structure'!$A$2:$B$30,2,"false"),0)</f>
        <v>1</v>
      </c>
      <c r="L214" s="194">
        <f>_1_541284561214624104645789101745[[#This Row],[LIST $]]*_1_541284561214624104645789101745[[#This Row],[DISCOUNT]]*_1_541284561214624104645789101745[[#This Row],[DISCOUNT 2]]</f>
        <v>0</v>
      </c>
      <c r="M214" s="194">
        <f>IF(OR(_1_541284561214624104645789101745[[#This Row],[UNIT]]&gt;0,_1_541284561214624104645789101745[[#This Row],[UNIT]]&lt;0),_1_541284561214624104645789101745[[#This Row],[UNIT]]*_1_541284561214624104645789101745[[#This Row],[COST]],0)</f>
        <v>0</v>
      </c>
      <c r="N214" s="194">
        <f t="shared" si="3"/>
        <v>1.5</v>
      </c>
      <c r="O214" s="198">
        <f>_1_541284561214624104645789101745[[#This Row],[TOTAL]]*_1_541284561214624104645789101745[[#This Row],[MARGIN]]</f>
        <v>0</v>
      </c>
      <c r="R214" s="41"/>
    </row>
    <row r="215" spans="3:18">
      <c r="C215" s="168"/>
      <c r="D215" s="188"/>
      <c r="F215" s="168" t="s">
        <v>6202</v>
      </c>
      <c r="G215" s="193">
        <f>IF(_1_541284561214624104645789101745[[#This Row],[Type]]&gt;0,VLOOKUP(_1_541284561214624104645789101745[[#This Row],[Type]],Main[[#All],[TYPE]:[UNIT]],'Unit Price'!C$1,FALSE),0)</f>
        <v>0</v>
      </c>
      <c r="H215" s="197">
        <f>IF(_1_541284561214624104645789101745[[#This Row],[Type]]&gt;0,VLOOKUP(_1_541284561214624104645789101745[[#This Row],[Type]],Main[[#All],[TYPE]:[UNIT]],'Unit Price'!D$1,FALSE),0)</f>
        <v>0</v>
      </c>
      <c r="I215" s="194">
        <f>IF(_1_541284561214624104645789101745[[#This Row],[Type]]&gt;0,VLOOKUP(_1_541284561214624104645789101745[[#This Row],[Type]],Main[[#All],[TYPE]:[UNIT]],'Unit Price'!G$1,FALSE),0)</f>
        <v>0</v>
      </c>
      <c r="J215" s="194">
        <f>IF(_1_541284561214624104645789101745[[#This Row],[Type]]&gt;0,VLOOKUP(_1_541284561214624104645789101745[[#This Row],[Type]],Main[[#All],[TYPE]:[UNIT]],'Unit Price'!H$1,FALSE),0)</f>
        <v>0</v>
      </c>
      <c r="K215" s="194">
        <f>IF(_1_541284561214624104645789101745[[#This Row],[Discount selection]]&gt;0,VLOOKUP(_1_541284561214624104645789101745[[#This Row],[Discount selection]],'Discount Structure'!$A$2:$B$30,2,"false"),0)</f>
        <v>1</v>
      </c>
      <c r="L215" s="194">
        <f>_1_541284561214624104645789101745[[#This Row],[LIST $]]*_1_541284561214624104645789101745[[#This Row],[DISCOUNT]]*_1_541284561214624104645789101745[[#This Row],[DISCOUNT 2]]</f>
        <v>0</v>
      </c>
      <c r="M215" s="194">
        <f>IF(OR(_1_541284561214624104645789101745[[#This Row],[UNIT]]&gt;0,_1_541284561214624104645789101745[[#This Row],[UNIT]]&lt;0),_1_541284561214624104645789101745[[#This Row],[UNIT]]*_1_541284561214624104645789101745[[#This Row],[COST]],0)</f>
        <v>0</v>
      </c>
      <c r="N215" s="194">
        <f t="shared" si="3"/>
        <v>1.5</v>
      </c>
      <c r="O215" s="198">
        <f>_1_541284561214624104645789101745[[#This Row],[TOTAL]]*_1_541284561214624104645789101745[[#This Row],[MARGIN]]</f>
        <v>0</v>
      </c>
      <c r="R215" s="41"/>
    </row>
    <row r="216" spans="3:18">
      <c r="C216" s="168"/>
      <c r="D216" s="188"/>
      <c r="F216" s="168" t="s">
        <v>6202</v>
      </c>
      <c r="G216" s="193">
        <f>IF(_1_541284561214624104645789101745[[#This Row],[Type]]&gt;0,VLOOKUP(_1_541284561214624104645789101745[[#This Row],[Type]],Main[[#All],[TYPE]:[UNIT]],'Unit Price'!C$1,FALSE),0)</f>
        <v>0</v>
      </c>
      <c r="H216" s="197">
        <f>IF(_1_541284561214624104645789101745[[#This Row],[Type]]&gt;0,VLOOKUP(_1_541284561214624104645789101745[[#This Row],[Type]],Main[[#All],[TYPE]:[UNIT]],'Unit Price'!D$1,FALSE),0)</f>
        <v>0</v>
      </c>
      <c r="I216" s="194">
        <f>IF(_1_541284561214624104645789101745[[#This Row],[Type]]&gt;0,VLOOKUP(_1_541284561214624104645789101745[[#This Row],[Type]],Main[[#All],[TYPE]:[UNIT]],'Unit Price'!G$1,FALSE),0)</f>
        <v>0</v>
      </c>
      <c r="J216" s="194">
        <f>IF(_1_541284561214624104645789101745[[#This Row],[Type]]&gt;0,VLOOKUP(_1_541284561214624104645789101745[[#This Row],[Type]],Main[[#All],[TYPE]:[UNIT]],'Unit Price'!H$1,FALSE),0)</f>
        <v>0</v>
      </c>
      <c r="K216" s="194">
        <f>IF(_1_541284561214624104645789101745[[#This Row],[Discount selection]]&gt;0,VLOOKUP(_1_541284561214624104645789101745[[#This Row],[Discount selection]],'Discount Structure'!$A$2:$B$30,2,"false"),0)</f>
        <v>1</v>
      </c>
      <c r="L216" s="194">
        <f>_1_541284561214624104645789101745[[#This Row],[LIST $]]*_1_541284561214624104645789101745[[#This Row],[DISCOUNT]]*_1_541284561214624104645789101745[[#This Row],[DISCOUNT 2]]</f>
        <v>0</v>
      </c>
      <c r="M216" s="194">
        <f>IF(OR(_1_541284561214624104645789101745[[#This Row],[UNIT]]&gt;0,_1_541284561214624104645789101745[[#This Row],[UNIT]]&lt;0),_1_541284561214624104645789101745[[#This Row],[UNIT]]*_1_541284561214624104645789101745[[#This Row],[COST]],0)</f>
        <v>0</v>
      </c>
      <c r="N216" s="194">
        <f t="shared" si="3"/>
        <v>1.5</v>
      </c>
      <c r="O216" s="198">
        <f>_1_541284561214624104645789101745[[#This Row],[TOTAL]]*_1_541284561214624104645789101745[[#This Row],[MARGIN]]</f>
        <v>0</v>
      </c>
      <c r="R216" s="41"/>
    </row>
    <row r="217" spans="3:18">
      <c r="C217" s="168"/>
      <c r="D217" s="188"/>
      <c r="F217" s="168" t="s">
        <v>6202</v>
      </c>
      <c r="G217" s="193">
        <f>IF(_1_541284561214624104645789101745[[#This Row],[Type]]&gt;0,VLOOKUP(_1_541284561214624104645789101745[[#This Row],[Type]],Main[[#All],[TYPE]:[UNIT]],'Unit Price'!C$1,FALSE),0)</f>
        <v>0</v>
      </c>
      <c r="H217" s="197">
        <f>IF(_1_541284561214624104645789101745[[#This Row],[Type]]&gt;0,VLOOKUP(_1_541284561214624104645789101745[[#This Row],[Type]],Main[[#All],[TYPE]:[UNIT]],'Unit Price'!D$1,FALSE),0)</f>
        <v>0</v>
      </c>
      <c r="I217" s="194">
        <f>IF(_1_541284561214624104645789101745[[#This Row],[Type]]&gt;0,VLOOKUP(_1_541284561214624104645789101745[[#This Row],[Type]],Main[[#All],[TYPE]:[UNIT]],'Unit Price'!G$1,FALSE),0)</f>
        <v>0</v>
      </c>
      <c r="J217" s="194">
        <f>IF(_1_541284561214624104645789101745[[#This Row],[Type]]&gt;0,VLOOKUP(_1_541284561214624104645789101745[[#This Row],[Type]],Main[[#All],[TYPE]:[UNIT]],'Unit Price'!H$1,FALSE),0)</f>
        <v>0</v>
      </c>
      <c r="K217" s="194">
        <f>IF(_1_541284561214624104645789101745[[#This Row],[Discount selection]]&gt;0,VLOOKUP(_1_541284561214624104645789101745[[#This Row],[Discount selection]],'Discount Structure'!$A$2:$B$30,2,"false"),0)</f>
        <v>1</v>
      </c>
      <c r="L217" s="194">
        <f>_1_541284561214624104645789101745[[#This Row],[LIST $]]*_1_541284561214624104645789101745[[#This Row],[DISCOUNT]]*_1_541284561214624104645789101745[[#This Row],[DISCOUNT 2]]</f>
        <v>0</v>
      </c>
      <c r="M217" s="194">
        <f>IF(OR(_1_541284561214624104645789101745[[#This Row],[UNIT]]&gt;0,_1_541284561214624104645789101745[[#This Row],[UNIT]]&lt;0),_1_541284561214624104645789101745[[#This Row],[UNIT]]*_1_541284561214624104645789101745[[#This Row],[COST]],0)</f>
        <v>0</v>
      </c>
      <c r="N217" s="194">
        <f t="shared" si="3"/>
        <v>1.5</v>
      </c>
      <c r="O217" s="198">
        <f>_1_541284561214624104645789101745[[#This Row],[TOTAL]]*_1_541284561214624104645789101745[[#This Row],[MARGIN]]</f>
        <v>0</v>
      </c>
      <c r="R217" s="41"/>
    </row>
    <row r="218" spans="3:18">
      <c r="C218" s="168"/>
      <c r="D218" s="188"/>
      <c r="F218" s="168" t="s">
        <v>6202</v>
      </c>
      <c r="G218" s="193">
        <f>IF(_1_541284561214624104645789101745[[#This Row],[Type]]&gt;0,VLOOKUP(_1_541284561214624104645789101745[[#This Row],[Type]],Main[[#All],[TYPE]:[UNIT]],'Unit Price'!C$1,FALSE),0)</f>
        <v>0</v>
      </c>
      <c r="H218" s="197">
        <f>IF(_1_541284561214624104645789101745[[#This Row],[Type]]&gt;0,VLOOKUP(_1_541284561214624104645789101745[[#This Row],[Type]],Main[[#All],[TYPE]:[UNIT]],'Unit Price'!D$1,FALSE),0)</f>
        <v>0</v>
      </c>
      <c r="I218" s="194">
        <f>IF(_1_541284561214624104645789101745[[#This Row],[Type]]&gt;0,VLOOKUP(_1_541284561214624104645789101745[[#This Row],[Type]],Main[[#All],[TYPE]:[UNIT]],'Unit Price'!G$1,FALSE),0)</f>
        <v>0</v>
      </c>
      <c r="J218" s="194">
        <f>IF(_1_541284561214624104645789101745[[#This Row],[Type]]&gt;0,VLOOKUP(_1_541284561214624104645789101745[[#This Row],[Type]],Main[[#All],[TYPE]:[UNIT]],'Unit Price'!H$1,FALSE),0)</f>
        <v>0</v>
      </c>
      <c r="K218" s="194">
        <f>IF(_1_541284561214624104645789101745[[#This Row],[Discount selection]]&gt;0,VLOOKUP(_1_541284561214624104645789101745[[#This Row],[Discount selection]],'Discount Structure'!$A$2:$B$30,2,"false"),0)</f>
        <v>1</v>
      </c>
      <c r="L218" s="194">
        <f>_1_541284561214624104645789101745[[#This Row],[LIST $]]*_1_541284561214624104645789101745[[#This Row],[DISCOUNT]]*_1_541284561214624104645789101745[[#This Row],[DISCOUNT 2]]</f>
        <v>0</v>
      </c>
      <c r="M218" s="194">
        <f>IF(OR(_1_541284561214624104645789101745[[#This Row],[UNIT]]&gt;0,_1_541284561214624104645789101745[[#This Row],[UNIT]]&lt;0),_1_541284561214624104645789101745[[#This Row],[UNIT]]*_1_541284561214624104645789101745[[#This Row],[COST]],0)</f>
        <v>0</v>
      </c>
      <c r="N218" s="194">
        <f t="shared" si="3"/>
        <v>1.5</v>
      </c>
      <c r="O218" s="198">
        <f>_1_541284561214624104645789101745[[#This Row],[TOTAL]]*_1_541284561214624104645789101745[[#This Row],[MARGIN]]</f>
        <v>0</v>
      </c>
      <c r="R218" s="41"/>
    </row>
    <row r="219" spans="3:18">
      <c r="C219" s="168"/>
      <c r="D219" s="188"/>
      <c r="F219" s="168" t="s">
        <v>6202</v>
      </c>
      <c r="G219" s="193">
        <f>IF(_1_541284561214624104645789101745[[#This Row],[Type]]&gt;0,VLOOKUP(_1_541284561214624104645789101745[[#This Row],[Type]],Main[[#All],[TYPE]:[UNIT]],'Unit Price'!C$1,FALSE),0)</f>
        <v>0</v>
      </c>
      <c r="H219" s="197">
        <f>IF(_1_541284561214624104645789101745[[#This Row],[Type]]&gt;0,VLOOKUP(_1_541284561214624104645789101745[[#This Row],[Type]],Main[[#All],[TYPE]:[UNIT]],'Unit Price'!D$1,FALSE),0)</f>
        <v>0</v>
      </c>
      <c r="I219" s="194">
        <f>IF(_1_541284561214624104645789101745[[#This Row],[Type]]&gt;0,VLOOKUP(_1_541284561214624104645789101745[[#This Row],[Type]],Main[[#All],[TYPE]:[UNIT]],'Unit Price'!G$1,FALSE),0)</f>
        <v>0</v>
      </c>
      <c r="J219" s="194">
        <f>IF(_1_541284561214624104645789101745[[#This Row],[Type]]&gt;0,VLOOKUP(_1_541284561214624104645789101745[[#This Row],[Type]],Main[[#All],[TYPE]:[UNIT]],'Unit Price'!H$1,FALSE),0)</f>
        <v>0</v>
      </c>
      <c r="K219" s="194">
        <f>IF(_1_541284561214624104645789101745[[#This Row],[Discount selection]]&gt;0,VLOOKUP(_1_541284561214624104645789101745[[#This Row],[Discount selection]],'Discount Structure'!$A$2:$B$30,2,"false"),0)</f>
        <v>1</v>
      </c>
      <c r="L219" s="194">
        <f>_1_541284561214624104645789101745[[#This Row],[LIST $]]*_1_541284561214624104645789101745[[#This Row],[DISCOUNT]]*_1_541284561214624104645789101745[[#This Row],[DISCOUNT 2]]</f>
        <v>0</v>
      </c>
      <c r="M219" s="194">
        <f>IF(OR(_1_541284561214624104645789101745[[#This Row],[UNIT]]&gt;0,_1_541284561214624104645789101745[[#This Row],[UNIT]]&lt;0),_1_541284561214624104645789101745[[#This Row],[UNIT]]*_1_541284561214624104645789101745[[#This Row],[COST]],0)</f>
        <v>0</v>
      </c>
      <c r="N219" s="194">
        <f t="shared" si="3"/>
        <v>1.5</v>
      </c>
      <c r="O219" s="198">
        <f>_1_541284561214624104645789101745[[#This Row],[TOTAL]]*_1_541284561214624104645789101745[[#This Row],[MARGIN]]</f>
        <v>0</v>
      </c>
      <c r="R219" s="41"/>
    </row>
    <row r="220" spans="3:18">
      <c r="C220" s="168"/>
      <c r="D220" s="188"/>
      <c r="F220" s="168" t="s">
        <v>6202</v>
      </c>
      <c r="G220" s="193">
        <f>IF(_1_541284561214624104645789101745[[#This Row],[Type]]&gt;0,VLOOKUP(_1_541284561214624104645789101745[[#This Row],[Type]],Main[[#All],[TYPE]:[UNIT]],'Unit Price'!C$1,FALSE),0)</f>
        <v>0</v>
      </c>
      <c r="H220" s="197">
        <f>IF(_1_541284561214624104645789101745[[#This Row],[Type]]&gt;0,VLOOKUP(_1_541284561214624104645789101745[[#This Row],[Type]],Main[[#All],[TYPE]:[UNIT]],'Unit Price'!D$1,FALSE),0)</f>
        <v>0</v>
      </c>
      <c r="I220" s="194">
        <f>IF(_1_541284561214624104645789101745[[#This Row],[Type]]&gt;0,VLOOKUP(_1_541284561214624104645789101745[[#This Row],[Type]],Main[[#All],[TYPE]:[UNIT]],'Unit Price'!G$1,FALSE),0)</f>
        <v>0</v>
      </c>
      <c r="J220" s="194">
        <f>IF(_1_541284561214624104645789101745[[#This Row],[Type]]&gt;0,VLOOKUP(_1_541284561214624104645789101745[[#This Row],[Type]],Main[[#All],[TYPE]:[UNIT]],'Unit Price'!H$1,FALSE),0)</f>
        <v>0</v>
      </c>
      <c r="K220" s="194">
        <f>IF(_1_541284561214624104645789101745[[#This Row],[Discount selection]]&gt;0,VLOOKUP(_1_541284561214624104645789101745[[#This Row],[Discount selection]],'Discount Structure'!$A$2:$B$30,2,"false"),0)</f>
        <v>1</v>
      </c>
      <c r="L220" s="194">
        <f>_1_541284561214624104645789101745[[#This Row],[LIST $]]*_1_541284561214624104645789101745[[#This Row],[DISCOUNT]]*_1_541284561214624104645789101745[[#This Row],[DISCOUNT 2]]</f>
        <v>0</v>
      </c>
      <c r="M220" s="194">
        <f>IF(OR(_1_541284561214624104645789101745[[#This Row],[UNIT]]&gt;0,_1_541284561214624104645789101745[[#This Row],[UNIT]]&lt;0),_1_541284561214624104645789101745[[#This Row],[UNIT]]*_1_541284561214624104645789101745[[#This Row],[COST]],0)</f>
        <v>0</v>
      </c>
      <c r="N220" s="194">
        <f t="shared" si="3"/>
        <v>1.5</v>
      </c>
      <c r="O220" s="198">
        <f>_1_541284561214624104645789101745[[#This Row],[TOTAL]]*_1_541284561214624104645789101745[[#This Row],[MARGIN]]</f>
        <v>0</v>
      </c>
      <c r="R220" s="41"/>
    </row>
    <row r="221" spans="3:18">
      <c r="C221" s="168"/>
      <c r="D221" s="188"/>
      <c r="F221" s="168" t="s">
        <v>6202</v>
      </c>
      <c r="G221" s="193">
        <f>IF(_1_541284561214624104645789101745[[#This Row],[Type]]&gt;0,VLOOKUP(_1_541284561214624104645789101745[[#This Row],[Type]],Main[[#All],[TYPE]:[UNIT]],'Unit Price'!C$1,FALSE),0)</f>
        <v>0</v>
      </c>
      <c r="H221" s="197">
        <f>IF(_1_541284561214624104645789101745[[#This Row],[Type]]&gt;0,VLOOKUP(_1_541284561214624104645789101745[[#This Row],[Type]],Main[[#All],[TYPE]:[UNIT]],'Unit Price'!D$1,FALSE),0)</f>
        <v>0</v>
      </c>
      <c r="I221" s="194">
        <f>IF(_1_541284561214624104645789101745[[#This Row],[Type]]&gt;0,VLOOKUP(_1_541284561214624104645789101745[[#This Row],[Type]],Main[[#All],[TYPE]:[UNIT]],'Unit Price'!G$1,FALSE),0)</f>
        <v>0</v>
      </c>
      <c r="J221" s="194">
        <f>IF(_1_541284561214624104645789101745[[#This Row],[Type]]&gt;0,VLOOKUP(_1_541284561214624104645789101745[[#This Row],[Type]],Main[[#All],[TYPE]:[UNIT]],'Unit Price'!H$1,FALSE),0)</f>
        <v>0</v>
      </c>
      <c r="K221" s="194">
        <f>IF(_1_541284561214624104645789101745[[#This Row],[Discount selection]]&gt;0,VLOOKUP(_1_541284561214624104645789101745[[#This Row],[Discount selection]],'Discount Structure'!$A$2:$B$30,2,"false"),0)</f>
        <v>1</v>
      </c>
      <c r="L221" s="194">
        <f>_1_541284561214624104645789101745[[#This Row],[LIST $]]*_1_541284561214624104645789101745[[#This Row],[DISCOUNT]]*_1_541284561214624104645789101745[[#This Row],[DISCOUNT 2]]</f>
        <v>0</v>
      </c>
      <c r="M221" s="194">
        <f>IF(OR(_1_541284561214624104645789101745[[#This Row],[UNIT]]&gt;0,_1_541284561214624104645789101745[[#This Row],[UNIT]]&lt;0),_1_541284561214624104645789101745[[#This Row],[UNIT]]*_1_541284561214624104645789101745[[#This Row],[COST]],0)</f>
        <v>0</v>
      </c>
      <c r="N221" s="194">
        <f t="shared" si="3"/>
        <v>1.5</v>
      </c>
      <c r="O221" s="198">
        <f>_1_541284561214624104645789101745[[#This Row],[TOTAL]]*_1_541284561214624104645789101745[[#This Row],[MARGIN]]</f>
        <v>0</v>
      </c>
      <c r="R221" s="41"/>
    </row>
    <row r="222" spans="3:18">
      <c r="C222" s="168"/>
      <c r="D222" s="188"/>
      <c r="F222" s="168" t="s">
        <v>6202</v>
      </c>
      <c r="G222" s="193">
        <f>IF(_1_541284561214624104645789101745[[#This Row],[Type]]&gt;0,VLOOKUP(_1_541284561214624104645789101745[[#This Row],[Type]],Main[[#All],[TYPE]:[UNIT]],'Unit Price'!C$1,FALSE),0)</f>
        <v>0</v>
      </c>
      <c r="H222" s="197">
        <f>IF(_1_541284561214624104645789101745[[#This Row],[Type]]&gt;0,VLOOKUP(_1_541284561214624104645789101745[[#This Row],[Type]],Main[[#All],[TYPE]:[UNIT]],'Unit Price'!D$1,FALSE),0)</f>
        <v>0</v>
      </c>
      <c r="I222" s="194">
        <f>IF(_1_541284561214624104645789101745[[#This Row],[Type]]&gt;0,VLOOKUP(_1_541284561214624104645789101745[[#This Row],[Type]],Main[[#All],[TYPE]:[UNIT]],'Unit Price'!G$1,FALSE),0)</f>
        <v>0</v>
      </c>
      <c r="J222" s="194">
        <f>IF(_1_541284561214624104645789101745[[#This Row],[Type]]&gt;0,VLOOKUP(_1_541284561214624104645789101745[[#This Row],[Type]],Main[[#All],[TYPE]:[UNIT]],'Unit Price'!H$1,FALSE),0)</f>
        <v>0</v>
      </c>
      <c r="K222" s="194">
        <f>IF(_1_541284561214624104645789101745[[#This Row],[Discount selection]]&gt;0,VLOOKUP(_1_541284561214624104645789101745[[#This Row],[Discount selection]],'Discount Structure'!$A$2:$B$30,2,"false"),0)</f>
        <v>1</v>
      </c>
      <c r="L222" s="194">
        <f>_1_541284561214624104645789101745[[#This Row],[LIST $]]*_1_541284561214624104645789101745[[#This Row],[DISCOUNT]]*_1_541284561214624104645789101745[[#This Row],[DISCOUNT 2]]</f>
        <v>0</v>
      </c>
      <c r="M222" s="194">
        <f>IF(OR(_1_541284561214624104645789101745[[#This Row],[UNIT]]&gt;0,_1_541284561214624104645789101745[[#This Row],[UNIT]]&lt;0),_1_541284561214624104645789101745[[#This Row],[UNIT]]*_1_541284561214624104645789101745[[#This Row],[COST]],0)</f>
        <v>0</v>
      </c>
      <c r="N222" s="194">
        <f t="shared" si="3"/>
        <v>1.5</v>
      </c>
      <c r="O222" s="198">
        <f>_1_541284561214624104645789101745[[#This Row],[TOTAL]]*_1_541284561214624104645789101745[[#This Row],[MARGIN]]</f>
        <v>0</v>
      </c>
      <c r="R222" s="41"/>
    </row>
    <row r="223" spans="3:18">
      <c r="C223" s="168"/>
      <c r="D223" s="188"/>
      <c r="F223" s="168" t="s">
        <v>6202</v>
      </c>
      <c r="G223" s="193">
        <f>IF(_1_541284561214624104645789101745[[#This Row],[Type]]&gt;0,VLOOKUP(_1_541284561214624104645789101745[[#This Row],[Type]],Main[[#All],[TYPE]:[UNIT]],'Unit Price'!C$1,FALSE),0)</f>
        <v>0</v>
      </c>
      <c r="H223" s="197">
        <f>IF(_1_541284561214624104645789101745[[#This Row],[Type]]&gt;0,VLOOKUP(_1_541284561214624104645789101745[[#This Row],[Type]],Main[[#All],[TYPE]:[UNIT]],'Unit Price'!D$1,FALSE),0)</f>
        <v>0</v>
      </c>
      <c r="I223" s="194">
        <f>IF(_1_541284561214624104645789101745[[#This Row],[Type]]&gt;0,VLOOKUP(_1_541284561214624104645789101745[[#This Row],[Type]],Main[[#All],[TYPE]:[UNIT]],'Unit Price'!G$1,FALSE),0)</f>
        <v>0</v>
      </c>
      <c r="J223" s="194">
        <f>IF(_1_541284561214624104645789101745[[#This Row],[Type]]&gt;0,VLOOKUP(_1_541284561214624104645789101745[[#This Row],[Type]],Main[[#All],[TYPE]:[UNIT]],'Unit Price'!H$1,FALSE),0)</f>
        <v>0</v>
      </c>
      <c r="K223" s="194">
        <f>IF(_1_541284561214624104645789101745[[#This Row],[Discount selection]]&gt;0,VLOOKUP(_1_541284561214624104645789101745[[#This Row],[Discount selection]],'Discount Structure'!$A$2:$B$30,2,"false"),0)</f>
        <v>1</v>
      </c>
      <c r="L223" s="194">
        <f>_1_541284561214624104645789101745[[#This Row],[LIST $]]*_1_541284561214624104645789101745[[#This Row],[DISCOUNT]]*_1_541284561214624104645789101745[[#This Row],[DISCOUNT 2]]</f>
        <v>0</v>
      </c>
      <c r="M223" s="194">
        <f>IF(OR(_1_541284561214624104645789101745[[#This Row],[UNIT]]&gt;0,_1_541284561214624104645789101745[[#This Row],[UNIT]]&lt;0),_1_541284561214624104645789101745[[#This Row],[UNIT]]*_1_541284561214624104645789101745[[#This Row],[COST]],0)</f>
        <v>0</v>
      </c>
      <c r="N223" s="194">
        <f t="shared" si="3"/>
        <v>1.5</v>
      </c>
      <c r="O223" s="198">
        <f>_1_541284561214624104645789101745[[#This Row],[TOTAL]]*_1_541284561214624104645789101745[[#This Row],[MARGIN]]</f>
        <v>0</v>
      </c>
      <c r="R223" s="41"/>
    </row>
    <row r="224" spans="3:18">
      <c r="C224" s="168"/>
      <c r="D224" s="188"/>
      <c r="F224" s="168" t="s">
        <v>6202</v>
      </c>
      <c r="G224" s="193">
        <f>IF(_1_541284561214624104645789101745[[#This Row],[Type]]&gt;0,VLOOKUP(_1_541284561214624104645789101745[[#This Row],[Type]],Main[[#All],[TYPE]:[UNIT]],'Unit Price'!C$1,FALSE),0)</f>
        <v>0</v>
      </c>
      <c r="H224" s="197">
        <f>IF(_1_541284561214624104645789101745[[#This Row],[Type]]&gt;0,VLOOKUP(_1_541284561214624104645789101745[[#This Row],[Type]],Main[[#All],[TYPE]:[UNIT]],'Unit Price'!D$1,FALSE),0)</f>
        <v>0</v>
      </c>
      <c r="I224" s="194">
        <f>IF(_1_541284561214624104645789101745[[#This Row],[Type]]&gt;0,VLOOKUP(_1_541284561214624104645789101745[[#This Row],[Type]],Main[[#All],[TYPE]:[UNIT]],'Unit Price'!G$1,FALSE),0)</f>
        <v>0</v>
      </c>
      <c r="J224" s="194">
        <f>IF(_1_541284561214624104645789101745[[#This Row],[Type]]&gt;0,VLOOKUP(_1_541284561214624104645789101745[[#This Row],[Type]],Main[[#All],[TYPE]:[UNIT]],'Unit Price'!H$1,FALSE),0)</f>
        <v>0</v>
      </c>
      <c r="K224" s="194">
        <f>IF(_1_541284561214624104645789101745[[#This Row],[Discount selection]]&gt;0,VLOOKUP(_1_541284561214624104645789101745[[#This Row],[Discount selection]],'Discount Structure'!$A$2:$B$30,2,"false"),0)</f>
        <v>1</v>
      </c>
      <c r="L224" s="194">
        <f>_1_541284561214624104645789101745[[#This Row],[LIST $]]*_1_541284561214624104645789101745[[#This Row],[DISCOUNT]]*_1_541284561214624104645789101745[[#This Row],[DISCOUNT 2]]</f>
        <v>0</v>
      </c>
      <c r="M224" s="194">
        <f>IF(OR(_1_541284561214624104645789101745[[#This Row],[UNIT]]&gt;0,_1_541284561214624104645789101745[[#This Row],[UNIT]]&lt;0),_1_541284561214624104645789101745[[#This Row],[UNIT]]*_1_541284561214624104645789101745[[#This Row],[COST]],0)</f>
        <v>0</v>
      </c>
      <c r="N224" s="194">
        <f t="shared" si="3"/>
        <v>1.5</v>
      </c>
      <c r="O224" s="198">
        <f>_1_541284561214624104645789101745[[#This Row],[TOTAL]]*_1_541284561214624104645789101745[[#This Row],[MARGIN]]</f>
        <v>0</v>
      </c>
      <c r="R224" s="41"/>
    </row>
    <row r="225" spans="1:18">
      <c r="C225" s="168"/>
      <c r="D225" s="188"/>
      <c r="F225" s="168" t="s">
        <v>6202</v>
      </c>
      <c r="G225" s="193">
        <f>IF(_1_541284561214624104645789101745[[#This Row],[Type]]&gt;0,VLOOKUP(_1_541284561214624104645789101745[[#This Row],[Type]],Main[[#All],[TYPE]:[UNIT]],'Unit Price'!C$1,FALSE),0)</f>
        <v>0</v>
      </c>
      <c r="H225" s="197">
        <f>IF(_1_541284561214624104645789101745[[#This Row],[Type]]&gt;0,VLOOKUP(_1_541284561214624104645789101745[[#This Row],[Type]],Main[[#All],[TYPE]:[UNIT]],'Unit Price'!D$1,FALSE),0)</f>
        <v>0</v>
      </c>
      <c r="I225" s="194">
        <f>IF(_1_541284561214624104645789101745[[#This Row],[Type]]&gt;0,VLOOKUP(_1_541284561214624104645789101745[[#This Row],[Type]],Main[[#All],[TYPE]:[UNIT]],'Unit Price'!G$1,FALSE),0)</f>
        <v>0</v>
      </c>
      <c r="J225" s="194">
        <f>IF(_1_541284561214624104645789101745[[#This Row],[Type]]&gt;0,VLOOKUP(_1_541284561214624104645789101745[[#This Row],[Type]],Main[[#All],[TYPE]:[UNIT]],'Unit Price'!H$1,FALSE),0)</f>
        <v>0</v>
      </c>
      <c r="K225" s="194">
        <f>IF(_1_541284561214624104645789101745[[#This Row],[Discount selection]]&gt;0,VLOOKUP(_1_541284561214624104645789101745[[#This Row],[Discount selection]],'Discount Structure'!$A$2:$B$30,2,"false"),0)</f>
        <v>1</v>
      </c>
      <c r="L225" s="194">
        <f>_1_541284561214624104645789101745[[#This Row],[LIST $]]*_1_541284561214624104645789101745[[#This Row],[DISCOUNT]]*_1_541284561214624104645789101745[[#This Row],[DISCOUNT 2]]</f>
        <v>0</v>
      </c>
      <c r="M225" s="194">
        <f>IF(OR(_1_541284561214624104645789101745[[#This Row],[UNIT]]&gt;0,_1_541284561214624104645789101745[[#This Row],[UNIT]]&lt;0),_1_541284561214624104645789101745[[#This Row],[UNIT]]*_1_541284561214624104645789101745[[#This Row],[COST]],0)</f>
        <v>0</v>
      </c>
      <c r="N225" s="194">
        <f t="shared" si="3"/>
        <v>1.5</v>
      </c>
      <c r="O225" s="198">
        <f>_1_541284561214624104645789101745[[#This Row],[TOTAL]]*_1_541284561214624104645789101745[[#This Row],[MARGIN]]</f>
        <v>0</v>
      </c>
      <c r="R225" s="41"/>
    </row>
    <row r="226" spans="1:18">
      <c r="C226" s="168"/>
      <c r="D226" s="188"/>
      <c r="F226" s="168" t="s">
        <v>6202</v>
      </c>
      <c r="G226" s="193">
        <f>IF(_1_541284561214624104645789101745[[#This Row],[Type]]&gt;0,VLOOKUP(_1_541284561214624104645789101745[[#This Row],[Type]],Main[[#All],[TYPE]:[UNIT]],'Unit Price'!C$1,FALSE),0)</f>
        <v>0</v>
      </c>
      <c r="H226" s="197">
        <f>IF(_1_541284561214624104645789101745[[#This Row],[Type]]&gt;0,VLOOKUP(_1_541284561214624104645789101745[[#This Row],[Type]],Main[[#All],[TYPE]:[UNIT]],'Unit Price'!D$1,FALSE),0)</f>
        <v>0</v>
      </c>
      <c r="I226" s="194">
        <f>IF(_1_541284561214624104645789101745[[#This Row],[Type]]&gt;0,VLOOKUP(_1_541284561214624104645789101745[[#This Row],[Type]],Main[[#All],[TYPE]:[UNIT]],'Unit Price'!G$1,FALSE),0)</f>
        <v>0</v>
      </c>
      <c r="J226" s="194">
        <f>IF(_1_541284561214624104645789101745[[#This Row],[Type]]&gt;0,VLOOKUP(_1_541284561214624104645789101745[[#This Row],[Type]],Main[[#All],[TYPE]:[UNIT]],'Unit Price'!H$1,FALSE),0)</f>
        <v>0</v>
      </c>
      <c r="K226" s="194">
        <f>IF(_1_541284561214624104645789101745[[#This Row],[Discount selection]]&gt;0,VLOOKUP(_1_541284561214624104645789101745[[#This Row],[Discount selection]],'Discount Structure'!$A$2:$B$30,2,"false"),0)</f>
        <v>1</v>
      </c>
      <c r="L226" s="194">
        <f>_1_541284561214624104645789101745[[#This Row],[LIST $]]*_1_541284561214624104645789101745[[#This Row],[DISCOUNT]]*_1_541284561214624104645789101745[[#This Row],[DISCOUNT 2]]</f>
        <v>0</v>
      </c>
      <c r="M226" s="194">
        <f>IF(OR(_1_541284561214624104645789101745[[#This Row],[UNIT]]&gt;0,_1_541284561214624104645789101745[[#This Row],[UNIT]]&lt;0),_1_541284561214624104645789101745[[#This Row],[UNIT]]*_1_541284561214624104645789101745[[#This Row],[COST]],0)</f>
        <v>0</v>
      </c>
      <c r="N226" s="194">
        <f t="shared" si="3"/>
        <v>1.5</v>
      </c>
      <c r="O226" s="198">
        <f>_1_541284561214624104645789101745[[#This Row],[TOTAL]]*_1_541284561214624104645789101745[[#This Row],[MARGIN]]</f>
        <v>0</v>
      </c>
      <c r="R226" s="41"/>
    </row>
    <row r="227" spans="1:18">
      <c r="C227" s="168"/>
      <c r="D227" s="188"/>
      <c r="F227" s="168" t="s">
        <v>6202</v>
      </c>
      <c r="G227" s="193">
        <f>IF(_1_541284561214624104645789101745[[#This Row],[Type]]&gt;0,VLOOKUP(_1_541284561214624104645789101745[[#This Row],[Type]],Main[[#All],[TYPE]:[UNIT]],'Unit Price'!C$1,FALSE),0)</f>
        <v>0</v>
      </c>
      <c r="H227" s="197">
        <f>IF(_1_541284561214624104645789101745[[#This Row],[Type]]&gt;0,VLOOKUP(_1_541284561214624104645789101745[[#This Row],[Type]],Main[[#All],[TYPE]:[UNIT]],'Unit Price'!D$1,FALSE),0)</f>
        <v>0</v>
      </c>
      <c r="I227" s="194">
        <f>IF(_1_541284561214624104645789101745[[#This Row],[Type]]&gt;0,VLOOKUP(_1_541284561214624104645789101745[[#This Row],[Type]],Main[[#All],[TYPE]:[UNIT]],'Unit Price'!G$1,FALSE),0)</f>
        <v>0</v>
      </c>
      <c r="J227" s="194">
        <f>IF(_1_541284561214624104645789101745[[#This Row],[Type]]&gt;0,VLOOKUP(_1_541284561214624104645789101745[[#This Row],[Type]],Main[[#All],[TYPE]:[UNIT]],'Unit Price'!H$1,FALSE),0)</f>
        <v>0</v>
      </c>
      <c r="K227" s="194">
        <f>IF(_1_541284561214624104645789101745[[#This Row],[Discount selection]]&gt;0,VLOOKUP(_1_541284561214624104645789101745[[#This Row],[Discount selection]],'Discount Structure'!$A$2:$B$30,2,"false"),0)</f>
        <v>1</v>
      </c>
      <c r="L227" s="194">
        <f>_1_541284561214624104645789101745[[#This Row],[LIST $]]*_1_541284561214624104645789101745[[#This Row],[DISCOUNT]]*_1_541284561214624104645789101745[[#This Row],[DISCOUNT 2]]</f>
        <v>0</v>
      </c>
      <c r="M227" s="194">
        <f>IF(OR(_1_541284561214624104645789101745[[#This Row],[UNIT]]&gt;0,_1_541284561214624104645789101745[[#This Row],[UNIT]]&lt;0),_1_541284561214624104645789101745[[#This Row],[UNIT]]*_1_541284561214624104645789101745[[#This Row],[COST]],0)</f>
        <v>0</v>
      </c>
      <c r="N227" s="194">
        <f t="shared" si="3"/>
        <v>1.5</v>
      </c>
      <c r="O227" s="198">
        <f>_1_541284561214624104645789101745[[#This Row],[TOTAL]]*_1_541284561214624104645789101745[[#This Row],[MARGIN]]</f>
        <v>0</v>
      </c>
      <c r="R227" s="41"/>
    </row>
    <row r="228" spans="1:18">
      <c r="C228" s="168"/>
      <c r="D228" s="188"/>
      <c r="F228" s="168" t="s">
        <v>6202</v>
      </c>
      <c r="G228" s="193">
        <f>IF(_1_541284561214624104645789101745[[#This Row],[Type]]&gt;0,VLOOKUP(_1_541284561214624104645789101745[[#This Row],[Type]],Main[[#All],[TYPE]:[UNIT]],'Unit Price'!C$1,FALSE),0)</f>
        <v>0</v>
      </c>
      <c r="H228" s="197">
        <f>IF(_1_541284561214624104645789101745[[#This Row],[Type]]&gt;0,VLOOKUP(_1_541284561214624104645789101745[[#This Row],[Type]],Main[[#All],[TYPE]:[UNIT]],'Unit Price'!D$1,FALSE),0)</f>
        <v>0</v>
      </c>
      <c r="I228" s="194">
        <f>IF(_1_541284561214624104645789101745[[#This Row],[Type]]&gt;0,VLOOKUP(_1_541284561214624104645789101745[[#This Row],[Type]],Main[[#All],[TYPE]:[UNIT]],'Unit Price'!G$1,FALSE),0)</f>
        <v>0</v>
      </c>
      <c r="J228" s="194">
        <f>IF(_1_541284561214624104645789101745[[#This Row],[Type]]&gt;0,VLOOKUP(_1_541284561214624104645789101745[[#This Row],[Type]],Main[[#All],[TYPE]:[UNIT]],'Unit Price'!H$1,FALSE),0)</f>
        <v>0</v>
      </c>
      <c r="K228" s="194">
        <f>IF(_1_541284561214624104645789101745[[#This Row],[Discount selection]]&gt;0,VLOOKUP(_1_541284561214624104645789101745[[#This Row],[Discount selection]],'Discount Structure'!$A$2:$B$30,2,"false"),0)</f>
        <v>1</v>
      </c>
      <c r="L228" s="194">
        <f>_1_541284561214624104645789101745[[#This Row],[LIST $]]*_1_541284561214624104645789101745[[#This Row],[DISCOUNT]]*_1_541284561214624104645789101745[[#This Row],[DISCOUNT 2]]</f>
        <v>0</v>
      </c>
      <c r="M228" s="194">
        <f>IF(OR(_1_541284561214624104645789101745[[#This Row],[UNIT]]&gt;0,_1_541284561214624104645789101745[[#This Row],[UNIT]]&lt;0),_1_541284561214624104645789101745[[#This Row],[UNIT]]*_1_541284561214624104645789101745[[#This Row],[COST]],0)</f>
        <v>0</v>
      </c>
      <c r="N228" s="194">
        <f t="shared" si="3"/>
        <v>1.5</v>
      </c>
      <c r="O228" s="198">
        <f>_1_541284561214624104645789101745[[#This Row],[TOTAL]]*_1_541284561214624104645789101745[[#This Row],[MARGIN]]</f>
        <v>0</v>
      </c>
      <c r="R228" s="41"/>
    </row>
    <row r="229" spans="1:18">
      <c r="C229" s="168"/>
      <c r="D229" s="188"/>
      <c r="F229" s="168" t="s">
        <v>6202</v>
      </c>
      <c r="G229" s="193">
        <f>IF(_1_541284561214624104645789101745[[#This Row],[Type]]&gt;0,VLOOKUP(_1_541284561214624104645789101745[[#This Row],[Type]],Main[[#All],[TYPE]:[UNIT]],'Unit Price'!C$1,FALSE),0)</f>
        <v>0</v>
      </c>
      <c r="H229" s="197">
        <f>IF(_1_541284561214624104645789101745[[#This Row],[Type]]&gt;0,VLOOKUP(_1_541284561214624104645789101745[[#This Row],[Type]],Main[[#All],[TYPE]:[UNIT]],'Unit Price'!D$1,FALSE),0)</f>
        <v>0</v>
      </c>
      <c r="I229" s="194">
        <f>IF(_1_541284561214624104645789101745[[#This Row],[Type]]&gt;0,VLOOKUP(_1_541284561214624104645789101745[[#This Row],[Type]],Main[[#All],[TYPE]:[UNIT]],'Unit Price'!G$1,FALSE),0)</f>
        <v>0</v>
      </c>
      <c r="J229" s="194">
        <f>IF(_1_541284561214624104645789101745[[#This Row],[Type]]&gt;0,VLOOKUP(_1_541284561214624104645789101745[[#This Row],[Type]],Main[[#All],[TYPE]:[UNIT]],'Unit Price'!H$1,FALSE),0)</f>
        <v>0</v>
      </c>
      <c r="K229" s="194">
        <f>IF(_1_541284561214624104645789101745[[#This Row],[Discount selection]]&gt;0,VLOOKUP(_1_541284561214624104645789101745[[#This Row],[Discount selection]],'Discount Structure'!$A$2:$B$30,2,"false"),0)</f>
        <v>1</v>
      </c>
      <c r="L229" s="194">
        <f>_1_541284561214624104645789101745[[#This Row],[LIST $]]*_1_541284561214624104645789101745[[#This Row],[DISCOUNT]]*_1_541284561214624104645789101745[[#This Row],[DISCOUNT 2]]</f>
        <v>0</v>
      </c>
      <c r="M229" s="194">
        <f>IF(OR(_1_541284561214624104645789101745[[#This Row],[UNIT]]&gt;0,_1_541284561214624104645789101745[[#This Row],[UNIT]]&lt;0),_1_541284561214624104645789101745[[#This Row],[UNIT]]*_1_541284561214624104645789101745[[#This Row],[COST]],0)</f>
        <v>0</v>
      </c>
      <c r="N229" s="194">
        <f t="shared" si="3"/>
        <v>1.5</v>
      </c>
      <c r="O229" s="198">
        <f>_1_541284561214624104645789101745[[#This Row],[TOTAL]]*_1_541284561214624104645789101745[[#This Row],[MARGIN]]</f>
        <v>0</v>
      </c>
      <c r="R229" s="41"/>
    </row>
    <row r="230" spans="1:18">
      <c r="C230" s="168"/>
      <c r="D230" s="188"/>
      <c r="F230" s="168" t="s">
        <v>6202</v>
      </c>
      <c r="G230" s="193">
        <f>IF(_1_541284561214624104645789101745[[#This Row],[Type]]&gt;0,VLOOKUP(_1_541284561214624104645789101745[[#This Row],[Type]],Main[[#All],[TYPE]:[UNIT]],'Unit Price'!C$1,FALSE),0)</f>
        <v>0</v>
      </c>
      <c r="H230" s="197">
        <f>IF(_1_541284561214624104645789101745[[#This Row],[Type]]&gt;0,VLOOKUP(_1_541284561214624104645789101745[[#This Row],[Type]],Main[[#All],[TYPE]:[UNIT]],'Unit Price'!D$1,FALSE),0)</f>
        <v>0</v>
      </c>
      <c r="I230" s="194">
        <f>IF(_1_541284561214624104645789101745[[#This Row],[Type]]&gt;0,VLOOKUP(_1_541284561214624104645789101745[[#This Row],[Type]],Main[[#All],[TYPE]:[UNIT]],'Unit Price'!G$1,FALSE),0)</f>
        <v>0</v>
      </c>
      <c r="J230" s="194">
        <f>IF(_1_541284561214624104645789101745[[#This Row],[Type]]&gt;0,VLOOKUP(_1_541284561214624104645789101745[[#This Row],[Type]],Main[[#All],[TYPE]:[UNIT]],'Unit Price'!H$1,FALSE),0)</f>
        <v>0</v>
      </c>
      <c r="K230" s="194">
        <f>IF(_1_541284561214624104645789101745[[#This Row],[Discount selection]]&gt;0,VLOOKUP(_1_541284561214624104645789101745[[#This Row],[Discount selection]],'Discount Structure'!$A$2:$B$30,2,"false"),0)</f>
        <v>1</v>
      </c>
      <c r="L230" s="194">
        <f>_1_541284561214624104645789101745[[#This Row],[LIST $]]*_1_541284561214624104645789101745[[#This Row],[DISCOUNT]]*_1_541284561214624104645789101745[[#This Row],[DISCOUNT 2]]</f>
        <v>0</v>
      </c>
      <c r="M230" s="194">
        <f>IF(OR(_1_541284561214624104645789101745[[#This Row],[UNIT]]&gt;0,_1_541284561214624104645789101745[[#This Row],[UNIT]]&lt;0),_1_541284561214624104645789101745[[#This Row],[UNIT]]*_1_541284561214624104645789101745[[#This Row],[COST]],0)</f>
        <v>0</v>
      </c>
      <c r="N230" s="194">
        <f t="shared" si="3"/>
        <v>1.5</v>
      </c>
      <c r="O230" s="198">
        <f>_1_541284561214624104645789101745[[#This Row],[TOTAL]]*_1_541284561214624104645789101745[[#This Row],[MARGIN]]</f>
        <v>0</v>
      </c>
      <c r="R230" s="41"/>
    </row>
    <row r="231" spans="1:18">
      <c r="C231" s="168"/>
      <c r="D231" s="188"/>
      <c r="F231" s="168" t="s">
        <v>6202</v>
      </c>
      <c r="G231" s="193">
        <f>IF(_1_541284561214624104645789101745[[#This Row],[Type]]&gt;0,VLOOKUP(_1_541284561214624104645789101745[[#This Row],[Type]],Main[[#All],[TYPE]:[UNIT]],'Unit Price'!C$1,FALSE),0)</f>
        <v>0</v>
      </c>
      <c r="H231" s="197">
        <f>IF(_1_541284561214624104645789101745[[#This Row],[Type]]&gt;0,VLOOKUP(_1_541284561214624104645789101745[[#This Row],[Type]],Main[[#All],[TYPE]:[UNIT]],'Unit Price'!D$1,FALSE),0)</f>
        <v>0</v>
      </c>
      <c r="I231" s="194">
        <f>IF(_1_541284561214624104645789101745[[#This Row],[Type]]&gt;0,VLOOKUP(_1_541284561214624104645789101745[[#This Row],[Type]],Main[[#All],[TYPE]:[UNIT]],'Unit Price'!G$1,FALSE),0)</f>
        <v>0</v>
      </c>
      <c r="J231" s="194">
        <f>IF(_1_541284561214624104645789101745[[#This Row],[Type]]&gt;0,VLOOKUP(_1_541284561214624104645789101745[[#This Row],[Type]],Main[[#All],[TYPE]:[UNIT]],'Unit Price'!H$1,FALSE),0)</f>
        <v>0</v>
      </c>
      <c r="K231" s="194">
        <f>IF(_1_541284561214624104645789101745[[#This Row],[Discount selection]]&gt;0,VLOOKUP(_1_541284561214624104645789101745[[#This Row],[Discount selection]],'Discount Structure'!$A$2:$B$30,2,"false"),0)</f>
        <v>1</v>
      </c>
      <c r="L231" s="194">
        <f>_1_541284561214624104645789101745[[#This Row],[LIST $]]*_1_541284561214624104645789101745[[#This Row],[DISCOUNT]]*_1_541284561214624104645789101745[[#This Row],[DISCOUNT 2]]</f>
        <v>0</v>
      </c>
      <c r="M231" s="194">
        <f>IF(OR(_1_541284561214624104645789101745[[#This Row],[UNIT]]&gt;0,_1_541284561214624104645789101745[[#This Row],[UNIT]]&lt;0),_1_541284561214624104645789101745[[#This Row],[UNIT]]*_1_541284561214624104645789101745[[#This Row],[COST]],0)</f>
        <v>0</v>
      </c>
      <c r="N231" s="194">
        <f t="shared" si="3"/>
        <v>1.5</v>
      </c>
      <c r="O231" s="198">
        <f>_1_541284561214624104645789101745[[#This Row],[TOTAL]]*_1_541284561214624104645789101745[[#This Row],[MARGIN]]</f>
        <v>0</v>
      </c>
      <c r="R231" s="41"/>
    </row>
    <row r="232" spans="1:18">
      <c r="A232" s="168"/>
      <c r="B232" s="168"/>
      <c r="C232" s="168"/>
      <c r="D232" s="188"/>
      <c r="F232" s="168" t="s">
        <v>6202</v>
      </c>
      <c r="G232" s="193">
        <f>IF(_1_541284561214624104645789101745[[#This Row],[Type]]&gt;0,VLOOKUP(_1_541284561214624104645789101745[[#This Row],[Type]],Main[[#All],[TYPE]:[UNIT]],'Unit Price'!C$1,FALSE),0)</f>
        <v>0</v>
      </c>
      <c r="H232" s="197">
        <f>IF(_1_541284561214624104645789101745[[#This Row],[Type]]&gt;0,VLOOKUP(_1_541284561214624104645789101745[[#This Row],[Type]],Main[[#All],[TYPE]:[UNIT]],'Unit Price'!D$1,FALSE),0)</f>
        <v>0</v>
      </c>
      <c r="I232" s="194">
        <f>IF(_1_541284561214624104645789101745[[#This Row],[Type]]&gt;0,VLOOKUP(_1_541284561214624104645789101745[[#This Row],[Type]],Main[[#All],[TYPE]:[UNIT]],'Unit Price'!G$1,FALSE),0)</f>
        <v>0</v>
      </c>
      <c r="J232" s="194">
        <f>IF(_1_541284561214624104645789101745[[#This Row],[Type]]&gt;0,VLOOKUP(_1_541284561214624104645789101745[[#This Row],[Type]],Main[[#All],[TYPE]:[UNIT]],'Unit Price'!H$1,FALSE),0)</f>
        <v>0</v>
      </c>
      <c r="K232" s="194">
        <f>IF(_1_541284561214624104645789101745[[#This Row],[Discount selection]]&gt;0,VLOOKUP(_1_541284561214624104645789101745[[#This Row],[Discount selection]],'Discount Structure'!$A$2:$B$30,2,"false"),0)</f>
        <v>1</v>
      </c>
      <c r="L232" s="194">
        <f>_1_541284561214624104645789101745[[#This Row],[LIST $]]*_1_541284561214624104645789101745[[#This Row],[DISCOUNT]]*_1_541284561214624104645789101745[[#This Row],[DISCOUNT 2]]</f>
        <v>0</v>
      </c>
      <c r="M232" s="194">
        <f>IF(OR(_1_541284561214624104645789101745[[#This Row],[UNIT]]&gt;0,_1_541284561214624104645789101745[[#This Row],[UNIT]]&lt;0),_1_541284561214624104645789101745[[#This Row],[UNIT]]*_1_541284561214624104645789101745[[#This Row],[COST]],0)</f>
        <v>0</v>
      </c>
      <c r="N232" s="194">
        <f t="shared" si="3"/>
        <v>1.5</v>
      </c>
      <c r="O232" s="198">
        <f>_1_541284561214624104645789101745[[#This Row],[TOTAL]]*_1_541284561214624104645789101745[[#This Row],[MARGIN]]</f>
        <v>0</v>
      </c>
      <c r="R232" s="41"/>
    </row>
    <row r="233" spans="1:18">
      <c r="A233" s="310"/>
      <c r="B233" s="323"/>
      <c r="C233" s="168"/>
      <c r="D233" s="188"/>
      <c r="F233" s="168" t="s">
        <v>6202</v>
      </c>
      <c r="G233" s="205">
        <f>IF(_1_541284561214624104645789101745[[#This Row],[Type]]&gt;0,VLOOKUP(_1_541284561214624104645789101745[[#This Row],[Type]],Main[[#All],[TYPE]:[UNIT]],'Unit Price'!C$1,FALSE),0)</f>
        <v>0</v>
      </c>
      <c r="H233" s="197">
        <f>IF(_1_541284561214624104645789101745[[#This Row],[Type]]&gt;0,VLOOKUP(_1_541284561214624104645789101745[[#This Row],[Type]],Main[[#All],[TYPE]:[UNIT]],'Unit Price'!D$1,FALSE),0)</f>
        <v>0</v>
      </c>
      <c r="I233" s="194">
        <f>IF(_1_541284561214624104645789101745[[#This Row],[Type]]&gt;0,VLOOKUP(_1_541284561214624104645789101745[[#This Row],[Type]],Main[[#All],[TYPE]:[UNIT]],'Unit Price'!G$1,FALSE),0)</f>
        <v>0</v>
      </c>
      <c r="J233" s="194">
        <f>IF(_1_541284561214624104645789101745[[#This Row],[Type]]&gt;0,VLOOKUP(_1_541284561214624104645789101745[[#This Row],[Type]],Main[[#All],[TYPE]:[UNIT]],'Unit Price'!H$1,FALSE),0)</f>
        <v>0</v>
      </c>
      <c r="K233" s="194">
        <f>IF(_1_541284561214624104645789101745[[#This Row],[Discount selection]]&gt;0,VLOOKUP(_1_541284561214624104645789101745[[#This Row],[Discount selection]],'Discount Structure'!$A$2:$B$30,2,"false"),0)</f>
        <v>1</v>
      </c>
      <c r="L233" s="194">
        <f>_1_541284561214624104645789101745[[#This Row],[LIST $]]*_1_541284561214624104645789101745[[#This Row],[DISCOUNT]]*_1_541284561214624104645789101745[[#This Row],[DISCOUNT 2]]</f>
        <v>0</v>
      </c>
      <c r="M233" s="194">
        <f>IF(OR(_1_541284561214624104645789101745[[#This Row],[UNIT]]&gt;0,_1_541284561214624104645789101745[[#This Row],[UNIT]]&lt;0),_1_541284561214624104645789101745[[#This Row],[UNIT]]*_1_541284561214624104645789101745[[#This Row],[COST]],0)</f>
        <v>0</v>
      </c>
      <c r="N233" s="194">
        <f t="shared" si="3"/>
        <v>1.5</v>
      </c>
      <c r="O233" s="198">
        <f>_1_541284561214624104645789101745[[#This Row],[TOTAL]]*_1_541284561214624104645789101745[[#This Row],[MARGIN]]</f>
        <v>0</v>
      </c>
      <c r="R233" s="41"/>
    </row>
    <row r="234" spans="1:18">
      <c r="A234" s="323"/>
      <c r="B234" s="323"/>
      <c r="C234" s="168"/>
      <c r="D234" s="188"/>
      <c r="F234" s="168" t="s">
        <v>6202</v>
      </c>
      <c r="G234" s="193">
        <f>IF(_1_541284561214624104645789101745[[#This Row],[Type]]&gt;0,VLOOKUP(_1_541284561214624104645789101745[[#This Row],[Type]],Main[[#All],[TYPE]:[UNIT]],'Unit Price'!C$1,FALSE),0)</f>
        <v>0</v>
      </c>
      <c r="H234" s="197">
        <f>IF(_1_541284561214624104645789101745[[#This Row],[Type]]&gt;0,VLOOKUP(_1_541284561214624104645789101745[[#This Row],[Type]],Main[[#All],[TYPE]:[UNIT]],'Unit Price'!D$1,FALSE),0)</f>
        <v>0</v>
      </c>
      <c r="I234" s="194">
        <f>IF(_1_541284561214624104645789101745[[#This Row],[Type]]&gt;0,VLOOKUP(_1_541284561214624104645789101745[[#This Row],[Type]],Main[[#All],[TYPE]:[UNIT]],'Unit Price'!G$1,FALSE),0)</f>
        <v>0</v>
      </c>
      <c r="J234" s="194">
        <f>IF(_1_541284561214624104645789101745[[#This Row],[Type]]&gt;0,VLOOKUP(_1_541284561214624104645789101745[[#This Row],[Type]],Main[[#All],[TYPE]:[UNIT]],'Unit Price'!H$1,FALSE),0)</f>
        <v>0</v>
      </c>
      <c r="K234" s="194">
        <f>IF(_1_541284561214624104645789101745[[#This Row],[Discount selection]]&gt;0,VLOOKUP(_1_541284561214624104645789101745[[#This Row],[Discount selection]],'Discount Structure'!$A$2:$B$30,2,"false"),0)</f>
        <v>1</v>
      </c>
      <c r="L234" s="194">
        <f>_1_541284561214624104645789101745[[#This Row],[LIST $]]*_1_541284561214624104645789101745[[#This Row],[DISCOUNT]]*_1_541284561214624104645789101745[[#This Row],[DISCOUNT 2]]</f>
        <v>0</v>
      </c>
      <c r="M234" s="194">
        <f>IF(OR(_1_541284561214624104645789101745[[#This Row],[UNIT]]&gt;0,_1_541284561214624104645789101745[[#This Row],[UNIT]]&lt;0),_1_541284561214624104645789101745[[#This Row],[UNIT]]*_1_541284561214624104645789101745[[#This Row],[COST]],0)</f>
        <v>0</v>
      </c>
      <c r="N234" s="194">
        <f t="shared" si="3"/>
        <v>1.5</v>
      </c>
      <c r="O234" s="198">
        <f>_1_541284561214624104645789101745[[#This Row],[TOTAL]]*_1_541284561214624104645789101745[[#This Row],[MARGIN]]</f>
        <v>0</v>
      </c>
      <c r="R234" s="41"/>
    </row>
    <row r="235" spans="1:18">
      <c r="C235" s="168"/>
      <c r="D235" s="188"/>
      <c r="F235" s="168" t="s">
        <v>6202</v>
      </c>
      <c r="G235" s="193">
        <f>IF(_1_541284561214624104645789101745[[#This Row],[Type]]&gt;0,VLOOKUP(_1_541284561214624104645789101745[[#This Row],[Type]],Main[[#All],[TYPE]:[UNIT]],'Unit Price'!C$1,FALSE),0)</f>
        <v>0</v>
      </c>
      <c r="H235" s="197">
        <f>IF(_1_541284561214624104645789101745[[#This Row],[Type]]&gt;0,VLOOKUP(_1_541284561214624104645789101745[[#This Row],[Type]],Main[[#All],[TYPE]:[UNIT]],'Unit Price'!D$1,FALSE),0)</f>
        <v>0</v>
      </c>
      <c r="I235" s="194">
        <f>IF(_1_541284561214624104645789101745[[#This Row],[Type]]&gt;0,VLOOKUP(_1_541284561214624104645789101745[[#This Row],[Type]],Main[[#All],[TYPE]:[UNIT]],'Unit Price'!G$1,FALSE),0)</f>
        <v>0</v>
      </c>
      <c r="J235" s="194">
        <f>IF(_1_541284561214624104645789101745[[#This Row],[Type]]&gt;0,VLOOKUP(_1_541284561214624104645789101745[[#This Row],[Type]],Main[[#All],[TYPE]:[UNIT]],'Unit Price'!H$1,FALSE),0)</f>
        <v>0</v>
      </c>
      <c r="K235" s="194">
        <f>IF(_1_541284561214624104645789101745[[#This Row],[Discount selection]]&gt;0,VLOOKUP(_1_541284561214624104645789101745[[#This Row],[Discount selection]],'Discount Structure'!$A$2:$B$30,2,"false"),0)</f>
        <v>1</v>
      </c>
      <c r="L235" s="194">
        <f>_1_541284561214624104645789101745[[#This Row],[LIST $]]*_1_541284561214624104645789101745[[#This Row],[DISCOUNT]]*_1_541284561214624104645789101745[[#This Row],[DISCOUNT 2]]</f>
        <v>0</v>
      </c>
      <c r="M235" s="194">
        <f>IF(OR(_1_541284561214624104645789101745[[#This Row],[UNIT]]&gt;0,_1_541284561214624104645789101745[[#This Row],[UNIT]]&lt;0),_1_541284561214624104645789101745[[#This Row],[UNIT]]*_1_541284561214624104645789101745[[#This Row],[COST]],0)</f>
        <v>0</v>
      </c>
      <c r="N235" s="194">
        <f t="shared" si="3"/>
        <v>1.5</v>
      </c>
      <c r="O235" s="198">
        <f>_1_541284561214624104645789101745[[#This Row],[TOTAL]]*_1_541284561214624104645789101745[[#This Row],[MARGIN]]</f>
        <v>0</v>
      </c>
      <c r="R235" s="41"/>
    </row>
    <row r="236" spans="1:18">
      <c r="C236" s="168"/>
      <c r="D236" s="188"/>
      <c r="F236" s="168" t="s">
        <v>6202</v>
      </c>
      <c r="G236" s="193">
        <f>IF(_1_541284561214624104645789101745[[#This Row],[Type]]&gt;0,VLOOKUP(_1_541284561214624104645789101745[[#This Row],[Type]],Main[[#All],[TYPE]:[UNIT]],'Unit Price'!C$1,FALSE),0)</f>
        <v>0</v>
      </c>
      <c r="H236" s="197">
        <f>IF(_1_541284561214624104645789101745[[#This Row],[Type]]&gt;0,VLOOKUP(_1_541284561214624104645789101745[[#This Row],[Type]],Main[[#All],[TYPE]:[UNIT]],'Unit Price'!D$1,FALSE),0)</f>
        <v>0</v>
      </c>
      <c r="I236" s="194">
        <f>IF(_1_541284561214624104645789101745[[#This Row],[Type]]&gt;0,VLOOKUP(_1_541284561214624104645789101745[[#This Row],[Type]],Main[[#All],[TYPE]:[UNIT]],'Unit Price'!G$1,FALSE),0)</f>
        <v>0</v>
      </c>
      <c r="J236" s="194">
        <f>IF(_1_541284561214624104645789101745[[#This Row],[Type]]&gt;0,VLOOKUP(_1_541284561214624104645789101745[[#This Row],[Type]],Main[[#All],[TYPE]:[UNIT]],'Unit Price'!H$1,FALSE),0)</f>
        <v>0</v>
      </c>
      <c r="K236" s="194">
        <f>IF(_1_541284561214624104645789101745[[#This Row],[Discount selection]]&gt;0,VLOOKUP(_1_541284561214624104645789101745[[#This Row],[Discount selection]],'Discount Structure'!$A$2:$B$30,2,"false"),0)</f>
        <v>1</v>
      </c>
      <c r="L236" s="194">
        <f>_1_541284561214624104645789101745[[#This Row],[LIST $]]*_1_541284561214624104645789101745[[#This Row],[DISCOUNT]]*_1_541284561214624104645789101745[[#This Row],[DISCOUNT 2]]</f>
        <v>0</v>
      </c>
      <c r="M236" s="194">
        <f>IF(OR(_1_541284561214624104645789101745[[#This Row],[UNIT]]&gt;0,_1_541284561214624104645789101745[[#This Row],[UNIT]]&lt;0),_1_541284561214624104645789101745[[#This Row],[UNIT]]*_1_541284561214624104645789101745[[#This Row],[COST]],0)</f>
        <v>0</v>
      </c>
      <c r="N236" s="194">
        <f t="shared" si="3"/>
        <v>1.5</v>
      </c>
      <c r="O236" s="198">
        <f>_1_541284561214624104645789101745[[#This Row],[TOTAL]]*_1_541284561214624104645789101745[[#This Row],[MARGIN]]</f>
        <v>0</v>
      </c>
      <c r="R236" s="41"/>
    </row>
    <row r="237" spans="1:18">
      <c r="A237" s="323"/>
      <c r="B237" s="323"/>
      <c r="C237" s="168"/>
      <c r="D237" s="188"/>
      <c r="F237" s="168" t="s">
        <v>6202</v>
      </c>
      <c r="G237" s="193">
        <f>IF(_1_541284561214624104645789101745[[#This Row],[Type]]&gt;0,VLOOKUP(_1_541284561214624104645789101745[[#This Row],[Type]],Main[[#All],[TYPE]:[UNIT]],'Unit Price'!C$1,FALSE),0)</f>
        <v>0</v>
      </c>
      <c r="H237" s="197">
        <f>IF(_1_541284561214624104645789101745[[#This Row],[Type]]&gt;0,VLOOKUP(_1_541284561214624104645789101745[[#This Row],[Type]],Main[[#All],[TYPE]:[UNIT]],'Unit Price'!D$1,FALSE),0)</f>
        <v>0</v>
      </c>
      <c r="I237" s="194">
        <f>IF(_1_541284561214624104645789101745[[#This Row],[Type]]&gt;0,VLOOKUP(_1_541284561214624104645789101745[[#This Row],[Type]],Main[[#All],[TYPE]:[UNIT]],'Unit Price'!G$1,FALSE),0)</f>
        <v>0</v>
      </c>
      <c r="J237" s="194">
        <f>IF(_1_541284561214624104645789101745[[#This Row],[Type]]&gt;0,VLOOKUP(_1_541284561214624104645789101745[[#This Row],[Type]],Main[[#All],[TYPE]:[UNIT]],'Unit Price'!H$1,FALSE),0)</f>
        <v>0</v>
      </c>
      <c r="K237" s="194">
        <f>IF(_1_541284561214624104645789101745[[#This Row],[Discount selection]]&gt;0,VLOOKUP(_1_541284561214624104645789101745[[#This Row],[Discount selection]],'Discount Structure'!$A$2:$B$30,2,"false"),0)</f>
        <v>1</v>
      </c>
      <c r="L237" s="194">
        <f>_1_541284561214624104645789101745[[#This Row],[LIST $]]*_1_541284561214624104645789101745[[#This Row],[DISCOUNT]]*_1_541284561214624104645789101745[[#This Row],[DISCOUNT 2]]</f>
        <v>0</v>
      </c>
      <c r="M237" s="194">
        <f>IF(OR(_1_541284561214624104645789101745[[#This Row],[UNIT]]&gt;0,_1_541284561214624104645789101745[[#This Row],[UNIT]]&lt;0),_1_541284561214624104645789101745[[#This Row],[UNIT]]*_1_541284561214624104645789101745[[#This Row],[COST]],0)</f>
        <v>0</v>
      </c>
      <c r="N237" s="194">
        <f t="shared" si="3"/>
        <v>1.5</v>
      </c>
      <c r="O237" s="198">
        <f>_1_541284561214624104645789101745[[#This Row],[TOTAL]]*_1_541284561214624104645789101745[[#This Row],[MARGIN]]</f>
        <v>0</v>
      </c>
      <c r="R237" s="41"/>
    </row>
    <row r="238" spans="1:18">
      <c r="C238" s="168"/>
      <c r="D238" s="188"/>
      <c r="F238" s="168" t="s">
        <v>6202</v>
      </c>
      <c r="G238" s="193">
        <f>IF(_1_541284561214624104645789101745[[#This Row],[Type]]&gt;0,VLOOKUP(_1_541284561214624104645789101745[[#This Row],[Type]],Main[[#All],[TYPE]:[UNIT]],'Unit Price'!C$1,FALSE),0)</f>
        <v>0</v>
      </c>
      <c r="H238" s="197">
        <f>IF(_1_541284561214624104645789101745[[#This Row],[Type]]&gt;0,VLOOKUP(_1_541284561214624104645789101745[[#This Row],[Type]],Main[[#All],[TYPE]:[UNIT]],'Unit Price'!D$1,FALSE),0)</f>
        <v>0</v>
      </c>
      <c r="I238" s="194">
        <f>IF(_1_541284561214624104645789101745[[#This Row],[Type]]&gt;0,VLOOKUP(_1_541284561214624104645789101745[[#This Row],[Type]],Main[[#All],[TYPE]:[UNIT]],'Unit Price'!G$1,FALSE),0)</f>
        <v>0</v>
      </c>
      <c r="J238" s="194">
        <f>IF(_1_541284561214624104645789101745[[#This Row],[Type]]&gt;0,VLOOKUP(_1_541284561214624104645789101745[[#This Row],[Type]],Main[[#All],[TYPE]:[UNIT]],'Unit Price'!H$1,FALSE),0)</f>
        <v>0</v>
      </c>
      <c r="K238" s="194">
        <f>IF(_1_541284561214624104645789101745[[#This Row],[Discount selection]]&gt;0,VLOOKUP(_1_541284561214624104645789101745[[#This Row],[Discount selection]],'Discount Structure'!$A$2:$B$30,2,"false"),0)</f>
        <v>1</v>
      </c>
      <c r="L238" s="194">
        <f>_1_541284561214624104645789101745[[#This Row],[LIST $]]*_1_541284561214624104645789101745[[#This Row],[DISCOUNT]]*_1_541284561214624104645789101745[[#This Row],[DISCOUNT 2]]</f>
        <v>0</v>
      </c>
      <c r="M238" s="194">
        <f>IF(OR(_1_541284561214624104645789101745[[#This Row],[UNIT]]&gt;0,_1_541284561214624104645789101745[[#This Row],[UNIT]]&lt;0),_1_541284561214624104645789101745[[#This Row],[UNIT]]*_1_541284561214624104645789101745[[#This Row],[COST]],0)</f>
        <v>0</v>
      </c>
      <c r="N238" s="194">
        <f t="shared" si="3"/>
        <v>1.5</v>
      </c>
      <c r="O238" s="198">
        <f>_1_541284561214624104645789101745[[#This Row],[TOTAL]]*_1_541284561214624104645789101745[[#This Row],[MARGIN]]</f>
        <v>0</v>
      </c>
      <c r="R238" s="41"/>
    </row>
    <row r="239" spans="1:18">
      <c r="C239" s="168"/>
      <c r="D239" s="188"/>
      <c r="F239" s="168" t="s">
        <v>6202</v>
      </c>
      <c r="G239" s="205">
        <f>IF(_1_541284561214624104645789101745[[#This Row],[Type]]&gt;0,VLOOKUP(_1_541284561214624104645789101745[[#This Row],[Type]],Main[[#All],[TYPE]:[UNIT]],'Unit Price'!C$1,FALSE),0)</f>
        <v>0</v>
      </c>
      <c r="H239" s="197">
        <f>IF(_1_541284561214624104645789101745[[#This Row],[Type]]&gt;0,VLOOKUP(_1_541284561214624104645789101745[[#This Row],[Type]],Main[[#All],[TYPE]:[UNIT]],'Unit Price'!D$1,FALSE),0)</f>
        <v>0</v>
      </c>
      <c r="I239" s="194">
        <f>IF(_1_541284561214624104645789101745[[#This Row],[Type]]&gt;0,VLOOKUP(_1_541284561214624104645789101745[[#This Row],[Type]],Main[[#All],[TYPE]:[UNIT]],'Unit Price'!G$1,FALSE),0)</f>
        <v>0</v>
      </c>
      <c r="J239" s="194">
        <f>IF(_1_541284561214624104645789101745[[#This Row],[Type]]&gt;0,VLOOKUP(_1_541284561214624104645789101745[[#This Row],[Type]],Main[[#All],[TYPE]:[UNIT]],'Unit Price'!H$1,FALSE),0)</f>
        <v>0</v>
      </c>
      <c r="K239" s="194">
        <f>IF(_1_541284561214624104645789101745[[#This Row],[Discount selection]]&gt;0,VLOOKUP(_1_541284561214624104645789101745[[#This Row],[Discount selection]],'Discount Structure'!$A$2:$B$30,2,"false"),0)</f>
        <v>1</v>
      </c>
      <c r="L239" s="194">
        <f>_1_541284561214624104645789101745[[#This Row],[LIST $]]*_1_541284561214624104645789101745[[#This Row],[DISCOUNT]]*_1_541284561214624104645789101745[[#This Row],[DISCOUNT 2]]</f>
        <v>0</v>
      </c>
      <c r="M239" s="194">
        <f>IF(OR(_1_541284561214624104645789101745[[#This Row],[UNIT]]&gt;0,_1_541284561214624104645789101745[[#This Row],[UNIT]]&lt;0),_1_541284561214624104645789101745[[#This Row],[UNIT]]*_1_541284561214624104645789101745[[#This Row],[COST]],0)</f>
        <v>0</v>
      </c>
      <c r="N239" s="194">
        <f t="shared" si="3"/>
        <v>1.5</v>
      </c>
      <c r="O239" s="198">
        <f>_1_541284561214624104645789101745[[#This Row],[TOTAL]]*_1_541284561214624104645789101745[[#This Row],[MARGIN]]</f>
        <v>0</v>
      </c>
      <c r="R239" s="41"/>
    </row>
    <row r="240" spans="1:18">
      <c r="C240" s="168"/>
      <c r="D240" s="188"/>
      <c r="F240" s="168" t="s">
        <v>6202</v>
      </c>
      <c r="G240" s="193">
        <f>IF(_1_541284561214624104645789101745[[#This Row],[Type]]&gt;0,VLOOKUP(_1_541284561214624104645789101745[[#This Row],[Type]],Main[[#All],[TYPE]:[UNIT]],'Unit Price'!C$1,FALSE),0)</f>
        <v>0</v>
      </c>
      <c r="H240" s="197">
        <f>IF(_1_541284561214624104645789101745[[#This Row],[Type]]&gt;0,VLOOKUP(_1_541284561214624104645789101745[[#This Row],[Type]],Main[[#All],[TYPE]:[UNIT]],'Unit Price'!D$1,FALSE),0)</f>
        <v>0</v>
      </c>
      <c r="I240" s="194">
        <f>IF(_1_541284561214624104645789101745[[#This Row],[Type]]&gt;0,VLOOKUP(_1_541284561214624104645789101745[[#This Row],[Type]],Main[[#All],[TYPE]:[UNIT]],'Unit Price'!G$1,FALSE),0)</f>
        <v>0</v>
      </c>
      <c r="J240" s="194">
        <f>IF(_1_541284561214624104645789101745[[#This Row],[Type]]&gt;0,VLOOKUP(_1_541284561214624104645789101745[[#This Row],[Type]],Main[[#All],[TYPE]:[UNIT]],'Unit Price'!H$1,FALSE),0)</f>
        <v>0</v>
      </c>
      <c r="K240" s="194">
        <f>IF(_1_541284561214624104645789101745[[#This Row],[Discount selection]]&gt;0,VLOOKUP(_1_541284561214624104645789101745[[#This Row],[Discount selection]],'Discount Structure'!$A$2:$B$30,2,"false"),0)</f>
        <v>1</v>
      </c>
      <c r="L240" s="194">
        <f>_1_541284561214624104645789101745[[#This Row],[LIST $]]*_1_541284561214624104645789101745[[#This Row],[DISCOUNT]]*_1_541284561214624104645789101745[[#This Row],[DISCOUNT 2]]</f>
        <v>0</v>
      </c>
      <c r="M240" s="194">
        <f>IF(OR(_1_541284561214624104645789101745[[#This Row],[UNIT]]&gt;0,_1_541284561214624104645789101745[[#This Row],[UNIT]]&lt;0),_1_541284561214624104645789101745[[#This Row],[UNIT]]*_1_541284561214624104645789101745[[#This Row],[COST]],0)</f>
        <v>0</v>
      </c>
      <c r="N240" s="194">
        <f t="shared" si="3"/>
        <v>1.5</v>
      </c>
      <c r="O240" s="198">
        <f>_1_541284561214624104645789101745[[#This Row],[TOTAL]]*_1_541284561214624104645789101745[[#This Row],[MARGIN]]</f>
        <v>0</v>
      </c>
      <c r="R240" s="41"/>
    </row>
    <row r="241" spans="1:18">
      <c r="C241" s="168"/>
      <c r="D241" s="188"/>
      <c r="F241" s="168" t="s">
        <v>6202</v>
      </c>
      <c r="G241" s="193">
        <f>IF(_1_541284561214624104645789101745[[#This Row],[Type]]&gt;0,VLOOKUP(_1_541284561214624104645789101745[[#This Row],[Type]],Main[[#All],[TYPE]:[UNIT]],'Unit Price'!C$1,FALSE),0)</f>
        <v>0</v>
      </c>
      <c r="H241" s="197">
        <f>IF(_1_541284561214624104645789101745[[#This Row],[Type]]&gt;0,VLOOKUP(_1_541284561214624104645789101745[[#This Row],[Type]],Main[[#All],[TYPE]:[UNIT]],'Unit Price'!D$1,FALSE),0)</f>
        <v>0</v>
      </c>
      <c r="I241" s="194">
        <f>IF(_1_541284561214624104645789101745[[#This Row],[Type]]&gt;0,VLOOKUP(_1_541284561214624104645789101745[[#This Row],[Type]],Main[[#All],[TYPE]:[UNIT]],'Unit Price'!G$1,FALSE),0)</f>
        <v>0</v>
      </c>
      <c r="J241" s="194">
        <f>IF(_1_541284561214624104645789101745[[#This Row],[Type]]&gt;0,VLOOKUP(_1_541284561214624104645789101745[[#This Row],[Type]],Main[[#All],[TYPE]:[UNIT]],'Unit Price'!H$1,FALSE),0)</f>
        <v>0</v>
      </c>
      <c r="K241" s="194">
        <f>IF(_1_541284561214624104645789101745[[#This Row],[Discount selection]]&gt;0,VLOOKUP(_1_541284561214624104645789101745[[#This Row],[Discount selection]],'Discount Structure'!$A$2:$B$30,2,"false"),0)</f>
        <v>1</v>
      </c>
      <c r="L241" s="194">
        <f>_1_541284561214624104645789101745[[#This Row],[LIST $]]*_1_541284561214624104645789101745[[#This Row],[DISCOUNT]]*_1_541284561214624104645789101745[[#This Row],[DISCOUNT 2]]</f>
        <v>0</v>
      </c>
      <c r="M241" s="194">
        <f>IF(OR(_1_541284561214624104645789101745[[#This Row],[UNIT]]&gt;0,_1_541284561214624104645789101745[[#This Row],[UNIT]]&lt;0),_1_541284561214624104645789101745[[#This Row],[UNIT]]*_1_541284561214624104645789101745[[#This Row],[COST]],0)</f>
        <v>0</v>
      </c>
      <c r="N241" s="194">
        <f t="shared" si="3"/>
        <v>1.5</v>
      </c>
      <c r="O241" s="198">
        <f>_1_541284561214624104645789101745[[#This Row],[TOTAL]]*_1_541284561214624104645789101745[[#This Row],[MARGIN]]</f>
        <v>0</v>
      </c>
      <c r="R241" s="41"/>
    </row>
    <row r="242" spans="1:18">
      <c r="C242" s="168"/>
      <c r="D242" s="188"/>
      <c r="F242" s="168" t="s">
        <v>6202</v>
      </c>
      <c r="G242" s="193">
        <f>IF(_1_541284561214624104645789101745[[#This Row],[Type]]&gt;0,VLOOKUP(_1_541284561214624104645789101745[[#This Row],[Type]],Main[[#All],[TYPE]:[UNIT]],'Unit Price'!C$1,FALSE),0)</f>
        <v>0</v>
      </c>
      <c r="H242" s="197">
        <f>IF(_1_541284561214624104645789101745[[#This Row],[Type]]&gt;0,VLOOKUP(_1_541284561214624104645789101745[[#This Row],[Type]],Main[[#All],[TYPE]:[UNIT]],'Unit Price'!D$1,FALSE),0)</f>
        <v>0</v>
      </c>
      <c r="I242" s="194">
        <f>IF(_1_541284561214624104645789101745[[#This Row],[Type]]&gt;0,VLOOKUP(_1_541284561214624104645789101745[[#This Row],[Type]],Main[[#All],[TYPE]:[UNIT]],'Unit Price'!G$1,FALSE),0)</f>
        <v>0</v>
      </c>
      <c r="J242" s="194">
        <f>IF(_1_541284561214624104645789101745[[#This Row],[Type]]&gt;0,VLOOKUP(_1_541284561214624104645789101745[[#This Row],[Type]],Main[[#All],[TYPE]:[UNIT]],'Unit Price'!H$1,FALSE),0)</f>
        <v>0</v>
      </c>
      <c r="K242" s="194">
        <f>IF(_1_541284561214624104645789101745[[#This Row],[Discount selection]]&gt;0,VLOOKUP(_1_541284561214624104645789101745[[#This Row],[Discount selection]],'Discount Structure'!$A$2:$B$30,2,"false"),0)</f>
        <v>1</v>
      </c>
      <c r="L242" s="194">
        <f>_1_541284561214624104645789101745[[#This Row],[LIST $]]*_1_541284561214624104645789101745[[#This Row],[DISCOUNT]]*_1_541284561214624104645789101745[[#This Row],[DISCOUNT 2]]</f>
        <v>0</v>
      </c>
      <c r="M242" s="194">
        <f>IF(OR(_1_541284561214624104645789101745[[#This Row],[UNIT]]&gt;0,_1_541284561214624104645789101745[[#This Row],[UNIT]]&lt;0),_1_541284561214624104645789101745[[#This Row],[UNIT]]*_1_541284561214624104645789101745[[#This Row],[COST]],0)</f>
        <v>0</v>
      </c>
      <c r="N242" s="194">
        <f t="shared" si="3"/>
        <v>1.5</v>
      </c>
      <c r="O242" s="198">
        <f>_1_541284561214624104645789101745[[#This Row],[TOTAL]]*_1_541284561214624104645789101745[[#This Row],[MARGIN]]</f>
        <v>0</v>
      </c>
      <c r="R242" s="41"/>
    </row>
    <row r="243" spans="1:18">
      <c r="C243" s="168"/>
      <c r="D243" s="188"/>
      <c r="F243" s="168" t="s">
        <v>6202</v>
      </c>
      <c r="G243" s="193">
        <f>IF(_1_541284561214624104645789101745[[#This Row],[Type]]&gt;0,VLOOKUP(_1_541284561214624104645789101745[[#This Row],[Type]],Main[[#All],[TYPE]:[UNIT]],'Unit Price'!C$1,FALSE),0)</f>
        <v>0</v>
      </c>
      <c r="H243" s="197">
        <f>IF(_1_541284561214624104645789101745[[#This Row],[Type]]&gt;0,VLOOKUP(_1_541284561214624104645789101745[[#This Row],[Type]],Main[[#All],[TYPE]:[UNIT]],'Unit Price'!D$1,FALSE),0)</f>
        <v>0</v>
      </c>
      <c r="I243" s="194">
        <f>IF(_1_541284561214624104645789101745[[#This Row],[Type]]&gt;0,VLOOKUP(_1_541284561214624104645789101745[[#This Row],[Type]],Main[[#All],[TYPE]:[UNIT]],'Unit Price'!G$1,FALSE),0)</f>
        <v>0</v>
      </c>
      <c r="J243" s="194">
        <f>IF(_1_541284561214624104645789101745[[#This Row],[Type]]&gt;0,VLOOKUP(_1_541284561214624104645789101745[[#This Row],[Type]],Main[[#All],[TYPE]:[UNIT]],'Unit Price'!H$1,FALSE),0)</f>
        <v>0</v>
      </c>
      <c r="K243" s="194">
        <f>IF(_1_541284561214624104645789101745[[#This Row],[Discount selection]]&gt;0,VLOOKUP(_1_541284561214624104645789101745[[#This Row],[Discount selection]],'Discount Structure'!$A$2:$B$30,2,"false"),0)</f>
        <v>1</v>
      </c>
      <c r="L243" s="194">
        <f>_1_541284561214624104645789101745[[#This Row],[LIST $]]*_1_541284561214624104645789101745[[#This Row],[DISCOUNT]]*_1_541284561214624104645789101745[[#This Row],[DISCOUNT 2]]</f>
        <v>0</v>
      </c>
      <c r="M243" s="194">
        <f>IF(OR(_1_541284561214624104645789101745[[#This Row],[UNIT]]&gt;0,_1_541284561214624104645789101745[[#This Row],[UNIT]]&lt;0),_1_541284561214624104645789101745[[#This Row],[UNIT]]*_1_541284561214624104645789101745[[#This Row],[COST]],0)</f>
        <v>0</v>
      </c>
      <c r="N243" s="194">
        <f t="shared" si="3"/>
        <v>1.5</v>
      </c>
      <c r="O243" s="198">
        <f>_1_541284561214624104645789101745[[#This Row],[TOTAL]]*_1_541284561214624104645789101745[[#This Row],[MARGIN]]</f>
        <v>0</v>
      </c>
      <c r="R243" s="41"/>
    </row>
    <row r="244" spans="1:18">
      <c r="A244" s="168"/>
      <c r="B244" s="168"/>
      <c r="C244" s="168"/>
      <c r="D244" s="188"/>
      <c r="F244" s="168" t="s">
        <v>6202</v>
      </c>
      <c r="G244" s="205">
        <f>IF(_1_541284561214624104645789101745[[#This Row],[Type]]&gt;0,VLOOKUP(_1_541284561214624104645789101745[[#This Row],[Type]],Main[[#All],[TYPE]:[UNIT]],'Unit Price'!C$1,FALSE),0)</f>
        <v>0</v>
      </c>
      <c r="H244" s="197">
        <f>IF(_1_541284561214624104645789101745[[#This Row],[Type]]&gt;0,VLOOKUP(_1_541284561214624104645789101745[[#This Row],[Type]],Main[[#All],[TYPE]:[UNIT]],'Unit Price'!D$1,FALSE),0)</f>
        <v>0</v>
      </c>
      <c r="I244" s="194">
        <f>IF(_1_541284561214624104645789101745[[#This Row],[Type]]&gt;0,VLOOKUP(_1_541284561214624104645789101745[[#This Row],[Type]],Main[[#All],[TYPE]:[UNIT]],'Unit Price'!G$1,FALSE),0)</f>
        <v>0</v>
      </c>
      <c r="J244" s="194">
        <f>IF(_1_541284561214624104645789101745[[#This Row],[Type]]&gt;0,VLOOKUP(_1_541284561214624104645789101745[[#This Row],[Type]],Main[[#All],[TYPE]:[UNIT]],'Unit Price'!H$1,FALSE),0)</f>
        <v>0</v>
      </c>
      <c r="K244" s="194">
        <f>IF(_1_541284561214624104645789101745[[#This Row],[Discount selection]]&gt;0,VLOOKUP(_1_541284561214624104645789101745[[#This Row],[Discount selection]],'Discount Structure'!$A$2:$B$30,2,"false"),0)</f>
        <v>1</v>
      </c>
      <c r="L244" s="194">
        <f>_1_541284561214624104645789101745[[#This Row],[LIST $]]*_1_541284561214624104645789101745[[#This Row],[DISCOUNT]]*_1_541284561214624104645789101745[[#This Row],[DISCOUNT 2]]</f>
        <v>0</v>
      </c>
      <c r="M244" s="194">
        <f>IF(OR(_1_541284561214624104645789101745[[#This Row],[UNIT]]&gt;0,_1_541284561214624104645789101745[[#This Row],[UNIT]]&lt;0),_1_541284561214624104645789101745[[#This Row],[UNIT]]*_1_541284561214624104645789101745[[#This Row],[COST]],0)</f>
        <v>0</v>
      </c>
      <c r="N244" s="194">
        <f t="shared" si="3"/>
        <v>1.5</v>
      </c>
      <c r="O244" s="198">
        <f>_1_541284561214624104645789101745[[#This Row],[TOTAL]]*_1_541284561214624104645789101745[[#This Row],[MARGIN]]</f>
        <v>0</v>
      </c>
      <c r="R244" s="41"/>
    </row>
    <row r="245" spans="1:18">
      <c r="A245" s="324"/>
      <c r="B245" s="323"/>
      <c r="C245" s="168"/>
      <c r="D245" s="188"/>
      <c r="F245" s="168" t="s">
        <v>6202</v>
      </c>
      <c r="G245" s="193">
        <f>IF(_1_541284561214624104645789101745[[#This Row],[Type]]&gt;0,VLOOKUP(_1_541284561214624104645789101745[[#This Row],[Type]],Main[[#All],[TYPE]:[UNIT]],'Unit Price'!C$1,FALSE),0)</f>
        <v>0</v>
      </c>
      <c r="H245" s="197">
        <f>IF(_1_541284561214624104645789101745[[#This Row],[Type]]&gt;0,VLOOKUP(_1_541284561214624104645789101745[[#This Row],[Type]],Main[[#All],[TYPE]:[UNIT]],'Unit Price'!D$1,FALSE),0)</f>
        <v>0</v>
      </c>
      <c r="I245" s="194">
        <f>IF(_1_541284561214624104645789101745[[#This Row],[Type]]&gt;0,VLOOKUP(_1_541284561214624104645789101745[[#This Row],[Type]],Main[[#All],[TYPE]:[UNIT]],'Unit Price'!G$1,FALSE),0)</f>
        <v>0</v>
      </c>
      <c r="J245" s="194">
        <f>IF(_1_541284561214624104645789101745[[#This Row],[Type]]&gt;0,VLOOKUP(_1_541284561214624104645789101745[[#This Row],[Type]],Main[[#All],[TYPE]:[UNIT]],'Unit Price'!H$1,FALSE),0)</f>
        <v>0</v>
      </c>
      <c r="K245" s="194">
        <f>IF(_1_541284561214624104645789101745[[#This Row],[Discount selection]]&gt;0,VLOOKUP(_1_541284561214624104645789101745[[#This Row],[Discount selection]],'Discount Structure'!$A$2:$B$30,2,"false"),0)</f>
        <v>1</v>
      </c>
      <c r="L245" s="194">
        <f>_1_541284561214624104645789101745[[#This Row],[LIST $]]*_1_541284561214624104645789101745[[#This Row],[DISCOUNT]]*_1_541284561214624104645789101745[[#This Row],[DISCOUNT 2]]</f>
        <v>0</v>
      </c>
      <c r="M245" s="194">
        <f>IF(OR(_1_541284561214624104645789101745[[#This Row],[UNIT]]&gt;0,_1_541284561214624104645789101745[[#This Row],[UNIT]]&lt;0),_1_541284561214624104645789101745[[#This Row],[UNIT]]*_1_541284561214624104645789101745[[#This Row],[COST]],0)</f>
        <v>0</v>
      </c>
      <c r="N245" s="194">
        <f t="shared" si="3"/>
        <v>1.5</v>
      </c>
      <c r="O245" s="198">
        <f>_1_541284561214624104645789101745[[#This Row],[TOTAL]]*_1_541284561214624104645789101745[[#This Row],[MARGIN]]</f>
        <v>0</v>
      </c>
      <c r="R245" s="41"/>
    </row>
    <row r="246" spans="1:18">
      <c r="A246" s="323"/>
      <c r="B246" s="323"/>
      <c r="C246" s="168"/>
      <c r="D246" s="188"/>
      <c r="F246" s="168" t="s">
        <v>6202</v>
      </c>
      <c r="G246" s="193">
        <f>IF(_1_541284561214624104645789101745[[#This Row],[Type]]&gt;0,VLOOKUP(_1_541284561214624104645789101745[[#This Row],[Type]],Main[[#All],[TYPE]:[UNIT]],'Unit Price'!C$1,FALSE),0)</f>
        <v>0</v>
      </c>
      <c r="H246" s="197">
        <f>IF(_1_541284561214624104645789101745[[#This Row],[Type]]&gt;0,VLOOKUP(_1_541284561214624104645789101745[[#This Row],[Type]],Main[[#All],[TYPE]:[UNIT]],'Unit Price'!D$1,FALSE),0)</f>
        <v>0</v>
      </c>
      <c r="I246" s="194">
        <f>IF(_1_541284561214624104645789101745[[#This Row],[Type]]&gt;0,VLOOKUP(_1_541284561214624104645789101745[[#This Row],[Type]],Main[[#All],[TYPE]:[UNIT]],'Unit Price'!G$1,FALSE),0)</f>
        <v>0</v>
      </c>
      <c r="J246" s="194">
        <f>IF(_1_541284561214624104645789101745[[#This Row],[Type]]&gt;0,VLOOKUP(_1_541284561214624104645789101745[[#This Row],[Type]],Main[[#All],[TYPE]:[UNIT]],'Unit Price'!H$1,FALSE),0)</f>
        <v>0</v>
      </c>
      <c r="K246" s="194">
        <f>IF(_1_541284561214624104645789101745[[#This Row],[Discount selection]]&gt;0,VLOOKUP(_1_541284561214624104645789101745[[#This Row],[Discount selection]],'Discount Structure'!$A$2:$B$30,2,"false"),0)</f>
        <v>1</v>
      </c>
      <c r="L246" s="194">
        <f>_1_541284561214624104645789101745[[#This Row],[LIST $]]*_1_541284561214624104645789101745[[#This Row],[DISCOUNT]]*_1_541284561214624104645789101745[[#This Row],[DISCOUNT 2]]</f>
        <v>0</v>
      </c>
      <c r="M246" s="194">
        <f>IF(OR(_1_541284561214624104645789101745[[#This Row],[UNIT]]&gt;0,_1_541284561214624104645789101745[[#This Row],[UNIT]]&lt;0),_1_541284561214624104645789101745[[#This Row],[UNIT]]*_1_541284561214624104645789101745[[#This Row],[COST]],0)</f>
        <v>0</v>
      </c>
      <c r="N246" s="194">
        <f t="shared" si="3"/>
        <v>1.5</v>
      </c>
      <c r="O246" s="198">
        <f>_1_541284561214624104645789101745[[#This Row],[TOTAL]]*_1_541284561214624104645789101745[[#This Row],[MARGIN]]</f>
        <v>0</v>
      </c>
      <c r="R246" s="41"/>
    </row>
    <row r="247" spans="1:18">
      <c r="C247" s="168"/>
      <c r="D247" s="188"/>
      <c r="F247" s="168" t="s">
        <v>6202</v>
      </c>
      <c r="G247" s="193">
        <f>IF(_1_541284561214624104645789101745[[#This Row],[Type]]&gt;0,VLOOKUP(_1_541284561214624104645789101745[[#This Row],[Type]],Main[[#All],[TYPE]:[UNIT]],'Unit Price'!C$1,FALSE),0)</f>
        <v>0</v>
      </c>
      <c r="H247" s="197">
        <f>IF(_1_541284561214624104645789101745[[#This Row],[Type]]&gt;0,VLOOKUP(_1_541284561214624104645789101745[[#This Row],[Type]],Main[[#All],[TYPE]:[UNIT]],'Unit Price'!D$1,FALSE),0)</f>
        <v>0</v>
      </c>
      <c r="I247" s="194">
        <f>IF(_1_541284561214624104645789101745[[#This Row],[Type]]&gt;0,VLOOKUP(_1_541284561214624104645789101745[[#This Row],[Type]],Main[[#All],[TYPE]:[UNIT]],'Unit Price'!G$1,FALSE),0)</f>
        <v>0</v>
      </c>
      <c r="J247" s="194">
        <f>IF(_1_541284561214624104645789101745[[#This Row],[Type]]&gt;0,VLOOKUP(_1_541284561214624104645789101745[[#This Row],[Type]],Main[[#All],[TYPE]:[UNIT]],'Unit Price'!H$1,FALSE),0)</f>
        <v>0</v>
      </c>
      <c r="K247" s="194">
        <f>IF(_1_541284561214624104645789101745[[#This Row],[Discount selection]]&gt;0,VLOOKUP(_1_541284561214624104645789101745[[#This Row],[Discount selection]],'Discount Structure'!$A$2:$B$30,2,"false"),0)</f>
        <v>1</v>
      </c>
      <c r="L247" s="194">
        <f>_1_541284561214624104645789101745[[#This Row],[LIST $]]*_1_541284561214624104645789101745[[#This Row],[DISCOUNT]]*_1_541284561214624104645789101745[[#This Row],[DISCOUNT 2]]</f>
        <v>0</v>
      </c>
      <c r="M247" s="194">
        <f>IF(OR(_1_541284561214624104645789101745[[#This Row],[UNIT]]&gt;0,_1_541284561214624104645789101745[[#This Row],[UNIT]]&lt;0),_1_541284561214624104645789101745[[#This Row],[UNIT]]*_1_541284561214624104645789101745[[#This Row],[COST]],0)</f>
        <v>0</v>
      </c>
      <c r="N247" s="194">
        <f t="shared" si="3"/>
        <v>1.5</v>
      </c>
      <c r="O247" s="198">
        <f>_1_541284561214624104645789101745[[#This Row],[TOTAL]]*_1_541284561214624104645789101745[[#This Row],[MARGIN]]</f>
        <v>0</v>
      </c>
      <c r="R247" s="41"/>
    </row>
    <row r="248" spans="1:18">
      <c r="C248" s="168"/>
      <c r="D248" s="188"/>
      <c r="F248" s="168" t="s">
        <v>6202</v>
      </c>
      <c r="G248" s="193">
        <f>IF(_1_541284561214624104645789101745[[#This Row],[Type]]&gt;0,VLOOKUP(_1_541284561214624104645789101745[[#This Row],[Type]],Main[[#All],[TYPE]:[UNIT]],'Unit Price'!C$1,FALSE),0)</f>
        <v>0</v>
      </c>
      <c r="H248" s="197">
        <f>IF(_1_541284561214624104645789101745[[#This Row],[Type]]&gt;0,VLOOKUP(_1_541284561214624104645789101745[[#This Row],[Type]],Main[[#All],[TYPE]:[UNIT]],'Unit Price'!D$1,FALSE),0)</f>
        <v>0</v>
      </c>
      <c r="I248" s="194">
        <f>IF(_1_541284561214624104645789101745[[#This Row],[Type]]&gt;0,VLOOKUP(_1_541284561214624104645789101745[[#This Row],[Type]],Main[[#All],[TYPE]:[UNIT]],'Unit Price'!G$1,FALSE),0)</f>
        <v>0</v>
      </c>
      <c r="J248" s="194">
        <f>IF(_1_541284561214624104645789101745[[#This Row],[Type]]&gt;0,VLOOKUP(_1_541284561214624104645789101745[[#This Row],[Type]],Main[[#All],[TYPE]:[UNIT]],'Unit Price'!H$1,FALSE),0)</f>
        <v>0</v>
      </c>
      <c r="K248" s="194">
        <f>IF(_1_541284561214624104645789101745[[#This Row],[Discount selection]]&gt;0,VLOOKUP(_1_541284561214624104645789101745[[#This Row],[Discount selection]],'Discount Structure'!$A$2:$B$30,2,"false"),0)</f>
        <v>1</v>
      </c>
      <c r="L248" s="194">
        <f>_1_541284561214624104645789101745[[#This Row],[LIST $]]*_1_541284561214624104645789101745[[#This Row],[DISCOUNT]]*_1_541284561214624104645789101745[[#This Row],[DISCOUNT 2]]</f>
        <v>0</v>
      </c>
      <c r="M248" s="194">
        <f>IF(OR(_1_541284561214624104645789101745[[#This Row],[UNIT]]&gt;0,_1_541284561214624104645789101745[[#This Row],[UNIT]]&lt;0),_1_541284561214624104645789101745[[#This Row],[UNIT]]*_1_541284561214624104645789101745[[#This Row],[COST]],0)</f>
        <v>0</v>
      </c>
      <c r="N248" s="194">
        <f t="shared" si="3"/>
        <v>1.5</v>
      </c>
      <c r="O248" s="198">
        <f>_1_541284561214624104645789101745[[#This Row],[TOTAL]]*_1_541284561214624104645789101745[[#This Row],[MARGIN]]</f>
        <v>0</v>
      </c>
      <c r="R248" s="41"/>
    </row>
    <row r="249" spans="1:18">
      <c r="A249" s="323"/>
      <c r="B249" s="325"/>
      <c r="C249" s="168"/>
      <c r="D249" s="188"/>
      <c r="F249" s="168" t="s">
        <v>6202</v>
      </c>
      <c r="G249" s="205">
        <f>IF(_1_541284561214624104645789101745[[#This Row],[Type]]&gt;0,VLOOKUP(_1_541284561214624104645789101745[[#This Row],[Type]],Main[[#All],[TYPE]:[UNIT]],'Unit Price'!C$1,FALSE),0)</f>
        <v>0</v>
      </c>
      <c r="H249" s="197">
        <f>IF(_1_541284561214624104645789101745[[#This Row],[Type]]&gt;0,VLOOKUP(_1_541284561214624104645789101745[[#This Row],[Type]],Main[[#All],[TYPE]:[UNIT]],'Unit Price'!D$1,FALSE),0)</f>
        <v>0</v>
      </c>
      <c r="I249" s="194">
        <f>IF(_1_541284561214624104645789101745[[#This Row],[Type]]&gt;0,VLOOKUP(_1_541284561214624104645789101745[[#This Row],[Type]],Main[[#All],[TYPE]:[UNIT]],'Unit Price'!G$1,FALSE),0)</f>
        <v>0</v>
      </c>
      <c r="J249" s="194">
        <f>IF(_1_541284561214624104645789101745[[#This Row],[Type]]&gt;0,VLOOKUP(_1_541284561214624104645789101745[[#This Row],[Type]],Main[[#All],[TYPE]:[UNIT]],'Unit Price'!H$1,FALSE),0)</f>
        <v>0</v>
      </c>
      <c r="K249" s="194">
        <f>IF(_1_541284561214624104645789101745[[#This Row],[Discount selection]]&gt;0,VLOOKUP(_1_541284561214624104645789101745[[#This Row],[Discount selection]],'Discount Structure'!$A$2:$B$30,2,"false"),0)</f>
        <v>1</v>
      </c>
      <c r="L249" s="194">
        <f>_1_541284561214624104645789101745[[#This Row],[LIST $]]*_1_541284561214624104645789101745[[#This Row],[DISCOUNT]]*_1_541284561214624104645789101745[[#This Row],[DISCOUNT 2]]</f>
        <v>0</v>
      </c>
      <c r="M249" s="194">
        <f>IF(OR(_1_541284561214624104645789101745[[#This Row],[UNIT]]&gt;0,_1_541284561214624104645789101745[[#This Row],[UNIT]]&lt;0),_1_541284561214624104645789101745[[#This Row],[UNIT]]*_1_541284561214624104645789101745[[#This Row],[COST]],0)</f>
        <v>0</v>
      </c>
      <c r="N249" s="194">
        <f t="shared" si="3"/>
        <v>1.5</v>
      </c>
      <c r="O249" s="198">
        <f>_1_541284561214624104645789101745[[#This Row],[TOTAL]]*_1_541284561214624104645789101745[[#This Row],[MARGIN]]</f>
        <v>0</v>
      </c>
      <c r="R249" s="41"/>
    </row>
    <row r="250" spans="1:18">
      <c r="A250" s="323"/>
      <c r="B250" s="323"/>
      <c r="C250" s="168"/>
      <c r="D250" s="188"/>
      <c r="F250" s="168" t="s">
        <v>6202</v>
      </c>
      <c r="G250" s="193">
        <f>IF(_1_541284561214624104645789101745[[#This Row],[Type]]&gt;0,VLOOKUP(_1_541284561214624104645789101745[[#This Row],[Type]],Main[[#All],[TYPE]:[UNIT]],'Unit Price'!C$1,FALSE),0)</f>
        <v>0</v>
      </c>
      <c r="H250" s="197">
        <f>IF(_1_541284561214624104645789101745[[#This Row],[Type]]&gt;0,VLOOKUP(_1_541284561214624104645789101745[[#This Row],[Type]],Main[[#All],[TYPE]:[UNIT]],'Unit Price'!D$1,FALSE),0)</f>
        <v>0</v>
      </c>
      <c r="I250" s="194">
        <f>IF(_1_541284561214624104645789101745[[#This Row],[Type]]&gt;0,VLOOKUP(_1_541284561214624104645789101745[[#This Row],[Type]],Main[[#All],[TYPE]:[UNIT]],'Unit Price'!G$1,FALSE),0)</f>
        <v>0</v>
      </c>
      <c r="J250" s="194">
        <f>IF(_1_541284561214624104645789101745[[#This Row],[Type]]&gt;0,VLOOKUP(_1_541284561214624104645789101745[[#This Row],[Type]],Main[[#All],[TYPE]:[UNIT]],'Unit Price'!H$1,FALSE),0)</f>
        <v>0</v>
      </c>
      <c r="K250" s="194">
        <f>IF(_1_541284561214624104645789101745[[#This Row],[Discount selection]]&gt;0,VLOOKUP(_1_541284561214624104645789101745[[#This Row],[Discount selection]],'Discount Structure'!$A$2:$B$30,2,"false"),0)</f>
        <v>1</v>
      </c>
      <c r="L250" s="194">
        <f>_1_541284561214624104645789101745[[#This Row],[LIST $]]*_1_541284561214624104645789101745[[#This Row],[DISCOUNT]]*_1_541284561214624104645789101745[[#This Row],[DISCOUNT 2]]</f>
        <v>0</v>
      </c>
      <c r="M250" s="194">
        <f>IF(OR(_1_541284561214624104645789101745[[#This Row],[UNIT]]&gt;0,_1_541284561214624104645789101745[[#This Row],[UNIT]]&lt;0),_1_541284561214624104645789101745[[#This Row],[UNIT]]*_1_541284561214624104645789101745[[#This Row],[COST]],0)</f>
        <v>0</v>
      </c>
      <c r="N250" s="194">
        <f t="shared" si="3"/>
        <v>1.5</v>
      </c>
      <c r="O250" s="198">
        <f>_1_541284561214624104645789101745[[#This Row],[TOTAL]]*_1_541284561214624104645789101745[[#This Row],[MARGIN]]</f>
        <v>0</v>
      </c>
      <c r="R250" s="41"/>
    </row>
    <row r="251" spans="1:18">
      <c r="C251" s="168"/>
      <c r="D251" s="188"/>
      <c r="F251" s="168" t="s">
        <v>6202</v>
      </c>
      <c r="G251" s="193">
        <f>IF(_1_541284561214624104645789101745[[#This Row],[Type]]&gt;0,VLOOKUP(_1_541284561214624104645789101745[[#This Row],[Type]],Main[[#All],[TYPE]:[UNIT]],'Unit Price'!C$1,FALSE),0)</f>
        <v>0</v>
      </c>
      <c r="H251" s="197">
        <f>IF(_1_541284561214624104645789101745[[#This Row],[Type]]&gt;0,VLOOKUP(_1_541284561214624104645789101745[[#This Row],[Type]],Main[[#All],[TYPE]:[UNIT]],'Unit Price'!D$1,FALSE),0)</f>
        <v>0</v>
      </c>
      <c r="I251" s="194">
        <f>IF(_1_541284561214624104645789101745[[#This Row],[Type]]&gt;0,VLOOKUP(_1_541284561214624104645789101745[[#This Row],[Type]],Main[[#All],[TYPE]:[UNIT]],'Unit Price'!G$1,FALSE),0)</f>
        <v>0</v>
      </c>
      <c r="J251" s="194">
        <f>IF(_1_541284561214624104645789101745[[#This Row],[Type]]&gt;0,VLOOKUP(_1_541284561214624104645789101745[[#This Row],[Type]],Main[[#All],[TYPE]:[UNIT]],'Unit Price'!H$1,FALSE),0)</f>
        <v>0</v>
      </c>
      <c r="K251" s="194">
        <f>IF(_1_541284561214624104645789101745[[#This Row],[Discount selection]]&gt;0,VLOOKUP(_1_541284561214624104645789101745[[#This Row],[Discount selection]],'Discount Structure'!$A$2:$B$30,2,"false"),0)</f>
        <v>1</v>
      </c>
      <c r="L251" s="194">
        <f>_1_541284561214624104645789101745[[#This Row],[LIST $]]*_1_541284561214624104645789101745[[#This Row],[DISCOUNT]]*_1_541284561214624104645789101745[[#This Row],[DISCOUNT 2]]</f>
        <v>0</v>
      </c>
      <c r="M251" s="194">
        <f>IF(OR(_1_541284561214624104645789101745[[#This Row],[UNIT]]&gt;0,_1_541284561214624104645789101745[[#This Row],[UNIT]]&lt;0),_1_541284561214624104645789101745[[#This Row],[UNIT]]*_1_541284561214624104645789101745[[#This Row],[COST]],0)</f>
        <v>0</v>
      </c>
      <c r="N251" s="194">
        <f t="shared" si="3"/>
        <v>1.5</v>
      </c>
      <c r="O251" s="198">
        <f>_1_541284561214624104645789101745[[#This Row],[TOTAL]]*_1_541284561214624104645789101745[[#This Row],[MARGIN]]</f>
        <v>0</v>
      </c>
      <c r="R251" s="41"/>
    </row>
    <row r="252" spans="1:18">
      <c r="C252" s="168"/>
      <c r="D252" s="188"/>
      <c r="F252" s="168" t="s">
        <v>6202</v>
      </c>
      <c r="G252" s="193">
        <f>IF(_1_541284561214624104645789101745[[#This Row],[Type]]&gt;0,VLOOKUP(_1_541284561214624104645789101745[[#This Row],[Type]],Main[[#All],[TYPE]:[UNIT]],'Unit Price'!C$1,FALSE),0)</f>
        <v>0</v>
      </c>
      <c r="H252" s="197">
        <f>IF(_1_541284561214624104645789101745[[#This Row],[Type]]&gt;0,VLOOKUP(_1_541284561214624104645789101745[[#This Row],[Type]],Main[[#All],[TYPE]:[UNIT]],'Unit Price'!D$1,FALSE),0)</f>
        <v>0</v>
      </c>
      <c r="I252" s="194">
        <f>IF(_1_541284561214624104645789101745[[#This Row],[Type]]&gt;0,VLOOKUP(_1_541284561214624104645789101745[[#This Row],[Type]],Main[[#All],[TYPE]:[UNIT]],'Unit Price'!G$1,FALSE),0)</f>
        <v>0</v>
      </c>
      <c r="J252" s="194">
        <f>IF(_1_541284561214624104645789101745[[#This Row],[Type]]&gt;0,VLOOKUP(_1_541284561214624104645789101745[[#This Row],[Type]],Main[[#All],[TYPE]:[UNIT]],'Unit Price'!H$1,FALSE),0)</f>
        <v>0</v>
      </c>
      <c r="K252" s="194">
        <f>IF(_1_541284561214624104645789101745[[#This Row],[Discount selection]]&gt;0,VLOOKUP(_1_541284561214624104645789101745[[#This Row],[Discount selection]],'Discount Structure'!$A$2:$B$30,2,"false"),0)</f>
        <v>1</v>
      </c>
      <c r="L252" s="194">
        <f>_1_541284561214624104645789101745[[#This Row],[LIST $]]*_1_541284561214624104645789101745[[#This Row],[DISCOUNT]]*_1_541284561214624104645789101745[[#This Row],[DISCOUNT 2]]</f>
        <v>0</v>
      </c>
      <c r="M252" s="194">
        <f>IF(OR(_1_541284561214624104645789101745[[#This Row],[UNIT]]&gt;0,_1_541284561214624104645789101745[[#This Row],[UNIT]]&lt;0),_1_541284561214624104645789101745[[#This Row],[UNIT]]*_1_541284561214624104645789101745[[#This Row],[COST]],0)</f>
        <v>0</v>
      </c>
      <c r="N252" s="194">
        <f t="shared" si="3"/>
        <v>1.5</v>
      </c>
      <c r="O252" s="198">
        <f>_1_541284561214624104645789101745[[#This Row],[TOTAL]]*_1_541284561214624104645789101745[[#This Row],[MARGIN]]</f>
        <v>0</v>
      </c>
      <c r="R252" s="41"/>
    </row>
    <row r="253" spans="1:18">
      <c r="C253" s="168"/>
      <c r="D253" s="188"/>
      <c r="F253" s="168" t="s">
        <v>6202</v>
      </c>
      <c r="G253" s="193">
        <f>IF(_1_541284561214624104645789101745[[#This Row],[Type]]&gt;0,VLOOKUP(_1_541284561214624104645789101745[[#This Row],[Type]],Main[[#All],[TYPE]:[UNIT]],'Unit Price'!C$1,FALSE),0)</f>
        <v>0</v>
      </c>
      <c r="H253" s="197">
        <f>IF(_1_541284561214624104645789101745[[#This Row],[Type]]&gt;0,VLOOKUP(_1_541284561214624104645789101745[[#This Row],[Type]],Main[[#All],[TYPE]:[UNIT]],'Unit Price'!D$1,FALSE),0)</f>
        <v>0</v>
      </c>
      <c r="I253" s="194">
        <f>IF(_1_541284561214624104645789101745[[#This Row],[Type]]&gt;0,VLOOKUP(_1_541284561214624104645789101745[[#This Row],[Type]],Main[[#All],[TYPE]:[UNIT]],'Unit Price'!G$1,FALSE),0)</f>
        <v>0</v>
      </c>
      <c r="J253" s="194">
        <f>IF(_1_541284561214624104645789101745[[#This Row],[Type]]&gt;0,VLOOKUP(_1_541284561214624104645789101745[[#This Row],[Type]],Main[[#All],[TYPE]:[UNIT]],'Unit Price'!H$1,FALSE),0)</f>
        <v>0</v>
      </c>
      <c r="K253" s="194">
        <f>IF(_1_541284561214624104645789101745[[#This Row],[Discount selection]]&gt;0,VLOOKUP(_1_541284561214624104645789101745[[#This Row],[Discount selection]],'Discount Structure'!$A$2:$B$30,2,"false"),0)</f>
        <v>1</v>
      </c>
      <c r="L253" s="194">
        <f>_1_541284561214624104645789101745[[#This Row],[LIST $]]*_1_541284561214624104645789101745[[#This Row],[DISCOUNT]]*_1_541284561214624104645789101745[[#This Row],[DISCOUNT 2]]</f>
        <v>0</v>
      </c>
      <c r="M253" s="194">
        <f>IF(OR(_1_541284561214624104645789101745[[#This Row],[UNIT]]&gt;0,_1_541284561214624104645789101745[[#This Row],[UNIT]]&lt;0),_1_541284561214624104645789101745[[#This Row],[UNIT]]*_1_541284561214624104645789101745[[#This Row],[COST]],0)</f>
        <v>0</v>
      </c>
      <c r="N253" s="194">
        <f t="shared" si="3"/>
        <v>1.5</v>
      </c>
      <c r="O253" s="198">
        <f>_1_541284561214624104645789101745[[#This Row],[TOTAL]]*_1_541284561214624104645789101745[[#This Row],[MARGIN]]</f>
        <v>0</v>
      </c>
      <c r="R253" s="41"/>
    </row>
    <row r="254" spans="1:18">
      <c r="C254" s="168"/>
      <c r="D254" s="188"/>
      <c r="F254" s="168" t="s">
        <v>6202</v>
      </c>
      <c r="G254" s="193">
        <f>IF(_1_541284561214624104645789101745[[#This Row],[Type]]&gt;0,VLOOKUP(_1_541284561214624104645789101745[[#This Row],[Type]],Main[[#All],[TYPE]:[UNIT]],'Unit Price'!C$1,FALSE),0)</f>
        <v>0</v>
      </c>
      <c r="H254" s="197">
        <f>IF(_1_541284561214624104645789101745[[#This Row],[Type]]&gt;0,VLOOKUP(_1_541284561214624104645789101745[[#This Row],[Type]],Main[[#All],[TYPE]:[UNIT]],'Unit Price'!D$1,FALSE),0)</f>
        <v>0</v>
      </c>
      <c r="I254" s="194">
        <f>IF(_1_541284561214624104645789101745[[#This Row],[Type]]&gt;0,VLOOKUP(_1_541284561214624104645789101745[[#This Row],[Type]],Main[[#All],[TYPE]:[UNIT]],'Unit Price'!G$1,FALSE),0)</f>
        <v>0</v>
      </c>
      <c r="J254" s="194">
        <f>IF(_1_541284561214624104645789101745[[#This Row],[Type]]&gt;0,VLOOKUP(_1_541284561214624104645789101745[[#This Row],[Type]],Main[[#All],[TYPE]:[UNIT]],'Unit Price'!H$1,FALSE),0)</f>
        <v>0</v>
      </c>
      <c r="K254" s="194">
        <f>IF(_1_541284561214624104645789101745[[#This Row],[Discount selection]]&gt;0,VLOOKUP(_1_541284561214624104645789101745[[#This Row],[Discount selection]],'Discount Structure'!$A$2:$B$30,2,"false"),0)</f>
        <v>1</v>
      </c>
      <c r="L254" s="194">
        <f>_1_541284561214624104645789101745[[#This Row],[LIST $]]*_1_541284561214624104645789101745[[#This Row],[DISCOUNT]]*_1_541284561214624104645789101745[[#This Row],[DISCOUNT 2]]</f>
        <v>0</v>
      </c>
      <c r="M254" s="194">
        <f>IF(OR(_1_541284561214624104645789101745[[#This Row],[UNIT]]&gt;0,_1_541284561214624104645789101745[[#This Row],[UNIT]]&lt;0),_1_541284561214624104645789101745[[#This Row],[UNIT]]*_1_541284561214624104645789101745[[#This Row],[COST]],0)</f>
        <v>0</v>
      </c>
      <c r="N254" s="194">
        <f t="shared" si="3"/>
        <v>1.5</v>
      </c>
      <c r="O254" s="198">
        <f>_1_541284561214624104645789101745[[#This Row],[TOTAL]]*_1_541284561214624104645789101745[[#This Row],[MARGIN]]</f>
        <v>0</v>
      </c>
      <c r="R254" s="41"/>
    </row>
    <row r="255" spans="1:18">
      <c r="C255" s="168"/>
      <c r="D255" s="188"/>
      <c r="F255" s="168" t="s">
        <v>6202</v>
      </c>
      <c r="G255" s="205">
        <f>IF(_1_541284561214624104645789101745[[#This Row],[Type]]&gt;0,VLOOKUP(_1_541284561214624104645789101745[[#This Row],[Type]],Main[[#All],[TYPE]:[UNIT]],'Unit Price'!C$1,FALSE),0)</f>
        <v>0</v>
      </c>
      <c r="H255" s="197">
        <f>IF(_1_541284561214624104645789101745[[#This Row],[Type]]&gt;0,VLOOKUP(_1_541284561214624104645789101745[[#This Row],[Type]],Main[[#All],[TYPE]:[UNIT]],'Unit Price'!D$1,FALSE),0)</f>
        <v>0</v>
      </c>
      <c r="I255" s="194">
        <f>IF(_1_541284561214624104645789101745[[#This Row],[Type]]&gt;0,VLOOKUP(_1_541284561214624104645789101745[[#This Row],[Type]],Main[[#All],[TYPE]:[UNIT]],'Unit Price'!G$1,FALSE),0)</f>
        <v>0</v>
      </c>
      <c r="J255" s="194">
        <f>IF(_1_541284561214624104645789101745[[#This Row],[Type]]&gt;0,VLOOKUP(_1_541284561214624104645789101745[[#This Row],[Type]],Main[[#All],[TYPE]:[UNIT]],'Unit Price'!H$1,FALSE),0)</f>
        <v>0</v>
      </c>
      <c r="K255" s="194">
        <f>IF(_1_541284561214624104645789101745[[#This Row],[Discount selection]]&gt;0,VLOOKUP(_1_541284561214624104645789101745[[#This Row],[Discount selection]],'Discount Structure'!$A$2:$B$30,2,"false"),0)</f>
        <v>1</v>
      </c>
      <c r="L255" s="194">
        <f>_1_541284561214624104645789101745[[#This Row],[LIST $]]*_1_541284561214624104645789101745[[#This Row],[DISCOUNT]]*_1_541284561214624104645789101745[[#This Row],[DISCOUNT 2]]</f>
        <v>0</v>
      </c>
      <c r="M255" s="194">
        <f>IF(OR(_1_541284561214624104645789101745[[#This Row],[UNIT]]&gt;0,_1_541284561214624104645789101745[[#This Row],[UNIT]]&lt;0),_1_541284561214624104645789101745[[#This Row],[UNIT]]*_1_541284561214624104645789101745[[#This Row],[COST]],0)</f>
        <v>0</v>
      </c>
      <c r="N255" s="194">
        <f t="shared" si="3"/>
        <v>1.5</v>
      </c>
      <c r="O255" s="198">
        <f>_1_541284561214624104645789101745[[#This Row],[TOTAL]]*_1_541284561214624104645789101745[[#This Row],[MARGIN]]</f>
        <v>0</v>
      </c>
      <c r="R255" s="41"/>
    </row>
    <row r="256" spans="1:18">
      <c r="A256" s="168"/>
      <c r="B256" s="168"/>
      <c r="C256" s="168"/>
      <c r="D256" s="188"/>
      <c r="F256" s="168" t="s">
        <v>6202</v>
      </c>
      <c r="G256" s="193">
        <f>IF(_1_541284561214624104645789101745[[#This Row],[Type]]&gt;0,VLOOKUP(_1_541284561214624104645789101745[[#This Row],[Type]],Main[[#All],[TYPE]:[UNIT]],'Unit Price'!C$1,FALSE),0)</f>
        <v>0</v>
      </c>
      <c r="H256" s="197">
        <f>IF(_1_541284561214624104645789101745[[#This Row],[Type]]&gt;0,VLOOKUP(_1_541284561214624104645789101745[[#This Row],[Type]],Main[[#All],[TYPE]:[UNIT]],'Unit Price'!D$1,FALSE),0)</f>
        <v>0</v>
      </c>
      <c r="I256" s="194">
        <f>IF(_1_541284561214624104645789101745[[#This Row],[Type]]&gt;0,VLOOKUP(_1_541284561214624104645789101745[[#This Row],[Type]],Main[[#All],[TYPE]:[UNIT]],'Unit Price'!G$1,FALSE),0)</f>
        <v>0</v>
      </c>
      <c r="J256" s="194">
        <f>IF(_1_541284561214624104645789101745[[#This Row],[Type]]&gt;0,VLOOKUP(_1_541284561214624104645789101745[[#This Row],[Type]],Main[[#All],[TYPE]:[UNIT]],'Unit Price'!H$1,FALSE),0)</f>
        <v>0</v>
      </c>
      <c r="K256" s="194">
        <f>IF(_1_541284561214624104645789101745[[#This Row],[Discount selection]]&gt;0,VLOOKUP(_1_541284561214624104645789101745[[#This Row],[Discount selection]],'Discount Structure'!$A$2:$B$30,2,"false"),0)</f>
        <v>1</v>
      </c>
      <c r="L256" s="194">
        <f>_1_541284561214624104645789101745[[#This Row],[LIST $]]*_1_541284561214624104645789101745[[#This Row],[DISCOUNT]]*_1_541284561214624104645789101745[[#This Row],[DISCOUNT 2]]</f>
        <v>0</v>
      </c>
      <c r="M256" s="194">
        <f>IF(OR(_1_541284561214624104645789101745[[#This Row],[UNIT]]&gt;0,_1_541284561214624104645789101745[[#This Row],[UNIT]]&lt;0),_1_541284561214624104645789101745[[#This Row],[UNIT]]*_1_541284561214624104645789101745[[#This Row],[COST]],0)</f>
        <v>0</v>
      </c>
      <c r="N256" s="194">
        <f t="shared" si="3"/>
        <v>1.5</v>
      </c>
      <c r="O256" s="198">
        <f>_1_541284561214624104645789101745[[#This Row],[TOTAL]]*_1_541284561214624104645789101745[[#This Row],[MARGIN]]</f>
        <v>0</v>
      </c>
      <c r="R256" s="41"/>
    </row>
    <row r="257" spans="1:18">
      <c r="A257" s="323"/>
      <c r="B257" s="323"/>
      <c r="C257" s="168"/>
      <c r="D257" s="188"/>
      <c r="F257" s="168" t="s">
        <v>6202</v>
      </c>
      <c r="G257" s="193">
        <f>IF(_1_541284561214624104645789101745[[#This Row],[Type]]&gt;0,VLOOKUP(_1_541284561214624104645789101745[[#This Row],[Type]],Main[[#All],[TYPE]:[UNIT]],'Unit Price'!C$1,FALSE),0)</f>
        <v>0</v>
      </c>
      <c r="H257" s="197">
        <f>IF(_1_541284561214624104645789101745[[#This Row],[Type]]&gt;0,VLOOKUP(_1_541284561214624104645789101745[[#This Row],[Type]],Main[[#All],[TYPE]:[UNIT]],'Unit Price'!D$1,FALSE),0)</f>
        <v>0</v>
      </c>
      <c r="I257" s="194">
        <f>IF(_1_541284561214624104645789101745[[#This Row],[Type]]&gt;0,VLOOKUP(_1_541284561214624104645789101745[[#This Row],[Type]],Main[[#All],[TYPE]:[UNIT]],'Unit Price'!G$1,FALSE),0)</f>
        <v>0</v>
      </c>
      <c r="J257" s="194">
        <f>IF(_1_541284561214624104645789101745[[#This Row],[Type]]&gt;0,VLOOKUP(_1_541284561214624104645789101745[[#This Row],[Type]],Main[[#All],[TYPE]:[UNIT]],'Unit Price'!H$1,FALSE),0)</f>
        <v>0</v>
      </c>
      <c r="K257" s="194">
        <f>IF(_1_541284561214624104645789101745[[#This Row],[Discount selection]]&gt;0,VLOOKUP(_1_541284561214624104645789101745[[#This Row],[Discount selection]],'Discount Structure'!$A$2:$B$30,2,"false"),0)</f>
        <v>1</v>
      </c>
      <c r="L257" s="194">
        <f>_1_541284561214624104645789101745[[#This Row],[LIST $]]*_1_541284561214624104645789101745[[#This Row],[DISCOUNT]]*_1_541284561214624104645789101745[[#This Row],[DISCOUNT 2]]</f>
        <v>0</v>
      </c>
      <c r="M257" s="194">
        <f>IF(OR(_1_541284561214624104645789101745[[#This Row],[UNIT]]&gt;0,_1_541284561214624104645789101745[[#This Row],[UNIT]]&lt;0),_1_541284561214624104645789101745[[#This Row],[UNIT]]*_1_541284561214624104645789101745[[#This Row],[COST]],0)</f>
        <v>0</v>
      </c>
      <c r="N257" s="194">
        <f t="shared" si="3"/>
        <v>1.5</v>
      </c>
      <c r="O257" s="198">
        <f>_1_541284561214624104645789101745[[#This Row],[TOTAL]]*_1_541284561214624104645789101745[[#This Row],[MARGIN]]</f>
        <v>0</v>
      </c>
      <c r="R257" s="41"/>
    </row>
    <row r="258" spans="1:18">
      <c r="A258" s="323"/>
      <c r="B258" s="325"/>
      <c r="C258" s="168"/>
      <c r="D258" s="188"/>
      <c r="F258" s="168" t="s">
        <v>6202</v>
      </c>
      <c r="G258" s="193">
        <f>IF(_1_541284561214624104645789101745[[#This Row],[Type]]&gt;0,VLOOKUP(_1_541284561214624104645789101745[[#This Row],[Type]],Main[[#All],[TYPE]:[UNIT]],'Unit Price'!C$1,FALSE),0)</f>
        <v>0</v>
      </c>
      <c r="H258" s="197">
        <f>IF(_1_541284561214624104645789101745[[#This Row],[Type]]&gt;0,VLOOKUP(_1_541284561214624104645789101745[[#This Row],[Type]],Main[[#All],[TYPE]:[UNIT]],'Unit Price'!D$1,FALSE),0)</f>
        <v>0</v>
      </c>
      <c r="I258" s="194">
        <f>IF(_1_541284561214624104645789101745[[#This Row],[Type]]&gt;0,VLOOKUP(_1_541284561214624104645789101745[[#This Row],[Type]],Main[[#All],[TYPE]:[UNIT]],'Unit Price'!G$1,FALSE),0)</f>
        <v>0</v>
      </c>
      <c r="J258" s="194">
        <f>IF(_1_541284561214624104645789101745[[#This Row],[Type]]&gt;0,VLOOKUP(_1_541284561214624104645789101745[[#This Row],[Type]],Main[[#All],[TYPE]:[UNIT]],'Unit Price'!H$1,FALSE),0)</f>
        <v>0</v>
      </c>
      <c r="K258" s="194">
        <f>IF(_1_541284561214624104645789101745[[#This Row],[Discount selection]]&gt;0,VLOOKUP(_1_541284561214624104645789101745[[#This Row],[Discount selection]],'Discount Structure'!$A$2:$B$30,2,"false"),0)</f>
        <v>1</v>
      </c>
      <c r="L258" s="194">
        <f>_1_541284561214624104645789101745[[#This Row],[LIST $]]*_1_541284561214624104645789101745[[#This Row],[DISCOUNT]]*_1_541284561214624104645789101745[[#This Row],[DISCOUNT 2]]</f>
        <v>0</v>
      </c>
      <c r="M258" s="194">
        <f>IF(OR(_1_541284561214624104645789101745[[#This Row],[UNIT]]&gt;0,_1_541284561214624104645789101745[[#This Row],[UNIT]]&lt;0),_1_541284561214624104645789101745[[#This Row],[UNIT]]*_1_541284561214624104645789101745[[#This Row],[COST]],0)</f>
        <v>0</v>
      </c>
      <c r="N258" s="194">
        <f t="shared" si="3"/>
        <v>1.5</v>
      </c>
      <c r="O258" s="198">
        <f>_1_541284561214624104645789101745[[#This Row],[TOTAL]]*_1_541284561214624104645789101745[[#This Row],[MARGIN]]</f>
        <v>0</v>
      </c>
      <c r="R258" s="41"/>
    </row>
    <row r="259" spans="1:18">
      <c r="C259" s="168"/>
      <c r="D259" s="188"/>
      <c r="F259" s="168" t="s">
        <v>6202</v>
      </c>
      <c r="G259" s="193">
        <f>IF(_1_541284561214624104645789101745[[#This Row],[Type]]&gt;0,VLOOKUP(_1_541284561214624104645789101745[[#This Row],[Type]],Main[[#All],[TYPE]:[UNIT]],'Unit Price'!C$1,FALSE),0)</f>
        <v>0</v>
      </c>
      <c r="H259" s="197">
        <f>IF(_1_541284561214624104645789101745[[#This Row],[Type]]&gt;0,VLOOKUP(_1_541284561214624104645789101745[[#This Row],[Type]],Main[[#All],[TYPE]:[UNIT]],'Unit Price'!D$1,FALSE),0)</f>
        <v>0</v>
      </c>
      <c r="I259" s="194">
        <f>IF(_1_541284561214624104645789101745[[#This Row],[Type]]&gt;0,VLOOKUP(_1_541284561214624104645789101745[[#This Row],[Type]],Main[[#All],[TYPE]:[UNIT]],'Unit Price'!G$1,FALSE),0)</f>
        <v>0</v>
      </c>
      <c r="J259" s="194">
        <f>IF(_1_541284561214624104645789101745[[#This Row],[Type]]&gt;0,VLOOKUP(_1_541284561214624104645789101745[[#This Row],[Type]],Main[[#All],[TYPE]:[UNIT]],'Unit Price'!H$1,FALSE),0)</f>
        <v>0</v>
      </c>
      <c r="K259" s="194">
        <f>IF(_1_541284561214624104645789101745[[#This Row],[Discount selection]]&gt;0,VLOOKUP(_1_541284561214624104645789101745[[#This Row],[Discount selection]],'Discount Structure'!$A$2:$B$30,2,"false"),0)</f>
        <v>1</v>
      </c>
      <c r="L259" s="194">
        <f>_1_541284561214624104645789101745[[#This Row],[LIST $]]*_1_541284561214624104645789101745[[#This Row],[DISCOUNT]]*_1_541284561214624104645789101745[[#This Row],[DISCOUNT 2]]</f>
        <v>0</v>
      </c>
      <c r="M259" s="194">
        <f>IF(OR(_1_541284561214624104645789101745[[#This Row],[UNIT]]&gt;0,_1_541284561214624104645789101745[[#This Row],[UNIT]]&lt;0),_1_541284561214624104645789101745[[#This Row],[UNIT]]*_1_541284561214624104645789101745[[#This Row],[COST]],0)</f>
        <v>0</v>
      </c>
      <c r="N259" s="194">
        <f t="shared" si="3"/>
        <v>1.5</v>
      </c>
      <c r="O259" s="198">
        <f>_1_541284561214624104645789101745[[#This Row],[TOTAL]]*_1_541284561214624104645789101745[[#This Row],[MARGIN]]</f>
        <v>0</v>
      </c>
      <c r="R259" s="41"/>
    </row>
    <row r="260" spans="1:18">
      <c r="C260" s="168"/>
      <c r="D260" s="188"/>
      <c r="F260" s="168" t="s">
        <v>6202</v>
      </c>
      <c r="G260" s="205">
        <f>IF(_1_541284561214624104645789101745[[#This Row],[Type]]&gt;0,VLOOKUP(_1_541284561214624104645789101745[[#This Row],[Type]],Main[[#All],[TYPE]:[UNIT]],'Unit Price'!C$1,FALSE),0)</f>
        <v>0</v>
      </c>
      <c r="H260" s="197">
        <f>IF(_1_541284561214624104645789101745[[#This Row],[Type]]&gt;0,VLOOKUP(_1_541284561214624104645789101745[[#This Row],[Type]],Main[[#All],[TYPE]:[UNIT]],'Unit Price'!D$1,FALSE),0)</f>
        <v>0</v>
      </c>
      <c r="I260" s="194">
        <f>IF(_1_541284561214624104645789101745[[#This Row],[Type]]&gt;0,VLOOKUP(_1_541284561214624104645789101745[[#This Row],[Type]],Main[[#All],[TYPE]:[UNIT]],'Unit Price'!G$1,FALSE),0)</f>
        <v>0</v>
      </c>
      <c r="J260" s="194">
        <f>IF(_1_541284561214624104645789101745[[#This Row],[Type]]&gt;0,VLOOKUP(_1_541284561214624104645789101745[[#This Row],[Type]],Main[[#All],[TYPE]:[UNIT]],'Unit Price'!H$1,FALSE),0)</f>
        <v>0</v>
      </c>
      <c r="K260" s="194">
        <f>IF(_1_541284561214624104645789101745[[#This Row],[Discount selection]]&gt;0,VLOOKUP(_1_541284561214624104645789101745[[#This Row],[Discount selection]],'Discount Structure'!$A$2:$B$30,2,"false"),0)</f>
        <v>1</v>
      </c>
      <c r="L260" s="194">
        <f>_1_541284561214624104645789101745[[#This Row],[LIST $]]*_1_541284561214624104645789101745[[#This Row],[DISCOUNT]]*_1_541284561214624104645789101745[[#This Row],[DISCOUNT 2]]</f>
        <v>0</v>
      </c>
      <c r="M260" s="194">
        <f>IF(OR(_1_541284561214624104645789101745[[#This Row],[UNIT]]&gt;0,_1_541284561214624104645789101745[[#This Row],[UNIT]]&lt;0),_1_541284561214624104645789101745[[#This Row],[UNIT]]*_1_541284561214624104645789101745[[#This Row],[COST]],0)</f>
        <v>0</v>
      </c>
      <c r="N260" s="194">
        <f t="shared" si="3"/>
        <v>1.5</v>
      </c>
      <c r="O260" s="198">
        <f>_1_541284561214624104645789101745[[#This Row],[TOTAL]]*_1_541284561214624104645789101745[[#This Row],[MARGIN]]</f>
        <v>0</v>
      </c>
      <c r="R260" s="41"/>
    </row>
    <row r="261" spans="1:18">
      <c r="A261" s="323"/>
      <c r="B261" s="325"/>
      <c r="C261" s="168"/>
      <c r="D261" s="188"/>
      <c r="F261" s="168" t="s">
        <v>6202</v>
      </c>
      <c r="G261" s="193">
        <f>IF(_1_541284561214624104645789101745[[#This Row],[Type]]&gt;0,VLOOKUP(_1_541284561214624104645789101745[[#This Row],[Type]],Main[[#All],[TYPE]:[UNIT]],'Unit Price'!C$1,FALSE),0)</f>
        <v>0</v>
      </c>
      <c r="H261" s="197">
        <f>IF(_1_541284561214624104645789101745[[#This Row],[Type]]&gt;0,VLOOKUP(_1_541284561214624104645789101745[[#This Row],[Type]],Main[[#All],[TYPE]:[UNIT]],'Unit Price'!D$1,FALSE),0)</f>
        <v>0</v>
      </c>
      <c r="I261" s="194">
        <f>IF(_1_541284561214624104645789101745[[#This Row],[Type]]&gt;0,VLOOKUP(_1_541284561214624104645789101745[[#This Row],[Type]],Main[[#All],[TYPE]:[UNIT]],'Unit Price'!G$1,FALSE),0)</f>
        <v>0</v>
      </c>
      <c r="J261" s="194">
        <f>IF(_1_541284561214624104645789101745[[#This Row],[Type]]&gt;0,VLOOKUP(_1_541284561214624104645789101745[[#This Row],[Type]],Main[[#All],[TYPE]:[UNIT]],'Unit Price'!H$1,FALSE),0)</f>
        <v>0</v>
      </c>
      <c r="K261" s="194">
        <f>IF(_1_541284561214624104645789101745[[#This Row],[Discount selection]]&gt;0,VLOOKUP(_1_541284561214624104645789101745[[#This Row],[Discount selection]],'Discount Structure'!$A$2:$B$30,2,"false"),0)</f>
        <v>1</v>
      </c>
      <c r="L261" s="194">
        <f>_1_541284561214624104645789101745[[#This Row],[LIST $]]*_1_541284561214624104645789101745[[#This Row],[DISCOUNT]]*_1_541284561214624104645789101745[[#This Row],[DISCOUNT 2]]</f>
        <v>0</v>
      </c>
      <c r="M261" s="194">
        <f>IF(OR(_1_541284561214624104645789101745[[#This Row],[UNIT]]&gt;0,_1_541284561214624104645789101745[[#This Row],[UNIT]]&lt;0),_1_541284561214624104645789101745[[#This Row],[UNIT]]*_1_541284561214624104645789101745[[#This Row],[COST]],0)</f>
        <v>0</v>
      </c>
      <c r="N261" s="194">
        <f t="shared" si="3"/>
        <v>1.5</v>
      </c>
      <c r="O261" s="198">
        <f>_1_541284561214624104645789101745[[#This Row],[TOTAL]]*_1_541284561214624104645789101745[[#This Row],[MARGIN]]</f>
        <v>0</v>
      </c>
      <c r="R261" s="41"/>
    </row>
    <row r="262" spans="1:18">
      <c r="C262" s="168"/>
      <c r="D262" s="188"/>
      <c r="F262" s="168" t="s">
        <v>6202</v>
      </c>
      <c r="G262" s="193">
        <f>IF(_1_541284561214624104645789101745[[#This Row],[Type]]&gt;0,VLOOKUP(_1_541284561214624104645789101745[[#This Row],[Type]],Main[[#All],[TYPE]:[UNIT]],'Unit Price'!C$1,FALSE),0)</f>
        <v>0</v>
      </c>
      <c r="H262" s="197">
        <f>IF(_1_541284561214624104645789101745[[#This Row],[Type]]&gt;0,VLOOKUP(_1_541284561214624104645789101745[[#This Row],[Type]],Main[[#All],[TYPE]:[UNIT]],'Unit Price'!D$1,FALSE),0)</f>
        <v>0</v>
      </c>
      <c r="I262" s="194">
        <f>IF(_1_541284561214624104645789101745[[#This Row],[Type]]&gt;0,VLOOKUP(_1_541284561214624104645789101745[[#This Row],[Type]],Main[[#All],[TYPE]:[UNIT]],'Unit Price'!G$1,FALSE),0)</f>
        <v>0</v>
      </c>
      <c r="J262" s="194">
        <f>IF(_1_541284561214624104645789101745[[#This Row],[Type]]&gt;0,VLOOKUP(_1_541284561214624104645789101745[[#This Row],[Type]],Main[[#All],[TYPE]:[UNIT]],'Unit Price'!H$1,FALSE),0)</f>
        <v>0</v>
      </c>
      <c r="K262" s="194">
        <f>IF(_1_541284561214624104645789101745[[#This Row],[Discount selection]]&gt;0,VLOOKUP(_1_541284561214624104645789101745[[#This Row],[Discount selection]],'Discount Structure'!$A$2:$B$30,2,"false"),0)</f>
        <v>1</v>
      </c>
      <c r="L262" s="194">
        <f>_1_541284561214624104645789101745[[#This Row],[LIST $]]*_1_541284561214624104645789101745[[#This Row],[DISCOUNT]]*_1_541284561214624104645789101745[[#This Row],[DISCOUNT 2]]</f>
        <v>0</v>
      </c>
      <c r="M262" s="194">
        <f>IF(OR(_1_541284561214624104645789101745[[#This Row],[UNIT]]&gt;0,_1_541284561214624104645789101745[[#This Row],[UNIT]]&lt;0),_1_541284561214624104645789101745[[#This Row],[UNIT]]*_1_541284561214624104645789101745[[#This Row],[COST]],0)</f>
        <v>0</v>
      </c>
      <c r="N262" s="194">
        <f t="shared" si="3"/>
        <v>1.5</v>
      </c>
      <c r="O262" s="198">
        <f>_1_541284561214624104645789101745[[#This Row],[TOTAL]]*_1_541284561214624104645789101745[[#This Row],[MARGIN]]</f>
        <v>0</v>
      </c>
      <c r="R262" s="41"/>
    </row>
    <row r="263" spans="1:18">
      <c r="C263" s="168"/>
      <c r="D263" s="188"/>
      <c r="F263" s="168" t="s">
        <v>6202</v>
      </c>
      <c r="G263" s="193">
        <f>IF(_1_541284561214624104645789101745[[#This Row],[Type]]&gt;0,VLOOKUP(_1_541284561214624104645789101745[[#This Row],[Type]],Main[[#All],[TYPE]:[UNIT]],'Unit Price'!C$1,FALSE),0)</f>
        <v>0</v>
      </c>
      <c r="H263" s="197">
        <f>IF(_1_541284561214624104645789101745[[#This Row],[Type]]&gt;0,VLOOKUP(_1_541284561214624104645789101745[[#This Row],[Type]],Main[[#All],[TYPE]:[UNIT]],'Unit Price'!D$1,FALSE),0)</f>
        <v>0</v>
      </c>
      <c r="I263" s="194">
        <f>IF(_1_541284561214624104645789101745[[#This Row],[Type]]&gt;0,VLOOKUP(_1_541284561214624104645789101745[[#This Row],[Type]],Main[[#All],[TYPE]:[UNIT]],'Unit Price'!G$1,FALSE),0)</f>
        <v>0</v>
      </c>
      <c r="J263" s="194">
        <f>IF(_1_541284561214624104645789101745[[#This Row],[Type]]&gt;0,VLOOKUP(_1_541284561214624104645789101745[[#This Row],[Type]],Main[[#All],[TYPE]:[UNIT]],'Unit Price'!H$1,FALSE),0)</f>
        <v>0</v>
      </c>
      <c r="K263" s="194">
        <f>IF(_1_541284561214624104645789101745[[#This Row],[Discount selection]]&gt;0,VLOOKUP(_1_541284561214624104645789101745[[#This Row],[Discount selection]],'Discount Structure'!$A$2:$B$30,2,"false"),0)</f>
        <v>1</v>
      </c>
      <c r="L263" s="194">
        <f>_1_541284561214624104645789101745[[#This Row],[LIST $]]*_1_541284561214624104645789101745[[#This Row],[DISCOUNT]]*_1_541284561214624104645789101745[[#This Row],[DISCOUNT 2]]</f>
        <v>0</v>
      </c>
      <c r="M263" s="194">
        <f>IF(OR(_1_541284561214624104645789101745[[#This Row],[UNIT]]&gt;0,_1_541284561214624104645789101745[[#This Row],[UNIT]]&lt;0),_1_541284561214624104645789101745[[#This Row],[UNIT]]*_1_541284561214624104645789101745[[#This Row],[COST]],0)</f>
        <v>0</v>
      </c>
      <c r="N263" s="194">
        <f t="shared" si="3"/>
        <v>1.5</v>
      </c>
      <c r="O263" s="198">
        <f>_1_541284561214624104645789101745[[#This Row],[TOTAL]]*_1_541284561214624104645789101745[[#This Row],[MARGIN]]</f>
        <v>0</v>
      </c>
      <c r="R263" s="41"/>
    </row>
    <row r="264" spans="1:18">
      <c r="C264" s="168"/>
      <c r="D264" s="188"/>
      <c r="F264" s="168" t="s">
        <v>6202</v>
      </c>
      <c r="G264" s="193">
        <f>IF(_1_541284561214624104645789101745[[#This Row],[Type]]&gt;0,VLOOKUP(_1_541284561214624104645789101745[[#This Row],[Type]],Main[[#All],[TYPE]:[UNIT]],'Unit Price'!C$1,FALSE),0)</f>
        <v>0</v>
      </c>
      <c r="H264" s="197">
        <f>IF(_1_541284561214624104645789101745[[#This Row],[Type]]&gt;0,VLOOKUP(_1_541284561214624104645789101745[[#This Row],[Type]],Main[[#All],[TYPE]:[UNIT]],'Unit Price'!D$1,FALSE),0)</f>
        <v>0</v>
      </c>
      <c r="I264" s="194">
        <f>IF(_1_541284561214624104645789101745[[#This Row],[Type]]&gt;0,VLOOKUP(_1_541284561214624104645789101745[[#This Row],[Type]],Main[[#All],[TYPE]:[UNIT]],'Unit Price'!G$1,FALSE),0)</f>
        <v>0</v>
      </c>
      <c r="J264" s="194">
        <f>IF(_1_541284561214624104645789101745[[#This Row],[Type]]&gt;0,VLOOKUP(_1_541284561214624104645789101745[[#This Row],[Type]],Main[[#All],[TYPE]:[UNIT]],'Unit Price'!H$1,FALSE),0)</f>
        <v>0</v>
      </c>
      <c r="K264" s="194">
        <f>IF(_1_541284561214624104645789101745[[#This Row],[Discount selection]]&gt;0,VLOOKUP(_1_541284561214624104645789101745[[#This Row],[Discount selection]],'Discount Structure'!$A$2:$B$30,2,"false"),0)</f>
        <v>1</v>
      </c>
      <c r="L264" s="194">
        <f>_1_541284561214624104645789101745[[#This Row],[LIST $]]*_1_541284561214624104645789101745[[#This Row],[DISCOUNT]]*_1_541284561214624104645789101745[[#This Row],[DISCOUNT 2]]</f>
        <v>0</v>
      </c>
      <c r="M264" s="194">
        <f>IF(OR(_1_541284561214624104645789101745[[#This Row],[UNIT]]&gt;0,_1_541284561214624104645789101745[[#This Row],[UNIT]]&lt;0),_1_541284561214624104645789101745[[#This Row],[UNIT]]*_1_541284561214624104645789101745[[#This Row],[COST]],0)</f>
        <v>0</v>
      </c>
      <c r="N264" s="194">
        <f t="shared" si="3"/>
        <v>1.5</v>
      </c>
      <c r="O264" s="198">
        <f>_1_541284561214624104645789101745[[#This Row],[TOTAL]]*_1_541284561214624104645789101745[[#This Row],[MARGIN]]</f>
        <v>0</v>
      </c>
      <c r="R264" s="41"/>
    </row>
    <row r="265" spans="1:18">
      <c r="C265" s="168"/>
      <c r="D265" s="188"/>
      <c r="F265" s="168" t="s">
        <v>6202</v>
      </c>
      <c r="G265" s="205">
        <f>IF(_1_541284561214624104645789101745[[#This Row],[Type]]&gt;0,VLOOKUP(_1_541284561214624104645789101745[[#This Row],[Type]],Main[[#All],[TYPE]:[UNIT]],'Unit Price'!C$1,FALSE),0)</f>
        <v>0</v>
      </c>
      <c r="H265" s="197">
        <f>IF(_1_541284561214624104645789101745[[#This Row],[Type]]&gt;0,VLOOKUP(_1_541284561214624104645789101745[[#This Row],[Type]],Main[[#All],[TYPE]:[UNIT]],'Unit Price'!D$1,FALSE),0)</f>
        <v>0</v>
      </c>
      <c r="I265" s="194">
        <f>IF(_1_541284561214624104645789101745[[#This Row],[Type]]&gt;0,VLOOKUP(_1_541284561214624104645789101745[[#This Row],[Type]],Main[[#All],[TYPE]:[UNIT]],'Unit Price'!G$1,FALSE),0)</f>
        <v>0</v>
      </c>
      <c r="J265" s="194">
        <f>IF(_1_541284561214624104645789101745[[#This Row],[Type]]&gt;0,VLOOKUP(_1_541284561214624104645789101745[[#This Row],[Type]],Main[[#All],[TYPE]:[UNIT]],'Unit Price'!H$1,FALSE),0)</f>
        <v>0</v>
      </c>
      <c r="K265" s="194">
        <f>IF(_1_541284561214624104645789101745[[#This Row],[Discount selection]]&gt;0,VLOOKUP(_1_541284561214624104645789101745[[#This Row],[Discount selection]],'Discount Structure'!$A$2:$B$30,2,"false"),0)</f>
        <v>1</v>
      </c>
      <c r="L265" s="194">
        <f>_1_541284561214624104645789101745[[#This Row],[LIST $]]*_1_541284561214624104645789101745[[#This Row],[DISCOUNT]]*_1_541284561214624104645789101745[[#This Row],[DISCOUNT 2]]</f>
        <v>0</v>
      </c>
      <c r="M265" s="194">
        <f>IF(OR(_1_541284561214624104645789101745[[#This Row],[UNIT]]&gt;0,_1_541284561214624104645789101745[[#This Row],[UNIT]]&lt;0),_1_541284561214624104645789101745[[#This Row],[UNIT]]*_1_541284561214624104645789101745[[#This Row],[COST]],0)</f>
        <v>0</v>
      </c>
      <c r="N265" s="194">
        <f t="shared" si="3"/>
        <v>1.5</v>
      </c>
      <c r="O265" s="198">
        <f>_1_541284561214624104645789101745[[#This Row],[TOTAL]]*_1_541284561214624104645789101745[[#This Row],[MARGIN]]</f>
        <v>0</v>
      </c>
      <c r="R265" s="41"/>
    </row>
    <row r="266" spans="1:18">
      <c r="A266" s="168"/>
      <c r="B266" s="168"/>
      <c r="C266" s="168"/>
      <c r="D266" s="188"/>
      <c r="F266" s="168" t="s">
        <v>6202</v>
      </c>
      <c r="G266" s="193">
        <f>IF(_1_541284561214624104645789101745[[#This Row],[Type]]&gt;0,VLOOKUP(_1_541284561214624104645789101745[[#This Row],[Type]],Main[[#All],[TYPE]:[UNIT]],'Unit Price'!C$1,FALSE),0)</f>
        <v>0</v>
      </c>
      <c r="H266" s="197">
        <f>IF(_1_541284561214624104645789101745[[#This Row],[Type]]&gt;0,VLOOKUP(_1_541284561214624104645789101745[[#This Row],[Type]],Main[[#All],[TYPE]:[UNIT]],'Unit Price'!D$1,FALSE),0)</f>
        <v>0</v>
      </c>
      <c r="I266" s="194">
        <f>IF(_1_541284561214624104645789101745[[#This Row],[Type]]&gt;0,VLOOKUP(_1_541284561214624104645789101745[[#This Row],[Type]],Main[[#All],[TYPE]:[UNIT]],'Unit Price'!G$1,FALSE),0)</f>
        <v>0</v>
      </c>
      <c r="J266" s="194">
        <f>IF(_1_541284561214624104645789101745[[#This Row],[Type]]&gt;0,VLOOKUP(_1_541284561214624104645789101745[[#This Row],[Type]],Main[[#All],[TYPE]:[UNIT]],'Unit Price'!H$1,FALSE),0)</f>
        <v>0</v>
      </c>
      <c r="K266" s="194">
        <f>IF(_1_541284561214624104645789101745[[#This Row],[Discount selection]]&gt;0,VLOOKUP(_1_541284561214624104645789101745[[#This Row],[Discount selection]],'Discount Structure'!$A$2:$B$30,2,"false"),0)</f>
        <v>1</v>
      </c>
      <c r="L266" s="194">
        <f>_1_541284561214624104645789101745[[#This Row],[LIST $]]*_1_541284561214624104645789101745[[#This Row],[DISCOUNT]]*_1_541284561214624104645789101745[[#This Row],[DISCOUNT 2]]</f>
        <v>0</v>
      </c>
      <c r="M266" s="194">
        <f>IF(OR(_1_541284561214624104645789101745[[#This Row],[UNIT]]&gt;0,_1_541284561214624104645789101745[[#This Row],[UNIT]]&lt;0),_1_541284561214624104645789101745[[#This Row],[UNIT]]*_1_541284561214624104645789101745[[#This Row],[COST]],0)</f>
        <v>0</v>
      </c>
      <c r="N266" s="194">
        <f t="shared" ref="N266:N329" si="4">$N$7</f>
        <v>1.5</v>
      </c>
      <c r="O266" s="198">
        <f>_1_541284561214624104645789101745[[#This Row],[TOTAL]]*_1_541284561214624104645789101745[[#This Row],[MARGIN]]</f>
        <v>0</v>
      </c>
      <c r="R266" s="41"/>
    </row>
    <row r="267" spans="1:18">
      <c r="A267" s="323"/>
      <c r="B267" s="323"/>
      <c r="C267" s="168"/>
      <c r="D267" s="188"/>
      <c r="F267" s="168" t="s">
        <v>6202</v>
      </c>
      <c r="G267" s="193">
        <f>IF(_1_541284561214624104645789101745[[#This Row],[Type]]&gt;0,VLOOKUP(_1_541284561214624104645789101745[[#This Row],[Type]],Main[[#All],[TYPE]:[UNIT]],'Unit Price'!C$1,FALSE),0)</f>
        <v>0</v>
      </c>
      <c r="H267" s="197">
        <f>IF(_1_541284561214624104645789101745[[#This Row],[Type]]&gt;0,VLOOKUP(_1_541284561214624104645789101745[[#This Row],[Type]],Main[[#All],[TYPE]:[UNIT]],'Unit Price'!D$1,FALSE),0)</f>
        <v>0</v>
      </c>
      <c r="I267" s="194">
        <f>IF(_1_541284561214624104645789101745[[#This Row],[Type]]&gt;0,VLOOKUP(_1_541284561214624104645789101745[[#This Row],[Type]],Main[[#All],[TYPE]:[UNIT]],'Unit Price'!G$1,FALSE),0)</f>
        <v>0</v>
      </c>
      <c r="J267" s="194">
        <f>IF(_1_541284561214624104645789101745[[#This Row],[Type]]&gt;0,VLOOKUP(_1_541284561214624104645789101745[[#This Row],[Type]],Main[[#All],[TYPE]:[UNIT]],'Unit Price'!H$1,FALSE),0)</f>
        <v>0</v>
      </c>
      <c r="K267" s="194">
        <f>IF(_1_541284561214624104645789101745[[#This Row],[Discount selection]]&gt;0,VLOOKUP(_1_541284561214624104645789101745[[#This Row],[Discount selection]],'Discount Structure'!$A$2:$B$30,2,"false"),0)</f>
        <v>1</v>
      </c>
      <c r="L267" s="194">
        <f>_1_541284561214624104645789101745[[#This Row],[LIST $]]*_1_541284561214624104645789101745[[#This Row],[DISCOUNT]]*_1_541284561214624104645789101745[[#This Row],[DISCOUNT 2]]</f>
        <v>0</v>
      </c>
      <c r="M267" s="194">
        <f>IF(OR(_1_541284561214624104645789101745[[#This Row],[UNIT]]&gt;0,_1_541284561214624104645789101745[[#This Row],[UNIT]]&lt;0),_1_541284561214624104645789101745[[#This Row],[UNIT]]*_1_541284561214624104645789101745[[#This Row],[COST]],0)</f>
        <v>0</v>
      </c>
      <c r="N267" s="194">
        <f t="shared" si="4"/>
        <v>1.5</v>
      </c>
      <c r="O267" s="198">
        <f>_1_541284561214624104645789101745[[#This Row],[TOTAL]]*_1_541284561214624104645789101745[[#This Row],[MARGIN]]</f>
        <v>0</v>
      </c>
      <c r="R267" s="41"/>
    </row>
    <row r="268" spans="1:18">
      <c r="A268" s="323"/>
      <c r="B268" s="325"/>
      <c r="C268" s="168"/>
      <c r="D268" s="188"/>
      <c r="F268" s="168" t="s">
        <v>6202</v>
      </c>
      <c r="G268" s="193">
        <f>IF(_1_541284561214624104645789101745[[#This Row],[Type]]&gt;0,VLOOKUP(_1_541284561214624104645789101745[[#This Row],[Type]],Main[[#All],[TYPE]:[UNIT]],'Unit Price'!C$1,FALSE),0)</f>
        <v>0</v>
      </c>
      <c r="H268" s="197">
        <f>IF(_1_541284561214624104645789101745[[#This Row],[Type]]&gt;0,VLOOKUP(_1_541284561214624104645789101745[[#This Row],[Type]],Main[[#All],[TYPE]:[UNIT]],'Unit Price'!D$1,FALSE),0)</f>
        <v>0</v>
      </c>
      <c r="I268" s="194">
        <f>IF(_1_541284561214624104645789101745[[#This Row],[Type]]&gt;0,VLOOKUP(_1_541284561214624104645789101745[[#This Row],[Type]],Main[[#All],[TYPE]:[UNIT]],'Unit Price'!G$1,FALSE),0)</f>
        <v>0</v>
      </c>
      <c r="J268" s="194">
        <f>IF(_1_541284561214624104645789101745[[#This Row],[Type]]&gt;0,VLOOKUP(_1_541284561214624104645789101745[[#This Row],[Type]],Main[[#All],[TYPE]:[UNIT]],'Unit Price'!H$1,FALSE),0)</f>
        <v>0</v>
      </c>
      <c r="K268" s="194">
        <f>IF(_1_541284561214624104645789101745[[#This Row],[Discount selection]]&gt;0,VLOOKUP(_1_541284561214624104645789101745[[#This Row],[Discount selection]],'Discount Structure'!$A$2:$B$30,2,"false"),0)</f>
        <v>1</v>
      </c>
      <c r="L268" s="194">
        <f>_1_541284561214624104645789101745[[#This Row],[LIST $]]*_1_541284561214624104645789101745[[#This Row],[DISCOUNT]]*_1_541284561214624104645789101745[[#This Row],[DISCOUNT 2]]</f>
        <v>0</v>
      </c>
      <c r="M268" s="194">
        <f>IF(OR(_1_541284561214624104645789101745[[#This Row],[UNIT]]&gt;0,_1_541284561214624104645789101745[[#This Row],[UNIT]]&lt;0),_1_541284561214624104645789101745[[#This Row],[UNIT]]*_1_541284561214624104645789101745[[#This Row],[COST]],0)</f>
        <v>0</v>
      </c>
      <c r="N268" s="194">
        <f t="shared" si="4"/>
        <v>1.5</v>
      </c>
      <c r="O268" s="198">
        <f>_1_541284561214624104645789101745[[#This Row],[TOTAL]]*_1_541284561214624104645789101745[[#This Row],[MARGIN]]</f>
        <v>0</v>
      </c>
      <c r="R268" s="41"/>
    </row>
    <row r="269" spans="1:18">
      <c r="C269" s="168"/>
      <c r="D269" s="188"/>
      <c r="F269" s="168" t="s">
        <v>6202</v>
      </c>
      <c r="G269" s="193">
        <f>IF(_1_541284561214624104645789101745[[#This Row],[Type]]&gt;0,VLOOKUP(_1_541284561214624104645789101745[[#This Row],[Type]],Main[[#All],[TYPE]:[UNIT]],'Unit Price'!C$1,FALSE),0)</f>
        <v>0</v>
      </c>
      <c r="H269" s="197">
        <f>IF(_1_541284561214624104645789101745[[#This Row],[Type]]&gt;0,VLOOKUP(_1_541284561214624104645789101745[[#This Row],[Type]],Main[[#All],[TYPE]:[UNIT]],'Unit Price'!D$1,FALSE),0)</f>
        <v>0</v>
      </c>
      <c r="I269" s="194">
        <f>IF(_1_541284561214624104645789101745[[#This Row],[Type]]&gt;0,VLOOKUP(_1_541284561214624104645789101745[[#This Row],[Type]],Main[[#All],[TYPE]:[UNIT]],'Unit Price'!G$1,FALSE),0)</f>
        <v>0</v>
      </c>
      <c r="J269" s="194">
        <f>IF(_1_541284561214624104645789101745[[#This Row],[Type]]&gt;0,VLOOKUP(_1_541284561214624104645789101745[[#This Row],[Type]],Main[[#All],[TYPE]:[UNIT]],'Unit Price'!H$1,FALSE),0)</f>
        <v>0</v>
      </c>
      <c r="K269" s="194">
        <f>IF(_1_541284561214624104645789101745[[#This Row],[Discount selection]]&gt;0,VLOOKUP(_1_541284561214624104645789101745[[#This Row],[Discount selection]],'Discount Structure'!$A$2:$B$30,2,"false"),0)</f>
        <v>1</v>
      </c>
      <c r="L269" s="194">
        <f>_1_541284561214624104645789101745[[#This Row],[LIST $]]*_1_541284561214624104645789101745[[#This Row],[DISCOUNT]]*_1_541284561214624104645789101745[[#This Row],[DISCOUNT 2]]</f>
        <v>0</v>
      </c>
      <c r="M269" s="194">
        <f>IF(OR(_1_541284561214624104645789101745[[#This Row],[UNIT]]&gt;0,_1_541284561214624104645789101745[[#This Row],[UNIT]]&lt;0),_1_541284561214624104645789101745[[#This Row],[UNIT]]*_1_541284561214624104645789101745[[#This Row],[COST]],0)</f>
        <v>0</v>
      </c>
      <c r="N269" s="194">
        <f t="shared" si="4"/>
        <v>1.5</v>
      </c>
      <c r="O269" s="198">
        <f>_1_541284561214624104645789101745[[#This Row],[TOTAL]]*_1_541284561214624104645789101745[[#This Row],[MARGIN]]</f>
        <v>0</v>
      </c>
      <c r="R269" s="41"/>
    </row>
    <row r="270" spans="1:18">
      <c r="C270" s="168"/>
      <c r="D270" s="188"/>
      <c r="F270" s="168" t="s">
        <v>6202</v>
      </c>
      <c r="G270" s="193">
        <f>IF(_1_541284561214624104645789101745[[#This Row],[Type]]&gt;0,VLOOKUP(_1_541284561214624104645789101745[[#This Row],[Type]],Main[[#All],[TYPE]:[UNIT]],'Unit Price'!C$1,FALSE),0)</f>
        <v>0</v>
      </c>
      <c r="H270" s="197">
        <f>IF(_1_541284561214624104645789101745[[#This Row],[Type]]&gt;0,VLOOKUP(_1_541284561214624104645789101745[[#This Row],[Type]],Main[[#All],[TYPE]:[UNIT]],'Unit Price'!D$1,FALSE),0)</f>
        <v>0</v>
      </c>
      <c r="I270" s="194">
        <f>IF(_1_541284561214624104645789101745[[#This Row],[Type]]&gt;0,VLOOKUP(_1_541284561214624104645789101745[[#This Row],[Type]],Main[[#All],[TYPE]:[UNIT]],'Unit Price'!G$1,FALSE),0)</f>
        <v>0</v>
      </c>
      <c r="J270" s="194">
        <f>IF(_1_541284561214624104645789101745[[#This Row],[Type]]&gt;0,VLOOKUP(_1_541284561214624104645789101745[[#This Row],[Type]],Main[[#All],[TYPE]:[UNIT]],'Unit Price'!H$1,FALSE),0)</f>
        <v>0</v>
      </c>
      <c r="K270" s="194">
        <f>IF(_1_541284561214624104645789101745[[#This Row],[Discount selection]]&gt;0,VLOOKUP(_1_541284561214624104645789101745[[#This Row],[Discount selection]],'Discount Structure'!$A$2:$B$30,2,"false"),0)</f>
        <v>1</v>
      </c>
      <c r="L270" s="194">
        <f>_1_541284561214624104645789101745[[#This Row],[LIST $]]*_1_541284561214624104645789101745[[#This Row],[DISCOUNT]]*_1_541284561214624104645789101745[[#This Row],[DISCOUNT 2]]</f>
        <v>0</v>
      </c>
      <c r="M270" s="194">
        <f>IF(OR(_1_541284561214624104645789101745[[#This Row],[UNIT]]&gt;0,_1_541284561214624104645789101745[[#This Row],[UNIT]]&lt;0),_1_541284561214624104645789101745[[#This Row],[UNIT]]*_1_541284561214624104645789101745[[#This Row],[COST]],0)</f>
        <v>0</v>
      </c>
      <c r="N270" s="194">
        <f t="shared" si="4"/>
        <v>1.5</v>
      </c>
      <c r="O270" s="198">
        <f>_1_541284561214624104645789101745[[#This Row],[TOTAL]]*_1_541284561214624104645789101745[[#This Row],[MARGIN]]</f>
        <v>0</v>
      </c>
      <c r="R270" s="41"/>
    </row>
    <row r="271" spans="1:18">
      <c r="A271" s="323"/>
      <c r="B271" s="323"/>
      <c r="C271" s="168"/>
      <c r="D271" s="188"/>
      <c r="F271" s="168" t="s">
        <v>6202</v>
      </c>
      <c r="G271" s="205">
        <f>IF(_1_541284561214624104645789101745[[#This Row],[Type]]&gt;0,VLOOKUP(_1_541284561214624104645789101745[[#This Row],[Type]],Main[[#All],[TYPE]:[UNIT]],'Unit Price'!C$1,FALSE),0)</f>
        <v>0</v>
      </c>
      <c r="H271" s="197">
        <f>IF(_1_541284561214624104645789101745[[#This Row],[Type]]&gt;0,VLOOKUP(_1_541284561214624104645789101745[[#This Row],[Type]],Main[[#All],[TYPE]:[UNIT]],'Unit Price'!D$1,FALSE),0)</f>
        <v>0</v>
      </c>
      <c r="I271" s="194">
        <f>IF(_1_541284561214624104645789101745[[#This Row],[Type]]&gt;0,VLOOKUP(_1_541284561214624104645789101745[[#This Row],[Type]],Main[[#All],[TYPE]:[UNIT]],'Unit Price'!G$1,FALSE),0)</f>
        <v>0</v>
      </c>
      <c r="J271" s="194">
        <f>IF(_1_541284561214624104645789101745[[#This Row],[Type]]&gt;0,VLOOKUP(_1_541284561214624104645789101745[[#This Row],[Type]],Main[[#All],[TYPE]:[UNIT]],'Unit Price'!H$1,FALSE),0)</f>
        <v>0</v>
      </c>
      <c r="K271" s="194">
        <f>IF(_1_541284561214624104645789101745[[#This Row],[Discount selection]]&gt;0,VLOOKUP(_1_541284561214624104645789101745[[#This Row],[Discount selection]],'Discount Structure'!$A$2:$B$30,2,"false"),0)</f>
        <v>1</v>
      </c>
      <c r="L271" s="194">
        <f>_1_541284561214624104645789101745[[#This Row],[LIST $]]*_1_541284561214624104645789101745[[#This Row],[DISCOUNT]]*_1_541284561214624104645789101745[[#This Row],[DISCOUNT 2]]</f>
        <v>0</v>
      </c>
      <c r="M271" s="194">
        <f>IF(OR(_1_541284561214624104645789101745[[#This Row],[UNIT]]&gt;0,_1_541284561214624104645789101745[[#This Row],[UNIT]]&lt;0),_1_541284561214624104645789101745[[#This Row],[UNIT]]*_1_541284561214624104645789101745[[#This Row],[COST]],0)</f>
        <v>0</v>
      </c>
      <c r="N271" s="194">
        <f t="shared" si="4"/>
        <v>1.5</v>
      </c>
      <c r="O271" s="198">
        <f>_1_541284561214624104645789101745[[#This Row],[TOTAL]]*_1_541284561214624104645789101745[[#This Row],[MARGIN]]</f>
        <v>0</v>
      </c>
      <c r="R271" s="41"/>
    </row>
    <row r="272" spans="1:18">
      <c r="C272" s="168"/>
      <c r="D272" s="188"/>
      <c r="F272" s="168" t="s">
        <v>6202</v>
      </c>
      <c r="G272" s="193">
        <f>IF(_1_541284561214624104645789101745[[#This Row],[Type]]&gt;0,VLOOKUP(_1_541284561214624104645789101745[[#This Row],[Type]],Main[[#All],[TYPE]:[UNIT]],'Unit Price'!C$1,FALSE),0)</f>
        <v>0</v>
      </c>
      <c r="H272" s="197">
        <f>IF(_1_541284561214624104645789101745[[#This Row],[Type]]&gt;0,VLOOKUP(_1_541284561214624104645789101745[[#This Row],[Type]],Main[[#All],[TYPE]:[UNIT]],'Unit Price'!D$1,FALSE),0)</f>
        <v>0</v>
      </c>
      <c r="I272" s="194">
        <f>IF(_1_541284561214624104645789101745[[#This Row],[Type]]&gt;0,VLOOKUP(_1_541284561214624104645789101745[[#This Row],[Type]],Main[[#All],[TYPE]:[UNIT]],'Unit Price'!G$1,FALSE),0)</f>
        <v>0</v>
      </c>
      <c r="J272" s="194">
        <f>IF(_1_541284561214624104645789101745[[#This Row],[Type]]&gt;0,VLOOKUP(_1_541284561214624104645789101745[[#This Row],[Type]],Main[[#All],[TYPE]:[UNIT]],'Unit Price'!H$1,FALSE),0)</f>
        <v>0</v>
      </c>
      <c r="K272" s="194">
        <f>IF(_1_541284561214624104645789101745[[#This Row],[Discount selection]]&gt;0,VLOOKUP(_1_541284561214624104645789101745[[#This Row],[Discount selection]],'Discount Structure'!$A$2:$B$30,2,"false"),0)</f>
        <v>1</v>
      </c>
      <c r="L272" s="194">
        <f>_1_541284561214624104645789101745[[#This Row],[LIST $]]*_1_541284561214624104645789101745[[#This Row],[DISCOUNT]]*_1_541284561214624104645789101745[[#This Row],[DISCOUNT 2]]</f>
        <v>0</v>
      </c>
      <c r="M272" s="194">
        <f>IF(OR(_1_541284561214624104645789101745[[#This Row],[UNIT]]&gt;0,_1_541284561214624104645789101745[[#This Row],[UNIT]]&lt;0),_1_541284561214624104645789101745[[#This Row],[UNIT]]*_1_541284561214624104645789101745[[#This Row],[COST]],0)</f>
        <v>0</v>
      </c>
      <c r="N272" s="194">
        <f t="shared" si="4"/>
        <v>1.5</v>
      </c>
      <c r="O272" s="198">
        <f>_1_541284561214624104645789101745[[#This Row],[TOTAL]]*_1_541284561214624104645789101745[[#This Row],[MARGIN]]</f>
        <v>0</v>
      </c>
      <c r="R272" s="41"/>
    </row>
    <row r="273" spans="1:18">
      <c r="A273" s="168"/>
      <c r="B273" s="168"/>
      <c r="C273" s="168"/>
      <c r="D273" s="188"/>
      <c r="F273" s="168" t="s">
        <v>6202</v>
      </c>
      <c r="G273" s="193">
        <f>IF(_1_541284561214624104645789101745[[#This Row],[Type]]&gt;0,VLOOKUP(_1_541284561214624104645789101745[[#This Row],[Type]],Main[[#All],[TYPE]:[UNIT]],'Unit Price'!C$1,FALSE),0)</f>
        <v>0</v>
      </c>
      <c r="H273" s="197">
        <f>IF(_1_541284561214624104645789101745[[#This Row],[Type]]&gt;0,VLOOKUP(_1_541284561214624104645789101745[[#This Row],[Type]],Main[[#All],[TYPE]:[UNIT]],'Unit Price'!D$1,FALSE),0)</f>
        <v>0</v>
      </c>
      <c r="I273" s="194">
        <f>IF(_1_541284561214624104645789101745[[#This Row],[Type]]&gt;0,VLOOKUP(_1_541284561214624104645789101745[[#This Row],[Type]],Main[[#All],[TYPE]:[UNIT]],'Unit Price'!G$1,FALSE),0)</f>
        <v>0</v>
      </c>
      <c r="J273" s="194">
        <f>IF(_1_541284561214624104645789101745[[#This Row],[Type]]&gt;0,VLOOKUP(_1_541284561214624104645789101745[[#This Row],[Type]],Main[[#All],[TYPE]:[UNIT]],'Unit Price'!H$1,FALSE),0)</f>
        <v>0</v>
      </c>
      <c r="K273" s="194">
        <f>IF(_1_541284561214624104645789101745[[#This Row],[Discount selection]]&gt;0,VLOOKUP(_1_541284561214624104645789101745[[#This Row],[Discount selection]],'Discount Structure'!$A$2:$B$30,2,"false"),0)</f>
        <v>1</v>
      </c>
      <c r="L273" s="194">
        <f>_1_541284561214624104645789101745[[#This Row],[LIST $]]*_1_541284561214624104645789101745[[#This Row],[DISCOUNT]]*_1_541284561214624104645789101745[[#This Row],[DISCOUNT 2]]</f>
        <v>0</v>
      </c>
      <c r="M273" s="194">
        <f>IF(OR(_1_541284561214624104645789101745[[#This Row],[UNIT]]&gt;0,_1_541284561214624104645789101745[[#This Row],[UNIT]]&lt;0),_1_541284561214624104645789101745[[#This Row],[UNIT]]*_1_541284561214624104645789101745[[#This Row],[COST]],0)</f>
        <v>0</v>
      </c>
      <c r="N273" s="194">
        <f t="shared" si="4"/>
        <v>1.5</v>
      </c>
      <c r="O273" s="198">
        <f>_1_541284561214624104645789101745[[#This Row],[TOTAL]]*_1_541284561214624104645789101745[[#This Row],[MARGIN]]</f>
        <v>0</v>
      </c>
      <c r="R273" s="41"/>
    </row>
    <row r="274" spans="1:18">
      <c r="C274" s="168"/>
      <c r="D274" s="188"/>
      <c r="F274" s="168" t="s">
        <v>6202</v>
      </c>
      <c r="G274" s="193">
        <f>IF(_1_541284561214624104645789101745[[#This Row],[Type]]&gt;0,VLOOKUP(_1_541284561214624104645789101745[[#This Row],[Type]],Main[[#All],[TYPE]:[UNIT]],'Unit Price'!C$1,FALSE),0)</f>
        <v>0</v>
      </c>
      <c r="H274" s="197">
        <f>IF(_1_541284561214624104645789101745[[#This Row],[Type]]&gt;0,VLOOKUP(_1_541284561214624104645789101745[[#This Row],[Type]],Main[[#All],[TYPE]:[UNIT]],'Unit Price'!D$1,FALSE),0)</f>
        <v>0</v>
      </c>
      <c r="I274" s="194">
        <f>IF(_1_541284561214624104645789101745[[#This Row],[Type]]&gt;0,VLOOKUP(_1_541284561214624104645789101745[[#This Row],[Type]],Main[[#All],[TYPE]:[UNIT]],'Unit Price'!G$1,FALSE),0)</f>
        <v>0</v>
      </c>
      <c r="J274" s="194">
        <f>IF(_1_541284561214624104645789101745[[#This Row],[Type]]&gt;0,VLOOKUP(_1_541284561214624104645789101745[[#This Row],[Type]],Main[[#All],[TYPE]:[UNIT]],'Unit Price'!H$1,FALSE),0)</f>
        <v>0</v>
      </c>
      <c r="K274" s="194">
        <f>IF(_1_541284561214624104645789101745[[#This Row],[Discount selection]]&gt;0,VLOOKUP(_1_541284561214624104645789101745[[#This Row],[Discount selection]],'Discount Structure'!$A$2:$B$30,2,"false"),0)</f>
        <v>1</v>
      </c>
      <c r="L274" s="194">
        <f>_1_541284561214624104645789101745[[#This Row],[LIST $]]*_1_541284561214624104645789101745[[#This Row],[DISCOUNT]]*_1_541284561214624104645789101745[[#This Row],[DISCOUNT 2]]</f>
        <v>0</v>
      </c>
      <c r="M274" s="194">
        <f>IF(OR(_1_541284561214624104645789101745[[#This Row],[UNIT]]&gt;0,_1_541284561214624104645789101745[[#This Row],[UNIT]]&lt;0),_1_541284561214624104645789101745[[#This Row],[UNIT]]*_1_541284561214624104645789101745[[#This Row],[COST]],0)</f>
        <v>0</v>
      </c>
      <c r="N274" s="194">
        <f t="shared" si="4"/>
        <v>1.5</v>
      </c>
      <c r="O274" s="198">
        <f>_1_541284561214624104645789101745[[#This Row],[TOTAL]]*_1_541284561214624104645789101745[[#This Row],[MARGIN]]</f>
        <v>0</v>
      </c>
      <c r="R274" s="41"/>
    </row>
    <row r="275" spans="1:18">
      <c r="A275" s="323"/>
      <c r="B275" s="317"/>
      <c r="C275" s="168"/>
      <c r="D275" s="188"/>
      <c r="F275" s="168" t="s">
        <v>6202</v>
      </c>
      <c r="G275" s="193">
        <f>IF(_1_541284561214624104645789101745[[#This Row],[Type]]&gt;0,VLOOKUP(_1_541284561214624104645789101745[[#This Row],[Type]],Main[[#All],[TYPE]:[UNIT]],'Unit Price'!C$1,FALSE),0)</f>
        <v>0</v>
      </c>
      <c r="H275" s="197">
        <f>IF(_1_541284561214624104645789101745[[#This Row],[Type]]&gt;0,VLOOKUP(_1_541284561214624104645789101745[[#This Row],[Type]],Main[[#All],[TYPE]:[UNIT]],'Unit Price'!D$1,FALSE),0)</f>
        <v>0</v>
      </c>
      <c r="I275" s="194">
        <f>IF(_1_541284561214624104645789101745[[#This Row],[Type]]&gt;0,VLOOKUP(_1_541284561214624104645789101745[[#This Row],[Type]],Main[[#All],[TYPE]:[UNIT]],'Unit Price'!G$1,FALSE),0)</f>
        <v>0</v>
      </c>
      <c r="J275" s="194">
        <f>IF(_1_541284561214624104645789101745[[#This Row],[Type]]&gt;0,VLOOKUP(_1_541284561214624104645789101745[[#This Row],[Type]],Main[[#All],[TYPE]:[UNIT]],'Unit Price'!H$1,FALSE),0)</f>
        <v>0</v>
      </c>
      <c r="K275" s="194">
        <f>IF(_1_541284561214624104645789101745[[#This Row],[Discount selection]]&gt;0,VLOOKUP(_1_541284561214624104645789101745[[#This Row],[Discount selection]],'Discount Structure'!$A$2:$B$30,2,"false"),0)</f>
        <v>1</v>
      </c>
      <c r="L275" s="194">
        <f>_1_541284561214624104645789101745[[#This Row],[LIST $]]*_1_541284561214624104645789101745[[#This Row],[DISCOUNT]]*_1_541284561214624104645789101745[[#This Row],[DISCOUNT 2]]</f>
        <v>0</v>
      </c>
      <c r="M275" s="194">
        <f>IF(OR(_1_541284561214624104645789101745[[#This Row],[UNIT]]&gt;0,_1_541284561214624104645789101745[[#This Row],[UNIT]]&lt;0),_1_541284561214624104645789101745[[#This Row],[UNIT]]*_1_541284561214624104645789101745[[#This Row],[COST]],0)</f>
        <v>0</v>
      </c>
      <c r="N275" s="194">
        <f t="shared" si="4"/>
        <v>1.5</v>
      </c>
      <c r="O275" s="198">
        <f>_1_541284561214624104645789101745[[#This Row],[TOTAL]]*_1_541284561214624104645789101745[[#This Row],[MARGIN]]</f>
        <v>0</v>
      </c>
      <c r="R275" s="41"/>
    </row>
    <row r="276" spans="1:18">
      <c r="C276" s="168"/>
      <c r="D276" s="188"/>
      <c r="F276" s="168" t="s">
        <v>6202</v>
      </c>
      <c r="G276" s="205">
        <f>IF(_1_541284561214624104645789101745[[#This Row],[Type]]&gt;0,VLOOKUP(_1_541284561214624104645789101745[[#This Row],[Type]],Main[[#All],[TYPE]:[UNIT]],'Unit Price'!C$1,FALSE),0)</f>
        <v>0</v>
      </c>
      <c r="H276" s="197">
        <f>IF(_1_541284561214624104645789101745[[#This Row],[Type]]&gt;0,VLOOKUP(_1_541284561214624104645789101745[[#This Row],[Type]],Main[[#All],[TYPE]:[UNIT]],'Unit Price'!D$1,FALSE),0)</f>
        <v>0</v>
      </c>
      <c r="I276" s="194">
        <f>IF(_1_541284561214624104645789101745[[#This Row],[Type]]&gt;0,VLOOKUP(_1_541284561214624104645789101745[[#This Row],[Type]],Main[[#All],[TYPE]:[UNIT]],'Unit Price'!G$1,FALSE),0)</f>
        <v>0</v>
      </c>
      <c r="J276" s="194">
        <f>IF(_1_541284561214624104645789101745[[#This Row],[Type]]&gt;0,VLOOKUP(_1_541284561214624104645789101745[[#This Row],[Type]],Main[[#All],[TYPE]:[UNIT]],'Unit Price'!H$1,FALSE),0)</f>
        <v>0</v>
      </c>
      <c r="K276" s="194">
        <f>IF(_1_541284561214624104645789101745[[#This Row],[Discount selection]]&gt;0,VLOOKUP(_1_541284561214624104645789101745[[#This Row],[Discount selection]],'Discount Structure'!$A$2:$B$30,2,"false"),0)</f>
        <v>1</v>
      </c>
      <c r="L276" s="194">
        <f>_1_541284561214624104645789101745[[#This Row],[LIST $]]*_1_541284561214624104645789101745[[#This Row],[DISCOUNT]]*_1_541284561214624104645789101745[[#This Row],[DISCOUNT 2]]</f>
        <v>0</v>
      </c>
      <c r="M276" s="194">
        <f>IF(OR(_1_541284561214624104645789101745[[#This Row],[UNIT]]&gt;0,_1_541284561214624104645789101745[[#This Row],[UNIT]]&lt;0),_1_541284561214624104645789101745[[#This Row],[UNIT]]*_1_541284561214624104645789101745[[#This Row],[COST]],0)</f>
        <v>0</v>
      </c>
      <c r="N276" s="194">
        <f t="shared" si="4"/>
        <v>1.5</v>
      </c>
      <c r="O276" s="198">
        <f>_1_541284561214624104645789101745[[#This Row],[TOTAL]]*_1_541284561214624104645789101745[[#This Row],[MARGIN]]</f>
        <v>0</v>
      </c>
      <c r="R276" s="41"/>
    </row>
    <row r="277" spans="1:18">
      <c r="C277" s="168"/>
      <c r="D277" s="188"/>
      <c r="F277" s="168" t="s">
        <v>6202</v>
      </c>
      <c r="G277" s="193">
        <f>IF(_1_541284561214624104645789101745[[#This Row],[Type]]&gt;0,VLOOKUP(_1_541284561214624104645789101745[[#This Row],[Type]],Main[[#All],[TYPE]:[UNIT]],'Unit Price'!C$1,FALSE),0)</f>
        <v>0</v>
      </c>
      <c r="H277" s="197">
        <f>IF(_1_541284561214624104645789101745[[#This Row],[Type]]&gt;0,VLOOKUP(_1_541284561214624104645789101745[[#This Row],[Type]],Main[[#All],[TYPE]:[UNIT]],'Unit Price'!D$1,FALSE),0)</f>
        <v>0</v>
      </c>
      <c r="I277" s="194">
        <f>IF(_1_541284561214624104645789101745[[#This Row],[Type]]&gt;0,VLOOKUP(_1_541284561214624104645789101745[[#This Row],[Type]],Main[[#All],[TYPE]:[UNIT]],'Unit Price'!G$1,FALSE),0)</f>
        <v>0</v>
      </c>
      <c r="J277" s="194">
        <f>IF(_1_541284561214624104645789101745[[#This Row],[Type]]&gt;0,VLOOKUP(_1_541284561214624104645789101745[[#This Row],[Type]],Main[[#All],[TYPE]:[UNIT]],'Unit Price'!H$1,FALSE),0)</f>
        <v>0</v>
      </c>
      <c r="K277" s="194">
        <f>IF(_1_541284561214624104645789101745[[#This Row],[Discount selection]]&gt;0,VLOOKUP(_1_541284561214624104645789101745[[#This Row],[Discount selection]],'Discount Structure'!$A$2:$B$30,2,"false"),0)</f>
        <v>1</v>
      </c>
      <c r="L277" s="194">
        <f>_1_541284561214624104645789101745[[#This Row],[LIST $]]*_1_541284561214624104645789101745[[#This Row],[DISCOUNT]]*_1_541284561214624104645789101745[[#This Row],[DISCOUNT 2]]</f>
        <v>0</v>
      </c>
      <c r="M277" s="194">
        <f>IF(OR(_1_541284561214624104645789101745[[#This Row],[UNIT]]&gt;0,_1_541284561214624104645789101745[[#This Row],[UNIT]]&lt;0),_1_541284561214624104645789101745[[#This Row],[UNIT]]*_1_541284561214624104645789101745[[#This Row],[COST]],0)</f>
        <v>0</v>
      </c>
      <c r="N277" s="194">
        <f t="shared" si="4"/>
        <v>1.5</v>
      </c>
      <c r="O277" s="198">
        <f>_1_541284561214624104645789101745[[#This Row],[TOTAL]]*_1_541284561214624104645789101745[[#This Row],[MARGIN]]</f>
        <v>0</v>
      </c>
      <c r="R277" s="41"/>
    </row>
    <row r="278" spans="1:18">
      <c r="A278" s="319"/>
      <c r="B278" s="323"/>
      <c r="C278" s="168"/>
      <c r="D278" s="188"/>
      <c r="F278" s="168" t="s">
        <v>6202</v>
      </c>
      <c r="G278" s="193">
        <f>IF(_1_541284561214624104645789101745[[#This Row],[Type]]&gt;0,VLOOKUP(_1_541284561214624104645789101745[[#This Row],[Type]],Main[[#All],[TYPE]:[UNIT]],'Unit Price'!C$1,FALSE),0)</f>
        <v>0</v>
      </c>
      <c r="H278" s="197">
        <f>IF(_1_541284561214624104645789101745[[#This Row],[Type]]&gt;0,VLOOKUP(_1_541284561214624104645789101745[[#This Row],[Type]],Main[[#All],[TYPE]:[UNIT]],'Unit Price'!D$1,FALSE),0)</f>
        <v>0</v>
      </c>
      <c r="I278" s="194">
        <f>IF(_1_541284561214624104645789101745[[#This Row],[Type]]&gt;0,VLOOKUP(_1_541284561214624104645789101745[[#This Row],[Type]],Main[[#All],[TYPE]:[UNIT]],'Unit Price'!G$1,FALSE),0)</f>
        <v>0</v>
      </c>
      <c r="J278" s="194">
        <f>IF(_1_541284561214624104645789101745[[#This Row],[Type]]&gt;0,VLOOKUP(_1_541284561214624104645789101745[[#This Row],[Type]],Main[[#All],[TYPE]:[UNIT]],'Unit Price'!H$1,FALSE),0)</f>
        <v>0</v>
      </c>
      <c r="K278" s="194">
        <f>IF(_1_541284561214624104645789101745[[#This Row],[Discount selection]]&gt;0,VLOOKUP(_1_541284561214624104645789101745[[#This Row],[Discount selection]],'Discount Structure'!$A$2:$B$30,2,"false"),0)</f>
        <v>1</v>
      </c>
      <c r="L278" s="194">
        <f>_1_541284561214624104645789101745[[#This Row],[LIST $]]*_1_541284561214624104645789101745[[#This Row],[DISCOUNT]]*_1_541284561214624104645789101745[[#This Row],[DISCOUNT 2]]</f>
        <v>0</v>
      </c>
      <c r="M278" s="194">
        <f>IF(OR(_1_541284561214624104645789101745[[#This Row],[UNIT]]&gt;0,_1_541284561214624104645789101745[[#This Row],[UNIT]]&lt;0),_1_541284561214624104645789101745[[#This Row],[UNIT]]*_1_541284561214624104645789101745[[#This Row],[COST]],0)</f>
        <v>0</v>
      </c>
      <c r="N278" s="194">
        <f t="shared" si="4"/>
        <v>1.5</v>
      </c>
      <c r="O278" s="198">
        <f>_1_541284561214624104645789101745[[#This Row],[TOTAL]]*_1_541284561214624104645789101745[[#This Row],[MARGIN]]</f>
        <v>0</v>
      </c>
      <c r="R278" s="41"/>
    </row>
    <row r="279" spans="1:18">
      <c r="C279" s="168"/>
      <c r="D279" s="188"/>
      <c r="F279" s="168" t="s">
        <v>6202</v>
      </c>
      <c r="G279" s="193">
        <f>IF(_1_541284561214624104645789101745[[#This Row],[Type]]&gt;0,VLOOKUP(_1_541284561214624104645789101745[[#This Row],[Type]],Main[[#All],[TYPE]:[UNIT]],'Unit Price'!C$1,FALSE),0)</f>
        <v>0</v>
      </c>
      <c r="H279" s="197">
        <f>IF(_1_541284561214624104645789101745[[#This Row],[Type]]&gt;0,VLOOKUP(_1_541284561214624104645789101745[[#This Row],[Type]],Main[[#All],[TYPE]:[UNIT]],'Unit Price'!D$1,FALSE),0)</f>
        <v>0</v>
      </c>
      <c r="I279" s="194">
        <f>IF(_1_541284561214624104645789101745[[#This Row],[Type]]&gt;0,VLOOKUP(_1_541284561214624104645789101745[[#This Row],[Type]],Main[[#All],[TYPE]:[UNIT]],'Unit Price'!G$1,FALSE),0)</f>
        <v>0</v>
      </c>
      <c r="J279" s="194">
        <f>IF(_1_541284561214624104645789101745[[#This Row],[Type]]&gt;0,VLOOKUP(_1_541284561214624104645789101745[[#This Row],[Type]],Main[[#All],[TYPE]:[UNIT]],'Unit Price'!H$1,FALSE),0)</f>
        <v>0</v>
      </c>
      <c r="K279" s="194">
        <f>IF(_1_541284561214624104645789101745[[#This Row],[Discount selection]]&gt;0,VLOOKUP(_1_541284561214624104645789101745[[#This Row],[Discount selection]],'Discount Structure'!$A$2:$B$30,2,"false"),0)</f>
        <v>1</v>
      </c>
      <c r="L279" s="194">
        <f>_1_541284561214624104645789101745[[#This Row],[LIST $]]*_1_541284561214624104645789101745[[#This Row],[DISCOUNT]]*_1_541284561214624104645789101745[[#This Row],[DISCOUNT 2]]</f>
        <v>0</v>
      </c>
      <c r="M279" s="194">
        <f>IF(OR(_1_541284561214624104645789101745[[#This Row],[UNIT]]&gt;0,_1_541284561214624104645789101745[[#This Row],[UNIT]]&lt;0),_1_541284561214624104645789101745[[#This Row],[UNIT]]*_1_541284561214624104645789101745[[#This Row],[COST]],0)</f>
        <v>0</v>
      </c>
      <c r="N279" s="194">
        <f t="shared" si="4"/>
        <v>1.5</v>
      </c>
      <c r="O279" s="198">
        <f>_1_541284561214624104645789101745[[#This Row],[TOTAL]]*_1_541284561214624104645789101745[[#This Row],[MARGIN]]</f>
        <v>0</v>
      </c>
      <c r="R279" s="41"/>
    </row>
    <row r="280" spans="1:18">
      <c r="C280" s="168"/>
      <c r="D280" s="188"/>
      <c r="F280" s="168" t="s">
        <v>6202</v>
      </c>
      <c r="G280" s="193">
        <f>IF(_1_541284561214624104645789101745[[#This Row],[Type]]&gt;0,VLOOKUP(_1_541284561214624104645789101745[[#This Row],[Type]],Main[[#All],[TYPE]:[UNIT]],'Unit Price'!C$1,FALSE),0)</f>
        <v>0</v>
      </c>
      <c r="H280" s="197">
        <f>IF(_1_541284561214624104645789101745[[#This Row],[Type]]&gt;0,VLOOKUP(_1_541284561214624104645789101745[[#This Row],[Type]],Main[[#All],[TYPE]:[UNIT]],'Unit Price'!D$1,FALSE),0)</f>
        <v>0</v>
      </c>
      <c r="I280" s="194">
        <f>IF(_1_541284561214624104645789101745[[#This Row],[Type]]&gt;0,VLOOKUP(_1_541284561214624104645789101745[[#This Row],[Type]],Main[[#All],[TYPE]:[UNIT]],'Unit Price'!G$1,FALSE),0)</f>
        <v>0</v>
      </c>
      <c r="J280" s="194">
        <f>IF(_1_541284561214624104645789101745[[#This Row],[Type]]&gt;0,VLOOKUP(_1_541284561214624104645789101745[[#This Row],[Type]],Main[[#All],[TYPE]:[UNIT]],'Unit Price'!H$1,FALSE),0)</f>
        <v>0</v>
      </c>
      <c r="K280" s="194">
        <f>IF(_1_541284561214624104645789101745[[#This Row],[Discount selection]]&gt;0,VLOOKUP(_1_541284561214624104645789101745[[#This Row],[Discount selection]],'Discount Structure'!$A$2:$B$30,2,"false"),0)</f>
        <v>1</v>
      </c>
      <c r="L280" s="194">
        <f>_1_541284561214624104645789101745[[#This Row],[LIST $]]*_1_541284561214624104645789101745[[#This Row],[DISCOUNT]]*_1_541284561214624104645789101745[[#This Row],[DISCOUNT 2]]</f>
        <v>0</v>
      </c>
      <c r="M280" s="194">
        <f>IF(OR(_1_541284561214624104645789101745[[#This Row],[UNIT]]&gt;0,_1_541284561214624104645789101745[[#This Row],[UNIT]]&lt;0),_1_541284561214624104645789101745[[#This Row],[UNIT]]*_1_541284561214624104645789101745[[#This Row],[COST]],0)</f>
        <v>0</v>
      </c>
      <c r="N280" s="194">
        <f t="shared" si="4"/>
        <v>1.5</v>
      </c>
      <c r="O280" s="198">
        <f>_1_541284561214624104645789101745[[#This Row],[TOTAL]]*_1_541284561214624104645789101745[[#This Row],[MARGIN]]</f>
        <v>0</v>
      </c>
      <c r="R280" s="41"/>
    </row>
    <row r="281" spans="1:18">
      <c r="C281" s="168"/>
      <c r="D281" s="188"/>
      <c r="F281" s="168" t="s">
        <v>6202</v>
      </c>
      <c r="G281" s="193">
        <f>IF(_1_541284561214624104645789101745[[#This Row],[Type]]&gt;0,VLOOKUP(_1_541284561214624104645789101745[[#This Row],[Type]],Main[[#All],[TYPE]:[UNIT]],'Unit Price'!C$1,FALSE),0)</f>
        <v>0</v>
      </c>
      <c r="H281" s="197">
        <f>IF(_1_541284561214624104645789101745[[#This Row],[Type]]&gt;0,VLOOKUP(_1_541284561214624104645789101745[[#This Row],[Type]],Main[[#All],[TYPE]:[UNIT]],'Unit Price'!D$1,FALSE),0)</f>
        <v>0</v>
      </c>
      <c r="I281" s="194">
        <f>IF(_1_541284561214624104645789101745[[#This Row],[Type]]&gt;0,VLOOKUP(_1_541284561214624104645789101745[[#This Row],[Type]],Main[[#All],[TYPE]:[UNIT]],'Unit Price'!G$1,FALSE),0)</f>
        <v>0</v>
      </c>
      <c r="J281" s="194">
        <f>IF(_1_541284561214624104645789101745[[#This Row],[Type]]&gt;0,VLOOKUP(_1_541284561214624104645789101745[[#This Row],[Type]],Main[[#All],[TYPE]:[UNIT]],'Unit Price'!H$1,FALSE),0)</f>
        <v>0</v>
      </c>
      <c r="K281" s="194">
        <f>IF(_1_541284561214624104645789101745[[#This Row],[Discount selection]]&gt;0,VLOOKUP(_1_541284561214624104645789101745[[#This Row],[Discount selection]],'Discount Structure'!$A$2:$B$30,2,"false"),0)</f>
        <v>1</v>
      </c>
      <c r="L281" s="194">
        <f>_1_541284561214624104645789101745[[#This Row],[LIST $]]*_1_541284561214624104645789101745[[#This Row],[DISCOUNT]]*_1_541284561214624104645789101745[[#This Row],[DISCOUNT 2]]</f>
        <v>0</v>
      </c>
      <c r="M281" s="194">
        <f>IF(OR(_1_541284561214624104645789101745[[#This Row],[UNIT]]&gt;0,_1_541284561214624104645789101745[[#This Row],[UNIT]]&lt;0),_1_541284561214624104645789101745[[#This Row],[UNIT]]*_1_541284561214624104645789101745[[#This Row],[COST]],0)</f>
        <v>0</v>
      </c>
      <c r="N281" s="194">
        <f t="shared" si="4"/>
        <v>1.5</v>
      </c>
      <c r="O281" s="198">
        <f>_1_541284561214624104645789101745[[#This Row],[TOTAL]]*_1_541284561214624104645789101745[[#This Row],[MARGIN]]</f>
        <v>0</v>
      </c>
      <c r="R281" s="41"/>
    </row>
    <row r="282" spans="1:18">
      <c r="C282" s="168"/>
      <c r="D282" s="188"/>
      <c r="F282" s="168" t="s">
        <v>6202</v>
      </c>
      <c r="G282" s="193">
        <f>IF(_1_541284561214624104645789101745[[#This Row],[Type]]&gt;0,VLOOKUP(_1_541284561214624104645789101745[[#This Row],[Type]],Main[[#All],[TYPE]:[UNIT]],'Unit Price'!C$1,FALSE),0)</f>
        <v>0</v>
      </c>
      <c r="H282" s="197">
        <f>IF(_1_541284561214624104645789101745[[#This Row],[Type]]&gt;0,VLOOKUP(_1_541284561214624104645789101745[[#This Row],[Type]],Main[[#All],[TYPE]:[UNIT]],'Unit Price'!D$1,FALSE),0)</f>
        <v>0</v>
      </c>
      <c r="I282" s="194">
        <f>IF(_1_541284561214624104645789101745[[#This Row],[Type]]&gt;0,VLOOKUP(_1_541284561214624104645789101745[[#This Row],[Type]],Main[[#All],[TYPE]:[UNIT]],'Unit Price'!G$1,FALSE),0)</f>
        <v>0</v>
      </c>
      <c r="J282" s="194">
        <f>IF(_1_541284561214624104645789101745[[#This Row],[Type]]&gt;0,VLOOKUP(_1_541284561214624104645789101745[[#This Row],[Type]],Main[[#All],[TYPE]:[UNIT]],'Unit Price'!H$1,FALSE),0)</f>
        <v>0</v>
      </c>
      <c r="K282" s="194">
        <f>IF(_1_541284561214624104645789101745[[#This Row],[Discount selection]]&gt;0,VLOOKUP(_1_541284561214624104645789101745[[#This Row],[Discount selection]],'Discount Structure'!$A$2:$B$30,2,"false"),0)</f>
        <v>1</v>
      </c>
      <c r="L282" s="194">
        <f>_1_541284561214624104645789101745[[#This Row],[LIST $]]*_1_541284561214624104645789101745[[#This Row],[DISCOUNT]]*_1_541284561214624104645789101745[[#This Row],[DISCOUNT 2]]</f>
        <v>0</v>
      </c>
      <c r="M282" s="194">
        <f>IF(OR(_1_541284561214624104645789101745[[#This Row],[UNIT]]&gt;0,_1_541284561214624104645789101745[[#This Row],[UNIT]]&lt;0),_1_541284561214624104645789101745[[#This Row],[UNIT]]*_1_541284561214624104645789101745[[#This Row],[COST]],0)</f>
        <v>0</v>
      </c>
      <c r="N282" s="194">
        <f t="shared" si="4"/>
        <v>1.5</v>
      </c>
      <c r="O282" s="198">
        <f>_1_541284561214624104645789101745[[#This Row],[TOTAL]]*_1_541284561214624104645789101745[[#This Row],[MARGIN]]</f>
        <v>0</v>
      </c>
      <c r="R282" s="41"/>
    </row>
    <row r="283" spans="1:18">
      <c r="A283" s="323"/>
      <c r="B283" s="323"/>
      <c r="C283" s="168"/>
      <c r="D283" s="188"/>
      <c r="F283" s="168" t="s">
        <v>6202</v>
      </c>
      <c r="G283" s="193">
        <f>IF(_1_541284561214624104645789101745[[#This Row],[Type]]&gt;0,VLOOKUP(_1_541284561214624104645789101745[[#This Row],[Type]],Main[[#All],[TYPE]:[UNIT]],'Unit Price'!C$1,FALSE),0)</f>
        <v>0</v>
      </c>
      <c r="H283" s="197">
        <f>IF(_1_541284561214624104645789101745[[#This Row],[Type]]&gt;0,VLOOKUP(_1_541284561214624104645789101745[[#This Row],[Type]],Main[[#All],[TYPE]:[UNIT]],'Unit Price'!D$1,FALSE),0)</f>
        <v>0</v>
      </c>
      <c r="I283" s="194">
        <f>IF(_1_541284561214624104645789101745[[#This Row],[Type]]&gt;0,VLOOKUP(_1_541284561214624104645789101745[[#This Row],[Type]],Main[[#All],[TYPE]:[UNIT]],'Unit Price'!G$1,FALSE),0)</f>
        <v>0</v>
      </c>
      <c r="J283" s="194">
        <f>IF(_1_541284561214624104645789101745[[#This Row],[Type]]&gt;0,VLOOKUP(_1_541284561214624104645789101745[[#This Row],[Type]],Main[[#All],[TYPE]:[UNIT]],'Unit Price'!H$1,FALSE),0)</f>
        <v>0</v>
      </c>
      <c r="K283" s="194">
        <f>IF(_1_541284561214624104645789101745[[#This Row],[Discount selection]]&gt;0,VLOOKUP(_1_541284561214624104645789101745[[#This Row],[Discount selection]],'Discount Structure'!$A$2:$B$30,2,"false"),0)</f>
        <v>1</v>
      </c>
      <c r="L283" s="194">
        <f>_1_541284561214624104645789101745[[#This Row],[LIST $]]*_1_541284561214624104645789101745[[#This Row],[DISCOUNT]]*_1_541284561214624104645789101745[[#This Row],[DISCOUNT 2]]</f>
        <v>0</v>
      </c>
      <c r="M283" s="194">
        <f>IF(OR(_1_541284561214624104645789101745[[#This Row],[UNIT]]&gt;0,_1_541284561214624104645789101745[[#This Row],[UNIT]]&lt;0),_1_541284561214624104645789101745[[#This Row],[UNIT]]*_1_541284561214624104645789101745[[#This Row],[COST]],0)</f>
        <v>0</v>
      </c>
      <c r="N283" s="194">
        <f t="shared" si="4"/>
        <v>1.5</v>
      </c>
      <c r="O283" s="198">
        <f>_1_541284561214624104645789101745[[#This Row],[TOTAL]]*_1_541284561214624104645789101745[[#This Row],[MARGIN]]</f>
        <v>0</v>
      </c>
      <c r="R283" s="41"/>
    </row>
    <row r="284" spans="1:18">
      <c r="A284" s="312"/>
      <c r="B284" s="323"/>
      <c r="C284" s="168"/>
      <c r="D284" s="188"/>
      <c r="F284" s="168" t="s">
        <v>6202</v>
      </c>
      <c r="G284" s="193">
        <f>IF(_1_541284561214624104645789101745[[#This Row],[Type]]&gt;0,VLOOKUP(_1_541284561214624104645789101745[[#This Row],[Type]],Main[[#All],[TYPE]:[UNIT]],'Unit Price'!C$1,FALSE),0)</f>
        <v>0</v>
      </c>
      <c r="H284" s="197">
        <f>IF(_1_541284561214624104645789101745[[#This Row],[Type]]&gt;0,VLOOKUP(_1_541284561214624104645789101745[[#This Row],[Type]],Main[[#All],[TYPE]:[UNIT]],'Unit Price'!D$1,FALSE),0)</f>
        <v>0</v>
      </c>
      <c r="I284" s="194">
        <f>IF(_1_541284561214624104645789101745[[#This Row],[Type]]&gt;0,VLOOKUP(_1_541284561214624104645789101745[[#This Row],[Type]],Main[[#All],[TYPE]:[UNIT]],'Unit Price'!G$1,FALSE),0)</f>
        <v>0</v>
      </c>
      <c r="J284" s="194">
        <f>IF(_1_541284561214624104645789101745[[#This Row],[Type]]&gt;0,VLOOKUP(_1_541284561214624104645789101745[[#This Row],[Type]],Main[[#All],[TYPE]:[UNIT]],'Unit Price'!H$1,FALSE),0)</f>
        <v>0</v>
      </c>
      <c r="K284" s="194">
        <f>IF(_1_541284561214624104645789101745[[#This Row],[Discount selection]]&gt;0,VLOOKUP(_1_541284561214624104645789101745[[#This Row],[Discount selection]],'Discount Structure'!$A$2:$B$30,2,"false"),0)</f>
        <v>1</v>
      </c>
      <c r="L284" s="194">
        <f>_1_541284561214624104645789101745[[#This Row],[LIST $]]*_1_541284561214624104645789101745[[#This Row],[DISCOUNT]]*_1_541284561214624104645789101745[[#This Row],[DISCOUNT 2]]</f>
        <v>0</v>
      </c>
      <c r="M284" s="194">
        <f>IF(OR(_1_541284561214624104645789101745[[#This Row],[UNIT]]&gt;0,_1_541284561214624104645789101745[[#This Row],[UNIT]]&lt;0),_1_541284561214624104645789101745[[#This Row],[UNIT]]*_1_541284561214624104645789101745[[#This Row],[COST]],0)</f>
        <v>0</v>
      </c>
      <c r="N284" s="194">
        <f t="shared" si="4"/>
        <v>1.5</v>
      </c>
      <c r="O284" s="198">
        <f>_1_541284561214624104645789101745[[#This Row],[TOTAL]]*_1_541284561214624104645789101745[[#This Row],[MARGIN]]</f>
        <v>0</v>
      </c>
      <c r="R284" s="41"/>
    </row>
    <row r="285" spans="1:18">
      <c r="A285" s="323"/>
      <c r="B285" s="323"/>
      <c r="C285" s="168"/>
      <c r="D285" s="188"/>
      <c r="F285" s="168" t="s">
        <v>6202</v>
      </c>
      <c r="G285" s="193">
        <f>IF(_1_541284561214624104645789101745[[#This Row],[Type]]&gt;0,VLOOKUP(_1_541284561214624104645789101745[[#This Row],[Type]],Main[[#All],[TYPE]:[UNIT]],'Unit Price'!C$1,FALSE),0)</f>
        <v>0</v>
      </c>
      <c r="H285" s="197">
        <f>IF(_1_541284561214624104645789101745[[#This Row],[Type]]&gt;0,VLOOKUP(_1_541284561214624104645789101745[[#This Row],[Type]],Main[[#All],[TYPE]:[UNIT]],'Unit Price'!D$1,FALSE),0)</f>
        <v>0</v>
      </c>
      <c r="I285" s="194">
        <f>IF(_1_541284561214624104645789101745[[#This Row],[Type]]&gt;0,VLOOKUP(_1_541284561214624104645789101745[[#This Row],[Type]],Main[[#All],[TYPE]:[UNIT]],'Unit Price'!G$1,FALSE),0)</f>
        <v>0</v>
      </c>
      <c r="J285" s="194">
        <f>IF(_1_541284561214624104645789101745[[#This Row],[Type]]&gt;0,VLOOKUP(_1_541284561214624104645789101745[[#This Row],[Type]],Main[[#All],[TYPE]:[UNIT]],'Unit Price'!H$1,FALSE),0)</f>
        <v>0</v>
      </c>
      <c r="K285" s="194">
        <f>IF(_1_541284561214624104645789101745[[#This Row],[Discount selection]]&gt;0,VLOOKUP(_1_541284561214624104645789101745[[#This Row],[Discount selection]],'Discount Structure'!$A$2:$B$30,2,"false"),0)</f>
        <v>1</v>
      </c>
      <c r="L285" s="194">
        <f>_1_541284561214624104645789101745[[#This Row],[LIST $]]*_1_541284561214624104645789101745[[#This Row],[DISCOUNT]]*_1_541284561214624104645789101745[[#This Row],[DISCOUNT 2]]</f>
        <v>0</v>
      </c>
      <c r="M285" s="194">
        <f>IF(OR(_1_541284561214624104645789101745[[#This Row],[UNIT]]&gt;0,_1_541284561214624104645789101745[[#This Row],[UNIT]]&lt;0),_1_541284561214624104645789101745[[#This Row],[UNIT]]*_1_541284561214624104645789101745[[#This Row],[COST]],0)</f>
        <v>0</v>
      </c>
      <c r="N285" s="194">
        <f t="shared" si="4"/>
        <v>1.5</v>
      </c>
      <c r="O285" s="198">
        <f>_1_541284561214624104645789101745[[#This Row],[TOTAL]]*_1_541284561214624104645789101745[[#This Row],[MARGIN]]</f>
        <v>0</v>
      </c>
      <c r="R285" s="41"/>
    </row>
    <row r="286" spans="1:18">
      <c r="A286" s="353"/>
      <c r="B286" s="323"/>
      <c r="C286" s="353"/>
      <c r="D286" s="188"/>
      <c r="F286" s="168" t="s">
        <v>6202</v>
      </c>
      <c r="G286" s="193">
        <f>IF(_1_541284561214624104645789101745[[#This Row],[Type]]&gt;0,VLOOKUP(_1_541284561214624104645789101745[[#This Row],[Type]],Main[[#All],[TYPE]:[UNIT]],'Unit Price'!C$1,FALSE),0)</f>
        <v>0</v>
      </c>
      <c r="H286" s="197">
        <f>IF(_1_541284561214624104645789101745[[#This Row],[Type]]&gt;0,VLOOKUP(_1_541284561214624104645789101745[[#This Row],[Type]],Main[[#All],[TYPE]:[UNIT]],'Unit Price'!D$1,FALSE),0)</f>
        <v>0</v>
      </c>
      <c r="I286" s="194">
        <f>IF(_1_541284561214624104645789101745[[#This Row],[Type]]&gt;0,VLOOKUP(_1_541284561214624104645789101745[[#This Row],[Type]],Main[[#All],[TYPE]:[UNIT]],'Unit Price'!G$1,FALSE),0)</f>
        <v>0</v>
      </c>
      <c r="J286" s="194">
        <f>IF(_1_541284561214624104645789101745[[#This Row],[Type]]&gt;0,VLOOKUP(_1_541284561214624104645789101745[[#This Row],[Type]],Main[[#All],[TYPE]:[UNIT]],'Unit Price'!H$1,FALSE),0)</f>
        <v>0</v>
      </c>
      <c r="K286" s="194">
        <f>IF(_1_541284561214624104645789101745[[#This Row],[Discount selection]]&gt;0,VLOOKUP(_1_541284561214624104645789101745[[#This Row],[Discount selection]],'Discount Structure'!$A$2:$B$30,2,"false"),0)</f>
        <v>1</v>
      </c>
      <c r="L286" s="194">
        <f>_1_541284561214624104645789101745[[#This Row],[LIST $]]*_1_541284561214624104645789101745[[#This Row],[DISCOUNT]]*_1_541284561214624104645789101745[[#This Row],[DISCOUNT 2]]</f>
        <v>0</v>
      </c>
      <c r="M286" s="194">
        <f>IF(OR(_1_541284561214624104645789101745[[#This Row],[UNIT]]&gt;0,_1_541284561214624104645789101745[[#This Row],[UNIT]]&lt;0),_1_541284561214624104645789101745[[#This Row],[UNIT]]*_1_541284561214624104645789101745[[#This Row],[COST]],0)</f>
        <v>0</v>
      </c>
      <c r="N286" s="194">
        <f t="shared" si="4"/>
        <v>1.5</v>
      </c>
      <c r="O286" s="198">
        <f>_1_541284561214624104645789101745[[#This Row],[TOTAL]]*_1_541284561214624104645789101745[[#This Row],[MARGIN]]</f>
        <v>0</v>
      </c>
      <c r="R286" s="41"/>
    </row>
    <row r="287" spans="1:18">
      <c r="D287" s="188"/>
      <c r="F287" s="168" t="s">
        <v>6202</v>
      </c>
      <c r="G287" s="205">
        <f>IF(_1_541284561214624104645789101745[[#This Row],[Type]]&gt;0,VLOOKUP(_1_541284561214624104645789101745[[#This Row],[Type]],Main[[#All],[TYPE]:[UNIT]],'Unit Price'!C$1,FALSE),0)</f>
        <v>0</v>
      </c>
      <c r="H287" s="197">
        <f>IF(_1_541284561214624104645789101745[[#This Row],[Type]]&gt;0,VLOOKUP(_1_541284561214624104645789101745[[#This Row],[Type]],Main[[#All],[TYPE]:[UNIT]],'Unit Price'!D$1,FALSE),0)</f>
        <v>0</v>
      </c>
      <c r="I287" s="194">
        <f>IF(_1_541284561214624104645789101745[[#This Row],[Type]]&gt;0,VLOOKUP(_1_541284561214624104645789101745[[#This Row],[Type]],Main[[#All],[TYPE]:[UNIT]],'Unit Price'!G$1,FALSE),0)</f>
        <v>0</v>
      </c>
      <c r="J287" s="194">
        <f>IF(_1_541284561214624104645789101745[[#This Row],[Type]]&gt;0,VLOOKUP(_1_541284561214624104645789101745[[#This Row],[Type]],Main[[#All],[TYPE]:[UNIT]],'Unit Price'!H$1,FALSE),0)</f>
        <v>0</v>
      </c>
      <c r="K287" s="194">
        <f>IF(_1_541284561214624104645789101745[[#This Row],[Discount selection]]&gt;0,VLOOKUP(_1_541284561214624104645789101745[[#This Row],[Discount selection]],'Discount Structure'!$A$2:$B$30,2,"false"),0)</f>
        <v>1</v>
      </c>
      <c r="L287" s="194">
        <f>_1_541284561214624104645789101745[[#This Row],[LIST $]]*_1_541284561214624104645789101745[[#This Row],[DISCOUNT]]*_1_541284561214624104645789101745[[#This Row],[DISCOUNT 2]]</f>
        <v>0</v>
      </c>
      <c r="M287" s="194">
        <f>IF(OR(_1_541284561214624104645789101745[[#This Row],[UNIT]]&gt;0,_1_541284561214624104645789101745[[#This Row],[UNIT]]&lt;0),_1_541284561214624104645789101745[[#This Row],[UNIT]]*_1_541284561214624104645789101745[[#This Row],[COST]],0)</f>
        <v>0</v>
      </c>
      <c r="N287" s="194">
        <f t="shared" si="4"/>
        <v>1.5</v>
      </c>
      <c r="O287" s="198">
        <f>_1_541284561214624104645789101745[[#This Row],[TOTAL]]*_1_541284561214624104645789101745[[#This Row],[MARGIN]]</f>
        <v>0</v>
      </c>
      <c r="R287" s="41"/>
    </row>
    <row r="288" spans="1:18">
      <c r="D288" s="188"/>
      <c r="F288" s="168" t="s">
        <v>6202</v>
      </c>
      <c r="G288" s="193">
        <f>IF(_1_541284561214624104645789101745[[#This Row],[Type]]&gt;0,VLOOKUP(_1_541284561214624104645789101745[[#This Row],[Type]],Main[[#All],[TYPE]:[UNIT]],'Unit Price'!C$1,FALSE),0)</f>
        <v>0</v>
      </c>
      <c r="H288" s="197">
        <f>IF(_1_541284561214624104645789101745[[#This Row],[Type]]&gt;0,VLOOKUP(_1_541284561214624104645789101745[[#This Row],[Type]],Main[[#All],[TYPE]:[UNIT]],'Unit Price'!D$1,FALSE),0)</f>
        <v>0</v>
      </c>
      <c r="I288" s="194">
        <f>IF(_1_541284561214624104645789101745[[#This Row],[Type]]&gt;0,VLOOKUP(_1_541284561214624104645789101745[[#This Row],[Type]],Main[[#All],[TYPE]:[UNIT]],'Unit Price'!G$1,FALSE),0)</f>
        <v>0</v>
      </c>
      <c r="J288" s="194">
        <f>IF(_1_541284561214624104645789101745[[#This Row],[Type]]&gt;0,VLOOKUP(_1_541284561214624104645789101745[[#This Row],[Type]],Main[[#All],[TYPE]:[UNIT]],'Unit Price'!H$1,FALSE),0)</f>
        <v>0</v>
      </c>
      <c r="K288" s="194">
        <f>IF(_1_541284561214624104645789101745[[#This Row],[Discount selection]]&gt;0,VLOOKUP(_1_541284561214624104645789101745[[#This Row],[Discount selection]],'Discount Structure'!$A$2:$B$30,2,"false"),0)</f>
        <v>1</v>
      </c>
      <c r="L288" s="194">
        <f>_1_541284561214624104645789101745[[#This Row],[LIST $]]*_1_541284561214624104645789101745[[#This Row],[DISCOUNT]]*_1_541284561214624104645789101745[[#This Row],[DISCOUNT 2]]</f>
        <v>0</v>
      </c>
      <c r="M288" s="194">
        <f>IF(OR(_1_541284561214624104645789101745[[#This Row],[UNIT]]&gt;0,_1_541284561214624104645789101745[[#This Row],[UNIT]]&lt;0),_1_541284561214624104645789101745[[#This Row],[UNIT]]*_1_541284561214624104645789101745[[#This Row],[COST]],0)</f>
        <v>0</v>
      </c>
      <c r="N288" s="194">
        <f t="shared" si="4"/>
        <v>1.5</v>
      </c>
      <c r="O288" s="198">
        <f>_1_541284561214624104645789101745[[#This Row],[TOTAL]]*_1_541284561214624104645789101745[[#This Row],[MARGIN]]</f>
        <v>0</v>
      </c>
      <c r="R288" s="41"/>
    </row>
    <row r="289" spans="1:18">
      <c r="A289" s="323"/>
      <c r="B289" s="323"/>
      <c r="C289" s="323"/>
      <c r="D289" s="188"/>
      <c r="F289" s="168" t="s">
        <v>6202</v>
      </c>
      <c r="G289" s="193">
        <f>IF(_1_541284561214624104645789101745[[#This Row],[Type]]&gt;0,VLOOKUP(_1_541284561214624104645789101745[[#This Row],[Type]],Main[[#All],[TYPE]:[UNIT]],'Unit Price'!C$1,FALSE),0)</f>
        <v>0</v>
      </c>
      <c r="H289" s="197">
        <f>IF(_1_541284561214624104645789101745[[#This Row],[Type]]&gt;0,VLOOKUP(_1_541284561214624104645789101745[[#This Row],[Type]],Main[[#All],[TYPE]:[UNIT]],'Unit Price'!D$1,FALSE),0)</f>
        <v>0</v>
      </c>
      <c r="I289" s="194">
        <f>IF(_1_541284561214624104645789101745[[#This Row],[Type]]&gt;0,VLOOKUP(_1_541284561214624104645789101745[[#This Row],[Type]],Main[[#All],[TYPE]:[UNIT]],'Unit Price'!G$1,FALSE),0)</f>
        <v>0</v>
      </c>
      <c r="J289" s="194">
        <f>IF(_1_541284561214624104645789101745[[#This Row],[Type]]&gt;0,VLOOKUP(_1_541284561214624104645789101745[[#This Row],[Type]],Main[[#All],[TYPE]:[UNIT]],'Unit Price'!H$1,FALSE),0)</f>
        <v>0</v>
      </c>
      <c r="K289" s="194">
        <f>IF(_1_541284561214624104645789101745[[#This Row],[Discount selection]]&gt;0,VLOOKUP(_1_541284561214624104645789101745[[#This Row],[Discount selection]],'Discount Structure'!$A$2:$B$30,2,"false"),0)</f>
        <v>1</v>
      </c>
      <c r="L289" s="194">
        <f>_1_541284561214624104645789101745[[#This Row],[LIST $]]*_1_541284561214624104645789101745[[#This Row],[DISCOUNT]]*_1_541284561214624104645789101745[[#This Row],[DISCOUNT 2]]</f>
        <v>0</v>
      </c>
      <c r="M289" s="194">
        <f>IF(OR(_1_541284561214624104645789101745[[#This Row],[UNIT]]&gt;0,_1_541284561214624104645789101745[[#This Row],[UNIT]]&lt;0),_1_541284561214624104645789101745[[#This Row],[UNIT]]*_1_541284561214624104645789101745[[#This Row],[COST]],0)</f>
        <v>0</v>
      </c>
      <c r="N289" s="194">
        <f t="shared" si="4"/>
        <v>1.5</v>
      </c>
      <c r="O289" s="198">
        <f>_1_541284561214624104645789101745[[#This Row],[TOTAL]]*_1_541284561214624104645789101745[[#This Row],[MARGIN]]</f>
        <v>0</v>
      </c>
      <c r="R289" s="41"/>
    </row>
    <row r="290" spans="1:18">
      <c r="D290" s="188"/>
      <c r="F290" s="168" t="s">
        <v>6202</v>
      </c>
      <c r="G290" s="193">
        <f>IF(_1_541284561214624104645789101745[[#This Row],[Type]]&gt;0,VLOOKUP(_1_541284561214624104645789101745[[#This Row],[Type]],Main[[#All],[TYPE]:[UNIT]],'Unit Price'!C$1,FALSE),0)</f>
        <v>0</v>
      </c>
      <c r="H290" s="197">
        <f>IF(_1_541284561214624104645789101745[[#This Row],[Type]]&gt;0,VLOOKUP(_1_541284561214624104645789101745[[#This Row],[Type]],Main[[#All],[TYPE]:[UNIT]],'Unit Price'!D$1,FALSE),0)</f>
        <v>0</v>
      </c>
      <c r="I290" s="194">
        <f>IF(_1_541284561214624104645789101745[[#This Row],[Type]]&gt;0,VLOOKUP(_1_541284561214624104645789101745[[#This Row],[Type]],Main[[#All],[TYPE]:[UNIT]],'Unit Price'!G$1,FALSE),0)</f>
        <v>0</v>
      </c>
      <c r="J290" s="194">
        <f>IF(_1_541284561214624104645789101745[[#This Row],[Type]]&gt;0,VLOOKUP(_1_541284561214624104645789101745[[#This Row],[Type]],Main[[#All],[TYPE]:[UNIT]],'Unit Price'!H$1,FALSE),0)</f>
        <v>0</v>
      </c>
      <c r="K290" s="194">
        <f>IF(_1_541284561214624104645789101745[[#This Row],[Discount selection]]&gt;0,VLOOKUP(_1_541284561214624104645789101745[[#This Row],[Discount selection]],'Discount Structure'!$A$2:$B$30,2,"false"),0)</f>
        <v>1</v>
      </c>
      <c r="L290" s="194">
        <f>_1_541284561214624104645789101745[[#This Row],[LIST $]]*_1_541284561214624104645789101745[[#This Row],[DISCOUNT]]*_1_541284561214624104645789101745[[#This Row],[DISCOUNT 2]]</f>
        <v>0</v>
      </c>
      <c r="M290" s="194">
        <f>IF(OR(_1_541284561214624104645789101745[[#This Row],[UNIT]]&gt;0,_1_541284561214624104645789101745[[#This Row],[UNIT]]&lt;0),_1_541284561214624104645789101745[[#This Row],[UNIT]]*_1_541284561214624104645789101745[[#This Row],[COST]],0)</f>
        <v>0</v>
      </c>
      <c r="N290" s="194">
        <f t="shared" si="4"/>
        <v>1.5</v>
      </c>
      <c r="O290" s="198">
        <f>_1_541284561214624104645789101745[[#This Row],[TOTAL]]*_1_541284561214624104645789101745[[#This Row],[MARGIN]]</f>
        <v>0</v>
      </c>
      <c r="R290" s="41"/>
    </row>
    <row r="291" spans="1:18">
      <c r="D291" s="188"/>
      <c r="F291" s="168" t="s">
        <v>6202</v>
      </c>
      <c r="G291" s="193">
        <f>IF(_1_541284561214624104645789101745[[#This Row],[Type]]&gt;0,VLOOKUP(_1_541284561214624104645789101745[[#This Row],[Type]],Main[[#All],[TYPE]:[UNIT]],'Unit Price'!C$1,FALSE),0)</f>
        <v>0</v>
      </c>
      <c r="H291" s="197">
        <f>IF(_1_541284561214624104645789101745[[#This Row],[Type]]&gt;0,VLOOKUP(_1_541284561214624104645789101745[[#This Row],[Type]],Main[[#All],[TYPE]:[UNIT]],'Unit Price'!D$1,FALSE),0)</f>
        <v>0</v>
      </c>
      <c r="I291" s="194">
        <f>IF(_1_541284561214624104645789101745[[#This Row],[Type]]&gt;0,VLOOKUP(_1_541284561214624104645789101745[[#This Row],[Type]],Main[[#All],[TYPE]:[UNIT]],'Unit Price'!G$1,FALSE),0)</f>
        <v>0</v>
      </c>
      <c r="J291" s="194">
        <f>IF(_1_541284561214624104645789101745[[#This Row],[Type]]&gt;0,VLOOKUP(_1_541284561214624104645789101745[[#This Row],[Type]],Main[[#All],[TYPE]:[UNIT]],'Unit Price'!H$1,FALSE),0)</f>
        <v>0</v>
      </c>
      <c r="K291" s="194">
        <f>IF(_1_541284561214624104645789101745[[#This Row],[Discount selection]]&gt;0,VLOOKUP(_1_541284561214624104645789101745[[#This Row],[Discount selection]],'Discount Structure'!$A$2:$B$30,2,"false"),0)</f>
        <v>1</v>
      </c>
      <c r="L291" s="194">
        <f>_1_541284561214624104645789101745[[#This Row],[LIST $]]*_1_541284561214624104645789101745[[#This Row],[DISCOUNT]]*_1_541284561214624104645789101745[[#This Row],[DISCOUNT 2]]</f>
        <v>0</v>
      </c>
      <c r="M291" s="194">
        <f>IF(OR(_1_541284561214624104645789101745[[#This Row],[UNIT]]&gt;0,_1_541284561214624104645789101745[[#This Row],[UNIT]]&lt;0),_1_541284561214624104645789101745[[#This Row],[UNIT]]*_1_541284561214624104645789101745[[#This Row],[COST]],0)</f>
        <v>0</v>
      </c>
      <c r="N291" s="194">
        <f t="shared" si="4"/>
        <v>1.5</v>
      </c>
      <c r="O291" s="198">
        <f>_1_541284561214624104645789101745[[#This Row],[TOTAL]]*_1_541284561214624104645789101745[[#This Row],[MARGIN]]</f>
        <v>0</v>
      </c>
      <c r="R291" s="41"/>
    </row>
    <row r="292" spans="1:18">
      <c r="D292" s="188"/>
      <c r="F292" s="168" t="s">
        <v>6202</v>
      </c>
      <c r="G292" s="193">
        <f>IF(_1_541284561214624104645789101745[[#This Row],[Type]]&gt;0,VLOOKUP(_1_541284561214624104645789101745[[#This Row],[Type]],Main[[#All],[TYPE]:[UNIT]],'Unit Price'!C$1,FALSE),0)</f>
        <v>0</v>
      </c>
      <c r="H292" s="197">
        <f>IF(_1_541284561214624104645789101745[[#This Row],[Type]]&gt;0,VLOOKUP(_1_541284561214624104645789101745[[#This Row],[Type]],Main[[#All],[TYPE]:[UNIT]],'Unit Price'!D$1,FALSE),0)</f>
        <v>0</v>
      </c>
      <c r="I292" s="194">
        <f>IF(_1_541284561214624104645789101745[[#This Row],[Type]]&gt;0,VLOOKUP(_1_541284561214624104645789101745[[#This Row],[Type]],Main[[#All],[TYPE]:[UNIT]],'Unit Price'!G$1,FALSE),0)</f>
        <v>0</v>
      </c>
      <c r="J292" s="194">
        <f>IF(_1_541284561214624104645789101745[[#This Row],[Type]]&gt;0,VLOOKUP(_1_541284561214624104645789101745[[#This Row],[Type]],Main[[#All],[TYPE]:[UNIT]],'Unit Price'!H$1,FALSE),0)</f>
        <v>0</v>
      </c>
      <c r="K292" s="194">
        <f>IF(_1_541284561214624104645789101745[[#This Row],[Discount selection]]&gt;0,VLOOKUP(_1_541284561214624104645789101745[[#This Row],[Discount selection]],'Discount Structure'!$A$2:$B$30,2,"false"),0)</f>
        <v>1</v>
      </c>
      <c r="L292" s="194">
        <f>_1_541284561214624104645789101745[[#This Row],[LIST $]]*_1_541284561214624104645789101745[[#This Row],[DISCOUNT]]*_1_541284561214624104645789101745[[#This Row],[DISCOUNT 2]]</f>
        <v>0</v>
      </c>
      <c r="M292" s="194">
        <f>IF(OR(_1_541284561214624104645789101745[[#This Row],[UNIT]]&gt;0,_1_541284561214624104645789101745[[#This Row],[UNIT]]&lt;0),_1_541284561214624104645789101745[[#This Row],[UNIT]]*_1_541284561214624104645789101745[[#This Row],[COST]],0)</f>
        <v>0</v>
      </c>
      <c r="N292" s="194">
        <f t="shared" si="4"/>
        <v>1.5</v>
      </c>
      <c r="O292" s="198">
        <f>_1_541284561214624104645789101745[[#This Row],[TOTAL]]*_1_541284561214624104645789101745[[#This Row],[MARGIN]]</f>
        <v>0</v>
      </c>
      <c r="R292" s="41"/>
    </row>
    <row r="293" spans="1:18">
      <c r="A293" s="168"/>
      <c r="D293" s="188"/>
      <c r="F293" s="168" t="s">
        <v>6202</v>
      </c>
      <c r="G293" s="193">
        <f>IF(_1_541284561214624104645789101745[[#This Row],[Type]]&gt;0,VLOOKUP(_1_541284561214624104645789101745[[#This Row],[Type]],Main[[#All],[TYPE]:[UNIT]],'Unit Price'!C$1,FALSE),0)</f>
        <v>0</v>
      </c>
      <c r="H293" s="197">
        <f>IF(_1_541284561214624104645789101745[[#This Row],[Type]]&gt;0,VLOOKUP(_1_541284561214624104645789101745[[#This Row],[Type]],Main[[#All],[TYPE]:[UNIT]],'Unit Price'!D$1,FALSE),0)</f>
        <v>0</v>
      </c>
      <c r="I293" s="194">
        <f>IF(_1_541284561214624104645789101745[[#This Row],[Type]]&gt;0,VLOOKUP(_1_541284561214624104645789101745[[#This Row],[Type]],Main[[#All],[TYPE]:[UNIT]],'Unit Price'!G$1,FALSE),0)</f>
        <v>0</v>
      </c>
      <c r="J293" s="194">
        <f>IF(_1_541284561214624104645789101745[[#This Row],[Type]]&gt;0,VLOOKUP(_1_541284561214624104645789101745[[#This Row],[Type]],Main[[#All],[TYPE]:[UNIT]],'Unit Price'!H$1,FALSE),0)</f>
        <v>0</v>
      </c>
      <c r="K293" s="194">
        <f>IF(_1_541284561214624104645789101745[[#This Row],[Discount selection]]&gt;0,VLOOKUP(_1_541284561214624104645789101745[[#This Row],[Discount selection]],'Discount Structure'!$A$2:$B$30,2,"false"),0)</f>
        <v>1</v>
      </c>
      <c r="L293" s="194">
        <f>_1_541284561214624104645789101745[[#This Row],[LIST $]]*_1_541284561214624104645789101745[[#This Row],[DISCOUNT]]*_1_541284561214624104645789101745[[#This Row],[DISCOUNT 2]]</f>
        <v>0</v>
      </c>
      <c r="M293" s="194">
        <f>IF(OR(_1_541284561214624104645789101745[[#This Row],[UNIT]]&gt;0,_1_541284561214624104645789101745[[#This Row],[UNIT]]&lt;0),_1_541284561214624104645789101745[[#This Row],[UNIT]]*_1_541284561214624104645789101745[[#This Row],[COST]],0)</f>
        <v>0</v>
      </c>
      <c r="N293" s="194">
        <f t="shared" si="4"/>
        <v>1.5</v>
      </c>
      <c r="O293" s="198">
        <f>_1_541284561214624104645789101745[[#This Row],[TOTAL]]*_1_541284561214624104645789101745[[#This Row],[MARGIN]]</f>
        <v>0</v>
      </c>
      <c r="R293" s="41"/>
    </row>
    <row r="294" spans="1:18">
      <c r="A294" s="312"/>
      <c r="B294" s="319"/>
      <c r="C294" s="323"/>
      <c r="D294" s="188"/>
      <c r="F294" s="168" t="s">
        <v>6202</v>
      </c>
      <c r="G294" s="193">
        <f>IF(_1_541284561214624104645789101745[[#This Row],[Type]]&gt;0,VLOOKUP(_1_541284561214624104645789101745[[#This Row],[Type]],Main[[#All],[TYPE]:[UNIT]],'Unit Price'!C$1,FALSE),0)</f>
        <v>0</v>
      </c>
      <c r="H294" s="197">
        <f>IF(_1_541284561214624104645789101745[[#This Row],[Type]]&gt;0,VLOOKUP(_1_541284561214624104645789101745[[#This Row],[Type]],Main[[#All],[TYPE]:[UNIT]],'Unit Price'!D$1,FALSE),0)</f>
        <v>0</v>
      </c>
      <c r="I294" s="194">
        <f>IF(_1_541284561214624104645789101745[[#This Row],[Type]]&gt;0,VLOOKUP(_1_541284561214624104645789101745[[#This Row],[Type]],Main[[#All],[TYPE]:[UNIT]],'Unit Price'!G$1,FALSE),0)</f>
        <v>0</v>
      </c>
      <c r="J294" s="194">
        <f>IF(_1_541284561214624104645789101745[[#This Row],[Type]]&gt;0,VLOOKUP(_1_541284561214624104645789101745[[#This Row],[Type]],Main[[#All],[TYPE]:[UNIT]],'Unit Price'!H$1,FALSE),0)</f>
        <v>0</v>
      </c>
      <c r="K294" s="194">
        <f>IF(_1_541284561214624104645789101745[[#This Row],[Discount selection]]&gt;0,VLOOKUP(_1_541284561214624104645789101745[[#This Row],[Discount selection]],'Discount Structure'!$A$2:$B$30,2,"false"),0)</f>
        <v>1</v>
      </c>
      <c r="L294" s="194">
        <f>_1_541284561214624104645789101745[[#This Row],[LIST $]]*_1_541284561214624104645789101745[[#This Row],[DISCOUNT]]*_1_541284561214624104645789101745[[#This Row],[DISCOUNT 2]]</f>
        <v>0</v>
      </c>
      <c r="M294" s="194">
        <f>IF(OR(_1_541284561214624104645789101745[[#This Row],[UNIT]]&gt;0,_1_541284561214624104645789101745[[#This Row],[UNIT]]&lt;0),_1_541284561214624104645789101745[[#This Row],[UNIT]]*_1_541284561214624104645789101745[[#This Row],[COST]],0)</f>
        <v>0</v>
      </c>
      <c r="N294" s="194">
        <f t="shared" si="4"/>
        <v>1.5</v>
      </c>
      <c r="O294" s="198">
        <f>_1_541284561214624104645789101745[[#This Row],[TOTAL]]*_1_541284561214624104645789101745[[#This Row],[MARGIN]]</f>
        <v>0</v>
      </c>
      <c r="R294" s="41"/>
    </row>
    <row r="295" spans="1:18">
      <c r="A295" s="323"/>
      <c r="B295" s="323"/>
      <c r="C295" s="323"/>
      <c r="D295" s="188"/>
      <c r="F295" s="168" t="s">
        <v>6202</v>
      </c>
      <c r="G295" s="193">
        <f>IF(_1_541284561214624104645789101745[[#This Row],[Type]]&gt;0,VLOOKUP(_1_541284561214624104645789101745[[#This Row],[Type]],Main[[#All],[TYPE]:[UNIT]],'Unit Price'!C$1,FALSE),0)</f>
        <v>0</v>
      </c>
      <c r="H295" s="197">
        <f>IF(_1_541284561214624104645789101745[[#This Row],[Type]]&gt;0,VLOOKUP(_1_541284561214624104645789101745[[#This Row],[Type]],Main[[#All],[TYPE]:[UNIT]],'Unit Price'!D$1,FALSE),0)</f>
        <v>0</v>
      </c>
      <c r="I295" s="194">
        <f>IF(_1_541284561214624104645789101745[[#This Row],[Type]]&gt;0,VLOOKUP(_1_541284561214624104645789101745[[#This Row],[Type]],Main[[#All],[TYPE]:[UNIT]],'Unit Price'!G$1,FALSE),0)</f>
        <v>0</v>
      </c>
      <c r="J295" s="194">
        <f>IF(_1_541284561214624104645789101745[[#This Row],[Type]]&gt;0,VLOOKUP(_1_541284561214624104645789101745[[#This Row],[Type]],Main[[#All],[TYPE]:[UNIT]],'Unit Price'!H$1,FALSE),0)</f>
        <v>0</v>
      </c>
      <c r="K295" s="194">
        <f>IF(_1_541284561214624104645789101745[[#This Row],[Discount selection]]&gt;0,VLOOKUP(_1_541284561214624104645789101745[[#This Row],[Discount selection]],'Discount Structure'!$A$2:$B$30,2,"false"),0)</f>
        <v>1</v>
      </c>
      <c r="L295" s="194">
        <f>_1_541284561214624104645789101745[[#This Row],[LIST $]]*_1_541284561214624104645789101745[[#This Row],[DISCOUNT]]*_1_541284561214624104645789101745[[#This Row],[DISCOUNT 2]]</f>
        <v>0</v>
      </c>
      <c r="M295" s="194">
        <f>IF(OR(_1_541284561214624104645789101745[[#This Row],[UNIT]]&gt;0,_1_541284561214624104645789101745[[#This Row],[UNIT]]&lt;0),_1_541284561214624104645789101745[[#This Row],[UNIT]]*_1_541284561214624104645789101745[[#This Row],[COST]],0)</f>
        <v>0</v>
      </c>
      <c r="N295" s="194">
        <f t="shared" si="4"/>
        <v>1.5</v>
      </c>
      <c r="O295" s="198">
        <f>_1_541284561214624104645789101745[[#This Row],[TOTAL]]*_1_541284561214624104645789101745[[#This Row],[MARGIN]]</f>
        <v>0</v>
      </c>
      <c r="R295" s="41"/>
    </row>
    <row r="296" spans="1:18">
      <c r="A296" s="323"/>
      <c r="B296" s="323"/>
      <c r="C296" s="323"/>
      <c r="D296" s="188"/>
      <c r="F296" s="168" t="s">
        <v>6202</v>
      </c>
      <c r="G296" s="193">
        <f>IF(_1_541284561214624104645789101745[[#This Row],[Type]]&gt;0,VLOOKUP(_1_541284561214624104645789101745[[#This Row],[Type]],Main[[#All],[TYPE]:[UNIT]],'Unit Price'!C$1,FALSE),0)</f>
        <v>0</v>
      </c>
      <c r="H296" s="197">
        <f>IF(_1_541284561214624104645789101745[[#This Row],[Type]]&gt;0,VLOOKUP(_1_541284561214624104645789101745[[#This Row],[Type]],Main[[#All],[TYPE]:[UNIT]],'Unit Price'!D$1,FALSE),0)</f>
        <v>0</v>
      </c>
      <c r="I296" s="194">
        <f>IF(_1_541284561214624104645789101745[[#This Row],[Type]]&gt;0,VLOOKUP(_1_541284561214624104645789101745[[#This Row],[Type]],Main[[#All],[TYPE]:[UNIT]],'Unit Price'!G$1,FALSE),0)</f>
        <v>0</v>
      </c>
      <c r="J296" s="194">
        <f>IF(_1_541284561214624104645789101745[[#This Row],[Type]]&gt;0,VLOOKUP(_1_541284561214624104645789101745[[#This Row],[Type]],Main[[#All],[TYPE]:[UNIT]],'Unit Price'!H$1,FALSE),0)</f>
        <v>0</v>
      </c>
      <c r="K296" s="194">
        <f>IF(_1_541284561214624104645789101745[[#This Row],[Discount selection]]&gt;0,VLOOKUP(_1_541284561214624104645789101745[[#This Row],[Discount selection]],'Discount Structure'!$A$2:$B$30,2,"false"),0)</f>
        <v>1</v>
      </c>
      <c r="L296" s="194">
        <f>_1_541284561214624104645789101745[[#This Row],[LIST $]]*_1_541284561214624104645789101745[[#This Row],[DISCOUNT]]*_1_541284561214624104645789101745[[#This Row],[DISCOUNT 2]]</f>
        <v>0</v>
      </c>
      <c r="M296" s="194">
        <f>IF(OR(_1_541284561214624104645789101745[[#This Row],[UNIT]]&gt;0,_1_541284561214624104645789101745[[#This Row],[UNIT]]&lt;0),_1_541284561214624104645789101745[[#This Row],[UNIT]]*_1_541284561214624104645789101745[[#This Row],[COST]],0)</f>
        <v>0</v>
      </c>
      <c r="N296" s="194">
        <f t="shared" si="4"/>
        <v>1.5</v>
      </c>
      <c r="O296" s="198">
        <f>_1_541284561214624104645789101745[[#This Row],[TOTAL]]*_1_541284561214624104645789101745[[#This Row],[MARGIN]]</f>
        <v>0</v>
      </c>
      <c r="R296" s="41"/>
    </row>
    <row r="297" spans="1:18">
      <c r="A297" s="323"/>
      <c r="B297" s="323"/>
      <c r="C297" s="323"/>
      <c r="D297" s="188"/>
      <c r="F297" s="168" t="s">
        <v>6202</v>
      </c>
      <c r="G297" s="193">
        <f>IF(_1_541284561214624104645789101745[[#This Row],[Type]]&gt;0,VLOOKUP(_1_541284561214624104645789101745[[#This Row],[Type]],Main[[#All],[TYPE]:[UNIT]],'Unit Price'!C$1,FALSE),0)</f>
        <v>0</v>
      </c>
      <c r="H297" s="197">
        <f>IF(_1_541284561214624104645789101745[[#This Row],[Type]]&gt;0,VLOOKUP(_1_541284561214624104645789101745[[#This Row],[Type]],Main[[#All],[TYPE]:[UNIT]],'Unit Price'!D$1,FALSE),0)</f>
        <v>0</v>
      </c>
      <c r="I297" s="194">
        <f>IF(_1_541284561214624104645789101745[[#This Row],[Type]]&gt;0,VLOOKUP(_1_541284561214624104645789101745[[#This Row],[Type]],Main[[#All],[TYPE]:[UNIT]],'Unit Price'!G$1,FALSE),0)</f>
        <v>0</v>
      </c>
      <c r="J297" s="194">
        <f>IF(_1_541284561214624104645789101745[[#This Row],[Type]]&gt;0,VLOOKUP(_1_541284561214624104645789101745[[#This Row],[Type]],Main[[#All],[TYPE]:[UNIT]],'Unit Price'!H$1,FALSE),0)</f>
        <v>0</v>
      </c>
      <c r="K297" s="194">
        <f>IF(_1_541284561214624104645789101745[[#This Row],[Discount selection]]&gt;0,VLOOKUP(_1_541284561214624104645789101745[[#This Row],[Discount selection]],'Discount Structure'!$A$2:$B$30,2,"false"),0)</f>
        <v>1</v>
      </c>
      <c r="L297" s="194">
        <f>_1_541284561214624104645789101745[[#This Row],[LIST $]]*_1_541284561214624104645789101745[[#This Row],[DISCOUNT]]*_1_541284561214624104645789101745[[#This Row],[DISCOUNT 2]]</f>
        <v>0</v>
      </c>
      <c r="M297" s="194">
        <f>IF(OR(_1_541284561214624104645789101745[[#This Row],[UNIT]]&gt;0,_1_541284561214624104645789101745[[#This Row],[UNIT]]&lt;0),_1_541284561214624104645789101745[[#This Row],[UNIT]]*_1_541284561214624104645789101745[[#This Row],[COST]],0)</f>
        <v>0</v>
      </c>
      <c r="N297" s="194">
        <f t="shared" si="4"/>
        <v>1.5</v>
      </c>
      <c r="O297" s="198">
        <f>_1_541284561214624104645789101745[[#This Row],[TOTAL]]*_1_541284561214624104645789101745[[#This Row],[MARGIN]]</f>
        <v>0</v>
      </c>
      <c r="R297" s="41"/>
    </row>
    <row r="298" spans="1:18">
      <c r="D298" s="188"/>
      <c r="F298" s="168" t="s">
        <v>6202</v>
      </c>
      <c r="G298" s="205">
        <f>IF(_1_541284561214624104645789101745[[#This Row],[Type]]&gt;0,VLOOKUP(_1_541284561214624104645789101745[[#This Row],[Type]],Main[[#All],[TYPE]:[UNIT]],'Unit Price'!C$1,FALSE),0)</f>
        <v>0</v>
      </c>
      <c r="H298" s="197">
        <f>IF(_1_541284561214624104645789101745[[#This Row],[Type]]&gt;0,VLOOKUP(_1_541284561214624104645789101745[[#This Row],[Type]],Main[[#All],[TYPE]:[UNIT]],'Unit Price'!D$1,FALSE),0)</f>
        <v>0</v>
      </c>
      <c r="I298" s="194">
        <f>IF(_1_541284561214624104645789101745[[#This Row],[Type]]&gt;0,VLOOKUP(_1_541284561214624104645789101745[[#This Row],[Type]],Main[[#All],[TYPE]:[UNIT]],'Unit Price'!G$1,FALSE),0)</f>
        <v>0</v>
      </c>
      <c r="J298" s="194">
        <f>IF(_1_541284561214624104645789101745[[#This Row],[Type]]&gt;0,VLOOKUP(_1_541284561214624104645789101745[[#This Row],[Type]],Main[[#All],[TYPE]:[UNIT]],'Unit Price'!H$1,FALSE),0)</f>
        <v>0</v>
      </c>
      <c r="K298" s="194">
        <f>IF(_1_541284561214624104645789101745[[#This Row],[Discount selection]]&gt;0,VLOOKUP(_1_541284561214624104645789101745[[#This Row],[Discount selection]],'Discount Structure'!$A$2:$B$30,2,"false"),0)</f>
        <v>1</v>
      </c>
      <c r="L298" s="194">
        <f>_1_541284561214624104645789101745[[#This Row],[LIST $]]*_1_541284561214624104645789101745[[#This Row],[DISCOUNT]]*_1_541284561214624104645789101745[[#This Row],[DISCOUNT 2]]</f>
        <v>0</v>
      </c>
      <c r="M298" s="194">
        <f>IF(OR(_1_541284561214624104645789101745[[#This Row],[UNIT]]&gt;0,_1_541284561214624104645789101745[[#This Row],[UNIT]]&lt;0),_1_541284561214624104645789101745[[#This Row],[UNIT]]*_1_541284561214624104645789101745[[#This Row],[COST]],0)</f>
        <v>0</v>
      </c>
      <c r="N298" s="194">
        <f t="shared" si="4"/>
        <v>1.5</v>
      </c>
      <c r="O298" s="198">
        <f>_1_541284561214624104645789101745[[#This Row],[TOTAL]]*_1_541284561214624104645789101745[[#This Row],[MARGIN]]</f>
        <v>0</v>
      </c>
      <c r="R298" s="41"/>
    </row>
    <row r="299" spans="1:18">
      <c r="D299" s="188"/>
      <c r="F299" s="168" t="s">
        <v>6202</v>
      </c>
      <c r="G299" s="193">
        <f>IF(_1_541284561214624104645789101745[[#This Row],[Type]]&gt;0,VLOOKUP(_1_541284561214624104645789101745[[#This Row],[Type]],Main[[#All],[TYPE]:[UNIT]],'Unit Price'!C$1,FALSE),0)</f>
        <v>0</v>
      </c>
      <c r="H299" s="197">
        <f>IF(_1_541284561214624104645789101745[[#This Row],[Type]]&gt;0,VLOOKUP(_1_541284561214624104645789101745[[#This Row],[Type]],Main[[#All],[TYPE]:[UNIT]],'Unit Price'!D$1,FALSE),0)</f>
        <v>0</v>
      </c>
      <c r="I299" s="194">
        <f>IF(_1_541284561214624104645789101745[[#This Row],[Type]]&gt;0,VLOOKUP(_1_541284561214624104645789101745[[#This Row],[Type]],Main[[#All],[TYPE]:[UNIT]],'Unit Price'!G$1,FALSE),0)</f>
        <v>0</v>
      </c>
      <c r="J299" s="194">
        <f>IF(_1_541284561214624104645789101745[[#This Row],[Type]]&gt;0,VLOOKUP(_1_541284561214624104645789101745[[#This Row],[Type]],Main[[#All],[TYPE]:[UNIT]],'Unit Price'!H$1,FALSE),0)</f>
        <v>0</v>
      </c>
      <c r="K299" s="194">
        <f>IF(_1_541284561214624104645789101745[[#This Row],[Discount selection]]&gt;0,VLOOKUP(_1_541284561214624104645789101745[[#This Row],[Discount selection]],'Discount Structure'!$A$2:$B$30,2,"false"),0)</f>
        <v>1</v>
      </c>
      <c r="L299" s="194">
        <f>_1_541284561214624104645789101745[[#This Row],[LIST $]]*_1_541284561214624104645789101745[[#This Row],[DISCOUNT]]*_1_541284561214624104645789101745[[#This Row],[DISCOUNT 2]]</f>
        <v>0</v>
      </c>
      <c r="M299" s="194">
        <f>IF(OR(_1_541284561214624104645789101745[[#This Row],[UNIT]]&gt;0,_1_541284561214624104645789101745[[#This Row],[UNIT]]&lt;0),_1_541284561214624104645789101745[[#This Row],[UNIT]]*_1_541284561214624104645789101745[[#This Row],[COST]],0)</f>
        <v>0</v>
      </c>
      <c r="N299" s="194">
        <f t="shared" si="4"/>
        <v>1.5</v>
      </c>
      <c r="O299" s="198">
        <f>_1_541284561214624104645789101745[[#This Row],[TOTAL]]*_1_541284561214624104645789101745[[#This Row],[MARGIN]]</f>
        <v>0</v>
      </c>
      <c r="R299" s="41"/>
    </row>
    <row r="300" spans="1:18">
      <c r="A300" s="323"/>
      <c r="B300" s="323"/>
      <c r="C300" s="323"/>
      <c r="D300" s="188"/>
      <c r="F300" s="168" t="s">
        <v>6202</v>
      </c>
      <c r="G300" s="193">
        <f>IF(_1_541284561214624104645789101745[[#This Row],[Type]]&gt;0,VLOOKUP(_1_541284561214624104645789101745[[#This Row],[Type]],Main[[#All],[TYPE]:[UNIT]],'Unit Price'!C$1,FALSE),0)</f>
        <v>0</v>
      </c>
      <c r="H300" s="197">
        <f>IF(_1_541284561214624104645789101745[[#This Row],[Type]]&gt;0,VLOOKUP(_1_541284561214624104645789101745[[#This Row],[Type]],Main[[#All],[TYPE]:[UNIT]],'Unit Price'!D$1,FALSE),0)</f>
        <v>0</v>
      </c>
      <c r="I300" s="194">
        <f>IF(_1_541284561214624104645789101745[[#This Row],[Type]]&gt;0,VLOOKUP(_1_541284561214624104645789101745[[#This Row],[Type]],Main[[#All],[TYPE]:[UNIT]],'Unit Price'!G$1,FALSE),0)</f>
        <v>0</v>
      </c>
      <c r="J300" s="194">
        <f>IF(_1_541284561214624104645789101745[[#This Row],[Type]]&gt;0,VLOOKUP(_1_541284561214624104645789101745[[#This Row],[Type]],Main[[#All],[TYPE]:[UNIT]],'Unit Price'!H$1,FALSE),0)</f>
        <v>0</v>
      </c>
      <c r="K300" s="194">
        <f>IF(_1_541284561214624104645789101745[[#This Row],[Discount selection]]&gt;0,VLOOKUP(_1_541284561214624104645789101745[[#This Row],[Discount selection]],'Discount Structure'!$A$2:$B$30,2,"false"),0)</f>
        <v>1</v>
      </c>
      <c r="L300" s="194">
        <f>_1_541284561214624104645789101745[[#This Row],[LIST $]]*_1_541284561214624104645789101745[[#This Row],[DISCOUNT]]*_1_541284561214624104645789101745[[#This Row],[DISCOUNT 2]]</f>
        <v>0</v>
      </c>
      <c r="M300" s="194">
        <f>IF(OR(_1_541284561214624104645789101745[[#This Row],[UNIT]]&gt;0,_1_541284561214624104645789101745[[#This Row],[UNIT]]&lt;0),_1_541284561214624104645789101745[[#This Row],[UNIT]]*_1_541284561214624104645789101745[[#This Row],[COST]],0)</f>
        <v>0</v>
      </c>
      <c r="N300" s="194">
        <f t="shared" si="4"/>
        <v>1.5</v>
      </c>
      <c r="O300" s="198">
        <f>_1_541284561214624104645789101745[[#This Row],[TOTAL]]*_1_541284561214624104645789101745[[#This Row],[MARGIN]]</f>
        <v>0</v>
      </c>
      <c r="R300" s="41"/>
    </row>
    <row r="301" spans="1:18">
      <c r="A301" s="323"/>
      <c r="B301" s="323"/>
      <c r="C301" s="323"/>
      <c r="D301" s="188"/>
      <c r="F301" s="168" t="s">
        <v>6202</v>
      </c>
      <c r="G301" s="193">
        <f>IF(_1_541284561214624104645789101745[[#This Row],[Type]]&gt;0,VLOOKUP(_1_541284561214624104645789101745[[#This Row],[Type]],Main[[#All],[TYPE]:[UNIT]],'Unit Price'!C$1,FALSE),0)</f>
        <v>0</v>
      </c>
      <c r="H301" s="197">
        <f>IF(_1_541284561214624104645789101745[[#This Row],[Type]]&gt;0,VLOOKUP(_1_541284561214624104645789101745[[#This Row],[Type]],Main[[#All],[TYPE]:[UNIT]],'Unit Price'!D$1,FALSE),0)</f>
        <v>0</v>
      </c>
      <c r="I301" s="194">
        <f>IF(_1_541284561214624104645789101745[[#This Row],[Type]]&gt;0,VLOOKUP(_1_541284561214624104645789101745[[#This Row],[Type]],Main[[#All],[TYPE]:[UNIT]],'Unit Price'!G$1,FALSE),0)</f>
        <v>0</v>
      </c>
      <c r="J301" s="194">
        <f>IF(_1_541284561214624104645789101745[[#This Row],[Type]]&gt;0,VLOOKUP(_1_541284561214624104645789101745[[#This Row],[Type]],Main[[#All],[TYPE]:[UNIT]],'Unit Price'!H$1,FALSE),0)</f>
        <v>0</v>
      </c>
      <c r="K301" s="194">
        <f>IF(_1_541284561214624104645789101745[[#This Row],[Discount selection]]&gt;0,VLOOKUP(_1_541284561214624104645789101745[[#This Row],[Discount selection]],'Discount Structure'!$A$2:$B$30,2,"false"),0)</f>
        <v>1</v>
      </c>
      <c r="L301" s="194">
        <f>_1_541284561214624104645789101745[[#This Row],[LIST $]]*_1_541284561214624104645789101745[[#This Row],[DISCOUNT]]*_1_541284561214624104645789101745[[#This Row],[DISCOUNT 2]]</f>
        <v>0</v>
      </c>
      <c r="M301" s="194">
        <f>IF(OR(_1_541284561214624104645789101745[[#This Row],[UNIT]]&gt;0,_1_541284561214624104645789101745[[#This Row],[UNIT]]&lt;0),_1_541284561214624104645789101745[[#This Row],[UNIT]]*_1_541284561214624104645789101745[[#This Row],[COST]],0)</f>
        <v>0</v>
      </c>
      <c r="N301" s="194">
        <f t="shared" si="4"/>
        <v>1.5</v>
      </c>
      <c r="O301" s="198">
        <f>_1_541284561214624104645789101745[[#This Row],[TOTAL]]*_1_541284561214624104645789101745[[#This Row],[MARGIN]]</f>
        <v>0</v>
      </c>
      <c r="R301" s="41"/>
    </row>
    <row r="302" spans="1:18">
      <c r="A302" s="323"/>
      <c r="B302" s="323"/>
      <c r="C302" s="323"/>
      <c r="D302" s="188"/>
      <c r="F302" s="168" t="s">
        <v>6202</v>
      </c>
      <c r="G302" s="193">
        <f>IF(_1_541284561214624104645789101745[[#This Row],[Type]]&gt;0,VLOOKUP(_1_541284561214624104645789101745[[#This Row],[Type]],Main[[#All],[TYPE]:[UNIT]],'Unit Price'!C$1,FALSE),0)</f>
        <v>0</v>
      </c>
      <c r="H302" s="197">
        <f>IF(_1_541284561214624104645789101745[[#This Row],[Type]]&gt;0,VLOOKUP(_1_541284561214624104645789101745[[#This Row],[Type]],Main[[#All],[TYPE]:[UNIT]],'Unit Price'!D$1,FALSE),0)</f>
        <v>0</v>
      </c>
      <c r="I302" s="194">
        <f>IF(_1_541284561214624104645789101745[[#This Row],[Type]]&gt;0,VLOOKUP(_1_541284561214624104645789101745[[#This Row],[Type]],Main[[#All],[TYPE]:[UNIT]],'Unit Price'!G$1,FALSE),0)</f>
        <v>0</v>
      </c>
      <c r="J302" s="194">
        <f>IF(_1_541284561214624104645789101745[[#This Row],[Type]]&gt;0,VLOOKUP(_1_541284561214624104645789101745[[#This Row],[Type]],Main[[#All],[TYPE]:[UNIT]],'Unit Price'!H$1,FALSE),0)</f>
        <v>0</v>
      </c>
      <c r="K302" s="194">
        <f>IF(_1_541284561214624104645789101745[[#This Row],[Discount selection]]&gt;0,VLOOKUP(_1_541284561214624104645789101745[[#This Row],[Discount selection]],'Discount Structure'!$A$2:$B$30,2,"false"),0)</f>
        <v>1</v>
      </c>
      <c r="L302" s="194">
        <f>_1_541284561214624104645789101745[[#This Row],[LIST $]]*_1_541284561214624104645789101745[[#This Row],[DISCOUNT]]*_1_541284561214624104645789101745[[#This Row],[DISCOUNT 2]]</f>
        <v>0</v>
      </c>
      <c r="M302" s="194">
        <f>IF(OR(_1_541284561214624104645789101745[[#This Row],[UNIT]]&gt;0,_1_541284561214624104645789101745[[#This Row],[UNIT]]&lt;0),_1_541284561214624104645789101745[[#This Row],[UNIT]]*_1_541284561214624104645789101745[[#This Row],[COST]],0)</f>
        <v>0</v>
      </c>
      <c r="N302" s="194">
        <f t="shared" si="4"/>
        <v>1.5</v>
      </c>
      <c r="O302" s="198">
        <f>_1_541284561214624104645789101745[[#This Row],[TOTAL]]*_1_541284561214624104645789101745[[#This Row],[MARGIN]]</f>
        <v>0</v>
      </c>
      <c r="R302" s="41"/>
    </row>
    <row r="303" spans="1:18">
      <c r="D303" s="188"/>
      <c r="F303" s="168" t="s">
        <v>6202</v>
      </c>
      <c r="G303" s="205">
        <f>IF(_1_541284561214624104645789101745[[#This Row],[Type]]&gt;0,VLOOKUP(_1_541284561214624104645789101745[[#This Row],[Type]],Main[[#All],[TYPE]:[UNIT]],'Unit Price'!C$1,FALSE),0)</f>
        <v>0</v>
      </c>
      <c r="H303" s="197">
        <f>IF(_1_541284561214624104645789101745[[#This Row],[Type]]&gt;0,VLOOKUP(_1_541284561214624104645789101745[[#This Row],[Type]],Main[[#All],[TYPE]:[UNIT]],'Unit Price'!D$1,FALSE),0)</f>
        <v>0</v>
      </c>
      <c r="I303" s="194">
        <f>IF(_1_541284561214624104645789101745[[#This Row],[Type]]&gt;0,VLOOKUP(_1_541284561214624104645789101745[[#This Row],[Type]],Main[[#All],[TYPE]:[UNIT]],'Unit Price'!G$1,FALSE),0)</f>
        <v>0</v>
      </c>
      <c r="J303" s="194">
        <f>IF(_1_541284561214624104645789101745[[#This Row],[Type]]&gt;0,VLOOKUP(_1_541284561214624104645789101745[[#This Row],[Type]],Main[[#All],[TYPE]:[UNIT]],'Unit Price'!H$1,FALSE),0)</f>
        <v>0</v>
      </c>
      <c r="K303" s="194">
        <f>IF(_1_541284561214624104645789101745[[#This Row],[Discount selection]]&gt;0,VLOOKUP(_1_541284561214624104645789101745[[#This Row],[Discount selection]],'Discount Structure'!$A$2:$B$30,2,"false"),0)</f>
        <v>1</v>
      </c>
      <c r="L303" s="194">
        <f>_1_541284561214624104645789101745[[#This Row],[LIST $]]*_1_541284561214624104645789101745[[#This Row],[DISCOUNT]]*_1_541284561214624104645789101745[[#This Row],[DISCOUNT 2]]</f>
        <v>0</v>
      </c>
      <c r="M303" s="194">
        <f>IF(OR(_1_541284561214624104645789101745[[#This Row],[UNIT]]&gt;0,_1_541284561214624104645789101745[[#This Row],[UNIT]]&lt;0),_1_541284561214624104645789101745[[#This Row],[UNIT]]*_1_541284561214624104645789101745[[#This Row],[COST]],0)</f>
        <v>0</v>
      </c>
      <c r="N303" s="194">
        <f t="shared" si="4"/>
        <v>1.5</v>
      </c>
      <c r="O303" s="198">
        <f>_1_541284561214624104645789101745[[#This Row],[TOTAL]]*_1_541284561214624104645789101745[[#This Row],[MARGIN]]</f>
        <v>0</v>
      </c>
      <c r="R303" s="41"/>
    </row>
    <row r="304" spans="1:18">
      <c r="A304" s="326"/>
      <c r="D304" s="188"/>
      <c r="F304" s="168" t="s">
        <v>6202</v>
      </c>
      <c r="G304" s="193">
        <f>IF(_1_541284561214624104645789101745[[#This Row],[Type]]&gt;0,VLOOKUP(_1_541284561214624104645789101745[[#This Row],[Type]],Main[[#All],[TYPE]:[UNIT]],'Unit Price'!C$1,FALSE),0)</f>
        <v>0</v>
      </c>
      <c r="H304" s="197">
        <f>IF(_1_541284561214624104645789101745[[#This Row],[Type]]&gt;0,VLOOKUP(_1_541284561214624104645789101745[[#This Row],[Type]],Main[[#All],[TYPE]:[UNIT]],'Unit Price'!D$1,FALSE),0)</f>
        <v>0</v>
      </c>
      <c r="I304" s="194">
        <f>IF(_1_541284561214624104645789101745[[#This Row],[Type]]&gt;0,VLOOKUP(_1_541284561214624104645789101745[[#This Row],[Type]],Main[[#All],[TYPE]:[UNIT]],'Unit Price'!G$1,FALSE),0)</f>
        <v>0</v>
      </c>
      <c r="J304" s="194">
        <f>IF(_1_541284561214624104645789101745[[#This Row],[Type]]&gt;0,VLOOKUP(_1_541284561214624104645789101745[[#This Row],[Type]],Main[[#All],[TYPE]:[UNIT]],'Unit Price'!H$1,FALSE),0)</f>
        <v>0</v>
      </c>
      <c r="K304" s="194">
        <f>IF(_1_541284561214624104645789101745[[#This Row],[Discount selection]]&gt;0,VLOOKUP(_1_541284561214624104645789101745[[#This Row],[Discount selection]],'Discount Structure'!$A$2:$B$30,2,"false"),0)</f>
        <v>1</v>
      </c>
      <c r="L304" s="194">
        <f>_1_541284561214624104645789101745[[#This Row],[LIST $]]*_1_541284561214624104645789101745[[#This Row],[DISCOUNT]]*_1_541284561214624104645789101745[[#This Row],[DISCOUNT 2]]</f>
        <v>0</v>
      </c>
      <c r="M304" s="194">
        <f>IF(OR(_1_541284561214624104645789101745[[#This Row],[UNIT]]&gt;0,_1_541284561214624104645789101745[[#This Row],[UNIT]]&lt;0),_1_541284561214624104645789101745[[#This Row],[UNIT]]*_1_541284561214624104645789101745[[#This Row],[COST]],0)</f>
        <v>0</v>
      </c>
      <c r="N304" s="194">
        <f t="shared" si="4"/>
        <v>1.5</v>
      </c>
      <c r="O304" s="198">
        <f>_1_541284561214624104645789101745[[#This Row],[TOTAL]]*_1_541284561214624104645789101745[[#This Row],[MARGIN]]</f>
        <v>0</v>
      </c>
      <c r="R304" s="41"/>
    </row>
    <row r="305" spans="1:18">
      <c r="D305" s="188"/>
      <c r="F305" s="168" t="s">
        <v>6202</v>
      </c>
      <c r="G305" s="193">
        <f>IF(_1_541284561214624104645789101745[[#This Row],[Type]]&gt;0,VLOOKUP(_1_541284561214624104645789101745[[#This Row],[Type]],Main[[#All],[TYPE]:[UNIT]],'Unit Price'!C$1,FALSE),0)</f>
        <v>0</v>
      </c>
      <c r="H305" s="197">
        <f>IF(_1_541284561214624104645789101745[[#This Row],[Type]]&gt;0,VLOOKUP(_1_541284561214624104645789101745[[#This Row],[Type]],Main[[#All],[TYPE]:[UNIT]],'Unit Price'!D$1,FALSE),0)</f>
        <v>0</v>
      </c>
      <c r="I305" s="194">
        <f>IF(_1_541284561214624104645789101745[[#This Row],[Type]]&gt;0,VLOOKUP(_1_541284561214624104645789101745[[#This Row],[Type]],Main[[#All],[TYPE]:[UNIT]],'Unit Price'!G$1,FALSE),0)</f>
        <v>0</v>
      </c>
      <c r="J305" s="194">
        <f>IF(_1_541284561214624104645789101745[[#This Row],[Type]]&gt;0,VLOOKUP(_1_541284561214624104645789101745[[#This Row],[Type]],Main[[#All],[TYPE]:[UNIT]],'Unit Price'!H$1,FALSE),0)</f>
        <v>0</v>
      </c>
      <c r="K305" s="194">
        <f>IF(_1_541284561214624104645789101745[[#This Row],[Discount selection]]&gt;0,VLOOKUP(_1_541284561214624104645789101745[[#This Row],[Discount selection]],'Discount Structure'!$A$2:$B$30,2,"false"),0)</f>
        <v>1</v>
      </c>
      <c r="L305" s="194">
        <f>_1_541284561214624104645789101745[[#This Row],[LIST $]]*_1_541284561214624104645789101745[[#This Row],[DISCOUNT]]*_1_541284561214624104645789101745[[#This Row],[DISCOUNT 2]]</f>
        <v>0</v>
      </c>
      <c r="M305" s="194">
        <f>IF(OR(_1_541284561214624104645789101745[[#This Row],[UNIT]]&gt;0,_1_541284561214624104645789101745[[#This Row],[UNIT]]&lt;0),_1_541284561214624104645789101745[[#This Row],[UNIT]]*_1_541284561214624104645789101745[[#This Row],[COST]],0)</f>
        <v>0</v>
      </c>
      <c r="N305" s="194">
        <f t="shared" si="4"/>
        <v>1.5</v>
      </c>
      <c r="O305" s="198">
        <f>_1_541284561214624104645789101745[[#This Row],[TOTAL]]*_1_541284561214624104645789101745[[#This Row],[MARGIN]]</f>
        <v>0</v>
      </c>
      <c r="R305" s="41"/>
    </row>
    <row r="306" spans="1:18">
      <c r="A306" s="327"/>
      <c r="B306" s="327"/>
      <c r="C306" s="323"/>
      <c r="D306" s="188"/>
      <c r="F306" s="168" t="s">
        <v>6202</v>
      </c>
      <c r="G306" s="193">
        <f>IF(_1_541284561214624104645789101745[[#This Row],[Type]]&gt;0,VLOOKUP(_1_541284561214624104645789101745[[#This Row],[Type]],Main[[#All],[TYPE]:[UNIT]],'Unit Price'!C$1,FALSE),0)</f>
        <v>0</v>
      </c>
      <c r="H306" s="197">
        <f>IF(_1_541284561214624104645789101745[[#This Row],[Type]]&gt;0,VLOOKUP(_1_541284561214624104645789101745[[#This Row],[Type]],Main[[#All],[TYPE]:[UNIT]],'Unit Price'!D$1,FALSE),0)</f>
        <v>0</v>
      </c>
      <c r="I306" s="194">
        <f>IF(_1_541284561214624104645789101745[[#This Row],[Type]]&gt;0,VLOOKUP(_1_541284561214624104645789101745[[#This Row],[Type]],Main[[#All],[TYPE]:[UNIT]],'Unit Price'!G$1,FALSE),0)</f>
        <v>0</v>
      </c>
      <c r="J306" s="194">
        <f>IF(_1_541284561214624104645789101745[[#This Row],[Type]]&gt;0,VLOOKUP(_1_541284561214624104645789101745[[#This Row],[Type]],Main[[#All],[TYPE]:[UNIT]],'Unit Price'!H$1,FALSE),0)</f>
        <v>0</v>
      </c>
      <c r="K306" s="194">
        <f>IF(_1_541284561214624104645789101745[[#This Row],[Discount selection]]&gt;0,VLOOKUP(_1_541284561214624104645789101745[[#This Row],[Discount selection]],'Discount Structure'!$A$2:$B$30,2,"false"),0)</f>
        <v>1</v>
      </c>
      <c r="L306" s="194">
        <f>_1_541284561214624104645789101745[[#This Row],[LIST $]]*_1_541284561214624104645789101745[[#This Row],[DISCOUNT]]*_1_541284561214624104645789101745[[#This Row],[DISCOUNT 2]]</f>
        <v>0</v>
      </c>
      <c r="M306" s="194">
        <f>IF(OR(_1_541284561214624104645789101745[[#This Row],[UNIT]]&gt;0,_1_541284561214624104645789101745[[#This Row],[UNIT]]&lt;0),_1_541284561214624104645789101745[[#This Row],[UNIT]]*_1_541284561214624104645789101745[[#This Row],[COST]],0)</f>
        <v>0</v>
      </c>
      <c r="N306" s="194">
        <f t="shared" si="4"/>
        <v>1.5</v>
      </c>
      <c r="O306" s="198">
        <f>_1_541284561214624104645789101745[[#This Row],[TOTAL]]*_1_541284561214624104645789101745[[#This Row],[MARGIN]]</f>
        <v>0</v>
      </c>
      <c r="R306" s="41"/>
    </row>
    <row r="307" spans="1:18">
      <c r="A307" s="310"/>
      <c r="B307" s="310"/>
      <c r="C307" s="323"/>
      <c r="D307" s="188"/>
      <c r="F307" s="168" t="s">
        <v>6202</v>
      </c>
      <c r="G307" s="193">
        <f>IF(_1_541284561214624104645789101745[[#This Row],[Type]]&gt;0,VLOOKUP(_1_541284561214624104645789101745[[#This Row],[Type]],Main[[#All],[TYPE]:[UNIT]],'Unit Price'!C$1,FALSE),0)</f>
        <v>0</v>
      </c>
      <c r="H307" s="197">
        <f>IF(_1_541284561214624104645789101745[[#This Row],[Type]]&gt;0,VLOOKUP(_1_541284561214624104645789101745[[#This Row],[Type]],Main[[#All],[TYPE]:[UNIT]],'Unit Price'!D$1,FALSE),0)</f>
        <v>0</v>
      </c>
      <c r="I307" s="194">
        <f>IF(_1_541284561214624104645789101745[[#This Row],[Type]]&gt;0,VLOOKUP(_1_541284561214624104645789101745[[#This Row],[Type]],Main[[#All],[TYPE]:[UNIT]],'Unit Price'!G$1,FALSE),0)</f>
        <v>0</v>
      </c>
      <c r="J307" s="194">
        <f>IF(_1_541284561214624104645789101745[[#This Row],[Type]]&gt;0,VLOOKUP(_1_541284561214624104645789101745[[#This Row],[Type]],Main[[#All],[TYPE]:[UNIT]],'Unit Price'!H$1,FALSE),0)</f>
        <v>0</v>
      </c>
      <c r="K307" s="194">
        <f>IF(_1_541284561214624104645789101745[[#This Row],[Discount selection]]&gt;0,VLOOKUP(_1_541284561214624104645789101745[[#This Row],[Discount selection]],'Discount Structure'!$A$2:$B$30,2,"false"),0)</f>
        <v>1</v>
      </c>
      <c r="L307" s="194">
        <f>_1_541284561214624104645789101745[[#This Row],[LIST $]]*_1_541284561214624104645789101745[[#This Row],[DISCOUNT]]*_1_541284561214624104645789101745[[#This Row],[DISCOUNT 2]]</f>
        <v>0</v>
      </c>
      <c r="M307" s="194">
        <f>IF(OR(_1_541284561214624104645789101745[[#This Row],[UNIT]]&gt;0,_1_541284561214624104645789101745[[#This Row],[UNIT]]&lt;0),_1_541284561214624104645789101745[[#This Row],[UNIT]]*_1_541284561214624104645789101745[[#This Row],[COST]],0)</f>
        <v>0</v>
      </c>
      <c r="N307" s="194">
        <f t="shared" si="4"/>
        <v>1.5</v>
      </c>
      <c r="O307" s="198">
        <f>_1_541284561214624104645789101745[[#This Row],[TOTAL]]*_1_541284561214624104645789101745[[#This Row],[MARGIN]]</f>
        <v>0</v>
      </c>
      <c r="R307" s="41"/>
    </row>
    <row r="308" spans="1:18">
      <c r="A308" s="341"/>
      <c r="B308" s="323"/>
      <c r="C308" s="323"/>
      <c r="D308" s="188"/>
      <c r="F308" s="168" t="s">
        <v>6202</v>
      </c>
      <c r="G308" s="193">
        <f>IF(_1_541284561214624104645789101745[[#This Row],[Type]]&gt;0,VLOOKUP(_1_541284561214624104645789101745[[#This Row],[Type]],Main[[#All],[TYPE]:[UNIT]],'Unit Price'!C$1,FALSE),0)</f>
        <v>0</v>
      </c>
      <c r="H308" s="197">
        <f>IF(_1_541284561214624104645789101745[[#This Row],[Type]]&gt;0,VLOOKUP(_1_541284561214624104645789101745[[#This Row],[Type]],Main[[#All],[TYPE]:[UNIT]],'Unit Price'!D$1,FALSE),0)</f>
        <v>0</v>
      </c>
      <c r="I308" s="194">
        <f>IF(_1_541284561214624104645789101745[[#This Row],[Type]]&gt;0,VLOOKUP(_1_541284561214624104645789101745[[#This Row],[Type]],Main[[#All],[TYPE]:[UNIT]],'Unit Price'!G$1,FALSE),0)</f>
        <v>0</v>
      </c>
      <c r="J308" s="194">
        <f>IF(_1_541284561214624104645789101745[[#This Row],[Type]]&gt;0,VLOOKUP(_1_541284561214624104645789101745[[#This Row],[Type]],Main[[#All],[TYPE]:[UNIT]],'Unit Price'!H$1,FALSE),0)</f>
        <v>0</v>
      </c>
      <c r="K308" s="194">
        <f>IF(_1_541284561214624104645789101745[[#This Row],[Discount selection]]&gt;0,VLOOKUP(_1_541284561214624104645789101745[[#This Row],[Discount selection]],'Discount Structure'!$A$2:$B$30,2,"false"),0)</f>
        <v>1</v>
      </c>
      <c r="L308" s="194">
        <f>_1_541284561214624104645789101745[[#This Row],[LIST $]]*_1_541284561214624104645789101745[[#This Row],[DISCOUNT]]*_1_541284561214624104645789101745[[#This Row],[DISCOUNT 2]]</f>
        <v>0</v>
      </c>
      <c r="M308" s="194">
        <f>IF(OR(_1_541284561214624104645789101745[[#This Row],[UNIT]]&gt;0,_1_541284561214624104645789101745[[#This Row],[UNIT]]&lt;0),_1_541284561214624104645789101745[[#This Row],[UNIT]]*_1_541284561214624104645789101745[[#This Row],[COST]],0)</f>
        <v>0</v>
      </c>
      <c r="N308" s="194">
        <f t="shared" si="4"/>
        <v>1.5</v>
      </c>
      <c r="O308" s="198">
        <f>_1_541284561214624104645789101745[[#This Row],[TOTAL]]*_1_541284561214624104645789101745[[#This Row],[MARGIN]]</f>
        <v>0</v>
      </c>
      <c r="R308" s="41"/>
    </row>
    <row r="309" spans="1:18">
      <c r="D309" s="188"/>
      <c r="F309" s="168" t="s">
        <v>6202</v>
      </c>
      <c r="G309" s="193">
        <f>IF(_1_541284561214624104645789101745[[#This Row],[Type]]&gt;0,VLOOKUP(_1_541284561214624104645789101745[[#This Row],[Type]],Main[[#All],[TYPE]:[UNIT]],'Unit Price'!C$1,FALSE),0)</f>
        <v>0</v>
      </c>
      <c r="H309" s="197">
        <f>IF(_1_541284561214624104645789101745[[#This Row],[Type]]&gt;0,VLOOKUP(_1_541284561214624104645789101745[[#This Row],[Type]],Main[[#All],[TYPE]:[UNIT]],'Unit Price'!D$1,FALSE),0)</f>
        <v>0</v>
      </c>
      <c r="I309" s="194">
        <f>IF(_1_541284561214624104645789101745[[#This Row],[Type]]&gt;0,VLOOKUP(_1_541284561214624104645789101745[[#This Row],[Type]],Main[[#All],[TYPE]:[UNIT]],'Unit Price'!G$1,FALSE),0)</f>
        <v>0</v>
      </c>
      <c r="J309" s="194">
        <f>IF(_1_541284561214624104645789101745[[#This Row],[Type]]&gt;0,VLOOKUP(_1_541284561214624104645789101745[[#This Row],[Type]],Main[[#All],[TYPE]:[UNIT]],'Unit Price'!H$1,FALSE),0)</f>
        <v>0</v>
      </c>
      <c r="K309" s="194">
        <f>IF(_1_541284561214624104645789101745[[#This Row],[Discount selection]]&gt;0,VLOOKUP(_1_541284561214624104645789101745[[#This Row],[Discount selection]],'Discount Structure'!$A$2:$B$30,2,"false"),0)</f>
        <v>1</v>
      </c>
      <c r="L309" s="194">
        <f>_1_541284561214624104645789101745[[#This Row],[LIST $]]*_1_541284561214624104645789101745[[#This Row],[DISCOUNT]]*_1_541284561214624104645789101745[[#This Row],[DISCOUNT 2]]</f>
        <v>0</v>
      </c>
      <c r="M309" s="194">
        <f>IF(OR(_1_541284561214624104645789101745[[#This Row],[UNIT]]&gt;0,_1_541284561214624104645789101745[[#This Row],[UNIT]]&lt;0),_1_541284561214624104645789101745[[#This Row],[UNIT]]*_1_541284561214624104645789101745[[#This Row],[COST]],0)</f>
        <v>0</v>
      </c>
      <c r="N309" s="194">
        <f t="shared" si="4"/>
        <v>1.5</v>
      </c>
      <c r="O309" s="198">
        <f>_1_541284561214624104645789101745[[#This Row],[TOTAL]]*_1_541284561214624104645789101745[[#This Row],[MARGIN]]</f>
        <v>0</v>
      </c>
      <c r="R309" s="41"/>
    </row>
    <row r="310" spans="1:18">
      <c r="A310" s="326"/>
      <c r="D310" s="188"/>
      <c r="F310" s="168" t="s">
        <v>6202</v>
      </c>
      <c r="G310" s="193">
        <f>IF(_1_541284561214624104645789101745[[#This Row],[Type]]&gt;0,VLOOKUP(_1_541284561214624104645789101745[[#This Row],[Type]],Main[[#All],[TYPE]:[UNIT]],'Unit Price'!C$1,FALSE),0)</f>
        <v>0</v>
      </c>
      <c r="H310" s="197">
        <f>IF(_1_541284561214624104645789101745[[#This Row],[Type]]&gt;0,VLOOKUP(_1_541284561214624104645789101745[[#This Row],[Type]],Main[[#All],[TYPE]:[UNIT]],'Unit Price'!D$1,FALSE),0)</f>
        <v>0</v>
      </c>
      <c r="I310" s="194">
        <f>IF(_1_541284561214624104645789101745[[#This Row],[Type]]&gt;0,VLOOKUP(_1_541284561214624104645789101745[[#This Row],[Type]],Main[[#All],[TYPE]:[UNIT]],'Unit Price'!G$1,FALSE),0)</f>
        <v>0</v>
      </c>
      <c r="J310" s="194">
        <f>IF(_1_541284561214624104645789101745[[#This Row],[Type]]&gt;0,VLOOKUP(_1_541284561214624104645789101745[[#This Row],[Type]],Main[[#All],[TYPE]:[UNIT]],'Unit Price'!H$1,FALSE),0)</f>
        <v>0</v>
      </c>
      <c r="K310" s="194">
        <f>IF(_1_541284561214624104645789101745[[#This Row],[Discount selection]]&gt;0,VLOOKUP(_1_541284561214624104645789101745[[#This Row],[Discount selection]],'Discount Structure'!$A$2:$B$30,2,"false"),0)</f>
        <v>1</v>
      </c>
      <c r="L310" s="194">
        <f>_1_541284561214624104645789101745[[#This Row],[LIST $]]*_1_541284561214624104645789101745[[#This Row],[DISCOUNT]]*_1_541284561214624104645789101745[[#This Row],[DISCOUNT 2]]</f>
        <v>0</v>
      </c>
      <c r="M310" s="194">
        <f>IF(OR(_1_541284561214624104645789101745[[#This Row],[UNIT]]&gt;0,_1_541284561214624104645789101745[[#This Row],[UNIT]]&lt;0),_1_541284561214624104645789101745[[#This Row],[UNIT]]*_1_541284561214624104645789101745[[#This Row],[COST]],0)</f>
        <v>0</v>
      </c>
      <c r="N310" s="194">
        <f t="shared" si="4"/>
        <v>1.5</v>
      </c>
      <c r="O310" s="198">
        <f>_1_541284561214624104645789101745[[#This Row],[TOTAL]]*_1_541284561214624104645789101745[[#This Row],[MARGIN]]</f>
        <v>0</v>
      </c>
      <c r="R310" s="41"/>
    </row>
    <row r="311" spans="1:18">
      <c r="D311" s="188"/>
      <c r="F311" s="168" t="s">
        <v>6202</v>
      </c>
      <c r="G311" s="193">
        <f>IF(_1_541284561214624104645789101745[[#This Row],[Type]]&gt;0,VLOOKUP(_1_541284561214624104645789101745[[#This Row],[Type]],Main[[#All],[TYPE]:[UNIT]],'Unit Price'!C$1,FALSE),0)</f>
        <v>0</v>
      </c>
      <c r="H311" s="197">
        <f>IF(_1_541284561214624104645789101745[[#This Row],[Type]]&gt;0,VLOOKUP(_1_541284561214624104645789101745[[#This Row],[Type]],Main[[#All],[TYPE]:[UNIT]],'Unit Price'!D$1,FALSE),0)</f>
        <v>0</v>
      </c>
      <c r="I311" s="194">
        <f>IF(_1_541284561214624104645789101745[[#This Row],[Type]]&gt;0,VLOOKUP(_1_541284561214624104645789101745[[#This Row],[Type]],Main[[#All],[TYPE]:[UNIT]],'Unit Price'!G$1,FALSE),0)</f>
        <v>0</v>
      </c>
      <c r="J311" s="194">
        <f>IF(_1_541284561214624104645789101745[[#This Row],[Type]]&gt;0,VLOOKUP(_1_541284561214624104645789101745[[#This Row],[Type]],Main[[#All],[TYPE]:[UNIT]],'Unit Price'!H$1,FALSE),0)</f>
        <v>0</v>
      </c>
      <c r="K311" s="194">
        <f>IF(_1_541284561214624104645789101745[[#This Row],[Discount selection]]&gt;0,VLOOKUP(_1_541284561214624104645789101745[[#This Row],[Discount selection]],'Discount Structure'!$A$2:$B$30,2,"false"),0)</f>
        <v>1</v>
      </c>
      <c r="L311" s="194">
        <f>_1_541284561214624104645789101745[[#This Row],[LIST $]]*_1_541284561214624104645789101745[[#This Row],[DISCOUNT]]*_1_541284561214624104645789101745[[#This Row],[DISCOUNT 2]]</f>
        <v>0</v>
      </c>
      <c r="M311" s="194">
        <f>IF(OR(_1_541284561214624104645789101745[[#This Row],[UNIT]]&gt;0,_1_541284561214624104645789101745[[#This Row],[UNIT]]&lt;0),_1_541284561214624104645789101745[[#This Row],[UNIT]]*_1_541284561214624104645789101745[[#This Row],[COST]],0)</f>
        <v>0</v>
      </c>
      <c r="N311" s="194">
        <f t="shared" si="4"/>
        <v>1.5</v>
      </c>
      <c r="O311" s="198">
        <f>_1_541284561214624104645789101745[[#This Row],[TOTAL]]*_1_541284561214624104645789101745[[#This Row],[MARGIN]]</f>
        <v>0</v>
      </c>
      <c r="R311" s="41"/>
    </row>
    <row r="312" spans="1:18">
      <c r="A312" s="323"/>
      <c r="B312" s="323"/>
      <c r="C312" s="323"/>
      <c r="D312" s="188"/>
      <c r="F312" s="168" t="s">
        <v>6202</v>
      </c>
      <c r="G312" s="193">
        <f>IF(_1_541284561214624104645789101745[[#This Row],[Type]]&gt;0,VLOOKUP(_1_541284561214624104645789101745[[#This Row],[Type]],Main[[#All],[TYPE]:[UNIT]],'Unit Price'!C$1,FALSE),0)</f>
        <v>0</v>
      </c>
      <c r="H312" s="197">
        <f>IF(_1_541284561214624104645789101745[[#This Row],[Type]]&gt;0,VLOOKUP(_1_541284561214624104645789101745[[#This Row],[Type]],Main[[#All],[TYPE]:[UNIT]],'Unit Price'!D$1,FALSE),0)</f>
        <v>0</v>
      </c>
      <c r="I312" s="194">
        <f>IF(_1_541284561214624104645789101745[[#This Row],[Type]]&gt;0,VLOOKUP(_1_541284561214624104645789101745[[#This Row],[Type]],Main[[#All],[TYPE]:[UNIT]],'Unit Price'!G$1,FALSE),0)</f>
        <v>0</v>
      </c>
      <c r="J312" s="194">
        <f>IF(_1_541284561214624104645789101745[[#This Row],[Type]]&gt;0,VLOOKUP(_1_541284561214624104645789101745[[#This Row],[Type]],Main[[#All],[TYPE]:[UNIT]],'Unit Price'!H$1,FALSE),0)</f>
        <v>0</v>
      </c>
      <c r="K312" s="194">
        <f>IF(_1_541284561214624104645789101745[[#This Row],[Discount selection]]&gt;0,VLOOKUP(_1_541284561214624104645789101745[[#This Row],[Discount selection]],'Discount Structure'!$A$2:$B$30,2,"false"),0)</f>
        <v>1</v>
      </c>
      <c r="L312" s="194">
        <f>_1_541284561214624104645789101745[[#This Row],[LIST $]]*_1_541284561214624104645789101745[[#This Row],[DISCOUNT]]*_1_541284561214624104645789101745[[#This Row],[DISCOUNT 2]]</f>
        <v>0</v>
      </c>
      <c r="M312" s="194">
        <f>IF(OR(_1_541284561214624104645789101745[[#This Row],[UNIT]]&gt;0,_1_541284561214624104645789101745[[#This Row],[UNIT]]&lt;0),_1_541284561214624104645789101745[[#This Row],[UNIT]]*_1_541284561214624104645789101745[[#This Row],[COST]],0)</f>
        <v>0</v>
      </c>
      <c r="N312" s="194">
        <f t="shared" si="4"/>
        <v>1.5</v>
      </c>
      <c r="O312" s="198">
        <f>_1_541284561214624104645789101745[[#This Row],[TOTAL]]*_1_541284561214624104645789101745[[#This Row],[MARGIN]]</f>
        <v>0</v>
      </c>
      <c r="R312" s="41"/>
    </row>
    <row r="313" spans="1:18">
      <c r="A313" s="323"/>
      <c r="B313" s="323"/>
      <c r="C313" s="328"/>
      <c r="D313" s="188"/>
      <c r="F313" s="168" t="s">
        <v>6202</v>
      </c>
      <c r="G313" s="193">
        <f>IF(_1_541284561214624104645789101745[[#This Row],[Type]]&gt;0,VLOOKUP(_1_541284561214624104645789101745[[#This Row],[Type]],Main[[#All],[TYPE]:[UNIT]],'Unit Price'!C$1,FALSE),0)</f>
        <v>0</v>
      </c>
      <c r="H313" s="197">
        <f>IF(_1_541284561214624104645789101745[[#This Row],[Type]]&gt;0,VLOOKUP(_1_541284561214624104645789101745[[#This Row],[Type]],Main[[#All],[TYPE]:[UNIT]],'Unit Price'!D$1,FALSE),0)</f>
        <v>0</v>
      </c>
      <c r="I313" s="194">
        <f>IF(_1_541284561214624104645789101745[[#This Row],[Type]]&gt;0,VLOOKUP(_1_541284561214624104645789101745[[#This Row],[Type]],Main[[#All],[TYPE]:[UNIT]],'Unit Price'!G$1,FALSE),0)</f>
        <v>0</v>
      </c>
      <c r="J313" s="194">
        <f>IF(_1_541284561214624104645789101745[[#This Row],[Type]]&gt;0,VLOOKUP(_1_541284561214624104645789101745[[#This Row],[Type]],Main[[#All],[TYPE]:[UNIT]],'Unit Price'!H$1,FALSE),0)</f>
        <v>0</v>
      </c>
      <c r="K313" s="194">
        <f>IF(_1_541284561214624104645789101745[[#This Row],[Discount selection]]&gt;0,VLOOKUP(_1_541284561214624104645789101745[[#This Row],[Discount selection]],'Discount Structure'!$A$2:$B$30,2,"false"),0)</f>
        <v>1</v>
      </c>
      <c r="L313" s="194">
        <f>_1_541284561214624104645789101745[[#This Row],[LIST $]]*_1_541284561214624104645789101745[[#This Row],[DISCOUNT]]*_1_541284561214624104645789101745[[#This Row],[DISCOUNT 2]]</f>
        <v>0</v>
      </c>
      <c r="M313" s="194">
        <f>IF(OR(_1_541284561214624104645789101745[[#This Row],[UNIT]]&gt;0,_1_541284561214624104645789101745[[#This Row],[UNIT]]&lt;0),_1_541284561214624104645789101745[[#This Row],[UNIT]]*_1_541284561214624104645789101745[[#This Row],[COST]],0)</f>
        <v>0</v>
      </c>
      <c r="N313" s="194">
        <f t="shared" si="4"/>
        <v>1.5</v>
      </c>
      <c r="O313" s="198">
        <f>_1_541284561214624104645789101745[[#This Row],[TOTAL]]*_1_541284561214624104645789101745[[#This Row],[MARGIN]]</f>
        <v>0</v>
      </c>
      <c r="R313" s="41"/>
    </row>
    <row r="314" spans="1:18">
      <c r="A314" s="323"/>
      <c r="B314" s="323"/>
      <c r="C314" s="328"/>
      <c r="D314" s="188"/>
      <c r="F314" s="168" t="s">
        <v>6202</v>
      </c>
      <c r="G314" s="205">
        <f>IF(_1_541284561214624104645789101745[[#This Row],[Type]]&gt;0,VLOOKUP(_1_541284561214624104645789101745[[#This Row],[Type]],Main[[#All],[TYPE]:[UNIT]],'Unit Price'!C$1,FALSE),0)</f>
        <v>0</v>
      </c>
      <c r="H314" s="197">
        <f>IF(_1_541284561214624104645789101745[[#This Row],[Type]]&gt;0,VLOOKUP(_1_541284561214624104645789101745[[#This Row],[Type]],Main[[#All],[TYPE]:[UNIT]],'Unit Price'!D$1,FALSE),0)</f>
        <v>0</v>
      </c>
      <c r="I314" s="194">
        <f>IF(_1_541284561214624104645789101745[[#This Row],[Type]]&gt;0,VLOOKUP(_1_541284561214624104645789101745[[#This Row],[Type]],Main[[#All],[TYPE]:[UNIT]],'Unit Price'!G$1,FALSE),0)</f>
        <v>0</v>
      </c>
      <c r="J314" s="194">
        <f>IF(_1_541284561214624104645789101745[[#This Row],[Type]]&gt;0,VLOOKUP(_1_541284561214624104645789101745[[#This Row],[Type]],Main[[#All],[TYPE]:[UNIT]],'Unit Price'!H$1,FALSE),0)</f>
        <v>0</v>
      </c>
      <c r="K314" s="194">
        <f>IF(_1_541284561214624104645789101745[[#This Row],[Discount selection]]&gt;0,VLOOKUP(_1_541284561214624104645789101745[[#This Row],[Discount selection]],'Discount Structure'!$A$2:$B$30,2,"false"),0)</f>
        <v>1</v>
      </c>
      <c r="L314" s="194">
        <f>_1_541284561214624104645789101745[[#This Row],[LIST $]]*_1_541284561214624104645789101745[[#This Row],[DISCOUNT]]*_1_541284561214624104645789101745[[#This Row],[DISCOUNT 2]]</f>
        <v>0</v>
      </c>
      <c r="M314" s="194">
        <f>IF(OR(_1_541284561214624104645789101745[[#This Row],[UNIT]]&gt;0,_1_541284561214624104645789101745[[#This Row],[UNIT]]&lt;0),_1_541284561214624104645789101745[[#This Row],[UNIT]]*_1_541284561214624104645789101745[[#This Row],[COST]],0)</f>
        <v>0</v>
      </c>
      <c r="N314" s="194">
        <f t="shared" si="4"/>
        <v>1.5</v>
      </c>
      <c r="O314" s="198">
        <f>_1_541284561214624104645789101745[[#This Row],[TOTAL]]*_1_541284561214624104645789101745[[#This Row],[MARGIN]]</f>
        <v>0</v>
      </c>
      <c r="R314" s="41"/>
    </row>
    <row r="315" spans="1:18">
      <c r="D315" s="188"/>
      <c r="F315" s="168" t="s">
        <v>6202</v>
      </c>
      <c r="G315" s="193">
        <f>IF(_1_541284561214624104645789101745[[#This Row],[Type]]&gt;0,VLOOKUP(_1_541284561214624104645789101745[[#This Row],[Type]],Main[[#All],[TYPE]:[UNIT]],'Unit Price'!C$1,FALSE),0)</f>
        <v>0</v>
      </c>
      <c r="H315" s="197">
        <f>IF(_1_541284561214624104645789101745[[#This Row],[Type]]&gt;0,VLOOKUP(_1_541284561214624104645789101745[[#This Row],[Type]],Main[[#All],[TYPE]:[UNIT]],'Unit Price'!D$1,FALSE),0)</f>
        <v>0</v>
      </c>
      <c r="I315" s="194">
        <f>IF(_1_541284561214624104645789101745[[#This Row],[Type]]&gt;0,VLOOKUP(_1_541284561214624104645789101745[[#This Row],[Type]],Main[[#All],[TYPE]:[UNIT]],'Unit Price'!G$1,FALSE),0)</f>
        <v>0</v>
      </c>
      <c r="J315" s="194">
        <f>IF(_1_541284561214624104645789101745[[#This Row],[Type]]&gt;0,VLOOKUP(_1_541284561214624104645789101745[[#This Row],[Type]],Main[[#All],[TYPE]:[UNIT]],'Unit Price'!H$1,FALSE),0)</f>
        <v>0</v>
      </c>
      <c r="K315" s="194">
        <f>IF(_1_541284561214624104645789101745[[#This Row],[Discount selection]]&gt;0,VLOOKUP(_1_541284561214624104645789101745[[#This Row],[Discount selection]],'Discount Structure'!$A$2:$B$30,2,"false"),0)</f>
        <v>1</v>
      </c>
      <c r="L315" s="194">
        <f>_1_541284561214624104645789101745[[#This Row],[LIST $]]*_1_541284561214624104645789101745[[#This Row],[DISCOUNT]]*_1_541284561214624104645789101745[[#This Row],[DISCOUNT 2]]</f>
        <v>0</v>
      </c>
      <c r="M315" s="194">
        <f>IF(OR(_1_541284561214624104645789101745[[#This Row],[UNIT]]&gt;0,_1_541284561214624104645789101745[[#This Row],[UNIT]]&lt;0),_1_541284561214624104645789101745[[#This Row],[UNIT]]*_1_541284561214624104645789101745[[#This Row],[COST]],0)</f>
        <v>0</v>
      </c>
      <c r="N315" s="194">
        <f t="shared" si="4"/>
        <v>1.5</v>
      </c>
      <c r="O315" s="198">
        <f>_1_541284561214624104645789101745[[#This Row],[TOTAL]]*_1_541284561214624104645789101745[[#This Row],[MARGIN]]</f>
        <v>0</v>
      </c>
      <c r="R315" s="41"/>
    </row>
    <row r="316" spans="1:18">
      <c r="A316" s="328"/>
      <c r="B316" s="323"/>
      <c r="C316" s="326"/>
      <c r="D316" s="188"/>
      <c r="F316" s="168" t="s">
        <v>6202</v>
      </c>
      <c r="G316" s="193">
        <f>IF(_1_541284561214624104645789101745[[#This Row],[Type]]&gt;0,VLOOKUP(_1_541284561214624104645789101745[[#This Row],[Type]],Main[[#All],[TYPE]:[UNIT]],'Unit Price'!C$1,FALSE),0)</f>
        <v>0</v>
      </c>
      <c r="H316" s="197">
        <f>IF(_1_541284561214624104645789101745[[#This Row],[Type]]&gt;0,VLOOKUP(_1_541284561214624104645789101745[[#This Row],[Type]],Main[[#All],[TYPE]:[UNIT]],'Unit Price'!D$1,FALSE),0)</f>
        <v>0</v>
      </c>
      <c r="I316" s="194">
        <f>IF(_1_541284561214624104645789101745[[#This Row],[Type]]&gt;0,VLOOKUP(_1_541284561214624104645789101745[[#This Row],[Type]],Main[[#All],[TYPE]:[UNIT]],'Unit Price'!G$1,FALSE),0)</f>
        <v>0</v>
      </c>
      <c r="J316" s="194">
        <f>IF(_1_541284561214624104645789101745[[#This Row],[Type]]&gt;0,VLOOKUP(_1_541284561214624104645789101745[[#This Row],[Type]],Main[[#All],[TYPE]:[UNIT]],'Unit Price'!H$1,FALSE),0)</f>
        <v>0</v>
      </c>
      <c r="K316" s="194">
        <f>IF(_1_541284561214624104645789101745[[#This Row],[Discount selection]]&gt;0,VLOOKUP(_1_541284561214624104645789101745[[#This Row],[Discount selection]],'Discount Structure'!$A$2:$B$30,2,"false"),0)</f>
        <v>1</v>
      </c>
      <c r="L316" s="194">
        <f>_1_541284561214624104645789101745[[#This Row],[LIST $]]*_1_541284561214624104645789101745[[#This Row],[DISCOUNT]]*_1_541284561214624104645789101745[[#This Row],[DISCOUNT 2]]</f>
        <v>0</v>
      </c>
      <c r="M316" s="194">
        <f>IF(OR(_1_541284561214624104645789101745[[#This Row],[UNIT]]&gt;0,_1_541284561214624104645789101745[[#This Row],[UNIT]]&lt;0),_1_541284561214624104645789101745[[#This Row],[UNIT]]*_1_541284561214624104645789101745[[#This Row],[COST]],0)</f>
        <v>0</v>
      </c>
      <c r="N316" s="194">
        <f t="shared" si="4"/>
        <v>1.5</v>
      </c>
      <c r="O316" s="198">
        <f>_1_541284561214624104645789101745[[#This Row],[TOTAL]]*_1_541284561214624104645789101745[[#This Row],[MARGIN]]</f>
        <v>0</v>
      </c>
      <c r="R316" s="41"/>
    </row>
    <row r="317" spans="1:18">
      <c r="C317" s="328"/>
      <c r="D317" s="188"/>
      <c r="F317" s="168" t="s">
        <v>6202</v>
      </c>
      <c r="G317" s="193">
        <f>IF(_1_541284561214624104645789101745[[#This Row],[Type]]&gt;0,VLOOKUP(_1_541284561214624104645789101745[[#This Row],[Type]],Main[[#All],[TYPE]:[UNIT]],'Unit Price'!C$1,FALSE),0)</f>
        <v>0</v>
      </c>
      <c r="H317" s="197">
        <f>IF(_1_541284561214624104645789101745[[#This Row],[Type]]&gt;0,VLOOKUP(_1_541284561214624104645789101745[[#This Row],[Type]],Main[[#All],[TYPE]:[UNIT]],'Unit Price'!D$1,FALSE),0)</f>
        <v>0</v>
      </c>
      <c r="I317" s="194">
        <f>IF(_1_541284561214624104645789101745[[#This Row],[Type]]&gt;0,VLOOKUP(_1_541284561214624104645789101745[[#This Row],[Type]],Main[[#All],[TYPE]:[UNIT]],'Unit Price'!G$1,FALSE),0)</f>
        <v>0</v>
      </c>
      <c r="J317" s="194">
        <f>IF(_1_541284561214624104645789101745[[#This Row],[Type]]&gt;0,VLOOKUP(_1_541284561214624104645789101745[[#This Row],[Type]],Main[[#All],[TYPE]:[UNIT]],'Unit Price'!H$1,FALSE),0)</f>
        <v>0</v>
      </c>
      <c r="K317" s="194">
        <f>IF(_1_541284561214624104645789101745[[#This Row],[Discount selection]]&gt;0,VLOOKUP(_1_541284561214624104645789101745[[#This Row],[Discount selection]],'Discount Structure'!$A$2:$B$30,2,"false"),0)</f>
        <v>1</v>
      </c>
      <c r="L317" s="194">
        <f>_1_541284561214624104645789101745[[#This Row],[LIST $]]*_1_541284561214624104645789101745[[#This Row],[DISCOUNT]]*_1_541284561214624104645789101745[[#This Row],[DISCOUNT 2]]</f>
        <v>0</v>
      </c>
      <c r="M317" s="194">
        <f>IF(OR(_1_541284561214624104645789101745[[#This Row],[UNIT]]&gt;0,_1_541284561214624104645789101745[[#This Row],[UNIT]]&lt;0),_1_541284561214624104645789101745[[#This Row],[UNIT]]*_1_541284561214624104645789101745[[#This Row],[COST]],0)</f>
        <v>0</v>
      </c>
      <c r="N317" s="194">
        <f t="shared" si="4"/>
        <v>1.5</v>
      </c>
      <c r="O317" s="198">
        <f>_1_541284561214624104645789101745[[#This Row],[TOTAL]]*_1_541284561214624104645789101745[[#This Row],[MARGIN]]</f>
        <v>0</v>
      </c>
      <c r="R317" s="41"/>
    </row>
    <row r="318" spans="1:18">
      <c r="D318" s="188"/>
      <c r="F318" s="168" t="s">
        <v>6202</v>
      </c>
      <c r="G318" s="193">
        <f>IF(_1_541284561214624104645789101745[[#This Row],[Type]]&gt;0,VLOOKUP(_1_541284561214624104645789101745[[#This Row],[Type]],Main[[#All],[TYPE]:[UNIT]],'Unit Price'!C$1,FALSE),0)</f>
        <v>0</v>
      </c>
      <c r="H318" s="197">
        <f>IF(_1_541284561214624104645789101745[[#This Row],[Type]]&gt;0,VLOOKUP(_1_541284561214624104645789101745[[#This Row],[Type]],Main[[#All],[TYPE]:[UNIT]],'Unit Price'!D$1,FALSE),0)</f>
        <v>0</v>
      </c>
      <c r="I318" s="194">
        <f>IF(_1_541284561214624104645789101745[[#This Row],[Type]]&gt;0,VLOOKUP(_1_541284561214624104645789101745[[#This Row],[Type]],Main[[#All],[TYPE]:[UNIT]],'Unit Price'!G$1,FALSE),0)</f>
        <v>0</v>
      </c>
      <c r="J318" s="194">
        <f>IF(_1_541284561214624104645789101745[[#This Row],[Type]]&gt;0,VLOOKUP(_1_541284561214624104645789101745[[#This Row],[Type]],Main[[#All],[TYPE]:[UNIT]],'Unit Price'!H$1,FALSE),0)</f>
        <v>0</v>
      </c>
      <c r="K318" s="194">
        <f>IF(_1_541284561214624104645789101745[[#This Row],[Discount selection]]&gt;0,VLOOKUP(_1_541284561214624104645789101745[[#This Row],[Discount selection]],'Discount Structure'!$A$2:$B$30,2,"false"),0)</f>
        <v>1</v>
      </c>
      <c r="L318" s="194">
        <f>_1_541284561214624104645789101745[[#This Row],[LIST $]]*_1_541284561214624104645789101745[[#This Row],[DISCOUNT]]*_1_541284561214624104645789101745[[#This Row],[DISCOUNT 2]]</f>
        <v>0</v>
      </c>
      <c r="M318" s="194">
        <f>IF(OR(_1_541284561214624104645789101745[[#This Row],[UNIT]]&gt;0,_1_541284561214624104645789101745[[#This Row],[UNIT]]&lt;0),_1_541284561214624104645789101745[[#This Row],[UNIT]]*_1_541284561214624104645789101745[[#This Row],[COST]],0)</f>
        <v>0</v>
      </c>
      <c r="N318" s="194">
        <f t="shared" si="4"/>
        <v>1.5</v>
      </c>
      <c r="O318" s="198">
        <f>_1_541284561214624104645789101745[[#This Row],[TOTAL]]*_1_541284561214624104645789101745[[#This Row],[MARGIN]]</f>
        <v>0</v>
      </c>
      <c r="R318" s="41"/>
    </row>
    <row r="319" spans="1:18">
      <c r="A319" s="353"/>
      <c r="D319" s="188"/>
      <c r="F319" s="168" t="s">
        <v>6202</v>
      </c>
      <c r="G319" s="193">
        <f>IF(_1_541284561214624104645789101745[[#This Row],[Type]]&gt;0,VLOOKUP(_1_541284561214624104645789101745[[#This Row],[Type]],Main[[#All],[TYPE]:[UNIT]],'Unit Price'!C$1,FALSE),0)</f>
        <v>0</v>
      </c>
      <c r="H319" s="197">
        <f>IF(_1_541284561214624104645789101745[[#This Row],[Type]]&gt;0,VLOOKUP(_1_541284561214624104645789101745[[#This Row],[Type]],Main[[#All],[TYPE]:[UNIT]],'Unit Price'!D$1,FALSE),0)</f>
        <v>0</v>
      </c>
      <c r="I319" s="194">
        <f>IF(_1_541284561214624104645789101745[[#This Row],[Type]]&gt;0,VLOOKUP(_1_541284561214624104645789101745[[#This Row],[Type]],Main[[#All],[TYPE]:[UNIT]],'Unit Price'!G$1,FALSE),0)</f>
        <v>0</v>
      </c>
      <c r="J319" s="194">
        <f>IF(_1_541284561214624104645789101745[[#This Row],[Type]]&gt;0,VLOOKUP(_1_541284561214624104645789101745[[#This Row],[Type]],Main[[#All],[TYPE]:[UNIT]],'Unit Price'!H$1,FALSE),0)</f>
        <v>0</v>
      </c>
      <c r="K319" s="194">
        <f>IF(_1_541284561214624104645789101745[[#This Row],[Discount selection]]&gt;0,VLOOKUP(_1_541284561214624104645789101745[[#This Row],[Discount selection]],'Discount Structure'!$A$2:$B$30,2,"false"),0)</f>
        <v>1</v>
      </c>
      <c r="L319" s="194">
        <f>_1_541284561214624104645789101745[[#This Row],[LIST $]]*_1_541284561214624104645789101745[[#This Row],[DISCOUNT]]*_1_541284561214624104645789101745[[#This Row],[DISCOUNT 2]]</f>
        <v>0</v>
      </c>
      <c r="M319" s="194">
        <f>IF(OR(_1_541284561214624104645789101745[[#This Row],[UNIT]]&gt;0,_1_541284561214624104645789101745[[#This Row],[UNIT]]&lt;0),_1_541284561214624104645789101745[[#This Row],[UNIT]]*_1_541284561214624104645789101745[[#This Row],[COST]],0)</f>
        <v>0</v>
      </c>
      <c r="N319" s="194">
        <f t="shared" si="4"/>
        <v>1.5</v>
      </c>
      <c r="O319" s="198">
        <f>_1_541284561214624104645789101745[[#This Row],[TOTAL]]*_1_541284561214624104645789101745[[#This Row],[MARGIN]]</f>
        <v>0</v>
      </c>
      <c r="R319" s="41"/>
    </row>
    <row r="320" spans="1:18">
      <c r="B320" s="326"/>
      <c r="C320" s="326"/>
      <c r="D320" s="188"/>
      <c r="F320" s="168" t="s">
        <v>6202</v>
      </c>
      <c r="G320" s="193">
        <f>IF(_1_541284561214624104645789101745[[#This Row],[Type]]&gt;0,VLOOKUP(_1_541284561214624104645789101745[[#This Row],[Type]],Main[[#All],[TYPE]:[UNIT]],'Unit Price'!C$1,FALSE),0)</f>
        <v>0</v>
      </c>
      <c r="H320" s="197">
        <f>IF(_1_541284561214624104645789101745[[#This Row],[Type]]&gt;0,VLOOKUP(_1_541284561214624104645789101745[[#This Row],[Type]],Main[[#All],[TYPE]:[UNIT]],'Unit Price'!D$1,FALSE),0)</f>
        <v>0</v>
      </c>
      <c r="I320" s="194">
        <f>IF(_1_541284561214624104645789101745[[#This Row],[Type]]&gt;0,VLOOKUP(_1_541284561214624104645789101745[[#This Row],[Type]],Main[[#All],[TYPE]:[UNIT]],'Unit Price'!G$1,FALSE),0)</f>
        <v>0</v>
      </c>
      <c r="J320" s="194">
        <f>IF(_1_541284561214624104645789101745[[#This Row],[Type]]&gt;0,VLOOKUP(_1_541284561214624104645789101745[[#This Row],[Type]],Main[[#All],[TYPE]:[UNIT]],'Unit Price'!H$1,FALSE),0)</f>
        <v>0</v>
      </c>
      <c r="K320" s="194">
        <f>IF(_1_541284561214624104645789101745[[#This Row],[Discount selection]]&gt;0,VLOOKUP(_1_541284561214624104645789101745[[#This Row],[Discount selection]],'Discount Structure'!$A$2:$B$30,2,"false"),0)</f>
        <v>1</v>
      </c>
      <c r="L320" s="194">
        <f>_1_541284561214624104645789101745[[#This Row],[LIST $]]*_1_541284561214624104645789101745[[#This Row],[DISCOUNT]]*_1_541284561214624104645789101745[[#This Row],[DISCOUNT 2]]</f>
        <v>0</v>
      </c>
      <c r="M320" s="194">
        <f>IF(OR(_1_541284561214624104645789101745[[#This Row],[UNIT]]&gt;0,_1_541284561214624104645789101745[[#This Row],[UNIT]]&lt;0),_1_541284561214624104645789101745[[#This Row],[UNIT]]*_1_541284561214624104645789101745[[#This Row],[COST]],0)</f>
        <v>0</v>
      </c>
      <c r="N320" s="194">
        <f t="shared" si="4"/>
        <v>1.5</v>
      </c>
      <c r="O320" s="198">
        <f>_1_541284561214624104645789101745[[#This Row],[TOTAL]]*_1_541284561214624104645789101745[[#This Row],[MARGIN]]</f>
        <v>0</v>
      </c>
      <c r="R320" s="41"/>
    </row>
    <row r="321" spans="1:18">
      <c r="A321" s="168"/>
      <c r="B321" s="168"/>
      <c r="C321" s="168"/>
      <c r="D321" s="188"/>
      <c r="F321" s="168" t="s">
        <v>6202</v>
      </c>
      <c r="G321" s="193">
        <f>IF(_1_541284561214624104645789101745[[#This Row],[Type]]&gt;0,VLOOKUP(_1_541284561214624104645789101745[[#This Row],[Type]],Main[[#All],[TYPE]:[UNIT]],'Unit Price'!C$1,FALSE),0)</f>
        <v>0</v>
      </c>
      <c r="H321" s="197">
        <f>IF(_1_541284561214624104645789101745[[#This Row],[Type]]&gt;0,VLOOKUP(_1_541284561214624104645789101745[[#This Row],[Type]],Main[[#All],[TYPE]:[UNIT]],'Unit Price'!D$1,FALSE),0)</f>
        <v>0</v>
      </c>
      <c r="I321" s="194">
        <f>IF(_1_541284561214624104645789101745[[#This Row],[Type]]&gt;0,VLOOKUP(_1_541284561214624104645789101745[[#This Row],[Type]],Main[[#All],[TYPE]:[UNIT]],'Unit Price'!G$1,FALSE),0)</f>
        <v>0</v>
      </c>
      <c r="J321" s="194">
        <f>IF(_1_541284561214624104645789101745[[#This Row],[Type]]&gt;0,VLOOKUP(_1_541284561214624104645789101745[[#This Row],[Type]],Main[[#All],[TYPE]:[UNIT]],'Unit Price'!H$1,FALSE),0)</f>
        <v>0</v>
      </c>
      <c r="K321" s="194">
        <f>IF(_1_541284561214624104645789101745[[#This Row],[Discount selection]]&gt;0,VLOOKUP(_1_541284561214624104645789101745[[#This Row],[Discount selection]],'Discount Structure'!$A$2:$B$30,2,"false"),0)</f>
        <v>1</v>
      </c>
      <c r="L321" s="194">
        <f>_1_541284561214624104645789101745[[#This Row],[LIST $]]*_1_541284561214624104645789101745[[#This Row],[DISCOUNT]]*_1_541284561214624104645789101745[[#This Row],[DISCOUNT 2]]</f>
        <v>0</v>
      </c>
      <c r="M321" s="194">
        <f>IF(OR(_1_541284561214624104645789101745[[#This Row],[UNIT]]&gt;0,_1_541284561214624104645789101745[[#This Row],[UNIT]]&lt;0),_1_541284561214624104645789101745[[#This Row],[UNIT]]*_1_541284561214624104645789101745[[#This Row],[COST]],0)</f>
        <v>0</v>
      </c>
      <c r="N321" s="194">
        <f t="shared" si="4"/>
        <v>1.5</v>
      </c>
      <c r="O321" s="198">
        <f>_1_541284561214624104645789101745[[#This Row],[TOTAL]]*_1_541284561214624104645789101745[[#This Row],[MARGIN]]</f>
        <v>0</v>
      </c>
      <c r="R321" s="41"/>
    </row>
    <row r="322" spans="1:18">
      <c r="A322" s="327"/>
      <c r="B322" s="326"/>
      <c r="C322" s="326"/>
      <c r="D322" s="188"/>
      <c r="F322" s="168" t="s">
        <v>6202</v>
      </c>
      <c r="G322" s="193">
        <f>IF(_1_541284561214624104645789101745[[#This Row],[Type]]&gt;0,VLOOKUP(_1_541284561214624104645789101745[[#This Row],[Type]],Main[[#All],[TYPE]:[UNIT]],'Unit Price'!C$1,FALSE),0)</f>
        <v>0</v>
      </c>
      <c r="H322" s="197">
        <f>IF(_1_541284561214624104645789101745[[#This Row],[Type]]&gt;0,VLOOKUP(_1_541284561214624104645789101745[[#This Row],[Type]],Main[[#All],[TYPE]:[UNIT]],'Unit Price'!D$1,FALSE),0)</f>
        <v>0</v>
      </c>
      <c r="I322" s="194">
        <f>IF(_1_541284561214624104645789101745[[#This Row],[Type]]&gt;0,VLOOKUP(_1_541284561214624104645789101745[[#This Row],[Type]],Main[[#All],[TYPE]:[UNIT]],'Unit Price'!G$1,FALSE),0)</f>
        <v>0</v>
      </c>
      <c r="J322" s="194">
        <f>IF(_1_541284561214624104645789101745[[#This Row],[Type]]&gt;0,VLOOKUP(_1_541284561214624104645789101745[[#This Row],[Type]],Main[[#All],[TYPE]:[UNIT]],'Unit Price'!H$1,FALSE),0)</f>
        <v>0</v>
      </c>
      <c r="K322" s="194">
        <f>IF(_1_541284561214624104645789101745[[#This Row],[Discount selection]]&gt;0,VLOOKUP(_1_541284561214624104645789101745[[#This Row],[Discount selection]],'Discount Structure'!$A$2:$B$30,2,"false"),0)</f>
        <v>1</v>
      </c>
      <c r="L322" s="194">
        <f>_1_541284561214624104645789101745[[#This Row],[LIST $]]*_1_541284561214624104645789101745[[#This Row],[DISCOUNT]]*_1_541284561214624104645789101745[[#This Row],[DISCOUNT 2]]</f>
        <v>0</v>
      </c>
      <c r="M322" s="194">
        <f>IF(OR(_1_541284561214624104645789101745[[#This Row],[UNIT]]&gt;0,_1_541284561214624104645789101745[[#This Row],[UNIT]]&lt;0),_1_541284561214624104645789101745[[#This Row],[UNIT]]*_1_541284561214624104645789101745[[#This Row],[COST]],0)</f>
        <v>0</v>
      </c>
      <c r="N322" s="194">
        <f t="shared" si="4"/>
        <v>1.5</v>
      </c>
      <c r="O322" s="198">
        <f>_1_541284561214624104645789101745[[#This Row],[TOTAL]]*_1_541284561214624104645789101745[[#This Row],[MARGIN]]</f>
        <v>0</v>
      </c>
      <c r="R322" s="41"/>
    </row>
    <row r="323" spans="1:18">
      <c r="A323" s="326"/>
      <c r="B323" s="353"/>
      <c r="C323" s="323"/>
      <c r="D323" s="188"/>
      <c r="F323" s="168" t="s">
        <v>6202</v>
      </c>
      <c r="G323" s="193">
        <f>IF(_1_541284561214624104645789101745[[#This Row],[Type]]&gt;0,VLOOKUP(_1_541284561214624104645789101745[[#This Row],[Type]],Main[[#All],[TYPE]:[UNIT]],'Unit Price'!C$1,FALSE),0)</f>
        <v>0</v>
      </c>
      <c r="H323" s="197">
        <f>IF(_1_541284561214624104645789101745[[#This Row],[Type]]&gt;0,VLOOKUP(_1_541284561214624104645789101745[[#This Row],[Type]],Main[[#All],[TYPE]:[UNIT]],'Unit Price'!D$1,FALSE),0)</f>
        <v>0</v>
      </c>
      <c r="I323" s="194">
        <f>IF(_1_541284561214624104645789101745[[#This Row],[Type]]&gt;0,VLOOKUP(_1_541284561214624104645789101745[[#This Row],[Type]],Main[[#All],[TYPE]:[UNIT]],'Unit Price'!G$1,FALSE),0)</f>
        <v>0</v>
      </c>
      <c r="J323" s="194">
        <f>IF(_1_541284561214624104645789101745[[#This Row],[Type]]&gt;0,VLOOKUP(_1_541284561214624104645789101745[[#This Row],[Type]],Main[[#All],[TYPE]:[UNIT]],'Unit Price'!H$1,FALSE),0)</f>
        <v>0</v>
      </c>
      <c r="K323" s="194">
        <f>IF(_1_541284561214624104645789101745[[#This Row],[Discount selection]]&gt;0,VLOOKUP(_1_541284561214624104645789101745[[#This Row],[Discount selection]],'Discount Structure'!$A$2:$B$30,2,"false"),0)</f>
        <v>1</v>
      </c>
      <c r="L323" s="194">
        <f>_1_541284561214624104645789101745[[#This Row],[LIST $]]*_1_541284561214624104645789101745[[#This Row],[DISCOUNT]]*_1_541284561214624104645789101745[[#This Row],[DISCOUNT 2]]</f>
        <v>0</v>
      </c>
      <c r="M323" s="194">
        <f>IF(OR(_1_541284561214624104645789101745[[#This Row],[UNIT]]&gt;0,_1_541284561214624104645789101745[[#This Row],[UNIT]]&lt;0),_1_541284561214624104645789101745[[#This Row],[UNIT]]*_1_541284561214624104645789101745[[#This Row],[COST]],0)</f>
        <v>0</v>
      </c>
      <c r="N323" s="194">
        <f t="shared" si="4"/>
        <v>1.5</v>
      </c>
      <c r="O323" s="198">
        <f>_1_541284561214624104645789101745[[#This Row],[TOTAL]]*_1_541284561214624104645789101745[[#This Row],[MARGIN]]</f>
        <v>0</v>
      </c>
      <c r="R323" s="41"/>
    </row>
    <row r="324" spans="1:18">
      <c r="C324" s="353"/>
      <c r="D324" s="188"/>
      <c r="F324" s="168" t="s">
        <v>6202</v>
      </c>
      <c r="G324" s="205">
        <f>IF(_1_541284561214624104645789101745[[#This Row],[Type]]&gt;0,VLOOKUP(_1_541284561214624104645789101745[[#This Row],[Type]],Main[[#All],[TYPE]:[UNIT]],'Unit Price'!C$1,FALSE),0)</f>
        <v>0</v>
      </c>
      <c r="H324" s="197">
        <f>IF(_1_541284561214624104645789101745[[#This Row],[Type]]&gt;0,VLOOKUP(_1_541284561214624104645789101745[[#This Row],[Type]],Main[[#All],[TYPE]:[UNIT]],'Unit Price'!D$1,FALSE),0)</f>
        <v>0</v>
      </c>
      <c r="I324" s="194">
        <f>IF(_1_541284561214624104645789101745[[#This Row],[Type]]&gt;0,VLOOKUP(_1_541284561214624104645789101745[[#This Row],[Type]],Main[[#All],[TYPE]:[UNIT]],'Unit Price'!G$1,FALSE),0)</f>
        <v>0</v>
      </c>
      <c r="J324" s="194">
        <f>IF(_1_541284561214624104645789101745[[#This Row],[Type]]&gt;0,VLOOKUP(_1_541284561214624104645789101745[[#This Row],[Type]],Main[[#All],[TYPE]:[UNIT]],'Unit Price'!H$1,FALSE),0)</f>
        <v>0</v>
      </c>
      <c r="K324" s="194">
        <f>IF(_1_541284561214624104645789101745[[#This Row],[Discount selection]]&gt;0,VLOOKUP(_1_541284561214624104645789101745[[#This Row],[Discount selection]],'Discount Structure'!$A$2:$B$30,2,"false"),0)</f>
        <v>1</v>
      </c>
      <c r="L324" s="194">
        <f>_1_541284561214624104645789101745[[#This Row],[LIST $]]*_1_541284561214624104645789101745[[#This Row],[DISCOUNT]]*_1_541284561214624104645789101745[[#This Row],[DISCOUNT 2]]</f>
        <v>0</v>
      </c>
      <c r="M324" s="194">
        <f>IF(OR(_1_541284561214624104645789101745[[#This Row],[UNIT]]&gt;0,_1_541284561214624104645789101745[[#This Row],[UNIT]]&lt;0),_1_541284561214624104645789101745[[#This Row],[UNIT]]*_1_541284561214624104645789101745[[#This Row],[COST]],0)</f>
        <v>0</v>
      </c>
      <c r="N324" s="194">
        <f t="shared" si="4"/>
        <v>1.5</v>
      </c>
      <c r="O324" s="198">
        <f>_1_541284561214624104645789101745[[#This Row],[TOTAL]]*_1_541284561214624104645789101745[[#This Row],[MARGIN]]</f>
        <v>0</v>
      </c>
      <c r="R324" s="41"/>
    </row>
    <row r="325" spans="1:18">
      <c r="D325" s="188"/>
      <c r="F325" s="168" t="s">
        <v>6202</v>
      </c>
      <c r="G325" s="193">
        <f>IF(_1_541284561214624104645789101745[[#This Row],[Type]]&gt;0,VLOOKUP(_1_541284561214624104645789101745[[#This Row],[Type]],Main[[#All],[TYPE]:[UNIT]],'Unit Price'!C$1,FALSE),0)</f>
        <v>0</v>
      </c>
      <c r="H325" s="197">
        <f>IF(_1_541284561214624104645789101745[[#This Row],[Type]]&gt;0,VLOOKUP(_1_541284561214624104645789101745[[#This Row],[Type]],Main[[#All],[TYPE]:[UNIT]],'Unit Price'!D$1,FALSE),0)</f>
        <v>0</v>
      </c>
      <c r="I325" s="194">
        <f>IF(_1_541284561214624104645789101745[[#This Row],[Type]]&gt;0,VLOOKUP(_1_541284561214624104645789101745[[#This Row],[Type]],Main[[#All],[TYPE]:[UNIT]],'Unit Price'!G$1,FALSE),0)</f>
        <v>0</v>
      </c>
      <c r="J325" s="194">
        <f>IF(_1_541284561214624104645789101745[[#This Row],[Type]]&gt;0,VLOOKUP(_1_541284561214624104645789101745[[#This Row],[Type]],Main[[#All],[TYPE]:[UNIT]],'Unit Price'!H$1,FALSE),0)</f>
        <v>0</v>
      </c>
      <c r="K325" s="194">
        <f>IF(_1_541284561214624104645789101745[[#This Row],[Discount selection]]&gt;0,VLOOKUP(_1_541284561214624104645789101745[[#This Row],[Discount selection]],'Discount Structure'!$A$2:$B$30,2,"false"),0)</f>
        <v>1</v>
      </c>
      <c r="L325" s="194">
        <f>_1_541284561214624104645789101745[[#This Row],[LIST $]]*_1_541284561214624104645789101745[[#This Row],[DISCOUNT]]*_1_541284561214624104645789101745[[#This Row],[DISCOUNT 2]]</f>
        <v>0</v>
      </c>
      <c r="M325" s="194">
        <f>IF(OR(_1_541284561214624104645789101745[[#This Row],[UNIT]]&gt;0,_1_541284561214624104645789101745[[#This Row],[UNIT]]&lt;0),_1_541284561214624104645789101745[[#This Row],[UNIT]]*_1_541284561214624104645789101745[[#This Row],[COST]],0)</f>
        <v>0</v>
      </c>
      <c r="N325" s="194">
        <f t="shared" si="4"/>
        <v>1.5</v>
      </c>
      <c r="O325" s="198">
        <f>_1_541284561214624104645789101745[[#This Row],[TOTAL]]*_1_541284561214624104645789101745[[#This Row],[MARGIN]]</f>
        <v>0</v>
      </c>
      <c r="R325" s="41"/>
    </row>
    <row r="326" spans="1:18">
      <c r="A326" s="323"/>
      <c r="C326" s="353"/>
      <c r="D326" s="188"/>
      <c r="F326" s="168" t="s">
        <v>6202</v>
      </c>
      <c r="G326" s="193">
        <f>IF(_1_541284561214624104645789101745[[#This Row],[Type]]&gt;0,VLOOKUP(_1_541284561214624104645789101745[[#This Row],[Type]],Main[[#All],[TYPE]:[UNIT]],'Unit Price'!C$1,FALSE),0)</f>
        <v>0</v>
      </c>
      <c r="H326" s="197">
        <f>IF(_1_541284561214624104645789101745[[#This Row],[Type]]&gt;0,VLOOKUP(_1_541284561214624104645789101745[[#This Row],[Type]],Main[[#All],[TYPE]:[UNIT]],'Unit Price'!D$1,FALSE),0)</f>
        <v>0</v>
      </c>
      <c r="I326" s="194">
        <f>IF(_1_541284561214624104645789101745[[#This Row],[Type]]&gt;0,VLOOKUP(_1_541284561214624104645789101745[[#This Row],[Type]],Main[[#All],[TYPE]:[UNIT]],'Unit Price'!G$1,FALSE),0)</f>
        <v>0</v>
      </c>
      <c r="J326" s="194">
        <f>IF(_1_541284561214624104645789101745[[#This Row],[Type]]&gt;0,VLOOKUP(_1_541284561214624104645789101745[[#This Row],[Type]],Main[[#All],[TYPE]:[UNIT]],'Unit Price'!H$1,FALSE),0)</f>
        <v>0</v>
      </c>
      <c r="K326" s="194">
        <f>IF(_1_541284561214624104645789101745[[#This Row],[Discount selection]]&gt;0,VLOOKUP(_1_541284561214624104645789101745[[#This Row],[Discount selection]],'Discount Structure'!$A$2:$B$30,2,"false"),0)</f>
        <v>1</v>
      </c>
      <c r="L326" s="194">
        <f>_1_541284561214624104645789101745[[#This Row],[LIST $]]*_1_541284561214624104645789101745[[#This Row],[DISCOUNT]]*_1_541284561214624104645789101745[[#This Row],[DISCOUNT 2]]</f>
        <v>0</v>
      </c>
      <c r="M326" s="194">
        <f>IF(OR(_1_541284561214624104645789101745[[#This Row],[UNIT]]&gt;0,_1_541284561214624104645789101745[[#This Row],[UNIT]]&lt;0),_1_541284561214624104645789101745[[#This Row],[UNIT]]*_1_541284561214624104645789101745[[#This Row],[COST]],0)</f>
        <v>0</v>
      </c>
      <c r="N326" s="194">
        <f t="shared" si="4"/>
        <v>1.5</v>
      </c>
      <c r="O326" s="198">
        <f>_1_541284561214624104645789101745[[#This Row],[TOTAL]]*_1_541284561214624104645789101745[[#This Row],[MARGIN]]</f>
        <v>0</v>
      </c>
      <c r="R326" s="41"/>
    </row>
    <row r="327" spans="1:18">
      <c r="B327" s="353"/>
      <c r="D327" s="188"/>
      <c r="F327" s="168" t="s">
        <v>6202</v>
      </c>
      <c r="G327" s="193">
        <f>IF(_1_541284561214624104645789101745[[#This Row],[Type]]&gt;0,VLOOKUP(_1_541284561214624104645789101745[[#This Row],[Type]],Main[[#All],[TYPE]:[UNIT]],'Unit Price'!C$1,FALSE),0)</f>
        <v>0</v>
      </c>
      <c r="H327" s="197">
        <f>IF(_1_541284561214624104645789101745[[#This Row],[Type]]&gt;0,VLOOKUP(_1_541284561214624104645789101745[[#This Row],[Type]],Main[[#All],[TYPE]:[UNIT]],'Unit Price'!D$1,FALSE),0)</f>
        <v>0</v>
      </c>
      <c r="I327" s="194">
        <f>IF(_1_541284561214624104645789101745[[#This Row],[Type]]&gt;0,VLOOKUP(_1_541284561214624104645789101745[[#This Row],[Type]],Main[[#All],[TYPE]:[UNIT]],'Unit Price'!G$1,FALSE),0)</f>
        <v>0</v>
      </c>
      <c r="J327" s="194">
        <f>IF(_1_541284561214624104645789101745[[#This Row],[Type]]&gt;0,VLOOKUP(_1_541284561214624104645789101745[[#This Row],[Type]],Main[[#All],[TYPE]:[UNIT]],'Unit Price'!H$1,FALSE),0)</f>
        <v>0</v>
      </c>
      <c r="K327" s="194">
        <f>IF(_1_541284561214624104645789101745[[#This Row],[Discount selection]]&gt;0,VLOOKUP(_1_541284561214624104645789101745[[#This Row],[Discount selection]],'Discount Structure'!$A$2:$B$30,2,"false"),0)</f>
        <v>1</v>
      </c>
      <c r="L327" s="194">
        <f>_1_541284561214624104645789101745[[#This Row],[LIST $]]*_1_541284561214624104645789101745[[#This Row],[DISCOUNT]]*_1_541284561214624104645789101745[[#This Row],[DISCOUNT 2]]</f>
        <v>0</v>
      </c>
      <c r="M327" s="194">
        <f>IF(OR(_1_541284561214624104645789101745[[#This Row],[UNIT]]&gt;0,_1_541284561214624104645789101745[[#This Row],[UNIT]]&lt;0),_1_541284561214624104645789101745[[#This Row],[UNIT]]*_1_541284561214624104645789101745[[#This Row],[COST]],0)</f>
        <v>0</v>
      </c>
      <c r="N327" s="194">
        <f t="shared" si="4"/>
        <v>1.5</v>
      </c>
      <c r="O327" s="198">
        <f>_1_541284561214624104645789101745[[#This Row],[TOTAL]]*_1_541284561214624104645789101745[[#This Row],[MARGIN]]</f>
        <v>0</v>
      </c>
      <c r="R327" s="41"/>
    </row>
    <row r="328" spans="1:18">
      <c r="A328" s="323"/>
      <c r="C328" s="323"/>
      <c r="D328" s="188"/>
      <c r="F328" s="168" t="s">
        <v>6202</v>
      </c>
      <c r="G328" s="193">
        <f>IF(_1_541284561214624104645789101745[[#This Row],[Type]]&gt;0,VLOOKUP(_1_541284561214624104645789101745[[#This Row],[Type]],Main[[#All],[TYPE]:[UNIT]],'Unit Price'!C$1,FALSE),0)</f>
        <v>0</v>
      </c>
      <c r="H328" s="197">
        <f>IF(_1_541284561214624104645789101745[[#This Row],[Type]]&gt;0,VLOOKUP(_1_541284561214624104645789101745[[#This Row],[Type]],Main[[#All],[TYPE]:[UNIT]],'Unit Price'!D$1,FALSE),0)</f>
        <v>0</v>
      </c>
      <c r="I328" s="194">
        <f>IF(_1_541284561214624104645789101745[[#This Row],[Type]]&gt;0,VLOOKUP(_1_541284561214624104645789101745[[#This Row],[Type]],Main[[#All],[TYPE]:[UNIT]],'Unit Price'!G$1,FALSE),0)</f>
        <v>0</v>
      </c>
      <c r="J328" s="194">
        <f>IF(_1_541284561214624104645789101745[[#This Row],[Type]]&gt;0,VLOOKUP(_1_541284561214624104645789101745[[#This Row],[Type]],Main[[#All],[TYPE]:[UNIT]],'Unit Price'!H$1,FALSE),0)</f>
        <v>0</v>
      </c>
      <c r="K328" s="194">
        <f>IF(_1_541284561214624104645789101745[[#This Row],[Discount selection]]&gt;0,VLOOKUP(_1_541284561214624104645789101745[[#This Row],[Discount selection]],'Discount Structure'!$A$2:$B$30,2,"false"),0)</f>
        <v>1</v>
      </c>
      <c r="L328" s="194">
        <f>_1_541284561214624104645789101745[[#This Row],[LIST $]]*_1_541284561214624104645789101745[[#This Row],[DISCOUNT]]*_1_541284561214624104645789101745[[#This Row],[DISCOUNT 2]]</f>
        <v>0</v>
      </c>
      <c r="M328" s="194">
        <f>IF(OR(_1_541284561214624104645789101745[[#This Row],[UNIT]]&gt;0,_1_541284561214624104645789101745[[#This Row],[UNIT]]&lt;0),_1_541284561214624104645789101745[[#This Row],[UNIT]]*_1_541284561214624104645789101745[[#This Row],[COST]],0)</f>
        <v>0</v>
      </c>
      <c r="N328" s="194">
        <f t="shared" si="4"/>
        <v>1.5</v>
      </c>
      <c r="O328" s="198">
        <f>_1_541284561214624104645789101745[[#This Row],[TOTAL]]*_1_541284561214624104645789101745[[#This Row],[MARGIN]]</f>
        <v>0</v>
      </c>
      <c r="R328" s="41"/>
    </row>
    <row r="329" spans="1:18">
      <c r="A329" s="323"/>
      <c r="B329" s="323"/>
      <c r="C329" s="323"/>
      <c r="D329" s="188"/>
      <c r="F329" s="168" t="s">
        <v>6202</v>
      </c>
      <c r="G329" s="193">
        <f>IF(_1_541284561214624104645789101745[[#This Row],[Type]]&gt;0,VLOOKUP(_1_541284561214624104645789101745[[#This Row],[Type]],Main[[#All],[TYPE]:[UNIT]],'Unit Price'!C$1,FALSE),0)</f>
        <v>0</v>
      </c>
      <c r="H329" s="197">
        <f>IF(_1_541284561214624104645789101745[[#This Row],[Type]]&gt;0,VLOOKUP(_1_541284561214624104645789101745[[#This Row],[Type]],Main[[#All],[TYPE]:[UNIT]],'Unit Price'!D$1,FALSE),0)</f>
        <v>0</v>
      </c>
      <c r="I329" s="194">
        <f>IF(_1_541284561214624104645789101745[[#This Row],[Type]]&gt;0,VLOOKUP(_1_541284561214624104645789101745[[#This Row],[Type]],Main[[#All],[TYPE]:[UNIT]],'Unit Price'!G$1,FALSE),0)</f>
        <v>0</v>
      </c>
      <c r="J329" s="194">
        <f>IF(_1_541284561214624104645789101745[[#This Row],[Type]]&gt;0,VLOOKUP(_1_541284561214624104645789101745[[#This Row],[Type]],Main[[#All],[TYPE]:[UNIT]],'Unit Price'!H$1,FALSE),0)</f>
        <v>0</v>
      </c>
      <c r="K329" s="194">
        <f>IF(_1_541284561214624104645789101745[[#This Row],[Discount selection]]&gt;0,VLOOKUP(_1_541284561214624104645789101745[[#This Row],[Discount selection]],'Discount Structure'!$A$2:$B$30,2,"false"),0)</f>
        <v>1</v>
      </c>
      <c r="L329" s="194">
        <f>_1_541284561214624104645789101745[[#This Row],[LIST $]]*_1_541284561214624104645789101745[[#This Row],[DISCOUNT]]*_1_541284561214624104645789101745[[#This Row],[DISCOUNT 2]]</f>
        <v>0</v>
      </c>
      <c r="M329" s="194">
        <f>IF(OR(_1_541284561214624104645789101745[[#This Row],[UNIT]]&gt;0,_1_541284561214624104645789101745[[#This Row],[UNIT]]&lt;0),_1_541284561214624104645789101745[[#This Row],[UNIT]]*_1_541284561214624104645789101745[[#This Row],[COST]],0)</f>
        <v>0</v>
      </c>
      <c r="N329" s="194">
        <f t="shared" si="4"/>
        <v>1.5</v>
      </c>
      <c r="O329" s="198">
        <f>_1_541284561214624104645789101745[[#This Row],[TOTAL]]*_1_541284561214624104645789101745[[#This Row],[MARGIN]]</f>
        <v>0</v>
      </c>
      <c r="R329" s="41"/>
    </row>
    <row r="330" spans="1:18">
      <c r="A330" s="168"/>
      <c r="D330" s="188"/>
      <c r="F330" s="168" t="s">
        <v>6202</v>
      </c>
      <c r="G330" s="205">
        <f>IF(_1_541284561214624104645789101745[[#This Row],[Type]]&gt;0,VLOOKUP(_1_541284561214624104645789101745[[#This Row],[Type]],Main[[#All],[TYPE]:[UNIT]],'Unit Price'!C$1,FALSE),0)</f>
        <v>0</v>
      </c>
      <c r="H330" s="197">
        <f>IF(_1_541284561214624104645789101745[[#This Row],[Type]]&gt;0,VLOOKUP(_1_541284561214624104645789101745[[#This Row],[Type]],Main[[#All],[TYPE]:[UNIT]],'Unit Price'!D$1,FALSE),0)</f>
        <v>0</v>
      </c>
      <c r="I330" s="194">
        <f>IF(_1_541284561214624104645789101745[[#This Row],[Type]]&gt;0,VLOOKUP(_1_541284561214624104645789101745[[#This Row],[Type]],Main[[#All],[TYPE]:[UNIT]],'Unit Price'!G$1,FALSE),0)</f>
        <v>0</v>
      </c>
      <c r="J330" s="194">
        <f>IF(_1_541284561214624104645789101745[[#This Row],[Type]]&gt;0,VLOOKUP(_1_541284561214624104645789101745[[#This Row],[Type]],Main[[#All],[TYPE]:[UNIT]],'Unit Price'!H$1,FALSE),0)</f>
        <v>0</v>
      </c>
      <c r="K330" s="194">
        <f>IF(_1_541284561214624104645789101745[[#This Row],[Discount selection]]&gt;0,VLOOKUP(_1_541284561214624104645789101745[[#This Row],[Discount selection]],'Discount Structure'!$A$2:$B$30,2,"false"),0)</f>
        <v>1</v>
      </c>
      <c r="L330" s="194">
        <f>_1_541284561214624104645789101745[[#This Row],[LIST $]]*_1_541284561214624104645789101745[[#This Row],[DISCOUNT]]*_1_541284561214624104645789101745[[#This Row],[DISCOUNT 2]]</f>
        <v>0</v>
      </c>
      <c r="M330" s="194">
        <f>IF(OR(_1_541284561214624104645789101745[[#This Row],[UNIT]]&gt;0,_1_541284561214624104645789101745[[#This Row],[UNIT]]&lt;0),_1_541284561214624104645789101745[[#This Row],[UNIT]]*_1_541284561214624104645789101745[[#This Row],[COST]],0)</f>
        <v>0</v>
      </c>
      <c r="N330" s="194">
        <f t="shared" ref="N330:N393" si="5">$N$7</f>
        <v>1.5</v>
      </c>
      <c r="O330" s="198">
        <f>_1_541284561214624104645789101745[[#This Row],[TOTAL]]*_1_541284561214624104645789101745[[#This Row],[MARGIN]]</f>
        <v>0</v>
      </c>
      <c r="R330" s="41"/>
    </row>
    <row r="331" spans="1:18">
      <c r="D331" s="188"/>
      <c r="F331" s="168" t="s">
        <v>6202</v>
      </c>
      <c r="G331" s="193">
        <f>IF(_1_541284561214624104645789101745[[#This Row],[Type]]&gt;0,VLOOKUP(_1_541284561214624104645789101745[[#This Row],[Type]],Main[[#All],[TYPE]:[UNIT]],'Unit Price'!C$1,FALSE),0)</f>
        <v>0</v>
      </c>
      <c r="H331" s="197">
        <f>IF(_1_541284561214624104645789101745[[#This Row],[Type]]&gt;0,VLOOKUP(_1_541284561214624104645789101745[[#This Row],[Type]],Main[[#All],[TYPE]:[UNIT]],'Unit Price'!D$1,FALSE),0)</f>
        <v>0</v>
      </c>
      <c r="I331" s="194">
        <f>IF(_1_541284561214624104645789101745[[#This Row],[Type]]&gt;0,VLOOKUP(_1_541284561214624104645789101745[[#This Row],[Type]],Main[[#All],[TYPE]:[UNIT]],'Unit Price'!G$1,FALSE),0)</f>
        <v>0</v>
      </c>
      <c r="J331" s="194">
        <f>IF(_1_541284561214624104645789101745[[#This Row],[Type]]&gt;0,VLOOKUP(_1_541284561214624104645789101745[[#This Row],[Type]],Main[[#All],[TYPE]:[UNIT]],'Unit Price'!H$1,FALSE),0)</f>
        <v>0</v>
      </c>
      <c r="K331" s="194">
        <f>IF(_1_541284561214624104645789101745[[#This Row],[Discount selection]]&gt;0,VLOOKUP(_1_541284561214624104645789101745[[#This Row],[Discount selection]],'Discount Structure'!$A$2:$B$30,2,"false"),0)</f>
        <v>1</v>
      </c>
      <c r="L331" s="194">
        <f>_1_541284561214624104645789101745[[#This Row],[LIST $]]*_1_541284561214624104645789101745[[#This Row],[DISCOUNT]]*_1_541284561214624104645789101745[[#This Row],[DISCOUNT 2]]</f>
        <v>0</v>
      </c>
      <c r="M331" s="194">
        <f>IF(OR(_1_541284561214624104645789101745[[#This Row],[UNIT]]&gt;0,_1_541284561214624104645789101745[[#This Row],[UNIT]]&lt;0),_1_541284561214624104645789101745[[#This Row],[UNIT]]*_1_541284561214624104645789101745[[#This Row],[COST]],0)</f>
        <v>0</v>
      </c>
      <c r="N331" s="194">
        <f t="shared" si="5"/>
        <v>1.5</v>
      </c>
      <c r="O331" s="198">
        <f>_1_541284561214624104645789101745[[#This Row],[TOTAL]]*_1_541284561214624104645789101745[[#This Row],[MARGIN]]</f>
        <v>0</v>
      </c>
      <c r="R331" s="41"/>
    </row>
    <row r="332" spans="1:18">
      <c r="A332" s="168"/>
      <c r="B332" s="168"/>
      <c r="C332" s="168"/>
      <c r="D332" s="188"/>
      <c r="F332" s="168" t="s">
        <v>6202</v>
      </c>
      <c r="G332" s="193">
        <f>IF(_1_541284561214624104645789101745[[#This Row],[Type]]&gt;0,VLOOKUP(_1_541284561214624104645789101745[[#This Row],[Type]],Main[[#All],[TYPE]:[UNIT]],'Unit Price'!C$1,FALSE),0)</f>
        <v>0</v>
      </c>
      <c r="H332" s="197">
        <f>IF(_1_541284561214624104645789101745[[#This Row],[Type]]&gt;0,VLOOKUP(_1_541284561214624104645789101745[[#This Row],[Type]],Main[[#All],[TYPE]:[UNIT]],'Unit Price'!D$1,FALSE),0)</f>
        <v>0</v>
      </c>
      <c r="I332" s="194">
        <f>IF(_1_541284561214624104645789101745[[#This Row],[Type]]&gt;0,VLOOKUP(_1_541284561214624104645789101745[[#This Row],[Type]],Main[[#All],[TYPE]:[UNIT]],'Unit Price'!G$1,FALSE),0)</f>
        <v>0</v>
      </c>
      <c r="J332" s="194">
        <f>IF(_1_541284561214624104645789101745[[#This Row],[Type]]&gt;0,VLOOKUP(_1_541284561214624104645789101745[[#This Row],[Type]],Main[[#All],[TYPE]:[UNIT]],'Unit Price'!H$1,FALSE),0)</f>
        <v>0</v>
      </c>
      <c r="K332" s="194">
        <f>IF(_1_541284561214624104645789101745[[#This Row],[Discount selection]]&gt;0,VLOOKUP(_1_541284561214624104645789101745[[#This Row],[Discount selection]],'Discount Structure'!$A$2:$B$30,2,"false"),0)</f>
        <v>1</v>
      </c>
      <c r="L332" s="194">
        <f>_1_541284561214624104645789101745[[#This Row],[LIST $]]*_1_541284561214624104645789101745[[#This Row],[DISCOUNT]]*_1_541284561214624104645789101745[[#This Row],[DISCOUNT 2]]</f>
        <v>0</v>
      </c>
      <c r="M332" s="194">
        <f>IF(OR(_1_541284561214624104645789101745[[#This Row],[UNIT]]&gt;0,_1_541284561214624104645789101745[[#This Row],[UNIT]]&lt;0),_1_541284561214624104645789101745[[#This Row],[UNIT]]*_1_541284561214624104645789101745[[#This Row],[COST]],0)</f>
        <v>0</v>
      </c>
      <c r="N332" s="194">
        <f t="shared" si="5"/>
        <v>1.5</v>
      </c>
      <c r="O332" s="198">
        <f>_1_541284561214624104645789101745[[#This Row],[TOTAL]]*_1_541284561214624104645789101745[[#This Row],[MARGIN]]</f>
        <v>0</v>
      </c>
      <c r="R332" s="41"/>
    </row>
    <row r="333" spans="1:18">
      <c r="A333" s="323"/>
      <c r="B333" s="323"/>
      <c r="C333" s="323"/>
      <c r="D333" s="188"/>
      <c r="F333" s="168" t="s">
        <v>6202</v>
      </c>
      <c r="G333" s="193">
        <f>IF(_1_541284561214624104645789101745[[#This Row],[Type]]&gt;0,VLOOKUP(_1_541284561214624104645789101745[[#This Row],[Type]],Main[[#All],[TYPE]:[UNIT]],'Unit Price'!C$1,FALSE),0)</f>
        <v>0</v>
      </c>
      <c r="H333" s="197">
        <f>IF(_1_541284561214624104645789101745[[#This Row],[Type]]&gt;0,VLOOKUP(_1_541284561214624104645789101745[[#This Row],[Type]],Main[[#All],[TYPE]:[UNIT]],'Unit Price'!D$1,FALSE),0)</f>
        <v>0</v>
      </c>
      <c r="I333" s="194">
        <f>IF(_1_541284561214624104645789101745[[#This Row],[Type]]&gt;0,VLOOKUP(_1_541284561214624104645789101745[[#This Row],[Type]],Main[[#All],[TYPE]:[UNIT]],'Unit Price'!G$1,FALSE),0)</f>
        <v>0</v>
      </c>
      <c r="J333" s="194">
        <f>IF(_1_541284561214624104645789101745[[#This Row],[Type]]&gt;0,VLOOKUP(_1_541284561214624104645789101745[[#This Row],[Type]],Main[[#All],[TYPE]:[UNIT]],'Unit Price'!H$1,FALSE),0)</f>
        <v>0</v>
      </c>
      <c r="K333" s="194">
        <f>IF(_1_541284561214624104645789101745[[#This Row],[Discount selection]]&gt;0,VLOOKUP(_1_541284561214624104645789101745[[#This Row],[Discount selection]],'Discount Structure'!$A$2:$B$30,2,"false"),0)</f>
        <v>1</v>
      </c>
      <c r="L333" s="194">
        <f>_1_541284561214624104645789101745[[#This Row],[LIST $]]*_1_541284561214624104645789101745[[#This Row],[DISCOUNT]]*_1_541284561214624104645789101745[[#This Row],[DISCOUNT 2]]</f>
        <v>0</v>
      </c>
      <c r="M333" s="194">
        <f>IF(OR(_1_541284561214624104645789101745[[#This Row],[UNIT]]&gt;0,_1_541284561214624104645789101745[[#This Row],[UNIT]]&lt;0),_1_541284561214624104645789101745[[#This Row],[UNIT]]*_1_541284561214624104645789101745[[#This Row],[COST]],0)</f>
        <v>0</v>
      </c>
      <c r="N333" s="194">
        <f t="shared" si="5"/>
        <v>1.5</v>
      </c>
      <c r="O333" s="198">
        <f>_1_541284561214624104645789101745[[#This Row],[TOTAL]]*_1_541284561214624104645789101745[[#This Row],[MARGIN]]</f>
        <v>0</v>
      </c>
      <c r="R333" s="41"/>
    </row>
    <row r="334" spans="1:18">
      <c r="A334" s="323"/>
      <c r="B334" s="323"/>
      <c r="C334" s="323"/>
      <c r="D334" s="188"/>
      <c r="F334" s="168" t="s">
        <v>6202</v>
      </c>
      <c r="G334" s="193">
        <f>IF(_1_541284561214624104645789101745[[#This Row],[Type]]&gt;0,VLOOKUP(_1_541284561214624104645789101745[[#This Row],[Type]],Main[[#All],[TYPE]:[UNIT]],'Unit Price'!C$1,FALSE),0)</f>
        <v>0</v>
      </c>
      <c r="H334" s="197">
        <f>IF(_1_541284561214624104645789101745[[#This Row],[Type]]&gt;0,VLOOKUP(_1_541284561214624104645789101745[[#This Row],[Type]],Main[[#All],[TYPE]:[UNIT]],'Unit Price'!D$1,FALSE),0)</f>
        <v>0</v>
      </c>
      <c r="I334" s="194">
        <f>IF(_1_541284561214624104645789101745[[#This Row],[Type]]&gt;0,VLOOKUP(_1_541284561214624104645789101745[[#This Row],[Type]],Main[[#All],[TYPE]:[UNIT]],'Unit Price'!G$1,FALSE),0)</f>
        <v>0</v>
      </c>
      <c r="J334" s="194">
        <f>IF(_1_541284561214624104645789101745[[#This Row],[Type]]&gt;0,VLOOKUP(_1_541284561214624104645789101745[[#This Row],[Type]],Main[[#All],[TYPE]:[UNIT]],'Unit Price'!H$1,FALSE),0)</f>
        <v>0</v>
      </c>
      <c r="K334" s="194">
        <f>IF(_1_541284561214624104645789101745[[#This Row],[Discount selection]]&gt;0,VLOOKUP(_1_541284561214624104645789101745[[#This Row],[Discount selection]],'Discount Structure'!$A$2:$B$30,2,"false"),0)</f>
        <v>1</v>
      </c>
      <c r="L334" s="194">
        <f>_1_541284561214624104645789101745[[#This Row],[LIST $]]*_1_541284561214624104645789101745[[#This Row],[DISCOUNT]]*_1_541284561214624104645789101745[[#This Row],[DISCOUNT 2]]</f>
        <v>0</v>
      </c>
      <c r="M334" s="194">
        <f>IF(OR(_1_541284561214624104645789101745[[#This Row],[UNIT]]&gt;0,_1_541284561214624104645789101745[[#This Row],[UNIT]]&lt;0),_1_541284561214624104645789101745[[#This Row],[UNIT]]*_1_541284561214624104645789101745[[#This Row],[COST]],0)</f>
        <v>0</v>
      </c>
      <c r="N334" s="194">
        <f t="shared" si="5"/>
        <v>1.5</v>
      </c>
      <c r="O334" s="198">
        <f>_1_541284561214624104645789101745[[#This Row],[TOTAL]]*_1_541284561214624104645789101745[[#This Row],[MARGIN]]</f>
        <v>0</v>
      </c>
      <c r="R334" s="41"/>
    </row>
    <row r="335" spans="1:18">
      <c r="D335" s="188"/>
      <c r="F335" s="168" t="s">
        <v>6202</v>
      </c>
      <c r="G335" s="205">
        <f>IF(_1_541284561214624104645789101745[[#This Row],[Type]]&gt;0,VLOOKUP(_1_541284561214624104645789101745[[#This Row],[Type]],Main[[#All],[TYPE]:[UNIT]],'Unit Price'!C$1,FALSE),0)</f>
        <v>0</v>
      </c>
      <c r="H335" s="197">
        <f>IF(_1_541284561214624104645789101745[[#This Row],[Type]]&gt;0,VLOOKUP(_1_541284561214624104645789101745[[#This Row],[Type]],Main[[#All],[TYPE]:[UNIT]],'Unit Price'!D$1,FALSE),0)</f>
        <v>0</v>
      </c>
      <c r="I335" s="194">
        <f>IF(_1_541284561214624104645789101745[[#This Row],[Type]]&gt;0,VLOOKUP(_1_541284561214624104645789101745[[#This Row],[Type]],Main[[#All],[TYPE]:[UNIT]],'Unit Price'!G$1,FALSE),0)</f>
        <v>0</v>
      </c>
      <c r="J335" s="194">
        <f>IF(_1_541284561214624104645789101745[[#This Row],[Type]]&gt;0,VLOOKUP(_1_541284561214624104645789101745[[#This Row],[Type]],Main[[#All],[TYPE]:[UNIT]],'Unit Price'!H$1,FALSE),0)</f>
        <v>0</v>
      </c>
      <c r="K335" s="194">
        <f>IF(_1_541284561214624104645789101745[[#This Row],[Discount selection]]&gt;0,VLOOKUP(_1_541284561214624104645789101745[[#This Row],[Discount selection]],'Discount Structure'!$A$2:$B$30,2,"false"),0)</f>
        <v>1</v>
      </c>
      <c r="L335" s="194">
        <f>_1_541284561214624104645789101745[[#This Row],[LIST $]]*_1_541284561214624104645789101745[[#This Row],[DISCOUNT]]*_1_541284561214624104645789101745[[#This Row],[DISCOUNT 2]]</f>
        <v>0</v>
      </c>
      <c r="M335" s="194">
        <f>IF(OR(_1_541284561214624104645789101745[[#This Row],[UNIT]]&gt;0,_1_541284561214624104645789101745[[#This Row],[UNIT]]&lt;0),_1_541284561214624104645789101745[[#This Row],[UNIT]]*_1_541284561214624104645789101745[[#This Row],[COST]],0)</f>
        <v>0</v>
      </c>
      <c r="N335" s="194">
        <f t="shared" si="5"/>
        <v>1.5</v>
      </c>
      <c r="O335" s="198">
        <f>_1_541284561214624104645789101745[[#This Row],[TOTAL]]*_1_541284561214624104645789101745[[#This Row],[MARGIN]]</f>
        <v>0</v>
      </c>
      <c r="R335" s="41"/>
    </row>
    <row r="336" spans="1:18">
      <c r="D336" s="188"/>
      <c r="F336" s="168" t="s">
        <v>6202</v>
      </c>
      <c r="G336" s="193">
        <f>IF(_1_541284561214624104645789101745[[#This Row],[Type]]&gt;0,VLOOKUP(_1_541284561214624104645789101745[[#This Row],[Type]],Main[[#All],[TYPE]:[UNIT]],'Unit Price'!C$1,FALSE),0)</f>
        <v>0</v>
      </c>
      <c r="H336" s="197">
        <f>IF(_1_541284561214624104645789101745[[#This Row],[Type]]&gt;0,VLOOKUP(_1_541284561214624104645789101745[[#This Row],[Type]],Main[[#All],[TYPE]:[UNIT]],'Unit Price'!D$1,FALSE),0)</f>
        <v>0</v>
      </c>
      <c r="I336" s="194">
        <f>IF(_1_541284561214624104645789101745[[#This Row],[Type]]&gt;0,VLOOKUP(_1_541284561214624104645789101745[[#This Row],[Type]],Main[[#All],[TYPE]:[UNIT]],'Unit Price'!G$1,FALSE),0)</f>
        <v>0</v>
      </c>
      <c r="J336" s="194">
        <f>IF(_1_541284561214624104645789101745[[#This Row],[Type]]&gt;0,VLOOKUP(_1_541284561214624104645789101745[[#This Row],[Type]],Main[[#All],[TYPE]:[UNIT]],'Unit Price'!H$1,FALSE),0)</f>
        <v>0</v>
      </c>
      <c r="K336" s="194">
        <f>IF(_1_541284561214624104645789101745[[#This Row],[Discount selection]]&gt;0,VLOOKUP(_1_541284561214624104645789101745[[#This Row],[Discount selection]],'Discount Structure'!$A$2:$B$30,2,"false"),0)</f>
        <v>1</v>
      </c>
      <c r="L336" s="194">
        <f>_1_541284561214624104645789101745[[#This Row],[LIST $]]*_1_541284561214624104645789101745[[#This Row],[DISCOUNT]]*_1_541284561214624104645789101745[[#This Row],[DISCOUNT 2]]</f>
        <v>0</v>
      </c>
      <c r="M336" s="194">
        <f>IF(OR(_1_541284561214624104645789101745[[#This Row],[UNIT]]&gt;0,_1_541284561214624104645789101745[[#This Row],[UNIT]]&lt;0),_1_541284561214624104645789101745[[#This Row],[UNIT]]*_1_541284561214624104645789101745[[#This Row],[COST]],0)</f>
        <v>0</v>
      </c>
      <c r="N336" s="194">
        <f t="shared" si="5"/>
        <v>1.5</v>
      </c>
      <c r="O336" s="198">
        <f>_1_541284561214624104645789101745[[#This Row],[TOTAL]]*_1_541284561214624104645789101745[[#This Row],[MARGIN]]</f>
        <v>0</v>
      </c>
      <c r="R336" s="41"/>
    </row>
    <row r="337" spans="1:18">
      <c r="D337" s="188"/>
      <c r="F337" s="168" t="s">
        <v>6202</v>
      </c>
      <c r="G337" s="193">
        <f>IF(_1_541284561214624104645789101745[[#This Row],[Type]]&gt;0,VLOOKUP(_1_541284561214624104645789101745[[#This Row],[Type]],Main[[#All],[TYPE]:[UNIT]],'Unit Price'!C$1,FALSE),0)</f>
        <v>0</v>
      </c>
      <c r="H337" s="197">
        <f>IF(_1_541284561214624104645789101745[[#This Row],[Type]]&gt;0,VLOOKUP(_1_541284561214624104645789101745[[#This Row],[Type]],Main[[#All],[TYPE]:[UNIT]],'Unit Price'!D$1,FALSE),0)</f>
        <v>0</v>
      </c>
      <c r="I337" s="194">
        <f>IF(_1_541284561214624104645789101745[[#This Row],[Type]]&gt;0,VLOOKUP(_1_541284561214624104645789101745[[#This Row],[Type]],Main[[#All],[TYPE]:[UNIT]],'Unit Price'!G$1,FALSE),0)</f>
        <v>0</v>
      </c>
      <c r="J337" s="194">
        <f>IF(_1_541284561214624104645789101745[[#This Row],[Type]]&gt;0,VLOOKUP(_1_541284561214624104645789101745[[#This Row],[Type]],Main[[#All],[TYPE]:[UNIT]],'Unit Price'!H$1,FALSE),0)</f>
        <v>0</v>
      </c>
      <c r="K337" s="194">
        <f>IF(_1_541284561214624104645789101745[[#This Row],[Discount selection]]&gt;0,VLOOKUP(_1_541284561214624104645789101745[[#This Row],[Discount selection]],'Discount Structure'!$A$2:$B$30,2,"false"),0)</f>
        <v>1</v>
      </c>
      <c r="L337" s="194">
        <f>_1_541284561214624104645789101745[[#This Row],[LIST $]]*_1_541284561214624104645789101745[[#This Row],[DISCOUNT]]*_1_541284561214624104645789101745[[#This Row],[DISCOUNT 2]]</f>
        <v>0</v>
      </c>
      <c r="M337" s="194">
        <f>IF(OR(_1_541284561214624104645789101745[[#This Row],[UNIT]]&gt;0,_1_541284561214624104645789101745[[#This Row],[UNIT]]&lt;0),_1_541284561214624104645789101745[[#This Row],[UNIT]]*_1_541284561214624104645789101745[[#This Row],[COST]],0)</f>
        <v>0</v>
      </c>
      <c r="N337" s="194">
        <f t="shared" si="5"/>
        <v>1.5</v>
      </c>
      <c r="O337" s="198">
        <f>_1_541284561214624104645789101745[[#This Row],[TOTAL]]*_1_541284561214624104645789101745[[#This Row],[MARGIN]]</f>
        <v>0</v>
      </c>
      <c r="R337" s="41"/>
    </row>
    <row r="338" spans="1:18">
      <c r="A338" s="327"/>
      <c r="B338" s="327"/>
      <c r="D338" s="188"/>
      <c r="F338" s="168" t="s">
        <v>6202</v>
      </c>
      <c r="G338" s="193">
        <f>IF(_1_541284561214624104645789101745[[#This Row],[Type]]&gt;0,VLOOKUP(_1_541284561214624104645789101745[[#This Row],[Type]],Main[[#All],[TYPE]:[UNIT]],'Unit Price'!C$1,FALSE),0)</f>
        <v>0</v>
      </c>
      <c r="H338" s="197">
        <f>IF(_1_541284561214624104645789101745[[#This Row],[Type]]&gt;0,VLOOKUP(_1_541284561214624104645789101745[[#This Row],[Type]],Main[[#All],[TYPE]:[UNIT]],'Unit Price'!D$1,FALSE),0)</f>
        <v>0</v>
      </c>
      <c r="I338" s="194">
        <f>IF(_1_541284561214624104645789101745[[#This Row],[Type]]&gt;0,VLOOKUP(_1_541284561214624104645789101745[[#This Row],[Type]],Main[[#All],[TYPE]:[UNIT]],'Unit Price'!G$1,FALSE),0)</f>
        <v>0</v>
      </c>
      <c r="J338" s="194">
        <f>IF(_1_541284561214624104645789101745[[#This Row],[Type]]&gt;0,VLOOKUP(_1_541284561214624104645789101745[[#This Row],[Type]],Main[[#All],[TYPE]:[UNIT]],'Unit Price'!H$1,FALSE),0)</f>
        <v>0</v>
      </c>
      <c r="K338" s="194">
        <f>IF(_1_541284561214624104645789101745[[#This Row],[Discount selection]]&gt;0,VLOOKUP(_1_541284561214624104645789101745[[#This Row],[Discount selection]],'Discount Structure'!$A$2:$B$30,2,"false"),0)</f>
        <v>1</v>
      </c>
      <c r="L338" s="194">
        <f>_1_541284561214624104645789101745[[#This Row],[LIST $]]*_1_541284561214624104645789101745[[#This Row],[DISCOUNT]]*_1_541284561214624104645789101745[[#This Row],[DISCOUNT 2]]</f>
        <v>0</v>
      </c>
      <c r="M338" s="194">
        <f>IF(OR(_1_541284561214624104645789101745[[#This Row],[UNIT]]&gt;0,_1_541284561214624104645789101745[[#This Row],[UNIT]]&lt;0),_1_541284561214624104645789101745[[#This Row],[UNIT]]*_1_541284561214624104645789101745[[#This Row],[COST]],0)</f>
        <v>0</v>
      </c>
      <c r="N338" s="194">
        <f t="shared" si="5"/>
        <v>1.5</v>
      </c>
      <c r="O338" s="198">
        <f>_1_541284561214624104645789101745[[#This Row],[TOTAL]]*_1_541284561214624104645789101745[[#This Row],[MARGIN]]</f>
        <v>0</v>
      </c>
      <c r="R338" s="41"/>
    </row>
    <row r="339" spans="1:18">
      <c r="D339" s="188"/>
      <c r="F339" s="168" t="s">
        <v>6202</v>
      </c>
      <c r="G339" s="193">
        <f>IF(_1_541284561214624104645789101745[[#This Row],[Type]]&gt;0,VLOOKUP(_1_541284561214624104645789101745[[#This Row],[Type]],Main[[#All],[TYPE]:[UNIT]],'Unit Price'!C$1,FALSE),0)</f>
        <v>0</v>
      </c>
      <c r="H339" s="197">
        <f>IF(_1_541284561214624104645789101745[[#This Row],[Type]]&gt;0,VLOOKUP(_1_541284561214624104645789101745[[#This Row],[Type]],Main[[#All],[TYPE]:[UNIT]],'Unit Price'!D$1,FALSE),0)</f>
        <v>0</v>
      </c>
      <c r="I339" s="194">
        <f>IF(_1_541284561214624104645789101745[[#This Row],[Type]]&gt;0,VLOOKUP(_1_541284561214624104645789101745[[#This Row],[Type]],Main[[#All],[TYPE]:[UNIT]],'Unit Price'!G$1,FALSE),0)</f>
        <v>0</v>
      </c>
      <c r="J339" s="194">
        <f>IF(_1_541284561214624104645789101745[[#This Row],[Type]]&gt;0,VLOOKUP(_1_541284561214624104645789101745[[#This Row],[Type]],Main[[#All],[TYPE]:[UNIT]],'Unit Price'!H$1,FALSE),0)</f>
        <v>0</v>
      </c>
      <c r="K339" s="194">
        <f>IF(_1_541284561214624104645789101745[[#This Row],[Discount selection]]&gt;0,VLOOKUP(_1_541284561214624104645789101745[[#This Row],[Discount selection]],'Discount Structure'!$A$2:$B$30,2,"false"),0)</f>
        <v>1</v>
      </c>
      <c r="L339" s="194">
        <f>_1_541284561214624104645789101745[[#This Row],[LIST $]]*_1_541284561214624104645789101745[[#This Row],[DISCOUNT]]*_1_541284561214624104645789101745[[#This Row],[DISCOUNT 2]]</f>
        <v>0</v>
      </c>
      <c r="M339" s="194">
        <f>IF(OR(_1_541284561214624104645789101745[[#This Row],[UNIT]]&gt;0,_1_541284561214624104645789101745[[#This Row],[UNIT]]&lt;0),_1_541284561214624104645789101745[[#This Row],[UNIT]]*_1_541284561214624104645789101745[[#This Row],[COST]],0)</f>
        <v>0</v>
      </c>
      <c r="N339" s="194">
        <f t="shared" si="5"/>
        <v>1.5</v>
      </c>
      <c r="O339" s="198">
        <f>_1_541284561214624104645789101745[[#This Row],[TOTAL]]*_1_541284561214624104645789101745[[#This Row],[MARGIN]]</f>
        <v>0</v>
      </c>
      <c r="R339" s="41"/>
    </row>
    <row r="340" spans="1:18">
      <c r="D340" s="188"/>
      <c r="F340" s="168" t="s">
        <v>6202</v>
      </c>
      <c r="G340" s="193">
        <f>IF(_1_541284561214624104645789101745[[#This Row],[Type]]&gt;0,VLOOKUP(_1_541284561214624104645789101745[[#This Row],[Type]],Main[[#All],[TYPE]:[UNIT]],'Unit Price'!C$1,FALSE),0)</f>
        <v>0</v>
      </c>
      <c r="H340" s="197">
        <f>IF(_1_541284561214624104645789101745[[#This Row],[Type]]&gt;0,VLOOKUP(_1_541284561214624104645789101745[[#This Row],[Type]],Main[[#All],[TYPE]:[UNIT]],'Unit Price'!D$1,FALSE),0)</f>
        <v>0</v>
      </c>
      <c r="I340" s="194">
        <f>IF(_1_541284561214624104645789101745[[#This Row],[Type]]&gt;0,VLOOKUP(_1_541284561214624104645789101745[[#This Row],[Type]],Main[[#All],[TYPE]:[UNIT]],'Unit Price'!G$1,FALSE),0)</f>
        <v>0</v>
      </c>
      <c r="J340" s="194">
        <f>IF(_1_541284561214624104645789101745[[#This Row],[Type]]&gt;0,VLOOKUP(_1_541284561214624104645789101745[[#This Row],[Type]],Main[[#All],[TYPE]:[UNIT]],'Unit Price'!H$1,FALSE),0)</f>
        <v>0</v>
      </c>
      <c r="K340" s="194">
        <f>IF(_1_541284561214624104645789101745[[#This Row],[Discount selection]]&gt;0,VLOOKUP(_1_541284561214624104645789101745[[#This Row],[Discount selection]],'Discount Structure'!$A$2:$B$30,2,"false"),0)</f>
        <v>1</v>
      </c>
      <c r="L340" s="194">
        <f>_1_541284561214624104645789101745[[#This Row],[LIST $]]*_1_541284561214624104645789101745[[#This Row],[DISCOUNT]]*_1_541284561214624104645789101745[[#This Row],[DISCOUNT 2]]</f>
        <v>0</v>
      </c>
      <c r="M340" s="194">
        <f>IF(OR(_1_541284561214624104645789101745[[#This Row],[UNIT]]&gt;0,_1_541284561214624104645789101745[[#This Row],[UNIT]]&lt;0),_1_541284561214624104645789101745[[#This Row],[UNIT]]*_1_541284561214624104645789101745[[#This Row],[COST]],0)</f>
        <v>0</v>
      </c>
      <c r="N340" s="194">
        <f t="shared" si="5"/>
        <v>1.5</v>
      </c>
      <c r="O340" s="198">
        <f>_1_541284561214624104645789101745[[#This Row],[TOTAL]]*_1_541284561214624104645789101745[[#This Row],[MARGIN]]</f>
        <v>0</v>
      </c>
      <c r="R340" s="41"/>
    </row>
    <row r="341" spans="1:18">
      <c r="D341" s="188"/>
      <c r="F341" s="168" t="s">
        <v>6202</v>
      </c>
      <c r="G341" s="193">
        <f>IF(_1_541284561214624104645789101745[[#This Row],[Type]]&gt;0,VLOOKUP(_1_541284561214624104645789101745[[#This Row],[Type]],Main[[#All],[TYPE]:[UNIT]],'Unit Price'!C$1,FALSE),0)</f>
        <v>0</v>
      </c>
      <c r="H341" s="197">
        <f>IF(_1_541284561214624104645789101745[[#This Row],[Type]]&gt;0,VLOOKUP(_1_541284561214624104645789101745[[#This Row],[Type]],Main[[#All],[TYPE]:[UNIT]],'Unit Price'!D$1,FALSE),0)</f>
        <v>0</v>
      </c>
      <c r="I341" s="194">
        <f>IF(_1_541284561214624104645789101745[[#This Row],[Type]]&gt;0,VLOOKUP(_1_541284561214624104645789101745[[#This Row],[Type]],Main[[#All],[TYPE]:[UNIT]],'Unit Price'!G$1,FALSE),0)</f>
        <v>0</v>
      </c>
      <c r="J341" s="194">
        <f>IF(_1_541284561214624104645789101745[[#This Row],[Type]]&gt;0,VLOOKUP(_1_541284561214624104645789101745[[#This Row],[Type]],Main[[#All],[TYPE]:[UNIT]],'Unit Price'!H$1,FALSE),0)</f>
        <v>0</v>
      </c>
      <c r="K341" s="194">
        <f>IF(_1_541284561214624104645789101745[[#This Row],[Discount selection]]&gt;0,VLOOKUP(_1_541284561214624104645789101745[[#This Row],[Discount selection]],'Discount Structure'!$A$2:$B$30,2,"false"),0)</f>
        <v>1</v>
      </c>
      <c r="L341" s="194">
        <f>_1_541284561214624104645789101745[[#This Row],[LIST $]]*_1_541284561214624104645789101745[[#This Row],[DISCOUNT]]*_1_541284561214624104645789101745[[#This Row],[DISCOUNT 2]]</f>
        <v>0</v>
      </c>
      <c r="M341" s="194">
        <f>IF(OR(_1_541284561214624104645789101745[[#This Row],[UNIT]]&gt;0,_1_541284561214624104645789101745[[#This Row],[UNIT]]&lt;0),_1_541284561214624104645789101745[[#This Row],[UNIT]]*_1_541284561214624104645789101745[[#This Row],[COST]],0)</f>
        <v>0</v>
      </c>
      <c r="N341" s="194">
        <f t="shared" si="5"/>
        <v>1.5</v>
      </c>
      <c r="O341" s="198">
        <f>_1_541284561214624104645789101745[[#This Row],[TOTAL]]*_1_541284561214624104645789101745[[#This Row],[MARGIN]]</f>
        <v>0</v>
      </c>
      <c r="R341" s="41"/>
    </row>
    <row r="342" spans="1:18">
      <c r="D342" s="188"/>
      <c r="F342" s="168" t="s">
        <v>6202</v>
      </c>
      <c r="G342" s="193">
        <f>IF(_1_541284561214624104645789101745[[#This Row],[Type]]&gt;0,VLOOKUP(_1_541284561214624104645789101745[[#This Row],[Type]],Main[[#All],[TYPE]:[UNIT]],'Unit Price'!C$1,FALSE),0)</f>
        <v>0</v>
      </c>
      <c r="H342" s="197">
        <f>IF(_1_541284561214624104645789101745[[#This Row],[Type]]&gt;0,VLOOKUP(_1_541284561214624104645789101745[[#This Row],[Type]],Main[[#All],[TYPE]:[UNIT]],'Unit Price'!D$1,FALSE),0)</f>
        <v>0</v>
      </c>
      <c r="I342" s="194">
        <f>IF(_1_541284561214624104645789101745[[#This Row],[Type]]&gt;0,VLOOKUP(_1_541284561214624104645789101745[[#This Row],[Type]],Main[[#All],[TYPE]:[UNIT]],'Unit Price'!G$1,FALSE),0)</f>
        <v>0</v>
      </c>
      <c r="J342" s="194">
        <f>IF(_1_541284561214624104645789101745[[#This Row],[Type]]&gt;0,VLOOKUP(_1_541284561214624104645789101745[[#This Row],[Type]],Main[[#All],[TYPE]:[UNIT]],'Unit Price'!H$1,FALSE),0)</f>
        <v>0</v>
      </c>
      <c r="K342" s="194">
        <f>IF(_1_541284561214624104645789101745[[#This Row],[Discount selection]]&gt;0,VLOOKUP(_1_541284561214624104645789101745[[#This Row],[Discount selection]],'Discount Structure'!$A$2:$B$30,2,"false"),0)</f>
        <v>1</v>
      </c>
      <c r="L342" s="194">
        <f>_1_541284561214624104645789101745[[#This Row],[LIST $]]*_1_541284561214624104645789101745[[#This Row],[DISCOUNT]]*_1_541284561214624104645789101745[[#This Row],[DISCOUNT 2]]</f>
        <v>0</v>
      </c>
      <c r="M342" s="194">
        <f>IF(OR(_1_541284561214624104645789101745[[#This Row],[UNIT]]&gt;0,_1_541284561214624104645789101745[[#This Row],[UNIT]]&lt;0),_1_541284561214624104645789101745[[#This Row],[UNIT]]*_1_541284561214624104645789101745[[#This Row],[COST]],0)</f>
        <v>0</v>
      </c>
      <c r="N342" s="194">
        <f t="shared" si="5"/>
        <v>1.5</v>
      </c>
      <c r="O342" s="198">
        <f>_1_541284561214624104645789101745[[#This Row],[TOTAL]]*_1_541284561214624104645789101745[[#This Row],[MARGIN]]</f>
        <v>0</v>
      </c>
      <c r="R342" s="41"/>
    </row>
    <row r="343" spans="1:18">
      <c r="D343" s="188"/>
      <c r="F343" s="168" t="s">
        <v>6202</v>
      </c>
      <c r="G343" s="193">
        <f>IF(_1_541284561214624104645789101745[[#This Row],[Type]]&gt;0,VLOOKUP(_1_541284561214624104645789101745[[#This Row],[Type]],Main[[#All],[TYPE]:[UNIT]],'Unit Price'!C$1,FALSE),0)</f>
        <v>0</v>
      </c>
      <c r="H343" s="197">
        <f>IF(_1_541284561214624104645789101745[[#This Row],[Type]]&gt;0,VLOOKUP(_1_541284561214624104645789101745[[#This Row],[Type]],Main[[#All],[TYPE]:[UNIT]],'Unit Price'!D$1,FALSE),0)</f>
        <v>0</v>
      </c>
      <c r="I343" s="194">
        <f>IF(_1_541284561214624104645789101745[[#This Row],[Type]]&gt;0,VLOOKUP(_1_541284561214624104645789101745[[#This Row],[Type]],Main[[#All],[TYPE]:[UNIT]],'Unit Price'!G$1,FALSE),0)</f>
        <v>0</v>
      </c>
      <c r="J343" s="194">
        <f>IF(_1_541284561214624104645789101745[[#This Row],[Type]]&gt;0,VLOOKUP(_1_541284561214624104645789101745[[#This Row],[Type]],Main[[#All],[TYPE]:[UNIT]],'Unit Price'!H$1,FALSE),0)</f>
        <v>0</v>
      </c>
      <c r="K343" s="194">
        <f>IF(_1_541284561214624104645789101745[[#This Row],[Discount selection]]&gt;0,VLOOKUP(_1_541284561214624104645789101745[[#This Row],[Discount selection]],'Discount Structure'!$A$2:$B$30,2,"false"),0)</f>
        <v>1</v>
      </c>
      <c r="L343" s="194">
        <f>_1_541284561214624104645789101745[[#This Row],[LIST $]]*_1_541284561214624104645789101745[[#This Row],[DISCOUNT]]*_1_541284561214624104645789101745[[#This Row],[DISCOUNT 2]]</f>
        <v>0</v>
      </c>
      <c r="M343" s="194">
        <f>IF(OR(_1_541284561214624104645789101745[[#This Row],[UNIT]]&gt;0,_1_541284561214624104645789101745[[#This Row],[UNIT]]&lt;0),_1_541284561214624104645789101745[[#This Row],[UNIT]]*_1_541284561214624104645789101745[[#This Row],[COST]],0)</f>
        <v>0</v>
      </c>
      <c r="N343" s="194">
        <f t="shared" si="5"/>
        <v>1.5</v>
      </c>
      <c r="O343" s="198">
        <f>_1_541284561214624104645789101745[[#This Row],[TOTAL]]*_1_541284561214624104645789101745[[#This Row],[MARGIN]]</f>
        <v>0</v>
      </c>
      <c r="R343" s="41"/>
    </row>
    <row r="344" spans="1:18">
      <c r="A344" s="168"/>
      <c r="D344" s="188"/>
      <c r="F344" s="168" t="s">
        <v>6202</v>
      </c>
      <c r="G344" s="193">
        <f>IF(_1_541284561214624104645789101745[[#This Row],[Type]]&gt;0,VLOOKUP(_1_541284561214624104645789101745[[#This Row],[Type]],Main[[#All],[TYPE]:[UNIT]],'Unit Price'!C$1,FALSE),0)</f>
        <v>0</v>
      </c>
      <c r="H344" s="197">
        <f>IF(_1_541284561214624104645789101745[[#This Row],[Type]]&gt;0,VLOOKUP(_1_541284561214624104645789101745[[#This Row],[Type]],Main[[#All],[TYPE]:[UNIT]],'Unit Price'!D$1,FALSE),0)</f>
        <v>0</v>
      </c>
      <c r="I344" s="194">
        <f>IF(_1_541284561214624104645789101745[[#This Row],[Type]]&gt;0,VLOOKUP(_1_541284561214624104645789101745[[#This Row],[Type]],Main[[#All],[TYPE]:[UNIT]],'Unit Price'!G$1,FALSE),0)</f>
        <v>0</v>
      </c>
      <c r="J344" s="194">
        <f>IF(_1_541284561214624104645789101745[[#This Row],[Type]]&gt;0,VLOOKUP(_1_541284561214624104645789101745[[#This Row],[Type]],Main[[#All],[TYPE]:[UNIT]],'Unit Price'!H$1,FALSE),0)</f>
        <v>0</v>
      </c>
      <c r="K344" s="194">
        <f>IF(_1_541284561214624104645789101745[[#This Row],[Discount selection]]&gt;0,VLOOKUP(_1_541284561214624104645789101745[[#This Row],[Discount selection]],'Discount Structure'!$A$2:$B$30,2,"false"),0)</f>
        <v>1</v>
      </c>
      <c r="L344" s="194">
        <f>_1_541284561214624104645789101745[[#This Row],[LIST $]]*_1_541284561214624104645789101745[[#This Row],[DISCOUNT]]*_1_541284561214624104645789101745[[#This Row],[DISCOUNT 2]]</f>
        <v>0</v>
      </c>
      <c r="M344" s="194">
        <f>IF(OR(_1_541284561214624104645789101745[[#This Row],[UNIT]]&gt;0,_1_541284561214624104645789101745[[#This Row],[UNIT]]&lt;0),_1_541284561214624104645789101745[[#This Row],[UNIT]]*_1_541284561214624104645789101745[[#This Row],[COST]],0)</f>
        <v>0</v>
      </c>
      <c r="N344" s="194">
        <f t="shared" si="5"/>
        <v>1.5</v>
      </c>
      <c r="O344" s="198">
        <f>_1_541284561214624104645789101745[[#This Row],[TOTAL]]*_1_541284561214624104645789101745[[#This Row],[MARGIN]]</f>
        <v>0</v>
      </c>
      <c r="R344" s="41"/>
    </row>
    <row r="345" spans="1:18">
      <c r="D345" s="188"/>
      <c r="F345" s="168" t="s">
        <v>6202</v>
      </c>
      <c r="G345" s="193">
        <f>IF(_1_541284561214624104645789101745[[#This Row],[Type]]&gt;0,VLOOKUP(_1_541284561214624104645789101745[[#This Row],[Type]],Main[[#All],[TYPE]:[UNIT]],'Unit Price'!C$1,FALSE),0)</f>
        <v>0</v>
      </c>
      <c r="H345" s="197">
        <f>IF(_1_541284561214624104645789101745[[#This Row],[Type]]&gt;0,VLOOKUP(_1_541284561214624104645789101745[[#This Row],[Type]],Main[[#All],[TYPE]:[UNIT]],'Unit Price'!D$1,FALSE),0)</f>
        <v>0</v>
      </c>
      <c r="I345" s="194">
        <f>IF(_1_541284561214624104645789101745[[#This Row],[Type]]&gt;0,VLOOKUP(_1_541284561214624104645789101745[[#This Row],[Type]],Main[[#All],[TYPE]:[UNIT]],'Unit Price'!G$1,FALSE),0)</f>
        <v>0</v>
      </c>
      <c r="J345" s="194">
        <f>IF(_1_541284561214624104645789101745[[#This Row],[Type]]&gt;0,VLOOKUP(_1_541284561214624104645789101745[[#This Row],[Type]],Main[[#All],[TYPE]:[UNIT]],'Unit Price'!H$1,FALSE),0)</f>
        <v>0</v>
      </c>
      <c r="K345" s="194">
        <f>IF(_1_541284561214624104645789101745[[#This Row],[Discount selection]]&gt;0,VLOOKUP(_1_541284561214624104645789101745[[#This Row],[Discount selection]],'Discount Structure'!$A$2:$B$30,2,"false"),0)</f>
        <v>1</v>
      </c>
      <c r="L345" s="194">
        <f>_1_541284561214624104645789101745[[#This Row],[LIST $]]*_1_541284561214624104645789101745[[#This Row],[DISCOUNT]]*_1_541284561214624104645789101745[[#This Row],[DISCOUNT 2]]</f>
        <v>0</v>
      </c>
      <c r="M345" s="194">
        <f>IF(OR(_1_541284561214624104645789101745[[#This Row],[UNIT]]&gt;0,_1_541284561214624104645789101745[[#This Row],[UNIT]]&lt;0),_1_541284561214624104645789101745[[#This Row],[UNIT]]*_1_541284561214624104645789101745[[#This Row],[COST]],0)</f>
        <v>0</v>
      </c>
      <c r="N345" s="194">
        <f t="shared" si="5"/>
        <v>1.5</v>
      </c>
      <c r="O345" s="198">
        <f>_1_541284561214624104645789101745[[#This Row],[TOTAL]]*_1_541284561214624104645789101745[[#This Row],[MARGIN]]</f>
        <v>0</v>
      </c>
      <c r="R345" s="41"/>
    </row>
    <row r="346" spans="1:18">
      <c r="A346" s="168"/>
      <c r="B346" s="168"/>
      <c r="C346" s="168"/>
      <c r="D346" s="188"/>
      <c r="F346" s="168" t="s">
        <v>6202</v>
      </c>
      <c r="G346" s="193">
        <f>IF(_1_541284561214624104645789101745[[#This Row],[Type]]&gt;0,VLOOKUP(_1_541284561214624104645789101745[[#This Row],[Type]],Main[[#All],[TYPE]:[UNIT]],'Unit Price'!C$1,FALSE),0)</f>
        <v>0</v>
      </c>
      <c r="H346" s="197">
        <f>IF(_1_541284561214624104645789101745[[#This Row],[Type]]&gt;0,VLOOKUP(_1_541284561214624104645789101745[[#This Row],[Type]],Main[[#All],[TYPE]:[UNIT]],'Unit Price'!D$1,FALSE),0)</f>
        <v>0</v>
      </c>
      <c r="I346" s="194">
        <f>IF(_1_541284561214624104645789101745[[#This Row],[Type]]&gt;0,VLOOKUP(_1_541284561214624104645789101745[[#This Row],[Type]],Main[[#All],[TYPE]:[UNIT]],'Unit Price'!G$1,FALSE),0)</f>
        <v>0</v>
      </c>
      <c r="J346" s="194">
        <f>IF(_1_541284561214624104645789101745[[#This Row],[Type]]&gt;0,VLOOKUP(_1_541284561214624104645789101745[[#This Row],[Type]],Main[[#All],[TYPE]:[UNIT]],'Unit Price'!H$1,FALSE),0)</f>
        <v>0</v>
      </c>
      <c r="K346" s="194">
        <f>IF(_1_541284561214624104645789101745[[#This Row],[Discount selection]]&gt;0,VLOOKUP(_1_541284561214624104645789101745[[#This Row],[Discount selection]],'Discount Structure'!$A$2:$B$30,2,"false"),0)</f>
        <v>1</v>
      </c>
      <c r="L346" s="194">
        <f>_1_541284561214624104645789101745[[#This Row],[LIST $]]*_1_541284561214624104645789101745[[#This Row],[DISCOUNT]]*_1_541284561214624104645789101745[[#This Row],[DISCOUNT 2]]</f>
        <v>0</v>
      </c>
      <c r="M346" s="194">
        <f>IF(OR(_1_541284561214624104645789101745[[#This Row],[UNIT]]&gt;0,_1_541284561214624104645789101745[[#This Row],[UNIT]]&lt;0),_1_541284561214624104645789101745[[#This Row],[UNIT]]*_1_541284561214624104645789101745[[#This Row],[COST]],0)</f>
        <v>0</v>
      </c>
      <c r="N346" s="194">
        <f t="shared" si="5"/>
        <v>1.5</v>
      </c>
      <c r="O346" s="198">
        <f>_1_541284561214624104645789101745[[#This Row],[TOTAL]]*_1_541284561214624104645789101745[[#This Row],[MARGIN]]</f>
        <v>0</v>
      </c>
      <c r="R346" s="41"/>
    </row>
    <row r="347" spans="1:18">
      <c r="A347" s="323"/>
      <c r="B347" s="323"/>
      <c r="C347" s="323"/>
      <c r="D347" s="188"/>
      <c r="F347" s="168" t="s">
        <v>6202</v>
      </c>
      <c r="G347" s="193">
        <f>IF(_1_541284561214624104645789101745[[#This Row],[Type]]&gt;0,VLOOKUP(_1_541284561214624104645789101745[[#This Row],[Type]],Main[[#All],[TYPE]:[UNIT]],'Unit Price'!C$1,FALSE),0)</f>
        <v>0</v>
      </c>
      <c r="H347" s="197">
        <f>IF(_1_541284561214624104645789101745[[#This Row],[Type]]&gt;0,VLOOKUP(_1_541284561214624104645789101745[[#This Row],[Type]],Main[[#All],[TYPE]:[UNIT]],'Unit Price'!D$1,FALSE),0)</f>
        <v>0</v>
      </c>
      <c r="I347" s="194">
        <f>IF(_1_541284561214624104645789101745[[#This Row],[Type]]&gt;0,VLOOKUP(_1_541284561214624104645789101745[[#This Row],[Type]],Main[[#All],[TYPE]:[UNIT]],'Unit Price'!G$1,FALSE),0)</f>
        <v>0</v>
      </c>
      <c r="J347" s="194">
        <f>IF(_1_541284561214624104645789101745[[#This Row],[Type]]&gt;0,VLOOKUP(_1_541284561214624104645789101745[[#This Row],[Type]],Main[[#All],[TYPE]:[UNIT]],'Unit Price'!H$1,FALSE),0)</f>
        <v>0</v>
      </c>
      <c r="K347" s="194">
        <f>IF(_1_541284561214624104645789101745[[#This Row],[Discount selection]]&gt;0,VLOOKUP(_1_541284561214624104645789101745[[#This Row],[Discount selection]],'Discount Structure'!$A$2:$B$30,2,"false"),0)</f>
        <v>1</v>
      </c>
      <c r="L347" s="194">
        <f>_1_541284561214624104645789101745[[#This Row],[LIST $]]*_1_541284561214624104645789101745[[#This Row],[DISCOUNT]]*_1_541284561214624104645789101745[[#This Row],[DISCOUNT 2]]</f>
        <v>0</v>
      </c>
      <c r="M347" s="194">
        <f>IF(OR(_1_541284561214624104645789101745[[#This Row],[UNIT]]&gt;0,_1_541284561214624104645789101745[[#This Row],[UNIT]]&lt;0),_1_541284561214624104645789101745[[#This Row],[UNIT]]*_1_541284561214624104645789101745[[#This Row],[COST]],0)</f>
        <v>0</v>
      </c>
      <c r="N347" s="194">
        <f t="shared" si="5"/>
        <v>1.5</v>
      </c>
      <c r="O347" s="198">
        <f>_1_541284561214624104645789101745[[#This Row],[TOTAL]]*_1_541284561214624104645789101745[[#This Row],[MARGIN]]</f>
        <v>0</v>
      </c>
      <c r="R347" s="41"/>
    </row>
    <row r="348" spans="1:18">
      <c r="A348" s="323"/>
      <c r="B348" s="353"/>
      <c r="C348" s="323"/>
      <c r="D348" s="188"/>
      <c r="F348" s="168" t="s">
        <v>6202</v>
      </c>
      <c r="G348" s="193">
        <f>IF(_1_541284561214624104645789101745[[#This Row],[Type]]&gt;0,VLOOKUP(_1_541284561214624104645789101745[[#This Row],[Type]],Main[[#All],[TYPE]:[UNIT]],'Unit Price'!C$1,FALSE),0)</f>
        <v>0</v>
      </c>
      <c r="H348" s="197">
        <f>IF(_1_541284561214624104645789101745[[#This Row],[Type]]&gt;0,VLOOKUP(_1_541284561214624104645789101745[[#This Row],[Type]],Main[[#All],[TYPE]:[UNIT]],'Unit Price'!D$1,FALSE),0)</f>
        <v>0</v>
      </c>
      <c r="I348" s="194">
        <f>IF(_1_541284561214624104645789101745[[#This Row],[Type]]&gt;0,VLOOKUP(_1_541284561214624104645789101745[[#This Row],[Type]],Main[[#All],[TYPE]:[UNIT]],'Unit Price'!G$1,FALSE),0)</f>
        <v>0</v>
      </c>
      <c r="J348" s="194">
        <f>IF(_1_541284561214624104645789101745[[#This Row],[Type]]&gt;0,VLOOKUP(_1_541284561214624104645789101745[[#This Row],[Type]],Main[[#All],[TYPE]:[UNIT]],'Unit Price'!H$1,FALSE),0)</f>
        <v>0</v>
      </c>
      <c r="K348" s="194">
        <f>IF(_1_541284561214624104645789101745[[#This Row],[Discount selection]]&gt;0,VLOOKUP(_1_541284561214624104645789101745[[#This Row],[Discount selection]],'Discount Structure'!$A$2:$B$30,2,"false"),0)</f>
        <v>1</v>
      </c>
      <c r="L348" s="194">
        <f>_1_541284561214624104645789101745[[#This Row],[LIST $]]*_1_541284561214624104645789101745[[#This Row],[DISCOUNT]]*_1_541284561214624104645789101745[[#This Row],[DISCOUNT 2]]</f>
        <v>0</v>
      </c>
      <c r="M348" s="194">
        <f>IF(OR(_1_541284561214624104645789101745[[#This Row],[UNIT]]&gt;0,_1_541284561214624104645789101745[[#This Row],[UNIT]]&lt;0),_1_541284561214624104645789101745[[#This Row],[UNIT]]*_1_541284561214624104645789101745[[#This Row],[COST]],0)</f>
        <v>0</v>
      </c>
      <c r="N348" s="194">
        <f t="shared" si="5"/>
        <v>1.5</v>
      </c>
      <c r="O348" s="198">
        <f>_1_541284561214624104645789101745[[#This Row],[TOTAL]]*_1_541284561214624104645789101745[[#This Row],[MARGIN]]</f>
        <v>0</v>
      </c>
      <c r="R348" s="41"/>
    </row>
    <row r="349" spans="1:18">
      <c r="D349" s="188"/>
      <c r="F349" s="168" t="s">
        <v>6202</v>
      </c>
      <c r="G349" s="193">
        <f>IF(_1_541284561214624104645789101745[[#This Row],[Type]]&gt;0,VLOOKUP(_1_541284561214624104645789101745[[#This Row],[Type]],Main[[#All],[TYPE]:[UNIT]],'Unit Price'!C$1,FALSE),0)</f>
        <v>0</v>
      </c>
      <c r="H349" s="197">
        <f>IF(_1_541284561214624104645789101745[[#This Row],[Type]]&gt;0,VLOOKUP(_1_541284561214624104645789101745[[#This Row],[Type]],Main[[#All],[TYPE]:[UNIT]],'Unit Price'!D$1,FALSE),0)</f>
        <v>0</v>
      </c>
      <c r="I349" s="194">
        <f>IF(_1_541284561214624104645789101745[[#This Row],[Type]]&gt;0,VLOOKUP(_1_541284561214624104645789101745[[#This Row],[Type]],Main[[#All],[TYPE]:[UNIT]],'Unit Price'!G$1,FALSE),0)</f>
        <v>0</v>
      </c>
      <c r="J349" s="194">
        <f>IF(_1_541284561214624104645789101745[[#This Row],[Type]]&gt;0,VLOOKUP(_1_541284561214624104645789101745[[#This Row],[Type]],Main[[#All],[TYPE]:[UNIT]],'Unit Price'!H$1,FALSE),0)</f>
        <v>0</v>
      </c>
      <c r="K349" s="194">
        <f>IF(_1_541284561214624104645789101745[[#This Row],[Discount selection]]&gt;0,VLOOKUP(_1_541284561214624104645789101745[[#This Row],[Discount selection]],'Discount Structure'!$A$2:$B$30,2,"false"),0)</f>
        <v>1</v>
      </c>
      <c r="L349" s="194">
        <f>_1_541284561214624104645789101745[[#This Row],[LIST $]]*_1_541284561214624104645789101745[[#This Row],[DISCOUNT]]*_1_541284561214624104645789101745[[#This Row],[DISCOUNT 2]]</f>
        <v>0</v>
      </c>
      <c r="M349" s="194">
        <f>IF(OR(_1_541284561214624104645789101745[[#This Row],[UNIT]]&gt;0,_1_541284561214624104645789101745[[#This Row],[UNIT]]&lt;0),_1_541284561214624104645789101745[[#This Row],[UNIT]]*_1_541284561214624104645789101745[[#This Row],[COST]],0)</f>
        <v>0</v>
      </c>
      <c r="N349" s="194">
        <f t="shared" si="5"/>
        <v>1.5</v>
      </c>
      <c r="O349" s="198">
        <f>_1_541284561214624104645789101745[[#This Row],[TOTAL]]*_1_541284561214624104645789101745[[#This Row],[MARGIN]]</f>
        <v>0</v>
      </c>
      <c r="R349" s="41"/>
    </row>
    <row r="350" spans="1:18">
      <c r="D350" s="188"/>
      <c r="F350" s="168" t="s">
        <v>6202</v>
      </c>
      <c r="G350" s="193">
        <f>IF(_1_541284561214624104645789101745[[#This Row],[Type]]&gt;0,VLOOKUP(_1_541284561214624104645789101745[[#This Row],[Type]],Main[[#All],[TYPE]:[UNIT]],'Unit Price'!C$1,FALSE),0)</f>
        <v>0</v>
      </c>
      <c r="H350" s="197">
        <f>IF(_1_541284561214624104645789101745[[#This Row],[Type]]&gt;0,VLOOKUP(_1_541284561214624104645789101745[[#This Row],[Type]],Main[[#All],[TYPE]:[UNIT]],'Unit Price'!D$1,FALSE),0)</f>
        <v>0</v>
      </c>
      <c r="I350" s="194">
        <f>IF(_1_541284561214624104645789101745[[#This Row],[Type]]&gt;0,VLOOKUP(_1_541284561214624104645789101745[[#This Row],[Type]],Main[[#All],[TYPE]:[UNIT]],'Unit Price'!G$1,FALSE),0)</f>
        <v>0</v>
      </c>
      <c r="J350" s="194">
        <f>IF(_1_541284561214624104645789101745[[#This Row],[Type]]&gt;0,VLOOKUP(_1_541284561214624104645789101745[[#This Row],[Type]],Main[[#All],[TYPE]:[UNIT]],'Unit Price'!H$1,FALSE),0)</f>
        <v>0</v>
      </c>
      <c r="K350" s="194">
        <f>IF(_1_541284561214624104645789101745[[#This Row],[Discount selection]]&gt;0,VLOOKUP(_1_541284561214624104645789101745[[#This Row],[Discount selection]],'Discount Structure'!$A$2:$B$30,2,"false"),0)</f>
        <v>1</v>
      </c>
      <c r="L350" s="194">
        <f>_1_541284561214624104645789101745[[#This Row],[LIST $]]*_1_541284561214624104645789101745[[#This Row],[DISCOUNT]]*_1_541284561214624104645789101745[[#This Row],[DISCOUNT 2]]</f>
        <v>0</v>
      </c>
      <c r="M350" s="194">
        <f>IF(OR(_1_541284561214624104645789101745[[#This Row],[UNIT]]&gt;0,_1_541284561214624104645789101745[[#This Row],[UNIT]]&lt;0),_1_541284561214624104645789101745[[#This Row],[UNIT]]*_1_541284561214624104645789101745[[#This Row],[COST]],0)</f>
        <v>0</v>
      </c>
      <c r="N350" s="194">
        <f t="shared" si="5"/>
        <v>1.5</v>
      </c>
      <c r="O350" s="198">
        <f>_1_541284561214624104645789101745[[#This Row],[TOTAL]]*_1_541284561214624104645789101745[[#This Row],[MARGIN]]</f>
        <v>0</v>
      </c>
      <c r="R350" s="41"/>
    </row>
    <row r="351" spans="1:18">
      <c r="A351" s="168"/>
      <c r="D351" s="188"/>
      <c r="F351" s="168" t="s">
        <v>6202</v>
      </c>
      <c r="G351" s="193">
        <f>IF(_1_541284561214624104645789101745[[#This Row],[Type]]&gt;0,VLOOKUP(_1_541284561214624104645789101745[[#This Row],[Type]],Main[[#All],[TYPE]:[UNIT]],'Unit Price'!C$1,FALSE),0)</f>
        <v>0</v>
      </c>
      <c r="H351" s="197">
        <f>IF(_1_541284561214624104645789101745[[#This Row],[Type]]&gt;0,VLOOKUP(_1_541284561214624104645789101745[[#This Row],[Type]],Main[[#All],[TYPE]:[UNIT]],'Unit Price'!D$1,FALSE),0)</f>
        <v>0</v>
      </c>
      <c r="I351" s="194">
        <f>IF(_1_541284561214624104645789101745[[#This Row],[Type]]&gt;0,VLOOKUP(_1_541284561214624104645789101745[[#This Row],[Type]],Main[[#All],[TYPE]:[UNIT]],'Unit Price'!G$1,FALSE),0)</f>
        <v>0</v>
      </c>
      <c r="J351" s="194">
        <f>IF(_1_541284561214624104645789101745[[#This Row],[Type]]&gt;0,VLOOKUP(_1_541284561214624104645789101745[[#This Row],[Type]],Main[[#All],[TYPE]:[UNIT]],'Unit Price'!H$1,FALSE),0)</f>
        <v>0</v>
      </c>
      <c r="K351" s="194">
        <f>IF(_1_541284561214624104645789101745[[#This Row],[Discount selection]]&gt;0,VLOOKUP(_1_541284561214624104645789101745[[#This Row],[Discount selection]],'Discount Structure'!$A$2:$B$30,2,"false"),0)</f>
        <v>1</v>
      </c>
      <c r="L351" s="194">
        <f>_1_541284561214624104645789101745[[#This Row],[LIST $]]*_1_541284561214624104645789101745[[#This Row],[DISCOUNT]]*_1_541284561214624104645789101745[[#This Row],[DISCOUNT 2]]</f>
        <v>0</v>
      </c>
      <c r="M351" s="194">
        <f>IF(OR(_1_541284561214624104645789101745[[#This Row],[UNIT]]&gt;0,_1_541284561214624104645789101745[[#This Row],[UNIT]]&lt;0),_1_541284561214624104645789101745[[#This Row],[UNIT]]*_1_541284561214624104645789101745[[#This Row],[COST]],0)</f>
        <v>0</v>
      </c>
      <c r="N351" s="194">
        <f t="shared" si="5"/>
        <v>1.5</v>
      </c>
      <c r="O351" s="198">
        <f>_1_541284561214624104645789101745[[#This Row],[TOTAL]]*_1_541284561214624104645789101745[[#This Row],[MARGIN]]</f>
        <v>0</v>
      </c>
      <c r="R351" s="41"/>
    </row>
    <row r="352" spans="1:18">
      <c r="D352" s="188"/>
      <c r="F352" s="168" t="s">
        <v>6202</v>
      </c>
      <c r="G352" s="193">
        <f>IF(_1_541284561214624104645789101745[[#This Row],[Type]]&gt;0,VLOOKUP(_1_541284561214624104645789101745[[#This Row],[Type]],Main[[#All],[TYPE]:[UNIT]],'Unit Price'!C$1,FALSE),0)</f>
        <v>0</v>
      </c>
      <c r="H352" s="197">
        <f>IF(_1_541284561214624104645789101745[[#This Row],[Type]]&gt;0,VLOOKUP(_1_541284561214624104645789101745[[#This Row],[Type]],Main[[#All],[TYPE]:[UNIT]],'Unit Price'!D$1,FALSE),0)</f>
        <v>0</v>
      </c>
      <c r="I352" s="194">
        <f>IF(_1_541284561214624104645789101745[[#This Row],[Type]]&gt;0,VLOOKUP(_1_541284561214624104645789101745[[#This Row],[Type]],Main[[#All],[TYPE]:[UNIT]],'Unit Price'!G$1,FALSE),0)</f>
        <v>0</v>
      </c>
      <c r="J352" s="194">
        <f>IF(_1_541284561214624104645789101745[[#This Row],[Type]]&gt;0,VLOOKUP(_1_541284561214624104645789101745[[#This Row],[Type]],Main[[#All],[TYPE]:[UNIT]],'Unit Price'!H$1,FALSE),0)</f>
        <v>0</v>
      </c>
      <c r="K352" s="194">
        <f>IF(_1_541284561214624104645789101745[[#This Row],[Discount selection]]&gt;0,VLOOKUP(_1_541284561214624104645789101745[[#This Row],[Discount selection]],'Discount Structure'!$A$2:$B$30,2,"false"),0)</f>
        <v>1</v>
      </c>
      <c r="L352" s="194">
        <f>_1_541284561214624104645789101745[[#This Row],[LIST $]]*_1_541284561214624104645789101745[[#This Row],[DISCOUNT]]*_1_541284561214624104645789101745[[#This Row],[DISCOUNT 2]]</f>
        <v>0</v>
      </c>
      <c r="M352" s="194">
        <f>IF(OR(_1_541284561214624104645789101745[[#This Row],[UNIT]]&gt;0,_1_541284561214624104645789101745[[#This Row],[UNIT]]&lt;0),_1_541284561214624104645789101745[[#This Row],[UNIT]]*_1_541284561214624104645789101745[[#This Row],[COST]],0)</f>
        <v>0</v>
      </c>
      <c r="N352" s="194">
        <f t="shared" si="5"/>
        <v>1.5</v>
      </c>
      <c r="O352" s="198">
        <f>_1_541284561214624104645789101745[[#This Row],[TOTAL]]*_1_541284561214624104645789101745[[#This Row],[MARGIN]]</f>
        <v>0</v>
      </c>
      <c r="R352" s="41"/>
    </row>
    <row r="353" spans="1:18">
      <c r="A353" s="168"/>
      <c r="B353" s="168"/>
      <c r="C353" s="168"/>
      <c r="D353" s="188"/>
      <c r="F353" s="168" t="s">
        <v>6202</v>
      </c>
      <c r="G353" s="193">
        <f>IF(_1_541284561214624104645789101745[[#This Row],[Type]]&gt;0,VLOOKUP(_1_541284561214624104645789101745[[#This Row],[Type]],Main[[#All],[TYPE]:[UNIT]],'Unit Price'!C$1,FALSE),0)</f>
        <v>0</v>
      </c>
      <c r="H353" s="197">
        <f>IF(_1_541284561214624104645789101745[[#This Row],[Type]]&gt;0,VLOOKUP(_1_541284561214624104645789101745[[#This Row],[Type]],Main[[#All],[TYPE]:[UNIT]],'Unit Price'!D$1,FALSE),0)</f>
        <v>0</v>
      </c>
      <c r="I353" s="194">
        <f>IF(_1_541284561214624104645789101745[[#This Row],[Type]]&gt;0,VLOOKUP(_1_541284561214624104645789101745[[#This Row],[Type]],Main[[#All],[TYPE]:[UNIT]],'Unit Price'!G$1,FALSE),0)</f>
        <v>0</v>
      </c>
      <c r="J353" s="194">
        <f>IF(_1_541284561214624104645789101745[[#This Row],[Type]]&gt;0,VLOOKUP(_1_541284561214624104645789101745[[#This Row],[Type]],Main[[#All],[TYPE]:[UNIT]],'Unit Price'!H$1,FALSE),0)</f>
        <v>0</v>
      </c>
      <c r="K353" s="194">
        <f>IF(_1_541284561214624104645789101745[[#This Row],[Discount selection]]&gt;0,VLOOKUP(_1_541284561214624104645789101745[[#This Row],[Discount selection]],'Discount Structure'!$A$2:$B$30,2,"false"),0)</f>
        <v>1</v>
      </c>
      <c r="L353" s="194">
        <f>_1_541284561214624104645789101745[[#This Row],[LIST $]]*_1_541284561214624104645789101745[[#This Row],[DISCOUNT]]*_1_541284561214624104645789101745[[#This Row],[DISCOUNT 2]]</f>
        <v>0</v>
      </c>
      <c r="M353" s="194">
        <f>IF(OR(_1_541284561214624104645789101745[[#This Row],[UNIT]]&gt;0,_1_541284561214624104645789101745[[#This Row],[UNIT]]&lt;0),_1_541284561214624104645789101745[[#This Row],[UNIT]]*_1_541284561214624104645789101745[[#This Row],[COST]],0)</f>
        <v>0</v>
      </c>
      <c r="N353" s="194">
        <f t="shared" si="5"/>
        <v>1.5</v>
      </c>
      <c r="O353" s="198">
        <f>_1_541284561214624104645789101745[[#This Row],[TOTAL]]*_1_541284561214624104645789101745[[#This Row],[MARGIN]]</f>
        <v>0</v>
      </c>
      <c r="R353" s="41"/>
    </row>
    <row r="354" spans="1:18">
      <c r="A354" s="323"/>
      <c r="B354" s="323"/>
      <c r="C354" s="323"/>
      <c r="D354" s="188"/>
      <c r="F354" s="168" t="s">
        <v>6202</v>
      </c>
      <c r="G354" s="193">
        <f>IF(_1_541284561214624104645789101745[[#This Row],[Type]]&gt;0,VLOOKUP(_1_541284561214624104645789101745[[#This Row],[Type]],Main[[#All],[TYPE]:[UNIT]],'Unit Price'!C$1,FALSE),0)</f>
        <v>0</v>
      </c>
      <c r="H354" s="197">
        <f>IF(_1_541284561214624104645789101745[[#This Row],[Type]]&gt;0,VLOOKUP(_1_541284561214624104645789101745[[#This Row],[Type]],Main[[#All],[TYPE]:[UNIT]],'Unit Price'!D$1,FALSE),0)</f>
        <v>0</v>
      </c>
      <c r="I354" s="194">
        <f>IF(_1_541284561214624104645789101745[[#This Row],[Type]]&gt;0,VLOOKUP(_1_541284561214624104645789101745[[#This Row],[Type]],Main[[#All],[TYPE]:[UNIT]],'Unit Price'!G$1,FALSE),0)</f>
        <v>0</v>
      </c>
      <c r="J354" s="194">
        <f>IF(_1_541284561214624104645789101745[[#This Row],[Type]]&gt;0,VLOOKUP(_1_541284561214624104645789101745[[#This Row],[Type]],Main[[#All],[TYPE]:[UNIT]],'Unit Price'!H$1,FALSE),0)</f>
        <v>0</v>
      </c>
      <c r="K354" s="194">
        <f>IF(_1_541284561214624104645789101745[[#This Row],[Discount selection]]&gt;0,VLOOKUP(_1_541284561214624104645789101745[[#This Row],[Discount selection]],'Discount Structure'!$A$2:$B$30,2,"false"),0)</f>
        <v>1</v>
      </c>
      <c r="L354" s="194">
        <f>_1_541284561214624104645789101745[[#This Row],[LIST $]]*_1_541284561214624104645789101745[[#This Row],[DISCOUNT]]*_1_541284561214624104645789101745[[#This Row],[DISCOUNT 2]]</f>
        <v>0</v>
      </c>
      <c r="M354" s="194">
        <f>IF(OR(_1_541284561214624104645789101745[[#This Row],[UNIT]]&gt;0,_1_541284561214624104645789101745[[#This Row],[UNIT]]&lt;0),_1_541284561214624104645789101745[[#This Row],[UNIT]]*_1_541284561214624104645789101745[[#This Row],[COST]],0)</f>
        <v>0</v>
      </c>
      <c r="N354" s="194">
        <f t="shared" si="5"/>
        <v>1.5</v>
      </c>
      <c r="O354" s="198">
        <f>_1_541284561214624104645789101745[[#This Row],[TOTAL]]*_1_541284561214624104645789101745[[#This Row],[MARGIN]]</f>
        <v>0</v>
      </c>
      <c r="R354" s="41"/>
    </row>
    <row r="355" spans="1:18">
      <c r="A355" s="323"/>
      <c r="B355" s="353"/>
      <c r="C355" s="323"/>
      <c r="D355" s="188"/>
      <c r="F355" s="168" t="s">
        <v>6202</v>
      </c>
      <c r="G355" s="193">
        <f>IF(_1_541284561214624104645789101745[[#This Row],[Type]]&gt;0,VLOOKUP(_1_541284561214624104645789101745[[#This Row],[Type]],Main[[#All],[TYPE]:[UNIT]],'Unit Price'!C$1,FALSE),0)</f>
        <v>0</v>
      </c>
      <c r="H355" s="197">
        <f>IF(_1_541284561214624104645789101745[[#This Row],[Type]]&gt;0,VLOOKUP(_1_541284561214624104645789101745[[#This Row],[Type]],Main[[#All],[TYPE]:[UNIT]],'Unit Price'!D$1,FALSE),0)</f>
        <v>0</v>
      </c>
      <c r="I355" s="194">
        <f>IF(_1_541284561214624104645789101745[[#This Row],[Type]]&gt;0,VLOOKUP(_1_541284561214624104645789101745[[#This Row],[Type]],Main[[#All],[TYPE]:[UNIT]],'Unit Price'!G$1,FALSE),0)</f>
        <v>0</v>
      </c>
      <c r="J355" s="194">
        <f>IF(_1_541284561214624104645789101745[[#This Row],[Type]]&gt;0,VLOOKUP(_1_541284561214624104645789101745[[#This Row],[Type]],Main[[#All],[TYPE]:[UNIT]],'Unit Price'!H$1,FALSE),0)</f>
        <v>0</v>
      </c>
      <c r="K355" s="194">
        <f>IF(_1_541284561214624104645789101745[[#This Row],[Discount selection]]&gt;0,VLOOKUP(_1_541284561214624104645789101745[[#This Row],[Discount selection]],'Discount Structure'!$A$2:$B$30,2,"false"),0)</f>
        <v>1</v>
      </c>
      <c r="L355" s="194">
        <f>_1_541284561214624104645789101745[[#This Row],[LIST $]]*_1_541284561214624104645789101745[[#This Row],[DISCOUNT]]*_1_541284561214624104645789101745[[#This Row],[DISCOUNT 2]]</f>
        <v>0</v>
      </c>
      <c r="M355" s="194">
        <f>IF(OR(_1_541284561214624104645789101745[[#This Row],[UNIT]]&gt;0,_1_541284561214624104645789101745[[#This Row],[UNIT]]&lt;0),_1_541284561214624104645789101745[[#This Row],[UNIT]]*_1_541284561214624104645789101745[[#This Row],[COST]],0)</f>
        <v>0</v>
      </c>
      <c r="N355" s="194">
        <f t="shared" si="5"/>
        <v>1.5</v>
      </c>
      <c r="O355" s="198">
        <f>_1_541284561214624104645789101745[[#This Row],[TOTAL]]*_1_541284561214624104645789101745[[#This Row],[MARGIN]]</f>
        <v>0</v>
      </c>
      <c r="R355" s="41"/>
    </row>
    <row r="356" spans="1:18">
      <c r="D356" s="188"/>
      <c r="F356" s="168" t="s">
        <v>6202</v>
      </c>
      <c r="G356" s="193">
        <f>IF(_1_541284561214624104645789101745[[#This Row],[Type]]&gt;0,VLOOKUP(_1_541284561214624104645789101745[[#This Row],[Type]],Main[[#All],[TYPE]:[UNIT]],'Unit Price'!C$1,FALSE),0)</f>
        <v>0</v>
      </c>
      <c r="H356" s="197">
        <f>IF(_1_541284561214624104645789101745[[#This Row],[Type]]&gt;0,VLOOKUP(_1_541284561214624104645789101745[[#This Row],[Type]],Main[[#All],[TYPE]:[UNIT]],'Unit Price'!D$1,FALSE),0)</f>
        <v>0</v>
      </c>
      <c r="I356" s="194">
        <f>IF(_1_541284561214624104645789101745[[#This Row],[Type]]&gt;0,VLOOKUP(_1_541284561214624104645789101745[[#This Row],[Type]],Main[[#All],[TYPE]:[UNIT]],'Unit Price'!G$1,FALSE),0)</f>
        <v>0</v>
      </c>
      <c r="J356" s="194">
        <f>IF(_1_541284561214624104645789101745[[#This Row],[Type]]&gt;0,VLOOKUP(_1_541284561214624104645789101745[[#This Row],[Type]],Main[[#All],[TYPE]:[UNIT]],'Unit Price'!H$1,FALSE),0)</f>
        <v>0</v>
      </c>
      <c r="K356" s="194">
        <f>IF(_1_541284561214624104645789101745[[#This Row],[Discount selection]]&gt;0,VLOOKUP(_1_541284561214624104645789101745[[#This Row],[Discount selection]],'Discount Structure'!$A$2:$B$30,2,"false"),0)</f>
        <v>1</v>
      </c>
      <c r="L356" s="194">
        <f>_1_541284561214624104645789101745[[#This Row],[LIST $]]*_1_541284561214624104645789101745[[#This Row],[DISCOUNT]]*_1_541284561214624104645789101745[[#This Row],[DISCOUNT 2]]</f>
        <v>0</v>
      </c>
      <c r="M356" s="194">
        <f>IF(OR(_1_541284561214624104645789101745[[#This Row],[UNIT]]&gt;0,_1_541284561214624104645789101745[[#This Row],[UNIT]]&lt;0),_1_541284561214624104645789101745[[#This Row],[UNIT]]*_1_541284561214624104645789101745[[#This Row],[COST]],0)</f>
        <v>0</v>
      </c>
      <c r="N356" s="194">
        <f t="shared" si="5"/>
        <v>1.5</v>
      </c>
      <c r="O356" s="198">
        <f>_1_541284561214624104645789101745[[#This Row],[TOTAL]]*_1_541284561214624104645789101745[[#This Row],[MARGIN]]</f>
        <v>0</v>
      </c>
      <c r="R356" s="41"/>
    </row>
    <row r="357" spans="1:18">
      <c r="D357" s="188"/>
      <c r="F357" s="168" t="s">
        <v>6202</v>
      </c>
      <c r="G357" s="193">
        <f>IF(_1_541284561214624104645789101745[[#This Row],[Type]]&gt;0,VLOOKUP(_1_541284561214624104645789101745[[#This Row],[Type]],Main[[#All],[TYPE]:[UNIT]],'Unit Price'!C$1,FALSE),0)</f>
        <v>0</v>
      </c>
      <c r="H357" s="197">
        <f>IF(_1_541284561214624104645789101745[[#This Row],[Type]]&gt;0,VLOOKUP(_1_541284561214624104645789101745[[#This Row],[Type]],Main[[#All],[TYPE]:[UNIT]],'Unit Price'!D$1,FALSE),0)</f>
        <v>0</v>
      </c>
      <c r="I357" s="194">
        <f>IF(_1_541284561214624104645789101745[[#This Row],[Type]]&gt;0,VLOOKUP(_1_541284561214624104645789101745[[#This Row],[Type]],Main[[#All],[TYPE]:[UNIT]],'Unit Price'!G$1,FALSE),0)</f>
        <v>0</v>
      </c>
      <c r="J357" s="194">
        <f>IF(_1_541284561214624104645789101745[[#This Row],[Type]]&gt;0,VLOOKUP(_1_541284561214624104645789101745[[#This Row],[Type]],Main[[#All],[TYPE]:[UNIT]],'Unit Price'!H$1,FALSE),0)</f>
        <v>0</v>
      </c>
      <c r="K357" s="194">
        <f>IF(_1_541284561214624104645789101745[[#This Row],[Discount selection]]&gt;0,VLOOKUP(_1_541284561214624104645789101745[[#This Row],[Discount selection]],'Discount Structure'!$A$2:$B$30,2,"false"),0)</f>
        <v>1</v>
      </c>
      <c r="L357" s="194">
        <f>_1_541284561214624104645789101745[[#This Row],[LIST $]]*_1_541284561214624104645789101745[[#This Row],[DISCOUNT]]*_1_541284561214624104645789101745[[#This Row],[DISCOUNT 2]]</f>
        <v>0</v>
      </c>
      <c r="M357" s="194">
        <f>IF(OR(_1_541284561214624104645789101745[[#This Row],[UNIT]]&gt;0,_1_541284561214624104645789101745[[#This Row],[UNIT]]&lt;0),_1_541284561214624104645789101745[[#This Row],[UNIT]]*_1_541284561214624104645789101745[[#This Row],[COST]],0)</f>
        <v>0</v>
      </c>
      <c r="N357" s="194">
        <f t="shared" si="5"/>
        <v>1.5</v>
      </c>
      <c r="O357" s="198">
        <f>_1_541284561214624104645789101745[[#This Row],[TOTAL]]*_1_541284561214624104645789101745[[#This Row],[MARGIN]]</f>
        <v>0</v>
      </c>
      <c r="R357" s="41"/>
    </row>
    <row r="358" spans="1:18">
      <c r="A358" s="168"/>
      <c r="D358" s="188"/>
      <c r="F358" s="168" t="s">
        <v>6202</v>
      </c>
      <c r="G358" s="193">
        <f>IF(_1_541284561214624104645789101745[[#This Row],[Type]]&gt;0,VLOOKUP(_1_541284561214624104645789101745[[#This Row],[Type]],Main[[#All],[TYPE]:[UNIT]],'Unit Price'!C$1,FALSE),0)</f>
        <v>0</v>
      </c>
      <c r="H358" s="197">
        <f>IF(_1_541284561214624104645789101745[[#This Row],[Type]]&gt;0,VLOOKUP(_1_541284561214624104645789101745[[#This Row],[Type]],Main[[#All],[TYPE]:[UNIT]],'Unit Price'!D$1,FALSE),0)</f>
        <v>0</v>
      </c>
      <c r="I358" s="194">
        <f>IF(_1_541284561214624104645789101745[[#This Row],[Type]]&gt;0,VLOOKUP(_1_541284561214624104645789101745[[#This Row],[Type]],Main[[#All],[TYPE]:[UNIT]],'Unit Price'!G$1,FALSE),0)</f>
        <v>0</v>
      </c>
      <c r="J358" s="194">
        <f>IF(_1_541284561214624104645789101745[[#This Row],[Type]]&gt;0,VLOOKUP(_1_541284561214624104645789101745[[#This Row],[Type]],Main[[#All],[TYPE]:[UNIT]],'Unit Price'!H$1,FALSE),0)</f>
        <v>0</v>
      </c>
      <c r="K358" s="194">
        <f>IF(_1_541284561214624104645789101745[[#This Row],[Discount selection]]&gt;0,VLOOKUP(_1_541284561214624104645789101745[[#This Row],[Discount selection]],'Discount Structure'!$A$2:$B$30,2,"false"),0)</f>
        <v>1</v>
      </c>
      <c r="L358" s="194">
        <f>_1_541284561214624104645789101745[[#This Row],[LIST $]]*_1_541284561214624104645789101745[[#This Row],[DISCOUNT]]*_1_541284561214624104645789101745[[#This Row],[DISCOUNT 2]]</f>
        <v>0</v>
      </c>
      <c r="M358" s="194">
        <f>IF(OR(_1_541284561214624104645789101745[[#This Row],[UNIT]]&gt;0,_1_541284561214624104645789101745[[#This Row],[UNIT]]&lt;0),_1_541284561214624104645789101745[[#This Row],[UNIT]]*_1_541284561214624104645789101745[[#This Row],[COST]],0)</f>
        <v>0</v>
      </c>
      <c r="N358" s="194">
        <f t="shared" si="5"/>
        <v>1.5</v>
      </c>
      <c r="O358" s="198">
        <f>_1_541284561214624104645789101745[[#This Row],[TOTAL]]*_1_541284561214624104645789101745[[#This Row],[MARGIN]]</f>
        <v>0</v>
      </c>
      <c r="R358" s="41"/>
    </row>
    <row r="359" spans="1:18">
      <c r="D359" s="188"/>
      <c r="F359" s="168" t="s">
        <v>6202</v>
      </c>
      <c r="G359" s="193">
        <f>IF(_1_541284561214624104645789101745[[#This Row],[Type]]&gt;0,VLOOKUP(_1_541284561214624104645789101745[[#This Row],[Type]],Main[[#All],[TYPE]:[UNIT]],'Unit Price'!C$1,FALSE),0)</f>
        <v>0</v>
      </c>
      <c r="H359" s="197">
        <f>IF(_1_541284561214624104645789101745[[#This Row],[Type]]&gt;0,VLOOKUP(_1_541284561214624104645789101745[[#This Row],[Type]],Main[[#All],[TYPE]:[UNIT]],'Unit Price'!D$1,FALSE),0)</f>
        <v>0</v>
      </c>
      <c r="I359" s="194">
        <f>IF(_1_541284561214624104645789101745[[#This Row],[Type]]&gt;0,VLOOKUP(_1_541284561214624104645789101745[[#This Row],[Type]],Main[[#All],[TYPE]:[UNIT]],'Unit Price'!G$1,FALSE),0)</f>
        <v>0</v>
      </c>
      <c r="J359" s="194">
        <f>IF(_1_541284561214624104645789101745[[#This Row],[Type]]&gt;0,VLOOKUP(_1_541284561214624104645789101745[[#This Row],[Type]],Main[[#All],[TYPE]:[UNIT]],'Unit Price'!H$1,FALSE),0)</f>
        <v>0</v>
      </c>
      <c r="K359" s="194">
        <f>IF(_1_541284561214624104645789101745[[#This Row],[Discount selection]]&gt;0,VLOOKUP(_1_541284561214624104645789101745[[#This Row],[Discount selection]],'Discount Structure'!$A$2:$B$30,2,"false"),0)</f>
        <v>1</v>
      </c>
      <c r="L359" s="194">
        <f>_1_541284561214624104645789101745[[#This Row],[LIST $]]*_1_541284561214624104645789101745[[#This Row],[DISCOUNT]]*_1_541284561214624104645789101745[[#This Row],[DISCOUNT 2]]</f>
        <v>0</v>
      </c>
      <c r="M359" s="194">
        <f>IF(OR(_1_541284561214624104645789101745[[#This Row],[UNIT]]&gt;0,_1_541284561214624104645789101745[[#This Row],[UNIT]]&lt;0),_1_541284561214624104645789101745[[#This Row],[UNIT]]*_1_541284561214624104645789101745[[#This Row],[COST]],0)</f>
        <v>0</v>
      </c>
      <c r="N359" s="194">
        <f t="shared" si="5"/>
        <v>1.5</v>
      </c>
      <c r="O359" s="198">
        <f>_1_541284561214624104645789101745[[#This Row],[TOTAL]]*_1_541284561214624104645789101745[[#This Row],[MARGIN]]</f>
        <v>0</v>
      </c>
      <c r="R359" s="41"/>
    </row>
    <row r="360" spans="1:18">
      <c r="A360" s="168"/>
      <c r="B360" s="168"/>
      <c r="C360" s="168"/>
      <c r="D360" s="188"/>
      <c r="F360" s="168" t="s">
        <v>6202</v>
      </c>
      <c r="G360" s="193">
        <f>IF(_1_541284561214624104645789101745[[#This Row],[Type]]&gt;0,VLOOKUP(_1_541284561214624104645789101745[[#This Row],[Type]],Main[[#All],[TYPE]:[UNIT]],'Unit Price'!C$1,FALSE),0)</f>
        <v>0</v>
      </c>
      <c r="H360" s="197">
        <f>IF(_1_541284561214624104645789101745[[#This Row],[Type]]&gt;0,VLOOKUP(_1_541284561214624104645789101745[[#This Row],[Type]],Main[[#All],[TYPE]:[UNIT]],'Unit Price'!D$1,FALSE),0)</f>
        <v>0</v>
      </c>
      <c r="I360" s="194">
        <f>IF(_1_541284561214624104645789101745[[#This Row],[Type]]&gt;0,VLOOKUP(_1_541284561214624104645789101745[[#This Row],[Type]],Main[[#All],[TYPE]:[UNIT]],'Unit Price'!G$1,FALSE),0)</f>
        <v>0</v>
      </c>
      <c r="J360" s="194">
        <f>IF(_1_541284561214624104645789101745[[#This Row],[Type]]&gt;0,VLOOKUP(_1_541284561214624104645789101745[[#This Row],[Type]],Main[[#All],[TYPE]:[UNIT]],'Unit Price'!H$1,FALSE),0)</f>
        <v>0</v>
      </c>
      <c r="K360" s="194">
        <f>IF(_1_541284561214624104645789101745[[#This Row],[Discount selection]]&gt;0,VLOOKUP(_1_541284561214624104645789101745[[#This Row],[Discount selection]],'Discount Structure'!$A$2:$B$30,2,"false"),0)</f>
        <v>1</v>
      </c>
      <c r="L360" s="194">
        <f>_1_541284561214624104645789101745[[#This Row],[LIST $]]*_1_541284561214624104645789101745[[#This Row],[DISCOUNT]]*_1_541284561214624104645789101745[[#This Row],[DISCOUNT 2]]</f>
        <v>0</v>
      </c>
      <c r="M360" s="194">
        <f>IF(OR(_1_541284561214624104645789101745[[#This Row],[UNIT]]&gt;0,_1_541284561214624104645789101745[[#This Row],[UNIT]]&lt;0),_1_541284561214624104645789101745[[#This Row],[UNIT]]*_1_541284561214624104645789101745[[#This Row],[COST]],0)</f>
        <v>0</v>
      </c>
      <c r="N360" s="194">
        <f t="shared" si="5"/>
        <v>1.5</v>
      </c>
      <c r="O360" s="198">
        <f>_1_541284561214624104645789101745[[#This Row],[TOTAL]]*_1_541284561214624104645789101745[[#This Row],[MARGIN]]</f>
        <v>0</v>
      </c>
      <c r="R360" s="41"/>
    </row>
    <row r="361" spans="1:18">
      <c r="A361" s="323"/>
      <c r="B361" s="323"/>
      <c r="C361" s="323"/>
      <c r="D361" s="188"/>
      <c r="F361" s="168" t="s">
        <v>6202</v>
      </c>
      <c r="G361" s="193">
        <f>IF(_1_541284561214624104645789101745[[#This Row],[Type]]&gt;0,VLOOKUP(_1_541284561214624104645789101745[[#This Row],[Type]],Main[[#All],[TYPE]:[UNIT]],'Unit Price'!C$1,FALSE),0)</f>
        <v>0</v>
      </c>
      <c r="H361" s="197">
        <f>IF(_1_541284561214624104645789101745[[#This Row],[Type]]&gt;0,VLOOKUP(_1_541284561214624104645789101745[[#This Row],[Type]],Main[[#All],[TYPE]:[UNIT]],'Unit Price'!D$1,FALSE),0)</f>
        <v>0</v>
      </c>
      <c r="I361" s="194">
        <f>IF(_1_541284561214624104645789101745[[#This Row],[Type]]&gt;0,VLOOKUP(_1_541284561214624104645789101745[[#This Row],[Type]],Main[[#All],[TYPE]:[UNIT]],'Unit Price'!G$1,FALSE),0)</f>
        <v>0</v>
      </c>
      <c r="J361" s="194">
        <f>IF(_1_541284561214624104645789101745[[#This Row],[Type]]&gt;0,VLOOKUP(_1_541284561214624104645789101745[[#This Row],[Type]],Main[[#All],[TYPE]:[UNIT]],'Unit Price'!H$1,FALSE),0)</f>
        <v>0</v>
      </c>
      <c r="K361" s="194">
        <f>IF(_1_541284561214624104645789101745[[#This Row],[Discount selection]]&gt;0,VLOOKUP(_1_541284561214624104645789101745[[#This Row],[Discount selection]],'Discount Structure'!$A$2:$B$30,2,"false"),0)</f>
        <v>1</v>
      </c>
      <c r="L361" s="194">
        <f>_1_541284561214624104645789101745[[#This Row],[LIST $]]*_1_541284561214624104645789101745[[#This Row],[DISCOUNT]]*_1_541284561214624104645789101745[[#This Row],[DISCOUNT 2]]</f>
        <v>0</v>
      </c>
      <c r="M361" s="194">
        <f>IF(OR(_1_541284561214624104645789101745[[#This Row],[UNIT]]&gt;0,_1_541284561214624104645789101745[[#This Row],[UNIT]]&lt;0),_1_541284561214624104645789101745[[#This Row],[UNIT]]*_1_541284561214624104645789101745[[#This Row],[COST]],0)</f>
        <v>0</v>
      </c>
      <c r="N361" s="194">
        <f t="shared" si="5"/>
        <v>1.5</v>
      </c>
      <c r="O361" s="198">
        <f>_1_541284561214624104645789101745[[#This Row],[TOTAL]]*_1_541284561214624104645789101745[[#This Row],[MARGIN]]</f>
        <v>0</v>
      </c>
      <c r="R361" s="41"/>
    </row>
    <row r="362" spans="1:18">
      <c r="A362" s="323"/>
      <c r="B362" s="353"/>
      <c r="C362" s="323"/>
      <c r="D362" s="188"/>
      <c r="F362" s="168" t="s">
        <v>6202</v>
      </c>
      <c r="G362" s="193">
        <f>IF(_1_541284561214624104645789101745[[#This Row],[Type]]&gt;0,VLOOKUP(_1_541284561214624104645789101745[[#This Row],[Type]],Main[[#All],[TYPE]:[UNIT]],'Unit Price'!C$1,FALSE),0)</f>
        <v>0</v>
      </c>
      <c r="H362" s="197">
        <f>IF(_1_541284561214624104645789101745[[#This Row],[Type]]&gt;0,VLOOKUP(_1_541284561214624104645789101745[[#This Row],[Type]],Main[[#All],[TYPE]:[UNIT]],'Unit Price'!D$1,FALSE),0)</f>
        <v>0</v>
      </c>
      <c r="I362" s="194">
        <f>IF(_1_541284561214624104645789101745[[#This Row],[Type]]&gt;0,VLOOKUP(_1_541284561214624104645789101745[[#This Row],[Type]],Main[[#All],[TYPE]:[UNIT]],'Unit Price'!G$1,FALSE),0)</f>
        <v>0</v>
      </c>
      <c r="J362" s="194">
        <f>IF(_1_541284561214624104645789101745[[#This Row],[Type]]&gt;0,VLOOKUP(_1_541284561214624104645789101745[[#This Row],[Type]],Main[[#All],[TYPE]:[UNIT]],'Unit Price'!H$1,FALSE),0)</f>
        <v>0</v>
      </c>
      <c r="K362" s="194">
        <f>IF(_1_541284561214624104645789101745[[#This Row],[Discount selection]]&gt;0,VLOOKUP(_1_541284561214624104645789101745[[#This Row],[Discount selection]],'Discount Structure'!$A$2:$B$30,2,"false"),0)</f>
        <v>1</v>
      </c>
      <c r="L362" s="194">
        <f>_1_541284561214624104645789101745[[#This Row],[LIST $]]*_1_541284561214624104645789101745[[#This Row],[DISCOUNT]]*_1_541284561214624104645789101745[[#This Row],[DISCOUNT 2]]</f>
        <v>0</v>
      </c>
      <c r="M362" s="194">
        <f>IF(OR(_1_541284561214624104645789101745[[#This Row],[UNIT]]&gt;0,_1_541284561214624104645789101745[[#This Row],[UNIT]]&lt;0),_1_541284561214624104645789101745[[#This Row],[UNIT]]*_1_541284561214624104645789101745[[#This Row],[COST]],0)</f>
        <v>0</v>
      </c>
      <c r="N362" s="194">
        <f t="shared" si="5"/>
        <v>1.5</v>
      </c>
      <c r="O362" s="198">
        <f>_1_541284561214624104645789101745[[#This Row],[TOTAL]]*_1_541284561214624104645789101745[[#This Row],[MARGIN]]</f>
        <v>0</v>
      </c>
      <c r="R362" s="41"/>
    </row>
    <row r="363" spans="1:18">
      <c r="D363" s="188"/>
      <c r="F363" s="168" t="s">
        <v>6202</v>
      </c>
      <c r="G363" s="193">
        <f>IF(_1_541284561214624104645789101745[[#This Row],[Type]]&gt;0,VLOOKUP(_1_541284561214624104645789101745[[#This Row],[Type]],Main[[#All],[TYPE]:[UNIT]],'Unit Price'!C$1,FALSE),0)</f>
        <v>0</v>
      </c>
      <c r="H363" s="197">
        <f>IF(_1_541284561214624104645789101745[[#This Row],[Type]]&gt;0,VLOOKUP(_1_541284561214624104645789101745[[#This Row],[Type]],Main[[#All],[TYPE]:[UNIT]],'Unit Price'!D$1,FALSE),0)</f>
        <v>0</v>
      </c>
      <c r="I363" s="194">
        <f>IF(_1_541284561214624104645789101745[[#This Row],[Type]]&gt;0,VLOOKUP(_1_541284561214624104645789101745[[#This Row],[Type]],Main[[#All],[TYPE]:[UNIT]],'Unit Price'!G$1,FALSE),0)</f>
        <v>0</v>
      </c>
      <c r="J363" s="194">
        <f>IF(_1_541284561214624104645789101745[[#This Row],[Type]]&gt;0,VLOOKUP(_1_541284561214624104645789101745[[#This Row],[Type]],Main[[#All],[TYPE]:[UNIT]],'Unit Price'!H$1,FALSE),0)</f>
        <v>0</v>
      </c>
      <c r="K363" s="194">
        <f>IF(_1_541284561214624104645789101745[[#This Row],[Discount selection]]&gt;0,VLOOKUP(_1_541284561214624104645789101745[[#This Row],[Discount selection]],'Discount Structure'!$A$2:$B$30,2,"false"),0)</f>
        <v>1</v>
      </c>
      <c r="L363" s="194">
        <f>_1_541284561214624104645789101745[[#This Row],[LIST $]]*_1_541284561214624104645789101745[[#This Row],[DISCOUNT]]*_1_541284561214624104645789101745[[#This Row],[DISCOUNT 2]]</f>
        <v>0</v>
      </c>
      <c r="M363" s="194">
        <f>IF(OR(_1_541284561214624104645789101745[[#This Row],[UNIT]]&gt;0,_1_541284561214624104645789101745[[#This Row],[UNIT]]&lt;0),_1_541284561214624104645789101745[[#This Row],[UNIT]]*_1_541284561214624104645789101745[[#This Row],[COST]],0)</f>
        <v>0</v>
      </c>
      <c r="N363" s="194">
        <f t="shared" si="5"/>
        <v>1.5</v>
      </c>
      <c r="O363" s="198">
        <f>_1_541284561214624104645789101745[[#This Row],[TOTAL]]*_1_541284561214624104645789101745[[#This Row],[MARGIN]]</f>
        <v>0</v>
      </c>
      <c r="R363" s="41"/>
    </row>
    <row r="364" spans="1:18">
      <c r="D364" s="188"/>
      <c r="F364" s="168" t="s">
        <v>6202</v>
      </c>
      <c r="G364" s="193">
        <f>IF(_1_541284561214624104645789101745[[#This Row],[Type]]&gt;0,VLOOKUP(_1_541284561214624104645789101745[[#This Row],[Type]],Main[[#All],[TYPE]:[UNIT]],'Unit Price'!C$1,FALSE),0)</f>
        <v>0</v>
      </c>
      <c r="H364" s="197">
        <f>IF(_1_541284561214624104645789101745[[#This Row],[Type]]&gt;0,VLOOKUP(_1_541284561214624104645789101745[[#This Row],[Type]],Main[[#All],[TYPE]:[UNIT]],'Unit Price'!D$1,FALSE),0)</f>
        <v>0</v>
      </c>
      <c r="I364" s="194">
        <f>IF(_1_541284561214624104645789101745[[#This Row],[Type]]&gt;0,VLOOKUP(_1_541284561214624104645789101745[[#This Row],[Type]],Main[[#All],[TYPE]:[UNIT]],'Unit Price'!G$1,FALSE),0)</f>
        <v>0</v>
      </c>
      <c r="J364" s="194">
        <f>IF(_1_541284561214624104645789101745[[#This Row],[Type]]&gt;0,VLOOKUP(_1_541284561214624104645789101745[[#This Row],[Type]],Main[[#All],[TYPE]:[UNIT]],'Unit Price'!H$1,FALSE),0)</f>
        <v>0</v>
      </c>
      <c r="K364" s="194">
        <f>IF(_1_541284561214624104645789101745[[#This Row],[Discount selection]]&gt;0,VLOOKUP(_1_541284561214624104645789101745[[#This Row],[Discount selection]],'Discount Structure'!$A$2:$B$30,2,"false"),0)</f>
        <v>1</v>
      </c>
      <c r="L364" s="194">
        <f>_1_541284561214624104645789101745[[#This Row],[LIST $]]*_1_541284561214624104645789101745[[#This Row],[DISCOUNT]]*_1_541284561214624104645789101745[[#This Row],[DISCOUNT 2]]</f>
        <v>0</v>
      </c>
      <c r="M364" s="194">
        <f>IF(OR(_1_541284561214624104645789101745[[#This Row],[UNIT]]&gt;0,_1_541284561214624104645789101745[[#This Row],[UNIT]]&lt;0),_1_541284561214624104645789101745[[#This Row],[UNIT]]*_1_541284561214624104645789101745[[#This Row],[COST]],0)</f>
        <v>0</v>
      </c>
      <c r="N364" s="194">
        <f t="shared" si="5"/>
        <v>1.5</v>
      </c>
      <c r="O364" s="198">
        <f>_1_541284561214624104645789101745[[#This Row],[TOTAL]]*_1_541284561214624104645789101745[[#This Row],[MARGIN]]</f>
        <v>0</v>
      </c>
      <c r="R364" s="41"/>
    </row>
    <row r="365" spans="1:18">
      <c r="A365" s="168"/>
      <c r="D365" s="188"/>
      <c r="F365" s="168" t="s">
        <v>6202</v>
      </c>
      <c r="G365" s="193">
        <f>IF(_1_541284561214624104645789101745[[#This Row],[Type]]&gt;0,VLOOKUP(_1_541284561214624104645789101745[[#This Row],[Type]],Main[[#All],[TYPE]:[UNIT]],'Unit Price'!C$1,FALSE),0)</f>
        <v>0</v>
      </c>
      <c r="H365" s="197">
        <f>IF(_1_541284561214624104645789101745[[#This Row],[Type]]&gt;0,VLOOKUP(_1_541284561214624104645789101745[[#This Row],[Type]],Main[[#All],[TYPE]:[UNIT]],'Unit Price'!D$1,FALSE),0)</f>
        <v>0</v>
      </c>
      <c r="I365" s="194">
        <f>IF(_1_541284561214624104645789101745[[#This Row],[Type]]&gt;0,VLOOKUP(_1_541284561214624104645789101745[[#This Row],[Type]],Main[[#All],[TYPE]:[UNIT]],'Unit Price'!G$1,FALSE),0)</f>
        <v>0</v>
      </c>
      <c r="J365" s="194">
        <f>IF(_1_541284561214624104645789101745[[#This Row],[Type]]&gt;0,VLOOKUP(_1_541284561214624104645789101745[[#This Row],[Type]],Main[[#All],[TYPE]:[UNIT]],'Unit Price'!H$1,FALSE),0)</f>
        <v>0</v>
      </c>
      <c r="K365" s="194">
        <f>IF(_1_541284561214624104645789101745[[#This Row],[Discount selection]]&gt;0,VLOOKUP(_1_541284561214624104645789101745[[#This Row],[Discount selection]],'Discount Structure'!$A$2:$B$30,2,"false"),0)</f>
        <v>1</v>
      </c>
      <c r="L365" s="194">
        <f>_1_541284561214624104645789101745[[#This Row],[LIST $]]*_1_541284561214624104645789101745[[#This Row],[DISCOUNT]]*_1_541284561214624104645789101745[[#This Row],[DISCOUNT 2]]</f>
        <v>0</v>
      </c>
      <c r="M365" s="194">
        <f>IF(OR(_1_541284561214624104645789101745[[#This Row],[UNIT]]&gt;0,_1_541284561214624104645789101745[[#This Row],[UNIT]]&lt;0),_1_541284561214624104645789101745[[#This Row],[UNIT]]*_1_541284561214624104645789101745[[#This Row],[COST]],0)</f>
        <v>0</v>
      </c>
      <c r="N365" s="194">
        <f t="shared" si="5"/>
        <v>1.5</v>
      </c>
      <c r="O365" s="198">
        <f>_1_541284561214624104645789101745[[#This Row],[TOTAL]]*_1_541284561214624104645789101745[[#This Row],[MARGIN]]</f>
        <v>0</v>
      </c>
      <c r="R365" s="41"/>
    </row>
    <row r="366" spans="1:18">
      <c r="D366" s="188"/>
      <c r="F366" s="168" t="s">
        <v>6202</v>
      </c>
      <c r="G366" s="193">
        <f>IF(_1_541284561214624104645789101745[[#This Row],[Type]]&gt;0,VLOOKUP(_1_541284561214624104645789101745[[#This Row],[Type]],Main[[#All],[TYPE]:[UNIT]],'Unit Price'!C$1,FALSE),0)</f>
        <v>0</v>
      </c>
      <c r="H366" s="197">
        <f>IF(_1_541284561214624104645789101745[[#This Row],[Type]]&gt;0,VLOOKUP(_1_541284561214624104645789101745[[#This Row],[Type]],Main[[#All],[TYPE]:[UNIT]],'Unit Price'!D$1,FALSE),0)</f>
        <v>0</v>
      </c>
      <c r="I366" s="194">
        <f>IF(_1_541284561214624104645789101745[[#This Row],[Type]]&gt;0,VLOOKUP(_1_541284561214624104645789101745[[#This Row],[Type]],Main[[#All],[TYPE]:[UNIT]],'Unit Price'!G$1,FALSE),0)</f>
        <v>0</v>
      </c>
      <c r="J366" s="194">
        <f>IF(_1_541284561214624104645789101745[[#This Row],[Type]]&gt;0,VLOOKUP(_1_541284561214624104645789101745[[#This Row],[Type]],Main[[#All],[TYPE]:[UNIT]],'Unit Price'!H$1,FALSE),0)</f>
        <v>0</v>
      </c>
      <c r="K366" s="194">
        <f>IF(_1_541284561214624104645789101745[[#This Row],[Discount selection]]&gt;0,VLOOKUP(_1_541284561214624104645789101745[[#This Row],[Discount selection]],'Discount Structure'!$A$2:$B$30,2,"false"),0)</f>
        <v>1</v>
      </c>
      <c r="L366" s="194">
        <f>_1_541284561214624104645789101745[[#This Row],[LIST $]]*_1_541284561214624104645789101745[[#This Row],[DISCOUNT]]*_1_541284561214624104645789101745[[#This Row],[DISCOUNT 2]]</f>
        <v>0</v>
      </c>
      <c r="M366" s="194">
        <f>IF(OR(_1_541284561214624104645789101745[[#This Row],[UNIT]]&gt;0,_1_541284561214624104645789101745[[#This Row],[UNIT]]&lt;0),_1_541284561214624104645789101745[[#This Row],[UNIT]]*_1_541284561214624104645789101745[[#This Row],[COST]],0)</f>
        <v>0</v>
      </c>
      <c r="N366" s="194">
        <f t="shared" si="5"/>
        <v>1.5</v>
      </c>
      <c r="O366" s="198">
        <f>_1_541284561214624104645789101745[[#This Row],[TOTAL]]*_1_541284561214624104645789101745[[#This Row],[MARGIN]]</f>
        <v>0</v>
      </c>
      <c r="R366" s="41"/>
    </row>
    <row r="367" spans="1:18">
      <c r="A367" s="168"/>
      <c r="B367" s="168"/>
      <c r="C367" s="168"/>
      <c r="D367" s="188"/>
      <c r="F367" s="168" t="s">
        <v>6202</v>
      </c>
      <c r="G367" s="193">
        <f>IF(_1_541284561214624104645789101745[[#This Row],[Type]]&gt;0,VLOOKUP(_1_541284561214624104645789101745[[#This Row],[Type]],Main[[#All],[TYPE]:[UNIT]],'Unit Price'!C$1,FALSE),0)</f>
        <v>0</v>
      </c>
      <c r="H367" s="197">
        <f>IF(_1_541284561214624104645789101745[[#This Row],[Type]]&gt;0,VLOOKUP(_1_541284561214624104645789101745[[#This Row],[Type]],Main[[#All],[TYPE]:[UNIT]],'Unit Price'!D$1,FALSE),0)</f>
        <v>0</v>
      </c>
      <c r="I367" s="194">
        <f>IF(_1_541284561214624104645789101745[[#This Row],[Type]]&gt;0,VLOOKUP(_1_541284561214624104645789101745[[#This Row],[Type]],Main[[#All],[TYPE]:[UNIT]],'Unit Price'!G$1,FALSE),0)</f>
        <v>0</v>
      </c>
      <c r="J367" s="194">
        <f>IF(_1_541284561214624104645789101745[[#This Row],[Type]]&gt;0,VLOOKUP(_1_541284561214624104645789101745[[#This Row],[Type]],Main[[#All],[TYPE]:[UNIT]],'Unit Price'!H$1,FALSE),0)</f>
        <v>0</v>
      </c>
      <c r="K367" s="194">
        <f>IF(_1_541284561214624104645789101745[[#This Row],[Discount selection]]&gt;0,VLOOKUP(_1_541284561214624104645789101745[[#This Row],[Discount selection]],'Discount Structure'!$A$2:$B$30,2,"false"),0)</f>
        <v>1</v>
      </c>
      <c r="L367" s="194">
        <f>_1_541284561214624104645789101745[[#This Row],[LIST $]]*_1_541284561214624104645789101745[[#This Row],[DISCOUNT]]*_1_541284561214624104645789101745[[#This Row],[DISCOUNT 2]]</f>
        <v>0</v>
      </c>
      <c r="M367" s="194">
        <f>IF(OR(_1_541284561214624104645789101745[[#This Row],[UNIT]]&gt;0,_1_541284561214624104645789101745[[#This Row],[UNIT]]&lt;0),_1_541284561214624104645789101745[[#This Row],[UNIT]]*_1_541284561214624104645789101745[[#This Row],[COST]],0)</f>
        <v>0</v>
      </c>
      <c r="N367" s="194">
        <f t="shared" si="5"/>
        <v>1.5</v>
      </c>
      <c r="O367" s="198">
        <f>_1_541284561214624104645789101745[[#This Row],[TOTAL]]*_1_541284561214624104645789101745[[#This Row],[MARGIN]]</f>
        <v>0</v>
      </c>
      <c r="R367" s="41"/>
    </row>
    <row r="368" spans="1:18">
      <c r="A368" s="323"/>
      <c r="B368" s="323"/>
      <c r="C368" s="323"/>
      <c r="D368" s="188"/>
      <c r="F368" s="168" t="s">
        <v>6202</v>
      </c>
      <c r="G368" s="193">
        <f>IF(_1_541284561214624104645789101745[[#This Row],[Type]]&gt;0,VLOOKUP(_1_541284561214624104645789101745[[#This Row],[Type]],Main[[#All],[TYPE]:[UNIT]],'Unit Price'!C$1,FALSE),0)</f>
        <v>0</v>
      </c>
      <c r="H368" s="197">
        <f>IF(_1_541284561214624104645789101745[[#This Row],[Type]]&gt;0,VLOOKUP(_1_541284561214624104645789101745[[#This Row],[Type]],Main[[#All],[TYPE]:[UNIT]],'Unit Price'!D$1,FALSE),0)</f>
        <v>0</v>
      </c>
      <c r="I368" s="194">
        <f>IF(_1_541284561214624104645789101745[[#This Row],[Type]]&gt;0,VLOOKUP(_1_541284561214624104645789101745[[#This Row],[Type]],Main[[#All],[TYPE]:[UNIT]],'Unit Price'!G$1,FALSE),0)</f>
        <v>0</v>
      </c>
      <c r="J368" s="194">
        <f>IF(_1_541284561214624104645789101745[[#This Row],[Type]]&gt;0,VLOOKUP(_1_541284561214624104645789101745[[#This Row],[Type]],Main[[#All],[TYPE]:[UNIT]],'Unit Price'!H$1,FALSE),0)</f>
        <v>0</v>
      </c>
      <c r="K368" s="194">
        <f>IF(_1_541284561214624104645789101745[[#This Row],[Discount selection]]&gt;0,VLOOKUP(_1_541284561214624104645789101745[[#This Row],[Discount selection]],'Discount Structure'!$A$2:$B$30,2,"false"),0)</f>
        <v>1</v>
      </c>
      <c r="L368" s="194">
        <f>_1_541284561214624104645789101745[[#This Row],[LIST $]]*_1_541284561214624104645789101745[[#This Row],[DISCOUNT]]*_1_541284561214624104645789101745[[#This Row],[DISCOUNT 2]]</f>
        <v>0</v>
      </c>
      <c r="M368" s="194">
        <f>IF(OR(_1_541284561214624104645789101745[[#This Row],[UNIT]]&gt;0,_1_541284561214624104645789101745[[#This Row],[UNIT]]&lt;0),_1_541284561214624104645789101745[[#This Row],[UNIT]]*_1_541284561214624104645789101745[[#This Row],[COST]],0)</f>
        <v>0</v>
      </c>
      <c r="N368" s="194">
        <f t="shared" si="5"/>
        <v>1.5</v>
      </c>
      <c r="O368" s="198">
        <f>_1_541284561214624104645789101745[[#This Row],[TOTAL]]*_1_541284561214624104645789101745[[#This Row],[MARGIN]]</f>
        <v>0</v>
      </c>
      <c r="R368" s="41"/>
    </row>
    <row r="369" spans="1:18">
      <c r="A369" s="323"/>
      <c r="B369" s="353"/>
      <c r="C369" s="323"/>
      <c r="D369" s="188"/>
      <c r="F369" s="168" t="s">
        <v>6202</v>
      </c>
      <c r="G369" s="193">
        <f>IF(_1_541284561214624104645789101745[[#This Row],[Type]]&gt;0,VLOOKUP(_1_541284561214624104645789101745[[#This Row],[Type]],Main[[#All],[TYPE]:[UNIT]],'Unit Price'!C$1,FALSE),0)</f>
        <v>0</v>
      </c>
      <c r="H369" s="197">
        <f>IF(_1_541284561214624104645789101745[[#This Row],[Type]]&gt;0,VLOOKUP(_1_541284561214624104645789101745[[#This Row],[Type]],Main[[#All],[TYPE]:[UNIT]],'Unit Price'!D$1,FALSE),0)</f>
        <v>0</v>
      </c>
      <c r="I369" s="194">
        <f>IF(_1_541284561214624104645789101745[[#This Row],[Type]]&gt;0,VLOOKUP(_1_541284561214624104645789101745[[#This Row],[Type]],Main[[#All],[TYPE]:[UNIT]],'Unit Price'!G$1,FALSE),0)</f>
        <v>0</v>
      </c>
      <c r="J369" s="194">
        <f>IF(_1_541284561214624104645789101745[[#This Row],[Type]]&gt;0,VLOOKUP(_1_541284561214624104645789101745[[#This Row],[Type]],Main[[#All],[TYPE]:[UNIT]],'Unit Price'!H$1,FALSE),0)</f>
        <v>0</v>
      </c>
      <c r="K369" s="194">
        <f>IF(_1_541284561214624104645789101745[[#This Row],[Discount selection]]&gt;0,VLOOKUP(_1_541284561214624104645789101745[[#This Row],[Discount selection]],'Discount Structure'!$A$2:$B$30,2,"false"),0)</f>
        <v>1</v>
      </c>
      <c r="L369" s="194">
        <f>_1_541284561214624104645789101745[[#This Row],[LIST $]]*_1_541284561214624104645789101745[[#This Row],[DISCOUNT]]*_1_541284561214624104645789101745[[#This Row],[DISCOUNT 2]]</f>
        <v>0</v>
      </c>
      <c r="M369" s="194">
        <f>IF(OR(_1_541284561214624104645789101745[[#This Row],[UNIT]]&gt;0,_1_541284561214624104645789101745[[#This Row],[UNIT]]&lt;0),_1_541284561214624104645789101745[[#This Row],[UNIT]]*_1_541284561214624104645789101745[[#This Row],[COST]],0)</f>
        <v>0</v>
      </c>
      <c r="N369" s="194">
        <f t="shared" si="5"/>
        <v>1.5</v>
      </c>
      <c r="O369" s="198">
        <f>_1_541284561214624104645789101745[[#This Row],[TOTAL]]*_1_541284561214624104645789101745[[#This Row],[MARGIN]]</f>
        <v>0</v>
      </c>
      <c r="R369" s="41"/>
    </row>
    <row r="370" spans="1:18">
      <c r="D370" s="188"/>
      <c r="F370" s="168" t="s">
        <v>6202</v>
      </c>
      <c r="G370" s="193">
        <f>IF(_1_541284561214624104645789101745[[#This Row],[Type]]&gt;0,VLOOKUP(_1_541284561214624104645789101745[[#This Row],[Type]],Main[[#All],[TYPE]:[UNIT]],'Unit Price'!C$1,FALSE),0)</f>
        <v>0</v>
      </c>
      <c r="H370" s="197">
        <f>IF(_1_541284561214624104645789101745[[#This Row],[Type]]&gt;0,VLOOKUP(_1_541284561214624104645789101745[[#This Row],[Type]],Main[[#All],[TYPE]:[UNIT]],'Unit Price'!D$1,FALSE),0)</f>
        <v>0</v>
      </c>
      <c r="I370" s="194">
        <f>IF(_1_541284561214624104645789101745[[#This Row],[Type]]&gt;0,VLOOKUP(_1_541284561214624104645789101745[[#This Row],[Type]],Main[[#All],[TYPE]:[UNIT]],'Unit Price'!G$1,FALSE),0)</f>
        <v>0</v>
      </c>
      <c r="J370" s="194">
        <f>IF(_1_541284561214624104645789101745[[#This Row],[Type]]&gt;0,VLOOKUP(_1_541284561214624104645789101745[[#This Row],[Type]],Main[[#All],[TYPE]:[UNIT]],'Unit Price'!H$1,FALSE),0)</f>
        <v>0</v>
      </c>
      <c r="K370" s="194">
        <f>IF(_1_541284561214624104645789101745[[#This Row],[Discount selection]]&gt;0,VLOOKUP(_1_541284561214624104645789101745[[#This Row],[Discount selection]],'Discount Structure'!$A$2:$B$30,2,"false"),0)</f>
        <v>1</v>
      </c>
      <c r="L370" s="194">
        <f>_1_541284561214624104645789101745[[#This Row],[LIST $]]*_1_541284561214624104645789101745[[#This Row],[DISCOUNT]]*_1_541284561214624104645789101745[[#This Row],[DISCOUNT 2]]</f>
        <v>0</v>
      </c>
      <c r="M370" s="194">
        <f>IF(OR(_1_541284561214624104645789101745[[#This Row],[UNIT]]&gt;0,_1_541284561214624104645789101745[[#This Row],[UNIT]]&lt;0),_1_541284561214624104645789101745[[#This Row],[UNIT]]*_1_541284561214624104645789101745[[#This Row],[COST]],0)</f>
        <v>0</v>
      </c>
      <c r="N370" s="194">
        <f t="shared" si="5"/>
        <v>1.5</v>
      </c>
      <c r="O370" s="198">
        <f>_1_541284561214624104645789101745[[#This Row],[TOTAL]]*_1_541284561214624104645789101745[[#This Row],[MARGIN]]</f>
        <v>0</v>
      </c>
      <c r="R370" s="41"/>
    </row>
    <row r="371" spans="1:18">
      <c r="D371" s="188"/>
      <c r="F371" s="168" t="s">
        <v>6202</v>
      </c>
      <c r="G371" s="193">
        <f>IF(_1_541284561214624104645789101745[[#This Row],[Type]]&gt;0,VLOOKUP(_1_541284561214624104645789101745[[#This Row],[Type]],Main[[#All],[TYPE]:[UNIT]],'Unit Price'!C$1,FALSE),0)</f>
        <v>0</v>
      </c>
      <c r="H371" s="197">
        <f>IF(_1_541284561214624104645789101745[[#This Row],[Type]]&gt;0,VLOOKUP(_1_541284561214624104645789101745[[#This Row],[Type]],Main[[#All],[TYPE]:[UNIT]],'Unit Price'!D$1,FALSE),0)</f>
        <v>0</v>
      </c>
      <c r="I371" s="194">
        <f>IF(_1_541284561214624104645789101745[[#This Row],[Type]]&gt;0,VLOOKUP(_1_541284561214624104645789101745[[#This Row],[Type]],Main[[#All],[TYPE]:[UNIT]],'Unit Price'!G$1,FALSE),0)</f>
        <v>0</v>
      </c>
      <c r="J371" s="194">
        <f>IF(_1_541284561214624104645789101745[[#This Row],[Type]]&gt;0,VLOOKUP(_1_541284561214624104645789101745[[#This Row],[Type]],Main[[#All],[TYPE]:[UNIT]],'Unit Price'!H$1,FALSE),0)</f>
        <v>0</v>
      </c>
      <c r="K371" s="194">
        <f>IF(_1_541284561214624104645789101745[[#This Row],[Discount selection]]&gt;0,VLOOKUP(_1_541284561214624104645789101745[[#This Row],[Discount selection]],'Discount Structure'!$A$2:$B$30,2,"false"),0)</f>
        <v>1</v>
      </c>
      <c r="L371" s="194">
        <f>_1_541284561214624104645789101745[[#This Row],[LIST $]]*_1_541284561214624104645789101745[[#This Row],[DISCOUNT]]*_1_541284561214624104645789101745[[#This Row],[DISCOUNT 2]]</f>
        <v>0</v>
      </c>
      <c r="M371" s="194">
        <f>IF(OR(_1_541284561214624104645789101745[[#This Row],[UNIT]]&gt;0,_1_541284561214624104645789101745[[#This Row],[UNIT]]&lt;0),_1_541284561214624104645789101745[[#This Row],[UNIT]]*_1_541284561214624104645789101745[[#This Row],[COST]],0)</f>
        <v>0</v>
      </c>
      <c r="N371" s="194">
        <f t="shared" si="5"/>
        <v>1.5</v>
      </c>
      <c r="O371" s="198">
        <f>_1_541284561214624104645789101745[[#This Row],[TOTAL]]*_1_541284561214624104645789101745[[#This Row],[MARGIN]]</f>
        <v>0</v>
      </c>
      <c r="R371" s="41"/>
    </row>
    <row r="372" spans="1:18">
      <c r="D372" s="188"/>
      <c r="F372" s="168" t="s">
        <v>6202</v>
      </c>
      <c r="G372" s="192">
        <f>IF(_1_541284561214624104645789101745[[#This Row],[Type]]&gt;0,VLOOKUP(_1_541284561214624104645789101745[[#This Row],[Type]],Main[[#All],[TYPE]:[UNIT]],'Unit Price'!C$1,FALSE),0)</f>
        <v>0</v>
      </c>
      <c r="H372" s="197">
        <f>IF(_1_541284561214624104645789101745[[#This Row],[Type]]&gt;0,VLOOKUP(_1_541284561214624104645789101745[[#This Row],[Type]],Main[[#All],[TYPE]:[UNIT]],'Unit Price'!D$1,FALSE),0)</f>
        <v>0</v>
      </c>
      <c r="I372" s="194">
        <f>IF(_1_541284561214624104645789101745[[#This Row],[Type]]&gt;0,VLOOKUP(_1_541284561214624104645789101745[[#This Row],[Type]],Main[[#All],[TYPE]:[UNIT]],'Unit Price'!G$1,FALSE),0)</f>
        <v>0</v>
      </c>
      <c r="J372" s="194">
        <f>IF(_1_541284561214624104645789101745[[#This Row],[Type]]&gt;0,VLOOKUP(_1_541284561214624104645789101745[[#This Row],[Type]],Main[[#All],[TYPE]:[UNIT]],'Unit Price'!H$1,FALSE),0)</f>
        <v>0</v>
      </c>
      <c r="K372" s="194">
        <f>IF(_1_541284561214624104645789101745[[#This Row],[Discount selection]]&gt;0,VLOOKUP(_1_541284561214624104645789101745[[#This Row],[Discount selection]],'Discount Structure'!$A$2:$B$30,2,"false"),0)</f>
        <v>1</v>
      </c>
      <c r="L372" s="194">
        <f>_1_541284561214624104645789101745[[#This Row],[LIST $]]*_1_541284561214624104645789101745[[#This Row],[DISCOUNT]]*_1_541284561214624104645789101745[[#This Row],[DISCOUNT 2]]</f>
        <v>0</v>
      </c>
      <c r="M372" s="194">
        <f>IF(OR(_1_541284561214624104645789101745[[#This Row],[UNIT]]&gt;0,_1_541284561214624104645789101745[[#This Row],[UNIT]]&lt;0),_1_541284561214624104645789101745[[#This Row],[UNIT]]*_1_541284561214624104645789101745[[#This Row],[COST]],0)</f>
        <v>0</v>
      </c>
      <c r="N372" s="194">
        <f t="shared" si="5"/>
        <v>1.5</v>
      </c>
      <c r="O372" s="198">
        <f>_1_541284561214624104645789101745[[#This Row],[TOTAL]]*_1_541284561214624104645789101745[[#This Row],[MARGIN]]</f>
        <v>0</v>
      </c>
      <c r="R372" s="41"/>
    </row>
    <row r="373" spans="1:18">
      <c r="A373" s="327"/>
      <c r="B373" s="327"/>
      <c r="D373" s="188"/>
      <c r="F373" s="168" t="s">
        <v>6202</v>
      </c>
      <c r="G373" s="192">
        <f>IF(_1_541284561214624104645789101745[[#This Row],[Type]]&gt;0,VLOOKUP(_1_541284561214624104645789101745[[#This Row],[Type]],Main[[#All],[TYPE]:[UNIT]],'Unit Price'!C$1,FALSE),0)</f>
        <v>0</v>
      </c>
      <c r="H373" s="197">
        <f>IF(_1_541284561214624104645789101745[[#This Row],[Type]]&gt;0,VLOOKUP(_1_541284561214624104645789101745[[#This Row],[Type]],Main[[#All],[TYPE]:[UNIT]],'Unit Price'!D$1,FALSE),0)</f>
        <v>0</v>
      </c>
      <c r="I373" s="194">
        <f>IF(_1_541284561214624104645789101745[[#This Row],[Type]]&gt;0,VLOOKUP(_1_541284561214624104645789101745[[#This Row],[Type]],Main[[#All],[TYPE]:[UNIT]],'Unit Price'!G$1,FALSE),0)</f>
        <v>0</v>
      </c>
      <c r="J373" s="194">
        <f>IF(_1_541284561214624104645789101745[[#This Row],[Type]]&gt;0,VLOOKUP(_1_541284561214624104645789101745[[#This Row],[Type]],Main[[#All],[TYPE]:[UNIT]],'Unit Price'!H$1,FALSE),0)</f>
        <v>0</v>
      </c>
      <c r="K373" s="194">
        <f>IF(_1_541284561214624104645789101745[[#This Row],[Discount selection]]&gt;0,VLOOKUP(_1_541284561214624104645789101745[[#This Row],[Discount selection]],'Discount Structure'!$A$2:$B$30,2,"false"),0)</f>
        <v>1</v>
      </c>
      <c r="L373" s="194">
        <f>_1_541284561214624104645789101745[[#This Row],[LIST $]]*_1_541284561214624104645789101745[[#This Row],[DISCOUNT]]*_1_541284561214624104645789101745[[#This Row],[DISCOUNT 2]]</f>
        <v>0</v>
      </c>
      <c r="M373" s="194">
        <f>IF(OR(_1_541284561214624104645789101745[[#This Row],[UNIT]]&gt;0,_1_541284561214624104645789101745[[#This Row],[UNIT]]&lt;0),_1_541284561214624104645789101745[[#This Row],[UNIT]]*_1_541284561214624104645789101745[[#This Row],[COST]],0)</f>
        <v>0</v>
      </c>
      <c r="N373" s="194">
        <f t="shared" si="5"/>
        <v>1.5</v>
      </c>
      <c r="O373" s="198">
        <f>_1_541284561214624104645789101745[[#This Row],[TOTAL]]*_1_541284561214624104645789101745[[#This Row],[MARGIN]]</f>
        <v>0</v>
      </c>
      <c r="R373" s="41"/>
    </row>
    <row r="374" spans="1:18">
      <c r="D374" s="188"/>
      <c r="F374" s="168" t="s">
        <v>6202</v>
      </c>
      <c r="G374" s="193">
        <f>IF(_1_541284561214624104645789101745[[#This Row],[Type]]&gt;0,VLOOKUP(_1_541284561214624104645789101745[[#This Row],[Type]],Main[[#All],[TYPE]:[UNIT]],'Unit Price'!C$1,FALSE),0)</f>
        <v>0</v>
      </c>
      <c r="H374" s="197">
        <f>IF(_1_541284561214624104645789101745[[#This Row],[Type]]&gt;0,VLOOKUP(_1_541284561214624104645789101745[[#This Row],[Type]],Main[[#All],[TYPE]:[UNIT]],'Unit Price'!D$1,FALSE),0)</f>
        <v>0</v>
      </c>
      <c r="I374" s="194">
        <f>IF(_1_541284561214624104645789101745[[#This Row],[Type]]&gt;0,VLOOKUP(_1_541284561214624104645789101745[[#This Row],[Type]],Main[[#All],[TYPE]:[UNIT]],'Unit Price'!G$1,FALSE),0)</f>
        <v>0</v>
      </c>
      <c r="J374" s="194">
        <f>IF(_1_541284561214624104645789101745[[#This Row],[Type]]&gt;0,VLOOKUP(_1_541284561214624104645789101745[[#This Row],[Type]],Main[[#All],[TYPE]:[UNIT]],'Unit Price'!H$1,FALSE),0)</f>
        <v>0</v>
      </c>
      <c r="K374" s="194">
        <f>IF(_1_541284561214624104645789101745[[#This Row],[Discount selection]]&gt;0,VLOOKUP(_1_541284561214624104645789101745[[#This Row],[Discount selection]],'Discount Structure'!$A$2:$B$30,2,"false"),0)</f>
        <v>1</v>
      </c>
      <c r="L374" s="194">
        <f>_1_541284561214624104645789101745[[#This Row],[LIST $]]*_1_541284561214624104645789101745[[#This Row],[DISCOUNT]]*_1_541284561214624104645789101745[[#This Row],[DISCOUNT 2]]</f>
        <v>0</v>
      </c>
      <c r="M374" s="194">
        <f>IF(OR(_1_541284561214624104645789101745[[#This Row],[UNIT]]&gt;0,_1_541284561214624104645789101745[[#This Row],[UNIT]]&lt;0),_1_541284561214624104645789101745[[#This Row],[UNIT]]*_1_541284561214624104645789101745[[#This Row],[COST]],0)</f>
        <v>0</v>
      </c>
      <c r="N374" s="194">
        <f t="shared" si="5"/>
        <v>1.5</v>
      </c>
      <c r="O374" s="198">
        <f>_1_541284561214624104645789101745[[#This Row],[TOTAL]]*_1_541284561214624104645789101745[[#This Row],[MARGIN]]</f>
        <v>0</v>
      </c>
      <c r="R374" s="41"/>
    </row>
    <row r="375" spans="1:18">
      <c r="D375" s="188"/>
      <c r="F375" s="168" t="s">
        <v>6202</v>
      </c>
      <c r="G375" s="193">
        <f>IF(_1_541284561214624104645789101745[[#This Row],[Type]]&gt;0,VLOOKUP(_1_541284561214624104645789101745[[#This Row],[Type]],Main[[#All],[TYPE]:[UNIT]],'Unit Price'!C$1,FALSE),0)</f>
        <v>0</v>
      </c>
      <c r="H375" s="197">
        <f>IF(_1_541284561214624104645789101745[[#This Row],[Type]]&gt;0,VLOOKUP(_1_541284561214624104645789101745[[#This Row],[Type]],Main[[#All],[TYPE]:[UNIT]],'Unit Price'!D$1,FALSE),0)</f>
        <v>0</v>
      </c>
      <c r="I375" s="194">
        <f>IF(_1_541284561214624104645789101745[[#This Row],[Type]]&gt;0,VLOOKUP(_1_541284561214624104645789101745[[#This Row],[Type]],Main[[#All],[TYPE]:[UNIT]],'Unit Price'!G$1,FALSE),0)</f>
        <v>0</v>
      </c>
      <c r="J375" s="194">
        <f>IF(_1_541284561214624104645789101745[[#This Row],[Type]]&gt;0,VLOOKUP(_1_541284561214624104645789101745[[#This Row],[Type]],Main[[#All],[TYPE]:[UNIT]],'Unit Price'!H$1,FALSE),0)</f>
        <v>0</v>
      </c>
      <c r="K375" s="194">
        <f>IF(_1_541284561214624104645789101745[[#This Row],[Discount selection]]&gt;0,VLOOKUP(_1_541284561214624104645789101745[[#This Row],[Discount selection]],'Discount Structure'!$A$2:$B$30,2,"false"),0)</f>
        <v>1</v>
      </c>
      <c r="L375" s="194">
        <f>_1_541284561214624104645789101745[[#This Row],[LIST $]]*_1_541284561214624104645789101745[[#This Row],[DISCOUNT]]*_1_541284561214624104645789101745[[#This Row],[DISCOUNT 2]]</f>
        <v>0</v>
      </c>
      <c r="M375" s="194">
        <f>IF(OR(_1_541284561214624104645789101745[[#This Row],[UNIT]]&gt;0,_1_541284561214624104645789101745[[#This Row],[UNIT]]&lt;0),_1_541284561214624104645789101745[[#This Row],[UNIT]]*_1_541284561214624104645789101745[[#This Row],[COST]],0)</f>
        <v>0</v>
      </c>
      <c r="N375" s="194">
        <f t="shared" si="5"/>
        <v>1.5</v>
      </c>
      <c r="O375" s="198">
        <f>_1_541284561214624104645789101745[[#This Row],[TOTAL]]*_1_541284561214624104645789101745[[#This Row],[MARGIN]]</f>
        <v>0</v>
      </c>
      <c r="R375" s="41"/>
    </row>
    <row r="376" spans="1:18">
      <c r="D376" s="188"/>
      <c r="F376" s="168" t="s">
        <v>6202</v>
      </c>
      <c r="G376" s="193">
        <f>IF(_1_541284561214624104645789101745[[#This Row],[Type]]&gt;0,VLOOKUP(_1_541284561214624104645789101745[[#This Row],[Type]],Main[[#All],[TYPE]:[UNIT]],'Unit Price'!C$1,FALSE),0)</f>
        <v>0</v>
      </c>
      <c r="H376" s="197">
        <f>IF(_1_541284561214624104645789101745[[#This Row],[Type]]&gt;0,VLOOKUP(_1_541284561214624104645789101745[[#This Row],[Type]],Main[[#All],[TYPE]:[UNIT]],'Unit Price'!D$1,FALSE),0)</f>
        <v>0</v>
      </c>
      <c r="I376" s="194">
        <f>IF(_1_541284561214624104645789101745[[#This Row],[Type]]&gt;0,VLOOKUP(_1_541284561214624104645789101745[[#This Row],[Type]],Main[[#All],[TYPE]:[UNIT]],'Unit Price'!G$1,FALSE),0)</f>
        <v>0</v>
      </c>
      <c r="J376" s="194">
        <f>IF(_1_541284561214624104645789101745[[#This Row],[Type]]&gt;0,VLOOKUP(_1_541284561214624104645789101745[[#This Row],[Type]],Main[[#All],[TYPE]:[UNIT]],'Unit Price'!H$1,FALSE),0)</f>
        <v>0</v>
      </c>
      <c r="K376" s="194">
        <f>IF(_1_541284561214624104645789101745[[#This Row],[Discount selection]]&gt;0,VLOOKUP(_1_541284561214624104645789101745[[#This Row],[Discount selection]],'Discount Structure'!$A$2:$B$30,2,"false"),0)</f>
        <v>1</v>
      </c>
      <c r="L376" s="194">
        <f>_1_541284561214624104645789101745[[#This Row],[LIST $]]*_1_541284561214624104645789101745[[#This Row],[DISCOUNT]]*_1_541284561214624104645789101745[[#This Row],[DISCOUNT 2]]</f>
        <v>0</v>
      </c>
      <c r="M376" s="194">
        <f>IF(OR(_1_541284561214624104645789101745[[#This Row],[UNIT]]&gt;0,_1_541284561214624104645789101745[[#This Row],[UNIT]]&lt;0),_1_541284561214624104645789101745[[#This Row],[UNIT]]*_1_541284561214624104645789101745[[#This Row],[COST]],0)</f>
        <v>0</v>
      </c>
      <c r="N376" s="194">
        <f t="shared" si="5"/>
        <v>1.5</v>
      </c>
      <c r="O376" s="198">
        <f>_1_541284561214624104645789101745[[#This Row],[TOTAL]]*_1_541284561214624104645789101745[[#This Row],[MARGIN]]</f>
        <v>0</v>
      </c>
      <c r="R376" s="41"/>
    </row>
    <row r="377" spans="1:18">
      <c r="D377" s="188"/>
      <c r="F377" s="168" t="s">
        <v>6202</v>
      </c>
      <c r="G377" s="192">
        <f>IF(_1_541284561214624104645789101745[[#This Row],[Type]]&gt;0,VLOOKUP(_1_541284561214624104645789101745[[#This Row],[Type]],Main[[#All],[TYPE]:[UNIT]],'Unit Price'!C$1,FALSE),0)</f>
        <v>0</v>
      </c>
      <c r="H377" s="197">
        <f>IF(_1_541284561214624104645789101745[[#This Row],[Type]]&gt;0,VLOOKUP(_1_541284561214624104645789101745[[#This Row],[Type]],Main[[#All],[TYPE]:[UNIT]],'Unit Price'!D$1,FALSE),0)</f>
        <v>0</v>
      </c>
      <c r="I377" s="194">
        <f>IF(_1_541284561214624104645789101745[[#This Row],[Type]]&gt;0,VLOOKUP(_1_541284561214624104645789101745[[#This Row],[Type]],Main[[#All],[TYPE]:[UNIT]],'Unit Price'!G$1,FALSE),0)</f>
        <v>0</v>
      </c>
      <c r="J377" s="194">
        <f>IF(_1_541284561214624104645789101745[[#This Row],[Type]]&gt;0,VLOOKUP(_1_541284561214624104645789101745[[#This Row],[Type]],Main[[#All],[TYPE]:[UNIT]],'Unit Price'!H$1,FALSE),0)</f>
        <v>0</v>
      </c>
      <c r="K377" s="194">
        <f>IF(_1_541284561214624104645789101745[[#This Row],[Discount selection]]&gt;0,VLOOKUP(_1_541284561214624104645789101745[[#This Row],[Discount selection]],'Discount Structure'!$A$2:$B$30,2,"false"),0)</f>
        <v>1</v>
      </c>
      <c r="L377" s="194">
        <f>_1_541284561214624104645789101745[[#This Row],[LIST $]]*_1_541284561214624104645789101745[[#This Row],[DISCOUNT]]*_1_541284561214624104645789101745[[#This Row],[DISCOUNT 2]]</f>
        <v>0</v>
      </c>
      <c r="M377" s="194">
        <f>IF(OR(_1_541284561214624104645789101745[[#This Row],[UNIT]]&gt;0,_1_541284561214624104645789101745[[#This Row],[UNIT]]&lt;0),_1_541284561214624104645789101745[[#This Row],[UNIT]]*_1_541284561214624104645789101745[[#This Row],[COST]],0)</f>
        <v>0</v>
      </c>
      <c r="N377" s="194">
        <f t="shared" si="5"/>
        <v>1.5</v>
      </c>
      <c r="O377" s="198">
        <f>_1_541284561214624104645789101745[[#This Row],[TOTAL]]*_1_541284561214624104645789101745[[#This Row],[MARGIN]]</f>
        <v>0</v>
      </c>
      <c r="R377" s="41"/>
    </row>
    <row r="378" spans="1:18">
      <c r="D378" s="188"/>
      <c r="F378" s="168" t="s">
        <v>6202</v>
      </c>
      <c r="G378" s="193">
        <f>IF(_1_541284561214624104645789101745[[#This Row],[Type]]&gt;0,VLOOKUP(_1_541284561214624104645789101745[[#This Row],[Type]],Main[[#All],[TYPE]:[UNIT]],'Unit Price'!C$1,FALSE),0)</f>
        <v>0</v>
      </c>
      <c r="H378" s="197">
        <f>IF(_1_541284561214624104645789101745[[#This Row],[Type]]&gt;0,VLOOKUP(_1_541284561214624104645789101745[[#This Row],[Type]],Main[[#All],[TYPE]:[UNIT]],'Unit Price'!D$1,FALSE),0)</f>
        <v>0</v>
      </c>
      <c r="I378" s="194">
        <f>IF(_1_541284561214624104645789101745[[#This Row],[Type]]&gt;0,VLOOKUP(_1_541284561214624104645789101745[[#This Row],[Type]],Main[[#All],[TYPE]:[UNIT]],'Unit Price'!G$1,FALSE),0)</f>
        <v>0</v>
      </c>
      <c r="J378" s="194">
        <f>IF(_1_541284561214624104645789101745[[#This Row],[Type]]&gt;0,VLOOKUP(_1_541284561214624104645789101745[[#This Row],[Type]],Main[[#All],[TYPE]:[UNIT]],'Unit Price'!H$1,FALSE),0)</f>
        <v>0</v>
      </c>
      <c r="K378" s="194">
        <f>IF(_1_541284561214624104645789101745[[#This Row],[Discount selection]]&gt;0,VLOOKUP(_1_541284561214624104645789101745[[#This Row],[Discount selection]],'Discount Structure'!$A$2:$B$30,2,"false"),0)</f>
        <v>1</v>
      </c>
      <c r="L378" s="194">
        <f>_1_541284561214624104645789101745[[#This Row],[LIST $]]*_1_541284561214624104645789101745[[#This Row],[DISCOUNT]]*_1_541284561214624104645789101745[[#This Row],[DISCOUNT 2]]</f>
        <v>0</v>
      </c>
      <c r="M378" s="194">
        <f>IF(OR(_1_541284561214624104645789101745[[#This Row],[UNIT]]&gt;0,_1_541284561214624104645789101745[[#This Row],[UNIT]]&lt;0),_1_541284561214624104645789101745[[#This Row],[UNIT]]*_1_541284561214624104645789101745[[#This Row],[COST]],0)</f>
        <v>0</v>
      </c>
      <c r="N378" s="194">
        <f t="shared" si="5"/>
        <v>1.5</v>
      </c>
      <c r="O378" s="198">
        <f>_1_541284561214624104645789101745[[#This Row],[TOTAL]]*_1_541284561214624104645789101745[[#This Row],[MARGIN]]</f>
        <v>0</v>
      </c>
      <c r="R378" s="41"/>
    </row>
    <row r="379" spans="1:18">
      <c r="D379" s="188"/>
      <c r="F379" s="168" t="s">
        <v>6202</v>
      </c>
      <c r="G379" s="193">
        <f>IF(_1_541284561214624104645789101745[[#This Row],[Type]]&gt;0,VLOOKUP(_1_541284561214624104645789101745[[#This Row],[Type]],Main[[#All],[TYPE]:[UNIT]],'Unit Price'!C$1,FALSE),0)</f>
        <v>0</v>
      </c>
      <c r="H379" s="197">
        <f>IF(_1_541284561214624104645789101745[[#This Row],[Type]]&gt;0,VLOOKUP(_1_541284561214624104645789101745[[#This Row],[Type]],Main[[#All],[TYPE]:[UNIT]],'Unit Price'!D$1,FALSE),0)</f>
        <v>0</v>
      </c>
      <c r="I379" s="194">
        <f>IF(_1_541284561214624104645789101745[[#This Row],[Type]]&gt;0,VLOOKUP(_1_541284561214624104645789101745[[#This Row],[Type]],Main[[#All],[TYPE]:[UNIT]],'Unit Price'!G$1,FALSE),0)</f>
        <v>0</v>
      </c>
      <c r="J379" s="194">
        <f>IF(_1_541284561214624104645789101745[[#This Row],[Type]]&gt;0,VLOOKUP(_1_541284561214624104645789101745[[#This Row],[Type]],Main[[#All],[TYPE]:[UNIT]],'Unit Price'!H$1,FALSE),0)</f>
        <v>0</v>
      </c>
      <c r="K379" s="194">
        <f>IF(_1_541284561214624104645789101745[[#This Row],[Discount selection]]&gt;0,VLOOKUP(_1_541284561214624104645789101745[[#This Row],[Discount selection]],'Discount Structure'!$A$2:$B$30,2,"false"),0)</f>
        <v>1</v>
      </c>
      <c r="L379" s="194">
        <f>_1_541284561214624104645789101745[[#This Row],[LIST $]]*_1_541284561214624104645789101745[[#This Row],[DISCOUNT]]*_1_541284561214624104645789101745[[#This Row],[DISCOUNT 2]]</f>
        <v>0</v>
      </c>
      <c r="M379" s="194">
        <f>IF(OR(_1_541284561214624104645789101745[[#This Row],[UNIT]]&gt;0,_1_541284561214624104645789101745[[#This Row],[UNIT]]&lt;0),_1_541284561214624104645789101745[[#This Row],[UNIT]]*_1_541284561214624104645789101745[[#This Row],[COST]],0)</f>
        <v>0</v>
      </c>
      <c r="N379" s="194">
        <f t="shared" si="5"/>
        <v>1.5</v>
      </c>
      <c r="O379" s="198">
        <f>_1_541284561214624104645789101745[[#This Row],[TOTAL]]*_1_541284561214624104645789101745[[#This Row],[MARGIN]]</f>
        <v>0</v>
      </c>
      <c r="R379" s="41"/>
    </row>
    <row r="380" spans="1:18">
      <c r="A380" s="327"/>
      <c r="B380" s="327"/>
      <c r="D380" s="188"/>
      <c r="F380" s="168" t="s">
        <v>6202</v>
      </c>
      <c r="G380" s="193">
        <f>IF(_1_541284561214624104645789101745[[#This Row],[Type]]&gt;0,VLOOKUP(_1_541284561214624104645789101745[[#This Row],[Type]],Main[[#All],[TYPE]:[UNIT]],'Unit Price'!C$1,FALSE),0)</f>
        <v>0</v>
      </c>
      <c r="H380" s="197">
        <f>IF(_1_541284561214624104645789101745[[#This Row],[Type]]&gt;0,VLOOKUP(_1_541284561214624104645789101745[[#This Row],[Type]],Main[[#All],[TYPE]:[UNIT]],'Unit Price'!D$1,FALSE),0)</f>
        <v>0</v>
      </c>
      <c r="I380" s="194">
        <f>IF(_1_541284561214624104645789101745[[#This Row],[Type]]&gt;0,VLOOKUP(_1_541284561214624104645789101745[[#This Row],[Type]],Main[[#All],[TYPE]:[UNIT]],'Unit Price'!G$1,FALSE),0)</f>
        <v>0</v>
      </c>
      <c r="J380" s="194">
        <f>IF(_1_541284561214624104645789101745[[#This Row],[Type]]&gt;0,VLOOKUP(_1_541284561214624104645789101745[[#This Row],[Type]],Main[[#All],[TYPE]:[UNIT]],'Unit Price'!H$1,FALSE),0)</f>
        <v>0</v>
      </c>
      <c r="K380" s="194">
        <f>IF(_1_541284561214624104645789101745[[#This Row],[Discount selection]]&gt;0,VLOOKUP(_1_541284561214624104645789101745[[#This Row],[Discount selection]],'Discount Structure'!$A$2:$B$30,2,"false"),0)</f>
        <v>1</v>
      </c>
      <c r="L380" s="194">
        <f>_1_541284561214624104645789101745[[#This Row],[LIST $]]*_1_541284561214624104645789101745[[#This Row],[DISCOUNT]]*_1_541284561214624104645789101745[[#This Row],[DISCOUNT 2]]</f>
        <v>0</v>
      </c>
      <c r="M380" s="194">
        <f>IF(OR(_1_541284561214624104645789101745[[#This Row],[UNIT]]&gt;0,_1_541284561214624104645789101745[[#This Row],[UNIT]]&lt;0),_1_541284561214624104645789101745[[#This Row],[UNIT]]*_1_541284561214624104645789101745[[#This Row],[COST]],0)</f>
        <v>0</v>
      </c>
      <c r="N380" s="194">
        <f t="shared" si="5"/>
        <v>1.5</v>
      </c>
      <c r="O380" s="198">
        <f>_1_541284561214624104645789101745[[#This Row],[TOTAL]]*_1_541284561214624104645789101745[[#This Row],[MARGIN]]</f>
        <v>0</v>
      </c>
      <c r="R380" s="41"/>
    </row>
    <row r="381" spans="1:18">
      <c r="D381" s="188"/>
      <c r="F381" s="168" t="s">
        <v>6202</v>
      </c>
      <c r="G381" s="193">
        <f>IF(_1_541284561214624104645789101745[[#This Row],[Type]]&gt;0,VLOOKUP(_1_541284561214624104645789101745[[#This Row],[Type]],Main[[#All],[TYPE]:[UNIT]],'Unit Price'!C$1,FALSE),0)</f>
        <v>0</v>
      </c>
      <c r="H381" s="197">
        <f>IF(_1_541284561214624104645789101745[[#This Row],[Type]]&gt;0,VLOOKUP(_1_541284561214624104645789101745[[#This Row],[Type]],Main[[#All],[TYPE]:[UNIT]],'Unit Price'!D$1,FALSE),0)</f>
        <v>0</v>
      </c>
      <c r="I381" s="194">
        <f>IF(_1_541284561214624104645789101745[[#This Row],[Type]]&gt;0,VLOOKUP(_1_541284561214624104645789101745[[#This Row],[Type]],Main[[#All],[TYPE]:[UNIT]],'Unit Price'!G$1,FALSE),0)</f>
        <v>0</v>
      </c>
      <c r="J381" s="194">
        <f>IF(_1_541284561214624104645789101745[[#This Row],[Type]]&gt;0,VLOOKUP(_1_541284561214624104645789101745[[#This Row],[Type]],Main[[#All],[TYPE]:[UNIT]],'Unit Price'!H$1,FALSE),0)</f>
        <v>0</v>
      </c>
      <c r="K381" s="194">
        <f>IF(_1_541284561214624104645789101745[[#This Row],[Discount selection]]&gt;0,VLOOKUP(_1_541284561214624104645789101745[[#This Row],[Discount selection]],'Discount Structure'!$A$2:$B$30,2,"false"),0)</f>
        <v>1</v>
      </c>
      <c r="L381" s="194">
        <f>_1_541284561214624104645789101745[[#This Row],[LIST $]]*_1_541284561214624104645789101745[[#This Row],[DISCOUNT]]*_1_541284561214624104645789101745[[#This Row],[DISCOUNT 2]]</f>
        <v>0</v>
      </c>
      <c r="M381" s="194">
        <f>IF(OR(_1_541284561214624104645789101745[[#This Row],[UNIT]]&gt;0,_1_541284561214624104645789101745[[#This Row],[UNIT]]&lt;0),_1_541284561214624104645789101745[[#This Row],[UNIT]]*_1_541284561214624104645789101745[[#This Row],[COST]],0)</f>
        <v>0</v>
      </c>
      <c r="N381" s="194">
        <f t="shared" si="5"/>
        <v>1.5</v>
      </c>
      <c r="O381" s="198">
        <f>_1_541284561214624104645789101745[[#This Row],[TOTAL]]*_1_541284561214624104645789101745[[#This Row],[MARGIN]]</f>
        <v>0</v>
      </c>
      <c r="R381" s="41"/>
    </row>
    <row r="382" spans="1:18">
      <c r="D382" s="188"/>
      <c r="F382" s="168" t="s">
        <v>6202</v>
      </c>
      <c r="G382" s="192">
        <f>IF(_1_541284561214624104645789101745[[#This Row],[Type]]&gt;0,VLOOKUP(_1_541284561214624104645789101745[[#This Row],[Type]],Main[[#All],[TYPE]:[UNIT]],'Unit Price'!C$1,FALSE),0)</f>
        <v>0</v>
      </c>
      <c r="H382" s="197">
        <f>IF(_1_541284561214624104645789101745[[#This Row],[Type]]&gt;0,VLOOKUP(_1_541284561214624104645789101745[[#This Row],[Type]],Main[[#All],[TYPE]:[UNIT]],'Unit Price'!D$1,FALSE),0)</f>
        <v>0</v>
      </c>
      <c r="I382" s="194">
        <f>IF(_1_541284561214624104645789101745[[#This Row],[Type]]&gt;0,VLOOKUP(_1_541284561214624104645789101745[[#This Row],[Type]],Main[[#All],[TYPE]:[UNIT]],'Unit Price'!G$1,FALSE),0)</f>
        <v>0</v>
      </c>
      <c r="J382" s="194">
        <f>IF(_1_541284561214624104645789101745[[#This Row],[Type]]&gt;0,VLOOKUP(_1_541284561214624104645789101745[[#This Row],[Type]],Main[[#All],[TYPE]:[UNIT]],'Unit Price'!H$1,FALSE),0)</f>
        <v>0</v>
      </c>
      <c r="K382" s="194">
        <f>IF(_1_541284561214624104645789101745[[#This Row],[Discount selection]]&gt;0,VLOOKUP(_1_541284561214624104645789101745[[#This Row],[Discount selection]],'Discount Structure'!$A$2:$B$30,2,"false"),0)</f>
        <v>1</v>
      </c>
      <c r="L382" s="194">
        <f>_1_541284561214624104645789101745[[#This Row],[LIST $]]*_1_541284561214624104645789101745[[#This Row],[DISCOUNT]]*_1_541284561214624104645789101745[[#This Row],[DISCOUNT 2]]</f>
        <v>0</v>
      </c>
      <c r="M382" s="194">
        <f>IF(OR(_1_541284561214624104645789101745[[#This Row],[UNIT]]&gt;0,_1_541284561214624104645789101745[[#This Row],[UNIT]]&lt;0),_1_541284561214624104645789101745[[#This Row],[UNIT]]*_1_541284561214624104645789101745[[#This Row],[COST]],0)</f>
        <v>0</v>
      </c>
      <c r="N382" s="194">
        <f t="shared" si="5"/>
        <v>1.5</v>
      </c>
      <c r="O382" s="198">
        <f>_1_541284561214624104645789101745[[#This Row],[TOTAL]]*_1_541284561214624104645789101745[[#This Row],[MARGIN]]</f>
        <v>0</v>
      </c>
      <c r="R382" s="41"/>
    </row>
    <row r="383" spans="1:18">
      <c r="D383" s="188"/>
      <c r="F383" s="168" t="s">
        <v>6202</v>
      </c>
      <c r="G383" s="193">
        <f>IF(_1_541284561214624104645789101745[[#This Row],[Type]]&gt;0,VLOOKUP(_1_541284561214624104645789101745[[#This Row],[Type]],Main[[#All],[TYPE]:[UNIT]],'Unit Price'!C$1,FALSE),0)</f>
        <v>0</v>
      </c>
      <c r="H383" s="197">
        <f>IF(_1_541284561214624104645789101745[[#This Row],[Type]]&gt;0,VLOOKUP(_1_541284561214624104645789101745[[#This Row],[Type]],Main[[#All],[TYPE]:[UNIT]],'Unit Price'!D$1,FALSE),0)</f>
        <v>0</v>
      </c>
      <c r="I383" s="194">
        <f>IF(_1_541284561214624104645789101745[[#This Row],[Type]]&gt;0,VLOOKUP(_1_541284561214624104645789101745[[#This Row],[Type]],Main[[#All],[TYPE]:[UNIT]],'Unit Price'!G$1,FALSE),0)</f>
        <v>0</v>
      </c>
      <c r="J383" s="194">
        <f>IF(_1_541284561214624104645789101745[[#This Row],[Type]]&gt;0,VLOOKUP(_1_541284561214624104645789101745[[#This Row],[Type]],Main[[#All],[TYPE]:[UNIT]],'Unit Price'!H$1,FALSE),0)</f>
        <v>0</v>
      </c>
      <c r="K383" s="194">
        <f>IF(_1_541284561214624104645789101745[[#This Row],[Discount selection]]&gt;0,VLOOKUP(_1_541284561214624104645789101745[[#This Row],[Discount selection]],'Discount Structure'!$A$2:$B$30,2,"false"),0)</f>
        <v>1</v>
      </c>
      <c r="L383" s="194">
        <f>_1_541284561214624104645789101745[[#This Row],[LIST $]]*_1_541284561214624104645789101745[[#This Row],[DISCOUNT]]*_1_541284561214624104645789101745[[#This Row],[DISCOUNT 2]]</f>
        <v>0</v>
      </c>
      <c r="M383" s="194">
        <f>IF(OR(_1_541284561214624104645789101745[[#This Row],[UNIT]]&gt;0,_1_541284561214624104645789101745[[#This Row],[UNIT]]&lt;0),_1_541284561214624104645789101745[[#This Row],[UNIT]]*_1_541284561214624104645789101745[[#This Row],[COST]],0)</f>
        <v>0</v>
      </c>
      <c r="N383" s="194">
        <f t="shared" si="5"/>
        <v>1.5</v>
      </c>
      <c r="O383" s="198">
        <f>_1_541284561214624104645789101745[[#This Row],[TOTAL]]*_1_541284561214624104645789101745[[#This Row],[MARGIN]]</f>
        <v>0</v>
      </c>
      <c r="R383" s="41"/>
    </row>
    <row r="384" spans="1:18">
      <c r="D384" s="188"/>
      <c r="F384" s="168" t="s">
        <v>6202</v>
      </c>
      <c r="G384" s="193">
        <f>IF(_1_541284561214624104645789101745[[#This Row],[Type]]&gt;0,VLOOKUP(_1_541284561214624104645789101745[[#This Row],[Type]],Main[[#All],[TYPE]:[UNIT]],'Unit Price'!C$1,FALSE),0)</f>
        <v>0</v>
      </c>
      <c r="H384" s="197">
        <f>IF(_1_541284561214624104645789101745[[#This Row],[Type]]&gt;0,VLOOKUP(_1_541284561214624104645789101745[[#This Row],[Type]],Main[[#All],[TYPE]:[UNIT]],'Unit Price'!D$1,FALSE),0)</f>
        <v>0</v>
      </c>
      <c r="I384" s="194">
        <f>IF(_1_541284561214624104645789101745[[#This Row],[Type]]&gt;0,VLOOKUP(_1_541284561214624104645789101745[[#This Row],[Type]],Main[[#All],[TYPE]:[UNIT]],'Unit Price'!G$1,FALSE),0)</f>
        <v>0</v>
      </c>
      <c r="J384" s="194">
        <f>IF(_1_541284561214624104645789101745[[#This Row],[Type]]&gt;0,VLOOKUP(_1_541284561214624104645789101745[[#This Row],[Type]],Main[[#All],[TYPE]:[UNIT]],'Unit Price'!H$1,FALSE),0)</f>
        <v>0</v>
      </c>
      <c r="K384" s="194">
        <f>IF(_1_541284561214624104645789101745[[#This Row],[Discount selection]]&gt;0,VLOOKUP(_1_541284561214624104645789101745[[#This Row],[Discount selection]],'Discount Structure'!$A$2:$B$30,2,"false"),0)</f>
        <v>1</v>
      </c>
      <c r="L384" s="194">
        <f>_1_541284561214624104645789101745[[#This Row],[LIST $]]*_1_541284561214624104645789101745[[#This Row],[DISCOUNT]]*_1_541284561214624104645789101745[[#This Row],[DISCOUNT 2]]</f>
        <v>0</v>
      </c>
      <c r="M384" s="194">
        <f>IF(OR(_1_541284561214624104645789101745[[#This Row],[UNIT]]&gt;0,_1_541284561214624104645789101745[[#This Row],[UNIT]]&lt;0),_1_541284561214624104645789101745[[#This Row],[UNIT]]*_1_541284561214624104645789101745[[#This Row],[COST]],0)</f>
        <v>0</v>
      </c>
      <c r="N384" s="194">
        <f t="shared" si="5"/>
        <v>1.5</v>
      </c>
      <c r="O384" s="198">
        <f>_1_541284561214624104645789101745[[#This Row],[TOTAL]]*_1_541284561214624104645789101745[[#This Row],[MARGIN]]</f>
        <v>0</v>
      </c>
      <c r="R384" s="41"/>
    </row>
    <row r="385" spans="1:18">
      <c r="D385" s="188"/>
      <c r="F385" s="168" t="s">
        <v>6202</v>
      </c>
      <c r="G385" s="193">
        <f>IF(_1_541284561214624104645789101745[[#This Row],[Type]]&gt;0,VLOOKUP(_1_541284561214624104645789101745[[#This Row],[Type]],Main[[#All],[TYPE]:[UNIT]],'Unit Price'!C$1,FALSE),0)</f>
        <v>0</v>
      </c>
      <c r="H385" s="197">
        <f>IF(_1_541284561214624104645789101745[[#This Row],[Type]]&gt;0,VLOOKUP(_1_541284561214624104645789101745[[#This Row],[Type]],Main[[#All],[TYPE]:[UNIT]],'Unit Price'!D$1,FALSE),0)</f>
        <v>0</v>
      </c>
      <c r="I385" s="194">
        <f>IF(_1_541284561214624104645789101745[[#This Row],[Type]]&gt;0,VLOOKUP(_1_541284561214624104645789101745[[#This Row],[Type]],Main[[#All],[TYPE]:[UNIT]],'Unit Price'!G$1,FALSE),0)</f>
        <v>0</v>
      </c>
      <c r="J385" s="194">
        <f>IF(_1_541284561214624104645789101745[[#This Row],[Type]]&gt;0,VLOOKUP(_1_541284561214624104645789101745[[#This Row],[Type]],Main[[#All],[TYPE]:[UNIT]],'Unit Price'!H$1,FALSE),0)</f>
        <v>0</v>
      </c>
      <c r="K385" s="194">
        <f>IF(_1_541284561214624104645789101745[[#This Row],[Discount selection]]&gt;0,VLOOKUP(_1_541284561214624104645789101745[[#This Row],[Discount selection]],'Discount Structure'!$A$2:$B$30,2,"false"),0)</f>
        <v>1</v>
      </c>
      <c r="L385" s="194">
        <f>_1_541284561214624104645789101745[[#This Row],[LIST $]]*_1_541284561214624104645789101745[[#This Row],[DISCOUNT]]*_1_541284561214624104645789101745[[#This Row],[DISCOUNT 2]]</f>
        <v>0</v>
      </c>
      <c r="M385" s="194">
        <f>IF(OR(_1_541284561214624104645789101745[[#This Row],[UNIT]]&gt;0,_1_541284561214624104645789101745[[#This Row],[UNIT]]&lt;0),_1_541284561214624104645789101745[[#This Row],[UNIT]]*_1_541284561214624104645789101745[[#This Row],[COST]],0)</f>
        <v>0</v>
      </c>
      <c r="N385" s="194">
        <f t="shared" si="5"/>
        <v>1.5</v>
      </c>
      <c r="O385" s="198">
        <f>_1_541284561214624104645789101745[[#This Row],[TOTAL]]*_1_541284561214624104645789101745[[#This Row],[MARGIN]]</f>
        <v>0</v>
      </c>
      <c r="R385" s="41"/>
    </row>
    <row r="386" spans="1:18">
      <c r="D386" s="188"/>
      <c r="F386" s="168" t="s">
        <v>6202</v>
      </c>
      <c r="G386" s="193">
        <f>IF(_1_541284561214624104645789101745[[#This Row],[Type]]&gt;0,VLOOKUP(_1_541284561214624104645789101745[[#This Row],[Type]],Main[[#All],[TYPE]:[UNIT]],'Unit Price'!C$1,FALSE),0)</f>
        <v>0</v>
      </c>
      <c r="H386" s="197">
        <f>IF(_1_541284561214624104645789101745[[#This Row],[Type]]&gt;0,VLOOKUP(_1_541284561214624104645789101745[[#This Row],[Type]],Main[[#All],[TYPE]:[UNIT]],'Unit Price'!D$1,FALSE),0)</f>
        <v>0</v>
      </c>
      <c r="I386" s="194">
        <f>IF(_1_541284561214624104645789101745[[#This Row],[Type]]&gt;0,VLOOKUP(_1_541284561214624104645789101745[[#This Row],[Type]],Main[[#All],[TYPE]:[UNIT]],'Unit Price'!G$1,FALSE),0)</f>
        <v>0</v>
      </c>
      <c r="J386" s="194">
        <f>IF(_1_541284561214624104645789101745[[#This Row],[Type]]&gt;0,VLOOKUP(_1_541284561214624104645789101745[[#This Row],[Type]],Main[[#All],[TYPE]:[UNIT]],'Unit Price'!H$1,FALSE),0)</f>
        <v>0</v>
      </c>
      <c r="K386" s="194">
        <f>IF(_1_541284561214624104645789101745[[#This Row],[Discount selection]]&gt;0,VLOOKUP(_1_541284561214624104645789101745[[#This Row],[Discount selection]],'Discount Structure'!$A$2:$B$30,2,"false"),0)</f>
        <v>1</v>
      </c>
      <c r="L386" s="194">
        <f>_1_541284561214624104645789101745[[#This Row],[LIST $]]*_1_541284561214624104645789101745[[#This Row],[DISCOUNT]]*_1_541284561214624104645789101745[[#This Row],[DISCOUNT 2]]</f>
        <v>0</v>
      </c>
      <c r="M386" s="194">
        <f>IF(OR(_1_541284561214624104645789101745[[#This Row],[UNIT]]&gt;0,_1_541284561214624104645789101745[[#This Row],[UNIT]]&lt;0),_1_541284561214624104645789101745[[#This Row],[UNIT]]*_1_541284561214624104645789101745[[#This Row],[COST]],0)</f>
        <v>0</v>
      </c>
      <c r="N386" s="194">
        <f t="shared" si="5"/>
        <v>1.5</v>
      </c>
      <c r="O386" s="198">
        <f>_1_541284561214624104645789101745[[#This Row],[TOTAL]]*_1_541284561214624104645789101745[[#This Row],[MARGIN]]</f>
        <v>0</v>
      </c>
      <c r="R386" s="41"/>
    </row>
    <row r="387" spans="1:18">
      <c r="D387" s="188"/>
      <c r="F387" s="168" t="s">
        <v>6202</v>
      </c>
      <c r="G387" s="192">
        <f>IF(_1_541284561214624104645789101745[[#This Row],[Type]]&gt;0,VLOOKUP(_1_541284561214624104645789101745[[#This Row],[Type]],Main[[#All],[TYPE]:[UNIT]],'Unit Price'!C$1,FALSE),0)</f>
        <v>0</v>
      </c>
      <c r="H387" s="197">
        <f>IF(_1_541284561214624104645789101745[[#This Row],[Type]]&gt;0,VLOOKUP(_1_541284561214624104645789101745[[#This Row],[Type]],Main[[#All],[TYPE]:[UNIT]],'Unit Price'!D$1,FALSE),0)</f>
        <v>0</v>
      </c>
      <c r="I387" s="194">
        <f>IF(_1_541284561214624104645789101745[[#This Row],[Type]]&gt;0,VLOOKUP(_1_541284561214624104645789101745[[#This Row],[Type]],Main[[#All],[TYPE]:[UNIT]],'Unit Price'!G$1,FALSE),0)</f>
        <v>0</v>
      </c>
      <c r="J387" s="194">
        <f>IF(_1_541284561214624104645789101745[[#This Row],[Type]]&gt;0,VLOOKUP(_1_541284561214624104645789101745[[#This Row],[Type]],Main[[#All],[TYPE]:[UNIT]],'Unit Price'!H$1,FALSE),0)</f>
        <v>0</v>
      </c>
      <c r="K387" s="194">
        <f>IF(_1_541284561214624104645789101745[[#This Row],[Discount selection]]&gt;0,VLOOKUP(_1_541284561214624104645789101745[[#This Row],[Discount selection]],'Discount Structure'!$A$2:$B$30,2,"false"),0)</f>
        <v>1</v>
      </c>
      <c r="L387" s="194">
        <f>_1_541284561214624104645789101745[[#This Row],[LIST $]]*_1_541284561214624104645789101745[[#This Row],[DISCOUNT]]*_1_541284561214624104645789101745[[#This Row],[DISCOUNT 2]]</f>
        <v>0</v>
      </c>
      <c r="M387" s="194">
        <f>IF(OR(_1_541284561214624104645789101745[[#This Row],[UNIT]]&gt;0,_1_541284561214624104645789101745[[#This Row],[UNIT]]&lt;0),_1_541284561214624104645789101745[[#This Row],[UNIT]]*_1_541284561214624104645789101745[[#This Row],[COST]],0)</f>
        <v>0</v>
      </c>
      <c r="N387" s="194">
        <f t="shared" si="5"/>
        <v>1.5</v>
      </c>
      <c r="O387" s="198">
        <f>_1_541284561214624104645789101745[[#This Row],[TOTAL]]*_1_541284561214624104645789101745[[#This Row],[MARGIN]]</f>
        <v>0</v>
      </c>
      <c r="R387" s="41"/>
    </row>
    <row r="388" spans="1:18">
      <c r="D388" s="188"/>
      <c r="F388" s="168" t="s">
        <v>6202</v>
      </c>
      <c r="G388" s="193">
        <f>IF(_1_541284561214624104645789101745[[#This Row],[Type]]&gt;0,VLOOKUP(_1_541284561214624104645789101745[[#This Row],[Type]],Main[[#All],[TYPE]:[UNIT]],'Unit Price'!C$1,FALSE),0)</f>
        <v>0</v>
      </c>
      <c r="H388" s="197">
        <f>IF(_1_541284561214624104645789101745[[#This Row],[Type]]&gt;0,VLOOKUP(_1_541284561214624104645789101745[[#This Row],[Type]],Main[[#All],[TYPE]:[UNIT]],'Unit Price'!D$1,FALSE),0)</f>
        <v>0</v>
      </c>
      <c r="I388" s="194">
        <f>IF(_1_541284561214624104645789101745[[#This Row],[Type]]&gt;0,VLOOKUP(_1_541284561214624104645789101745[[#This Row],[Type]],Main[[#All],[TYPE]:[UNIT]],'Unit Price'!G$1,FALSE),0)</f>
        <v>0</v>
      </c>
      <c r="J388" s="194">
        <f>IF(_1_541284561214624104645789101745[[#This Row],[Type]]&gt;0,VLOOKUP(_1_541284561214624104645789101745[[#This Row],[Type]],Main[[#All],[TYPE]:[UNIT]],'Unit Price'!H$1,FALSE),0)</f>
        <v>0</v>
      </c>
      <c r="K388" s="194">
        <f>IF(_1_541284561214624104645789101745[[#This Row],[Discount selection]]&gt;0,VLOOKUP(_1_541284561214624104645789101745[[#This Row],[Discount selection]],'Discount Structure'!$A$2:$B$30,2,"false"),0)</f>
        <v>1</v>
      </c>
      <c r="L388" s="194">
        <f>_1_541284561214624104645789101745[[#This Row],[LIST $]]*_1_541284561214624104645789101745[[#This Row],[DISCOUNT]]*_1_541284561214624104645789101745[[#This Row],[DISCOUNT 2]]</f>
        <v>0</v>
      </c>
      <c r="M388" s="194">
        <f>IF(OR(_1_541284561214624104645789101745[[#This Row],[UNIT]]&gt;0,_1_541284561214624104645789101745[[#This Row],[UNIT]]&lt;0),_1_541284561214624104645789101745[[#This Row],[UNIT]]*_1_541284561214624104645789101745[[#This Row],[COST]],0)</f>
        <v>0</v>
      </c>
      <c r="N388" s="194">
        <f t="shared" si="5"/>
        <v>1.5</v>
      </c>
      <c r="O388" s="198">
        <f>_1_541284561214624104645789101745[[#This Row],[TOTAL]]*_1_541284561214624104645789101745[[#This Row],[MARGIN]]</f>
        <v>0</v>
      </c>
      <c r="R388" s="41"/>
    </row>
    <row r="389" spans="1:18">
      <c r="D389" s="188"/>
      <c r="F389" s="168" t="s">
        <v>6202</v>
      </c>
      <c r="G389" s="193">
        <f>IF(_1_541284561214624104645789101745[[#This Row],[Type]]&gt;0,VLOOKUP(_1_541284561214624104645789101745[[#This Row],[Type]],Main[[#All],[TYPE]:[UNIT]],'Unit Price'!C$1,FALSE),0)</f>
        <v>0</v>
      </c>
      <c r="H389" s="197">
        <f>IF(_1_541284561214624104645789101745[[#This Row],[Type]]&gt;0,VLOOKUP(_1_541284561214624104645789101745[[#This Row],[Type]],Main[[#All],[TYPE]:[UNIT]],'Unit Price'!D$1,FALSE),0)</f>
        <v>0</v>
      </c>
      <c r="I389" s="194">
        <f>IF(_1_541284561214624104645789101745[[#This Row],[Type]]&gt;0,VLOOKUP(_1_541284561214624104645789101745[[#This Row],[Type]],Main[[#All],[TYPE]:[UNIT]],'Unit Price'!G$1,FALSE),0)</f>
        <v>0</v>
      </c>
      <c r="J389" s="194">
        <f>IF(_1_541284561214624104645789101745[[#This Row],[Type]]&gt;0,VLOOKUP(_1_541284561214624104645789101745[[#This Row],[Type]],Main[[#All],[TYPE]:[UNIT]],'Unit Price'!H$1,FALSE),0)</f>
        <v>0</v>
      </c>
      <c r="K389" s="194">
        <f>IF(_1_541284561214624104645789101745[[#This Row],[Discount selection]]&gt;0,VLOOKUP(_1_541284561214624104645789101745[[#This Row],[Discount selection]],'Discount Structure'!$A$2:$B$30,2,"false"),0)</f>
        <v>1</v>
      </c>
      <c r="L389" s="194">
        <f>_1_541284561214624104645789101745[[#This Row],[LIST $]]*_1_541284561214624104645789101745[[#This Row],[DISCOUNT]]*_1_541284561214624104645789101745[[#This Row],[DISCOUNT 2]]</f>
        <v>0</v>
      </c>
      <c r="M389" s="194">
        <f>IF(OR(_1_541284561214624104645789101745[[#This Row],[UNIT]]&gt;0,_1_541284561214624104645789101745[[#This Row],[UNIT]]&lt;0),_1_541284561214624104645789101745[[#This Row],[UNIT]]*_1_541284561214624104645789101745[[#This Row],[COST]],0)</f>
        <v>0</v>
      </c>
      <c r="N389" s="194">
        <f t="shared" si="5"/>
        <v>1.5</v>
      </c>
      <c r="O389" s="198">
        <f>_1_541284561214624104645789101745[[#This Row],[TOTAL]]*_1_541284561214624104645789101745[[#This Row],[MARGIN]]</f>
        <v>0</v>
      </c>
      <c r="R389" s="41"/>
    </row>
    <row r="390" spans="1:18">
      <c r="D390" s="188"/>
      <c r="F390" s="168" t="s">
        <v>6202</v>
      </c>
      <c r="G390" s="193">
        <f>IF(_1_541284561214624104645789101745[[#This Row],[Type]]&gt;0,VLOOKUP(_1_541284561214624104645789101745[[#This Row],[Type]],Main[[#All],[TYPE]:[UNIT]],'Unit Price'!C$1,FALSE),0)</f>
        <v>0</v>
      </c>
      <c r="H390" s="197">
        <f>IF(_1_541284561214624104645789101745[[#This Row],[Type]]&gt;0,VLOOKUP(_1_541284561214624104645789101745[[#This Row],[Type]],Main[[#All],[TYPE]:[UNIT]],'Unit Price'!D$1,FALSE),0)</f>
        <v>0</v>
      </c>
      <c r="I390" s="194">
        <f>IF(_1_541284561214624104645789101745[[#This Row],[Type]]&gt;0,VLOOKUP(_1_541284561214624104645789101745[[#This Row],[Type]],Main[[#All],[TYPE]:[UNIT]],'Unit Price'!G$1,FALSE),0)</f>
        <v>0</v>
      </c>
      <c r="J390" s="194">
        <f>IF(_1_541284561214624104645789101745[[#This Row],[Type]]&gt;0,VLOOKUP(_1_541284561214624104645789101745[[#This Row],[Type]],Main[[#All],[TYPE]:[UNIT]],'Unit Price'!H$1,FALSE),0)</f>
        <v>0</v>
      </c>
      <c r="K390" s="194">
        <f>IF(_1_541284561214624104645789101745[[#This Row],[Discount selection]]&gt;0,VLOOKUP(_1_541284561214624104645789101745[[#This Row],[Discount selection]],'Discount Structure'!$A$2:$B$30,2,"false"),0)</f>
        <v>1</v>
      </c>
      <c r="L390" s="194">
        <f>_1_541284561214624104645789101745[[#This Row],[LIST $]]*_1_541284561214624104645789101745[[#This Row],[DISCOUNT]]*_1_541284561214624104645789101745[[#This Row],[DISCOUNT 2]]</f>
        <v>0</v>
      </c>
      <c r="M390" s="194">
        <f>IF(OR(_1_541284561214624104645789101745[[#This Row],[UNIT]]&gt;0,_1_541284561214624104645789101745[[#This Row],[UNIT]]&lt;0),_1_541284561214624104645789101745[[#This Row],[UNIT]]*_1_541284561214624104645789101745[[#This Row],[COST]],0)</f>
        <v>0</v>
      </c>
      <c r="N390" s="194">
        <f t="shared" si="5"/>
        <v>1.5</v>
      </c>
      <c r="O390" s="198">
        <f>_1_541284561214624104645789101745[[#This Row],[TOTAL]]*_1_541284561214624104645789101745[[#This Row],[MARGIN]]</f>
        <v>0</v>
      </c>
      <c r="R390" s="41"/>
    </row>
    <row r="391" spans="1:18">
      <c r="D391" s="188"/>
      <c r="F391" s="168" t="s">
        <v>6202</v>
      </c>
      <c r="G391" s="193">
        <f>IF(_1_541284561214624104645789101745[[#This Row],[Type]]&gt;0,VLOOKUP(_1_541284561214624104645789101745[[#This Row],[Type]],Main[[#All],[TYPE]:[UNIT]],'Unit Price'!C$1,FALSE),0)</f>
        <v>0</v>
      </c>
      <c r="H391" s="197">
        <f>IF(_1_541284561214624104645789101745[[#This Row],[Type]]&gt;0,VLOOKUP(_1_541284561214624104645789101745[[#This Row],[Type]],Main[[#All],[TYPE]:[UNIT]],'Unit Price'!D$1,FALSE),0)</f>
        <v>0</v>
      </c>
      <c r="I391" s="194">
        <f>IF(_1_541284561214624104645789101745[[#This Row],[Type]]&gt;0,VLOOKUP(_1_541284561214624104645789101745[[#This Row],[Type]],Main[[#All],[TYPE]:[UNIT]],'Unit Price'!G$1,FALSE),0)</f>
        <v>0</v>
      </c>
      <c r="J391" s="194">
        <f>IF(_1_541284561214624104645789101745[[#This Row],[Type]]&gt;0,VLOOKUP(_1_541284561214624104645789101745[[#This Row],[Type]],Main[[#All],[TYPE]:[UNIT]],'Unit Price'!H$1,FALSE),0)</f>
        <v>0</v>
      </c>
      <c r="K391" s="194">
        <f>IF(_1_541284561214624104645789101745[[#This Row],[Discount selection]]&gt;0,VLOOKUP(_1_541284561214624104645789101745[[#This Row],[Discount selection]],'Discount Structure'!$A$2:$B$30,2,"false"),0)</f>
        <v>1</v>
      </c>
      <c r="L391" s="194">
        <f>_1_541284561214624104645789101745[[#This Row],[LIST $]]*_1_541284561214624104645789101745[[#This Row],[DISCOUNT]]*_1_541284561214624104645789101745[[#This Row],[DISCOUNT 2]]</f>
        <v>0</v>
      </c>
      <c r="M391" s="194">
        <f>IF(OR(_1_541284561214624104645789101745[[#This Row],[UNIT]]&gt;0,_1_541284561214624104645789101745[[#This Row],[UNIT]]&lt;0),_1_541284561214624104645789101745[[#This Row],[UNIT]]*_1_541284561214624104645789101745[[#This Row],[COST]],0)</f>
        <v>0</v>
      </c>
      <c r="N391" s="194">
        <f t="shared" si="5"/>
        <v>1.5</v>
      </c>
      <c r="O391" s="198">
        <f>_1_541284561214624104645789101745[[#This Row],[TOTAL]]*_1_541284561214624104645789101745[[#This Row],[MARGIN]]</f>
        <v>0</v>
      </c>
      <c r="R391" s="41"/>
    </row>
    <row r="392" spans="1:18">
      <c r="D392" s="188"/>
      <c r="F392" s="168" t="s">
        <v>6202</v>
      </c>
      <c r="G392" s="192">
        <f>IF(_1_541284561214624104645789101745[[#This Row],[Type]]&gt;0,VLOOKUP(_1_541284561214624104645789101745[[#This Row],[Type]],Main[[#All],[TYPE]:[UNIT]],'Unit Price'!C$1,FALSE),0)</f>
        <v>0</v>
      </c>
      <c r="H392" s="197">
        <f>IF(_1_541284561214624104645789101745[[#This Row],[Type]]&gt;0,VLOOKUP(_1_541284561214624104645789101745[[#This Row],[Type]],Main[[#All],[TYPE]:[UNIT]],'Unit Price'!D$1,FALSE),0)</f>
        <v>0</v>
      </c>
      <c r="I392" s="194">
        <f>IF(_1_541284561214624104645789101745[[#This Row],[Type]]&gt;0,VLOOKUP(_1_541284561214624104645789101745[[#This Row],[Type]],Main[[#All],[TYPE]:[UNIT]],'Unit Price'!G$1,FALSE),0)</f>
        <v>0</v>
      </c>
      <c r="J392" s="194">
        <f>IF(_1_541284561214624104645789101745[[#This Row],[Type]]&gt;0,VLOOKUP(_1_541284561214624104645789101745[[#This Row],[Type]],Main[[#All],[TYPE]:[UNIT]],'Unit Price'!H$1,FALSE),0)</f>
        <v>0</v>
      </c>
      <c r="K392" s="194">
        <f>IF(_1_541284561214624104645789101745[[#This Row],[Discount selection]]&gt;0,VLOOKUP(_1_541284561214624104645789101745[[#This Row],[Discount selection]],'Discount Structure'!$A$2:$B$30,2,"false"),0)</f>
        <v>1</v>
      </c>
      <c r="L392" s="194">
        <f>_1_541284561214624104645789101745[[#This Row],[LIST $]]*_1_541284561214624104645789101745[[#This Row],[DISCOUNT]]*_1_541284561214624104645789101745[[#This Row],[DISCOUNT 2]]</f>
        <v>0</v>
      </c>
      <c r="M392" s="194">
        <f>IF(OR(_1_541284561214624104645789101745[[#This Row],[UNIT]]&gt;0,_1_541284561214624104645789101745[[#This Row],[UNIT]]&lt;0),_1_541284561214624104645789101745[[#This Row],[UNIT]]*_1_541284561214624104645789101745[[#This Row],[COST]],0)</f>
        <v>0</v>
      </c>
      <c r="N392" s="194">
        <f t="shared" si="5"/>
        <v>1.5</v>
      </c>
      <c r="O392" s="198">
        <f>_1_541284561214624104645789101745[[#This Row],[TOTAL]]*_1_541284561214624104645789101745[[#This Row],[MARGIN]]</f>
        <v>0</v>
      </c>
      <c r="R392" s="41"/>
    </row>
    <row r="393" spans="1:18">
      <c r="D393" s="188"/>
      <c r="F393" s="168" t="s">
        <v>6202</v>
      </c>
      <c r="G393" s="193">
        <f>IF(_1_541284561214624104645789101745[[#This Row],[Type]]&gt;0,VLOOKUP(_1_541284561214624104645789101745[[#This Row],[Type]],Main[[#All],[TYPE]:[UNIT]],'Unit Price'!C$1,FALSE),0)</f>
        <v>0</v>
      </c>
      <c r="H393" s="197">
        <f>IF(_1_541284561214624104645789101745[[#This Row],[Type]]&gt;0,VLOOKUP(_1_541284561214624104645789101745[[#This Row],[Type]],Main[[#All],[TYPE]:[UNIT]],'Unit Price'!D$1,FALSE),0)</f>
        <v>0</v>
      </c>
      <c r="I393" s="194">
        <f>IF(_1_541284561214624104645789101745[[#This Row],[Type]]&gt;0,VLOOKUP(_1_541284561214624104645789101745[[#This Row],[Type]],Main[[#All],[TYPE]:[UNIT]],'Unit Price'!G$1,FALSE),0)</f>
        <v>0</v>
      </c>
      <c r="J393" s="194">
        <f>IF(_1_541284561214624104645789101745[[#This Row],[Type]]&gt;0,VLOOKUP(_1_541284561214624104645789101745[[#This Row],[Type]],Main[[#All],[TYPE]:[UNIT]],'Unit Price'!H$1,FALSE),0)</f>
        <v>0</v>
      </c>
      <c r="K393" s="194">
        <f>IF(_1_541284561214624104645789101745[[#This Row],[Discount selection]]&gt;0,VLOOKUP(_1_541284561214624104645789101745[[#This Row],[Discount selection]],'Discount Structure'!$A$2:$B$30,2,"false"),0)</f>
        <v>1</v>
      </c>
      <c r="L393" s="194">
        <f>_1_541284561214624104645789101745[[#This Row],[LIST $]]*_1_541284561214624104645789101745[[#This Row],[DISCOUNT]]*_1_541284561214624104645789101745[[#This Row],[DISCOUNT 2]]</f>
        <v>0</v>
      </c>
      <c r="M393" s="194">
        <f>IF(OR(_1_541284561214624104645789101745[[#This Row],[UNIT]]&gt;0,_1_541284561214624104645789101745[[#This Row],[UNIT]]&lt;0),_1_541284561214624104645789101745[[#This Row],[UNIT]]*_1_541284561214624104645789101745[[#This Row],[COST]],0)</f>
        <v>0</v>
      </c>
      <c r="N393" s="194">
        <f t="shared" si="5"/>
        <v>1.5</v>
      </c>
      <c r="O393" s="198">
        <f>_1_541284561214624104645789101745[[#This Row],[TOTAL]]*_1_541284561214624104645789101745[[#This Row],[MARGIN]]</f>
        <v>0</v>
      </c>
      <c r="R393" s="41"/>
    </row>
    <row r="394" spans="1:18">
      <c r="A394" s="327"/>
      <c r="B394" s="327"/>
      <c r="D394" s="188"/>
      <c r="F394" s="168" t="s">
        <v>6202</v>
      </c>
      <c r="G394" s="193">
        <f>IF(_1_541284561214624104645789101745[[#This Row],[Type]]&gt;0,VLOOKUP(_1_541284561214624104645789101745[[#This Row],[Type]],Main[[#All],[TYPE]:[UNIT]],'Unit Price'!C$1,FALSE),0)</f>
        <v>0</v>
      </c>
      <c r="H394" s="197">
        <f>IF(_1_541284561214624104645789101745[[#This Row],[Type]]&gt;0,VLOOKUP(_1_541284561214624104645789101745[[#This Row],[Type]],Main[[#All],[TYPE]:[UNIT]],'Unit Price'!D$1,FALSE),0)</f>
        <v>0</v>
      </c>
      <c r="I394" s="194">
        <f>IF(_1_541284561214624104645789101745[[#This Row],[Type]]&gt;0,VLOOKUP(_1_541284561214624104645789101745[[#This Row],[Type]],Main[[#All],[TYPE]:[UNIT]],'Unit Price'!G$1,FALSE),0)</f>
        <v>0</v>
      </c>
      <c r="J394" s="194">
        <f>IF(_1_541284561214624104645789101745[[#This Row],[Type]]&gt;0,VLOOKUP(_1_541284561214624104645789101745[[#This Row],[Type]],Main[[#All],[TYPE]:[UNIT]],'Unit Price'!H$1,FALSE),0)</f>
        <v>0</v>
      </c>
      <c r="K394" s="194">
        <f>IF(_1_541284561214624104645789101745[[#This Row],[Discount selection]]&gt;0,VLOOKUP(_1_541284561214624104645789101745[[#This Row],[Discount selection]],'Discount Structure'!$A$2:$B$30,2,"false"),0)</f>
        <v>1</v>
      </c>
      <c r="L394" s="194">
        <f>_1_541284561214624104645789101745[[#This Row],[LIST $]]*_1_541284561214624104645789101745[[#This Row],[DISCOUNT]]*_1_541284561214624104645789101745[[#This Row],[DISCOUNT 2]]</f>
        <v>0</v>
      </c>
      <c r="M394" s="194">
        <f>IF(OR(_1_541284561214624104645789101745[[#This Row],[UNIT]]&gt;0,_1_541284561214624104645789101745[[#This Row],[UNIT]]&lt;0),_1_541284561214624104645789101745[[#This Row],[UNIT]]*_1_541284561214624104645789101745[[#This Row],[COST]],0)</f>
        <v>0</v>
      </c>
      <c r="N394" s="194">
        <f t="shared" ref="N394:N457" si="6">$N$7</f>
        <v>1.5</v>
      </c>
      <c r="O394" s="198">
        <f>_1_541284561214624104645789101745[[#This Row],[TOTAL]]*_1_541284561214624104645789101745[[#This Row],[MARGIN]]</f>
        <v>0</v>
      </c>
      <c r="R394" s="41"/>
    </row>
    <row r="395" spans="1:18">
      <c r="D395" s="188"/>
      <c r="F395" s="168" t="s">
        <v>6202</v>
      </c>
      <c r="G395" s="193">
        <f>IF(_1_541284561214624104645789101745[[#This Row],[Type]]&gt;0,VLOOKUP(_1_541284561214624104645789101745[[#This Row],[Type]],Main[[#All],[TYPE]:[UNIT]],'Unit Price'!C$1,FALSE),0)</f>
        <v>0</v>
      </c>
      <c r="H395" s="197">
        <f>IF(_1_541284561214624104645789101745[[#This Row],[Type]]&gt;0,VLOOKUP(_1_541284561214624104645789101745[[#This Row],[Type]],Main[[#All],[TYPE]:[UNIT]],'Unit Price'!D$1,FALSE),0)</f>
        <v>0</v>
      </c>
      <c r="I395" s="194">
        <f>IF(_1_541284561214624104645789101745[[#This Row],[Type]]&gt;0,VLOOKUP(_1_541284561214624104645789101745[[#This Row],[Type]],Main[[#All],[TYPE]:[UNIT]],'Unit Price'!G$1,FALSE),0)</f>
        <v>0</v>
      </c>
      <c r="J395" s="194">
        <f>IF(_1_541284561214624104645789101745[[#This Row],[Type]]&gt;0,VLOOKUP(_1_541284561214624104645789101745[[#This Row],[Type]],Main[[#All],[TYPE]:[UNIT]],'Unit Price'!H$1,FALSE),0)</f>
        <v>0</v>
      </c>
      <c r="K395" s="194">
        <f>IF(_1_541284561214624104645789101745[[#This Row],[Discount selection]]&gt;0,VLOOKUP(_1_541284561214624104645789101745[[#This Row],[Discount selection]],'Discount Structure'!$A$2:$B$30,2,"false"),0)</f>
        <v>1</v>
      </c>
      <c r="L395" s="194">
        <f>_1_541284561214624104645789101745[[#This Row],[LIST $]]*_1_541284561214624104645789101745[[#This Row],[DISCOUNT]]*_1_541284561214624104645789101745[[#This Row],[DISCOUNT 2]]</f>
        <v>0</v>
      </c>
      <c r="M395" s="194">
        <f>IF(OR(_1_541284561214624104645789101745[[#This Row],[UNIT]]&gt;0,_1_541284561214624104645789101745[[#This Row],[UNIT]]&lt;0),_1_541284561214624104645789101745[[#This Row],[UNIT]]*_1_541284561214624104645789101745[[#This Row],[COST]],0)</f>
        <v>0</v>
      </c>
      <c r="N395" s="194">
        <f t="shared" si="6"/>
        <v>1.5</v>
      </c>
      <c r="O395" s="198">
        <f>_1_541284561214624104645789101745[[#This Row],[TOTAL]]*_1_541284561214624104645789101745[[#This Row],[MARGIN]]</f>
        <v>0</v>
      </c>
      <c r="R395" s="41"/>
    </row>
    <row r="396" spans="1:18">
      <c r="D396" s="188"/>
      <c r="F396" s="168" t="s">
        <v>6202</v>
      </c>
      <c r="G396" s="193">
        <f>IF(_1_541284561214624104645789101745[[#This Row],[Type]]&gt;0,VLOOKUP(_1_541284561214624104645789101745[[#This Row],[Type]],Main[[#All],[TYPE]:[UNIT]],'Unit Price'!C$1,FALSE),0)</f>
        <v>0</v>
      </c>
      <c r="H396" s="197">
        <f>IF(_1_541284561214624104645789101745[[#This Row],[Type]]&gt;0,VLOOKUP(_1_541284561214624104645789101745[[#This Row],[Type]],Main[[#All],[TYPE]:[UNIT]],'Unit Price'!D$1,FALSE),0)</f>
        <v>0</v>
      </c>
      <c r="I396" s="194">
        <f>IF(_1_541284561214624104645789101745[[#This Row],[Type]]&gt;0,VLOOKUP(_1_541284561214624104645789101745[[#This Row],[Type]],Main[[#All],[TYPE]:[UNIT]],'Unit Price'!G$1,FALSE),0)</f>
        <v>0</v>
      </c>
      <c r="J396" s="194">
        <f>IF(_1_541284561214624104645789101745[[#This Row],[Type]]&gt;0,VLOOKUP(_1_541284561214624104645789101745[[#This Row],[Type]],Main[[#All],[TYPE]:[UNIT]],'Unit Price'!H$1,FALSE),0)</f>
        <v>0</v>
      </c>
      <c r="K396" s="194">
        <f>IF(_1_541284561214624104645789101745[[#This Row],[Discount selection]]&gt;0,VLOOKUP(_1_541284561214624104645789101745[[#This Row],[Discount selection]],'Discount Structure'!$A$2:$B$30,2,"false"),0)</f>
        <v>1</v>
      </c>
      <c r="L396" s="194">
        <f>_1_541284561214624104645789101745[[#This Row],[LIST $]]*_1_541284561214624104645789101745[[#This Row],[DISCOUNT]]*_1_541284561214624104645789101745[[#This Row],[DISCOUNT 2]]</f>
        <v>0</v>
      </c>
      <c r="M396" s="194">
        <f>IF(OR(_1_541284561214624104645789101745[[#This Row],[UNIT]]&gt;0,_1_541284561214624104645789101745[[#This Row],[UNIT]]&lt;0),_1_541284561214624104645789101745[[#This Row],[UNIT]]*_1_541284561214624104645789101745[[#This Row],[COST]],0)</f>
        <v>0</v>
      </c>
      <c r="N396" s="194">
        <f t="shared" si="6"/>
        <v>1.5</v>
      </c>
      <c r="O396" s="198">
        <f>_1_541284561214624104645789101745[[#This Row],[TOTAL]]*_1_541284561214624104645789101745[[#This Row],[MARGIN]]</f>
        <v>0</v>
      </c>
      <c r="R396" s="41"/>
    </row>
    <row r="397" spans="1:18">
      <c r="D397" s="188"/>
      <c r="F397" s="168" t="s">
        <v>6202</v>
      </c>
      <c r="G397" s="192">
        <f>IF(_1_541284561214624104645789101745[[#This Row],[Type]]&gt;0,VLOOKUP(_1_541284561214624104645789101745[[#This Row],[Type]],Main[[#All],[TYPE]:[UNIT]],'Unit Price'!C$1,FALSE),0)</f>
        <v>0</v>
      </c>
      <c r="H397" s="197">
        <f>IF(_1_541284561214624104645789101745[[#This Row],[Type]]&gt;0,VLOOKUP(_1_541284561214624104645789101745[[#This Row],[Type]],Main[[#All],[TYPE]:[UNIT]],'Unit Price'!D$1,FALSE),0)</f>
        <v>0</v>
      </c>
      <c r="I397" s="194">
        <f>IF(_1_541284561214624104645789101745[[#This Row],[Type]]&gt;0,VLOOKUP(_1_541284561214624104645789101745[[#This Row],[Type]],Main[[#All],[TYPE]:[UNIT]],'Unit Price'!G$1,FALSE),0)</f>
        <v>0</v>
      </c>
      <c r="J397" s="194">
        <f>IF(_1_541284561214624104645789101745[[#This Row],[Type]]&gt;0,VLOOKUP(_1_541284561214624104645789101745[[#This Row],[Type]],Main[[#All],[TYPE]:[UNIT]],'Unit Price'!H$1,FALSE),0)</f>
        <v>0</v>
      </c>
      <c r="K397" s="194">
        <f>IF(_1_541284561214624104645789101745[[#This Row],[Discount selection]]&gt;0,VLOOKUP(_1_541284561214624104645789101745[[#This Row],[Discount selection]],'Discount Structure'!$A$2:$B$30,2,"false"),0)</f>
        <v>1</v>
      </c>
      <c r="L397" s="194">
        <f>_1_541284561214624104645789101745[[#This Row],[LIST $]]*_1_541284561214624104645789101745[[#This Row],[DISCOUNT]]*_1_541284561214624104645789101745[[#This Row],[DISCOUNT 2]]</f>
        <v>0</v>
      </c>
      <c r="M397" s="194">
        <f>IF(OR(_1_541284561214624104645789101745[[#This Row],[UNIT]]&gt;0,_1_541284561214624104645789101745[[#This Row],[UNIT]]&lt;0),_1_541284561214624104645789101745[[#This Row],[UNIT]]*_1_541284561214624104645789101745[[#This Row],[COST]],0)</f>
        <v>0</v>
      </c>
      <c r="N397" s="194">
        <f t="shared" si="6"/>
        <v>1.5</v>
      </c>
      <c r="O397" s="198">
        <f>_1_541284561214624104645789101745[[#This Row],[TOTAL]]*_1_541284561214624104645789101745[[#This Row],[MARGIN]]</f>
        <v>0</v>
      </c>
      <c r="R397" s="41"/>
    </row>
    <row r="398" spans="1:18">
      <c r="D398" s="188"/>
      <c r="F398" s="168" t="s">
        <v>6202</v>
      </c>
      <c r="G398" s="193">
        <f>IF(_1_541284561214624104645789101745[[#This Row],[Type]]&gt;0,VLOOKUP(_1_541284561214624104645789101745[[#This Row],[Type]],Main[[#All],[TYPE]:[UNIT]],'Unit Price'!C$1,FALSE),0)</f>
        <v>0</v>
      </c>
      <c r="H398" s="197">
        <f>IF(_1_541284561214624104645789101745[[#This Row],[Type]]&gt;0,VLOOKUP(_1_541284561214624104645789101745[[#This Row],[Type]],Main[[#All],[TYPE]:[UNIT]],'Unit Price'!D$1,FALSE),0)</f>
        <v>0</v>
      </c>
      <c r="I398" s="194">
        <f>IF(_1_541284561214624104645789101745[[#This Row],[Type]]&gt;0,VLOOKUP(_1_541284561214624104645789101745[[#This Row],[Type]],Main[[#All],[TYPE]:[UNIT]],'Unit Price'!G$1,FALSE),0)</f>
        <v>0</v>
      </c>
      <c r="J398" s="194">
        <f>IF(_1_541284561214624104645789101745[[#This Row],[Type]]&gt;0,VLOOKUP(_1_541284561214624104645789101745[[#This Row],[Type]],Main[[#All],[TYPE]:[UNIT]],'Unit Price'!H$1,FALSE),0)</f>
        <v>0</v>
      </c>
      <c r="K398" s="194">
        <f>IF(_1_541284561214624104645789101745[[#This Row],[Discount selection]]&gt;0,VLOOKUP(_1_541284561214624104645789101745[[#This Row],[Discount selection]],'Discount Structure'!$A$2:$B$30,2,"false"),0)</f>
        <v>1</v>
      </c>
      <c r="L398" s="194">
        <f>_1_541284561214624104645789101745[[#This Row],[LIST $]]*_1_541284561214624104645789101745[[#This Row],[DISCOUNT]]*_1_541284561214624104645789101745[[#This Row],[DISCOUNT 2]]</f>
        <v>0</v>
      </c>
      <c r="M398" s="194">
        <f>IF(OR(_1_541284561214624104645789101745[[#This Row],[UNIT]]&gt;0,_1_541284561214624104645789101745[[#This Row],[UNIT]]&lt;0),_1_541284561214624104645789101745[[#This Row],[UNIT]]*_1_541284561214624104645789101745[[#This Row],[COST]],0)</f>
        <v>0</v>
      </c>
      <c r="N398" s="194">
        <f t="shared" si="6"/>
        <v>1.5</v>
      </c>
      <c r="O398" s="198">
        <f>_1_541284561214624104645789101745[[#This Row],[TOTAL]]*_1_541284561214624104645789101745[[#This Row],[MARGIN]]</f>
        <v>0</v>
      </c>
      <c r="R398" s="41"/>
    </row>
    <row r="399" spans="1:18">
      <c r="D399" s="188"/>
      <c r="F399" s="168" t="s">
        <v>6202</v>
      </c>
      <c r="G399" s="193">
        <f>IF(_1_541284561214624104645789101745[[#This Row],[Type]]&gt;0,VLOOKUP(_1_541284561214624104645789101745[[#This Row],[Type]],Main[[#All],[TYPE]:[UNIT]],'Unit Price'!C$1,FALSE),0)</f>
        <v>0</v>
      </c>
      <c r="H399" s="197">
        <f>IF(_1_541284561214624104645789101745[[#This Row],[Type]]&gt;0,VLOOKUP(_1_541284561214624104645789101745[[#This Row],[Type]],Main[[#All],[TYPE]:[UNIT]],'Unit Price'!D$1,FALSE),0)</f>
        <v>0</v>
      </c>
      <c r="I399" s="194">
        <f>IF(_1_541284561214624104645789101745[[#This Row],[Type]]&gt;0,VLOOKUP(_1_541284561214624104645789101745[[#This Row],[Type]],Main[[#All],[TYPE]:[UNIT]],'Unit Price'!G$1,FALSE),0)</f>
        <v>0</v>
      </c>
      <c r="J399" s="194">
        <f>IF(_1_541284561214624104645789101745[[#This Row],[Type]]&gt;0,VLOOKUP(_1_541284561214624104645789101745[[#This Row],[Type]],Main[[#All],[TYPE]:[UNIT]],'Unit Price'!H$1,FALSE),0)</f>
        <v>0</v>
      </c>
      <c r="K399" s="194">
        <f>IF(_1_541284561214624104645789101745[[#This Row],[Discount selection]]&gt;0,VLOOKUP(_1_541284561214624104645789101745[[#This Row],[Discount selection]],'Discount Structure'!$A$2:$B$30,2,"false"),0)</f>
        <v>1</v>
      </c>
      <c r="L399" s="194">
        <f>_1_541284561214624104645789101745[[#This Row],[LIST $]]*_1_541284561214624104645789101745[[#This Row],[DISCOUNT]]*_1_541284561214624104645789101745[[#This Row],[DISCOUNT 2]]</f>
        <v>0</v>
      </c>
      <c r="M399" s="194">
        <f>IF(OR(_1_541284561214624104645789101745[[#This Row],[UNIT]]&gt;0,_1_541284561214624104645789101745[[#This Row],[UNIT]]&lt;0),_1_541284561214624104645789101745[[#This Row],[UNIT]]*_1_541284561214624104645789101745[[#This Row],[COST]],0)</f>
        <v>0</v>
      </c>
      <c r="N399" s="194">
        <f t="shared" si="6"/>
        <v>1.5</v>
      </c>
      <c r="O399" s="198">
        <f>_1_541284561214624104645789101745[[#This Row],[TOTAL]]*_1_541284561214624104645789101745[[#This Row],[MARGIN]]</f>
        <v>0</v>
      </c>
      <c r="R399" s="41"/>
    </row>
    <row r="400" spans="1:18">
      <c r="D400" s="188"/>
      <c r="F400" s="168" t="s">
        <v>6202</v>
      </c>
      <c r="G400" s="193">
        <f>IF(_1_541284561214624104645789101745[[#This Row],[Type]]&gt;0,VLOOKUP(_1_541284561214624104645789101745[[#This Row],[Type]],Main[[#All],[TYPE]:[UNIT]],'Unit Price'!C$1,FALSE),0)</f>
        <v>0</v>
      </c>
      <c r="H400" s="197">
        <f>IF(_1_541284561214624104645789101745[[#This Row],[Type]]&gt;0,VLOOKUP(_1_541284561214624104645789101745[[#This Row],[Type]],Main[[#All],[TYPE]:[UNIT]],'Unit Price'!D$1,FALSE),0)</f>
        <v>0</v>
      </c>
      <c r="I400" s="194">
        <f>IF(_1_541284561214624104645789101745[[#This Row],[Type]]&gt;0,VLOOKUP(_1_541284561214624104645789101745[[#This Row],[Type]],Main[[#All],[TYPE]:[UNIT]],'Unit Price'!G$1,FALSE),0)</f>
        <v>0</v>
      </c>
      <c r="J400" s="194">
        <f>IF(_1_541284561214624104645789101745[[#This Row],[Type]]&gt;0,VLOOKUP(_1_541284561214624104645789101745[[#This Row],[Type]],Main[[#All],[TYPE]:[UNIT]],'Unit Price'!H$1,FALSE),0)</f>
        <v>0</v>
      </c>
      <c r="K400" s="194">
        <f>IF(_1_541284561214624104645789101745[[#This Row],[Discount selection]]&gt;0,VLOOKUP(_1_541284561214624104645789101745[[#This Row],[Discount selection]],'Discount Structure'!$A$2:$B$30,2,"false"),0)</f>
        <v>1</v>
      </c>
      <c r="L400" s="194">
        <f>_1_541284561214624104645789101745[[#This Row],[LIST $]]*_1_541284561214624104645789101745[[#This Row],[DISCOUNT]]*_1_541284561214624104645789101745[[#This Row],[DISCOUNT 2]]</f>
        <v>0</v>
      </c>
      <c r="M400" s="194">
        <f>IF(OR(_1_541284561214624104645789101745[[#This Row],[UNIT]]&gt;0,_1_541284561214624104645789101745[[#This Row],[UNIT]]&lt;0),_1_541284561214624104645789101745[[#This Row],[UNIT]]*_1_541284561214624104645789101745[[#This Row],[COST]],0)</f>
        <v>0</v>
      </c>
      <c r="N400" s="194">
        <f t="shared" si="6"/>
        <v>1.5</v>
      </c>
      <c r="O400" s="198">
        <f>_1_541284561214624104645789101745[[#This Row],[TOTAL]]*_1_541284561214624104645789101745[[#This Row],[MARGIN]]</f>
        <v>0</v>
      </c>
      <c r="R400" s="41"/>
    </row>
    <row r="401" spans="1:18">
      <c r="D401" s="188"/>
      <c r="F401" s="168" t="s">
        <v>6202</v>
      </c>
      <c r="G401" s="193">
        <f>IF(_1_541284561214624104645789101745[[#This Row],[Type]]&gt;0,VLOOKUP(_1_541284561214624104645789101745[[#This Row],[Type]],Main[[#All],[TYPE]:[UNIT]],'Unit Price'!C$1,FALSE),0)</f>
        <v>0</v>
      </c>
      <c r="H401" s="197">
        <f>IF(_1_541284561214624104645789101745[[#This Row],[Type]]&gt;0,VLOOKUP(_1_541284561214624104645789101745[[#This Row],[Type]],Main[[#All],[TYPE]:[UNIT]],'Unit Price'!D$1,FALSE),0)</f>
        <v>0</v>
      </c>
      <c r="I401" s="194">
        <f>IF(_1_541284561214624104645789101745[[#This Row],[Type]]&gt;0,VLOOKUP(_1_541284561214624104645789101745[[#This Row],[Type]],Main[[#All],[TYPE]:[UNIT]],'Unit Price'!G$1,FALSE),0)</f>
        <v>0</v>
      </c>
      <c r="J401" s="194">
        <f>IF(_1_541284561214624104645789101745[[#This Row],[Type]]&gt;0,VLOOKUP(_1_541284561214624104645789101745[[#This Row],[Type]],Main[[#All],[TYPE]:[UNIT]],'Unit Price'!H$1,FALSE),0)</f>
        <v>0</v>
      </c>
      <c r="K401" s="194">
        <f>IF(_1_541284561214624104645789101745[[#This Row],[Discount selection]]&gt;0,VLOOKUP(_1_541284561214624104645789101745[[#This Row],[Discount selection]],'Discount Structure'!$A$2:$B$30,2,"false"),0)</f>
        <v>1</v>
      </c>
      <c r="L401" s="194">
        <f>_1_541284561214624104645789101745[[#This Row],[LIST $]]*_1_541284561214624104645789101745[[#This Row],[DISCOUNT]]*_1_541284561214624104645789101745[[#This Row],[DISCOUNT 2]]</f>
        <v>0</v>
      </c>
      <c r="M401" s="194">
        <f>IF(OR(_1_541284561214624104645789101745[[#This Row],[UNIT]]&gt;0,_1_541284561214624104645789101745[[#This Row],[UNIT]]&lt;0),_1_541284561214624104645789101745[[#This Row],[UNIT]]*_1_541284561214624104645789101745[[#This Row],[COST]],0)</f>
        <v>0</v>
      </c>
      <c r="N401" s="194">
        <f t="shared" si="6"/>
        <v>1.5</v>
      </c>
      <c r="O401" s="198">
        <f>_1_541284561214624104645789101745[[#This Row],[TOTAL]]*_1_541284561214624104645789101745[[#This Row],[MARGIN]]</f>
        <v>0</v>
      </c>
      <c r="R401" s="41"/>
    </row>
    <row r="402" spans="1:18">
      <c r="D402" s="188"/>
      <c r="F402" s="168" t="s">
        <v>6202</v>
      </c>
      <c r="G402" s="192">
        <f>IF(_1_541284561214624104645789101745[[#This Row],[Type]]&gt;0,VLOOKUP(_1_541284561214624104645789101745[[#This Row],[Type]],Main[[#All],[TYPE]:[UNIT]],'Unit Price'!C$1,FALSE),0)</f>
        <v>0</v>
      </c>
      <c r="H402" s="197">
        <f>IF(_1_541284561214624104645789101745[[#This Row],[Type]]&gt;0,VLOOKUP(_1_541284561214624104645789101745[[#This Row],[Type]],Main[[#All],[TYPE]:[UNIT]],'Unit Price'!D$1,FALSE),0)</f>
        <v>0</v>
      </c>
      <c r="I402" s="194">
        <f>IF(_1_541284561214624104645789101745[[#This Row],[Type]]&gt;0,VLOOKUP(_1_541284561214624104645789101745[[#This Row],[Type]],Main[[#All],[TYPE]:[UNIT]],'Unit Price'!G$1,FALSE),0)</f>
        <v>0</v>
      </c>
      <c r="J402" s="194">
        <f>IF(_1_541284561214624104645789101745[[#This Row],[Type]]&gt;0,VLOOKUP(_1_541284561214624104645789101745[[#This Row],[Type]],Main[[#All],[TYPE]:[UNIT]],'Unit Price'!H$1,FALSE),0)</f>
        <v>0</v>
      </c>
      <c r="K402" s="194">
        <f>IF(_1_541284561214624104645789101745[[#This Row],[Discount selection]]&gt;0,VLOOKUP(_1_541284561214624104645789101745[[#This Row],[Discount selection]],'Discount Structure'!$A$2:$B$30,2,"false"),0)</f>
        <v>1</v>
      </c>
      <c r="L402" s="194">
        <f>_1_541284561214624104645789101745[[#This Row],[LIST $]]*_1_541284561214624104645789101745[[#This Row],[DISCOUNT]]*_1_541284561214624104645789101745[[#This Row],[DISCOUNT 2]]</f>
        <v>0</v>
      </c>
      <c r="M402" s="194">
        <f>IF(OR(_1_541284561214624104645789101745[[#This Row],[UNIT]]&gt;0,_1_541284561214624104645789101745[[#This Row],[UNIT]]&lt;0),_1_541284561214624104645789101745[[#This Row],[UNIT]]*_1_541284561214624104645789101745[[#This Row],[COST]],0)</f>
        <v>0</v>
      </c>
      <c r="N402" s="194">
        <f t="shared" si="6"/>
        <v>1.5</v>
      </c>
      <c r="O402" s="198">
        <f>_1_541284561214624104645789101745[[#This Row],[TOTAL]]*_1_541284561214624104645789101745[[#This Row],[MARGIN]]</f>
        <v>0</v>
      </c>
      <c r="R402" s="41"/>
    </row>
    <row r="403" spans="1:18">
      <c r="D403" s="188"/>
      <c r="F403" s="168" t="s">
        <v>6202</v>
      </c>
      <c r="G403" s="193">
        <f>IF(_1_541284561214624104645789101745[[#This Row],[Type]]&gt;0,VLOOKUP(_1_541284561214624104645789101745[[#This Row],[Type]],Main[[#All],[TYPE]:[UNIT]],'Unit Price'!C$1,FALSE),0)</f>
        <v>0</v>
      </c>
      <c r="H403" s="197">
        <f>IF(_1_541284561214624104645789101745[[#This Row],[Type]]&gt;0,VLOOKUP(_1_541284561214624104645789101745[[#This Row],[Type]],Main[[#All],[TYPE]:[UNIT]],'Unit Price'!D$1,FALSE),0)</f>
        <v>0</v>
      </c>
      <c r="I403" s="194">
        <f>IF(_1_541284561214624104645789101745[[#This Row],[Type]]&gt;0,VLOOKUP(_1_541284561214624104645789101745[[#This Row],[Type]],Main[[#All],[TYPE]:[UNIT]],'Unit Price'!G$1,FALSE),0)</f>
        <v>0</v>
      </c>
      <c r="J403" s="194">
        <f>IF(_1_541284561214624104645789101745[[#This Row],[Type]]&gt;0,VLOOKUP(_1_541284561214624104645789101745[[#This Row],[Type]],Main[[#All],[TYPE]:[UNIT]],'Unit Price'!H$1,FALSE),0)</f>
        <v>0</v>
      </c>
      <c r="K403" s="194">
        <f>IF(_1_541284561214624104645789101745[[#This Row],[Discount selection]]&gt;0,VLOOKUP(_1_541284561214624104645789101745[[#This Row],[Discount selection]],'Discount Structure'!$A$2:$B$30,2,"false"),0)</f>
        <v>1</v>
      </c>
      <c r="L403" s="194">
        <f>_1_541284561214624104645789101745[[#This Row],[LIST $]]*_1_541284561214624104645789101745[[#This Row],[DISCOUNT]]*_1_541284561214624104645789101745[[#This Row],[DISCOUNT 2]]</f>
        <v>0</v>
      </c>
      <c r="M403" s="194">
        <f>IF(OR(_1_541284561214624104645789101745[[#This Row],[UNIT]]&gt;0,_1_541284561214624104645789101745[[#This Row],[UNIT]]&lt;0),_1_541284561214624104645789101745[[#This Row],[UNIT]]*_1_541284561214624104645789101745[[#This Row],[COST]],0)</f>
        <v>0</v>
      </c>
      <c r="N403" s="194">
        <f t="shared" si="6"/>
        <v>1.5</v>
      </c>
      <c r="O403" s="198">
        <f>_1_541284561214624104645789101745[[#This Row],[TOTAL]]*_1_541284561214624104645789101745[[#This Row],[MARGIN]]</f>
        <v>0</v>
      </c>
      <c r="R403" s="41"/>
    </row>
    <row r="404" spans="1:18">
      <c r="D404" s="188"/>
      <c r="F404" s="168" t="s">
        <v>6202</v>
      </c>
      <c r="G404" s="193">
        <f>IF(_1_541284561214624104645789101745[[#This Row],[Type]]&gt;0,VLOOKUP(_1_541284561214624104645789101745[[#This Row],[Type]],Main[[#All],[TYPE]:[UNIT]],'Unit Price'!C$1,FALSE),0)</f>
        <v>0</v>
      </c>
      <c r="H404" s="197">
        <f>IF(_1_541284561214624104645789101745[[#This Row],[Type]]&gt;0,VLOOKUP(_1_541284561214624104645789101745[[#This Row],[Type]],Main[[#All],[TYPE]:[UNIT]],'Unit Price'!D$1,FALSE),0)</f>
        <v>0</v>
      </c>
      <c r="I404" s="194">
        <f>IF(_1_541284561214624104645789101745[[#This Row],[Type]]&gt;0,VLOOKUP(_1_541284561214624104645789101745[[#This Row],[Type]],Main[[#All],[TYPE]:[UNIT]],'Unit Price'!G$1,FALSE),0)</f>
        <v>0</v>
      </c>
      <c r="J404" s="194">
        <f>IF(_1_541284561214624104645789101745[[#This Row],[Type]]&gt;0,VLOOKUP(_1_541284561214624104645789101745[[#This Row],[Type]],Main[[#All],[TYPE]:[UNIT]],'Unit Price'!H$1,FALSE),0)</f>
        <v>0</v>
      </c>
      <c r="K404" s="194">
        <f>IF(_1_541284561214624104645789101745[[#This Row],[Discount selection]]&gt;0,VLOOKUP(_1_541284561214624104645789101745[[#This Row],[Discount selection]],'Discount Structure'!$A$2:$B$30,2,"false"),0)</f>
        <v>1</v>
      </c>
      <c r="L404" s="194">
        <f>_1_541284561214624104645789101745[[#This Row],[LIST $]]*_1_541284561214624104645789101745[[#This Row],[DISCOUNT]]*_1_541284561214624104645789101745[[#This Row],[DISCOUNT 2]]</f>
        <v>0</v>
      </c>
      <c r="M404" s="194">
        <f>IF(OR(_1_541284561214624104645789101745[[#This Row],[UNIT]]&gt;0,_1_541284561214624104645789101745[[#This Row],[UNIT]]&lt;0),_1_541284561214624104645789101745[[#This Row],[UNIT]]*_1_541284561214624104645789101745[[#This Row],[COST]],0)</f>
        <v>0</v>
      </c>
      <c r="N404" s="194">
        <f t="shared" si="6"/>
        <v>1.5</v>
      </c>
      <c r="O404" s="198">
        <f>_1_541284561214624104645789101745[[#This Row],[TOTAL]]*_1_541284561214624104645789101745[[#This Row],[MARGIN]]</f>
        <v>0</v>
      </c>
      <c r="R404" s="41"/>
    </row>
    <row r="405" spans="1:18">
      <c r="D405" s="188"/>
      <c r="F405" s="168" t="s">
        <v>6202</v>
      </c>
      <c r="G405" s="193">
        <f>IF(_1_541284561214624104645789101745[[#This Row],[Type]]&gt;0,VLOOKUP(_1_541284561214624104645789101745[[#This Row],[Type]],Main[[#All],[TYPE]:[UNIT]],'Unit Price'!C$1,FALSE),0)</f>
        <v>0</v>
      </c>
      <c r="H405" s="197">
        <f>IF(_1_541284561214624104645789101745[[#This Row],[Type]]&gt;0,VLOOKUP(_1_541284561214624104645789101745[[#This Row],[Type]],Main[[#All],[TYPE]:[UNIT]],'Unit Price'!D$1,FALSE),0)</f>
        <v>0</v>
      </c>
      <c r="I405" s="194">
        <f>IF(_1_541284561214624104645789101745[[#This Row],[Type]]&gt;0,VLOOKUP(_1_541284561214624104645789101745[[#This Row],[Type]],Main[[#All],[TYPE]:[UNIT]],'Unit Price'!G$1,FALSE),0)</f>
        <v>0</v>
      </c>
      <c r="J405" s="194">
        <f>IF(_1_541284561214624104645789101745[[#This Row],[Type]]&gt;0,VLOOKUP(_1_541284561214624104645789101745[[#This Row],[Type]],Main[[#All],[TYPE]:[UNIT]],'Unit Price'!H$1,FALSE),0)</f>
        <v>0</v>
      </c>
      <c r="K405" s="194">
        <f>IF(_1_541284561214624104645789101745[[#This Row],[Discount selection]]&gt;0,VLOOKUP(_1_541284561214624104645789101745[[#This Row],[Discount selection]],'Discount Structure'!$A$2:$B$30,2,"false"),0)</f>
        <v>1</v>
      </c>
      <c r="L405" s="194">
        <f>_1_541284561214624104645789101745[[#This Row],[LIST $]]*_1_541284561214624104645789101745[[#This Row],[DISCOUNT]]*_1_541284561214624104645789101745[[#This Row],[DISCOUNT 2]]</f>
        <v>0</v>
      </c>
      <c r="M405" s="194">
        <f>IF(OR(_1_541284561214624104645789101745[[#This Row],[UNIT]]&gt;0,_1_541284561214624104645789101745[[#This Row],[UNIT]]&lt;0),_1_541284561214624104645789101745[[#This Row],[UNIT]]*_1_541284561214624104645789101745[[#This Row],[COST]],0)</f>
        <v>0</v>
      </c>
      <c r="N405" s="194">
        <f t="shared" si="6"/>
        <v>1.5</v>
      </c>
      <c r="O405" s="198">
        <f>_1_541284561214624104645789101745[[#This Row],[TOTAL]]*_1_541284561214624104645789101745[[#This Row],[MARGIN]]</f>
        <v>0</v>
      </c>
      <c r="R405" s="41"/>
    </row>
    <row r="406" spans="1:18">
      <c r="D406" s="188"/>
      <c r="F406" s="168" t="s">
        <v>6202</v>
      </c>
      <c r="G406" s="193">
        <f>IF(_1_541284561214624104645789101745[[#This Row],[Type]]&gt;0,VLOOKUP(_1_541284561214624104645789101745[[#This Row],[Type]],Main[[#All],[TYPE]:[UNIT]],'Unit Price'!C$1,FALSE),0)</f>
        <v>0</v>
      </c>
      <c r="H406" s="197">
        <f>IF(_1_541284561214624104645789101745[[#This Row],[Type]]&gt;0,VLOOKUP(_1_541284561214624104645789101745[[#This Row],[Type]],Main[[#All],[TYPE]:[UNIT]],'Unit Price'!D$1,FALSE),0)</f>
        <v>0</v>
      </c>
      <c r="I406" s="194">
        <f>IF(_1_541284561214624104645789101745[[#This Row],[Type]]&gt;0,VLOOKUP(_1_541284561214624104645789101745[[#This Row],[Type]],Main[[#All],[TYPE]:[UNIT]],'Unit Price'!G$1,FALSE),0)</f>
        <v>0</v>
      </c>
      <c r="J406" s="194">
        <f>IF(_1_541284561214624104645789101745[[#This Row],[Type]]&gt;0,VLOOKUP(_1_541284561214624104645789101745[[#This Row],[Type]],Main[[#All],[TYPE]:[UNIT]],'Unit Price'!H$1,FALSE),0)</f>
        <v>0</v>
      </c>
      <c r="K406" s="194">
        <f>IF(_1_541284561214624104645789101745[[#This Row],[Discount selection]]&gt;0,VLOOKUP(_1_541284561214624104645789101745[[#This Row],[Discount selection]],'Discount Structure'!$A$2:$B$30,2,"false"),0)</f>
        <v>1</v>
      </c>
      <c r="L406" s="194">
        <f>_1_541284561214624104645789101745[[#This Row],[LIST $]]*_1_541284561214624104645789101745[[#This Row],[DISCOUNT]]*_1_541284561214624104645789101745[[#This Row],[DISCOUNT 2]]</f>
        <v>0</v>
      </c>
      <c r="M406" s="194">
        <f>IF(OR(_1_541284561214624104645789101745[[#This Row],[UNIT]]&gt;0,_1_541284561214624104645789101745[[#This Row],[UNIT]]&lt;0),_1_541284561214624104645789101745[[#This Row],[UNIT]]*_1_541284561214624104645789101745[[#This Row],[COST]],0)</f>
        <v>0</v>
      </c>
      <c r="N406" s="194">
        <f t="shared" si="6"/>
        <v>1.5</v>
      </c>
      <c r="O406" s="198">
        <f>_1_541284561214624104645789101745[[#This Row],[TOTAL]]*_1_541284561214624104645789101745[[#This Row],[MARGIN]]</f>
        <v>0</v>
      </c>
      <c r="R406" s="41"/>
    </row>
    <row r="407" spans="1:18">
      <c r="D407" s="188"/>
      <c r="F407" s="168" t="s">
        <v>6202</v>
      </c>
      <c r="G407" s="192">
        <f>IF(_1_541284561214624104645789101745[[#This Row],[Type]]&gt;0,VLOOKUP(_1_541284561214624104645789101745[[#This Row],[Type]],Main[[#All],[TYPE]:[UNIT]],'Unit Price'!C$1,FALSE),0)</f>
        <v>0</v>
      </c>
      <c r="H407" s="197">
        <f>IF(_1_541284561214624104645789101745[[#This Row],[Type]]&gt;0,VLOOKUP(_1_541284561214624104645789101745[[#This Row],[Type]],Main[[#All],[TYPE]:[UNIT]],'Unit Price'!D$1,FALSE),0)</f>
        <v>0</v>
      </c>
      <c r="I407" s="194">
        <f>IF(_1_541284561214624104645789101745[[#This Row],[Type]]&gt;0,VLOOKUP(_1_541284561214624104645789101745[[#This Row],[Type]],Main[[#All],[TYPE]:[UNIT]],'Unit Price'!G$1,FALSE),0)</f>
        <v>0</v>
      </c>
      <c r="J407" s="194">
        <f>IF(_1_541284561214624104645789101745[[#This Row],[Type]]&gt;0,VLOOKUP(_1_541284561214624104645789101745[[#This Row],[Type]],Main[[#All],[TYPE]:[UNIT]],'Unit Price'!H$1,FALSE),0)</f>
        <v>0</v>
      </c>
      <c r="K407" s="194">
        <f>IF(_1_541284561214624104645789101745[[#This Row],[Discount selection]]&gt;0,VLOOKUP(_1_541284561214624104645789101745[[#This Row],[Discount selection]],'Discount Structure'!$A$2:$B$30,2,"false"),0)</f>
        <v>1</v>
      </c>
      <c r="L407" s="194">
        <f>_1_541284561214624104645789101745[[#This Row],[LIST $]]*_1_541284561214624104645789101745[[#This Row],[DISCOUNT]]*_1_541284561214624104645789101745[[#This Row],[DISCOUNT 2]]</f>
        <v>0</v>
      </c>
      <c r="M407" s="194">
        <f>IF(OR(_1_541284561214624104645789101745[[#This Row],[UNIT]]&gt;0,_1_541284561214624104645789101745[[#This Row],[UNIT]]&lt;0),_1_541284561214624104645789101745[[#This Row],[UNIT]]*_1_541284561214624104645789101745[[#This Row],[COST]],0)</f>
        <v>0</v>
      </c>
      <c r="N407" s="194">
        <f t="shared" si="6"/>
        <v>1.5</v>
      </c>
      <c r="O407" s="198">
        <f>_1_541284561214624104645789101745[[#This Row],[TOTAL]]*_1_541284561214624104645789101745[[#This Row],[MARGIN]]</f>
        <v>0</v>
      </c>
      <c r="R407" s="41"/>
    </row>
    <row r="408" spans="1:18">
      <c r="D408" s="188"/>
      <c r="F408" s="168" t="s">
        <v>6202</v>
      </c>
      <c r="G408" s="193">
        <f>IF(_1_541284561214624104645789101745[[#This Row],[Type]]&gt;0,VLOOKUP(_1_541284561214624104645789101745[[#This Row],[Type]],Main[[#All],[TYPE]:[UNIT]],'Unit Price'!C$1,FALSE),0)</f>
        <v>0</v>
      </c>
      <c r="H408" s="197">
        <f>IF(_1_541284561214624104645789101745[[#This Row],[Type]]&gt;0,VLOOKUP(_1_541284561214624104645789101745[[#This Row],[Type]],Main[[#All],[TYPE]:[UNIT]],'Unit Price'!D$1,FALSE),0)</f>
        <v>0</v>
      </c>
      <c r="I408" s="194">
        <f>IF(_1_541284561214624104645789101745[[#This Row],[Type]]&gt;0,VLOOKUP(_1_541284561214624104645789101745[[#This Row],[Type]],Main[[#All],[TYPE]:[UNIT]],'Unit Price'!G$1,FALSE),0)</f>
        <v>0</v>
      </c>
      <c r="J408" s="194">
        <f>IF(_1_541284561214624104645789101745[[#This Row],[Type]]&gt;0,VLOOKUP(_1_541284561214624104645789101745[[#This Row],[Type]],Main[[#All],[TYPE]:[UNIT]],'Unit Price'!H$1,FALSE),0)</f>
        <v>0</v>
      </c>
      <c r="K408" s="194">
        <f>IF(_1_541284561214624104645789101745[[#This Row],[Discount selection]]&gt;0,VLOOKUP(_1_541284561214624104645789101745[[#This Row],[Discount selection]],'Discount Structure'!$A$2:$B$30,2,"false"),0)</f>
        <v>1</v>
      </c>
      <c r="L408" s="194">
        <f>_1_541284561214624104645789101745[[#This Row],[LIST $]]*_1_541284561214624104645789101745[[#This Row],[DISCOUNT]]*_1_541284561214624104645789101745[[#This Row],[DISCOUNT 2]]</f>
        <v>0</v>
      </c>
      <c r="M408" s="194">
        <f>IF(OR(_1_541284561214624104645789101745[[#This Row],[UNIT]]&gt;0,_1_541284561214624104645789101745[[#This Row],[UNIT]]&lt;0),_1_541284561214624104645789101745[[#This Row],[UNIT]]*_1_541284561214624104645789101745[[#This Row],[COST]],0)</f>
        <v>0</v>
      </c>
      <c r="N408" s="194">
        <f t="shared" si="6"/>
        <v>1.5</v>
      </c>
      <c r="O408" s="198">
        <f>_1_541284561214624104645789101745[[#This Row],[TOTAL]]*_1_541284561214624104645789101745[[#This Row],[MARGIN]]</f>
        <v>0</v>
      </c>
      <c r="R408" s="41"/>
    </row>
    <row r="409" spans="1:18">
      <c r="A409" s="168"/>
      <c r="D409" s="188"/>
      <c r="F409" s="168" t="s">
        <v>6202</v>
      </c>
      <c r="G409" s="193">
        <f>IF(_1_541284561214624104645789101745[[#This Row],[Type]]&gt;0,VLOOKUP(_1_541284561214624104645789101745[[#This Row],[Type]],Main[[#All],[TYPE]:[UNIT]],'Unit Price'!C$1,FALSE),0)</f>
        <v>0</v>
      </c>
      <c r="H409" s="197">
        <f>IF(_1_541284561214624104645789101745[[#This Row],[Type]]&gt;0,VLOOKUP(_1_541284561214624104645789101745[[#This Row],[Type]],Main[[#All],[TYPE]:[UNIT]],'Unit Price'!D$1,FALSE),0)</f>
        <v>0</v>
      </c>
      <c r="I409" s="194">
        <f>IF(_1_541284561214624104645789101745[[#This Row],[Type]]&gt;0,VLOOKUP(_1_541284561214624104645789101745[[#This Row],[Type]],Main[[#All],[TYPE]:[UNIT]],'Unit Price'!G$1,FALSE),0)</f>
        <v>0</v>
      </c>
      <c r="J409" s="194">
        <f>IF(_1_541284561214624104645789101745[[#This Row],[Type]]&gt;0,VLOOKUP(_1_541284561214624104645789101745[[#This Row],[Type]],Main[[#All],[TYPE]:[UNIT]],'Unit Price'!H$1,FALSE),0)</f>
        <v>0</v>
      </c>
      <c r="K409" s="194">
        <f>IF(_1_541284561214624104645789101745[[#This Row],[Discount selection]]&gt;0,VLOOKUP(_1_541284561214624104645789101745[[#This Row],[Discount selection]],'Discount Structure'!$A$2:$B$30,2,"false"),0)</f>
        <v>1</v>
      </c>
      <c r="L409" s="194">
        <f>_1_541284561214624104645789101745[[#This Row],[LIST $]]*_1_541284561214624104645789101745[[#This Row],[DISCOUNT]]*_1_541284561214624104645789101745[[#This Row],[DISCOUNT 2]]</f>
        <v>0</v>
      </c>
      <c r="M409" s="194">
        <f>IF(OR(_1_541284561214624104645789101745[[#This Row],[UNIT]]&gt;0,_1_541284561214624104645789101745[[#This Row],[UNIT]]&lt;0),_1_541284561214624104645789101745[[#This Row],[UNIT]]*_1_541284561214624104645789101745[[#This Row],[COST]],0)</f>
        <v>0</v>
      </c>
      <c r="N409" s="194">
        <f t="shared" si="6"/>
        <v>1.5</v>
      </c>
      <c r="O409" s="198">
        <f>_1_541284561214624104645789101745[[#This Row],[TOTAL]]*_1_541284561214624104645789101745[[#This Row],[MARGIN]]</f>
        <v>0</v>
      </c>
      <c r="R409" s="41"/>
    </row>
    <row r="410" spans="1:18">
      <c r="D410" s="188"/>
      <c r="F410" s="168" t="s">
        <v>6202</v>
      </c>
      <c r="G410" s="193">
        <f>IF(_1_541284561214624104645789101745[[#This Row],[Type]]&gt;0,VLOOKUP(_1_541284561214624104645789101745[[#This Row],[Type]],Main[[#All],[TYPE]:[UNIT]],'Unit Price'!C$1,FALSE),0)</f>
        <v>0</v>
      </c>
      <c r="H410" s="197">
        <f>IF(_1_541284561214624104645789101745[[#This Row],[Type]]&gt;0,VLOOKUP(_1_541284561214624104645789101745[[#This Row],[Type]],Main[[#All],[TYPE]:[UNIT]],'Unit Price'!D$1,FALSE),0)</f>
        <v>0</v>
      </c>
      <c r="I410" s="194">
        <f>IF(_1_541284561214624104645789101745[[#This Row],[Type]]&gt;0,VLOOKUP(_1_541284561214624104645789101745[[#This Row],[Type]],Main[[#All],[TYPE]:[UNIT]],'Unit Price'!G$1,FALSE),0)</f>
        <v>0</v>
      </c>
      <c r="J410" s="194">
        <f>IF(_1_541284561214624104645789101745[[#This Row],[Type]]&gt;0,VLOOKUP(_1_541284561214624104645789101745[[#This Row],[Type]],Main[[#All],[TYPE]:[UNIT]],'Unit Price'!H$1,FALSE),0)</f>
        <v>0</v>
      </c>
      <c r="K410" s="194">
        <f>IF(_1_541284561214624104645789101745[[#This Row],[Discount selection]]&gt;0,VLOOKUP(_1_541284561214624104645789101745[[#This Row],[Discount selection]],'Discount Structure'!$A$2:$B$30,2,"false"),0)</f>
        <v>1</v>
      </c>
      <c r="L410" s="194">
        <f>_1_541284561214624104645789101745[[#This Row],[LIST $]]*_1_541284561214624104645789101745[[#This Row],[DISCOUNT]]*_1_541284561214624104645789101745[[#This Row],[DISCOUNT 2]]</f>
        <v>0</v>
      </c>
      <c r="M410" s="194">
        <f>IF(OR(_1_541284561214624104645789101745[[#This Row],[UNIT]]&gt;0,_1_541284561214624104645789101745[[#This Row],[UNIT]]&lt;0),_1_541284561214624104645789101745[[#This Row],[UNIT]]*_1_541284561214624104645789101745[[#This Row],[COST]],0)</f>
        <v>0</v>
      </c>
      <c r="N410" s="194">
        <f t="shared" si="6"/>
        <v>1.5</v>
      </c>
      <c r="O410" s="198">
        <f>_1_541284561214624104645789101745[[#This Row],[TOTAL]]*_1_541284561214624104645789101745[[#This Row],[MARGIN]]</f>
        <v>0</v>
      </c>
      <c r="R410" s="41"/>
    </row>
    <row r="411" spans="1:18">
      <c r="D411" s="188"/>
      <c r="F411" s="168" t="s">
        <v>6202</v>
      </c>
      <c r="G411" s="193">
        <f>IF(_1_541284561214624104645789101745[[#This Row],[Type]]&gt;0,VLOOKUP(_1_541284561214624104645789101745[[#This Row],[Type]],Main[[#All],[TYPE]:[UNIT]],'Unit Price'!C$1,FALSE),0)</f>
        <v>0</v>
      </c>
      <c r="H411" s="197">
        <f>IF(_1_541284561214624104645789101745[[#This Row],[Type]]&gt;0,VLOOKUP(_1_541284561214624104645789101745[[#This Row],[Type]],Main[[#All],[TYPE]:[UNIT]],'Unit Price'!D$1,FALSE),0)</f>
        <v>0</v>
      </c>
      <c r="I411" s="194">
        <f>IF(_1_541284561214624104645789101745[[#This Row],[Type]]&gt;0,VLOOKUP(_1_541284561214624104645789101745[[#This Row],[Type]],Main[[#All],[TYPE]:[UNIT]],'Unit Price'!G$1,FALSE),0)</f>
        <v>0</v>
      </c>
      <c r="J411" s="194">
        <f>IF(_1_541284561214624104645789101745[[#This Row],[Type]]&gt;0,VLOOKUP(_1_541284561214624104645789101745[[#This Row],[Type]],Main[[#All],[TYPE]:[UNIT]],'Unit Price'!H$1,FALSE),0)</f>
        <v>0</v>
      </c>
      <c r="K411" s="194">
        <f>IF(_1_541284561214624104645789101745[[#This Row],[Discount selection]]&gt;0,VLOOKUP(_1_541284561214624104645789101745[[#This Row],[Discount selection]],'Discount Structure'!$A$2:$B$30,2,"false"),0)</f>
        <v>1</v>
      </c>
      <c r="L411" s="194">
        <f>_1_541284561214624104645789101745[[#This Row],[LIST $]]*_1_541284561214624104645789101745[[#This Row],[DISCOUNT]]*_1_541284561214624104645789101745[[#This Row],[DISCOUNT 2]]</f>
        <v>0</v>
      </c>
      <c r="M411" s="194">
        <f>IF(OR(_1_541284561214624104645789101745[[#This Row],[UNIT]]&gt;0,_1_541284561214624104645789101745[[#This Row],[UNIT]]&lt;0),_1_541284561214624104645789101745[[#This Row],[UNIT]]*_1_541284561214624104645789101745[[#This Row],[COST]],0)</f>
        <v>0</v>
      </c>
      <c r="N411" s="194">
        <f t="shared" si="6"/>
        <v>1.5</v>
      </c>
      <c r="O411" s="198">
        <f>_1_541284561214624104645789101745[[#This Row],[TOTAL]]*_1_541284561214624104645789101745[[#This Row],[MARGIN]]</f>
        <v>0</v>
      </c>
      <c r="R411" s="41"/>
    </row>
    <row r="412" spans="1:18">
      <c r="D412" s="188"/>
      <c r="F412" s="168" t="s">
        <v>6202</v>
      </c>
      <c r="G412" s="192">
        <f>IF(_1_541284561214624104645789101745[[#This Row],[Type]]&gt;0,VLOOKUP(_1_541284561214624104645789101745[[#This Row],[Type]],Main[[#All],[TYPE]:[UNIT]],'Unit Price'!C$1,FALSE),0)</f>
        <v>0</v>
      </c>
      <c r="H412" s="197">
        <f>IF(_1_541284561214624104645789101745[[#This Row],[Type]]&gt;0,VLOOKUP(_1_541284561214624104645789101745[[#This Row],[Type]],Main[[#All],[TYPE]:[UNIT]],'Unit Price'!D$1,FALSE),0)</f>
        <v>0</v>
      </c>
      <c r="I412" s="194">
        <f>IF(_1_541284561214624104645789101745[[#This Row],[Type]]&gt;0,VLOOKUP(_1_541284561214624104645789101745[[#This Row],[Type]],Main[[#All],[TYPE]:[UNIT]],'Unit Price'!G$1,FALSE),0)</f>
        <v>0</v>
      </c>
      <c r="J412" s="194">
        <f>IF(_1_541284561214624104645789101745[[#This Row],[Type]]&gt;0,VLOOKUP(_1_541284561214624104645789101745[[#This Row],[Type]],Main[[#All],[TYPE]:[UNIT]],'Unit Price'!H$1,FALSE),0)</f>
        <v>0</v>
      </c>
      <c r="K412" s="194">
        <f>IF(_1_541284561214624104645789101745[[#This Row],[Discount selection]]&gt;0,VLOOKUP(_1_541284561214624104645789101745[[#This Row],[Discount selection]],'Discount Structure'!$A$2:$B$30,2,"false"),0)</f>
        <v>1</v>
      </c>
      <c r="L412" s="194">
        <f>_1_541284561214624104645789101745[[#This Row],[LIST $]]*_1_541284561214624104645789101745[[#This Row],[DISCOUNT]]*_1_541284561214624104645789101745[[#This Row],[DISCOUNT 2]]</f>
        <v>0</v>
      </c>
      <c r="M412" s="194">
        <f>IF(OR(_1_541284561214624104645789101745[[#This Row],[UNIT]]&gt;0,_1_541284561214624104645789101745[[#This Row],[UNIT]]&lt;0),_1_541284561214624104645789101745[[#This Row],[UNIT]]*_1_541284561214624104645789101745[[#This Row],[COST]],0)</f>
        <v>0</v>
      </c>
      <c r="N412" s="194">
        <f t="shared" si="6"/>
        <v>1.5</v>
      </c>
      <c r="O412" s="198">
        <f>_1_541284561214624104645789101745[[#This Row],[TOTAL]]*_1_541284561214624104645789101745[[#This Row],[MARGIN]]</f>
        <v>0</v>
      </c>
      <c r="R412" s="41"/>
    </row>
    <row r="413" spans="1:18">
      <c r="D413" s="188"/>
      <c r="F413" s="168" t="s">
        <v>6202</v>
      </c>
      <c r="G413" s="193">
        <f>IF(_1_541284561214624104645789101745[[#This Row],[Type]]&gt;0,VLOOKUP(_1_541284561214624104645789101745[[#This Row],[Type]],Main[[#All],[TYPE]:[UNIT]],'Unit Price'!C$1,FALSE),0)</f>
        <v>0</v>
      </c>
      <c r="H413" s="197">
        <f>IF(_1_541284561214624104645789101745[[#This Row],[Type]]&gt;0,VLOOKUP(_1_541284561214624104645789101745[[#This Row],[Type]],Main[[#All],[TYPE]:[UNIT]],'Unit Price'!D$1,FALSE),0)</f>
        <v>0</v>
      </c>
      <c r="I413" s="194">
        <f>IF(_1_541284561214624104645789101745[[#This Row],[Type]]&gt;0,VLOOKUP(_1_541284561214624104645789101745[[#This Row],[Type]],Main[[#All],[TYPE]:[UNIT]],'Unit Price'!G$1,FALSE),0)</f>
        <v>0</v>
      </c>
      <c r="J413" s="194">
        <f>IF(_1_541284561214624104645789101745[[#This Row],[Type]]&gt;0,VLOOKUP(_1_541284561214624104645789101745[[#This Row],[Type]],Main[[#All],[TYPE]:[UNIT]],'Unit Price'!H$1,FALSE),0)</f>
        <v>0</v>
      </c>
      <c r="K413" s="194">
        <f>IF(_1_541284561214624104645789101745[[#This Row],[Discount selection]]&gt;0,VLOOKUP(_1_541284561214624104645789101745[[#This Row],[Discount selection]],'Discount Structure'!$A$2:$B$30,2,"false"),0)</f>
        <v>1</v>
      </c>
      <c r="L413" s="194">
        <f>_1_541284561214624104645789101745[[#This Row],[LIST $]]*_1_541284561214624104645789101745[[#This Row],[DISCOUNT]]*_1_541284561214624104645789101745[[#This Row],[DISCOUNT 2]]</f>
        <v>0</v>
      </c>
      <c r="M413" s="194">
        <f>IF(OR(_1_541284561214624104645789101745[[#This Row],[UNIT]]&gt;0,_1_541284561214624104645789101745[[#This Row],[UNIT]]&lt;0),_1_541284561214624104645789101745[[#This Row],[UNIT]]*_1_541284561214624104645789101745[[#This Row],[COST]],0)</f>
        <v>0</v>
      </c>
      <c r="N413" s="194">
        <f t="shared" si="6"/>
        <v>1.5</v>
      </c>
      <c r="O413" s="198">
        <f>_1_541284561214624104645789101745[[#This Row],[TOTAL]]*_1_541284561214624104645789101745[[#This Row],[MARGIN]]</f>
        <v>0</v>
      </c>
      <c r="R413" s="41"/>
    </row>
    <row r="414" spans="1:18">
      <c r="D414" s="188"/>
      <c r="F414" s="168" t="s">
        <v>6202</v>
      </c>
      <c r="G414" s="193">
        <f>IF(_1_541284561214624104645789101745[[#This Row],[Type]]&gt;0,VLOOKUP(_1_541284561214624104645789101745[[#This Row],[Type]],Main[[#All],[TYPE]:[UNIT]],'Unit Price'!C$1,FALSE),0)</f>
        <v>0</v>
      </c>
      <c r="H414" s="197">
        <f>IF(_1_541284561214624104645789101745[[#This Row],[Type]]&gt;0,VLOOKUP(_1_541284561214624104645789101745[[#This Row],[Type]],Main[[#All],[TYPE]:[UNIT]],'Unit Price'!D$1,FALSE),0)</f>
        <v>0</v>
      </c>
      <c r="I414" s="194">
        <f>IF(_1_541284561214624104645789101745[[#This Row],[Type]]&gt;0,VLOOKUP(_1_541284561214624104645789101745[[#This Row],[Type]],Main[[#All],[TYPE]:[UNIT]],'Unit Price'!G$1,FALSE),0)</f>
        <v>0</v>
      </c>
      <c r="J414" s="194">
        <f>IF(_1_541284561214624104645789101745[[#This Row],[Type]]&gt;0,VLOOKUP(_1_541284561214624104645789101745[[#This Row],[Type]],Main[[#All],[TYPE]:[UNIT]],'Unit Price'!H$1,FALSE),0)</f>
        <v>0</v>
      </c>
      <c r="K414" s="194">
        <f>IF(_1_541284561214624104645789101745[[#This Row],[Discount selection]]&gt;0,VLOOKUP(_1_541284561214624104645789101745[[#This Row],[Discount selection]],'Discount Structure'!$A$2:$B$30,2,"false"),0)</f>
        <v>1</v>
      </c>
      <c r="L414" s="194">
        <f>_1_541284561214624104645789101745[[#This Row],[LIST $]]*_1_541284561214624104645789101745[[#This Row],[DISCOUNT]]*_1_541284561214624104645789101745[[#This Row],[DISCOUNT 2]]</f>
        <v>0</v>
      </c>
      <c r="M414" s="194">
        <f>IF(OR(_1_541284561214624104645789101745[[#This Row],[UNIT]]&gt;0,_1_541284561214624104645789101745[[#This Row],[UNIT]]&lt;0),_1_541284561214624104645789101745[[#This Row],[UNIT]]*_1_541284561214624104645789101745[[#This Row],[COST]],0)</f>
        <v>0</v>
      </c>
      <c r="N414" s="194">
        <f t="shared" si="6"/>
        <v>1.5</v>
      </c>
      <c r="O414" s="198">
        <f>_1_541284561214624104645789101745[[#This Row],[TOTAL]]*_1_541284561214624104645789101745[[#This Row],[MARGIN]]</f>
        <v>0</v>
      </c>
      <c r="R414" s="41"/>
    </row>
    <row r="415" spans="1:18">
      <c r="D415" s="188"/>
      <c r="F415" s="168" t="s">
        <v>6202</v>
      </c>
      <c r="G415" s="193">
        <f>IF(_1_541284561214624104645789101745[[#This Row],[Type]]&gt;0,VLOOKUP(_1_541284561214624104645789101745[[#This Row],[Type]],Main[[#All],[TYPE]:[UNIT]],'Unit Price'!C$1,FALSE),0)</f>
        <v>0</v>
      </c>
      <c r="H415" s="197">
        <f>IF(_1_541284561214624104645789101745[[#This Row],[Type]]&gt;0,VLOOKUP(_1_541284561214624104645789101745[[#This Row],[Type]],Main[[#All],[TYPE]:[UNIT]],'Unit Price'!D$1,FALSE),0)</f>
        <v>0</v>
      </c>
      <c r="I415" s="194">
        <f>IF(_1_541284561214624104645789101745[[#This Row],[Type]]&gt;0,VLOOKUP(_1_541284561214624104645789101745[[#This Row],[Type]],Main[[#All],[TYPE]:[UNIT]],'Unit Price'!G$1,FALSE),0)</f>
        <v>0</v>
      </c>
      <c r="J415" s="194">
        <f>IF(_1_541284561214624104645789101745[[#This Row],[Type]]&gt;0,VLOOKUP(_1_541284561214624104645789101745[[#This Row],[Type]],Main[[#All],[TYPE]:[UNIT]],'Unit Price'!H$1,FALSE),0)</f>
        <v>0</v>
      </c>
      <c r="K415" s="194">
        <f>IF(_1_541284561214624104645789101745[[#This Row],[Discount selection]]&gt;0,VLOOKUP(_1_541284561214624104645789101745[[#This Row],[Discount selection]],'Discount Structure'!$A$2:$B$30,2,"false"),0)</f>
        <v>1</v>
      </c>
      <c r="L415" s="194">
        <f>_1_541284561214624104645789101745[[#This Row],[LIST $]]*_1_541284561214624104645789101745[[#This Row],[DISCOUNT]]*_1_541284561214624104645789101745[[#This Row],[DISCOUNT 2]]</f>
        <v>0</v>
      </c>
      <c r="M415" s="194">
        <f>IF(OR(_1_541284561214624104645789101745[[#This Row],[UNIT]]&gt;0,_1_541284561214624104645789101745[[#This Row],[UNIT]]&lt;0),_1_541284561214624104645789101745[[#This Row],[UNIT]]*_1_541284561214624104645789101745[[#This Row],[COST]],0)</f>
        <v>0</v>
      </c>
      <c r="N415" s="194">
        <f t="shared" si="6"/>
        <v>1.5</v>
      </c>
      <c r="O415" s="198">
        <f>_1_541284561214624104645789101745[[#This Row],[TOTAL]]*_1_541284561214624104645789101745[[#This Row],[MARGIN]]</f>
        <v>0</v>
      </c>
      <c r="R415" s="41"/>
    </row>
    <row r="416" spans="1:18">
      <c r="D416" s="188"/>
      <c r="F416" s="168" t="s">
        <v>6202</v>
      </c>
      <c r="G416" s="193">
        <f>IF(_1_541284561214624104645789101745[[#This Row],[Type]]&gt;0,VLOOKUP(_1_541284561214624104645789101745[[#This Row],[Type]],Main[[#All],[TYPE]:[UNIT]],'Unit Price'!C$1,FALSE),0)</f>
        <v>0</v>
      </c>
      <c r="H416" s="197">
        <f>IF(_1_541284561214624104645789101745[[#This Row],[Type]]&gt;0,VLOOKUP(_1_541284561214624104645789101745[[#This Row],[Type]],Main[[#All],[TYPE]:[UNIT]],'Unit Price'!D$1,FALSE),0)</f>
        <v>0</v>
      </c>
      <c r="I416" s="194">
        <f>IF(_1_541284561214624104645789101745[[#This Row],[Type]]&gt;0,VLOOKUP(_1_541284561214624104645789101745[[#This Row],[Type]],Main[[#All],[TYPE]:[UNIT]],'Unit Price'!G$1,FALSE),0)</f>
        <v>0</v>
      </c>
      <c r="J416" s="194">
        <f>IF(_1_541284561214624104645789101745[[#This Row],[Type]]&gt;0,VLOOKUP(_1_541284561214624104645789101745[[#This Row],[Type]],Main[[#All],[TYPE]:[UNIT]],'Unit Price'!H$1,FALSE),0)</f>
        <v>0</v>
      </c>
      <c r="K416" s="194">
        <f>IF(_1_541284561214624104645789101745[[#This Row],[Discount selection]]&gt;0,VLOOKUP(_1_541284561214624104645789101745[[#This Row],[Discount selection]],'Discount Structure'!$A$2:$B$30,2,"false"),0)</f>
        <v>1</v>
      </c>
      <c r="L416" s="194">
        <f>_1_541284561214624104645789101745[[#This Row],[LIST $]]*_1_541284561214624104645789101745[[#This Row],[DISCOUNT]]*_1_541284561214624104645789101745[[#This Row],[DISCOUNT 2]]</f>
        <v>0</v>
      </c>
      <c r="M416" s="194">
        <f>IF(OR(_1_541284561214624104645789101745[[#This Row],[UNIT]]&gt;0,_1_541284561214624104645789101745[[#This Row],[UNIT]]&lt;0),_1_541284561214624104645789101745[[#This Row],[UNIT]]*_1_541284561214624104645789101745[[#This Row],[COST]],0)</f>
        <v>0</v>
      </c>
      <c r="N416" s="194">
        <f t="shared" si="6"/>
        <v>1.5</v>
      </c>
      <c r="O416" s="198">
        <f>_1_541284561214624104645789101745[[#This Row],[TOTAL]]*_1_541284561214624104645789101745[[#This Row],[MARGIN]]</f>
        <v>0</v>
      </c>
      <c r="R416" s="41"/>
    </row>
    <row r="417" spans="1:18">
      <c r="D417" s="188"/>
      <c r="F417" s="168" t="s">
        <v>6202</v>
      </c>
      <c r="G417" s="192">
        <f>IF(_1_541284561214624104645789101745[[#This Row],[Type]]&gt;0,VLOOKUP(_1_541284561214624104645789101745[[#This Row],[Type]],Main[[#All],[TYPE]:[UNIT]],'Unit Price'!C$1,FALSE),0)</f>
        <v>0</v>
      </c>
      <c r="H417" s="197">
        <f>IF(_1_541284561214624104645789101745[[#This Row],[Type]]&gt;0,VLOOKUP(_1_541284561214624104645789101745[[#This Row],[Type]],Main[[#All],[TYPE]:[UNIT]],'Unit Price'!D$1,FALSE),0)</f>
        <v>0</v>
      </c>
      <c r="I417" s="194">
        <f>IF(_1_541284561214624104645789101745[[#This Row],[Type]]&gt;0,VLOOKUP(_1_541284561214624104645789101745[[#This Row],[Type]],Main[[#All],[TYPE]:[UNIT]],'Unit Price'!G$1,FALSE),0)</f>
        <v>0</v>
      </c>
      <c r="J417" s="194">
        <f>IF(_1_541284561214624104645789101745[[#This Row],[Type]]&gt;0,VLOOKUP(_1_541284561214624104645789101745[[#This Row],[Type]],Main[[#All],[TYPE]:[UNIT]],'Unit Price'!H$1,FALSE),0)</f>
        <v>0</v>
      </c>
      <c r="K417" s="194">
        <f>IF(_1_541284561214624104645789101745[[#This Row],[Discount selection]]&gt;0,VLOOKUP(_1_541284561214624104645789101745[[#This Row],[Discount selection]],'Discount Structure'!$A$2:$B$30,2,"false"),0)</f>
        <v>1</v>
      </c>
      <c r="L417" s="194">
        <f>_1_541284561214624104645789101745[[#This Row],[LIST $]]*_1_541284561214624104645789101745[[#This Row],[DISCOUNT]]*_1_541284561214624104645789101745[[#This Row],[DISCOUNT 2]]</f>
        <v>0</v>
      </c>
      <c r="M417" s="194">
        <f>IF(OR(_1_541284561214624104645789101745[[#This Row],[UNIT]]&gt;0,_1_541284561214624104645789101745[[#This Row],[UNIT]]&lt;0),_1_541284561214624104645789101745[[#This Row],[UNIT]]*_1_541284561214624104645789101745[[#This Row],[COST]],0)</f>
        <v>0</v>
      </c>
      <c r="N417" s="194">
        <f t="shared" si="6"/>
        <v>1.5</v>
      </c>
      <c r="O417" s="198">
        <f>_1_541284561214624104645789101745[[#This Row],[TOTAL]]*_1_541284561214624104645789101745[[#This Row],[MARGIN]]</f>
        <v>0</v>
      </c>
      <c r="R417" s="41"/>
    </row>
    <row r="418" spans="1:18">
      <c r="D418" s="188"/>
      <c r="F418" s="168" t="s">
        <v>6202</v>
      </c>
      <c r="G418" s="193">
        <f>IF(_1_541284561214624104645789101745[[#This Row],[Type]]&gt;0,VLOOKUP(_1_541284561214624104645789101745[[#This Row],[Type]],Main[[#All],[TYPE]:[UNIT]],'Unit Price'!C$1,FALSE),0)</f>
        <v>0</v>
      </c>
      <c r="H418" s="197">
        <f>IF(_1_541284561214624104645789101745[[#This Row],[Type]]&gt;0,VLOOKUP(_1_541284561214624104645789101745[[#This Row],[Type]],Main[[#All],[TYPE]:[UNIT]],'Unit Price'!D$1,FALSE),0)</f>
        <v>0</v>
      </c>
      <c r="I418" s="194">
        <f>IF(_1_541284561214624104645789101745[[#This Row],[Type]]&gt;0,VLOOKUP(_1_541284561214624104645789101745[[#This Row],[Type]],Main[[#All],[TYPE]:[UNIT]],'Unit Price'!G$1,FALSE),0)</f>
        <v>0</v>
      </c>
      <c r="J418" s="194">
        <f>IF(_1_541284561214624104645789101745[[#This Row],[Type]]&gt;0,VLOOKUP(_1_541284561214624104645789101745[[#This Row],[Type]],Main[[#All],[TYPE]:[UNIT]],'Unit Price'!H$1,FALSE),0)</f>
        <v>0</v>
      </c>
      <c r="K418" s="194">
        <f>IF(_1_541284561214624104645789101745[[#This Row],[Discount selection]]&gt;0,VLOOKUP(_1_541284561214624104645789101745[[#This Row],[Discount selection]],'Discount Structure'!$A$2:$B$30,2,"false"),0)</f>
        <v>1</v>
      </c>
      <c r="L418" s="194">
        <f>_1_541284561214624104645789101745[[#This Row],[LIST $]]*_1_541284561214624104645789101745[[#This Row],[DISCOUNT]]*_1_541284561214624104645789101745[[#This Row],[DISCOUNT 2]]</f>
        <v>0</v>
      </c>
      <c r="M418" s="194">
        <f>IF(OR(_1_541284561214624104645789101745[[#This Row],[UNIT]]&gt;0,_1_541284561214624104645789101745[[#This Row],[UNIT]]&lt;0),_1_541284561214624104645789101745[[#This Row],[UNIT]]*_1_541284561214624104645789101745[[#This Row],[COST]],0)</f>
        <v>0</v>
      </c>
      <c r="N418" s="194">
        <f t="shared" si="6"/>
        <v>1.5</v>
      </c>
      <c r="O418" s="198">
        <f>_1_541284561214624104645789101745[[#This Row],[TOTAL]]*_1_541284561214624104645789101745[[#This Row],[MARGIN]]</f>
        <v>0</v>
      </c>
      <c r="R418" s="41"/>
    </row>
    <row r="419" spans="1:18">
      <c r="D419" s="188"/>
      <c r="F419" s="168" t="s">
        <v>6202</v>
      </c>
      <c r="G419" s="193">
        <f>IF(_1_541284561214624104645789101745[[#This Row],[Type]]&gt;0,VLOOKUP(_1_541284561214624104645789101745[[#This Row],[Type]],Main[[#All],[TYPE]:[UNIT]],'Unit Price'!C$1,FALSE),0)</f>
        <v>0</v>
      </c>
      <c r="H419" s="197">
        <f>IF(_1_541284561214624104645789101745[[#This Row],[Type]]&gt;0,VLOOKUP(_1_541284561214624104645789101745[[#This Row],[Type]],Main[[#All],[TYPE]:[UNIT]],'Unit Price'!D$1,FALSE),0)</f>
        <v>0</v>
      </c>
      <c r="I419" s="194">
        <f>IF(_1_541284561214624104645789101745[[#This Row],[Type]]&gt;0,VLOOKUP(_1_541284561214624104645789101745[[#This Row],[Type]],Main[[#All],[TYPE]:[UNIT]],'Unit Price'!G$1,FALSE),0)</f>
        <v>0</v>
      </c>
      <c r="J419" s="194">
        <f>IF(_1_541284561214624104645789101745[[#This Row],[Type]]&gt;0,VLOOKUP(_1_541284561214624104645789101745[[#This Row],[Type]],Main[[#All],[TYPE]:[UNIT]],'Unit Price'!H$1,FALSE),0)</f>
        <v>0</v>
      </c>
      <c r="K419" s="194">
        <f>IF(_1_541284561214624104645789101745[[#This Row],[Discount selection]]&gt;0,VLOOKUP(_1_541284561214624104645789101745[[#This Row],[Discount selection]],'Discount Structure'!$A$2:$B$30,2,"false"),0)</f>
        <v>1</v>
      </c>
      <c r="L419" s="194">
        <f>_1_541284561214624104645789101745[[#This Row],[LIST $]]*_1_541284561214624104645789101745[[#This Row],[DISCOUNT]]*_1_541284561214624104645789101745[[#This Row],[DISCOUNT 2]]</f>
        <v>0</v>
      </c>
      <c r="M419" s="194">
        <f>IF(OR(_1_541284561214624104645789101745[[#This Row],[UNIT]]&gt;0,_1_541284561214624104645789101745[[#This Row],[UNIT]]&lt;0),_1_541284561214624104645789101745[[#This Row],[UNIT]]*_1_541284561214624104645789101745[[#This Row],[COST]],0)</f>
        <v>0</v>
      </c>
      <c r="N419" s="194">
        <f t="shared" si="6"/>
        <v>1.5</v>
      </c>
      <c r="O419" s="198">
        <f>_1_541284561214624104645789101745[[#This Row],[TOTAL]]*_1_541284561214624104645789101745[[#This Row],[MARGIN]]</f>
        <v>0</v>
      </c>
      <c r="R419" s="41"/>
    </row>
    <row r="420" spans="1:18">
      <c r="D420" s="188"/>
      <c r="F420" s="168" t="s">
        <v>6202</v>
      </c>
      <c r="G420" s="193">
        <f>IF(_1_541284561214624104645789101745[[#This Row],[Type]]&gt;0,VLOOKUP(_1_541284561214624104645789101745[[#This Row],[Type]],Main[[#All],[TYPE]:[UNIT]],'Unit Price'!C$1,FALSE),0)</f>
        <v>0</v>
      </c>
      <c r="H420" s="197">
        <f>IF(_1_541284561214624104645789101745[[#This Row],[Type]]&gt;0,VLOOKUP(_1_541284561214624104645789101745[[#This Row],[Type]],Main[[#All],[TYPE]:[UNIT]],'Unit Price'!D$1,FALSE),0)</f>
        <v>0</v>
      </c>
      <c r="I420" s="194">
        <f>IF(_1_541284561214624104645789101745[[#This Row],[Type]]&gt;0,VLOOKUP(_1_541284561214624104645789101745[[#This Row],[Type]],Main[[#All],[TYPE]:[UNIT]],'Unit Price'!G$1,FALSE),0)</f>
        <v>0</v>
      </c>
      <c r="J420" s="194">
        <f>IF(_1_541284561214624104645789101745[[#This Row],[Type]]&gt;0,VLOOKUP(_1_541284561214624104645789101745[[#This Row],[Type]],Main[[#All],[TYPE]:[UNIT]],'Unit Price'!H$1,FALSE),0)</f>
        <v>0</v>
      </c>
      <c r="K420" s="194">
        <f>IF(_1_541284561214624104645789101745[[#This Row],[Discount selection]]&gt;0,VLOOKUP(_1_541284561214624104645789101745[[#This Row],[Discount selection]],'Discount Structure'!$A$2:$B$30,2,"false"),0)</f>
        <v>1</v>
      </c>
      <c r="L420" s="194">
        <f>_1_541284561214624104645789101745[[#This Row],[LIST $]]*_1_541284561214624104645789101745[[#This Row],[DISCOUNT]]*_1_541284561214624104645789101745[[#This Row],[DISCOUNT 2]]</f>
        <v>0</v>
      </c>
      <c r="M420" s="194">
        <f>IF(OR(_1_541284561214624104645789101745[[#This Row],[UNIT]]&gt;0,_1_541284561214624104645789101745[[#This Row],[UNIT]]&lt;0),_1_541284561214624104645789101745[[#This Row],[UNIT]]*_1_541284561214624104645789101745[[#This Row],[COST]],0)</f>
        <v>0</v>
      </c>
      <c r="N420" s="194">
        <f t="shared" si="6"/>
        <v>1.5</v>
      </c>
      <c r="O420" s="198">
        <f>_1_541284561214624104645789101745[[#This Row],[TOTAL]]*_1_541284561214624104645789101745[[#This Row],[MARGIN]]</f>
        <v>0</v>
      </c>
      <c r="R420" s="41"/>
    </row>
    <row r="421" spans="1:18">
      <c r="D421" s="188"/>
      <c r="F421" s="168" t="s">
        <v>6202</v>
      </c>
      <c r="G421" s="193">
        <f>IF(_1_541284561214624104645789101745[[#This Row],[Type]]&gt;0,VLOOKUP(_1_541284561214624104645789101745[[#This Row],[Type]],Main[[#All],[TYPE]:[UNIT]],'Unit Price'!C$1,FALSE),0)</f>
        <v>0</v>
      </c>
      <c r="H421" s="197">
        <f>IF(_1_541284561214624104645789101745[[#This Row],[Type]]&gt;0,VLOOKUP(_1_541284561214624104645789101745[[#This Row],[Type]],Main[[#All],[TYPE]:[UNIT]],'Unit Price'!D$1,FALSE),0)</f>
        <v>0</v>
      </c>
      <c r="I421" s="194">
        <f>IF(_1_541284561214624104645789101745[[#This Row],[Type]]&gt;0,VLOOKUP(_1_541284561214624104645789101745[[#This Row],[Type]],Main[[#All],[TYPE]:[UNIT]],'Unit Price'!G$1,FALSE),0)</f>
        <v>0</v>
      </c>
      <c r="J421" s="194">
        <f>IF(_1_541284561214624104645789101745[[#This Row],[Type]]&gt;0,VLOOKUP(_1_541284561214624104645789101745[[#This Row],[Type]],Main[[#All],[TYPE]:[UNIT]],'Unit Price'!H$1,FALSE),0)</f>
        <v>0</v>
      </c>
      <c r="K421" s="194">
        <f>IF(_1_541284561214624104645789101745[[#This Row],[Discount selection]]&gt;0,VLOOKUP(_1_541284561214624104645789101745[[#This Row],[Discount selection]],'Discount Structure'!$A$2:$B$30,2,"false"),0)</f>
        <v>1</v>
      </c>
      <c r="L421" s="194">
        <f>_1_541284561214624104645789101745[[#This Row],[LIST $]]*_1_541284561214624104645789101745[[#This Row],[DISCOUNT]]*_1_541284561214624104645789101745[[#This Row],[DISCOUNT 2]]</f>
        <v>0</v>
      </c>
      <c r="M421" s="194">
        <f>IF(OR(_1_541284561214624104645789101745[[#This Row],[UNIT]]&gt;0,_1_541284561214624104645789101745[[#This Row],[UNIT]]&lt;0),_1_541284561214624104645789101745[[#This Row],[UNIT]]*_1_541284561214624104645789101745[[#This Row],[COST]],0)</f>
        <v>0</v>
      </c>
      <c r="N421" s="194">
        <f t="shared" si="6"/>
        <v>1.5</v>
      </c>
      <c r="O421" s="198">
        <f>_1_541284561214624104645789101745[[#This Row],[TOTAL]]*_1_541284561214624104645789101745[[#This Row],[MARGIN]]</f>
        <v>0</v>
      </c>
      <c r="R421" s="41"/>
    </row>
    <row r="422" spans="1:18">
      <c r="D422" s="188"/>
      <c r="F422" s="168" t="s">
        <v>6202</v>
      </c>
      <c r="G422" s="192">
        <f>IF(_1_541284561214624104645789101745[[#This Row],[Type]]&gt;0,VLOOKUP(_1_541284561214624104645789101745[[#This Row],[Type]],Main[[#All],[TYPE]:[UNIT]],'Unit Price'!C$1,FALSE),0)</f>
        <v>0</v>
      </c>
      <c r="H422" s="197">
        <f>IF(_1_541284561214624104645789101745[[#This Row],[Type]]&gt;0,VLOOKUP(_1_541284561214624104645789101745[[#This Row],[Type]],Main[[#All],[TYPE]:[UNIT]],'Unit Price'!D$1,FALSE),0)</f>
        <v>0</v>
      </c>
      <c r="I422" s="194">
        <f>IF(_1_541284561214624104645789101745[[#This Row],[Type]]&gt;0,VLOOKUP(_1_541284561214624104645789101745[[#This Row],[Type]],Main[[#All],[TYPE]:[UNIT]],'Unit Price'!G$1,FALSE),0)</f>
        <v>0</v>
      </c>
      <c r="J422" s="194">
        <f>IF(_1_541284561214624104645789101745[[#This Row],[Type]]&gt;0,VLOOKUP(_1_541284561214624104645789101745[[#This Row],[Type]],Main[[#All],[TYPE]:[UNIT]],'Unit Price'!H$1,FALSE),0)</f>
        <v>0</v>
      </c>
      <c r="K422" s="194">
        <f>IF(_1_541284561214624104645789101745[[#This Row],[Discount selection]]&gt;0,VLOOKUP(_1_541284561214624104645789101745[[#This Row],[Discount selection]],'Discount Structure'!$A$2:$B$30,2,"false"),0)</f>
        <v>1</v>
      </c>
      <c r="L422" s="194">
        <f>_1_541284561214624104645789101745[[#This Row],[LIST $]]*_1_541284561214624104645789101745[[#This Row],[DISCOUNT]]*_1_541284561214624104645789101745[[#This Row],[DISCOUNT 2]]</f>
        <v>0</v>
      </c>
      <c r="M422" s="194">
        <f>IF(OR(_1_541284561214624104645789101745[[#This Row],[UNIT]]&gt;0,_1_541284561214624104645789101745[[#This Row],[UNIT]]&lt;0),_1_541284561214624104645789101745[[#This Row],[UNIT]]*_1_541284561214624104645789101745[[#This Row],[COST]],0)</f>
        <v>0</v>
      </c>
      <c r="N422" s="194">
        <f t="shared" si="6"/>
        <v>1.5</v>
      </c>
      <c r="O422" s="198">
        <f>_1_541284561214624104645789101745[[#This Row],[TOTAL]]*_1_541284561214624104645789101745[[#This Row],[MARGIN]]</f>
        <v>0</v>
      </c>
      <c r="R422" s="41"/>
    </row>
    <row r="423" spans="1:18">
      <c r="D423" s="188"/>
      <c r="F423" s="168" t="s">
        <v>6202</v>
      </c>
      <c r="G423" s="193">
        <f>IF(_1_541284561214624104645789101745[[#This Row],[Type]]&gt;0,VLOOKUP(_1_541284561214624104645789101745[[#This Row],[Type]],Main[[#All],[TYPE]:[UNIT]],'Unit Price'!C$1,FALSE),0)</f>
        <v>0</v>
      </c>
      <c r="H423" s="197">
        <f>IF(_1_541284561214624104645789101745[[#This Row],[Type]]&gt;0,VLOOKUP(_1_541284561214624104645789101745[[#This Row],[Type]],Main[[#All],[TYPE]:[UNIT]],'Unit Price'!D$1,FALSE),0)</f>
        <v>0</v>
      </c>
      <c r="I423" s="194">
        <f>IF(_1_541284561214624104645789101745[[#This Row],[Type]]&gt;0,VLOOKUP(_1_541284561214624104645789101745[[#This Row],[Type]],Main[[#All],[TYPE]:[UNIT]],'Unit Price'!G$1,FALSE),0)</f>
        <v>0</v>
      </c>
      <c r="J423" s="194">
        <f>IF(_1_541284561214624104645789101745[[#This Row],[Type]]&gt;0,VLOOKUP(_1_541284561214624104645789101745[[#This Row],[Type]],Main[[#All],[TYPE]:[UNIT]],'Unit Price'!H$1,FALSE),0)</f>
        <v>0</v>
      </c>
      <c r="K423" s="194">
        <f>IF(_1_541284561214624104645789101745[[#This Row],[Discount selection]]&gt;0,VLOOKUP(_1_541284561214624104645789101745[[#This Row],[Discount selection]],'Discount Structure'!$A$2:$B$30,2,"false"),0)</f>
        <v>1</v>
      </c>
      <c r="L423" s="194">
        <f>_1_541284561214624104645789101745[[#This Row],[LIST $]]*_1_541284561214624104645789101745[[#This Row],[DISCOUNT]]*_1_541284561214624104645789101745[[#This Row],[DISCOUNT 2]]</f>
        <v>0</v>
      </c>
      <c r="M423" s="194">
        <f>IF(OR(_1_541284561214624104645789101745[[#This Row],[UNIT]]&gt;0,_1_541284561214624104645789101745[[#This Row],[UNIT]]&lt;0),_1_541284561214624104645789101745[[#This Row],[UNIT]]*_1_541284561214624104645789101745[[#This Row],[COST]],0)</f>
        <v>0</v>
      </c>
      <c r="N423" s="194">
        <f t="shared" si="6"/>
        <v>1.5</v>
      </c>
      <c r="O423" s="198">
        <f>_1_541284561214624104645789101745[[#This Row],[TOTAL]]*_1_541284561214624104645789101745[[#This Row],[MARGIN]]</f>
        <v>0</v>
      </c>
      <c r="R423" s="41"/>
    </row>
    <row r="424" spans="1:18">
      <c r="A424" s="168"/>
      <c r="D424" s="188"/>
      <c r="F424" s="168" t="s">
        <v>6202</v>
      </c>
      <c r="G424" s="193">
        <f>IF(_1_541284561214624104645789101745[[#This Row],[Type]]&gt;0,VLOOKUP(_1_541284561214624104645789101745[[#This Row],[Type]],Main[[#All],[TYPE]:[UNIT]],'Unit Price'!C$1,FALSE),0)</f>
        <v>0</v>
      </c>
      <c r="H424" s="197">
        <f>IF(_1_541284561214624104645789101745[[#This Row],[Type]]&gt;0,VLOOKUP(_1_541284561214624104645789101745[[#This Row],[Type]],Main[[#All],[TYPE]:[UNIT]],'Unit Price'!D$1,FALSE),0)</f>
        <v>0</v>
      </c>
      <c r="I424" s="194">
        <f>IF(_1_541284561214624104645789101745[[#This Row],[Type]]&gt;0,VLOOKUP(_1_541284561214624104645789101745[[#This Row],[Type]],Main[[#All],[TYPE]:[UNIT]],'Unit Price'!G$1,FALSE),0)</f>
        <v>0</v>
      </c>
      <c r="J424" s="194">
        <f>IF(_1_541284561214624104645789101745[[#This Row],[Type]]&gt;0,VLOOKUP(_1_541284561214624104645789101745[[#This Row],[Type]],Main[[#All],[TYPE]:[UNIT]],'Unit Price'!H$1,FALSE),0)</f>
        <v>0</v>
      </c>
      <c r="K424" s="194">
        <f>IF(_1_541284561214624104645789101745[[#This Row],[Discount selection]]&gt;0,VLOOKUP(_1_541284561214624104645789101745[[#This Row],[Discount selection]],'Discount Structure'!$A$2:$B$30,2,"false"),0)</f>
        <v>1</v>
      </c>
      <c r="L424" s="194">
        <f>_1_541284561214624104645789101745[[#This Row],[LIST $]]*_1_541284561214624104645789101745[[#This Row],[DISCOUNT]]*_1_541284561214624104645789101745[[#This Row],[DISCOUNT 2]]</f>
        <v>0</v>
      </c>
      <c r="M424" s="194">
        <f>IF(OR(_1_541284561214624104645789101745[[#This Row],[UNIT]]&gt;0,_1_541284561214624104645789101745[[#This Row],[UNIT]]&lt;0),_1_541284561214624104645789101745[[#This Row],[UNIT]]*_1_541284561214624104645789101745[[#This Row],[COST]],0)</f>
        <v>0</v>
      </c>
      <c r="N424" s="194">
        <f t="shared" si="6"/>
        <v>1.5</v>
      </c>
      <c r="O424" s="198">
        <f>_1_541284561214624104645789101745[[#This Row],[TOTAL]]*_1_541284561214624104645789101745[[#This Row],[MARGIN]]</f>
        <v>0</v>
      </c>
      <c r="R424" s="41"/>
    </row>
    <row r="425" spans="1:18">
      <c r="D425" s="188"/>
      <c r="F425" s="168" t="s">
        <v>6202</v>
      </c>
      <c r="G425" s="193">
        <f>IF(_1_541284561214624104645789101745[[#This Row],[Type]]&gt;0,VLOOKUP(_1_541284561214624104645789101745[[#This Row],[Type]],Main[[#All],[TYPE]:[UNIT]],'Unit Price'!C$1,FALSE),0)</f>
        <v>0</v>
      </c>
      <c r="H425" s="197">
        <f>IF(_1_541284561214624104645789101745[[#This Row],[Type]]&gt;0,VLOOKUP(_1_541284561214624104645789101745[[#This Row],[Type]],Main[[#All],[TYPE]:[UNIT]],'Unit Price'!D$1,FALSE),0)</f>
        <v>0</v>
      </c>
      <c r="I425" s="194">
        <f>IF(_1_541284561214624104645789101745[[#This Row],[Type]]&gt;0,VLOOKUP(_1_541284561214624104645789101745[[#This Row],[Type]],Main[[#All],[TYPE]:[UNIT]],'Unit Price'!G$1,FALSE),0)</f>
        <v>0</v>
      </c>
      <c r="J425" s="194">
        <f>IF(_1_541284561214624104645789101745[[#This Row],[Type]]&gt;0,VLOOKUP(_1_541284561214624104645789101745[[#This Row],[Type]],Main[[#All],[TYPE]:[UNIT]],'Unit Price'!H$1,FALSE),0)</f>
        <v>0</v>
      </c>
      <c r="K425" s="194">
        <f>IF(_1_541284561214624104645789101745[[#This Row],[Discount selection]]&gt;0,VLOOKUP(_1_541284561214624104645789101745[[#This Row],[Discount selection]],'Discount Structure'!$A$2:$B$30,2,"false"),0)</f>
        <v>1</v>
      </c>
      <c r="L425" s="194">
        <f>_1_541284561214624104645789101745[[#This Row],[LIST $]]*_1_541284561214624104645789101745[[#This Row],[DISCOUNT]]*_1_541284561214624104645789101745[[#This Row],[DISCOUNT 2]]</f>
        <v>0</v>
      </c>
      <c r="M425" s="194">
        <f>IF(OR(_1_541284561214624104645789101745[[#This Row],[UNIT]]&gt;0,_1_541284561214624104645789101745[[#This Row],[UNIT]]&lt;0),_1_541284561214624104645789101745[[#This Row],[UNIT]]*_1_541284561214624104645789101745[[#This Row],[COST]],0)</f>
        <v>0</v>
      </c>
      <c r="N425" s="194">
        <f t="shared" si="6"/>
        <v>1.5</v>
      </c>
      <c r="O425" s="198">
        <f>_1_541284561214624104645789101745[[#This Row],[TOTAL]]*_1_541284561214624104645789101745[[#This Row],[MARGIN]]</f>
        <v>0</v>
      </c>
      <c r="R425" s="41"/>
    </row>
    <row r="426" spans="1:18">
      <c r="D426" s="188"/>
      <c r="F426" s="168" t="s">
        <v>6202</v>
      </c>
      <c r="G426" s="193">
        <f>IF(_1_541284561214624104645789101745[[#This Row],[Type]]&gt;0,VLOOKUP(_1_541284561214624104645789101745[[#This Row],[Type]],Main[[#All],[TYPE]:[UNIT]],'Unit Price'!C$1,FALSE),0)</f>
        <v>0</v>
      </c>
      <c r="H426" s="197">
        <f>IF(_1_541284561214624104645789101745[[#This Row],[Type]]&gt;0,VLOOKUP(_1_541284561214624104645789101745[[#This Row],[Type]],Main[[#All],[TYPE]:[UNIT]],'Unit Price'!D$1,FALSE),0)</f>
        <v>0</v>
      </c>
      <c r="I426" s="194">
        <f>IF(_1_541284561214624104645789101745[[#This Row],[Type]]&gt;0,VLOOKUP(_1_541284561214624104645789101745[[#This Row],[Type]],Main[[#All],[TYPE]:[UNIT]],'Unit Price'!G$1,FALSE),0)</f>
        <v>0</v>
      </c>
      <c r="J426" s="194">
        <f>IF(_1_541284561214624104645789101745[[#This Row],[Type]]&gt;0,VLOOKUP(_1_541284561214624104645789101745[[#This Row],[Type]],Main[[#All],[TYPE]:[UNIT]],'Unit Price'!H$1,FALSE),0)</f>
        <v>0</v>
      </c>
      <c r="K426" s="194">
        <f>IF(_1_541284561214624104645789101745[[#This Row],[Discount selection]]&gt;0,VLOOKUP(_1_541284561214624104645789101745[[#This Row],[Discount selection]],'Discount Structure'!$A$2:$B$30,2,"false"),0)</f>
        <v>1</v>
      </c>
      <c r="L426" s="194">
        <f>_1_541284561214624104645789101745[[#This Row],[LIST $]]*_1_541284561214624104645789101745[[#This Row],[DISCOUNT]]*_1_541284561214624104645789101745[[#This Row],[DISCOUNT 2]]</f>
        <v>0</v>
      </c>
      <c r="M426" s="194">
        <f>IF(OR(_1_541284561214624104645789101745[[#This Row],[UNIT]]&gt;0,_1_541284561214624104645789101745[[#This Row],[UNIT]]&lt;0),_1_541284561214624104645789101745[[#This Row],[UNIT]]*_1_541284561214624104645789101745[[#This Row],[COST]],0)</f>
        <v>0</v>
      </c>
      <c r="N426" s="194">
        <f t="shared" si="6"/>
        <v>1.5</v>
      </c>
      <c r="O426" s="198">
        <f>_1_541284561214624104645789101745[[#This Row],[TOTAL]]*_1_541284561214624104645789101745[[#This Row],[MARGIN]]</f>
        <v>0</v>
      </c>
      <c r="R426" s="41"/>
    </row>
    <row r="427" spans="1:18">
      <c r="D427" s="188"/>
      <c r="F427" s="168" t="s">
        <v>6202</v>
      </c>
      <c r="G427" s="192">
        <f>IF(_1_541284561214624104645789101745[[#This Row],[Type]]&gt;0,VLOOKUP(_1_541284561214624104645789101745[[#This Row],[Type]],Main[[#All],[TYPE]:[UNIT]],'Unit Price'!C$1,FALSE),0)</f>
        <v>0</v>
      </c>
      <c r="H427" s="197">
        <f>IF(_1_541284561214624104645789101745[[#This Row],[Type]]&gt;0,VLOOKUP(_1_541284561214624104645789101745[[#This Row],[Type]],Main[[#All],[TYPE]:[UNIT]],'Unit Price'!D$1,FALSE),0)</f>
        <v>0</v>
      </c>
      <c r="I427" s="194">
        <f>IF(_1_541284561214624104645789101745[[#This Row],[Type]]&gt;0,VLOOKUP(_1_541284561214624104645789101745[[#This Row],[Type]],Main[[#All],[TYPE]:[UNIT]],'Unit Price'!G$1,FALSE),0)</f>
        <v>0</v>
      </c>
      <c r="J427" s="194">
        <f>IF(_1_541284561214624104645789101745[[#This Row],[Type]]&gt;0,VLOOKUP(_1_541284561214624104645789101745[[#This Row],[Type]],Main[[#All],[TYPE]:[UNIT]],'Unit Price'!H$1,FALSE),0)</f>
        <v>0</v>
      </c>
      <c r="K427" s="194">
        <f>IF(_1_541284561214624104645789101745[[#This Row],[Discount selection]]&gt;0,VLOOKUP(_1_541284561214624104645789101745[[#This Row],[Discount selection]],'Discount Structure'!$A$2:$B$30,2,"false"),0)</f>
        <v>1</v>
      </c>
      <c r="L427" s="194">
        <f>_1_541284561214624104645789101745[[#This Row],[LIST $]]*_1_541284561214624104645789101745[[#This Row],[DISCOUNT]]*_1_541284561214624104645789101745[[#This Row],[DISCOUNT 2]]</f>
        <v>0</v>
      </c>
      <c r="M427" s="194">
        <f>IF(OR(_1_541284561214624104645789101745[[#This Row],[UNIT]]&gt;0,_1_541284561214624104645789101745[[#This Row],[UNIT]]&lt;0),_1_541284561214624104645789101745[[#This Row],[UNIT]]*_1_541284561214624104645789101745[[#This Row],[COST]],0)</f>
        <v>0</v>
      </c>
      <c r="N427" s="194">
        <f t="shared" si="6"/>
        <v>1.5</v>
      </c>
      <c r="O427" s="198">
        <f>_1_541284561214624104645789101745[[#This Row],[TOTAL]]*_1_541284561214624104645789101745[[#This Row],[MARGIN]]</f>
        <v>0</v>
      </c>
      <c r="R427" s="41"/>
    </row>
    <row r="428" spans="1:18">
      <c r="D428" s="188"/>
      <c r="F428" s="168" t="s">
        <v>6202</v>
      </c>
      <c r="G428" s="193">
        <f>IF(_1_541284561214624104645789101745[[#This Row],[Type]]&gt;0,VLOOKUP(_1_541284561214624104645789101745[[#This Row],[Type]],Main[[#All],[TYPE]:[UNIT]],'Unit Price'!C$1,FALSE),0)</f>
        <v>0</v>
      </c>
      <c r="H428" s="197">
        <f>IF(_1_541284561214624104645789101745[[#This Row],[Type]]&gt;0,VLOOKUP(_1_541284561214624104645789101745[[#This Row],[Type]],Main[[#All],[TYPE]:[UNIT]],'Unit Price'!D$1,FALSE),0)</f>
        <v>0</v>
      </c>
      <c r="I428" s="194">
        <f>IF(_1_541284561214624104645789101745[[#This Row],[Type]]&gt;0,VLOOKUP(_1_541284561214624104645789101745[[#This Row],[Type]],Main[[#All],[TYPE]:[UNIT]],'Unit Price'!G$1,FALSE),0)</f>
        <v>0</v>
      </c>
      <c r="J428" s="194">
        <f>IF(_1_541284561214624104645789101745[[#This Row],[Type]]&gt;0,VLOOKUP(_1_541284561214624104645789101745[[#This Row],[Type]],Main[[#All],[TYPE]:[UNIT]],'Unit Price'!H$1,FALSE),0)</f>
        <v>0</v>
      </c>
      <c r="K428" s="194">
        <f>IF(_1_541284561214624104645789101745[[#This Row],[Discount selection]]&gt;0,VLOOKUP(_1_541284561214624104645789101745[[#This Row],[Discount selection]],'Discount Structure'!$A$2:$B$30,2,"false"),0)</f>
        <v>1</v>
      </c>
      <c r="L428" s="194">
        <f>_1_541284561214624104645789101745[[#This Row],[LIST $]]*_1_541284561214624104645789101745[[#This Row],[DISCOUNT]]*_1_541284561214624104645789101745[[#This Row],[DISCOUNT 2]]</f>
        <v>0</v>
      </c>
      <c r="M428" s="194">
        <f>IF(OR(_1_541284561214624104645789101745[[#This Row],[UNIT]]&gt;0,_1_541284561214624104645789101745[[#This Row],[UNIT]]&lt;0),_1_541284561214624104645789101745[[#This Row],[UNIT]]*_1_541284561214624104645789101745[[#This Row],[COST]],0)</f>
        <v>0</v>
      </c>
      <c r="N428" s="194">
        <f t="shared" si="6"/>
        <v>1.5</v>
      </c>
      <c r="O428" s="198">
        <f>_1_541284561214624104645789101745[[#This Row],[TOTAL]]*_1_541284561214624104645789101745[[#This Row],[MARGIN]]</f>
        <v>0</v>
      </c>
      <c r="R428" s="41"/>
    </row>
    <row r="429" spans="1:18">
      <c r="D429" s="188"/>
      <c r="F429" s="168" t="s">
        <v>6202</v>
      </c>
      <c r="G429" s="193">
        <f>IF(_1_541284561214624104645789101745[[#This Row],[Type]]&gt;0,VLOOKUP(_1_541284561214624104645789101745[[#This Row],[Type]],Main[[#All],[TYPE]:[UNIT]],'Unit Price'!C$1,FALSE),0)</f>
        <v>0</v>
      </c>
      <c r="H429" s="197">
        <f>IF(_1_541284561214624104645789101745[[#This Row],[Type]]&gt;0,VLOOKUP(_1_541284561214624104645789101745[[#This Row],[Type]],Main[[#All],[TYPE]:[UNIT]],'Unit Price'!D$1,FALSE),0)</f>
        <v>0</v>
      </c>
      <c r="I429" s="194">
        <f>IF(_1_541284561214624104645789101745[[#This Row],[Type]]&gt;0,VLOOKUP(_1_541284561214624104645789101745[[#This Row],[Type]],Main[[#All],[TYPE]:[UNIT]],'Unit Price'!G$1,FALSE),0)</f>
        <v>0</v>
      </c>
      <c r="J429" s="194">
        <f>IF(_1_541284561214624104645789101745[[#This Row],[Type]]&gt;0,VLOOKUP(_1_541284561214624104645789101745[[#This Row],[Type]],Main[[#All],[TYPE]:[UNIT]],'Unit Price'!H$1,FALSE),0)</f>
        <v>0</v>
      </c>
      <c r="K429" s="194">
        <f>IF(_1_541284561214624104645789101745[[#This Row],[Discount selection]]&gt;0,VLOOKUP(_1_541284561214624104645789101745[[#This Row],[Discount selection]],'Discount Structure'!$A$2:$B$30,2,"false"),0)</f>
        <v>1</v>
      </c>
      <c r="L429" s="194">
        <f>_1_541284561214624104645789101745[[#This Row],[LIST $]]*_1_541284561214624104645789101745[[#This Row],[DISCOUNT]]*_1_541284561214624104645789101745[[#This Row],[DISCOUNT 2]]</f>
        <v>0</v>
      </c>
      <c r="M429" s="194">
        <f>IF(OR(_1_541284561214624104645789101745[[#This Row],[UNIT]]&gt;0,_1_541284561214624104645789101745[[#This Row],[UNIT]]&lt;0),_1_541284561214624104645789101745[[#This Row],[UNIT]]*_1_541284561214624104645789101745[[#This Row],[COST]],0)</f>
        <v>0</v>
      </c>
      <c r="N429" s="194">
        <f t="shared" si="6"/>
        <v>1.5</v>
      </c>
      <c r="O429" s="198">
        <f>_1_541284561214624104645789101745[[#This Row],[TOTAL]]*_1_541284561214624104645789101745[[#This Row],[MARGIN]]</f>
        <v>0</v>
      </c>
      <c r="R429" s="41"/>
    </row>
    <row r="430" spans="1:18">
      <c r="D430" s="188"/>
      <c r="F430" s="168" t="s">
        <v>6202</v>
      </c>
      <c r="G430" s="193">
        <f>IF(_1_541284561214624104645789101745[[#This Row],[Type]]&gt;0,VLOOKUP(_1_541284561214624104645789101745[[#This Row],[Type]],Main[[#All],[TYPE]:[UNIT]],'Unit Price'!C$1,FALSE),0)</f>
        <v>0</v>
      </c>
      <c r="H430" s="197">
        <f>IF(_1_541284561214624104645789101745[[#This Row],[Type]]&gt;0,VLOOKUP(_1_541284561214624104645789101745[[#This Row],[Type]],Main[[#All],[TYPE]:[UNIT]],'Unit Price'!D$1,FALSE),0)</f>
        <v>0</v>
      </c>
      <c r="I430" s="194">
        <f>IF(_1_541284561214624104645789101745[[#This Row],[Type]]&gt;0,VLOOKUP(_1_541284561214624104645789101745[[#This Row],[Type]],Main[[#All],[TYPE]:[UNIT]],'Unit Price'!G$1,FALSE),0)</f>
        <v>0</v>
      </c>
      <c r="J430" s="194">
        <f>IF(_1_541284561214624104645789101745[[#This Row],[Type]]&gt;0,VLOOKUP(_1_541284561214624104645789101745[[#This Row],[Type]],Main[[#All],[TYPE]:[UNIT]],'Unit Price'!H$1,FALSE),0)</f>
        <v>0</v>
      </c>
      <c r="K430" s="194">
        <f>IF(_1_541284561214624104645789101745[[#This Row],[Discount selection]]&gt;0,VLOOKUP(_1_541284561214624104645789101745[[#This Row],[Discount selection]],'Discount Structure'!$A$2:$B$30,2,"false"),0)</f>
        <v>1</v>
      </c>
      <c r="L430" s="194">
        <f>_1_541284561214624104645789101745[[#This Row],[LIST $]]*_1_541284561214624104645789101745[[#This Row],[DISCOUNT]]*_1_541284561214624104645789101745[[#This Row],[DISCOUNT 2]]</f>
        <v>0</v>
      </c>
      <c r="M430" s="194">
        <f>IF(OR(_1_541284561214624104645789101745[[#This Row],[UNIT]]&gt;0,_1_541284561214624104645789101745[[#This Row],[UNIT]]&lt;0),_1_541284561214624104645789101745[[#This Row],[UNIT]]*_1_541284561214624104645789101745[[#This Row],[COST]],0)</f>
        <v>0</v>
      </c>
      <c r="N430" s="194">
        <f t="shared" si="6"/>
        <v>1.5</v>
      </c>
      <c r="O430" s="198">
        <f>_1_541284561214624104645789101745[[#This Row],[TOTAL]]*_1_541284561214624104645789101745[[#This Row],[MARGIN]]</f>
        <v>0</v>
      </c>
      <c r="R430" s="41"/>
    </row>
    <row r="431" spans="1:18">
      <c r="D431" s="188"/>
      <c r="F431" s="168" t="s">
        <v>6202</v>
      </c>
      <c r="G431" s="193">
        <f>IF(_1_541284561214624104645789101745[[#This Row],[Type]]&gt;0,VLOOKUP(_1_541284561214624104645789101745[[#This Row],[Type]],Main[[#All],[TYPE]:[UNIT]],'Unit Price'!C$1,FALSE),0)</f>
        <v>0</v>
      </c>
      <c r="H431" s="197">
        <f>IF(_1_541284561214624104645789101745[[#This Row],[Type]]&gt;0,VLOOKUP(_1_541284561214624104645789101745[[#This Row],[Type]],Main[[#All],[TYPE]:[UNIT]],'Unit Price'!D$1,FALSE),0)</f>
        <v>0</v>
      </c>
      <c r="I431" s="194">
        <f>IF(_1_541284561214624104645789101745[[#This Row],[Type]]&gt;0,VLOOKUP(_1_541284561214624104645789101745[[#This Row],[Type]],Main[[#All],[TYPE]:[UNIT]],'Unit Price'!G$1,FALSE),0)</f>
        <v>0</v>
      </c>
      <c r="J431" s="194">
        <f>IF(_1_541284561214624104645789101745[[#This Row],[Type]]&gt;0,VLOOKUP(_1_541284561214624104645789101745[[#This Row],[Type]],Main[[#All],[TYPE]:[UNIT]],'Unit Price'!H$1,FALSE),0)</f>
        <v>0</v>
      </c>
      <c r="K431" s="194">
        <f>IF(_1_541284561214624104645789101745[[#This Row],[Discount selection]]&gt;0,VLOOKUP(_1_541284561214624104645789101745[[#This Row],[Discount selection]],'Discount Structure'!$A$2:$B$30,2,"false"),0)</f>
        <v>1</v>
      </c>
      <c r="L431" s="194">
        <f>_1_541284561214624104645789101745[[#This Row],[LIST $]]*_1_541284561214624104645789101745[[#This Row],[DISCOUNT]]*_1_541284561214624104645789101745[[#This Row],[DISCOUNT 2]]</f>
        <v>0</v>
      </c>
      <c r="M431" s="194">
        <f>IF(OR(_1_541284561214624104645789101745[[#This Row],[UNIT]]&gt;0,_1_541284561214624104645789101745[[#This Row],[UNIT]]&lt;0),_1_541284561214624104645789101745[[#This Row],[UNIT]]*_1_541284561214624104645789101745[[#This Row],[COST]],0)</f>
        <v>0</v>
      </c>
      <c r="N431" s="194">
        <f t="shared" si="6"/>
        <v>1.5</v>
      </c>
      <c r="O431" s="198">
        <f>_1_541284561214624104645789101745[[#This Row],[TOTAL]]*_1_541284561214624104645789101745[[#This Row],[MARGIN]]</f>
        <v>0</v>
      </c>
      <c r="R431" s="41"/>
    </row>
    <row r="432" spans="1:18">
      <c r="D432" s="188"/>
      <c r="F432" s="168" t="s">
        <v>6202</v>
      </c>
      <c r="G432" s="192">
        <f>IF(_1_541284561214624104645789101745[[#This Row],[Type]]&gt;0,VLOOKUP(_1_541284561214624104645789101745[[#This Row],[Type]],Main[[#All],[TYPE]:[UNIT]],'Unit Price'!C$1,FALSE),0)</f>
        <v>0</v>
      </c>
      <c r="H432" s="197">
        <f>IF(_1_541284561214624104645789101745[[#This Row],[Type]]&gt;0,VLOOKUP(_1_541284561214624104645789101745[[#This Row],[Type]],Main[[#All],[TYPE]:[UNIT]],'Unit Price'!D$1,FALSE),0)</f>
        <v>0</v>
      </c>
      <c r="I432" s="194">
        <f>IF(_1_541284561214624104645789101745[[#This Row],[Type]]&gt;0,VLOOKUP(_1_541284561214624104645789101745[[#This Row],[Type]],Main[[#All],[TYPE]:[UNIT]],'Unit Price'!G$1,FALSE),0)</f>
        <v>0</v>
      </c>
      <c r="J432" s="194">
        <f>IF(_1_541284561214624104645789101745[[#This Row],[Type]]&gt;0,VLOOKUP(_1_541284561214624104645789101745[[#This Row],[Type]],Main[[#All],[TYPE]:[UNIT]],'Unit Price'!H$1,FALSE),0)</f>
        <v>0</v>
      </c>
      <c r="K432" s="194">
        <f>IF(_1_541284561214624104645789101745[[#This Row],[Discount selection]]&gt;0,VLOOKUP(_1_541284561214624104645789101745[[#This Row],[Discount selection]],'Discount Structure'!$A$2:$B$30,2,"false"),0)</f>
        <v>1</v>
      </c>
      <c r="L432" s="194">
        <f>_1_541284561214624104645789101745[[#This Row],[LIST $]]*_1_541284561214624104645789101745[[#This Row],[DISCOUNT]]*_1_541284561214624104645789101745[[#This Row],[DISCOUNT 2]]</f>
        <v>0</v>
      </c>
      <c r="M432" s="194">
        <f>IF(OR(_1_541284561214624104645789101745[[#This Row],[UNIT]]&gt;0,_1_541284561214624104645789101745[[#This Row],[UNIT]]&lt;0),_1_541284561214624104645789101745[[#This Row],[UNIT]]*_1_541284561214624104645789101745[[#This Row],[COST]],0)</f>
        <v>0</v>
      </c>
      <c r="N432" s="194">
        <f t="shared" si="6"/>
        <v>1.5</v>
      </c>
      <c r="O432" s="198">
        <f>_1_541284561214624104645789101745[[#This Row],[TOTAL]]*_1_541284561214624104645789101745[[#This Row],[MARGIN]]</f>
        <v>0</v>
      </c>
      <c r="R432" s="41"/>
    </row>
    <row r="433" spans="1:18">
      <c r="D433" s="188"/>
      <c r="F433" s="168" t="s">
        <v>6202</v>
      </c>
      <c r="G433" s="193">
        <f>IF(_1_541284561214624104645789101745[[#This Row],[Type]]&gt;0,VLOOKUP(_1_541284561214624104645789101745[[#This Row],[Type]],Main[[#All],[TYPE]:[UNIT]],'Unit Price'!C$1,FALSE),0)</f>
        <v>0</v>
      </c>
      <c r="H433" s="197">
        <f>IF(_1_541284561214624104645789101745[[#This Row],[Type]]&gt;0,VLOOKUP(_1_541284561214624104645789101745[[#This Row],[Type]],Main[[#All],[TYPE]:[UNIT]],'Unit Price'!D$1,FALSE),0)</f>
        <v>0</v>
      </c>
      <c r="I433" s="194">
        <f>IF(_1_541284561214624104645789101745[[#This Row],[Type]]&gt;0,VLOOKUP(_1_541284561214624104645789101745[[#This Row],[Type]],Main[[#All],[TYPE]:[UNIT]],'Unit Price'!G$1,FALSE),0)</f>
        <v>0</v>
      </c>
      <c r="J433" s="194">
        <f>IF(_1_541284561214624104645789101745[[#This Row],[Type]]&gt;0,VLOOKUP(_1_541284561214624104645789101745[[#This Row],[Type]],Main[[#All],[TYPE]:[UNIT]],'Unit Price'!H$1,FALSE),0)</f>
        <v>0</v>
      </c>
      <c r="K433" s="194">
        <f>IF(_1_541284561214624104645789101745[[#This Row],[Discount selection]]&gt;0,VLOOKUP(_1_541284561214624104645789101745[[#This Row],[Discount selection]],'Discount Structure'!$A$2:$B$30,2,"false"),0)</f>
        <v>1</v>
      </c>
      <c r="L433" s="194">
        <f>_1_541284561214624104645789101745[[#This Row],[LIST $]]*_1_541284561214624104645789101745[[#This Row],[DISCOUNT]]*_1_541284561214624104645789101745[[#This Row],[DISCOUNT 2]]</f>
        <v>0</v>
      </c>
      <c r="M433" s="194">
        <f>IF(OR(_1_541284561214624104645789101745[[#This Row],[UNIT]]&gt;0,_1_541284561214624104645789101745[[#This Row],[UNIT]]&lt;0),_1_541284561214624104645789101745[[#This Row],[UNIT]]*_1_541284561214624104645789101745[[#This Row],[COST]],0)</f>
        <v>0</v>
      </c>
      <c r="N433" s="194">
        <f t="shared" si="6"/>
        <v>1.5</v>
      </c>
      <c r="O433" s="198">
        <f>_1_541284561214624104645789101745[[#This Row],[TOTAL]]*_1_541284561214624104645789101745[[#This Row],[MARGIN]]</f>
        <v>0</v>
      </c>
      <c r="R433" s="41"/>
    </row>
    <row r="434" spans="1:18">
      <c r="D434" s="188"/>
      <c r="F434" s="168" t="s">
        <v>6202</v>
      </c>
      <c r="G434" s="193">
        <f>IF(_1_541284561214624104645789101745[[#This Row],[Type]]&gt;0,VLOOKUP(_1_541284561214624104645789101745[[#This Row],[Type]],Main[[#All],[TYPE]:[UNIT]],'Unit Price'!C$1,FALSE),0)</f>
        <v>0</v>
      </c>
      <c r="H434" s="197">
        <f>IF(_1_541284561214624104645789101745[[#This Row],[Type]]&gt;0,VLOOKUP(_1_541284561214624104645789101745[[#This Row],[Type]],Main[[#All],[TYPE]:[UNIT]],'Unit Price'!D$1,FALSE),0)</f>
        <v>0</v>
      </c>
      <c r="I434" s="194">
        <f>IF(_1_541284561214624104645789101745[[#This Row],[Type]]&gt;0,VLOOKUP(_1_541284561214624104645789101745[[#This Row],[Type]],Main[[#All],[TYPE]:[UNIT]],'Unit Price'!G$1,FALSE),0)</f>
        <v>0</v>
      </c>
      <c r="J434" s="194">
        <f>IF(_1_541284561214624104645789101745[[#This Row],[Type]]&gt;0,VLOOKUP(_1_541284561214624104645789101745[[#This Row],[Type]],Main[[#All],[TYPE]:[UNIT]],'Unit Price'!H$1,FALSE),0)</f>
        <v>0</v>
      </c>
      <c r="K434" s="194">
        <f>IF(_1_541284561214624104645789101745[[#This Row],[Discount selection]]&gt;0,VLOOKUP(_1_541284561214624104645789101745[[#This Row],[Discount selection]],'Discount Structure'!$A$2:$B$30,2,"false"),0)</f>
        <v>1</v>
      </c>
      <c r="L434" s="194">
        <f>_1_541284561214624104645789101745[[#This Row],[LIST $]]*_1_541284561214624104645789101745[[#This Row],[DISCOUNT]]*_1_541284561214624104645789101745[[#This Row],[DISCOUNT 2]]</f>
        <v>0</v>
      </c>
      <c r="M434" s="194">
        <f>IF(OR(_1_541284561214624104645789101745[[#This Row],[UNIT]]&gt;0,_1_541284561214624104645789101745[[#This Row],[UNIT]]&lt;0),_1_541284561214624104645789101745[[#This Row],[UNIT]]*_1_541284561214624104645789101745[[#This Row],[COST]],0)</f>
        <v>0</v>
      </c>
      <c r="N434" s="194">
        <f t="shared" si="6"/>
        <v>1.5</v>
      </c>
      <c r="O434" s="198">
        <f>_1_541284561214624104645789101745[[#This Row],[TOTAL]]*_1_541284561214624104645789101745[[#This Row],[MARGIN]]</f>
        <v>0</v>
      </c>
      <c r="R434" s="41"/>
    </row>
    <row r="435" spans="1:18">
      <c r="D435" s="188"/>
      <c r="F435" s="168" t="s">
        <v>6202</v>
      </c>
      <c r="G435" s="193">
        <f>IF(_1_541284561214624104645789101745[[#This Row],[Type]]&gt;0,VLOOKUP(_1_541284561214624104645789101745[[#This Row],[Type]],Main[[#All],[TYPE]:[UNIT]],'Unit Price'!C$1,FALSE),0)</f>
        <v>0</v>
      </c>
      <c r="H435" s="197">
        <f>IF(_1_541284561214624104645789101745[[#This Row],[Type]]&gt;0,VLOOKUP(_1_541284561214624104645789101745[[#This Row],[Type]],Main[[#All],[TYPE]:[UNIT]],'Unit Price'!D$1,FALSE),0)</f>
        <v>0</v>
      </c>
      <c r="I435" s="194">
        <f>IF(_1_541284561214624104645789101745[[#This Row],[Type]]&gt;0,VLOOKUP(_1_541284561214624104645789101745[[#This Row],[Type]],Main[[#All],[TYPE]:[UNIT]],'Unit Price'!G$1,FALSE),0)</f>
        <v>0</v>
      </c>
      <c r="J435" s="194">
        <f>IF(_1_541284561214624104645789101745[[#This Row],[Type]]&gt;0,VLOOKUP(_1_541284561214624104645789101745[[#This Row],[Type]],Main[[#All],[TYPE]:[UNIT]],'Unit Price'!H$1,FALSE),0)</f>
        <v>0</v>
      </c>
      <c r="K435" s="194">
        <f>IF(_1_541284561214624104645789101745[[#This Row],[Discount selection]]&gt;0,VLOOKUP(_1_541284561214624104645789101745[[#This Row],[Discount selection]],'Discount Structure'!$A$2:$B$30,2,"false"),0)</f>
        <v>1</v>
      </c>
      <c r="L435" s="194">
        <f>_1_541284561214624104645789101745[[#This Row],[LIST $]]*_1_541284561214624104645789101745[[#This Row],[DISCOUNT]]*_1_541284561214624104645789101745[[#This Row],[DISCOUNT 2]]</f>
        <v>0</v>
      </c>
      <c r="M435" s="194">
        <f>IF(OR(_1_541284561214624104645789101745[[#This Row],[UNIT]]&gt;0,_1_541284561214624104645789101745[[#This Row],[UNIT]]&lt;0),_1_541284561214624104645789101745[[#This Row],[UNIT]]*_1_541284561214624104645789101745[[#This Row],[COST]],0)</f>
        <v>0</v>
      </c>
      <c r="N435" s="194">
        <f t="shared" si="6"/>
        <v>1.5</v>
      </c>
      <c r="O435" s="198">
        <f>_1_541284561214624104645789101745[[#This Row],[TOTAL]]*_1_541284561214624104645789101745[[#This Row],[MARGIN]]</f>
        <v>0</v>
      </c>
      <c r="R435" s="41"/>
    </row>
    <row r="436" spans="1:18">
      <c r="A436" s="168"/>
      <c r="D436" s="188"/>
      <c r="F436" s="168" t="s">
        <v>6202</v>
      </c>
      <c r="G436" s="193">
        <f>IF(_1_541284561214624104645789101745[[#This Row],[Type]]&gt;0,VLOOKUP(_1_541284561214624104645789101745[[#This Row],[Type]],Main[[#All],[TYPE]:[UNIT]],'Unit Price'!C$1,FALSE),0)</f>
        <v>0</v>
      </c>
      <c r="H436" s="197">
        <f>IF(_1_541284561214624104645789101745[[#This Row],[Type]]&gt;0,VLOOKUP(_1_541284561214624104645789101745[[#This Row],[Type]],Main[[#All],[TYPE]:[UNIT]],'Unit Price'!D$1,FALSE),0)</f>
        <v>0</v>
      </c>
      <c r="I436" s="194">
        <f>IF(_1_541284561214624104645789101745[[#This Row],[Type]]&gt;0,VLOOKUP(_1_541284561214624104645789101745[[#This Row],[Type]],Main[[#All],[TYPE]:[UNIT]],'Unit Price'!G$1,FALSE),0)</f>
        <v>0</v>
      </c>
      <c r="J436" s="194">
        <f>IF(_1_541284561214624104645789101745[[#This Row],[Type]]&gt;0,VLOOKUP(_1_541284561214624104645789101745[[#This Row],[Type]],Main[[#All],[TYPE]:[UNIT]],'Unit Price'!H$1,FALSE),0)</f>
        <v>0</v>
      </c>
      <c r="K436" s="194">
        <f>IF(_1_541284561214624104645789101745[[#This Row],[Discount selection]]&gt;0,VLOOKUP(_1_541284561214624104645789101745[[#This Row],[Discount selection]],'Discount Structure'!$A$2:$B$30,2,"false"),0)</f>
        <v>1</v>
      </c>
      <c r="L436" s="194">
        <f>_1_541284561214624104645789101745[[#This Row],[LIST $]]*_1_541284561214624104645789101745[[#This Row],[DISCOUNT]]*_1_541284561214624104645789101745[[#This Row],[DISCOUNT 2]]</f>
        <v>0</v>
      </c>
      <c r="M436" s="194">
        <f>IF(OR(_1_541284561214624104645789101745[[#This Row],[UNIT]]&gt;0,_1_541284561214624104645789101745[[#This Row],[UNIT]]&lt;0),_1_541284561214624104645789101745[[#This Row],[UNIT]]*_1_541284561214624104645789101745[[#This Row],[COST]],0)</f>
        <v>0</v>
      </c>
      <c r="N436" s="194">
        <f t="shared" si="6"/>
        <v>1.5</v>
      </c>
      <c r="O436" s="198">
        <f>_1_541284561214624104645789101745[[#This Row],[TOTAL]]*_1_541284561214624104645789101745[[#This Row],[MARGIN]]</f>
        <v>0</v>
      </c>
      <c r="R436" s="41"/>
    </row>
    <row r="437" spans="1:18">
      <c r="B437" s="168"/>
      <c r="D437" s="188"/>
      <c r="F437" s="168" t="s">
        <v>6202</v>
      </c>
      <c r="G437" s="192">
        <f>IF(_1_541284561214624104645789101745[[#This Row],[Type]]&gt;0,VLOOKUP(_1_541284561214624104645789101745[[#This Row],[Type]],Main[[#All],[TYPE]:[UNIT]],'Unit Price'!C$1,FALSE),0)</f>
        <v>0</v>
      </c>
      <c r="H437" s="197">
        <f>IF(_1_541284561214624104645789101745[[#This Row],[Type]]&gt;0,VLOOKUP(_1_541284561214624104645789101745[[#This Row],[Type]],Main[[#All],[TYPE]:[UNIT]],'Unit Price'!D$1,FALSE),0)</f>
        <v>0</v>
      </c>
      <c r="I437" s="194">
        <f>IF(_1_541284561214624104645789101745[[#This Row],[Type]]&gt;0,VLOOKUP(_1_541284561214624104645789101745[[#This Row],[Type]],Main[[#All],[TYPE]:[UNIT]],'Unit Price'!G$1,FALSE),0)</f>
        <v>0</v>
      </c>
      <c r="J437" s="194">
        <f>IF(_1_541284561214624104645789101745[[#This Row],[Type]]&gt;0,VLOOKUP(_1_541284561214624104645789101745[[#This Row],[Type]],Main[[#All],[TYPE]:[UNIT]],'Unit Price'!H$1,FALSE),0)</f>
        <v>0</v>
      </c>
      <c r="K437" s="194">
        <f>IF(_1_541284561214624104645789101745[[#This Row],[Discount selection]]&gt;0,VLOOKUP(_1_541284561214624104645789101745[[#This Row],[Discount selection]],'Discount Structure'!$A$2:$B$30,2,"false"),0)</f>
        <v>1</v>
      </c>
      <c r="L437" s="194">
        <f>_1_541284561214624104645789101745[[#This Row],[LIST $]]*_1_541284561214624104645789101745[[#This Row],[DISCOUNT]]*_1_541284561214624104645789101745[[#This Row],[DISCOUNT 2]]</f>
        <v>0</v>
      </c>
      <c r="M437" s="194">
        <f>IF(OR(_1_541284561214624104645789101745[[#This Row],[UNIT]]&gt;0,_1_541284561214624104645789101745[[#This Row],[UNIT]]&lt;0),_1_541284561214624104645789101745[[#This Row],[UNIT]]*_1_541284561214624104645789101745[[#This Row],[COST]],0)</f>
        <v>0</v>
      </c>
      <c r="N437" s="194">
        <f t="shared" si="6"/>
        <v>1.5</v>
      </c>
      <c r="O437" s="198">
        <f>_1_541284561214624104645789101745[[#This Row],[TOTAL]]*_1_541284561214624104645789101745[[#This Row],[MARGIN]]</f>
        <v>0</v>
      </c>
      <c r="R437" s="41"/>
    </row>
    <row r="438" spans="1:18">
      <c r="D438" s="188"/>
      <c r="F438" s="168" t="s">
        <v>6202</v>
      </c>
      <c r="G438" s="193">
        <f>IF(_1_541284561214624104645789101745[[#This Row],[Type]]&gt;0,VLOOKUP(_1_541284561214624104645789101745[[#This Row],[Type]],Main[[#All],[TYPE]:[UNIT]],'Unit Price'!C$1,FALSE),0)</f>
        <v>0</v>
      </c>
      <c r="H438" s="197">
        <f>IF(_1_541284561214624104645789101745[[#This Row],[Type]]&gt;0,VLOOKUP(_1_541284561214624104645789101745[[#This Row],[Type]],Main[[#All],[TYPE]:[UNIT]],'Unit Price'!D$1,FALSE),0)</f>
        <v>0</v>
      </c>
      <c r="I438" s="194">
        <f>IF(_1_541284561214624104645789101745[[#This Row],[Type]]&gt;0,VLOOKUP(_1_541284561214624104645789101745[[#This Row],[Type]],Main[[#All],[TYPE]:[UNIT]],'Unit Price'!G$1,FALSE),0)</f>
        <v>0</v>
      </c>
      <c r="J438" s="194">
        <f>IF(_1_541284561214624104645789101745[[#This Row],[Type]]&gt;0,VLOOKUP(_1_541284561214624104645789101745[[#This Row],[Type]],Main[[#All],[TYPE]:[UNIT]],'Unit Price'!H$1,FALSE),0)</f>
        <v>0</v>
      </c>
      <c r="K438" s="194">
        <f>IF(_1_541284561214624104645789101745[[#This Row],[Discount selection]]&gt;0,VLOOKUP(_1_541284561214624104645789101745[[#This Row],[Discount selection]],'Discount Structure'!$A$2:$B$30,2,"false"),0)</f>
        <v>1</v>
      </c>
      <c r="L438" s="194">
        <f>_1_541284561214624104645789101745[[#This Row],[LIST $]]*_1_541284561214624104645789101745[[#This Row],[DISCOUNT]]*_1_541284561214624104645789101745[[#This Row],[DISCOUNT 2]]</f>
        <v>0</v>
      </c>
      <c r="M438" s="194">
        <f>IF(OR(_1_541284561214624104645789101745[[#This Row],[UNIT]]&gt;0,_1_541284561214624104645789101745[[#This Row],[UNIT]]&lt;0),_1_541284561214624104645789101745[[#This Row],[UNIT]]*_1_541284561214624104645789101745[[#This Row],[COST]],0)</f>
        <v>0</v>
      </c>
      <c r="N438" s="194">
        <f t="shared" si="6"/>
        <v>1.5</v>
      </c>
      <c r="O438" s="198">
        <f>_1_541284561214624104645789101745[[#This Row],[TOTAL]]*_1_541284561214624104645789101745[[#This Row],[MARGIN]]</f>
        <v>0</v>
      </c>
      <c r="R438" s="41"/>
    </row>
    <row r="439" spans="1:18">
      <c r="D439" s="188"/>
      <c r="F439" s="168" t="s">
        <v>6202</v>
      </c>
      <c r="G439" s="193">
        <f>IF(_1_541284561214624104645789101745[[#This Row],[Type]]&gt;0,VLOOKUP(_1_541284561214624104645789101745[[#This Row],[Type]],Main[[#All],[TYPE]:[UNIT]],'Unit Price'!C$1,FALSE),0)</f>
        <v>0</v>
      </c>
      <c r="H439" s="197">
        <f>IF(_1_541284561214624104645789101745[[#This Row],[Type]]&gt;0,VLOOKUP(_1_541284561214624104645789101745[[#This Row],[Type]],Main[[#All],[TYPE]:[UNIT]],'Unit Price'!D$1,FALSE),0)</f>
        <v>0</v>
      </c>
      <c r="I439" s="194">
        <f>IF(_1_541284561214624104645789101745[[#This Row],[Type]]&gt;0,VLOOKUP(_1_541284561214624104645789101745[[#This Row],[Type]],Main[[#All],[TYPE]:[UNIT]],'Unit Price'!G$1,FALSE),0)</f>
        <v>0</v>
      </c>
      <c r="J439" s="194">
        <f>IF(_1_541284561214624104645789101745[[#This Row],[Type]]&gt;0,VLOOKUP(_1_541284561214624104645789101745[[#This Row],[Type]],Main[[#All],[TYPE]:[UNIT]],'Unit Price'!H$1,FALSE),0)</f>
        <v>0</v>
      </c>
      <c r="K439" s="194">
        <f>IF(_1_541284561214624104645789101745[[#This Row],[Discount selection]]&gt;0,VLOOKUP(_1_541284561214624104645789101745[[#This Row],[Discount selection]],'Discount Structure'!$A$2:$B$30,2,"false"),0)</f>
        <v>1</v>
      </c>
      <c r="L439" s="194">
        <f>_1_541284561214624104645789101745[[#This Row],[LIST $]]*_1_541284561214624104645789101745[[#This Row],[DISCOUNT]]*_1_541284561214624104645789101745[[#This Row],[DISCOUNT 2]]</f>
        <v>0</v>
      </c>
      <c r="M439" s="194">
        <f>IF(OR(_1_541284561214624104645789101745[[#This Row],[UNIT]]&gt;0,_1_541284561214624104645789101745[[#This Row],[UNIT]]&lt;0),_1_541284561214624104645789101745[[#This Row],[UNIT]]*_1_541284561214624104645789101745[[#This Row],[COST]],0)</f>
        <v>0</v>
      </c>
      <c r="N439" s="194">
        <f t="shared" si="6"/>
        <v>1.5</v>
      </c>
      <c r="O439" s="198">
        <f>_1_541284561214624104645789101745[[#This Row],[TOTAL]]*_1_541284561214624104645789101745[[#This Row],[MARGIN]]</f>
        <v>0</v>
      </c>
      <c r="R439" s="41"/>
    </row>
    <row r="440" spans="1:18">
      <c r="A440" s="168"/>
      <c r="D440" s="188"/>
      <c r="F440" s="168" t="s">
        <v>6202</v>
      </c>
      <c r="G440" s="193">
        <f>IF(_1_541284561214624104645789101745[[#This Row],[Type]]&gt;0,VLOOKUP(_1_541284561214624104645789101745[[#This Row],[Type]],Main[[#All],[TYPE]:[UNIT]],'Unit Price'!C$1,FALSE),0)</f>
        <v>0</v>
      </c>
      <c r="H440" s="197">
        <f>IF(_1_541284561214624104645789101745[[#This Row],[Type]]&gt;0,VLOOKUP(_1_541284561214624104645789101745[[#This Row],[Type]],Main[[#All],[TYPE]:[UNIT]],'Unit Price'!D$1,FALSE),0)</f>
        <v>0</v>
      </c>
      <c r="I440" s="194">
        <f>IF(_1_541284561214624104645789101745[[#This Row],[Type]]&gt;0,VLOOKUP(_1_541284561214624104645789101745[[#This Row],[Type]],Main[[#All],[TYPE]:[UNIT]],'Unit Price'!G$1,FALSE),0)</f>
        <v>0</v>
      </c>
      <c r="J440" s="194">
        <f>IF(_1_541284561214624104645789101745[[#This Row],[Type]]&gt;0,VLOOKUP(_1_541284561214624104645789101745[[#This Row],[Type]],Main[[#All],[TYPE]:[UNIT]],'Unit Price'!H$1,FALSE),0)</f>
        <v>0</v>
      </c>
      <c r="K440" s="194">
        <f>IF(_1_541284561214624104645789101745[[#This Row],[Discount selection]]&gt;0,VLOOKUP(_1_541284561214624104645789101745[[#This Row],[Discount selection]],'Discount Structure'!$A$2:$B$30,2,"false"),0)</f>
        <v>1</v>
      </c>
      <c r="L440" s="194">
        <f>_1_541284561214624104645789101745[[#This Row],[LIST $]]*_1_541284561214624104645789101745[[#This Row],[DISCOUNT]]*_1_541284561214624104645789101745[[#This Row],[DISCOUNT 2]]</f>
        <v>0</v>
      </c>
      <c r="M440" s="194">
        <f>IF(OR(_1_541284561214624104645789101745[[#This Row],[UNIT]]&gt;0,_1_541284561214624104645789101745[[#This Row],[UNIT]]&lt;0),_1_541284561214624104645789101745[[#This Row],[UNIT]]*_1_541284561214624104645789101745[[#This Row],[COST]],0)</f>
        <v>0</v>
      </c>
      <c r="N440" s="194">
        <f t="shared" si="6"/>
        <v>1.5</v>
      </c>
      <c r="O440" s="198">
        <f>_1_541284561214624104645789101745[[#This Row],[TOTAL]]*_1_541284561214624104645789101745[[#This Row],[MARGIN]]</f>
        <v>0</v>
      </c>
      <c r="R440" s="41"/>
    </row>
    <row r="441" spans="1:18">
      <c r="D441" s="188"/>
      <c r="F441" s="168" t="s">
        <v>6202</v>
      </c>
      <c r="G441" s="193">
        <f>IF(_1_541284561214624104645789101745[[#This Row],[Type]]&gt;0,VLOOKUP(_1_541284561214624104645789101745[[#This Row],[Type]],Main[[#All],[TYPE]:[UNIT]],'Unit Price'!C$1,FALSE),0)</f>
        <v>0</v>
      </c>
      <c r="H441" s="197">
        <f>IF(_1_541284561214624104645789101745[[#This Row],[Type]]&gt;0,VLOOKUP(_1_541284561214624104645789101745[[#This Row],[Type]],Main[[#All],[TYPE]:[UNIT]],'Unit Price'!D$1,FALSE),0)</f>
        <v>0</v>
      </c>
      <c r="I441" s="194">
        <f>IF(_1_541284561214624104645789101745[[#This Row],[Type]]&gt;0,VLOOKUP(_1_541284561214624104645789101745[[#This Row],[Type]],Main[[#All],[TYPE]:[UNIT]],'Unit Price'!G$1,FALSE),0)</f>
        <v>0</v>
      </c>
      <c r="J441" s="194">
        <f>IF(_1_541284561214624104645789101745[[#This Row],[Type]]&gt;0,VLOOKUP(_1_541284561214624104645789101745[[#This Row],[Type]],Main[[#All],[TYPE]:[UNIT]],'Unit Price'!H$1,FALSE),0)</f>
        <v>0</v>
      </c>
      <c r="K441" s="194">
        <f>IF(_1_541284561214624104645789101745[[#This Row],[Discount selection]]&gt;0,VLOOKUP(_1_541284561214624104645789101745[[#This Row],[Discount selection]],'Discount Structure'!$A$2:$B$30,2,"false"),0)</f>
        <v>1</v>
      </c>
      <c r="L441" s="194">
        <f>_1_541284561214624104645789101745[[#This Row],[LIST $]]*_1_541284561214624104645789101745[[#This Row],[DISCOUNT]]*_1_541284561214624104645789101745[[#This Row],[DISCOUNT 2]]</f>
        <v>0</v>
      </c>
      <c r="M441" s="194">
        <f>IF(OR(_1_541284561214624104645789101745[[#This Row],[UNIT]]&gt;0,_1_541284561214624104645789101745[[#This Row],[UNIT]]&lt;0),_1_541284561214624104645789101745[[#This Row],[UNIT]]*_1_541284561214624104645789101745[[#This Row],[COST]],0)</f>
        <v>0</v>
      </c>
      <c r="N441" s="194">
        <f t="shared" si="6"/>
        <v>1.5</v>
      </c>
      <c r="O441" s="198">
        <f>_1_541284561214624104645789101745[[#This Row],[TOTAL]]*_1_541284561214624104645789101745[[#This Row],[MARGIN]]</f>
        <v>0</v>
      </c>
      <c r="R441" s="41"/>
    </row>
    <row r="442" spans="1:18">
      <c r="D442" s="188"/>
      <c r="F442" s="168" t="s">
        <v>6202</v>
      </c>
      <c r="G442" s="192">
        <f>IF(_1_541284561214624104645789101745[[#This Row],[Type]]&gt;0,VLOOKUP(_1_541284561214624104645789101745[[#This Row],[Type]],Main[[#All],[TYPE]:[UNIT]],'Unit Price'!C$1,FALSE),0)</f>
        <v>0</v>
      </c>
      <c r="H442" s="197">
        <f>IF(_1_541284561214624104645789101745[[#This Row],[Type]]&gt;0,VLOOKUP(_1_541284561214624104645789101745[[#This Row],[Type]],Main[[#All],[TYPE]:[UNIT]],'Unit Price'!D$1,FALSE),0)</f>
        <v>0</v>
      </c>
      <c r="I442" s="194">
        <f>IF(_1_541284561214624104645789101745[[#This Row],[Type]]&gt;0,VLOOKUP(_1_541284561214624104645789101745[[#This Row],[Type]],Main[[#All],[TYPE]:[UNIT]],'Unit Price'!G$1,FALSE),0)</f>
        <v>0</v>
      </c>
      <c r="J442" s="194">
        <f>IF(_1_541284561214624104645789101745[[#This Row],[Type]]&gt;0,VLOOKUP(_1_541284561214624104645789101745[[#This Row],[Type]],Main[[#All],[TYPE]:[UNIT]],'Unit Price'!H$1,FALSE),0)</f>
        <v>0</v>
      </c>
      <c r="K442" s="194">
        <f>IF(_1_541284561214624104645789101745[[#This Row],[Discount selection]]&gt;0,VLOOKUP(_1_541284561214624104645789101745[[#This Row],[Discount selection]],'Discount Structure'!$A$2:$B$30,2,"false"),0)</f>
        <v>1</v>
      </c>
      <c r="L442" s="194">
        <f>_1_541284561214624104645789101745[[#This Row],[LIST $]]*_1_541284561214624104645789101745[[#This Row],[DISCOUNT]]*_1_541284561214624104645789101745[[#This Row],[DISCOUNT 2]]</f>
        <v>0</v>
      </c>
      <c r="M442" s="194">
        <f>IF(OR(_1_541284561214624104645789101745[[#This Row],[UNIT]]&gt;0,_1_541284561214624104645789101745[[#This Row],[UNIT]]&lt;0),_1_541284561214624104645789101745[[#This Row],[UNIT]]*_1_541284561214624104645789101745[[#This Row],[COST]],0)</f>
        <v>0</v>
      </c>
      <c r="N442" s="194">
        <f t="shared" si="6"/>
        <v>1.5</v>
      </c>
      <c r="O442" s="198">
        <f>_1_541284561214624104645789101745[[#This Row],[TOTAL]]*_1_541284561214624104645789101745[[#This Row],[MARGIN]]</f>
        <v>0</v>
      </c>
      <c r="R442" s="41"/>
    </row>
    <row r="443" spans="1:18">
      <c r="D443" s="188"/>
      <c r="F443" s="168" t="s">
        <v>6202</v>
      </c>
      <c r="G443" s="193">
        <f>IF(_1_541284561214624104645789101745[[#This Row],[Type]]&gt;0,VLOOKUP(_1_541284561214624104645789101745[[#This Row],[Type]],Main[[#All],[TYPE]:[UNIT]],'Unit Price'!C$1,FALSE),0)</f>
        <v>0</v>
      </c>
      <c r="H443" s="197">
        <f>IF(_1_541284561214624104645789101745[[#This Row],[Type]]&gt;0,VLOOKUP(_1_541284561214624104645789101745[[#This Row],[Type]],Main[[#All],[TYPE]:[UNIT]],'Unit Price'!D$1,FALSE),0)</f>
        <v>0</v>
      </c>
      <c r="I443" s="194">
        <f>IF(_1_541284561214624104645789101745[[#This Row],[Type]]&gt;0,VLOOKUP(_1_541284561214624104645789101745[[#This Row],[Type]],Main[[#All],[TYPE]:[UNIT]],'Unit Price'!G$1,FALSE),0)</f>
        <v>0</v>
      </c>
      <c r="J443" s="194">
        <f>IF(_1_541284561214624104645789101745[[#This Row],[Type]]&gt;0,VLOOKUP(_1_541284561214624104645789101745[[#This Row],[Type]],Main[[#All],[TYPE]:[UNIT]],'Unit Price'!H$1,FALSE),0)</f>
        <v>0</v>
      </c>
      <c r="K443" s="194">
        <f>IF(_1_541284561214624104645789101745[[#This Row],[Discount selection]]&gt;0,VLOOKUP(_1_541284561214624104645789101745[[#This Row],[Discount selection]],'Discount Structure'!$A$2:$B$30,2,"false"),0)</f>
        <v>1</v>
      </c>
      <c r="L443" s="194">
        <f>_1_541284561214624104645789101745[[#This Row],[LIST $]]*_1_541284561214624104645789101745[[#This Row],[DISCOUNT]]*_1_541284561214624104645789101745[[#This Row],[DISCOUNT 2]]</f>
        <v>0</v>
      </c>
      <c r="M443" s="194">
        <f>IF(OR(_1_541284561214624104645789101745[[#This Row],[UNIT]]&gt;0,_1_541284561214624104645789101745[[#This Row],[UNIT]]&lt;0),_1_541284561214624104645789101745[[#This Row],[UNIT]]*_1_541284561214624104645789101745[[#This Row],[COST]],0)</f>
        <v>0</v>
      </c>
      <c r="N443" s="194">
        <f t="shared" si="6"/>
        <v>1.5</v>
      </c>
      <c r="O443" s="198">
        <f>_1_541284561214624104645789101745[[#This Row],[TOTAL]]*_1_541284561214624104645789101745[[#This Row],[MARGIN]]</f>
        <v>0</v>
      </c>
      <c r="R443" s="41"/>
    </row>
    <row r="444" spans="1:18">
      <c r="D444" s="188"/>
      <c r="F444" s="168" t="s">
        <v>6202</v>
      </c>
      <c r="G444" s="193">
        <f>IF(_1_541284561214624104645789101745[[#This Row],[Type]]&gt;0,VLOOKUP(_1_541284561214624104645789101745[[#This Row],[Type]],Main[[#All],[TYPE]:[UNIT]],'Unit Price'!C$1,FALSE),0)</f>
        <v>0</v>
      </c>
      <c r="H444" s="197">
        <f>IF(_1_541284561214624104645789101745[[#This Row],[Type]]&gt;0,VLOOKUP(_1_541284561214624104645789101745[[#This Row],[Type]],Main[[#All],[TYPE]:[UNIT]],'Unit Price'!D$1,FALSE),0)</f>
        <v>0</v>
      </c>
      <c r="I444" s="194">
        <f>IF(_1_541284561214624104645789101745[[#This Row],[Type]]&gt;0,VLOOKUP(_1_541284561214624104645789101745[[#This Row],[Type]],Main[[#All],[TYPE]:[UNIT]],'Unit Price'!G$1,FALSE),0)</f>
        <v>0</v>
      </c>
      <c r="J444" s="194">
        <f>IF(_1_541284561214624104645789101745[[#This Row],[Type]]&gt;0,VLOOKUP(_1_541284561214624104645789101745[[#This Row],[Type]],Main[[#All],[TYPE]:[UNIT]],'Unit Price'!H$1,FALSE),0)</f>
        <v>0</v>
      </c>
      <c r="K444" s="194">
        <f>IF(_1_541284561214624104645789101745[[#This Row],[Discount selection]]&gt;0,VLOOKUP(_1_541284561214624104645789101745[[#This Row],[Discount selection]],'Discount Structure'!$A$2:$B$30,2,"false"),0)</f>
        <v>1</v>
      </c>
      <c r="L444" s="194">
        <f>_1_541284561214624104645789101745[[#This Row],[LIST $]]*_1_541284561214624104645789101745[[#This Row],[DISCOUNT]]*_1_541284561214624104645789101745[[#This Row],[DISCOUNT 2]]</f>
        <v>0</v>
      </c>
      <c r="M444" s="194">
        <f>IF(OR(_1_541284561214624104645789101745[[#This Row],[UNIT]]&gt;0,_1_541284561214624104645789101745[[#This Row],[UNIT]]&lt;0),_1_541284561214624104645789101745[[#This Row],[UNIT]]*_1_541284561214624104645789101745[[#This Row],[COST]],0)</f>
        <v>0</v>
      </c>
      <c r="N444" s="194">
        <f t="shared" si="6"/>
        <v>1.5</v>
      </c>
      <c r="O444" s="198">
        <f>_1_541284561214624104645789101745[[#This Row],[TOTAL]]*_1_541284561214624104645789101745[[#This Row],[MARGIN]]</f>
        <v>0</v>
      </c>
      <c r="R444" s="41"/>
    </row>
    <row r="445" spans="1:18">
      <c r="D445" s="188"/>
      <c r="F445" s="168" t="s">
        <v>6202</v>
      </c>
      <c r="G445" s="193">
        <f>IF(_1_541284561214624104645789101745[[#This Row],[Type]]&gt;0,VLOOKUP(_1_541284561214624104645789101745[[#This Row],[Type]],Main[[#All],[TYPE]:[UNIT]],'Unit Price'!C$1,FALSE),0)</f>
        <v>0</v>
      </c>
      <c r="H445" s="197">
        <f>IF(_1_541284561214624104645789101745[[#This Row],[Type]]&gt;0,VLOOKUP(_1_541284561214624104645789101745[[#This Row],[Type]],Main[[#All],[TYPE]:[UNIT]],'Unit Price'!D$1,FALSE),0)</f>
        <v>0</v>
      </c>
      <c r="I445" s="194">
        <f>IF(_1_541284561214624104645789101745[[#This Row],[Type]]&gt;0,VLOOKUP(_1_541284561214624104645789101745[[#This Row],[Type]],Main[[#All],[TYPE]:[UNIT]],'Unit Price'!G$1,FALSE),0)</f>
        <v>0</v>
      </c>
      <c r="J445" s="194">
        <f>IF(_1_541284561214624104645789101745[[#This Row],[Type]]&gt;0,VLOOKUP(_1_541284561214624104645789101745[[#This Row],[Type]],Main[[#All],[TYPE]:[UNIT]],'Unit Price'!H$1,FALSE),0)</f>
        <v>0</v>
      </c>
      <c r="K445" s="194">
        <f>IF(_1_541284561214624104645789101745[[#This Row],[Discount selection]]&gt;0,VLOOKUP(_1_541284561214624104645789101745[[#This Row],[Discount selection]],'Discount Structure'!$A$2:$B$30,2,"false"),0)</f>
        <v>1</v>
      </c>
      <c r="L445" s="194">
        <f>_1_541284561214624104645789101745[[#This Row],[LIST $]]*_1_541284561214624104645789101745[[#This Row],[DISCOUNT]]*_1_541284561214624104645789101745[[#This Row],[DISCOUNT 2]]</f>
        <v>0</v>
      </c>
      <c r="M445" s="194">
        <f>IF(OR(_1_541284561214624104645789101745[[#This Row],[UNIT]]&gt;0,_1_541284561214624104645789101745[[#This Row],[UNIT]]&lt;0),_1_541284561214624104645789101745[[#This Row],[UNIT]]*_1_541284561214624104645789101745[[#This Row],[COST]],0)</f>
        <v>0</v>
      </c>
      <c r="N445" s="194">
        <f t="shared" si="6"/>
        <v>1.5</v>
      </c>
      <c r="O445" s="198">
        <f>_1_541284561214624104645789101745[[#This Row],[TOTAL]]*_1_541284561214624104645789101745[[#This Row],[MARGIN]]</f>
        <v>0</v>
      </c>
      <c r="R445" s="41"/>
    </row>
    <row r="446" spans="1:18">
      <c r="D446" s="188"/>
      <c r="F446" s="168" t="s">
        <v>6202</v>
      </c>
      <c r="G446" s="193">
        <f>IF(_1_541284561214624104645789101745[[#This Row],[Type]]&gt;0,VLOOKUP(_1_541284561214624104645789101745[[#This Row],[Type]],Main[[#All],[TYPE]:[UNIT]],'Unit Price'!C$1,FALSE),0)</f>
        <v>0</v>
      </c>
      <c r="H446" s="197">
        <f>IF(_1_541284561214624104645789101745[[#This Row],[Type]]&gt;0,VLOOKUP(_1_541284561214624104645789101745[[#This Row],[Type]],Main[[#All],[TYPE]:[UNIT]],'Unit Price'!D$1,FALSE),0)</f>
        <v>0</v>
      </c>
      <c r="I446" s="194">
        <f>IF(_1_541284561214624104645789101745[[#This Row],[Type]]&gt;0,VLOOKUP(_1_541284561214624104645789101745[[#This Row],[Type]],Main[[#All],[TYPE]:[UNIT]],'Unit Price'!G$1,FALSE),0)</f>
        <v>0</v>
      </c>
      <c r="J446" s="194">
        <f>IF(_1_541284561214624104645789101745[[#This Row],[Type]]&gt;0,VLOOKUP(_1_541284561214624104645789101745[[#This Row],[Type]],Main[[#All],[TYPE]:[UNIT]],'Unit Price'!H$1,FALSE),0)</f>
        <v>0</v>
      </c>
      <c r="K446" s="194">
        <f>IF(_1_541284561214624104645789101745[[#This Row],[Discount selection]]&gt;0,VLOOKUP(_1_541284561214624104645789101745[[#This Row],[Discount selection]],'Discount Structure'!$A$2:$B$30,2,"false"),0)</f>
        <v>1</v>
      </c>
      <c r="L446" s="194">
        <f>_1_541284561214624104645789101745[[#This Row],[LIST $]]*_1_541284561214624104645789101745[[#This Row],[DISCOUNT]]*_1_541284561214624104645789101745[[#This Row],[DISCOUNT 2]]</f>
        <v>0</v>
      </c>
      <c r="M446" s="194">
        <f>IF(OR(_1_541284561214624104645789101745[[#This Row],[UNIT]]&gt;0,_1_541284561214624104645789101745[[#This Row],[UNIT]]&lt;0),_1_541284561214624104645789101745[[#This Row],[UNIT]]*_1_541284561214624104645789101745[[#This Row],[COST]],0)</f>
        <v>0</v>
      </c>
      <c r="N446" s="194">
        <f t="shared" si="6"/>
        <v>1.5</v>
      </c>
      <c r="O446" s="198">
        <f>_1_541284561214624104645789101745[[#This Row],[TOTAL]]*_1_541284561214624104645789101745[[#This Row],[MARGIN]]</f>
        <v>0</v>
      </c>
      <c r="R446" s="41"/>
    </row>
    <row r="447" spans="1:18">
      <c r="B447" s="168"/>
      <c r="D447" s="188"/>
      <c r="F447" s="168" t="s">
        <v>6202</v>
      </c>
      <c r="G447" s="192">
        <f>IF(_1_541284561214624104645789101745[[#This Row],[Type]]&gt;0,VLOOKUP(_1_541284561214624104645789101745[[#This Row],[Type]],Main[[#All],[TYPE]:[UNIT]],'Unit Price'!C$1,FALSE),0)</f>
        <v>0</v>
      </c>
      <c r="H447" s="197">
        <f>IF(_1_541284561214624104645789101745[[#This Row],[Type]]&gt;0,VLOOKUP(_1_541284561214624104645789101745[[#This Row],[Type]],Main[[#All],[TYPE]:[UNIT]],'Unit Price'!D$1,FALSE),0)</f>
        <v>0</v>
      </c>
      <c r="I447" s="194">
        <f>IF(_1_541284561214624104645789101745[[#This Row],[Type]]&gt;0,VLOOKUP(_1_541284561214624104645789101745[[#This Row],[Type]],Main[[#All],[TYPE]:[UNIT]],'Unit Price'!G$1,FALSE),0)</f>
        <v>0</v>
      </c>
      <c r="J447" s="194">
        <f>IF(_1_541284561214624104645789101745[[#This Row],[Type]]&gt;0,VLOOKUP(_1_541284561214624104645789101745[[#This Row],[Type]],Main[[#All],[TYPE]:[UNIT]],'Unit Price'!H$1,FALSE),0)</f>
        <v>0</v>
      </c>
      <c r="K447" s="194">
        <f>IF(_1_541284561214624104645789101745[[#This Row],[Discount selection]]&gt;0,VLOOKUP(_1_541284561214624104645789101745[[#This Row],[Discount selection]],'Discount Structure'!$A$2:$B$30,2,"false"),0)</f>
        <v>1</v>
      </c>
      <c r="L447" s="194">
        <f>_1_541284561214624104645789101745[[#This Row],[LIST $]]*_1_541284561214624104645789101745[[#This Row],[DISCOUNT]]*_1_541284561214624104645789101745[[#This Row],[DISCOUNT 2]]</f>
        <v>0</v>
      </c>
      <c r="M447" s="194">
        <f>IF(OR(_1_541284561214624104645789101745[[#This Row],[UNIT]]&gt;0,_1_541284561214624104645789101745[[#This Row],[UNIT]]&lt;0),_1_541284561214624104645789101745[[#This Row],[UNIT]]*_1_541284561214624104645789101745[[#This Row],[COST]],0)</f>
        <v>0</v>
      </c>
      <c r="N447" s="194">
        <f t="shared" si="6"/>
        <v>1.5</v>
      </c>
      <c r="O447" s="198">
        <f>_1_541284561214624104645789101745[[#This Row],[TOTAL]]*_1_541284561214624104645789101745[[#This Row],[MARGIN]]</f>
        <v>0</v>
      </c>
      <c r="R447" s="41"/>
    </row>
    <row r="448" spans="1:18">
      <c r="D448" s="188"/>
      <c r="F448" s="168" t="s">
        <v>6202</v>
      </c>
      <c r="G448" s="193">
        <f>IF(_1_541284561214624104645789101745[[#This Row],[Type]]&gt;0,VLOOKUP(_1_541284561214624104645789101745[[#This Row],[Type]],Main[[#All],[TYPE]:[UNIT]],'Unit Price'!C$1,FALSE),0)</f>
        <v>0</v>
      </c>
      <c r="H448" s="197">
        <f>IF(_1_541284561214624104645789101745[[#This Row],[Type]]&gt;0,VLOOKUP(_1_541284561214624104645789101745[[#This Row],[Type]],Main[[#All],[TYPE]:[UNIT]],'Unit Price'!D$1,FALSE),0)</f>
        <v>0</v>
      </c>
      <c r="I448" s="194">
        <f>IF(_1_541284561214624104645789101745[[#This Row],[Type]]&gt;0,VLOOKUP(_1_541284561214624104645789101745[[#This Row],[Type]],Main[[#All],[TYPE]:[UNIT]],'Unit Price'!G$1,FALSE),0)</f>
        <v>0</v>
      </c>
      <c r="J448" s="194">
        <f>IF(_1_541284561214624104645789101745[[#This Row],[Type]]&gt;0,VLOOKUP(_1_541284561214624104645789101745[[#This Row],[Type]],Main[[#All],[TYPE]:[UNIT]],'Unit Price'!H$1,FALSE),0)</f>
        <v>0</v>
      </c>
      <c r="K448" s="194">
        <f>IF(_1_541284561214624104645789101745[[#This Row],[Discount selection]]&gt;0,VLOOKUP(_1_541284561214624104645789101745[[#This Row],[Discount selection]],'Discount Structure'!$A$2:$B$30,2,"false"),0)</f>
        <v>1</v>
      </c>
      <c r="L448" s="194">
        <f>_1_541284561214624104645789101745[[#This Row],[LIST $]]*_1_541284561214624104645789101745[[#This Row],[DISCOUNT]]*_1_541284561214624104645789101745[[#This Row],[DISCOUNT 2]]</f>
        <v>0</v>
      </c>
      <c r="M448" s="194">
        <f>IF(OR(_1_541284561214624104645789101745[[#This Row],[UNIT]]&gt;0,_1_541284561214624104645789101745[[#This Row],[UNIT]]&lt;0),_1_541284561214624104645789101745[[#This Row],[UNIT]]*_1_541284561214624104645789101745[[#This Row],[COST]],0)</f>
        <v>0</v>
      </c>
      <c r="N448" s="194">
        <f t="shared" si="6"/>
        <v>1.5</v>
      </c>
      <c r="O448" s="198">
        <f>_1_541284561214624104645789101745[[#This Row],[TOTAL]]*_1_541284561214624104645789101745[[#This Row],[MARGIN]]</f>
        <v>0</v>
      </c>
      <c r="R448" s="41"/>
    </row>
    <row r="449" spans="1:18">
      <c r="B449" s="168"/>
      <c r="D449" s="188"/>
      <c r="F449" s="168" t="s">
        <v>6202</v>
      </c>
      <c r="G449" s="193">
        <f>IF(_1_541284561214624104645789101745[[#This Row],[Type]]&gt;0,VLOOKUP(_1_541284561214624104645789101745[[#This Row],[Type]],Main[[#All],[TYPE]:[UNIT]],'Unit Price'!C$1,FALSE),0)</f>
        <v>0</v>
      </c>
      <c r="H449" s="197">
        <f>IF(_1_541284561214624104645789101745[[#This Row],[Type]]&gt;0,VLOOKUP(_1_541284561214624104645789101745[[#This Row],[Type]],Main[[#All],[TYPE]:[UNIT]],'Unit Price'!D$1,FALSE),0)</f>
        <v>0</v>
      </c>
      <c r="I449" s="194">
        <f>IF(_1_541284561214624104645789101745[[#This Row],[Type]]&gt;0,VLOOKUP(_1_541284561214624104645789101745[[#This Row],[Type]],Main[[#All],[TYPE]:[UNIT]],'Unit Price'!G$1,FALSE),0)</f>
        <v>0</v>
      </c>
      <c r="J449" s="194">
        <f>IF(_1_541284561214624104645789101745[[#This Row],[Type]]&gt;0,VLOOKUP(_1_541284561214624104645789101745[[#This Row],[Type]],Main[[#All],[TYPE]:[UNIT]],'Unit Price'!H$1,FALSE),0)</f>
        <v>0</v>
      </c>
      <c r="K449" s="194">
        <f>IF(_1_541284561214624104645789101745[[#This Row],[Discount selection]]&gt;0,VLOOKUP(_1_541284561214624104645789101745[[#This Row],[Discount selection]],'Discount Structure'!$A$2:$B$30,2,"false"),0)</f>
        <v>1</v>
      </c>
      <c r="L449" s="194">
        <f>_1_541284561214624104645789101745[[#This Row],[LIST $]]*_1_541284561214624104645789101745[[#This Row],[DISCOUNT]]*_1_541284561214624104645789101745[[#This Row],[DISCOUNT 2]]</f>
        <v>0</v>
      </c>
      <c r="M449" s="194">
        <f>IF(OR(_1_541284561214624104645789101745[[#This Row],[UNIT]]&gt;0,_1_541284561214624104645789101745[[#This Row],[UNIT]]&lt;0),_1_541284561214624104645789101745[[#This Row],[UNIT]]*_1_541284561214624104645789101745[[#This Row],[COST]],0)</f>
        <v>0</v>
      </c>
      <c r="N449" s="194">
        <f t="shared" si="6"/>
        <v>1.5</v>
      </c>
      <c r="O449" s="198">
        <f>_1_541284561214624104645789101745[[#This Row],[TOTAL]]*_1_541284561214624104645789101745[[#This Row],[MARGIN]]</f>
        <v>0</v>
      </c>
      <c r="R449" s="41"/>
    </row>
    <row r="450" spans="1:18">
      <c r="D450" s="188"/>
      <c r="F450" s="168" t="s">
        <v>6202</v>
      </c>
      <c r="G450" s="193">
        <f>IF(_1_541284561214624104645789101745[[#This Row],[Type]]&gt;0,VLOOKUP(_1_541284561214624104645789101745[[#This Row],[Type]],Main[[#All],[TYPE]:[UNIT]],'Unit Price'!C$1,FALSE),0)</f>
        <v>0</v>
      </c>
      <c r="H450" s="197">
        <f>IF(_1_541284561214624104645789101745[[#This Row],[Type]]&gt;0,VLOOKUP(_1_541284561214624104645789101745[[#This Row],[Type]],Main[[#All],[TYPE]:[UNIT]],'Unit Price'!D$1,FALSE),0)</f>
        <v>0</v>
      </c>
      <c r="I450" s="194">
        <f>IF(_1_541284561214624104645789101745[[#This Row],[Type]]&gt;0,VLOOKUP(_1_541284561214624104645789101745[[#This Row],[Type]],Main[[#All],[TYPE]:[UNIT]],'Unit Price'!G$1,FALSE),0)</f>
        <v>0</v>
      </c>
      <c r="J450" s="194">
        <f>IF(_1_541284561214624104645789101745[[#This Row],[Type]]&gt;0,VLOOKUP(_1_541284561214624104645789101745[[#This Row],[Type]],Main[[#All],[TYPE]:[UNIT]],'Unit Price'!H$1,FALSE),0)</f>
        <v>0</v>
      </c>
      <c r="K450" s="194">
        <f>IF(_1_541284561214624104645789101745[[#This Row],[Discount selection]]&gt;0,VLOOKUP(_1_541284561214624104645789101745[[#This Row],[Discount selection]],'Discount Structure'!$A$2:$B$30,2,"false"),0)</f>
        <v>1</v>
      </c>
      <c r="L450" s="194">
        <f>_1_541284561214624104645789101745[[#This Row],[LIST $]]*_1_541284561214624104645789101745[[#This Row],[DISCOUNT]]*_1_541284561214624104645789101745[[#This Row],[DISCOUNT 2]]</f>
        <v>0</v>
      </c>
      <c r="M450" s="194">
        <f>IF(OR(_1_541284561214624104645789101745[[#This Row],[UNIT]]&gt;0,_1_541284561214624104645789101745[[#This Row],[UNIT]]&lt;0),_1_541284561214624104645789101745[[#This Row],[UNIT]]*_1_541284561214624104645789101745[[#This Row],[COST]],0)</f>
        <v>0</v>
      </c>
      <c r="N450" s="194">
        <f t="shared" si="6"/>
        <v>1.5</v>
      </c>
      <c r="O450" s="198">
        <f>_1_541284561214624104645789101745[[#This Row],[TOTAL]]*_1_541284561214624104645789101745[[#This Row],[MARGIN]]</f>
        <v>0</v>
      </c>
      <c r="R450" s="41"/>
    </row>
    <row r="451" spans="1:18">
      <c r="D451" s="188"/>
      <c r="F451" s="168" t="s">
        <v>6202</v>
      </c>
      <c r="G451" s="193">
        <f>IF(_1_541284561214624104645789101745[[#This Row],[Type]]&gt;0,VLOOKUP(_1_541284561214624104645789101745[[#This Row],[Type]],Main[[#All],[TYPE]:[UNIT]],'Unit Price'!C$1,FALSE),0)</f>
        <v>0</v>
      </c>
      <c r="H451" s="197">
        <f>IF(_1_541284561214624104645789101745[[#This Row],[Type]]&gt;0,VLOOKUP(_1_541284561214624104645789101745[[#This Row],[Type]],Main[[#All],[TYPE]:[UNIT]],'Unit Price'!D$1,FALSE),0)</f>
        <v>0</v>
      </c>
      <c r="I451" s="194">
        <f>IF(_1_541284561214624104645789101745[[#This Row],[Type]]&gt;0,VLOOKUP(_1_541284561214624104645789101745[[#This Row],[Type]],Main[[#All],[TYPE]:[UNIT]],'Unit Price'!G$1,FALSE),0)</f>
        <v>0</v>
      </c>
      <c r="J451" s="194">
        <f>IF(_1_541284561214624104645789101745[[#This Row],[Type]]&gt;0,VLOOKUP(_1_541284561214624104645789101745[[#This Row],[Type]],Main[[#All],[TYPE]:[UNIT]],'Unit Price'!H$1,FALSE),0)</f>
        <v>0</v>
      </c>
      <c r="K451" s="194">
        <f>IF(_1_541284561214624104645789101745[[#This Row],[Discount selection]]&gt;0,VLOOKUP(_1_541284561214624104645789101745[[#This Row],[Discount selection]],'Discount Structure'!$A$2:$B$30,2,"false"),0)</f>
        <v>1</v>
      </c>
      <c r="L451" s="194">
        <f>_1_541284561214624104645789101745[[#This Row],[LIST $]]*_1_541284561214624104645789101745[[#This Row],[DISCOUNT]]*_1_541284561214624104645789101745[[#This Row],[DISCOUNT 2]]</f>
        <v>0</v>
      </c>
      <c r="M451" s="194">
        <f>IF(OR(_1_541284561214624104645789101745[[#This Row],[UNIT]]&gt;0,_1_541284561214624104645789101745[[#This Row],[UNIT]]&lt;0),_1_541284561214624104645789101745[[#This Row],[UNIT]]*_1_541284561214624104645789101745[[#This Row],[COST]],0)</f>
        <v>0</v>
      </c>
      <c r="N451" s="194">
        <f t="shared" si="6"/>
        <v>1.5</v>
      </c>
      <c r="O451" s="198">
        <f>_1_541284561214624104645789101745[[#This Row],[TOTAL]]*_1_541284561214624104645789101745[[#This Row],[MARGIN]]</f>
        <v>0</v>
      </c>
      <c r="R451" s="41"/>
    </row>
    <row r="452" spans="1:18">
      <c r="D452" s="188"/>
      <c r="F452" s="168" t="s">
        <v>6202</v>
      </c>
      <c r="G452" s="193">
        <f>IF(_1_541284561214624104645789101745[[#This Row],[Type]]&gt;0,VLOOKUP(_1_541284561214624104645789101745[[#This Row],[Type]],Main[[#All],[TYPE]:[UNIT]],'Unit Price'!C$1,FALSE),0)</f>
        <v>0</v>
      </c>
      <c r="H452" s="197">
        <f>IF(_1_541284561214624104645789101745[[#This Row],[Type]]&gt;0,VLOOKUP(_1_541284561214624104645789101745[[#This Row],[Type]],Main[[#All],[TYPE]:[UNIT]],'Unit Price'!D$1,FALSE),0)</f>
        <v>0</v>
      </c>
      <c r="I452" s="194">
        <f>IF(_1_541284561214624104645789101745[[#This Row],[Type]]&gt;0,VLOOKUP(_1_541284561214624104645789101745[[#This Row],[Type]],Main[[#All],[TYPE]:[UNIT]],'Unit Price'!G$1,FALSE),0)</f>
        <v>0</v>
      </c>
      <c r="J452" s="194">
        <f>IF(_1_541284561214624104645789101745[[#This Row],[Type]]&gt;0,VLOOKUP(_1_541284561214624104645789101745[[#This Row],[Type]],Main[[#All],[TYPE]:[UNIT]],'Unit Price'!H$1,FALSE),0)</f>
        <v>0</v>
      </c>
      <c r="K452" s="194">
        <f>IF(_1_541284561214624104645789101745[[#This Row],[Discount selection]]&gt;0,VLOOKUP(_1_541284561214624104645789101745[[#This Row],[Discount selection]],'Discount Structure'!$A$2:$B$30,2,"false"),0)</f>
        <v>1</v>
      </c>
      <c r="L452" s="194">
        <f>_1_541284561214624104645789101745[[#This Row],[LIST $]]*_1_541284561214624104645789101745[[#This Row],[DISCOUNT]]*_1_541284561214624104645789101745[[#This Row],[DISCOUNT 2]]</f>
        <v>0</v>
      </c>
      <c r="M452" s="194">
        <f>IF(OR(_1_541284561214624104645789101745[[#This Row],[UNIT]]&gt;0,_1_541284561214624104645789101745[[#This Row],[UNIT]]&lt;0),_1_541284561214624104645789101745[[#This Row],[UNIT]]*_1_541284561214624104645789101745[[#This Row],[COST]],0)</f>
        <v>0</v>
      </c>
      <c r="N452" s="194">
        <f t="shared" si="6"/>
        <v>1.5</v>
      </c>
      <c r="O452" s="198">
        <f>_1_541284561214624104645789101745[[#This Row],[TOTAL]]*_1_541284561214624104645789101745[[#This Row],[MARGIN]]</f>
        <v>0</v>
      </c>
      <c r="R452" s="41"/>
    </row>
    <row r="453" spans="1:18">
      <c r="D453" s="188"/>
      <c r="F453" s="168" t="s">
        <v>6202</v>
      </c>
      <c r="G453" s="193">
        <f>IF(_1_541284561214624104645789101745[[#This Row],[Type]]&gt;0,VLOOKUP(_1_541284561214624104645789101745[[#This Row],[Type]],Main[[#All],[TYPE]:[UNIT]],'Unit Price'!C$1,FALSE),0)</f>
        <v>0</v>
      </c>
      <c r="H453" s="197">
        <f>IF(_1_541284561214624104645789101745[[#This Row],[Type]]&gt;0,VLOOKUP(_1_541284561214624104645789101745[[#This Row],[Type]],Main[[#All],[TYPE]:[UNIT]],'Unit Price'!D$1,FALSE),0)</f>
        <v>0</v>
      </c>
      <c r="I453" s="194">
        <f>IF(_1_541284561214624104645789101745[[#This Row],[Type]]&gt;0,VLOOKUP(_1_541284561214624104645789101745[[#This Row],[Type]],Main[[#All],[TYPE]:[UNIT]],'Unit Price'!G$1,FALSE),0)</f>
        <v>0</v>
      </c>
      <c r="J453" s="194">
        <f>IF(_1_541284561214624104645789101745[[#This Row],[Type]]&gt;0,VLOOKUP(_1_541284561214624104645789101745[[#This Row],[Type]],Main[[#All],[TYPE]:[UNIT]],'Unit Price'!H$1,FALSE),0)</f>
        <v>0</v>
      </c>
      <c r="K453" s="194">
        <f>IF(_1_541284561214624104645789101745[[#This Row],[Discount selection]]&gt;0,VLOOKUP(_1_541284561214624104645789101745[[#This Row],[Discount selection]],'Discount Structure'!$A$2:$B$30,2,"false"),0)</f>
        <v>1</v>
      </c>
      <c r="L453" s="194">
        <f>_1_541284561214624104645789101745[[#This Row],[LIST $]]*_1_541284561214624104645789101745[[#This Row],[DISCOUNT]]*_1_541284561214624104645789101745[[#This Row],[DISCOUNT 2]]</f>
        <v>0</v>
      </c>
      <c r="M453" s="194">
        <f>IF(OR(_1_541284561214624104645789101745[[#This Row],[UNIT]]&gt;0,_1_541284561214624104645789101745[[#This Row],[UNIT]]&lt;0),_1_541284561214624104645789101745[[#This Row],[UNIT]]*_1_541284561214624104645789101745[[#This Row],[COST]],0)</f>
        <v>0</v>
      </c>
      <c r="N453" s="194">
        <f t="shared" si="6"/>
        <v>1.5</v>
      </c>
      <c r="O453" s="198">
        <f>_1_541284561214624104645789101745[[#This Row],[TOTAL]]*_1_541284561214624104645789101745[[#This Row],[MARGIN]]</f>
        <v>0</v>
      </c>
      <c r="R453" s="41"/>
    </row>
    <row r="454" spans="1:18">
      <c r="D454" s="188"/>
      <c r="F454" s="168" t="s">
        <v>6202</v>
      </c>
      <c r="G454" s="193">
        <f>IF(_1_541284561214624104645789101745[[#This Row],[Type]]&gt;0,VLOOKUP(_1_541284561214624104645789101745[[#This Row],[Type]],Main[[#All],[TYPE]:[UNIT]],'Unit Price'!C$1,FALSE),0)</f>
        <v>0</v>
      </c>
      <c r="H454" s="197">
        <f>IF(_1_541284561214624104645789101745[[#This Row],[Type]]&gt;0,VLOOKUP(_1_541284561214624104645789101745[[#This Row],[Type]],Main[[#All],[TYPE]:[UNIT]],'Unit Price'!D$1,FALSE),0)</f>
        <v>0</v>
      </c>
      <c r="I454" s="194">
        <f>IF(_1_541284561214624104645789101745[[#This Row],[Type]]&gt;0,VLOOKUP(_1_541284561214624104645789101745[[#This Row],[Type]],Main[[#All],[TYPE]:[UNIT]],'Unit Price'!G$1,FALSE),0)</f>
        <v>0</v>
      </c>
      <c r="J454" s="194">
        <f>IF(_1_541284561214624104645789101745[[#This Row],[Type]]&gt;0,VLOOKUP(_1_541284561214624104645789101745[[#This Row],[Type]],Main[[#All],[TYPE]:[UNIT]],'Unit Price'!H$1,FALSE),0)</f>
        <v>0</v>
      </c>
      <c r="K454" s="194">
        <f>IF(_1_541284561214624104645789101745[[#This Row],[Discount selection]]&gt;0,VLOOKUP(_1_541284561214624104645789101745[[#This Row],[Discount selection]],'Discount Structure'!$A$2:$B$30,2,"false"),0)</f>
        <v>1</v>
      </c>
      <c r="L454" s="194">
        <f>_1_541284561214624104645789101745[[#This Row],[LIST $]]*_1_541284561214624104645789101745[[#This Row],[DISCOUNT]]*_1_541284561214624104645789101745[[#This Row],[DISCOUNT 2]]</f>
        <v>0</v>
      </c>
      <c r="M454" s="194">
        <f>IF(OR(_1_541284561214624104645789101745[[#This Row],[UNIT]]&gt;0,_1_541284561214624104645789101745[[#This Row],[UNIT]]&lt;0),_1_541284561214624104645789101745[[#This Row],[UNIT]]*_1_541284561214624104645789101745[[#This Row],[COST]],0)</f>
        <v>0</v>
      </c>
      <c r="N454" s="194">
        <f t="shared" si="6"/>
        <v>1.5</v>
      </c>
      <c r="O454" s="198">
        <f>_1_541284561214624104645789101745[[#This Row],[TOTAL]]*_1_541284561214624104645789101745[[#This Row],[MARGIN]]</f>
        <v>0</v>
      </c>
      <c r="R454" s="41"/>
    </row>
    <row r="455" spans="1:18">
      <c r="D455" s="188"/>
      <c r="F455" s="168" t="s">
        <v>6202</v>
      </c>
      <c r="G455" s="193">
        <f>IF(_1_541284561214624104645789101745[[#This Row],[Type]]&gt;0,VLOOKUP(_1_541284561214624104645789101745[[#This Row],[Type]],Main[[#All],[TYPE]:[UNIT]],'Unit Price'!C$1,FALSE),0)</f>
        <v>0</v>
      </c>
      <c r="H455" s="197">
        <f>IF(_1_541284561214624104645789101745[[#This Row],[Type]]&gt;0,VLOOKUP(_1_541284561214624104645789101745[[#This Row],[Type]],Main[[#All],[TYPE]:[UNIT]],'Unit Price'!D$1,FALSE),0)</f>
        <v>0</v>
      </c>
      <c r="I455" s="194">
        <f>IF(_1_541284561214624104645789101745[[#This Row],[Type]]&gt;0,VLOOKUP(_1_541284561214624104645789101745[[#This Row],[Type]],Main[[#All],[TYPE]:[UNIT]],'Unit Price'!G$1,FALSE),0)</f>
        <v>0</v>
      </c>
      <c r="J455" s="194">
        <f>IF(_1_541284561214624104645789101745[[#This Row],[Type]]&gt;0,VLOOKUP(_1_541284561214624104645789101745[[#This Row],[Type]],Main[[#All],[TYPE]:[UNIT]],'Unit Price'!H$1,FALSE),0)</f>
        <v>0</v>
      </c>
      <c r="K455" s="194">
        <f>IF(_1_541284561214624104645789101745[[#This Row],[Discount selection]]&gt;0,VLOOKUP(_1_541284561214624104645789101745[[#This Row],[Discount selection]],'Discount Structure'!$A$2:$B$30,2,"false"),0)</f>
        <v>1</v>
      </c>
      <c r="L455" s="194">
        <f>_1_541284561214624104645789101745[[#This Row],[LIST $]]*_1_541284561214624104645789101745[[#This Row],[DISCOUNT]]*_1_541284561214624104645789101745[[#This Row],[DISCOUNT 2]]</f>
        <v>0</v>
      </c>
      <c r="M455" s="194">
        <f>IF(OR(_1_541284561214624104645789101745[[#This Row],[UNIT]]&gt;0,_1_541284561214624104645789101745[[#This Row],[UNIT]]&lt;0),_1_541284561214624104645789101745[[#This Row],[UNIT]]*_1_541284561214624104645789101745[[#This Row],[COST]],0)</f>
        <v>0</v>
      </c>
      <c r="N455" s="194">
        <f t="shared" si="6"/>
        <v>1.5</v>
      </c>
      <c r="O455" s="198">
        <f>_1_541284561214624104645789101745[[#This Row],[TOTAL]]*_1_541284561214624104645789101745[[#This Row],[MARGIN]]</f>
        <v>0</v>
      </c>
      <c r="R455" s="41"/>
    </row>
    <row r="456" spans="1:18">
      <c r="A456" s="168"/>
      <c r="D456" s="188"/>
      <c r="F456" s="168" t="s">
        <v>6202</v>
      </c>
      <c r="G456" s="193">
        <f>IF(_1_541284561214624104645789101745[[#This Row],[Type]]&gt;0,VLOOKUP(_1_541284561214624104645789101745[[#This Row],[Type]],Main[[#All],[TYPE]:[UNIT]],'Unit Price'!C$1,FALSE),0)</f>
        <v>0</v>
      </c>
      <c r="H456" s="197">
        <f>IF(_1_541284561214624104645789101745[[#This Row],[Type]]&gt;0,VLOOKUP(_1_541284561214624104645789101745[[#This Row],[Type]],Main[[#All],[TYPE]:[UNIT]],'Unit Price'!D$1,FALSE),0)</f>
        <v>0</v>
      </c>
      <c r="I456" s="194">
        <f>IF(_1_541284561214624104645789101745[[#This Row],[Type]]&gt;0,VLOOKUP(_1_541284561214624104645789101745[[#This Row],[Type]],Main[[#All],[TYPE]:[UNIT]],'Unit Price'!G$1,FALSE),0)</f>
        <v>0</v>
      </c>
      <c r="J456" s="194">
        <f>IF(_1_541284561214624104645789101745[[#This Row],[Type]]&gt;0,VLOOKUP(_1_541284561214624104645789101745[[#This Row],[Type]],Main[[#All],[TYPE]:[UNIT]],'Unit Price'!H$1,FALSE),0)</f>
        <v>0</v>
      </c>
      <c r="K456" s="194">
        <f>IF(_1_541284561214624104645789101745[[#This Row],[Discount selection]]&gt;0,VLOOKUP(_1_541284561214624104645789101745[[#This Row],[Discount selection]],'Discount Structure'!$A$2:$B$30,2,"false"),0)</f>
        <v>1</v>
      </c>
      <c r="L456" s="194">
        <f>_1_541284561214624104645789101745[[#This Row],[LIST $]]*_1_541284561214624104645789101745[[#This Row],[DISCOUNT]]*_1_541284561214624104645789101745[[#This Row],[DISCOUNT 2]]</f>
        <v>0</v>
      </c>
      <c r="M456" s="194">
        <f>IF(OR(_1_541284561214624104645789101745[[#This Row],[UNIT]]&gt;0,_1_541284561214624104645789101745[[#This Row],[UNIT]]&lt;0),_1_541284561214624104645789101745[[#This Row],[UNIT]]*_1_541284561214624104645789101745[[#This Row],[COST]],0)</f>
        <v>0</v>
      </c>
      <c r="N456" s="194">
        <f t="shared" si="6"/>
        <v>1.5</v>
      </c>
      <c r="O456" s="198">
        <f>_1_541284561214624104645789101745[[#This Row],[TOTAL]]*_1_541284561214624104645789101745[[#This Row],[MARGIN]]</f>
        <v>0</v>
      </c>
      <c r="R456" s="41"/>
    </row>
    <row r="457" spans="1:18">
      <c r="D457" s="188"/>
      <c r="F457" s="168" t="s">
        <v>6202</v>
      </c>
      <c r="G457" s="192">
        <f>IF(_1_541284561214624104645789101745[[#This Row],[Type]]&gt;0,VLOOKUP(_1_541284561214624104645789101745[[#This Row],[Type]],Main[[#All],[TYPE]:[UNIT]],'Unit Price'!C$1,FALSE),0)</f>
        <v>0</v>
      </c>
      <c r="H457" s="197">
        <f>IF(_1_541284561214624104645789101745[[#This Row],[Type]]&gt;0,VLOOKUP(_1_541284561214624104645789101745[[#This Row],[Type]],Main[[#All],[TYPE]:[UNIT]],'Unit Price'!D$1,FALSE),0)</f>
        <v>0</v>
      </c>
      <c r="I457" s="194">
        <f>IF(_1_541284561214624104645789101745[[#This Row],[Type]]&gt;0,VLOOKUP(_1_541284561214624104645789101745[[#This Row],[Type]],Main[[#All],[TYPE]:[UNIT]],'Unit Price'!G$1,FALSE),0)</f>
        <v>0</v>
      </c>
      <c r="J457" s="194">
        <f>IF(_1_541284561214624104645789101745[[#This Row],[Type]]&gt;0,VLOOKUP(_1_541284561214624104645789101745[[#This Row],[Type]],Main[[#All],[TYPE]:[UNIT]],'Unit Price'!H$1,FALSE),0)</f>
        <v>0</v>
      </c>
      <c r="K457" s="194">
        <f>IF(_1_541284561214624104645789101745[[#This Row],[Discount selection]]&gt;0,VLOOKUP(_1_541284561214624104645789101745[[#This Row],[Discount selection]],'Discount Structure'!$A$2:$B$30,2,"false"),0)</f>
        <v>1</v>
      </c>
      <c r="L457" s="194">
        <f>_1_541284561214624104645789101745[[#This Row],[LIST $]]*_1_541284561214624104645789101745[[#This Row],[DISCOUNT]]*_1_541284561214624104645789101745[[#This Row],[DISCOUNT 2]]</f>
        <v>0</v>
      </c>
      <c r="M457" s="194">
        <f>IF(OR(_1_541284561214624104645789101745[[#This Row],[UNIT]]&gt;0,_1_541284561214624104645789101745[[#This Row],[UNIT]]&lt;0),_1_541284561214624104645789101745[[#This Row],[UNIT]]*_1_541284561214624104645789101745[[#This Row],[COST]],0)</f>
        <v>0</v>
      </c>
      <c r="N457" s="194">
        <f t="shared" si="6"/>
        <v>1.5</v>
      </c>
      <c r="O457" s="198">
        <f>_1_541284561214624104645789101745[[#This Row],[TOTAL]]*_1_541284561214624104645789101745[[#This Row],[MARGIN]]</f>
        <v>0</v>
      </c>
      <c r="R457" s="41"/>
    </row>
    <row r="458" spans="1:18">
      <c r="D458" s="188"/>
      <c r="F458" s="168" t="s">
        <v>6202</v>
      </c>
      <c r="G458" s="193">
        <f>IF(_1_541284561214624104645789101745[[#This Row],[Type]]&gt;0,VLOOKUP(_1_541284561214624104645789101745[[#This Row],[Type]],Main[[#All],[TYPE]:[UNIT]],'Unit Price'!C$1,FALSE),0)</f>
        <v>0</v>
      </c>
      <c r="H458" s="197">
        <f>IF(_1_541284561214624104645789101745[[#This Row],[Type]]&gt;0,VLOOKUP(_1_541284561214624104645789101745[[#This Row],[Type]],Main[[#All],[TYPE]:[UNIT]],'Unit Price'!D$1,FALSE),0)</f>
        <v>0</v>
      </c>
      <c r="I458" s="194">
        <f>IF(_1_541284561214624104645789101745[[#This Row],[Type]]&gt;0,VLOOKUP(_1_541284561214624104645789101745[[#This Row],[Type]],Main[[#All],[TYPE]:[UNIT]],'Unit Price'!G$1,FALSE),0)</f>
        <v>0</v>
      </c>
      <c r="J458" s="194">
        <f>IF(_1_541284561214624104645789101745[[#This Row],[Type]]&gt;0,VLOOKUP(_1_541284561214624104645789101745[[#This Row],[Type]],Main[[#All],[TYPE]:[UNIT]],'Unit Price'!H$1,FALSE),0)</f>
        <v>0</v>
      </c>
      <c r="K458" s="194">
        <f>IF(_1_541284561214624104645789101745[[#This Row],[Discount selection]]&gt;0,VLOOKUP(_1_541284561214624104645789101745[[#This Row],[Discount selection]],'Discount Structure'!$A$2:$B$30,2,"false"),0)</f>
        <v>1</v>
      </c>
      <c r="L458" s="194">
        <f>_1_541284561214624104645789101745[[#This Row],[LIST $]]*_1_541284561214624104645789101745[[#This Row],[DISCOUNT]]*_1_541284561214624104645789101745[[#This Row],[DISCOUNT 2]]</f>
        <v>0</v>
      </c>
      <c r="M458" s="194">
        <f>IF(OR(_1_541284561214624104645789101745[[#This Row],[UNIT]]&gt;0,_1_541284561214624104645789101745[[#This Row],[UNIT]]&lt;0),_1_541284561214624104645789101745[[#This Row],[UNIT]]*_1_541284561214624104645789101745[[#This Row],[COST]],0)</f>
        <v>0</v>
      </c>
      <c r="N458" s="194">
        <f t="shared" ref="N458:N521" si="7">$N$7</f>
        <v>1.5</v>
      </c>
      <c r="O458" s="198">
        <f>_1_541284561214624104645789101745[[#This Row],[TOTAL]]*_1_541284561214624104645789101745[[#This Row],[MARGIN]]</f>
        <v>0</v>
      </c>
      <c r="R458" s="41"/>
    </row>
    <row r="459" spans="1:18">
      <c r="D459" s="188"/>
      <c r="F459" s="168" t="s">
        <v>6202</v>
      </c>
      <c r="G459" s="193">
        <f>IF(_1_541284561214624104645789101745[[#This Row],[Type]]&gt;0,VLOOKUP(_1_541284561214624104645789101745[[#This Row],[Type]],Main[[#All],[TYPE]:[UNIT]],'Unit Price'!C$1,FALSE),0)</f>
        <v>0</v>
      </c>
      <c r="H459" s="197">
        <f>IF(_1_541284561214624104645789101745[[#This Row],[Type]]&gt;0,VLOOKUP(_1_541284561214624104645789101745[[#This Row],[Type]],Main[[#All],[TYPE]:[UNIT]],'Unit Price'!D$1,FALSE),0)</f>
        <v>0</v>
      </c>
      <c r="I459" s="194">
        <f>IF(_1_541284561214624104645789101745[[#This Row],[Type]]&gt;0,VLOOKUP(_1_541284561214624104645789101745[[#This Row],[Type]],Main[[#All],[TYPE]:[UNIT]],'Unit Price'!G$1,FALSE),0)</f>
        <v>0</v>
      </c>
      <c r="J459" s="194">
        <f>IF(_1_541284561214624104645789101745[[#This Row],[Type]]&gt;0,VLOOKUP(_1_541284561214624104645789101745[[#This Row],[Type]],Main[[#All],[TYPE]:[UNIT]],'Unit Price'!H$1,FALSE),0)</f>
        <v>0</v>
      </c>
      <c r="K459" s="194">
        <f>IF(_1_541284561214624104645789101745[[#This Row],[Discount selection]]&gt;0,VLOOKUP(_1_541284561214624104645789101745[[#This Row],[Discount selection]],'Discount Structure'!$A$2:$B$30,2,"false"),0)</f>
        <v>1</v>
      </c>
      <c r="L459" s="194">
        <f>_1_541284561214624104645789101745[[#This Row],[LIST $]]*_1_541284561214624104645789101745[[#This Row],[DISCOUNT]]*_1_541284561214624104645789101745[[#This Row],[DISCOUNT 2]]</f>
        <v>0</v>
      </c>
      <c r="M459" s="194">
        <f>IF(OR(_1_541284561214624104645789101745[[#This Row],[UNIT]]&gt;0,_1_541284561214624104645789101745[[#This Row],[UNIT]]&lt;0),_1_541284561214624104645789101745[[#This Row],[UNIT]]*_1_541284561214624104645789101745[[#This Row],[COST]],0)</f>
        <v>0</v>
      </c>
      <c r="N459" s="194">
        <f t="shared" si="7"/>
        <v>1.5</v>
      </c>
      <c r="O459" s="198">
        <f>_1_541284561214624104645789101745[[#This Row],[TOTAL]]*_1_541284561214624104645789101745[[#This Row],[MARGIN]]</f>
        <v>0</v>
      </c>
      <c r="R459" s="41"/>
    </row>
    <row r="460" spans="1:18">
      <c r="D460" s="188"/>
      <c r="F460" s="168" t="s">
        <v>6202</v>
      </c>
      <c r="G460" s="193">
        <f>IF(_1_541284561214624104645789101745[[#This Row],[Type]]&gt;0,VLOOKUP(_1_541284561214624104645789101745[[#This Row],[Type]],Main[[#All],[TYPE]:[UNIT]],'Unit Price'!C$1,FALSE),0)</f>
        <v>0</v>
      </c>
      <c r="H460" s="197">
        <f>IF(_1_541284561214624104645789101745[[#This Row],[Type]]&gt;0,VLOOKUP(_1_541284561214624104645789101745[[#This Row],[Type]],Main[[#All],[TYPE]:[UNIT]],'Unit Price'!D$1,FALSE),0)</f>
        <v>0</v>
      </c>
      <c r="I460" s="194">
        <f>IF(_1_541284561214624104645789101745[[#This Row],[Type]]&gt;0,VLOOKUP(_1_541284561214624104645789101745[[#This Row],[Type]],Main[[#All],[TYPE]:[UNIT]],'Unit Price'!G$1,FALSE),0)</f>
        <v>0</v>
      </c>
      <c r="J460" s="194">
        <f>IF(_1_541284561214624104645789101745[[#This Row],[Type]]&gt;0,VLOOKUP(_1_541284561214624104645789101745[[#This Row],[Type]],Main[[#All],[TYPE]:[UNIT]],'Unit Price'!H$1,FALSE),0)</f>
        <v>0</v>
      </c>
      <c r="K460" s="194">
        <f>IF(_1_541284561214624104645789101745[[#This Row],[Discount selection]]&gt;0,VLOOKUP(_1_541284561214624104645789101745[[#This Row],[Discount selection]],'Discount Structure'!$A$2:$B$30,2,"false"),0)</f>
        <v>1</v>
      </c>
      <c r="L460" s="194">
        <f>_1_541284561214624104645789101745[[#This Row],[LIST $]]*_1_541284561214624104645789101745[[#This Row],[DISCOUNT]]*_1_541284561214624104645789101745[[#This Row],[DISCOUNT 2]]</f>
        <v>0</v>
      </c>
      <c r="M460" s="194">
        <f>IF(OR(_1_541284561214624104645789101745[[#This Row],[UNIT]]&gt;0,_1_541284561214624104645789101745[[#This Row],[UNIT]]&lt;0),_1_541284561214624104645789101745[[#This Row],[UNIT]]*_1_541284561214624104645789101745[[#This Row],[COST]],0)</f>
        <v>0</v>
      </c>
      <c r="N460" s="194">
        <f t="shared" si="7"/>
        <v>1.5</v>
      </c>
      <c r="O460" s="198">
        <f>_1_541284561214624104645789101745[[#This Row],[TOTAL]]*_1_541284561214624104645789101745[[#This Row],[MARGIN]]</f>
        <v>0</v>
      </c>
      <c r="R460" s="41"/>
    </row>
    <row r="461" spans="1:18">
      <c r="D461" s="188"/>
      <c r="F461" s="168" t="s">
        <v>6202</v>
      </c>
      <c r="G461" s="193">
        <f>IF(_1_541284561214624104645789101745[[#This Row],[Type]]&gt;0,VLOOKUP(_1_541284561214624104645789101745[[#This Row],[Type]],Main[[#All],[TYPE]:[UNIT]],'Unit Price'!C$1,FALSE),0)</f>
        <v>0</v>
      </c>
      <c r="H461" s="197">
        <f>IF(_1_541284561214624104645789101745[[#This Row],[Type]]&gt;0,VLOOKUP(_1_541284561214624104645789101745[[#This Row],[Type]],Main[[#All],[TYPE]:[UNIT]],'Unit Price'!D$1,FALSE),0)</f>
        <v>0</v>
      </c>
      <c r="I461" s="194">
        <f>IF(_1_541284561214624104645789101745[[#This Row],[Type]]&gt;0,VLOOKUP(_1_541284561214624104645789101745[[#This Row],[Type]],Main[[#All],[TYPE]:[UNIT]],'Unit Price'!G$1,FALSE),0)</f>
        <v>0</v>
      </c>
      <c r="J461" s="194">
        <f>IF(_1_541284561214624104645789101745[[#This Row],[Type]]&gt;0,VLOOKUP(_1_541284561214624104645789101745[[#This Row],[Type]],Main[[#All],[TYPE]:[UNIT]],'Unit Price'!H$1,FALSE),0)</f>
        <v>0</v>
      </c>
      <c r="K461" s="194">
        <f>IF(_1_541284561214624104645789101745[[#This Row],[Discount selection]]&gt;0,VLOOKUP(_1_541284561214624104645789101745[[#This Row],[Discount selection]],'Discount Structure'!$A$2:$B$30,2,"false"),0)</f>
        <v>1</v>
      </c>
      <c r="L461" s="194">
        <f>_1_541284561214624104645789101745[[#This Row],[LIST $]]*_1_541284561214624104645789101745[[#This Row],[DISCOUNT]]*_1_541284561214624104645789101745[[#This Row],[DISCOUNT 2]]</f>
        <v>0</v>
      </c>
      <c r="M461" s="194">
        <f>IF(OR(_1_541284561214624104645789101745[[#This Row],[UNIT]]&gt;0,_1_541284561214624104645789101745[[#This Row],[UNIT]]&lt;0),_1_541284561214624104645789101745[[#This Row],[UNIT]]*_1_541284561214624104645789101745[[#This Row],[COST]],0)</f>
        <v>0</v>
      </c>
      <c r="N461" s="194">
        <f t="shared" si="7"/>
        <v>1.5</v>
      </c>
      <c r="O461" s="198">
        <f>_1_541284561214624104645789101745[[#This Row],[TOTAL]]*_1_541284561214624104645789101745[[#This Row],[MARGIN]]</f>
        <v>0</v>
      </c>
      <c r="R461" s="41"/>
    </row>
    <row r="462" spans="1:18">
      <c r="D462" s="188"/>
      <c r="F462" s="168" t="s">
        <v>6202</v>
      </c>
      <c r="G462" s="192">
        <f>IF(_1_541284561214624104645789101745[[#This Row],[Type]]&gt;0,VLOOKUP(_1_541284561214624104645789101745[[#This Row],[Type]],Main[[#All],[TYPE]:[UNIT]],'Unit Price'!C$1,FALSE),0)</f>
        <v>0</v>
      </c>
      <c r="H462" s="197">
        <f>IF(_1_541284561214624104645789101745[[#This Row],[Type]]&gt;0,VLOOKUP(_1_541284561214624104645789101745[[#This Row],[Type]],Main[[#All],[TYPE]:[UNIT]],'Unit Price'!D$1,FALSE),0)</f>
        <v>0</v>
      </c>
      <c r="I462" s="194">
        <f>IF(_1_541284561214624104645789101745[[#This Row],[Type]]&gt;0,VLOOKUP(_1_541284561214624104645789101745[[#This Row],[Type]],Main[[#All],[TYPE]:[UNIT]],'Unit Price'!G$1,FALSE),0)</f>
        <v>0</v>
      </c>
      <c r="J462" s="194">
        <f>IF(_1_541284561214624104645789101745[[#This Row],[Type]]&gt;0,VLOOKUP(_1_541284561214624104645789101745[[#This Row],[Type]],Main[[#All],[TYPE]:[UNIT]],'Unit Price'!H$1,FALSE),0)</f>
        <v>0</v>
      </c>
      <c r="K462" s="194">
        <f>IF(_1_541284561214624104645789101745[[#This Row],[Discount selection]]&gt;0,VLOOKUP(_1_541284561214624104645789101745[[#This Row],[Discount selection]],'Discount Structure'!$A$2:$B$30,2,"false"),0)</f>
        <v>1</v>
      </c>
      <c r="L462" s="194">
        <f>_1_541284561214624104645789101745[[#This Row],[LIST $]]*_1_541284561214624104645789101745[[#This Row],[DISCOUNT]]*_1_541284561214624104645789101745[[#This Row],[DISCOUNT 2]]</f>
        <v>0</v>
      </c>
      <c r="M462" s="194">
        <f>IF(OR(_1_541284561214624104645789101745[[#This Row],[UNIT]]&gt;0,_1_541284561214624104645789101745[[#This Row],[UNIT]]&lt;0),_1_541284561214624104645789101745[[#This Row],[UNIT]]*_1_541284561214624104645789101745[[#This Row],[COST]],0)</f>
        <v>0</v>
      </c>
      <c r="N462" s="194">
        <f t="shared" si="7"/>
        <v>1.5</v>
      </c>
      <c r="O462" s="198">
        <f>_1_541284561214624104645789101745[[#This Row],[TOTAL]]*_1_541284561214624104645789101745[[#This Row],[MARGIN]]</f>
        <v>0</v>
      </c>
      <c r="R462" s="41"/>
    </row>
    <row r="463" spans="1:18">
      <c r="D463" s="188"/>
      <c r="F463" s="168" t="s">
        <v>6202</v>
      </c>
      <c r="G463" s="193">
        <f>IF(_1_541284561214624104645789101745[[#This Row],[Type]]&gt;0,VLOOKUP(_1_541284561214624104645789101745[[#This Row],[Type]],Main[[#All],[TYPE]:[UNIT]],'Unit Price'!C$1,FALSE),0)</f>
        <v>0</v>
      </c>
      <c r="H463" s="197">
        <f>IF(_1_541284561214624104645789101745[[#This Row],[Type]]&gt;0,VLOOKUP(_1_541284561214624104645789101745[[#This Row],[Type]],Main[[#All],[TYPE]:[UNIT]],'Unit Price'!D$1,FALSE),0)</f>
        <v>0</v>
      </c>
      <c r="I463" s="194">
        <f>IF(_1_541284561214624104645789101745[[#This Row],[Type]]&gt;0,VLOOKUP(_1_541284561214624104645789101745[[#This Row],[Type]],Main[[#All],[TYPE]:[UNIT]],'Unit Price'!G$1,FALSE),0)</f>
        <v>0</v>
      </c>
      <c r="J463" s="194">
        <f>IF(_1_541284561214624104645789101745[[#This Row],[Type]]&gt;0,VLOOKUP(_1_541284561214624104645789101745[[#This Row],[Type]],Main[[#All],[TYPE]:[UNIT]],'Unit Price'!H$1,FALSE),0)</f>
        <v>0</v>
      </c>
      <c r="K463" s="194">
        <f>IF(_1_541284561214624104645789101745[[#This Row],[Discount selection]]&gt;0,VLOOKUP(_1_541284561214624104645789101745[[#This Row],[Discount selection]],'Discount Structure'!$A$2:$B$30,2,"false"),0)</f>
        <v>1</v>
      </c>
      <c r="L463" s="194">
        <f>_1_541284561214624104645789101745[[#This Row],[LIST $]]*_1_541284561214624104645789101745[[#This Row],[DISCOUNT]]*_1_541284561214624104645789101745[[#This Row],[DISCOUNT 2]]</f>
        <v>0</v>
      </c>
      <c r="M463" s="194">
        <f>IF(OR(_1_541284561214624104645789101745[[#This Row],[UNIT]]&gt;0,_1_541284561214624104645789101745[[#This Row],[UNIT]]&lt;0),_1_541284561214624104645789101745[[#This Row],[UNIT]]*_1_541284561214624104645789101745[[#This Row],[COST]],0)</f>
        <v>0</v>
      </c>
      <c r="N463" s="194">
        <f t="shared" si="7"/>
        <v>1.5</v>
      </c>
      <c r="O463" s="198">
        <f>_1_541284561214624104645789101745[[#This Row],[TOTAL]]*_1_541284561214624104645789101745[[#This Row],[MARGIN]]</f>
        <v>0</v>
      </c>
      <c r="R463" s="41"/>
    </row>
    <row r="464" spans="1:18">
      <c r="D464" s="188"/>
      <c r="F464" s="168" t="s">
        <v>6202</v>
      </c>
      <c r="G464" s="193">
        <f>IF(_1_541284561214624104645789101745[[#This Row],[Type]]&gt;0,VLOOKUP(_1_541284561214624104645789101745[[#This Row],[Type]],Main[[#All],[TYPE]:[UNIT]],'Unit Price'!C$1,FALSE),0)</f>
        <v>0</v>
      </c>
      <c r="H464" s="197">
        <f>IF(_1_541284561214624104645789101745[[#This Row],[Type]]&gt;0,VLOOKUP(_1_541284561214624104645789101745[[#This Row],[Type]],Main[[#All],[TYPE]:[UNIT]],'Unit Price'!D$1,FALSE),0)</f>
        <v>0</v>
      </c>
      <c r="I464" s="194">
        <f>IF(_1_541284561214624104645789101745[[#This Row],[Type]]&gt;0,VLOOKUP(_1_541284561214624104645789101745[[#This Row],[Type]],Main[[#All],[TYPE]:[UNIT]],'Unit Price'!G$1,FALSE),0)</f>
        <v>0</v>
      </c>
      <c r="J464" s="194">
        <f>IF(_1_541284561214624104645789101745[[#This Row],[Type]]&gt;0,VLOOKUP(_1_541284561214624104645789101745[[#This Row],[Type]],Main[[#All],[TYPE]:[UNIT]],'Unit Price'!H$1,FALSE),0)</f>
        <v>0</v>
      </c>
      <c r="K464" s="194">
        <f>IF(_1_541284561214624104645789101745[[#This Row],[Discount selection]]&gt;0,VLOOKUP(_1_541284561214624104645789101745[[#This Row],[Discount selection]],'Discount Structure'!$A$2:$B$30,2,"false"),0)</f>
        <v>1</v>
      </c>
      <c r="L464" s="194">
        <f>_1_541284561214624104645789101745[[#This Row],[LIST $]]*_1_541284561214624104645789101745[[#This Row],[DISCOUNT]]*_1_541284561214624104645789101745[[#This Row],[DISCOUNT 2]]</f>
        <v>0</v>
      </c>
      <c r="M464" s="194">
        <f>IF(OR(_1_541284561214624104645789101745[[#This Row],[UNIT]]&gt;0,_1_541284561214624104645789101745[[#This Row],[UNIT]]&lt;0),_1_541284561214624104645789101745[[#This Row],[UNIT]]*_1_541284561214624104645789101745[[#This Row],[COST]],0)</f>
        <v>0</v>
      </c>
      <c r="N464" s="194">
        <f t="shared" si="7"/>
        <v>1.5</v>
      </c>
      <c r="O464" s="198">
        <f>_1_541284561214624104645789101745[[#This Row],[TOTAL]]*_1_541284561214624104645789101745[[#This Row],[MARGIN]]</f>
        <v>0</v>
      </c>
      <c r="R464" s="41"/>
    </row>
    <row r="465" spans="1:18">
      <c r="D465" s="188"/>
      <c r="F465" s="168" t="s">
        <v>6202</v>
      </c>
      <c r="G465" s="193">
        <f>IF(_1_541284561214624104645789101745[[#This Row],[Type]]&gt;0,VLOOKUP(_1_541284561214624104645789101745[[#This Row],[Type]],Main[[#All],[TYPE]:[UNIT]],'Unit Price'!C$1,FALSE),0)</f>
        <v>0</v>
      </c>
      <c r="H465" s="197">
        <f>IF(_1_541284561214624104645789101745[[#This Row],[Type]]&gt;0,VLOOKUP(_1_541284561214624104645789101745[[#This Row],[Type]],Main[[#All],[TYPE]:[UNIT]],'Unit Price'!D$1,FALSE),0)</f>
        <v>0</v>
      </c>
      <c r="I465" s="194">
        <f>IF(_1_541284561214624104645789101745[[#This Row],[Type]]&gt;0,VLOOKUP(_1_541284561214624104645789101745[[#This Row],[Type]],Main[[#All],[TYPE]:[UNIT]],'Unit Price'!G$1,FALSE),0)</f>
        <v>0</v>
      </c>
      <c r="J465" s="194">
        <f>IF(_1_541284561214624104645789101745[[#This Row],[Type]]&gt;0,VLOOKUP(_1_541284561214624104645789101745[[#This Row],[Type]],Main[[#All],[TYPE]:[UNIT]],'Unit Price'!H$1,FALSE),0)</f>
        <v>0</v>
      </c>
      <c r="K465" s="194">
        <f>IF(_1_541284561214624104645789101745[[#This Row],[Discount selection]]&gt;0,VLOOKUP(_1_541284561214624104645789101745[[#This Row],[Discount selection]],'Discount Structure'!$A$2:$B$30,2,"false"),0)</f>
        <v>1</v>
      </c>
      <c r="L465" s="194">
        <f>_1_541284561214624104645789101745[[#This Row],[LIST $]]*_1_541284561214624104645789101745[[#This Row],[DISCOUNT]]*_1_541284561214624104645789101745[[#This Row],[DISCOUNT 2]]</f>
        <v>0</v>
      </c>
      <c r="M465" s="194">
        <f>IF(OR(_1_541284561214624104645789101745[[#This Row],[UNIT]]&gt;0,_1_541284561214624104645789101745[[#This Row],[UNIT]]&lt;0),_1_541284561214624104645789101745[[#This Row],[UNIT]]*_1_541284561214624104645789101745[[#This Row],[COST]],0)</f>
        <v>0</v>
      </c>
      <c r="N465" s="194">
        <f t="shared" si="7"/>
        <v>1.5</v>
      </c>
      <c r="O465" s="198">
        <f>_1_541284561214624104645789101745[[#This Row],[TOTAL]]*_1_541284561214624104645789101745[[#This Row],[MARGIN]]</f>
        <v>0</v>
      </c>
      <c r="R465" s="41"/>
    </row>
    <row r="466" spans="1:18">
      <c r="A466" s="168"/>
      <c r="D466" s="188"/>
      <c r="F466" s="168" t="s">
        <v>6202</v>
      </c>
      <c r="G466" s="193">
        <f>IF(_1_541284561214624104645789101745[[#This Row],[Type]]&gt;0,VLOOKUP(_1_541284561214624104645789101745[[#This Row],[Type]],Main[[#All],[TYPE]:[UNIT]],'Unit Price'!C$1,FALSE),0)</f>
        <v>0</v>
      </c>
      <c r="H466" s="197">
        <f>IF(_1_541284561214624104645789101745[[#This Row],[Type]]&gt;0,VLOOKUP(_1_541284561214624104645789101745[[#This Row],[Type]],Main[[#All],[TYPE]:[UNIT]],'Unit Price'!D$1,FALSE),0)</f>
        <v>0</v>
      </c>
      <c r="I466" s="194">
        <f>IF(_1_541284561214624104645789101745[[#This Row],[Type]]&gt;0,VLOOKUP(_1_541284561214624104645789101745[[#This Row],[Type]],Main[[#All],[TYPE]:[UNIT]],'Unit Price'!G$1,FALSE),0)</f>
        <v>0</v>
      </c>
      <c r="J466" s="194">
        <f>IF(_1_541284561214624104645789101745[[#This Row],[Type]]&gt;0,VLOOKUP(_1_541284561214624104645789101745[[#This Row],[Type]],Main[[#All],[TYPE]:[UNIT]],'Unit Price'!H$1,FALSE),0)</f>
        <v>0</v>
      </c>
      <c r="K466" s="194">
        <f>IF(_1_541284561214624104645789101745[[#This Row],[Discount selection]]&gt;0,VLOOKUP(_1_541284561214624104645789101745[[#This Row],[Discount selection]],'Discount Structure'!$A$2:$B$30,2,"false"),0)</f>
        <v>1</v>
      </c>
      <c r="L466" s="194">
        <f>_1_541284561214624104645789101745[[#This Row],[LIST $]]*_1_541284561214624104645789101745[[#This Row],[DISCOUNT]]*_1_541284561214624104645789101745[[#This Row],[DISCOUNT 2]]</f>
        <v>0</v>
      </c>
      <c r="M466" s="194">
        <f>IF(OR(_1_541284561214624104645789101745[[#This Row],[UNIT]]&gt;0,_1_541284561214624104645789101745[[#This Row],[UNIT]]&lt;0),_1_541284561214624104645789101745[[#This Row],[UNIT]]*_1_541284561214624104645789101745[[#This Row],[COST]],0)</f>
        <v>0</v>
      </c>
      <c r="N466" s="194">
        <f t="shared" si="7"/>
        <v>1.5</v>
      </c>
      <c r="O466" s="198">
        <f>_1_541284561214624104645789101745[[#This Row],[TOTAL]]*_1_541284561214624104645789101745[[#This Row],[MARGIN]]</f>
        <v>0</v>
      </c>
      <c r="R466" s="41"/>
    </row>
    <row r="467" spans="1:18">
      <c r="D467" s="188"/>
      <c r="F467" s="168" t="s">
        <v>6202</v>
      </c>
      <c r="G467" s="193">
        <f>IF(_1_541284561214624104645789101745[[#This Row],[Type]]&gt;0,VLOOKUP(_1_541284561214624104645789101745[[#This Row],[Type]],Main[[#All],[TYPE]:[UNIT]],'Unit Price'!C$1,FALSE),0)</f>
        <v>0</v>
      </c>
      <c r="H467" s="197">
        <f>IF(_1_541284561214624104645789101745[[#This Row],[Type]]&gt;0,VLOOKUP(_1_541284561214624104645789101745[[#This Row],[Type]],Main[[#All],[TYPE]:[UNIT]],'Unit Price'!D$1,FALSE),0)</f>
        <v>0</v>
      </c>
      <c r="I467" s="194">
        <f>IF(_1_541284561214624104645789101745[[#This Row],[Type]]&gt;0,VLOOKUP(_1_541284561214624104645789101745[[#This Row],[Type]],Main[[#All],[TYPE]:[UNIT]],'Unit Price'!G$1,FALSE),0)</f>
        <v>0</v>
      </c>
      <c r="J467" s="194">
        <f>IF(_1_541284561214624104645789101745[[#This Row],[Type]]&gt;0,VLOOKUP(_1_541284561214624104645789101745[[#This Row],[Type]],Main[[#All],[TYPE]:[UNIT]],'Unit Price'!H$1,FALSE),0)</f>
        <v>0</v>
      </c>
      <c r="K467" s="194">
        <f>IF(_1_541284561214624104645789101745[[#This Row],[Discount selection]]&gt;0,VLOOKUP(_1_541284561214624104645789101745[[#This Row],[Discount selection]],'Discount Structure'!$A$2:$B$30,2,"false"),0)</f>
        <v>1</v>
      </c>
      <c r="L467" s="194">
        <f>_1_541284561214624104645789101745[[#This Row],[LIST $]]*_1_541284561214624104645789101745[[#This Row],[DISCOUNT]]*_1_541284561214624104645789101745[[#This Row],[DISCOUNT 2]]</f>
        <v>0</v>
      </c>
      <c r="M467" s="194">
        <f>IF(OR(_1_541284561214624104645789101745[[#This Row],[UNIT]]&gt;0,_1_541284561214624104645789101745[[#This Row],[UNIT]]&lt;0),_1_541284561214624104645789101745[[#This Row],[UNIT]]*_1_541284561214624104645789101745[[#This Row],[COST]],0)</f>
        <v>0</v>
      </c>
      <c r="N467" s="194">
        <f t="shared" si="7"/>
        <v>1.5</v>
      </c>
      <c r="O467" s="198">
        <f>_1_541284561214624104645789101745[[#This Row],[TOTAL]]*_1_541284561214624104645789101745[[#This Row],[MARGIN]]</f>
        <v>0</v>
      </c>
      <c r="R467" s="41"/>
    </row>
    <row r="468" spans="1:18">
      <c r="D468" s="188"/>
      <c r="F468" s="168" t="s">
        <v>6202</v>
      </c>
      <c r="G468" s="193">
        <f>IF(_1_541284561214624104645789101745[[#This Row],[Type]]&gt;0,VLOOKUP(_1_541284561214624104645789101745[[#This Row],[Type]],Main[[#All],[TYPE]:[UNIT]],'Unit Price'!C$1,FALSE),0)</f>
        <v>0</v>
      </c>
      <c r="H468" s="197">
        <f>IF(_1_541284561214624104645789101745[[#This Row],[Type]]&gt;0,VLOOKUP(_1_541284561214624104645789101745[[#This Row],[Type]],Main[[#All],[TYPE]:[UNIT]],'Unit Price'!D$1,FALSE),0)</f>
        <v>0</v>
      </c>
      <c r="I468" s="194">
        <f>IF(_1_541284561214624104645789101745[[#This Row],[Type]]&gt;0,VLOOKUP(_1_541284561214624104645789101745[[#This Row],[Type]],Main[[#All],[TYPE]:[UNIT]],'Unit Price'!G$1,FALSE),0)</f>
        <v>0</v>
      </c>
      <c r="J468" s="194">
        <f>IF(_1_541284561214624104645789101745[[#This Row],[Type]]&gt;0,VLOOKUP(_1_541284561214624104645789101745[[#This Row],[Type]],Main[[#All],[TYPE]:[UNIT]],'Unit Price'!H$1,FALSE),0)</f>
        <v>0</v>
      </c>
      <c r="K468" s="194">
        <f>IF(_1_541284561214624104645789101745[[#This Row],[Discount selection]]&gt;0,VLOOKUP(_1_541284561214624104645789101745[[#This Row],[Discount selection]],'Discount Structure'!$A$2:$B$30,2,"false"),0)</f>
        <v>1</v>
      </c>
      <c r="L468" s="194">
        <f>_1_541284561214624104645789101745[[#This Row],[LIST $]]*_1_541284561214624104645789101745[[#This Row],[DISCOUNT]]*_1_541284561214624104645789101745[[#This Row],[DISCOUNT 2]]</f>
        <v>0</v>
      </c>
      <c r="M468" s="194">
        <f>IF(OR(_1_541284561214624104645789101745[[#This Row],[UNIT]]&gt;0,_1_541284561214624104645789101745[[#This Row],[UNIT]]&lt;0),_1_541284561214624104645789101745[[#This Row],[UNIT]]*_1_541284561214624104645789101745[[#This Row],[COST]],0)</f>
        <v>0</v>
      </c>
      <c r="N468" s="194">
        <f t="shared" si="7"/>
        <v>1.5</v>
      </c>
      <c r="O468" s="198">
        <f>_1_541284561214624104645789101745[[#This Row],[TOTAL]]*_1_541284561214624104645789101745[[#This Row],[MARGIN]]</f>
        <v>0</v>
      </c>
      <c r="R468" s="41"/>
    </row>
    <row r="469" spans="1:18">
      <c r="B469" s="168"/>
      <c r="D469" s="188"/>
      <c r="F469" s="168" t="s">
        <v>6202</v>
      </c>
      <c r="G469" s="193">
        <f>IF(_1_541284561214624104645789101745[[#This Row],[Type]]&gt;0,VLOOKUP(_1_541284561214624104645789101745[[#This Row],[Type]],Main[[#All],[TYPE]:[UNIT]],'Unit Price'!C$1,FALSE),0)</f>
        <v>0</v>
      </c>
      <c r="H469" s="197">
        <f>IF(_1_541284561214624104645789101745[[#This Row],[Type]]&gt;0,VLOOKUP(_1_541284561214624104645789101745[[#This Row],[Type]],Main[[#All],[TYPE]:[UNIT]],'Unit Price'!D$1,FALSE),0)</f>
        <v>0</v>
      </c>
      <c r="I469" s="194">
        <f>IF(_1_541284561214624104645789101745[[#This Row],[Type]]&gt;0,VLOOKUP(_1_541284561214624104645789101745[[#This Row],[Type]],Main[[#All],[TYPE]:[UNIT]],'Unit Price'!G$1,FALSE),0)</f>
        <v>0</v>
      </c>
      <c r="J469" s="194">
        <f>IF(_1_541284561214624104645789101745[[#This Row],[Type]]&gt;0,VLOOKUP(_1_541284561214624104645789101745[[#This Row],[Type]],Main[[#All],[TYPE]:[UNIT]],'Unit Price'!H$1,FALSE),0)</f>
        <v>0</v>
      </c>
      <c r="K469" s="194">
        <f>IF(_1_541284561214624104645789101745[[#This Row],[Discount selection]]&gt;0,VLOOKUP(_1_541284561214624104645789101745[[#This Row],[Discount selection]],'Discount Structure'!$A$2:$B$30,2,"false"),0)</f>
        <v>1</v>
      </c>
      <c r="L469" s="194">
        <f>_1_541284561214624104645789101745[[#This Row],[LIST $]]*_1_541284561214624104645789101745[[#This Row],[DISCOUNT]]*_1_541284561214624104645789101745[[#This Row],[DISCOUNT 2]]</f>
        <v>0</v>
      </c>
      <c r="M469" s="194">
        <f>IF(OR(_1_541284561214624104645789101745[[#This Row],[UNIT]]&gt;0,_1_541284561214624104645789101745[[#This Row],[UNIT]]&lt;0),_1_541284561214624104645789101745[[#This Row],[UNIT]]*_1_541284561214624104645789101745[[#This Row],[COST]],0)</f>
        <v>0</v>
      </c>
      <c r="N469" s="194">
        <f t="shared" si="7"/>
        <v>1.5</v>
      </c>
      <c r="O469" s="198">
        <f>_1_541284561214624104645789101745[[#This Row],[TOTAL]]*_1_541284561214624104645789101745[[#This Row],[MARGIN]]</f>
        <v>0</v>
      </c>
      <c r="R469" s="41"/>
    </row>
    <row r="470" spans="1:18">
      <c r="A470" s="168"/>
      <c r="D470" s="188"/>
      <c r="F470" s="168" t="s">
        <v>6202</v>
      </c>
      <c r="G470" s="193">
        <f>IF(_1_541284561214624104645789101745[[#This Row],[Type]]&gt;0,VLOOKUP(_1_541284561214624104645789101745[[#This Row],[Type]],Main[[#All],[TYPE]:[UNIT]],'Unit Price'!C$1,FALSE),0)</f>
        <v>0</v>
      </c>
      <c r="H470" s="197">
        <f>IF(_1_541284561214624104645789101745[[#This Row],[Type]]&gt;0,VLOOKUP(_1_541284561214624104645789101745[[#This Row],[Type]],Main[[#All],[TYPE]:[UNIT]],'Unit Price'!D$1,FALSE),0)</f>
        <v>0</v>
      </c>
      <c r="I470" s="194">
        <f>IF(_1_541284561214624104645789101745[[#This Row],[Type]]&gt;0,VLOOKUP(_1_541284561214624104645789101745[[#This Row],[Type]],Main[[#All],[TYPE]:[UNIT]],'Unit Price'!G$1,FALSE),0)</f>
        <v>0</v>
      </c>
      <c r="J470" s="194">
        <f>IF(_1_541284561214624104645789101745[[#This Row],[Type]]&gt;0,VLOOKUP(_1_541284561214624104645789101745[[#This Row],[Type]],Main[[#All],[TYPE]:[UNIT]],'Unit Price'!H$1,FALSE),0)</f>
        <v>0</v>
      </c>
      <c r="K470" s="194">
        <f>IF(_1_541284561214624104645789101745[[#This Row],[Discount selection]]&gt;0,VLOOKUP(_1_541284561214624104645789101745[[#This Row],[Discount selection]],'Discount Structure'!$A$2:$B$30,2,"false"),0)</f>
        <v>1</v>
      </c>
      <c r="L470" s="194">
        <f>_1_541284561214624104645789101745[[#This Row],[LIST $]]*_1_541284561214624104645789101745[[#This Row],[DISCOUNT]]*_1_541284561214624104645789101745[[#This Row],[DISCOUNT 2]]</f>
        <v>0</v>
      </c>
      <c r="M470" s="194">
        <f>IF(OR(_1_541284561214624104645789101745[[#This Row],[UNIT]]&gt;0,_1_541284561214624104645789101745[[#This Row],[UNIT]]&lt;0),_1_541284561214624104645789101745[[#This Row],[UNIT]]*_1_541284561214624104645789101745[[#This Row],[COST]],0)</f>
        <v>0</v>
      </c>
      <c r="N470" s="194">
        <f t="shared" si="7"/>
        <v>1.5</v>
      </c>
      <c r="O470" s="198">
        <f>_1_541284561214624104645789101745[[#This Row],[TOTAL]]*_1_541284561214624104645789101745[[#This Row],[MARGIN]]</f>
        <v>0</v>
      </c>
      <c r="R470" s="41"/>
    </row>
    <row r="471" spans="1:18">
      <c r="D471" s="188"/>
      <c r="F471" s="168" t="s">
        <v>6202</v>
      </c>
      <c r="G471" s="193">
        <f>IF(_1_541284561214624104645789101745[[#This Row],[Type]]&gt;0,VLOOKUP(_1_541284561214624104645789101745[[#This Row],[Type]],Main[[#All],[TYPE]:[UNIT]],'Unit Price'!C$1,FALSE),0)</f>
        <v>0</v>
      </c>
      <c r="H471" s="197">
        <f>IF(_1_541284561214624104645789101745[[#This Row],[Type]]&gt;0,VLOOKUP(_1_541284561214624104645789101745[[#This Row],[Type]],Main[[#All],[TYPE]:[UNIT]],'Unit Price'!D$1,FALSE),0)</f>
        <v>0</v>
      </c>
      <c r="I471" s="194">
        <f>IF(_1_541284561214624104645789101745[[#This Row],[Type]]&gt;0,VLOOKUP(_1_541284561214624104645789101745[[#This Row],[Type]],Main[[#All],[TYPE]:[UNIT]],'Unit Price'!G$1,FALSE),0)</f>
        <v>0</v>
      </c>
      <c r="J471" s="194">
        <f>IF(_1_541284561214624104645789101745[[#This Row],[Type]]&gt;0,VLOOKUP(_1_541284561214624104645789101745[[#This Row],[Type]],Main[[#All],[TYPE]:[UNIT]],'Unit Price'!H$1,FALSE),0)</f>
        <v>0</v>
      </c>
      <c r="K471" s="194">
        <f>IF(_1_541284561214624104645789101745[[#This Row],[Discount selection]]&gt;0,VLOOKUP(_1_541284561214624104645789101745[[#This Row],[Discount selection]],'Discount Structure'!$A$2:$B$30,2,"false"),0)</f>
        <v>1</v>
      </c>
      <c r="L471" s="194">
        <f>_1_541284561214624104645789101745[[#This Row],[LIST $]]*_1_541284561214624104645789101745[[#This Row],[DISCOUNT]]*_1_541284561214624104645789101745[[#This Row],[DISCOUNT 2]]</f>
        <v>0</v>
      </c>
      <c r="M471" s="194">
        <f>IF(OR(_1_541284561214624104645789101745[[#This Row],[UNIT]]&gt;0,_1_541284561214624104645789101745[[#This Row],[UNIT]]&lt;0),_1_541284561214624104645789101745[[#This Row],[UNIT]]*_1_541284561214624104645789101745[[#This Row],[COST]],0)</f>
        <v>0</v>
      </c>
      <c r="N471" s="194">
        <f t="shared" si="7"/>
        <v>1.5</v>
      </c>
      <c r="O471" s="198">
        <f>_1_541284561214624104645789101745[[#This Row],[TOTAL]]*_1_541284561214624104645789101745[[#This Row],[MARGIN]]</f>
        <v>0</v>
      </c>
      <c r="R471" s="41"/>
    </row>
    <row r="472" spans="1:18">
      <c r="A472" s="168"/>
      <c r="D472" s="188"/>
      <c r="F472" s="168" t="s">
        <v>6202</v>
      </c>
      <c r="G472" s="193">
        <f>IF(_1_541284561214624104645789101745[[#This Row],[Type]]&gt;0,VLOOKUP(_1_541284561214624104645789101745[[#This Row],[Type]],Main[[#All],[TYPE]:[UNIT]],'Unit Price'!C$1,FALSE),0)</f>
        <v>0</v>
      </c>
      <c r="H472" s="197">
        <f>IF(_1_541284561214624104645789101745[[#This Row],[Type]]&gt;0,VLOOKUP(_1_541284561214624104645789101745[[#This Row],[Type]],Main[[#All],[TYPE]:[UNIT]],'Unit Price'!D$1,FALSE),0)</f>
        <v>0</v>
      </c>
      <c r="I472" s="194">
        <f>IF(_1_541284561214624104645789101745[[#This Row],[Type]]&gt;0,VLOOKUP(_1_541284561214624104645789101745[[#This Row],[Type]],Main[[#All],[TYPE]:[UNIT]],'Unit Price'!G$1,FALSE),0)</f>
        <v>0</v>
      </c>
      <c r="J472" s="194">
        <f>IF(_1_541284561214624104645789101745[[#This Row],[Type]]&gt;0,VLOOKUP(_1_541284561214624104645789101745[[#This Row],[Type]],Main[[#All],[TYPE]:[UNIT]],'Unit Price'!H$1,FALSE),0)</f>
        <v>0</v>
      </c>
      <c r="K472" s="194">
        <f>IF(_1_541284561214624104645789101745[[#This Row],[Discount selection]]&gt;0,VLOOKUP(_1_541284561214624104645789101745[[#This Row],[Discount selection]],'Discount Structure'!$A$2:$B$30,2,"false"),0)</f>
        <v>1</v>
      </c>
      <c r="L472" s="194">
        <f>_1_541284561214624104645789101745[[#This Row],[LIST $]]*_1_541284561214624104645789101745[[#This Row],[DISCOUNT]]*_1_541284561214624104645789101745[[#This Row],[DISCOUNT 2]]</f>
        <v>0</v>
      </c>
      <c r="M472" s="194">
        <f>IF(OR(_1_541284561214624104645789101745[[#This Row],[UNIT]]&gt;0,_1_541284561214624104645789101745[[#This Row],[UNIT]]&lt;0),_1_541284561214624104645789101745[[#This Row],[UNIT]]*_1_541284561214624104645789101745[[#This Row],[COST]],0)</f>
        <v>0</v>
      </c>
      <c r="N472" s="194">
        <f t="shared" si="7"/>
        <v>1.5</v>
      </c>
      <c r="O472" s="198">
        <f>_1_541284561214624104645789101745[[#This Row],[TOTAL]]*_1_541284561214624104645789101745[[#This Row],[MARGIN]]</f>
        <v>0</v>
      </c>
      <c r="R472" s="41"/>
    </row>
    <row r="473" spans="1:18">
      <c r="D473" s="188"/>
      <c r="F473" s="168" t="s">
        <v>6202</v>
      </c>
      <c r="G473" s="193">
        <f>IF(_1_541284561214624104645789101745[[#This Row],[Type]]&gt;0,VLOOKUP(_1_541284561214624104645789101745[[#This Row],[Type]],Main[[#All],[TYPE]:[UNIT]],'Unit Price'!C$1,FALSE),0)</f>
        <v>0</v>
      </c>
      <c r="H473" s="197">
        <f>IF(_1_541284561214624104645789101745[[#This Row],[Type]]&gt;0,VLOOKUP(_1_541284561214624104645789101745[[#This Row],[Type]],Main[[#All],[TYPE]:[UNIT]],'Unit Price'!D$1,FALSE),0)</f>
        <v>0</v>
      </c>
      <c r="I473" s="194">
        <f>IF(_1_541284561214624104645789101745[[#This Row],[Type]]&gt;0,VLOOKUP(_1_541284561214624104645789101745[[#This Row],[Type]],Main[[#All],[TYPE]:[UNIT]],'Unit Price'!G$1,FALSE),0)</f>
        <v>0</v>
      </c>
      <c r="J473" s="194">
        <f>IF(_1_541284561214624104645789101745[[#This Row],[Type]]&gt;0,VLOOKUP(_1_541284561214624104645789101745[[#This Row],[Type]],Main[[#All],[TYPE]:[UNIT]],'Unit Price'!H$1,FALSE),0)</f>
        <v>0</v>
      </c>
      <c r="K473" s="194">
        <f>IF(_1_541284561214624104645789101745[[#This Row],[Discount selection]]&gt;0,VLOOKUP(_1_541284561214624104645789101745[[#This Row],[Discount selection]],'Discount Structure'!$A$2:$B$30,2,"false"),0)</f>
        <v>1</v>
      </c>
      <c r="L473" s="194">
        <f>_1_541284561214624104645789101745[[#This Row],[LIST $]]*_1_541284561214624104645789101745[[#This Row],[DISCOUNT]]*_1_541284561214624104645789101745[[#This Row],[DISCOUNT 2]]</f>
        <v>0</v>
      </c>
      <c r="M473" s="194">
        <f>IF(OR(_1_541284561214624104645789101745[[#This Row],[UNIT]]&gt;0,_1_541284561214624104645789101745[[#This Row],[UNIT]]&lt;0),_1_541284561214624104645789101745[[#This Row],[UNIT]]*_1_541284561214624104645789101745[[#This Row],[COST]],0)</f>
        <v>0</v>
      </c>
      <c r="N473" s="194">
        <f t="shared" si="7"/>
        <v>1.5</v>
      </c>
      <c r="O473" s="198">
        <f>_1_541284561214624104645789101745[[#This Row],[TOTAL]]*_1_541284561214624104645789101745[[#This Row],[MARGIN]]</f>
        <v>0</v>
      </c>
      <c r="R473" s="41"/>
    </row>
    <row r="474" spans="1:18">
      <c r="D474" s="188"/>
      <c r="F474" s="168" t="s">
        <v>6202</v>
      </c>
      <c r="G474" s="193">
        <f>IF(_1_541284561214624104645789101745[[#This Row],[Type]]&gt;0,VLOOKUP(_1_541284561214624104645789101745[[#This Row],[Type]],Main[[#All],[TYPE]:[UNIT]],'Unit Price'!C$1,FALSE),0)</f>
        <v>0</v>
      </c>
      <c r="H474" s="197">
        <f>IF(_1_541284561214624104645789101745[[#This Row],[Type]]&gt;0,VLOOKUP(_1_541284561214624104645789101745[[#This Row],[Type]],Main[[#All],[TYPE]:[UNIT]],'Unit Price'!D$1,FALSE),0)</f>
        <v>0</v>
      </c>
      <c r="I474" s="194">
        <f>IF(_1_541284561214624104645789101745[[#This Row],[Type]]&gt;0,VLOOKUP(_1_541284561214624104645789101745[[#This Row],[Type]],Main[[#All],[TYPE]:[UNIT]],'Unit Price'!G$1,FALSE),0)</f>
        <v>0</v>
      </c>
      <c r="J474" s="194">
        <f>IF(_1_541284561214624104645789101745[[#This Row],[Type]]&gt;0,VLOOKUP(_1_541284561214624104645789101745[[#This Row],[Type]],Main[[#All],[TYPE]:[UNIT]],'Unit Price'!H$1,FALSE),0)</f>
        <v>0</v>
      </c>
      <c r="K474" s="194">
        <f>IF(_1_541284561214624104645789101745[[#This Row],[Discount selection]]&gt;0,VLOOKUP(_1_541284561214624104645789101745[[#This Row],[Discount selection]],'Discount Structure'!$A$2:$B$30,2,"false"),0)</f>
        <v>1</v>
      </c>
      <c r="L474" s="194">
        <f>_1_541284561214624104645789101745[[#This Row],[LIST $]]*_1_541284561214624104645789101745[[#This Row],[DISCOUNT]]*_1_541284561214624104645789101745[[#This Row],[DISCOUNT 2]]</f>
        <v>0</v>
      </c>
      <c r="M474" s="194">
        <f>IF(OR(_1_541284561214624104645789101745[[#This Row],[UNIT]]&gt;0,_1_541284561214624104645789101745[[#This Row],[UNIT]]&lt;0),_1_541284561214624104645789101745[[#This Row],[UNIT]]*_1_541284561214624104645789101745[[#This Row],[COST]],0)</f>
        <v>0</v>
      </c>
      <c r="N474" s="194">
        <f t="shared" si="7"/>
        <v>1.5</v>
      </c>
      <c r="O474" s="198">
        <f>_1_541284561214624104645789101745[[#This Row],[TOTAL]]*_1_541284561214624104645789101745[[#This Row],[MARGIN]]</f>
        <v>0</v>
      </c>
      <c r="R474" s="41"/>
    </row>
    <row r="475" spans="1:18">
      <c r="D475" s="188"/>
      <c r="F475" s="168" t="s">
        <v>6202</v>
      </c>
      <c r="G475" s="193">
        <f>IF(_1_541284561214624104645789101745[[#This Row],[Type]]&gt;0,VLOOKUP(_1_541284561214624104645789101745[[#This Row],[Type]],Main[[#All],[TYPE]:[UNIT]],'Unit Price'!C$1,FALSE),0)</f>
        <v>0</v>
      </c>
      <c r="H475" s="197">
        <f>IF(_1_541284561214624104645789101745[[#This Row],[Type]]&gt;0,VLOOKUP(_1_541284561214624104645789101745[[#This Row],[Type]],Main[[#All],[TYPE]:[UNIT]],'Unit Price'!D$1,FALSE),0)</f>
        <v>0</v>
      </c>
      <c r="I475" s="194">
        <f>IF(_1_541284561214624104645789101745[[#This Row],[Type]]&gt;0,VLOOKUP(_1_541284561214624104645789101745[[#This Row],[Type]],Main[[#All],[TYPE]:[UNIT]],'Unit Price'!G$1,FALSE),0)</f>
        <v>0</v>
      </c>
      <c r="J475" s="194">
        <f>IF(_1_541284561214624104645789101745[[#This Row],[Type]]&gt;0,VLOOKUP(_1_541284561214624104645789101745[[#This Row],[Type]],Main[[#All],[TYPE]:[UNIT]],'Unit Price'!H$1,FALSE),0)</f>
        <v>0</v>
      </c>
      <c r="K475" s="194">
        <f>IF(_1_541284561214624104645789101745[[#This Row],[Discount selection]]&gt;0,VLOOKUP(_1_541284561214624104645789101745[[#This Row],[Discount selection]],'Discount Structure'!$A$2:$B$30,2,"false"),0)</f>
        <v>1</v>
      </c>
      <c r="L475" s="194">
        <f>_1_541284561214624104645789101745[[#This Row],[LIST $]]*_1_541284561214624104645789101745[[#This Row],[DISCOUNT]]*_1_541284561214624104645789101745[[#This Row],[DISCOUNT 2]]</f>
        <v>0</v>
      </c>
      <c r="M475" s="194">
        <f>IF(OR(_1_541284561214624104645789101745[[#This Row],[UNIT]]&gt;0,_1_541284561214624104645789101745[[#This Row],[UNIT]]&lt;0),_1_541284561214624104645789101745[[#This Row],[UNIT]]*_1_541284561214624104645789101745[[#This Row],[COST]],0)</f>
        <v>0</v>
      </c>
      <c r="N475" s="194">
        <f t="shared" si="7"/>
        <v>1.5</v>
      </c>
      <c r="O475" s="198">
        <f>_1_541284561214624104645789101745[[#This Row],[TOTAL]]*_1_541284561214624104645789101745[[#This Row],[MARGIN]]</f>
        <v>0</v>
      </c>
      <c r="R475" s="41"/>
    </row>
    <row r="476" spans="1:18">
      <c r="D476" s="188"/>
      <c r="F476" s="168" t="s">
        <v>6202</v>
      </c>
      <c r="G476" s="192">
        <f>IF(_1_541284561214624104645789101745[[#This Row],[Type]]&gt;0,VLOOKUP(_1_541284561214624104645789101745[[#This Row],[Type]],Main[[#All],[TYPE]:[UNIT]],'Unit Price'!C$1,FALSE),0)</f>
        <v>0</v>
      </c>
      <c r="H476" s="197">
        <f>IF(_1_541284561214624104645789101745[[#This Row],[Type]]&gt;0,VLOOKUP(_1_541284561214624104645789101745[[#This Row],[Type]],Main[[#All],[TYPE]:[UNIT]],'Unit Price'!D$1,FALSE),0)</f>
        <v>0</v>
      </c>
      <c r="I476" s="194">
        <f>IF(_1_541284561214624104645789101745[[#This Row],[Type]]&gt;0,VLOOKUP(_1_541284561214624104645789101745[[#This Row],[Type]],Main[[#All],[TYPE]:[UNIT]],'Unit Price'!G$1,FALSE),0)</f>
        <v>0</v>
      </c>
      <c r="J476" s="194">
        <f>IF(_1_541284561214624104645789101745[[#This Row],[Type]]&gt;0,VLOOKUP(_1_541284561214624104645789101745[[#This Row],[Type]],Main[[#All],[TYPE]:[UNIT]],'Unit Price'!H$1,FALSE),0)</f>
        <v>0</v>
      </c>
      <c r="K476" s="194">
        <f>IF(_1_541284561214624104645789101745[[#This Row],[Discount selection]]&gt;0,VLOOKUP(_1_541284561214624104645789101745[[#This Row],[Discount selection]],'Discount Structure'!$A$2:$B$30,2,"false"),0)</f>
        <v>1</v>
      </c>
      <c r="L476" s="194">
        <f>_1_541284561214624104645789101745[[#This Row],[LIST $]]*_1_541284561214624104645789101745[[#This Row],[DISCOUNT]]*_1_541284561214624104645789101745[[#This Row],[DISCOUNT 2]]</f>
        <v>0</v>
      </c>
      <c r="M476" s="194">
        <f>IF(OR(_1_541284561214624104645789101745[[#This Row],[UNIT]]&gt;0,_1_541284561214624104645789101745[[#This Row],[UNIT]]&lt;0),_1_541284561214624104645789101745[[#This Row],[UNIT]]*_1_541284561214624104645789101745[[#This Row],[COST]],0)</f>
        <v>0</v>
      </c>
      <c r="N476" s="194">
        <f t="shared" si="7"/>
        <v>1.5</v>
      </c>
      <c r="O476" s="198">
        <f>_1_541284561214624104645789101745[[#This Row],[TOTAL]]*_1_541284561214624104645789101745[[#This Row],[MARGIN]]</f>
        <v>0</v>
      </c>
      <c r="R476" s="41"/>
    </row>
    <row r="477" spans="1:18">
      <c r="D477" s="188"/>
      <c r="F477" s="168" t="s">
        <v>6202</v>
      </c>
      <c r="G477" s="193">
        <f>IF(_1_541284561214624104645789101745[[#This Row],[Type]]&gt;0,VLOOKUP(_1_541284561214624104645789101745[[#This Row],[Type]],Main[[#All],[TYPE]:[UNIT]],'Unit Price'!C$1,FALSE),0)</f>
        <v>0</v>
      </c>
      <c r="H477" s="197">
        <f>IF(_1_541284561214624104645789101745[[#This Row],[Type]]&gt;0,VLOOKUP(_1_541284561214624104645789101745[[#This Row],[Type]],Main[[#All],[TYPE]:[UNIT]],'Unit Price'!D$1,FALSE),0)</f>
        <v>0</v>
      </c>
      <c r="I477" s="194">
        <f>IF(_1_541284561214624104645789101745[[#This Row],[Type]]&gt;0,VLOOKUP(_1_541284561214624104645789101745[[#This Row],[Type]],Main[[#All],[TYPE]:[UNIT]],'Unit Price'!G$1,FALSE),0)</f>
        <v>0</v>
      </c>
      <c r="J477" s="194">
        <f>IF(_1_541284561214624104645789101745[[#This Row],[Type]]&gt;0,VLOOKUP(_1_541284561214624104645789101745[[#This Row],[Type]],Main[[#All],[TYPE]:[UNIT]],'Unit Price'!H$1,FALSE),0)</f>
        <v>0</v>
      </c>
      <c r="K477" s="194">
        <f>IF(_1_541284561214624104645789101745[[#This Row],[Discount selection]]&gt;0,VLOOKUP(_1_541284561214624104645789101745[[#This Row],[Discount selection]],'Discount Structure'!$A$2:$B$30,2,"false"),0)</f>
        <v>1</v>
      </c>
      <c r="L477" s="194">
        <f>_1_541284561214624104645789101745[[#This Row],[LIST $]]*_1_541284561214624104645789101745[[#This Row],[DISCOUNT]]*_1_541284561214624104645789101745[[#This Row],[DISCOUNT 2]]</f>
        <v>0</v>
      </c>
      <c r="M477" s="194">
        <f>IF(OR(_1_541284561214624104645789101745[[#This Row],[UNIT]]&gt;0,_1_541284561214624104645789101745[[#This Row],[UNIT]]&lt;0),_1_541284561214624104645789101745[[#This Row],[UNIT]]*_1_541284561214624104645789101745[[#This Row],[COST]],0)</f>
        <v>0</v>
      </c>
      <c r="N477" s="194">
        <f t="shared" si="7"/>
        <v>1.5</v>
      </c>
      <c r="O477" s="198">
        <f>_1_541284561214624104645789101745[[#This Row],[TOTAL]]*_1_541284561214624104645789101745[[#This Row],[MARGIN]]</f>
        <v>0</v>
      </c>
      <c r="R477" s="41"/>
    </row>
    <row r="478" spans="1:18">
      <c r="A478" s="168"/>
      <c r="D478" s="188"/>
      <c r="F478" s="168" t="s">
        <v>6202</v>
      </c>
      <c r="G478" s="192">
        <f>IF(_1_541284561214624104645789101745[[#This Row],[Type]]&gt;0,VLOOKUP(_1_541284561214624104645789101745[[#This Row],[Type]],Main[[#All],[TYPE]:[UNIT]],'Unit Price'!C$1,FALSE),0)</f>
        <v>0</v>
      </c>
      <c r="H478" s="197">
        <f>IF(_1_541284561214624104645789101745[[#This Row],[Type]]&gt;0,VLOOKUP(_1_541284561214624104645789101745[[#This Row],[Type]],Main[[#All],[TYPE]:[UNIT]],'Unit Price'!D$1,FALSE),0)</f>
        <v>0</v>
      </c>
      <c r="I478" s="194">
        <f>IF(_1_541284561214624104645789101745[[#This Row],[Type]]&gt;0,VLOOKUP(_1_541284561214624104645789101745[[#This Row],[Type]],Main[[#All],[TYPE]:[UNIT]],'Unit Price'!G$1,FALSE),0)</f>
        <v>0</v>
      </c>
      <c r="J478" s="194">
        <f>IF(_1_541284561214624104645789101745[[#This Row],[Type]]&gt;0,VLOOKUP(_1_541284561214624104645789101745[[#This Row],[Type]],Main[[#All],[TYPE]:[UNIT]],'Unit Price'!H$1,FALSE),0)</f>
        <v>0</v>
      </c>
      <c r="K478" s="194">
        <f>IF(_1_541284561214624104645789101745[[#This Row],[Discount selection]]&gt;0,VLOOKUP(_1_541284561214624104645789101745[[#This Row],[Discount selection]],'Discount Structure'!$A$2:$B$30,2,"false"),0)</f>
        <v>1</v>
      </c>
      <c r="L478" s="194">
        <f>_1_541284561214624104645789101745[[#This Row],[LIST $]]*_1_541284561214624104645789101745[[#This Row],[DISCOUNT]]*_1_541284561214624104645789101745[[#This Row],[DISCOUNT 2]]</f>
        <v>0</v>
      </c>
      <c r="M478" s="194">
        <f>IF(OR(_1_541284561214624104645789101745[[#This Row],[UNIT]]&gt;0,_1_541284561214624104645789101745[[#This Row],[UNIT]]&lt;0),_1_541284561214624104645789101745[[#This Row],[UNIT]]*_1_541284561214624104645789101745[[#This Row],[COST]],0)</f>
        <v>0</v>
      </c>
      <c r="N478" s="194">
        <f t="shared" si="7"/>
        <v>1.5</v>
      </c>
      <c r="O478" s="198">
        <f>_1_541284561214624104645789101745[[#This Row],[TOTAL]]*_1_541284561214624104645789101745[[#This Row],[MARGIN]]</f>
        <v>0</v>
      </c>
      <c r="R478" s="41"/>
    </row>
    <row r="479" spans="1:18">
      <c r="D479" s="188"/>
      <c r="F479" s="168" t="s">
        <v>6202</v>
      </c>
      <c r="G479" s="193">
        <f>IF(_1_541284561214624104645789101745[[#This Row],[Type]]&gt;0,VLOOKUP(_1_541284561214624104645789101745[[#This Row],[Type]],Main[[#All],[TYPE]:[UNIT]],'Unit Price'!C$1,FALSE),0)</f>
        <v>0</v>
      </c>
      <c r="H479" s="197">
        <f>IF(_1_541284561214624104645789101745[[#This Row],[Type]]&gt;0,VLOOKUP(_1_541284561214624104645789101745[[#This Row],[Type]],Main[[#All],[TYPE]:[UNIT]],'Unit Price'!D$1,FALSE),0)</f>
        <v>0</v>
      </c>
      <c r="I479" s="194">
        <f>IF(_1_541284561214624104645789101745[[#This Row],[Type]]&gt;0,VLOOKUP(_1_541284561214624104645789101745[[#This Row],[Type]],Main[[#All],[TYPE]:[UNIT]],'Unit Price'!G$1,FALSE),0)</f>
        <v>0</v>
      </c>
      <c r="J479" s="194">
        <f>IF(_1_541284561214624104645789101745[[#This Row],[Type]]&gt;0,VLOOKUP(_1_541284561214624104645789101745[[#This Row],[Type]],Main[[#All],[TYPE]:[UNIT]],'Unit Price'!H$1,FALSE),0)</f>
        <v>0</v>
      </c>
      <c r="K479" s="194">
        <f>IF(_1_541284561214624104645789101745[[#This Row],[Discount selection]]&gt;0,VLOOKUP(_1_541284561214624104645789101745[[#This Row],[Discount selection]],'Discount Structure'!$A$2:$B$30,2,"false"),0)</f>
        <v>1</v>
      </c>
      <c r="L479" s="194">
        <f>_1_541284561214624104645789101745[[#This Row],[LIST $]]*_1_541284561214624104645789101745[[#This Row],[DISCOUNT]]*_1_541284561214624104645789101745[[#This Row],[DISCOUNT 2]]</f>
        <v>0</v>
      </c>
      <c r="M479" s="194">
        <f>IF(OR(_1_541284561214624104645789101745[[#This Row],[UNIT]]&gt;0,_1_541284561214624104645789101745[[#This Row],[UNIT]]&lt;0),_1_541284561214624104645789101745[[#This Row],[UNIT]]*_1_541284561214624104645789101745[[#This Row],[COST]],0)</f>
        <v>0</v>
      </c>
      <c r="N479" s="194">
        <f t="shared" si="7"/>
        <v>1.5</v>
      </c>
      <c r="O479" s="198">
        <f>_1_541284561214624104645789101745[[#This Row],[TOTAL]]*_1_541284561214624104645789101745[[#This Row],[MARGIN]]</f>
        <v>0</v>
      </c>
      <c r="R479" s="41"/>
    </row>
    <row r="480" spans="1:18">
      <c r="D480" s="188"/>
      <c r="F480" s="168" t="s">
        <v>6202</v>
      </c>
      <c r="G480" s="193">
        <f>IF(_1_541284561214624104645789101745[[#This Row],[Type]]&gt;0,VLOOKUP(_1_541284561214624104645789101745[[#This Row],[Type]],Main[[#All],[TYPE]:[UNIT]],'Unit Price'!C$1,FALSE),0)</f>
        <v>0</v>
      </c>
      <c r="H480" s="197">
        <f>IF(_1_541284561214624104645789101745[[#This Row],[Type]]&gt;0,VLOOKUP(_1_541284561214624104645789101745[[#This Row],[Type]],Main[[#All],[TYPE]:[UNIT]],'Unit Price'!D$1,FALSE),0)</f>
        <v>0</v>
      </c>
      <c r="I480" s="194">
        <f>IF(_1_541284561214624104645789101745[[#This Row],[Type]]&gt;0,VLOOKUP(_1_541284561214624104645789101745[[#This Row],[Type]],Main[[#All],[TYPE]:[UNIT]],'Unit Price'!G$1,FALSE),0)</f>
        <v>0</v>
      </c>
      <c r="J480" s="194">
        <f>IF(_1_541284561214624104645789101745[[#This Row],[Type]]&gt;0,VLOOKUP(_1_541284561214624104645789101745[[#This Row],[Type]],Main[[#All],[TYPE]:[UNIT]],'Unit Price'!H$1,FALSE),0)</f>
        <v>0</v>
      </c>
      <c r="K480" s="194">
        <f>IF(_1_541284561214624104645789101745[[#This Row],[Discount selection]]&gt;0,VLOOKUP(_1_541284561214624104645789101745[[#This Row],[Discount selection]],'Discount Structure'!$A$2:$B$30,2,"false"),0)</f>
        <v>1</v>
      </c>
      <c r="L480" s="194">
        <f>_1_541284561214624104645789101745[[#This Row],[LIST $]]*_1_541284561214624104645789101745[[#This Row],[DISCOUNT]]*_1_541284561214624104645789101745[[#This Row],[DISCOUNT 2]]</f>
        <v>0</v>
      </c>
      <c r="M480" s="194">
        <f>IF(OR(_1_541284561214624104645789101745[[#This Row],[UNIT]]&gt;0,_1_541284561214624104645789101745[[#This Row],[UNIT]]&lt;0),_1_541284561214624104645789101745[[#This Row],[UNIT]]*_1_541284561214624104645789101745[[#This Row],[COST]],0)</f>
        <v>0</v>
      </c>
      <c r="N480" s="194">
        <f t="shared" si="7"/>
        <v>1.5</v>
      </c>
      <c r="O480" s="198">
        <f>_1_541284561214624104645789101745[[#This Row],[TOTAL]]*_1_541284561214624104645789101745[[#This Row],[MARGIN]]</f>
        <v>0</v>
      </c>
      <c r="R480" s="41"/>
    </row>
    <row r="481" spans="1:18">
      <c r="D481" s="188"/>
      <c r="F481" s="168" t="s">
        <v>6202</v>
      </c>
      <c r="G481" s="193">
        <f>IF(_1_541284561214624104645789101745[[#This Row],[Type]]&gt;0,VLOOKUP(_1_541284561214624104645789101745[[#This Row],[Type]],Main[[#All],[TYPE]:[UNIT]],'Unit Price'!C$1,FALSE),0)</f>
        <v>0</v>
      </c>
      <c r="H481" s="197">
        <f>IF(_1_541284561214624104645789101745[[#This Row],[Type]]&gt;0,VLOOKUP(_1_541284561214624104645789101745[[#This Row],[Type]],Main[[#All],[TYPE]:[UNIT]],'Unit Price'!D$1,FALSE),0)</f>
        <v>0</v>
      </c>
      <c r="I481" s="194">
        <f>IF(_1_541284561214624104645789101745[[#This Row],[Type]]&gt;0,VLOOKUP(_1_541284561214624104645789101745[[#This Row],[Type]],Main[[#All],[TYPE]:[UNIT]],'Unit Price'!G$1,FALSE),0)</f>
        <v>0</v>
      </c>
      <c r="J481" s="194">
        <f>IF(_1_541284561214624104645789101745[[#This Row],[Type]]&gt;0,VLOOKUP(_1_541284561214624104645789101745[[#This Row],[Type]],Main[[#All],[TYPE]:[UNIT]],'Unit Price'!H$1,FALSE),0)</f>
        <v>0</v>
      </c>
      <c r="K481" s="194">
        <f>IF(_1_541284561214624104645789101745[[#This Row],[Discount selection]]&gt;0,VLOOKUP(_1_541284561214624104645789101745[[#This Row],[Discount selection]],'Discount Structure'!$A$2:$B$30,2,"false"),0)</f>
        <v>1</v>
      </c>
      <c r="L481" s="194">
        <f>_1_541284561214624104645789101745[[#This Row],[LIST $]]*_1_541284561214624104645789101745[[#This Row],[DISCOUNT]]*_1_541284561214624104645789101745[[#This Row],[DISCOUNT 2]]</f>
        <v>0</v>
      </c>
      <c r="M481" s="194">
        <f>IF(OR(_1_541284561214624104645789101745[[#This Row],[UNIT]]&gt;0,_1_541284561214624104645789101745[[#This Row],[UNIT]]&lt;0),_1_541284561214624104645789101745[[#This Row],[UNIT]]*_1_541284561214624104645789101745[[#This Row],[COST]],0)</f>
        <v>0</v>
      </c>
      <c r="N481" s="194">
        <f t="shared" si="7"/>
        <v>1.5</v>
      </c>
      <c r="O481" s="198">
        <f>_1_541284561214624104645789101745[[#This Row],[TOTAL]]*_1_541284561214624104645789101745[[#This Row],[MARGIN]]</f>
        <v>0</v>
      </c>
      <c r="R481" s="41"/>
    </row>
    <row r="482" spans="1:18">
      <c r="D482" s="188"/>
      <c r="F482" s="168" t="s">
        <v>6202</v>
      </c>
      <c r="G482" s="193">
        <f>IF(_1_541284561214624104645789101745[[#This Row],[Type]]&gt;0,VLOOKUP(_1_541284561214624104645789101745[[#This Row],[Type]],Main[[#All],[TYPE]:[UNIT]],'Unit Price'!C$1,FALSE),0)</f>
        <v>0</v>
      </c>
      <c r="H482" s="197">
        <f>IF(_1_541284561214624104645789101745[[#This Row],[Type]]&gt;0,VLOOKUP(_1_541284561214624104645789101745[[#This Row],[Type]],Main[[#All],[TYPE]:[UNIT]],'Unit Price'!D$1,FALSE),0)</f>
        <v>0</v>
      </c>
      <c r="I482" s="194">
        <f>IF(_1_541284561214624104645789101745[[#This Row],[Type]]&gt;0,VLOOKUP(_1_541284561214624104645789101745[[#This Row],[Type]],Main[[#All],[TYPE]:[UNIT]],'Unit Price'!G$1,FALSE),0)</f>
        <v>0</v>
      </c>
      <c r="J482" s="194">
        <f>IF(_1_541284561214624104645789101745[[#This Row],[Type]]&gt;0,VLOOKUP(_1_541284561214624104645789101745[[#This Row],[Type]],Main[[#All],[TYPE]:[UNIT]],'Unit Price'!H$1,FALSE),0)</f>
        <v>0</v>
      </c>
      <c r="K482" s="194">
        <f>IF(_1_541284561214624104645789101745[[#This Row],[Discount selection]]&gt;0,VLOOKUP(_1_541284561214624104645789101745[[#This Row],[Discount selection]],'Discount Structure'!$A$2:$B$30,2,"false"),0)</f>
        <v>1</v>
      </c>
      <c r="L482" s="194">
        <f>_1_541284561214624104645789101745[[#This Row],[LIST $]]*_1_541284561214624104645789101745[[#This Row],[DISCOUNT]]*_1_541284561214624104645789101745[[#This Row],[DISCOUNT 2]]</f>
        <v>0</v>
      </c>
      <c r="M482" s="194">
        <f>IF(OR(_1_541284561214624104645789101745[[#This Row],[UNIT]]&gt;0,_1_541284561214624104645789101745[[#This Row],[UNIT]]&lt;0),_1_541284561214624104645789101745[[#This Row],[UNIT]]*_1_541284561214624104645789101745[[#This Row],[COST]],0)</f>
        <v>0</v>
      </c>
      <c r="N482" s="194">
        <f t="shared" si="7"/>
        <v>1.5</v>
      </c>
      <c r="O482" s="198">
        <f>_1_541284561214624104645789101745[[#This Row],[TOTAL]]*_1_541284561214624104645789101745[[#This Row],[MARGIN]]</f>
        <v>0</v>
      </c>
      <c r="R482" s="41"/>
    </row>
    <row r="483" spans="1:18">
      <c r="D483" s="188"/>
      <c r="F483" s="168" t="s">
        <v>6202</v>
      </c>
      <c r="G483" s="193">
        <f>IF(_1_541284561214624104645789101745[[#This Row],[Type]]&gt;0,VLOOKUP(_1_541284561214624104645789101745[[#This Row],[Type]],Main[[#All],[TYPE]:[UNIT]],'Unit Price'!C$1,FALSE),0)</f>
        <v>0</v>
      </c>
      <c r="H483" s="197">
        <f>IF(_1_541284561214624104645789101745[[#This Row],[Type]]&gt;0,VLOOKUP(_1_541284561214624104645789101745[[#This Row],[Type]],Main[[#All],[TYPE]:[UNIT]],'Unit Price'!D$1,FALSE),0)</f>
        <v>0</v>
      </c>
      <c r="I483" s="194">
        <f>IF(_1_541284561214624104645789101745[[#This Row],[Type]]&gt;0,VLOOKUP(_1_541284561214624104645789101745[[#This Row],[Type]],Main[[#All],[TYPE]:[UNIT]],'Unit Price'!G$1,FALSE),0)</f>
        <v>0</v>
      </c>
      <c r="J483" s="194">
        <f>IF(_1_541284561214624104645789101745[[#This Row],[Type]]&gt;0,VLOOKUP(_1_541284561214624104645789101745[[#This Row],[Type]],Main[[#All],[TYPE]:[UNIT]],'Unit Price'!H$1,FALSE),0)</f>
        <v>0</v>
      </c>
      <c r="K483" s="194">
        <f>IF(_1_541284561214624104645789101745[[#This Row],[Discount selection]]&gt;0,VLOOKUP(_1_541284561214624104645789101745[[#This Row],[Discount selection]],'Discount Structure'!$A$2:$B$30,2,"false"),0)</f>
        <v>1</v>
      </c>
      <c r="L483" s="194">
        <f>_1_541284561214624104645789101745[[#This Row],[LIST $]]*_1_541284561214624104645789101745[[#This Row],[DISCOUNT]]*_1_541284561214624104645789101745[[#This Row],[DISCOUNT 2]]</f>
        <v>0</v>
      </c>
      <c r="M483" s="194">
        <f>IF(OR(_1_541284561214624104645789101745[[#This Row],[UNIT]]&gt;0,_1_541284561214624104645789101745[[#This Row],[UNIT]]&lt;0),_1_541284561214624104645789101745[[#This Row],[UNIT]]*_1_541284561214624104645789101745[[#This Row],[COST]],0)</f>
        <v>0</v>
      </c>
      <c r="N483" s="194">
        <f t="shared" si="7"/>
        <v>1.5</v>
      </c>
      <c r="O483" s="198">
        <f>_1_541284561214624104645789101745[[#This Row],[TOTAL]]*_1_541284561214624104645789101745[[#This Row],[MARGIN]]</f>
        <v>0</v>
      </c>
      <c r="R483" s="41"/>
    </row>
    <row r="484" spans="1:18">
      <c r="D484" s="188"/>
      <c r="F484" s="168" t="s">
        <v>6202</v>
      </c>
      <c r="G484" s="193">
        <f>IF(_1_541284561214624104645789101745[[#This Row],[Type]]&gt;0,VLOOKUP(_1_541284561214624104645789101745[[#This Row],[Type]],Main[[#All],[TYPE]:[UNIT]],'Unit Price'!C$1,FALSE),0)</f>
        <v>0</v>
      </c>
      <c r="H484" s="197">
        <f>IF(_1_541284561214624104645789101745[[#This Row],[Type]]&gt;0,VLOOKUP(_1_541284561214624104645789101745[[#This Row],[Type]],Main[[#All],[TYPE]:[UNIT]],'Unit Price'!D$1,FALSE),0)</f>
        <v>0</v>
      </c>
      <c r="I484" s="194">
        <f>IF(_1_541284561214624104645789101745[[#This Row],[Type]]&gt;0,VLOOKUP(_1_541284561214624104645789101745[[#This Row],[Type]],Main[[#All],[TYPE]:[UNIT]],'Unit Price'!G$1,FALSE),0)</f>
        <v>0</v>
      </c>
      <c r="J484" s="194">
        <f>IF(_1_541284561214624104645789101745[[#This Row],[Type]]&gt;0,VLOOKUP(_1_541284561214624104645789101745[[#This Row],[Type]],Main[[#All],[TYPE]:[UNIT]],'Unit Price'!H$1,FALSE),0)</f>
        <v>0</v>
      </c>
      <c r="K484" s="194">
        <f>IF(_1_541284561214624104645789101745[[#This Row],[Discount selection]]&gt;0,VLOOKUP(_1_541284561214624104645789101745[[#This Row],[Discount selection]],'Discount Structure'!$A$2:$B$30,2,"false"),0)</f>
        <v>1</v>
      </c>
      <c r="L484" s="194">
        <f>_1_541284561214624104645789101745[[#This Row],[LIST $]]*_1_541284561214624104645789101745[[#This Row],[DISCOUNT]]*_1_541284561214624104645789101745[[#This Row],[DISCOUNT 2]]</f>
        <v>0</v>
      </c>
      <c r="M484" s="194">
        <f>IF(OR(_1_541284561214624104645789101745[[#This Row],[UNIT]]&gt;0,_1_541284561214624104645789101745[[#This Row],[UNIT]]&lt;0),_1_541284561214624104645789101745[[#This Row],[UNIT]]*_1_541284561214624104645789101745[[#This Row],[COST]],0)</f>
        <v>0</v>
      </c>
      <c r="N484" s="194">
        <f t="shared" si="7"/>
        <v>1.5</v>
      </c>
      <c r="O484" s="198">
        <f>_1_541284561214624104645789101745[[#This Row],[TOTAL]]*_1_541284561214624104645789101745[[#This Row],[MARGIN]]</f>
        <v>0</v>
      </c>
      <c r="R484" s="41"/>
    </row>
    <row r="485" spans="1:18">
      <c r="D485" s="188"/>
      <c r="F485" s="168" t="s">
        <v>6202</v>
      </c>
      <c r="G485" s="193">
        <f>IF(_1_541284561214624104645789101745[[#This Row],[Type]]&gt;0,VLOOKUP(_1_541284561214624104645789101745[[#This Row],[Type]],Main[[#All],[TYPE]:[UNIT]],'Unit Price'!C$1,FALSE),0)</f>
        <v>0</v>
      </c>
      <c r="H485" s="197">
        <f>IF(_1_541284561214624104645789101745[[#This Row],[Type]]&gt;0,VLOOKUP(_1_541284561214624104645789101745[[#This Row],[Type]],Main[[#All],[TYPE]:[UNIT]],'Unit Price'!D$1,FALSE),0)</f>
        <v>0</v>
      </c>
      <c r="I485" s="194">
        <f>IF(_1_541284561214624104645789101745[[#This Row],[Type]]&gt;0,VLOOKUP(_1_541284561214624104645789101745[[#This Row],[Type]],Main[[#All],[TYPE]:[UNIT]],'Unit Price'!G$1,FALSE),0)</f>
        <v>0</v>
      </c>
      <c r="J485" s="194">
        <f>IF(_1_541284561214624104645789101745[[#This Row],[Type]]&gt;0,VLOOKUP(_1_541284561214624104645789101745[[#This Row],[Type]],Main[[#All],[TYPE]:[UNIT]],'Unit Price'!H$1,FALSE),0)</f>
        <v>0</v>
      </c>
      <c r="K485" s="194">
        <f>IF(_1_541284561214624104645789101745[[#This Row],[Discount selection]]&gt;0,VLOOKUP(_1_541284561214624104645789101745[[#This Row],[Discount selection]],'Discount Structure'!$A$2:$B$30,2,"false"),0)</f>
        <v>1</v>
      </c>
      <c r="L485" s="194">
        <f>_1_541284561214624104645789101745[[#This Row],[LIST $]]*_1_541284561214624104645789101745[[#This Row],[DISCOUNT]]*_1_541284561214624104645789101745[[#This Row],[DISCOUNT 2]]</f>
        <v>0</v>
      </c>
      <c r="M485" s="194">
        <f>IF(OR(_1_541284561214624104645789101745[[#This Row],[UNIT]]&gt;0,_1_541284561214624104645789101745[[#This Row],[UNIT]]&lt;0),_1_541284561214624104645789101745[[#This Row],[UNIT]]*_1_541284561214624104645789101745[[#This Row],[COST]],0)</f>
        <v>0</v>
      </c>
      <c r="N485" s="194">
        <f t="shared" si="7"/>
        <v>1.5</v>
      </c>
      <c r="O485" s="198">
        <f>_1_541284561214624104645789101745[[#This Row],[TOTAL]]*_1_541284561214624104645789101745[[#This Row],[MARGIN]]</f>
        <v>0</v>
      </c>
      <c r="R485" s="41"/>
    </row>
    <row r="486" spans="1:18">
      <c r="D486" s="188"/>
      <c r="F486" s="168" t="s">
        <v>6202</v>
      </c>
      <c r="G486" s="193">
        <f>IF(_1_541284561214624104645789101745[[#This Row],[Type]]&gt;0,VLOOKUP(_1_541284561214624104645789101745[[#This Row],[Type]],Main[[#All],[TYPE]:[UNIT]],'Unit Price'!C$1,FALSE),0)</f>
        <v>0</v>
      </c>
      <c r="H486" s="197">
        <f>IF(_1_541284561214624104645789101745[[#This Row],[Type]]&gt;0,VLOOKUP(_1_541284561214624104645789101745[[#This Row],[Type]],Main[[#All],[TYPE]:[UNIT]],'Unit Price'!D$1,FALSE),0)</f>
        <v>0</v>
      </c>
      <c r="I486" s="194">
        <f>IF(_1_541284561214624104645789101745[[#This Row],[Type]]&gt;0,VLOOKUP(_1_541284561214624104645789101745[[#This Row],[Type]],Main[[#All],[TYPE]:[UNIT]],'Unit Price'!G$1,FALSE),0)</f>
        <v>0</v>
      </c>
      <c r="J486" s="194">
        <f>IF(_1_541284561214624104645789101745[[#This Row],[Type]]&gt;0,VLOOKUP(_1_541284561214624104645789101745[[#This Row],[Type]],Main[[#All],[TYPE]:[UNIT]],'Unit Price'!H$1,FALSE),0)</f>
        <v>0</v>
      </c>
      <c r="K486" s="194">
        <f>IF(_1_541284561214624104645789101745[[#This Row],[Discount selection]]&gt;0,VLOOKUP(_1_541284561214624104645789101745[[#This Row],[Discount selection]],'Discount Structure'!$A$2:$B$30,2,"false"),0)</f>
        <v>1</v>
      </c>
      <c r="L486" s="194">
        <f>_1_541284561214624104645789101745[[#This Row],[LIST $]]*_1_541284561214624104645789101745[[#This Row],[DISCOUNT]]*_1_541284561214624104645789101745[[#This Row],[DISCOUNT 2]]</f>
        <v>0</v>
      </c>
      <c r="M486" s="194">
        <f>IF(OR(_1_541284561214624104645789101745[[#This Row],[UNIT]]&gt;0,_1_541284561214624104645789101745[[#This Row],[UNIT]]&lt;0),_1_541284561214624104645789101745[[#This Row],[UNIT]]*_1_541284561214624104645789101745[[#This Row],[COST]],0)</f>
        <v>0</v>
      </c>
      <c r="N486" s="194">
        <f t="shared" si="7"/>
        <v>1.5</v>
      </c>
      <c r="O486" s="198">
        <f>_1_541284561214624104645789101745[[#This Row],[TOTAL]]*_1_541284561214624104645789101745[[#This Row],[MARGIN]]</f>
        <v>0</v>
      </c>
      <c r="R486" s="41"/>
    </row>
    <row r="487" spans="1:18">
      <c r="D487" s="188"/>
      <c r="F487" s="168" t="s">
        <v>6202</v>
      </c>
      <c r="G487" s="193">
        <f>IF(_1_541284561214624104645789101745[[#This Row],[Type]]&gt;0,VLOOKUP(_1_541284561214624104645789101745[[#This Row],[Type]],Main[[#All],[TYPE]:[UNIT]],'Unit Price'!C$1,FALSE),0)</f>
        <v>0</v>
      </c>
      <c r="H487" s="197">
        <f>IF(_1_541284561214624104645789101745[[#This Row],[Type]]&gt;0,VLOOKUP(_1_541284561214624104645789101745[[#This Row],[Type]],Main[[#All],[TYPE]:[UNIT]],'Unit Price'!D$1,FALSE),0)</f>
        <v>0</v>
      </c>
      <c r="I487" s="194">
        <f>IF(_1_541284561214624104645789101745[[#This Row],[Type]]&gt;0,VLOOKUP(_1_541284561214624104645789101745[[#This Row],[Type]],Main[[#All],[TYPE]:[UNIT]],'Unit Price'!G$1,FALSE),0)</f>
        <v>0</v>
      </c>
      <c r="J487" s="194">
        <f>IF(_1_541284561214624104645789101745[[#This Row],[Type]]&gt;0,VLOOKUP(_1_541284561214624104645789101745[[#This Row],[Type]],Main[[#All],[TYPE]:[UNIT]],'Unit Price'!H$1,FALSE),0)</f>
        <v>0</v>
      </c>
      <c r="K487" s="194">
        <f>IF(_1_541284561214624104645789101745[[#This Row],[Discount selection]]&gt;0,VLOOKUP(_1_541284561214624104645789101745[[#This Row],[Discount selection]],'Discount Structure'!$A$2:$B$30,2,"false"),0)</f>
        <v>1</v>
      </c>
      <c r="L487" s="194">
        <f>_1_541284561214624104645789101745[[#This Row],[LIST $]]*_1_541284561214624104645789101745[[#This Row],[DISCOUNT]]*_1_541284561214624104645789101745[[#This Row],[DISCOUNT 2]]</f>
        <v>0</v>
      </c>
      <c r="M487" s="194">
        <f>IF(OR(_1_541284561214624104645789101745[[#This Row],[UNIT]]&gt;0,_1_541284561214624104645789101745[[#This Row],[UNIT]]&lt;0),_1_541284561214624104645789101745[[#This Row],[UNIT]]*_1_541284561214624104645789101745[[#This Row],[COST]],0)</f>
        <v>0</v>
      </c>
      <c r="N487" s="194">
        <f t="shared" si="7"/>
        <v>1.5</v>
      </c>
      <c r="O487" s="198">
        <f>_1_541284561214624104645789101745[[#This Row],[TOTAL]]*_1_541284561214624104645789101745[[#This Row],[MARGIN]]</f>
        <v>0</v>
      </c>
      <c r="R487" s="41"/>
    </row>
    <row r="488" spans="1:18">
      <c r="A488" s="168"/>
      <c r="D488" s="188"/>
      <c r="F488" s="168" t="s">
        <v>6202</v>
      </c>
      <c r="G488" s="193">
        <f>IF(_1_541284561214624104645789101745[[#This Row],[Type]]&gt;0,VLOOKUP(_1_541284561214624104645789101745[[#This Row],[Type]],Main[[#All],[TYPE]:[UNIT]],'Unit Price'!C$1,FALSE),0)</f>
        <v>0</v>
      </c>
      <c r="H488" s="197">
        <f>IF(_1_541284561214624104645789101745[[#This Row],[Type]]&gt;0,VLOOKUP(_1_541284561214624104645789101745[[#This Row],[Type]],Main[[#All],[TYPE]:[UNIT]],'Unit Price'!D$1,FALSE),0)</f>
        <v>0</v>
      </c>
      <c r="I488" s="194">
        <f>IF(_1_541284561214624104645789101745[[#This Row],[Type]]&gt;0,VLOOKUP(_1_541284561214624104645789101745[[#This Row],[Type]],Main[[#All],[TYPE]:[UNIT]],'Unit Price'!G$1,FALSE),0)</f>
        <v>0</v>
      </c>
      <c r="J488" s="194">
        <f>IF(_1_541284561214624104645789101745[[#This Row],[Type]]&gt;0,VLOOKUP(_1_541284561214624104645789101745[[#This Row],[Type]],Main[[#All],[TYPE]:[UNIT]],'Unit Price'!H$1,FALSE),0)</f>
        <v>0</v>
      </c>
      <c r="K488" s="194">
        <f>IF(_1_541284561214624104645789101745[[#This Row],[Discount selection]]&gt;0,VLOOKUP(_1_541284561214624104645789101745[[#This Row],[Discount selection]],'Discount Structure'!$A$2:$B$30,2,"false"),0)</f>
        <v>1</v>
      </c>
      <c r="L488" s="194">
        <f>_1_541284561214624104645789101745[[#This Row],[LIST $]]*_1_541284561214624104645789101745[[#This Row],[DISCOUNT]]*_1_541284561214624104645789101745[[#This Row],[DISCOUNT 2]]</f>
        <v>0</v>
      </c>
      <c r="M488" s="194">
        <f>IF(OR(_1_541284561214624104645789101745[[#This Row],[UNIT]]&gt;0,_1_541284561214624104645789101745[[#This Row],[UNIT]]&lt;0),_1_541284561214624104645789101745[[#This Row],[UNIT]]*_1_541284561214624104645789101745[[#This Row],[COST]],0)</f>
        <v>0</v>
      </c>
      <c r="N488" s="194">
        <f t="shared" si="7"/>
        <v>1.5</v>
      </c>
      <c r="O488" s="198">
        <f>_1_541284561214624104645789101745[[#This Row],[TOTAL]]*_1_541284561214624104645789101745[[#This Row],[MARGIN]]</f>
        <v>0</v>
      </c>
      <c r="R488" s="41"/>
    </row>
    <row r="489" spans="1:18">
      <c r="B489" s="168"/>
      <c r="D489" s="188"/>
      <c r="F489" s="168" t="s">
        <v>6202</v>
      </c>
      <c r="G489" s="193">
        <f>IF(_1_541284561214624104645789101745[[#This Row],[Type]]&gt;0,VLOOKUP(_1_541284561214624104645789101745[[#This Row],[Type]],Main[[#All],[TYPE]:[UNIT]],'Unit Price'!C$1,FALSE),0)</f>
        <v>0</v>
      </c>
      <c r="H489" s="197">
        <f>IF(_1_541284561214624104645789101745[[#This Row],[Type]]&gt;0,VLOOKUP(_1_541284561214624104645789101745[[#This Row],[Type]],Main[[#All],[TYPE]:[UNIT]],'Unit Price'!D$1,FALSE),0)</f>
        <v>0</v>
      </c>
      <c r="I489" s="194">
        <f>IF(_1_541284561214624104645789101745[[#This Row],[Type]]&gt;0,VLOOKUP(_1_541284561214624104645789101745[[#This Row],[Type]],Main[[#All],[TYPE]:[UNIT]],'Unit Price'!G$1,FALSE),0)</f>
        <v>0</v>
      </c>
      <c r="J489" s="194">
        <f>IF(_1_541284561214624104645789101745[[#This Row],[Type]]&gt;0,VLOOKUP(_1_541284561214624104645789101745[[#This Row],[Type]],Main[[#All],[TYPE]:[UNIT]],'Unit Price'!H$1,FALSE),0)</f>
        <v>0</v>
      </c>
      <c r="K489" s="194">
        <f>IF(_1_541284561214624104645789101745[[#This Row],[Discount selection]]&gt;0,VLOOKUP(_1_541284561214624104645789101745[[#This Row],[Discount selection]],'Discount Structure'!$A$2:$B$30,2,"false"),0)</f>
        <v>1</v>
      </c>
      <c r="L489" s="194">
        <f>_1_541284561214624104645789101745[[#This Row],[LIST $]]*_1_541284561214624104645789101745[[#This Row],[DISCOUNT]]*_1_541284561214624104645789101745[[#This Row],[DISCOUNT 2]]</f>
        <v>0</v>
      </c>
      <c r="M489" s="194">
        <f>IF(OR(_1_541284561214624104645789101745[[#This Row],[UNIT]]&gt;0,_1_541284561214624104645789101745[[#This Row],[UNIT]]&lt;0),_1_541284561214624104645789101745[[#This Row],[UNIT]]*_1_541284561214624104645789101745[[#This Row],[COST]],0)</f>
        <v>0</v>
      </c>
      <c r="N489" s="194">
        <f t="shared" si="7"/>
        <v>1.5</v>
      </c>
      <c r="O489" s="198">
        <f>_1_541284561214624104645789101745[[#This Row],[TOTAL]]*_1_541284561214624104645789101745[[#This Row],[MARGIN]]</f>
        <v>0</v>
      </c>
      <c r="R489" s="41"/>
    </row>
    <row r="490" spans="1:18">
      <c r="D490" s="188"/>
      <c r="F490" s="168" t="s">
        <v>6202</v>
      </c>
      <c r="G490" s="193">
        <f>IF(_1_541284561214624104645789101745[[#This Row],[Type]]&gt;0,VLOOKUP(_1_541284561214624104645789101745[[#This Row],[Type]],Main[[#All],[TYPE]:[UNIT]],'Unit Price'!C$1,FALSE),0)</f>
        <v>0</v>
      </c>
      <c r="H490" s="197">
        <f>IF(_1_541284561214624104645789101745[[#This Row],[Type]]&gt;0,VLOOKUP(_1_541284561214624104645789101745[[#This Row],[Type]],Main[[#All],[TYPE]:[UNIT]],'Unit Price'!D$1,FALSE),0)</f>
        <v>0</v>
      </c>
      <c r="I490" s="194">
        <f>IF(_1_541284561214624104645789101745[[#This Row],[Type]]&gt;0,VLOOKUP(_1_541284561214624104645789101745[[#This Row],[Type]],Main[[#All],[TYPE]:[UNIT]],'Unit Price'!G$1,FALSE),0)</f>
        <v>0</v>
      </c>
      <c r="J490" s="194">
        <f>IF(_1_541284561214624104645789101745[[#This Row],[Type]]&gt;0,VLOOKUP(_1_541284561214624104645789101745[[#This Row],[Type]],Main[[#All],[TYPE]:[UNIT]],'Unit Price'!H$1,FALSE),0)</f>
        <v>0</v>
      </c>
      <c r="K490" s="194">
        <f>IF(_1_541284561214624104645789101745[[#This Row],[Discount selection]]&gt;0,VLOOKUP(_1_541284561214624104645789101745[[#This Row],[Discount selection]],'Discount Structure'!$A$2:$B$30,2,"false"),0)</f>
        <v>1</v>
      </c>
      <c r="L490" s="194">
        <f>_1_541284561214624104645789101745[[#This Row],[LIST $]]*_1_541284561214624104645789101745[[#This Row],[DISCOUNT]]*_1_541284561214624104645789101745[[#This Row],[DISCOUNT 2]]</f>
        <v>0</v>
      </c>
      <c r="M490" s="194">
        <f>IF(OR(_1_541284561214624104645789101745[[#This Row],[UNIT]]&gt;0,_1_541284561214624104645789101745[[#This Row],[UNIT]]&lt;0),_1_541284561214624104645789101745[[#This Row],[UNIT]]*_1_541284561214624104645789101745[[#This Row],[COST]],0)</f>
        <v>0</v>
      </c>
      <c r="N490" s="194">
        <f t="shared" si="7"/>
        <v>1.5</v>
      </c>
      <c r="O490" s="198">
        <f>_1_541284561214624104645789101745[[#This Row],[TOTAL]]*_1_541284561214624104645789101745[[#This Row],[MARGIN]]</f>
        <v>0</v>
      </c>
      <c r="R490" s="41"/>
    </row>
    <row r="491" spans="1:18">
      <c r="D491" s="188"/>
      <c r="F491" s="168" t="s">
        <v>6202</v>
      </c>
      <c r="G491" s="193">
        <f>IF(_1_541284561214624104645789101745[[#This Row],[Type]]&gt;0,VLOOKUP(_1_541284561214624104645789101745[[#This Row],[Type]],Main[[#All],[TYPE]:[UNIT]],'Unit Price'!C$1,FALSE),0)</f>
        <v>0</v>
      </c>
      <c r="H491" s="197">
        <f>IF(_1_541284561214624104645789101745[[#This Row],[Type]]&gt;0,VLOOKUP(_1_541284561214624104645789101745[[#This Row],[Type]],Main[[#All],[TYPE]:[UNIT]],'Unit Price'!D$1,FALSE),0)</f>
        <v>0</v>
      </c>
      <c r="I491" s="194">
        <f>IF(_1_541284561214624104645789101745[[#This Row],[Type]]&gt;0,VLOOKUP(_1_541284561214624104645789101745[[#This Row],[Type]],Main[[#All],[TYPE]:[UNIT]],'Unit Price'!G$1,FALSE),0)</f>
        <v>0</v>
      </c>
      <c r="J491" s="194">
        <f>IF(_1_541284561214624104645789101745[[#This Row],[Type]]&gt;0,VLOOKUP(_1_541284561214624104645789101745[[#This Row],[Type]],Main[[#All],[TYPE]:[UNIT]],'Unit Price'!H$1,FALSE),0)</f>
        <v>0</v>
      </c>
      <c r="K491" s="194">
        <f>IF(_1_541284561214624104645789101745[[#This Row],[Discount selection]]&gt;0,VLOOKUP(_1_541284561214624104645789101745[[#This Row],[Discount selection]],'Discount Structure'!$A$2:$B$30,2,"false"),0)</f>
        <v>1</v>
      </c>
      <c r="L491" s="194">
        <f>_1_541284561214624104645789101745[[#This Row],[LIST $]]*_1_541284561214624104645789101745[[#This Row],[DISCOUNT]]*_1_541284561214624104645789101745[[#This Row],[DISCOUNT 2]]</f>
        <v>0</v>
      </c>
      <c r="M491" s="194">
        <f>IF(OR(_1_541284561214624104645789101745[[#This Row],[UNIT]]&gt;0,_1_541284561214624104645789101745[[#This Row],[UNIT]]&lt;0),_1_541284561214624104645789101745[[#This Row],[UNIT]]*_1_541284561214624104645789101745[[#This Row],[COST]],0)</f>
        <v>0</v>
      </c>
      <c r="N491" s="194">
        <f t="shared" si="7"/>
        <v>1.5</v>
      </c>
      <c r="O491" s="198">
        <f>_1_541284561214624104645789101745[[#This Row],[TOTAL]]*_1_541284561214624104645789101745[[#This Row],[MARGIN]]</f>
        <v>0</v>
      </c>
      <c r="R491" s="41"/>
    </row>
    <row r="492" spans="1:18">
      <c r="D492" s="188"/>
      <c r="F492" s="168" t="s">
        <v>6202</v>
      </c>
      <c r="G492" s="193">
        <f>IF(_1_541284561214624104645789101745[[#This Row],[Type]]&gt;0,VLOOKUP(_1_541284561214624104645789101745[[#This Row],[Type]],Main[[#All],[TYPE]:[UNIT]],'Unit Price'!C$1,FALSE),0)</f>
        <v>0</v>
      </c>
      <c r="H492" s="197">
        <f>IF(_1_541284561214624104645789101745[[#This Row],[Type]]&gt;0,VLOOKUP(_1_541284561214624104645789101745[[#This Row],[Type]],Main[[#All],[TYPE]:[UNIT]],'Unit Price'!D$1,FALSE),0)</f>
        <v>0</v>
      </c>
      <c r="I492" s="194">
        <f>IF(_1_541284561214624104645789101745[[#This Row],[Type]]&gt;0,VLOOKUP(_1_541284561214624104645789101745[[#This Row],[Type]],Main[[#All],[TYPE]:[UNIT]],'Unit Price'!G$1,FALSE),0)</f>
        <v>0</v>
      </c>
      <c r="J492" s="194">
        <f>IF(_1_541284561214624104645789101745[[#This Row],[Type]]&gt;0,VLOOKUP(_1_541284561214624104645789101745[[#This Row],[Type]],Main[[#All],[TYPE]:[UNIT]],'Unit Price'!H$1,FALSE),0)</f>
        <v>0</v>
      </c>
      <c r="K492" s="194">
        <f>IF(_1_541284561214624104645789101745[[#This Row],[Discount selection]]&gt;0,VLOOKUP(_1_541284561214624104645789101745[[#This Row],[Discount selection]],'Discount Structure'!$A$2:$B$30,2,"false"),0)</f>
        <v>1</v>
      </c>
      <c r="L492" s="194">
        <f>_1_541284561214624104645789101745[[#This Row],[LIST $]]*_1_541284561214624104645789101745[[#This Row],[DISCOUNT]]*_1_541284561214624104645789101745[[#This Row],[DISCOUNT 2]]</f>
        <v>0</v>
      </c>
      <c r="M492" s="194">
        <f>IF(OR(_1_541284561214624104645789101745[[#This Row],[UNIT]]&gt;0,_1_541284561214624104645789101745[[#This Row],[UNIT]]&lt;0),_1_541284561214624104645789101745[[#This Row],[UNIT]]*_1_541284561214624104645789101745[[#This Row],[COST]],0)</f>
        <v>0</v>
      </c>
      <c r="N492" s="194">
        <f t="shared" si="7"/>
        <v>1.5</v>
      </c>
      <c r="O492" s="198">
        <f>_1_541284561214624104645789101745[[#This Row],[TOTAL]]*_1_541284561214624104645789101745[[#This Row],[MARGIN]]</f>
        <v>0</v>
      </c>
      <c r="R492" s="41"/>
    </row>
    <row r="493" spans="1:18">
      <c r="D493" s="188"/>
      <c r="F493" s="168" t="s">
        <v>6202</v>
      </c>
      <c r="G493" s="193">
        <f>IF(_1_541284561214624104645789101745[[#This Row],[Type]]&gt;0,VLOOKUP(_1_541284561214624104645789101745[[#This Row],[Type]],Main[[#All],[TYPE]:[UNIT]],'Unit Price'!C$1,FALSE),0)</f>
        <v>0</v>
      </c>
      <c r="H493" s="197">
        <f>IF(_1_541284561214624104645789101745[[#This Row],[Type]]&gt;0,VLOOKUP(_1_541284561214624104645789101745[[#This Row],[Type]],Main[[#All],[TYPE]:[UNIT]],'Unit Price'!D$1,FALSE),0)</f>
        <v>0</v>
      </c>
      <c r="I493" s="194">
        <f>IF(_1_541284561214624104645789101745[[#This Row],[Type]]&gt;0,VLOOKUP(_1_541284561214624104645789101745[[#This Row],[Type]],Main[[#All],[TYPE]:[UNIT]],'Unit Price'!G$1,FALSE),0)</f>
        <v>0</v>
      </c>
      <c r="J493" s="194">
        <f>IF(_1_541284561214624104645789101745[[#This Row],[Type]]&gt;0,VLOOKUP(_1_541284561214624104645789101745[[#This Row],[Type]],Main[[#All],[TYPE]:[UNIT]],'Unit Price'!H$1,FALSE),0)</f>
        <v>0</v>
      </c>
      <c r="K493" s="194">
        <f>IF(_1_541284561214624104645789101745[[#This Row],[Discount selection]]&gt;0,VLOOKUP(_1_541284561214624104645789101745[[#This Row],[Discount selection]],'Discount Structure'!$A$2:$B$30,2,"false"),0)</f>
        <v>1</v>
      </c>
      <c r="L493" s="194">
        <f>_1_541284561214624104645789101745[[#This Row],[LIST $]]*_1_541284561214624104645789101745[[#This Row],[DISCOUNT]]*_1_541284561214624104645789101745[[#This Row],[DISCOUNT 2]]</f>
        <v>0</v>
      </c>
      <c r="M493" s="194">
        <f>IF(OR(_1_541284561214624104645789101745[[#This Row],[UNIT]]&gt;0,_1_541284561214624104645789101745[[#This Row],[UNIT]]&lt;0),_1_541284561214624104645789101745[[#This Row],[UNIT]]*_1_541284561214624104645789101745[[#This Row],[COST]],0)</f>
        <v>0</v>
      </c>
      <c r="N493" s="194">
        <f t="shared" si="7"/>
        <v>1.5</v>
      </c>
      <c r="O493" s="198">
        <f>_1_541284561214624104645789101745[[#This Row],[TOTAL]]*_1_541284561214624104645789101745[[#This Row],[MARGIN]]</f>
        <v>0</v>
      </c>
      <c r="R493" s="41"/>
    </row>
    <row r="494" spans="1:18">
      <c r="D494" s="188"/>
      <c r="F494" s="168" t="s">
        <v>6202</v>
      </c>
      <c r="G494" s="193">
        <f>IF(_1_541284561214624104645789101745[[#This Row],[Type]]&gt;0,VLOOKUP(_1_541284561214624104645789101745[[#This Row],[Type]],Main[[#All],[TYPE]:[UNIT]],'Unit Price'!C$1,FALSE),0)</f>
        <v>0</v>
      </c>
      <c r="H494" s="197">
        <f>IF(_1_541284561214624104645789101745[[#This Row],[Type]]&gt;0,VLOOKUP(_1_541284561214624104645789101745[[#This Row],[Type]],Main[[#All],[TYPE]:[UNIT]],'Unit Price'!D$1,FALSE),0)</f>
        <v>0</v>
      </c>
      <c r="I494" s="194">
        <f>IF(_1_541284561214624104645789101745[[#This Row],[Type]]&gt;0,VLOOKUP(_1_541284561214624104645789101745[[#This Row],[Type]],Main[[#All],[TYPE]:[UNIT]],'Unit Price'!G$1,FALSE),0)</f>
        <v>0</v>
      </c>
      <c r="J494" s="194">
        <f>IF(_1_541284561214624104645789101745[[#This Row],[Type]]&gt;0,VLOOKUP(_1_541284561214624104645789101745[[#This Row],[Type]],Main[[#All],[TYPE]:[UNIT]],'Unit Price'!H$1,FALSE),0)</f>
        <v>0</v>
      </c>
      <c r="K494" s="194">
        <f>IF(_1_541284561214624104645789101745[[#This Row],[Discount selection]]&gt;0,VLOOKUP(_1_541284561214624104645789101745[[#This Row],[Discount selection]],'Discount Structure'!$A$2:$B$30,2,"false"),0)</f>
        <v>1</v>
      </c>
      <c r="L494" s="194">
        <f>_1_541284561214624104645789101745[[#This Row],[LIST $]]*_1_541284561214624104645789101745[[#This Row],[DISCOUNT]]*_1_541284561214624104645789101745[[#This Row],[DISCOUNT 2]]</f>
        <v>0</v>
      </c>
      <c r="M494" s="194">
        <f>IF(OR(_1_541284561214624104645789101745[[#This Row],[UNIT]]&gt;0,_1_541284561214624104645789101745[[#This Row],[UNIT]]&lt;0),_1_541284561214624104645789101745[[#This Row],[UNIT]]*_1_541284561214624104645789101745[[#This Row],[COST]],0)</f>
        <v>0</v>
      </c>
      <c r="N494" s="194">
        <f t="shared" si="7"/>
        <v>1.5</v>
      </c>
      <c r="O494" s="198">
        <f>_1_541284561214624104645789101745[[#This Row],[TOTAL]]*_1_541284561214624104645789101745[[#This Row],[MARGIN]]</f>
        <v>0</v>
      </c>
      <c r="R494" s="41"/>
    </row>
    <row r="495" spans="1:18">
      <c r="D495" s="188"/>
      <c r="F495" s="168" t="s">
        <v>6202</v>
      </c>
      <c r="G495" s="193">
        <f>IF(_1_541284561214624104645789101745[[#This Row],[Type]]&gt;0,VLOOKUP(_1_541284561214624104645789101745[[#This Row],[Type]],Main[[#All],[TYPE]:[UNIT]],'Unit Price'!C$1,FALSE),0)</f>
        <v>0</v>
      </c>
      <c r="H495" s="197">
        <f>IF(_1_541284561214624104645789101745[[#This Row],[Type]]&gt;0,VLOOKUP(_1_541284561214624104645789101745[[#This Row],[Type]],Main[[#All],[TYPE]:[UNIT]],'Unit Price'!D$1,FALSE),0)</f>
        <v>0</v>
      </c>
      <c r="I495" s="194">
        <f>IF(_1_541284561214624104645789101745[[#This Row],[Type]]&gt;0,VLOOKUP(_1_541284561214624104645789101745[[#This Row],[Type]],Main[[#All],[TYPE]:[UNIT]],'Unit Price'!G$1,FALSE),0)</f>
        <v>0</v>
      </c>
      <c r="J495" s="194">
        <f>IF(_1_541284561214624104645789101745[[#This Row],[Type]]&gt;0,VLOOKUP(_1_541284561214624104645789101745[[#This Row],[Type]],Main[[#All],[TYPE]:[UNIT]],'Unit Price'!H$1,FALSE),0)</f>
        <v>0</v>
      </c>
      <c r="K495" s="194">
        <f>IF(_1_541284561214624104645789101745[[#This Row],[Discount selection]]&gt;0,VLOOKUP(_1_541284561214624104645789101745[[#This Row],[Discount selection]],'Discount Structure'!$A$2:$B$30,2,"false"),0)</f>
        <v>1</v>
      </c>
      <c r="L495" s="194">
        <f>_1_541284561214624104645789101745[[#This Row],[LIST $]]*_1_541284561214624104645789101745[[#This Row],[DISCOUNT]]*_1_541284561214624104645789101745[[#This Row],[DISCOUNT 2]]</f>
        <v>0</v>
      </c>
      <c r="M495" s="194">
        <f>IF(OR(_1_541284561214624104645789101745[[#This Row],[UNIT]]&gt;0,_1_541284561214624104645789101745[[#This Row],[UNIT]]&lt;0),_1_541284561214624104645789101745[[#This Row],[UNIT]]*_1_541284561214624104645789101745[[#This Row],[COST]],0)</f>
        <v>0</v>
      </c>
      <c r="N495" s="194">
        <f t="shared" si="7"/>
        <v>1.5</v>
      </c>
      <c r="O495" s="198">
        <f>_1_541284561214624104645789101745[[#This Row],[TOTAL]]*_1_541284561214624104645789101745[[#This Row],[MARGIN]]</f>
        <v>0</v>
      </c>
      <c r="R495" s="41"/>
    </row>
    <row r="496" spans="1:18">
      <c r="D496" s="188"/>
      <c r="F496" s="168" t="s">
        <v>6202</v>
      </c>
      <c r="G496" s="193">
        <f>IF(_1_541284561214624104645789101745[[#This Row],[Type]]&gt;0,VLOOKUP(_1_541284561214624104645789101745[[#This Row],[Type]],Main[[#All],[TYPE]:[UNIT]],'Unit Price'!C$1,FALSE),0)</f>
        <v>0</v>
      </c>
      <c r="H496" s="197">
        <f>IF(_1_541284561214624104645789101745[[#This Row],[Type]]&gt;0,VLOOKUP(_1_541284561214624104645789101745[[#This Row],[Type]],Main[[#All],[TYPE]:[UNIT]],'Unit Price'!D$1,FALSE),0)</f>
        <v>0</v>
      </c>
      <c r="I496" s="194">
        <f>IF(_1_541284561214624104645789101745[[#This Row],[Type]]&gt;0,VLOOKUP(_1_541284561214624104645789101745[[#This Row],[Type]],Main[[#All],[TYPE]:[UNIT]],'Unit Price'!G$1,FALSE),0)</f>
        <v>0</v>
      </c>
      <c r="J496" s="194">
        <f>IF(_1_541284561214624104645789101745[[#This Row],[Type]]&gt;0,VLOOKUP(_1_541284561214624104645789101745[[#This Row],[Type]],Main[[#All],[TYPE]:[UNIT]],'Unit Price'!H$1,FALSE),0)</f>
        <v>0</v>
      </c>
      <c r="K496" s="194">
        <f>IF(_1_541284561214624104645789101745[[#This Row],[Discount selection]]&gt;0,VLOOKUP(_1_541284561214624104645789101745[[#This Row],[Discount selection]],'Discount Structure'!$A$2:$B$30,2,"false"),0)</f>
        <v>1</v>
      </c>
      <c r="L496" s="194">
        <f>_1_541284561214624104645789101745[[#This Row],[LIST $]]*_1_541284561214624104645789101745[[#This Row],[DISCOUNT]]*_1_541284561214624104645789101745[[#This Row],[DISCOUNT 2]]</f>
        <v>0</v>
      </c>
      <c r="M496" s="194">
        <f>IF(OR(_1_541284561214624104645789101745[[#This Row],[UNIT]]&gt;0,_1_541284561214624104645789101745[[#This Row],[UNIT]]&lt;0),_1_541284561214624104645789101745[[#This Row],[UNIT]]*_1_541284561214624104645789101745[[#This Row],[COST]],0)</f>
        <v>0</v>
      </c>
      <c r="N496" s="194">
        <f t="shared" si="7"/>
        <v>1.5</v>
      </c>
      <c r="O496" s="198">
        <f>_1_541284561214624104645789101745[[#This Row],[TOTAL]]*_1_541284561214624104645789101745[[#This Row],[MARGIN]]</f>
        <v>0</v>
      </c>
      <c r="R496" s="41"/>
    </row>
    <row r="497" spans="1:18">
      <c r="D497" s="188"/>
      <c r="F497" s="168" t="s">
        <v>6202</v>
      </c>
      <c r="G497" s="193">
        <f>IF(_1_541284561214624104645789101745[[#This Row],[Type]]&gt;0,VLOOKUP(_1_541284561214624104645789101745[[#This Row],[Type]],Main[[#All],[TYPE]:[UNIT]],'Unit Price'!C$1,FALSE),0)</f>
        <v>0</v>
      </c>
      <c r="H497" s="197">
        <f>IF(_1_541284561214624104645789101745[[#This Row],[Type]]&gt;0,VLOOKUP(_1_541284561214624104645789101745[[#This Row],[Type]],Main[[#All],[TYPE]:[UNIT]],'Unit Price'!D$1,FALSE),0)</f>
        <v>0</v>
      </c>
      <c r="I497" s="194">
        <f>IF(_1_541284561214624104645789101745[[#This Row],[Type]]&gt;0,VLOOKUP(_1_541284561214624104645789101745[[#This Row],[Type]],Main[[#All],[TYPE]:[UNIT]],'Unit Price'!G$1,FALSE),0)</f>
        <v>0</v>
      </c>
      <c r="J497" s="194">
        <f>IF(_1_541284561214624104645789101745[[#This Row],[Type]]&gt;0,VLOOKUP(_1_541284561214624104645789101745[[#This Row],[Type]],Main[[#All],[TYPE]:[UNIT]],'Unit Price'!H$1,FALSE),0)</f>
        <v>0</v>
      </c>
      <c r="K497" s="194">
        <f>IF(_1_541284561214624104645789101745[[#This Row],[Discount selection]]&gt;0,VLOOKUP(_1_541284561214624104645789101745[[#This Row],[Discount selection]],'Discount Structure'!$A$2:$B$30,2,"false"),0)</f>
        <v>1</v>
      </c>
      <c r="L497" s="194">
        <f>_1_541284561214624104645789101745[[#This Row],[LIST $]]*_1_541284561214624104645789101745[[#This Row],[DISCOUNT]]*_1_541284561214624104645789101745[[#This Row],[DISCOUNT 2]]</f>
        <v>0</v>
      </c>
      <c r="M497" s="194">
        <f>IF(OR(_1_541284561214624104645789101745[[#This Row],[UNIT]]&gt;0,_1_541284561214624104645789101745[[#This Row],[UNIT]]&lt;0),_1_541284561214624104645789101745[[#This Row],[UNIT]]*_1_541284561214624104645789101745[[#This Row],[COST]],0)</f>
        <v>0</v>
      </c>
      <c r="N497" s="194">
        <f t="shared" si="7"/>
        <v>1.5</v>
      </c>
      <c r="O497" s="198">
        <f>_1_541284561214624104645789101745[[#This Row],[TOTAL]]*_1_541284561214624104645789101745[[#This Row],[MARGIN]]</f>
        <v>0</v>
      </c>
      <c r="R497" s="41"/>
    </row>
    <row r="498" spans="1:18">
      <c r="D498" s="188"/>
      <c r="F498" s="168" t="s">
        <v>6202</v>
      </c>
      <c r="G498" s="193">
        <f>IF(_1_541284561214624104645789101745[[#This Row],[Type]]&gt;0,VLOOKUP(_1_541284561214624104645789101745[[#This Row],[Type]],Main[[#All],[TYPE]:[UNIT]],'Unit Price'!C$1,FALSE),0)</f>
        <v>0</v>
      </c>
      <c r="H498" s="197">
        <f>IF(_1_541284561214624104645789101745[[#This Row],[Type]]&gt;0,VLOOKUP(_1_541284561214624104645789101745[[#This Row],[Type]],Main[[#All],[TYPE]:[UNIT]],'Unit Price'!D$1,FALSE),0)</f>
        <v>0</v>
      </c>
      <c r="I498" s="194">
        <f>IF(_1_541284561214624104645789101745[[#This Row],[Type]]&gt;0,VLOOKUP(_1_541284561214624104645789101745[[#This Row],[Type]],Main[[#All],[TYPE]:[UNIT]],'Unit Price'!G$1,FALSE),0)</f>
        <v>0</v>
      </c>
      <c r="J498" s="194">
        <f>IF(_1_541284561214624104645789101745[[#This Row],[Type]]&gt;0,VLOOKUP(_1_541284561214624104645789101745[[#This Row],[Type]],Main[[#All],[TYPE]:[UNIT]],'Unit Price'!H$1,FALSE),0)</f>
        <v>0</v>
      </c>
      <c r="K498" s="194">
        <f>IF(_1_541284561214624104645789101745[[#This Row],[Discount selection]]&gt;0,VLOOKUP(_1_541284561214624104645789101745[[#This Row],[Discount selection]],'Discount Structure'!$A$2:$B$30,2,"false"),0)</f>
        <v>1</v>
      </c>
      <c r="L498" s="194">
        <f>_1_541284561214624104645789101745[[#This Row],[LIST $]]*_1_541284561214624104645789101745[[#This Row],[DISCOUNT]]*_1_541284561214624104645789101745[[#This Row],[DISCOUNT 2]]</f>
        <v>0</v>
      </c>
      <c r="M498" s="194">
        <f>IF(OR(_1_541284561214624104645789101745[[#This Row],[UNIT]]&gt;0,_1_541284561214624104645789101745[[#This Row],[UNIT]]&lt;0),_1_541284561214624104645789101745[[#This Row],[UNIT]]*_1_541284561214624104645789101745[[#This Row],[COST]],0)</f>
        <v>0</v>
      </c>
      <c r="N498" s="194">
        <f t="shared" si="7"/>
        <v>1.5</v>
      </c>
      <c r="O498" s="198">
        <f>_1_541284561214624104645789101745[[#This Row],[TOTAL]]*_1_541284561214624104645789101745[[#This Row],[MARGIN]]</f>
        <v>0</v>
      </c>
      <c r="R498" s="41"/>
    </row>
    <row r="499" spans="1:18">
      <c r="A499" s="168"/>
      <c r="D499" s="188"/>
      <c r="F499" s="168" t="s">
        <v>6202</v>
      </c>
      <c r="G499" s="193">
        <f>IF(_1_541284561214624104645789101745[[#This Row],[Type]]&gt;0,VLOOKUP(_1_541284561214624104645789101745[[#This Row],[Type]],Main[[#All],[TYPE]:[UNIT]],'Unit Price'!C$1,FALSE),0)</f>
        <v>0</v>
      </c>
      <c r="H499" s="197">
        <f>IF(_1_541284561214624104645789101745[[#This Row],[Type]]&gt;0,VLOOKUP(_1_541284561214624104645789101745[[#This Row],[Type]],Main[[#All],[TYPE]:[UNIT]],'Unit Price'!D$1,FALSE),0)</f>
        <v>0</v>
      </c>
      <c r="I499" s="194">
        <f>IF(_1_541284561214624104645789101745[[#This Row],[Type]]&gt;0,VLOOKUP(_1_541284561214624104645789101745[[#This Row],[Type]],Main[[#All],[TYPE]:[UNIT]],'Unit Price'!G$1,FALSE),0)</f>
        <v>0</v>
      </c>
      <c r="J499" s="194">
        <f>IF(_1_541284561214624104645789101745[[#This Row],[Type]]&gt;0,VLOOKUP(_1_541284561214624104645789101745[[#This Row],[Type]],Main[[#All],[TYPE]:[UNIT]],'Unit Price'!H$1,FALSE),0)</f>
        <v>0</v>
      </c>
      <c r="K499" s="194">
        <f>IF(_1_541284561214624104645789101745[[#This Row],[Discount selection]]&gt;0,VLOOKUP(_1_541284561214624104645789101745[[#This Row],[Discount selection]],'Discount Structure'!$A$2:$B$30,2,"false"),0)</f>
        <v>1</v>
      </c>
      <c r="L499" s="194">
        <f>_1_541284561214624104645789101745[[#This Row],[LIST $]]*_1_541284561214624104645789101745[[#This Row],[DISCOUNT]]*_1_541284561214624104645789101745[[#This Row],[DISCOUNT 2]]</f>
        <v>0</v>
      </c>
      <c r="M499" s="194">
        <f>IF(OR(_1_541284561214624104645789101745[[#This Row],[UNIT]]&gt;0,_1_541284561214624104645789101745[[#This Row],[UNIT]]&lt;0),_1_541284561214624104645789101745[[#This Row],[UNIT]]*_1_541284561214624104645789101745[[#This Row],[COST]],0)</f>
        <v>0</v>
      </c>
      <c r="N499" s="194">
        <f t="shared" si="7"/>
        <v>1.5</v>
      </c>
      <c r="O499" s="198">
        <f>_1_541284561214624104645789101745[[#This Row],[TOTAL]]*_1_541284561214624104645789101745[[#This Row],[MARGIN]]</f>
        <v>0</v>
      </c>
      <c r="R499" s="41"/>
    </row>
    <row r="500" spans="1:18">
      <c r="D500" s="188"/>
      <c r="F500" s="168" t="s">
        <v>6202</v>
      </c>
      <c r="G500" s="193">
        <f>IF(_1_541284561214624104645789101745[[#This Row],[Type]]&gt;0,VLOOKUP(_1_541284561214624104645789101745[[#This Row],[Type]],Main[[#All],[TYPE]:[UNIT]],'Unit Price'!C$1,FALSE),0)</f>
        <v>0</v>
      </c>
      <c r="H500" s="197">
        <f>IF(_1_541284561214624104645789101745[[#This Row],[Type]]&gt;0,VLOOKUP(_1_541284561214624104645789101745[[#This Row],[Type]],Main[[#All],[TYPE]:[UNIT]],'Unit Price'!D$1,FALSE),0)</f>
        <v>0</v>
      </c>
      <c r="I500" s="194">
        <f>IF(_1_541284561214624104645789101745[[#This Row],[Type]]&gt;0,VLOOKUP(_1_541284561214624104645789101745[[#This Row],[Type]],Main[[#All],[TYPE]:[UNIT]],'Unit Price'!G$1,FALSE),0)</f>
        <v>0</v>
      </c>
      <c r="J500" s="194">
        <f>IF(_1_541284561214624104645789101745[[#This Row],[Type]]&gt;0,VLOOKUP(_1_541284561214624104645789101745[[#This Row],[Type]],Main[[#All],[TYPE]:[UNIT]],'Unit Price'!H$1,FALSE),0)</f>
        <v>0</v>
      </c>
      <c r="K500" s="194">
        <f>IF(_1_541284561214624104645789101745[[#This Row],[Discount selection]]&gt;0,VLOOKUP(_1_541284561214624104645789101745[[#This Row],[Discount selection]],'Discount Structure'!$A$2:$B$30,2,"false"),0)</f>
        <v>1</v>
      </c>
      <c r="L500" s="194">
        <f>_1_541284561214624104645789101745[[#This Row],[LIST $]]*_1_541284561214624104645789101745[[#This Row],[DISCOUNT]]*_1_541284561214624104645789101745[[#This Row],[DISCOUNT 2]]</f>
        <v>0</v>
      </c>
      <c r="M500" s="194">
        <f>IF(OR(_1_541284561214624104645789101745[[#This Row],[UNIT]]&gt;0,_1_541284561214624104645789101745[[#This Row],[UNIT]]&lt;0),_1_541284561214624104645789101745[[#This Row],[UNIT]]*_1_541284561214624104645789101745[[#This Row],[COST]],0)</f>
        <v>0</v>
      </c>
      <c r="N500" s="194">
        <f t="shared" si="7"/>
        <v>1.5</v>
      </c>
      <c r="O500" s="198">
        <f>_1_541284561214624104645789101745[[#This Row],[TOTAL]]*_1_541284561214624104645789101745[[#This Row],[MARGIN]]</f>
        <v>0</v>
      </c>
      <c r="R500" s="41"/>
    </row>
    <row r="501" spans="1:18">
      <c r="D501" s="188"/>
      <c r="F501" s="168" t="s">
        <v>6202</v>
      </c>
      <c r="G501" s="193">
        <f>IF(_1_541284561214624104645789101745[[#This Row],[Type]]&gt;0,VLOOKUP(_1_541284561214624104645789101745[[#This Row],[Type]],Main[[#All],[TYPE]:[UNIT]],'Unit Price'!C$1,FALSE),0)</f>
        <v>0</v>
      </c>
      <c r="H501" s="197">
        <f>IF(_1_541284561214624104645789101745[[#This Row],[Type]]&gt;0,VLOOKUP(_1_541284561214624104645789101745[[#This Row],[Type]],Main[[#All],[TYPE]:[UNIT]],'Unit Price'!D$1,FALSE),0)</f>
        <v>0</v>
      </c>
      <c r="I501" s="194">
        <f>IF(_1_541284561214624104645789101745[[#This Row],[Type]]&gt;0,VLOOKUP(_1_541284561214624104645789101745[[#This Row],[Type]],Main[[#All],[TYPE]:[UNIT]],'Unit Price'!G$1,FALSE),0)</f>
        <v>0</v>
      </c>
      <c r="J501" s="194">
        <f>IF(_1_541284561214624104645789101745[[#This Row],[Type]]&gt;0,VLOOKUP(_1_541284561214624104645789101745[[#This Row],[Type]],Main[[#All],[TYPE]:[UNIT]],'Unit Price'!H$1,FALSE),0)</f>
        <v>0</v>
      </c>
      <c r="K501" s="194">
        <f>IF(_1_541284561214624104645789101745[[#This Row],[Discount selection]]&gt;0,VLOOKUP(_1_541284561214624104645789101745[[#This Row],[Discount selection]],'Discount Structure'!$A$2:$B$30,2,"false"),0)</f>
        <v>1</v>
      </c>
      <c r="L501" s="194">
        <f>_1_541284561214624104645789101745[[#This Row],[LIST $]]*_1_541284561214624104645789101745[[#This Row],[DISCOUNT]]*_1_541284561214624104645789101745[[#This Row],[DISCOUNT 2]]</f>
        <v>0</v>
      </c>
      <c r="M501" s="194">
        <f>IF(OR(_1_541284561214624104645789101745[[#This Row],[UNIT]]&gt;0,_1_541284561214624104645789101745[[#This Row],[UNIT]]&lt;0),_1_541284561214624104645789101745[[#This Row],[UNIT]]*_1_541284561214624104645789101745[[#This Row],[COST]],0)</f>
        <v>0</v>
      </c>
      <c r="N501" s="194">
        <f t="shared" si="7"/>
        <v>1.5</v>
      </c>
      <c r="O501" s="198">
        <f>_1_541284561214624104645789101745[[#This Row],[TOTAL]]*_1_541284561214624104645789101745[[#This Row],[MARGIN]]</f>
        <v>0</v>
      </c>
      <c r="R501" s="41"/>
    </row>
    <row r="502" spans="1:18">
      <c r="D502" s="188"/>
      <c r="F502" s="168" t="s">
        <v>6202</v>
      </c>
      <c r="G502" s="193">
        <f>IF(_1_541284561214624104645789101745[[#This Row],[Type]]&gt;0,VLOOKUP(_1_541284561214624104645789101745[[#This Row],[Type]],Main[[#All],[TYPE]:[UNIT]],'Unit Price'!C$1,FALSE),0)</f>
        <v>0</v>
      </c>
      <c r="H502" s="197">
        <f>IF(_1_541284561214624104645789101745[[#This Row],[Type]]&gt;0,VLOOKUP(_1_541284561214624104645789101745[[#This Row],[Type]],Main[[#All],[TYPE]:[UNIT]],'Unit Price'!D$1,FALSE),0)</f>
        <v>0</v>
      </c>
      <c r="I502" s="194">
        <f>IF(_1_541284561214624104645789101745[[#This Row],[Type]]&gt;0,VLOOKUP(_1_541284561214624104645789101745[[#This Row],[Type]],Main[[#All],[TYPE]:[UNIT]],'Unit Price'!G$1,FALSE),0)</f>
        <v>0</v>
      </c>
      <c r="J502" s="194">
        <f>IF(_1_541284561214624104645789101745[[#This Row],[Type]]&gt;0,VLOOKUP(_1_541284561214624104645789101745[[#This Row],[Type]],Main[[#All],[TYPE]:[UNIT]],'Unit Price'!H$1,FALSE),0)</f>
        <v>0</v>
      </c>
      <c r="K502" s="194">
        <f>IF(_1_541284561214624104645789101745[[#This Row],[Discount selection]]&gt;0,VLOOKUP(_1_541284561214624104645789101745[[#This Row],[Discount selection]],'Discount Structure'!$A$2:$B$30,2,"false"),0)</f>
        <v>1</v>
      </c>
      <c r="L502" s="194">
        <f>_1_541284561214624104645789101745[[#This Row],[LIST $]]*_1_541284561214624104645789101745[[#This Row],[DISCOUNT]]*_1_541284561214624104645789101745[[#This Row],[DISCOUNT 2]]</f>
        <v>0</v>
      </c>
      <c r="M502" s="194">
        <f>IF(OR(_1_541284561214624104645789101745[[#This Row],[UNIT]]&gt;0,_1_541284561214624104645789101745[[#This Row],[UNIT]]&lt;0),_1_541284561214624104645789101745[[#This Row],[UNIT]]*_1_541284561214624104645789101745[[#This Row],[COST]],0)</f>
        <v>0</v>
      </c>
      <c r="N502" s="194">
        <f t="shared" si="7"/>
        <v>1.5</v>
      </c>
      <c r="O502" s="198">
        <f>_1_541284561214624104645789101745[[#This Row],[TOTAL]]*_1_541284561214624104645789101745[[#This Row],[MARGIN]]</f>
        <v>0</v>
      </c>
      <c r="R502" s="41"/>
    </row>
    <row r="503" spans="1:18">
      <c r="D503" s="188"/>
      <c r="F503" s="168" t="s">
        <v>6202</v>
      </c>
      <c r="G503" s="193">
        <f>IF(_1_541284561214624104645789101745[[#This Row],[Type]]&gt;0,VLOOKUP(_1_541284561214624104645789101745[[#This Row],[Type]],Main[[#All],[TYPE]:[UNIT]],'Unit Price'!C$1,FALSE),0)</f>
        <v>0</v>
      </c>
      <c r="H503" s="197">
        <f>IF(_1_541284561214624104645789101745[[#This Row],[Type]]&gt;0,VLOOKUP(_1_541284561214624104645789101745[[#This Row],[Type]],Main[[#All],[TYPE]:[UNIT]],'Unit Price'!D$1,FALSE),0)</f>
        <v>0</v>
      </c>
      <c r="I503" s="194">
        <f>IF(_1_541284561214624104645789101745[[#This Row],[Type]]&gt;0,VLOOKUP(_1_541284561214624104645789101745[[#This Row],[Type]],Main[[#All],[TYPE]:[UNIT]],'Unit Price'!G$1,FALSE),0)</f>
        <v>0</v>
      </c>
      <c r="J503" s="194">
        <f>IF(_1_541284561214624104645789101745[[#This Row],[Type]]&gt;0,VLOOKUP(_1_541284561214624104645789101745[[#This Row],[Type]],Main[[#All],[TYPE]:[UNIT]],'Unit Price'!H$1,FALSE),0)</f>
        <v>0</v>
      </c>
      <c r="K503" s="194">
        <f>IF(_1_541284561214624104645789101745[[#This Row],[Discount selection]]&gt;0,VLOOKUP(_1_541284561214624104645789101745[[#This Row],[Discount selection]],'Discount Structure'!$A$2:$B$30,2,"false"),0)</f>
        <v>1</v>
      </c>
      <c r="L503" s="194">
        <f>_1_541284561214624104645789101745[[#This Row],[LIST $]]*_1_541284561214624104645789101745[[#This Row],[DISCOUNT]]*_1_541284561214624104645789101745[[#This Row],[DISCOUNT 2]]</f>
        <v>0</v>
      </c>
      <c r="M503" s="194">
        <f>IF(OR(_1_541284561214624104645789101745[[#This Row],[UNIT]]&gt;0,_1_541284561214624104645789101745[[#This Row],[UNIT]]&lt;0),_1_541284561214624104645789101745[[#This Row],[UNIT]]*_1_541284561214624104645789101745[[#This Row],[COST]],0)</f>
        <v>0</v>
      </c>
      <c r="N503" s="194">
        <f t="shared" si="7"/>
        <v>1.5</v>
      </c>
      <c r="O503" s="198">
        <f>_1_541284561214624104645789101745[[#This Row],[TOTAL]]*_1_541284561214624104645789101745[[#This Row],[MARGIN]]</f>
        <v>0</v>
      </c>
      <c r="R503" s="41"/>
    </row>
    <row r="504" spans="1:18">
      <c r="D504" s="188"/>
      <c r="F504" s="168" t="s">
        <v>6202</v>
      </c>
      <c r="G504" s="193">
        <f>IF(_1_541284561214624104645789101745[[#This Row],[Type]]&gt;0,VLOOKUP(_1_541284561214624104645789101745[[#This Row],[Type]],Main[[#All],[TYPE]:[UNIT]],'Unit Price'!C$1,FALSE),0)</f>
        <v>0</v>
      </c>
      <c r="H504" s="197">
        <f>IF(_1_541284561214624104645789101745[[#This Row],[Type]]&gt;0,VLOOKUP(_1_541284561214624104645789101745[[#This Row],[Type]],Main[[#All],[TYPE]:[UNIT]],'Unit Price'!D$1,FALSE),0)</f>
        <v>0</v>
      </c>
      <c r="I504" s="194">
        <f>IF(_1_541284561214624104645789101745[[#This Row],[Type]]&gt;0,VLOOKUP(_1_541284561214624104645789101745[[#This Row],[Type]],Main[[#All],[TYPE]:[UNIT]],'Unit Price'!G$1,FALSE),0)</f>
        <v>0</v>
      </c>
      <c r="J504" s="194">
        <f>IF(_1_541284561214624104645789101745[[#This Row],[Type]]&gt;0,VLOOKUP(_1_541284561214624104645789101745[[#This Row],[Type]],Main[[#All],[TYPE]:[UNIT]],'Unit Price'!H$1,FALSE),0)</f>
        <v>0</v>
      </c>
      <c r="K504" s="194">
        <f>IF(_1_541284561214624104645789101745[[#This Row],[Discount selection]]&gt;0,VLOOKUP(_1_541284561214624104645789101745[[#This Row],[Discount selection]],'Discount Structure'!$A$2:$B$30,2,"false"),0)</f>
        <v>1</v>
      </c>
      <c r="L504" s="194">
        <f>_1_541284561214624104645789101745[[#This Row],[LIST $]]*_1_541284561214624104645789101745[[#This Row],[DISCOUNT]]*_1_541284561214624104645789101745[[#This Row],[DISCOUNT 2]]</f>
        <v>0</v>
      </c>
      <c r="M504" s="194">
        <f>IF(OR(_1_541284561214624104645789101745[[#This Row],[UNIT]]&gt;0,_1_541284561214624104645789101745[[#This Row],[UNIT]]&lt;0),_1_541284561214624104645789101745[[#This Row],[UNIT]]*_1_541284561214624104645789101745[[#This Row],[COST]],0)</f>
        <v>0</v>
      </c>
      <c r="N504" s="194">
        <f t="shared" si="7"/>
        <v>1.5</v>
      </c>
      <c r="O504" s="198">
        <f>_1_541284561214624104645789101745[[#This Row],[TOTAL]]*_1_541284561214624104645789101745[[#This Row],[MARGIN]]</f>
        <v>0</v>
      </c>
      <c r="R504" s="41"/>
    </row>
    <row r="505" spans="1:18">
      <c r="D505" s="188"/>
      <c r="F505" s="168" t="s">
        <v>6202</v>
      </c>
      <c r="G505" s="193">
        <f>IF(_1_541284561214624104645789101745[[#This Row],[Type]]&gt;0,VLOOKUP(_1_541284561214624104645789101745[[#This Row],[Type]],Main[[#All],[TYPE]:[UNIT]],'Unit Price'!C$1,FALSE),0)</f>
        <v>0</v>
      </c>
      <c r="H505" s="197">
        <f>IF(_1_541284561214624104645789101745[[#This Row],[Type]]&gt;0,VLOOKUP(_1_541284561214624104645789101745[[#This Row],[Type]],Main[[#All],[TYPE]:[UNIT]],'Unit Price'!D$1,FALSE),0)</f>
        <v>0</v>
      </c>
      <c r="I505" s="194">
        <f>IF(_1_541284561214624104645789101745[[#This Row],[Type]]&gt;0,VLOOKUP(_1_541284561214624104645789101745[[#This Row],[Type]],Main[[#All],[TYPE]:[UNIT]],'Unit Price'!G$1,FALSE),0)</f>
        <v>0</v>
      </c>
      <c r="J505" s="194">
        <f>IF(_1_541284561214624104645789101745[[#This Row],[Type]]&gt;0,VLOOKUP(_1_541284561214624104645789101745[[#This Row],[Type]],Main[[#All],[TYPE]:[UNIT]],'Unit Price'!H$1,FALSE),0)</f>
        <v>0</v>
      </c>
      <c r="K505" s="194">
        <f>IF(_1_541284561214624104645789101745[[#This Row],[Discount selection]]&gt;0,VLOOKUP(_1_541284561214624104645789101745[[#This Row],[Discount selection]],'Discount Structure'!$A$2:$B$30,2,"false"),0)</f>
        <v>1</v>
      </c>
      <c r="L505" s="194">
        <f>_1_541284561214624104645789101745[[#This Row],[LIST $]]*_1_541284561214624104645789101745[[#This Row],[DISCOUNT]]*_1_541284561214624104645789101745[[#This Row],[DISCOUNT 2]]</f>
        <v>0</v>
      </c>
      <c r="M505" s="194">
        <f>IF(OR(_1_541284561214624104645789101745[[#This Row],[UNIT]]&gt;0,_1_541284561214624104645789101745[[#This Row],[UNIT]]&lt;0),_1_541284561214624104645789101745[[#This Row],[UNIT]]*_1_541284561214624104645789101745[[#This Row],[COST]],0)</f>
        <v>0</v>
      </c>
      <c r="N505" s="194">
        <f t="shared" si="7"/>
        <v>1.5</v>
      </c>
      <c r="O505" s="198">
        <f>_1_541284561214624104645789101745[[#This Row],[TOTAL]]*_1_541284561214624104645789101745[[#This Row],[MARGIN]]</f>
        <v>0</v>
      </c>
      <c r="R505" s="41"/>
    </row>
    <row r="506" spans="1:18">
      <c r="A506" s="168"/>
      <c r="D506" s="188"/>
      <c r="F506" s="168" t="s">
        <v>6202</v>
      </c>
      <c r="G506" s="193">
        <f>IF(_1_541284561214624104645789101745[[#This Row],[Type]]&gt;0,VLOOKUP(_1_541284561214624104645789101745[[#This Row],[Type]],Main[[#All],[TYPE]:[UNIT]],'Unit Price'!C$1,FALSE),0)</f>
        <v>0</v>
      </c>
      <c r="H506" s="197">
        <f>IF(_1_541284561214624104645789101745[[#This Row],[Type]]&gt;0,VLOOKUP(_1_541284561214624104645789101745[[#This Row],[Type]],Main[[#All],[TYPE]:[UNIT]],'Unit Price'!D$1,FALSE),0)</f>
        <v>0</v>
      </c>
      <c r="I506" s="194">
        <f>IF(_1_541284561214624104645789101745[[#This Row],[Type]]&gt;0,VLOOKUP(_1_541284561214624104645789101745[[#This Row],[Type]],Main[[#All],[TYPE]:[UNIT]],'Unit Price'!G$1,FALSE),0)</f>
        <v>0</v>
      </c>
      <c r="J506" s="194">
        <f>IF(_1_541284561214624104645789101745[[#This Row],[Type]]&gt;0,VLOOKUP(_1_541284561214624104645789101745[[#This Row],[Type]],Main[[#All],[TYPE]:[UNIT]],'Unit Price'!H$1,FALSE),0)</f>
        <v>0</v>
      </c>
      <c r="K506" s="194">
        <f>IF(_1_541284561214624104645789101745[[#This Row],[Discount selection]]&gt;0,VLOOKUP(_1_541284561214624104645789101745[[#This Row],[Discount selection]],'Discount Structure'!$A$2:$B$30,2,"false"),0)</f>
        <v>1</v>
      </c>
      <c r="L506" s="194">
        <f>_1_541284561214624104645789101745[[#This Row],[LIST $]]*_1_541284561214624104645789101745[[#This Row],[DISCOUNT]]*_1_541284561214624104645789101745[[#This Row],[DISCOUNT 2]]</f>
        <v>0</v>
      </c>
      <c r="M506" s="194">
        <f>IF(OR(_1_541284561214624104645789101745[[#This Row],[UNIT]]&gt;0,_1_541284561214624104645789101745[[#This Row],[UNIT]]&lt;0),_1_541284561214624104645789101745[[#This Row],[UNIT]]*_1_541284561214624104645789101745[[#This Row],[COST]],0)</f>
        <v>0</v>
      </c>
      <c r="N506" s="194">
        <f t="shared" si="7"/>
        <v>1.5</v>
      </c>
      <c r="O506" s="198">
        <f>_1_541284561214624104645789101745[[#This Row],[TOTAL]]*_1_541284561214624104645789101745[[#This Row],[MARGIN]]</f>
        <v>0</v>
      </c>
      <c r="R506" s="41"/>
    </row>
    <row r="507" spans="1:18">
      <c r="D507" s="188"/>
      <c r="F507" s="168" t="s">
        <v>6202</v>
      </c>
      <c r="G507" s="193">
        <f>IF(_1_541284561214624104645789101745[[#This Row],[Type]]&gt;0,VLOOKUP(_1_541284561214624104645789101745[[#This Row],[Type]],Main[[#All],[TYPE]:[UNIT]],'Unit Price'!C$1,FALSE),0)</f>
        <v>0</v>
      </c>
      <c r="H507" s="197">
        <f>IF(_1_541284561214624104645789101745[[#This Row],[Type]]&gt;0,VLOOKUP(_1_541284561214624104645789101745[[#This Row],[Type]],Main[[#All],[TYPE]:[UNIT]],'Unit Price'!D$1,FALSE),0)</f>
        <v>0</v>
      </c>
      <c r="I507" s="194">
        <f>IF(_1_541284561214624104645789101745[[#This Row],[Type]]&gt;0,VLOOKUP(_1_541284561214624104645789101745[[#This Row],[Type]],Main[[#All],[TYPE]:[UNIT]],'Unit Price'!G$1,FALSE),0)</f>
        <v>0</v>
      </c>
      <c r="J507" s="194">
        <f>IF(_1_541284561214624104645789101745[[#This Row],[Type]]&gt;0,VLOOKUP(_1_541284561214624104645789101745[[#This Row],[Type]],Main[[#All],[TYPE]:[UNIT]],'Unit Price'!H$1,FALSE),0)</f>
        <v>0</v>
      </c>
      <c r="K507" s="194">
        <f>IF(_1_541284561214624104645789101745[[#This Row],[Discount selection]]&gt;0,VLOOKUP(_1_541284561214624104645789101745[[#This Row],[Discount selection]],'Discount Structure'!$A$2:$B$30,2,"false"),0)</f>
        <v>1</v>
      </c>
      <c r="L507" s="194">
        <f>_1_541284561214624104645789101745[[#This Row],[LIST $]]*_1_541284561214624104645789101745[[#This Row],[DISCOUNT]]*_1_541284561214624104645789101745[[#This Row],[DISCOUNT 2]]</f>
        <v>0</v>
      </c>
      <c r="M507" s="194">
        <f>IF(OR(_1_541284561214624104645789101745[[#This Row],[UNIT]]&gt;0,_1_541284561214624104645789101745[[#This Row],[UNIT]]&lt;0),_1_541284561214624104645789101745[[#This Row],[UNIT]]*_1_541284561214624104645789101745[[#This Row],[COST]],0)</f>
        <v>0</v>
      </c>
      <c r="N507" s="194">
        <f t="shared" si="7"/>
        <v>1.5</v>
      </c>
      <c r="O507" s="198">
        <f>_1_541284561214624104645789101745[[#This Row],[TOTAL]]*_1_541284561214624104645789101745[[#This Row],[MARGIN]]</f>
        <v>0</v>
      </c>
      <c r="R507" s="41"/>
    </row>
    <row r="508" spans="1:18">
      <c r="D508" s="188"/>
      <c r="F508" s="168" t="s">
        <v>6202</v>
      </c>
      <c r="G508" s="193">
        <f>IF(_1_541284561214624104645789101745[[#This Row],[Type]]&gt;0,VLOOKUP(_1_541284561214624104645789101745[[#This Row],[Type]],Main[[#All],[TYPE]:[UNIT]],'Unit Price'!C$1,FALSE),0)</f>
        <v>0</v>
      </c>
      <c r="H508" s="197">
        <f>IF(_1_541284561214624104645789101745[[#This Row],[Type]]&gt;0,VLOOKUP(_1_541284561214624104645789101745[[#This Row],[Type]],Main[[#All],[TYPE]:[UNIT]],'Unit Price'!D$1,FALSE),0)</f>
        <v>0</v>
      </c>
      <c r="I508" s="194">
        <f>IF(_1_541284561214624104645789101745[[#This Row],[Type]]&gt;0,VLOOKUP(_1_541284561214624104645789101745[[#This Row],[Type]],Main[[#All],[TYPE]:[UNIT]],'Unit Price'!G$1,FALSE),0)</f>
        <v>0</v>
      </c>
      <c r="J508" s="194">
        <f>IF(_1_541284561214624104645789101745[[#This Row],[Type]]&gt;0,VLOOKUP(_1_541284561214624104645789101745[[#This Row],[Type]],Main[[#All],[TYPE]:[UNIT]],'Unit Price'!H$1,FALSE),0)</f>
        <v>0</v>
      </c>
      <c r="K508" s="194">
        <f>IF(_1_541284561214624104645789101745[[#This Row],[Discount selection]]&gt;0,VLOOKUP(_1_541284561214624104645789101745[[#This Row],[Discount selection]],'Discount Structure'!$A$2:$B$30,2,"false"),0)</f>
        <v>1</v>
      </c>
      <c r="L508" s="194">
        <f>_1_541284561214624104645789101745[[#This Row],[LIST $]]*_1_541284561214624104645789101745[[#This Row],[DISCOUNT]]*_1_541284561214624104645789101745[[#This Row],[DISCOUNT 2]]</f>
        <v>0</v>
      </c>
      <c r="M508" s="194">
        <f>IF(OR(_1_541284561214624104645789101745[[#This Row],[UNIT]]&gt;0,_1_541284561214624104645789101745[[#This Row],[UNIT]]&lt;0),_1_541284561214624104645789101745[[#This Row],[UNIT]]*_1_541284561214624104645789101745[[#This Row],[COST]],0)</f>
        <v>0</v>
      </c>
      <c r="N508" s="194">
        <f t="shared" si="7"/>
        <v>1.5</v>
      </c>
      <c r="O508" s="198">
        <f>_1_541284561214624104645789101745[[#This Row],[TOTAL]]*_1_541284561214624104645789101745[[#This Row],[MARGIN]]</f>
        <v>0</v>
      </c>
      <c r="R508" s="41"/>
    </row>
    <row r="509" spans="1:18">
      <c r="D509" s="188"/>
      <c r="F509" s="168" t="s">
        <v>6202</v>
      </c>
      <c r="G509" s="193">
        <f>IF(_1_541284561214624104645789101745[[#This Row],[Type]]&gt;0,VLOOKUP(_1_541284561214624104645789101745[[#This Row],[Type]],Main[[#All],[TYPE]:[UNIT]],'Unit Price'!C$1,FALSE),0)</f>
        <v>0</v>
      </c>
      <c r="H509" s="197">
        <f>IF(_1_541284561214624104645789101745[[#This Row],[Type]]&gt;0,VLOOKUP(_1_541284561214624104645789101745[[#This Row],[Type]],Main[[#All],[TYPE]:[UNIT]],'Unit Price'!D$1,FALSE),0)</f>
        <v>0</v>
      </c>
      <c r="I509" s="194">
        <f>IF(_1_541284561214624104645789101745[[#This Row],[Type]]&gt;0,VLOOKUP(_1_541284561214624104645789101745[[#This Row],[Type]],Main[[#All],[TYPE]:[UNIT]],'Unit Price'!G$1,FALSE),0)</f>
        <v>0</v>
      </c>
      <c r="J509" s="194">
        <f>IF(_1_541284561214624104645789101745[[#This Row],[Type]]&gt;0,VLOOKUP(_1_541284561214624104645789101745[[#This Row],[Type]],Main[[#All],[TYPE]:[UNIT]],'Unit Price'!H$1,FALSE),0)</f>
        <v>0</v>
      </c>
      <c r="K509" s="194">
        <f>IF(_1_541284561214624104645789101745[[#This Row],[Discount selection]]&gt;0,VLOOKUP(_1_541284561214624104645789101745[[#This Row],[Discount selection]],'Discount Structure'!$A$2:$B$30,2,"false"),0)</f>
        <v>1</v>
      </c>
      <c r="L509" s="194">
        <f>_1_541284561214624104645789101745[[#This Row],[LIST $]]*_1_541284561214624104645789101745[[#This Row],[DISCOUNT]]*_1_541284561214624104645789101745[[#This Row],[DISCOUNT 2]]</f>
        <v>0</v>
      </c>
      <c r="M509" s="194">
        <f>IF(OR(_1_541284561214624104645789101745[[#This Row],[UNIT]]&gt;0,_1_541284561214624104645789101745[[#This Row],[UNIT]]&lt;0),_1_541284561214624104645789101745[[#This Row],[UNIT]]*_1_541284561214624104645789101745[[#This Row],[COST]],0)</f>
        <v>0</v>
      </c>
      <c r="N509" s="194">
        <f t="shared" si="7"/>
        <v>1.5</v>
      </c>
      <c r="O509" s="198">
        <f>_1_541284561214624104645789101745[[#This Row],[TOTAL]]*_1_541284561214624104645789101745[[#This Row],[MARGIN]]</f>
        <v>0</v>
      </c>
      <c r="R509" s="41"/>
    </row>
    <row r="510" spans="1:18">
      <c r="D510" s="188"/>
      <c r="F510" s="168" t="s">
        <v>6202</v>
      </c>
      <c r="G510" s="193">
        <f>IF(_1_541284561214624104645789101745[[#This Row],[Type]]&gt;0,VLOOKUP(_1_541284561214624104645789101745[[#This Row],[Type]],Main[[#All],[TYPE]:[UNIT]],'Unit Price'!C$1,FALSE),0)</f>
        <v>0</v>
      </c>
      <c r="H510" s="197">
        <f>IF(_1_541284561214624104645789101745[[#This Row],[Type]]&gt;0,VLOOKUP(_1_541284561214624104645789101745[[#This Row],[Type]],Main[[#All],[TYPE]:[UNIT]],'Unit Price'!D$1,FALSE),0)</f>
        <v>0</v>
      </c>
      <c r="I510" s="194">
        <f>IF(_1_541284561214624104645789101745[[#This Row],[Type]]&gt;0,VLOOKUP(_1_541284561214624104645789101745[[#This Row],[Type]],Main[[#All],[TYPE]:[UNIT]],'Unit Price'!G$1,FALSE),0)</f>
        <v>0</v>
      </c>
      <c r="J510" s="194">
        <f>IF(_1_541284561214624104645789101745[[#This Row],[Type]]&gt;0,VLOOKUP(_1_541284561214624104645789101745[[#This Row],[Type]],Main[[#All],[TYPE]:[UNIT]],'Unit Price'!H$1,FALSE),0)</f>
        <v>0</v>
      </c>
      <c r="K510" s="194">
        <f>IF(_1_541284561214624104645789101745[[#This Row],[Discount selection]]&gt;0,VLOOKUP(_1_541284561214624104645789101745[[#This Row],[Discount selection]],'Discount Structure'!$A$2:$B$30,2,"false"),0)</f>
        <v>1</v>
      </c>
      <c r="L510" s="194">
        <f>_1_541284561214624104645789101745[[#This Row],[LIST $]]*_1_541284561214624104645789101745[[#This Row],[DISCOUNT]]*_1_541284561214624104645789101745[[#This Row],[DISCOUNT 2]]</f>
        <v>0</v>
      </c>
      <c r="M510" s="194">
        <f>IF(OR(_1_541284561214624104645789101745[[#This Row],[UNIT]]&gt;0,_1_541284561214624104645789101745[[#This Row],[UNIT]]&lt;0),_1_541284561214624104645789101745[[#This Row],[UNIT]]*_1_541284561214624104645789101745[[#This Row],[COST]],0)</f>
        <v>0</v>
      </c>
      <c r="N510" s="194">
        <f t="shared" si="7"/>
        <v>1.5</v>
      </c>
      <c r="O510" s="198">
        <f>_1_541284561214624104645789101745[[#This Row],[TOTAL]]*_1_541284561214624104645789101745[[#This Row],[MARGIN]]</f>
        <v>0</v>
      </c>
      <c r="R510" s="41"/>
    </row>
    <row r="511" spans="1:18">
      <c r="D511" s="188"/>
      <c r="F511" s="168" t="s">
        <v>6202</v>
      </c>
      <c r="G511" s="193">
        <f>IF(_1_541284561214624104645789101745[[#This Row],[Type]]&gt;0,VLOOKUP(_1_541284561214624104645789101745[[#This Row],[Type]],Main[[#All],[TYPE]:[UNIT]],'Unit Price'!C$1,FALSE),0)</f>
        <v>0</v>
      </c>
      <c r="H511" s="197">
        <f>IF(_1_541284561214624104645789101745[[#This Row],[Type]]&gt;0,VLOOKUP(_1_541284561214624104645789101745[[#This Row],[Type]],Main[[#All],[TYPE]:[UNIT]],'Unit Price'!D$1,FALSE),0)</f>
        <v>0</v>
      </c>
      <c r="I511" s="194">
        <f>IF(_1_541284561214624104645789101745[[#This Row],[Type]]&gt;0,VLOOKUP(_1_541284561214624104645789101745[[#This Row],[Type]],Main[[#All],[TYPE]:[UNIT]],'Unit Price'!G$1,FALSE),0)</f>
        <v>0</v>
      </c>
      <c r="J511" s="194">
        <f>IF(_1_541284561214624104645789101745[[#This Row],[Type]]&gt;0,VLOOKUP(_1_541284561214624104645789101745[[#This Row],[Type]],Main[[#All],[TYPE]:[UNIT]],'Unit Price'!H$1,FALSE),0)</f>
        <v>0</v>
      </c>
      <c r="K511" s="194">
        <f>IF(_1_541284561214624104645789101745[[#This Row],[Discount selection]]&gt;0,VLOOKUP(_1_541284561214624104645789101745[[#This Row],[Discount selection]],'Discount Structure'!$A$2:$B$30,2,"false"),0)</f>
        <v>1</v>
      </c>
      <c r="L511" s="194">
        <f>_1_541284561214624104645789101745[[#This Row],[LIST $]]*_1_541284561214624104645789101745[[#This Row],[DISCOUNT]]*_1_541284561214624104645789101745[[#This Row],[DISCOUNT 2]]</f>
        <v>0</v>
      </c>
      <c r="M511" s="194">
        <f>IF(OR(_1_541284561214624104645789101745[[#This Row],[UNIT]]&gt;0,_1_541284561214624104645789101745[[#This Row],[UNIT]]&lt;0),_1_541284561214624104645789101745[[#This Row],[UNIT]]*_1_541284561214624104645789101745[[#This Row],[COST]],0)</f>
        <v>0</v>
      </c>
      <c r="N511" s="194">
        <f t="shared" si="7"/>
        <v>1.5</v>
      </c>
      <c r="O511" s="198">
        <f>_1_541284561214624104645789101745[[#This Row],[TOTAL]]*_1_541284561214624104645789101745[[#This Row],[MARGIN]]</f>
        <v>0</v>
      </c>
      <c r="R511" s="41"/>
    </row>
    <row r="512" spans="1:18">
      <c r="A512" s="168"/>
      <c r="D512" s="188"/>
      <c r="F512" s="168" t="s">
        <v>6202</v>
      </c>
      <c r="G512" s="193">
        <f>IF(_1_541284561214624104645789101745[[#This Row],[Type]]&gt;0,VLOOKUP(_1_541284561214624104645789101745[[#This Row],[Type]],Main[[#All],[TYPE]:[UNIT]],'Unit Price'!C$1,FALSE),0)</f>
        <v>0</v>
      </c>
      <c r="H512" s="197">
        <f>IF(_1_541284561214624104645789101745[[#This Row],[Type]]&gt;0,VLOOKUP(_1_541284561214624104645789101745[[#This Row],[Type]],Main[[#All],[TYPE]:[UNIT]],'Unit Price'!D$1,FALSE),0)</f>
        <v>0</v>
      </c>
      <c r="I512" s="194">
        <f>IF(_1_541284561214624104645789101745[[#This Row],[Type]]&gt;0,VLOOKUP(_1_541284561214624104645789101745[[#This Row],[Type]],Main[[#All],[TYPE]:[UNIT]],'Unit Price'!G$1,FALSE),0)</f>
        <v>0</v>
      </c>
      <c r="J512" s="194">
        <f>IF(_1_541284561214624104645789101745[[#This Row],[Type]]&gt;0,VLOOKUP(_1_541284561214624104645789101745[[#This Row],[Type]],Main[[#All],[TYPE]:[UNIT]],'Unit Price'!H$1,FALSE),0)</f>
        <v>0</v>
      </c>
      <c r="K512" s="194">
        <f>IF(_1_541284561214624104645789101745[[#This Row],[Discount selection]]&gt;0,VLOOKUP(_1_541284561214624104645789101745[[#This Row],[Discount selection]],'Discount Structure'!$A$2:$B$30,2,"false"),0)</f>
        <v>1</v>
      </c>
      <c r="L512" s="194">
        <f>_1_541284561214624104645789101745[[#This Row],[LIST $]]*_1_541284561214624104645789101745[[#This Row],[DISCOUNT]]*_1_541284561214624104645789101745[[#This Row],[DISCOUNT 2]]</f>
        <v>0</v>
      </c>
      <c r="M512" s="194">
        <f>IF(OR(_1_541284561214624104645789101745[[#This Row],[UNIT]]&gt;0,_1_541284561214624104645789101745[[#This Row],[UNIT]]&lt;0),_1_541284561214624104645789101745[[#This Row],[UNIT]]*_1_541284561214624104645789101745[[#This Row],[COST]],0)</f>
        <v>0</v>
      </c>
      <c r="N512" s="194">
        <f t="shared" si="7"/>
        <v>1.5</v>
      </c>
      <c r="O512" s="198">
        <f>_1_541284561214624104645789101745[[#This Row],[TOTAL]]*_1_541284561214624104645789101745[[#This Row],[MARGIN]]</f>
        <v>0</v>
      </c>
      <c r="R512" s="41"/>
    </row>
    <row r="513" spans="1:18">
      <c r="A513" s="168"/>
      <c r="D513" s="188"/>
      <c r="F513" s="168" t="s">
        <v>6202</v>
      </c>
      <c r="G513" s="193">
        <f>IF(_1_541284561214624104645789101745[[#This Row],[Type]]&gt;0,VLOOKUP(_1_541284561214624104645789101745[[#This Row],[Type]],Main[[#All],[TYPE]:[UNIT]],'Unit Price'!C$1,FALSE),0)</f>
        <v>0</v>
      </c>
      <c r="H513" s="197">
        <f>IF(_1_541284561214624104645789101745[[#This Row],[Type]]&gt;0,VLOOKUP(_1_541284561214624104645789101745[[#This Row],[Type]],Main[[#All],[TYPE]:[UNIT]],'Unit Price'!D$1,FALSE),0)</f>
        <v>0</v>
      </c>
      <c r="I513" s="194">
        <f>IF(_1_541284561214624104645789101745[[#This Row],[Type]]&gt;0,VLOOKUP(_1_541284561214624104645789101745[[#This Row],[Type]],Main[[#All],[TYPE]:[UNIT]],'Unit Price'!G$1,FALSE),0)</f>
        <v>0</v>
      </c>
      <c r="J513" s="194">
        <f>IF(_1_541284561214624104645789101745[[#This Row],[Type]]&gt;0,VLOOKUP(_1_541284561214624104645789101745[[#This Row],[Type]],Main[[#All],[TYPE]:[UNIT]],'Unit Price'!H$1,FALSE),0)</f>
        <v>0</v>
      </c>
      <c r="K513" s="194">
        <f>IF(_1_541284561214624104645789101745[[#This Row],[Discount selection]]&gt;0,VLOOKUP(_1_541284561214624104645789101745[[#This Row],[Discount selection]],'Discount Structure'!$A$2:$B$30,2,"false"),0)</f>
        <v>1</v>
      </c>
      <c r="L513" s="194">
        <f>_1_541284561214624104645789101745[[#This Row],[LIST $]]*_1_541284561214624104645789101745[[#This Row],[DISCOUNT]]*_1_541284561214624104645789101745[[#This Row],[DISCOUNT 2]]</f>
        <v>0</v>
      </c>
      <c r="M513" s="194">
        <f>IF(OR(_1_541284561214624104645789101745[[#This Row],[UNIT]]&gt;0,_1_541284561214624104645789101745[[#This Row],[UNIT]]&lt;0),_1_541284561214624104645789101745[[#This Row],[UNIT]]*_1_541284561214624104645789101745[[#This Row],[COST]],0)</f>
        <v>0</v>
      </c>
      <c r="N513" s="194">
        <f t="shared" si="7"/>
        <v>1.5</v>
      </c>
      <c r="O513" s="198">
        <f>_1_541284561214624104645789101745[[#This Row],[TOTAL]]*_1_541284561214624104645789101745[[#This Row],[MARGIN]]</f>
        <v>0</v>
      </c>
      <c r="R513" s="41"/>
    </row>
    <row r="514" spans="1:18">
      <c r="A514" s="168"/>
      <c r="D514" s="188"/>
      <c r="F514" s="168" t="s">
        <v>6202</v>
      </c>
      <c r="G514" s="193">
        <f>IF(_1_541284561214624104645789101745[[#This Row],[Type]]&gt;0,VLOOKUP(_1_541284561214624104645789101745[[#This Row],[Type]],Main[[#All],[TYPE]:[UNIT]],'Unit Price'!C$1,FALSE),0)</f>
        <v>0</v>
      </c>
      <c r="H514" s="197">
        <f>IF(_1_541284561214624104645789101745[[#This Row],[Type]]&gt;0,VLOOKUP(_1_541284561214624104645789101745[[#This Row],[Type]],Main[[#All],[TYPE]:[UNIT]],'Unit Price'!D$1,FALSE),0)</f>
        <v>0</v>
      </c>
      <c r="I514" s="194">
        <f>IF(_1_541284561214624104645789101745[[#This Row],[Type]]&gt;0,VLOOKUP(_1_541284561214624104645789101745[[#This Row],[Type]],Main[[#All],[TYPE]:[UNIT]],'Unit Price'!G$1,FALSE),0)</f>
        <v>0</v>
      </c>
      <c r="J514" s="194">
        <f>IF(_1_541284561214624104645789101745[[#This Row],[Type]]&gt;0,VLOOKUP(_1_541284561214624104645789101745[[#This Row],[Type]],Main[[#All],[TYPE]:[UNIT]],'Unit Price'!H$1,FALSE),0)</f>
        <v>0</v>
      </c>
      <c r="K514" s="194">
        <f>IF(_1_541284561214624104645789101745[[#This Row],[Discount selection]]&gt;0,VLOOKUP(_1_541284561214624104645789101745[[#This Row],[Discount selection]],'Discount Structure'!$A$2:$B$30,2,"false"),0)</f>
        <v>1</v>
      </c>
      <c r="L514" s="194">
        <f>_1_541284561214624104645789101745[[#This Row],[LIST $]]*_1_541284561214624104645789101745[[#This Row],[DISCOUNT]]*_1_541284561214624104645789101745[[#This Row],[DISCOUNT 2]]</f>
        <v>0</v>
      </c>
      <c r="M514" s="194">
        <f>IF(OR(_1_541284561214624104645789101745[[#This Row],[UNIT]]&gt;0,_1_541284561214624104645789101745[[#This Row],[UNIT]]&lt;0),_1_541284561214624104645789101745[[#This Row],[UNIT]]*_1_541284561214624104645789101745[[#This Row],[COST]],0)</f>
        <v>0</v>
      </c>
      <c r="N514" s="194">
        <f t="shared" si="7"/>
        <v>1.5</v>
      </c>
      <c r="O514" s="198">
        <f>_1_541284561214624104645789101745[[#This Row],[TOTAL]]*_1_541284561214624104645789101745[[#This Row],[MARGIN]]</f>
        <v>0</v>
      </c>
      <c r="R514" s="41"/>
    </row>
    <row r="515" spans="1:18">
      <c r="B515" s="168"/>
      <c r="C515" s="168"/>
      <c r="D515" s="188"/>
      <c r="F515" s="168" t="s">
        <v>6202</v>
      </c>
      <c r="G515" s="193">
        <f>IF(_1_541284561214624104645789101745[[#This Row],[Type]]&gt;0,VLOOKUP(_1_541284561214624104645789101745[[#This Row],[Type]],Main[[#All],[TYPE]:[UNIT]],'Unit Price'!C$1,FALSE),0)</f>
        <v>0</v>
      </c>
      <c r="H515" s="197">
        <f>IF(_1_541284561214624104645789101745[[#This Row],[Type]]&gt;0,VLOOKUP(_1_541284561214624104645789101745[[#This Row],[Type]],Main[[#All],[TYPE]:[UNIT]],'Unit Price'!D$1,FALSE),0)</f>
        <v>0</v>
      </c>
      <c r="I515" s="194">
        <f>IF(_1_541284561214624104645789101745[[#This Row],[Type]]&gt;0,VLOOKUP(_1_541284561214624104645789101745[[#This Row],[Type]],Main[[#All],[TYPE]:[UNIT]],'Unit Price'!G$1,FALSE),0)</f>
        <v>0</v>
      </c>
      <c r="J515" s="194">
        <f>IF(_1_541284561214624104645789101745[[#This Row],[Type]]&gt;0,VLOOKUP(_1_541284561214624104645789101745[[#This Row],[Type]],Main[[#All],[TYPE]:[UNIT]],'Unit Price'!H$1,FALSE),0)</f>
        <v>0</v>
      </c>
      <c r="K515" s="194">
        <f>IF(_1_541284561214624104645789101745[[#This Row],[Discount selection]]&gt;0,VLOOKUP(_1_541284561214624104645789101745[[#This Row],[Discount selection]],'Discount Structure'!$A$2:$B$30,2,"false"),0)</f>
        <v>1</v>
      </c>
      <c r="L515" s="194">
        <f>_1_541284561214624104645789101745[[#This Row],[LIST $]]*_1_541284561214624104645789101745[[#This Row],[DISCOUNT]]*_1_541284561214624104645789101745[[#This Row],[DISCOUNT 2]]</f>
        <v>0</v>
      </c>
      <c r="M515" s="194">
        <f>IF(OR(_1_541284561214624104645789101745[[#This Row],[UNIT]]&gt;0,_1_541284561214624104645789101745[[#This Row],[UNIT]]&lt;0),_1_541284561214624104645789101745[[#This Row],[UNIT]]*_1_541284561214624104645789101745[[#This Row],[COST]],0)</f>
        <v>0</v>
      </c>
      <c r="N515" s="194">
        <f t="shared" si="7"/>
        <v>1.5</v>
      </c>
      <c r="O515" s="198">
        <f>_1_541284561214624104645789101745[[#This Row],[TOTAL]]*_1_541284561214624104645789101745[[#This Row],[MARGIN]]</f>
        <v>0</v>
      </c>
      <c r="R515" s="41"/>
    </row>
    <row r="516" spans="1:18">
      <c r="D516" s="188"/>
      <c r="F516" s="168" t="s">
        <v>6202</v>
      </c>
      <c r="G516" s="193">
        <f>IF(_1_541284561214624104645789101745[[#This Row],[Type]]&gt;0,VLOOKUP(_1_541284561214624104645789101745[[#This Row],[Type]],Main[[#All],[TYPE]:[UNIT]],'Unit Price'!C$1,FALSE),0)</f>
        <v>0</v>
      </c>
      <c r="H516" s="197">
        <f>IF(_1_541284561214624104645789101745[[#This Row],[Type]]&gt;0,VLOOKUP(_1_541284561214624104645789101745[[#This Row],[Type]],Main[[#All],[TYPE]:[UNIT]],'Unit Price'!D$1,FALSE),0)</f>
        <v>0</v>
      </c>
      <c r="I516" s="194">
        <f>IF(_1_541284561214624104645789101745[[#This Row],[Type]]&gt;0,VLOOKUP(_1_541284561214624104645789101745[[#This Row],[Type]],Main[[#All],[TYPE]:[UNIT]],'Unit Price'!G$1,FALSE),0)</f>
        <v>0</v>
      </c>
      <c r="J516" s="194">
        <f>IF(_1_541284561214624104645789101745[[#This Row],[Type]]&gt;0,VLOOKUP(_1_541284561214624104645789101745[[#This Row],[Type]],Main[[#All],[TYPE]:[UNIT]],'Unit Price'!H$1,FALSE),0)</f>
        <v>0</v>
      </c>
      <c r="K516" s="194">
        <f>IF(_1_541284561214624104645789101745[[#This Row],[Discount selection]]&gt;0,VLOOKUP(_1_541284561214624104645789101745[[#This Row],[Discount selection]],'Discount Structure'!$A$2:$B$30,2,"false"),0)</f>
        <v>1</v>
      </c>
      <c r="L516" s="194">
        <f>_1_541284561214624104645789101745[[#This Row],[LIST $]]*_1_541284561214624104645789101745[[#This Row],[DISCOUNT]]*_1_541284561214624104645789101745[[#This Row],[DISCOUNT 2]]</f>
        <v>0</v>
      </c>
      <c r="M516" s="194">
        <f>IF(OR(_1_541284561214624104645789101745[[#This Row],[UNIT]]&gt;0,_1_541284561214624104645789101745[[#This Row],[UNIT]]&lt;0),_1_541284561214624104645789101745[[#This Row],[UNIT]]*_1_541284561214624104645789101745[[#This Row],[COST]],0)</f>
        <v>0</v>
      </c>
      <c r="N516" s="194">
        <f t="shared" si="7"/>
        <v>1.5</v>
      </c>
      <c r="O516" s="198">
        <f>_1_541284561214624104645789101745[[#This Row],[TOTAL]]*_1_541284561214624104645789101745[[#This Row],[MARGIN]]</f>
        <v>0</v>
      </c>
      <c r="R516" s="41"/>
    </row>
    <row r="517" spans="1:18">
      <c r="D517" s="188"/>
      <c r="F517" s="168" t="s">
        <v>6202</v>
      </c>
      <c r="G517" s="193">
        <f>IF(_1_541284561214624104645789101745[[#This Row],[Type]]&gt;0,VLOOKUP(_1_541284561214624104645789101745[[#This Row],[Type]],Main[[#All],[TYPE]:[UNIT]],'Unit Price'!C$1,FALSE),0)</f>
        <v>0</v>
      </c>
      <c r="H517" s="197">
        <f>IF(_1_541284561214624104645789101745[[#This Row],[Type]]&gt;0,VLOOKUP(_1_541284561214624104645789101745[[#This Row],[Type]],Main[[#All],[TYPE]:[UNIT]],'Unit Price'!D$1,FALSE),0)</f>
        <v>0</v>
      </c>
      <c r="I517" s="194">
        <f>IF(_1_541284561214624104645789101745[[#This Row],[Type]]&gt;0,VLOOKUP(_1_541284561214624104645789101745[[#This Row],[Type]],Main[[#All],[TYPE]:[UNIT]],'Unit Price'!G$1,FALSE),0)</f>
        <v>0</v>
      </c>
      <c r="J517" s="194">
        <f>IF(_1_541284561214624104645789101745[[#This Row],[Type]]&gt;0,VLOOKUP(_1_541284561214624104645789101745[[#This Row],[Type]],Main[[#All],[TYPE]:[UNIT]],'Unit Price'!H$1,FALSE),0)</f>
        <v>0</v>
      </c>
      <c r="K517" s="194">
        <f>IF(_1_541284561214624104645789101745[[#This Row],[Discount selection]]&gt;0,VLOOKUP(_1_541284561214624104645789101745[[#This Row],[Discount selection]],'Discount Structure'!$A$2:$B$30,2,"false"),0)</f>
        <v>1</v>
      </c>
      <c r="L517" s="194">
        <f>_1_541284561214624104645789101745[[#This Row],[LIST $]]*_1_541284561214624104645789101745[[#This Row],[DISCOUNT]]*_1_541284561214624104645789101745[[#This Row],[DISCOUNT 2]]</f>
        <v>0</v>
      </c>
      <c r="M517" s="194">
        <f>IF(OR(_1_541284561214624104645789101745[[#This Row],[UNIT]]&gt;0,_1_541284561214624104645789101745[[#This Row],[UNIT]]&lt;0),_1_541284561214624104645789101745[[#This Row],[UNIT]]*_1_541284561214624104645789101745[[#This Row],[COST]],0)</f>
        <v>0</v>
      </c>
      <c r="N517" s="194">
        <f t="shared" si="7"/>
        <v>1.5</v>
      </c>
      <c r="O517" s="198">
        <f>_1_541284561214624104645789101745[[#This Row],[TOTAL]]*_1_541284561214624104645789101745[[#This Row],[MARGIN]]</f>
        <v>0</v>
      </c>
      <c r="R517" s="41"/>
    </row>
    <row r="518" spans="1:18">
      <c r="D518" s="188"/>
      <c r="F518" s="168" t="s">
        <v>6202</v>
      </c>
      <c r="G518" s="193">
        <f>IF(_1_541284561214624104645789101745[[#This Row],[Type]]&gt;0,VLOOKUP(_1_541284561214624104645789101745[[#This Row],[Type]],Main[[#All],[TYPE]:[UNIT]],'Unit Price'!C$1,FALSE),0)</f>
        <v>0</v>
      </c>
      <c r="H518" s="197">
        <f>IF(_1_541284561214624104645789101745[[#This Row],[Type]]&gt;0,VLOOKUP(_1_541284561214624104645789101745[[#This Row],[Type]],Main[[#All],[TYPE]:[UNIT]],'Unit Price'!D$1,FALSE),0)</f>
        <v>0</v>
      </c>
      <c r="I518" s="194">
        <f>IF(_1_541284561214624104645789101745[[#This Row],[Type]]&gt;0,VLOOKUP(_1_541284561214624104645789101745[[#This Row],[Type]],Main[[#All],[TYPE]:[UNIT]],'Unit Price'!G$1,FALSE),0)</f>
        <v>0</v>
      </c>
      <c r="J518" s="194">
        <f>IF(_1_541284561214624104645789101745[[#This Row],[Type]]&gt;0,VLOOKUP(_1_541284561214624104645789101745[[#This Row],[Type]],Main[[#All],[TYPE]:[UNIT]],'Unit Price'!H$1,FALSE),0)</f>
        <v>0</v>
      </c>
      <c r="K518" s="194">
        <f>IF(_1_541284561214624104645789101745[[#This Row],[Discount selection]]&gt;0,VLOOKUP(_1_541284561214624104645789101745[[#This Row],[Discount selection]],'Discount Structure'!$A$2:$B$30,2,"false"),0)</f>
        <v>1</v>
      </c>
      <c r="L518" s="194">
        <f>_1_541284561214624104645789101745[[#This Row],[LIST $]]*_1_541284561214624104645789101745[[#This Row],[DISCOUNT]]*_1_541284561214624104645789101745[[#This Row],[DISCOUNT 2]]</f>
        <v>0</v>
      </c>
      <c r="M518" s="194">
        <f>IF(OR(_1_541284561214624104645789101745[[#This Row],[UNIT]]&gt;0,_1_541284561214624104645789101745[[#This Row],[UNIT]]&lt;0),_1_541284561214624104645789101745[[#This Row],[UNIT]]*_1_541284561214624104645789101745[[#This Row],[COST]],0)</f>
        <v>0</v>
      </c>
      <c r="N518" s="194">
        <f t="shared" si="7"/>
        <v>1.5</v>
      </c>
      <c r="O518" s="198">
        <f>_1_541284561214624104645789101745[[#This Row],[TOTAL]]*_1_541284561214624104645789101745[[#This Row],[MARGIN]]</f>
        <v>0</v>
      </c>
      <c r="R518" s="41"/>
    </row>
    <row r="519" spans="1:18">
      <c r="D519" s="188"/>
      <c r="F519" s="168" t="s">
        <v>6202</v>
      </c>
      <c r="G519" s="193">
        <f>IF(_1_541284561214624104645789101745[[#This Row],[Type]]&gt;0,VLOOKUP(_1_541284561214624104645789101745[[#This Row],[Type]],Main[[#All],[TYPE]:[UNIT]],'Unit Price'!C$1,FALSE),0)</f>
        <v>0</v>
      </c>
      <c r="H519" s="197">
        <f>IF(_1_541284561214624104645789101745[[#This Row],[Type]]&gt;0,VLOOKUP(_1_541284561214624104645789101745[[#This Row],[Type]],Main[[#All],[TYPE]:[UNIT]],'Unit Price'!D$1,FALSE),0)</f>
        <v>0</v>
      </c>
      <c r="I519" s="194">
        <f>IF(_1_541284561214624104645789101745[[#This Row],[Type]]&gt;0,VLOOKUP(_1_541284561214624104645789101745[[#This Row],[Type]],Main[[#All],[TYPE]:[UNIT]],'Unit Price'!G$1,FALSE),0)</f>
        <v>0</v>
      </c>
      <c r="J519" s="194">
        <f>IF(_1_541284561214624104645789101745[[#This Row],[Type]]&gt;0,VLOOKUP(_1_541284561214624104645789101745[[#This Row],[Type]],Main[[#All],[TYPE]:[UNIT]],'Unit Price'!H$1,FALSE),0)</f>
        <v>0</v>
      </c>
      <c r="K519" s="194">
        <f>IF(_1_541284561214624104645789101745[[#This Row],[Discount selection]]&gt;0,VLOOKUP(_1_541284561214624104645789101745[[#This Row],[Discount selection]],'Discount Structure'!$A$2:$B$30,2,"false"),0)</f>
        <v>1</v>
      </c>
      <c r="L519" s="194">
        <f>_1_541284561214624104645789101745[[#This Row],[LIST $]]*_1_541284561214624104645789101745[[#This Row],[DISCOUNT]]*_1_541284561214624104645789101745[[#This Row],[DISCOUNT 2]]</f>
        <v>0</v>
      </c>
      <c r="M519" s="194">
        <f>IF(OR(_1_541284561214624104645789101745[[#This Row],[UNIT]]&gt;0,_1_541284561214624104645789101745[[#This Row],[UNIT]]&lt;0),_1_541284561214624104645789101745[[#This Row],[UNIT]]*_1_541284561214624104645789101745[[#This Row],[COST]],0)</f>
        <v>0</v>
      </c>
      <c r="N519" s="194">
        <f t="shared" si="7"/>
        <v>1.5</v>
      </c>
      <c r="O519" s="198">
        <f>_1_541284561214624104645789101745[[#This Row],[TOTAL]]*_1_541284561214624104645789101745[[#This Row],[MARGIN]]</f>
        <v>0</v>
      </c>
      <c r="R519" s="41"/>
    </row>
    <row r="520" spans="1:18">
      <c r="D520" s="188"/>
      <c r="F520" s="168" t="s">
        <v>6202</v>
      </c>
      <c r="G520" s="193">
        <f>IF(_1_541284561214624104645789101745[[#This Row],[Type]]&gt;0,VLOOKUP(_1_541284561214624104645789101745[[#This Row],[Type]],Main[[#All],[TYPE]:[UNIT]],'Unit Price'!C$1,FALSE),0)</f>
        <v>0</v>
      </c>
      <c r="H520" s="197">
        <f>IF(_1_541284561214624104645789101745[[#This Row],[Type]]&gt;0,VLOOKUP(_1_541284561214624104645789101745[[#This Row],[Type]],Main[[#All],[TYPE]:[UNIT]],'Unit Price'!D$1,FALSE),0)</f>
        <v>0</v>
      </c>
      <c r="I520" s="194">
        <f>IF(_1_541284561214624104645789101745[[#This Row],[Type]]&gt;0,VLOOKUP(_1_541284561214624104645789101745[[#This Row],[Type]],Main[[#All],[TYPE]:[UNIT]],'Unit Price'!G$1,FALSE),0)</f>
        <v>0</v>
      </c>
      <c r="J520" s="194">
        <f>IF(_1_541284561214624104645789101745[[#This Row],[Type]]&gt;0,VLOOKUP(_1_541284561214624104645789101745[[#This Row],[Type]],Main[[#All],[TYPE]:[UNIT]],'Unit Price'!H$1,FALSE),0)</f>
        <v>0</v>
      </c>
      <c r="K520" s="194">
        <f>IF(_1_541284561214624104645789101745[[#This Row],[Discount selection]]&gt;0,VLOOKUP(_1_541284561214624104645789101745[[#This Row],[Discount selection]],'Discount Structure'!$A$2:$B$30,2,"false"),0)</f>
        <v>1</v>
      </c>
      <c r="L520" s="194">
        <f>_1_541284561214624104645789101745[[#This Row],[LIST $]]*_1_541284561214624104645789101745[[#This Row],[DISCOUNT]]*_1_541284561214624104645789101745[[#This Row],[DISCOUNT 2]]</f>
        <v>0</v>
      </c>
      <c r="M520" s="194">
        <f>IF(OR(_1_541284561214624104645789101745[[#This Row],[UNIT]]&gt;0,_1_541284561214624104645789101745[[#This Row],[UNIT]]&lt;0),_1_541284561214624104645789101745[[#This Row],[UNIT]]*_1_541284561214624104645789101745[[#This Row],[COST]],0)</f>
        <v>0</v>
      </c>
      <c r="N520" s="194">
        <f t="shared" si="7"/>
        <v>1.5</v>
      </c>
      <c r="O520" s="198">
        <f>_1_541284561214624104645789101745[[#This Row],[TOTAL]]*_1_541284561214624104645789101745[[#This Row],[MARGIN]]</f>
        <v>0</v>
      </c>
      <c r="R520" s="41"/>
    </row>
    <row r="521" spans="1:18">
      <c r="D521" s="188"/>
      <c r="F521" s="168" t="s">
        <v>6202</v>
      </c>
      <c r="G521" s="193">
        <f>IF(_1_541284561214624104645789101745[[#This Row],[Type]]&gt;0,VLOOKUP(_1_541284561214624104645789101745[[#This Row],[Type]],Main[[#All],[TYPE]:[UNIT]],'Unit Price'!C$1,FALSE),0)</f>
        <v>0</v>
      </c>
      <c r="H521" s="197">
        <f>IF(_1_541284561214624104645789101745[[#This Row],[Type]]&gt;0,VLOOKUP(_1_541284561214624104645789101745[[#This Row],[Type]],Main[[#All],[TYPE]:[UNIT]],'Unit Price'!D$1,FALSE),0)</f>
        <v>0</v>
      </c>
      <c r="I521" s="194">
        <f>IF(_1_541284561214624104645789101745[[#This Row],[Type]]&gt;0,VLOOKUP(_1_541284561214624104645789101745[[#This Row],[Type]],Main[[#All],[TYPE]:[UNIT]],'Unit Price'!G$1,FALSE),0)</f>
        <v>0</v>
      </c>
      <c r="J521" s="194">
        <f>IF(_1_541284561214624104645789101745[[#This Row],[Type]]&gt;0,VLOOKUP(_1_541284561214624104645789101745[[#This Row],[Type]],Main[[#All],[TYPE]:[UNIT]],'Unit Price'!H$1,FALSE),0)</f>
        <v>0</v>
      </c>
      <c r="K521" s="194">
        <f>IF(_1_541284561214624104645789101745[[#This Row],[Discount selection]]&gt;0,VLOOKUP(_1_541284561214624104645789101745[[#This Row],[Discount selection]],'Discount Structure'!$A$2:$B$30,2,"false"),0)</f>
        <v>1</v>
      </c>
      <c r="L521" s="194">
        <f>_1_541284561214624104645789101745[[#This Row],[LIST $]]*_1_541284561214624104645789101745[[#This Row],[DISCOUNT]]*_1_541284561214624104645789101745[[#This Row],[DISCOUNT 2]]</f>
        <v>0</v>
      </c>
      <c r="M521" s="194">
        <f>IF(OR(_1_541284561214624104645789101745[[#This Row],[UNIT]]&gt;0,_1_541284561214624104645789101745[[#This Row],[UNIT]]&lt;0),_1_541284561214624104645789101745[[#This Row],[UNIT]]*_1_541284561214624104645789101745[[#This Row],[COST]],0)</f>
        <v>0</v>
      </c>
      <c r="N521" s="194">
        <f t="shared" si="7"/>
        <v>1.5</v>
      </c>
      <c r="O521" s="198">
        <f>_1_541284561214624104645789101745[[#This Row],[TOTAL]]*_1_541284561214624104645789101745[[#This Row],[MARGIN]]</f>
        <v>0</v>
      </c>
      <c r="R521" s="41"/>
    </row>
    <row r="522" spans="1:18">
      <c r="A522" s="168"/>
      <c r="D522" s="188"/>
      <c r="F522" s="168" t="s">
        <v>6202</v>
      </c>
      <c r="G522" s="193">
        <f>IF(_1_541284561214624104645789101745[[#This Row],[Type]]&gt;0,VLOOKUP(_1_541284561214624104645789101745[[#This Row],[Type]],Main[[#All],[TYPE]:[UNIT]],'Unit Price'!C$1,FALSE),0)</f>
        <v>0</v>
      </c>
      <c r="H522" s="197">
        <f>IF(_1_541284561214624104645789101745[[#This Row],[Type]]&gt;0,VLOOKUP(_1_541284561214624104645789101745[[#This Row],[Type]],Main[[#All],[TYPE]:[UNIT]],'Unit Price'!D$1,FALSE),0)</f>
        <v>0</v>
      </c>
      <c r="I522" s="194">
        <f>IF(_1_541284561214624104645789101745[[#This Row],[Type]]&gt;0,VLOOKUP(_1_541284561214624104645789101745[[#This Row],[Type]],Main[[#All],[TYPE]:[UNIT]],'Unit Price'!G$1,FALSE),0)</f>
        <v>0</v>
      </c>
      <c r="J522" s="194">
        <f>IF(_1_541284561214624104645789101745[[#This Row],[Type]]&gt;0,VLOOKUP(_1_541284561214624104645789101745[[#This Row],[Type]],Main[[#All],[TYPE]:[UNIT]],'Unit Price'!H$1,FALSE),0)</f>
        <v>0</v>
      </c>
      <c r="K522" s="194">
        <f>IF(_1_541284561214624104645789101745[[#This Row],[Discount selection]]&gt;0,VLOOKUP(_1_541284561214624104645789101745[[#This Row],[Discount selection]],'Discount Structure'!$A$2:$B$30,2,"false"),0)</f>
        <v>1</v>
      </c>
      <c r="L522" s="194">
        <f>_1_541284561214624104645789101745[[#This Row],[LIST $]]*_1_541284561214624104645789101745[[#This Row],[DISCOUNT]]*_1_541284561214624104645789101745[[#This Row],[DISCOUNT 2]]</f>
        <v>0</v>
      </c>
      <c r="M522" s="194">
        <f>IF(OR(_1_541284561214624104645789101745[[#This Row],[UNIT]]&gt;0,_1_541284561214624104645789101745[[#This Row],[UNIT]]&lt;0),_1_541284561214624104645789101745[[#This Row],[UNIT]]*_1_541284561214624104645789101745[[#This Row],[COST]],0)</f>
        <v>0</v>
      </c>
      <c r="N522" s="194">
        <f t="shared" ref="N522:N585" si="8">$N$7</f>
        <v>1.5</v>
      </c>
      <c r="O522" s="198">
        <f>_1_541284561214624104645789101745[[#This Row],[TOTAL]]*_1_541284561214624104645789101745[[#This Row],[MARGIN]]</f>
        <v>0</v>
      </c>
      <c r="R522" s="41"/>
    </row>
    <row r="523" spans="1:18">
      <c r="D523" s="188"/>
      <c r="F523" s="168" t="s">
        <v>6202</v>
      </c>
      <c r="G523" s="193">
        <f>IF(_1_541284561214624104645789101745[[#This Row],[Type]]&gt;0,VLOOKUP(_1_541284561214624104645789101745[[#This Row],[Type]],Main[[#All],[TYPE]:[UNIT]],'Unit Price'!C$1,FALSE),0)</f>
        <v>0</v>
      </c>
      <c r="H523" s="197">
        <f>IF(_1_541284561214624104645789101745[[#This Row],[Type]]&gt;0,VLOOKUP(_1_541284561214624104645789101745[[#This Row],[Type]],Main[[#All],[TYPE]:[UNIT]],'Unit Price'!D$1,FALSE),0)</f>
        <v>0</v>
      </c>
      <c r="I523" s="194">
        <f>IF(_1_541284561214624104645789101745[[#This Row],[Type]]&gt;0,VLOOKUP(_1_541284561214624104645789101745[[#This Row],[Type]],Main[[#All],[TYPE]:[UNIT]],'Unit Price'!G$1,FALSE),0)</f>
        <v>0</v>
      </c>
      <c r="J523" s="194">
        <f>IF(_1_541284561214624104645789101745[[#This Row],[Type]]&gt;0,VLOOKUP(_1_541284561214624104645789101745[[#This Row],[Type]],Main[[#All],[TYPE]:[UNIT]],'Unit Price'!H$1,FALSE),0)</f>
        <v>0</v>
      </c>
      <c r="K523" s="194">
        <f>IF(_1_541284561214624104645789101745[[#This Row],[Discount selection]]&gt;0,VLOOKUP(_1_541284561214624104645789101745[[#This Row],[Discount selection]],'Discount Structure'!$A$2:$B$30,2,"false"),0)</f>
        <v>1</v>
      </c>
      <c r="L523" s="194">
        <f>_1_541284561214624104645789101745[[#This Row],[LIST $]]*_1_541284561214624104645789101745[[#This Row],[DISCOUNT]]*_1_541284561214624104645789101745[[#This Row],[DISCOUNT 2]]</f>
        <v>0</v>
      </c>
      <c r="M523" s="194">
        <f>IF(OR(_1_541284561214624104645789101745[[#This Row],[UNIT]]&gt;0,_1_541284561214624104645789101745[[#This Row],[UNIT]]&lt;0),_1_541284561214624104645789101745[[#This Row],[UNIT]]*_1_541284561214624104645789101745[[#This Row],[COST]],0)</f>
        <v>0</v>
      </c>
      <c r="N523" s="194">
        <f t="shared" si="8"/>
        <v>1.5</v>
      </c>
      <c r="O523" s="198">
        <f>_1_541284561214624104645789101745[[#This Row],[TOTAL]]*_1_541284561214624104645789101745[[#This Row],[MARGIN]]</f>
        <v>0</v>
      </c>
      <c r="R523" s="41"/>
    </row>
    <row r="524" spans="1:18">
      <c r="D524" s="188"/>
      <c r="F524" s="168" t="s">
        <v>6202</v>
      </c>
      <c r="G524" s="193">
        <f>IF(_1_541284561214624104645789101745[[#This Row],[Type]]&gt;0,VLOOKUP(_1_541284561214624104645789101745[[#This Row],[Type]],Main[[#All],[TYPE]:[UNIT]],'Unit Price'!C$1,FALSE),0)</f>
        <v>0</v>
      </c>
      <c r="H524" s="197">
        <f>IF(_1_541284561214624104645789101745[[#This Row],[Type]]&gt;0,VLOOKUP(_1_541284561214624104645789101745[[#This Row],[Type]],Main[[#All],[TYPE]:[UNIT]],'Unit Price'!D$1,FALSE),0)</f>
        <v>0</v>
      </c>
      <c r="I524" s="194">
        <f>IF(_1_541284561214624104645789101745[[#This Row],[Type]]&gt;0,VLOOKUP(_1_541284561214624104645789101745[[#This Row],[Type]],Main[[#All],[TYPE]:[UNIT]],'Unit Price'!G$1,FALSE),0)</f>
        <v>0</v>
      </c>
      <c r="J524" s="194">
        <f>IF(_1_541284561214624104645789101745[[#This Row],[Type]]&gt;0,VLOOKUP(_1_541284561214624104645789101745[[#This Row],[Type]],Main[[#All],[TYPE]:[UNIT]],'Unit Price'!H$1,FALSE),0)</f>
        <v>0</v>
      </c>
      <c r="K524" s="194">
        <f>IF(_1_541284561214624104645789101745[[#This Row],[Discount selection]]&gt;0,VLOOKUP(_1_541284561214624104645789101745[[#This Row],[Discount selection]],'Discount Structure'!$A$2:$B$30,2,"false"),0)</f>
        <v>1</v>
      </c>
      <c r="L524" s="194">
        <f>_1_541284561214624104645789101745[[#This Row],[LIST $]]*_1_541284561214624104645789101745[[#This Row],[DISCOUNT]]*_1_541284561214624104645789101745[[#This Row],[DISCOUNT 2]]</f>
        <v>0</v>
      </c>
      <c r="M524" s="194">
        <f>IF(OR(_1_541284561214624104645789101745[[#This Row],[UNIT]]&gt;0,_1_541284561214624104645789101745[[#This Row],[UNIT]]&lt;0),_1_541284561214624104645789101745[[#This Row],[UNIT]]*_1_541284561214624104645789101745[[#This Row],[COST]],0)</f>
        <v>0</v>
      </c>
      <c r="N524" s="194">
        <f t="shared" si="8"/>
        <v>1.5</v>
      </c>
      <c r="O524" s="198">
        <f>_1_541284561214624104645789101745[[#This Row],[TOTAL]]*_1_541284561214624104645789101745[[#This Row],[MARGIN]]</f>
        <v>0</v>
      </c>
      <c r="R524" s="41"/>
    </row>
    <row r="525" spans="1:18">
      <c r="D525" s="188"/>
      <c r="F525" s="168" t="s">
        <v>6202</v>
      </c>
      <c r="G525" s="193">
        <f>IF(_1_541284561214624104645789101745[[#This Row],[Type]]&gt;0,VLOOKUP(_1_541284561214624104645789101745[[#This Row],[Type]],Main[[#All],[TYPE]:[UNIT]],'Unit Price'!C$1,FALSE),0)</f>
        <v>0</v>
      </c>
      <c r="H525" s="197">
        <f>IF(_1_541284561214624104645789101745[[#This Row],[Type]]&gt;0,VLOOKUP(_1_541284561214624104645789101745[[#This Row],[Type]],Main[[#All],[TYPE]:[UNIT]],'Unit Price'!D$1,FALSE),0)</f>
        <v>0</v>
      </c>
      <c r="I525" s="194">
        <f>IF(_1_541284561214624104645789101745[[#This Row],[Type]]&gt;0,VLOOKUP(_1_541284561214624104645789101745[[#This Row],[Type]],Main[[#All],[TYPE]:[UNIT]],'Unit Price'!G$1,FALSE),0)</f>
        <v>0</v>
      </c>
      <c r="J525" s="194">
        <f>IF(_1_541284561214624104645789101745[[#This Row],[Type]]&gt;0,VLOOKUP(_1_541284561214624104645789101745[[#This Row],[Type]],Main[[#All],[TYPE]:[UNIT]],'Unit Price'!H$1,FALSE),0)</f>
        <v>0</v>
      </c>
      <c r="K525" s="194">
        <f>IF(_1_541284561214624104645789101745[[#This Row],[Discount selection]]&gt;0,VLOOKUP(_1_541284561214624104645789101745[[#This Row],[Discount selection]],'Discount Structure'!$A$2:$B$30,2,"false"),0)</f>
        <v>1</v>
      </c>
      <c r="L525" s="194">
        <f>_1_541284561214624104645789101745[[#This Row],[LIST $]]*_1_541284561214624104645789101745[[#This Row],[DISCOUNT]]*_1_541284561214624104645789101745[[#This Row],[DISCOUNT 2]]</f>
        <v>0</v>
      </c>
      <c r="M525" s="194">
        <f>IF(OR(_1_541284561214624104645789101745[[#This Row],[UNIT]]&gt;0,_1_541284561214624104645789101745[[#This Row],[UNIT]]&lt;0),_1_541284561214624104645789101745[[#This Row],[UNIT]]*_1_541284561214624104645789101745[[#This Row],[COST]],0)</f>
        <v>0</v>
      </c>
      <c r="N525" s="194">
        <f t="shared" si="8"/>
        <v>1.5</v>
      </c>
      <c r="O525" s="198">
        <f>_1_541284561214624104645789101745[[#This Row],[TOTAL]]*_1_541284561214624104645789101745[[#This Row],[MARGIN]]</f>
        <v>0</v>
      </c>
      <c r="R525" s="41"/>
    </row>
    <row r="526" spans="1:18">
      <c r="D526" s="188"/>
      <c r="F526" s="168" t="s">
        <v>6202</v>
      </c>
      <c r="G526" s="193">
        <f>IF(_1_541284561214624104645789101745[[#This Row],[Type]]&gt;0,VLOOKUP(_1_541284561214624104645789101745[[#This Row],[Type]],Main[[#All],[TYPE]:[UNIT]],'Unit Price'!C$1,FALSE),0)</f>
        <v>0</v>
      </c>
      <c r="H526" s="197">
        <f>IF(_1_541284561214624104645789101745[[#This Row],[Type]]&gt;0,VLOOKUP(_1_541284561214624104645789101745[[#This Row],[Type]],Main[[#All],[TYPE]:[UNIT]],'Unit Price'!D$1,FALSE),0)</f>
        <v>0</v>
      </c>
      <c r="I526" s="194">
        <f>IF(_1_541284561214624104645789101745[[#This Row],[Type]]&gt;0,VLOOKUP(_1_541284561214624104645789101745[[#This Row],[Type]],Main[[#All],[TYPE]:[UNIT]],'Unit Price'!G$1,FALSE),0)</f>
        <v>0</v>
      </c>
      <c r="J526" s="194">
        <f>IF(_1_541284561214624104645789101745[[#This Row],[Type]]&gt;0,VLOOKUP(_1_541284561214624104645789101745[[#This Row],[Type]],Main[[#All],[TYPE]:[UNIT]],'Unit Price'!H$1,FALSE),0)</f>
        <v>0</v>
      </c>
      <c r="K526" s="194">
        <f>IF(_1_541284561214624104645789101745[[#This Row],[Discount selection]]&gt;0,VLOOKUP(_1_541284561214624104645789101745[[#This Row],[Discount selection]],'Discount Structure'!$A$2:$B$30,2,"false"),0)</f>
        <v>1</v>
      </c>
      <c r="L526" s="194">
        <f>_1_541284561214624104645789101745[[#This Row],[LIST $]]*_1_541284561214624104645789101745[[#This Row],[DISCOUNT]]*_1_541284561214624104645789101745[[#This Row],[DISCOUNT 2]]</f>
        <v>0</v>
      </c>
      <c r="M526" s="194">
        <f>IF(OR(_1_541284561214624104645789101745[[#This Row],[UNIT]]&gt;0,_1_541284561214624104645789101745[[#This Row],[UNIT]]&lt;0),_1_541284561214624104645789101745[[#This Row],[UNIT]]*_1_541284561214624104645789101745[[#This Row],[COST]],0)</f>
        <v>0</v>
      </c>
      <c r="N526" s="194">
        <f t="shared" si="8"/>
        <v>1.5</v>
      </c>
      <c r="O526" s="198">
        <f>_1_541284561214624104645789101745[[#This Row],[TOTAL]]*_1_541284561214624104645789101745[[#This Row],[MARGIN]]</f>
        <v>0</v>
      </c>
      <c r="R526" s="41"/>
    </row>
    <row r="527" spans="1:18">
      <c r="D527" s="188"/>
      <c r="F527" s="168" t="s">
        <v>6202</v>
      </c>
      <c r="G527" s="193">
        <f>IF(_1_541284561214624104645789101745[[#This Row],[Type]]&gt;0,VLOOKUP(_1_541284561214624104645789101745[[#This Row],[Type]],Main[[#All],[TYPE]:[UNIT]],'Unit Price'!C$1,FALSE),0)</f>
        <v>0</v>
      </c>
      <c r="H527" s="197">
        <f>IF(_1_541284561214624104645789101745[[#This Row],[Type]]&gt;0,VLOOKUP(_1_541284561214624104645789101745[[#This Row],[Type]],Main[[#All],[TYPE]:[UNIT]],'Unit Price'!D$1,FALSE),0)</f>
        <v>0</v>
      </c>
      <c r="I527" s="194">
        <f>IF(_1_541284561214624104645789101745[[#This Row],[Type]]&gt;0,VLOOKUP(_1_541284561214624104645789101745[[#This Row],[Type]],Main[[#All],[TYPE]:[UNIT]],'Unit Price'!G$1,FALSE),0)</f>
        <v>0</v>
      </c>
      <c r="J527" s="194">
        <f>IF(_1_541284561214624104645789101745[[#This Row],[Type]]&gt;0,VLOOKUP(_1_541284561214624104645789101745[[#This Row],[Type]],Main[[#All],[TYPE]:[UNIT]],'Unit Price'!H$1,FALSE),0)</f>
        <v>0</v>
      </c>
      <c r="K527" s="194">
        <f>IF(_1_541284561214624104645789101745[[#This Row],[Discount selection]]&gt;0,VLOOKUP(_1_541284561214624104645789101745[[#This Row],[Discount selection]],'Discount Structure'!$A$2:$B$30,2,"false"),0)</f>
        <v>1</v>
      </c>
      <c r="L527" s="194">
        <f>_1_541284561214624104645789101745[[#This Row],[LIST $]]*_1_541284561214624104645789101745[[#This Row],[DISCOUNT]]*_1_541284561214624104645789101745[[#This Row],[DISCOUNT 2]]</f>
        <v>0</v>
      </c>
      <c r="M527" s="194">
        <f>IF(OR(_1_541284561214624104645789101745[[#This Row],[UNIT]]&gt;0,_1_541284561214624104645789101745[[#This Row],[UNIT]]&lt;0),_1_541284561214624104645789101745[[#This Row],[UNIT]]*_1_541284561214624104645789101745[[#This Row],[COST]],0)</f>
        <v>0</v>
      </c>
      <c r="N527" s="194">
        <f t="shared" si="8"/>
        <v>1.5</v>
      </c>
      <c r="O527" s="198">
        <f>_1_541284561214624104645789101745[[#This Row],[TOTAL]]*_1_541284561214624104645789101745[[#This Row],[MARGIN]]</f>
        <v>0</v>
      </c>
      <c r="R527" s="41"/>
    </row>
    <row r="528" spans="1:18">
      <c r="D528" s="188"/>
      <c r="F528" s="168" t="s">
        <v>6202</v>
      </c>
      <c r="G528" s="193">
        <f>IF(_1_541284561214624104645789101745[[#This Row],[Type]]&gt;0,VLOOKUP(_1_541284561214624104645789101745[[#This Row],[Type]],Main[[#All],[TYPE]:[UNIT]],'Unit Price'!C$1,FALSE),0)</f>
        <v>0</v>
      </c>
      <c r="H528" s="197">
        <f>IF(_1_541284561214624104645789101745[[#This Row],[Type]]&gt;0,VLOOKUP(_1_541284561214624104645789101745[[#This Row],[Type]],Main[[#All],[TYPE]:[UNIT]],'Unit Price'!D$1,FALSE),0)</f>
        <v>0</v>
      </c>
      <c r="I528" s="194">
        <f>IF(_1_541284561214624104645789101745[[#This Row],[Type]]&gt;0,VLOOKUP(_1_541284561214624104645789101745[[#This Row],[Type]],Main[[#All],[TYPE]:[UNIT]],'Unit Price'!G$1,FALSE),0)</f>
        <v>0</v>
      </c>
      <c r="J528" s="194">
        <f>IF(_1_541284561214624104645789101745[[#This Row],[Type]]&gt;0,VLOOKUP(_1_541284561214624104645789101745[[#This Row],[Type]],Main[[#All],[TYPE]:[UNIT]],'Unit Price'!H$1,FALSE),0)</f>
        <v>0</v>
      </c>
      <c r="K528" s="194">
        <f>IF(_1_541284561214624104645789101745[[#This Row],[Discount selection]]&gt;0,VLOOKUP(_1_541284561214624104645789101745[[#This Row],[Discount selection]],'Discount Structure'!$A$2:$B$30,2,"false"),0)</f>
        <v>1</v>
      </c>
      <c r="L528" s="194">
        <f>_1_541284561214624104645789101745[[#This Row],[LIST $]]*_1_541284561214624104645789101745[[#This Row],[DISCOUNT]]*_1_541284561214624104645789101745[[#This Row],[DISCOUNT 2]]</f>
        <v>0</v>
      </c>
      <c r="M528" s="194">
        <f>IF(OR(_1_541284561214624104645789101745[[#This Row],[UNIT]]&gt;0,_1_541284561214624104645789101745[[#This Row],[UNIT]]&lt;0),_1_541284561214624104645789101745[[#This Row],[UNIT]]*_1_541284561214624104645789101745[[#This Row],[COST]],0)</f>
        <v>0</v>
      </c>
      <c r="N528" s="194">
        <f t="shared" si="8"/>
        <v>1.5</v>
      </c>
      <c r="O528" s="198">
        <f>_1_541284561214624104645789101745[[#This Row],[TOTAL]]*_1_541284561214624104645789101745[[#This Row],[MARGIN]]</f>
        <v>0</v>
      </c>
      <c r="R528" s="41"/>
    </row>
    <row r="529" spans="1:18">
      <c r="D529" s="188"/>
      <c r="F529" s="168" t="s">
        <v>6202</v>
      </c>
      <c r="G529" s="193">
        <f>IF(_1_541284561214624104645789101745[[#This Row],[Type]]&gt;0,VLOOKUP(_1_541284561214624104645789101745[[#This Row],[Type]],Main[[#All],[TYPE]:[UNIT]],'Unit Price'!C$1,FALSE),0)</f>
        <v>0</v>
      </c>
      <c r="H529" s="197">
        <f>IF(_1_541284561214624104645789101745[[#This Row],[Type]]&gt;0,VLOOKUP(_1_541284561214624104645789101745[[#This Row],[Type]],Main[[#All],[TYPE]:[UNIT]],'Unit Price'!D$1,FALSE),0)</f>
        <v>0</v>
      </c>
      <c r="I529" s="194">
        <f>IF(_1_541284561214624104645789101745[[#This Row],[Type]]&gt;0,VLOOKUP(_1_541284561214624104645789101745[[#This Row],[Type]],Main[[#All],[TYPE]:[UNIT]],'Unit Price'!G$1,FALSE),0)</f>
        <v>0</v>
      </c>
      <c r="J529" s="194">
        <f>IF(_1_541284561214624104645789101745[[#This Row],[Type]]&gt;0,VLOOKUP(_1_541284561214624104645789101745[[#This Row],[Type]],Main[[#All],[TYPE]:[UNIT]],'Unit Price'!H$1,FALSE),0)</f>
        <v>0</v>
      </c>
      <c r="K529" s="194">
        <f>IF(_1_541284561214624104645789101745[[#This Row],[Discount selection]]&gt;0,VLOOKUP(_1_541284561214624104645789101745[[#This Row],[Discount selection]],'Discount Structure'!$A$2:$B$30,2,"false"),0)</f>
        <v>1</v>
      </c>
      <c r="L529" s="194">
        <f>_1_541284561214624104645789101745[[#This Row],[LIST $]]*_1_541284561214624104645789101745[[#This Row],[DISCOUNT]]*_1_541284561214624104645789101745[[#This Row],[DISCOUNT 2]]</f>
        <v>0</v>
      </c>
      <c r="M529" s="194">
        <f>IF(OR(_1_541284561214624104645789101745[[#This Row],[UNIT]]&gt;0,_1_541284561214624104645789101745[[#This Row],[UNIT]]&lt;0),_1_541284561214624104645789101745[[#This Row],[UNIT]]*_1_541284561214624104645789101745[[#This Row],[COST]],0)</f>
        <v>0</v>
      </c>
      <c r="N529" s="194">
        <f t="shared" si="8"/>
        <v>1.5</v>
      </c>
      <c r="O529" s="198">
        <f>_1_541284561214624104645789101745[[#This Row],[TOTAL]]*_1_541284561214624104645789101745[[#This Row],[MARGIN]]</f>
        <v>0</v>
      </c>
      <c r="R529" s="41"/>
    </row>
    <row r="530" spans="1:18">
      <c r="D530" s="188"/>
      <c r="F530" s="168" t="s">
        <v>6202</v>
      </c>
      <c r="G530" s="193">
        <f>IF(_1_541284561214624104645789101745[[#This Row],[Type]]&gt;0,VLOOKUP(_1_541284561214624104645789101745[[#This Row],[Type]],Main[[#All],[TYPE]:[UNIT]],'Unit Price'!C$1,FALSE),0)</f>
        <v>0</v>
      </c>
      <c r="H530" s="197">
        <f>IF(_1_541284561214624104645789101745[[#This Row],[Type]]&gt;0,VLOOKUP(_1_541284561214624104645789101745[[#This Row],[Type]],Main[[#All],[TYPE]:[UNIT]],'Unit Price'!D$1,FALSE),0)</f>
        <v>0</v>
      </c>
      <c r="I530" s="194">
        <f>IF(_1_541284561214624104645789101745[[#This Row],[Type]]&gt;0,VLOOKUP(_1_541284561214624104645789101745[[#This Row],[Type]],Main[[#All],[TYPE]:[UNIT]],'Unit Price'!G$1,FALSE),0)</f>
        <v>0</v>
      </c>
      <c r="J530" s="194">
        <f>IF(_1_541284561214624104645789101745[[#This Row],[Type]]&gt;0,VLOOKUP(_1_541284561214624104645789101745[[#This Row],[Type]],Main[[#All],[TYPE]:[UNIT]],'Unit Price'!H$1,FALSE),0)</f>
        <v>0</v>
      </c>
      <c r="K530" s="194">
        <f>IF(_1_541284561214624104645789101745[[#This Row],[Discount selection]]&gt;0,VLOOKUP(_1_541284561214624104645789101745[[#This Row],[Discount selection]],'Discount Structure'!$A$2:$B$30,2,"false"),0)</f>
        <v>1</v>
      </c>
      <c r="L530" s="194">
        <f>_1_541284561214624104645789101745[[#This Row],[LIST $]]*_1_541284561214624104645789101745[[#This Row],[DISCOUNT]]*_1_541284561214624104645789101745[[#This Row],[DISCOUNT 2]]</f>
        <v>0</v>
      </c>
      <c r="M530" s="194">
        <f>IF(OR(_1_541284561214624104645789101745[[#This Row],[UNIT]]&gt;0,_1_541284561214624104645789101745[[#This Row],[UNIT]]&lt;0),_1_541284561214624104645789101745[[#This Row],[UNIT]]*_1_541284561214624104645789101745[[#This Row],[COST]],0)</f>
        <v>0</v>
      </c>
      <c r="N530" s="194">
        <f t="shared" si="8"/>
        <v>1.5</v>
      </c>
      <c r="O530" s="198">
        <f>_1_541284561214624104645789101745[[#This Row],[TOTAL]]*_1_541284561214624104645789101745[[#This Row],[MARGIN]]</f>
        <v>0</v>
      </c>
      <c r="R530" s="41"/>
    </row>
    <row r="531" spans="1:18">
      <c r="A531" s="168"/>
      <c r="D531" s="188"/>
      <c r="F531" s="168" t="s">
        <v>6202</v>
      </c>
      <c r="G531" s="193">
        <f>IF(_1_541284561214624104645789101745[[#This Row],[Type]]&gt;0,VLOOKUP(_1_541284561214624104645789101745[[#This Row],[Type]],Main[[#All],[TYPE]:[UNIT]],'Unit Price'!C$1,FALSE),0)</f>
        <v>0</v>
      </c>
      <c r="H531" s="197">
        <f>IF(_1_541284561214624104645789101745[[#This Row],[Type]]&gt;0,VLOOKUP(_1_541284561214624104645789101745[[#This Row],[Type]],Main[[#All],[TYPE]:[UNIT]],'Unit Price'!D$1,FALSE),0)</f>
        <v>0</v>
      </c>
      <c r="I531" s="194">
        <f>IF(_1_541284561214624104645789101745[[#This Row],[Type]]&gt;0,VLOOKUP(_1_541284561214624104645789101745[[#This Row],[Type]],Main[[#All],[TYPE]:[UNIT]],'Unit Price'!G$1,FALSE),0)</f>
        <v>0</v>
      </c>
      <c r="J531" s="194">
        <f>IF(_1_541284561214624104645789101745[[#This Row],[Type]]&gt;0,VLOOKUP(_1_541284561214624104645789101745[[#This Row],[Type]],Main[[#All],[TYPE]:[UNIT]],'Unit Price'!H$1,FALSE),0)</f>
        <v>0</v>
      </c>
      <c r="K531" s="194">
        <f>IF(_1_541284561214624104645789101745[[#This Row],[Discount selection]]&gt;0,VLOOKUP(_1_541284561214624104645789101745[[#This Row],[Discount selection]],'Discount Structure'!$A$2:$B$30,2,"false"),0)</f>
        <v>1</v>
      </c>
      <c r="L531" s="194">
        <f>_1_541284561214624104645789101745[[#This Row],[LIST $]]*_1_541284561214624104645789101745[[#This Row],[DISCOUNT]]*_1_541284561214624104645789101745[[#This Row],[DISCOUNT 2]]</f>
        <v>0</v>
      </c>
      <c r="M531" s="194">
        <f>IF(OR(_1_541284561214624104645789101745[[#This Row],[UNIT]]&gt;0,_1_541284561214624104645789101745[[#This Row],[UNIT]]&lt;0),_1_541284561214624104645789101745[[#This Row],[UNIT]]*_1_541284561214624104645789101745[[#This Row],[COST]],0)</f>
        <v>0</v>
      </c>
      <c r="N531" s="194">
        <f t="shared" si="8"/>
        <v>1.5</v>
      </c>
      <c r="O531" s="198">
        <f>_1_541284561214624104645789101745[[#This Row],[TOTAL]]*_1_541284561214624104645789101745[[#This Row],[MARGIN]]</f>
        <v>0</v>
      </c>
      <c r="R531" s="41"/>
    </row>
    <row r="532" spans="1:18">
      <c r="D532" s="188"/>
      <c r="F532" s="168" t="s">
        <v>6202</v>
      </c>
      <c r="G532" s="193">
        <f>IF(_1_541284561214624104645789101745[[#This Row],[Type]]&gt;0,VLOOKUP(_1_541284561214624104645789101745[[#This Row],[Type]],Main[[#All],[TYPE]:[UNIT]],'Unit Price'!C$1,FALSE),0)</f>
        <v>0</v>
      </c>
      <c r="H532" s="197">
        <f>IF(_1_541284561214624104645789101745[[#This Row],[Type]]&gt;0,VLOOKUP(_1_541284561214624104645789101745[[#This Row],[Type]],Main[[#All],[TYPE]:[UNIT]],'Unit Price'!D$1,FALSE),0)</f>
        <v>0</v>
      </c>
      <c r="I532" s="194">
        <f>IF(_1_541284561214624104645789101745[[#This Row],[Type]]&gt;0,VLOOKUP(_1_541284561214624104645789101745[[#This Row],[Type]],Main[[#All],[TYPE]:[UNIT]],'Unit Price'!G$1,FALSE),0)</f>
        <v>0</v>
      </c>
      <c r="J532" s="194">
        <f>IF(_1_541284561214624104645789101745[[#This Row],[Type]]&gt;0,VLOOKUP(_1_541284561214624104645789101745[[#This Row],[Type]],Main[[#All],[TYPE]:[UNIT]],'Unit Price'!H$1,FALSE),0)</f>
        <v>0</v>
      </c>
      <c r="K532" s="194">
        <f>IF(_1_541284561214624104645789101745[[#This Row],[Discount selection]]&gt;0,VLOOKUP(_1_541284561214624104645789101745[[#This Row],[Discount selection]],'Discount Structure'!$A$2:$B$30,2,"false"),0)</f>
        <v>1</v>
      </c>
      <c r="L532" s="194">
        <f>_1_541284561214624104645789101745[[#This Row],[LIST $]]*_1_541284561214624104645789101745[[#This Row],[DISCOUNT]]*_1_541284561214624104645789101745[[#This Row],[DISCOUNT 2]]</f>
        <v>0</v>
      </c>
      <c r="M532" s="194">
        <f>IF(OR(_1_541284561214624104645789101745[[#This Row],[UNIT]]&gt;0,_1_541284561214624104645789101745[[#This Row],[UNIT]]&lt;0),_1_541284561214624104645789101745[[#This Row],[UNIT]]*_1_541284561214624104645789101745[[#This Row],[COST]],0)</f>
        <v>0</v>
      </c>
      <c r="N532" s="194">
        <f t="shared" si="8"/>
        <v>1.5</v>
      </c>
      <c r="O532" s="198">
        <f>_1_541284561214624104645789101745[[#This Row],[TOTAL]]*_1_541284561214624104645789101745[[#This Row],[MARGIN]]</f>
        <v>0</v>
      </c>
      <c r="R532" s="41"/>
    </row>
    <row r="533" spans="1:18">
      <c r="D533" s="188"/>
      <c r="F533" s="168" t="s">
        <v>6202</v>
      </c>
      <c r="G533" s="193">
        <f>IF(_1_541284561214624104645789101745[[#This Row],[Type]]&gt;0,VLOOKUP(_1_541284561214624104645789101745[[#This Row],[Type]],Main[[#All],[TYPE]:[UNIT]],'Unit Price'!C$1,FALSE),0)</f>
        <v>0</v>
      </c>
      <c r="H533" s="197">
        <f>IF(_1_541284561214624104645789101745[[#This Row],[Type]]&gt;0,VLOOKUP(_1_541284561214624104645789101745[[#This Row],[Type]],Main[[#All],[TYPE]:[UNIT]],'Unit Price'!D$1,FALSE),0)</f>
        <v>0</v>
      </c>
      <c r="I533" s="194">
        <f>IF(_1_541284561214624104645789101745[[#This Row],[Type]]&gt;0,VLOOKUP(_1_541284561214624104645789101745[[#This Row],[Type]],Main[[#All],[TYPE]:[UNIT]],'Unit Price'!G$1,FALSE),0)</f>
        <v>0</v>
      </c>
      <c r="J533" s="194">
        <f>IF(_1_541284561214624104645789101745[[#This Row],[Type]]&gt;0,VLOOKUP(_1_541284561214624104645789101745[[#This Row],[Type]],Main[[#All],[TYPE]:[UNIT]],'Unit Price'!H$1,FALSE),0)</f>
        <v>0</v>
      </c>
      <c r="K533" s="194">
        <f>IF(_1_541284561214624104645789101745[[#This Row],[Discount selection]]&gt;0,VLOOKUP(_1_541284561214624104645789101745[[#This Row],[Discount selection]],'Discount Structure'!$A$2:$B$30,2,"false"),0)</f>
        <v>1</v>
      </c>
      <c r="L533" s="194">
        <f>_1_541284561214624104645789101745[[#This Row],[LIST $]]*_1_541284561214624104645789101745[[#This Row],[DISCOUNT]]*_1_541284561214624104645789101745[[#This Row],[DISCOUNT 2]]</f>
        <v>0</v>
      </c>
      <c r="M533" s="194">
        <f>IF(OR(_1_541284561214624104645789101745[[#This Row],[UNIT]]&gt;0,_1_541284561214624104645789101745[[#This Row],[UNIT]]&lt;0),_1_541284561214624104645789101745[[#This Row],[UNIT]]*_1_541284561214624104645789101745[[#This Row],[COST]],0)</f>
        <v>0</v>
      </c>
      <c r="N533" s="194">
        <f t="shared" si="8"/>
        <v>1.5</v>
      </c>
      <c r="O533" s="198">
        <f>_1_541284561214624104645789101745[[#This Row],[TOTAL]]*_1_541284561214624104645789101745[[#This Row],[MARGIN]]</f>
        <v>0</v>
      </c>
      <c r="R533" s="41"/>
    </row>
    <row r="534" spans="1:18">
      <c r="D534" s="188"/>
      <c r="F534" s="168" t="s">
        <v>6202</v>
      </c>
      <c r="G534" s="193">
        <f>IF(_1_541284561214624104645789101745[[#This Row],[Type]]&gt;0,VLOOKUP(_1_541284561214624104645789101745[[#This Row],[Type]],Main[[#All],[TYPE]:[UNIT]],'Unit Price'!C$1,FALSE),0)</f>
        <v>0</v>
      </c>
      <c r="H534" s="197">
        <f>IF(_1_541284561214624104645789101745[[#This Row],[Type]]&gt;0,VLOOKUP(_1_541284561214624104645789101745[[#This Row],[Type]],Main[[#All],[TYPE]:[UNIT]],'Unit Price'!D$1,FALSE),0)</f>
        <v>0</v>
      </c>
      <c r="I534" s="194">
        <f>IF(_1_541284561214624104645789101745[[#This Row],[Type]]&gt;0,VLOOKUP(_1_541284561214624104645789101745[[#This Row],[Type]],Main[[#All],[TYPE]:[UNIT]],'Unit Price'!G$1,FALSE),0)</f>
        <v>0</v>
      </c>
      <c r="J534" s="194">
        <f>IF(_1_541284561214624104645789101745[[#This Row],[Type]]&gt;0,VLOOKUP(_1_541284561214624104645789101745[[#This Row],[Type]],Main[[#All],[TYPE]:[UNIT]],'Unit Price'!H$1,FALSE),0)</f>
        <v>0</v>
      </c>
      <c r="K534" s="194">
        <f>IF(_1_541284561214624104645789101745[[#This Row],[Discount selection]]&gt;0,VLOOKUP(_1_541284561214624104645789101745[[#This Row],[Discount selection]],'Discount Structure'!$A$2:$B$30,2,"false"),0)</f>
        <v>1</v>
      </c>
      <c r="L534" s="194">
        <f>_1_541284561214624104645789101745[[#This Row],[LIST $]]*_1_541284561214624104645789101745[[#This Row],[DISCOUNT]]*_1_541284561214624104645789101745[[#This Row],[DISCOUNT 2]]</f>
        <v>0</v>
      </c>
      <c r="M534" s="194">
        <f>IF(OR(_1_541284561214624104645789101745[[#This Row],[UNIT]]&gt;0,_1_541284561214624104645789101745[[#This Row],[UNIT]]&lt;0),_1_541284561214624104645789101745[[#This Row],[UNIT]]*_1_541284561214624104645789101745[[#This Row],[COST]],0)</f>
        <v>0</v>
      </c>
      <c r="N534" s="194">
        <f t="shared" si="8"/>
        <v>1.5</v>
      </c>
      <c r="O534" s="198">
        <f>_1_541284561214624104645789101745[[#This Row],[TOTAL]]*_1_541284561214624104645789101745[[#This Row],[MARGIN]]</f>
        <v>0</v>
      </c>
      <c r="R534" s="41"/>
    </row>
    <row r="535" spans="1:18">
      <c r="A535" s="168"/>
      <c r="D535" s="188"/>
      <c r="F535" s="168" t="s">
        <v>6202</v>
      </c>
      <c r="G535" s="193">
        <f>IF(_1_541284561214624104645789101745[[#This Row],[Type]]&gt;0,VLOOKUP(_1_541284561214624104645789101745[[#This Row],[Type]],Main[[#All],[TYPE]:[UNIT]],'Unit Price'!C$1,FALSE),0)</f>
        <v>0</v>
      </c>
      <c r="H535" s="197">
        <f>IF(_1_541284561214624104645789101745[[#This Row],[Type]]&gt;0,VLOOKUP(_1_541284561214624104645789101745[[#This Row],[Type]],Main[[#All],[TYPE]:[UNIT]],'Unit Price'!D$1,FALSE),0)</f>
        <v>0</v>
      </c>
      <c r="I535" s="194">
        <f>IF(_1_541284561214624104645789101745[[#This Row],[Type]]&gt;0,VLOOKUP(_1_541284561214624104645789101745[[#This Row],[Type]],Main[[#All],[TYPE]:[UNIT]],'Unit Price'!G$1,FALSE),0)</f>
        <v>0</v>
      </c>
      <c r="J535" s="194">
        <f>IF(_1_541284561214624104645789101745[[#This Row],[Type]]&gt;0,VLOOKUP(_1_541284561214624104645789101745[[#This Row],[Type]],Main[[#All],[TYPE]:[UNIT]],'Unit Price'!H$1,FALSE),0)</f>
        <v>0</v>
      </c>
      <c r="K535" s="194">
        <f>IF(_1_541284561214624104645789101745[[#This Row],[Discount selection]]&gt;0,VLOOKUP(_1_541284561214624104645789101745[[#This Row],[Discount selection]],'Discount Structure'!$A$2:$B$30,2,"false"),0)</f>
        <v>1</v>
      </c>
      <c r="L535" s="194">
        <f>_1_541284561214624104645789101745[[#This Row],[LIST $]]*_1_541284561214624104645789101745[[#This Row],[DISCOUNT]]*_1_541284561214624104645789101745[[#This Row],[DISCOUNT 2]]</f>
        <v>0</v>
      </c>
      <c r="M535" s="194">
        <f>IF(OR(_1_541284561214624104645789101745[[#This Row],[UNIT]]&gt;0,_1_541284561214624104645789101745[[#This Row],[UNIT]]&lt;0),_1_541284561214624104645789101745[[#This Row],[UNIT]]*_1_541284561214624104645789101745[[#This Row],[COST]],0)</f>
        <v>0</v>
      </c>
      <c r="N535" s="194">
        <f t="shared" si="8"/>
        <v>1.5</v>
      </c>
      <c r="O535" s="198">
        <f>_1_541284561214624104645789101745[[#This Row],[TOTAL]]*_1_541284561214624104645789101745[[#This Row],[MARGIN]]</f>
        <v>0</v>
      </c>
      <c r="R535" s="41"/>
    </row>
    <row r="536" spans="1:18">
      <c r="D536" s="188"/>
      <c r="F536" s="168" t="s">
        <v>6202</v>
      </c>
      <c r="G536" s="193">
        <f>IF(_1_541284561214624104645789101745[[#This Row],[Type]]&gt;0,VLOOKUP(_1_541284561214624104645789101745[[#This Row],[Type]],Main[[#All],[TYPE]:[UNIT]],'Unit Price'!C$1,FALSE),0)</f>
        <v>0</v>
      </c>
      <c r="H536" s="197">
        <f>IF(_1_541284561214624104645789101745[[#This Row],[Type]]&gt;0,VLOOKUP(_1_541284561214624104645789101745[[#This Row],[Type]],Main[[#All],[TYPE]:[UNIT]],'Unit Price'!D$1,FALSE),0)</f>
        <v>0</v>
      </c>
      <c r="I536" s="194">
        <f>IF(_1_541284561214624104645789101745[[#This Row],[Type]]&gt;0,VLOOKUP(_1_541284561214624104645789101745[[#This Row],[Type]],Main[[#All],[TYPE]:[UNIT]],'Unit Price'!G$1,FALSE),0)</f>
        <v>0</v>
      </c>
      <c r="J536" s="194">
        <f>IF(_1_541284561214624104645789101745[[#This Row],[Type]]&gt;0,VLOOKUP(_1_541284561214624104645789101745[[#This Row],[Type]],Main[[#All],[TYPE]:[UNIT]],'Unit Price'!H$1,FALSE),0)</f>
        <v>0</v>
      </c>
      <c r="K536" s="194">
        <f>IF(_1_541284561214624104645789101745[[#This Row],[Discount selection]]&gt;0,VLOOKUP(_1_541284561214624104645789101745[[#This Row],[Discount selection]],'Discount Structure'!$A$2:$B$30,2,"false"),0)</f>
        <v>1</v>
      </c>
      <c r="L536" s="194">
        <f>_1_541284561214624104645789101745[[#This Row],[LIST $]]*_1_541284561214624104645789101745[[#This Row],[DISCOUNT]]*_1_541284561214624104645789101745[[#This Row],[DISCOUNT 2]]</f>
        <v>0</v>
      </c>
      <c r="M536" s="194">
        <f>IF(OR(_1_541284561214624104645789101745[[#This Row],[UNIT]]&gt;0,_1_541284561214624104645789101745[[#This Row],[UNIT]]&lt;0),_1_541284561214624104645789101745[[#This Row],[UNIT]]*_1_541284561214624104645789101745[[#This Row],[COST]],0)</f>
        <v>0</v>
      </c>
      <c r="N536" s="194">
        <f t="shared" si="8"/>
        <v>1.5</v>
      </c>
      <c r="O536" s="198">
        <f>_1_541284561214624104645789101745[[#This Row],[TOTAL]]*_1_541284561214624104645789101745[[#This Row],[MARGIN]]</f>
        <v>0</v>
      </c>
      <c r="R536" s="41"/>
    </row>
    <row r="537" spans="1:18">
      <c r="D537" s="188"/>
      <c r="F537" s="168" t="s">
        <v>6202</v>
      </c>
      <c r="G537" s="193">
        <f>IF(_1_541284561214624104645789101745[[#This Row],[Type]]&gt;0,VLOOKUP(_1_541284561214624104645789101745[[#This Row],[Type]],Main[[#All],[TYPE]:[UNIT]],'Unit Price'!C$1,FALSE),0)</f>
        <v>0</v>
      </c>
      <c r="H537" s="197">
        <f>IF(_1_541284561214624104645789101745[[#This Row],[Type]]&gt;0,VLOOKUP(_1_541284561214624104645789101745[[#This Row],[Type]],Main[[#All],[TYPE]:[UNIT]],'Unit Price'!D$1,FALSE),0)</f>
        <v>0</v>
      </c>
      <c r="I537" s="194">
        <f>IF(_1_541284561214624104645789101745[[#This Row],[Type]]&gt;0,VLOOKUP(_1_541284561214624104645789101745[[#This Row],[Type]],Main[[#All],[TYPE]:[UNIT]],'Unit Price'!G$1,FALSE),0)</f>
        <v>0</v>
      </c>
      <c r="J537" s="194">
        <f>IF(_1_541284561214624104645789101745[[#This Row],[Type]]&gt;0,VLOOKUP(_1_541284561214624104645789101745[[#This Row],[Type]],Main[[#All],[TYPE]:[UNIT]],'Unit Price'!H$1,FALSE),0)</f>
        <v>0</v>
      </c>
      <c r="K537" s="194">
        <f>IF(_1_541284561214624104645789101745[[#This Row],[Discount selection]]&gt;0,VLOOKUP(_1_541284561214624104645789101745[[#This Row],[Discount selection]],'Discount Structure'!$A$2:$B$30,2,"false"),0)</f>
        <v>1</v>
      </c>
      <c r="L537" s="194">
        <f>_1_541284561214624104645789101745[[#This Row],[LIST $]]*_1_541284561214624104645789101745[[#This Row],[DISCOUNT]]*_1_541284561214624104645789101745[[#This Row],[DISCOUNT 2]]</f>
        <v>0</v>
      </c>
      <c r="M537" s="194">
        <f>IF(OR(_1_541284561214624104645789101745[[#This Row],[UNIT]]&gt;0,_1_541284561214624104645789101745[[#This Row],[UNIT]]&lt;0),_1_541284561214624104645789101745[[#This Row],[UNIT]]*_1_541284561214624104645789101745[[#This Row],[COST]],0)</f>
        <v>0</v>
      </c>
      <c r="N537" s="194">
        <f t="shared" si="8"/>
        <v>1.5</v>
      </c>
      <c r="O537" s="198">
        <f>_1_541284561214624104645789101745[[#This Row],[TOTAL]]*_1_541284561214624104645789101745[[#This Row],[MARGIN]]</f>
        <v>0</v>
      </c>
      <c r="R537" s="41"/>
    </row>
    <row r="538" spans="1:18">
      <c r="A538" s="168"/>
      <c r="D538" s="188"/>
      <c r="F538" s="168" t="s">
        <v>6202</v>
      </c>
      <c r="G538" s="193">
        <f>IF(_1_541284561214624104645789101745[[#This Row],[Type]]&gt;0,VLOOKUP(_1_541284561214624104645789101745[[#This Row],[Type]],Main[[#All],[TYPE]:[UNIT]],'Unit Price'!C$1,FALSE),0)</f>
        <v>0</v>
      </c>
      <c r="H538" s="197">
        <f>IF(_1_541284561214624104645789101745[[#This Row],[Type]]&gt;0,VLOOKUP(_1_541284561214624104645789101745[[#This Row],[Type]],Main[[#All],[TYPE]:[UNIT]],'Unit Price'!D$1,FALSE),0)</f>
        <v>0</v>
      </c>
      <c r="I538" s="194">
        <f>IF(_1_541284561214624104645789101745[[#This Row],[Type]]&gt;0,VLOOKUP(_1_541284561214624104645789101745[[#This Row],[Type]],Main[[#All],[TYPE]:[UNIT]],'Unit Price'!G$1,FALSE),0)</f>
        <v>0</v>
      </c>
      <c r="J538" s="194">
        <f>IF(_1_541284561214624104645789101745[[#This Row],[Type]]&gt;0,VLOOKUP(_1_541284561214624104645789101745[[#This Row],[Type]],Main[[#All],[TYPE]:[UNIT]],'Unit Price'!H$1,FALSE),0)</f>
        <v>0</v>
      </c>
      <c r="K538" s="194">
        <f>IF(_1_541284561214624104645789101745[[#This Row],[Discount selection]]&gt;0,VLOOKUP(_1_541284561214624104645789101745[[#This Row],[Discount selection]],'Discount Structure'!$A$2:$B$30,2,"false"),0)</f>
        <v>1</v>
      </c>
      <c r="L538" s="194">
        <f>_1_541284561214624104645789101745[[#This Row],[LIST $]]*_1_541284561214624104645789101745[[#This Row],[DISCOUNT]]*_1_541284561214624104645789101745[[#This Row],[DISCOUNT 2]]</f>
        <v>0</v>
      </c>
      <c r="M538" s="194">
        <f>IF(OR(_1_541284561214624104645789101745[[#This Row],[UNIT]]&gt;0,_1_541284561214624104645789101745[[#This Row],[UNIT]]&lt;0),_1_541284561214624104645789101745[[#This Row],[UNIT]]*_1_541284561214624104645789101745[[#This Row],[COST]],0)</f>
        <v>0</v>
      </c>
      <c r="N538" s="194">
        <f t="shared" si="8"/>
        <v>1.5</v>
      </c>
      <c r="O538" s="198">
        <f>_1_541284561214624104645789101745[[#This Row],[TOTAL]]*_1_541284561214624104645789101745[[#This Row],[MARGIN]]</f>
        <v>0</v>
      </c>
      <c r="R538" s="41"/>
    </row>
    <row r="539" spans="1:18">
      <c r="D539" s="188"/>
      <c r="F539" s="168" t="s">
        <v>6202</v>
      </c>
      <c r="G539" s="193">
        <f>IF(_1_541284561214624104645789101745[[#This Row],[Type]]&gt;0,VLOOKUP(_1_541284561214624104645789101745[[#This Row],[Type]],Main[[#All],[TYPE]:[UNIT]],'Unit Price'!C$1,FALSE),0)</f>
        <v>0</v>
      </c>
      <c r="H539" s="197">
        <f>IF(_1_541284561214624104645789101745[[#This Row],[Type]]&gt;0,VLOOKUP(_1_541284561214624104645789101745[[#This Row],[Type]],Main[[#All],[TYPE]:[UNIT]],'Unit Price'!D$1,FALSE),0)</f>
        <v>0</v>
      </c>
      <c r="I539" s="194">
        <f>IF(_1_541284561214624104645789101745[[#This Row],[Type]]&gt;0,VLOOKUP(_1_541284561214624104645789101745[[#This Row],[Type]],Main[[#All],[TYPE]:[UNIT]],'Unit Price'!G$1,FALSE),0)</f>
        <v>0</v>
      </c>
      <c r="J539" s="194">
        <f>IF(_1_541284561214624104645789101745[[#This Row],[Type]]&gt;0,VLOOKUP(_1_541284561214624104645789101745[[#This Row],[Type]],Main[[#All],[TYPE]:[UNIT]],'Unit Price'!H$1,FALSE),0)</f>
        <v>0</v>
      </c>
      <c r="K539" s="194">
        <f>IF(_1_541284561214624104645789101745[[#This Row],[Discount selection]]&gt;0,VLOOKUP(_1_541284561214624104645789101745[[#This Row],[Discount selection]],'Discount Structure'!$A$2:$B$30,2,"false"),0)</f>
        <v>1</v>
      </c>
      <c r="L539" s="194">
        <f>_1_541284561214624104645789101745[[#This Row],[LIST $]]*_1_541284561214624104645789101745[[#This Row],[DISCOUNT]]*_1_541284561214624104645789101745[[#This Row],[DISCOUNT 2]]</f>
        <v>0</v>
      </c>
      <c r="M539" s="194">
        <f>IF(OR(_1_541284561214624104645789101745[[#This Row],[UNIT]]&gt;0,_1_541284561214624104645789101745[[#This Row],[UNIT]]&lt;0),_1_541284561214624104645789101745[[#This Row],[UNIT]]*_1_541284561214624104645789101745[[#This Row],[COST]],0)</f>
        <v>0</v>
      </c>
      <c r="N539" s="194">
        <f t="shared" si="8"/>
        <v>1.5</v>
      </c>
      <c r="O539" s="198">
        <f>_1_541284561214624104645789101745[[#This Row],[TOTAL]]*_1_541284561214624104645789101745[[#This Row],[MARGIN]]</f>
        <v>0</v>
      </c>
      <c r="R539" s="41"/>
    </row>
    <row r="540" spans="1:18">
      <c r="D540" s="188"/>
      <c r="F540" s="168" t="s">
        <v>6202</v>
      </c>
      <c r="G540" s="193">
        <f>IF(_1_541284561214624104645789101745[[#This Row],[Type]]&gt;0,VLOOKUP(_1_541284561214624104645789101745[[#This Row],[Type]],Main[[#All],[TYPE]:[UNIT]],'Unit Price'!C$1,FALSE),0)</f>
        <v>0</v>
      </c>
      <c r="H540" s="197">
        <f>IF(_1_541284561214624104645789101745[[#This Row],[Type]]&gt;0,VLOOKUP(_1_541284561214624104645789101745[[#This Row],[Type]],Main[[#All],[TYPE]:[UNIT]],'Unit Price'!D$1,FALSE),0)</f>
        <v>0</v>
      </c>
      <c r="I540" s="194">
        <f>IF(_1_541284561214624104645789101745[[#This Row],[Type]]&gt;0,VLOOKUP(_1_541284561214624104645789101745[[#This Row],[Type]],Main[[#All],[TYPE]:[UNIT]],'Unit Price'!G$1,FALSE),0)</f>
        <v>0</v>
      </c>
      <c r="J540" s="194">
        <f>IF(_1_541284561214624104645789101745[[#This Row],[Type]]&gt;0,VLOOKUP(_1_541284561214624104645789101745[[#This Row],[Type]],Main[[#All],[TYPE]:[UNIT]],'Unit Price'!H$1,FALSE),0)</f>
        <v>0</v>
      </c>
      <c r="K540" s="194">
        <f>IF(_1_541284561214624104645789101745[[#This Row],[Discount selection]]&gt;0,VLOOKUP(_1_541284561214624104645789101745[[#This Row],[Discount selection]],'Discount Structure'!$A$2:$B$30,2,"false"),0)</f>
        <v>1</v>
      </c>
      <c r="L540" s="194">
        <f>_1_541284561214624104645789101745[[#This Row],[LIST $]]*_1_541284561214624104645789101745[[#This Row],[DISCOUNT]]*_1_541284561214624104645789101745[[#This Row],[DISCOUNT 2]]</f>
        <v>0</v>
      </c>
      <c r="M540" s="194">
        <f>IF(OR(_1_541284561214624104645789101745[[#This Row],[UNIT]]&gt;0,_1_541284561214624104645789101745[[#This Row],[UNIT]]&lt;0),_1_541284561214624104645789101745[[#This Row],[UNIT]]*_1_541284561214624104645789101745[[#This Row],[COST]],0)</f>
        <v>0</v>
      </c>
      <c r="N540" s="194">
        <f t="shared" si="8"/>
        <v>1.5</v>
      </c>
      <c r="O540" s="198">
        <f>_1_541284561214624104645789101745[[#This Row],[TOTAL]]*_1_541284561214624104645789101745[[#This Row],[MARGIN]]</f>
        <v>0</v>
      </c>
      <c r="R540" s="41"/>
    </row>
    <row r="541" spans="1:18">
      <c r="D541" s="188"/>
      <c r="F541" s="168" t="s">
        <v>6202</v>
      </c>
      <c r="G541" s="193">
        <f>IF(_1_541284561214624104645789101745[[#This Row],[Type]]&gt;0,VLOOKUP(_1_541284561214624104645789101745[[#This Row],[Type]],Main[[#All],[TYPE]:[UNIT]],'Unit Price'!C$1,FALSE),0)</f>
        <v>0</v>
      </c>
      <c r="H541" s="197">
        <f>IF(_1_541284561214624104645789101745[[#This Row],[Type]]&gt;0,VLOOKUP(_1_541284561214624104645789101745[[#This Row],[Type]],Main[[#All],[TYPE]:[UNIT]],'Unit Price'!D$1,FALSE),0)</f>
        <v>0</v>
      </c>
      <c r="I541" s="194">
        <f>IF(_1_541284561214624104645789101745[[#This Row],[Type]]&gt;0,VLOOKUP(_1_541284561214624104645789101745[[#This Row],[Type]],Main[[#All],[TYPE]:[UNIT]],'Unit Price'!G$1,FALSE),0)</f>
        <v>0</v>
      </c>
      <c r="J541" s="194">
        <f>IF(_1_541284561214624104645789101745[[#This Row],[Type]]&gt;0,VLOOKUP(_1_541284561214624104645789101745[[#This Row],[Type]],Main[[#All],[TYPE]:[UNIT]],'Unit Price'!H$1,FALSE),0)</f>
        <v>0</v>
      </c>
      <c r="K541" s="194">
        <f>IF(_1_541284561214624104645789101745[[#This Row],[Discount selection]]&gt;0,VLOOKUP(_1_541284561214624104645789101745[[#This Row],[Discount selection]],'Discount Structure'!$A$2:$B$30,2,"false"),0)</f>
        <v>1</v>
      </c>
      <c r="L541" s="194">
        <f>_1_541284561214624104645789101745[[#This Row],[LIST $]]*_1_541284561214624104645789101745[[#This Row],[DISCOUNT]]*_1_541284561214624104645789101745[[#This Row],[DISCOUNT 2]]</f>
        <v>0</v>
      </c>
      <c r="M541" s="194">
        <f>IF(OR(_1_541284561214624104645789101745[[#This Row],[UNIT]]&gt;0,_1_541284561214624104645789101745[[#This Row],[UNIT]]&lt;0),_1_541284561214624104645789101745[[#This Row],[UNIT]]*_1_541284561214624104645789101745[[#This Row],[COST]],0)</f>
        <v>0</v>
      </c>
      <c r="N541" s="194">
        <f t="shared" si="8"/>
        <v>1.5</v>
      </c>
      <c r="O541" s="198">
        <f>_1_541284561214624104645789101745[[#This Row],[TOTAL]]*_1_541284561214624104645789101745[[#This Row],[MARGIN]]</f>
        <v>0</v>
      </c>
      <c r="R541" s="41"/>
    </row>
    <row r="542" spans="1:18">
      <c r="D542" s="188"/>
      <c r="F542" s="168" t="s">
        <v>6202</v>
      </c>
      <c r="G542" s="193">
        <f>IF(_1_541284561214624104645789101745[[#This Row],[Type]]&gt;0,VLOOKUP(_1_541284561214624104645789101745[[#This Row],[Type]],Main[[#All],[TYPE]:[UNIT]],'Unit Price'!C$1,FALSE),0)</f>
        <v>0</v>
      </c>
      <c r="H542" s="197">
        <f>IF(_1_541284561214624104645789101745[[#This Row],[Type]]&gt;0,VLOOKUP(_1_541284561214624104645789101745[[#This Row],[Type]],Main[[#All],[TYPE]:[UNIT]],'Unit Price'!D$1,FALSE),0)</f>
        <v>0</v>
      </c>
      <c r="I542" s="194">
        <f>IF(_1_541284561214624104645789101745[[#This Row],[Type]]&gt;0,VLOOKUP(_1_541284561214624104645789101745[[#This Row],[Type]],Main[[#All],[TYPE]:[UNIT]],'Unit Price'!G$1,FALSE),0)</f>
        <v>0</v>
      </c>
      <c r="J542" s="194">
        <f>IF(_1_541284561214624104645789101745[[#This Row],[Type]]&gt;0,VLOOKUP(_1_541284561214624104645789101745[[#This Row],[Type]],Main[[#All],[TYPE]:[UNIT]],'Unit Price'!H$1,FALSE),0)</f>
        <v>0</v>
      </c>
      <c r="K542" s="194">
        <f>IF(_1_541284561214624104645789101745[[#This Row],[Discount selection]]&gt;0,VLOOKUP(_1_541284561214624104645789101745[[#This Row],[Discount selection]],'Discount Structure'!$A$2:$B$30,2,"false"),0)</f>
        <v>1</v>
      </c>
      <c r="L542" s="194">
        <f>_1_541284561214624104645789101745[[#This Row],[LIST $]]*_1_541284561214624104645789101745[[#This Row],[DISCOUNT]]*_1_541284561214624104645789101745[[#This Row],[DISCOUNT 2]]</f>
        <v>0</v>
      </c>
      <c r="M542" s="194">
        <f>IF(OR(_1_541284561214624104645789101745[[#This Row],[UNIT]]&gt;0,_1_541284561214624104645789101745[[#This Row],[UNIT]]&lt;0),_1_541284561214624104645789101745[[#This Row],[UNIT]]*_1_541284561214624104645789101745[[#This Row],[COST]],0)</f>
        <v>0</v>
      </c>
      <c r="N542" s="194">
        <f t="shared" si="8"/>
        <v>1.5</v>
      </c>
      <c r="O542" s="198">
        <f>_1_541284561214624104645789101745[[#This Row],[TOTAL]]*_1_541284561214624104645789101745[[#This Row],[MARGIN]]</f>
        <v>0</v>
      </c>
      <c r="R542" s="41"/>
    </row>
    <row r="543" spans="1:18">
      <c r="A543" s="168"/>
      <c r="D543" s="188"/>
      <c r="F543" s="168" t="s">
        <v>6202</v>
      </c>
      <c r="G543" s="193">
        <f>IF(_1_541284561214624104645789101745[[#This Row],[Type]]&gt;0,VLOOKUP(_1_541284561214624104645789101745[[#This Row],[Type]],Main[[#All],[TYPE]:[UNIT]],'Unit Price'!C$1,FALSE),0)</f>
        <v>0</v>
      </c>
      <c r="H543" s="197">
        <f>IF(_1_541284561214624104645789101745[[#This Row],[Type]]&gt;0,VLOOKUP(_1_541284561214624104645789101745[[#This Row],[Type]],Main[[#All],[TYPE]:[UNIT]],'Unit Price'!D$1,FALSE),0)</f>
        <v>0</v>
      </c>
      <c r="I543" s="194">
        <f>IF(_1_541284561214624104645789101745[[#This Row],[Type]]&gt;0,VLOOKUP(_1_541284561214624104645789101745[[#This Row],[Type]],Main[[#All],[TYPE]:[UNIT]],'Unit Price'!G$1,FALSE),0)</f>
        <v>0</v>
      </c>
      <c r="J543" s="194">
        <f>IF(_1_541284561214624104645789101745[[#This Row],[Type]]&gt;0,VLOOKUP(_1_541284561214624104645789101745[[#This Row],[Type]],Main[[#All],[TYPE]:[UNIT]],'Unit Price'!H$1,FALSE),0)</f>
        <v>0</v>
      </c>
      <c r="K543" s="194">
        <f>IF(_1_541284561214624104645789101745[[#This Row],[Discount selection]]&gt;0,VLOOKUP(_1_541284561214624104645789101745[[#This Row],[Discount selection]],'Discount Structure'!$A$2:$B$30,2,"false"),0)</f>
        <v>1</v>
      </c>
      <c r="L543" s="194">
        <f>_1_541284561214624104645789101745[[#This Row],[LIST $]]*_1_541284561214624104645789101745[[#This Row],[DISCOUNT]]*_1_541284561214624104645789101745[[#This Row],[DISCOUNT 2]]</f>
        <v>0</v>
      </c>
      <c r="M543" s="194">
        <f>IF(OR(_1_541284561214624104645789101745[[#This Row],[UNIT]]&gt;0,_1_541284561214624104645789101745[[#This Row],[UNIT]]&lt;0),_1_541284561214624104645789101745[[#This Row],[UNIT]]*_1_541284561214624104645789101745[[#This Row],[COST]],0)</f>
        <v>0</v>
      </c>
      <c r="N543" s="194">
        <f t="shared" si="8"/>
        <v>1.5</v>
      </c>
      <c r="O543" s="198">
        <f>_1_541284561214624104645789101745[[#This Row],[TOTAL]]*_1_541284561214624104645789101745[[#This Row],[MARGIN]]</f>
        <v>0</v>
      </c>
      <c r="R543" s="41"/>
    </row>
    <row r="544" spans="1:18">
      <c r="D544" s="188"/>
      <c r="F544" s="168" t="s">
        <v>6202</v>
      </c>
      <c r="G544" s="193">
        <f>IF(_1_541284561214624104645789101745[[#This Row],[Type]]&gt;0,VLOOKUP(_1_541284561214624104645789101745[[#This Row],[Type]],Main[[#All],[TYPE]:[UNIT]],'Unit Price'!C$1,FALSE),0)</f>
        <v>0</v>
      </c>
      <c r="H544" s="197">
        <f>IF(_1_541284561214624104645789101745[[#This Row],[Type]]&gt;0,VLOOKUP(_1_541284561214624104645789101745[[#This Row],[Type]],Main[[#All],[TYPE]:[UNIT]],'Unit Price'!D$1,FALSE),0)</f>
        <v>0</v>
      </c>
      <c r="I544" s="194">
        <f>IF(_1_541284561214624104645789101745[[#This Row],[Type]]&gt;0,VLOOKUP(_1_541284561214624104645789101745[[#This Row],[Type]],Main[[#All],[TYPE]:[UNIT]],'Unit Price'!G$1,FALSE),0)</f>
        <v>0</v>
      </c>
      <c r="J544" s="194">
        <f>IF(_1_541284561214624104645789101745[[#This Row],[Type]]&gt;0,VLOOKUP(_1_541284561214624104645789101745[[#This Row],[Type]],Main[[#All],[TYPE]:[UNIT]],'Unit Price'!H$1,FALSE),0)</f>
        <v>0</v>
      </c>
      <c r="K544" s="194">
        <f>IF(_1_541284561214624104645789101745[[#This Row],[Discount selection]]&gt;0,VLOOKUP(_1_541284561214624104645789101745[[#This Row],[Discount selection]],'Discount Structure'!$A$2:$B$30,2,"false"),0)</f>
        <v>1</v>
      </c>
      <c r="L544" s="194">
        <f>_1_541284561214624104645789101745[[#This Row],[LIST $]]*_1_541284561214624104645789101745[[#This Row],[DISCOUNT]]*_1_541284561214624104645789101745[[#This Row],[DISCOUNT 2]]</f>
        <v>0</v>
      </c>
      <c r="M544" s="194">
        <f>IF(OR(_1_541284561214624104645789101745[[#This Row],[UNIT]]&gt;0,_1_541284561214624104645789101745[[#This Row],[UNIT]]&lt;0),_1_541284561214624104645789101745[[#This Row],[UNIT]]*_1_541284561214624104645789101745[[#This Row],[COST]],0)</f>
        <v>0</v>
      </c>
      <c r="N544" s="194">
        <f t="shared" si="8"/>
        <v>1.5</v>
      </c>
      <c r="O544" s="198">
        <f>_1_541284561214624104645789101745[[#This Row],[TOTAL]]*_1_541284561214624104645789101745[[#This Row],[MARGIN]]</f>
        <v>0</v>
      </c>
      <c r="R544" s="41"/>
    </row>
    <row r="545" spans="1:18">
      <c r="D545" s="188"/>
      <c r="F545" s="168" t="s">
        <v>6202</v>
      </c>
      <c r="G545" s="193">
        <f>IF(_1_541284561214624104645789101745[[#This Row],[Type]]&gt;0,VLOOKUP(_1_541284561214624104645789101745[[#This Row],[Type]],Main[[#All],[TYPE]:[UNIT]],'Unit Price'!C$1,FALSE),0)</f>
        <v>0</v>
      </c>
      <c r="H545" s="197">
        <f>IF(_1_541284561214624104645789101745[[#This Row],[Type]]&gt;0,VLOOKUP(_1_541284561214624104645789101745[[#This Row],[Type]],Main[[#All],[TYPE]:[UNIT]],'Unit Price'!D$1,FALSE),0)</f>
        <v>0</v>
      </c>
      <c r="I545" s="194">
        <f>IF(_1_541284561214624104645789101745[[#This Row],[Type]]&gt;0,VLOOKUP(_1_541284561214624104645789101745[[#This Row],[Type]],Main[[#All],[TYPE]:[UNIT]],'Unit Price'!G$1,FALSE),0)</f>
        <v>0</v>
      </c>
      <c r="J545" s="194">
        <f>IF(_1_541284561214624104645789101745[[#This Row],[Type]]&gt;0,VLOOKUP(_1_541284561214624104645789101745[[#This Row],[Type]],Main[[#All],[TYPE]:[UNIT]],'Unit Price'!H$1,FALSE),0)</f>
        <v>0</v>
      </c>
      <c r="K545" s="194">
        <f>IF(_1_541284561214624104645789101745[[#This Row],[Discount selection]]&gt;0,VLOOKUP(_1_541284561214624104645789101745[[#This Row],[Discount selection]],'Discount Structure'!$A$2:$B$30,2,"false"),0)</f>
        <v>1</v>
      </c>
      <c r="L545" s="194">
        <f>_1_541284561214624104645789101745[[#This Row],[LIST $]]*_1_541284561214624104645789101745[[#This Row],[DISCOUNT]]*_1_541284561214624104645789101745[[#This Row],[DISCOUNT 2]]</f>
        <v>0</v>
      </c>
      <c r="M545" s="194">
        <f>IF(OR(_1_541284561214624104645789101745[[#This Row],[UNIT]]&gt;0,_1_541284561214624104645789101745[[#This Row],[UNIT]]&lt;0),_1_541284561214624104645789101745[[#This Row],[UNIT]]*_1_541284561214624104645789101745[[#This Row],[COST]],0)</f>
        <v>0</v>
      </c>
      <c r="N545" s="194">
        <f t="shared" si="8"/>
        <v>1.5</v>
      </c>
      <c r="O545" s="198">
        <f>_1_541284561214624104645789101745[[#This Row],[TOTAL]]*_1_541284561214624104645789101745[[#This Row],[MARGIN]]</f>
        <v>0</v>
      </c>
      <c r="R545" s="41"/>
    </row>
    <row r="546" spans="1:18">
      <c r="D546" s="188"/>
      <c r="F546" s="168" t="s">
        <v>6202</v>
      </c>
      <c r="G546" s="193">
        <f>IF(_1_541284561214624104645789101745[[#This Row],[Type]]&gt;0,VLOOKUP(_1_541284561214624104645789101745[[#This Row],[Type]],Main[[#All],[TYPE]:[UNIT]],'Unit Price'!C$1,FALSE),0)</f>
        <v>0</v>
      </c>
      <c r="H546" s="197">
        <f>IF(_1_541284561214624104645789101745[[#This Row],[Type]]&gt;0,VLOOKUP(_1_541284561214624104645789101745[[#This Row],[Type]],Main[[#All],[TYPE]:[UNIT]],'Unit Price'!D$1,FALSE),0)</f>
        <v>0</v>
      </c>
      <c r="I546" s="194">
        <f>IF(_1_541284561214624104645789101745[[#This Row],[Type]]&gt;0,VLOOKUP(_1_541284561214624104645789101745[[#This Row],[Type]],Main[[#All],[TYPE]:[UNIT]],'Unit Price'!G$1,FALSE),0)</f>
        <v>0</v>
      </c>
      <c r="J546" s="194">
        <f>IF(_1_541284561214624104645789101745[[#This Row],[Type]]&gt;0,VLOOKUP(_1_541284561214624104645789101745[[#This Row],[Type]],Main[[#All],[TYPE]:[UNIT]],'Unit Price'!H$1,FALSE),0)</f>
        <v>0</v>
      </c>
      <c r="K546" s="194">
        <f>IF(_1_541284561214624104645789101745[[#This Row],[Discount selection]]&gt;0,VLOOKUP(_1_541284561214624104645789101745[[#This Row],[Discount selection]],'Discount Structure'!$A$2:$B$30,2,"false"),0)</f>
        <v>1</v>
      </c>
      <c r="L546" s="194">
        <f>_1_541284561214624104645789101745[[#This Row],[LIST $]]*_1_541284561214624104645789101745[[#This Row],[DISCOUNT]]*_1_541284561214624104645789101745[[#This Row],[DISCOUNT 2]]</f>
        <v>0</v>
      </c>
      <c r="M546" s="194">
        <f>IF(OR(_1_541284561214624104645789101745[[#This Row],[UNIT]]&gt;0,_1_541284561214624104645789101745[[#This Row],[UNIT]]&lt;0),_1_541284561214624104645789101745[[#This Row],[UNIT]]*_1_541284561214624104645789101745[[#This Row],[COST]],0)</f>
        <v>0</v>
      </c>
      <c r="N546" s="194">
        <f t="shared" si="8"/>
        <v>1.5</v>
      </c>
      <c r="O546" s="198">
        <f>_1_541284561214624104645789101745[[#This Row],[TOTAL]]*_1_541284561214624104645789101745[[#This Row],[MARGIN]]</f>
        <v>0</v>
      </c>
      <c r="R546" s="41"/>
    </row>
    <row r="547" spans="1:18">
      <c r="D547" s="188"/>
      <c r="F547" s="168" t="s">
        <v>6202</v>
      </c>
      <c r="G547" s="193">
        <f>IF(_1_541284561214624104645789101745[[#This Row],[Type]]&gt;0,VLOOKUP(_1_541284561214624104645789101745[[#This Row],[Type]],Main[[#All],[TYPE]:[UNIT]],'Unit Price'!C$1,FALSE),0)</f>
        <v>0</v>
      </c>
      <c r="H547" s="197">
        <f>IF(_1_541284561214624104645789101745[[#This Row],[Type]]&gt;0,VLOOKUP(_1_541284561214624104645789101745[[#This Row],[Type]],Main[[#All],[TYPE]:[UNIT]],'Unit Price'!D$1,FALSE),0)</f>
        <v>0</v>
      </c>
      <c r="I547" s="194">
        <f>IF(_1_541284561214624104645789101745[[#This Row],[Type]]&gt;0,VLOOKUP(_1_541284561214624104645789101745[[#This Row],[Type]],Main[[#All],[TYPE]:[UNIT]],'Unit Price'!G$1,FALSE),0)</f>
        <v>0</v>
      </c>
      <c r="J547" s="194">
        <f>IF(_1_541284561214624104645789101745[[#This Row],[Type]]&gt;0,VLOOKUP(_1_541284561214624104645789101745[[#This Row],[Type]],Main[[#All],[TYPE]:[UNIT]],'Unit Price'!H$1,FALSE),0)</f>
        <v>0</v>
      </c>
      <c r="K547" s="194">
        <f>IF(_1_541284561214624104645789101745[[#This Row],[Discount selection]]&gt;0,VLOOKUP(_1_541284561214624104645789101745[[#This Row],[Discount selection]],'Discount Structure'!$A$2:$B$30,2,"false"),0)</f>
        <v>1</v>
      </c>
      <c r="L547" s="194">
        <f>_1_541284561214624104645789101745[[#This Row],[LIST $]]*_1_541284561214624104645789101745[[#This Row],[DISCOUNT]]*_1_541284561214624104645789101745[[#This Row],[DISCOUNT 2]]</f>
        <v>0</v>
      </c>
      <c r="M547" s="194">
        <f>IF(OR(_1_541284561214624104645789101745[[#This Row],[UNIT]]&gt;0,_1_541284561214624104645789101745[[#This Row],[UNIT]]&lt;0),_1_541284561214624104645789101745[[#This Row],[UNIT]]*_1_541284561214624104645789101745[[#This Row],[COST]],0)</f>
        <v>0</v>
      </c>
      <c r="N547" s="194">
        <f t="shared" si="8"/>
        <v>1.5</v>
      </c>
      <c r="O547" s="198">
        <f>_1_541284561214624104645789101745[[#This Row],[TOTAL]]*_1_541284561214624104645789101745[[#This Row],[MARGIN]]</f>
        <v>0</v>
      </c>
      <c r="R547" s="41"/>
    </row>
    <row r="548" spans="1:18">
      <c r="D548" s="188"/>
      <c r="F548" s="168" t="s">
        <v>6202</v>
      </c>
      <c r="G548" s="193">
        <f>IF(_1_541284561214624104645789101745[[#This Row],[Type]]&gt;0,VLOOKUP(_1_541284561214624104645789101745[[#This Row],[Type]],Main[[#All],[TYPE]:[UNIT]],'Unit Price'!C$1,FALSE),0)</f>
        <v>0</v>
      </c>
      <c r="H548" s="197">
        <f>IF(_1_541284561214624104645789101745[[#This Row],[Type]]&gt;0,VLOOKUP(_1_541284561214624104645789101745[[#This Row],[Type]],Main[[#All],[TYPE]:[UNIT]],'Unit Price'!D$1,FALSE),0)</f>
        <v>0</v>
      </c>
      <c r="I548" s="194">
        <f>IF(_1_541284561214624104645789101745[[#This Row],[Type]]&gt;0,VLOOKUP(_1_541284561214624104645789101745[[#This Row],[Type]],Main[[#All],[TYPE]:[UNIT]],'Unit Price'!G$1,FALSE),0)</f>
        <v>0</v>
      </c>
      <c r="J548" s="194">
        <f>IF(_1_541284561214624104645789101745[[#This Row],[Type]]&gt;0,VLOOKUP(_1_541284561214624104645789101745[[#This Row],[Type]],Main[[#All],[TYPE]:[UNIT]],'Unit Price'!H$1,FALSE),0)</f>
        <v>0</v>
      </c>
      <c r="K548" s="194">
        <f>IF(_1_541284561214624104645789101745[[#This Row],[Discount selection]]&gt;0,VLOOKUP(_1_541284561214624104645789101745[[#This Row],[Discount selection]],'Discount Structure'!$A$2:$B$30,2,"false"),0)</f>
        <v>1</v>
      </c>
      <c r="L548" s="194">
        <f>_1_541284561214624104645789101745[[#This Row],[LIST $]]*_1_541284561214624104645789101745[[#This Row],[DISCOUNT]]*_1_541284561214624104645789101745[[#This Row],[DISCOUNT 2]]</f>
        <v>0</v>
      </c>
      <c r="M548" s="194">
        <f>IF(OR(_1_541284561214624104645789101745[[#This Row],[UNIT]]&gt;0,_1_541284561214624104645789101745[[#This Row],[UNIT]]&lt;0),_1_541284561214624104645789101745[[#This Row],[UNIT]]*_1_541284561214624104645789101745[[#This Row],[COST]],0)</f>
        <v>0</v>
      </c>
      <c r="N548" s="194">
        <f t="shared" si="8"/>
        <v>1.5</v>
      </c>
      <c r="O548" s="198">
        <f>_1_541284561214624104645789101745[[#This Row],[TOTAL]]*_1_541284561214624104645789101745[[#This Row],[MARGIN]]</f>
        <v>0</v>
      </c>
      <c r="R548" s="41"/>
    </row>
    <row r="549" spans="1:18">
      <c r="A549" s="168"/>
      <c r="B549" s="168"/>
      <c r="D549" s="188"/>
      <c r="F549" s="168" t="s">
        <v>6202</v>
      </c>
      <c r="G549" s="193">
        <f>IF(_1_541284561214624104645789101745[[#This Row],[Type]]&gt;0,VLOOKUP(_1_541284561214624104645789101745[[#This Row],[Type]],Main[[#All],[TYPE]:[UNIT]],'Unit Price'!C$1,FALSE),0)</f>
        <v>0</v>
      </c>
      <c r="H549" s="197">
        <f>IF(_1_541284561214624104645789101745[[#This Row],[Type]]&gt;0,VLOOKUP(_1_541284561214624104645789101745[[#This Row],[Type]],Main[[#All],[TYPE]:[UNIT]],'Unit Price'!D$1,FALSE),0)</f>
        <v>0</v>
      </c>
      <c r="I549" s="194">
        <f>IF(_1_541284561214624104645789101745[[#This Row],[Type]]&gt;0,VLOOKUP(_1_541284561214624104645789101745[[#This Row],[Type]],Main[[#All],[TYPE]:[UNIT]],'Unit Price'!G$1,FALSE),0)</f>
        <v>0</v>
      </c>
      <c r="J549" s="194">
        <f>IF(_1_541284561214624104645789101745[[#This Row],[Type]]&gt;0,VLOOKUP(_1_541284561214624104645789101745[[#This Row],[Type]],Main[[#All],[TYPE]:[UNIT]],'Unit Price'!H$1,FALSE),0)</f>
        <v>0</v>
      </c>
      <c r="K549" s="194">
        <f>IF(_1_541284561214624104645789101745[[#This Row],[Discount selection]]&gt;0,VLOOKUP(_1_541284561214624104645789101745[[#This Row],[Discount selection]],'Discount Structure'!$A$2:$B$30,2,"false"),0)</f>
        <v>1</v>
      </c>
      <c r="L549" s="194">
        <f>_1_541284561214624104645789101745[[#This Row],[LIST $]]*_1_541284561214624104645789101745[[#This Row],[DISCOUNT]]*_1_541284561214624104645789101745[[#This Row],[DISCOUNT 2]]</f>
        <v>0</v>
      </c>
      <c r="M549" s="194">
        <f>IF(OR(_1_541284561214624104645789101745[[#This Row],[UNIT]]&gt;0,_1_541284561214624104645789101745[[#This Row],[UNIT]]&lt;0),_1_541284561214624104645789101745[[#This Row],[UNIT]]*_1_541284561214624104645789101745[[#This Row],[COST]],0)</f>
        <v>0</v>
      </c>
      <c r="N549" s="194">
        <f t="shared" si="8"/>
        <v>1.5</v>
      </c>
      <c r="O549" s="198">
        <f>_1_541284561214624104645789101745[[#This Row],[TOTAL]]*_1_541284561214624104645789101745[[#This Row],[MARGIN]]</f>
        <v>0</v>
      </c>
      <c r="R549" s="41"/>
    </row>
    <row r="550" spans="1:18">
      <c r="D550" s="188"/>
      <c r="F550" s="168" t="s">
        <v>6202</v>
      </c>
      <c r="G550" s="193">
        <f>IF(_1_541284561214624104645789101745[[#This Row],[Type]]&gt;0,VLOOKUP(_1_541284561214624104645789101745[[#This Row],[Type]],Main[[#All],[TYPE]:[UNIT]],'Unit Price'!C$1,FALSE),0)</f>
        <v>0</v>
      </c>
      <c r="H550" s="197">
        <f>IF(_1_541284561214624104645789101745[[#This Row],[Type]]&gt;0,VLOOKUP(_1_541284561214624104645789101745[[#This Row],[Type]],Main[[#All],[TYPE]:[UNIT]],'Unit Price'!D$1,FALSE),0)</f>
        <v>0</v>
      </c>
      <c r="I550" s="194">
        <f>IF(_1_541284561214624104645789101745[[#This Row],[Type]]&gt;0,VLOOKUP(_1_541284561214624104645789101745[[#This Row],[Type]],Main[[#All],[TYPE]:[UNIT]],'Unit Price'!G$1,FALSE),0)</f>
        <v>0</v>
      </c>
      <c r="J550" s="194">
        <f>IF(_1_541284561214624104645789101745[[#This Row],[Type]]&gt;0,VLOOKUP(_1_541284561214624104645789101745[[#This Row],[Type]],Main[[#All],[TYPE]:[UNIT]],'Unit Price'!H$1,FALSE),0)</f>
        <v>0</v>
      </c>
      <c r="K550" s="194">
        <f>IF(_1_541284561214624104645789101745[[#This Row],[Discount selection]]&gt;0,VLOOKUP(_1_541284561214624104645789101745[[#This Row],[Discount selection]],'Discount Structure'!$A$2:$B$30,2,"false"),0)</f>
        <v>1</v>
      </c>
      <c r="L550" s="194">
        <f>_1_541284561214624104645789101745[[#This Row],[LIST $]]*_1_541284561214624104645789101745[[#This Row],[DISCOUNT]]*_1_541284561214624104645789101745[[#This Row],[DISCOUNT 2]]</f>
        <v>0</v>
      </c>
      <c r="M550" s="194">
        <f>IF(OR(_1_541284561214624104645789101745[[#This Row],[UNIT]]&gt;0,_1_541284561214624104645789101745[[#This Row],[UNIT]]&lt;0),_1_541284561214624104645789101745[[#This Row],[UNIT]]*_1_541284561214624104645789101745[[#This Row],[COST]],0)</f>
        <v>0</v>
      </c>
      <c r="N550" s="194">
        <f t="shared" si="8"/>
        <v>1.5</v>
      </c>
      <c r="O550" s="198">
        <f>_1_541284561214624104645789101745[[#This Row],[TOTAL]]*_1_541284561214624104645789101745[[#This Row],[MARGIN]]</f>
        <v>0</v>
      </c>
      <c r="R550" s="41"/>
    </row>
    <row r="551" spans="1:18">
      <c r="D551" s="188"/>
      <c r="F551" s="168" t="s">
        <v>6202</v>
      </c>
      <c r="G551" s="193">
        <f>IF(_1_541284561214624104645789101745[[#This Row],[Type]]&gt;0,VLOOKUP(_1_541284561214624104645789101745[[#This Row],[Type]],Main[[#All],[TYPE]:[UNIT]],'Unit Price'!C$1,FALSE),0)</f>
        <v>0</v>
      </c>
      <c r="H551" s="197">
        <f>IF(_1_541284561214624104645789101745[[#This Row],[Type]]&gt;0,VLOOKUP(_1_541284561214624104645789101745[[#This Row],[Type]],Main[[#All],[TYPE]:[UNIT]],'Unit Price'!D$1,FALSE),0)</f>
        <v>0</v>
      </c>
      <c r="I551" s="194">
        <f>IF(_1_541284561214624104645789101745[[#This Row],[Type]]&gt;0,VLOOKUP(_1_541284561214624104645789101745[[#This Row],[Type]],Main[[#All],[TYPE]:[UNIT]],'Unit Price'!G$1,FALSE),0)</f>
        <v>0</v>
      </c>
      <c r="J551" s="194">
        <f>IF(_1_541284561214624104645789101745[[#This Row],[Type]]&gt;0,VLOOKUP(_1_541284561214624104645789101745[[#This Row],[Type]],Main[[#All],[TYPE]:[UNIT]],'Unit Price'!H$1,FALSE),0)</f>
        <v>0</v>
      </c>
      <c r="K551" s="194">
        <f>IF(_1_541284561214624104645789101745[[#This Row],[Discount selection]]&gt;0,VLOOKUP(_1_541284561214624104645789101745[[#This Row],[Discount selection]],'Discount Structure'!$A$2:$B$30,2,"false"),0)</f>
        <v>1</v>
      </c>
      <c r="L551" s="194">
        <f>_1_541284561214624104645789101745[[#This Row],[LIST $]]*_1_541284561214624104645789101745[[#This Row],[DISCOUNT]]*_1_541284561214624104645789101745[[#This Row],[DISCOUNT 2]]</f>
        <v>0</v>
      </c>
      <c r="M551" s="194">
        <f>IF(OR(_1_541284561214624104645789101745[[#This Row],[UNIT]]&gt;0,_1_541284561214624104645789101745[[#This Row],[UNIT]]&lt;0),_1_541284561214624104645789101745[[#This Row],[UNIT]]*_1_541284561214624104645789101745[[#This Row],[COST]],0)</f>
        <v>0</v>
      </c>
      <c r="N551" s="194">
        <f t="shared" si="8"/>
        <v>1.5</v>
      </c>
      <c r="O551" s="198">
        <f>_1_541284561214624104645789101745[[#This Row],[TOTAL]]*_1_541284561214624104645789101745[[#This Row],[MARGIN]]</f>
        <v>0</v>
      </c>
      <c r="R551" s="41"/>
    </row>
    <row r="552" spans="1:18">
      <c r="A552" s="168"/>
      <c r="D552" s="188"/>
      <c r="F552" s="168" t="s">
        <v>6202</v>
      </c>
      <c r="G552" s="193">
        <f>IF(_1_541284561214624104645789101745[[#This Row],[Type]]&gt;0,VLOOKUP(_1_541284561214624104645789101745[[#This Row],[Type]],Main[[#All],[TYPE]:[UNIT]],'Unit Price'!C$1,FALSE),0)</f>
        <v>0</v>
      </c>
      <c r="H552" s="197">
        <f>IF(_1_541284561214624104645789101745[[#This Row],[Type]]&gt;0,VLOOKUP(_1_541284561214624104645789101745[[#This Row],[Type]],Main[[#All],[TYPE]:[UNIT]],'Unit Price'!D$1,FALSE),0)</f>
        <v>0</v>
      </c>
      <c r="I552" s="194">
        <f>IF(_1_541284561214624104645789101745[[#This Row],[Type]]&gt;0,VLOOKUP(_1_541284561214624104645789101745[[#This Row],[Type]],Main[[#All],[TYPE]:[UNIT]],'Unit Price'!G$1,FALSE),0)</f>
        <v>0</v>
      </c>
      <c r="J552" s="194">
        <f>IF(_1_541284561214624104645789101745[[#This Row],[Type]]&gt;0,VLOOKUP(_1_541284561214624104645789101745[[#This Row],[Type]],Main[[#All],[TYPE]:[UNIT]],'Unit Price'!H$1,FALSE),0)</f>
        <v>0</v>
      </c>
      <c r="K552" s="194">
        <f>IF(_1_541284561214624104645789101745[[#This Row],[Discount selection]]&gt;0,VLOOKUP(_1_541284561214624104645789101745[[#This Row],[Discount selection]],'Discount Structure'!$A$2:$B$30,2,"false"),0)</f>
        <v>1</v>
      </c>
      <c r="L552" s="194">
        <f>_1_541284561214624104645789101745[[#This Row],[LIST $]]*_1_541284561214624104645789101745[[#This Row],[DISCOUNT]]*_1_541284561214624104645789101745[[#This Row],[DISCOUNT 2]]</f>
        <v>0</v>
      </c>
      <c r="M552" s="194">
        <f>IF(OR(_1_541284561214624104645789101745[[#This Row],[UNIT]]&gt;0,_1_541284561214624104645789101745[[#This Row],[UNIT]]&lt;0),_1_541284561214624104645789101745[[#This Row],[UNIT]]*_1_541284561214624104645789101745[[#This Row],[COST]],0)</f>
        <v>0</v>
      </c>
      <c r="N552" s="194">
        <f t="shared" si="8"/>
        <v>1.5</v>
      </c>
      <c r="O552" s="198">
        <f>_1_541284561214624104645789101745[[#This Row],[TOTAL]]*_1_541284561214624104645789101745[[#This Row],[MARGIN]]</f>
        <v>0</v>
      </c>
      <c r="R552" s="41"/>
    </row>
    <row r="553" spans="1:18">
      <c r="D553" s="188"/>
      <c r="F553" s="168" t="s">
        <v>6202</v>
      </c>
      <c r="G553" s="193">
        <f>IF(_1_541284561214624104645789101745[[#This Row],[Type]]&gt;0,VLOOKUP(_1_541284561214624104645789101745[[#This Row],[Type]],Main[[#All],[TYPE]:[UNIT]],'Unit Price'!C$1,FALSE),0)</f>
        <v>0</v>
      </c>
      <c r="H553" s="197">
        <f>IF(_1_541284561214624104645789101745[[#This Row],[Type]]&gt;0,VLOOKUP(_1_541284561214624104645789101745[[#This Row],[Type]],Main[[#All],[TYPE]:[UNIT]],'Unit Price'!D$1,FALSE),0)</f>
        <v>0</v>
      </c>
      <c r="I553" s="194">
        <f>IF(_1_541284561214624104645789101745[[#This Row],[Type]]&gt;0,VLOOKUP(_1_541284561214624104645789101745[[#This Row],[Type]],Main[[#All],[TYPE]:[UNIT]],'Unit Price'!G$1,FALSE),0)</f>
        <v>0</v>
      </c>
      <c r="J553" s="194">
        <f>IF(_1_541284561214624104645789101745[[#This Row],[Type]]&gt;0,VLOOKUP(_1_541284561214624104645789101745[[#This Row],[Type]],Main[[#All],[TYPE]:[UNIT]],'Unit Price'!H$1,FALSE),0)</f>
        <v>0</v>
      </c>
      <c r="K553" s="194">
        <f>IF(_1_541284561214624104645789101745[[#This Row],[Discount selection]]&gt;0,VLOOKUP(_1_541284561214624104645789101745[[#This Row],[Discount selection]],'Discount Structure'!$A$2:$B$30,2,"false"),0)</f>
        <v>1</v>
      </c>
      <c r="L553" s="194">
        <f>_1_541284561214624104645789101745[[#This Row],[LIST $]]*_1_541284561214624104645789101745[[#This Row],[DISCOUNT]]*_1_541284561214624104645789101745[[#This Row],[DISCOUNT 2]]</f>
        <v>0</v>
      </c>
      <c r="M553" s="194">
        <f>IF(OR(_1_541284561214624104645789101745[[#This Row],[UNIT]]&gt;0,_1_541284561214624104645789101745[[#This Row],[UNIT]]&lt;0),_1_541284561214624104645789101745[[#This Row],[UNIT]]*_1_541284561214624104645789101745[[#This Row],[COST]],0)</f>
        <v>0</v>
      </c>
      <c r="N553" s="194">
        <f t="shared" si="8"/>
        <v>1.5</v>
      </c>
      <c r="O553" s="198">
        <f>_1_541284561214624104645789101745[[#This Row],[TOTAL]]*_1_541284561214624104645789101745[[#This Row],[MARGIN]]</f>
        <v>0</v>
      </c>
      <c r="R553" s="41"/>
    </row>
    <row r="554" spans="1:18">
      <c r="D554" s="188"/>
      <c r="F554" s="168" t="s">
        <v>6202</v>
      </c>
      <c r="G554" s="193">
        <f>IF(_1_541284561214624104645789101745[[#This Row],[Type]]&gt;0,VLOOKUP(_1_541284561214624104645789101745[[#This Row],[Type]],Main[[#All],[TYPE]:[UNIT]],'Unit Price'!C$1,FALSE),0)</f>
        <v>0</v>
      </c>
      <c r="H554" s="197">
        <f>IF(_1_541284561214624104645789101745[[#This Row],[Type]]&gt;0,VLOOKUP(_1_541284561214624104645789101745[[#This Row],[Type]],Main[[#All],[TYPE]:[UNIT]],'Unit Price'!D$1,FALSE),0)</f>
        <v>0</v>
      </c>
      <c r="I554" s="194">
        <f>IF(_1_541284561214624104645789101745[[#This Row],[Type]]&gt;0,VLOOKUP(_1_541284561214624104645789101745[[#This Row],[Type]],Main[[#All],[TYPE]:[UNIT]],'Unit Price'!G$1,FALSE),0)</f>
        <v>0</v>
      </c>
      <c r="J554" s="194">
        <f>IF(_1_541284561214624104645789101745[[#This Row],[Type]]&gt;0,VLOOKUP(_1_541284561214624104645789101745[[#This Row],[Type]],Main[[#All],[TYPE]:[UNIT]],'Unit Price'!H$1,FALSE),0)</f>
        <v>0</v>
      </c>
      <c r="K554" s="194">
        <f>IF(_1_541284561214624104645789101745[[#This Row],[Discount selection]]&gt;0,VLOOKUP(_1_541284561214624104645789101745[[#This Row],[Discount selection]],'Discount Structure'!$A$2:$B$30,2,"false"),0)</f>
        <v>1</v>
      </c>
      <c r="L554" s="194">
        <f>_1_541284561214624104645789101745[[#This Row],[LIST $]]*_1_541284561214624104645789101745[[#This Row],[DISCOUNT]]*_1_541284561214624104645789101745[[#This Row],[DISCOUNT 2]]</f>
        <v>0</v>
      </c>
      <c r="M554" s="194">
        <f>IF(OR(_1_541284561214624104645789101745[[#This Row],[UNIT]]&gt;0,_1_541284561214624104645789101745[[#This Row],[UNIT]]&lt;0),_1_541284561214624104645789101745[[#This Row],[UNIT]]*_1_541284561214624104645789101745[[#This Row],[COST]],0)</f>
        <v>0</v>
      </c>
      <c r="N554" s="194">
        <f t="shared" si="8"/>
        <v>1.5</v>
      </c>
      <c r="O554" s="198">
        <f>_1_541284561214624104645789101745[[#This Row],[TOTAL]]*_1_541284561214624104645789101745[[#This Row],[MARGIN]]</f>
        <v>0</v>
      </c>
      <c r="R554" s="41"/>
    </row>
    <row r="555" spans="1:18">
      <c r="D555" s="188"/>
      <c r="F555" s="168" t="s">
        <v>6202</v>
      </c>
      <c r="G555" s="193">
        <f>IF(_1_541284561214624104645789101745[[#This Row],[Type]]&gt;0,VLOOKUP(_1_541284561214624104645789101745[[#This Row],[Type]],Main[[#All],[TYPE]:[UNIT]],'Unit Price'!C$1,FALSE),0)</f>
        <v>0</v>
      </c>
      <c r="H555" s="197">
        <f>IF(_1_541284561214624104645789101745[[#This Row],[Type]]&gt;0,VLOOKUP(_1_541284561214624104645789101745[[#This Row],[Type]],Main[[#All],[TYPE]:[UNIT]],'Unit Price'!D$1,FALSE),0)</f>
        <v>0</v>
      </c>
      <c r="I555" s="194">
        <f>IF(_1_541284561214624104645789101745[[#This Row],[Type]]&gt;0,VLOOKUP(_1_541284561214624104645789101745[[#This Row],[Type]],Main[[#All],[TYPE]:[UNIT]],'Unit Price'!G$1,FALSE),0)</f>
        <v>0</v>
      </c>
      <c r="J555" s="194">
        <f>IF(_1_541284561214624104645789101745[[#This Row],[Type]]&gt;0,VLOOKUP(_1_541284561214624104645789101745[[#This Row],[Type]],Main[[#All],[TYPE]:[UNIT]],'Unit Price'!H$1,FALSE),0)</f>
        <v>0</v>
      </c>
      <c r="K555" s="194">
        <f>IF(_1_541284561214624104645789101745[[#This Row],[Discount selection]]&gt;0,VLOOKUP(_1_541284561214624104645789101745[[#This Row],[Discount selection]],'Discount Structure'!$A$2:$B$30,2,"false"),0)</f>
        <v>1</v>
      </c>
      <c r="L555" s="194">
        <f>_1_541284561214624104645789101745[[#This Row],[LIST $]]*_1_541284561214624104645789101745[[#This Row],[DISCOUNT]]*_1_541284561214624104645789101745[[#This Row],[DISCOUNT 2]]</f>
        <v>0</v>
      </c>
      <c r="M555" s="194">
        <f>IF(OR(_1_541284561214624104645789101745[[#This Row],[UNIT]]&gt;0,_1_541284561214624104645789101745[[#This Row],[UNIT]]&lt;0),_1_541284561214624104645789101745[[#This Row],[UNIT]]*_1_541284561214624104645789101745[[#This Row],[COST]],0)</f>
        <v>0</v>
      </c>
      <c r="N555" s="194">
        <f t="shared" si="8"/>
        <v>1.5</v>
      </c>
      <c r="O555" s="198">
        <f>_1_541284561214624104645789101745[[#This Row],[TOTAL]]*_1_541284561214624104645789101745[[#This Row],[MARGIN]]</f>
        <v>0</v>
      </c>
      <c r="R555" s="41"/>
    </row>
    <row r="556" spans="1:18">
      <c r="D556" s="188"/>
      <c r="F556" s="168" t="s">
        <v>6202</v>
      </c>
      <c r="G556" s="193">
        <f>IF(_1_541284561214624104645789101745[[#This Row],[Type]]&gt;0,VLOOKUP(_1_541284561214624104645789101745[[#This Row],[Type]],Main[[#All],[TYPE]:[UNIT]],'Unit Price'!C$1,FALSE),0)</f>
        <v>0</v>
      </c>
      <c r="H556" s="197">
        <f>IF(_1_541284561214624104645789101745[[#This Row],[Type]]&gt;0,VLOOKUP(_1_541284561214624104645789101745[[#This Row],[Type]],Main[[#All],[TYPE]:[UNIT]],'Unit Price'!D$1,FALSE),0)</f>
        <v>0</v>
      </c>
      <c r="I556" s="194">
        <f>IF(_1_541284561214624104645789101745[[#This Row],[Type]]&gt;0,VLOOKUP(_1_541284561214624104645789101745[[#This Row],[Type]],Main[[#All],[TYPE]:[UNIT]],'Unit Price'!G$1,FALSE),0)</f>
        <v>0</v>
      </c>
      <c r="J556" s="194">
        <f>IF(_1_541284561214624104645789101745[[#This Row],[Type]]&gt;0,VLOOKUP(_1_541284561214624104645789101745[[#This Row],[Type]],Main[[#All],[TYPE]:[UNIT]],'Unit Price'!H$1,FALSE),0)</f>
        <v>0</v>
      </c>
      <c r="K556" s="194">
        <f>IF(_1_541284561214624104645789101745[[#This Row],[Discount selection]]&gt;0,VLOOKUP(_1_541284561214624104645789101745[[#This Row],[Discount selection]],'Discount Structure'!$A$2:$B$30,2,"false"),0)</f>
        <v>1</v>
      </c>
      <c r="L556" s="194">
        <f>_1_541284561214624104645789101745[[#This Row],[LIST $]]*_1_541284561214624104645789101745[[#This Row],[DISCOUNT]]*_1_541284561214624104645789101745[[#This Row],[DISCOUNT 2]]</f>
        <v>0</v>
      </c>
      <c r="M556" s="194">
        <f>IF(OR(_1_541284561214624104645789101745[[#This Row],[UNIT]]&gt;0,_1_541284561214624104645789101745[[#This Row],[UNIT]]&lt;0),_1_541284561214624104645789101745[[#This Row],[UNIT]]*_1_541284561214624104645789101745[[#This Row],[COST]],0)</f>
        <v>0</v>
      </c>
      <c r="N556" s="194">
        <f t="shared" si="8"/>
        <v>1.5</v>
      </c>
      <c r="O556" s="198">
        <f>_1_541284561214624104645789101745[[#This Row],[TOTAL]]*_1_541284561214624104645789101745[[#This Row],[MARGIN]]</f>
        <v>0</v>
      </c>
      <c r="R556" s="41"/>
    </row>
    <row r="557" spans="1:18">
      <c r="D557" s="188"/>
      <c r="F557" s="168" t="s">
        <v>6202</v>
      </c>
      <c r="G557" s="193">
        <f>IF(_1_541284561214624104645789101745[[#This Row],[Type]]&gt;0,VLOOKUP(_1_541284561214624104645789101745[[#This Row],[Type]],Main[[#All],[TYPE]:[UNIT]],'Unit Price'!C$1,FALSE),0)</f>
        <v>0</v>
      </c>
      <c r="H557" s="197">
        <f>IF(_1_541284561214624104645789101745[[#This Row],[Type]]&gt;0,VLOOKUP(_1_541284561214624104645789101745[[#This Row],[Type]],Main[[#All],[TYPE]:[UNIT]],'Unit Price'!D$1,FALSE),0)</f>
        <v>0</v>
      </c>
      <c r="I557" s="194">
        <f>IF(_1_541284561214624104645789101745[[#This Row],[Type]]&gt;0,VLOOKUP(_1_541284561214624104645789101745[[#This Row],[Type]],Main[[#All],[TYPE]:[UNIT]],'Unit Price'!G$1,FALSE),0)</f>
        <v>0</v>
      </c>
      <c r="J557" s="194">
        <f>IF(_1_541284561214624104645789101745[[#This Row],[Type]]&gt;0,VLOOKUP(_1_541284561214624104645789101745[[#This Row],[Type]],Main[[#All],[TYPE]:[UNIT]],'Unit Price'!H$1,FALSE),0)</f>
        <v>0</v>
      </c>
      <c r="K557" s="194">
        <f>IF(_1_541284561214624104645789101745[[#This Row],[Discount selection]]&gt;0,VLOOKUP(_1_541284561214624104645789101745[[#This Row],[Discount selection]],'Discount Structure'!$A$2:$B$30,2,"false"),0)</f>
        <v>1</v>
      </c>
      <c r="L557" s="194">
        <f>_1_541284561214624104645789101745[[#This Row],[LIST $]]*_1_541284561214624104645789101745[[#This Row],[DISCOUNT]]*_1_541284561214624104645789101745[[#This Row],[DISCOUNT 2]]</f>
        <v>0</v>
      </c>
      <c r="M557" s="194">
        <f>IF(OR(_1_541284561214624104645789101745[[#This Row],[UNIT]]&gt;0,_1_541284561214624104645789101745[[#This Row],[UNIT]]&lt;0),_1_541284561214624104645789101745[[#This Row],[UNIT]]*_1_541284561214624104645789101745[[#This Row],[COST]],0)</f>
        <v>0</v>
      </c>
      <c r="N557" s="194">
        <f t="shared" si="8"/>
        <v>1.5</v>
      </c>
      <c r="O557" s="198">
        <f>_1_541284561214624104645789101745[[#This Row],[TOTAL]]*_1_541284561214624104645789101745[[#This Row],[MARGIN]]</f>
        <v>0</v>
      </c>
      <c r="R557" s="41"/>
    </row>
    <row r="558" spans="1:18">
      <c r="D558" s="188"/>
      <c r="F558" s="168" t="s">
        <v>6202</v>
      </c>
      <c r="G558" s="193">
        <f>IF(_1_541284561214624104645789101745[[#This Row],[Type]]&gt;0,VLOOKUP(_1_541284561214624104645789101745[[#This Row],[Type]],Main[[#All],[TYPE]:[UNIT]],'Unit Price'!C$1,FALSE),0)</f>
        <v>0</v>
      </c>
      <c r="H558" s="197">
        <f>IF(_1_541284561214624104645789101745[[#This Row],[Type]]&gt;0,VLOOKUP(_1_541284561214624104645789101745[[#This Row],[Type]],Main[[#All],[TYPE]:[UNIT]],'Unit Price'!D$1,FALSE),0)</f>
        <v>0</v>
      </c>
      <c r="I558" s="194">
        <f>IF(_1_541284561214624104645789101745[[#This Row],[Type]]&gt;0,VLOOKUP(_1_541284561214624104645789101745[[#This Row],[Type]],Main[[#All],[TYPE]:[UNIT]],'Unit Price'!G$1,FALSE),0)</f>
        <v>0</v>
      </c>
      <c r="J558" s="194">
        <f>IF(_1_541284561214624104645789101745[[#This Row],[Type]]&gt;0,VLOOKUP(_1_541284561214624104645789101745[[#This Row],[Type]],Main[[#All],[TYPE]:[UNIT]],'Unit Price'!H$1,FALSE),0)</f>
        <v>0</v>
      </c>
      <c r="K558" s="194">
        <f>IF(_1_541284561214624104645789101745[[#This Row],[Discount selection]]&gt;0,VLOOKUP(_1_541284561214624104645789101745[[#This Row],[Discount selection]],'Discount Structure'!$A$2:$B$30,2,"false"),0)</f>
        <v>1</v>
      </c>
      <c r="L558" s="194">
        <f>_1_541284561214624104645789101745[[#This Row],[LIST $]]*_1_541284561214624104645789101745[[#This Row],[DISCOUNT]]*_1_541284561214624104645789101745[[#This Row],[DISCOUNT 2]]</f>
        <v>0</v>
      </c>
      <c r="M558" s="194">
        <f>IF(OR(_1_541284561214624104645789101745[[#This Row],[UNIT]]&gt;0,_1_541284561214624104645789101745[[#This Row],[UNIT]]&lt;0),_1_541284561214624104645789101745[[#This Row],[UNIT]]*_1_541284561214624104645789101745[[#This Row],[COST]],0)</f>
        <v>0</v>
      </c>
      <c r="N558" s="194">
        <f t="shared" si="8"/>
        <v>1.5</v>
      </c>
      <c r="O558" s="198">
        <f>_1_541284561214624104645789101745[[#This Row],[TOTAL]]*_1_541284561214624104645789101745[[#This Row],[MARGIN]]</f>
        <v>0</v>
      </c>
      <c r="R558" s="41"/>
    </row>
    <row r="559" spans="1:18">
      <c r="D559" s="188"/>
      <c r="F559" s="168" t="s">
        <v>6202</v>
      </c>
      <c r="G559" s="193">
        <f>IF(_1_541284561214624104645789101745[[#This Row],[Type]]&gt;0,VLOOKUP(_1_541284561214624104645789101745[[#This Row],[Type]],Main[[#All],[TYPE]:[UNIT]],'Unit Price'!C$1,FALSE),0)</f>
        <v>0</v>
      </c>
      <c r="H559" s="197">
        <f>IF(_1_541284561214624104645789101745[[#This Row],[Type]]&gt;0,VLOOKUP(_1_541284561214624104645789101745[[#This Row],[Type]],Main[[#All],[TYPE]:[UNIT]],'Unit Price'!D$1,FALSE),0)</f>
        <v>0</v>
      </c>
      <c r="I559" s="194">
        <f>IF(_1_541284561214624104645789101745[[#This Row],[Type]]&gt;0,VLOOKUP(_1_541284561214624104645789101745[[#This Row],[Type]],Main[[#All],[TYPE]:[UNIT]],'Unit Price'!G$1,FALSE),0)</f>
        <v>0</v>
      </c>
      <c r="J559" s="194">
        <f>IF(_1_541284561214624104645789101745[[#This Row],[Type]]&gt;0,VLOOKUP(_1_541284561214624104645789101745[[#This Row],[Type]],Main[[#All],[TYPE]:[UNIT]],'Unit Price'!H$1,FALSE),0)</f>
        <v>0</v>
      </c>
      <c r="K559" s="194">
        <f>IF(_1_541284561214624104645789101745[[#This Row],[Discount selection]]&gt;0,VLOOKUP(_1_541284561214624104645789101745[[#This Row],[Discount selection]],'Discount Structure'!$A$2:$B$30,2,"false"),0)</f>
        <v>1</v>
      </c>
      <c r="L559" s="194">
        <f>_1_541284561214624104645789101745[[#This Row],[LIST $]]*_1_541284561214624104645789101745[[#This Row],[DISCOUNT]]*_1_541284561214624104645789101745[[#This Row],[DISCOUNT 2]]</f>
        <v>0</v>
      </c>
      <c r="M559" s="194">
        <f>IF(OR(_1_541284561214624104645789101745[[#This Row],[UNIT]]&gt;0,_1_541284561214624104645789101745[[#This Row],[UNIT]]&lt;0),_1_541284561214624104645789101745[[#This Row],[UNIT]]*_1_541284561214624104645789101745[[#This Row],[COST]],0)</f>
        <v>0</v>
      </c>
      <c r="N559" s="194">
        <f t="shared" si="8"/>
        <v>1.5</v>
      </c>
      <c r="O559" s="198">
        <f>_1_541284561214624104645789101745[[#This Row],[TOTAL]]*_1_541284561214624104645789101745[[#This Row],[MARGIN]]</f>
        <v>0</v>
      </c>
      <c r="R559" s="41"/>
    </row>
    <row r="560" spans="1:18">
      <c r="A560" s="168"/>
      <c r="D560" s="188"/>
      <c r="F560" s="168" t="s">
        <v>6202</v>
      </c>
      <c r="G560" s="193">
        <f>IF(_1_541284561214624104645789101745[[#This Row],[Type]]&gt;0,VLOOKUP(_1_541284561214624104645789101745[[#This Row],[Type]],Main[[#All],[TYPE]:[UNIT]],'Unit Price'!C$1,FALSE),0)</f>
        <v>0</v>
      </c>
      <c r="H560" s="197">
        <f>IF(_1_541284561214624104645789101745[[#This Row],[Type]]&gt;0,VLOOKUP(_1_541284561214624104645789101745[[#This Row],[Type]],Main[[#All],[TYPE]:[UNIT]],'Unit Price'!D$1,FALSE),0)</f>
        <v>0</v>
      </c>
      <c r="I560" s="194">
        <f>IF(_1_541284561214624104645789101745[[#This Row],[Type]]&gt;0,VLOOKUP(_1_541284561214624104645789101745[[#This Row],[Type]],Main[[#All],[TYPE]:[UNIT]],'Unit Price'!G$1,FALSE),0)</f>
        <v>0</v>
      </c>
      <c r="J560" s="194">
        <f>IF(_1_541284561214624104645789101745[[#This Row],[Type]]&gt;0,VLOOKUP(_1_541284561214624104645789101745[[#This Row],[Type]],Main[[#All],[TYPE]:[UNIT]],'Unit Price'!H$1,FALSE),0)</f>
        <v>0</v>
      </c>
      <c r="K560" s="194">
        <f>IF(_1_541284561214624104645789101745[[#This Row],[Discount selection]]&gt;0,VLOOKUP(_1_541284561214624104645789101745[[#This Row],[Discount selection]],'Discount Structure'!$A$2:$B$30,2,"false"),0)</f>
        <v>1</v>
      </c>
      <c r="L560" s="194">
        <f>_1_541284561214624104645789101745[[#This Row],[LIST $]]*_1_541284561214624104645789101745[[#This Row],[DISCOUNT]]*_1_541284561214624104645789101745[[#This Row],[DISCOUNT 2]]</f>
        <v>0</v>
      </c>
      <c r="M560" s="194">
        <f>IF(OR(_1_541284561214624104645789101745[[#This Row],[UNIT]]&gt;0,_1_541284561214624104645789101745[[#This Row],[UNIT]]&lt;0),_1_541284561214624104645789101745[[#This Row],[UNIT]]*_1_541284561214624104645789101745[[#This Row],[COST]],0)</f>
        <v>0</v>
      </c>
      <c r="N560" s="194">
        <f t="shared" si="8"/>
        <v>1.5</v>
      </c>
      <c r="O560" s="198">
        <f>_1_541284561214624104645789101745[[#This Row],[TOTAL]]*_1_541284561214624104645789101745[[#This Row],[MARGIN]]</f>
        <v>0</v>
      </c>
      <c r="R560" s="41"/>
    </row>
    <row r="561" spans="1:18">
      <c r="D561" s="188"/>
      <c r="F561" s="168" t="s">
        <v>6202</v>
      </c>
      <c r="G561" s="193">
        <f>IF(_1_541284561214624104645789101745[[#This Row],[Type]]&gt;0,VLOOKUP(_1_541284561214624104645789101745[[#This Row],[Type]],Main[[#All],[TYPE]:[UNIT]],'Unit Price'!C$1,FALSE),0)</f>
        <v>0</v>
      </c>
      <c r="H561" s="197">
        <f>IF(_1_541284561214624104645789101745[[#This Row],[Type]]&gt;0,VLOOKUP(_1_541284561214624104645789101745[[#This Row],[Type]],Main[[#All],[TYPE]:[UNIT]],'Unit Price'!D$1,FALSE),0)</f>
        <v>0</v>
      </c>
      <c r="I561" s="194">
        <f>IF(_1_541284561214624104645789101745[[#This Row],[Type]]&gt;0,VLOOKUP(_1_541284561214624104645789101745[[#This Row],[Type]],Main[[#All],[TYPE]:[UNIT]],'Unit Price'!G$1,FALSE),0)</f>
        <v>0</v>
      </c>
      <c r="J561" s="194">
        <f>IF(_1_541284561214624104645789101745[[#This Row],[Type]]&gt;0,VLOOKUP(_1_541284561214624104645789101745[[#This Row],[Type]],Main[[#All],[TYPE]:[UNIT]],'Unit Price'!H$1,FALSE),0)</f>
        <v>0</v>
      </c>
      <c r="K561" s="194">
        <f>IF(_1_541284561214624104645789101745[[#This Row],[Discount selection]]&gt;0,VLOOKUP(_1_541284561214624104645789101745[[#This Row],[Discount selection]],'Discount Structure'!$A$2:$B$30,2,"false"),0)</f>
        <v>1</v>
      </c>
      <c r="L561" s="194">
        <f>_1_541284561214624104645789101745[[#This Row],[LIST $]]*_1_541284561214624104645789101745[[#This Row],[DISCOUNT]]*_1_541284561214624104645789101745[[#This Row],[DISCOUNT 2]]</f>
        <v>0</v>
      </c>
      <c r="M561" s="194">
        <f>IF(OR(_1_541284561214624104645789101745[[#This Row],[UNIT]]&gt;0,_1_541284561214624104645789101745[[#This Row],[UNIT]]&lt;0),_1_541284561214624104645789101745[[#This Row],[UNIT]]*_1_541284561214624104645789101745[[#This Row],[COST]],0)</f>
        <v>0</v>
      </c>
      <c r="N561" s="194">
        <f t="shared" si="8"/>
        <v>1.5</v>
      </c>
      <c r="O561" s="198">
        <f>_1_541284561214624104645789101745[[#This Row],[TOTAL]]*_1_541284561214624104645789101745[[#This Row],[MARGIN]]</f>
        <v>0</v>
      </c>
      <c r="R561" s="41"/>
    </row>
    <row r="562" spans="1:18">
      <c r="D562" s="188"/>
      <c r="F562" s="168" t="s">
        <v>6202</v>
      </c>
      <c r="G562" s="193">
        <f>IF(_1_541284561214624104645789101745[[#This Row],[Type]]&gt;0,VLOOKUP(_1_541284561214624104645789101745[[#This Row],[Type]],Main[[#All],[TYPE]:[UNIT]],'Unit Price'!C$1,FALSE),0)</f>
        <v>0</v>
      </c>
      <c r="H562" s="197">
        <f>IF(_1_541284561214624104645789101745[[#This Row],[Type]]&gt;0,VLOOKUP(_1_541284561214624104645789101745[[#This Row],[Type]],Main[[#All],[TYPE]:[UNIT]],'Unit Price'!D$1,FALSE),0)</f>
        <v>0</v>
      </c>
      <c r="I562" s="194">
        <f>IF(_1_541284561214624104645789101745[[#This Row],[Type]]&gt;0,VLOOKUP(_1_541284561214624104645789101745[[#This Row],[Type]],Main[[#All],[TYPE]:[UNIT]],'Unit Price'!G$1,FALSE),0)</f>
        <v>0</v>
      </c>
      <c r="J562" s="194">
        <f>IF(_1_541284561214624104645789101745[[#This Row],[Type]]&gt;0,VLOOKUP(_1_541284561214624104645789101745[[#This Row],[Type]],Main[[#All],[TYPE]:[UNIT]],'Unit Price'!H$1,FALSE),0)</f>
        <v>0</v>
      </c>
      <c r="K562" s="194">
        <f>IF(_1_541284561214624104645789101745[[#This Row],[Discount selection]]&gt;0,VLOOKUP(_1_541284561214624104645789101745[[#This Row],[Discount selection]],'Discount Structure'!$A$2:$B$30,2,"false"),0)</f>
        <v>1</v>
      </c>
      <c r="L562" s="194">
        <f>_1_541284561214624104645789101745[[#This Row],[LIST $]]*_1_541284561214624104645789101745[[#This Row],[DISCOUNT]]*_1_541284561214624104645789101745[[#This Row],[DISCOUNT 2]]</f>
        <v>0</v>
      </c>
      <c r="M562" s="194">
        <f>IF(OR(_1_541284561214624104645789101745[[#This Row],[UNIT]]&gt;0,_1_541284561214624104645789101745[[#This Row],[UNIT]]&lt;0),_1_541284561214624104645789101745[[#This Row],[UNIT]]*_1_541284561214624104645789101745[[#This Row],[COST]],0)</f>
        <v>0</v>
      </c>
      <c r="N562" s="194">
        <f t="shared" si="8"/>
        <v>1.5</v>
      </c>
      <c r="O562" s="198">
        <f>_1_541284561214624104645789101745[[#This Row],[TOTAL]]*_1_541284561214624104645789101745[[#This Row],[MARGIN]]</f>
        <v>0</v>
      </c>
      <c r="R562" s="41"/>
    </row>
    <row r="563" spans="1:18">
      <c r="A563" s="168"/>
      <c r="D563" s="188"/>
      <c r="F563" s="168" t="s">
        <v>6202</v>
      </c>
      <c r="G563" s="193">
        <f>IF(_1_541284561214624104645789101745[[#This Row],[Type]]&gt;0,VLOOKUP(_1_541284561214624104645789101745[[#This Row],[Type]],Main[[#All],[TYPE]:[UNIT]],'Unit Price'!C$1,FALSE),0)</f>
        <v>0</v>
      </c>
      <c r="H563" s="197">
        <f>IF(_1_541284561214624104645789101745[[#This Row],[Type]]&gt;0,VLOOKUP(_1_541284561214624104645789101745[[#This Row],[Type]],Main[[#All],[TYPE]:[UNIT]],'Unit Price'!D$1,FALSE),0)</f>
        <v>0</v>
      </c>
      <c r="I563" s="194">
        <f>IF(_1_541284561214624104645789101745[[#This Row],[Type]]&gt;0,VLOOKUP(_1_541284561214624104645789101745[[#This Row],[Type]],Main[[#All],[TYPE]:[UNIT]],'Unit Price'!G$1,FALSE),0)</f>
        <v>0</v>
      </c>
      <c r="J563" s="194">
        <f>IF(_1_541284561214624104645789101745[[#This Row],[Type]]&gt;0,VLOOKUP(_1_541284561214624104645789101745[[#This Row],[Type]],Main[[#All],[TYPE]:[UNIT]],'Unit Price'!H$1,FALSE),0)</f>
        <v>0</v>
      </c>
      <c r="K563" s="194">
        <f>IF(_1_541284561214624104645789101745[[#This Row],[Discount selection]]&gt;0,VLOOKUP(_1_541284561214624104645789101745[[#This Row],[Discount selection]],'Discount Structure'!$A$2:$B$30,2,"false"),0)</f>
        <v>1</v>
      </c>
      <c r="L563" s="194">
        <f>_1_541284561214624104645789101745[[#This Row],[LIST $]]*_1_541284561214624104645789101745[[#This Row],[DISCOUNT]]*_1_541284561214624104645789101745[[#This Row],[DISCOUNT 2]]</f>
        <v>0</v>
      </c>
      <c r="M563" s="194">
        <f>IF(OR(_1_541284561214624104645789101745[[#This Row],[UNIT]]&gt;0,_1_541284561214624104645789101745[[#This Row],[UNIT]]&lt;0),_1_541284561214624104645789101745[[#This Row],[UNIT]]*_1_541284561214624104645789101745[[#This Row],[COST]],0)</f>
        <v>0</v>
      </c>
      <c r="N563" s="194">
        <f t="shared" si="8"/>
        <v>1.5</v>
      </c>
      <c r="O563" s="198">
        <f>_1_541284561214624104645789101745[[#This Row],[TOTAL]]*_1_541284561214624104645789101745[[#This Row],[MARGIN]]</f>
        <v>0</v>
      </c>
      <c r="R563" s="41"/>
    </row>
    <row r="564" spans="1:18">
      <c r="D564" s="188"/>
      <c r="F564" s="168" t="s">
        <v>6202</v>
      </c>
      <c r="G564" s="193">
        <f>IF(_1_541284561214624104645789101745[[#This Row],[Type]]&gt;0,VLOOKUP(_1_541284561214624104645789101745[[#This Row],[Type]],Main[[#All],[TYPE]:[UNIT]],'Unit Price'!C$1,FALSE),0)</f>
        <v>0</v>
      </c>
      <c r="H564" s="197">
        <f>IF(_1_541284561214624104645789101745[[#This Row],[Type]]&gt;0,VLOOKUP(_1_541284561214624104645789101745[[#This Row],[Type]],Main[[#All],[TYPE]:[UNIT]],'Unit Price'!D$1,FALSE),0)</f>
        <v>0</v>
      </c>
      <c r="I564" s="194">
        <f>IF(_1_541284561214624104645789101745[[#This Row],[Type]]&gt;0,VLOOKUP(_1_541284561214624104645789101745[[#This Row],[Type]],Main[[#All],[TYPE]:[UNIT]],'Unit Price'!G$1,FALSE),0)</f>
        <v>0</v>
      </c>
      <c r="J564" s="194">
        <f>IF(_1_541284561214624104645789101745[[#This Row],[Type]]&gt;0,VLOOKUP(_1_541284561214624104645789101745[[#This Row],[Type]],Main[[#All],[TYPE]:[UNIT]],'Unit Price'!H$1,FALSE),0)</f>
        <v>0</v>
      </c>
      <c r="K564" s="194">
        <f>IF(_1_541284561214624104645789101745[[#This Row],[Discount selection]]&gt;0,VLOOKUP(_1_541284561214624104645789101745[[#This Row],[Discount selection]],'Discount Structure'!$A$2:$B$30,2,"false"),0)</f>
        <v>1</v>
      </c>
      <c r="L564" s="194">
        <f>_1_541284561214624104645789101745[[#This Row],[LIST $]]*_1_541284561214624104645789101745[[#This Row],[DISCOUNT]]*_1_541284561214624104645789101745[[#This Row],[DISCOUNT 2]]</f>
        <v>0</v>
      </c>
      <c r="M564" s="194">
        <f>IF(OR(_1_541284561214624104645789101745[[#This Row],[UNIT]]&gt;0,_1_541284561214624104645789101745[[#This Row],[UNIT]]&lt;0),_1_541284561214624104645789101745[[#This Row],[UNIT]]*_1_541284561214624104645789101745[[#This Row],[COST]],0)</f>
        <v>0</v>
      </c>
      <c r="N564" s="194">
        <f t="shared" si="8"/>
        <v>1.5</v>
      </c>
      <c r="O564" s="198">
        <f>_1_541284561214624104645789101745[[#This Row],[TOTAL]]*_1_541284561214624104645789101745[[#This Row],[MARGIN]]</f>
        <v>0</v>
      </c>
      <c r="R564" s="41"/>
    </row>
    <row r="565" spans="1:18">
      <c r="D565" s="188"/>
      <c r="F565" s="168" t="s">
        <v>6202</v>
      </c>
      <c r="G565" s="193">
        <f>IF(_1_541284561214624104645789101745[[#This Row],[Type]]&gt;0,VLOOKUP(_1_541284561214624104645789101745[[#This Row],[Type]],Main[[#All],[TYPE]:[UNIT]],'Unit Price'!C$1,FALSE),0)</f>
        <v>0</v>
      </c>
      <c r="H565" s="197">
        <f>IF(_1_541284561214624104645789101745[[#This Row],[Type]]&gt;0,VLOOKUP(_1_541284561214624104645789101745[[#This Row],[Type]],Main[[#All],[TYPE]:[UNIT]],'Unit Price'!D$1,FALSE),0)</f>
        <v>0</v>
      </c>
      <c r="I565" s="194">
        <f>IF(_1_541284561214624104645789101745[[#This Row],[Type]]&gt;0,VLOOKUP(_1_541284561214624104645789101745[[#This Row],[Type]],Main[[#All],[TYPE]:[UNIT]],'Unit Price'!G$1,FALSE),0)</f>
        <v>0</v>
      </c>
      <c r="J565" s="194">
        <f>IF(_1_541284561214624104645789101745[[#This Row],[Type]]&gt;0,VLOOKUP(_1_541284561214624104645789101745[[#This Row],[Type]],Main[[#All],[TYPE]:[UNIT]],'Unit Price'!H$1,FALSE),0)</f>
        <v>0</v>
      </c>
      <c r="K565" s="194">
        <f>IF(_1_541284561214624104645789101745[[#This Row],[Discount selection]]&gt;0,VLOOKUP(_1_541284561214624104645789101745[[#This Row],[Discount selection]],'Discount Structure'!$A$2:$B$30,2,"false"),0)</f>
        <v>1</v>
      </c>
      <c r="L565" s="194">
        <f>_1_541284561214624104645789101745[[#This Row],[LIST $]]*_1_541284561214624104645789101745[[#This Row],[DISCOUNT]]*_1_541284561214624104645789101745[[#This Row],[DISCOUNT 2]]</f>
        <v>0</v>
      </c>
      <c r="M565" s="194">
        <f>IF(OR(_1_541284561214624104645789101745[[#This Row],[UNIT]]&gt;0,_1_541284561214624104645789101745[[#This Row],[UNIT]]&lt;0),_1_541284561214624104645789101745[[#This Row],[UNIT]]*_1_541284561214624104645789101745[[#This Row],[COST]],0)</f>
        <v>0</v>
      </c>
      <c r="N565" s="194">
        <f t="shared" si="8"/>
        <v>1.5</v>
      </c>
      <c r="O565" s="198">
        <f>_1_541284561214624104645789101745[[#This Row],[TOTAL]]*_1_541284561214624104645789101745[[#This Row],[MARGIN]]</f>
        <v>0</v>
      </c>
      <c r="R565" s="41"/>
    </row>
    <row r="566" spans="1:18">
      <c r="A566" s="168"/>
      <c r="D566" s="188"/>
      <c r="F566" s="168" t="s">
        <v>6202</v>
      </c>
      <c r="G566" s="193">
        <f>IF(_1_541284561214624104645789101745[[#This Row],[Type]]&gt;0,VLOOKUP(_1_541284561214624104645789101745[[#This Row],[Type]],Main[[#All],[TYPE]:[UNIT]],'Unit Price'!C$1,FALSE),0)</f>
        <v>0</v>
      </c>
      <c r="H566" s="197">
        <f>IF(_1_541284561214624104645789101745[[#This Row],[Type]]&gt;0,VLOOKUP(_1_541284561214624104645789101745[[#This Row],[Type]],Main[[#All],[TYPE]:[UNIT]],'Unit Price'!D$1,FALSE),0)</f>
        <v>0</v>
      </c>
      <c r="I566" s="194">
        <f>IF(_1_541284561214624104645789101745[[#This Row],[Type]]&gt;0,VLOOKUP(_1_541284561214624104645789101745[[#This Row],[Type]],Main[[#All],[TYPE]:[UNIT]],'Unit Price'!G$1,FALSE),0)</f>
        <v>0</v>
      </c>
      <c r="J566" s="194">
        <f>IF(_1_541284561214624104645789101745[[#This Row],[Type]]&gt;0,VLOOKUP(_1_541284561214624104645789101745[[#This Row],[Type]],Main[[#All],[TYPE]:[UNIT]],'Unit Price'!H$1,FALSE),0)</f>
        <v>0</v>
      </c>
      <c r="K566" s="194">
        <f>IF(_1_541284561214624104645789101745[[#This Row],[Discount selection]]&gt;0,VLOOKUP(_1_541284561214624104645789101745[[#This Row],[Discount selection]],'Discount Structure'!$A$2:$B$30,2,"false"),0)</f>
        <v>1</v>
      </c>
      <c r="L566" s="194">
        <f>_1_541284561214624104645789101745[[#This Row],[LIST $]]*_1_541284561214624104645789101745[[#This Row],[DISCOUNT]]*_1_541284561214624104645789101745[[#This Row],[DISCOUNT 2]]</f>
        <v>0</v>
      </c>
      <c r="M566" s="194">
        <f>IF(OR(_1_541284561214624104645789101745[[#This Row],[UNIT]]&gt;0,_1_541284561214624104645789101745[[#This Row],[UNIT]]&lt;0),_1_541284561214624104645789101745[[#This Row],[UNIT]]*_1_541284561214624104645789101745[[#This Row],[COST]],0)</f>
        <v>0</v>
      </c>
      <c r="N566" s="194">
        <f t="shared" si="8"/>
        <v>1.5</v>
      </c>
      <c r="O566" s="198">
        <f>_1_541284561214624104645789101745[[#This Row],[TOTAL]]*_1_541284561214624104645789101745[[#This Row],[MARGIN]]</f>
        <v>0</v>
      </c>
      <c r="R566" s="41"/>
    </row>
    <row r="567" spans="1:18">
      <c r="D567" s="188"/>
      <c r="F567" s="168" t="s">
        <v>6202</v>
      </c>
      <c r="G567" s="193">
        <f>IF(_1_541284561214624104645789101745[[#This Row],[Type]]&gt;0,VLOOKUP(_1_541284561214624104645789101745[[#This Row],[Type]],Main[[#All],[TYPE]:[UNIT]],'Unit Price'!C$1,FALSE),0)</f>
        <v>0</v>
      </c>
      <c r="H567" s="197">
        <f>IF(_1_541284561214624104645789101745[[#This Row],[Type]]&gt;0,VLOOKUP(_1_541284561214624104645789101745[[#This Row],[Type]],Main[[#All],[TYPE]:[UNIT]],'Unit Price'!D$1,FALSE),0)</f>
        <v>0</v>
      </c>
      <c r="I567" s="194">
        <f>IF(_1_541284561214624104645789101745[[#This Row],[Type]]&gt;0,VLOOKUP(_1_541284561214624104645789101745[[#This Row],[Type]],Main[[#All],[TYPE]:[UNIT]],'Unit Price'!G$1,FALSE),0)</f>
        <v>0</v>
      </c>
      <c r="J567" s="194">
        <f>IF(_1_541284561214624104645789101745[[#This Row],[Type]]&gt;0,VLOOKUP(_1_541284561214624104645789101745[[#This Row],[Type]],Main[[#All],[TYPE]:[UNIT]],'Unit Price'!H$1,FALSE),0)</f>
        <v>0</v>
      </c>
      <c r="K567" s="194">
        <f>IF(_1_541284561214624104645789101745[[#This Row],[Discount selection]]&gt;0,VLOOKUP(_1_541284561214624104645789101745[[#This Row],[Discount selection]],'Discount Structure'!$A$2:$B$30,2,"false"),0)</f>
        <v>1</v>
      </c>
      <c r="L567" s="194">
        <f>_1_541284561214624104645789101745[[#This Row],[LIST $]]*_1_541284561214624104645789101745[[#This Row],[DISCOUNT]]*_1_541284561214624104645789101745[[#This Row],[DISCOUNT 2]]</f>
        <v>0</v>
      </c>
      <c r="M567" s="194">
        <f>IF(OR(_1_541284561214624104645789101745[[#This Row],[UNIT]]&gt;0,_1_541284561214624104645789101745[[#This Row],[UNIT]]&lt;0),_1_541284561214624104645789101745[[#This Row],[UNIT]]*_1_541284561214624104645789101745[[#This Row],[COST]],0)</f>
        <v>0</v>
      </c>
      <c r="N567" s="194">
        <f t="shared" si="8"/>
        <v>1.5</v>
      </c>
      <c r="O567" s="198">
        <f>_1_541284561214624104645789101745[[#This Row],[TOTAL]]*_1_541284561214624104645789101745[[#This Row],[MARGIN]]</f>
        <v>0</v>
      </c>
      <c r="R567" s="41"/>
    </row>
    <row r="568" spans="1:18">
      <c r="D568" s="188"/>
      <c r="F568" s="168" t="s">
        <v>6202</v>
      </c>
      <c r="G568" s="193">
        <f>IF(_1_541284561214624104645789101745[[#This Row],[Type]]&gt;0,VLOOKUP(_1_541284561214624104645789101745[[#This Row],[Type]],Main[[#All],[TYPE]:[UNIT]],'Unit Price'!C$1,FALSE),0)</f>
        <v>0</v>
      </c>
      <c r="H568" s="197">
        <f>IF(_1_541284561214624104645789101745[[#This Row],[Type]]&gt;0,VLOOKUP(_1_541284561214624104645789101745[[#This Row],[Type]],Main[[#All],[TYPE]:[UNIT]],'Unit Price'!D$1,FALSE),0)</f>
        <v>0</v>
      </c>
      <c r="I568" s="194">
        <f>IF(_1_541284561214624104645789101745[[#This Row],[Type]]&gt;0,VLOOKUP(_1_541284561214624104645789101745[[#This Row],[Type]],Main[[#All],[TYPE]:[UNIT]],'Unit Price'!G$1,FALSE),0)</f>
        <v>0</v>
      </c>
      <c r="J568" s="194">
        <f>IF(_1_541284561214624104645789101745[[#This Row],[Type]]&gt;0,VLOOKUP(_1_541284561214624104645789101745[[#This Row],[Type]],Main[[#All],[TYPE]:[UNIT]],'Unit Price'!H$1,FALSE),0)</f>
        <v>0</v>
      </c>
      <c r="K568" s="194">
        <f>IF(_1_541284561214624104645789101745[[#This Row],[Discount selection]]&gt;0,VLOOKUP(_1_541284561214624104645789101745[[#This Row],[Discount selection]],'Discount Structure'!$A$2:$B$30,2,"false"),0)</f>
        <v>1</v>
      </c>
      <c r="L568" s="194">
        <f>_1_541284561214624104645789101745[[#This Row],[LIST $]]*_1_541284561214624104645789101745[[#This Row],[DISCOUNT]]*_1_541284561214624104645789101745[[#This Row],[DISCOUNT 2]]</f>
        <v>0</v>
      </c>
      <c r="M568" s="194">
        <f>IF(OR(_1_541284561214624104645789101745[[#This Row],[UNIT]]&gt;0,_1_541284561214624104645789101745[[#This Row],[UNIT]]&lt;0),_1_541284561214624104645789101745[[#This Row],[UNIT]]*_1_541284561214624104645789101745[[#This Row],[COST]],0)</f>
        <v>0</v>
      </c>
      <c r="N568" s="194">
        <f t="shared" si="8"/>
        <v>1.5</v>
      </c>
      <c r="O568" s="198">
        <f>_1_541284561214624104645789101745[[#This Row],[TOTAL]]*_1_541284561214624104645789101745[[#This Row],[MARGIN]]</f>
        <v>0</v>
      </c>
      <c r="R568" s="41"/>
    </row>
    <row r="569" spans="1:18">
      <c r="D569" s="188"/>
      <c r="F569" s="168" t="s">
        <v>6202</v>
      </c>
      <c r="G569" s="193">
        <f>IF(_1_541284561214624104645789101745[[#This Row],[Type]]&gt;0,VLOOKUP(_1_541284561214624104645789101745[[#This Row],[Type]],Main[[#All],[TYPE]:[UNIT]],'Unit Price'!C$1,FALSE),0)</f>
        <v>0</v>
      </c>
      <c r="H569" s="197">
        <f>IF(_1_541284561214624104645789101745[[#This Row],[Type]]&gt;0,VLOOKUP(_1_541284561214624104645789101745[[#This Row],[Type]],Main[[#All],[TYPE]:[UNIT]],'Unit Price'!D$1,FALSE),0)</f>
        <v>0</v>
      </c>
      <c r="I569" s="194">
        <f>IF(_1_541284561214624104645789101745[[#This Row],[Type]]&gt;0,VLOOKUP(_1_541284561214624104645789101745[[#This Row],[Type]],Main[[#All],[TYPE]:[UNIT]],'Unit Price'!G$1,FALSE),0)</f>
        <v>0</v>
      </c>
      <c r="J569" s="194">
        <f>IF(_1_541284561214624104645789101745[[#This Row],[Type]]&gt;0,VLOOKUP(_1_541284561214624104645789101745[[#This Row],[Type]],Main[[#All],[TYPE]:[UNIT]],'Unit Price'!H$1,FALSE),0)</f>
        <v>0</v>
      </c>
      <c r="K569" s="194">
        <f>IF(_1_541284561214624104645789101745[[#This Row],[Discount selection]]&gt;0,VLOOKUP(_1_541284561214624104645789101745[[#This Row],[Discount selection]],'Discount Structure'!$A$2:$B$30,2,"false"),0)</f>
        <v>1</v>
      </c>
      <c r="L569" s="194">
        <f>_1_541284561214624104645789101745[[#This Row],[LIST $]]*_1_541284561214624104645789101745[[#This Row],[DISCOUNT]]*_1_541284561214624104645789101745[[#This Row],[DISCOUNT 2]]</f>
        <v>0</v>
      </c>
      <c r="M569" s="194">
        <f>IF(OR(_1_541284561214624104645789101745[[#This Row],[UNIT]]&gt;0,_1_541284561214624104645789101745[[#This Row],[UNIT]]&lt;0),_1_541284561214624104645789101745[[#This Row],[UNIT]]*_1_541284561214624104645789101745[[#This Row],[COST]],0)</f>
        <v>0</v>
      </c>
      <c r="N569" s="194">
        <f t="shared" si="8"/>
        <v>1.5</v>
      </c>
      <c r="O569" s="198">
        <f>_1_541284561214624104645789101745[[#This Row],[TOTAL]]*_1_541284561214624104645789101745[[#This Row],[MARGIN]]</f>
        <v>0</v>
      </c>
      <c r="R569" s="41"/>
    </row>
    <row r="570" spans="1:18">
      <c r="D570" s="188"/>
      <c r="F570" s="168" t="s">
        <v>6202</v>
      </c>
      <c r="G570" s="193">
        <f>IF(_1_541284561214624104645789101745[[#This Row],[Type]]&gt;0,VLOOKUP(_1_541284561214624104645789101745[[#This Row],[Type]],Main[[#All],[TYPE]:[UNIT]],'Unit Price'!C$1,FALSE),0)</f>
        <v>0</v>
      </c>
      <c r="H570" s="197">
        <f>IF(_1_541284561214624104645789101745[[#This Row],[Type]]&gt;0,VLOOKUP(_1_541284561214624104645789101745[[#This Row],[Type]],Main[[#All],[TYPE]:[UNIT]],'Unit Price'!D$1,FALSE),0)</f>
        <v>0</v>
      </c>
      <c r="I570" s="194">
        <f>IF(_1_541284561214624104645789101745[[#This Row],[Type]]&gt;0,VLOOKUP(_1_541284561214624104645789101745[[#This Row],[Type]],Main[[#All],[TYPE]:[UNIT]],'Unit Price'!G$1,FALSE),0)</f>
        <v>0</v>
      </c>
      <c r="J570" s="194">
        <f>IF(_1_541284561214624104645789101745[[#This Row],[Type]]&gt;0,VLOOKUP(_1_541284561214624104645789101745[[#This Row],[Type]],Main[[#All],[TYPE]:[UNIT]],'Unit Price'!H$1,FALSE),0)</f>
        <v>0</v>
      </c>
      <c r="K570" s="194">
        <f>IF(_1_541284561214624104645789101745[[#This Row],[Discount selection]]&gt;0,VLOOKUP(_1_541284561214624104645789101745[[#This Row],[Discount selection]],'Discount Structure'!$A$2:$B$30,2,"false"),0)</f>
        <v>1</v>
      </c>
      <c r="L570" s="194">
        <f>_1_541284561214624104645789101745[[#This Row],[LIST $]]*_1_541284561214624104645789101745[[#This Row],[DISCOUNT]]*_1_541284561214624104645789101745[[#This Row],[DISCOUNT 2]]</f>
        <v>0</v>
      </c>
      <c r="M570" s="194">
        <f>IF(OR(_1_541284561214624104645789101745[[#This Row],[UNIT]]&gt;0,_1_541284561214624104645789101745[[#This Row],[UNIT]]&lt;0),_1_541284561214624104645789101745[[#This Row],[UNIT]]*_1_541284561214624104645789101745[[#This Row],[COST]],0)</f>
        <v>0</v>
      </c>
      <c r="N570" s="194">
        <f t="shared" si="8"/>
        <v>1.5</v>
      </c>
      <c r="O570" s="198">
        <f>_1_541284561214624104645789101745[[#This Row],[TOTAL]]*_1_541284561214624104645789101745[[#This Row],[MARGIN]]</f>
        <v>0</v>
      </c>
      <c r="R570" s="41"/>
    </row>
    <row r="571" spans="1:18">
      <c r="D571" s="188"/>
      <c r="F571" s="168" t="s">
        <v>6202</v>
      </c>
      <c r="G571" s="193">
        <f>IF(_1_541284561214624104645789101745[[#This Row],[Type]]&gt;0,VLOOKUP(_1_541284561214624104645789101745[[#This Row],[Type]],Main[[#All],[TYPE]:[UNIT]],'Unit Price'!C$1,FALSE),0)</f>
        <v>0</v>
      </c>
      <c r="H571" s="197">
        <f>IF(_1_541284561214624104645789101745[[#This Row],[Type]]&gt;0,VLOOKUP(_1_541284561214624104645789101745[[#This Row],[Type]],Main[[#All],[TYPE]:[UNIT]],'Unit Price'!D$1,FALSE),0)</f>
        <v>0</v>
      </c>
      <c r="I571" s="194">
        <f>IF(_1_541284561214624104645789101745[[#This Row],[Type]]&gt;0,VLOOKUP(_1_541284561214624104645789101745[[#This Row],[Type]],Main[[#All],[TYPE]:[UNIT]],'Unit Price'!G$1,FALSE),0)</f>
        <v>0</v>
      </c>
      <c r="J571" s="194">
        <f>IF(_1_541284561214624104645789101745[[#This Row],[Type]]&gt;0,VLOOKUP(_1_541284561214624104645789101745[[#This Row],[Type]],Main[[#All],[TYPE]:[UNIT]],'Unit Price'!H$1,FALSE),0)</f>
        <v>0</v>
      </c>
      <c r="K571" s="194">
        <f>IF(_1_541284561214624104645789101745[[#This Row],[Discount selection]]&gt;0,VLOOKUP(_1_541284561214624104645789101745[[#This Row],[Discount selection]],'Discount Structure'!$A$2:$B$30,2,"false"),0)</f>
        <v>1</v>
      </c>
      <c r="L571" s="194">
        <f>_1_541284561214624104645789101745[[#This Row],[LIST $]]*_1_541284561214624104645789101745[[#This Row],[DISCOUNT]]*_1_541284561214624104645789101745[[#This Row],[DISCOUNT 2]]</f>
        <v>0</v>
      </c>
      <c r="M571" s="194">
        <f>IF(OR(_1_541284561214624104645789101745[[#This Row],[UNIT]]&gt;0,_1_541284561214624104645789101745[[#This Row],[UNIT]]&lt;0),_1_541284561214624104645789101745[[#This Row],[UNIT]]*_1_541284561214624104645789101745[[#This Row],[COST]],0)</f>
        <v>0</v>
      </c>
      <c r="N571" s="194">
        <f t="shared" si="8"/>
        <v>1.5</v>
      </c>
      <c r="O571" s="198">
        <f>_1_541284561214624104645789101745[[#This Row],[TOTAL]]*_1_541284561214624104645789101745[[#This Row],[MARGIN]]</f>
        <v>0</v>
      </c>
      <c r="R571" s="41"/>
    </row>
    <row r="572" spans="1:18">
      <c r="D572" s="188"/>
      <c r="F572" s="168" t="s">
        <v>6202</v>
      </c>
      <c r="G572" s="193">
        <f>IF(_1_541284561214624104645789101745[[#This Row],[Type]]&gt;0,VLOOKUP(_1_541284561214624104645789101745[[#This Row],[Type]],Main[[#All],[TYPE]:[UNIT]],'Unit Price'!C$1,FALSE),0)</f>
        <v>0</v>
      </c>
      <c r="H572" s="197">
        <f>IF(_1_541284561214624104645789101745[[#This Row],[Type]]&gt;0,VLOOKUP(_1_541284561214624104645789101745[[#This Row],[Type]],Main[[#All],[TYPE]:[UNIT]],'Unit Price'!D$1,FALSE),0)</f>
        <v>0</v>
      </c>
      <c r="I572" s="194">
        <f>IF(_1_541284561214624104645789101745[[#This Row],[Type]]&gt;0,VLOOKUP(_1_541284561214624104645789101745[[#This Row],[Type]],Main[[#All],[TYPE]:[UNIT]],'Unit Price'!G$1,FALSE),0)</f>
        <v>0</v>
      </c>
      <c r="J572" s="194">
        <f>IF(_1_541284561214624104645789101745[[#This Row],[Type]]&gt;0,VLOOKUP(_1_541284561214624104645789101745[[#This Row],[Type]],Main[[#All],[TYPE]:[UNIT]],'Unit Price'!H$1,FALSE),0)</f>
        <v>0</v>
      </c>
      <c r="K572" s="194">
        <f>IF(_1_541284561214624104645789101745[[#This Row],[Discount selection]]&gt;0,VLOOKUP(_1_541284561214624104645789101745[[#This Row],[Discount selection]],'Discount Structure'!$A$2:$B$30,2,"false"),0)</f>
        <v>1</v>
      </c>
      <c r="L572" s="194">
        <f>_1_541284561214624104645789101745[[#This Row],[LIST $]]*_1_541284561214624104645789101745[[#This Row],[DISCOUNT]]*_1_541284561214624104645789101745[[#This Row],[DISCOUNT 2]]</f>
        <v>0</v>
      </c>
      <c r="M572" s="194">
        <f>IF(OR(_1_541284561214624104645789101745[[#This Row],[UNIT]]&gt;0,_1_541284561214624104645789101745[[#This Row],[UNIT]]&lt;0),_1_541284561214624104645789101745[[#This Row],[UNIT]]*_1_541284561214624104645789101745[[#This Row],[COST]],0)</f>
        <v>0</v>
      </c>
      <c r="N572" s="194">
        <f t="shared" si="8"/>
        <v>1.5</v>
      </c>
      <c r="O572" s="198">
        <f>_1_541284561214624104645789101745[[#This Row],[TOTAL]]*_1_541284561214624104645789101745[[#This Row],[MARGIN]]</f>
        <v>0</v>
      </c>
      <c r="R572" s="41"/>
    </row>
    <row r="573" spans="1:18">
      <c r="D573" s="188"/>
      <c r="F573" s="168" t="s">
        <v>6202</v>
      </c>
      <c r="G573" s="193">
        <f>IF(_1_541284561214624104645789101745[[#This Row],[Type]]&gt;0,VLOOKUP(_1_541284561214624104645789101745[[#This Row],[Type]],Main[[#All],[TYPE]:[UNIT]],'Unit Price'!C$1,FALSE),0)</f>
        <v>0</v>
      </c>
      <c r="H573" s="197">
        <f>IF(_1_541284561214624104645789101745[[#This Row],[Type]]&gt;0,VLOOKUP(_1_541284561214624104645789101745[[#This Row],[Type]],Main[[#All],[TYPE]:[UNIT]],'Unit Price'!D$1,FALSE),0)</f>
        <v>0</v>
      </c>
      <c r="I573" s="194">
        <f>IF(_1_541284561214624104645789101745[[#This Row],[Type]]&gt;0,VLOOKUP(_1_541284561214624104645789101745[[#This Row],[Type]],Main[[#All],[TYPE]:[UNIT]],'Unit Price'!G$1,FALSE),0)</f>
        <v>0</v>
      </c>
      <c r="J573" s="194">
        <f>IF(_1_541284561214624104645789101745[[#This Row],[Type]]&gt;0,VLOOKUP(_1_541284561214624104645789101745[[#This Row],[Type]],Main[[#All],[TYPE]:[UNIT]],'Unit Price'!H$1,FALSE),0)</f>
        <v>0</v>
      </c>
      <c r="K573" s="194">
        <f>IF(_1_541284561214624104645789101745[[#This Row],[Discount selection]]&gt;0,VLOOKUP(_1_541284561214624104645789101745[[#This Row],[Discount selection]],'Discount Structure'!$A$2:$B$30,2,"false"),0)</f>
        <v>1</v>
      </c>
      <c r="L573" s="194">
        <f>_1_541284561214624104645789101745[[#This Row],[LIST $]]*_1_541284561214624104645789101745[[#This Row],[DISCOUNT]]*_1_541284561214624104645789101745[[#This Row],[DISCOUNT 2]]</f>
        <v>0</v>
      </c>
      <c r="M573" s="194">
        <f>IF(OR(_1_541284561214624104645789101745[[#This Row],[UNIT]]&gt;0,_1_541284561214624104645789101745[[#This Row],[UNIT]]&lt;0),_1_541284561214624104645789101745[[#This Row],[UNIT]]*_1_541284561214624104645789101745[[#This Row],[COST]],0)</f>
        <v>0</v>
      </c>
      <c r="N573" s="194">
        <f t="shared" si="8"/>
        <v>1.5</v>
      </c>
      <c r="O573" s="198">
        <f>_1_541284561214624104645789101745[[#This Row],[TOTAL]]*_1_541284561214624104645789101745[[#This Row],[MARGIN]]</f>
        <v>0</v>
      </c>
      <c r="R573" s="41"/>
    </row>
    <row r="574" spans="1:18">
      <c r="A574" s="168"/>
      <c r="D574" s="188"/>
      <c r="F574" s="168" t="s">
        <v>6202</v>
      </c>
      <c r="G574" s="193">
        <f>IF(_1_541284561214624104645789101745[[#This Row],[Type]]&gt;0,VLOOKUP(_1_541284561214624104645789101745[[#This Row],[Type]],Main[[#All],[TYPE]:[UNIT]],'Unit Price'!C$1,FALSE),0)</f>
        <v>0</v>
      </c>
      <c r="H574" s="197">
        <f>IF(_1_541284561214624104645789101745[[#This Row],[Type]]&gt;0,VLOOKUP(_1_541284561214624104645789101745[[#This Row],[Type]],Main[[#All],[TYPE]:[UNIT]],'Unit Price'!D$1,FALSE),0)</f>
        <v>0</v>
      </c>
      <c r="I574" s="194">
        <f>IF(_1_541284561214624104645789101745[[#This Row],[Type]]&gt;0,VLOOKUP(_1_541284561214624104645789101745[[#This Row],[Type]],Main[[#All],[TYPE]:[UNIT]],'Unit Price'!G$1,FALSE),0)</f>
        <v>0</v>
      </c>
      <c r="J574" s="194">
        <f>IF(_1_541284561214624104645789101745[[#This Row],[Type]]&gt;0,VLOOKUP(_1_541284561214624104645789101745[[#This Row],[Type]],Main[[#All],[TYPE]:[UNIT]],'Unit Price'!H$1,FALSE),0)</f>
        <v>0</v>
      </c>
      <c r="K574" s="194">
        <f>IF(_1_541284561214624104645789101745[[#This Row],[Discount selection]]&gt;0,VLOOKUP(_1_541284561214624104645789101745[[#This Row],[Discount selection]],'Discount Structure'!$A$2:$B$30,2,"false"),0)</f>
        <v>1</v>
      </c>
      <c r="L574" s="194">
        <f>_1_541284561214624104645789101745[[#This Row],[LIST $]]*_1_541284561214624104645789101745[[#This Row],[DISCOUNT]]*_1_541284561214624104645789101745[[#This Row],[DISCOUNT 2]]</f>
        <v>0</v>
      </c>
      <c r="M574" s="194">
        <f>IF(OR(_1_541284561214624104645789101745[[#This Row],[UNIT]]&gt;0,_1_541284561214624104645789101745[[#This Row],[UNIT]]&lt;0),_1_541284561214624104645789101745[[#This Row],[UNIT]]*_1_541284561214624104645789101745[[#This Row],[COST]],0)</f>
        <v>0</v>
      </c>
      <c r="N574" s="194">
        <f t="shared" si="8"/>
        <v>1.5</v>
      </c>
      <c r="O574" s="198">
        <f>_1_541284561214624104645789101745[[#This Row],[TOTAL]]*_1_541284561214624104645789101745[[#This Row],[MARGIN]]</f>
        <v>0</v>
      </c>
      <c r="R574" s="41"/>
    </row>
    <row r="575" spans="1:18">
      <c r="B575" s="168"/>
      <c r="C575" s="168"/>
      <c r="D575" s="188"/>
      <c r="F575" s="168" t="s">
        <v>6202</v>
      </c>
      <c r="G575" s="193">
        <f>IF(_1_541284561214624104645789101745[[#This Row],[Type]]&gt;0,VLOOKUP(_1_541284561214624104645789101745[[#This Row],[Type]],Main[[#All],[TYPE]:[UNIT]],'Unit Price'!C$1,FALSE),0)</f>
        <v>0</v>
      </c>
      <c r="H575" s="197">
        <f>IF(_1_541284561214624104645789101745[[#This Row],[Type]]&gt;0,VLOOKUP(_1_541284561214624104645789101745[[#This Row],[Type]],Main[[#All],[TYPE]:[UNIT]],'Unit Price'!D$1,FALSE),0)</f>
        <v>0</v>
      </c>
      <c r="I575" s="194">
        <f>IF(_1_541284561214624104645789101745[[#This Row],[Type]]&gt;0,VLOOKUP(_1_541284561214624104645789101745[[#This Row],[Type]],Main[[#All],[TYPE]:[UNIT]],'Unit Price'!G$1,FALSE),0)</f>
        <v>0</v>
      </c>
      <c r="J575" s="194">
        <f>IF(_1_541284561214624104645789101745[[#This Row],[Type]]&gt;0,VLOOKUP(_1_541284561214624104645789101745[[#This Row],[Type]],Main[[#All],[TYPE]:[UNIT]],'Unit Price'!H$1,FALSE),0)</f>
        <v>0</v>
      </c>
      <c r="K575" s="194">
        <f>IF(_1_541284561214624104645789101745[[#This Row],[Discount selection]]&gt;0,VLOOKUP(_1_541284561214624104645789101745[[#This Row],[Discount selection]],'Discount Structure'!$A$2:$B$30,2,"false"),0)</f>
        <v>1</v>
      </c>
      <c r="L575" s="194">
        <f>_1_541284561214624104645789101745[[#This Row],[LIST $]]*_1_541284561214624104645789101745[[#This Row],[DISCOUNT]]*_1_541284561214624104645789101745[[#This Row],[DISCOUNT 2]]</f>
        <v>0</v>
      </c>
      <c r="M575" s="194">
        <f>IF(OR(_1_541284561214624104645789101745[[#This Row],[UNIT]]&gt;0,_1_541284561214624104645789101745[[#This Row],[UNIT]]&lt;0),_1_541284561214624104645789101745[[#This Row],[UNIT]]*_1_541284561214624104645789101745[[#This Row],[COST]],0)</f>
        <v>0</v>
      </c>
      <c r="N575" s="194">
        <f t="shared" si="8"/>
        <v>1.5</v>
      </c>
      <c r="O575" s="198">
        <f>_1_541284561214624104645789101745[[#This Row],[TOTAL]]*_1_541284561214624104645789101745[[#This Row],[MARGIN]]</f>
        <v>0</v>
      </c>
      <c r="R575" s="41"/>
    </row>
    <row r="576" spans="1:18">
      <c r="D576" s="188"/>
      <c r="F576" s="168" t="s">
        <v>6202</v>
      </c>
      <c r="G576" s="193">
        <f>IF(_1_541284561214624104645789101745[[#This Row],[Type]]&gt;0,VLOOKUP(_1_541284561214624104645789101745[[#This Row],[Type]],Main[[#All],[TYPE]:[UNIT]],'Unit Price'!C$1,FALSE),0)</f>
        <v>0</v>
      </c>
      <c r="H576" s="197">
        <f>IF(_1_541284561214624104645789101745[[#This Row],[Type]]&gt;0,VLOOKUP(_1_541284561214624104645789101745[[#This Row],[Type]],Main[[#All],[TYPE]:[UNIT]],'Unit Price'!D$1,FALSE),0)</f>
        <v>0</v>
      </c>
      <c r="I576" s="194">
        <f>IF(_1_541284561214624104645789101745[[#This Row],[Type]]&gt;0,VLOOKUP(_1_541284561214624104645789101745[[#This Row],[Type]],Main[[#All],[TYPE]:[UNIT]],'Unit Price'!G$1,FALSE),0)</f>
        <v>0</v>
      </c>
      <c r="J576" s="194">
        <f>IF(_1_541284561214624104645789101745[[#This Row],[Type]]&gt;0,VLOOKUP(_1_541284561214624104645789101745[[#This Row],[Type]],Main[[#All],[TYPE]:[UNIT]],'Unit Price'!H$1,FALSE),0)</f>
        <v>0</v>
      </c>
      <c r="K576" s="194">
        <f>IF(_1_541284561214624104645789101745[[#This Row],[Discount selection]]&gt;0,VLOOKUP(_1_541284561214624104645789101745[[#This Row],[Discount selection]],'Discount Structure'!$A$2:$B$30,2,"false"),0)</f>
        <v>1</v>
      </c>
      <c r="L576" s="194">
        <f>_1_541284561214624104645789101745[[#This Row],[LIST $]]*_1_541284561214624104645789101745[[#This Row],[DISCOUNT]]*_1_541284561214624104645789101745[[#This Row],[DISCOUNT 2]]</f>
        <v>0</v>
      </c>
      <c r="M576" s="194">
        <f>IF(OR(_1_541284561214624104645789101745[[#This Row],[UNIT]]&gt;0,_1_541284561214624104645789101745[[#This Row],[UNIT]]&lt;0),_1_541284561214624104645789101745[[#This Row],[UNIT]]*_1_541284561214624104645789101745[[#This Row],[COST]],0)</f>
        <v>0</v>
      </c>
      <c r="N576" s="194">
        <f t="shared" si="8"/>
        <v>1.5</v>
      </c>
      <c r="O576" s="198">
        <f>_1_541284561214624104645789101745[[#This Row],[TOTAL]]*_1_541284561214624104645789101745[[#This Row],[MARGIN]]</f>
        <v>0</v>
      </c>
      <c r="R576" s="41"/>
    </row>
    <row r="577" spans="1:18">
      <c r="D577" s="188"/>
      <c r="F577" s="168" t="s">
        <v>6202</v>
      </c>
      <c r="G577" s="193">
        <f>IF(_1_541284561214624104645789101745[[#This Row],[Type]]&gt;0,VLOOKUP(_1_541284561214624104645789101745[[#This Row],[Type]],Main[[#All],[TYPE]:[UNIT]],'Unit Price'!C$1,FALSE),0)</f>
        <v>0</v>
      </c>
      <c r="H577" s="197">
        <f>IF(_1_541284561214624104645789101745[[#This Row],[Type]]&gt;0,VLOOKUP(_1_541284561214624104645789101745[[#This Row],[Type]],Main[[#All],[TYPE]:[UNIT]],'Unit Price'!D$1,FALSE),0)</f>
        <v>0</v>
      </c>
      <c r="I577" s="194">
        <f>IF(_1_541284561214624104645789101745[[#This Row],[Type]]&gt;0,VLOOKUP(_1_541284561214624104645789101745[[#This Row],[Type]],Main[[#All],[TYPE]:[UNIT]],'Unit Price'!G$1,FALSE),0)</f>
        <v>0</v>
      </c>
      <c r="J577" s="194">
        <f>IF(_1_541284561214624104645789101745[[#This Row],[Type]]&gt;0,VLOOKUP(_1_541284561214624104645789101745[[#This Row],[Type]],Main[[#All],[TYPE]:[UNIT]],'Unit Price'!H$1,FALSE),0)</f>
        <v>0</v>
      </c>
      <c r="K577" s="194">
        <f>IF(_1_541284561214624104645789101745[[#This Row],[Discount selection]]&gt;0,VLOOKUP(_1_541284561214624104645789101745[[#This Row],[Discount selection]],'Discount Structure'!$A$2:$B$30,2,"false"),0)</f>
        <v>1</v>
      </c>
      <c r="L577" s="194">
        <f>_1_541284561214624104645789101745[[#This Row],[LIST $]]*_1_541284561214624104645789101745[[#This Row],[DISCOUNT]]*_1_541284561214624104645789101745[[#This Row],[DISCOUNT 2]]</f>
        <v>0</v>
      </c>
      <c r="M577" s="194">
        <f>IF(OR(_1_541284561214624104645789101745[[#This Row],[UNIT]]&gt;0,_1_541284561214624104645789101745[[#This Row],[UNIT]]&lt;0),_1_541284561214624104645789101745[[#This Row],[UNIT]]*_1_541284561214624104645789101745[[#This Row],[COST]],0)</f>
        <v>0</v>
      </c>
      <c r="N577" s="194">
        <f t="shared" si="8"/>
        <v>1.5</v>
      </c>
      <c r="O577" s="198">
        <f>_1_541284561214624104645789101745[[#This Row],[TOTAL]]*_1_541284561214624104645789101745[[#This Row],[MARGIN]]</f>
        <v>0</v>
      </c>
      <c r="R577" s="41"/>
    </row>
    <row r="578" spans="1:18">
      <c r="D578" s="188"/>
      <c r="F578" s="168" t="s">
        <v>6202</v>
      </c>
      <c r="G578" s="193">
        <f>IF(_1_541284561214624104645789101745[[#This Row],[Type]]&gt;0,VLOOKUP(_1_541284561214624104645789101745[[#This Row],[Type]],Main[[#All],[TYPE]:[UNIT]],'Unit Price'!C$1,FALSE),0)</f>
        <v>0</v>
      </c>
      <c r="H578" s="197">
        <f>IF(_1_541284561214624104645789101745[[#This Row],[Type]]&gt;0,VLOOKUP(_1_541284561214624104645789101745[[#This Row],[Type]],Main[[#All],[TYPE]:[UNIT]],'Unit Price'!D$1,FALSE),0)</f>
        <v>0</v>
      </c>
      <c r="I578" s="194">
        <f>IF(_1_541284561214624104645789101745[[#This Row],[Type]]&gt;0,VLOOKUP(_1_541284561214624104645789101745[[#This Row],[Type]],Main[[#All],[TYPE]:[UNIT]],'Unit Price'!G$1,FALSE),0)</f>
        <v>0</v>
      </c>
      <c r="J578" s="194">
        <f>IF(_1_541284561214624104645789101745[[#This Row],[Type]]&gt;0,VLOOKUP(_1_541284561214624104645789101745[[#This Row],[Type]],Main[[#All],[TYPE]:[UNIT]],'Unit Price'!H$1,FALSE),0)</f>
        <v>0</v>
      </c>
      <c r="K578" s="194">
        <f>IF(_1_541284561214624104645789101745[[#This Row],[Discount selection]]&gt;0,VLOOKUP(_1_541284561214624104645789101745[[#This Row],[Discount selection]],'Discount Structure'!$A$2:$B$30,2,"false"),0)</f>
        <v>1</v>
      </c>
      <c r="L578" s="194">
        <f>_1_541284561214624104645789101745[[#This Row],[LIST $]]*_1_541284561214624104645789101745[[#This Row],[DISCOUNT]]*_1_541284561214624104645789101745[[#This Row],[DISCOUNT 2]]</f>
        <v>0</v>
      </c>
      <c r="M578" s="194">
        <f>IF(OR(_1_541284561214624104645789101745[[#This Row],[UNIT]]&gt;0,_1_541284561214624104645789101745[[#This Row],[UNIT]]&lt;0),_1_541284561214624104645789101745[[#This Row],[UNIT]]*_1_541284561214624104645789101745[[#This Row],[COST]],0)</f>
        <v>0</v>
      </c>
      <c r="N578" s="194">
        <f t="shared" si="8"/>
        <v>1.5</v>
      </c>
      <c r="O578" s="198">
        <f>_1_541284561214624104645789101745[[#This Row],[TOTAL]]*_1_541284561214624104645789101745[[#This Row],[MARGIN]]</f>
        <v>0</v>
      </c>
      <c r="R578" s="41"/>
    </row>
    <row r="579" spans="1:18">
      <c r="D579" s="188"/>
      <c r="F579" s="168" t="s">
        <v>6202</v>
      </c>
      <c r="G579" s="193">
        <f>IF(_1_541284561214624104645789101745[[#This Row],[Type]]&gt;0,VLOOKUP(_1_541284561214624104645789101745[[#This Row],[Type]],Main[[#All],[TYPE]:[UNIT]],'Unit Price'!C$1,FALSE),0)</f>
        <v>0</v>
      </c>
      <c r="H579" s="197">
        <f>IF(_1_541284561214624104645789101745[[#This Row],[Type]]&gt;0,VLOOKUP(_1_541284561214624104645789101745[[#This Row],[Type]],Main[[#All],[TYPE]:[UNIT]],'Unit Price'!D$1,FALSE),0)</f>
        <v>0</v>
      </c>
      <c r="I579" s="194">
        <f>IF(_1_541284561214624104645789101745[[#This Row],[Type]]&gt;0,VLOOKUP(_1_541284561214624104645789101745[[#This Row],[Type]],Main[[#All],[TYPE]:[UNIT]],'Unit Price'!G$1,FALSE),0)</f>
        <v>0</v>
      </c>
      <c r="J579" s="194">
        <f>IF(_1_541284561214624104645789101745[[#This Row],[Type]]&gt;0,VLOOKUP(_1_541284561214624104645789101745[[#This Row],[Type]],Main[[#All],[TYPE]:[UNIT]],'Unit Price'!H$1,FALSE),0)</f>
        <v>0</v>
      </c>
      <c r="K579" s="194">
        <f>IF(_1_541284561214624104645789101745[[#This Row],[Discount selection]]&gt;0,VLOOKUP(_1_541284561214624104645789101745[[#This Row],[Discount selection]],'Discount Structure'!$A$2:$B$30,2,"false"),0)</f>
        <v>1</v>
      </c>
      <c r="L579" s="194">
        <f>_1_541284561214624104645789101745[[#This Row],[LIST $]]*_1_541284561214624104645789101745[[#This Row],[DISCOUNT]]*_1_541284561214624104645789101745[[#This Row],[DISCOUNT 2]]</f>
        <v>0</v>
      </c>
      <c r="M579" s="194">
        <f>IF(OR(_1_541284561214624104645789101745[[#This Row],[UNIT]]&gt;0,_1_541284561214624104645789101745[[#This Row],[UNIT]]&lt;0),_1_541284561214624104645789101745[[#This Row],[UNIT]]*_1_541284561214624104645789101745[[#This Row],[COST]],0)</f>
        <v>0</v>
      </c>
      <c r="N579" s="194">
        <f t="shared" si="8"/>
        <v>1.5</v>
      </c>
      <c r="O579" s="198">
        <f>_1_541284561214624104645789101745[[#This Row],[TOTAL]]*_1_541284561214624104645789101745[[#This Row],[MARGIN]]</f>
        <v>0</v>
      </c>
      <c r="R579" s="41"/>
    </row>
    <row r="580" spans="1:18">
      <c r="D580" s="188"/>
      <c r="F580" s="168" t="s">
        <v>6202</v>
      </c>
      <c r="G580" s="193">
        <f>IF(_1_541284561214624104645789101745[[#This Row],[Type]]&gt;0,VLOOKUP(_1_541284561214624104645789101745[[#This Row],[Type]],Main[[#All],[TYPE]:[UNIT]],'Unit Price'!C$1,FALSE),0)</f>
        <v>0</v>
      </c>
      <c r="H580" s="197">
        <f>IF(_1_541284561214624104645789101745[[#This Row],[Type]]&gt;0,VLOOKUP(_1_541284561214624104645789101745[[#This Row],[Type]],Main[[#All],[TYPE]:[UNIT]],'Unit Price'!D$1,FALSE),0)</f>
        <v>0</v>
      </c>
      <c r="I580" s="194">
        <f>IF(_1_541284561214624104645789101745[[#This Row],[Type]]&gt;0,VLOOKUP(_1_541284561214624104645789101745[[#This Row],[Type]],Main[[#All],[TYPE]:[UNIT]],'Unit Price'!G$1,FALSE),0)</f>
        <v>0</v>
      </c>
      <c r="J580" s="194">
        <f>IF(_1_541284561214624104645789101745[[#This Row],[Type]]&gt;0,VLOOKUP(_1_541284561214624104645789101745[[#This Row],[Type]],Main[[#All],[TYPE]:[UNIT]],'Unit Price'!H$1,FALSE),0)</f>
        <v>0</v>
      </c>
      <c r="K580" s="194">
        <f>IF(_1_541284561214624104645789101745[[#This Row],[Discount selection]]&gt;0,VLOOKUP(_1_541284561214624104645789101745[[#This Row],[Discount selection]],'Discount Structure'!$A$2:$B$30,2,"false"),0)</f>
        <v>1</v>
      </c>
      <c r="L580" s="194">
        <f>_1_541284561214624104645789101745[[#This Row],[LIST $]]*_1_541284561214624104645789101745[[#This Row],[DISCOUNT]]*_1_541284561214624104645789101745[[#This Row],[DISCOUNT 2]]</f>
        <v>0</v>
      </c>
      <c r="M580" s="194">
        <f>IF(OR(_1_541284561214624104645789101745[[#This Row],[UNIT]]&gt;0,_1_541284561214624104645789101745[[#This Row],[UNIT]]&lt;0),_1_541284561214624104645789101745[[#This Row],[UNIT]]*_1_541284561214624104645789101745[[#This Row],[COST]],0)</f>
        <v>0</v>
      </c>
      <c r="N580" s="194">
        <f t="shared" si="8"/>
        <v>1.5</v>
      </c>
      <c r="O580" s="198">
        <f>_1_541284561214624104645789101745[[#This Row],[TOTAL]]*_1_541284561214624104645789101745[[#This Row],[MARGIN]]</f>
        <v>0</v>
      </c>
      <c r="R580" s="41"/>
    </row>
    <row r="581" spans="1:18">
      <c r="A581" s="168"/>
      <c r="D581" s="188"/>
      <c r="F581" s="168" t="s">
        <v>6202</v>
      </c>
      <c r="G581" s="193">
        <f>IF(_1_541284561214624104645789101745[[#This Row],[Type]]&gt;0,VLOOKUP(_1_541284561214624104645789101745[[#This Row],[Type]],Main[[#All],[TYPE]:[UNIT]],'Unit Price'!C$1,FALSE),0)</f>
        <v>0</v>
      </c>
      <c r="H581" s="197">
        <f>IF(_1_541284561214624104645789101745[[#This Row],[Type]]&gt;0,VLOOKUP(_1_541284561214624104645789101745[[#This Row],[Type]],Main[[#All],[TYPE]:[UNIT]],'Unit Price'!D$1,FALSE),0)</f>
        <v>0</v>
      </c>
      <c r="I581" s="194">
        <f>IF(_1_541284561214624104645789101745[[#This Row],[Type]]&gt;0,VLOOKUP(_1_541284561214624104645789101745[[#This Row],[Type]],Main[[#All],[TYPE]:[UNIT]],'Unit Price'!G$1,FALSE),0)</f>
        <v>0</v>
      </c>
      <c r="J581" s="194">
        <f>IF(_1_541284561214624104645789101745[[#This Row],[Type]]&gt;0,VLOOKUP(_1_541284561214624104645789101745[[#This Row],[Type]],Main[[#All],[TYPE]:[UNIT]],'Unit Price'!H$1,FALSE),0)</f>
        <v>0</v>
      </c>
      <c r="K581" s="194">
        <f>IF(_1_541284561214624104645789101745[[#This Row],[Discount selection]]&gt;0,VLOOKUP(_1_541284561214624104645789101745[[#This Row],[Discount selection]],'Discount Structure'!$A$2:$B$30,2,"false"),0)</f>
        <v>1</v>
      </c>
      <c r="L581" s="194">
        <f>_1_541284561214624104645789101745[[#This Row],[LIST $]]*_1_541284561214624104645789101745[[#This Row],[DISCOUNT]]*_1_541284561214624104645789101745[[#This Row],[DISCOUNT 2]]</f>
        <v>0</v>
      </c>
      <c r="M581" s="194">
        <f>IF(OR(_1_541284561214624104645789101745[[#This Row],[UNIT]]&gt;0,_1_541284561214624104645789101745[[#This Row],[UNIT]]&lt;0),_1_541284561214624104645789101745[[#This Row],[UNIT]]*_1_541284561214624104645789101745[[#This Row],[COST]],0)</f>
        <v>0</v>
      </c>
      <c r="N581" s="194">
        <f t="shared" si="8"/>
        <v>1.5</v>
      </c>
      <c r="O581" s="198">
        <f>_1_541284561214624104645789101745[[#This Row],[TOTAL]]*_1_541284561214624104645789101745[[#This Row],[MARGIN]]</f>
        <v>0</v>
      </c>
      <c r="R581" s="41"/>
    </row>
    <row r="582" spans="1:18">
      <c r="D582" s="188"/>
      <c r="F582" s="168" t="s">
        <v>6202</v>
      </c>
      <c r="G582" s="193">
        <f>IF(_1_541284561214624104645789101745[[#This Row],[Type]]&gt;0,VLOOKUP(_1_541284561214624104645789101745[[#This Row],[Type]],Main[[#All],[TYPE]:[UNIT]],'Unit Price'!C$1,FALSE),0)</f>
        <v>0</v>
      </c>
      <c r="H582" s="197">
        <f>IF(_1_541284561214624104645789101745[[#This Row],[Type]]&gt;0,VLOOKUP(_1_541284561214624104645789101745[[#This Row],[Type]],Main[[#All],[TYPE]:[UNIT]],'Unit Price'!D$1,FALSE),0)</f>
        <v>0</v>
      </c>
      <c r="I582" s="194">
        <f>IF(_1_541284561214624104645789101745[[#This Row],[Type]]&gt;0,VLOOKUP(_1_541284561214624104645789101745[[#This Row],[Type]],Main[[#All],[TYPE]:[UNIT]],'Unit Price'!G$1,FALSE),0)</f>
        <v>0</v>
      </c>
      <c r="J582" s="194">
        <f>IF(_1_541284561214624104645789101745[[#This Row],[Type]]&gt;0,VLOOKUP(_1_541284561214624104645789101745[[#This Row],[Type]],Main[[#All],[TYPE]:[UNIT]],'Unit Price'!H$1,FALSE),0)</f>
        <v>0</v>
      </c>
      <c r="K582" s="194">
        <f>IF(_1_541284561214624104645789101745[[#This Row],[Discount selection]]&gt;0,VLOOKUP(_1_541284561214624104645789101745[[#This Row],[Discount selection]],'Discount Structure'!$A$2:$B$30,2,"false"),0)</f>
        <v>1</v>
      </c>
      <c r="L582" s="194">
        <f>_1_541284561214624104645789101745[[#This Row],[LIST $]]*_1_541284561214624104645789101745[[#This Row],[DISCOUNT]]*_1_541284561214624104645789101745[[#This Row],[DISCOUNT 2]]</f>
        <v>0</v>
      </c>
      <c r="M582" s="194">
        <f>IF(OR(_1_541284561214624104645789101745[[#This Row],[UNIT]]&gt;0,_1_541284561214624104645789101745[[#This Row],[UNIT]]&lt;0),_1_541284561214624104645789101745[[#This Row],[UNIT]]*_1_541284561214624104645789101745[[#This Row],[COST]],0)</f>
        <v>0</v>
      </c>
      <c r="N582" s="194">
        <f t="shared" si="8"/>
        <v>1.5</v>
      </c>
      <c r="O582" s="198">
        <f>_1_541284561214624104645789101745[[#This Row],[TOTAL]]*_1_541284561214624104645789101745[[#This Row],[MARGIN]]</f>
        <v>0</v>
      </c>
      <c r="R582" s="41"/>
    </row>
    <row r="583" spans="1:18">
      <c r="D583" s="188"/>
      <c r="F583" s="168" t="s">
        <v>6202</v>
      </c>
      <c r="G583" s="193">
        <f>IF(_1_541284561214624104645789101745[[#This Row],[Type]]&gt;0,VLOOKUP(_1_541284561214624104645789101745[[#This Row],[Type]],Main[[#All],[TYPE]:[UNIT]],'Unit Price'!C$1,FALSE),0)</f>
        <v>0</v>
      </c>
      <c r="H583" s="197">
        <f>IF(_1_541284561214624104645789101745[[#This Row],[Type]]&gt;0,VLOOKUP(_1_541284561214624104645789101745[[#This Row],[Type]],Main[[#All],[TYPE]:[UNIT]],'Unit Price'!D$1,FALSE),0)</f>
        <v>0</v>
      </c>
      <c r="I583" s="194">
        <f>IF(_1_541284561214624104645789101745[[#This Row],[Type]]&gt;0,VLOOKUP(_1_541284561214624104645789101745[[#This Row],[Type]],Main[[#All],[TYPE]:[UNIT]],'Unit Price'!G$1,FALSE),0)</f>
        <v>0</v>
      </c>
      <c r="J583" s="194">
        <f>IF(_1_541284561214624104645789101745[[#This Row],[Type]]&gt;0,VLOOKUP(_1_541284561214624104645789101745[[#This Row],[Type]],Main[[#All],[TYPE]:[UNIT]],'Unit Price'!H$1,FALSE),0)</f>
        <v>0</v>
      </c>
      <c r="K583" s="194">
        <f>IF(_1_541284561214624104645789101745[[#This Row],[Discount selection]]&gt;0,VLOOKUP(_1_541284561214624104645789101745[[#This Row],[Discount selection]],'Discount Structure'!$A$2:$B$30,2,"false"),0)</f>
        <v>1</v>
      </c>
      <c r="L583" s="194">
        <f>_1_541284561214624104645789101745[[#This Row],[LIST $]]*_1_541284561214624104645789101745[[#This Row],[DISCOUNT]]*_1_541284561214624104645789101745[[#This Row],[DISCOUNT 2]]</f>
        <v>0</v>
      </c>
      <c r="M583" s="194">
        <f>IF(OR(_1_541284561214624104645789101745[[#This Row],[UNIT]]&gt;0,_1_541284561214624104645789101745[[#This Row],[UNIT]]&lt;0),_1_541284561214624104645789101745[[#This Row],[UNIT]]*_1_541284561214624104645789101745[[#This Row],[COST]],0)</f>
        <v>0</v>
      </c>
      <c r="N583" s="194">
        <f t="shared" si="8"/>
        <v>1.5</v>
      </c>
      <c r="O583" s="198">
        <f>_1_541284561214624104645789101745[[#This Row],[TOTAL]]*_1_541284561214624104645789101745[[#This Row],[MARGIN]]</f>
        <v>0</v>
      </c>
      <c r="R583" s="41"/>
    </row>
    <row r="584" spans="1:18">
      <c r="D584" s="188"/>
      <c r="F584" s="168" t="s">
        <v>6202</v>
      </c>
      <c r="G584" s="193">
        <f>IF(_1_541284561214624104645789101745[[#This Row],[Type]]&gt;0,VLOOKUP(_1_541284561214624104645789101745[[#This Row],[Type]],Main[[#All],[TYPE]:[UNIT]],'Unit Price'!C$1,FALSE),0)</f>
        <v>0</v>
      </c>
      <c r="H584" s="197">
        <f>IF(_1_541284561214624104645789101745[[#This Row],[Type]]&gt;0,VLOOKUP(_1_541284561214624104645789101745[[#This Row],[Type]],Main[[#All],[TYPE]:[UNIT]],'Unit Price'!D$1,FALSE),0)</f>
        <v>0</v>
      </c>
      <c r="I584" s="194">
        <f>IF(_1_541284561214624104645789101745[[#This Row],[Type]]&gt;0,VLOOKUP(_1_541284561214624104645789101745[[#This Row],[Type]],Main[[#All],[TYPE]:[UNIT]],'Unit Price'!G$1,FALSE),0)</f>
        <v>0</v>
      </c>
      <c r="J584" s="194">
        <f>IF(_1_541284561214624104645789101745[[#This Row],[Type]]&gt;0,VLOOKUP(_1_541284561214624104645789101745[[#This Row],[Type]],Main[[#All],[TYPE]:[UNIT]],'Unit Price'!H$1,FALSE),0)</f>
        <v>0</v>
      </c>
      <c r="K584" s="194">
        <f>IF(_1_541284561214624104645789101745[[#This Row],[Discount selection]]&gt;0,VLOOKUP(_1_541284561214624104645789101745[[#This Row],[Discount selection]],'Discount Structure'!$A$2:$B$30,2,"false"),0)</f>
        <v>1</v>
      </c>
      <c r="L584" s="194">
        <f>_1_541284561214624104645789101745[[#This Row],[LIST $]]*_1_541284561214624104645789101745[[#This Row],[DISCOUNT]]*_1_541284561214624104645789101745[[#This Row],[DISCOUNT 2]]</f>
        <v>0</v>
      </c>
      <c r="M584" s="194">
        <f>IF(OR(_1_541284561214624104645789101745[[#This Row],[UNIT]]&gt;0,_1_541284561214624104645789101745[[#This Row],[UNIT]]&lt;0),_1_541284561214624104645789101745[[#This Row],[UNIT]]*_1_541284561214624104645789101745[[#This Row],[COST]],0)</f>
        <v>0</v>
      </c>
      <c r="N584" s="194">
        <f t="shared" si="8"/>
        <v>1.5</v>
      </c>
      <c r="O584" s="198">
        <f>_1_541284561214624104645789101745[[#This Row],[TOTAL]]*_1_541284561214624104645789101745[[#This Row],[MARGIN]]</f>
        <v>0</v>
      </c>
      <c r="R584" s="41"/>
    </row>
    <row r="585" spans="1:18">
      <c r="D585" s="188"/>
      <c r="F585" s="168" t="s">
        <v>6202</v>
      </c>
      <c r="G585" s="193">
        <f>IF(_1_541284561214624104645789101745[[#This Row],[Type]]&gt;0,VLOOKUP(_1_541284561214624104645789101745[[#This Row],[Type]],Main[[#All],[TYPE]:[UNIT]],'Unit Price'!C$1,FALSE),0)</f>
        <v>0</v>
      </c>
      <c r="H585" s="197">
        <f>IF(_1_541284561214624104645789101745[[#This Row],[Type]]&gt;0,VLOOKUP(_1_541284561214624104645789101745[[#This Row],[Type]],Main[[#All],[TYPE]:[UNIT]],'Unit Price'!D$1,FALSE),0)</f>
        <v>0</v>
      </c>
      <c r="I585" s="194">
        <f>IF(_1_541284561214624104645789101745[[#This Row],[Type]]&gt;0,VLOOKUP(_1_541284561214624104645789101745[[#This Row],[Type]],Main[[#All],[TYPE]:[UNIT]],'Unit Price'!G$1,FALSE),0)</f>
        <v>0</v>
      </c>
      <c r="J585" s="194">
        <f>IF(_1_541284561214624104645789101745[[#This Row],[Type]]&gt;0,VLOOKUP(_1_541284561214624104645789101745[[#This Row],[Type]],Main[[#All],[TYPE]:[UNIT]],'Unit Price'!H$1,FALSE),0)</f>
        <v>0</v>
      </c>
      <c r="K585" s="194">
        <f>IF(_1_541284561214624104645789101745[[#This Row],[Discount selection]]&gt;0,VLOOKUP(_1_541284561214624104645789101745[[#This Row],[Discount selection]],'Discount Structure'!$A$2:$B$30,2,"false"),0)</f>
        <v>1</v>
      </c>
      <c r="L585" s="194">
        <f>_1_541284561214624104645789101745[[#This Row],[LIST $]]*_1_541284561214624104645789101745[[#This Row],[DISCOUNT]]*_1_541284561214624104645789101745[[#This Row],[DISCOUNT 2]]</f>
        <v>0</v>
      </c>
      <c r="M585" s="194">
        <f>IF(OR(_1_541284561214624104645789101745[[#This Row],[UNIT]]&gt;0,_1_541284561214624104645789101745[[#This Row],[UNIT]]&lt;0),_1_541284561214624104645789101745[[#This Row],[UNIT]]*_1_541284561214624104645789101745[[#This Row],[COST]],0)</f>
        <v>0</v>
      </c>
      <c r="N585" s="194">
        <f t="shared" si="8"/>
        <v>1.5</v>
      </c>
      <c r="O585" s="198">
        <f>_1_541284561214624104645789101745[[#This Row],[TOTAL]]*_1_541284561214624104645789101745[[#This Row],[MARGIN]]</f>
        <v>0</v>
      </c>
      <c r="R585" s="41"/>
    </row>
    <row r="586" spans="1:18">
      <c r="D586" s="188"/>
      <c r="F586" s="168" t="s">
        <v>6202</v>
      </c>
      <c r="G586" s="193">
        <f>IF(_1_541284561214624104645789101745[[#This Row],[Type]]&gt;0,VLOOKUP(_1_541284561214624104645789101745[[#This Row],[Type]],Main[[#All],[TYPE]:[UNIT]],'Unit Price'!C$1,FALSE),0)</f>
        <v>0</v>
      </c>
      <c r="H586" s="197">
        <f>IF(_1_541284561214624104645789101745[[#This Row],[Type]]&gt;0,VLOOKUP(_1_541284561214624104645789101745[[#This Row],[Type]],Main[[#All],[TYPE]:[UNIT]],'Unit Price'!D$1,FALSE),0)</f>
        <v>0</v>
      </c>
      <c r="I586" s="194">
        <f>IF(_1_541284561214624104645789101745[[#This Row],[Type]]&gt;0,VLOOKUP(_1_541284561214624104645789101745[[#This Row],[Type]],Main[[#All],[TYPE]:[UNIT]],'Unit Price'!G$1,FALSE),0)</f>
        <v>0</v>
      </c>
      <c r="J586" s="194">
        <f>IF(_1_541284561214624104645789101745[[#This Row],[Type]]&gt;0,VLOOKUP(_1_541284561214624104645789101745[[#This Row],[Type]],Main[[#All],[TYPE]:[UNIT]],'Unit Price'!H$1,FALSE),0)</f>
        <v>0</v>
      </c>
      <c r="K586" s="194">
        <f>IF(_1_541284561214624104645789101745[[#This Row],[Discount selection]]&gt;0,VLOOKUP(_1_541284561214624104645789101745[[#This Row],[Discount selection]],'Discount Structure'!$A$2:$B$30,2,"false"),0)</f>
        <v>1</v>
      </c>
      <c r="L586" s="194">
        <f>_1_541284561214624104645789101745[[#This Row],[LIST $]]*_1_541284561214624104645789101745[[#This Row],[DISCOUNT]]*_1_541284561214624104645789101745[[#This Row],[DISCOUNT 2]]</f>
        <v>0</v>
      </c>
      <c r="M586" s="194">
        <f>IF(OR(_1_541284561214624104645789101745[[#This Row],[UNIT]]&gt;0,_1_541284561214624104645789101745[[#This Row],[UNIT]]&lt;0),_1_541284561214624104645789101745[[#This Row],[UNIT]]*_1_541284561214624104645789101745[[#This Row],[COST]],0)</f>
        <v>0</v>
      </c>
      <c r="N586" s="194">
        <f t="shared" ref="N586:N649" si="9">$N$7</f>
        <v>1.5</v>
      </c>
      <c r="O586" s="198">
        <f>_1_541284561214624104645789101745[[#This Row],[TOTAL]]*_1_541284561214624104645789101745[[#This Row],[MARGIN]]</f>
        <v>0</v>
      </c>
      <c r="R586" s="41"/>
    </row>
    <row r="587" spans="1:18">
      <c r="D587" s="188"/>
      <c r="F587" s="168" t="s">
        <v>6202</v>
      </c>
      <c r="G587" s="193">
        <f>IF(_1_541284561214624104645789101745[[#This Row],[Type]]&gt;0,VLOOKUP(_1_541284561214624104645789101745[[#This Row],[Type]],Main[[#All],[TYPE]:[UNIT]],'Unit Price'!C$1,FALSE),0)</f>
        <v>0</v>
      </c>
      <c r="H587" s="197">
        <f>IF(_1_541284561214624104645789101745[[#This Row],[Type]]&gt;0,VLOOKUP(_1_541284561214624104645789101745[[#This Row],[Type]],Main[[#All],[TYPE]:[UNIT]],'Unit Price'!D$1,FALSE),0)</f>
        <v>0</v>
      </c>
      <c r="I587" s="194">
        <f>IF(_1_541284561214624104645789101745[[#This Row],[Type]]&gt;0,VLOOKUP(_1_541284561214624104645789101745[[#This Row],[Type]],Main[[#All],[TYPE]:[UNIT]],'Unit Price'!G$1,FALSE),0)</f>
        <v>0</v>
      </c>
      <c r="J587" s="194">
        <f>IF(_1_541284561214624104645789101745[[#This Row],[Type]]&gt;0,VLOOKUP(_1_541284561214624104645789101745[[#This Row],[Type]],Main[[#All],[TYPE]:[UNIT]],'Unit Price'!H$1,FALSE),0)</f>
        <v>0</v>
      </c>
      <c r="K587" s="194">
        <f>IF(_1_541284561214624104645789101745[[#This Row],[Discount selection]]&gt;0,VLOOKUP(_1_541284561214624104645789101745[[#This Row],[Discount selection]],'Discount Structure'!$A$2:$B$30,2,"false"),0)</f>
        <v>1</v>
      </c>
      <c r="L587" s="194">
        <f>_1_541284561214624104645789101745[[#This Row],[LIST $]]*_1_541284561214624104645789101745[[#This Row],[DISCOUNT]]*_1_541284561214624104645789101745[[#This Row],[DISCOUNT 2]]</f>
        <v>0</v>
      </c>
      <c r="M587" s="194">
        <f>IF(OR(_1_541284561214624104645789101745[[#This Row],[UNIT]]&gt;0,_1_541284561214624104645789101745[[#This Row],[UNIT]]&lt;0),_1_541284561214624104645789101745[[#This Row],[UNIT]]*_1_541284561214624104645789101745[[#This Row],[COST]],0)</f>
        <v>0</v>
      </c>
      <c r="N587" s="194">
        <f t="shared" si="9"/>
        <v>1.5</v>
      </c>
      <c r="O587" s="198">
        <f>_1_541284561214624104645789101745[[#This Row],[TOTAL]]*_1_541284561214624104645789101745[[#This Row],[MARGIN]]</f>
        <v>0</v>
      </c>
      <c r="R587" s="41"/>
    </row>
    <row r="588" spans="1:18">
      <c r="D588" s="188"/>
      <c r="F588" s="168" t="s">
        <v>6202</v>
      </c>
      <c r="G588" s="193">
        <f>IF(_1_541284561214624104645789101745[[#This Row],[Type]]&gt;0,VLOOKUP(_1_541284561214624104645789101745[[#This Row],[Type]],Main[[#All],[TYPE]:[UNIT]],'Unit Price'!C$1,FALSE),0)</f>
        <v>0</v>
      </c>
      <c r="H588" s="197">
        <f>IF(_1_541284561214624104645789101745[[#This Row],[Type]]&gt;0,VLOOKUP(_1_541284561214624104645789101745[[#This Row],[Type]],Main[[#All],[TYPE]:[UNIT]],'Unit Price'!D$1,FALSE),0)</f>
        <v>0</v>
      </c>
      <c r="I588" s="194">
        <f>IF(_1_541284561214624104645789101745[[#This Row],[Type]]&gt;0,VLOOKUP(_1_541284561214624104645789101745[[#This Row],[Type]],Main[[#All],[TYPE]:[UNIT]],'Unit Price'!G$1,FALSE),0)</f>
        <v>0</v>
      </c>
      <c r="J588" s="194">
        <f>IF(_1_541284561214624104645789101745[[#This Row],[Type]]&gt;0,VLOOKUP(_1_541284561214624104645789101745[[#This Row],[Type]],Main[[#All],[TYPE]:[UNIT]],'Unit Price'!H$1,FALSE),0)</f>
        <v>0</v>
      </c>
      <c r="K588" s="194">
        <f>IF(_1_541284561214624104645789101745[[#This Row],[Discount selection]]&gt;0,VLOOKUP(_1_541284561214624104645789101745[[#This Row],[Discount selection]],'Discount Structure'!$A$2:$B$30,2,"false"),0)</f>
        <v>1</v>
      </c>
      <c r="L588" s="194">
        <f>_1_541284561214624104645789101745[[#This Row],[LIST $]]*_1_541284561214624104645789101745[[#This Row],[DISCOUNT]]*_1_541284561214624104645789101745[[#This Row],[DISCOUNT 2]]</f>
        <v>0</v>
      </c>
      <c r="M588" s="194">
        <f>IF(OR(_1_541284561214624104645789101745[[#This Row],[UNIT]]&gt;0,_1_541284561214624104645789101745[[#This Row],[UNIT]]&lt;0),_1_541284561214624104645789101745[[#This Row],[UNIT]]*_1_541284561214624104645789101745[[#This Row],[COST]],0)</f>
        <v>0</v>
      </c>
      <c r="N588" s="194">
        <f t="shared" si="9"/>
        <v>1.5</v>
      </c>
      <c r="O588" s="198">
        <f>_1_541284561214624104645789101745[[#This Row],[TOTAL]]*_1_541284561214624104645789101745[[#This Row],[MARGIN]]</f>
        <v>0</v>
      </c>
      <c r="R588" s="41"/>
    </row>
    <row r="589" spans="1:18">
      <c r="D589" s="188"/>
      <c r="F589" s="168" t="s">
        <v>6202</v>
      </c>
      <c r="G589" s="193">
        <f>IF(_1_541284561214624104645789101745[[#This Row],[Type]]&gt;0,VLOOKUP(_1_541284561214624104645789101745[[#This Row],[Type]],Main[[#All],[TYPE]:[UNIT]],'Unit Price'!C$1,FALSE),0)</f>
        <v>0</v>
      </c>
      <c r="H589" s="197">
        <f>IF(_1_541284561214624104645789101745[[#This Row],[Type]]&gt;0,VLOOKUP(_1_541284561214624104645789101745[[#This Row],[Type]],Main[[#All],[TYPE]:[UNIT]],'Unit Price'!D$1,FALSE),0)</f>
        <v>0</v>
      </c>
      <c r="I589" s="194">
        <f>IF(_1_541284561214624104645789101745[[#This Row],[Type]]&gt;0,VLOOKUP(_1_541284561214624104645789101745[[#This Row],[Type]],Main[[#All],[TYPE]:[UNIT]],'Unit Price'!G$1,FALSE),0)</f>
        <v>0</v>
      </c>
      <c r="J589" s="194">
        <f>IF(_1_541284561214624104645789101745[[#This Row],[Type]]&gt;0,VLOOKUP(_1_541284561214624104645789101745[[#This Row],[Type]],Main[[#All],[TYPE]:[UNIT]],'Unit Price'!H$1,FALSE),0)</f>
        <v>0</v>
      </c>
      <c r="K589" s="194">
        <f>IF(_1_541284561214624104645789101745[[#This Row],[Discount selection]]&gt;0,VLOOKUP(_1_541284561214624104645789101745[[#This Row],[Discount selection]],'Discount Structure'!$A$2:$B$30,2,"false"),0)</f>
        <v>1</v>
      </c>
      <c r="L589" s="194">
        <f>_1_541284561214624104645789101745[[#This Row],[LIST $]]*_1_541284561214624104645789101745[[#This Row],[DISCOUNT]]*_1_541284561214624104645789101745[[#This Row],[DISCOUNT 2]]</f>
        <v>0</v>
      </c>
      <c r="M589" s="194">
        <f>IF(OR(_1_541284561214624104645789101745[[#This Row],[UNIT]]&gt;0,_1_541284561214624104645789101745[[#This Row],[UNIT]]&lt;0),_1_541284561214624104645789101745[[#This Row],[UNIT]]*_1_541284561214624104645789101745[[#This Row],[COST]],0)</f>
        <v>0</v>
      </c>
      <c r="N589" s="194">
        <f t="shared" si="9"/>
        <v>1.5</v>
      </c>
      <c r="O589" s="198">
        <f>_1_541284561214624104645789101745[[#This Row],[TOTAL]]*_1_541284561214624104645789101745[[#This Row],[MARGIN]]</f>
        <v>0</v>
      </c>
      <c r="R589" s="41"/>
    </row>
    <row r="590" spans="1:18">
      <c r="D590" s="188"/>
      <c r="F590" s="168" t="s">
        <v>6202</v>
      </c>
      <c r="G590" s="193">
        <f>IF(_1_541284561214624104645789101745[[#This Row],[Type]]&gt;0,VLOOKUP(_1_541284561214624104645789101745[[#This Row],[Type]],Main[[#All],[TYPE]:[UNIT]],'Unit Price'!C$1,FALSE),0)</f>
        <v>0</v>
      </c>
      <c r="H590" s="197">
        <f>IF(_1_541284561214624104645789101745[[#This Row],[Type]]&gt;0,VLOOKUP(_1_541284561214624104645789101745[[#This Row],[Type]],Main[[#All],[TYPE]:[UNIT]],'Unit Price'!D$1,FALSE),0)</f>
        <v>0</v>
      </c>
      <c r="I590" s="194">
        <f>IF(_1_541284561214624104645789101745[[#This Row],[Type]]&gt;0,VLOOKUP(_1_541284561214624104645789101745[[#This Row],[Type]],Main[[#All],[TYPE]:[UNIT]],'Unit Price'!G$1,FALSE),0)</f>
        <v>0</v>
      </c>
      <c r="J590" s="194">
        <f>IF(_1_541284561214624104645789101745[[#This Row],[Type]]&gt;0,VLOOKUP(_1_541284561214624104645789101745[[#This Row],[Type]],Main[[#All],[TYPE]:[UNIT]],'Unit Price'!H$1,FALSE),0)</f>
        <v>0</v>
      </c>
      <c r="K590" s="194">
        <f>IF(_1_541284561214624104645789101745[[#This Row],[Discount selection]]&gt;0,VLOOKUP(_1_541284561214624104645789101745[[#This Row],[Discount selection]],'Discount Structure'!$A$2:$B$30,2,"false"),0)</f>
        <v>1</v>
      </c>
      <c r="L590" s="194">
        <f>_1_541284561214624104645789101745[[#This Row],[LIST $]]*_1_541284561214624104645789101745[[#This Row],[DISCOUNT]]*_1_541284561214624104645789101745[[#This Row],[DISCOUNT 2]]</f>
        <v>0</v>
      </c>
      <c r="M590" s="194">
        <f>IF(OR(_1_541284561214624104645789101745[[#This Row],[UNIT]]&gt;0,_1_541284561214624104645789101745[[#This Row],[UNIT]]&lt;0),_1_541284561214624104645789101745[[#This Row],[UNIT]]*_1_541284561214624104645789101745[[#This Row],[COST]],0)</f>
        <v>0</v>
      </c>
      <c r="N590" s="194">
        <f t="shared" si="9"/>
        <v>1.5</v>
      </c>
      <c r="O590" s="198">
        <f>_1_541284561214624104645789101745[[#This Row],[TOTAL]]*_1_541284561214624104645789101745[[#This Row],[MARGIN]]</f>
        <v>0</v>
      </c>
      <c r="R590" s="41"/>
    </row>
    <row r="591" spans="1:18">
      <c r="D591" s="188"/>
      <c r="F591" s="168" t="s">
        <v>6202</v>
      </c>
      <c r="G591" s="193">
        <f>IF(_1_541284561214624104645789101745[[#This Row],[Type]]&gt;0,VLOOKUP(_1_541284561214624104645789101745[[#This Row],[Type]],Main[[#All],[TYPE]:[UNIT]],'Unit Price'!C$1,FALSE),0)</f>
        <v>0</v>
      </c>
      <c r="H591" s="197">
        <f>IF(_1_541284561214624104645789101745[[#This Row],[Type]]&gt;0,VLOOKUP(_1_541284561214624104645789101745[[#This Row],[Type]],Main[[#All],[TYPE]:[UNIT]],'Unit Price'!D$1,FALSE),0)</f>
        <v>0</v>
      </c>
      <c r="I591" s="194">
        <f>IF(_1_541284561214624104645789101745[[#This Row],[Type]]&gt;0,VLOOKUP(_1_541284561214624104645789101745[[#This Row],[Type]],Main[[#All],[TYPE]:[UNIT]],'Unit Price'!G$1,FALSE),0)</f>
        <v>0</v>
      </c>
      <c r="J591" s="194">
        <f>IF(_1_541284561214624104645789101745[[#This Row],[Type]]&gt;0,VLOOKUP(_1_541284561214624104645789101745[[#This Row],[Type]],Main[[#All],[TYPE]:[UNIT]],'Unit Price'!H$1,FALSE),0)</f>
        <v>0</v>
      </c>
      <c r="K591" s="194">
        <f>IF(_1_541284561214624104645789101745[[#This Row],[Discount selection]]&gt;0,VLOOKUP(_1_541284561214624104645789101745[[#This Row],[Discount selection]],'Discount Structure'!$A$2:$B$30,2,"false"),0)</f>
        <v>1</v>
      </c>
      <c r="L591" s="194">
        <f>_1_541284561214624104645789101745[[#This Row],[LIST $]]*_1_541284561214624104645789101745[[#This Row],[DISCOUNT]]*_1_541284561214624104645789101745[[#This Row],[DISCOUNT 2]]</f>
        <v>0</v>
      </c>
      <c r="M591" s="194">
        <f>IF(OR(_1_541284561214624104645789101745[[#This Row],[UNIT]]&gt;0,_1_541284561214624104645789101745[[#This Row],[UNIT]]&lt;0),_1_541284561214624104645789101745[[#This Row],[UNIT]]*_1_541284561214624104645789101745[[#This Row],[COST]],0)</f>
        <v>0</v>
      </c>
      <c r="N591" s="194">
        <f t="shared" si="9"/>
        <v>1.5</v>
      </c>
      <c r="O591" s="198">
        <f>_1_541284561214624104645789101745[[#This Row],[TOTAL]]*_1_541284561214624104645789101745[[#This Row],[MARGIN]]</f>
        <v>0</v>
      </c>
      <c r="R591" s="41"/>
    </row>
    <row r="592" spans="1:18">
      <c r="D592" s="188"/>
      <c r="F592" s="168" t="s">
        <v>6202</v>
      </c>
      <c r="G592" s="193">
        <f>IF(_1_541284561214624104645789101745[[#This Row],[Type]]&gt;0,VLOOKUP(_1_541284561214624104645789101745[[#This Row],[Type]],Main[[#All],[TYPE]:[UNIT]],'Unit Price'!C$1,FALSE),0)</f>
        <v>0</v>
      </c>
      <c r="H592" s="197">
        <f>IF(_1_541284561214624104645789101745[[#This Row],[Type]]&gt;0,VLOOKUP(_1_541284561214624104645789101745[[#This Row],[Type]],Main[[#All],[TYPE]:[UNIT]],'Unit Price'!D$1,FALSE),0)</f>
        <v>0</v>
      </c>
      <c r="I592" s="194">
        <f>IF(_1_541284561214624104645789101745[[#This Row],[Type]]&gt;0,VLOOKUP(_1_541284561214624104645789101745[[#This Row],[Type]],Main[[#All],[TYPE]:[UNIT]],'Unit Price'!G$1,FALSE),0)</f>
        <v>0</v>
      </c>
      <c r="J592" s="194">
        <f>IF(_1_541284561214624104645789101745[[#This Row],[Type]]&gt;0,VLOOKUP(_1_541284561214624104645789101745[[#This Row],[Type]],Main[[#All],[TYPE]:[UNIT]],'Unit Price'!H$1,FALSE),0)</f>
        <v>0</v>
      </c>
      <c r="K592" s="194">
        <f>IF(_1_541284561214624104645789101745[[#This Row],[Discount selection]]&gt;0,VLOOKUP(_1_541284561214624104645789101745[[#This Row],[Discount selection]],'Discount Structure'!$A$2:$B$30,2,"false"),0)</f>
        <v>1</v>
      </c>
      <c r="L592" s="194">
        <f>_1_541284561214624104645789101745[[#This Row],[LIST $]]*_1_541284561214624104645789101745[[#This Row],[DISCOUNT]]*_1_541284561214624104645789101745[[#This Row],[DISCOUNT 2]]</f>
        <v>0</v>
      </c>
      <c r="M592" s="194">
        <f>IF(OR(_1_541284561214624104645789101745[[#This Row],[UNIT]]&gt;0,_1_541284561214624104645789101745[[#This Row],[UNIT]]&lt;0),_1_541284561214624104645789101745[[#This Row],[UNIT]]*_1_541284561214624104645789101745[[#This Row],[COST]],0)</f>
        <v>0</v>
      </c>
      <c r="N592" s="194">
        <f t="shared" si="9"/>
        <v>1.5</v>
      </c>
      <c r="O592" s="198">
        <f>_1_541284561214624104645789101745[[#This Row],[TOTAL]]*_1_541284561214624104645789101745[[#This Row],[MARGIN]]</f>
        <v>0</v>
      </c>
      <c r="R592" s="41"/>
    </row>
    <row r="593" spans="4:18">
      <c r="D593" s="188"/>
      <c r="F593" s="168" t="s">
        <v>6202</v>
      </c>
      <c r="G593" s="193">
        <f>IF(_1_541284561214624104645789101745[[#This Row],[Type]]&gt;0,VLOOKUP(_1_541284561214624104645789101745[[#This Row],[Type]],Main[[#All],[TYPE]:[UNIT]],'Unit Price'!C$1,FALSE),0)</f>
        <v>0</v>
      </c>
      <c r="H593" s="197">
        <f>IF(_1_541284561214624104645789101745[[#This Row],[Type]]&gt;0,VLOOKUP(_1_541284561214624104645789101745[[#This Row],[Type]],Main[[#All],[TYPE]:[UNIT]],'Unit Price'!D$1,FALSE),0)</f>
        <v>0</v>
      </c>
      <c r="I593" s="194">
        <f>IF(_1_541284561214624104645789101745[[#This Row],[Type]]&gt;0,VLOOKUP(_1_541284561214624104645789101745[[#This Row],[Type]],Main[[#All],[TYPE]:[UNIT]],'Unit Price'!G$1,FALSE),0)</f>
        <v>0</v>
      </c>
      <c r="J593" s="194">
        <f>IF(_1_541284561214624104645789101745[[#This Row],[Type]]&gt;0,VLOOKUP(_1_541284561214624104645789101745[[#This Row],[Type]],Main[[#All],[TYPE]:[UNIT]],'Unit Price'!H$1,FALSE),0)</f>
        <v>0</v>
      </c>
      <c r="K593" s="194">
        <f>IF(_1_541284561214624104645789101745[[#This Row],[Discount selection]]&gt;0,VLOOKUP(_1_541284561214624104645789101745[[#This Row],[Discount selection]],'Discount Structure'!$A$2:$B$30,2,"false"),0)</f>
        <v>1</v>
      </c>
      <c r="L593" s="194">
        <f>_1_541284561214624104645789101745[[#This Row],[LIST $]]*_1_541284561214624104645789101745[[#This Row],[DISCOUNT]]*_1_541284561214624104645789101745[[#This Row],[DISCOUNT 2]]</f>
        <v>0</v>
      </c>
      <c r="M593" s="194">
        <f>IF(OR(_1_541284561214624104645789101745[[#This Row],[UNIT]]&gt;0,_1_541284561214624104645789101745[[#This Row],[UNIT]]&lt;0),_1_541284561214624104645789101745[[#This Row],[UNIT]]*_1_541284561214624104645789101745[[#This Row],[COST]],0)</f>
        <v>0</v>
      </c>
      <c r="N593" s="194">
        <f t="shared" si="9"/>
        <v>1.5</v>
      </c>
      <c r="O593" s="198">
        <f>_1_541284561214624104645789101745[[#This Row],[TOTAL]]*_1_541284561214624104645789101745[[#This Row],[MARGIN]]</f>
        <v>0</v>
      </c>
      <c r="R593" s="41"/>
    </row>
    <row r="594" spans="4:18">
      <c r="D594" s="188"/>
      <c r="F594" s="168" t="s">
        <v>6202</v>
      </c>
      <c r="G594" s="193">
        <f>IF(_1_541284561214624104645789101745[[#This Row],[Type]]&gt;0,VLOOKUP(_1_541284561214624104645789101745[[#This Row],[Type]],Main[[#All],[TYPE]:[UNIT]],'Unit Price'!C$1,FALSE),0)</f>
        <v>0</v>
      </c>
      <c r="H594" s="197">
        <f>IF(_1_541284561214624104645789101745[[#This Row],[Type]]&gt;0,VLOOKUP(_1_541284561214624104645789101745[[#This Row],[Type]],Main[[#All],[TYPE]:[UNIT]],'Unit Price'!D$1,FALSE),0)</f>
        <v>0</v>
      </c>
      <c r="I594" s="194">
        <f>IF(_1_541284561214624104645789101745[[#This Row],[Type]]&gt;0,VLOOKUP(_1_541284561214624104645789101745[[#This Row],[Type]],Main[[#All],[TYPE]:[UNIT]],'Unit Price'!G$1,FALSE),0)</f>
        <v>0</v>
      </c>
      <c r="J594" s="194">
        <f>IF(_1_541284561214624104645789101745[[#This Row],[Type]]&gt;0,VLOOKUP(_1_541284561214624104645789101745[[#This Row],[Type]],Main[[#All],[TYPE]:[UNIT]],'Unit Price'!H$1,FALSE),0)</f>
        <v>0</v>
      </c>
      <c r="K594" s="194">
        <f>IF(_1_541284561214624104645789101745[[#This Row],[Discount selection]]&gt;0,VLOOKUP(_1_541284561214624104645789101745[[#This Row],[Discount selection]],'Discount Structure'!$A$2:$B$30,2,"false"),0)</f>
        <v>1</v>
      </c>
      <c r="L594" s="194">
        <f>_1_541284561214624104645789101745[[#This Row],[LIST $]]*_1_541284561214624104645789101745[[#This Row],[DISCOUNT]]*_1_541284561214624104645789101745[[#This Row],[DISCOUNT 2]]</f>
        <v>0</v>
      </c>
      <c r="M594" s="194">
        <f>IF(OR(_1_541284561214624104645789101745[[#This Row],[UNIT]]&gt;0,_1_541284561214624104645789101745[[#This Row],[UNIT]]&lt;0),_1_541284561214624104645789101745[[#This Row],[UNIT]]*_1_541284561214624104645789101745[[#This Row],[COST]],0)</f>
        <v>0</v>
      </c>
      <c r="N594" s="194">
        <f t="shared" si="9"/>
        <v>1.5</v>
      </c>
      <c r="O594" s="198">
        <f>_1_541284561214624104645789101745[[#This Row],[TOTAL]]*_1_541284561214624104645789101745[[#This Row],[MARGIN]]</f>
        <v>0</v>
      </c>
      <c r="R594" s="41"/>
    </row>
    <row r="595" spans="4:18">
      <c r="D595" s="188"/>
      <c r="F595" s="168" t="s">
        <v>6202</v>
      </c>
      <c r="G595" s="193">
        <f>IF(_1_541284561214624104645789101745[[#This Row],[Type]]&gt;0,VLOOKUP(_1_541284561214624104645789101745[[#This Row],[Type]],Main[[#All],[TYPE]:[UNIT]],'Unit Price'!C$1,FALSE),0)</f>
        <v>0</v>
      </c>
      <c r="H595" s="197">
        <f>IF(_1_541284561214624104645789101745[[#This Row],[Type]]&gt;0,VLOOKUP(_1_541284561214624104645789101745[[#This Row],[Type]],Main[[#All],[TYPE]:[UNIT]],'Unit Price'!D$1,FALSE),0)</f>
        <v>0</v>
      </c>
      <c r="I595" s="194">
        <f>IF(_1_541284561214624104645789101745[[#This Row],[Type]]&gt;0,VLOOKUP(_1_541284561214624104645789101745[[#This Row],[Type]],Main[[#All],[TYPE]:[UNIT]],'Unit Price'!G$1,FALSE),0)</f>
        <v>0</v>
      </c>
      <c r="J595" s="194">
        <f>IF(_1_541284561214624104645789101745[[#This Row],[Type]]&gt;0,VLOOKUP(_1_541284561214624104645789101745[[#This Row],[Type]],Main[[#All],[TYPE]:[UNIT]],'Unit Price'!H$1,FALSE),0)</f>
        <v>0</v>
      </c>
      <c r="K595" s="194">
        <f>IF(_1_541284561214624104645789101745[[#This Row],[Discount selection]]&gt;0,VLOOKUP(_1_541284561214624104645789101745[[#This Row],[Discount selection]],'Discount Structure'!$A$2:$B$30,2,"false"),0)</f>
        <v>1</v>
      </c>
      <c r="L595" s="194">
        <f>_1_541284561214624104645789101745[[#This Row],[LIST $]]*_1_541284561214624104645789101745[[#This Row],[DISCOUNT]]*_1_541284561214624104645789101745[[#This Row],[DISCOUNT 2]]</f>
        <v>0</v>
      </c>
      <c r="M595" s="194">
        <f>IF(OR(_1_541284561214624104645789101745[[#This Row],[UNIT]]&gt;0,_1_541284561214624104645789101745[[#This Row],[UNIT]]&lt;0),_1_541284561214624104645789101745[[#This Row],[UNIT]]*_1_541284561214624104645789101745[[#This Row],[COST]],0)</f>
        <v>0</v>
      </c>
      <c r="N595" s="194">
        <f t="shared" si="9"/>
        <v>1.5</v>
      </c>
      <c r="O595" s="198">
        <f>_1_541284561214624104645789101745[[#This Row],[TOTAL]]*_1_541284561214624104645789101745[[#This Row],[MARGIN]]</f>
        <v>0</v>
      </c>
      <c r="R595" s="41"/>
    </row>
    <row r="596" spans="4:18">
      <c r="D596" s="188"/>
      <c r="F596" s="168" t="s">
        <v>6202</v>
      </c>
      <c r="G596" s="193">
        <f>IF(_1_541284561214624104645789101745[[#This Row],[Type]]&gt;0,VLOOKUP(_1_541284561214624104645789101745[[#This Row],[Type]],Main[[#All],[TYPE]:[UNIT]],'Unit Price'!C$1,FALSE),0)</f>
        <v>0</v>
      </c>
      <c r="H596" s="197">
        <f>IF(_1_541284561214624104645789101745[[#This Row],[Type]]&gt;0,VLOOKUP(_1_541284561214624104645789101745[[#This Row],[Type]],Main[[#All],[TYPE]:[UNIT]],'Unit Price'!D$1,FALSE),0)</f>
        <v>0</v>
      </c>
      <c r="I596" s="194">
        <f>IF(_1_541284561214624104645789101745[[#This Row],[Type]]&gt;0,VLOOKUP(_1_541284561214624104645789101745[[#This Row],[Type]],Main[[#All],[TYPE]:[UNIT]],'Unit Price'!G$1,FALSE),0)</f>
        <v>0</v>
      </c>
      <c r="J596" s="194">
        <f>IF(_1_541284561214624104645789101745[[#This Row],[Type]]&gt;0,VLOOKUP(_1_541284561214624104645789101745[[#This Row],[Type]],Main[[#All],[TYPE]:[UNIT]],'Unit Price'!H$1,FALSE),0)</f>
        <v>0</v>
      </c>
      <c r="K596" s="194">
        <f>IF(_1_541284561214624104645789101745[[#This Row],[Discount selection]]&gt;0,VLOOKUP(_1_541284561214624104645789101745[[#This Row],[Discount selection]],'Discount Structure'!$A$2:$B$30,2,"false"),0)</f>
        <v>1</v>
      </c>
      <c r="L596" s="194">
        <f>_1_541284561214624104645789101745[[#This Row],[LIST $]]*_1_541284561214624104645789101745[[#This Row],[DISCOUNT]]*_1_541284561214624104645789101745[[#This Row],[DISCOUNT 2]]</f>
        <v>0</v>
      </c>
      <c r="M596" s="194">
        <f>IF(OR(_1_541284561214624104645789101745[[#This Row],[UNIT]]&gt;0,_1_541284561214624104645789101745[[#This Row],[UNIT]]&lt;0),_1_541284561214624104645789101745[[#This Row],[UNIT]]*_1_541284561214624104645789101745[[#This Row],[COST]],0)</f>
        <v>0</v>
      </c>
      <c r="N596" s="194">
        <f t="shared" si="9"/>
        <v>1.5</v>
      </c>
      <c r="O596" s="198">
        <f>_1_541284561214624104645789101745[[#This Row],[TOTAL]]*_1_541284561214624104645789101745[[#This Row],[MARGIN]]</f>
        <v>0</v>
      </c>
      <c r="R596" s="41"/>
    </row>
    <row r="597" spans="4:18">
      <c r="D597" s="188"/>
      <c r="F597" s="168" t="s">
        <v>6202</v>
      </c>
      <c r="G597" s="193">
        <f>IF(_1_541284561214624104645789101745[[#This Row],[Type]]&gt;0,VLOOKUP(_1_541284561214624104645789101745[[#This Row],[Type]],Main[[#All],[TYPE]:[UNIT]],'Unit Price'!C$1,FALSE),0)</f>
        <v>0</v>
      </c>
      <c r="H597" s="197">
        <f>IF(_1_541284561214624104645789101745[[#This Row],[Type]]&gt;0,VLOOKUP(_1_541284561214624104645789101745[[#This Row],[Type]],Main[[#All],[TYPE]:[UNIT]],'Unit Price'!D$1,FALSE),0)</f>
        <v>0</v>
      </c>
      <c r="I597" s="194">
        <f>IF(_1_541284561214624104645789101745[[#This Row],[Type]]&gt;0,VLOOKUP(_1_541284561214624104645789101745[[#This Row],[Type]],Main[[#All],[TYPE]:[UNIT]],'Unit Price'!G$1,FALSE),0)</f>
        <v>0</v>
      </c>
      <c r="J597" s="194">
        <f>IF(_1_541284561214624104645789101745[[#This Row],[Type]]&gt;0,VLOOKUP(_1_541284561214624104645789101745[[#This Row],[Type]],Main[[#All],[TYPE]:[UNIT]],'Unit Price'!H$1,FALSE),0)</f>
        <v>0</v>
      </c>
      <c r="K597" s="194">
        <f>IF(_1_541284561214624104645789101745[[#This Row],[Discount selection]]&gt;0,VLOOKUP(_1_541284561214624104645789101745[[#This Row],[Discount selection]],'Discount Structure'!$A$2:$B$30,2,"false"),0)</f>
        <v>1</v>
      </c>
      <c r="L597" s="194">
        <f>_1_541284561214624104645789101745[[#This Row],[LIST $]]*_1_541284561214624104645789101745[[#This Row],[DISCOUNT]]*_1_541284561214624104645789101745[[#This Row],[DISCOUNT 2]]</f>
        <v>0</v>
      </c>
      <c r="M597" s="194">
        <f>IF(OR(_1_541284561214624104645789101745[[#This Row],[UNIT]]&gt;0,_1_541284561214624104645789101745[[#This Row],[UNIT]]&lt;0),_1_541284561214624104645789101745[[#This Row],[UNIT]]*_1_541284561214624104645789101745[[#This Row],[COST]],0)</f>
        <v>0</v>
      </c>
      <c r="N597" s="194">
        <f t="shared" si="9"/>
        <v>1.5</v>
      </c>
      <c r="O597" s="198">
        <f>_1_541284561214624104645789101745[[#This Row],[TOTAL]]*_1_541284561214624104645789101745[[#This Row],[MARGIN]]</f>
        <v>0</v>
      </c>
      <c r="R597" s="41"/>
    </row>
    <row r="598" spans="4:18">
      <c r="D598" s="188"/>
      <c r="F598" s="168" t="s">
        <v>6202</v>
      </c>
      <c r="G598" s="193">
        <f>IF(_1_541284561214624104645789101745[[#This Row],[Type]]&gt;0,VLOOKUP(_1_541284561214624104645789101745[[#This Row],[Type]],Main[[#All],[TYPE]:[UNIT]],'Unit Price'!C$1,FALSE),0)</f>
        <v>0</v>
      </c>
      <c r="H598" s="197">
        <f>IF(_1_541284561214624104645789101745[[#This Row],[Type]]&gt;0,VLOOKUP(_1_541284561214624104645789101745[[#This Row],[Type]],Main[[#All],[TYPE]:[UNIT]],'Unit Price'!D$1,FALSE),0)</f>
        <v>0</v>
      </c>
      <c r="I598" s="194">
        <f>IF(_1_541284561214624104645789101745[[#This Row],[Type]]&gt;0,VLOOKUP(_1_541284561214624104645789101745[[#This Row],[Type]],Main[[#All],[TYPE]:[UNIT]],'Unit Price'!G$1,FALSE),0)</f>
        <v>0</v>
      </c>
      <c r="J598" s="194">
        <f>IF(_1_541284561214624104645789101745[[#This Row],[Type]]&gt;0,VLOOKUP(_1_541284561214624104645789101745[[#This Row],[Type]],Main[[#All],[TYPE]:[UNIT]],'Unit Price'!H$1,FALSE),0)</f>
        <v>0</v>
      </c>
      <c r="K598" s="194">
        <f>IF(_1_541284561214624104645789101745[[#This Row],[Discount selection]]&gt;0,VLOOKUP(_1_541284561214624104645789101745[[#This Row],[Discount selection]],'Discount Structure'!$A$2:$B$30,2,"false"),0)</f>
        <v>1</v>
      </c>
      <c r="L598" s="194">
        <f>_1_541284561214624104645789101745[[#This Row],[LIST $]]*_1_541284561214624104645789101745[[#This Row],[DISCOUNT]]*_1_541284561214624104645789101745[[#This Row],[DISCOUNT 2]]</f>
        <v>0</v>
      </c>
      <c r="M598" s="194">
        <f>IF(OR(_1_541284561214624104645789101745[[#This Row],[UNIT]]&gt;0,_1_541284561214624104645789101745[[#This Row],[UNIT]]&lt;0),_1_541284561214624104645789101745[[#This Row],[UNIT]]*_1_541284561214624104645789101745[[#This Row],[COST]],0)</f>
        <v>0</v>
      </c>
      <c r="N598" s="194">
        <f t="shared" si="9"/>
        <v>1.5</v>
      </c>
      <c r="O598" s="198">
        <f>_1_541284561214624104645789101745[[#This Row],[TOTAL]]*_1_541284561214624104645789101745[[#This Row],[MARGIN]]</f>
        <v>0</v>
      </c>
      <c r="R598" s="41"/>
    </row>
    <row r="599" spans="4:18">
      <c r="D599" s="188"/>
      <c r="F599" s="168" t="s">
        <v>6202</v>
      </c>
      <c r="G599" s="193">
        <f>IF(_1_541284561214624104645789101745[[#This Row],[Type]]&gt;0,VLOOKUP(_1_541284561214624104645789101745[[#This Row],[Type]],Main[[#All],[TYPE]:[UNIT]],'Unit Price'!C$1,FALSE),0)</f>
        <v>0</v>
      </c>
      <c r="H599" s="197">
        <f>IF(_1_541284561214624104645789101745[[#This Row],[Type]]&gt;0,VLOOKUP(_1_541284561214624104645789101745[[#This Row],[Type]],Main[[#All],[TYPE]:[UNIT]],'Unit Price'!D$1,FALSE),0)</f>
        <v>0</v>
      </c>
      <c r="I599" s="194">
        <f>IF(_1_541284561214624104645789101745[[#This Row],[Type]]&gt;0,VLOOKUP(_1_541284561214624104645789101745[[#This Row],[Type]],Main[[#All],[TYPE]:[UNIT]],'Unit Price'!G$1,FALSE),0)</f>
        <v>0</v>
      </c>
      <c r="J599" s="194">
        <f>IF(_1_541284561214624104645789101745[[#This Row],[Type]]&gt;0,VLOOKUP(_1_541284561214624104645789101745[[#This Row],[Type]],Main[[#All],[TYPE]:[UNIT]],'Unit Price'!H$1,FALSE),0)</f>
        <v>0</v>
      </c>
      <c r="K599" s="194">
        <f>IF(_1_541284561214624104645789101745[[#This Row],[Discount selection]]&gt;0,VLOOKUP(_1_541284561214624104645789101745[[#This Row],[Discount selection]],'Discount Structure'!$A$2:$B$30,2,"false"),0)</f>
        <v>1</v>
      </c>
      <c r="L599" s="194">
        <f>_1_541284561214624104645789101745[[#This Row],[LIST $]]*_1_541284561214624104645789101745[[#This Row],[DISCOUNT]]*_1_541284561214624104645789101745[[#This Row],[DISCOUNT 2]]</f>
        <v>0</v>
      </c>
      <c r="M599" s="194">
        <f>IF(OR(_1_541284561214624104645789101745[[#This Row],[UNIT]]&gt;0,_1_541284561214624104645789101745[[#This Row],[UNIT]]&lt;0),_1_541284561214624104645789101745[[#This Row],[UNIT]]*_1_541284561214624104645789101745[[#This Row],[COST]],0)</f>
        <v>0</v>
      </c>
      <c r="N599" s="194">
        <f t="shared" si="9"/>
        <v>1.5</v>
      </c>
      <c r="O599" s="198">
        <f>_1_541284561214624104645789101745[[#This Row],[TOTAL]]*_1_541284561214624104645789101745[[#This Row],[MARGIN]]</f>
        <v>0</v>
      </c>
      <c r="R599" s="41"/>
    </row>
    <row r="600" spans="4:18">
      <c r="D600" s="188"/>
      <c r="F600" s="168" t="s">
        <v>6202</v>
      </c>
      <c r="G600" s="193">
        <f>IF(_1_541284561214624104645789101745[[#This Row],[Type]]&gt;0,VLOOKUP(_1_541284561214624104645789101745[[#This Row],[Type]],Main[[#All],[TYPE]:[UNIT]],'Unit Price'!C$1,FALSE),0)</f>
        <v>0</v>
      </c>
      <c r="H600" s="197">
        <f>IF(_1_541284561214624104645789101745[[#This Row],[Type]]&gt;0,VLOOKUP(_1_541284561214624104645789101745[[#This Row],[Type]],Main[[#All],[TYPE]:[UNIT]],'Unit Price'!D$1,FALSE),0)</f>
        <v>0</v>
      </c>
      <c r="I600" s="194">
        <f>IF(_1_541284561214624104645789101745[[#This Row],[Type]]&gt;0,VLOOKUP(_1_541284561214624104645789101745[[#This Row],[Type]],Main[[#All],[TYPE]:[UNIT]],'Unit Price'!G$1,FALSE),0)</f>
        <v>0</v>
      </c>
      <c r="J600" s="194">
        <f>IF(_1_541284561214624104645789101745[[#This Row],[Type]]&gt;0,VLOOKUP(_1_541284561214624104645789101745[[#This Row],[Type]],Main[[#All],[TYPE]:[UNIT]],'Unit Price'!H$1,FALSE),0)</f>
        <v>0</v>
      </c>
      <c r="K600" s="194">
        <f>IF(_1_541284561214624104645789101745[[#This Row],[Discount selection]]&gt;0,VLOOKUP(_1_541284561214624104645789101745[[#This Row],[Discount selection]],'Discount Structure'!$A$2:$B$30,2,"false"),0)</f>
        <v>1</v>
      </c>
      <c r="L600" s="194">
        <f>_1_541284561214624104645789101745[[#This Row],[LIST $]]*_1_541284561214624104645789101745[[#This Row],[DISCOUNT]]*_1_541284561214624104645789101745[[#This Row],[DISCOUNT 2]]</f>
        <v>0</v>
      </c>
      <c r="M600" s="194">
        <f>IF(OR(_1_541284561214624104645789101745[[#This Row],[UNIT]]&gt;0,_1_541284561214624104645789101745[[#This Row],[UNIT]]&lt;0),_1_541284561214624104645789101745[[#This Row],[UNIT]]*_1_541284561214624104645789101745[[#This Row],[COST]],0)</f>
        <v>0</v>
      </c>
      <c r="N600" s="194">
        <f t="shared" si="9"/>
        <v>1.5</v>
      </c>
      <c r="O600" s="198">
        <f>_1_541284561214624104645789101745[[#This Row],[TOTAL]]*_1_541284561214624104645789101745[[#This Row],[MARGIN]]</f>
        <v>0</v>
      </c>
      <c r="R600" s="41"/>
    </row>
    <row r="601" spans="4:18">
      <c r="D601" s="188"/>
      <c r="F601" s="168" t="s">
        <v>6202</v>
      </c>
      <c r="G601" s="193">
        <f>IF(_1_541284561214624104645789101745[[#This Row],[Type]]&gt;0,VLOOKUP(_1_541284561214624104645789101745[[#This Row],[Type]],Main[[#All],[TYPE]:[UNIT]],'Unit Price'!C$1,FALSE),0)</f>
        <v>0</v>
      </c>
      <c r="H601" s="197">
        <f>IF(_1_541284561214624104645789101745[[#This Row],[Type]]&gt;0,VLOOKUP(_1_541284561214624104645789101745[[#This Row],[Type]],Main[[#All],[TYPE]:[UNIT]],'Unit Price'!D$1,FALSE),0)</f>
        <v>0</v>
      </c>
      <c r="I601" s="194">
        <f>IF(_1_541284561214624104645789101745[[#This Row],[Type]]&gt;0,VLOOKUP(_1_541284561214624104645789101745[[#This Row],[Type]],Main[[#All],[TYPE]:[UNIT]],'Unit Price'!G$1,FALSE),0)</f>
        <v>0</v>
      </c>
      <c r="J601" s="194">
        <f>IF(_1_541284561214624104645789101745[[#This Row],[Type]]&gt;0,VLOOKUP(_1_541284561214624104645789101745[[#This Row],[Type]],Main[[#All],[TYPE]:[UNIT]],'Unit Price'!H$1,FALSE),0)</f>
        <v>0</v>
      </c>
      <c r="K601" s="194">
        <f>IF(_1_541284561214624104645789101745[[#This Row],[Discount selection]]&gt;0,VLOOKUP(_1_541284561214624104645789101745[[#This Row],[Discount selection]],'Discount Structure'!$A$2:$B$30,2,"false"),0)</f>
        <v>1</v>
      </c>
      <c r="L601" s="194">
        <f>_1_541284561214624104645789101745[[#This Row],[LIST $]]*_1_541284561214624104645789101745[[#This Row],[DISCOUNT]]*_1_541284561214624104645789101745[[#This Row],[DISCOUNT 2]]</f>
        <v>0</v>
      </c>
      <c r="M601" s="194">
        <f>IF(OR(_1_541284561214624104645789101745[[#This Row],[UNIT]]&gt;0,_1_541284561214624104645789101745[[#This Row],[UNIT]]&lt;0),_1_541284561214624104645789101745[[#This Row],[UNIT]]*_1_541284561214624104645789101745[[#This Row],[COST]],0)</f>
        <v>0</v>
      </c>
      <c r="N601" s="194">
        <f t="shared" si="9"/>
        <v>1.5</v>
      </c>
      <c r="O601" s="198">
        <f>_1_541284561214624104645789101745[[#This Row],[TOTAL]]*_1_541284561214624104645789101745[[#This Row],[MARGIN]]</f>
        <v>0</v>
      </c>
      <c r="R601" s="41"/>
    </row>
    <row r="602" spans="4:18">
      <c r="D602" s="188"/>
      <c r="F602" s="168" t="s">
        <v>6202</v>
      </c>
      <c r="G602" s="193">
        <f>IF(_1_541284561214624104645789101745[[#This Row],[Type]]&gt;0,VLOOKUP(_1_541284561214624104645789101745[[#This Row],[Type]],Main[[#All],[TYPE]:[UNIT]],'Unit Price'!C$1,FALSE),0)</f>
        <v>0</v>
      </c>
      <c r="H602" s="197">
        <f>IF(_1_541284561214624104645789101745[[#This Row],[Type]]&gt;0,VLOOKUP(_1_541284561214624104645789101745[[#This Row],[Type]],Main[[#All],[TYPE]:[UNIT]],'Unit Price'!D$1,FALSE),0)</f>
        <v>0</v>
      </c>
      <c r="I602" s="194">
        <f>IF(_1_541284561214624104645789101745[[#This Row],[Type]]&gt;0,VLOOKUP(_1_541284561214624104645789101745[[#This Row],[Type]],Main[[#All],[TYPE]:[UNIT]],'Unit Price'!G$1,FALSE),0)</f>
        <v>0</v>
      </c>
      <c r="J602" s="194">
        <f>IF(_1_541284561214624104645789101745[[#This Row],[Type]]&gt;0,VLOOKUP(_1_541284561214624104645789101745[[#This Row],[Type]],Main[[#All],[TYPE]:[UNIT]],'Unit Price'!H$1,FALSE),0)</f>
        <v>0</v>
      </c>
      <c r="K602" s="194">
        <f>IF(_1_541284561214624104645789101745[[#This Row],[Discount selection]]&gt;0,VLOOKUP(_1_541284561214624104645789101745[[#This Row],[Discount selection]],'Discount Structure'!$A$2:$B$30,2,"false"),0)</f>
        <v>1</v>
      </c>
      <c r="L602" s="194">
        <f>_1_541284561214624104645789101745[[#This Row],[LIST $]]*_1_541284561214624104645789101745[[#This Row],[DISCOUNT]]*_1_541284561214624104645789101745[[#This Row],[DISCOUNT 2]]</f>
        <v>0</v>
      </c>
      <c r="M602" s="194">
        <f>IF(OR(_1_541284561214624104645789101745[[#This Row],[UNIT]]&gt;0,_1_541284561214624104645789101745[[#This Row],[UNIT]]&lt;0),_1_541284561214624104645789101745[[#This Row],[UNIT]]*_1_541284561214624104645789101745[[#This Row],[COST]],0)</f>
        <v>0</v>
      </c>
      <c r="N602" s="194">
        <f t="shared" si="9"/>
        <v>1.5</v>
      </c>
      <c r="O602" s="198">
        <f>_1_541284561214624104645789101745[[#This Row],[TOTAL]]*_1_541284561214624104645789101745[[#This Row],[MARGIN]]</f>
        <v>0</v>
      </c>
      <c r="R602" s="41"/>
    </row>
    <row r="603" spans="4:18">
      <c r="D603" s="188"/>
      <c r="F603" s="168" t="s">
        <v>6202</v>
      </c>
      <c r="G603" s="193">
        <f>IF(_1_541284561214624104645789101745[[#This Row],[Type]]&gt;0,VLOOKUP(_1_541284561214624104645789101745[[#This Row],[Type]],Main[[#All],[TYPE]:[UNIT]],'Unit Price'!C$1,FALSE),0)</f>
        <v>0</v>
      </c>
      <c r="H603" s="197">
        <f>IF(_1_541284561214624104645789101745[[#This Row],[Type]]&gt;0,VLOOKUP(_1_541284561214624104645789101745[[#This Row],[Type]],Main[[#All],[TYPE]:[UNIT]],'Unit Price'!D$1,FALSE),0)</f>
        <v>0</v>
      </c>
      <c r="I603" s="194">
        <f>IF(_1_541284561214624104645789101745[[#This Row],[Type]]&gt;0,VLOOKUP(_1_541284561214624104645789101745[[#This Row],[Type]],Main[[#All],[TYPE]:[UNIT]],'Unit Price'!G$1,FALSE),0)</f>
        <v>0</v>
      </c>
      <c r="J603" s="194">
        <f>IF(_1_541284561214624104645789101745[[#This Row],[Type]]&gt;0,VLOOKUP(_1_541284561214624104645789101745[[#This Row],[Type]],Main[[#All],[TYPE]:[UNIT]],'Unit Price'!H$1,FALSE),0)</f>
        <v>0</v>
      </c>
      <c r="K603" s="194">
        <f>IF(_1_541284561214624104645789101745[[#This Row],[Discount selection]]&gt;0,VLOOKUP(_1_541284561214624104645789101745[[#This Row],[Discount selection]],'Discount Structure'!$A$2:$B$30,2,"false"),0)</f>
        <v>1</v>
      </c>
      <c r="L603" s="194">
        <f>_1_541284561214624104645789101745[[#This Row],[LIST $]]*_1_541284561214624104645789101745[[#This Row],[DISCOUNT]]*_1_541284561214624104645789101745[[#This Row],[DISCOUNT 2]]</f>
        <v>0</v>
      </c>
      <c r="M603" s="194">
        <f>IF(OR(_1_541284561214624104645789101745[[#This Row],[UNIT]]&gt;0,_1_541284561214624104645789101745[[#This Row],[UNIT]]&lt;0),_1_541284561214624104645789101745[[#This Row],[UNIT]]*_1_541284561214624104645789101745[[#This Row],[COST]],0)</f>
        <v>0</v>
      </c>
      <c r="N603" s="194">
        <f t="shared" si="9"/>
        <v>1.5</v>
      </c>
      <c r="O603" s="198">
        <f>_1_541284561214624104645789101745[[#This Row],[TOTAL]]*_1_541284561214624104645789101745[[#This Row],[MARGIN]]</f>
        <v>0</v>
      </c>
      <c r="R603" s="41"/>
    </row>
    <row r="604" spans="4:18">
      <c r="D604" s="188"/>
      <c r="F604" s="168" t="s">
        <v>6202</v>
      </c>
      <c r="G604" s="193">
        <f>IF(_1_541284561214624104645789101745[[#This Row],[Type]]&gt;0,VLOOKUP(_1_541284561214624104645789101745[[#This Row],[Type]],Main[[#All],[TYPE]:[UNIT]],'Unit Price'!C$1,FALSE),0)</f>
        <v>0</v>
      </c>
      <c r="H604" s="197">
        <f>IF(_1_541284561214624104645789101745[[#This Row],[Type]]&gt;0,VLOOKUP(_1_541284561214624104645789101745[[#This Row],[Type]],Main[[#All],[TYPE]:[UNIT]],'Unit Price'!D$1,FALSE),0)</f>
        <v>0</v>
      </c>
      <c r="I604" s="194">
        <f>IF(_1_541284561214624104645789101745[[#This Row],[Type]]&gt;0,VLOOKUP(_1_541284561214624104645789101745[[#This Row],[Type]],Main[[#All],[TYPE]:[UNIT]],'Unit Price'!G$1,FALSE),0)</f>
        <v>0</v>
      </c>
      <c r="J604" s="194">
        <f>IF(_1_541284561214624104645789101745[[#This Row],[Type]]&gt;0,VLOOKUP(_1_541284561214624104645789101745[[#This Row],[Type]],Main[[#All],[TYPE]:[UNIT]],'Unit Price'!H$1,FALSE),0)</f>
        <v>0</v>
      </c>
      <c r="K604" s="194">
        <f>IF(_1_541284561214624104645789101745[[#This Row],[Discount selection]]&gt;0,VLOOKUP(_1_541284561214624104645789101745[[#This Row],[Discount selection]],'Discount Structure'!$A$2:$B$30,2,"false"),0)</f>
        <v>1</v>
      </c>
      <c r="L604" s="194">
        <f>_1_541284561214624104645789101745[[#This Row],[LIST $]]*_1_541284561214624104645789101745[[#This Row],[DISCOUNT]]*_1_541284561214624104645789101745[[#This Row],[DISCOUNT 2]]</f>
        <v>0</v>
      </c>
      <c r="M604" s="194">
        <f>IF(OR(_1_541284561214624104645789101745[[#This Row],[UNIT]]&gt;0,_1_541284561214624104645789101745[[#This Row],[UNIT]]&lt;0),_1_541284561214624104645789101745[[#This Row],[UNIT]]*_1_541284561214624104645789101745[[#This Row],[COST]],0)</f>
        <v>0</v>
      </c>
      <c r="N604" s="194">
        <f t="shared" si="9"/>
        <v>1.5</v>
      </c>
      <c r="O604" s="198">
        <f>_1_541284561214624104645789101745[[#This Row],[TOTAL]]*_1_541284561214624104645789101745[[#This Row],[MARGIN]]</f>
        <v>0</v>
      </c>
      <c r="R604" s="41"/>
    </row>
    <row r="605" spans="4:18">
      <c r="D605" s="188"/>
      <c r="F605" s="168" t="s">
        <v>6202</v>
      </c>
      <c r="G605" s="193">
        <f>IF(_1_541284561214624104645789101745[[#This Row],[Type]]&gt;0,VLOOKUP(_1_541284561214624104645789101745[[#This Row],[Type]],Main[[#All],[TYPE]:[UNIT]],'Unit Price'!C$1,FALSE),0)</f>
        <v>0</v>
      </c>
      <c r="H605" s="197">
        <f>IF(_1_541284561214624104645789101745[[#This Row],[Type]]&gt;0,VLOOKUP(_1_541284561214624104645789101745[[#This Row],[Type]],Main[[#All],[TYPE]:[UNIT]],'Unit Price'!D$1,FALSE),0)</f>
        <v>0</v>
      </c>
      <c r="I605" s="194">
        <f>IF(_1_541284561214624104645789101745[[#This Row],[Type]]&gt;0,VLOOKUP(_1_541284561214624104645789101745[[#This Row],[Type]],Main[[#All],[TYPE]:[UNIT]],'Unit Price'!G$1,FALSE),0)</f>
        <v>0</v>
      </c>
      <c r="J605" s="194">
        <f>IF(_1_541284561214624104645789101745[[#This Row],[Type]]&gt;0,VLOOKUP(_1_541284561214624104645789101745[[#This Row],[Type]],Main[[#All],[TYPE]:[UNIT]],'Unit Price'!H$1,FALSE),0)</f>
        <v>0</v>
      </c>
      <c r="K605" s="194">
        <f>IF(_1_541284561214624104645789101745[[#This Row],[Discount selection]]&gt;0,VLOOKUP(_1_541284561214624104645789101745[[#This Row],[Discount selection]],'Discount Structure'!$A$2:$B$30,2,"false"),0)</f>
        <v>1</v>
      </c>
      <c r="L605" s="194">
        <f>_1_541284561214624104645789101745[[#This Row],[LIST $]]*_1_541284561214624104645789101745[[#This Row],[DISCOUNT]]*_1_541284561214624104645789101745[[#This Row],[DISCOUNT 2]]</f>
        <v>0</v>
      </c>
      <c r="M605" s="194">
        <f>IF(OR(_1_541284561214624104645789101745[[#This Row],[UNIT]]&gt;0,_1_541284561214624104645789101745[[#This Row],[UNIT]]&lt;0),_1_541284561214624104645789101745[[#This Row],[UNIT]]*_1_541284561214624104645789101745[[#This Row],[COST]],0)</f>
        <v>0</v>
      </c>
      <c r="N605" s="194">
        <f t="shared" si="9"/>
        <v>1.5</v>
      </c>
      <c r="O605" s="198">
        <f>_1_541284561214624104645789101745[[#This Row],[TOTAL]]*_1_541284561214624104645789101745[[#This Row],[MARGIN]]</f>
        <v>0</v>
      </c>
      <c r="R605" s="41"/>
    </row>
    <row r="606" spans="4:18">
      <c r="D606" s="188"/>
      <c r="F606" s="168" t="s">
        <v>6202</v>
      </c>
      <c r="G606" s="193">
        <f>IF(_1_541284561214624104645789101745[[#This Row],[Type]]&gt;0,VLOOKUP(_1_541284561214624104645789101745[[#This Row],[Type]],Main[[#All],[TYPE]:[UNIT]],'Unit Price'!C$1,FALSE),0)</f>
        <v>0</v>
      </c>
      <c r="H606" s="197">
        <f>IF(_1_541284561214624104645789101745[[#This Row],[Type]]&gt;0,VLOOKUP(_1_541284561214624104645789101745[[#This Row],[Type]],Main[[#All],[TYPE]:[UNIT]],'Unit Price'!D$1,FALSE),0)</f>
        <v>0</v>
      </c>
      <c r="I606" s="194">
        <f>IF(_1_541284561214624104645789101745[[#This Row],[Type]]&gt;0,VLOOKUP(_1_541284561214624104645789101745[[#This Row],[Type]],Main[[#All],[TYPE]:[UNIT]],'Unit Price'!G$1,FALSE),0)</f>
        <v>0</v>
      </c>
      <c r="J606" s="194">
        <f>IF(_1_541284561214624104645789101745[[#This Row],[Type]]&gt;0,VLOOKUP(_1_541284561214624104645789101745[[#This Row],[Type]],Main[[#All],[TYPE]:[UNIT]],'Unit Price'!H$1,FALSE),0)</f>
        <v>0</v>
      </c>
      <c r="K606" s="194">
        <f>IF(_1_541284561214624104645789101745[[#This Row],[Discount selection]]&gt;0,VLOOKUP(_1_541284561214624104645789101745[[#This Row],[Discount selection]],'Discount Structure'!$A$2:$B$30,2,"false"),0)</f>
        <v>1</v>
      </c>
      <c r="L606" s="194">
        <f>_1_541284561214624104645789101745[[#This Row],[LIST $]]*_1_541284561214624104645789101745[[#This Row],[DISCOUNT]]*_1_541284561214624104645789101745[[#This Row],[DISCOUNT 2]]</f>
        <v>0</v>
      </c>
      <c r="M606" s="194">
        <f>IF(OR(_1_541284561214624104645789101745[[#This Row],[UNIT]]&gt;0,_1_541284561214624104645789101745[[#This Row],[UNIT]]&lt;0),_1_541284561214624104645789101745[[#This Row],[UNIT]]*_1_541284561214624104645789101745[[#This Row],[COST]],0)</f>
        <v>0</v>
      </c>
      <c r="N606" s="194">
        <f t="shared" si="9"/>
        <v>1.5</v>
      </c>
      <c r="O606" s="198">
        <f>_1_541284561214624104645789101745[[#This Row],[TOTAL]]*_1_541284561214624104645789101745[[#This Row],[MARGIN]]</f>
        <v>0</v>
      </c>
      <c r="R606" s="41"/>
    </row>
    <row r="607" spans="4:18">
      <c r="D607" s="188"/>
      <c r="F607" s="168" t="s">
        <v>6202</v>
      </c>
      <c r="G607" s="193">
        <f>IF(_1_541284561214624104645789101745[[#This Row],[Type]]&gt;0,VLOOKUP(_1_541284561214624104645789101745[[#This Row],[Type]],Main[[#All],[TYPE]:[UNIT]],'Unit Price'!C$1,FALSE),0)</f>
        <v>0</v>
      </c>
      <c r="H607" s="197">
        <f>IF(_1_541284561214624104645789101745[[#This Row],[Type]]&gt;0,VLOOKUP(_1_541284561214624104645789101745[[#This Row],[Type]],Main[[#All],[TYPE]:[UNIT]],'Unit Price'!D$1,FALSE),0)</f>
        <v>0</v>
      </c>
      <c r="I607" s="194">
        <f>IF(_1_541284561214624104645789101745[[#This Row],[Type]]&gt;0,VLOOKUP(_1_541284561214624104645789101745[[#This Row],[Type]],Main[[#All],[TYPE]:[UNIT]],'Unit Price'!G$1,FALSE),0)</f>
        <v>0</v>
      </c>
      <c r="J607" s="194">
        <f>IF(_1_541284561214624104645789101745[[#This Row],[Type]]&gt;0,VLOOKUP(_1_541284561214624104645789101745[[#This Row],[Type]],Main[[#All],[TYPE]:[UNIT]],'Unit Price'!H$1,FALSE),0)</f>
        <v>0</v>
      </c>
      <c r="K607" s="194">
        <f>IF(_1_541284561214624104645789101745[[#This Row],[Discount selection]]&gt;0,VLOOKUP(_1_541284561214624104645789101745[[#This Row],[Discount selection]],'Discount Structure'!$A$2:$B$30,2,"false"),0)</f>
        <v>1</v>
      </c>
      <c r="L607" s="194">
        <f>_1_541284561214624104645789101745[[#This Row],[LIST $]]*_1_541284561214624104645789101745[[#This Row],[DISCOUNT]]*_1_541284561214624104645789101745[[#This Row],[DISCOUNT 2]]</f>
        <v>0</v>
      </c>
      <c r="M607" s="194">
        <f>IF(OR(_1_541284561214624104645789101745[[#This Row],[UNIT]]&gt;0,_1_541284561214624104645789101745[[#This Row],[UNIT]]&lt;0),_1_541284561214624104645789101745[[#This Row],[UNIT]]*_1_541284561214624104645789101745[[#This Row],[COST]],0)</f>
        <v>0</v>
      </c>
      <c r="N607" s="194">
        <f t="shared" si="9"/>
        <v>1.5</v>
      </c>
      <c r="O607" s="198">
        <f>_1_541284561214624104645789101745[[#This Row],[TOTAL]]*_1_541284561214624104645789101745[[#This Row],[MARGIN]]</f>
        <v>0</v>
      </c>
      <c r="R607" s="41"/>
    </row>
    <row r="608" spans="4:18">
      <c r="D608" s="188"/>
      <c r="F608" s="168" t="s">
        <v>6202</v>
      </c>
      <c r="G608" s="193">
        <f>IF(_1_541284561214624104645789101745[[#This Row],[Type]]&gt;0,VLOOKUP(_1_541284561214624104645789101745[[#This Row],[Type]],Main[[#All],[TYPE]:[UNIT]],'Unit Price'!C$1,FALSE),0)</f>
        <v>0</v>
      </c>
      <c r="H608" s="197">
        <f>IF(_1_541284561214624104645789101745[[#This Row],[Type]]&gt;0,VLOOKUP(_1_541284561214624104645789101745[[#This Row],[Type]],Main[[#All],[TYPE]:[UNIT]],'Unit Price'!D$1,FALSE),0)</f>
        <v>0</v>
      </c>
      <c r="I608" s="194">
        <f>IF(_1_541284561214624104645789101745[[#This Row],[Type]]&gt;0,VLOOKUP(_1_541284561214624104645789101745[[#This Row],[Type]],Main[[#All],[TYPE]:[UNIT]],'Unit Price'!G$1,FALSE),0)</f>
        <v>0</v>
      </c>
      <c r="J608" s="194">
        <f>IF(_1_541284561214624104645789101745[[#This Row],[Type]]&gt;0,VLOOKUP(_1_541284561214624104645789101745[[#This Row],[Type]],Main[[#All],[TYPE]:[UNIT]],'Unit Price'!H$1,FALSE),0)</f>
        <v>0</v>
      </c>
      <c r="K608" s="194">
        <f>IF(_1_541284561214624104645789101745[[#This Row],[Discount selection]]&gt;0,VLOOKUP(_1_541284561214624104645789101745[[#This Row],[Discount selection]],'Discount Structure'!$A$2:$B$30,2,"false"),0)</f>
        <v>1</v>
      </c>
      <c r="L608" s="194">
        <f>_1_541284561214624104645789101745[[#This Row],[LIST $]]*_1_541284561214624104645789101745[[#This Row],[DISCOUNT]]*_1_541284561214624104645789101745[[#This Row],[DISCOUNT 2]]</f>
        <v>0</v>
      </c>
      <c r="M608" s="194">
        <f>IF(OR(_1_541284561214624104645789101745[[#This Row],[UNIT]]&gt;0,_1_541284561214624104645789101745[[#This Row],[UNIT]]&lt;0),_1_541284561214624104645789101745[[#This Row],[UNIT]]*_1_541284561214624104645789101745[[#This Row],[COST]],0)</f>
        <v>0</v>
      </c>
      <c r="N608" s="194">
        <f t="shared" si="9"/>
        <v>1.5</v>
      </c>
      <c r="O608" s="198">
        <f>_1_541284561214624104645789101745[[#This Row],[TOTAL]]*_1_541284561214624104645789101745[[#This Row],[MARGIN]]</f>
        <v>0</v>
      </c>
      <c r="R608" s="41"/>
    </row>
    <row r="609" spans="4:18">
      <c r="D609" s="188"/>
      <c r="F609" s="168" t="s">
        <v>6202</v>
      </c>
      <c r="G609" s="193">
        <f>IF(_1_541284561214624104645789101745[[#This Row],[Type]]&gt;0,VLOOKUP(_1_541284561214624104645789101745[[#This Row],[Type]],Main[[#All],[TYPE]:[UNIT]],'Unit Price'!C$1,FALSE),0)</f>
        <v>0</v>
      </c>
      <c r="H609" s="197">
        <f>IF(_1_541284561214624104645789101745[[#This Row],[Type]]&gt;0,VLOOKUP(_1_541284561214624104645789101745[[#This Row],[Type]],Main[[#All],[TYPE]:[UNIT]],'Unit Price'!D$1,FALSE),0)</f>
        <v>0</v>
      </c>
      <c r="I609" s="194">
        <f>IF(_1_541284561214624104645789101745[[#This Row],[Type]]&gt;0,VLOOKUP(_1_541284561214624104645789101745[[#This Row],[Type]],Main[[#All],[TYPE]:[UNIT]],'Unit Price'!G$1,FALSE),0)</f>
        <v>0</v>
      </c>
      <c r="J609" s="194">
        <f>IF(_1_541284561214624104645789101745[[#This Row],[Type]]&gt;0,VLOOKUP(_1_541284561214624104645789101745[[#This Row],[Type]],Main[[#All],[TYPE]:[UNIT]],'Unit Price'!H$1,FALSE),0)</f>
        <v>0</v>
      </c>
      <c r="K609" s="194">
        <f>IF(_1_541284561214624104645789101745[[#This Row],[Discount selection]]&gt;0,VLOOKUP(_1_541284561214624104645789101745[[#This Row],[Discount selection]],'Discount Structure'!$A$2:$B$30,2,"false"),0)</f>
        <v>1</v>
      </c>
      <c r="L609" s="194">
        <f>_1_541284561214624104645789101745[[#This Row],[LIST $]]*_1_541284561214624104645789101745[[#This Row],[DISCOUNT]]*_1_541284561214624104645789101745[[#This Row],[DISCOUNT 2]]</f>
        <v>0</v>
      </c>
      <c r="M609" s="194">
        <f>IF(OR(_1_541284561214624104645789101745[[#This Row],[UNIT]]&gt;0,_1_541284561214624104645789101745[[#This Row],[UNIT]]&lt;0),_1_541284561214624104645789101745[[#This Row],[UNIT]]*_1_541284561214624104645789101745[[#This Row],[COST]],0)</f>
        <v>0</v>
      </c>
      <c r="N609" s="194">
        <f t="shared" si="9"/>
        <v>1.5</v>
      </c>
      <c r="O609" s="198">
        <f>_1_541284561214624104645789101745[[#This Row],[TOTAL]]*_1_541284561214624104645789101745[[#This Row],[MARGIN]]</f>
        <v>0</v>
      </c>
      <c r="R609" s="41"/>
    </row>
    <row r="610" spans="4:18">
      <c r="D610" s="188"/>
      <c r="F610" s="168" t="s">
        <v>6202</v>
      </c>
      <c r="G610" s="193">
        <f>IF(_1_541284561214624104645789101745[[#This Row],[Type]]&gt;0,VLOOKUP(_1_541284561214624104645789101745[[#This Row],[Type]],Main[[#All],[TYPE]:[UNIT]],'Unit Price'!C$1,FALSE),0)</f>
        <v>0</v>
      </c>
      <c r="H610" s="197">
        <f>IF(_1_541284561214624104645789101745[[#This Row],[Type]]&gt;0,VLOOKUP(_1_541284561214624104645789101745[[#This Row],[Type]],Main[[#All],[TYPE]:[UNIT]],'Unit Price'!D$1,FALSE),0)</f>
        <v>0</v>
      </c>
      <c r="I610" s="194">
        <f>IF(_1_541284561214624104645789101745[[#This Row],[Type]]&gt;0,VLOOKUP(_1_541284561214624104645789101745[[#This Row],[Type]],Main[[#All],[TYPE]:[UNIT]],'Unit Price'!G$1,FALSE),0)</f>
        <v>0</v>
      </c>
      <c r="J610" s="194">
        <f>IF(_1_541284561214624104645789101745[[#This Row],[Type]]&gt;0,VLOOKUP(_1_541284561214624104645789101745[[#This Row],[Type]],Main[[#All],[TYPE]:[UNIT]],'Unit Price'!H$1,FALSE),0)</f>
        <v>0</v>
      </c>
      <c r="K610" s="194">
        <f>IF(_1_541284561214624104645789101745[[#This Row],[Discount selection]]&gt;0,VLOOKUP(_1_541284561214624104645789101745[[#This Row],[Discount selection]],'Discount Structure'!$A$2:$B$30,2,"false"),0)</f>
        <v>1</v>
      </c>
      <c r="L610" s="194">
        <f>_1_541284561214624104645789101745[[#This Row],[LIST $]]*_1_541284561214624104645789101745[[#This Row],[DISCOUNT]]*_1_541284561214624104645789101745[[#This Row],[DISCOUNT 2]]</f>
        <v>0</v>
      </c>
      <c r="M610" s="194">
        <f>IF(OR(_1_541284561214624104645789101745[[#This Row],[UNIT]]&gt;0,_1_541284561214624104645789101745[[#This Row],[UNIT]]&lt;0),_1_541284561214624104645789101745[[#This Row],[UNIT]]*_1_541284561214624104645789101745[[#This Row],[COST]],0)</f>
        <v>0</v>
      </c>
      <c r="N610" s="194">
        <f t="shared" si="9"/>
        <v>1.5</v>
      </c>
      <c r="O610" s="198">
        <f>_1_541284561214624104645789101745[[#This Row],[TOTAL]]*_1_541284561214624104645789101745[[#This Row],[MARGIN]]</f>
        <v>0</v>
      </c>
      <c r="R610" s="41"/>
    </row>
    <row r="611" spans="4:18">
      <c r="D611" s="188"/>
      <c r="F611" s="168" t="s">
        <v>6202</v>
      </c>
      <c r="G611" s="193">
        <f>IF(_1_541284561214624104645789101745[[#This Row],[Type]]&gt;0,VLOOKUP(_1_541284561214624104645789101745[[#This Row],[Type]],Main[[#All],[TYPE]:[UNIT]],'Unit Price'!C$1,FALSE),0)</f>
        <v>0</v>
      </c>
      <c r="H611" s="197">
        <f>IF(_1_541284561214624104645789101745[[#This Row],[Type]]&gt;0,VLOOKUP(_1_541284561214624104645789101745[[#This Row],[Type]],Main[[#All],[TYPE]:[UNIT]],'Unit Price'!D$1,FALSE),0)</f>
        <v>0</v>
      </c>
      <c r="I611" s="194">
        <f>IF(_1_541284561214624104645789101745[[#This Row],[Type]]&gt;0,VLOOKUP(_1_541284561214624104645789101745[[#This Row],[Type]],Main[[#All],[TYPE]:[UNIT]],'Unit Price'!G$1,FALSE),0)</f>
        <v>0</v>
      </c>
      <c r="J611" s="194">
        <f>IF(_1_541284561214624104645789101745[[#This Row],[Type]]&gt;0,VLOOKUP(_1_541284561214624104645789101745[[#This Row],[Type]],Main[[#All],[TYPE]:[UNIT]],'Unit Price'!H$1,FALSE),0)</f>
        <v>0</v>
      </c>
      <c r="K611" s="194">
        <f>IF(_1_541284561214624104645789101745[[#This Row],[Discount selection]]&gt;0,VLOOKUP(_1_541284561214624104645789101745[[#This Row],[Discount selection]],'Discount Structure'!$A$2:$B$30,2,"false"),0)</f>
        <v>1</v>
      </c>
      <c r="L611" s="194">
        <f>_1_541284561214624104645789101745[[#This Row],[LIST $]]*_1_541284561214624104645789101745[[#This Row],[DISCOUNT]]*_1_541284561214624104645789101745[[#This Row],[DISCOUNT 2]]</f>
        <v>0</v>
      </c>
      <c r="M611" s="194">
        <f>IF(OR(_1_541284561214624104645789101745[[#This Row],[UNIT]]&gt;0,_1_541284561214624104645789101745[[#This Row],[UNIT]]&lt;0),_1_541284561214624104645789101745[[#This Row],[UNIT]]*_1_541284561214624104645789101745[[#This Row],[COST]],0)</f>
        <v>0</v>
      </c>
      <c r="N611" s="194">
        <f t="shared" si="9"/>
        <v>1.5</v>
      </c>
      <c r="O611" s="198">
        <f>_1_541284561214624104645789101745[[#This Row],[TOTAL]]*_1_541284561214624104645789101745[[#This Row],[MARGIN]]</f>
        <v>0</v>
      </c>
      <c r="R611" s="41"/>
    </row>
    <row r="612" spans="4:18">
      <c r="D612" s="188"/>
      <c r="F612" s="168" t="s">
        <v>6202</v>
      </c>
      <c r="G612" s="193">
        <f>IF(_1_541284561214624104645789101745[[#This Row],[Type]]&gt;0,VLOOKUP(_1_541284561214624104645789101745[[#This Row],[Type]],Main[[#All],[TYPE]:[UNIT]],'Unit Price'!C$1,FALSE),0)</f>
        <v>0</v>
      </c>
      <c r="H612" s="197">
        <f>IF(_1_541284561214624104645789101745[[#This Row],[Type]]&gt;0,VLOOKUP(_1_541284561214624104645789101745[[#This Row],[Type]],Main[[#All],[TYPE]:[UNIT]],'Unit Price'!D$1,FALSE),0)</f>
        <v>0</v>
      </c>
      <c r="I612" s="194">
        <f>IF(_1_541284561214624104645789101745[[#This Row],[Type]]&gt;0,VLOOKUP(_1_541284561214624104645789101745[[#This Row],[Type]],Main[[#All],[TYPE]:[UNIT]],'Unit Price'!G$1,FALSE),0)</f>
        <v>0</v>
      </c>
      <c r="J612" s="194">
        <f>IF(_1_541284561214624104645789101745[[#This Row],[Type]]&gt;0,VLOOKUP(_1_541284561214624104645789101745[[#This Row],[Type]],Main[[#All],[TYPE]:[UNIT]],'Unit Price'!H$1,FALSE),0)</f>
        <v>0</v>
      </c>
      <c r="K612" s="194">
        <f>IF(_1_541284561214624104645789101745[[#This Row],[Discount selection]]&gt;0,VLOOKUP(_1_541284561214624104645789101745[[#This Row],[Discount selection]],'Discount Structure'!$A$2:$B$30,2,"false"),0)</f>
        <v>1</v>
      </c>
      <c r="L612" s="194">
        <f>_1_541284561214624104645789101745[[#This Row],[LIST $]]*_1_541284561214624104645789101745[[#This Row],[DISCOUNT]]*_1_541284561214624104645789101745[[#This Row],[DISCOUNT 2]]</f>
        <v>0</v>
      </c>
      <c r="M612" s="194">
        <f>IF(OR(_1_541284561214624104645789101745[[#This Row],[UNIT]]&gt;0,_1_541284561214624104645789101745[[#This Row],[UNIT]]&lt;0),_1_541284561214624104645789101745[[#This Row],[UNIT]]*_1_541284561214624104645789101745[[#This Row],[COST]],0)</f>
        <v>0</v>
      </c>
      <c r="N612" s="194">
        <f t="shared" si="9"/>
        <v>1.5</v>
      </c>
      <c r="O612" s="198">
        <f>_1_541284561214624104645789101745[[#This Row],[TOTAL]]*_1_541284561214624104645789101745[[#This Row],[MARGIN]]</f>
        <v>0</v>
      </c>
      <c r="R612" s="41"/>
    </row>
    <row r="613" spans="4:18">
      <c r="D613" s="188"/>
      <c r="F613" s="168" t="s">
        <v>6202</v>
      </c>
      <c r="G613" s="193">
        <f>IF(_1_541284561214624104645789101745[[#This Row],[Type]]&gt;0,VLOOKUP(_1_541284561214624104645789101745[[#This Row],[Type]],Main[[#All],[TYPE]:[UNIT]],'Unit Price'!C$1,FALSE),0)</f>
        <v>0</v>
      </c>
      <c r="H613" s="197">
        <f>IF(_1_541284561214624104645789101745[[#This Row],[Type]]&gt;0,VLOOKUP(_1_541284561214624104645789101745[[#This Row],[Type]],Main[[#All],[TYPE]:[UNIT]],'Unit Price'!D$1,FALSE),0)</f>
        <v>0</v>
      </c>
      <c r="I613" s="194">
        <f>IF(_1_541284561214624104645789101745[[#This Row],[Type]]&gt;0,VLOOKUP(_1_541284561214624104645789101745[[#This Row],[Type]],Main[[#All],[TYPE]:[UNIT]],'Unit Price'!G$1,FALSE),0)</f>
        <v>0</v>
      </c>
      <c r="J613" s="194">
        <f>IF(_1_541284561214624104645789101745[[#This Row],[Type]]&gt;0,VLOOKUP(_1_541284561214624104645789101745[[#This Row],[Type]],Main[[#All],[TYPE]:[UNIT]],'Unit Price'!H$1,FALSE),0)</f>
        <v>0</v>
      </c>
      <c r="K613" s="194">
        <f>IF(_1_541284561214624104645789101745[[#This Row],[Discount selection]]&gt;0,VLOOKUP(_1_541284561214624104645789101745[[#This Row],[Discount selection]],'Discount Structure'!$A$2:$B$30,2,"false"),0)</f>
        <v>1</v>
      </c>
      <c r="L613" s="194">
        <f>_1_541284561214624104645789101745[[#This Row],[LIST $]]*_1_541284561214624104645789101745[[#This Row],[DISCOUNT]]*_1_541284561214624104645789101745[[#This Row],[DISCOUNT 2]]</f>
        <v>0</v>
      </c>
      <c r="M613" s="194">
        <f>IF(OR(_1_541284561214624104645789101745[[#This Row],[UNIT]]&gt;0,_1_541284561214624104645789101745[[#This Row],[UNIT]]&lt;0),_1_541284561214624104645789101745[[#This Row],[UNIT]]*_1_541284561214624104645789101745[[#This Row],[COST]],0)</f>
        <v>0</v>
      </c>
      <c r="N613" s="194">
        <f t="shared" si="9"/>
        <v>1.5</v>
      </c>
      <c r="O613" s="198">
        <f>_1_541284561214624104645789101745[[#This Row],[TOTAL]]*_1_541284561214624104645789101745[[#This Row],[MARGIN]]</f>
        <v>0</v>
      </c>
      <c r="R613" s="41"/>
    </row>
    <row r="614" spans="4:18">
      <c r="D614" s="188"/>
      <c r="F614" s="168" t="s">
        <v>6202</v>
      </c>
      <c r="G614" s="193">
        <f>IF(_1_541284561214624104645789101745[[#This Row],[Type]]&gt;0,VLOOKUP(_1_541284561214624104645789101745[[#This Row],[Type]],Main[[#All],[TYPE]:[UNIT]],'Unit Price'!C$1,FALSE),0)</f>
        <v>0</v>
      </c>
      <c r="H614" s="197">
        <f>IF(_1_541284561214624104645789101745[[#This Row],[Type]]&gt;0,VLOOKUP(_1_541284561214624104645789101745[[#This Row],[Type]],Main[[#All],[TYPE]:[UNIT]],'Unit Price'!D$1,FALSE),0)</f>
        <v>0</v>
      </c>
      <c r="I614" s="194">
        <f>IF(_1_541284561214624104645789101745[[#This Row],[Type]]&gt;0,VLOOKUP(_1_541284561214624104645789101745[[#This Row],[Type]],Main[[#All],[TYPE]:[UNIT]],'Unit Price'!G$1,FALSE),0)</f>
        <v>0</v>
      </c>
      <c r="J614" s="194">
        <f>IF(_1_541284561214624104645789101745[[#This Row],[Type]]&gt;0,VLOOKUP(_1_541284561214624104645789101745[[#This Row],[Type]],Main[[#All],[TYPE]:[UNIT]],'Unit Price'!H$1,FALSE),0)</f>
        <v>0</v>
      </c>
      <c r="K614" s="194">
        <f>IF(_1_541284561214624104645789101745[[#This Row],[Discount selection]]&gt;0,VLOOKUP(_1_541284561214624104645789101745[[#This Row],[Discount selection]],'Discount Structure'!$A$2:$B$30,2,"false"),0)</f>
        <v>1</v>
      </c>
      <c r="L614" s="194">
        <f>_1_541284561214624104645789101745[[#This Row],[LIST $]]*_1_541284561214624104645789101745[[#This Row],[DISCOUNT]]*_1_541284561214624104645789101745[[#This Row],[DISCOUNT 2]]</f>
        <v>0</v>
      </c>
      <c r="M614" s="194">
        <f>IF(OR(_1_541284561214624104645789101745[[#This Row],[UNIT]]&gt;0,_1_541284561214624104645789101745[[#This Row],[UNIT]]&lt;0),_1_541284561214624104645789101745[[#This Row],[UNIT]]*_1_541284561214624104645789101745[[#This Row],[COST]],0)</f>
        <v>0</v>
      </c>
      <c r="N614" s="194">
        <f t="shared" si="9"/>
        <v>1.5</v>
      </c>
      <c r="O614" s="198">
        <f>_1_541284561214624104645789101745[[#This Row],[TOTAL]]*_1_541284561214624104645789101745[[#This Row],[MARGIN]]</f>
        <v>0</v>
      </c>
      <c r="R614" s="41"/>
    </row>
    <row r="615" spans="4:18">
      <c r="D615" s="188"/>
      <c r="F615" s="168" t="s">
        <v>6202</v>
      </c>
      <c r="G615" s="193">
        <f>IF(_1_541284561214624104645789101745[[#This Row],[Type]]&gt;0,VLOOKUP(_1_541284561214624104645789101745[[#This Row],[Type]],Main[[#All],[TYPE]:[UNIT]],'Unit Price'!C$1,FALSE),0)</f>
        <v>0</v>
      </c>
      <c r="H615" s="197">
        <f>IF(_1_541284561214624104645789101745[[#This Row],[Type]]&gt;0,VLOOKUP(_1_541284561214624104645789101745[[#This Row],[Type]],Main[[#All],[TYPE]:[UNIT]],'Unit Price'!D$1,FALSE),0)</f>
        <v>0</v>
      </c>
      <c r="I615" s="194">
        <f>IF(_1_541284561214624104645789101745[[#This Row],[Type]]&gt;0,VLOOKUP(_1_541284561214624104645789101745[[#This Row],[Type]],Main[[#All],[TYPE]:[UNIT]],'Unit Price'!G$1,FALSE),0)</f>
        <v>0</v>
      </c>
      <c r="J615" s="194">
        <f>IF(_1_541284561214624104645789101745[[#This Row],[Type]]&gt;0,VLOOKUP(_1_541284561214624104645789101745[[#This Row],[Type]],Main[[#All],[TYPE]:[UNIT]],'Unit Price'!H$1,FALSE),0)</f>
        <v>0</v>
      </c>
      <c r="K615" s="194">
        <f>IF(_1_541284561214624104645789101745[[#This Row],[Discount selection]]&gt;0,VLOOKUP(_1_541284561214624104645789101745[[#This Row],[Discount selection]],'Discount Structure'!$A$2:$B$30,2,"false"),0)</f>
        <v>1</v>
      </c>
      <c r="L615" s="194">
        <f>_1_541284561214624104645789101745[[#This Row],[LIST $]]*_1_541284561214624104645789101745[[#This Row],[DISCOUNT]]*_1_541284561214624104645789101745[[#This Row],[DISCOUNT 2]]</f>
        <v>0</v>
      </c>
      <c r="M615" s="194">
        <f>IF(OR(_1_541284561214624104645789101745[[#This Row],[UNIT]]&gt;0,_1_541284561214624104645789101745[[#This Row],[UNIT]]&lt;0),_1_541284561214624104645789101745[[#This Row],[UNIT]]*_1_541284561214624104645789101745[[#This Row],[COST]],0)</f>
        <v>0</v>
      </c>
      <c r="N615" s="194">
        <f t="shared" si="9"/>
        <v>1.5</v>
      </c>
      <c r="O615" s="198">
        <f>_1_541284561214624104645789101745[[#This Row],[TOTAL]]*_1_541284561214624104645789101745[[#This Row],[MARGIN]]</f>
        <v>0</v>
      </c>
      <c r="R615" s="41"/>
    </row>
    <row r="616" spans="4:18">
      <c r="D616" s="188"/>
      <c r="F616" s="168" t="s">
        <v>6202</v>
      </c>
      <c r="G616" s="193">
        <f>IF(_1_541284561214624104645789101745[[#This Row],[Type]]&gt;0,VLOOKUP(_1_541284561214624104645789101745[[#This Row],[Type]],Main[[#All],[TYPE]:[UNIT]],'Unit Price'!C$1,FALSE),0)</f>
        <v>0</v>
      </c>
      <c r="H616" s="197">
        <f>IF(_1_541284561214624104645789101745[[#This Row],[Type]]&gt;0,VLOOKUP(_1_541284561214624104645789101745[[#This Row],[Type]],Main[[#All],[TYPE]:[UNIT]],'Unit Price'!D$1,FALSE),0)</f>
        <v>0</v>
      </c>
      <c r="I616" s="194">
        <f>IF(_1_541284561214624104645789101745[[#This Row],[Type]]&gt;0,VLOOKUP(_1_541284561214624104645789101745[[#This Row],[Type]],Main[[#All],[TYPE]:[UNIT]],'Unit Price'!G$1,FALSE),0)</f>
        <v>0</v>
      </c>
      <c r="J616" s="194">
        <f>IF(_1_541284561214624104645789101745[[#This Row],[Type]]&gt;0,VLOOKUP(_1_541284561214624104645789101745[[#This Row],[Type]],Main[[#All],[TYPE]:[UNIT]],'Unit Price'!H$1,FALSE),0)</f>
        <v>0</v>
      </c>
      <c r="K616" s="194">
        <f>IF(_1_541284561214624104645789101745[[#This Row],[Discount selection]]&gt;0,VLOOKUP(_1_541284561214624104645789101745[[#This Row],[Discount selection]],'Discount Structure'!$A$2:$B$30,2,"false"),0)</f>
        <v>1</v>
      </c>
      <c r="L616" s="194">
        <f>_1_541284561214624104645789101745[[#This Row],[LIST $]]*_1_541284561214624104645789101745[[#This Row],[DISCOUNT]]*_1_541284561214624104645789101745[[#This Row],[DISCOUNT 2]]</f>
        <v>0</v>
      </c>
      <c r="M616" s="194">
        <f>IF(OR(_1_541284561214624104645789101745[[#This Row],[UNIT]]&gt;0,_1_541284561214624104645789101745[[#This Row],[UNIT]]&lt;0),_1_541284561214624104645789101745[[#This Row],[UNIT]]*_1_541284561214624104645789101745[[#This Row],[COST]],0)</f>
        <v>0</v>
      </c>
      <c r="N616" s="194">
        <f t="shared" si="9"/>
        <v>1.5</v>
      </c>
      <c r="O616" s="198">
        <f>_1_541284561214624104645789101745[[#This Row],[TOTAL]]*_1_541284561214624104645789101745[[#This Row],[MARGIN]]</f>
        <v>0</v>
      </c>
      <c r="R616" s="41"/>
    </row>
    <row r="617" spans="4:18">
      <c r="D617" s="188"/>
      <c r="F617" s="168" t="s">
        <v>6202</v>
      </c>
      <c r="G617" s="193">
        <f>IF(_1_541284561214624104645789101745[[#This Row],[Type]]&gt;0,VLOOKUP(_1_541284561214624104645789101745[[#This Row],[Type]],Main[[#All],[TYPE]:[UNIT]],'Unit Price'!C$1,FALSE),0)</f>
        <v>0</v>
      </c>
      <c r="H617" s="197">
        <f>IF(_1_541284561214624104645789101745[[#This Row],[Type]]&gt;0,VLOOKUP(_1_541284561214624104645789101745[[#This Row],[Type]],Main[[#All],[TYPE]:[UNIT]],'Unit Price'!D$1,FALSE),0)</f>
        <v>0</v>
      </c>
      <c r="I617" s="194">
        <f>IF(_1_541284561214624104645789101745[[#This Row],[Type]]&gt;0,VLOOKUP(_1_541284561214624104645789101745[[#This Row],[Type]],Main[[#All],[TYPE]:[UNIT]],'Unit Price'!G$1,FALSE),0)</f>
        <v>0</v>
      </c>
      <c r="J617" s="194">
        <f>IF(_1_541284561214624104645789101745[[#This Row],[Type]]&gt;0,VLOOKUP(_1_541284561214624104645789101745[[#This Row],[Type]],Main[[#All],[TYPE]:[UNIT]],'Unit Price'!H$1,FALSE),0)</f>
        <v>0</v>
      </c>
      <c r="K617" s="194">
        <f>IF(_1_541284561214624104645789101745[[#This Row],[Discount selection]]&gt;0,VLOOKUP(_1_541284561214624104645789101745[[#This Row],[Discount selection]],'Discount Structure'!$A$2:$B$30,2,"false"),0)</f>
        <v>1</v>
      </c>
      <c r="L617" s="194">
        <f>_1_541284561214624104645789101745[[#This Row],[LIST $]]*_1_541284561214624104645789101745[[#This Row],[DISCOUNT]]*_1_541284561214624104645789101745[[#This Row],[DISCOUNT 2]]</f>
        <v>0</v>
      </c>
      <c r="M617" s="194">
        <f>IF(OR(_1_541284561214624104645789101745[[#This Row],[UNIT]]&gt;0,_1_541284561214624104645789101745[[#This Row],[UNIT]]&lt;0),_1_541284561214624104645789101745[[#This Row],[UNIT]]*_1_541284561214624104645789101745[[#This Row],[COST]],0)</f>
        <v>0</v>
      </c>
      <c r="N617" s="194">
        <f t="shared" si="9"/>
        <v>1.5</v>
      </c>
      <c r="O617" s="198">
        <f>_1_541284561214624104645789101745[[#This Row],[TOTAL]]*_1_541284561214624104645789101745[[#This Row],[MARGIN]]</f>
        <v>0</v>
      </c>
      <c r="R617" s="41"/>
    </row>
    <row r="618" spans="4:18">
      <c r="D618" s="188"/>
      <c r="F618" s="168" t="s">
        <v>6202</v>
      </c>
      <c r="G618" s="193">
        <f>IF(_1_541284561214624104645789101745[[#This Row],[Type]]&gt;0,VLOOKUP(_1_541284561214624104645789101745[[#This Row],[Type]],Main[[#All],[TYPE]:[UNIT]],'Unit Price'!C$1,FALSE),0)</f>
        <v>0</v>
      </c>
      <c r="H618" s="197">
        <f>IF(_1_541284561214624104645789101745[[#This Row],[Type]]&gt;0,VLOOKUP(_1_541284561214624104645789101745[[#This Row],[Type]],Main[[#All],[TYPE]:[UNIT]],'Unit Price'!D$1,FALSE),0)</f>
        <v>0</v>
      </c>
      <c r="I618" s="194">
        <f>IF(_1_541284561214624104645789101745[[#This Row],[Type]]&gt;0,VLOOKUP(_1_541284561214624104645789101745[[#This Row],[Type]],Main[[#All],[TYPE]:[UNIT]],'Unit Price'!G$1,FALSE),0)</f>
        <v>0</v>
      </c>
      <c r="J618" s="194">
        <f>IF(_1_541284561214624104645789101745[[#This Row],[Type]]&gt;0,VLOOKUP(_1_541284561214624104645789101745[[#This Row],[Type]],Main[[#All],[TYPE]:[UNIT]],'Unit Price'!H$1,FALSE),0)</f>
        <v>0</v>
      </c>
      <c r="K618" s="194">
        <f>IF(_1_541284561214624104645789101745[[#This Row],[Discount selection]]&gt;0,VLOOKUP(_1_541284561214624104645789101745[[#This Row],[Discount selection]],'Discount Structure'!$A$2:$B$30,2,"false"),0)</f>
        <v>1</v>
      </c>
      <c r="L618" s="194">
        <f>_1_541284561214624104645789101745[[#This Row],[LIST $]]*_1_541284561214624104645789101745[[#This Row],[DISCOUNT]]*_1_541284561214624104645789101745[[#This Row],[DISCOUNT 2]]</f>
        <v>0</v>
      </c>
      <c r="M618" s="194">
        <f>IF(OR(_1_541284561214624104645789101745[[#This Row],[UNIT]]&gt;0,_1_541284561214624104645789101745[[#This Row],[UNIT]]&lt;0),_1_541284561214624104645789101745[[#This Row],[UNIT]]*_1_541284561214624104645789101745[[#This Row],[COST]],0)</f>
        <v>0</v>
      </c>
      <c r="N618" s="194">
        <f t="shared" si="9"/>
        <v>1.5</v>
      </c>
      <c r="O618" s="198">
        <f>_1_541284561214624104645789101745[[#This Row],[TOTAL]]*_1_541284561214624104645789101745[[#This Row],[MARGIN]]</f>
        <v>0</v>
      </c>
      <c r="R618" s="41"/>
    </row>
    <row r="619" spans="4:18">
      <c r="D619" s="188"/>
      <c r="F619" s="168" t="s">
        <v>6202</v>
      </c>
      <c r="G619" s="193">
        <f>IF(_1_541284561214624104645789101745[[#This Row],[Type]]&gt;0,VLOOKUP(_1_541284561214624104645789101745[[#This Row],[Type]],Main[[#All],[TYPE]:[UNIT]],'Unit Price'!C$1,FALSE),0)</f>
        <v>0</v>
      </c>
      <c r="H619" s="197">
        <f>IF(_1_541284561214624104645789101745[[#This Row],[Type]]&gt;0,VLOOKUP(_1_541284561214624104645789101745[[#This Row],[Type]],Main[[#All],[TYPE]:[UNIT]],'Unit Price'!D$1,FALSE),0)</f>
        <v>0</v>
      </c>
      <c r="I619" s="194">
        <f>IF(_1_541284561214624104645789101745[[#This Row],[Type]]&gt;0,VLOOKUP(_1_541284561214624104645789101745[[#This Row],[Type]],Main[[#All],[TYPE]:[UNIT]],'Unit Price'!G$1,FALSE),0)</f>
        <v>0</v>
      </c>
      <c r="J619" s="194">
        <f>IF(_1_541284561214624104645789101745[[#This Row],[Type]]&gt;0,VLOOKUP(_1_541284561214624104645789101745[[#This Row],[Type]],Main[[#All],[TYPE]:[UNIT]],'Unit Price'!H$1,FALSE),0)</f>
        <v>0</v>
      </c>
      <c r="K619" s="194">
        <f>IF(_1_541284561214624104645789101745[[#This Row],[Discount selection]]&gt;0,VLOOKUP(_1_541284561214624104645789101745[[#This Row],[Discount selection]],'Discount Structure'!$A$2:$B$30,2,"false"),0)</f>
        <v>1</v>
      </c>
      <c r="L619" s="194">
        <f>_1_541284561214624104645789101745[[#This Row],[LIST $]]*_1_541284561214624104645789101745[[#This Row],[DISCOUNT]]*_1_541284561214624104645789101745[[#This Row],[DISCOUNT 2]]</f>
        <v>0</v>
      </c>
      <c r="M619" s="194">
        <f>IF(OR(_1_541284561214624104645789101745[[#This Row],[UNIT]]&gt;0,_1_541284561214624104645789101745[[#This Row],[UNIT]]&lt;0),_1_541284561214624104645789101745[[#This Row],[UNIT]]*_1_541284561214624104645789101745[[#This Row],[COST]],0)</f>
        <v>0</v>
      </c>
      <c r="N619" s="194">
        <f t="shared" si="9"/>
        <v>1.5</v>
      </c>
      <c r="O619" s="198">
        <f>_1_541284561214624104645789101745[[#This Row],[TOTAL]]*_1_541284561214624104645789101745[[#This Row],[MARGIN]]</f>
        <v>0</v>
      </c>
      <c r="R619" s="41"/>
    </row>
    <row r="620" spans="4:18">
      <c r="D620" s="188"/>
      <c r="F620" s="168" t="s">
        <v>6202</v>
      </c>
      <c r="G620" s="193">
        <f>IF(_1_541284561214624104645789101745[[#This Row],[Type]]&gt;0,VLOOKUP(_1_541284561214624104645789101745[[#This Row],[Type]],Main[[#All],[TYPE]:[UNIT]],'Unit Price'!C$1,FALSE),0)</f>
        <v>0</v>
      </c>
      <c r="H620" s="197">
        <f>IF(_1_541284561214624104645789101745[[#This Row],[Type]]&gt;0,VLOOKUP(_1_541284561214624104645789101745[[#This Row],[Type]],Main[[#All],[TYPE]:[UNIT]],'Unit Price'!D$1,FALSE),0)</f>
        <v>0</v>
      </c>
      <c r="I620" s="194">
        <f>IF(_1_541284561214624104645789101745[[#This Row],[Type]]&gt;0,VLOOKUP(_1_541284561214624104645789101745[[#This Row],[Type]],Main[[#All],[TYPE]:[UNIT]],'Unit Price'!G$1,FALSE),0)</f>
        <v>0</v>
      </c>
      <c r="J620" s="194">
        <f>IF(_1_541284561214624104645789101745[[#This Row],[Type]]&gt;0,VLOOKUP(_1_541284561214624104645789101745[[#This Row],[Type]],Main[[#All],[TYPE]:[UNIT]],'Unit Price'!H$1,FALSE),0)</f>
        <v>0</v>
      </c>
      <c r="K620" s="194">
        <f>IF(_1_541284561214624104645789101745[[#This Row],[Discount selection]]&gt;0,VLOOKUP(_1_541284561214624104645789101745[[#This Row],[Discount selection]],'Discount Structure'!$A$2:$B$30,2,"false"),0)</f>
        <v>1</v>
      </c>
      <c r="L620" s="194">
        <f>_1_541284561214624104645789101745[[#This Row],[LIST $]]*_1_541284561214624104645789101745[[#This Row],[DISCOUNT]]*_1_541284561214624104645789101745[[#This Row],[DISCOUNT 2]]</f>
        <v>0</v>
      </c>
      <c r="M620" s="194">
        <f>IF(OR(_1_541284561214624104645789101745[[#This Row],[UNIT]]&gt;0,_1_541284561214624104645789101745[[#This Row],[UNIT]]&lt;0),_1_541284561214624104645789101745[[#This Row],[UNIT]]*_1_541284561214624104645789101745[[#This Row],[COST]],0)</f>
        <v>0</v>
      </c>
      <c r="N620" s="194">
        <f t="shared" si="9"/>
        <v>1.5</v>
      </c>
      <c r="O620" s="198">
        <f>_1_541284561214624104645789101745[[#This Row],[TOTAL]]*_1_541284561214624104645789101745[[#This Row],[MARGIN]]</f>
        <v>0</v>
      </c>
      <c r="R620" s="41"/>
    </row>
    <row r="621" spans="4:18">
      <c r="D621" s="188"/>
      <c r="F621" s="168" t="s">
        <v>6202</v>
      </c>
      <c r="G621" s="193">
        <f>IF(_1_541284561214624104645789101745[[#This Row],[Type]]&gt;0,VLOOKUP(_1_541284561214624104645789101745[[#This Row],[Type]],Main[[#All],[TYPE]:[UNIT]],'Unit Price'!C$1,FALSE),0)</f>
        <v>0</v>
      </c>
      <c r="H621" s="197">
        <f>IF(_1_541284561214624104645789101745[[#This Row],[Type]]&gt;0,VLOOKUP(_1_541284561214624104645789101745[[#This Row],[Type]],Main[[#All],[TYPE]:[UNIT]],'Unit Price'!D$1,FALSE),0)</f>
        <v>0</v>
      </c>
      <c r="I621" s="194">
        <f>IF(_1_541284561214624104645789101745[[#This Row],[Type]]&gt;0,VLOOKUP(_1_541284561214624104645789101745[[#This Row],[Type]],Main[[#All],[TYPE]:[UNIT]],'Unit Price'!G$1,FALSE),0)</f>
        <v>0</v>
      </c>
      <c r="J621" s="194">
        <f>IF(_1_541284561214624104645789101745[[#This Row],[Type]]&gt;0,VLOOKUP(_1_541284561214624104645789101745[[#This Row],[Type]],Main[[#All],[TYPE]:[UNIT]],'Unit Price'!H$1,FALSE),0)</f>
        <v>0</v>
      </c>
      <c r="K621" s="194">
        <f>IF(_1_541284561214624104645789101745[[#This Row],[Discount selection]]&gt;0,VLOOKUP(_1_541284561214624104645789101745[[#This Row],[Discount selection]],'Discount Structure'!$A$2:$B$30,2,"false"),0)</f>
        <v>1</v>
      </c>
      <c r="L621" s="194">
        <f>_1_541284561214624104645789101745[[#This Row],[LIST $]]*_1_541284561214624104645789101745[[#This Row],[DISCOUNT]]*_1_541284561214624104645789101745[[#This Row],[DISCOUNT 2]]</f>
        <v>0</v>
      </c>
      <c r="M621" s="194">
        <f>IF(OR(_1_541284561214624104645789101745[[#This Row],[UNIT]]&gt;0,_1_541284561214624104645789101745[[#This Row],[UNIT]]&lt;0),_1_541284561214624104645789101745[[#This Row],[UNIT]]*_1_541284561214624104645789101745[[#This Row],[COST]],0)</f>
        <v>0</v>
      </c>
      <c r="N621" s="194">
        <f t="shared" si="9"/>
        <v>1.5</v>
      </c>
      <c r="O621" s="198">
        <f>_1_541284561214624104645789101745[[#This Row],[TOTAL]]*_1_541284561214624104645789101745[[#This Row],[MARGIN]]</f>
        <v>0</v>
      </c>
      <c r="R621" s="41"/>
    </row>
    <row r="622" spans="4:18">
      <c r="D622" s="188"/>
      <c r="F622" s="168" t="s">
        <v>6202</v>
      </c>
      <c r="G622" s="193">
        <f>IF(_1_541284561214624104645789101745[[#This Row],[Type]]&gt;0,VLOOKUP(_1_541284561214624104645789101745[[#This Row],[Type]],Main[[#All],[TYPE]:[UNIT]],'Unit Price'!C$1,FALSE),0)</f>
        <v>0</v>
      </c>
      <c r="H622" s="197">
        <f>IF(_1_541284561214624104645789101745[[#This Row],[Type]]&gt;0,VLOOKUP(_1_541284561214624104645789101745[[#This Row],[Type]],Main[[#All],[TYPE]:[UNIT]],'Unit Price'!D$1,FALSE),0)</f>
        <v>0</v>
      </c>
      <c r="I622" s="194">
        <f>IF(_1_541284561214624104645789101745[[#This Row],[Type]]&gt;0,VLOOKUP(_1_541284561214624104645789101745[[#This Row],[Type]],Main[[#All],[TYPE]:[UNIT]],'Unit Price'!G$1,FALSE),0)</f>
        <v>0</v>
      </c>
      <c r="J622" s="194">
        <f>IF(_1_541284561214624104645789101745[[#This Row],[Type]]&gt;0,VLOOKUP(_1_541284561214624104645789101745[[#This Row],[Type]],Main[[#All],[TYPE]:[UNIT]],'Unit Price'!H$1,FALSE),0)</f>
        <v>0</v>
      </c>
      <c r="K622" s="194">
        <f>IF(_1_541284561214624104645789101745[[#This Row],[Discount selection]]&gt;0,VLOOKUP(_1_541284561214624104645789101745[[#This Row],[Discount selection]],'Discount Structure'!$A$2:$B$30,2,"false"),0)</f>
        <v>1</v>
      </c>
      <c r="L622" s="194">
        <f>_1_541284561214624104645789101745[[#This Row],[LIST $]]*_1_541284561214624104645789101745[[#This Row],[DISCOUNT]]*_1_541284561214624104645789101745[[#This Row],[DISCOUNT 2]]</f>
        <v>0</v>
      </c>
      <c r="M622" s="194">
        <f>IF(OR(_1_541284561214624104645789101745[[#This Row],[UNIT]]&gt;0,_1_541284561214624104645789101745[[#This Row],[UNIT]]&lt;0),_1_541284561214624104645789101745[[#This Row],[UNIT]]*_1_541284561214624104645789101745[[#This Row],[COST]],0)</f>
        <v>0</v>
      </c>
      <c r="N622" s="194">
        <f t="shared" si="9"/>
        <v>1.5</v>
      </c>
      <c r="O622" s="198">
        <f>_1_541284561214624104645789101745[[#This Row],[TOTAL]]*_1_541284561214624104645789101745[[#This Row],[MARGIN]]</f>
        <v>0</v>
      </c>
      <c r="R622" s="41"/>
    </row>
    <row r="623" spans="4:18">
      <c r="D623" s="188"/>
      <c r="F623" s="168" t="s">
        <v>6202</v>
      </c>
      <c r="G623" s="193">
        <f>IF(_1_541284561214624104645789101745[[#This Row],[Type]]&gt;0,VLOOKUP(_1_541284561214624104645789101745[[#This Row],[Type]],Main[[#All],[TYPE]:[UNIT]],'Unit Price'!C$1,FALSE),0)</f>
        <v>0</v>
      </c>
      <c r="H623" s="197">
        <f>IF(_1_541284561214624104645789101745[[#This Row],[Type]]&gt;0,VLOOKUP(_1_541284561214624104645789101745[[#This Row],[Type]],Main[[#All],[TYPE]:[UNIT]],'Unit Price'!D$1,FALSE),0)</f>
        <v>0</v>
      </c>
      <c r="I623" s="194">
        <f>IF(_1_541284561214624104645789101745[[#This Row],[Type]]&gt;0,VLOOKUP(_1_541284561214624104645789101745[[#This Row],[Type]],Main[[#All],[TYPE]:[UNIT]],'Unit Price'!G$1,FALSE),0)</f>
        <v>0</v>
      </c>
      <c r="J623" s="194">
        <f>IF(_1_541284561214624104645789101745[[#This Row],[Type]]&gt;0,VLOOKUP(_1_541284561214624104645789101745[[#This Row],[Type]],Main[[#All],[TYPE]:[UNIT]],'Unit Price'!H$1,FALSE),0)</f>
        <v>0</v>
      </c>
      <c r="K623" s="194">
        <f>IF(_1_541284561214624104645789101745[[#This Row],[Discount selection]]&gt;0,VLOOKUP(_1_541284561214624104645789101745[[#This Row],[Discount selection]],'Discount Structure'!$A$2:$B$30,2,"false"),0)</f>
        <v>1</v>
      </c>
      <c r="L623" s="194">
        <f>_1_541284561214624104645789101745[[#This Row],[LIST $]]*_1_541284561214624104645789101745[[#This Row],[DISCOUNT]]*_1_541284561214624104645789101745[[#This Row],[DISCOUNT 2]]</f>
        <v>0</v>
      </c>
      <c r="M623" s="194">
        <f>IF(OR(_1_541284561214624104645789101745[[#This Row],[UNIT]]&gt;0,_1_541284561214624104645789101745[[#This Row],[UNIT]]&lt;0),_1_541284561214624104645789101745[[#This Row],[UNIT]]*_1_541284561214624104645789101745[[#This Row],[COST]],0)</f>
        <v>0</v>
      </c>
      <c r="N623" s="194">
        <f t="shared" si="9"/>
        <v>1.5</v>
      </c>
      <c r="O623" s="198">
        <f>_1_541284561214624104645789101745[[#This Row],[TOTAL]]*_1_541284561214624104645789101745[[#This Row],[MARGIN]]</f>
        <v>0</v>
      </c>
      <c r="R623" s="41"/>
    </row>
    <row r="624" spans="4:18">
      <c r="D624" s="188"/>
      <c r="F624" s="168" t="s">
        <v>6202</v>
      </c>
      <c r="G624" s="193">
        <f>IF(_1_541284561214624104645789101745[[#This Row],[Type]]&gt;0,VLOOKUP(_1_541284561214624104645789101745[[#This Row],[Type]],Main[[#All],[TYPE]:[UNIT]],'Unit Price'!C$1,FALSE),0)</f>
        <v>0</v>
      </c>
      <c r="H624" s="197">
        <f>IF(_1_541284561214624104645789101745[[#This Row],[Type]]&gt;0,VLOOKUP(_1_541284561214624104645789101745[[#This Row],[Type]],Main[[#All],[TYPE]:[UNIT]],'Unit Price'!D$1,FALSE),0)</f>
        <v>0</v>
      </c>
      <c r="I624" s="194">
        <f>IF(_1_541284561214624104645789101745[[#This Row],[Type]]&gt;0,VLOOKUP(_1_541284561214624104645789101745[[#This Row],[Type]],Main[[#All],[TYPE]:[UNIT]],'Unit Price'!G$1,FALSE),0)</f>
        <v>0</v>
      </c>
      <c r="J624" s="194">
        <f>IF(_1_541284561214624104645789101745[[#This Row],[Type]]&gt;0,VLOOKUP(_1_541284561214624104645789101745[[#This Row],[Type]],Main[[#All],[TYPE]:[UNIT]],'Unit Price'!H$1,FALSE),0)</f>
        <v>0</v>
      </c>
      <c r="K624" s="194">
        <f>IF(_1_541284561214624104645789101745[[#This Row],[Discount selection]]&gt;0,VLOOKUP(_1_541284561214624104645789101745[[#This Row],[Discount selection]],'Discount Structure'!$A$2:$B$30,2,"false"),0)</f>
        <v>1</v>
      </c>
      <c r="L624" s="194">
        <f>_1_541284561214624104645789101745[[#This Row],[LIST $]]*_1_541284561214624104645789101745[[#This Row],[DISCOUNT]]*_1_541284561214624104645789101745[[#This Row],[DISCOUNT 2]]</f>
        <v>0</v>
      </c>
      <c r="M624" s="194">
        <f>IF(OR(_1_541284561214624104645789101745[[#This Row],[UNIT]]&gt;0,_1_541284561214624104645789101745[[#This Row],[UNIT]]&lt;0),_1_541284561214624104645789101745[[#This Row],[UNIT]]*_1_541284561214624104645789101745[[#This Row],[COST]],0)</f>
        <v>0</v>
      </c>
      <c r="N624" s="194">
        <f t="shared" si="9"/>
        <v>1.5</v>
      </c>
      <c r="O624" s="198">
        <f>_1_541284561214624104645789101745[[#This Row],[TOTAL]]*_1_541284561214624104645789101745[[#This Row],[MARGIN]]</f>
        <v>0</v>
      </c>
      <c r="R624" s="41"/>
    </row>
    <row r="625" spans="4:18">
      <c r="D625" s="188"/>
      <c r="F625" s="168" t="s">
        <v>6202</v>
      </c>
      <c r="G625" s="193">
        <f>IF(_1_541284561214624104645789101745[[#This Row],[Type]]&gt;0,VLOOKUP(_1_541284561214624104645789101745[[#This Row],[Type]],Main[[#All],[TYPE]:[UNIT]],'Unit Price'!C$1,FALSE),0)</f>
        <v>0</v>
      </c>
      <c r="H625" s="197">
        <f>IF(_1_541284561214624104645789101745[[#This Row],[Type]]&gt;0,VLOOKUP(_1_541284561214624104645789101745[[#This Row],[Type]],Main[[#All],[TYPE]:[UNIT]],'Unit Price'!D$1,FALSE),0)</f>
        <v>0</v>
      </c>
      <c r="I625" s="194">
        <f>IF(_1_541284561214624104645789101745[[#This Row],[Type]]&gt;0,VLOOKUP(_1_541284561214624104645789101745[[#This Row],[Type]],Main[[#All],[TYPE]:[UNIT]],'Unit Price'!G$1,FALSE),0)</f>
        <v>0</v>
      </c>
      <c r="J625" s="194">
        <f>IF(_1_541284561214624104645789101745[[#This Row],[Type]]&gt;0,VLOOKUP(_1_541284561214624104645789101745[[#This Row],[Type]],Main[[#All],[TYPE]:[UNIT]],'Unit Price'!H$1,FALSE),0)</f>
        <v>0</v>
      </c>
      <c r="K625" s="194">
        <f>IF(_1_541284561214624104645789101745[[#This Row],[Discount selection]]&gt;0,VLOOKUP(_1_541284561214624104645789101745[[#This Row],[Discount selection]],'Discount Structure'!$A$2:$B$30,2,"false"),0)</f>
        <v>1</v>
      </c>
      <c r="L625" s="194">
        <f>_1_541284561214624104645789101745[[#This Row],[LIST $]]*_1_541284561214624104645789101745[[#This Row],[DISCOUNT]]*_1_541284561214624104645789101745[[#This Row],[DISCOUNT 2]]</f>
        <v>0</v>
      </c>
      <c r="M625" s="194">
        <f>IF(OR(_1_541284561214624104645789101745[[#This Row],[UNIT]]&gt;0,_1_541284561214624104645789101745[[#This Row],[UNIT]]&lt;0),_1_541284561214624104645789101745[[#This Row],[UNIT]]*_1_541284561214624104645789101745[[#This Row],[COST]],0)</f>
        <v>0</v>
      </c>
      <c r="N625" s="194">
        <f t="shared" si="9"/>
        <v>1.5</v>
      </c>
      <c r="O625" s="198">
        <f>_1_541284561214624104645789101745[[#This Row],[TOTAL]]*_1_541284561214624104645789101745[[#This Row],[MARGIN]]</f>
        <v>0</v>
      </c>
      <c r="R625" s="41"/>
    </row>
    <row r="626" spans="4:18">
      <c r="D626" s="188"/>
      <c r="F626" s="168" t="s">
        <v>6202</v>
      </c>
      <c r="G626" s="193">
        <f>IF(_1_541284561214624104645789101745[[#This Row],[Type]]&gt;0,VLOOKUP(_1_541284561214624104645789101745[[#This Row],[Type]],Main[[#All],[TYPE]:[UNIT]],'Unit Price'!C$1,FALSE),0)</f>
        <v>0</v>
      </c>
      <c r="H626" s="197">
        <f>IF(_1_541284561214624104645789101745[[#This Row],[Type]]&gt;0,VLOOKUP(_1_541284561214624104645789101745[[#This Row],[Type]],Main[[#All],[TYPE]:[UNIT]],'Unit Price'!D$1,FALSE),0)</f>
        <v>0</v>
      </c>
      <c r="I626" s="194">
        <f>IF(_1_541284561214624104645789101745[[#This Row],[Type]]&gt;0,VLOOKUP(_1_541284561214624104645789101745[[#This Row],[Type]],Main[[#All],[TYPE]:[UNIT]],'Unit Price'!G$1,FALSE),0)</f>
        <v>0</v>
      </c>
      <c r="J626" s="194">
        <f>IF(_1_541284561214624104645789101745[[#This Row],[Type]]&gt;0,VLOOKUP(_1_541284561214624104645789101745[[#This Row],[Type]],Main[[#All],[TYPE]:[UNIT]],'Unit Price'!H$1,FALSE),0)</f>
        <v>0</v>
      </c>
      <c r="K626" s="194">
        <f>IF(_1_541284561214624104645789101745[[#This Row],[Discount selection]]&gt;0,VLOOKUP(_1_541284561214624104645789101745[[#This Row],[Discount selection]],'Discount Structure'!$A$2:$B$30,2,"false"),0)</f>
        <v>1</v>
      </c>
      <c r="L626" s="194">
        <f>_1_541284561214624104645789101745[[#This Row],[LIST $]]*_1_541284561214624104645789101745[[#This Row],[DISCOUNT]]*_1_541284561214624104645789101745[[#This Row],[DISCOUNT 2]]</f>
        <v>0</v>
      </c>
      <c r="M626" s="194">
        <f>IF(OR(_1_541284561214624104645789101745[[#This Row],[UNIT]]&gt;0,_1_541284561214624104645789101745[[#This Row],[UNIT]]&lt;0),_1_541284561214624104645789101745[[#This Row],[UNIT]]*_1_541284561214624104645789101745[[#This Row],[COST]],0)</f>
        <v>0</v>
      </c>
      <c r="N626" s="194">
        <f t="shared" si="9"/>
        <v>1.5</v>
      </c>
      <c r="O626" s="198">
        <f>_1_541284561214624104645789101745[[#This Row],[TOTAL]]*_1_541284561214624104645789101745[[#This Row],[MARGIN]]</f>
        <v>0</v>
      </c>
      <c r="R626" s="41"/>
    </row>
    <row r="627" spans="4:18">
      <c r="D627" s="188"/>
      <c r="F627" s="168" t="s">
        <v>6202</v>
      </c>
      <c r="G627" s="193">
        <f>IF(_1_541284561214624104645789101745[[#This Row],[Type]]&gt;0,VLOOKUP(_1_541284561214624104645789101745[[#This Row],[Type]],Main[[#All],[TYPE]:[UNIT]],'Unit Price'!C$1,FALSE),0)</f>
        <v>0</v>
      </c>
      <c r="H627" s="197">
        <f>IF(_1_541284561214624104645789101745[[#This Row],[Type]]&gt;0,VLOOKUP(_1_541284561214624104645789101745[[#This Row],[Type]],Main[[#All],[TYPE]:[UNIT]],'Unit Price'!D$1,FALSE),0)</f>
        <v>0</v>
      </c>
      <c r="I627" s="194">
        <f>IF(_1_541284561214624104645789101745[[#This Row],[Type]]&gt;0,VLOOKUP(_1_541284561214624104645789101745[[#This Row],[Type]],Main[[#All],[TYPE]:[UNIT]],'Unit Price'!G$1,FALSE),0)</f>
        <v>0</v>
      </c>
      <c r="J627" s="194">
        <f>IF(_1_541284561214624104645789101745[[#This Row],[Type]]&gt;0,VLOOKUP(_1_541284561214624104645789101745[[#This Row],[Type]],Main[[#All],[TYPE]:[UNIT]],'Unit Price'!H$1,FALSE),0)</f>
        <v>0</v>
      </c>
      <c r="K627" s="194">
        <f>IF(_1_541284561214624104645789101745[[#This Row],[Discount selection]]&gt;0,VLOOKUP(_1_541284561214624104645789101745[[#This Row],[Discount selection]],'Discount Structure'!$A$2:$B$30,2,"false"),0)</f>
        <v>1</v>
      </c>
      <c r="L627" s="194">
        <f>_1_541284561214624104645789101745[[#This Row],[LIST $]]*_1_541284561214624104645789101745[[#This Row],[DISCOUNT]]*_1_541284561214624104645789101745[[#This Row],[DISCOUNT 2]]</f>
        <v>0</v>
      </c>
      <c r="M627" s="194">
        <f>IF(OR(_1_541284561214624104645789101745[[#This Row],[UNIT]]&gt;0,_1_541284561214624104645789101745[[#This Row],[UNIT]]&lt;0),_1_541284561214624104645789101745[[#This Row],[UNIT]]*_1_541284561214624104645789101745[[#This Row],[COST]],0)</f>
        <v>0</v>
      </c>
      <c r="N627" s="194">
        <f t="shared" si="9"/>
        <v>1.5</v>
      </c>
      <c r="O627" s="198">
        <f>_1_541284561214624104645789101745[[#This Row],[TOTAL]]*_1_541284561214624104645789101745[[#This Row],[MARGIN]]</f>
        <v>0</v>
      </c>
      <c r="R627" s="41"/>
    </row>
    <row r="628" spans="4:18">
      <c r="D628" s="188"/>
      <c r="F628" s="168" t="s">
        <v>6202</v>
      </c>
      <c r="G628" s="193">
        <f>IF(_1_541284561214624104645789101745[[#This Row],[Type]]&gt;0,VLOOKUP(_1_541284561214624104645789101745[[#This Row],[Type]],Main[[#All],[TYPE]:[UNIT]],'Unit Price'!C$1,FALSE),0)</f>
        <v>0</v>
      </c>
      <c r="H628" s="197">
        <f>IF(_1_541284561214624104645789101745[[#This Row],[Type]]&gt;0,VLOOKUP(_1_541284561214624104645789101745[[#This Row],[Type]],Main[[#All],[TYPE]:[UNIT]],'Unit Price'!D$1,FALSE),0)</f>
        <v>0</v>
      </c>
      <c r="I628" s="194">
        <f>IF(_1_541284561214624104645789101745[[#This Row],[Type]]&gt;0,VLOOKUP(_1_541284561214624104645789101745[[#This Row],[Type]],Main[[#All],[TYPE]:[UNIT]],'Unit Price'!G$1,FALSE),0)</f>
        <v>0</v>
      </c>
      <c r="J628" s="194">
        <f>IF(_1_541284561214624104645789101745[[#This Row],[Type]]&gt;0,VLOOKUP(_1_541284561214624104645789101745[[#This Row],[Type]],Main[[#All],[TYPE]:[UNIT]],'Unit Price'!H$1,FALSE),0)</f>
        <v>0</v>
      </c>
      <c r="K628" s="194">
        <f>IF(_1_541284561214624104645789101745[[#This Row],[Discount selection]]&gt;0,VLOOKUP(_1_541284561214624104645789101745[[#This Row],[Discount selection]],'Discount Structure'!$A$2:$B$30,2,"false"),0)</f>
        <v>1</v>
      </c>
      <c r="L628" s="194">
        <f>_1_541284561214624104645789101745[[#This Row],[LIST $]]*_1_541284561214624104645789101745[[#This Row],[DISCOUNT]]*_1_541284561214624104645789101745[[#This Row],[DISCOUNT 2]]</f>
        <v>0</v>
      </c>
      <c r="M628" s="194">
        <f>IF(OR(_1_541284561214624104645789101745[[#This Row],[UNIT]]&gt;0,_1_541284561214624104645789101745[[#This Row],[UNIT]]&lt;0),_1_541284561214624104645789101745[[#This Row],[UNIT]]*_1_541284561214624104645789101745[[#This Row],[COST]],0)</f>
        <v>0</v>
      </c>
      <c r="N628" s="194">
        <f t="shared" si="9"/>
        <v>1.5</v>
      </c>
      <c r="O628" s="198">
        <f>_1_541284561214624104645789101745[[#This Row],[TOTAL]]*_1_541284561214624104645789101745[[#This Row],[MARGIN]]</f>
        <v>0</v>
      </c>
      <c r="R628" s="41"/>
    </row>
    <row r="629" spans="4:18">
      <c r="D629" s="188"/>
      <c r="F629" s="168" t="s">
        <v>6202</v>
      </c>
      <c r="G629" s="193">
        <f>IF(_1_541284561214624104645789101745[[#This Row],[Type]]&gt;0,VLOOKUP(_1_541284561214624104645789101745[[#This Row],[Type]],Main[[#All],[TYPE]:[UNIT]],'Unit Price'!C$1,FALSE),0)</f>
        <v>0</v>
      </c>
      <c r="H629" s="197">
        <f>IF(_1_541284561214624104645789101745[[#This Row],[Type]]&gt;0,VLOOKUP(_1_541284561214624104645789101745[[#This Row],[Type]],Main[[#All],[TYPE]:[UNIT]],'Unit Price'!D$1,FALSE),0)</f>
        <v>0</v>
      </c>
      <c r="I629" s="194">
        <f>IF(_1_541284561214624104645789101745[[#This Row],[Type]]&gt;0,VLOOKUP(_1_541284561214624104645789101745[[#This Row],[Type]],Main[[#All],[TYPE]:[UNIT]],'Unit Price'!G$1,FALSE),0)</f>
        <v>0</v>
      </c>
      <c r="J629" s="194">
        <f>IF(_1_541284561214624104645789101745[[#This Row],[Type]]&gt;0,VLOOKUP(_1_541284561214624104645789101745[[#This Row],[Type]],Main[[#All],[TYPE]:[UNIT]],'Unit Price'!H$1,FALSE),0)</f>
        <v>0</v>
      </c>
      <c r="K629" s="194">
        <f>IF(_1_541284561214624104645789101745[[#This Row],[Discount selection]]&gt;0,VLOOKUP(_1_541284561214624104645789101745[[#This Row],[Discount selection]],'Discount Structure'!$A$2:$B$30,2,"false"),0)</f>
        <v>1</v>
      </c>
      <c r="L629" s="194">
        <f>_1_541284561214624104645789101745[[#This Row],[LIST $]]*_1_541284561214624104645789101745[[#This Row],[DISCOUNT]]*_1_541284561214624104645789101745[[#This Row],[DISCOUNT 2]]</f>
        <v>0</v>
      </c>
      <c r="M629" s="194">
        <f>IF(OR(_1_541284561214624104645789101745[[#This Row],[UNIT]]&gt;0,_1_541284561214624104645789101745[[#This Row],[UNIT]]&lt;0),_1_541284561214624104645789101745[[#This Row],[UNIT]]*_1_541284561214624104645789101745[[#This Row],[COST]],0)</f>
        <v>0</v>
      </c>
      <c r="N629" s="194">
        <f t="shared" si="9"/>
        <v>1.5</v>
      </c>
      <c r="O629" s="198">
        <f>_1_541284561214624104645789101745[[#This Row],[TOTAL]]*_1_541284561214624104645789101745[[#This Row],[MARGIN]]</f>
        <v>0</v>
      </c>
      <c r="R629" s="41"/>
    </row>
    <row r="630" spans="4:18">
      <c r="D630" s="188"/>
      <c r="F630" s="168" t="s">
        <v>6202</v>
      </c>
      <c r="G630" s="193">
        <f>IF(_1_541284561214624104645789101745[[#This Row],[Type]]&gt;0,VLOOKUP(_1_541284561214624104645789101745[[#This Row],[Type]],Main[[#All],[TYPE]:[UNIT]],'Unit Price'!C$1,FALSE),0)</f>
        <v>0</v>
      </c>
      <c r="H630" s="197">
        <f>IF(_1_541284561214624104645789101745[[#This Row],[Type]]&gt;0,VLOOKUP(_1_541284561214624104645789101745[[#This Row],[Type]],Main[[#All],[TYPE]:[UNIT]],'Unit Price'!D$1,FALSE),0)</f>
        <v>0</v>
      </c>
      <c r="I630" s="194">
        <f>IF(_1_541284561214624104645789101745[[#This Row],[Type]]&gt;0,VLOOKUP(_1_541284561214624104645789101745[[#This Row],[Type]],Main[[#All],[TYPE]:[UNIT]],'Unit Price'!G$1,FALSE),0)</f>
        <v>0</v>
      </c>
      <c r="J630" s="194">
        <f>IF(_1_541284561214624104645789101745[[#This Row],[Type]]&gt;0,VLOOKUP(_1_541284561214624104645789101745[[#This Row],[Type]],Main[[#All],[TYPE]:[UNIT]],'Unit Price'!H$1,FALSE),0)</f>
        <v>0</v>
      </c>
      <c r="K630" s="194">
        <f>IF(_1_541284561214624104645789101745[[#This Row],[Discount selection]]&gt;0,VLOOKUP(_1_541284561214624104645789101745[[#This Row],[Discount selection]],'Discount Structure'!$A$2:$B$30,2,"false"),0)</f>
        <v>1</v>
      </c>
      <c r="L630" s="194">
        <f>_1_541284561214624104645789101745[[#This Row],[LIST $]]*_1_541284561214624104645789101745[[#This Row],[DISCOUNT]]*_1_541284561214624104645789101745[[#This Row],[DISCOUNT 2]]</f>
        <v>0</v>
      </c>
      <c r="M630" s="194">
        <f>IF(OR(_1_541284561214624104645789101745[[#This Row],[UNIT]]&gt;0,_1_541284561214624104645789101745[[#This Row],[UNIT]]&lt;0),_1_541284561214624104645789101745[[#This Row],[UNIT]]*_1_541284561214624104645789101745[[#This Row],[COST]],0)</f>
        <v>0</v>
      </c>
      <c r="N630" s="194">
        <f t="shared" si="9"/>
        <v>1.5</v>
      </c>
      <c r="O630" s="198">
        <f>_1_541284561214624104645789101745[[#This Row],[TOTAL]]*_1_541284561214624104645789101745[[#This Row],[MARGIN]]</f>
        <v>0</v>
      </c>
      <c r="R630" s="41"/>
    </row>
    <row r="631" spans="4:18">
      <c r="D631" s="188"/>
      <c r="F631" s="168" t="s">
        <v>6202</v>
      </c>
      <c r="G631" s="193">
        <f>IF(_1_541284561214624104645789101745[[#This Row],[Type]]&gt;0,VLOOKUP(_1_541284561214624104645789101745[[#This Row],[Type]],Main[[#All],[TYPE]:[UNIT]],'Unit Price'!C$1,FALSE),0)</f>
        <v>0</v>
      </c>
      <c r="H631" s="197">
        <f>IF(_1_541284561214624104645789101745[[#This Row],[Type]]&gt;0,VLOOKUP(_1_541284561214624104645789101745[[#This Row],[Type]],Main[[#All],[TYPE]:[UNIT]],'Unit Price'!D$1,FALSE),0)</f>
        <v>0</v>
      </c>
      <c r="I631" s="194">
        <f>IF(_1_541284561214624104645789101745[[#This Row],[Type]]&gt;0,VLOOKUP(_1_541284561214624104645789101745[[#This Row],[Type]],Main[[#All],[TYPE]:[UNIT]],'Unit Price'!G$1,FALSE),0)</f>
        <v>0</v>
      </c>
      <c r="J631" s="194">
        <f>IF(_1_541284561214624104645789101745[[#This Row],[Type]]&gt;0,VLOOKUP(_1_541284561214624104645789101745[[#This Row],[Type]],Main[[#All],[TYPE]:[UNIT]],'Unit Price'!H$1,FALSE),0)</f>
        <v>0</v>
      </c>
      <c r="K631" s="194">
        <f>IF(_1_541284561214624104645789101745[[#This Row],[Discount selection]]&gt;0,VLOOKUP(_1_541284561214624104645789101745[[#This Row],[Discount selection]],'Discount Structure'!$A$2:$B$30,2,"false"),0)</f>
        <v>1</v>
      </c>
      <c r="L631" s="194">
        <f>_1_541284561214624104645789101745[[#This Row],[LIST $]]*_1_541284561214624104645789101745[[#This Row],[DISCOUNT]]*_1_541284561214624104645789101745[[#This Row],[DISCOUNT 2]]</f>
        <v>0</v>
      </c>
      <c r="M631" s="194">
        <f>IF(OR(_1_541284561214624104645789101745[[#This Row],[UNIT]]&gt;0,_1_541284561214624104645789101745[[#This Row],[UNIT]]&lt;0),_1_541284561214624104645789101745[[#This Row],[UNIT]]*_1_541284561214624104645789101745[[#This Row],[COST]],0)</f>
        <v>0</v>
      </c>
      <c r="N631" s="194">
        <f t="shared" si="9"/>
        <v>1.5</v>
      </c>
      <c r="O631" s="198">
        <f>_1_541284561214624104645789101745[[#This Row],[TOTAL]]*_1_541284561214624104645789101745[[#This Row],[MARGIN]]</f>
        <v>0</v>
      </c>
      <c r="R631" s="41"/>
    </row>
    <row r="632" spans="4:18">
      <c r="D632" s="188"/>
      <c r="F632" s="168" t="s">
        <v>6202</v>
      </c>
      <c r="G632" s="193">
        <f>IF(_1_541284561214624104645789101745[[#This Row],[Type]]&gt;0,VLOOKUP(_1_541284561214624104645789101745[[#This Row],[Type]],Main[[#All],[TYPE]:[UNIT]],'Unit Price'!C$1,FALSE),0)</f>
        <v>0</v>
      </c>
      <c r="H632" s="197">
        <f>IF(_1_541284561214624104645789101745[[#This Row],[Type]]&gt;0,VLOOKUP(_1_541284561214624104645789101745[[#This Row],[Type]],Main[[#All],[TYPE]:[UNIT]],'Unit Price'!D$1,FALSE),0)</f>
        <v>0</v>
      </c>
      <c r="I632" s="194">
        <f>IF(_1_541284561214624104645789101745[[#This Row],[Type]]&gt;0,VLOOKUP(_1_541284561214624104645789101745[[#This Row],[Type]],Main[[#All],[TYPE]:[UNIT]],'Unit Price'!G$1,FALSE),0)</f>
        <v>0</v>
      </c>
      <c r="J632" s="194">
        <f>IF(_1_541284561214624104645789101745[[#This Row],[Type]]&gt;0,VLOOKUP(_1_541284561214624104645789101745[[#This Row],[Type]],Main[[#All],[TYPE]:[UNIT]],'Unit Price'!H$1,FALSE),0)</f>
        <v>0</v>
      </c>
      <c r="K632" s="194">
        <f>IF(_1_541284561214624104645789101745[[#This Row],[Discount selection]]&gt;0,VLOOKUP(_1_541284561214624104645789101745[[#This Row],[Discount selection]],'Discount Structure'!$A$2:$B$30,2,"false"),0)</f>
        <v>1</v>
      </c>
      <c r="L632" s="194">
        <f>_1_541284561214624104645789101745[[#This Row],[LIST $]]*_1_541284561214624104645789101745[[#This Row],[DISCOUNT]]*_1_541284561214624104645789101745[[#This Row],[DISCOUNT 2]]</f>
        <v>0</v>
      </c>
      <c r="M632" s="194">
        <f>IF(OR(_1_541284561214624104645789101745[[#This Row],[UNIT]]&gt;0,_1_541284561214624104645789101745[[#This Row],[UNIT]]&lt;0),_1_541284561214624104645789101745[[#This Row],[UNIT]]*_1_541284561214624104645789101745[[#This Row],[COST]],0)</f>
        <v>0</v>
      </c>
      <c r="N632" s="194">
        <f t="shared" si="9"/>
        <v>1.5</v>
      </c>
      <c r="O632" s="198">
        <f>_1_541284561214624104645789101745[[#This Row],[TOTAL]]*_1_541284561214624104645789101745[[#This Row],[MARGIN]]</f>
        <v>0</v>
      </c>
      <c r="R632" s="41"/>
    </row>
    <row r="633" spans="4:18">
      <c r="D633" s="188"/>
      <c r="F633" s="168" t="s">
        <v>6202</v>
      </c>
      <c r="G633" s="193">
        <f>IF(_1_541284561214624104645789101745[[#This Row],[Type]]&gt;0,VLOOKUP(_1_541284561214624104645789101745[[#This Row],[Type]],Main[[#All],[TYPE]:[UNIT]],'Unit Price'!C$1,FALSE),0)</f>
        <v>0</v>
      </c>
      <c r="H633" s="197">
        <f>IF(_1_541284561214624104645789101745[[#This Row],[Type]]&gt;0,VLOOKUP(_1_541284561214624104645789101745[[#This Row],[Type]],Main[[#All],[TYPE]:[UNIT]],'Unit Price'!D$1,FALSE),0)</f>
        <v>0</v>
      </c>
      <c r="I633" s="194">
        <f>IF(_1_541284561214624104645789101745[[#This Row],[Type]]&gt;0,VLOOKUP(_1_541284561214624104645789101745[[#This Row],[Type]],Main[[#All],[TYPE]:[UNIT]],'Unit Price'!G$1,FALSE),0)</f>
        <v>0</v>
      </c>
      <c r="J633" s="194">
        <f>IF(_1_541284561214624104645789101745[[#This Row],[Type]]&gt;0,VLOOKUP(_1_541284561214624104645789101745[[#This Row],[Type]],Main[[#All],[TYPE]:[UNIT]],'Unit Price'!H$1,FALSE),0)</f>
        <v>0</v>
      </c>
      <c r="K633" s="194">
        <f>IF(_1_541284561214624104645789101745[[#This Row],[Discount selection]]&gt;0,VLOOKUP(_1_541284561214624104645789101745[[#This Row],[Discount selection]],'Discount Structure'!$A$2:$B$30,2,"false"),0)</f>
        <v>1</v>
      </c>
      <c r="L633" s="194">
        <f>_1_541284561214624104645789101745[[#This Row],[LIST $]]*_1_541284561214624104645789101745[[#This Row],[DISCOUNT]]*_1_541284561214624104645789101745[[#This Row],[DISCOUNT 2]]</f>
        <v>0</v>
      </c>
      <c r="M633" s="194">
        <f>IF(OR(_1_541284561214624104645789101745[[#This Row],[UNIT]]&gt;0,_1_541284561214624104645789101745[[#This Row],[UNIT]]&lt;0),_1_541284561214624104645789101745[[#This Row],[UNIT]]*_1_541284561214624104645789101745[[#This Row],[COST]],0)</f>
        <v>0</v>
      </c>
      <c r="N633" s="194">
        <f t="shared" si="9"/>
        <v>1.5</v>
      </c>
      <c r="O633" s="198">
        <f>_1_541284561214624104645789101745[[#This Row],[TOTAL]]*_1_541284561214624104645789101745[[#This Row],[MARGIN]]</f>
        <v>0</v>
      </c>
      <c r="R633" s="41"/>
    </row>
    <row r="634" spans="4:18">
      <c r="D634" s="188"/>
      <c r="F634" s="168" t="s">
        <v>6202</v>
      </c>
      <c r="G634" s="193">
        <f>IF(_1_541284561214624104645789101745[[#This Row],[Type]]&gt;0,VLOOKUP(_1_541284561214624104645789101745[[#This Row],[Type]],Main[[#All],[TYPE]:[UNIT]],'Unit Price'!C$1,FALSE),0)</f>
        <v>0</v>
      </c>
      <c r="H634" s="197">
        <f>IF(_1_541284561214624104645789101745[[#This Row],[Type]]&gt;0,VLOOKUP(_1_541284561214624104645789101745[[#This Row],[Type]],Main[[#All],[TYPE]:[UNIT]],'Unit Price'!D$1,FALSE),0)</f>
        <v>0</v>
      </c>
      <c r="I634" s="194">
        <f>IF(_1_541284561214624104645789101745[[#This Row],[Type]]&gt;0,VLOOKUP(_1_541284561214624104645789101745[[#This Row],[Type]],Main[[#All],[TYPE]:[UNIT]],'Unit Price'!G$1,FALSE),0)</f>
        <v>0</v>
      </c>
      <c r="J634" s="194">
        <f>IF(_1_541284561214624104645789101745[[#This Row],[Type]]&gt;0,VLOOKUP(_1_541284561214624104645789101745[[#This Row],[Type]],Main[[#All],[TYPE]:[UNIT]],'Unit Price'!H$1,FALSE),0)</f>
        <v>0</v>
      </c>
      <c r="K634" s="194">
        <f>IF(_1_541284561214624104645789101745[[#This Row],[Discount selection]]&gt;0,VLOOKUP(_1_541284561214624104645789101745[[#This Row],[Discount selection]],'Discount Structure'!$A$2:$B$30,2,"false"),0)</f>
        <v>1</v>
      </c>
      <c r="L634" s="194">
        <f>_1_541284561214624104645789101745[[#This Row],[LIST $]]*_1_541284561214624104645789101745[[#This Row],[DISCOUNT]]*_1_541284561214624104645789101745[[#This Row],[DISCOUNT 2]]</f>
        <v>0</v>
      </c>
      <c r="M634" s="194">
        <f>IF(OR(_1_541284561214624104645789101745[[#This Row],[UNIT]]&gt;0,_1_541284561214624104645789101745[[#This Row],[UNIT]]&lt;0),_1_541284561214624104645789101745[[#This Row],[UNIT]]*_1_541284561214624104645789101745[[#This Row],[COST]],0)</f>
        <v>0</v>
      </c>
      <c r="N634" s="194">
        <f t="shared" si="9"/>
        <v>1.5</v>
      </c>
      <c r="O634" s="198">
        <f>_1_541284561214624104645789101745[[#This Row],[TOTAL]]*_1_541284561214624104645789101745[[#This Row],[MARGIN]]</f>
        <v>0</v>
      </c>
      <c r="R634" s="41"/>
    </row>
    <row r="635" spans="4:18">
      <c r="D635" s="188"/>
      <c r="F635" s="168" t="s">
        <v>6202</v>
      </c>
      <c r="G635" s="193">
        <f>IF(_1_541284561214624104645789101745[[#This Row],[Type]]&gt;0,VLOOKUP(_1_541284561214624104645789101745[[#This Row],[Type]],Main[[#All],[TYPE]:[UNIT]],'Unit Price'!C$1,FALSE),0)</f>
        <v>0</v>
      </c>
      <c r="H635" s="197">
        <f>IF(_1_541284561214624104645789101745[[#This Row],[Type]]&gt;0,VLOOKUP(_1_541284561214624104645789101745[[#This Row],[Type]],Main[[#All],[TYPE]:[UNIT]],'Unit Price'!D$1,FALSE),0)</f>
        <v>0</v>
      </c>
      <c r="I635" s="194">
        <f>IF(_1_541284561214624104645789101745[[#This Row],[Type]]&gt;0,VLOOKUP(_1_541284561214624104645789101745[[#This Row],[Type]],Main[[#All],[TYPE]:[UNIT]],'Unit Price'!G$1,FALSE),0)</f>
        <v>0</v>
      </c>
      <c r="J635" s="194">
        <f>IF(_1_541284561214624104645789101745[[#This Row],[Type]]&gt;0,VLOOKUP(_1_541284561214624104645789101745[[#This Row],[Type]],Main[[#All],[TYPE]:[UNIT]],'Unit Price'!H$1,FALSE),0)</f>
        <v>0</v>
      </c>
      <c r="K635" s="194">
        <f>IF(_1_541284561214624104645789101745[[#This Row],[Discount selection]]&gt;0,VLOOKUP(_1_541284561214624104645789101745[[#This Row],[Discount selection]],'Discount Structure'!$A$2:$B$30,2,"false"),0)</f>
        <v>1</v>
      </c>
      <c r="L635" s="194">
        <f>_1_541284561214624104645789101745[[#This Row],[LIST $]]*_1_541284561214624104645789101745[[#This Row],[DISCOUNT]]*_1_541284561214624104645789101745[[#This Row],[DISCOUNT 2]]</f>
        <v>0</v>
      </c>
      <c r="M635" s="194">
        <f>IF(OR(_1_541284561214624104645789101745[[#This Row],[UNIT]]&gt;0,_1_541284561214624104645789101745[[#This Row],[UNIT]]&lt;0),_1_541284561214624104645789101745[[#This Row],[UNIT]]*_1_541284561214624104645789101745[[#This Row],[COST]],0)</f>
        <v>0</v>
      </c>
      <c r="N635" s="194">
        <f t="shared" si="9"/>
        <v>1.5</v>
      </c>
      <c r="O635" s="198">
        <f>_1_541284561214624104645789101745[[#This Row],[TOTAL]]*_1_541284561214624104645789101745[[#This Row],[MARGIN]]</f>
        <v>0</v>
      </c>
      <c r="R635" s="41"/>
    </row>
    <row r="636" spans="4:18">
      <c r="D636" s="188"/>
      <c r="F636" s="168" t="s">
        <v>6202</v>
      </c>
      <c r="G636" s="193">
        <f>IF(_1_541284561214624104645789101745[[#This Row],[Type]]&gt;0,VLOOKUP(_1_541284561214624104645789101745[[#This Row],[Type]],Main[[#All],[TYPE]:[UNIT]],'Unit Price'!C$1,FALSE),0)</f>
        <v>0</v>
      </c>
      <c r="H636" s="197">
        <f>IF(_1_541284561214624104645789101745[[#This Row],[Type]]&gt;0,VLOOKUP(_1_541284561214624104645789101745[[#This Row],[Type]],Main[[#All],[TYPE]:[UNIT]],'Unit Price'!D$1,FALSE),0)</f>
        <v>0</v>
      </c>
      <c r="I636" s="194">
        <f>IF(_1_541284561214624104645789101745[[#This Row],[Type]]&gt;0,VLOOKUP(_1_541284561214624104645789101745[[#This Row],[Type]],Main[[#All],[TYPE]:[UNIT]],'Unit Price'!G$1,FALSE),0)</f>
        <v>0</v>
      </c>
      <c r="J636" s="194">
        <f>IF(_1_541284561214624104645789101745[[#This Row],[Type]]&gt;0,VLOOKUP(_1_541284561214624104645789101745[[#This Row],[Type]],Main[[#All],[TYPE]:[UNIT]],'Unit Price'!H$1,FALSE),0)</f>
        <v>0</v>
      </c>
      <c r="K636" s="194">
        <f>IF(_1_541284561214624104645789101745[[#This Row],[Discount selection]]&gt;0,VLOOKUP(_1_541284561214624104645789101745[[#This Row],[Discount selection]],'Discount Structure'!$A$2:$B$30,2,"false"),0)</f>
        <v>1</v>
      </c>
      <c r="L636" s="194">
        <f>_1_541284561214624104645789101745[[#This Row],[LIST $]]*_1_541284561214624104645789101745[[#This Row],[DISCOUNT]]*_1_541284561214624104645789101745[[#This Row],[DISCOUNT 2]]</f>
        <v>0</v>
      </c>
      <c r="M636" s="194">
        <f>IF(OR(_1_541284561214624104645789101745[[#This Row],[UNIT]]&gt;0,_1_541284561214624104645789101745[[#This Row],[UNIT]]&lt;0),_1_541284561214624104645789101745[[#This Row],[UNIT]]*_1_541284561214624104645789101745[[#This Row],[COST]],0)</f>
        <v>0</v>
      </c>
      <c r="N636" s="194">
        <f t="shared" si="9"/>
        <v>1.5</v>
      </c>
      <c r="O636" s="198">
        <f>_1_541284561214624104645789101745[[#This Row],[TOTAL]]*_1_541284561214624104645789101745[[#This Row],[MARGIN]]</f>
        <v>0</v>
      </c>
      <c r="R636" s="41"/>
    </row>
    <row r="637" spans="4:18">
      <c r="D637" s="188"/>
      <c r="F637" s="168" t="s">
        <v>6202</v>
      </c>
      <c r="G637" s="193">
        <f>IF(_1_541284561214624104645789101745[[#This Row],[Type]]&gt;0,VLOOKUP(_1_541284561214624104645789101745[[#This Row],[Type]],Main[[#All],[TYPE]:[UNIT]],'Unit Price'!C$1,FALSE),0)</f>
        <v>0</v>
      </c>
      <c r="H637" s="197">
        <f>IF(_1_541284561214624104645789101745[[#This Row],[Type]]&gt;0,VLOOKUP(_1_541284561214624104645789101745[[#This Row],[Type]],Main[[#All],[TYPE]:[UNIT]],'Unit Price'!D$1,FALSE),0)</f>
        <v>0</v>
      </c>
      <c r="I637" s="194">
        <f>IF(_1_541284561214624104645789101745[[#This Row],[Type]]&gt;0,VLOOKUP(_1_541284561214624104645789101745[[#This Row],[Type]],Main[[#All],[TYPE]:[UNIT]],'Unit Price'!G$1,FALSE),0)</f>
        <v>0</v>
      </c>
      <c r="J637" s="194">
        <f>IF(_1_541284561214624104645789101745[[#This Row],[Type]]&gt;0,VLOOKUP(_1_541284561214624104645789101745[[#This Row],[Type]],Main[[#All],[TYPE]:[UNIT]],'Unit Price'!H$1,FALSE),0)</f>
        <v>0</v>
      </c>
      <c r="K637" s="194">
        <f>IF(_1_541284561214624104645789101745[[#This Row],[Discount selection]]&gt;0,VLOOKUP(_1_541284561214624104645789101745[[#This Row],[Discount selection]],'Discount Structure'!$A$2:$B$30,2,"false"),0)</f>
        <v>1</v>
      </c>
      <c r="L637" s="194">
        <f>_1_541284561214624104645789101745[[#This Row],[LIST $]]*_1_541284561214624104645789101745[[#This Row],[DISCOUNT]]*_1_541284561214624104645789101745[[#This Row],[DISCOUNT 2]]</f>
        <v>0</v>
      </c>
      <c r="M637" s="194">
        <f>IF(OR(_1_541284561214624104645789101745[[#This Row],[UNIT]]&gt;0,_1_541284561214624104645789101745[[#This Row],[UNIT]]&lt;0),_1_541284561214624104645789101745[[#This Row],[UNIT]]*_1_541284561214624104645789101745[[#This Row],[COST]],0)</f>
        <v>0</v>
      </c>
      <c r="N637" s="194">
        <f t="shared" si="9"/>
        <v>1.5</v>
      </c>
      <c r="O637" s="198">
        <f>_1_541284561214624104645789101745[[#This Row],[TOTAL]]*_1_541284561214624104645789101745[[#This Row],[MARGIN]]</f>
        <v>0</v>
      </c>
      <c r="R637" s="41"/>
    </row>
    <row r="638" spans="4:18">
      <c r="D638" s="188"/>
      <c r="F638" s="168" t="s">
        <v>6202</v>
      </c>
      <c r="G638" s="193">
        <f>IF(_1_541284561214624104645789101745[[#This Row],[Type]]&gt;0,VLOOKUP(_1_541284561214624104645789101745[[#This Row],[Type]],Main[[#All],[TYPE]:[UNIT]],'Unit Price'!C$1,FALSE),0)</f>
        <v>0</v>
      </c>
      <c r="H638" s="197">
        <f>IF(_1_541284561214624104645789101745[[#This Row],[Type]]&gt;0,VLOOKUP(_1_541284561214624104645789101745[[#This Row],[Type]],Main[[#All],[TYPE]:[UNIT]],'Unit Price'!D$1,FALSE),0)</f>
        <v>0</v>
      </c>
      <c r="I638" s="194">
        <f>IF(_1_541284561214624104645789101745[[#This Row],[Type]]&gt;0,VLOOKUP(_1_541284561214624104645789101745[[#This Row],[Type]],Main[[#All],[TYPE]:[UNIT]],'Unit Price'!G$1,FALSE),0)</f>
        <v>0</v>
      </c>
      <c r="J638" s="194">
        <f>IF(_1_541284561214624104645789101745[[#This Row],[Type]]&gt;0,VLOOKUP(_1_541284561214624104645789101745[[#This Row],[Type]],Main[[#All],[TYPE]:[UNIT]],'Unit Price'!H$1,FALSE),0)</f>
        <v>0</v>
      </c>
      <c r="K638" s="194">
        <f>IF(_1_541284561214624104645789101745[[#This Row],[Discount selection]]&gt;0,VLOOKUP(_1_541284561214624104645789101745[[#This Row],[Discount selection]],'Discount Structure'!$A$2:$B$30,2,"false"),0)</f>
        <v>1</v>
      </c>
      <c r="L638" s="194">
        <f>_1_541284561214624104645789101745[[#This Row],[LIST $]]*_1_541284561214624104645789101745[[#This Row],[DISCOUNT]]*_1_541284561214624104645789101745[[#This Row],[DISCOUNT 2]]</f>
        <v>0</v>
      </c>
      <c r="M638" s="194">
        <f>IF(OR(_1_541284561214624104645789101745[[#This Row],[UNIT]]&gt;0,_1_541284561214624104645789101745[[#This Row],[UNIT]]&lt;0),_1_541284561214624104645789101745[[#This Row],[UNIT]]*_1_541284561214624104645789101745[[#This Row],[COST]],0)</f>
        <v>0</v>
      </c>
      <c r="N638" s="194">
        <f t="shared" si="9"/>
        <v>1.5</v>
      </c>
      <c r="O638" s="198">
        <f>_1_541284561214624104645789101745[[#This Row],[TOTAL]]*_1_541284561214624104645789101745[[#This Row],[MARGIN]]</f>
        <v>0</v>
      </c>
      <c r="R638" s="41"/>
    </row>
    <row r="639" spans="4:18">
      <c r="D639" s="188"/>
      <c r="F639" s="168" t="s">
        <v>6202</v>
      </c>
      <c r="G639" s="193">
        <f>IF(_1_541284561214624104645789101745[[#This Row],[Type]]&gt;0,VLOOKUP(_1_541284561214624104645789101745[[#This Row],[Type]],Main[[#All],[TYPE]:[UNIT]],'Unit Price'!C$1,FALSE),0)</f>
        <v>0</v>
      </c>
      <c r="H639" s="197">
        <f>IF(_1_541284561214624104645789101745[[#This Row],[Type]]&gt;0,VLOOKUP(_1_541284561214624104645789101745[[#This Row],[Type]],Main[[#All],[TYPE]:[UNIT]],'Unit Price'!D$1,FALSE),0)</f>
        <v>0</v>
      </c>
      <c r="I639" s="194">
        <f>IF(_1_541284561214624104645789101745[[#This Row],[Type]]&gt;0,VLOOKUP(_1_541284561214624104645789101745[[#This Row],[Type]],Main[[#All],[TYPE]:[UNIT]],'Unit Price'!G$1,FALSE),0)</f>
        <v>0</v>
      </c>
      <c r="J639" s="194">
        <f>IF(_1_541284561214624104645789101745[[#This Row],[Type]]&gt;0,VLOOKUP(_1_541284561214624104645789101745[[#This Row],[Type]],Main[[#All],[TYPE]:[UNIT]],'Unit Price'!H$1,FALSE),0)</f>
        <v>0</v>
      </c>
      <c r="K639" s="194">
        <f>IF(_1_541284561214624104645789101745[[#This Row],[Discount selection]]&gt;0,VLOOKUP(_1_541284561214624104645789101745[[#This Row],[Discount selection]],'Discount Structure'!$A$2:$B$30,2,"false"),0)</f>
        <v>1</v>
      </c>
      <c r="L639" s="194">
        <f>_1_541284561214624104645789101745[[#This Row],[LIST $]]*_1_541284561214624104645789101745[[#This Row],[DISCOUNT]]*_1_541284561214624104645789101745[[#This Row],[DISCOUNT 2]]</f>
        <v>0</v>
      </c>
      <c r="M639" s="194">
        <f>IF(OR(_1_541284561214624104645789101745[[#This Row],[UNIT]]&gt;0,_1_541284561214624104645789101745[[#This Row],[UNIT]]&lt;0),_1_541284561214624104645789101745[[#This Row],[UNIT]]*_1_541284561214624104645789101745[[#This Row],[COST]],0)</f>
        <v>0</v>
      </c>
      <c r="N639" s="194">
        <f t="shared" si="9"/>
        <v>1.5</v>
      </c>
      <c r="O639" s="198">
        <f>_1_541284561214624104645789101745[[#This Row],[TOTAL]]*_1_541284561214624104645789101745[[#This Row],[MARGIN]]</f>
        <v>0</v>
      </c>
      <c r="R639" s="41"/>
    </row>
    <row r="640" spans="4:18">
      <c r="D640" s="188"/>
      <c r="F640" s="168" t="s">
        <v>6202</v>
      </c>
      <c r="G640" s="193">
        <f>IF(_1_541284561214624104645789101745[[#This Row],[Type]]&gt;0,VLOOKUP(_1_541284561214624104645789101745[[#This Row],[Type]],Main[[#All],[TYPE]:[UNIT]],'Unit Price'!C$1,FALSE),0)</f>
        <v>0</v>
      </c>
      <c r="H640" s="197">
        <f>IF(_1_541284561214624104645789101745[[#This Row],[Type]]&gt;0,VLOOKUP(_1_541284561214624104645789101745[[#This Row],[Type]],Main[[#All],[TYPE]:[UNIT]],'Unit Price'!D$1,FALSE),0)</f>
        <v>0</v>
      </c>
      <c r="I640" s="194">
        <f>IF(_1_541284561214624104645789101745[[#This Row],[Type]]&gt;0,VLOOKUP(_1_541284561214624104645789101745[[#This Row],[Type]],Main[[#All],[TYPE]:[UNIT]],'Unit Price'!G$1,FALSE),0)</f>
        <v>0</v>
      </c>
      <c r="J640" s="194">
        <f>IF(_1_541284561214624104645789101745[[#This Row],[Type]]&gt;0,VLOOKUP(_1_541284561214624104645789101745[[#This Row],[Type]],Main[[#All],[TYPE]:[UNIT]],'Unit Price'!H$1,FALSE),0)</f>
        <v>0</v>
      </c>
      <c r="K640" s="194">
        <f>IF(_1_541284561214624104645789101745[[#This Row],[Discount selection]]&gt;0,VLOOKUP(_1_541284561214624104645789101745[[#This Row],[Discount selection]],'Discount Structure'!$A$2:$B$30,2,"false"),0)</f>
        <v>1</v>
      </c>
      <c r="L640" s="194">
        <f>_1_541284561214624104645789101745[[#This Row],[LIST $]]*_1_541284561214624104645789101745[[#This Row],[DISCOUNT]]*_1_541284561214624104645789101745[[#This Row],[DISCOUNT 2]]</f>
        <v>0</v>
      </c>
      <c r="M640" s="194">
        <f>IF(OR(_1_541284561214624104645789101745[[#This Row],[UNIT]]&gt;0,_1_541284561214624104645789101745[[#This Row],[UNIT]]&lt;0),_1_541284561214624104645789101745[[#This Row],[UNIT]]*_1_541284561214624104645789101745[[#This Row],[COST]],0)</f>
        <v>0</v>
      </c>
      <c r="N640" s="194">
        <f t="shared" si="9"/>
        <v>1.5</v>
      </c>
      <c r="O640" s="198">
        <f>_1_541284561214624104645789101745[[#This Row],[TOTAL]]*_1_541284561214624104645789101745[[#This Row],[MARGIN]]</f>
        <v>0</v>
      </c>
      <c r="R640" s="41"/>
    </row>
    <row r="641" spans="4:18">
      <c r="D641" s="188"/>
      <c r="F641" s="168" t="s">
        <v>6202</v>
      </c>
      <c r="G641" s="193">
        <f>IF(_1_541284561214624104645789101745[[#This Row],[Type]]&gt;0,VLOOKUP(_1_541284561214624104645789101745[[#This Row],[Type]],Main[[#All],[TYPE]:[UNIT]],'Unit Price'!C$1,FALSE),0)</f>
        <v>0</v>
      </c>
      <c r="H641" s="197">
        <f>IF(_1_541284561214624104645789101745[[#This Row],[Type]]&gt;0,VLOOKUP(_1_541284561214624104645789101745[[#This Row],[Type]],Main[[#All],[TYPE]:[UNIT]],'Unit Price'!D$1,FALSE),0)</f>
        <v>0</v>
      </c>
      <c r="I641" s="194">
        <f>IF(_1_541284561214624104645789101745[[#This Row],[Type]]&gt;0,VLOOKUP(_1_541284561214624104645789101745[[#This Row],[Type]],Main[[#All],[TYPE]:[UNIT]],'Unit Price'!G$1,FALSE),0)</f>
        <v>0</v>
      </c>
      <c r="J641" s="194">
        <f>IF(_1_541284561214624104645789101745[[#This Row],[Type]]&gt;0,VLOOKUP(_1_541284561214624104645789101745[[#This Row],[Type]],Main[[#All],[TYPE]:[UNIT]],'Unit Price'!H$1,FALSE),0)</f>
        <v>0</v>
      </c>
      <c r="K641" s="194">
        <f>IF(_1_541284561214624104645789101745[[#This Row],[Discount selection]]&gt;0,VLOOKUP(_1_541284561214624104645789101745[[#This Row],[Discount selection]],'Discount Structure'!$A$2:$B$30,2,"false"),0)</f>
        <v>1</v>
      </c>
      <c r="L641" s="194">
        <f>_1_541284561214624104645789101745[[#This Row],[LIST $]]*_1_541284561214624104645789101745[[#This Row],[DISCOUNT]]*_1_541284561214624104645789101745[[#This Row],[DISCOUNT 2]]</f>
        <v>0</v>
      </c>
      <c r="M641" s="194">
        <f>IF(OR(_1_541284561214624104645789101745[[#This Row],[UNIT]]&gt;0,_1_541284561214624104645789101745[[#This Row],[UNIT]]&lt;0),_1_541284561214624104645789101745[[#This Row],[UNIT]]*_1_541284561214624104645789101745[[#This Row],[COST]],0)</f>
        <v>0</v>
      </c>
      <c r="N641" s="194">
        <f t="shared" si="9"/>
        <v>1.5</v>
      </c>
      <c r="O641" s="198">
        <f>_1_541284561214624104645789101745[[#This Row],[TOTAL]]*_1_541284561214624104645789101745[[#This Row],[MARGIN]]</f>
        <v>0</v>
      </c>
      <c r="R641" s="41"/>
    </row>
    <row r="642" spans="4:18">
      <c r="D642" s="188"/>
      <c r="F642" s="168" t="s">
        <v>6202</v>
      </c>
      <c r="G642" s="193">
        <f>IF(_1_541284561214624104645789101745[[#This Row],[Type]]&gt;0,VLOOKUP(_1_541284561214624104645789101745[[#This Row],[Type]],Main[[#All],[TYPE]:[UNIT]],'Unit Price'!C$1,FALSE),0)</f>
        <v>0</v>
      </c>
      <c r="H642" s="197">
        <f>IF(_1_541284561214624104645789101745[[#This Row],[Type]]&gt;0,VLOOKUP(_1_541284561214624104645789101745[[#This Row],[Type]],Main[[#All],[TYPE]:[UNIT]],'Unit Price'!D$1,FALSE),0)</f>
        <v>0</v>
      </c>
      <c r="I642" s="194">
        <f>IF(_1_541284561214624104645789101745[[#This Row],[Type]]&gt;0,VLOOKUP(_1_541284561214624104645789101745[[#This Row],[Type]],Main[[#All],[TYPE]:[UNIT]],'Unit Price'!G$1,FALSE),0)</f>
        <v>0</v>
      </c>
      <c r="J642" s="194">
        <f>IF(_1_541284561214624104645789101745[[#This Row],[Type]]&gt;0,VLOOKUP(_1_541284561214624104645789101745[[#This Row],[Type]],Main[[#All],[TYPE]:[UNIT]],'Unit Price'!H$1,FALSE),0)</f>
        <v>0</v>
      </c>
      <c r="K642" s="194">
        <f>IF(_1_541284561214624104645789101745[[#This Row],[Discount selection]]&gt;0,VLOOKUP(_1_541284561214624104645789101745[[#This Row],[Discount selection]],'Discount Structure'!$A$2:$B$30,2,"false"),0)</f>
        <v>1</v>
      </c>
      <c r="L642" s="194">
        <f>_1_541284561214624104645789101745[[#This Row],[LIST $]]*_1_541284561214624104645789101745[[#This Row],[DISCOUNT]]*_1_541284561214624104645789101745[[#This Row],[DISCOUNT 2]]</f>
        <v>0</v>
      </c>
      <c r="M642" s="194">
        <f>IF(OR(_1_541284561214624104645789101745[[#This Row],[UNIT]]&gt;0,_1_541284561214624104645789101745[[#This Row],[UNIT]]&lt;0),_1_541284561214624104645789101745[[#This Row],[UNIT]]*_1_541284561214624104645789101745[[#This Row],[COST]],0)</f>
        <v>0</v>
      </c>
      <c r="N642" s="194">
        <f t="shared" si="9"/>
        <v>1.5</v>
      </c>
      <c r="O642" s="198">
        <f>_1_541284561214624104645789101745[[#This Row],[TOTAL]]*_1_541284561214624104645789101745[[#This Row],[MARGIN]]</f>
        <v>0</v>
      </c>
      <c r="R642" s="41"/>
    </row>
    <row r="643" spans="4:18">
      <c r="D643" s="188"/>
      <c r="F643" s="168" t="s">
        <v>6202</v>
      </c>
      <c r="G643" s="193">
        <f>IF(_1_541284561214624104645789101745[[#This Row],[Type]]&gt;0,VLOOKUP(_1_541284561214624104645789101745[[#This Row],[Type]],Main[[#All],[TYPE]:[UNIT]],'Unit Price'!C$1,FALSE),0)</f>
        <v>0</v>
      </c>
      <c r="H643" s="197">
        <f>IF(_1_541284561214624104645789101745[[#This Row],[Type]]&gt;0,VLOOKUP(_1_541284561214624104645789101745[[#This Row],[Type]],Main[[#All],[TYPE]:[UNIT]],'Unit Price'!D$1,FALSE),0)</f>
        <v>0</v>
      </c>
      <c r="I643" s="194">
        <f>IF(_1_541284561214624104645789101745[[#This Row],[Type]]&gt;0,VLOOKUP(_1_541284561214624104645789101745[[#This Row],[Type]],Main[[#All],[TYPE]:[UNIT]],'Unit Price'!G$1,FALSE),0)</f>
        <v>0</v>
      </c>
      <c r="J643" s="194">
        <f>IF(_1_541284561214624104645789101745[[#This Row],[Type]]&gt;0,VLOOKUP(_1_541284561214624104645789101745[[#This Row],[Type]],Main[[#All],[TYPE]:[UNIT]],'Unit Price'!H$1,FALSE),0)</f>
        <v>0</v>
      </c>
      <c r="K643" s="194">
        <f>IF(_1_541284561214624104645789101745[[#This Row],[Discount selection]]&gt;0,VLOOKUP(_1_541284561214624104645789101745[[#This Row],[Discount selection]],'Discount Structure'!$A$2:$B$30,2,"false"),0)</f>
        <v>1</v>
      </c>
      <c r="L643" s="194">
        <f>_1_541284561214624104645789101745[[#This Row],[LIST $]]*_1_541284561214624104645789101745[[#This Row],[DISCOUNT]]*_1_541284561214624104645789101745[[#This Row],[DISCOUNT 2]]</f>
        <v>0</v>
      </c>
      <c r="M643" s="194">
        <f>IF(OR(_1_541284561214624104645789101745[[#This Row],[UNIT]]&gt;0,_1_541284561214624104645789101745[[#This Row],[UNIT]]&lt;0),_1_541284561214624104645789101745[[#This Row],[UNIT]]*_1_541284561214624104645789101745[[#This Row],[COST]],0)</f>
        <v>0</v>
      </c>
      <c r="N643" s="194">
        <f t="shared" si="9"/>
        <v>1.5</v>
      </c>
      <c r="O643" s="198">
        <f>_1_541284561214624104645789101745[[#This Row],[TOTAL]]*_1_541284561214624104645789101745[[#This Row],[MARGIN]]</f>
        <v>0</v>
      </c>
      <c r="R643" s="41"/>
    </row>
    <row r="644" spans="4:18">
      <c r="D644" s="188"/>
      <c r="F644" s="168" t="s">
        <v>6202</v>
      </c>
      <c r="G644" s="193">
        <f>IF(_1_541284561214624104645789101745[[#This Row],[Type]]&gt;0,VLOOKUP(_1_541284561214624104645789101745[[#This Row],[Type]],Main[[#All],[TYPE]:[UNIT]],'Unit Price'!C$1,FALSE),0)</f>
        <v>0</v>
      </c>
      <c r="H644" s="197">
        <f>IF(_1_541284561214624104645789101745[[#This Row],[Type]]&gt;0,VLOOKUP(_1_541284561214624104645789101745[[#This Row],[Type]],Main[[#All],[TYPE]:[UNIT]],'Unit Price'!D$1,FALSE),0)</f>
        <v>0</v>
      </c>
      <c r="I644" s="194">
        <f>IF(_1_541284561214624104645789101745[[#This Row],[Type]]&gt;0,VLOOKUP(_1_541284561214624104645789101745[[#This Row],[Type]],Main[[#All],[TYPE]:[UNIT]],'Unit Price'!G$1,FALSE),0)</f>
        <v>0</v>
      </c>
      <c r="J644" s="194">
        <f>IF(_1_541284561214624104645789101745[[#This Row],[Type]]&gt;0,VLOOKUP(_1_541284561214624104645789101745[[#This Row],[Type]],Main[[#All],[TYPE]:[UNIT]],'Unit Price'!H$1,FALSE),0)</f>
        <v>0</v>
      </c>
      <c r="K644" s="194">
        <f>IF(_1_541284561214624104645789101745[[#This Row],[Discount selection]]&gt;0,VLOOKUP(_1_541284561214624104645789101745[[#This Row],[Discount selection]],'Discount Structure'!$A$2:$B$30,2,"false"),0)</f>
        <v>1</v>
      </c>
      <c r="L644" s="194">
        <f>_1_541284561214624104645789101745[[#This Row],[LIST $]]*_1_541284561214624104645789101745[[#This Row],[DISCOUNT]]*_1_541284561214624104645789101745[[#This Row],[DISCOUNT 2]]</f>
        <v>0</v>
      </c>
      <c r="M644" s="194">
        <f>IF(OR(_1_541284561214624104645789101745[[#This Row],[UNIT]]&gt;0,_1_541284561214624104645789101745[[#This Row],[UNIT]]&lt;0),_1_541284561214624104645789101745[[#This Row],[UNIT]]*_1_541284561214624104645789101745[[#This Row],[COST]],0)</f>
        <v>0</v>
      </c>
      <c r="N644" s="194">
        <f t="shared" si="9"/>
        <v>1.5</v>
      </c>
      <c r="O644" s="198">
        <f>_1_541284561214624104645789101745[[#This Row],[TOTAL]]*_1_541284561214624104645789101745[[#This Row],[MARGIN]]</f>
        <v>0</v>
      </c>
      <c r="R644" s="41"/>
    </row>
    <row r="645" spans="4:18">
      <c r="D645" s="188"/>
      <c r="F645" s="168" t="s">
        <v>6202</v>
      </c>
      <c r="G645" s="193">
        <f>IF(_1_541284561214624104645789101745[[#This Row],[Type]]&gt;0,VLOOKUP(_1_541284561214624104645789101745[[#This Row],[Type]],Main[[#All],[TYPE]:[UNIT]],'Unit Price'!C$1,FALSE),0)</f>
        <v>0</v>
      </c>
      <c r="H645" s="197">
        <f>IF(_1_541284561214624104645789101745[[#This Row],[Type]]&gt;0,VLOOKUP(_1_541284561214624104645789101745[[#This Row],[Type]],Main[[#All],[TYPE]:[UNIT]],'Unit Price'!D$1,FALSE),0)</f>
        <v>0</v>
      </c>
      <c r="I645" s="194">
        <f>IF(_1_541284561214624104645789101745[[#This Row],[Type]]&gt;0,VLOOKUP(_1_541284561214624104645789101745[[#This Row],[Type]],Main[[#All],[TYPE]:[UNIT]],'Unit Price'!G$1,FALSE),0)</f>
        <v>0</v>
      </c>
      <c r="J645" s="194">
        <f>IF(_1_541284561214624104645789101745[[#This Row],[Type]]&gt;0,VLOOKUP(_1_541284561214624104645789101745[[#This Row],[Type]],Main[[#All],[TYPE]:[UNIT]],'Unit Price'!H$1,FALSE),0)</f>
        <v>0</v>
      </c>
      <c r="K645" s="194">
        <f>IF(_1_541284561214624104645789101745[[#This Row],[Discount selection]]&gt;0,VLOOKUP(_1_541284561214624104645789101745[[#This Row],[Discount selection]],'Discount Structure'!$A$2:$B$30,2,"false"),0)</f>
        <v>1</v>
      </c>
      <c r="L645" s="194">
        <f>_1_541284561214624104645789101745[[#This Row],[LIST $]]*_1_541284561214624104645789101745[[#This Row],[DISCOUNT]]*_1_541284561214624104645789101745[[#This Row],[DISCOUNT 2]]</f>
        <v>0</v>
      </c>
      <c r="M645" s="194">
        <f>IF(OR(_1_541284561214624104645789101745[[#This Row],[UNIT]]&gt;0,_1_541284561214624104645789101745[[#This Row],[UNIT]]&lt;0),_1_541284561214624104645789101745[[#This Row],[UNIT]]*_1_541284561214624104645789101745[[#This Row],[COST]],0)</f>
        <v>0</v>
      </c>
      <c r="N645" s="194">
        <f t="shared" si="9"/>
        <v>1.5</v>
      </c>
      <c r="O645" s="198">
        <f>_1_541284561214624104645789101745[[#This Row],[TOTAL]]*_1_541284561214624104645789101745[[#This Row],[MARGIN]]</f>
        <v>0</v>
      </c>
      <c r="R645" s="41"/>
    </row>
    <row r="646" spans="4:18">
      <c r="D646" s="188"/>
      <c r="F646" s="168" t="s">
        <v>6202</v>
      </c>
      <c r="G646" s="193">
        <f>IF(_1_541284561214624104645789101745[[#This Row],[Type]]&gt;0,VLOOKUP(_1_541284561214624104645789101745[[#This Row],[Type]],Main[[#All],[TYPE]:[UNIT]],'Unit Price'!C$1,FALSE),0)</f>
        <v>0</v>
      </c>
      <c r="H646" s="197">
        <f>IF(_1_541284561214624104645789101745[[#This Row],[Type]]&gt;0,VLOOKUP(_1_541284561214624104645789101745[[#This Row],[Type]],Main[[#All],[TYPE]:[UNIT]],'Unit Price'!D$1,FALSE),0)</f>
        <v>0</v>
      </c>
      <c r="I646" s="194">
        <f>IF(_1_541284561214624104645789101745[[#This Row],[Type]]&gt;0,VLOOKUP(_1_541284561214624104645789101745[[#This Row],[Type]],Main[[#All],[TYPE]:[UNIT]],'Unit Price'!G$1,FALSE),0)</f>
        <v>0</v>
      </c>
      <c r="J646" s="194">
        <f>IF(_1_541284561214624104645789101745[[#This Row],[Type]]&gt;0,VLOOKUP(_1_541284561214624104645789101745[[#This Row],[Type]],Main[[#All],[TYPE]:[UNIT]],'Unit Price'!H$1,FALSE),0)</f>
        <v>0</v>
      </c>
      <c r="K646" s="194">
        <f>IF(_1_541284561214624104645789101745[[#This Row],[Discount selection]]&gt;0,VLOOKUP(_1_541284561214624104645789101745[[#This Row],[Discount selection]],'Discount Structure'!$A$2:$B$30,2,"false"),0)</f>
        <v>1</v>
      </c>
      <c r="L646" s="194">
        <f>_1_541284561214624104645789101745[[#This Row],[LIST $]]*_1_541284561214624104645789101745[[#This Row],[DISCOUNT]]*_1_541284561214624104645789101745[[#This Row],[DISCOUNT 2]]</f>
        <v>0</v>
      </c>
      <c r="M646" s="194">
        <f>IF(OR(_1_541284561214624104645789101745[[#This Row],[UNIT]]&gt;0,_1_541284561214624104645789101745[[#This Row],[UNIT]]&lt;0),_1_541284561214624104645789101745[[#This Row],[UNIT]]*_1_541284561214624104645789101745[[#This Row],[COST]],0)</f>
        <v>0</v>
      </c>
      <c r="N646" s="194">
        <f t="shared" si="9"/>
        <v>1.5</v>
      </c>
      <c r="O646" s="198">
        <f>_1_541284561214624104645789101745[[#This Row],[TOTAL]]*_1_541284561214624104645789101745[[#This Row],[MARGIN]]</f>
        <v>0</v>
      </c>
      <c r="R646" s="41"/>
    </row>
    <row r="647" spans="4:18">
      <c r="D647" s="188"/>
      <c r="F647" s="168" t="s">
        <v>6202</v>
      </c>
      <c r="G647" s="193">
        <f>IF(_1_541284561214624104645789101745[[#This Row],[Type]]&gt;0,VLOOKUP(_1_541284561214624104645789101745[[#This Row],[Type]],Main[[#All],[TYPE]:[UNIT]],'Unit Price'!C$1,FALSE),0)</f>
        <v>0</v>
      </c>
      <c r="H647" s="197">
        <f>IF(_1_541284561214624104645789101745[[#This Row],[Type]]&gt;0,VLOOKUP(_1_541284561214624104645789101745[[#This Row],[Type]],Main[[#All],[TYPE]:[UNIT]],'Unit Price'!D$1,FALSE),0)</f>
        <v>0</v>
      </c>
      <c r="I647" s="194">
        <f>IF(_1_541284561214624104645789101745[[#This Row],[Type]]&gt;0,VLOOKUP(_1_541284561214624104645789101745[[#This Row],[Type]],Main[[#All],[TYPE]:[UNIT]],'Unit Price'!G$1,FALSE),0)</f>
        <v>0</v>
      </c>
      <c r="J647" s="194">
        <f>IF(_1_541284561214624104645789101745[[#This Row],[Type]]&gt;0,VLOOKUP(_1_541284561214624104645789101745[[#This Row],[Type]],Main[[#All],[TYPE]:[UNIT]],'Unit Price'!H$1,FALSE),0)</f>
        <v>0</v>
      </c>
      <c r="K647" s="194">
        <f>IF(_1_541284561214624104645789101745[[#This Row],[Discount selection]]&gt;0,VLOOKUP(_1_541284561214624104645789101745[[#This Row],[Discount selection]],'Discount Structure'!$A$2:$B$30,2,"false"),0)</f>
        <v>1</v>
      </c>
      <c r="L647" s="194">
        <f>_1_541284561214624104645789101745[[#This Row],[LIST $]]*_1_541284561214624104645789101745[[#This Row],[DISCOUNT]]*_1_541284561214624104645789101745[[#This Row],[DISCOUNT 2]]</f>
        <v>0</v>
      </c>
      <c r="M647" s="194">
        <f>IF(OR(_1_541284561214624104645789101745[[#This Row],[UNIT]]&gt;0,_1_541284561214624104645789101745[[#This Row],[UNIT]]&lt;0),_1_541284561214624104645789101745[[#This Row],[UNIT]]*_1_541284561214624104645789101745[[#This Row],[COST]],0)</f>
        <v>0</v>
      </c>
      <c r="N647" s="194">
        <f t="shared" si="9"/>
        <v>1.5</v>
      </c>
      <c r="O647" s="198">
        <f>_1_541284561214624104645789101745[[#This Row],[TOTAL]]*_1_541284561214624104645789101745[[#This Row],[MARGIN]]</f>
        <v>0</v>
      </c>
      <c r="R647" s="41"/>
    </row>
    <row r="648" spans="4:18">
      <c r="D648" s="188"/>
      <c r="F648" s="168" t="s">
        <v>6202</v>
      </c>
      <c r="G648" s="193">
        <f>IF(_1_541284561214624104645789101745[[#This Row],[Type]]&gt;0,VLOOKUP(_1_541284561214624104645789101745[[#This Row],[Type]],Main[[#All],[TYPE]:[UNIT]],'Unit Price'!C$1,FALSE),0)</f>
        <v>0</v>
      </c>
      <c r="H648" s="197">
        <f>IF(_1_541284561214624104645789101745[[#This Row],[Type]]&gt;0,VLOOKUP(_1_541284561214624104645789101745[[#This Row],[Type]],Main[[#All],[TYPE]:[UNIT]],'Unit Price'!D$1,FALSE),0)</f>
        <v>0</v>
      </c>
      <c r="I648" s="194">
        <f>IF(_1_541284561214624104645789101745[[#This Row],[Type]]&gt;0,VLOOKUP(_1_541284561214624104645789101745[[#This Row],[Type]],Main[[#All],[TYPE]:[UNIT]],'Unit Price'!G$1,FALSE),0)</f>
        <v>0</v>
      </c>
      <c r="J648" s="194">
        <f>IF(_1_541284561214624104645789101745[[#This Row],[Type]]&gt;0,VLOOKUP(_1_541284561214624104645789101745[[#This Row],[Type]],Main[[#All],[TYPE]:[UNIT]],'Unit Price'!H$1,FALSE),0)</f>
        <v>0</v>
      </c>
      <c r="K648" s="194">
        <f>IF(_1_541284561214624104645789101745[[#This Row],[Discount selection]]&gt;0,VLOOKUP(_1_541284561214624104645789101745[[#This Row],[Discount selection]],'Discount Structure'!$A$2:$B$30,2,"false"),0)</f>
        <v>1</v>
      </c>
      <c r="L648" s="194">
        <f>_1_541284561214624104645789101745[[#This Row],[LIST $]]*_1_541284561214624104645789101745[[#This Row],[DISCOUNT]]*_1_541284561214624104645789101745[[#This Row],[DISCOUNT 2]]</f>
        <v>0</v>
      </c>
      <c r="M648" s="194">
        <f>IF(OR(_1_541284561214624104645789101745[[#This Row],[UNIT]]&gt;0,_1_541284561214624104645789101745[[#This Row],[UNIT]]&lt;0),_1_541284561214624104645789101745[[#This Row],[UNIT]]*_1_541284561214624104645789101745[[#This Row],[COST]],0)</f>
        <v>0</v>
      </c>
      <c r="N648" s="194">
        <f t="shared" si="9"/>
        <v>1.5</v>
      </c>
      <c r="O648" s="198">
        <f>_1_541284561214624104645789101745[[#This Row],[TOTAL]]*_1_541284561214624104645789101745[[#This Row],[MARGIN]]</f>
        <v>0</v>
      </c>
      <c r="R648" s="41"/>
    </row>
    <row r="649" spans="4:18">
      <c r="D649" s="188"/>
      <c r="F649" s="168" t="s">
        <v>6202</v>
      </c>
      <c r="G649" s="193">
        <f>IF(_1_541284561214624104645789101745[[#This Row],[Type]]&gt;0,VLOOKUP(_1_541284561214624104645789101745[[#This Row],[Type]],Main[[#All],[TYPE]:[UNIT]],'Unit Price'!C$1,FALSE),0)</f>
        <v>0</v>
      </c>
      <c r="H649" s="197">
        <f>IF(_1_541284561214624104645789101745[[#This Row],[Type]]&gt;0,VLOOKUP(_1_541284561214624104645789101745[[#This Row],[Type]],Main[[#All],[TYPE]:[UNIT]],'Unit Price'!D$1,FALSE),0)</f>
        <v>0</v>
      </c>
      <c r="I649" s="194">
        <f>IF(_1_541284561214624104645789101745[[#This Row],[Type]]&gt;0,VLOOKUP(_1_541284561214624104645789101745[[#This Row],[Type]],Main[[#All],[TYPE]:[UNIT]],'Unit Price'!G$1,FALSE),0)</f>
        <v>0</v>
      </c>
      <c r="J649" s="194">
        <f>IF(_1_541284561214624104645789101745[[#This Row],[Type]]&gt;0,VLOOKUP(_1_541284561214624104645789101745[[#This Row],[Type]],Main[[#All],[TYPE]:[UNIT]],'Unit Price'!H$1,FALSE),0)</f>
        <v>0</v>
      </c>
      <c r="K649" s="194">
        <f>IF(_1_541284561214624104645789101745[[#This Row],[Discount selection]]&gt;0,VLOOKUP(_1_541284561214624104645789101745[[#This Row],[Discount selection]],'Discount Structure'!$A$2:$B$30,2,"false"),0)</f>
        <v>1</v>
      </c>
      <c r="L649" s="194">
        <f>_1_541284561214624104645789101745[[#This Row],[LIST $]]*_1_541284561214624104645789101745[[#This Row],[DISCOUNT]]*_1_541284561214624104645789101745[[#This Row],[DISCOUNT 2]]</f>
        <v>0</v>
      </c>
      <c r="M649" s="194">
        <f>IF(OR(_1_541284561214624104645789101745[[#This Row],[UNIT]]&gt;0,_1_541284561214624104645789101745[[#This Row],[UNIT]]&lt;0),_1_541284561214624104645789101745[[#This Row],[UNIT]]*_1_541284561214624104645789101745[[#This Row],[COST]],0)</f>
        <v>0</v>
      </c>
      <c r="N649" s="194">
        <f t="shared" si="9"/>
        <v>1.5</v>
      </c>
      <c r="O649" s="198">
        <f>_1_541284561214624104645789101745[[#This Row],[TOTAL]]*_1_541284561214624104645789101745[[#This Row],[MARGIN]]</f>
        <v>0</v>
      </c>
      <c r="R649" s="41"/>
    </row>
    <row r="650" spans="4:18">
      <c r="D650" s="188"/>
      <c r="F650" s="168" t="s">
        <v>6202</v>
      </c>
      <c r="G650" s="193">
        <f>IF(_1_541284561214624104645789101745[[#This Row],[Type]]&gt;0,VLOOKUP(_1_541284561214624104645789101745[[#This Row],[Type]],Main[[#All],[TYPE]:[UNIT]],'Unit Price'!C$1,FALSE),0)</f>
        <v>0</v>
      </c>
      <c r="H650" s="197">
        <f>IF(_1_541284561214624104645789101745[[#This Row],[Type]]&gt;0,VLOOKUP(_1_541284561214624104645789101745[[#This Row],[Type]],Main[[#All],[TYPE]:[UNIT]],'Unit Price'!D$1,FALSE),0)</f>
        <v>0</v>
      </c>
      <c r="I650" s="194">
        <f>IF(_1_541284561214624104645789101745[[#This Row],[Type]]&gt;0,VLOOKUP(_1_541284561214624104645789101745[[#This Row],[Type]],Main[[#All],[TYPE]:[UNIT]],'Unit Price'!G$1,FALSE),0)</f>
        <v>0</v>
      </c>
      <c r="J650" s="194">
        <f>IF(_1_541284561214624104645789101745[[#This Row],[Type]]&gt;0,VLOOKUP(_1_541284561214624104645789101745[[#This Row],[Type]],Main[[#All],[TYPE]:[UNIT]],'Unit Price'!H$1,FALSE),0)</f>
        <v>0</v>
      </c>
      <c r="K650" s="194">
        <f>IF(_1_541284561214624104645789101745[[#This Row],[Discount selection]]&gt;0,VLOOKUP(_1_541284561214624104645789101745[[#This Row],[Discount selection]],'Discount Structure'!$A$2:$B$30,2,"false"),0)</f>
        <v>1</v>
      </c>
      <c r="L650" s="194">
        <f>_1_541284561214624104645789101745[[#This Row],[LIST $]]*_1_541284561214624104645789101745[[#This Row],[DISCOUNT]]*_1_541284561214624104645789101745[[#This Row],[DISCOUNT 2]]</f>
        <v>0</v>
      </c>
      <c r="M650" s="194">
        <f>IF(OR(_1_541284561214624104645789101745[[#This Row],[UNIT]]&gt;0,_1_541284561214624104645789101745[[#This Row],[UNIT]]&lt;0),_1_541284561214624104645789101745[[#This Row],[UNIT]]*_1_541284561214624104645789101745[[#This Row],[COST]],0)</f>
        <v>0</v>
      </c>
      <c r="N650" s="194">
        <f t="shared" ref="N650:N713" si="10">$N$7</f>
        <v>1.5</v>
      </c>
      <c r="O650" s="198">
        <f>_1_541284561214624104645789101745[[#This Row],[TOTAL]]*_1_541284561214624104645789101745[[#This Row],[MARGIN]]</f>
        <v>0</v>
      </c>
      <c r="R650" s="41"/>
    </row>
    <row r="651" spans="4:18">
      <c r="D651" s="188"/>
      <c r="F651" s="168" t="s">
        <v>6202</v>
      </c>
      <c r="G651" s="193">
        <f>IF(_1_541284561214624104645789101745[[#This Row],[Type]]&gt;0,VLOOKUP(_1_541284561214624104645789101745[[#This Row],[Type]],Main[[#All],[TYPE]:[UNIT]],'Unit Price'!C$1,FALSE),0)</f>
        <v>0</v>
      </c>
      <c r="H651" s="197">
        <f>IF(_1_541284561214624104645789101745[[#This Row],[Type]]&gt;0,VLOOKUP(_1_541284561214624104645789101745[[#This Row],[Type]],Main[[#All],[TYPE]:[UNIT]],'Unit Price'!D$1,FALSE),0)</f>
        <v>0</v>
      </c>
      <c r="I651" s="194">
        <f>IF(_1_541284561214624104645789101745[[#This Row],[Type]]&gt;0,VLOOKUP(_1_541284561214624104645789101745[[#This Row],[Type]],Main[[#All],[TYPE]:[UNIT]],'Unit Price'!G$1,FALSE),0)</f>
        <v>0</v>
      </c>
      <c r="J651" s="194">
        <f>IF(_1_541284561214624104645789101745[[#This Row],[Type]]&gt;0,VLOOKUP(_1_541284561214624104645789101745[[#This Row],[Type]],Main[[#All],[TYPE]:[UNIT]],'Unit Price'!H$1,FALSE),0)</f>
        <v>0</v>
      </c>
      <c r="K651" s="194">
        <f>IF(_1_541284561214624104645789101745[[#This Row],[Discount selection]]&gt;0,VLOOKUP(_1_541284561214624104645789101745[[#This Row],[Discount selection]],'Discount Structure'!$A$2:$B$30,2,"false"),0)</f>
        <v>1</v>
      </c>
      <c r="L651" s="194">
        <f>_1_541284561214624104645789101745[[#This Row],[LIST $]]*_1_541284561214624104645789101745[[#This Row],[DISCOUNT]]*_1_541284561214624104645789101745[[#This Row],[DISCOUNT 2]]</f>
        <v>0</v>
      </c>
      <c r="M651" s="194">
        <f>IF(OR(_1_541284561214624104645789101745[[#This Row],[UNIT]]&gt;0,_1_541284561214624104645789101745[[#This Row],[UNIT]]&lt;0),_1_541284561214624104645789101745[[#This Row],[UNIT]]*_1_541284561214624104645789101745[[#This Row],[COST]],0)</f>
        <v>0</v>
      </c>
      <c r="N651" s="194">
        <f t="shared" si="10"/>
        <v>1.5</v>
      </c>
      <c r="O651" s="198">
        <f>_1_541284561214624104645789101745[[#This Row],[TOTAL]]*_1_541284561214624104645789101745[[#This Row],[MARGIN]]</f>
        <v>0</v>
      </c>
      <c r="R651" s="41"/>
    </row>
    <row r="652" spans="4:18">
      <c r="D652" s="188"/>
      <c r="F652" s="168" t="s">
        <v>6202</v>
      </c>
      <c r="G652" s="193">
        <f>IF(_1_541284561214624104645789101745[[#This Row],[Type]]&gt;0,VLOOKUP(_1_541284561214624104645789101745[[#This Row],[Type]],Main[[#All],[TYPE]:[UNIT]],'Unit Price'!C$1,FALSE),0)</f>
        <v>0</v>
      </c>
      <c r="H652" s="197">
        <f>IF(_1_541284561214624104645789101745[[#This Row],[Type]]&gt;0,VLOOKUP(_1_541284561214624104645789101745[[#This Row],[Type]],Main[[#All],[TYPE]:[UNIT]],'Unit Price'!D$1,FALSE),0)</f>
        <v>0</v>
      </c>
      <c r="I652" s="194">
        <f>IF(_1_541284561214624104645789101745[[#This Row],[Type]]&gt;0,VLOOKUP(_1_541284561214624104645789101745[[#This Row],[Type]],Main[[#All],[TYPE]:[UNIT]],'Unit Price'!G$1,FALSE),0)</f>
        <v>0</v>
      </c>
      <c r="J652" s="194">
        <f>IF(_1_541284561214624104645789101745[[#This Row],[Type]]&gt;0,VLOOKUP(_1_541284561214624104645789101745[[#This Row],[Type]],Main[[#All],[TYPE]:[UNIT]],'Unit Price'!H$1,FALSE),0)</f>
        <v>0</v>
      </c>
      <c r="K652" s="194">
        <f>IF(_1_541284561214624104645789101745[[#This Row],[Discount selection]]&gt;0,VLOOKUP(_1_541284561214624104645789101745[[#This Row],[Discount selection]],'Discount Structure'!$A$2:$B$30,2,"false"),0)</f>
        <v>1</v>
      </c>
      <c r="L652" s="194">
        <f>_1_541284561214624104645789101745[[#This Row],[LIST $]]*_1_541284561214624104645789101745[[#This Row],[DISCOUNT]]*_1_541284561214624104645789101745[[#This Row],[DISCOUNT 2]]</f>
        <v>0</v>
      </c>
      <c r="M652" s="194">
        <f>IF(OR(_1_541284561214624104645789101745[[#This Row],[UNIT]]&gt;0,_1_541284561214624104645789101745[[#This Row],[UNIT]]&lt;0),_1_541284561214624104645789101745[[#This Row],[UNIT]]*_1_541284561214624104645789101745[[#This Row],[COST]],0)</f>
        <v>0</v>
      </c>
      <c r="N652" s="194">
        <f t="shared" si="10"/>
        <v>1.5</v>
      </c>
      <c r="O652" s="198">
        <f>_1_541284561214624104645789101745[[#This Row],[TOTAL]]*_1_541284561214624104645789101745[[#This Row],[MARGIN]]</f>
        <v>0</v>
      </c>
      <c r="R652" s="41"/>
    </row>
    <row r="653" spans="4:18">
      <c r="D653" s="188"/>
      <c r="F653" s="168" t="s">
        <v>6202</v>
      </c>
      <c r="G653" s="193">
        <f>IF(_1_541284561214624104645789101745[[#This Row],[Type]]&gt;0,VLOOKUP(_1_541284561214624104645789101745[[#This Row],[Type]],Main[[#All],[TYPE]:[UNIT]],'Unit Price'!C$1,FALSE),0)</f>
        <v>0</v>
      </c>
      <c r="H653" s="197">
        <f>IF(_1_541284561214624104645789101745[[#This Row],[Type]]&gt;0,VLOOKUP(_1_541284561214624104645789101745[[#This Row],[Type]],Main[[#All],[TYPE]:[UNIT]],'Unit Price'!D$1,FALSE),0)</f>
        <v>0</v>
      </c>
      <c r="I653" s="194">
        <f>IF(_1_541284561214624104645789101745[[#This Row],[Type]]&gt;0,VLOOKUP(_1_541284561214624104645789101745[[#This Row],[Type]],Main[[#All],[TYPE]:[UNIT]],'Unit Price'!G$1,FALSE),0)</f>
        <v>0</v>
      </c>
      <c r="J653" s="194">
        <f>IF(_1_541284561214624104645789101745[[#This Row],[Type]]&gt;0,VLOOKUP(_1_541284561214624104645789101745[[#This Row],[Type]],Main[[#All],[TYPE]:[UNIT]],'Unit Price'!H$1,FALSE),0)</f>
        <v>0</v>
      </c>
      <c r="K653" s="194">
        <f>IF(_1_541284561214624104645789101745[[#This Row],[Discount selection]]&gt;0,VLOOKUP(_1_541284561214624104645789101745[[#This Row],[Discount selection]],'Discount Structure'!$A$2:$B$30,2,"false"),0)</f>
        <v>1</v>
      </c>
      <c r="L653" s="194">
        <f>_1_541284561214624104645789101745[[#This Row],[LIST $]]*_1_541284561214624104645789101745[[#This Row],[DISCOUNT]]*_1_541284561214624104645789101745[[#This Row],[DISCOUNT 2]]</f>
        <v>0</v>
      </c>
      <c r="M653" s="194">
        <f>IF(OR(_1_541284561214624104645789101745[[#This Row],[UNIT]]&gt;0,_1_541284561214624104645789101745[[#This Row],[UNIT]]&lt;0),_1_541284561214624104645789101745[[#This Row],[UNIT]]*_1_541284561214624104645789101745[[#This Row],[COST]],0)</f>
        <v>0</v>
      </c>
      <c r="N653" s="194">
        <f t="shared" si="10"/>
        <v>1.5</v>
      </c>
      <c r="O653" s="198">
        <f>_1_541284561214624104645789101745[[#This Row],[TOTAL]]*_1_541284561214624104645789101745[[#This Row],[MARGIN]]</f>
        <v>0</v>
      </c>
      <c r="R653" s="41"/>
    </row>
    <row r="654" spans="4:18">
      <c r="D654" s="188"/>
      <c r="F654" s="168" t="s">
        <v>6202</v>
      </c>
      <c r="G654" s="193">
        <f>IF(_1_541284561214624104645789101745[[#This Row],[Type]]&gt;0,VLOOKUP(_1_541284561214624104645789101745[[#This Row],[Type]],Main[[#All],[TYPE]:[UNIT]],'Unit Price'!C$1,FALSE),0)</f>
        <v>0</v>
      </c>
      <c r="H654" s="197">
        <f>IF(_1_541284561214624104645789101745[[#This Row],[Type]]&gt;0,VLOOKUP(_1_541284561214624104645789101745[[#This Row],[Type]],Main[[#All],[TYPE]:[UNIT]],'Unit Price'!D$1,FALSE),0)</f>
        <v>0</v>
      </c>
      <c r="I654" s="194">
        <f>IF(_1_541284561214624104645789101745[[#This Row],[Type]]&gt;0,VLOOKUP(_1_541284561214624104645789101745[[#This Row],[Type]],Main[[#All],[TYPE]:[UNIT]],'Unit Price'!G$1,FALSE),0)</f>
        <v>0</v>
      </c>
      <c r="J654" s="194">
        <f>IF(_1_541284561214624104645789101745[[#This Row],[Type]]&gt;0,VLOOKUP(_1_541284561214624104645789101745[[#This Row],[Type]],Main[[#All],[TYPE]:[UNIT]],'Unit Price'!H$1,FALSE),0)</f>
        <v>0</v>
      </c>
      <c r="K654" s="194">
        <f>IF(_1_541284561214624104645789101745[[#This Row],[Discount selection]]&gt;0,VLOOKUP(_1_541284561214624104645789101745[[#This Row],[Discount selection]],'Discount Structure'!$A$2:$B$30,2,"false"),0)</f>
        <v>1</v>
      </c>
      <c r="L654" s="194">
        <f>_1_541284561214624104645789101745[[#This Row],[LIST $]]*_1_541284561214624104645789101745[[#This Row],[DISCOUNT]]*_1_541284561214624104645789101745[[#This Row],[DISCOUNT 2]]</f>
        <v>0</v>
      </c>
      <c r="M654" s="194">
        <f>IF(OR(_1_541284561214624104645789101745[[#This Row],[UNIT]]&gt;0,_1_541284561214624104645789101745[[#This Row],[UNIT]]&lt;0),_1_541284561214624104645789101745[[#This Row],[UNIT]]*_1_541284561214624104645789101745[[#This Row],[COST]],0)</f>
        <v>0</v>
      </c>
      <c r="N654" s="194">
        <f t="shared" si="10"/>
        <v>1.5</v>
      </c>
      <c r="O654" s="198">
        <f>_1_541284561214624104645789101745[[#This Row],[TOTAL]]*_1_541284561214624104645789101745[[#This Row],[MARGIN]]</f>
        <v>0</v>
      </c>
      <c r="R654" s="41"/>
    </row>
    <row r="655" spans="4:18">
      <c r="D655" s="188"/>
      <c r="F655" s="168" t="s">
        <v>6202</v>
      </c>
      <c r="G655" s="193">
        <f>IF(_1_541284561214624104645789101745[[#This Row],[Type]]&gt;0,VLOOKUP(_1_541284561214624104645789101745[[#This Row],[Type]],Main[[#All],[TYPE]:[UNIT]],'Unit Price'!C$1,FALSE),0)</f>
        <v>0</v>
      </c>
      <c r="H655" s="197">
        <f>IF(_1_541284561214624104645789101745[[#This Row],[Type]]&gt;0,VLOOKUP(_1_541284561214624104645789101745[[#This Row],[Type]],Main[[#All],[TYPE]:[UNIT]],'Unit Price'!D$1,FALSE),0)</f>
        <v>0</v>
      </c>
      <c r="I655" s="194">
        <f>IF(_1_541284561214624104645789101745[[#This Row],[Type]]&gt;0,VLOOKUP(_1_541284561214624104645789101745[[#This Row],[Type]],Main[[#All],[TYPE]:[UNIT]],'Unit Price'!G$1,FALSE),0)</f>
        <v>0</v>
      </c>
      <c r="J655" s="194">
        <f>IF(_1_541284561214624104645789101745[[#This Row],[Type]]&gt;0,VLOOKUP(_1_541284561214624104645789101745[[#This Row],[Type]],Main[[#All],[TYPE]:[UNIT]],'Unit Price'!H$1,FALSE),0)</f>
        <v>0</v>
      </c>
      <c r="K655" s="194">
        <f>IF(_1_541284561214624104645789101745[[#This Row],[Discount selection]]&gt;0,VLOOKUP(_1_541284561214624104645789101745[[#This Row],[Discount selection]],'Discount Structure'!$A$2:$B$30,2,"false"),0)</f>
        <v>1</v>
      </c>
      <c r="L655" s="194">
        <f>_1_541284561214624104645789101745[[#This Row],[LIST $]]*_1_541284561214624104645789101745[[#This Row],[DISCOUNT]]*_1_541284561214624104645789101745[[#This Row],[DISCOUNT 2]]</f>
        <v>0</v>
      </c>
      <c r="M655" s="194">
        <f>IF(OR(_1_541284561214624104645789101745[[#This Row],[UNIT]]&gt;0,_1_541284561214624104645789101745[[#This Row],[UNIT]]&lt;0),_1_541284561214624104645789101745[[#This Row],[UNIT]]*_1_541284561214624104645789101745[[#This Row],[COST]],0)</f>
        <v>0</v>
      </c>
      <c r="N655" s="194">
        <f t="shared" si="10"/>
        <v>1.5</v>
      </c>
      <c r="O655" s="198">
        <f>_1_541284561214624104645789101745[[#This Row],[TOTAL]]*_1_541284561214624104645789101745[[#This Row],[MARGIN]]</f>
        <v>0</v>
      </c>
      <c r="R655" s="41"/>
    </row>
    <row r="656" spans="4:18">
      <c r="D656" s="188"/>
      <c r="F656" s="168" t="s">
        <v>6202</v>
      </c>
      <c r="G656" s="193">
        <f>IF(_1_541284561214624104645789101745[[#This Row],[Type]]&gt;0,VLOOKUP(_1_541284561214624104645789101745[[#This Row],[Type]],Main[[#All],[TYPE]:[UNIT]],'Unit Price'!C$1,FALSE),0)</f>
        <v>0</v>
      </c>
      <c r="H656" s="197">
        <f>IF(_1_541284561214624104645789101745[[#This Row],[Type]]&gt;0,VLOOKUP(_1_541284561214624104645789101745[[#This Row],[Type]],Main[[#All],[TYPE]:[UNIT]],'Unit Price'!D$1,FALSE),0)</f>
        <v>0</v>
      </c>
      <c r="I656" s="194">
        <f>IF(_1_541284561214624104645789101745[[#This Row],[Type]]&gt;0,VLOOKUP(_1_541284561214624104645789101745[[#This Row],[Type]],Main[[#All],[TYPE]:[UNIT]],'Unit Price'!G$1,FALSE),0)</f>
        <v>0</v>
      </c>
      <c r="J656" s="194">
        <f>IF(_1_541284561214624104645789101745[[#This Row],[Type]]&gt;0,VLOOKUP(_1_541284561214624104645789101745[[#This Row],[Type]],Main[[#All],[TYPE]:[UNIT]],'Unit Price'!H$1,FALSE),0)</f>
        <v>0</v>
      </c>
      <c r="K656" s="194">
        <f>IF(_1_541284561214624104645789101745[[#This Row],[Discount selection]]&gt;0,VLOOKUP(_1_541284561214624104645789101745[[#This Row],[Discount selection]],'Discount Structure'!$A$2:$B$30,2,"false"),0)</f>
        <v>1</v>
      </c>
      <c r="L656" s="194">
        <f>_1_541284561214624104645789101745[[#This Row],[LIST $]]*_1_541284561214624104645789101745[[#This Row],[DISCOUNT]]*_1_541284561214624104645789101745[[#This Row],[DISCOUNT 2]]</f>
        <v>0</v>
      </c>
      <c r="M656" s="194">
        <f>IF(OR(_1_541284561214624104645789101745[[#This Row],[UNIT]]&gt;0,_1_541284561214624104645789101745[[#This Row],[UNIT]]&lt;0),_1_541284561214624104645789101745[[#This Row],[UNIT]]*_1_541284561214624104645789101745[[#This Row],[COST]],0)</f>
        <v>0</v>
      </c>
      <c r="N656" s="194">
        <f t="shared" si="10"/>
        <v>1.5</v>
      </c>
      <c r="O656" s="198">
        <f>_1_541284561214624104645789101745[[#This Row],[TOTAL]]*_1_541284561214624104645789101745[[#This Row],[MARGIN]]</f>
        <v>0</v>
      </c>
      <c r="R656" s="41"/>
    </row>
    <row r="657" spans="4:18">
      <c r="D657" s="188"/>
      <c r="F657" s="168" t="s">
        <v>6202</v>
      </c>
      <c r="G657" s="193">
        <f>IF(_1_541284561214624104645789101745[[#This Row],[Type]]&gt;0,VLOOKUP(_1_541284561214624104645789101745[[#This Row],[Type]],Main[[#All],[TYPE]:[UNIT]],'Unit Price'!C$1,FALSE),0)</f>
        <v>0</v>
      </c>
      <c r="H657" s="197">
        <f>IF(_1_541284561214624104645789101745[[#This Row],[Type]]&gt;0,VLOOKUP(_1_541284561214624104645789101745[[#This Row],[Type]],Main[[#All],[TYPE]:[UNIT]],'Unit Price'!D$1,FALSE),0)</f>
        <v>0</v>
      </c>
      <c r="I657" s="194">
        <f>IF(_1_541284561214624104645789101745[[#This Row],[Type]]&gt;0,VLOOKUP(_1_541284561214624104645789101745[[#This Row],[Type]],Main[[#All],[TYPE]:[UNIT]],'Unit Price'!G$1,FALSE),0)</f>
        <v>0</v>
      </c>
      <c r="J657" s="194">
        <f>IF(_1_541284561214624104645789101745[[#This Row],[Type]]&gt;0,VLOOKUP(_1_541284561214624104645789101745[[#This Row],[Type]],Main[[#All],[TYPE]:[UNIT]],'Unit Price'!H$1,FALSE),0)</f>
        <v>0</v>
      </c>
      <c r="K657" s="194">
        <f>IF(_1_541284561214624104645789101745[[#This Row],[Discount selection]]&gt;0,VLOOKUP(_1_541284561214624104645789101745[[#This Row],[Discount selection]],'Discount Structure'!$A$2:$B$30,2,"false"),0)</f>
        <v>1</v>
      </c>
      <c r="L657" s="194">
        <f>_1_541284561214624104645789101745[[#This Row],[LIST $]]*_1_541284561214624104645789101745[[#This Row],[DISCOUNT]]*_1_541284561214624104645789101745[[#This Row],[DISCOUNT 2]]</f>
        <v>0</v>
      </c>
      <c r="M657" s="194">
        <f>IF(OR(_1_541284561214624104645789101745[[#This Row],[UNIT]]&gt;0,_1_541284561214624104645789101745[[#This Row],[UNIT]]&lt;0),_1_541284561214624104645789101745[[#This Row],[UNIT]]*_1_541284561214624104645789101745[[#This Row],[COST]],0)</f>
        <v>0</v>
      </c>
      <c r="N657" s="194">
        <f t="shared" si="10"/>
        <v>1.5</v>
      </c>
      <c r="O657" s="198">
        <f>_1_541284561214624104645789101745[[#This Row],[TOTAL]]*_1_541284561214624104645789101745[[#This Row],[MARGIN]]</f>
        <v>0</v>
      </c>
      <c r="R657" s="41"/>
    </row>
    <row r="658" spans="4:18">
      <c r="D658" s="188"/>
      <c r="F658" s="168" t="s">
        <v>6202</v>
      </c>
      <c r="G658" s="193">
        <f>IF(_1_541284561214624104645789101745[[#This Row],[Type]]&gt;0,VLOOKUP(_1_541284561214624104645789101745[[#This Row],[Type]],Main[[#All],[TYPE]:[UNIT]],'Unit Price'!C$1,FALSE),0)</f>
        <v>0</v>
      </c>
      <c r="H658" s="197">
        <f>IF(_1_541284561214624104645789101745[[#This Row],[Type]]&gt;0,VLOOKUP(_1_541284561214624104645789101745[[#This Row],[Type]],Main[[#All],[TYPE]:[UNIT]],'Unit Price'!D$1,FALSE),0)</f>
        <v>0</v>
      </c>
      <c r="I658" s="194">
        <f>IF(_1_541284561214624104645789101745[[#This Row],[Type]]&gt;0,VLOOKUP(_1_541284561214624104645789101745[[#This Row],[Type]],Main[[#All],[TYPE]:[UNIT]],'Unit Price'!G$1,FALSE),0)</f>
        <v>0</v>
      </c>
      <c r="J658" s="194">
        <f>IF(_1_541284561214624104645789101745[[#This Row],[Type]]&gt;0,VLOOKUP(_1_541284561214624104645789101745[[#This Row],[Type]],Main[[#All],[TYPE]:[UNIT]],'Unit Price'!H$1,FALSE),0)</f>
        <v>0</v>
      </c>
      <c r="K658" s="194">
        <f>IF(_1_541284561214624104645789101745[[#This Row],[Discount selection]]&gt;0,VLOOKUP(_1_541284561214624104645789101745[[#This Row],[Discount selection]],'Discount Structure'!$A$2:$B$30,2,"false"),0)</f>
        <v>1</v>
      </c>
      <c r="L658" s="194">
        <f>_1_541284561214624104645789101745[[#This Row],[LIST $]]*_1_541284561214624104645789101745[[#This Row],[DISCOUNT]]*_1_541284561214624104645789101745[[#This Row],[DISCOUNT 2]]</f>
        <v>0</v>
      </c>
      <c r="M658" s="194">
        <f>IF(OR(_1_541284561214624104645789101745[[#This Row],[UNIT]]&gt;0,_1_541284561214624104645789101745[[#This Row],[UNIT]]&lt;0),_1_541284561214624104645789101745[[#This Row],[UNIT]]*_1_541284561214624104645789101745[[#This Row],[COST]],0)</f>
        <v>0</v>
      </c>
      <c r="N658" s="194">
        <f t="shared" si="10"/>
        <v>1.5</v>
      </c>
      <c r="O658" s="198">
        <f>_1_541284561214624104645789101745[[#This Row],[TOTAL]]*_1_541284561214624104645789101745[[#This Row],[MARGIN]]</f>
        <v>0</v>
      </c>
      <c r="R658" s="41"/>
    </row>
    <row r="659" spans="4:18">
      <c r="D659" s="188"/>
      <c r="F659" s="168" t="s">
        <v>6202</v>
      </c>
      <c r="G659" s="193">
        <f>IF(_1_541284561214624104645789101745[[#This Row],[Type]]&gt;0,VLOOKUP(_1_541284561214624104645789101745[[#This Row],[Type]],Main[[#All],[TYPE]:[UNIT]],'Unit Price'!C$1,FALSE),0)</f>
        <v>0</v>
      </c>
      <c r="H659" s="197">
        <f>IF(_1_541284561214624104645789101745[[#This Row],[Type]]&gt;0,VLOOKUP(_1_541284561214624104645789101745[[#This Row],[Type]],Main[[#All],[TYPE]:[UNIT]],'Unit Price'!D$1,FALSE),0)</f>
        <v>0</v>
      </c>
      <c r="I659" s="194">
        <f>IF(_1_541284561214624104645789101745[[#This Row],[Type]]&gt;0,VLOOKUP(_1_541284561214624104645789101745[[#This Row],[Type]],Main[[#All],[TYPE]:[UNIT]],'Unit Price'!G$1,FALSE),0)</f>
        <v>0</v>
      </c>
      <c r="J659" s="194">
        <f>IF(_1_541284561214624104645789101745[[#This Row],[Type]]&gt;0,VLOOKUP(_1_541284561214624104645789101745[[#This Row],[Type]],Main[[#All],[TYPE]:[UNIT]],'Unit Price'!H$1,FALSE),0)</f>
        <v>0</v>
      </c>
      <c r="K659" s="194">
        <f>IF(_1_541284561214624104645789101745[[#This Row],[Discount selection]]&gt;0,VLOOKUP(_1_541284561214624104645789101745[[#This Row],[Discount selection]],'Discount Structure'!$A$2:$B$30,2,"false"),0)</f>
        <v>1</v>
      </c>
      <c r="L659" s="194">
        <f>_1_541284561214624104645789101745[[#This Row],[LIST $]]*_1_541284561214624104645789101745[[#This Row],[DISCOUNT]]*_1_541284561214624104645789101745[[#This Row],[DISCOUNT 2]]</f>
        <v>0</v>
      </c>
      <c r="M659" s="194">
        <f>IF(OR(_1_541284561214624104645789101745[[#This Row],[UNIT]]&gt;0,_1_541284561214624104645789101745[[#This Row],[UNIT]]&lt;0),_1_541284561214624104645789101745[[#This Row],[UNIT]]*_1_541284561214624104645789101745[[#This Row],[COST]],0)</f>
        <v>0</v>
      </c>
      <c r="N659" s="194">
        <f t="shared" si="10"/>
        <v>1.5</v>
      </c>
      <c r="O659" s="198">
        <f>_1_541284561214624104645789101745[[#This Row],[TOTAL]]*_1_541284561214624104645789101745[[#This Row],[MARGIN]]</f>
        <v>0</v>
      </c>
      <c r="R659" s="41"/>
    </row>
    <row r="660" spans="4:18">
      <c r="D660" s="188"/>
      <c r="F660" s="168" t="s">
        <v>6202</v>
      </c>
      <c r="G660" s="193">
        <f>IF(_1_541284561214624104645789101745[[#This Row],[Type]]&gt;0,VLOOKUP(_1_541284561214624104645789101745[[#This Row],[Type]],Main[[#All],[TYPE]:[UNIT]],'Unit Price'!C$1,FALSE),0)</f>
        <v>0</v>
      </c>
      <c r="H660" s="197">
        <f>IF(_1_541284561214624104645789101745[[#This Row],[Type]]&gt;0,VLOOKUP(_1_541284561214624104645789101745[[#This Row],[Type]],Main[[#All],[TYPE]:[UNIT]],'Unit Price'!D$1,FALSE),0)</f>
        <v>0</v>
      </c>
      <c r="I660" s="194">
        <f>IF(_1_541284561214624104645789101745[[#This Row],[Type]]&gt;0,VLOOKUP(_1_541284561214624104645789101745[[#This Row],[Type]],Main[[#All],[TYPE]:[UNIT]],'Unit Price'!G$1,FALSE),0)</f>
        <v>0</v>
      </c>
      <c r="J660" s="194">
        <f>IF(_1_541284561214624104645789101745[[#This Row],[Type]]&gt;0,VLOOKUP(_1_541284561214624104645789101745[[#This Row],[Type]],Main[[#All],[TYPE]:[UNIT]],'Unit Price'!H$1,FALSE),0)</f>
        <v>0</v>
      </c>
      <c r="K660" s="194">
        <f>IF(_1_541284561214624104645789101745[[#This Row],[Discount selection]]&gt;0,VLOOKUP(_1_541284561214624104645789101745[[#This Row],[Discount selection]],'Discount Structure'!$A$2:$B$30,2,"false"),0)</f>
        <v>1</v>
      </c>
      <c r="L660" s="194">
        <f>_1_541284561214624104645789101745[[#This Row],[LIST $]]*_1_541284561214624104645789101745[[#This Row],[DISCOUNT]]*_1_541284561214624104645789101745[[#This Row],[DISCOUNT 2]]</f>
        <v>0</v>
      </c>
      <c r="M660" s="194">
        <f>IF(OR(_1_541284561214624104645789101745[[#This Row],[UNIT]]&gt;0,_1_541284561214624104645789101745[[#This Row],[UNIT]]&lt;0),_1_541284561214624104645789101745[[#This Row],[UNIT]]*_1_541284561214624104645789101745[[#This Row],[COST]],0)</f>
        <v>0</v>
      </c>
      <c r="N660" s="194">
        <f t="shared" si="10"/>
        <v>1.5</v>
      </c>
      <c r="O660" s="198">
        <f>_1_541284561214624104645789101745[[#This Row],[TOTAL]]*_1_541284561214624104645789101745[[#This Row],[MARGIN]]</f>
        <v>0</v>
      </c>
      <c r="R660" s="41"/>
    </row>
    <row r="661" spans="4:18">
      <c r="D661" s="188"/>
      <c r="F661" s="168" t="s">
        <v>6202</v>
      </c>
      <c r="G661" s="193">
        <f>IF(_1_541284561214624104645789101745[[#This Row],[Type]]&gt;0,VLOOKUP(_1_541284561214624104645789101745[[#This Row],[Type]],Main[[#All],[TYPE]:[UNIT]],'Unit Price'!C$1,FALSE),0)</f>
        <v>0</v>
      </c>
      <c r="H661" s="197">
        <f>IF(_1_541284561214624104645789101745[[#This Row],[Type]]&gt;0,VLOOKUP(_1_541284561214624104645789101745[[#This Row],[Type]],Main[[#All],[TYPE]:[UNIT]],'Unit Price'!D$1,FALSE),0)</f>
        <v>0</v>
      </c>
      <c r="I661" s="194">
        <f>IF(_1_541284561214624104645789101745[[#This Row],[Type]]&gt;0,VLOOKUP(_1_541284561214624104645789101745[[#This Row],[Type]],Main[[#All],[TYPE]:[UNIT]],'Unit Price'!G$1,FALSE),0)</f>
        <v>0</v>
      </c>
      <c r="J661" s="194">
        <f>IF(_1_541284561214624104645789101745[[#This Row],[Type]]&gt;0,VLOOKUP(_1_541284561214624104645789101745[[#This Row],[Type]],Main[[#All],[TYPE]:[UNIT]],'Unit Price'!H$1,FALSE),0)</f>
        <v>0</v>
      </c>
      <c r="K661" s="194">
        <f>IF(_1_541284561214624104645789101745[[#This Row],[Discount selection]]&gt;0,VLOOKUP(_1_541284561214624104645789101745[[#This Row],[Discount selection]],'Discount Structure'!$A$2:$B$30,2,"false"),0)</f>
        <v>1</v>
      </c>
      <c r="L661" s="194">
        <f>_1_541284561214624104645789101745[[#This Row],[LIST $]]*_1_541284561214624104645789101745[[#This Row],[DISCOUNT]]*_1_541284561214624104645789101745[[#This Row],[DISCOUNT 2]]</f>
        <v>0</v>
      </c>
      <c r="M661" s="194">
        <f>IF(OR(_1_541284561214624104645789101745[[#This Row],[UNIT]]&gt;0,_1_541284561214624104645789101745[[#This Row],[UNIT]]&lt;0),_1_541284561214624104645789101745[[#This Row],[UNIT]]*_1_541284561214624104645789101745[[#This Row],[COST]],0)</f>
        <v>0</v>
      </c>
      <c r="N661" s="194">
        <f t="shared" si="10"/>
        <v>1.5</v>
      </c>
      <c r="O661" s="198">
        <f>_1_541284561214624104645789101745[[#This Row],[TOTAL]]*_1_541284561214624104645789101745[[#This Row],[MARGIN]]</f>
        <v>0</v>
      </c>
      <c r="R661" s="41"/>
    </row>
    <row r="662" spans="4:18">
      <c r="D662" s="188"/>
      <c r="F662" s="168" t="s">
        <v>6202</v>
      </c>
      <c r="G662" s="193">
        <f>IF(_1_541284561214624104645789101745[[#This Row],[Type]]&gt;0,VLOOKUP(_1_541284561214624104645789101745[[#This Row],[Type]],Main[[#All],[TYPE]:[UNIT]],'Unit Price'!C$1,FALSE),0)</f>
        <v>0</v>
      </c>
      <c r="H662" s="197">
        <f>IF(_1_541284561214624104645789101745[[#This Row],[Type]]&gt;0,VLOOKUP(_1_541284561214624104645789101745[[#This Row],[Type]],Main[[#All],[TYPE]:[UNIT]],'Unit Price'!D$1,FALSE),0)</f>
        <v>0</v>
      </c>
      <c r="I662" s="194">
        <f>IF(_1_541284561214624104645789101745[[#This Row],[Type]]&gt;0,VLOOKUP(_1_541284561214624104645789101745[[#This Row],[Type]],Main[[#All],[TYPE]:[UNIT]],'Unit Price'!G$1,FALSE),0)</f>
        <v>0</v>
      </c>
      <c r="J662" s="194">
        <f>IF(_1_541284561214624104645789101745[[#This Row],[Type]]&gt;0,VLOOKUP(_1_541284561214624104645789101745[[#This Row],[Type]],Main[[#All],[TYPE]:[UNIT]],'Unit Price'!H$1,FALSE),0)</f>
        <v>0</v>
      </c>
      <c r="K662" s="194">
        <f>IF(_1_541284561214624104645789101745[[#This Row],[Discount selection]]&gt;0,VLOOKUP(_1_541284561214624104645789101745[[#This Row],[Discount selection]],'Discount Structure'!$A$2:$B$30,2,"false"),0)</f>
        <v>1</v>
      </c>
      <c r="L662" s="194">
        <f>_1_541284561214624104645789101745[[#This Row],[LIST $]]*_1_541284561214624104645789101745[[#This Row],[DISCOUNT]]*_1_541284561214624104645789101745[[#This Row],[DISCOUNT 2]]</f>
        <v>0</v>
      </c>
      <c r="M662" s="194">
        <f>IF(OR(_1_541284561214624104645789101745[[#This Row],[UNIT]]&gt;0,_1_541284561214624104645789101745[[#This Row],[UNIT]]&lt;0),_1_541284561214624104645789101745[[#This Row],[UNIT]]*_1_541284561214624104645789101745[[#This Row],[COST]],0)</f>
        <v>0</v>
      </c>
      <c r="N662" s="194">
        <f t="shared" si="10"/>
        <v>1.5</v>
      </c>
      <c r="O662" s="198">
        <f>_1_541284561214624104645789101745[[#This Row],[TOTAL]]*_1_541284561214624104645789101745[[#This Row],[MARGIN]]</f>
        <v>0</v>
      </c>
      <c r="R662" s="41"/>
    </row>
    <row r="663" spans="4:18">
      <c r="D663" s="188"/>
      <c r="F663" s="168" t="s">
        <v>6202</v>
      </c>
      <c r="G663" s="193">
        <f>IF(_1_541284561214624104645789101745[[#This Row],[Type]]&gt;0,VLOOKUP(_1_541284561214624104645789101745[[#This Row],[Type]],Main[[#All],[TYPE]:[UNIT]],'Unit Price'!C$1,FALSE),0)</f>
        <v>0</v>
      </c>
      <c r="H663" s="197">
        <f>IF(_1_541284561214624104645789101745[[#This Row],[Type]]&gt;0,VLOOKUP(_1_541284561214624104645789101745[[#This Row],[Type]],Main[[#All],[TYPE]:[UNIT]],'Unit Price'!D$1,FALSE),0)</f>
        <v>0</v>
      </c>
      <c r="I663" s="194">
        <f>IF(_1_541284561214624104645789101745[[#This Row],[Type]]&gt;0,VLOOKUP(_1_541284561214624104645789101745[[#This Row],[Type]],Main[[#All],[TYPE]:[UNIT]],'Unit Price'!G$1,FALSE),0)</f>
        <v>0</v>
      </c>
      <c r="J663" s="194">
        <f>IF(_1_541284561214624104645789101745[[#This Row],[Type]]&gt;0,VLOOKUP(_1_541284561214624104645789101745[[#This Row],[Type]],Main[[#All],[TYPE]:[UNIT]],'Unit Price'!H$1,FALSE),0)</f>
        <v>0</v>
      </c>
      <c r="K663" s="194">
        <f>IF(_1_541284561214624104645789101745[[#This Row],[Discount selection]]&gt;0,VLOOKUP(_1_541284561214624104645789101745[[#This Row],[Discount selection]],'Discount Structure'!$A$2:$B$30,2,"false"),0)</f>
        <v>1</v>
      </c>
      <c r="L663" s="194">
        <f>_1_541284561214624104645789101745[[#This Row],[LIST $]]*_1_541284561214624104645789101745[[#This Row],[DISCOUNT]]*_1_541284561214624104645789101745[[#This Row],[DISCOUNT 2]]</f>
        <v>0</v>
      </c>
      <c r="M663" s="194">
        <f>IF(OR(_1_541284561214624104645789101745[[#This Row],[UNIT]]&gt;0,_1_541284561214624104645789101745[[#This Row],[UNIT]]&lt;0),_1_541284561214624104645789101745[[#This Row],[UNIT]]*_1_541284561214624104645789101745[[#This Row],[COST]],0)</f>
        <v>0</v>
      </c>
      <c r="N663" s="194">
        <f t="shared" si="10"/>
        <v>1.5</v>
      </c>
      <c r="O663" s="198">
        <f>_1_541284561214624104645789101745[[#This Row],[TOTAL]]*_1_541284561214624104645789101745[[#This Row],[MARGIN]]</f>
        <v>0</v>
      </c>
      <c r="R663" s="41"/>
    </row>
    <row r="664" spans="4:18">
      <c r="D664" s="188"/>
      <c r="F664" s="168" t="s">
        <v>6202</v>
      </c>
      <c r="G664" s="193">
        <f>IF(_1_541284561214624104645789101745[[#This Row],[Type]]&gt;0,VLOOKUP(_1_541284561214624104645789101745[[#This Row],[Type]],Main[[#All],[TYPE]:[UNIT]],'Unit Price'!C$1,FALSE),0)</f>
        <v>0</v>
      </c>
      <c r="H664" s="197">
        <f>IF(_1_541284561214624104645789101745[[#This Row],[Type]]&gt;0,VLOOKUP(_1_541284561214624104645789101745[[#This Row],[Type]],Main[[#All],[TYPE]:[UNIT]],'Unit Price'!D$1,FALSE),0)</f>
        <v>0</v>
      </c>
      <c r="I664" s="194">
        <f>IF(_1_541284561214624104645789101745[[#This Row],[Type]]&gt;0,VLOOKUP(_1_541284561214624104645789101745[[#This Row],[Type]],Main[[#All],[TYPE]:[UNIT]],'Unit Price'!G$1,FALSE),0)</f>
        <v>0</v>
      </c>
      <c r="J664" s="194">
        <f>IF(_1_541284561214624104645789101745[[#This Row],[Type]]&gt;0,VLOOKUP(_1_541284561214624104645789101745[[#This Row],[Type]],Main[[#All],[TYPE]:[UNIT]],'Unit Price'!H$1,FALSE),0)</f>
        <v>0</v>
      </c>
      <c r="K664" s="194">
        <f>IF(_1_541284561214624104645789101745[[#This Row],[Discount selection]]&gt;0,VLOOKUP(_1_541284561214624104645789101745[[#This Row],[Discount selection]],'Discount Structure'!$A$2:$B$30,2,"false"),0)</f>
        <v>1</v>
      </c>
      <c r="L664" s="194">
        <f>_1_541284561214624104645789101745[[#This Row],[LIST $]]*_1_541284561214624104645789101745[[#This Row],[DISCOUNT]]*_1_541284561214624104645789101745[[#This Row],[DISCOUNT 2]]</f>
        <v>0</v>
      </c>
      <c r="M664" s="194">
        <f>IF(OR(_1_541284561214624104645789101745[[#This Row],[UNIT]]&gt;0,_1_541284561214624104645789101745[[#This Row],[UNIT]]&lt;0),_1_541284561214624104645789101745[[#This Row],[UNIT]]*_1_541284561214624104645789101745[[#This Row],[COST]],0)</f>
        <v>0</v>
      </c>
      <c r="N664" s="194">
        <f t="shared" si="10"/>
        <v>1.5</v>
      </c>
      <c r="O664" s="198">
        <f>_1_541284561214624104645789101745[[#This Row],[TOTAL]]*_1_541284561214624104645789101745[[#This Row],[MARGIN]]</f>
        <v>0</v>
      </c>
      <c r="R664" s="41"/>
    </row>
    <row r="665" spans="4:18">
      <c r="D665" s="188"/>
      <c r="F665" s="168" t="s">
        <v>6202</v>
      </c>
      <c r="G665" s="193">
        <f>IF(_1_541284561214624104645789101745[[#This Row],[Type]]&gt;0,VLOOKUP(_1_541284561214624104645789101745[[#This Row],[Type]],Main[[#All],[TYPE]:[UNIT]],'Unit Price'!C$1,FALSE),0)</f>
        <v>0</v>
      </c>
      <c r="H665" s="197">
        <f>IF(_1_541284561214624104645789101745[[#This Row],[Type]]&gt;0,VLOOKUP(_1_541284561214624104645789101745[[#This Row],[Type]],Main[[#All],[TYPE]:[UNIT]],'Unit Price'!D$1,FALSE),0)</f>
        <v>0</v>
      </c>
      <c r="I665" s="194">
        <f>IF(_1_541284561214624104645789101745[[#This Row],[Type]]&gt;0,VLOOKUP(_1_541284561214624104645789101745[[#This Row],[Type]],Main[[#All],[TYPE]:[UNIT]],'Unit Price'!G$1,FALSE),0)</f>
        <v>0</v>
      </c>
      <c r="J665" s="194">
        <f>IF(_1_541284561214624104645789101745[[#This Row],[Type]]&gt;0,VLOOKUP(_1_541284561214624104645789101745[[#This Row],[Type]],Main[[#All],[TYPE]:[UNIT]],'Unit Price'!H$1,FALSE),0)</f>
        <v>0</v>
      </c>
      <c r="K665" s="194">
        <f>IF(_1_541284561214624104645789101745[[#This Row],[Discount selection]]&gt;0,VLOOKUP(_1_541284561214624104645789101745[[#This Row],[Discount selection]],'Discount Structure'!$A$2:$B$30,2,"false"),0)</f>
        <v>1</v>
      </c>
      <c r="L665" s="194">
        <f>_1_541284561214624104645789101745[[#This Row],[LIST $]]*_1_541284561214624104645789101745[[#This Row],[DISCOUNT]]*_1_541284561214624104645789101745[[#This Row],[DISCOUNT 2]]</f>
        <v>0</v>
      </c>
      <c r="M665" s="194">
        <f>IF(OR(_1_541284561214624104645789101745[[#This Row],[UNIT]]&gt;0,_1_541284561214624104645789101745[[#This Row],[UNIT]]&lt;0),_1_541284561214624104645789101745[[#This Row],[UNIT]]*_1_541284561214624104645789101745[[#This Row],[COST]],0)</f>
        <v>0</v>
      </c>
      <c r="N665" s="194">
        <f t="shared" si="10"/>
        <v>1.5</v>
      </c>
      <c r="O665" s="198">
        <f>_1_541284561214624104645789101745[[#This Row],[TOTAL]]*_1_541284561214624104645789101745[[#This Row],[MARGIN]]</f>
        <v>0</v>
      </c>
      <c r="R665" s="41"/>
    </row>
    <row r="666" spans="4:18">
      <c r="D666" s="188"/>
      <c r="F666" s="168" t="s">
        <v>6202</v>
      </c>
      <c r="G666" s="193">
        <f>IF(_1_541284561214624104645789101745[[#This Row],[Type]]&gt;0,VLOOKUP(_1_541284561214624104645789101745[[#This Row],[Type]],Main[[#All],[TYPE]:[UNIT]],'Unit Price'!C$1,FALSE),0)</f>
        <v>0</v>
      </c>
      <c r="H666" s="197">
        <f>IF(_1_541284561214624104645789101745[[#This Row],[Type]]&gt;0,VLOOKUP(_1_541284561214624104645789101745[[#This Row],[Type]],Main[[#All],[TYPE]:[UNIT]],'Unit Price'!D$1,FALSE),0)</f>
        <v>0</v>
      </c>
      <c r="I666" s="194">
        <f>IF(_1_541284561214624104645789101745[[#This Row],[Type]]&gt;0,VLOOKUP(_1_541284561214624104645789101745[[#This Row],[Type]],Main[[#All],[TYPE]:[UNIT]],'Unit Price'!G$1,FALSE),0)</f>
        <v>0</v>
      </c>
      <c r="J666" s="194">
        <f>IF(_1_541284561214624104645789101745[[#This Row],[Type]]&gt;0,VLOOKUP(_1_541284561214624104645789101745[[#This Row],[Type]],Main[[#All],[TYPE]:[UNIT]],'Unit Price'!H$1,FALSE),0)</f>
        <v>0</v>
      </c>
      <c r="K666" s="194">
        <f>IF(_1_541284561214624104645789101745[[#This Row],[Discount selection]]&gt;0,VLOOKUP(_1_541284561214624104645789101745[[#This Row],[Discount selection]],'Discount Structure'!$A$2:$B$30,2,"false"),0)</f>
        <v>1</v>
      </c>
      <c r="L666" s="194">
        <f>_1_541284561214624104645789101745[[#This Row],[LIST $]]*_1_541284561214624104645789101745[[#This Row],[DISCOUNT]]*_1_541284561214624104645789101745[[#This Row],[DISCOUNT 2]]</f>
        <v>0</v>
      </c>
      <c r="M666" s="194">
        <f>IF(OR(_1_541284561214624104645789101745[[#This Row],[UNIT]]&gt;0,_1_541284561214624104645789101745[[#This Row],[UNIT]]&lt;0),_1_541284561214624104645789101745[[#This Row],[UNIT]]*_1_541284561214624104645789101745[[#This Row],[COST]],0)</f>
        <v>0</v>
      </c>
      <c r="N666" s="194">
        <f t="shared" si="10"/>
        <v>1.5</v>
      </c>
      <c r="O666" s="198">
        <f>_1_541284561214624104645789101745[[#This Row],[TOTAL]]*_1_541284561214624104645789101745[[#This Row],[MARGIN]]</f>
        <v>0</v>
      </c>
      <c r="R666" s="41"/>
    </row>
    <row r="667" spans="4:18">
      <c r="D667" s="188"/>
      <c r="F667" s="168" t="s">
        <v>6202</v>
      </c>
      <c r="G667" s="193">
        <f>IF(_1_541284561214624104645789101745[[#This Row],[Type]]&gt;0,VLOOKUP(_1_541284561214624104645789101745[[#This Row],[Type]],Main[[#All],[TYPE]:[UNIT]],'Unit Price'!C$1,FALSE),0)</f>
        <v>0</v>
      </c>
      <c r="H667" s="197">
        <f>IF(_1_541284561214624104645789101745[[#This Row],[Type]]&gt;0,VLOOKUP(_1_541284561214624104645789101745[[#This Row],[Type]],Main[[#All],[TYPE]:[UNIT]],'Unit Price'!D$1,FALSE),0)</f>
        <v>0</v>
      </c>
      <c r="I667" s="194">
        <f>IF(_1_541284561214624104645789101745[[#This Row],[Type]]&gt;0,VLOOKUP(_1_541284561214624104645789101745[[#This Row],[Type]],Main[[#All],[TYPE]:[UNIT]],'Unit Price'!G$1,FALSE),0)</f>
        <v>0</v>
      </c>
      <c r="J667" s="194">
        <f>IF(_1_541284561214624104645789101745[[#This Row],[Type]]&gt;0,VLOOKUP(_1_541284561214624104645789101745[[#This Row],[Type]],Main[[#All],[TYPE]:[UNIT]],'Unit Price'!H$1,FALSE),0)</f>
        <v>0</v>
      </c>
      <c r="K667" s="194">
        <f>IF(_1_541284561214624104645789101745[[#This Row],[Discount selection]]&gt;0,VLOOKUP(_1_541284561214624104645789101745[[#This Row],[Discount selection]],'Discount Structure'!$A$2:$B$30,2,"false"),0)</f>
        <v>1</v>
      </c>
      <c r="L667" s="194">
        <f>_1_541284561214624104645789101745[[#This Row],[LIST $]]*_1_541284561214624104645789101745[[#This Row],[DISCOUNT]]*_1_541284561214624104645789101745[[#This Row],[DISCOUNT 2]]</f>
        <v>0</v>
      </c>
      <c r="M667" s="194">
        <f>IF(OR(_1_541284561214624104645789101745[[#This Row],[UNIT]]&gt;0,_1_541284561214624104645789101745[[#This Row],[UNIT]]&lt;0),_1_541284561214624104645789101745[[#This Row],[UNIT]]*_1_541284561214624104645789101745[[#This Row],[COST]],0)</f>
        <v>0</v>
      </c>
      <c r="N667" s="194">
        <f t="shared" si="10"/>
        <v>1.5</v>
      </c>
      <c r="O667" s="198">
        <f>_1_541284561214624104645789101745[[#This Row],[TOTAL]]*_1_541284561214624104645789101745[[#This Row],[MARGIN]]</f>
        <v>0</v>
      </c>
      <c r="R667" s="41"/>
    </row>
    <row r="668" spans="4:18">
      <c r="D668" s="188"/>
      <c r="F668" s="168" t="s">
        <v>6202</v>
      </c>
      <c r="G668" s="193">
        <f>IF(_1_541284561214624104645789101745[[#This Row],[Type]]&gt;0,VLOOKUP(_1_541284561214624104645789101745[[#This Row],[Type]],Main[[#All],[TYPE]:[UNIT]],'Unit Price'!C$1,FALSE),0)</f>
        <v>0</v>
      </c>
      <c r="H668" s="197">
        <f>IF(_1_541284561214624104645789101745[[#This Row],[Type]]&gt;0,VLOOKUP(_1_541284561214624104645789101745[[#This Row],[Type]],Main[[#All],[TYPE]:[UNIT]],'Unit Price'!D$1,FALSE),0)</f>
        <v>0</v>
      </c>
      <c r="I668" s="194">
        <f>IF(_1_541284561214624104645789101745[[#This Row],[Type]]&gt;0,VLOOKUP(_1_541284561214624104645789101745[[#This Row],[Type]],Main[[#All],[TYPE]:[UNIT]],'Unit Price'!G$1,FALSE),0)</f>
        <v>0</v>
      </c>
      <c r="J668" s="194">
        <f>IF(_1_541284561214624104645789101745[[#This Row],[Type]]&gt;0,VLOOKUP(_1_541284561214624104645789101745[[#This Row],[Type]],Main[[#All],[TYPE]:[UNIT]],'Unit Price'!H$1,FALSE),0)</f>
        <v>0</v>
      </c>
      <c r="K668" s="194">
        <f>IF(_1_541284561214624104645789101745[[#This Row],[Discount selection]]&gt;0,VLOOKUP(_1_541284561214624104645789101745[[#This Row],[Discount selection]],'Discount Structure'!$A$2:$B$30,2,"false"),0)</f>
        <v>1</v>
      </c>
      <c r="L668" s="194">
        <f>_1_541284561214624104645789101745[[#This Row],[LIST $]]*_1_541284561214624104645789101745[[#This Row],[DISCOUNT]]*_1_541284561214624104645789101745[[#This Row],[DISCOUNT 2]]</f>
        <v>0</v>
      </c>
      <c r="M668" s="194">
        <f>IF(OR(_1_541284561214624104645789101745[[#This Row],[UNIT]]&gt;0,_1_541284561214624104645789101745[[#This Row],[UNIT]]&lt;0),_1_541284561214624104645789101745[[#This Row],[UNIT]]*_1_541284561214624104645789101745[[#This Row],[COST]],0)</f>
        <v>0</v>
      </c>
      <c r="N668" s="194">
        <f t="shared" si="10"/>
        <v>1.5</v>
      </c>
      <c r="O668" s="198">
        <f>_1_541284561214624104645789101745[[#This Row],[TOTAL]]*_1_541284561214624104645789101745[[#This Row],[MARGIN]]</f>
        <v>0</v>
      </c>
      <c r="R668" s="41"/>
    </row>
    <row r="669" spans="4:18">
      <c r="D669" s="188"/>
      <c r="F669" s="168" t="s">
        <v>6202</v>
      </c>
      <c r="G669" s="193">
        <f>IF(_1_541284561214624104645789101745[[#This Row],[Type]]&gt;0,VLOOKUP(_1_541284561214624104645789101745[[#This Row],[Type]],Main[[#All],[TYPE]:[UNIT]],'Unit Price'!C$1,FALSE),0)</f>
        <v>0</v>
      </c>
      <c r="H669" s="197">
        <f>IF(_1_541284561214624104645789101745[[#This Row],[Type]]&gt;0,VLOOKUP(_1_541284561214624104645789101745[[#This Row],[Type]],Main[[#All],[TYPE]:[UNIT]],'Unit Price'!D$1,FALSE),0)</f>
        <v>0</v>
      </c>
      <c r="I669" s="194">
        <f>IF(_1_541284561214624104645789101745[[#This Row],[Type]]&gt;0,VLOOKUP(_1_541284561214624104645789101745[[#This Row],[Type]],Main[[#All],[TYPE]:[UNIT]],'Unit Price'!G$1,FALSE),0)</f>
        <v>0</v>
      </c>
      <c r="J669" s="194">
        <f>IF(_1_541284561214624104645789101745[[#This Row],[Type]]&gt;0,VLOOKUP(_1_541284561214624104645789101745[[#This Row],[Type]],Main[[#All],[TYPE]:[UNIT]],'Unit Price'!H$1,FALSE),0)</f>
        <v>0</v>
      </c>
      <c r="K669" s="194">
        <f>IF(_1_541284561214624104645789101745[[#This Row],[Discount selection]]&gt;0,VLOOKUP(_1_541284561214624104645789101745[[#This Row],[Discount selection]],'Discount Structure'!$A$2:$B$30,2,"false"),0)</f>
        <v>1</v>
      </c>
      <c r="L669" s="194">
        <f>_1_541284561214624104645789101745[[#This Row],[LIST $]]*_1_541284561214624104645789101745[[#This Row],[DISCOUNT]]*_1_541284561214624104645789101745[[#This Row],[DISCOUNT 2]]</f>
        <v>0</v>
      </c>
      <c r="M669" s="194">
        <f>IF(OR(_1_541284561214624104645789101745[[#This Row],[UNIT]]&gt;0,_1_541284561214624104645789101745[[#This Row],[UNIT]]&lt;0),_1_541284561214624104645789101745[[#This Row],[UNIT]]*_1_541284561214624104645789101745[[#This Row],[COST]],0)</f>
        <v>0</v>
      </c>
      <c r="N669" s="194">
        <f t="shared" si="10"/>
        <v>1.5</v>
      </c>
      <c r="O669" s="198">
        <f>_1_541284561214624104645789101745[[#This Row],[TOTAL]]*_1_541284561214624104645789101745[[#This Row],[MARGIN]]</f>
        <v>0</v>
      </c>
      <c r="R669" s="41"/>
    </row>
    <row r="670" spans="4:18">
      <c r="D670" s="188"/>
      <c r="F670" s="168" t="s">
        <v>6202</v>
      </c>
      <c r="G670" s="193">
        <f>IF(_1_541284561214624104645789101745[[#This Row],[Type]]&gt;0,VLOOKUP(_1_541284561214624104645789101745[[#This Row],[Type]],Main[[#All],[TYPE]:[UNIT]],'Unit Price'!C$1,FALSE),0)</f>
        <v>0</v>
      </c>
      <c r="H670" s="197">
        <f>IF(_1_541284561214624104645789101745[[#This Row],[Type]]&gt;0,VLOOKUP(_1_541284561214624104645789101745[[#This Row],[Type]],Main[[#All],[TYPE]:[UNIT]],'Unit Price'!D$1,FALSE),0)</f>
        <v>0</v>
      </c>
      <c r="I670" s="194">
        <f>IF(_1_541284561214624104645789101745[[#This Row],[Type]]&gt;0,VLOOKUP(_1_541284561214624104645789101745[[#This Row],[Type]],Main[[#All],[TYPE]:[UNIT]],'Unit Price'!G$1,FALSE),0)</f>
        <v>0</v>
      </c>
      <c r="J670" s="194">
        <f>IF(_1_541284561214624104645789101745[[#This Row],[Type]]&gt;0,VLOOKUP(_1_541284561214624104645789101745[[#This Row],[Type]],Main[[#All],[TYPE]:[UNIT]],'Unit Price'!H$1,FALSE),0)</f>
        <v>0</v>
      </c>
      <c r="K670" s="194">
        <f>IF(_1_541284561214624104645789101745[[#This Row],[Discount selection]]&gt;0,VLOOKUP(_1_541284561214624104645789101745[[#This Row],[Discount selection]],'Discount Structure'!$A$2:$B$30,2,"false"),0)</f>
        <v>1</v>
      </c>
      <c r="L670" s="194">
        <f>_1_541284561214624104645789101745[[#This Row],[LIST $]]*_1_541284561214624104645789101745[[#This Row],[DISCOUNT]]*_1_541284561214624104645789101745[[#This Row],[DISCOUNT 2]]</f>
        <v>0</v>
      </c>
      <c r="M670" s="194">
        <f>IF(OR(_1_541284561214624104645789101745[[#This Row],[UNIT]]&gt;0,_1_541284561214624104645789101745[[#This Row],[UNIT]]&lt;0),_1_541284561214624104645789101745[[#This Row],[UNIT]]*_1_541284561214624104645789101745[[#This Row],[COST]],0)</f>
        <v>0</v>
      </c>
      <c r="N670" s="194">
        <f t="shared" si="10"/>
        <v>1.5</v>
      </c>
      <c r="O670" s="198">
        <f>_1_541284561214624104645789101745[[#This Row],[TOTAL]]*_1_541284561214624104645789101745[[#This Row],[MARGIN]]</f>
        <v>0</v>
      </c>
      <c r="R670" s="41"/>
    </row>
    <row r="671" spans="4:18">
      <c r="D671" s="188"/>
      <c r="F671" s="168" t="s">
        <v>6202</v>
      </c>
      <c r="G671" s="193">
        <f>IF(_1_541284561214624104645789101745[[#This Row],[Type]]&gt;0,VLOOKUP(_1_541284561214624104645789101745[[#This Row],[Type]],Main[[#All],[TYPE]:[UNIT]],'Unit Price'!C$1,FALSE),0)</f>
        <v>0</v>
      </c>
      <c r="H671" s="197">
        <f>IF(_1_541284561214624104645789101745[[#This Row],[Type]]&gt;0,VLOOKUP(_1_541284561214624104645789101745[[#This Row],[Type]],Main[[#All],[TYPE]:[UNIT]],'Unit Price'!D$1,FALSE),0)</f>
        <v>0</v>
      </c>
      <c r="I671" s="194">
        <f>IF(_1_541284561214624104645789101745[[#This Row],[Type]]&gt;0,VLOOKUP(_1_541284561214624104645789101745[[#This Row],[Type]],Main[[#All],[TYPE]:[UNIT]],'Unit Price'!G$1,FALSE),0)</f>
        <v>0</v>
      </c>
      <c r="J671" s="194">
        <f>IF(_1_541284561214624104645789101745[[#This Row],[Type]]&gt;0,VLOOKUP(_1_541284561214624104645789101745[[#This Row],[Type]],Main[[#All],[TYPE]:[UNIT]],'Unit Price'!H$1,FALSE),0)</f>
        <v>0</v>
      </c>
      <c r="K671" s="194">
        <f>IF(_1_541284561214624104645789101745[[#This Row],[Discount selection]]&gt;0,VLOOKUP(_1_541284561214624104645789101745[[#This Row],[Discount selection]],'Discount Structure'!$A$2:$B$30,2,"false"),0)</f>
        <v>1</v>
      </c>
      <c r="L671" s="194">
        <f>_1_541284561214624104645789101745[[#This Row],[LIST $]]*_1_541284561214624104645789101745[[#This Row],[DISCOUNT]]*_1_541284561214624104645789101745[[#This Row],[DISCOUNT 2]]</f>
        <v>0</v>
      </c>
      <c r="M671" s="194">
        <f>IF(OR(_1_541284561214624104645789101745[[#This Row],[UNIT]]&gt;0,_1_541284561214624104645789101745[[#This Row],[UNIT]]&lt;0),_1_541284561214624104645789101745[[#This Row],[UNIT]]*_1_541284561214624104645789101745[[#This Row],[COST]],0)</f>
        <v>0</v>
      </c>
      <c r="N671" s="194">
        <f t="shared" si="10"/>
        <v>1.5</v>
      </c>
      <c r="O671" s="198">
        <f>_1_541284561214624104645789101745[[#This Row],[TOTAL]]*_1_541284561214624104645789101745[[#This Row],[MARGIN]]</f>
        <v>0</v>
      </c>
      <c r="R671" s="41"/>
    </row>
    <row r="672" spans="4:18">
      <c r="D672" s="188"/>
      <c r="F672" s="168" t="s">
        <v>6202</v>
      </c>
      <c r="G672" s="193">
        <f>IF(_1_541284561214624104645789101745[[#This Row],[Type]]&gt;0,VLOOKUP(_1_541284561214624104645789101745[[#This Row],[Type]],Main[[#All],[TYPE]:[UNIT]],'Unit Price'!C$1,FALSE),0)</f>
        <v>0</v>
      </c>
      <c r="H672" s="197">
        <f>IF(_1_541284561214624104645789101745[[#This Row],[Type]]&gt;0,VLOOKUP(_1_541284561214624104645789101745[[#This Row],[Type]],Main[[#All],[TYPE]:[UNIT]],'Unit Price'!D$1,FALSE),0)</f>
        <v>0</v>
      </c>
      <c r="I672" s="194">
        <f>IF(_1_541284561214624104645789101745[[#This Row],[Type]]&gt;0,VLOOKUP(_1_541284561214624104645789101745[[#This Row],[Type]],Main[[#All],[TYPE]:[UNIT]],'Unit Price'!G$1,FALSE),0)</f>
        <v>0</v>
      </c>
      <c r="J672" s="194">
        <f>IF(_1_541284561214624104645789101745[[#This Row],[Type]]&gt;0,VLOOKUP(_1_541284561214624104645789101745[[#This Row],[Type]],Main[[#All],[TYPE]:[UNIT]],'Unit Price'!H$1,FALSE),0)</f>
        <v>0</v>
      </c>
      <c r="K672" s="194">
        <f>IF(_1_541284561214624104645789101745[[#This Row],[Discount selection]]&gt;0,VLOOKUP(_1_541284561214624104645789101745[[#This Row],[Discount selection]],'Discount Structure'!$A$2:$B$30,2,"false"),0)</f>
        <v>1</v>
      </c>
      <c r="L672" s="194">
        <f>_1_541284561214624104645789101745[[#This Row],[LIST $]]*_1_541284561214624104645789101745[[#This Row],[DISCOUNT]]*_1_541284561214624104645789101745[[#This Row],[DISCOUNT 2]]</f>
        <v>0</v>
      </c>
      <c r="M672" s="194">
        <f>IF(OR(_1_541284561214624104645789101745[[#This Row],[UNIT]]&gt;0,_1_541284561214624104645789101745[[#This Row],[UNIT]]&lt;0),_1_541284561214624104645789101745[[#This Row],[UNIT]]*_1_541284561214624104645789101745[[#This Row],[COST]],0)</f>
        <v>0</v>
      </c>
      <c r="N672" s="194">
        <f t="shared" si="10"/>
        <v>1.5</v>
      </c>
      <c r="O672" s="198">
        <f>_1_541284561214624104645789101745[[#This Row],[TOTAL]]*_1_541284561214624104645789101745[[#This Row],[MARGIN]]</f>
        <v>0</v>
      </c>
      <c r="R672" s="41"/>
    </row>
    <row r="673" spans="4:18">
      <c r="D673" s="188"/>
      <c r="F673" s="168" t="s">
        <v>6202</v>
      </c>
      <c r="G673" s="193">
        <f>IF(_1_541284561214624104645789101745[[#This Row],[Type]]&gt;0,VLOOKUP(_1_541284561214624104645789101745[[#This Row],[Type]],Main[[#All],[TYPE]:[UNIT]],'Unit Price'!C$1,FALSE),0)</f>
        <v>0</v>
      </c>
      <c r="H673" s="197">
        <f>IF(_1_541284561214624104645789101745[[#This Row],[Type]]&gt;0,VLOOKUP(_1_541284561214624104645789101745[[#This Row],[Type]],Main[[#All],[TYPE]:[UNIT]],'Unit Price'!D$1,FALSE),0)</f>
        <v>0</v>
      </c>
      <c r="I673" s="194">
        <f>IF(_1_541284561214624104645789101745[[#This Row],[Type]]&gt;0,VLOOKUP(_1_541284561214624104645789101745[[#This Row],[Type]],Main[[#All],[TYPE]:[UNIT]],'Unit Price'!G$1,FALSE),0)</f>
        <v>0</v>
      </c>
      <c r="J673" s="194">
        <f>IF(_1_541284561214624104645789101745[[#This Row],[Type]]&gt;0,VLOOKUP(_1_541284561214624104645789101745[[#This Row],[Type]],Main[[#All],[TYPE]:[UNIT]],'Unit Price'!H$1,FALSE),0)</f>
        <v>0</v>
      </c>
      <c r="K673" s="194">
        <f>IF(_1_541284561214624104645789101745[[#This Row],[Discount selection]]&gt;0,VLOOKUP(_1_541284561214624104645789101745[[#This Row],[Discount selection]],'Discount Structure'!$A$2:$B$30,2,"false"),0)</f>
        <v>1</v>
      </c>
      <c r="L673" s="194">
        <f>_1_541284561214624104645789101745[[#This Row],[LIST $]]*_1_541284561214624104645789101745[[#This Row],[DISCOUNT]]*_1_541284561214624104645789101745[[#This Row],[DISCOUNT 2]]</f>
        <v>0</v>
      </c>
      <c r="M673" s="194">
        <f>IF(OR(_1_541284561214624104645789101745[[#This Row],[UNIT]]&gt;0,_1_541284561214624104645789101745[[#This Row],[UNIT]]&lt;0),_1_541284561214624104645789101745[[#This Row],[UNIT]]*_1_541284561214624104645789101745[[#This Row],[COST]],0)</f>
        <v>0</v>
      </c>
      <c r="N673" s="194">
        <f t="shared" si="10"/>
        <v>1.5</v>
      </c>
      <c r="O673" s="198">
        <f>_1_541284561214624104645789101745[[#This Row],[TOTAL]]*_1_541284561214624104645789101745[[#This Row],[MARGIN]]</f>
        <v>0</v>
      </c>
      <c r="R673" s="41"/>
    </row>
    <row r="674" spans="4:18">
      <c r="D674" s="188"/>
      <c r="F674" s="168" t="s">
        <v>6202</v>
      </c>
      <c r="G674" s="193">
        <f>IF(_1_541284561214624104645789101745[[#This Row],[Type]]&gt;0,VLOOKUP(_1_541284561214624104645789101745[[#This Row],[Type]],Main[[#All],[TYPE]:[UNIT]],'Unit Price'!C$1,FALSE),0)</f>
        <v>0</v>
      </c>
      <c r="H674" s="197">
        <f>IF(_1_541284561214624104645789101745[[#This Row],[Type]]&gt;0,VLOOKUP(_1_541284561214624104645789101745[[#This Row],[Type]],Main[[#All],[TYPE]:[UNIT]],'Unit Price'!D$1,FALSE),0)</f>
        <v>0</v>
      </c>
      <c r="I674" s="194">
        <f>IF(_1_541284561214624104645789101745[[#This Row],[Type]]&gt;0,VLOOKUP(_1_541284561214624104645789101745[[#This Row],[Type]],Main[[#All],[TYPE]:[UNIT]],'Unit Price'!G$1,FALSE),0)</f>
        <v>0</v>
      </c>
      <c r="J674" s="194">
        <f>IF(_1_541284561214624104645789101745[[#This Row],[Type]]&gt;0,VLOOKUP(_1_541284561214624104645789101745[[#This Row],[Type]],Main[[#All],[TYPE]:[UNIT]],'Unit Price'!H$1,FALSE),0)</f>
        <v>0</v>
      </c>
      <c r="K674" s="194">
        <f>IF(_1_541284561214624104645789101745[[#This Row],[Discount selection]]&gt;0,VLOOKUP(_1_541284561214624104645789101745[[#This Row],[Discount selection]],'Discount Structure'!$A$2:$B$30,2,"false"),0)</f>
        <v>1</v>
      </c>
      <c r="L674" s="194">
        <f>_1_541284561214624104645789101745[[#This Row],[LIST $]]*_1_541284561214624104645789101745[[#This Row],[DISCOUNT]]*_1_541284561214624104645789101745[[#This Row],[DISCOUNT 2]]</f>
        <v>0</v>
      </c>
      <c r="M674" s="194">
        <f>IF(OR(_1_541284561214624104645789101745[[#This Row],[UNIT]]&gt;0,_1_541284561214624104645789101745[[#This Row],[UNIT]]&lt;0),_1_541284561214624104645789101745[[#This Row],[UNIT]]*_1_541284561214624104645789101745[[#This Row],[COST]],0)</f>
        <v>0</v>
      </c>
      <c r="N674" s="194">
        <f t="shared" si="10"/>
        <v>1.5</v>
      </c>
      <c r="O674" s="198">
        <f>_1_541284561214624104645789101745[[#This Row],[TOTAL]]*_1_541284561214624104645789101745[[#This Row],[MARGIN]]</f>
        <v>0</v>
      </c>
      <c r="R674" s="41"/>
    </row>
    <row r="675" spans="4:18">
      <c r="D675" s="188"/>
      <c r="F675" s="168" t="s">
        <v>6202</v>
      </c>
      <c r="G675" s="193">
        <f>IF(_1_541284561214624104645789101745[[#This Row],[Type]]&gt;0,VLOOKUP(_1_541284561214624104645789101745[[#This Row],[Type]],Main[[#All],[TYPE]:[UNIT]],'Unit Price'!C$1,FALSE),0)</f>
        <v>0</v>
      </c>
      <c r="H675" s="197">
        <f>IF(_1_541284561214624104645789101745[[#This Row],[Type]]&gt;0,VLOOKUP(_1_541284561214624104645789101745[[#This Row],[Type]],Main[[#All],[TYPE]:[UNIT]],'Unit Price'!D$1,FALSE),0)</f>
        <v>0</v>
      </c>
      <c r="I675" s="194">
        <f>IF(_1_541284561214624104645789101745[[#This Row],[Type]]&gt;0,VLOOKUP(_1_541284561214624104645789101745[[#This Row],[Type]],Main[[#All],[TYPE]:[UNIT]],'Unit Price'!G$1,FALSE),0)</f>
        <v>0</v>
      </c>
      <c r="J675" s="194">
        <f>IF(_1_541284561214624104645789101745[[#This Row],[Type]]&gt;0,VLOOKUP(_1_541284561214624104645789101745[[#This Row],[Type]],Main[[#All],[TYPE]:[UNIT]],'Unit Price'!H$1,FALSE),0)</f>
        <v>0</v>
      </c>
      <c r="K675" s="194">
        <f>IF(_1_541284561214624104645789101745[[#This Row],[Discount selection]]&gt;0,VLOOKUP(_1_541284561214624104645789101745[[#This Row],[Discount selection]],'Discount Structure'!$A$2:$B$30,2,"false"),0)</f>
        <v>1</v>
      </c>
      <c r="L675" s="194">
        <f>_1_541284561214624104645789101745[[#This Row],[LIST $]]*_1_541284561214624104645789101745[[#This Row],[DISCOUNT]]*_1_541284561214624104645789101745[[#This Row],[DISCOUNT 2]]</f>
        <v>0</v>
      </c>
      <c r="M675" s="194">
        <f>IF(OR(_1_541284561214624104645789101745[[#This Row],[UNIT]]&gt;0,_1_541284561214624104645789101745[[#This Row],[UNIT]]&lt;0),_1_541284561214624104645789101745[[#This Row],[UNIT]]*_1_541284561214624104645789101745[[#This Row],[COST]],0)</f>
        <v>0</v>
      </c>
      <c r="N675" s="194">
        <f t="shared" si="10"/>
        <v>1.5</v>
      </c>
      <c r="O675" s="198">
        <f>_1_541284561214624104645789101745[[#This Row],[TOTAL]]*_1_541284561214624104645789101745[[#This Row],[MARGIN]]</f>
        <v>0</v>
      </c>
      <c r="R675" s="41"/>
    </row>
    <row r="676" spans="4:18">
      <c r="D676" s="188"/>
      <c r="F676" s="168" t="s">
        <v>6202</v>
      </c>
      <c r="G676" s="193">
        <f>IF(_1_541284561214624104645789101745[[#This Row],[Type]]&gt;0,VLOOKUP(_1_541284561214624104645789101745[[#This Row],[Type]],Main[[#All],[TYPE]:[UNIT]],'Unit Price'!C$1,FALSE),0)</f>
        <v>0</v>
      </c>
      <c r="H676" s="197">
        <f>IF(_1_541284561214624104645789101745[[#This Row],[Type]]&gt;0,VLOOKUP(_1_541284561214624104645789101745[[#This Row],[Type]],Main[[#All],[TYPE]:[UNIT]],'Unit Price'!D$1,FALSE),0)</f>
        <v>0</v>
      </c>
      <c r="I676" s="194">
        <f>IF(_1_541284561214624104645789101745[[#This Row],[Type]]&gt;0,VLOOKUP(_1_541284561214624104645789101745[[#This Row],[Type]],Main[[#All],[TYPE]:[UNIT]],'Unit Price'!G$1,FALSE),0)</f>
        <v>0</v>
      </c>
      <c r="J676" s="194">
        <f>IF(_1_541284561214624104645789101745[[#This Row],[Type]]&gt;0,VLOOKUP(_1_541284561214624104645789101745[[#This Row],[Type]],Main[[#All],[TYPE]:[UNIT]],'Unit Price'!H$1,FALSE),0)</f>
        <v>0</v>
      </c>
      <c r="K676" s="194">
        <f>IF(_1_541284561214624104645789101745[[#This Row],[Discount selection]]&gt;0,VLOOKUP(_1_541284561214624104645789101745[[#This Row],[Discount selection]],'Discount Structure'!$A$2:$B$30,2,"false"),0)</f>
        <v>1</v>
      </c>
      <c r="L676" s="194">
        <f>_1_541284561214624104645789101745[[#This Row],[LIST $]]*_1_541284561214624104645789101745[[#This Row],[DISCOUNT]]*_1_541284561214624104645789101745[[#This Row],[DISCOUNT 2]]</f>
        <v>0</v>
      </c>
      <c r="M676" s="194">
        <f>IF(OR(_1_541284561214624104645789101745[[#This Row],[UNIT]]&gt;0,_1_541284561214624104645789101745[[#This Row],[UNIT]]&lt;0),_1_541284561214624104645789101745[[#This Row],[UNIT]]*_1_541284561214624104645789101745[[#This Row],[COST]],0)</f>
        <v>0</v>
      </c>
      <c r="N676" s="194">
        <f t="shared" si="10"/>
        <v>1.5</v>
      </c>
      <c r="O676" s="198">
        <f>_1_541284561214624104645789101745[[#This Row],[TOTAL]]*_1_541284561214624104645789101745[[#This Row],[MARGIN]]</f>
        <v>0</v>
      </c>
      <c r="R676" s="41"/>
    </row>
    <row r="677" spans="4:18">
      <c r="D677" s="188"/>
      <c r="F677" s="168" t="s">
        <v>6202</v>
      </c>
      <c r="G677" s="193">
        <f>IF(_1_541284561214624104645789101745[[#This Row],[Type]]&gt;0,VLOOKUP(_1_541284561214624104645789101745[[#This Row],[Type]],Main[[#All],[TYPE]:[UNIT]],'Unit Price'!C$1,FALSE),0)</f>
        <v>0</v>
      </c>
      <c r="H677" s="197">
        <f>IF(_1_541284561214624104645789101745[[#This Row],[Type]]&gt;0,VLOOKUP(_1_541284561214624104645789101745[[#This Row],[Type]],Main[[#All],[TYPE]:[UNIT]],'Unit Price'!D$1,FALSE),0)</f>
        <v>0</v>
      </c>
      <c r="I677" s="194">
        <f>IF(_1_541284561214624104645789101745[[#This Row],[Type]]&gt;0,VLOOKUP(_1_541284561214624104645789101745[[#This Row],[Type]],Main[[#All],[TYPE]:[UNIT]],'Unit Price'!G$1,FALSE),0)</f>
        <v>0</v>
      </c>
      <c r="J677" s="194">
        <f>IF(_1_541284561214624104645789101745[[#This Row],[Type]]&gt;0,VLOOKUP(_1_541284561214624104645789101745[[#This Row],[Type]],Main[[#All],[TYPE]:[UNIT]],'Unit Price'!H$1,FALSE),0)</f>
        <v>0</v>
      </c>
      <c r="K677" s="194">
        <f>IF(_1_541284561214624104645789101745[[#This Row],[Discount selection]]&gt;0,VLOOKUP(_1_541284561214624104645789101745[[#This Row],[Discount selection]],'Discount Structure'!$A$2:$B$30,2,"false"),0)</f>
        <v>1</v>
      </c>
      <c r="L677" s="194">
        <f>_1_541284561214624104645789101745[[#This Row],[LIST $]]*_1_541284561214624104645789101745[[#This Row],[DISCOUNT]]*_1_541284561214624104645789101745[[#This Row],[DISCOUNT 2]]</f>
        <v>0</v>
      </c>
      <c r="M677" s="194">
        <f>IF(OR(_1_541284561214624104645789101745[[#This Row],[UNIT]]&gt;0,_1_541284561214624104645789101745[[#This Row],[UNIT]]&lt;0),_1_541284561214624104645789101745[[#This Row],[UNIT]]*_1_541284561214624104645789101745[[#This Row],[COST]],0)</f>
        <v>0</v>
      </c>
      <c r="N677" s="194">
        <f t="shared" si="10"/>
        <v>1.5</v>
      </c>
      <c r="O677" s="198">
        <f>_1_541284561214624104645789101745[[#This Row],[TOTAL]]*_1_541284561214624104645789101745[[#This Row],[MARGIN]]</f>
        <v>0</v>
      </c>
      <c r="R677" s="41"/>
    </row>
    <row r="678" spans="4:18">
      <c r="D678" s="188"/>
      <c r="F678" s="168" t="s">
        <v>6202</v>
      </c>
      <c r="G678" s="193">
        <f>IF(_1_541284561214624104645789101745[[#This Row],[Type]]&gt;0,VLOOKUP(_1_541284561214624104645789101745[[#This Row],[Type]],Main[[#All],[TYPE]:[UNIT]],'Unit Price'!C$1,FALSE),0)</f>
        <v>0</v>
      </c>
      <c r="H678" s="197">
        <f>IF(_1_541284561214624104645789101745[[#This Row],[Type]]&gt;0,VLOOKUP(_1_541284561214624104645789101745[[#This Row],[Type]],Main[[#All],[TYPE]:[UNIT]],'Unit Price'!D$1,FALSE),0)</f>
        <v>0</v>
      </c>
      <c r="I678" s="194">
        <f>IF(_1_541284561214624104645789101745[[#This Row],[Type]]&gt;0,VLOOKUP(_1_541284561214624104645789101745[[#This Row],[Type]],Main[[#All],[TYPE]:[UNIT]],'Unit Price'!G$1,FALSE),0)</f>
        <v>0</v>
      </c>
      <c r="J678" s="194">
        <f>IF(_1_541284561214624104645789101745[[#This Row],[Type]]&gt;0,VLOOKUP(_1_541284561214624104645789101745[[#This Row],[Type]],Main[[#All],[TYPE]:[UNIT]],'Unit Price'!H$1,FALSE),0)</f>
        <v>0</v>
      </c>
      <c r="K678" s="194">
        <f>IF(_1_541284561214624104645789101745[[#This Row],[Discount selection]]&gt;0,VLOOKUP(_1_541284561214624104645789101745[[#This Row],[Discount selection]],'Discount Structure'!$A$2:$B$30,2,"false"),0)</f>
        <v>1</v>
      </c>
      <c r="L678" s="194">
        <f>_1_541284561214624104645789101745[[#This Row],[LIST $]]*_1_541284561214624104645789101745[[#This Row],[DISCOUNT]]*_1_541284561214624104645789101745[[#This Row],[DISCOUNT 2]]</f>
        <v>0</v>
      </c>
      <c r="M678" s="194">
        <f>IF(OR(_1_541284561214624104645789101745[[#This Row],[UNIT]]&gt;0,_1_541284561214624104645789101745[[#This Row],[UNIT]]&lt;0),_1_541284561214624104645789101745[[#This Row],[UNIT]]*_1_541284561214624104645789101745[[#This Row],[COST]],0)</f>
        <v>0</v>
      </c>
      <c r="N678" s="194">
        <f t="shared" si="10"/>
        <v>1.5</v>
      </c>
      <c r="O678" s="198">
        <f>_1_541284561214624104645789101745[[#This Row],[TOTAL]]*_1_541284561214624104645789101745[[#This Row],[MARGIN]]</f>
        <v>0</v>
      </c>
      <c r="R678" s="41"/>
    </row>
    <row r="679" spans="4:18">
      <c r="D679" s="188"/>
      <c r="F679" s="168" t="s">
        <v>6202</v>
      </c>
      <c r="G679" s="193">
        <f>IF(_1_541284561214624104645789101745[[#This Row],[Type]]&gt;0,VLOOKUP(_1_541284561214624104645789101745[[#This Row],[Type]],Main[[#All],[TYPE]:[UNIT]],'Unit Price'!C$1,FALSE),0)</f>
        <v>0</v>
      </c>
      <c r="H679" s="197">
        <f>IF(_1_541284561214624104645789101745[[#This Row],[Type]]&gt;0,VLOOKUP(_1_541284561214624104645789101745[[#This Row],[Type]],Main[[#All],[TYPE]:[UNIT]],'Unit Price'!D$1,FALSE),0)</f>
        <v>0</v>
      </c>
      <c r="I679" s="194">
        <f>IF(_1_541284561214624104645789101745[[#This Row],[Type]]&gt;0,VLOOKUP(_1_541284561214624104645789101745[[#This Row],[Type]],Main[[#All],[TYPE]:[UNIT]],'Unit Price'!G$1,FALSE),0)</f>
        <v>0</v>
      </c>
      <c r="J679" s="194">
        <f>IF(_1_541284561214624104645789101745[[#This Row],[Type]]&gt;0,VLOOKUP(_1_541284561214624104645789101745[[#This Row],[Type]],Main[[#All],[TYPE]:[UNIT]],'Unit Price'!H$1,FALSE),0)</f>
        <v>0</v>
      </c>
      <c r="K679" s="194">
        <f>IF(_1_541284561214624104645789101745[[#This Row],[Discount selection]]&gt;0,VLOOKUP(_1_541284561214624104645789101745[[#This Row],[Discount selection]],'Discount Structure'!$A$2:$B$30,2,"false"),0)</f>
        <v>1</v>
      </c>
      <c r="L679" s="194">
        <f>_1_541284561214624104645789101745[[#This Row],[LIST $]]*_1_541284561214624104645789101745[[#This Row],[DISCOUNT]]*_1_541284561214624104645789101745[[#This Row],[DISCOUNT 2]]</f>
        <v>0</v>
      </c>
      <c r="M679" s="194">
        <f>IF(OR(_1_541284561214624104645789101745[[#This Row],[UNIT]]&gt;0,_1_541284561214624104645789101745[[#This Row],[UNIT]]&lt;0),_1_541284561214624104645789101745[[#This Row],[UNIT]]*_1_541284561214624104645789101745[[#This Row],[COST]],0)</f>
        <v>0</v>
      </c>
      <c r="N679" s="194">
        <f t="shared" si="10"/>
        <v>1.5</v>
      </c>
      <c r="O679" s="198">
        <f>_1_541284561214624104645789101745[[#This Row],[TOTAL]]*_1_541284561214624104645789101745[[#This Row],[MARGIN]]</f>
        <v>0</v>
      </c>
      <c r="R679" s="41"/>
    </row>
    <row r="680" spans="4:18">
      <c r="D680" s="188"/>
      <c r="F680" s="168" t="s">
        <v>6202</v>
      </c>
      <c r="G680" s="193">
        <f>IF(_1_541284561214624104645789101745[[#This Row],[Type]]&gt;0,VLOOKUP(_1_541284561214624104645789101745[[#This Row],[Type]],Main[[#All],[TYPE]:[UNIT]],'Unit Price'!C$1,FALSE),0)</f>
        <v>0</v>
      </c>
      <c r="H680" s="197">
        <f>IF(_1_541284561214624104645789101745[[#This Row],[Type]]&gt;0,VLOOKUP(_1_541284561214624104645789101745[[#This Row],[Type]],Main[[#All],[TYPE]:[UNIT]],'Unit Price'!D$1,FALSE),0)</f>
        <v>0</v>
      </c>
      <c r="I680" s="194">
        <f>IF(_1_541284561214624104645789101745[[#This Row],[Type]]&gt;0,VLOOKUP(_1_541284561214624104645789101745[[#This Row],[Type]],Main[[#All],[TYPE]:[UNIT]],'Unit Price'!G$1,FALSE),0)</f>
        <v>0</v>
      </c>
      <c r="J680" s="194">
        <f>IF(_1_541284561214624104645789101745[[#This Row],[Type]]&gt;0,VLOOKUP(_1_541284561214624104645789101745[[#This Row],[Type]],Main[[#All],[TYPE]:[UNIT]],'Unit Price'!H$1,FALSE),0)</f>
        <v>0</v>
      </c>
      <c r="K680" s="194">
        <f>IF(_1_541284561214624104645789101745[[#This Row],[Discount selection]]&gt;0,VLOOKUP(_1_541284561214624104645789101745[[#This Row],[Discount selection]],'Discount Structure'!$A$2:$B$30,2,"false"),0)</f>
        <v>1</v>
      </c>
      <c r="L680" s="194">
        <f>_1_541284561214624104645789101745[[#This Row],[LIST $]]*_1_541284561214624104645789101745[[#This Row],[DISCOUNT]]*_1_541284561214624104645789101745[[#This Row],[DISCOUNT 2]]</f>
        <v>0</v>
      </c>
      <c r="M680" s="194">
        <f>IF(OR(_1_541284561214624104645789101745[[#This Row],[UNIT]]&gt;0,_1_541284561214624104645789101745[[#This Row],[UNIT]]&lt;0),_1_541284561214624104645789101745[[#This Row],[UNIT]]*_1_541284561214624104645789101745[[#This Row],[COST]],0)</f>
        <v>0</v>
      </c>
      <c r="N680" s="194">
        <f t="shared" si="10"/>
        <v>1.5</v>
      </c>
      <c r="O680" s="198">
        <f>_1_541284561214624104645789101745[[#This Row],[TOTAL]]*_1_541284561214624104645789101745[[#This Row],[MARGIN]]</f>
        <v>0</v>
      </c>
      <c r="R680" s="41"/>
    </row>
    <row r="681" spans="4:18">
      <c r="D681" s="188"/>
      <c r="F681" s="168" t="s">
        <v>6202</v>
      </c>
      <c r="G681" s="193">
        <f>IF(_1_541284561214624104645789101745[[#This Row],[Type]]&gt;0,VLOOKUP(_1_541284561214624104645789101745[[#This Row],[Type]],Main[[#All],[TYPE]:[UNIT]],'Unit Price'!C$1,FALSE),0)</f>
        <v>0</v>
      </c>
      <c r="H681" s="197">
        <f>IF(_1_541284561214624104645789101745[[#This Row],[Type]]&gt;0,VLOOKUP(_1_541284561214624104645789101745[[#This Row],[Type]],Main[[#All],[TYPE]:[UNIT]],'Unit Price'!D$1,FALSE),0)</f>
        <v>0</v>
      </c>
      <c r="I681" s="194">
        <f>IF(_1_541284561214624104645789101745[[#This Row],[Type]]&gt;0,VLOOKUP(_1_541284561214624104645789101745[[#This Row],[Type]],Main[[#All],[TYPE]:[UNIT]],'Unit Price'!G$1,FALSE),0)</f>
        <v>0</v>
      </c>
      <c r="J681" s="194">
        <f>IF(_1_541284561214624104645789101745[[#This Row],[Type]]&gt;0,VLOOKUP(_1_541284561214624104645789101745[[#This Row],[Type]],Main[[#All],[TYPE]:[UNIT]],'Unit Price'!H$1,FALSE),0)</f>
        <v>0</v>
      </c>
      <c r="K681" s="194">
        <f>IF(_1_541284561214624104645789101745[[#This Row],[Discount selection]]&gt;0,VLOOKUP(_1_541284561214624104645789101745[[#This Row],[Discount selection]],'Discount Structure'!$A$2:$B$30,2,"false"),0)</f>
        <v>1</v>
      </c>
      <c r="L681" s="194">
        <f>_1_541284561214624104645789101745[[#This Row],[LIST $]]*_1_541284561214624104645789101745[[#This Row],[DISCOUNT]]*_1_541284561214624104645789101745[[#This Row],[DISCOUNT 2]]</f>
        <v>0</v>
      </c>
      <c r="M681" s="194">
        <f>IF(OR(_1_541284561214624104645789101745[[#This Row],[UNIT]]&gt;0,_1_541284561214624104645789101745[[#This Row],[UNIT]]&lt;0),_1_541284561214624104645789101745[[#This Row],[UNIT]]*_1_541284561214624104645789101745[[#This Row],[COST]],0)</f>
        <v>0</v>
      </c>
      <c r="N681" s="194">
        <f t="shared" si="10"/>
        <v>1.5</v>
      </c>
      <c r="O681" s="198">
        <f>_1_541284561214624104645789101745[[#This Row],[TOTAL]]*_1_541284561214624104645789101745[[#This Row],[MARGIN]]</f>
        <v>0</v>
      </c>
      <c r="R681" s="41"/>
    </row>
    <row r="682" spans="4:18">
      <c r="D682" s="188"/>
      <c r="F682" s="168" t="s">
        <v>6202</v>
      </c>
      <c r="G682" s="193">
        <f>IF(_1_541284561214624104645789101745[[#This Row],[Type]]&gt;0,VLOOKUP(_1_541284561214624104645789101745[[#This Row],[Type]],Main[[#All],[TYPE]:[UNIT]],'Unit Price'!C$1,FALSE),0)</f>
        <v>0</v>
      </c>
      <c r="H682" s="197">
        <f>IF(_1_541284561214624104645789101745[[#This Row],[Type]]&gt;0,VLOOKUP(_1_541284561214624104645789101745[[#This Row],[Type]],Main[[#All],[TYPE]:[UNIT]],'Unit Price'!D$1,FALSE),0)</f>
        <v>0</v>
      </c>
      <c r="I682" s="194">
        <f>IF(_1_541284561214624104645789101745[[#This Row],[Type]]&gt;0,VLOOKUP(_1_541284561214624104645789101745[[#This Row],[Type]],Main[[#All],[TYPE]:[UNIT]],'Unit Price'!G$1,FALSE),0)</f>
        <v>0</v>
      </c>
      <c r="J682" s="194">
        <f>IF(_1_541284561214624104645789101745[[#This Row],[Type]]&gt;0,VLOOKUP(_1_541284561214624104645789101745[[#This Row],[Type]],Main[[#All],[TYPE]:[UNIT]],'Unit Price'!H$1,FALSE),0)</f>
        <v>0</v>
      </c>
      <c r="K682" s="194">
        <f>IF(_1_541284561214624104645789101745[[#This Row],[Discount selection]]&gt;0,VLOOKUP(_1_541284561214624104645789101745[[#This Row],[Discount selection]],'Discount Structure'!$A$2:$B$30,2,"false"),0)</f>
        <v>1</v>
      </c>
      <c r="L682" s="194">
        <f>_1_541284561214624104645789101745[[#This Row],[LIST $]]*_1_541284561214624104645789101745[[#This Row],[DISCOUNT]]*_1_541284561214624104645789101745[[#This Row],[DISCOUNT 2]]</f>
        <v>0</v>
      </c>
      <c r="M682" s="194">
        <f>IF(OR(_1_541284561214624104645789101745[[#This Row],[UNIT]]&gt;0,_1_541284561214624104645789101745[[#This Row],[UNIT]]&lt;0),_1_541284561214624104645789101745[[#This Row],[UNIT]]*_1_541284561214624104645789101745[[#This Row],[COST]],0)</f>
        <v>0</v>
      </c>
      <c r="N682" s="194">
        <f t="shared" si="10"/>
        <v>1.5</v>
      </c>
      <c r="O682" s="198">
        <f>_1_541284561214624104645789101745[[#This Row],[TOTAL]]*_1_541284561214624104645789101745[[#This Row],[MARGIN]]</f>
        <v>0</v>
      </c>
      <c r="R682" s="41"/>
    </row>
    <row r="683" spans="4:18">
      <c r="D683" s="188"/>
      <c r="F683" s="168" t="s">
        <v>6202</v>
      </c>
      <c r="G683" s="193">
        <f>IF(_1_541284561214624104645789101745[[#This Row],[Type]]&gt;0,VLOOKUP(_1_541284561214624104645789101745[[#This Row],[Type]],Main[[#All],[TYPE]:[UNIT]],'Unit Price'!C$1,FALSE),0)</f>
        <v>0</v>
      </c>
      <c r="H683" s="197">
        <f>IF(_1_541284561214624104645789101745[[#This Row],[Type]]&gt;0,VLOOKUP(_1_541284561214624104645789101745[[#This Row],[Type]],Main[[#All],[TYPE]:[UNIT]],'Unit Price'!D$1,FALSE),0)</f>
        <v>0</v>
      </c>
      <c r="I683" s="194">
        <f>IF(_1_541284561214624104645789101745[[#This Row],[Type]]&gt;0,VLOOKUP(_1_541284561214624104645789101745[[#This Row],[Type]],Main[[#All],[TYPE]:[UNIT]],'Unit Price'!G$1,FALSE),0)</f>
        <v>0</v>
      </c>
      <c r="J683" s="194">
        <f>IF(_1_541284561214624104645789101745[[#This Row],[Type]]&gt;0,VLOOKUP(_1_541284561214624104645789101745[[#This Row],[Type]],Main[[#All],[TYPE]:[UNIT]],'Unit Price'!H$1,FALSE),0)</f>
        <v>0</v>
      </c>
      <c r="K683" s="194">
        <f>IF(_1_541284561214624104645789101745[[#This Row],[Discount selection]]&gt;0,VLOOKUP(_1_541284561214624104645789101745[[#This Row],[Discount selection]],'Discount Structure'!$A$2:$B$30,2,"false"),0)</f>
        <v>1</v>
      </c>
      <c r="L683" s="194">
        <f>_1_541284561214624104645789101745[[#This Row],[LIST $]]*_1_541284561214624104645789101745[[#This Row],[DISCOUNT]]*_1_541284561214624104645789101745[[#This Row],[DISCOUNT 2]]</f>
        <v>0</v>
      </c>
      <c r="M683" s="194">
        <f>IF(OR(_1_541284561214624104645789101745[[#This Row],[UNIT]]&gt;0,_1_541284561214624104645789101745[[#This Row],[UNIT]]&lt;0),_1_541284561214624104645789101745[[#This Row],[UNIT]]*_1_541284561214624104645789101745[[#This Row],[COST]],0)</f>
        <v>0</v>
      </c>
      <c r="N683" s="194">
        <f t="shared" si="10"/>
        <v>1.5</v>
      </c>
      <c r="O683" s="198">
        <f>_1_541284561214624104645789101745[[#This Row],[TOTAL]]*_1_541284561214624104645789101745[[#This Row],[MARGIN]]</f>
        <v>0</v>
      </c>
      <c r="R683" s="41"/>
    </row>
    <row r="684" spans="4:18">
      <c r="D684" s="188"/>
      <c r="F684" s="168" t="s">
        <v>6202</v>
      </c>
      <c r="G684" s="193">
        <f>IF(_1_541284561214624104645789101745[[#This Row],[Type]]&gt;0,VLOOKUP(_1_541284561214624104645789101745[[#This Row],[Type]],Main[[#All],[TYPE]:[UNIT]],'Unit Price'!C$1,FALSE),0)</f>
        <v>0</v>
      </c>
      <c r="H684" s="197">
        <f>IF(_1_541284561214624104645789101745[[#This Row],[Type]]&gt;0,VLOOKUP(_1_541284561214624104645789101745[[#This Row],[Type]],Main[[#All],[TYPE]:[UNIT]],'Unit Price'!D$1,FALSE),0)</f>
        <v>0</v>
      </c>
      <c r="I684" s="194">
        <f>IF(_1_541284561214624104645789101745[[#This Row],[Type]]&gt;0,VLOOKUP(_1_541284561214624104645789101745[[#This Row],[Type]],Main[[#All],[TYPE]:[UNIT]],'Unit Price'!G$1,FALSE),0)</f>
        <v>0</v>
      </c>
      <c r="J684" s="194">
        <f>IF(_1_541284561214624104645789101745[[#This Row],[Type]]&gt;0,VLOOKUP(_1_541284561214624104645789101745[[#This Row],[Type]],Main[[#All],[TYPE]:[UNIT]],'Unit Price'!H$1,FALSE),0)</f>
        <v>0</v>
      </c>
      <c r="K684" s="194">
        <f>IF(_1_541284561214624104645789101745[[#This Row],[Discount selection]]&gt;0,VLOOKUP(_1_541284561214624104645789101745[[#This Row],[Discount selection]],'Discount Structure'!$A$2:$B$30,2,"false"),0)</f>
        <v>1</v>
      </c>
      <c r="L684" s="194">
        <f>_1_541284561214624104645789101745[[#This Row],[LIST $]]*_1_541284561214624104645789101745[[#This Row],[DISCOUNT]]*_1_541284561214624104645789101745[[#This Row],[DISCOUNT 2]]</f>
        <v>0</v>
      </c>
      <c r="M684" s="194">
        <f>IF(OR(_1_541284561214624104645789101745[[#This Row],[UNIT]]&gt;0,_1_541284561214624104645789101745[[#This Row],[UNIT]]&lt;0),_1_541284561214624104645789101745[[#This Row],[UNIT]]*_1_541284561214624104645789101745[[#This Row],[COST]],0)</f>
        <v>0</v>
      </c>
      <c r="N684" s="194">
        <f t="shared" si="10"/>
        <v>1.5</v>
      </c>
      <c r="O684" s="198">
        <f>_1_541284561214624104645789101745[[#This Row],[TOTAL]]*_1_541284561214624104645789101745[[#This Row],[MARGIN]]</f>
        <v>0</v>
      </c>
      <c r="R684" s="41"/>
    </row>
    <row r="685" spans="4:18">
      <c r="D685" s="188"/>
      <c r="F685" s="168" t="s">
        <v>6202</v>
      </c>
      <c r="G685" s="193">
        <f>IF(_1_541284561214624104645789101745[[#This Row],[Type]]&gt;0,VLOOKUP(_1_541284561214624104645789101745[[#This Row],[Type]],Main[[#All],[TYPE]:[UNIT]],'Unit Price'!C$1,FALSE),0)</f>
        <v>0</v>
      </c>
      <c r="H685" s="197">
        <f>IF(_1_541284561214624104645789101745[[#This Row],[Type]]&gt;0,VLOOKUP(_1_541284561214624104645789101745[[#This Row],[Type]],Main[[#All],[TYPE]:[UNIT]],'Unit Price'!D$1,FALSE),0)</f>
        <v>0</v>
      </c>
      <c r="I685" s="194">
        <f>IF(_1_541284561214624104645789101745[[#This Row],[Type]]&gt;0,VLOOKUP(_1_541284561214624104645789101745[[#This Row],[Type]],Main[[#All],[TYPE]:[UNIT]],'Unit Price'!G$1,FALSE),0)</f>
        <v>0</v>
      </c>
      <c r="J685" s="194">
        <f>IF(_1_541284561214624104645789101745[[#This Row],[Type]]&gt;0,VLOOKUP(_1_541284561214624104645789101745[[#This Row],[Type]],Main[[#All],[TYPE]:[UNIT]],'Unit Price'!H$1,FALSE),0)</f>
        <v>0</v>
      </c>
      <c r="K685" s="194">
        <f>IF(_1_541284561214624104645789101745[[#This Row],[Discount selection]]&gt;0,VLOOKUP(_1_541284561214624104645789101745[[#This Row],[Discount selection]],'Discount Structure'!$A$2:$B$30,2,"false"),0)</f>
        <v>1</v>
      </c>
      <c r="L685" s="194">
        <f>_1_541284561214624104645789101745[[#This Row],[LIST $]]*_1_541284561214624104645789101745[[#This Row],[DISCOUNT]]*_1_541284561214624104645789101745[[#This Row],[DISCOUNT 2]]</f>
        <v>0</v>
      </c>
      <c r="M685" s="194">
        <f>IF(OR(_1_541284561214624104645789101745[[#This Row],[UNIT]]&gt;0,_1_541284561214624104645789101745[[#This Row],[UNIT]]&lt;0),_1_541284561214624104645789101745[[#This Row],[UNIT]]*_1_541284561214624104645789101745[[#This Row],[COST]],0)</f>
        <v>0</v>
      </c>
      <c r="N685" s="194">
        <f t="shared" si="10"/>
        <v>1.5</v>
      </c>
      <c r="O685" s="198">
        <f>_1_541284561214624104645789101745[[#This Row],[TOTAL]]*_1_541284561214624104645789101745[[#This Row],[MARGIN]]</f>
        <v>0</v>
      </c>
      <c r="R685" s="41"/>
    </row>
    <row r="686" spans="4:18">
      <c r="D686" s="188"/>
      <c r="F686" s="168" t="s">
        <v>6202</v>
      </c>
      <c r="G686" s="193">
        <f>IF(_1_541284561214624104645789101745[[#This Row],[Type]]&gt;0,VLOOKUP(_1_541284561214624104645789101745[[#This Row],[Type]],Main[[#All],[TYPE]:[UNIT]],'Unit Price'!C$1,FALSE),0)</f>
        <v>0</v>
      </c>
      <c r="H686" s="197">
        <f>IF(_1_541284561214624104645789101745[[#This Row],[Type]]&gt;0,VLOOKUP(_1_541284561214624104645789101745[[#This Row],[Type]],Main[[#All],[TYPE]:[UNIT]],'Unit Price'!D$1,FALSE),0)</f>
        <v>0</v>
      </c>
      <c r="I686" s="194">
        <f>IF(_1_541284561214624104645789101745[[#This Row],[Type]]&gt;0,VLOOKUP(_1_541284561214624104645789101745[[#This Row],[Type]],Main[[#All],[TYPE]:[UNIT]],'Unit Price'!G$1,FALSE),0)</f>
        <v>0</v>
      </c>
      <c r="J686" s="194">
        <f>IF(_1_541284561214624104645789101745[[#This Row],[Type]]&gt;0,VLOOKUP(_1_541284561214624104645789101745[[#This Row],[Type]],Main[[#All],[TYPE]:[UNIT]],'Unit Price'!H$1,FALSE),0)</f>
        <v>0</v>
      </c>
      <c r="K686" s="194">
        <f>IF(_1_541284561214624104645789101745[[#This Row],[Discount selection]]&gt;0,VLOOKUP(_1_541284561214624104645789101745[[#This Row],[Discount selection]],'Discount Structure'!$A$2:$B$30,2,"false"),0)</f>
        <v>1</v>
      </c>
      <c r="L686" s="194">
        <f>_1_541284561214624104645789101745[[#This Row],[LIST $]]*_1_541284561214624104645789101745[[#This Row],[DISCOUNT]]*_1_541284561214624104645789101745[[#This Row],[DISCOUNT 2]]</f>
        <v>0</v>
      </c>
      <c r="M686" s="194">
        <f>IF(OR(_1_541284561214624104645789101745[[#This Row],[UNIT]]&gt;0,_1_541284561214624104645789101745[[#This Row],[UNIT]]&lt;0),_1_541284561214624104645789101745[[#This Row],[UNIT]]*_1_541284561214624104645789101745[[#This Row],[COST]],0)</f>
        <v>0</v>
      </c>
      <c r="N686" s="194">
        <f t="shared" si="10"/>
        <v>1.5</v>
      </c>
      <c r="O686" s="198">
        <f>_1_541284561214624104645789101745[[#This Row],[TOTAL]]*_1_541284561214624104645789101745[[#This Row],[MARGIN]]</f>
        <v>0</v>
      </c>
      <c r="R686" s="41"/>
    </row>
    <row r="687" spans="4:18">
      <c r="D687" s="188"/>
      <c r="F687" s="168" t="s">
        <v>6202</v>
      </c>
      <c r="G687" s="193">
        <f>IF(_1_541284561214624104645789101745[[#This Row],[Type]]&gt;0,VLOOKUP(_1_541284561214624104645789101745[[#This Row],[Type]],Main[[#All],[TYPE]:[UNIT]],'Unit Price'!C$1,FALSE),0)</f>
        <v>0</v>
      </c>
      <c r="H687" s="197">
        <f>IF(_1_541284561214624104645789101745[[#This Row],[Type]]&gt;0,VLOOKUP(_1_541284561214624104645789101745[[#This Row],[Type]],Main[[#All],[TYPE]:[UNIT]],'Unit Price'!D$1,FALSE),0)</f>
        <v>0</v>
      </c>
      <c r="I687" s="194">
        <f>IF(_1_541284561214624104645789101745[[#This Row],[Type]]&gt;0,VLOOKUP(_1_541284561214624104645789101745[[#This Row],[Type]],Main[[#All],[TYPE]:[UNIT]],'Unit Price'!G$1,FALSE),0)</f>
        <v>0</v>
      </c>
      <c r="J687" s="194">
        <f>IF(_1_541284561214624104645789101745[[#This Row],[Type]]&gt;0,VLOOKUP(_1_541284561214624104645789101745[[#This Row],[Type]],Main[[#All],[TYPE]:[UNIT]],'Unit Price'!H$1,FALSE),0)</f>
        <v>0</v>
      </c>
      <c r="K687" s="194">
        <f>IF(_1_541284561214624104645789101745[[#This Row],[Discount selection]]&gt;0,VLOOKUP(_1_541284561214624104645789101745[[#This Row],[Discount selection]],'Discount Structure'!$A$2:$B$30,2,"false"),0)</f>
        <v>1</v>
      </c>
      <c r="L687" s="194">
        <f>_1_541284561214624104645789101745[[#This Row],[LIST $]]*_1_541284561214624104645789101745[[#This Row],[DISCOUNT]]*_1_541284561214624104645789101745[[#This Row],[DISCOUNT 2]]</f>
        <v>0</v>
      </c>
      <c r="M687" s="194">
        <f>IF(OR(_1_541284561214624104645789101745[[#This Row],[UNIT]]&gt;0,_1_541284561214624104645789101745[[#This Row],[UNIT]]&lt;0),_1_541284561214624104645789101745[[#This Row],[UNIT]]*_1_541284561214624104645789101745[[#This Row],[COST]],0)</f>
        <v>0</v>
      </c>
      <c r="N687" s="194">
        <f t="shared" si="10"/>
        <v>1.5</v>
      </c>
      <c r="O687" s="198">
        <f>_1_541284561214624104645789101745[[#This Row],[TOTAL]]*_1_541284561214624104645789101745[[#This Row],[MARGIN]]</f>
        <v>0</v>
      </c>
      <c r="R687" s="41"/>
    </row>
    <row r="688" spans="4:18">
      <c r="D688" s="188"/>
      <c r="F688" s="168" t="s">
        <v>6202</v>
      </c>
      <c r="G688" s="193">
        <f>IF(_1_541284561214624104645789101745[[#This Row],[Type]]&gt;0,VLOOKUP(_1_541284561214624104645789101745[[#This Row],[Type]],Main[[#All],[TYPE]:[UNIT]],'Unit Price'!C$1,FALSE),0)</f>
        <v>0</v>
      </c>
      <c r="H688" s="197">
        <f>IF(_1_541284561214624104645789101745[[#This Row],[Type]]&gt;0,VLOOKUP(_1_541284561214624104645789101745[[#This Row],[Type]],Main[[#All],[TYPE]:[UNIT]],'Unit Price'!D$1,FALSE),0)</f>
        <v>0</v>
      </c>
      <c r="I688" s="194">
        <f>IF(_1_541284561214624104645789101745[[#This Row],[Type]]&gt;0,VLOOKUP(_1_541284561214624104645789101745[[#This Row],[Type]],Main[[#All],[TYPE]:[UNIT]],'Unit Price'!G$1,FALSE),0)</f>
        <v>0</v>
      </c>
      <c r="J688" s="194">
        <f>IF(_1_541284561214624104645789101745[[#This Row],[Type]]&gt;0,VLOOKUP(_1_541284561214624104645789101745[[#This Row],[Type]],Main[[#All],[TYPE]:[UNIT]],'Unit Price'!H$1,FALSE),0)</f>
        <v>0</v>
      </c>
      <c r="K688" s="194">
        <f>IF(_1_541284561214624104645789101745[[#This Row],[Discount selection]]&gt;0,VLOOKUP(_1_541284561214624104645789101745[[#This Row],[Discount selection]],'Discount Structure'!$A$2:$B$30,2,"false"),0)</f>
        <v>1</v>
      </c>
      <c r="L688" s="194">
        <f>_1_541284561214624104645789101745[[#This Row],[LIST $]]*_1_541284561214624104645789101745[[#This Row],[DISCOUNT]]*_1_541284561214624104645789101745[[#This Row],[DISCOUNT 2]]</f>
        <v>0</v>
      </c>
      <c r="M688" s="194">
        <f>IF(OR(_1_541284561214624104645789101745[[#This Row],[UNIT]]&gt;0,_1_541284561214624104645789101745[[#This Row],[UNIT]]&lt;0),_1_541284561214624104645789101745[[#This Row],[UNIT]]*_1_541284561214624104645789101745[[#This Row],[COST]],0)</f>
        <v>0</v>
      </c>
      <c r="N688" s="194">
        <f t="shared" si="10"/>
        <v>1.5</v>
      </c>
      <c r="O688" s="198">
        <f>_1_541284561214624104645789101745[[#This Row],[TOTAL]]*_1_541284561214624104645789101745[[#This Row],[MARGIN]]</f>
        <v>0</v>
      </c>
      <c r="R688" s="41"/>
    </row>
    <row r="689" spans="4:18">
      <c r="D689" s="188"/>
      <c r="F689" s="168" t="s">
        <v>6202</v>
      </c>
      <c r="G689" s="193">
        <f>IF(_1_541284561214624104645789101745[[#This Row],[Type]]&gt;0,VLOOKUP(_1_541284561214624104645789101745[[#This Row],[Type]],Main[[#All],[TYPE]:[UNIT]],'Unit Price'!C$1,FALSE),0)</f>
        <v>0</v>
      </c>
      <c r="H689" s="197">
        <f>IF(_1_541284561214624104645789101745[[#This Row],[Type]]&gt;0,VLOOKUP(_1_541284561214624104645789101745[[#This Row],[Type]],Main[[#All],[TYPE]:[UNIT]],'Unit Price'!D$1,FALSE),0)</f>
        <v>0</v>
      </c>
      <c r="I689" s="194">
        <f>IF(_1_541284561214624104645789101745[[#This Row],[Type]]&gt;0,VLOOKUP(_1_541284561214624104645789101745[[#This Row],[Type]],Main[[#All],[TYPE]:[UNIT]],'Unit Price'!G$1,FALSE),0)</f>
        <v>0</v>
      </c>
      <c r="J689" s="194">
        <f>IF(_1_541284561214624104645789101745[[#This Row],[Type]]&gt;0,VLOOKUP(_1_541284561214624104645789101745[[#This Row],[Type]],Main[[#All],[TYPE]:[UNIT]],'Unit Price'!H$1,FALSE),0)</f>
        <v>0</v>
      </c>
      <c r="K689" s="194">
        <f>IF(_1_541284561214624104645789101745[[#This Row],[Discount selection]]&gt;0,VLOOKUP(_1_541284561214624104645789101745[[#This Row],[Discount selection]],'Discount Structure'!$A$2:$B$30,2,"false"),0)</f>
        <v>1</v>
      </c>
      <c r="L689" s="194">
        <f>_1_541284561214624104645789101745[[#This Row],[LIST $]]*_1_541284561214624104645789101745[[#This Row],[DISCOUNT]]*_1_541284561214624104645789101745[[#This Row],[DISCOUNT 2]]</f>
        <v>0</v>
      </c>
      <c r="M689" s="194">
        <f>IF(OR(_1_541284561214624104645789101745[[#This Row],[UNIT]]&gt;0,_1_541284561214624104645789101745[[#This Row],[UNIT]]&lt;0),_1_541284561214624104645789101745[[#This Row],[UNIT]]*_1_541284561214624104645789101745[[#This Row],[COST]],0)</f>
        <v>0</v>
      </c>
      <c r="N689" s="194">
        <f t="shared" si="10"/>
        <v>1.5</v>
      </c>
      <c r="O689" s="198">
        <f>_1_541284561214624104645789101745[[#This Row],[TOTAL]]*_1_541284561214624104645789101745[[#This Row],[MARGIN]]</f>
        <v>0</v>
      </c>
      <c r="R689" s="41"/>
    </row>
    <row r="690" spans="4:18">
      <c r="D690" s="188"/>
      <c r="F690" s="168" t="s">
        <v>6202</v>
      </c>
      <c r="G690" s="193">
        <f>IF(_1_541284561214624104645789101745[[#This Row],[Type]]&gt;0,VLOOKUP(_1_541284561214624104645789101745[[#This Row],[Type]],Main[[#All],[TYPE]:[UNIT]],'Unit Price'!C$1,FALSE),0)</f>
        <v>0</v>
      </c>
      <c r="H690" s="197">
        <f>IF(_1_541284561214624104645789101745[[#This Row],[Type]]&gt;0,VLOOKUP(_1_541284561214624104645789101745[[#This Row],[Type]],Main[[#All],[TYPE]:[UNIT]],'Unit Price'!D$1,FALSE),0)</f>
        <v>0</v>
      </c>
      <c r="I690" s="194">
        <f>IF(_1_541284561214624104645789101745[[#This Row],[Type]]&gt;0,VLOOKUP(_1_541284561214624104645789101745[[#This Row],[Type]],Main[[#All],[TYPE]:[UNIT]],'Unit Price'!G$1,FALSE),0)</f>
        <v>0</v>
      </c>
      <c r="J690" s="194">
        <f>IF(_1_541284561214624104645789101745[[#This Row],[Type]]&gt;0,VLOOKUP(_1_541284561214624104645789101745[[#This Row],[Type]],Main[[#All],[TYPE]:[UNIT]],'Unit Price'!H$1,FALSE),0)</f>
        <v>0</v>
      </c>
      <c r="K690" s="194">
        <f>IF(_1_541284561214624104645789101745[[#This Row],[Discount selection]]&gt;0,VLOOKUP(_1_541284561214624104645789101745[[#This Row],[Discount selection]],'Discount Structure'!$A$2:$B$30,2,"false"),0)</f>
        <v>1</v>
      </c>
      <c r="L690" s="194">
        <f>_1_541284561214624104645789101745[[#This Row],[LIST $]]*_1_541284561214624104645789101745[[#This Row],[DISCOUNT]]*_1_541284561214624104645789101745[[#This Row],[DISCOUNT 2]]</f>
        <v>0</v>
      </c>
      <c r="M690" s="194">
        <f>IF(OR(_1_541284561214624104645789101745[[#This Row],[UNIT]]&gt;0,_1_541284561214624104645789101745[[#This Row],[UNIT]]&lt;0),_1_541284561214624104645789101745[[#This Row],[UNIT]]*_1_541284561214624104645789101745[[#This Row],[COST]],0)</f>
        <v>0</v>
      </c>
      <c r="N690" s="194">
        <f t="shared" si="10"/>
        <v>1.5</v>
      </c>
      <c r="O690" s="198">
        <f>_1_541284561214624104645789101745[[#This Row],[TOTAL]]*_1_541284561214624104645789101745[[#This Row],[MARGIN]]</f>
        <v>0</v>
      </c>
      <c r="R690" s="41"/>
    </row>
    <row r="691" spans="4:18">
      <c r="D691" s="188"/>
      <c r="F691" s="168" t="s">
        <v>6202</v>
      </c>
      <c r="G691" s="193">
        <f>IF(_1_541284561214624104645789101745[[#This Row],[Type]]&gt;0,VLOOKUP(_1_541284561214624104645789101745[[#This Row],[Type]],Main[[#All],[TYPE]:[UNIT]],'Unit Price'!C$1,FALSE),0)</f>
        <v>0</v>
      </c>
      <c r="H691" s="197">
        <f>IF(_1_541284561214624104645789101745[[#This Row],[Type]]&gt;0,VLOOKUP(_1_541284561214624104645789101745[[#This Row],[Type]],Main[[#All],[TYPE]:[UNIT]],'Unit Price'!D$1,FALSE),0)</f>
        <v>0</v>
      </c>
      <c r="I691" s="194">
        <f>IF(_1_541284561214624104645789101745[[#This Row],[Type]]&gt;0,VLOOKUP(_1_541284561214624104645789101745[[#This Row],[Type]],Main[[#All],[TYPE]:[UNIT]],'Unit Price'!G$1,FALSE),0)</f>
        <v>0</v>
      </c>
      <c r="J691" s="194">
        <f>IF(_1_541284561214624104645789101745[[#This Row],[Type]]&gt;0,VLOOKUP(_1_541284561214624104645789101745[[#This Row],[Type]],Main[[#All],[TYPE]:[UNIT]],'Unit Price'!H$1,FALSE),0)</f>
        <v>0</v>
      </c>
      <c r="K691" s="194">
        <f>IF(_1_541284561214624104645789101745[[#This Row],[Discount selection]]&gt;0,VLOOKUP(_1_541284561214624104645789101745[[#This Row],[Discount selection]],'Discount Structure'!$A$2:$B$30,2,"false"),0)</f>
        <v>1</v>
      </c>
      <c r="L691" s="194">
        <f>_1_541284561214624104645789101745[[#This Row],[LIST $]]*_1_541284561214624104645789101745[[#This Row],[DISCOUNT]]*_1_541284561214624104645789101745[[#This Row],[DISCOUNT 2]]</f>
        <v>0</v>
      </c>
      <c r="M691" s="194">
        <f>IF(OR(_1_541284561214624104645789101745[[#This Row],[UNIT]]&gt;0,_1_541284561214624104645789101745[[#This Row],[UNIT]]&lt;0),_1_541284561214624104645789101745[[#This Row],[UNIT]]*_1_541284561214624104645789101745[[#This Row],[COST]],0)</f>
        <v>0</v>
      </c>
      <c r="N691" s="194">
        <f t="shared" si="10"/>
        <v>1.5</v>
      </c>
      <c r="O691" s="198">
        <f>_1_541284561214624104645789101745[[#This Row],[TOTAL]]*_1_541284561214624104645789101745[[#This Row],[MARGIN]]</f>
        <v>0</v>
      </c>
      <c r="R691" s="41"/>
    </row>
    <row r="692" spans="4:18">
      <c r="D692" s="188"/>
      <c r="F692" s="168" t="s">
        <v>6202</v>
      </c>
      <c r="G692" s="193">
        <f>IF(_1_541284561214624104645789101745[[#This Row],[Type]]&gt;0,VLOOKUP(_1_541284561214624104645789101745[[#This Row],[Type]],Main[[#All],[TYPE]:[UNIT]],'Unit Price'!C$1,FALSE),0)</f>
        <v>0</v>
      </c>
      <c r="H692" s="197">
        <f>IF(_1_541284561214624104645789101745[[#This Row],[Type]]&gt;0,VLOOKUP(_1_541284561214624104645789101745[[#This Row],[Type]],Main[[#All],[TYPE]:[UNIT]],'Unit Price'!D$1,FALSE),0)</f>
        <v>0</v>
      </c>
      <c r="I692" s="194">
        <f>IF(_1_541284561214624104645789101745[[#This Row],[Type]]&gt;0,VLOOKUP(_1_541284561214624104645789101745[[#This Row],[Type]],Main[[#All],[TYPE]:[UNIT]],'Unit Price'!G$1,FALSE),0)</f>
        <v>0</v>
      </c>
      <c r="J692" s="194">
        <f>IF(_1_541284561214624104645789101745[[#This Row],[Type]]&gt;0,VLOOKUP(_1_541284561214624104645789101745[[#This Row],[Type]],Main[[#All],[TYPE]:[UNIT]],'Unit Price'!H$1,FALSE),0)</f>
        <v>0</v>
      </c>
      <c r="K692" s="194">
        <f>IF(_1_541284561214624104645789101745[[#This Row],[Discount selection]]&gt;0,VLOOKUP(_1_541284561214624104645789101745[[#This Row],[Discount selection]],'Discount Structure'!$A$2:$B$30,2,"false"),0)</f>
        <v>1</v>
      </c>
      <c r="L692" s="194">
        <f>_1_541284561214624104645789101745[[#This Row],[LIST $]]*_1_541284561214624104645789101745[[#This Row],[DISCOUNT]]*_1_541284561214624104645789101745[[#This Row],[DISCOUNT 2]]</f>
        <v>0</v>
      </c>
      <c r="M692" s="194">
        <f>IF(OR(_1_541284561214624104645789101745[[#This Row],[UNIT]]&gt;0,_1_541284561214624104645789101745[[#This Row],[UNIT]]&lt;0),_1_541284561214624104645789101745[[#This Row],[UNIT]]*_1_541284561214624104645789101745[[#This Row],[COST]],0)</f>
        <v>0</v>
      </c>
      <c r="N692" s="194">
        <f t="shared" si="10"/>
        <v>1.5</v>
      </c>
      <c r="O692" s="198">
        <f>_1_541284561214624104645789101745[[#This Row],[TOTAL]]*_1_541284561214624104645789101745[[#This Row],[MARGIN]]</f>
        <v>0</v>
      </c>
      <c r="R692" s="41"/>
    </row>
    <row r="693" spans="4:18">
      <c r="D693" s="188"/>
      <c r="F693" s="168" t="s">
        <v>6202</v>
      </c>
      <c r="G693" s="193">
        <f>IF(_1_541284561214624104645789101745[[#This Row],[Type]]&gt;0,VLOOKUP(_1_541284561214624104645789101745[[#This Row],[Type]],Main[[#All],[TYPE]:[UNIT]],'Unit Price'!C$1,FALSE),0)</f>
        <v>0</v>
      </c>
      <c r="H693" s="197">
        <f>IF(_1_541284561214624104645789101745[[#This Row],[Type]]&gt;0,VLOOKUP(_1_541284561214624104645789101745[[#This Row],[Type]],Main[[#All],[TYPE]:[UNIT]],'Unit Price'!D$1,FALSE),0)</f>
        <v>0</v>
      </c>
      <c r="I693" s="194">
        <f>IF(_1_541284561214624104645789101745[[#This Row],[Type]]&gt;0,VLOOKUP(_1_541284561214624104645789101745[[#This Row],[Type]],Main[[#All],[TYPE]:[UNIT]],'Unit Price'!G$1,FALSE),0)</f>
        <v>0</v>
      </c>
      <c r="J693" s="194">
        <f>IF(_1_541284561214624104645789101745[[#This Row],[Type]]&gt;0,VLOOKUP(_1_541284561214624104645789101745[[#This Row],[Type]],Main[[#All],[TYPE]:[UNIT]],'Unit Price'!H$1,FALSE),0)</f>
        <v>0</v>
      </c>
      <c r="K693" s="194">
        <f>IF(_1_541284561214624104645789101745[[#This Row],[Discount selection]]&gt;0,VLOOKUP(_1_541284561214624104645789101745[[#This Row],[Discount selection]],'Discount Structure'!$A$2:$B$30,2,"false"),0)</f>
        <v>1</v>
      </c>
      <c r="L693" s="194">
        <f>_1_541284561214624104645789101745[[#This Row],[LIST $]]*_1_541284561214624104645789101745[[#This Row],[DISCOUNT]]*_1_541284561214624104645789101745[[#This Row],[DISCOUNT 2]]</f>
        <v>0</v>
      </c>
      <c r="M693" s="194">
        <f>IF(OR(_1_541284561214624104645789101745[[#This Row],[UNIT]]&gt;0,_1_541284561214624104645789101745[[#This Row],[UNIT]]&lt;0),_1_541284561214624104645789101745[[#This Row],[UNIT]]*_1_541284561214624104645789101745[[#This Row],[COST]],0)</f>
        <v>0</v>
      </c>
      <c r="N693" s="194">
        <f t="shared" si="10"/>
        <v>1.5</v>
      </c>
      <c r="O693" s="198">
        <f>_1_541284561214624104645789101745[[#This Row],[TOTAL]]*_1_541284561214624104645789101745[[#This Row],[MARGIN]]</f>
        <v>0</v>
      </c>
      <c r="R693" s="41"/>
    </row>
    <row r="694" spans="4:18">
      <c r="D694" s="188"/>
      <c r="F694" s="168" t="s">
        <v>6202</v>
      </c>
      <c r="G694" s="193">
        <f>IF(_1_541284561214624104645789101745[[#This Row],[Type]]&gt;0,VLOOKUP(_1_541284561214624104645789101745[[#This Row],[Type]],Main[[#All],[TYPE]:[UNIT]],'Unit Price'!C$1,FALSE),0)</f>
        <v>0</v>
      </c>
      <c r="H694" s="197">
        <f>IF(_1_541284561214624104645789101745[[#This Row],[Type]]&gt;0,VLOOKUP(_1_541284561214624104645789101745[[#This Row],[Type]],Main[[#All],[TYPE]:[UNIT]],'Unit Price'!D$1,FALSE),0)</f>
        <v>0</v>
      </c>
      <c r="I694" s="194">
        <f>IF(_1_541284561214624104645789101745[[#This Row],[Type]]&gt;0,VLOOKUP(_1_541284561214624104645789101745[[#This Row],[Type]],Main[[#All],[TYPE]:[UNIT]],'Unit Price'!G$1,FALSE),0)</f>
        <v>0</v>
      </c>
      <c r="J694" s="194">
        <f>IF(_1_541284561214624104645789101745[[#This Row],[Type]]&gt;0,VLOOKUP(_1_541284561214624104645789101745[[#This Row],[Type]],Main[[#All],[TYPE]:[UNIT]],'Unit Price'!H$1,FALSE),0)</f>
        <v>0</v>
      </c>
      <c r="K694" s="194">
        <f>IF(_1_541284561214624104645789101745[[#This Row],[Discount selection]]&gt;0,VLOOKUP(_1_541284561214624104645789101745[[#This Row],[Discount selection]],'Discount Structure'!$A$2:$B$30,2,"false"),0)</f>
        <v>1</v>
      </c>
      <c r="L694" s="194">
        <f>_1_541284561214624104645789101745[[#This Row],[LIST $]]*_1_541284561214624104645789101745[[#This Row],[DISCOUNT]]*_1_541284561214624104645789101745[[#This Row],[DISCOUNT 2]]</f>
        <v>0</v>
      </c>
      <c r="M694" s="194">
        <f>IF(OR(_1_541284561214624104645789101745[[#This Row],[UNIT]]&gt;0,_1_541284561214624104645789101745[[#This Row],[UNIT]]&lt;0),_1_541284561214624104645789101745[[#This Row],[UNIT]]*_1_541284561214624104645789101745[[#This Row],[COST]],0)</f>
        <v>0</v>
      </c>
      <c r="N694" s="194">
        <f t="shared" si="10"/>
        <v>1.5</v>
      </c>
      <c r="O694" s="198">
        <f>_1_541284561214624104645789101745[[#This Row],[TOTAL]]*_1_541284561214624104645789101745[[#This Row],[MARGIN]]</f>
        <v>0</v>
      </c>
      <c r="R694" s="41"/>
    </row>
    <row r="695" spans="4:18">
      <c r="D695" s="188"/>
      <c r="F695" s="168" t="s">
        <v>6202</v>
      </c>
      <c r="G695" s="193">
        <f>IF(_1_541284561214624104645789101745[[#This Row],[Type]]&gt;0,VLOOKUP(_1_541284561214624104645789101745[[#This Row],[Type]],Main[[#All],[TYPE]:[UNIT]],'Unit Price'!C$1,FALSE),0)</f>
        <v>0</v>
      </c>
      <c r="H695" s="197">
        <f>IF(_1_541284561214624104645789101745[[#This Row],[Type]]&gt;0,VLOOKUP(_1_541284561214624104645789101745[[#This Row],[Type]],Main[[#All],[TYPE]:[UNIT]],'Unit Price'!D$1,FALSE),0)</f>
        <v>0</v>
      </c>
      <c r="I695" s="194">
        <f>IF(_1_541284561214624104645789101745[[#This Row],[Type]]&gt;0,VLOOKUP(_1_541284561214624104645789101745[[#This Row],[Type]],Main[[#All],[TYPE]:[UNIT]],'Unit Price'!G$1,FALSE),0)</f>
        <v>0</v>
      </c>
      <c r="J695" s="194">
        <f>IF(_1_541284561214624104645789101745[[#This Row],[Type]]&gt;0,VLOOKUP(_1_541284561214624104645789101745[[#This Row],[Type]],Main[[#All],[TYPE]:[UNIT]],'Unit Price'!H$1,FALSE),0)</f>
        <v>0</v>
      </c>
      <c r="K695" s="194">
        <f>IF(_1_541284561214624104645789101745[[#This Row],[Discount selection]]&gt;0,VLOOKUP(_1_541284561214624104645789101745[[#This Row],[Discount selection]],'Discount Structure'!$A$2:$B$30,2,"false"),0)</f>
        <v>1</v>
      </c>
      <c r="L695" s="194">
        <f>_1_541284561214624104645789101745[[#This Row],[LIST $]]*_1_541284561214624104645789101745[[#This Row],[DISCOUNT]]*_1_541284561214624104645789101745[[#This Row],[DISCOUNT 2]]</f>
        <v>0</v>
      </c>
      <c r="M695" s="194">
        <f>IF(OR(_1_541284561214624104645789101745[[#This Row],[UNIT]]&gt;0,_1_541284561214624104645789101745[[#This Row],[UNIT]]&lt;0),_1_541284561214624104645789101745[[#This Row],[UNIT]]*_1_541284561214624104645789101745[[#This Row],[COST]],0)</f>
        <v>0</v>
      </c>
      <c r="N695" s="194">
        <f t="shared" si="10"/>
        <v>1.5</v>
      </c>
      <c r="O695" s="198">
        <f>_1_541284561214624104645789101745[[#This Row],[TOTAL]]*_1_541284561214624104645789101745[[#This Row],[MARGIN]]</f>
        <v>0</v>
      </c>
      <c r="R695" s="41"/>
    </row>
    <row r="696" spans="4:18">
      <c r="D696" s="188"/>
      <c r="F696" s="168" t="s">
        <v>6202</v>
      </c>
      <c r="G696" s="193">
        <f>IF(_1_541284561214624104645789101745[[#This Row],[Type]]&gt;0,VLOOKUP(_1_541284561214624104645789101745[[#This Row],[Type]],Main[[#All],[TYPE]:[UNIT]],'Unit Price'!C$1,FALSE),0)</f>
        <v>0</v>
      </c>
      <c r="H696" s="197">
        <f>IF(_1_541284561214624104645789101745[[#This Row],[Type]]&gt;0,VLOOKUP(_1_541284561214624104645789101745[[#This Row],[Type]],Main[[#All],[TYPE]:[UNIT]],'Unit Price'!D$1,FALSE),0)</f>
        <v>0</v>
      </c>
      <c r="I696" s="194">
        <f>IF(_1_541284561214624104645789101745[[#This Row],[Type]]&gt;0,VLOOKUP(_1_541284561214624104645789101745[[#This Row],[Type]],Main[[#All],[TYPE]:[UNIT]],'Unit Price'!G$1,FALSE),0)</f>
        <v>0</v>
      </c>
      <c r="J696" s="194">
        <f>IF(_1_541284561214624104645789101745[[#This Row],[Type]]&gt;0,VLOOKUP(_1_541284561214624104645789101745[[#This Row],[Type]],Main[[#All],[TYPE]:[UNIT]],'Unit Price'!H$1,FALSE),0)</f>
        <v>0</v>
      </c>
      <c r="K696" s="194">
        <f>IF(_1_541284561214624104645789101745[[#This Row],[Discount selection]]&gt;0,VLOOKUP(_1_541284561214624104645789101745[[#This Row],[Discount selection]],'Discount Structure'!$A$2:$B$30,2,"false"),0)</f>
        <v>1</v>
      </c>
      <c r="L696" s="194">
        <f>_1_541284561214624104645789101745[[#This Row],[LIST $]]*_1_541284561214624104645789101745[[#This Row],[DISCOUNT]]*_1_541284561214624104645789101745[[#This Row],[DISCOUNT 2]]</f>
        <v>0</v>
      </c>
      <c r="M696" s="194">
        <f>IF(OR(_1_541284561214624104645789101745[[#This Row],[UNIT]]&gt;0,_1_541284561214624104645789101745[[#This Row],[UNIT]]&lt;0),_1_541284561214624104645789101745[[#This Row],[UNIT]]*_1_541284561214624104645789101745[[#This Row],[COST]],0)</f>
        <v>0</v>
      </c>
      <c r="N696" s="194">
        <f t="shared" si="10"/>
        <v>1.5</v>
      </c>
      <c r="O696" s="198">
        <f>_1_541284561214624104645789101745[[#This Row],[TOTAL]]*_1_541284561214624104645789101745[[#This Row],[MARGIN]]</f>
        <v>0</v>
      </c>
      <c r="R696" s="41"/>
    </row>
    <row r="697" spans="4:18">
      <c r="D697" s="188"/>
      <c r="F697" s="168" t="s">
        <v>6202</v>
      </c>
      <c r="G697" s="193">
        <f>IF(_1_541284561214624104645789101745[[#This Row],[Type]]&gt;0,VLOOKUP(_1_541284561214624104645789101745[[#This Row],[Type]],Main[[#All],[TYPE]:[UNIT]],'Unit Price'!C$1,FALSE),0)</f>
        <v>0</v>
      </c>
      <c r="H697" s="197">
        <f>IF(_1_541284561214624104645789101745[[#This Row],[Type]]&gt;0,VLOOKUP(_1_541284561214624104645789101745[[#This Row],[Type]],Main[[#All],[TYPE]:[UNIT]],'Unit Price'!D$1,FALSE),0)</f>
        <v>0</v>
      </c>
      <c r="I697" s="194">
        <f>IF(_1_541284561214624104645789101745[[#This Row],[Type]]&gt;0,VLOOKUP(_1_541284561214624104645789101745[[#This Row],[Type]],Main[[#All],[TYPE]:[UNIT]],'Unit Price'!G$1,FALSE),0)</f>
        <v>0</v>
      </c>
      <c r="J697" s="194">
        <f>IF(_1_541284561214624104645789101745[[#This Row],[Type]]&gt;0,VLOOKUP(_1_541284561214624104645789101745[[#This Row],[Type]],Main[[#All],[TYPE]:[UNIT]],'Unit Price'!H$1,FALSE),0)</f>
        <v>0</v>
      </c>
      <c r="K697" s="194">
        <f>IF(_1_541284561214624104645789101745[[#This Row],[Discount selection]]&gt;0,VLOOKUP(_1_541284561214624104645789101745[[#This Row],[Discount selection]],'Discount Structure'!$A$2:$B$30,2,"false"),0)</f>
        <v>1</v>
      </c>
      <c r="L697" s="194">
        <f>_1_541284561214624104645789101745[[#This Row],[LIST $]]*_1_541284561214624104645789101745[[#This Row],[DISCOUNT]]*_1_541284561214624104645789101745[[#This Row],[DISCOUNT 2]]</f>
        <v>0</v>
      </c>
      <c r="M697" s="194">
        <f>IF(OR(_1_541284561214624104645789101745[[#This Row],[UNIT]]&gt;0,_1_541284561214624104645789101745[[#This Row],[UNIT]]&lt;0),_1_541284561214624104645789101745[[#This Row],[UNIT]]*_1_541284561214624104645789101745[[#This Row],[COST]],0)</f>
        <v>0</v>
      </c>
      <c r="N697" s="194">
        <f t="shared" si="10"/>
        <v>1.5</v>
      </c>
      <c r="O697" s="198">
        <f>_1_541284561214624104645789101745[[#This Row],[TOTAL]]*_1_541284561214624104645789101745[[#This Row],[MARGIN]]</f>
        <v>0</v>
      </c>
      <c r="R697" s="41"/>
    </row>
    <row r="698" spans="4:18">
      <c r="D698" s="188"/>
      <c r="F698" s="168" t="s">
        <v>6202</v>
      </c>
      <c r="G698" s="193">
        <f>IF(_1_541284561214624104645789101745[[#This Row],[Type]]&gt;0,VLOOKUP(_1_541284561214624104645789101745[[#This Row],[Type]],Main[[#All],[TYPE]:[UNIT]],'Unit Price'!C$1,FALSE),0)</f>
        <v>0</v>
      </c>
      <c r="H698" s="197">
        <f>IF(_1_541284561214624104645789101745[[#This Row],[Type]]&gt;0,VLOOKUP(_1_541284561214624104645789101745[[#This Row],[Type]],Main[[#All],[TYPE]:[UNIT]],'Unit Price'!D$1,FALSE),0)</f>
        <v>0</v>
      </c>
      <c r="I698" s="194">
        <f>IF(_1_541284561214624104645789101745[[#This Row],[Type]]&gt;0,VLOOKUP(_1_541284561214624104645789101745[[#This Row],[Type]],Main[[#All],[TYPE]:[UNIT]],'Unit Price'!G$1,FALSE),0)</f>
        <v>0</v>
      </c>
      <c r="J698" s="194">
        <f>IF(_1_541284561214624104645789101745[[#This Row],[Type]]&gt;0,VLOOKUP(_1_541284561214624104645789101745[[#This Row],[Type]],Main[[#All],[TYPE]:[UNIT]],'Unit Price'!H$1,FALSE),0)</f>
        <v>0</v>
      </c>
      <c r="K698" s="194">
        <f>IF(_1_541284561214624104645789101745[[#This Row],[Discount selection]]&gt;0,VLOOKUP(_1_541284561214624104645789101745[[#This Row],[Discount selection]],'Discount Structure'!$A$2:$B$30,2,"false"),0)</f>
        <v>1</v>
      </c>
      <c r="L698" s="194">
        <f>_1_541284561214624104645789101745[[#This Row],[LIST $]]*_1_541284561214624104645789101745[[#This Row],[DISCOUNT]]*_1_541284561214624104645789101745[[#This Row],[DISCOUNT 2]]</f>
        <v>0</v>
      </c>
      <c r="M698" s="194">
        <f>IF(OR(_1_541284561214624104645789101745[[#This Row],[UNIT]]&gt;0,_1_541284561214624104645789101745[[#This Row],[UNIT]]&lt;0),_1_541284561214624104645789101745[[#This Row],[UNIT]]*_1_541284561214624104645789101745[[#This Row],[COST]],0)</f>
        <v>0</v>
      </c>
      <c r="N698" s="194">
        <f t="shared" si="10"/>
        <v>1.5</v>
      </c>
      <c r="O698" s="198">
        <f>_1_541284561214624104645789101745[[#This Row],[TOTAL]]*_1_541284561214624104645789101745[[#This Row],[MARGIN]]</f>
        <v>0</v>
      </c>
      <c r="R698" s="41"/>
    </row>
    <row r="699" spans="4:18">
      <c r="D699" s="188"/>
      <c r="F699" s="168" t="s">
        <v>6202</v>
      </c>
      <c r="G699" s="193">
        <f>IF(_1_541284561214624104645789101745[[#This Row],[Type]]&gt;0,VLOOKUP(_1_541284561214624104645789101745[[#This Row],[Type]],Main[[#All],[TYPE]:[UNIT]],'Unit Price'!C$1,FALSE),0)</f>
        <v>0</v>
      </c>
      <c r="H699" s="197">
        <f>IF(_1_541284561214624104645789101745[[#This Row],[Type]]&gt;0,VLOOKUP(_1_541284561214624104645789101745[[#This Row],[Type]],Main[[#All],[TYPE]:[UNIT]],'Unit Price'!D$1,FALSE),0)</f>
        <v>0</v>
      </c>
      <c r="I699" s="194">
        <f>IF(_1_541284561214624104645789101745[[#This Row],[Type]]&gt;0,VLOOKUP(_1_541284561214624104645789101745[[#This Row],[Type]],Main[[#All],[TYPE]:[UNIT]],'Unit Price'!G$1,FALSE),0)</f>
        <v>0</v>
      </c>
      <c r="J699" s="194">
        <f>IF(_1_541284561214624104645789101745[[#This Row],[Type]]&gt;0,VLOOKUP(_1_541284561214624104645789101745[[#This Row],[Type]],Main[[#All],[TYPE]:[UNIT]],'Unit Price'!H$1,FALSE),0)</f>
        <v>0</v>
      </c>
      <c r="K699" s="194">
        <f>IF(_1_541284561214624104645789101745[[#This Row],[Discount selection]]&gt;0,VLOOKUP(_1_541284561214624104645789101745[[#This Row],[Discount selection]],'Discount Structure'!$A$2:$B$30,2,"false"),0)</f>
        <v>1</v>
      </c>
      <c r="L699" s="194">
        <f>_1_541284561214624104645789101745[[#This Row],[LIST $]]*_1_541284561214624104645789101745[[#This Row],[DISCOUNT]]*_1_541284561214624104645789101745[[#This Row],[DISCOUNT 2]]</f>
        <v>0</v>
      </c>
      <c r="M699" s="194">
        <f>IF(OR(_1_541284561214624104645789101745[[#This Row],[UNIT]]&gt;0,_1_541284561214624104645789101745[[#This Row],[UNIT]]&lt;0),_1_541284561214624104645789101745[[#This Row],[UNIT]]*_1_541284561214624104645789101745[[#This Row],[COST]],0)</f>
        <v>0</v>
      </c>
      <c r="N699" s="194">
        <f t="shared" si="10"/>
        <v>1.5</v>
      </c>
      <c r="O699" s="198">
        <f>_1_541284561214624104645789101745[[#This Row],[TOTAL]]*_1_541284561214624104645789101745[[#This Row],[MARGIN]]</f>
        <v>0</v>
      </c>
      <c r="R699" s="41"/>
    </row>
    <row r="700" spans="4:18">
      <c r="D700" s="188"/>
      <c r="F700" s="168" t="s">
        <v>6202</v>
      </c>
      <c r="G700" s="193">
        <f>IF(_1_541284561214624104645789101745[[#This Row],[Type]]&gt;0,VLOOKUP(_1_541284561214624104645789101745[[#This Row],[Type]],Main[[#All],[TYPE]:[UNIT]],'Unit Price'!C$1,FALSE),0)</f>
        <v>0</v>
      </c>
      <c r="H700" s="197">
        <f>IF(_1_541284561214624104645789101745[[#This Row],[Type]]&gt;0,VLOOKUP(_1_541284561214624104645789101745[[#This Row],[Type]],Main[[#All],[TYPE]:[UNIT]],'Unit Price'!D$1,FALSE),0)</f>
        <v>0</v>
      </c>
      <c r="I700" s="194">
        <f>IF(_1_541284561214624104645789101745[[#This Row],[Type]]&gt;0,VLOOKUP(_1_541284561214624104645789101745[[#This Row],[Type]],Main[[#All],[TYPE]:[UNIT]],'Unit Price'!G$1,FALSE),0)</f>
        <v>0</v>
      </c>
      <c r="J700" s="194">
        <f>IF(_1_541284561214624104645789101745[[#This Row],[Type]]&gt;0,VLOOKUP(_1_541284561214624104645789101745[[#This Row],[Type]],Main[[#All],[TYPE]:[UNIT]],'Unit Price'!H$1,FALSE),0)</f>
        <v>0</v>
      </c>
      <c r="K700" s="194">
        <f>IF(_1_541284561214624104645789101745[[#This Row],[Discount selection]]&gt;0,VLOOKUP(_1_541284561214624104645789101745[[#This Row],[Discount selection]],'Discount Structure'!$A$2:$B$30,2,"false"),0)</f>
        <v>1</v>
      </c>
      <c r="L700" s="194">
        <f>_1_541284561214624104645789101745[[#This Row],[LIST $]]*_1_541284561214624104645789101745[[#This Row],[DISCOUNT]]*_1_541284561214624104645789101745[[#This Row],[DISCOUNT 2]]</f>
        <v>0</v>
      </c>
      <c r="M700" s="194">
        <f>IF(OR(_1_541284561214624104645789101745[[#This Row],[UNIT]]&gt;0,_1_541284561214624104645789101745[[#This Row],[UNIT]]&lt;0),_1_541284561214624104645789101745[[#This Row],[UNIT]]*_1_541284561214624104645789101745[[#This Row],[COST]],0)</f>
        <v>0</v>
      </c>
      <c r="N700" s="194">
        <f t="shared" si="10"/>
        <v>1.5</v>
      </c>
      <c r="O700" s="198">
        <f>_1_541284561214624104645789101745[[#This Row],[TOTAL]]*_1_541284561214624104645789101745[[#This Row],[MARGIN]]</f>
        <v>0</v>
      </c>
      <c r="R700" s="41"/>
    </row>
    <row r="701" spans="4:18">
      <c r="D701" s="188"/>
      <c r="F701" s="168" t="s">
        <v>6202</v>
      </c>
      <c r="G701" s="193">
        <f>IF(_1_541284561214624104645789101745[[#This Row],[Type]]&gt;0,VLOOKUP(_1_541284561214624104645789101745[[#This Row],[Type]],Main[[#All],[TYPE]:[UNIT]],'Unit Price'!C$1,FALSE),0)</f>
        <v>0</v>
      </c>
      <c r="H701" s="197">
        <f>IF(_1_541284561214624104645789101745[[#This Row],[Type]]&gt;0,VLOOKUP(_1_541284561214624104645789101745[[#This Row],[Type]],Main[[#All],[TYPE]:[UNIT]],'Unit Price'!D$1,FALSE),0)</f>
        <v>0</v>
      </c>
      <c r="I701" s="194">
        <f>IF(_1_541284561214624104645789101745[[#This Row],[Type]]&gt;0,VLOOKUP(_1_541284561214624104645789101745[[#This Row],[Type]],Main[[#All],[TYPE]:[UNIT]],'Unit Price'!G$1,FALSE),0)</f>
        <v>0</v>
      </c>
      <c r="J701" s="194">
        <f>IF(_1_541284561214624104645789101745[[#This Row],[Type]]&gt;0,VLOOKUP(_1_541284561214624104645789101745[[#This Row],[Type]],Main[[#All],[TYPE]:[UNIT]],'Unit Price'!H$1,FALSE),0)</f>
        <v>0</v>
      </c>
      <c r="K701" s="194">
        <f>IF(_1_541284561214624104645789101745[[#This Row],[Discount selection]]&gt;0,VLOOKUP(_1_541284561214624104645789101745[[#This Row],[Discount selection]],'Discount Structure'!$A$2:$B$30,2,"false"),0)</f>
        <v>1</v>
      </c>
      <c r="L701" s="194">
        <f>_1_541284561214624104645789101745[[#This Row],[LIST $]]*_1_541284561214624104645789101745[[#This Row],[DISCOUNT]]*_1_541284561214624104645789101745[[#This Row],[DISCOUNT 2]]</f>
        <v>0</v>
      </c>
      <c r="M701" s="194">
        <f>IF(OR(_1_541284561214624104645789101745[[#This Row],[UNIT]]&gt;0,_1_541284561214624104645789101745[[#This Row],[UNIT]]&lt;0),_1_541284561214624104645789101745[[#This Row],[UNIT]]*_1_541284561214624104645789101745[[#This Row],[COST]],0)</f>
        <v>0</v>
      </c>
      <c r="N701" s="194">
        <f t="shared" si="10"/>
        <v>1.5</v>
      </c>
      <c r="O701" s="198">
        <f>_1_541284561214624104645789101745[[#This Row],[TOTAL]]*_1_541284561214624104645789101745[[#This Row],[MARGIN]]</f>
        <v>0</v>
      </c>
      <c r="R701" s="41"/>
    </row>
    <row r="702" spans="4:18">
      <c r="D702" s="188"/>
      <c r="F702" s="168" t="s">
        <v>6202</v>
      </c>
      <c r="G702" s="193">
        <f>IF(_1_541284561214624104645789101745[[#This Row],[Type]]&gt;0,VLOOKUP(_1_541284561214624104645789101745[[#This Row],[Type]],Main[[#All],[TYPE]:[UNIT]],'Unit Price'!C$1,FALSE),0)</f>
        <v>0</v>
      </c>
      <c r="H702" s="197">
        <f>IF(_1_541284561214624104645789101745[[#This Row],[Type]]&gt;0,VLOOKUP(_1_541284561214624104645789101745[[#This Row],[Type]],Main[[#All],[TYPE]:[UNIT]],'Unit Price'!D$1,FALSE),0)</f>
        <v>0</v>
      </c>
      <c r="I702" s="194">
        <f>IF(_1_541284561214624104645789101745[[#This Row],[Type]]&gt;0,VLOOKUP(_1_541284561214624104645789101745[[#This Row],[Type]],Main[[#All],[TYPE]:[UNIT]],'Unit Price'!G$1,FALSE),0)</f>
        <v>0</v>
      </c>
      <c r="J702" s="194">
        <f>IF(_1_541284561214624104645789101745[[#This Row],[Type]]&gt;0,VLOOKUP(_1_541284561214624104645789101745[[#This Row],[Type]],Main[[#All],[TYPE]:[UNIT]],'Unit Price'!H$1,FALSE),0)</f>
        <v>0</v>
      </c>
      <c r="K702" s="194">
        <f>IF(_1_541284561214624104645789101745[[#This Row],[Discount selection]]&gt;0,VLOOKUP(_1_541284561214624104645789101745[[#This Row],[Discount selection]],'Discount Structure'!$A$2:$B$30,2,"false"),0)</f>
        <v>1</v>
      </c>
      <c r="L702" s="194">
        <f>_1_541284561214624104645789101745[[#This Row],[LIST $]]*_1_541284561214624104645789101745[[#This Row],[DISCOUNT]]*_1_541284561214624104645789101745[[#This Row],[DISCOUNT 2]]</f>
        <v>0</v>
      </c>
      <c r="M702" s="194">
        <f>IF(OR(_1_541284561214624104645789101745[[#This Row],[UNIT]]&gt;0,_1_541284561214624104645789101745[[#This Row],[UNIT]]&lt;0),_1_541284561214624104645789101745[[#This Row],[UNIT]]*_1_541284561214624104645789101745[[#This Row],[COST]],0)</f>
        <v>0</v>
      </c>
      <c r="N702" s="194">
        <f t="shared" si="10"/>
        <v>1.5</v>
      </c>
      <c r="O702" s="198">
        <f>_1_541284561214624104645789101745[[#This Row],[TOTAL]]*_1_541284561214624104645789101745[[#This Row],[MARGIN]]</f>
        <v>0</v>
      </c>
      <c r="R702" s="41"/>
    </row>
    <row r="703" spans="4:18">
      <c r="D703" s="188"/>
      <c r="F703" s="168" t="s">
        <v>6202</v>
      </c>
      <c r="G703" s="193">
        <f>IF(_1_541284561214624104645789101745[[#This Row],[Type]]&gt;0,VLOOKUP(_1_541284561214624104645789101745[[#This Row],[Type]],Main[[#All],[TYPE]:[UNIT]],'Unit Price'!C$1,FALSE),0)</f>
        <v>0</v>
      </c>
      <c r="H703" s="197">
        <f>IF(_1_541284561214624104645789101745[[#This Row],[Type]]&gt;0,VLOOKUP(_1_541284561214624104645789101745[[#This Row],[Type]],Main[[#All],[TYPE]:[UNIT]],'Unit Price'!D$1,FALSE),0)</f>
        <v>0</v>
      </c>
      <c r="I703" s="194">
        <f>IF(_1_541284561214624104645789101745[[#This Row],[Type]]&gt;0,VLOOKUP(_1_541284561214624104645789101745[[#This Row],[Type]],Main[[#All],[TYPE]:[UNIT]],'Unit Price'!G$1,FALSE),0)</f>
        <v>0</v>
      </c>
      <c r="J703" s="194">
        <f>IF(_1_541284561214624104645789101745[[#This Row],[Type]]&gt;0,VLOOKUP(_1_541284561214624104645789101745[[#This Row],[Type]],Main[[#All],[TYPE]:[UNIT]],'Unit Price'!H$1,FALSE),0)</f>
        <v>0</v>
      </c>
      <c r="K703" s="194">
        <f>IF(_1_541284561214624104645789101745[[#This Row],[Discount selection]]&gt;0,VLOOKUP(_1_541284561214624104645789101745[[#This Row],[Discount selection]],'Discount Structure'!$A$2:$B$30,2,"false"),0)</f>
        <v>1</v>
      </c>
      <c r="L703" s="194">
        <f>_1_541284561214624104645789101745[[#This Row],[LIST $]]*_1_541284561214624104645789101745[[#This Row],[DISCOUNT]]*_1_541284561214624104645789101745[[#This Row],[DISCOUNT 2]]</f>
        <v>0</v>
      </c>
      <c r="M703" s="194">
        <f>IF(OR(_1_541284561214624104645789101745[[#This Row],[UNIT]]&gt;0,_1_541284561214624104645789101745[[#This Row],[UNIT]]&lt;0),_1_541284561214624104645789101745[[#This Row],[UNIT]]*_1_541284561214624104645789101745[[#This Row],[COST]],0)</f>
        <v>0</v>
      </c>
      <c r="N703" s="194">
        <f t="shared" si="10"/>
        <v>1.5</v>
      </c>
      <c r="O703" s="198">
        <f>_1_541284561214624104645789101745[[#This Row],[TOTAL]]*_1_541284561214624104645789101745[[#This Row],[MARGIN]]</f>
        <v>0</v>
      </c>
      <c r="R703" s="41"/>
    </row>
    <row r="704" spans="4:18">
      <c r="D704" s="188"/>
      <c r="F704" s="168" t="s">
        <v>6202</v>
      </c>
      <c r="G704" s="193">
        <f>IF(_1_541284561214624104645789101745[[#This Row],[Type]]&gt;0,VLOOKUP(_1_541284561214624104645789101745[[#This Row],[Type]],Main[[#All],[TYPE]:[UNIT]],'Unit Price'!C$1,FALSE),0)</f>
        <v>0</v>
      </c>
      <c r="H704" s="197">
        <f>IF(_1_541284561214624104645789101745[[#This Row],[Type]]&gt;0,VLOOKUP(_1_541284561214624104645789101745[[#This Row],[Type]],Main[[#All],[TYPE]:[UNIT]],'Unit Price'!D$1,FALSE),0)</f>
        <v>0</v>
      </c>
      <c r="I704" s="194">
        <f>IF(_1_541284561214624104645789101745[[#This Row],[Type]]&gt;0,VLOOKUP(_1_541284561214624104645789101745[[#This Row],[Type]],Main[[#All],[TYPE]:[UNIT]],'Unit Price'!G$1,FALSE),0)</f>
        <v>0</v>
      </c>
      <c r="J704" s="194">
        <f>IF(_1_541284561214624104645789101745[[#This Row],[Type]]&gt;0,VLOOKUP(_1_541284561214624104645789101745[[#This Row],[Type]],Main[[#All],[TYPE]:[UNIT]],'Unit Price'!H$1,FALSE),0)</f>
        <v>0</v>
      </c>
      <c r="K704" s="194">
        <f>IF(_1_541284561214624104645789101745[[#This Row],[Discount selection]]&gt;0,VLOOKUP(_1_541284561214624104645789101745[[#This Row],[Discount selection]],'Discount Structure'!$A$2:$B$30,2,"false"),0)</f>
        <v>1</v>
      </c>
      <c r="L704" s="194">
        <f>_1_541284561214624104645789101745[[#This Row],[LIST $]]*_1_541284561214624104645789101745[[#This Row],[DISCOUNT]]*_1_541284561214624104645789101745[[#This Row],[DISCOUNT 2]]</f>
        <v>0</v>
      </c>
      <c r="M704" s="194">
        <f>IF(OR(_1_541284561214624104645789101745[[#This Row],[UNIT]]&gt;0,_1_541284561214624104645789101745[[#This Row],[UNIT]]&lt;0),_1_541284561214624104645789101745[[#This Row],[UNIT]]*_1_541284561214624104645789101745[[#This Row],[COST]],0)</f>
        <v>0</v>
      </c>
      <c r="N704" s="194">
        <f t="shared" si="10"/>
        <v>1.5</v>
      </c>
      <c r="O704" s="198">
        <f>_1_541284561214624104645789101745[[#This Row],[TOTAL]]*_1_541284561214624104645789101745[[#This Row],[MARGIN]]</f>
        <v>0</v>
      </c>
      <c r="R704" s="41"/>
    </row>
    <row r="705" spans="4:18">
      <c r="D705" s="188"/>
      <c r="F705" s="168" t="s">
        <v>6202</v>
      </c>
      <c r="G705" s="193">
        <f>IF(_1_541284561214624104645789101745[[#This Row],[Type]]&gt;0,VLOOKUP(_1_541284561214624104645789101745[[#This Row],[Type]],Main[[#All],[TYPE]:[UNIT]],'Unit Price'!C$1,FALSE),0)</f>
        <v>0</v>
      </c>
      <c r="H705" s="197">
        <f>IF(_1_541284561214624104645789101745[[#This Row],[Type]]&gt;0,VLOOKUP(_1_541284561214624104645789101745[[#This Row],[Type]],Main[[#All],[TYPE]:[UNIT]],'Unit Price'!D$1,FALSE),0)</f>
        <v>0</v>
      </c>
      <c r="I705" s="194">
        <f>IF(_1_541284561214624104645789101745[[#This Row],[Type]]&gt;0,VLOOKUP(_1_541284561214624104645789101745[[#This Row],[Type]],Main[[#All],[TYPE]:[UNIT]],'Unit Price'!G$1,FALSE),0)</f>
        <v>0</v>
      </c>
      <c r="J705" s="194">
        <f>IF(_1_541284561214624104645789101745[[#This Row],[Type]]&gt;0,VLOOKUP(_1_541284561214624104645789101745[[#This Row],[Type]],Main[[#All],[TYPE]:[UNIT]],'Unit Price'!H$1,FALSE),0)</f>
        <v>0</v>
      </c>
      <c r="K705" s="194">
        <f>IF(_1_541284561214624104645789101745[[#This Row],[Discount selection]]&gt;0,VLOOKUP(_1_541284561214624104645789101745[[#This Row],[Discount selection]],'Discount Structure'!$A$2:$B$30,2,"false"),0)</f>
        <v>1</v>
      </c>
      <c r="L705" s="194">
        <f>_1_541284561214624104645789101745[[#This Row],[LIST $]]*_1_541284561214624104645789101745[[#This Row],[DISCOUNT]]*_1_541284561214624104645789101745[[#This Row],[DISCOUNT 2]]</f>
        <v>0</v>
      </c>
      <c r="M705" s="194">
        <f>IF(OR(_1_541284561214624104645789101745[[#This Row],[UNIT]]&gt;0,_1_541284561214624104645789101745[[#This Row],[UNIT]]&lt;0),_1_541284561214624104645789101745[[#This Row],[UNIT]]*_1_541284561214624104645789101745[[#This Row],[COST]],0)</f>
        <v>0</v>
      </c>
      <c r="N705" s="194">
        <f t="shared" si="10"/>
        <v>1.5</v>
      </c>
      <c r="O705" s="198">
        <f>_1_541284561214624104645789101745[[#This Row],[TOTAL]]*_1_541284561214624104645789101745[[#This Row],[MARGIN]]</f>
        <v>0</v>
      </c>
      <c r="R705" s="41"/>
    </row>
    <row r="706" spans="4:18">
      <c r="D706" s="188"/>
      <c r="F706" s="168" t="s">
        <v>6202</v>
      </c>
      <c r="G706" s="193">
        <f>IF(_1_541284561214624104645789101745[[#This Row],[Type]]&gt;0,VLOOKUP(_1_541284561214624104645789101745[[#This Row],[Type]],Main[[#All],[TYPE]:[UNIT]],'Unit Price'!C$1,FALSE),0)</f>
        <v>0</v>
      </c>
      <c r="H706" s="197">
        <f>IF(_1_541284561214624104645789101745[[#This Row],[Type]]&gt;0,VLOOKUP(_1_541284561214624104645789101745[[#This Row],[Type]],Main[[#All],[TYPE]:[UNIT]],'Unit Price'!D$1,FALSE),0)</f>
        <v>0</v>
      </c>
      <c r="I706" s="194">
        <f>IF(_1_541284561214624104645789101745[[#This Row],[Type]]&gt;0,VLOOKUP(_1_541284561214624104645789101745[[#This Row],[Type]],Main[[#All],[TYPE]:[UNIT]],'Unit Price'!G$1,FALSE),0)</f>
        <v>0</v>
      </c>
      <c r="J706" s="194">
        <f>IF(_1_541284561214624104645789101745[[#This Row],[Type]]&gt;0,VLOOKUP(_1_541284561214624104645789101745[[#This Row],[Type]],Main[[#All],[TYPE]:[UNIT]],'Unit Price'!H$1,FALSE),0)</f>
        <v>0</v>
      </c>
      <c r="K706" s="194">
        <f>IF(_1_541284561214624104645789101745[[#This Row],[Discount selection]]&gt;0,VLOOKUP(_1_541284561214624104645789101745[[#This Row],[Discount selection]],'Discount Structure'!$A$2:$B$30,2,"false"),0)</f>
        <v>1</v>
      </c>
      <c r="L706" s="194">
        <f>_1_541284561214624104645789101745[[#This Row],[LIST $]]*_1_541284561214624104645789101745[[#This Row],[DISCOUNT]]*_1_541284561214624104645789101745[[#This Row],[DISCOUNT 2]]</f>
        <v>0</v>
      </c>
      <c r="M706" s="194">
        <f>IF(OR(_1_541284561214624104645789101745[[#This Row],[UNIT]]&gt;0,_1_541284561214624104645789101745[[#This Row],[UNIT]]&lt;0),_1_541284561214624104645789101745[[#This Row],[UNIT]]*_1_541284561214624104645789101745[[#This Row],[COST]],0)</f>
        <v>0</v>
      </c>
      <c r="N706" s="194">
        <f t="shared" si="10"/>
        <v>1.5</v>
      </c>
      <c r="O706" s="198">
        <f>_1_541284561214624104645789101745[[#This Row],[TOTAL]]*_1_541284561214624104645789101745[[#This Row],[MARGIN]]</f>
        <v>0</v>
      </c>
      <c r="R706" s="41"/>
    </row>
    <row r="707" spans="4:18">
      <c r="D707" s="188"/>
      <c r="F707" s="168" t="s">
        <v>6202</v>
      </c>
      <c r="G707" s="193">
        <f>IF(_1_541284561214624104645789101745[[#This Row],[Type]]&gt;0,VLOOKUP(_1_541284561214624104645789101745[[#This Row],[Type]],Main[[#All],[TYPE]:[UNIT]],'Unit Price'!C$1,FALSE),0)</f>
        <v>0</v>
      </c>
      <c r="H707" s="197">
        <f>IF(_1_541284561214624104645789101745[[#This Row],[Type]]&gt;0,VLOOKUP(_1_541284561214624104645789101745[[#This Row],[Type]],Main[[#All],[TYPE]:[UNIT]],'Unit Price'!D$1,FALSE),0)</f>
        <v>0</v>
      </c>
      <c r="I707" s="194">
        <f>IF(_1_541284561214624104645789101745[[#This Row],[Type]]&gt;0,VLOOKUP(_1_541284561214624104645789101745[[#This Row],[Type]],Main[[#All],[TYPE]:[UNIT]],'Unit Price'!G$1,FALSE),0)</f>
        <v>0</v>
      </c>
      <c r="J707" s="194">
        <f>IF(_1_541284561214624104645789101745[[#This Row],[Type]]&gt;0,VLOOKUP(_1_541284561214624104645789101745[[#This Row],[Type]],Main[[#All],[TYPE]:[UNIT]],'Unit Price'!H$1,FALSE),0)</f>
        <v>0</v>
      </c>
      <c r="K707" s="194">
        <f>IF(_1_541284561214624104645789101745[[#This Row],[Discount selection]]&gt;0,VLOOKUP(_1_541284561214624104645789101745[[#This Row],[Discount selection]],'Discount Structure'!$A$2:$B$30,2,"false"),0)</f>
        <v>1</v>
      </c>
      <c r="L707" s="194">
        <f>_1_541284561214624104645789101745[[#This Row],[LIST $]]*_1_541284561214624104645789101745[[#This Row],[DISCOUNT]]*_1_541284561214624104645789101745[[#This Row],[DISCOUNT 2]]</f>
        <v>0</v>
      </c>
      <c r="M707" s="194">
        <f>IF(OR(_1_541284561214624104645789101745[[#This Row],[UNIT]]&gt;0,_1_541284561214624104645789101745[[#This Row],[UNIT]]&lt;0),_1_541284561214624104645789101745[[#This Row],[UNIT]]*_1_541284561214624104645789101745[[#This Row],[COST]],0)</f>
        <v>0</v>
      </c>
      <c r="N707" s="194">
        <f t="shared" si="10"/>
        <v>1.5</v>
      </c>
      <c r="O707" s="198">
        <f>_1_541284561214624104645789101745[[#This Row],[TOTAL]]*_1_541284561214624104645789101745[[#This Row],[MARGIN]]</f>
        <v>0</v>
      </c>
      <c r="R707" s="41"/>
    </row>
    <row r="708" spans="4:18">
      <c r="D708" s="188"/>
      <c r="F708" s="168" t="s">
        <v>6202</v>
      </c>
      <c r="G708" s="193">
        <f>IF(_1_541284561214624104645789101745[[#This Row],[Type]]&gt;0,VLOOKUP(_1_541284561214624104645789101745[[#This Row],[Type]],Main[[#All],[TYPE]:[UNIT]],'Unit Price'!C$1,FALSE),0)</f>
        <v>0</v>
      </c>
      <c r="H708" s="197">
        <f>IF(_1_541284561214624104645789101745[[#This Row],[Type]]&gt;0,VLOOKUP(_1_541284561214624104645789101745[[#This Row],[Type]],Main[[#All],[TYPE]:[UNIT]],'Unit Price'!D$1,FALSE),0)</f>
        <v>0</v>
      </c>
      <c r="I708" s="194">
        <f>IF(_1_541284561214624104645789101745[[#This Row],[Type]]&gt;0,VLOOKUP(_1_541284561214624104645789101745[[#This Row],[Type]],Main[[#All],[TYPE]:[UNIT]],'Unit Price'!G$1,FALSE),0)</f>
        <v>0</v>
      </c>
      <c r="J708" s="194">
        <f>IF(_1_541284561214624104645789101745[[#This Row],[Type]]&gt;0,VLOOKUP(_1_541284561214624104645789101745[[#This Row],[Type]],Main[[#All],[TYPE]:[UNIT]],'Unit Price'!H$1,FALSE),0)</f>
        <v>0</v>
      </c>
      <c r="K708" s="194">
        <f>IF(_1_541284561214624104645789101745[[#This Row],[Discount selection]]&gt;0,VLOOKUP(_1_541284561214624104645789101745[[#This Row],[Discount selection]],'Discount Structure'!$A$2:$B$30,2,"false"),0)</f>
        <v>1</v>
      </c>
      <c r="L708" s="194">
        <f>_1_541284561214624104645789101745[[#This Row],[LIST $]]*_1_541284561214624104645789101745[[#This Row],[DISCOUNT]]*_1_541284561214624104645789101745[[#This Row],[DISCOUNT 2]]</f>
        <v>0</v>
      </c>
      <c r="M708" s="194">
        <f>IF(OR(_1_541284561214624104645789101745[[#This Row],[UNIT]]&gt;0,_1_541284561214624104645789101745[[#This Row],[UNIT]]&lt;0),_1_541284561214624104645789101745[[#This Row],[UNIT]]*_1_541284561214624104645789101745[[#This Row],[COST]],0)</f>
        <v>0</v>
      </c>
      <c r="N708" s="194">
        <f t="shared" si="10"/>
        <v>1.5</v>
      </c>
      <c r="O708" s="198">
        <f>_1_541284561214624104645789101745[[#This Row],[TOTAL]]*_1_541284561214624104645789101745[[#This Row],[MARGIN]]</f>
        <v>0</v>
      </c>
      <c r="R708" s="41"/>
    </row>
    <row r="709" spans="4:18">
      <c r="D709" s="188"/>
      <c r="F709" s="168" t="s">
        <v>6202</v>
      </c>
      <c r="G709" s="193">
        <f>IF(_1_541284561214624104645789101745[[#This Row],[Type]]&gt;0,VLOOKUP(_1_541284561214624104645789101745[[#This Row],[Type]],Main[[#All],[TYPE]:[UNIT]],'Unit Price'!C$1,FALSE),0)</f>
        <v>0</v>
      </c>
      <c r="H709" s="197">
        <f>IF(_1_541284561214624104645789101745[[#This Row],[Type]]&gt;0,VLOOKUP(_1_541284561214624104645789101745[[#This Row],[Type]],Main[[#All],[TYPE]:[UNIT]],'Unit Price'!D$1,FALSE),0)</f>
        <v>0</v>
      </c>
      <c r="I709" s="194">
        <f>IF(_1_541284561214624104645789101745[[#This Row],[Type]]&gt;0,VLOOKUP(_1_541284561214624104645789101745[[#This Row],[Type]],Main[[#All],[TYPE]:[UNIT]],'Unit Price'!G$1,FALSE),0)</f>
        <v>0</v>
      </c>
      <c r="J709" s="194">
        <f>IF(_1_541284561214624104645789101745[[#This Row],[Type]]&gt;0,VLOOKUP(_1_541284561214624104645789101745[[#This Row],[Type]],Main[[#All],[TYPE]:[UNIT]],'Unit Price'!H$1,FALSE),0)</f>
        <v>0</v>
      </c>
      <c r="K709" s="194">
        <f>IF(_1_541284561214624104645789101745[[#This Row],[Discount selection]]&gt;0,VLOOKUP(_1_541284561214624104645789101745[[#This Row],[Discount selection]],'Discount Structure'!$A$2:$B$30,2,"false"),0)</f>
        <v>1</v>
      </c>
      <c r="L709" s="194">
        <f>_1_541284561214624104645789101745[[#This Row],[LIST $]]*_1_541284561214624104645789101745[[#This Row],[DISCOUNT]]*_1_541284561214624104645789101745[[#This Row],[DISCOUNT 2]]</f>
        <v>0</v>
      </c>
      <c r="M709" s="194">
        <f>IF(OR(_1_541284561214624104645789101745[[#This Row],[UNIT]]&gt;0,_1_541284561214624104645789101745[[#This Row],[UNIT]]&lt;0),_1_541284561214624104645789101745[[#This Row],[UNIT]]*_1_541284561214624104645789101745[[#This Row],[COST]],0)</f>
        <v>0</v>
      </c>
      <c r="N709" s="194">
        <f t="shared" si="10"/>
        <v>1.5</v>
      </c>
      <c r="O709" s="198">
        <f>_1_541284561214624104645789101745[[#This Row],[TOTAL]]*_1_541284561214624104645789101745[[#This Row],[MARGIN]]</f>
        <v>0</v>
      </c>
      <c r="R709" s="41"/>
    </row>
    <row r="710" spans="4:18">
      <c r="D710" s="188"/>
      <c r="F710" s="168" t="s">
        <v>6202</v>
      </c>
      <c r="G710" s="193">
        <f>IF(_1_541284561214624104645789101745[[#This Row],[Type]]&gt;0,VLOOKUP(_1_541284561214624104645789101745[[#This Row],[Type]],Main[[#All],[TYPE]:[UNIT]],'Unit Price'!C$1,FALSE),0)</f>
        <v>0</v>
      </c>
      <c r="H710" s="197">
        <f>IF(_1_541284561214624104645789101745[[#This Row],[Type]]&gt;0,VLOOKUP(_1_541284561214624104645789101745[[#This Row],[Type]],Main[[#All],[TYPE]:[UNIT]],'Unit Price'!D$1,FALSE),0)</f>
        <v>0</v>
      </c>
      <c r="I710" s="194">
        <f>IF(_1_541284561214624104645789101745[[#This Row],[Type]]&gt;0,VLOOKUP(_1_541284561214624104645789101745[[#This Row],[Type]],Main[[#All],[TYPE]:[UNIT]],'Unit Price'!G$1,FALSE),0)</f>
        <v>0</v>
      </c>
      <c r="J710" s="194">
        <f>IF(_1_541284561214624104645789101745[[#This Row],[Type]]&gt;0,VLOOKUP(_1_541284561214624104645789101745[[#This Row],[Type]],Main[[#All],[TYPE]:[UNIT]],'Unit Price'!H$1,FALSE),0)</f>
        <v>0</v>
      </c>
      <c r="K710" s="194">
        <f>IF(_1_541284561214624104645789101745[[#This Row],[Discount selection]]&gt;0,VLOOKUP(_1_541284561214624104645789101745[[#This Row],[Discount selection]],'Discount Structure'!$A$2:$B$30,2,"false"),0)</f>
        <v>1</v>
      </c>
      <c r="L710" s="194">
        <f>_1_541284561214624104645789101745[[#This Row],[LIST $]]*_1_541284561214624104645789101745[[#This Row],[DISCOUNT]]*_1_541284561214624104645789101745[[#This Row],[DISCOUNT 2]]</f>
        <v>0</v>
      </c>
      <c r="M710" s="194">
        <f>IF(OR(_1_541284561214624104645789101745[[#This Row],[UNIT]]&gt;0,_1_541284561214624104645789101745[[#This Row],[UNIT]]&lt;0),_1_541284561214624104645789101745[[#This Row],[UNIT]]*_1_541284561214624104645789101745[[#This Row],[COST]],0)</f>
        <v>0</v>
      </c>
      <c r="N710" s="194">
        <f t="shared" si="10"/>
        <v>1.5</v>
      </c>
      <c r="O710" s="198">
        <f>_1_541284561214624104645789101745[[#This Row],[TOTAL]]*_1_541284561214624104645789101745[[#This Row],[MARGIN]]</f>
        <v>0</v>
      </c>
      <c r="R710" s="41"/>
    </row>
    <row r="711" spans="4:18">
      <c r="D711" s="188"/>
      <c r="F711" s="168" t="s">
        <v>6202</v>
      </c>
      <c r="G711" s="193">
        <f>IF(_1_541284561214624104645789101745[[#This Row],[Type]]&gt;0,VLOOKUP(_1_541284561214624104645789101745[[#This Row],[Type]],Main[[#All],[TYPE]:[UNIT]],'Unit Price'!C$1,FALSE),0)</f>
        <v>0</v>
      </c>
      <c r="H711" s="197">
        <f>IF(_1_541284561214624104645789101745[[#This Row],[Type]]&gt;0,VLOOKUP(_1_541284561214624104645789101745[[#This Row],[Type]],Main[[#All],[TYPE]:[UNIT]],'Unit Price'!D$1,FALSE),0)</f>
        <v>0</v>
      </c>
      <c r="I711" s="194">
        <f>IF(_1_541284561214624104645789101745[[#This Row],[Type]]&gt;0,VLOOKUP(_1_541284561214624104645789101745[[#This Row],[Type]],Main[[#All],[TYPE]:[UNIT]],'Unit Price'!G$1,FALSE),0)</f>
        <v>0</v>
      </c>
      <c r="J711" s="194">
        <f>IF(_1_541284561214624104645789101745[[#This Row],[Type]]&gt;0,VLOOKUP(_1_541284561214624104645789101745[[#This Row],[Type]],Main[[#All],[TYPE]:[UNIT]],'Unit Price'!H$1,FALSE),0)</f>
        <v>0</v>
      </c>
      <c r="K711" s="194">
        <f>IF(_1_541284561214624104645789101745[[#This Row],[Discount selection]]&gt;0,VLOOKUP(_1_541284561214624104645789101745[[#This Row],[Discount selection]],'Discount Structure'!$A$2:$B$30,2,"false"),0)</f>
        <v>1</v>
      </c>
      <c r="L711" s="194">
        <f>_1_541284561214624104645789101745[[#This Row],[LIST $]]*_1_541284561214624104645789101745[[#This Row],[DISCOUNT]]*_1_541284561214624104645789101745[[#This Row],[DISCOUNT 2]]</f>
        <v>0</v>
      </c>
      <c r="M711" s="194">
        <f>IF(OR(_1_541284561214624104645789101745[[#This Row],[UNIT]]&gt;0,_1_541284561214624104645789101745[[#This Row],[UNIT]]&lt;0),_1_541284561214624104645789101745[[#This Row],[UNIT]]*_1_541284561214624104645789101745[[#This Row],[COST]],0)</f>
        <v>0</v>
      </c>
      <c r="N711" s="194">
        <f t="shared" si="10"/>
        <v>1.5</v>
      </c>
      <c r="O711" s="198">
        <f>_1_541284561214624104645789101745[[#This Row],[TOTAL]]*_1_541284561214624104645789101745[[#This Row],[MARGIN]]</f>
        <v>0</v>
      </c>
      <c r="R711" s="41"/>
    </row>
    <row r="712" spans="4:18">
      <c r="D712" s="188"/>
      <c r="F712" s="168" t="s">
        <v>6202</v>
      </c>
      <c r="G712" s="193">
        <f>IF(_1_541284561214624104645789101745[[#This Row],[Type]]&gt;0,VLOOKUP(_1_541284561214624104645789101745[[#This Row],[Type]],Main[[#All],[TYPE]:[UNIT]],'Unit Price'!C$1,FALSE),0)</f>
        <v>0</v>
      </c>
      <c r="H712" s="197">
        <f>IF(_1_541284561214624104645789101745[[#This Row],[Type]]&gt;0,VLOOKUP(_1_541284561214624104645789101745[[#This Row],[Type]],Main[[#All],[TYPE]:[UNIT]],'Unit Price'!D$1,FALSE),0)</f>
        <v>0</v>
      </c>
      <c r="I712" s="194">
        <f>IF(_1_541284561214624104645789101745[[#This Row],[Type]]&gt;0,VLOOKUP(_1_541284561214624104645789101745[[#This Row],[Type]],Main[[#All],[TYPE]:[UNIT]],'Unit Price'!G$1,FALSE),0)</f>
        <v>0</v>
      </c>
      <c r="J712" s="194">
        <f>IF(_1_541284561214624104645789101745[[#This Row],[Type]]&gt;0,VLOOKUP(_1_541284561214624104645789101745[[#This Row],[Type]],Main[[#All],[TYPE]:[UNIT]],'Unit Price'!H$1,FALSE),0)</f>
        <v>0</v>
      </c>
      <c r="K712" s="194">
        <f>IF(_1_541284561214624104645789101745[[#This Row],[Discount selection]]&gt;0,VLOOKUP(_1_541284561214624104645789101745[[#This Row],[Discount selection]],'Discount Structure'!$A$2:$B$30,2,"false"),0)</f>
        <v>1</v>
      </c>
      <c r="L712" s="194">
        <f>_1_541284561214624104645789101745[[#This Row],[LIST $]]*_1_541284561214624104645789101745[[#This Row],[DISCOUNT]]*_1_541284561214624104645789101745[[#This Row],[DISCOUNT 2]]</f>
        <v>0</v>
      </c>
      <c r="M712" s="194">
        <f>IF(OR(_1_541284561214624104645789101745[[#This Row],[UNIT]]&gt;0,_1_541284561214624104645789101745[[#This Row],[UNIT]]&lt;0),_1_541284561214624104645789101745[[#This Row],[UNIT]]*_1_541284561214624104645789101745[[#This Row],[COST]],0)</f>
        <v>0</v>
      </c>
      <c r="N712" s="194">
        <f t="shared" si="10"/>
        <v>1.5</v>
      </c>
      <c r="O712" s="198">
        <f>_1_541284561214624104645789101745[[#This Row],[TOTAL]]*_1_541284561214624104645789101745[[#This Row],[MARGIN]]</f>
        <v>0</v>
      </c>
      <c r="R712" s="41"/>
    </row>
    <row r="713" spans="4:18">
      <c r="D713" s="188"/>
      <c r="F713" s="168" t="s">
        <v>6202</v>
      </c>
      <c r="G713" s="193">
        <f>IF(_1_541284561214624104645789101745[[#This Row],[Type]]&gt;0,VLOOKUP(_1_541284561214624104645789101745[[#This Row],[Type]],Main[[#All],[TYPE]:[UNIT]],'Unit Price'!C$1,FALSE),0)</f>
        <v>0</v>
      </c>
      <c r="H713" s="197">
        <f>IF(_1_541284561214624104645789101745[[#This Row],[Type]]&gt;0,VLOOKUP(_1_541284561214624104645789101745[[#This Row],[Type]],Main[[#All],[TYPE]:[UNIT]],'Unit Price'!D$1,FALSE),0)</f>
        <v>0</v>
      </c>
      <c r="I713" s="194">
        <f>IF(_1_541284561214624104645789101745[[#This Row],[Type]]&gt;0,VLOOKUP(_1_541284561214624104645789101745[[#This Row],[Type]],Main[[#All],[TYPE]:[UNIT]],'Unit Price'!G$1,FALSE),0)</f>
        <v>0</v>
      </c>
      <c r="J713" s="194">
        <f>IF(_1_541284561214624104645789101745[[#This Row],[Type]]&gt;0,VLOOKUP(_1_541284561214624104645789101745[[#This Row],[Type]],Main[[#All],[TYPE]:[UNIT]],'Unit Price'!H$1,FALSE),0)</f>
        <v>0</v>
      </c>
      <c r="K713" s="194">
        <f>IF(_1_541284561214624104645789101745[[#This Row],[Discount selection]]&gt;0,VLOOKUP(_1_541284561214624104645789101745[[#This Row],[Discount selection]],'Discount Structure'!$A$2:$B$30,2,"false"),0)</f>
        <v>1</v>
      </c>
      <c r="L713" s="194">
        <f>_1_541284561214624104645789101745[[#This Row],[LIST $]]*_1_541284561214624104645789101745[[#This Row],[DISCOUNT]]*_1_541284561214624104645789101745[[#This Row],[DISCOUNT 2]]</f>
        <v>0</v>
      </c>
      <c r="M713" s="194">
        <f>IF(OR(_1_541284561214624104645789101745[[#This Row],[UNIT]]&gt;0,_1_541284561214624104645789101745[[#This Row],[UNIT]]&lt;0),_1_541284561214624104645789101745[[#This Row],[UNIT]]*_1_541284561214624104645789101745[[#This Row],[COST]],0)</f>
        <v>0</v>
      </c>
      <c r="N713" s="194">
        <f t="shared" si="10"/>
        <v>1.5</v>
      </c>
      <c r="O713" s="198">
        <f>_1_541284561214624104645789101745[[#This Row],[TOTAL]]*_1_541284561214624104645789101745[[#This Row],[MARGIN]]</f>
        <v>0</v>
      </c>
      <c r="R713" s="41"/>
    </row>
    <row r="714" spans="4:18">
      <c r="D714" s="188"/>
      <c r="F714" s="168" t="s">
        <v>6202</v>
      </c>
      <c r="G714" s="193">
        <f>IF(_1_541284561214624104645789101745[[#This Row],[Type]]&gt;0,VLOOKUP(_1_541284561214624104645789101745[[#This Row],[Type]],Main[[#All],[TYPE]:[UNIT]],'Unit Price'!C$1,FALSE),0)</f>
        <v>0</v>
      </c>
      <c r="H714" s="197">
        <f>IF(_1_541284561214624104645789101745[[#This Row],[Type]]&gt;0,VLOOKUP(_1_541284561214624104645789101745[[#This Row],[Type]],Main[[#All],[TYPE]:[UNIT]],'Unit Price'!D$1,FALSE),0)</f>
        <v>0</v>
      </c>
      <c r="I714" s="194">
        <f>IF(_1_541284561214624104645789101745[[#This Row],[Type]]&gt;0,VLOOKUP(_1_541284561214624104645789101745[[#This Row],[Type]],Main[[#All],[TYPE]:[UNIT]],'Unit Price'!G$1,FALSE),0)</f>
        <v>0</v>
      </c>
      <c r="J714" s="194">
        <f>IF(_1_541284561214624104645789101745[[#This Row],[Type]]&gt;0,VLOOKUP(_1_541284561214624104645789101745[[#This Row],[Type]],Main[[#All],[TYPE]:[UNIT]],'Unit Price'!H$1,FALSE),0)</f>
        <v>0</v>
      </c>
      <c r="K714" s="194">
        <f>IF(_1_541284561214624104645789101745[[#This Row],[Discount selection]]&gt;0,VLOOKUP(_1_541284561214624104645789101745[[#This Row],[Discount selection]],'Discount Structure'!$A$2:$B$30,2,"false"),0)</f>
        <v>1</v>
      </c>
      <c r="L714" s="194">
        <f>_1_541284561214624104645789101745[[#This Row],[LIST $]]*_1_541284561214624104645789101745[[#This Row],[DISCOUNT]]*_1_541284561214624104645789101745[[#This Row],[DISCOUNT 2]]</f>
        <v>0</v>
      </c>
      <c r="M714" s="194">
        <f>IF(OR(_1_541284561214624104645789101745[[#This Row],[UNIT]]&gt;0,_1_541284561214624104645789101745[[#This Row],[UNIT]]&lt;0),_1_541284561214624104645789101745[[#This Row],[UNIT]]*_1_541284561214624104645789101745[[#This Row],[COST]],0)</f>
        <v>0</v>
      </c>
      <c r="N714" s="194">
        <f t="shared" ref="N714:N777" si="11">$N$7</f>
        <v>1.5</v>
      </c>
      <c r="O714" s="198">
        <f>_1_541284561214624104645789101745[[#This Row],[TOTAL]]*_1_541284561214624104645789101745[[#This Row],[MARGIN]]</f>
        <v>0</v>
      </c>
      <c r="R714" s="41"/>
    </row>
    <row r="715" spans="4:18">
      <c r="D715" s="188"/>
      <c r="F715" s="168" t="s">
        <v>6202</v>
      </c>
      <c r="G715" s="193">
        <f>IF(_1_541284561214624104645789101745[[#This Row],[Type]]&gt;0,VLOOKUP(_1_541284561214624104645789101745[[#This Row],[Type]],Main[[#All],[TYPE]:[UNIT]],'Unit Price'!C$1,FALSE),0)</f>
        <v>0</v>
      </c>
      <c r="H715" s="197">
        <f>IF(_1_541284561214624104645789101745[[#This Row],[Type]]&gt;0,VLOOKUP(_1_541284561214624104645789101745[[#This Row],[Type]],Main[[#All],[TYPE]:[UNIT]],'Unit Price'!D$1,FALSE),0)</f>
        <v>0</v>
      </c>
      <c r="I715" s="194">
        <f>IF(_1_541284561214624104645789101745[[#This Row],[Type]]&gt;0,VLOOKUP(_1_541284561214624104645789101745[[#This Row],[Type]],Main[[#All],[TYPE]:[UNIT]],'Unit Price'!G$1,FALSE),0)</f>
        <v>0</v>
      </c>
      <c r="J715" s="194">
        <f>IF(_1_541284561214624104645789101745[[#This Row],[Type]]&gt;0,VLOOKUP(_1_541284561214624104645789101745[[#This Row],[Type]],Main[[#All],[TYPE]:[UNIT]],'Unit Price'!H$1,FALSE),0)</f>
        <v>0</v>
      </c>
      <c r="K715" s="194">
        <f>IF(_1_541284561214624104645789101745[[#This Row],[Discount selection]]&gt;0,VLOOKUP(_1_541284561214624104645789101745[[#This Row],[Discount selection]],'Discount Structure'!$A$2:$B$30,2,"false"),0)</f>
        <v>1</v>
      </c>
      <c r="L715" s="194">
        <f>_1_541284561214624104645789101745[[#This Row],[LIST $]]*_1_541284561214624104645789101745[[#This Row],[DISCOUNT]]*_1_541284561214624104645789101745[[#This Row],[DISCOUNT 2]]</f>
        <v>0</v>
      </c>
      <c r="M715" s="194">
        <f>IF(OR(_1_541284561214624104645789101745[[#This Row],[UNIT]]&gt;0,_1_541284561214624104645789101745[[#This Row],[UNIT]]&lt;0),_1_541284561214624104645789101745[[#This Row],[UNIT]]*_1_541284561214624104645789101745[[#This Row],[COST]],0)</f>
        <v>0</v>
      </c>
      <c r="N715" s="194">
        <f t="shared" si="11"/>
        <v>1.5</v>
      </c>
      <c r="O715" s="198">
        <f>_1_541284561214624104645789101745[[#This Row],[TOTAL]]*_1_541284561214624104645789101745[[#This Row],[MARGIN]]</f>
        <v>0</v>
      </c>
      <c r="R715" s="41"/>
    </row>
    <row r="716" spans="4:18">
      <c r="D716" s="188"/>
      <c r="F716" s="168" t="s">
        <v>6202</v>
      </c>
      <c r="G716" s="193">
        <f>IF(_1_541284561214624104645789101745[[#This Row],[Type]]&gt;0,VLOOKUP(_1_541284561214624104645789101745[[#This Row],[Type]],Main[[#All],[TYPE]:[UNIT]],'Unit Price'!C$1,FALSE),0)</f>
        <v>0</v>
      </c>
      <c r="H716" s="197">
        <f>IF(_1_541284561214624104645789101745[[#This Row],[Type]]&gt;0,VLOOKUP(_1_541284561214624104645789101745[[#This Row],[Type]],Main[[#All],[TYPE]:[UNIT]],'Unit Price'!D$1,FALSE),0)</f>
        <v>0</v>
      </c>
      <c r="I716" s="194">
        <f>IF(_1_541284561214624104645789101745[[#This Row],[Type]]&gt;0,VLOOKUP(_1_541284561214624104645789101745[[#This Row],[Type]],Main[[#All],[TYPE]:[UNIT]],'Unit Price'!G$1,FALSE),0)</f>
        <v>0</v>
      </c>
      <c r="J716" s="194">
        <f>IF(_1_541284561214624104645789101745[[#This Row],[Type]]&gt;0,VLOOKUP(_1_541284561214624104645789101745[[#This Row],[Type]],Main[[#All],[TYPE]:[UNIT]],'Unit Price'!H$1,FALSE),0)</f>
        <v>0</v>
      </c>
      <c r="K716" s="194">
        <f>IF(_1_541284561214624104645789101745[[#This Row],[Discount selection]]&gt;0,VLOOKUP(_1_541284561214624104645789101745[[#This Row],[Discount selection]],'Discount Structure'!$A$2:$B$30,2,"false"),0)</f>
        <v>1</v>
      </c>
      <c r="L716" s="194">
        <f>_1_541284561214624104645789101745[[#This Row],[LIST $]]*_1_541284561214624104645789101745[[#This Row],[DISCOUNT]]*_1_541284561214624104645789101745[[#This Row],[DISCOUNT 2]]</f>
        <v>0</v>
      </c>
      <c r="M716" s="194">
        <f>IF(OR(_1_541284561214624104645789101745[[#This Row],[UNIT]]&gt;0,_1_541284561214624104645789101745[[#This Row],[UNIT]]&lt;0),_1_541284561214624104645789101745[[#This Row],[UNIT]]*_1_541284561214624104645789101745[[#This Row],[COST]],0)</f>
        <v>0</v>
      </c>
      <c r="N716" s="194">
        <f t="shared" si="11"/>
        <v>1.5</v>
      </c>
      <c r="O716" s="198">
        <f>_1_541284561214624104645789101745[[#This Row],[TOTAL]]*_1_541284561214624104645789101745[[#This Row],[MARGIN]]</f>
        <v>0</v>
      </c>
      <c r="R716" s="41"/>
    </row>
    <row r="717" spans="4:18">
      <c r="D717" s="188"/>
      <c r="F717" s="168" t="s">
        <v>6202</v>
      </c>
      <c r="G717" s="193">
        <f>IF(_1_541284561214624104645789101745[[#This Row],[Type]]&gt;0,VLOOKUP(_1_541284561214624104645789101745[[#This Row],[Type]],Main[[#All],[TYPE]:[UNIT]],'Unit Price'!C$1,FALSE),0)</f>
        <v>0</v>
      </c>
      <c r="H717" s="197">
        <f>IF(_1_541284561214624104645789101745[[#This Row],[Type]]&gt;0,VLOOKUP(_1_541284561214624104645789101745[[#This Row],[Type]],Main[[#All],[TYPE]:[UNIT]],'Unit Price'!D$1,FALSE),0)</f>
        <v>0</v>
      </c>
      <c r="I717" s="194">
        <f>IF(_1_541284561214624104645789101745[[#This Row],[Type]]&gt;0,VLOOKUP(_1_541284561214624104645789101745[[#This Row],[Type]],Main[[#All],[TYPE]:[UNIT]],'Unit Price'!G$1,FALSE),0)</f>
        <v>0</v>
      </c>
      <c r="J717" s="194">
        <f>IF(_1_541284561214624104645789101745[[#This Row],[Type]]&gt;0,VLOOKUP(_1_541284561214624104645789101745[[#This Row],[Type]],Main[[#All],[TYPE]:[UNIT]],'Unit Price'!H$1,FALSE),0)</f>
        <v>0</v>
      </c>
      <c r="K717" s="194">
        <f>IF(_1_541284561214624104645789101745[[#This Row],[Discount selection]]&gt;0,VLOOKUP(_1_541284561214624104645789101745[[#This Row],[Discount selection]],'Discount Structure'!$A$2:$B$30,2,"false"),0)</f>
        <v>1</v>
      </c>
      <c r="L717" s="194">
        <f>_1_541284561214624104645789101745[[#This Row],[LIST $]]*_1_541284561214624104645789101745[[#This Row],[DISCOUNT]]*_1_541284561214624104645789101745[[#This Row],[DISCOUNT 2]]</f>
        <v>0</v>
      </c>
      <c r="M717" s="194">
        <f>IF(OR(_1_541284561214624104645789101745[[#This Row],[UNIT]]&gt;0,_1_541284561214624104645789101745[[#This Row],[UNIT]]&lt;0),_1_541284561214624104645789101745[[#This Row],[UNIT]]*_1_541284561214624104645789101745[[#This Row],[COST]],0)</f>
        <v>0</v>
      </c>
      <c r="N717" s="194">
        <f t="shared" si="11"/>
        <v>1.5</v>
      </c>
      <c r="O717" s="198">
        <f>_1_541284561214624104645789101745[[#This Row],[TOTAL]]*_1_541284561214624104645789101745[[#This Row],[MARGIN]]</f>
        <v>0</v>
      </c>
      <c r="R717" s="41"/>
    </row>
    <row r="718" spans="4:18">
      <c r="D718" s="188"/>
      <c r="F718" s="168" t="s">
        <v>6202</v>
      </c>
      <c r="G718" s="193">
        <f>IF(_1_541284561214624104645789101745[[#This Row],[Type]]&gt;0,VLOOKUP(_1_541284561214624104645789101745[[#This Row],[Type]],Main[[#All],[TYPE]:[UNIT]],'Unit Price'!C$1,FALSE),0)</f>
        <v>0</v>
      </c>
      <c r="H718" s="197">
        <f>IF(_1_541284561214624104645789101745[[#This Row],[Type]]&gt;0,VLOOKUP(_1_541284561214624104645789101745[[#This Row],[Type]],Main[[#All],[TYPE]:[UNIT]],'Unit Price'!D$1,FALSE),0)</f>
        <v>0</v>
      </c>
      <c r="I718" s="194">
        <f>IF(_1_541284561214624104645789101745[[#This Row],[Type]]&gt;0,VLOOKUP(_1_541284561214624104645789101745[[#This Row],[Type]],Main[[#All],[TYPE]:[UNIT]],'Unit Price'!G$1,FALSE),0)</f>
        <v>0</v>
      </c>
      <c r="J718" s="194">
        <f>IF(_1_541284561214624104645789101745[[#This Row],[Type]]&gt;0,VLOOKUP(_1_541284561214624104645789101745[[#This Row],[Type]],Main[[#All],[TYPE]:[UNIT]],'Unit Price'!H$1,FALSE),0)</f>
        <v>0</v>
      </c>
      <c r="K718" s="194">
        <f>IF(_1_541284561214624104645789101745[[#This Row],[Discount selection]]&gt;0,VLOOKUP(_1_541284561214624104645789101745[[#This Row],[Discount selection]],'Discount Structure'!$A$2:$B$30,2,"false"),0)</f>
        <v>1</v>
      </c>
      <c r="L718" s="194">
        <f>_1_541284561214624104645789101745[[#This Row],[LIST $]]*_1_541284561214624104645789101745[[#This Row],[DISCOUNT]]*_1_541284561214624104645789101745[[#This Row],[DISCOUNT 2]]</f>
        <v>0</v>
      </c>
      <c r="M718" s="194">
        <f>IF(OR(_1_541284561214624104645789101745[[#This Row],[UNIT]]&gt;0,_1_541284561214624104645789101745[[#This Row],[UNIT]]&lt;0),_1_541284561214624104645789101745[[#This Row],[UNIT]]*_1_541284561214624104645789101745[[#This Row],[COST]],0)</f>
        <v>0</v>
      </c>
      <c r="N718" s="194">
        <f t="shared" si="11"/>
        <v>1.5</v>
      </c>
      <c r="O718" s="198">
        <f>_1_541284561214624104645789101745[[#This Row],[TOTAL]]*_1_541284561214624104645789101745[[#This Row],[MARGIN]]</f>
        <v>0</v>
      </c>
      <c r="R718" s="41"/>
    </row>
    <row r="719" spans="4:18">
      <c r="D719" s="188"/>
      <c r="F719" s="168" t="s">
        <v>6202</v>
      </c>
      <c r="G719" s="193">
        <f>IF(_1_541284561214624104645789101745[[#This Row],[Type]]&gt;0,VLOOKUP(_1_541284561214624104645789101745[[#This Row],[Type]],Main[[#All],[TYPE]:[UNIT]],'Unit Price'!C$1,FALSE),0)</f>
        <v>0</v>
      </c>
      <c r="H719" s="197">
        <f>IF(_1_541284561214624104645789101745[[#This Row],[Type]]&gt;0,VLOOKUP(_1_541284561214624104645789101745[[#This Row],[Type]],Main[[#All],[TYPE]:[UNIT]],'Unit Price'!D$1,FALSE),0)</f>
        <v>0</v>
      </c>
      <c r="I719" s="194">
        <f>IF(_1_541284561214624104645789101745[[#This Row],[Type]]&gt;0,VLOOKUP(_1_541284561214624104645789101745[[#This Row],[Type]],Main[[#All],[TYPE]:[UNIT]],'Unit Price'!G$1,FALSE),0)</f>
        <v>0</v>
      </c>
      <c r="J719" s="194">
        <f>IF(_1_541284561214624104645789101745[[#This Row],[Type]]&gt;0,VLOOKUP(_1_541284561214624104645789101745[[#This Row],[Type]],Main[[#All],[TYPE]:[UNIT]],'Unit Price'!H$1,FALSE),0)</f>
        <v>0</v>
      </c>
      <c r="K719" s="194">
        <f>IF(_1_541284561214624104645789101745[[#This Row],[Discount selection]]&gt;0,VLOOKUP(_1_541284561214624104645789101745[[#This Row],[Discount selection]],'Discount Structure'!$A$2:$B$30,2,"false"),0)</f>
        <v>1</v>
      </c>
      <c r="L719" s="194">
        <f>_1_541284561214624104645789101745[[#This Row],[LIST $]]*_1_541284561214624104645789101745[[#This Row],[DISCOUNT]]*_1_541284561214624104645789101745[[#This Row],[DISCOUNT 2]]</f>
        <v>0</v>
      </c>
      <c r="M719" s="194">
        <f>IF(OR(_1_541284561214624104645789101745[[#This Row],[UNIT]]&gt;0,_1_541284561214624104645789101745[[#This Row],[UNIT]]&lt;0),_1_541284561214624104645789101745[[#This Row],[UNIT]]*_1_541284561214624104645789101745[[#This Row],[COST]],0)</f>
        <v>0</v>
      </c>
      <c r="N719" s="194">
        <f t="shared" si="11"/>
        <v>1.5</v>
      </c>
      <c r="O719" s="198">
        <f>_1_541284561214624104645789101745[[#This Row],[TOTAL]]*_1_541284561214624104645789101745[[#This Row],[MARGIN]]</f>
        <v>0</v>
      </c>
      <c r="R719" s="41"/>
    </row>
    <row r="720" spans="4:18">
      <c r="D720" s="188"/>
      <c r="F720" s="168" t="s">
        <v>6202</v>
      </c>
      <c r="G720" s="193">
        <f>IF(_1_541284561214624104645789101745[[#This Row],[Type]]&gt;0,VLOOKUP(_1_541284561214624104645789101745[[#This Row],[Type]],Main[[#All],[TYPE]:[UNIT]],'Unit Price'!C$1,FALSE),0)</f>
        <v>0</v>
      </c>
      <c r="H720" s="197">
        <f>IF(_1_541284561214624104645789101745[[#This Row],[Type]]&gt;0,VLOOKUP(_1_541284561214624104645789101745[[#This Row],[Type]],Main[[#All],[TYPE]:[UNIT]],'Unit Price'!D$1,FALSE),0)</f>
        <v>0</v>
      </c>
      <c r="I720" s="194">
        <f>IF(_1_541284561214624104645789101745[[#This Row],[Type]]&gt;0,VLOOKUP(_1_541284561214624104645789101745[[#This Row],[Type]],Main[[#All],[TYPE]:[UNIT]],'Unit Price'!G$1,FALSE),0)</f>
        <v>0</v>
      </c>
      <c r="J720" s="194">
        <f>IF(_1_541284561214624104645789101745[[#This Row],[Type]]&gt;0,VLOOKUP(_1_541284561214624104645789101745[[#This Row],[Type]],Main[[#All],[TYPE]:[UNIT]],'Unit Price'!H$1,FALSE),0)</f>
        <v>0</v>
      </c>
      <c r="K720" s="194">
        <f>IF(_1_541284561214624104645789101745[[#This Row],[Discount selection]]&gt;0,VLOOKUP(_1_541284561214624104645789101745[[#This Row],[Discount selection]],'Discount Structure'!$A$2:$B$30,2,"false"),0)</f>
        <v>1</v>
      </c>
      <c r="L720" s="194">
        <f>_1_541284561214624104645789101745[[#This Row],[LIST $]]*_1_541284561214624104645789101745[[#This Row],[DISCOUNT]]*_1_541284561214624104645789101745[[#This Row],[DISCOUNT 2]]</f>
        <v>0</v>
      </c>
      <c r="M720" s="194">
        <f>IF(OR(_1_541284561214624104645789101745[[#This Row],[UNIT]]&gt;0,_1_541284561214624104645789101745[[#This Row],[UNIT]]&lt;0),_1_541284561214624104645789101745[[#This Row],[UNIT]]*_1_541284561214624104645789101745[[#This Row],[COST]],0)</f>
        <v>0</v>
      </c>
      <c r="N720" s="194">
        <f t="shared" si="11"/>
        <v>1.5</v>
      </c>
      <c r="O720" s="198">
        <f>_1_541284561214624104645789101745[[#This Row],[TOTAL]]*_1_541284561214624104645789101745[[#This Row],[MARGIN]]</f>
        <v>0</v>
      </c>
      <c r="R720" s="41"/>
    </row>
    <row r="721" spans="4:18">
      <c r="D721" s="188"/>
      <c r="F721" s="168" t="s">
        <v>6202</v>
      </c>
      <c r="G721" s="193">
        <f>IF(_1_541284561214624104645789101745[[#This Row],[Type]]&gt;0,VLOOKUP(_1_541284561214624104645789101745[[#This Row],[Type]],Main[[#All],[TYPE]:[UNIT]],'Unit Price'!C$1,FALSE),0)</f>
        <v>0</v>
      </c>
      <c r="H721" s="197">
        <f>IF(_1_541284561214624104645789101745[[#This Row],[Type]]&gt;0,VLOOKUP(_1_541284561214624104645789101745[[#This Row],[Type]],Main[[#All],[TYPE]:[UNIT]],'Unit Price'!D$1,FALSE),0)</f>
        <v>0</v>
      </c>
      <c r="I721" s="194">
        <f>IF(_1_541284561214624104645789101745[[#This Row],[Type]]&gt;0,VLOOKUP(_1_541284561214624104645789101745[[#This Row],[Type]],Main[[#All],[TYPE]:[UNIT]],'Unit Price'!G$1,FALSE),0)</f>
        <v>0</v>
      </c>
      <c r="J721" s="194">
        <f>IF(_1_541284561214624104645789101745[[#This Row],[Type]]&gt;0,VLOOKUP(_1_541284561214624104645789101745[[#This Row],[Type]],Main[[#All],[TYPE]:[UNIT]],'Unit Price'!H$1,FALSE),0)</f>
        <v>0</v>
      </c>
      <c r="K721" s="194">
        <f>IF(_1_541284561214624104645789101745[[#This Row],[Discount selection]]&gt;0,VLOOKUP(_1_541284561214624104645789101745[[#This Row],[Discount selection]],'Discount Structure'!$A$2:$B$30,2,"false"),0)</f>
        <v>1</v>
      </c>
      <c r="L721" s="194">
        <f>_1_541284561214624104645789101745[[#This Row],[LIST $]]*_1_541284561214624104645789101745[[#This Row],[DISCOUNT]]*_1_541284561214624104645789101745[[#This Row],[DISCOUNT 2]]</f>
        <v>0</v>
      </c>
      <c r="M721" s="194">
        <f>IF(OR(_1_541284561214624104645789101745[[#This Row],[UNIT]]&gt;0,_1_541284561214624104645789101745[[#This Row],[UNIT]]&lt;0),_1_541284561214624104645789101745[[#This Row],[UNIT]]*_1_541284561214624104645789101745[[#This Row],[COST]],0)</f>
        <v>0</v>
      </c>
      <c r="N721" s="194">
        <f t="shared" si="11"/>
        <v>1.5</v>
      </c>
      <c r="O721" s="198">
        <f>_1_541284561214624104645789101745[[#This Row],[TOTAL]]*_1_541284561214624104645789101745[[#This Row],[MARGIN]]</f>
        <v>0</v>
      </c>
      <c r="R721" s="41"/>
    </row>
    <row r="722" spans="4:18">
      <c r="D722" s="188"/>
      <c r="F722" s="168" t="s">
        <v>6202</v>
      </c>
      <c r="G722" s="193">
        <f>IF(_1_541284561214624104645789101745[[#This Row],[Type]]&gt;0,VLOOKUP(_1_541284561214624104645789101745[[#This Row],[Type]],Main[[#All],[TYPE]:[UNIT]],'Unit Price'!C$1,FALSE),0)</f>
        <v>0</v>
      </c>
      <c r="H722" s="197">
        <f>IF(_1_541284561214624104645789101745[[#This Row],[Type]]&gt;0,VLOOKUP(_1_541284561214624104645789101745[[#This Row],[Type]],Main[[#All],[TYPE]:[UNIT]],'Unit Price'!D$1,FALSE),0)</f>
        <v>0</v>
      </c>
      <c r="I722" s="194">
        <f>IF(_1_541284561214624104645789101745[[#This Row],[Type]]&gt;0,VLOOKUP(_1_541284561214624104645789101745[[#This Row],[Type]],Main[[#All],[TYPE]:[UNIT]],'Unit Price'!G$1,FALSE),0)</f>
        <v>0</v>
      </c>
      <c r="J722" s="194">
        <f>IF(_1_541284561214624104645789101745[[#This Row],[Type]]&gt;0,VLOOKUP(_1_541284561214624104645789101745[[#This Row],[Type]],Main[[#All],[TYPE]:[UNIT]],'Unit Price'!H$1,FALSE),0)</f>
        <v>0</v>
      </c>
      <c r="K722" s="194">
        <f>IF(_1_541284561214624104645789101745[[#This Row],[Discount selection]]&gt;0,VLOOKUP(_1_541284561214624104645789101745[[#This Row],[Discount selection]],'Discount Structure'!$A$2:$B$30,2,"false"),0)</f>
        <v>1</v>
      </c>
      <c r="L722" s="194">
        <f>_1_541284561214624104645789101745[[#This Row],[LIST $]]*_1_541284561214624104645789101745[[#This Row],[DISCOUNT]]*_1_541284561214624104645789101745[[#This Row],[DISCOUNT 2]]</f>
        <v>0</v>
      </c>
      <c r="M722" s="194">
        <f>IF(OR(_1_541284561214624104645789101745[[#This Row],[UNIT]]&gt;0,_1_541284561214624104645789101745[[#This Row],[UNIT]]&lt;0),_1_541284561214624104645789101745[[#This Row],[UNIT]]*_1_541284561214624104645789101745[[#This Row],[COST]],0)</f>
        <v>0</v>
      </c>
      <c r="N722" s="194">
        <f t="shared" si="11"/>
        <v>1.5</v>
      </c>
      <c r="O722" s="198">
        <f>_1_541284561214624104645789101745[[#This Row],[TOTAL]]*_1_541284561214624104645789101745[[#This Row],[MARGIN]]</f>
        <v>0</v>
      </c>
      <c r="R722" s="41"/>
    </row>
    <row r="723" spans="4:18">
      <c r="D723" s="188"/>
      <c r="F723" s="168" t="s">
        <v>6202</v>
      </c>
      <c r="G723" s="193">
        <f>IF(_1_541284561214624104645789101745[[#This Row],[Type]]&gt;0,VLOOKUP(_1_541284561214624104645789101745[[#This Row],[Type]],Main[[#All],[TYPE]:[UNIT]],'Unit Price'!C$1,FALSE),0)</f>
        <v>0</v>
      </c>
      <c r="H723" s="197">
        <f>IF(_1_541284561214624104645789101745[[#This Row],[Type]]&gt;0,VLOOKUP(_1_541284561214624104645789101745[[#This Row],[Type]],Main[[#All],[TYPE]:[UNIT]],'Unit Price'!D$1,FALSE),0)</f>
        <v>0</v>
      </c>
      <c r="I723" s="194">
        <f>IF(_1_541284561214624104645789101745[[#This Row],[Type]]&gt;0,VLOOKUP(_1_541284561214624104645789101745[[#This Row],[Type]],Main[[#All],[TYPE]:[UNIT]],'Unit Price'!G$1,FALSE),0)</f>
        <v>0</v>
      </c>
      <c r="J723" s="194">
        <f>IF(_1_541284561214624104645789101745[[#This Row],[Type]]&gt;0,VLOOKUP(_1_541284561214624104645789101745[[#This Row],[Type]],Main[[#All],[TYPE]:[UNIT]],'Unit Price'!H$1,FALSE),0)</f>
        <v>0</v>
      </c>
      <c r="K723" s="194">
        <f>IF(_1_541284561214624104645789101745[[#This Row],[Discount selection]]&gt;0,VLOOKUP(_1_541284561214624104645789101745[[#This Row],[Discount selection]],'Discount Structure'!$A$2:$B$30,2,"false"),0)</f>
        <v>1</v>
      </c>
      <c r="L723" s="194">
        <f>_1_541284561214624104645789101745[[#This Row],[LIST $]]*_1_541284561214624104645789101745[[#This Row],[DISCOUNT]]*_1_541284561214624104645789101745[[#This Row],[DISCOUNT 2]]</f>
        <v>0</v>
      </c>
      <c r="M723" s="194">
        <f>IF(OR(_1_541284561214624104645789101745[[#This Row],[UNIT]]&gt;0,_1_541284561214624104645789101745[[#This Row],[UNIT]]&lt;0),_1_541284561214624104645789101745[[#This Row],[UNIT]]*_1_541284561214624104645789101745[[#This Row],[COST]],0)</f>
        <v>0</v>
      </c>
      <c r="N723" s="194">
        <f t="shared" si="11"/>
        <v>1.5</v>
      </c>
      <c r="O723" s="198">
        <f>_1_541284561214624104645789101745[[#This Row],[TOTAL]]*_1_541284561214624104645789101745[[#This Row],[MARGIN]]</f>
        <v>0</v>
      </c>
      <c r="R723" s="41"/>
    </row>
    <row r="724" spans="4:18">
      <c r="D724" s="188"/>
      <c r="F724" s="168" t="s">
        <v>6202</v>
      </c>
      <c r="G724" s="193">
        <f>IF(_1_541284561214624104645789101745[[#This Row],[Type]]&gt;0,VLOOKUP(_1_541284561214624104645789101745[[#This Row],[Type]],Main[[#All],[TYPE]:[UNIT]],'Unit Price'!C$1,FALSE),0)</f>
        <v>0</v>
      </c>
      <c r="H724" s="197">
        <f>IF(_1_541284561214624104645789101745[[#This Row],[Type]]&gt;0,VLOOKUP(_1_541284561214624104645789101745[[#This Row],[Type]],Main[[#All],[TYPE]:[UNIT]],'Unit Price'!D$1,FALSE),0)</f>
        <v>0</v>
      </c>
      <c r="I724" s="194">
        <f>IF(_1_541284561214624104645789101745[[#This Row],[Type]]&gt;0,VLOOKUP(_1_541284561214624104645789101745[[#This Row],[Type]],Main[[#All],[TYPE]:[UNIT]],'Unit Price'!G$1,FALSE),0)</f>
        <v>0</v>
      </c>
      <c r="J724" s="194">
        <f>IF(_1_541284561214624104645789101745[[#This Row],[Type]]&gt;0,VLOOKUP(_1_541284561214624104645789101745[[#This Row],[Type]],Main[[#All],[TYPE]:[UNIT]],'Unit Price'!H$1,FALSE),0)</f>
        <v>0</v>
      </c>
      <c r="K724" s="194">
        <f>IF(_1_541284561214624104645789101745[[#This Row],[Discount selection]]&gt;0,VLOOKUP(_1_541284561214624104645789101745[[#This Row],[Discount selection]],'Discount Structure'!$A$2:$B$30,2,"false"),0)</f>
        <v>1</v>
      </c>
      <c r="L724" s="194">
        <f>_1_541284561214624104645789101745[[#This Row],[LIST $]]*_1_541284561214624104645789101745[[#This Row],[DISCOUNT]]*_1_541284561214624104645789101745[[#This Row],[DISCOUNT 2]]</f>
        <v>0</v>
      </c>
      <c r="M724" s="194">
        <f>IF(OR(_1_541284561214624104645789101745[[#This Row],[UNIT]]&gt;0,_1_541284561214624104645789101745[[#This Row],[UNIT]]&lt;0),_1_541284561214624104645789101745[[#This Row],[UNIT]]*_1_541284561214624104645789101745[[#This Row],[COST]],0)</f>
        <v>0</v>
      </c>
      <c r="N724" s="194">
        <f t="shared" si="11"/>
        <v>1.5</v>
      </c>
      <c r="O724" s="198">
        <f>_1_541284561214624104645789101745[[#This Row],[TOTAL]]*_1_541284561214624104645789101745[[#This Row],[MARGIN]]</f>
        <v>0</v>
      </c>
      <c r="R724" s="41"/>
    </row>
    <row r="725" spans="4:18">
      <c r="D725" s="188"/>
      <c r="F725" s="168" t="s">
        <v>6202</v>
      </c>
      <c r="G725" s="193">
        <f>IF(_1_541284561214624104645789101745[[#This Row],[Type]]&gt;0,VLOOKUP(_1_541284561214624104645789101745[[#This Row],[Type]],Main[[#All],[TYPE]:[UNIT]],'Unit Price'!C$1,FALSE),0)</f>
        <v>0</v>
      </c>
      <c r="H725" s="197">
        <f>IF(_1_541284561214624104645789101745[[#This Row],[Type]]&gt;0,VLOOKUP(_1_541284561214624104645789101745[[#This Row],[Type]],Main[[#All],[TYPE]:[UNIT]],'Unit Price'!D$1,FALSE),0)</f>
        <v>0</v>
      </c>
      <c r="I725" s="194">
        <f>IF(_1_541284561214624104645789101745[[#This Row],[Type]]&gt;0,VLOOKUP(_1_541284561214624104645789101745[[#This Row],[Type]],Main[[#All],[TYPE]:[UNIT]],'Unit Price'!G$1,FALSE),0)</f>
        <v>0</v>
      </c>
      <c r="J725" s="194">
        <f>IF(_1_541284561214624104645789101745[[#This Row],[Type]]&gt;0,VLOOKUP(_1_541284561214624104645789101745[[#This Row],[Type]],Main[[#All],[TYPE]:[UNIT]],'Unit Price'!H$1,FALSE),0)</f>
        <v>0</v>
      </c>
      <c r="K725" s="194">
        <f>IF(_1_541284561214624104645789101745[[#This Row],[Discount selection]]&gt;0,VLOOKUP(_1_541284561214624104645789101745[[#This Row],[Discount selection]],'Discount Structure'!$A$2:$B$30,2,"false"),0)</f>
        <v>1</v>
      </c>
      <c r="L725" s="194">
        <f>_1_541284561214624104645789101745[[#This Row],[LIST $]]*_1_541284561214624104645789101745[[#This Row],[DISCOUNT]]*_1_541284561214624104645789101745[[#This Row],[DISCOUNT 2]]</f>
        <v>0</v>
      </c>
      <c r="M725" s="194">
        <f>IF(OR(_1_541284561214624104645789101745[[#This Row],[UNIT]]&gt;0,_1_541284561214624104645789101745[[#This Row],[UNIT]]&lt;0),_1_541284561214624104645789101745[[#This Row],[UNIT]]*_1_541284561214624104645789101745[[#This Row],[COST]],0)</f>
        <v>0</v>
      </c>
      <c r="N725" s="194">
        <f t="shared" si="11"/>
        <v>1.5</v>
      </c>
      <c r="O725" s="198">
        <f>_1_541284561214624104645789101745[[#This Row],[TOTAL]]*_1_541284561214624104645789101745[[#This Row],[MARGIN]]</f>
        <v>0</v>
      </c>
      <c r="R725" s="41"/>
    </row>
    <row r="726" spans="4:18">
      <c r="D726" s="188"/>
      <c r="F726" s="168" t="s">
        <v>6202</v>
      </c>
      <c r="G726" s="193">
        <f>IF(_1_541284561214624104645789101745[[#This Row],[Type]]&gt;0,VLOOKUP(_1_541284561214624104645789101745[[#This Row],[Type]],Main[[#All],[TYPE]:[UNIT]],'Unit Price'!C$1,FALSE),0)</f>
        <v>0</v>
      </c>
      <c r="H726" s="197">
        <f>IF(_1_541284561214624104645789101745[[#This Row],[Type]]&gt;0,VLOOKUP(_1_541284561214624104645789101745[[#This Row],[Type]],Main[[#All],[TYPE]:[UNIT]],'Unit Price'!D$1,FALSE),0)</f>
        <v>0</v>
      </c>
      <c r="I726" s="194">
        <f>IF(_1_541284561214624104645789101745[[#This Row],[Type]]&gt;0,VLOOKUP(_1_541284561214624104645789101745[[#This Row],[Type]],Main[[#All],[TYPE]:[UNIT]],'Unit Price'!G$1,FALSE),0)</f>
        <v>0</v>
      </c>
      <c r="J726" s="194">
        <f>IF(_1_541284561214624104645789101745[[#This Row],[Type]]&gt;0,VLOOKUP(_1_541284561214624104645789101745[[#This Row],[Type]],Main[[#All],[TYPE]:[UNIT]],'Unit Price'!H$1,FALSE),0)</f>
        <v>0</v>
      </c>
      <c r="K726" s="194">
        <f>IF(_1_541284561214624104645789101745[[#This Row],[Discount selection]]&gt;0,VLOOKUP(_1_541284561214624104645789101745[[#This Row],[Discount selection]],'Discount Structure'!$A$2:$B$30,2,"false"),0)</f>
        <v>1</v>
      </c>
      <c r="L726" s="194">
        <f>_1_541284561214624104645789101745[[#This Row],[LIST $]]*_1_541284561214624104645789101745[[#This Row],[DISCOUNT]]*_1_541284561214624104645789101745[[#This Row],[DISCOUNT 2]]</f>
        <v>0</v>
      </c>
      <c r="M726" s="194">
        <f>IF(OR(_1_541284561214624104645789101745[[#This Row],[UNIT]]&gt;0,_1_541284561214624104645789101745[[#This Row],[UNIT]]&lt;0),_1_541284561214624104645789101745[[#This Row],[UNIT]]*_1_541284561214624104645789101745[[#This Row],[COST]],0)</f>
        <v>0</v>
      </c>
      <c r="N726" s="194">
        <f t="shared" si="11"/>
        <v>1.5</v>
      </c>
      <c r="O726" s="198">
        <f>_1_541284561214624104645789101745[[#This Row],[TOTAL]]*_1_541284561214624104645789101745[[#This Row],[MARGIN]]</f>
        <v>0</v>
      </c>
      <c r="R726" s="41"/>
    </row>
    <row r="727" spans="4:18">
      <c r="D727" s="188"/>
      <c r="F727" s="168" t="s">
        <v>6202</v>
      </c>
      <c r="G727" s="193">
        <f>IF(_1_541284561214624104645789101745[[#This Row],[Type]]&gt;0,VLOOKUP(_1_541284561214624104645789101745[[#This Row],[Type]],Main[[#All],[TYPE]:[UNIT]],'Unit Price'!C$1,FALSE),0)</f>
        <v>0</v>
      </c>
      <c r="H727" s="197">
        <f>IF(_1_541284561214624104645789101745[[#This Row],[Type]]&gt;0,VLOOKUP(_1_541284561214624104645789101745[[#This Row],[Type]],Main[[#All],[TYPE]:[UNIT]],'Unit Price'!D$1,FALSE),0)</f>
        <v>0</v>
      </c>
      <c r="I727" s="194">
        <f>IF(_1_541284561214624104645789101745[[#This Row],[Type]]&gt;0,VLOOKUP(_1_541284561214624104645789101745[[#This Row],[Type]],Main[[#All],[TYPE]:[UNIT]],'Unit Price'!G$1,FALSE),0)</f>
        <v>0</v>
      </c>
      <c r="J727" s="194">
        <f>IF(_1_541284561214624104645789101745[[#This Row],[Type]]&gt;0,VLOOKUP(_1_541284561214624104645789101745[[#This Row],[Type]],Main[[#All],[TYPE]:[UNIT]],'Unit Price'!H$1,FALSE),0)</f>
        <v>0</v>
      </c>
      <c r="K727" s="194">
        <f>IF(_1_541284561214624104645789101745[[#This Row],[Discount selection]]&gt;0,VLOOKUP(_1_541284561214624104645789101745[[#This Row],[Discount selection]],'Discount Structure'!$A$2:$B$30,2,"false"),0)</f>
        <v>1</v>
      </c>
      <c r="L727" s="194">
        <f>_1_541284561214624104645789101745[[#This Row],[LIST $]]*_1_541284561214624104645789101745[[#This Row],[DISCOUNT]]*_1_541284561214624104645789101745[[#This Row],[DISCOUNT 2]]</f>
        <v>0</v>
      </c>
      <c r="M727" s="194">
        <f>IF(OR(_1_541284561214624104645789101745[[#This Row],[UNIT]]&gt;0,_1_541284561214624104645789101745[[#This Row],[UNIT]]&lt;0),_1_541284561214624104645789101745[[#This Row],[UNIT]]*_1_541284561214624104645789101745[[#This Row],[COST]],0)</f>
        <v>0</v>
      </c>
      <c r="N727" s="194">
        <f t="shared" si="11"/>
        <v>1.5</v>
      </c>
      <c r="O727" s="198">
        <f>_1_541284561214624104645789101745[[#This Row],[TOTAL]]*_1_541284561214624104645789101745[[#This Row],[MARGIN]]</f>
        <v>0</v>
      </c>
      <c r="R727" s="41"/>
    </row>
    <row r="728" spans="4:18">
      <c r="D728" s="188"/>
      <c r="F728" s="168" t="s">
        <v>6202</v>
      </c>
      <c r="G728" s="193">
        <f>IF(_1_541284561214624104645789101745[[#This Row],[Type]]&gt;0,VLOOKUP(_1_541284561214624104645789101745[[#This Row],[Type]],Main[[#All],[TYPE]:[UNIT]],'Unit Price'!C$1,FALSE),0)</f>
        <v>0</v>
      </c>
      <c r="H728" s="197">
        <f>IF(_1_541284561214624104645789101745[[#This Row],[Type]]&gt;0,VLOOKUP(_1_541284561214624104645789101745[[#This Row],[Type]],Main[[#All],[TYPE]:[UNIT]],'Unit Price'!D$1,FALSE),0)</f>
        <v>0</v>
      </c>
      <c r="I728" s="194">
        <f>IF(_1_541284561214624104645789101745[[#This Row],[Type]]&gt;0,VLOOKUP(_1_541284561214624104645789101745[[#This Row],[Type]],Main[[#All],[TYPE]:[UNIT]],'Unit Price'!G$1,FALSE),0)</f>
        <v>0</v>
      </c>
      <c r="J728" s="194">
        <f>IF(_1_541284561214624104645789101745[[#This Row],[Type]]&gt;0,VLOOKUP(_1_541284561214624104645789101745[[#This Row],[Type]],Main[[#All],[TYPE]:[UNIT]],'Unit Price'!H$1,FALSE),0)</f>
        <v>0</v>
      </c>
      <c r="K728" s="194">
        <f>IF(_1_541284561214624104645789101745[[#This Row],[Discount selection]]&gt;0,VLOOKUP(_1_541284561214624104645789101745[[#This Row],[Discount selection]],'Discount Structure'!$A$2:$B$30,2,"false"),0)</f>
        <v>1</v>
      </c>
      <c r="L728" s="194">
        <f>_1_541284561214624104645789101745[[#This Row],[LIST $]]*_1_541284561214624104645789101745[[#This Row],[DISCOUNT]]*_1_541284561214624104645789101745[[#This Row],[DISCOUNT 2]]</f>
        <v>0</v>
      </c>
      <c r="M728" s="194">
        <f>IF(OR(_1_541284561214624104645789101745[[#This Row],[UNIT]]&gt;0,_1_541284561214624104645789101745[[#This Row],[UNIT]]&lt;0),_1_541284561214624104645789101745[[#This Row],[UNIT]]*_1_541284561214624104645789101745[[#This Row],[COST]],0)</f>
        <v>0</v>
      </c>
      <c r="N728" s="194">
        <f t="shared" si="11"/>
        <v>1.5</v>
      </c>
      <c r="O728" s="198">
        <f>_1_541284561214624104645789101745[[#This Row],[TOTAL]]*_1_541284561214624104645789101745[[#This Row],[MARGIN]]</f>
        <v>0</v>
      </c>
      <c r="R728" s="41"/>
    </row>
    <row r="729" spans="4:18">
      <c r="D729" s="188"/>
      <c r="F729" s="168" t="s">
        <v>6202</v>
      </c>
      <c r="G729" s="193">
        <f>IF(_1_541284561214624104645789101745[[#This Row],[Type]]&gt;0,VLOOKUP(_1_541284561214624104645789101745[[#This Row],[Type]],Main[[#All],[TYPE]:[UNIT]],'Unit Price'!C$1,FALSE),0)</f>
        <v>0</v>
      </c>
      <c r="H729" s="197">
        <f>IF(_1_541284561214624104645789101745[[#This Row],[Type]]&gt;0,VLOOKUP(_1_541284561214624104645789101745[[#This Row],[Type]],Main[[#All],[TYPE]:[UNIT]],'Unit Price'!D$1,FALSE),0)</f>
        <v>0</v>
      </c>
      <c r="I729" s="194">
        <f>IF(_1_541284561214624104645789101745[[#This Row],[Type]]&gt;0,VLOOKUP(_1_541284561214624104645789101745[[#This Row],[Type]],Main[[#All],[TYPE]:[UNIT]],'Unit Price'!G$1,FALSE),0)</f>
        <v>0</v>
      </c>
      <c r="J729" s="194">
        <f>IF(_1_541284561214624104645789101745[[#This Row],[Type]]&gt;0,VLOOKUP(_1_541284561214624104645789101745[[#This Row],[Type]],Main[[#All],[TYPE]:[UNIT]],'Unit Price'!H$1,FALSE),0)</f>
        <v>0</v>
      </c>
      <c r="K729" s="194">
        <f>IF(_1_541284561214624104645789101745[[#This Row],[Discount selection]]&gt;0,VLOOKUP(_1_541284561214624104645789101745[[#This Row],[Discount selection]],'Discount Structure'!$A$2:$B$30,2,"false"),0)</f>
        <v>1</v>
      </c>
      <c r="L729" s="194">
        <f>_1_541284561214624104645789101745[[#This Row],[LIST $]]*_1_541284561214624104645789101745[[#This Row],[DISCOUNT]]*_1_541284561214624104645789101745[[#This Row],[DISCOUNT 2]]</f>
        <v>0</v>
      </c>
      <c r="M729" s="194">
        <f>IF(OR(_1_541284561214624104645789101745[[#This Row],[UNIT]]&gt;0,_1_541284561214624104645789101745[[#This Row],[UNIT]]&lt;0),_1_541284561214624104645789101745[[#This Row],[UNIT]]*_1_541284561214624104645789101745[[#This Row],[COST]],0)</f>
        <v>0</v>
      </c>
      <c r="N729" s="194">
        <f t="shared" si="11"/>
        <v>1.5</v>
      </c>
      <c r="O729" s="198">
        <f>_1_541284561214624104645789101745[[#This Row],[TOTAL]]*_1_541284561214624104645789101745[[#This Row],[MARGIN]]</f>
        <v>0</v>
      </c>
      <c r="R729" s="41"/>
    </row>
    <row r="730" spans="4:18">
      <c r="D730" s="188"/>
      <c r="F730" s="168" t="s">
        <v>6202</v>
      </c>
      <c r="G730" s="193">
        <f>IF(_1_541284561214624104645789101745[[#This Row],[Type]]&gt;0,VLOOKUP(_1_541284561214624104645789101745[[#This Row],[Type]],Main[[#All],[TYPE]:[UNIT]],'Unit Price'!C$1,FALSE),0)</f>
        <v>0</v>
      </c>
      <c r="H730" s="197">
        <f>IF(_1_541284561214624104645789101745[[#This Row],[Type]]&gt;0,VLOOKUP(_1_541284561214624104645789101745[[#This Row],[Type]],Main[[#All],[TYPE]:[UNIT]],'Unit Price'!D$1,FALSE),0)</f>
        <v>0</v>
      </c>
      <c r="I730" s="194">
        <f>IF(_1_541284561214624104645789101745[[#This Row],[Type]]&gt;0,VLOOKUP(_1_541284561214624104645789101745[[#This Row],[Type]],Main[[#All],[TYPE]:[UNIT]],'Unit Price'!G$1,FALSE),0)</f>
        <v>0</v>
      </c>
      <c r="J730" s="194">
        <f>IF(_1_541284561214624104645789101745[[#This Row],[Type]]&gt;0,VLOOKUP(_1_541284561214624104645789101745[[#This Row],[Type]],Main[[#All],[TYPE]:[UNIT]],'Unit Price'!H$1,FALSE),0)</f>
        <v>0</v>
      </c>
      <c r="K730" s="194">
        <f>IF(_1_541284561214624104645789101745[[#This Row],[Discount selection]]&gt;0,VLOOKUP(_1_541284561214624104645789101745[[#This Row],[Discount selection]],'Discount Structure'!$A$2:$B$30,2,"false"),0)</f>
        <v>1</v>
      </c>
      <c r="L730" s="194">
        <f>_1_541284561214624104645789101745[[#This Row],[LIST $]]*_1_541284561214624104645789101745[[#This Row],[DISCOUNT]]*_1_541284561214624104645789101745[[#This Row],[DISCOUNT 2]]</f>
        <v>0</v>
      </c>
      <c r="M730" s="194">
        <f>IF(OR(_1_541284561214624104645789101745[[#This Row],[UNIT]]&gt;0,_1_541284561214624104645789101745[[#This Row],[UNIT]]&lt;0),_1_541284561214624104645789101745[[#This Row],[UNIT]]*_1_541284561214624104645789101745[[#This Row],[COST]],0)</f>
        <v>0</v>
      </c>
      <c r="N730" s="194">
        <f t="shared" si="11"/>
        <v>1.5</v>
      </c>
      <c r="O730" s="198">
        <f>_1_541284561214624104645789101745[[#This Row],[TOTAL]]*_1_541284561214624104645789101745[[#This Row],[MARGIN]]</f>
        <v>0</v>
      </c>
      <c r="R730" s="41"/>
    </row>
    <row r="731" spans="4:18">
      <c r="D731" s="188"/>
      <c r="F731" s="168" t="s">
        <v>6202</v>
      </c>
      <c r="G731" s="193">
        <f>IF(_1_541284561214624104645789101745[[#This Row],[Type]]&gt;0,VLOOKUP(_1_541284561214624104645789101745[[#This Row],[Type]],Main[[#All],[TYPE]:[UNIT]],'Unit Price'!C$1,FALSE),0)</f>
        <v>0</v>
      </c>
      <c r="H731" s="197">
        <f>IF(_1_541284561214624104645789101745[[#This Row],[Type]]&gt;0,VLOOKUP(_1_541284561214624104645789101745[[#This Row],[Type]],Main[[#All],[TYPE]:[UNIT]],'Unit Price'!D$1,FALSE),0)</f>
        <v>0</v>
      </c>
      <c r="I731" s="194">
        <f>IF(_1_541284561214624104645789101745[[#This Row],[Type]]&gt;0,VLOOKUP(_1_541284561214624104645789101745[[#This Row],[Type]],Main[[#All],[TYPE]:[UNIT]],'Unit Price'!G$1,FALSE),0)</f>
        <v>0</v>
      </c>
      <c r="J731" s="194">
        <f>IF(_1_541284561214624104645789101745[[#This Row],[Type]]&gt;0,VLOOKUP(_1_541284561214624104645789101745[[#This Row],[Type]],Main[[#All],[TYPE]:[UNIT]],'Unit Price'!H$1,FALSE),0)</f>
        <v>0</v>
      </c>
      <c r="K731" s="194">
        <f>IF(_1_541284561214624104645789101745[[#This Row],[Discount selection]]&gt;0,VLOOKUP(_1_541284561214624104645789101745[[#This Row],[Discount selection]],'Discount Structure'!$A$2:$B$30,2,"false"),0)</f>
        <v>1</v>
      </c>
      <c r="L731" s="194">
        <f>_1_541284561214624104645789101745[[#This Row],[LIST $]]*_1_541284561214624104645789101745[[#This Row],[DISCOUNT]]*_1_541284561214624104645789101745[[#This Row],[DISCOUNT 2]]</f>
        <v>0</v>
      </c>
      <c r="M731" s="194">
        <f>IF(OR(_1_541284561214624104645789101745[[#This Row],[UNIT]]&gt;0,_1_541284561214624104645789101745[[#This Row],[UNIT]]&lt;0),_1_541284561214624104645789101745[[#This Row],[UNIT]]*_1_541284561214624104645789101745[[#This Row],[COST]],0)</f>
        <v>0</v>
      </c>
      <c r="N731" s="194">
        <f t="shared" si="11"/>
        <v>1.5</v>
      </c>
      <c r="O731" s="198">
        <f>_1_541284561214624104645789101745[[#This Row],[TOTAL]]*_1_541284561214624104645789101745[[#This Row],[MARGIN]]</f>
        <v>0</v>
      </c>
      <c r="R731" s="41"/>
    </row>
    <row r="732" spans="4:18">
      <c r="D732" s="188"/>
      <c r="F732" s="168" t="s">
        <v>6202</v>
      </c>
      <c r="G732" s="193">
        <f>IF(_1_541284561214624104645789101745[[#This Row],[Type]]&gt;0,VLOOKUP(_1_541284561214624104645789101745[[#This Row],[Type]],Main[[#All],[TYPE]:[UNIT]],'Unit Price'!C$1,FALSE),0)</f>
        <v>0</v>
      </c>
      <c r="H732" s="197">
        <f>IF(_1_541284561214624104645789101745[[#This Row],[Type]]&gt;0,VLOOKUP(_1_541284561214624104645789101745[[#This Row],[Type]],Main[[#All],[TYPE]:[UNIT]],'Unit Price'!D$1,FALSE),0)</f>
        <v>0</v>
      </c>
      <c r="I732" s="194">
        <f>IF(_1_541284561214624104645789101745[[#This Row],[Type]]&gt;0,VLOOKUP(_1_541284561214624104645789101745[[#This Row],[Type]],Main[[#All],[TYPE]:[UNIT]],'Unit Price'!G$1,FALSE),0)</f>
        <v>0</v>
      </c>
      <c r="J732" s="194">
        <f>IF(_1_541284561214624104645789101745[[#This Row],[Type]]&gt;0,VLOOKUP(_1_541284561214624104645789101745[[#This Row],[Type]],Main[[#All],[TYPE]:[UNIT]],'Unit Price'!H$1,FALSE),0)</f>
        <v>0</v>
      </c>
      <c r="K732" s="194">
        <f>IF(_1_541284561214624104645789101745[[#This Row],[Discount selection]]&gt;0,VLOOKUP(_1_541284561214624104645789101745[[#This Row],[Discount selection]],'Discount Structure'!$A$2:$B$30,2,"false"),0)</f>
        <v>1</v>
      </c>
      <c r="L732" s="194">
        <f>_1_541284561214624104645789101745[[#This Row],[LIST $]]*_1_541284561214624104645789101745[[#This Row],[DISCOUNT]]*_1_541284561214624104645789101745[[#This Row],[DISCOUNT 2]]</f>
        <v>0</v>
      </c>
      <c r="M732" s="194">
        <f>IF(OR(_1_541284561214624104645789101745[[#This Row],[UNIT]]&gt;0,_1_541284561214624104645789101745[[#This Row],[UNIT]]&lt;0),_1_541284561214624104645789101745[[#This Row],[UNIT]]*_1_541284561214624104645789101745[[#This Row],[COST]],0)</f>
        <v>0</v>
      </c>
      <c r="N732" s="194">
        <f t="shared" si="11"/>
        <v>1.5</v>
      </c>
      <c r="O732" s="198">
        <f>_1_541284561214624104645789101745[[#This Row],[TOTAL]]*_1_541284561214624104645789101745[[#This Row],[MARGIN]]</f>
        <v>0</v>
      </c>
      <c r="R732" s="41"/>
    </row>
    <row r="733" spans="4:18">
      <c r="D733" s="188"/>
      <c r="F733" s="168" t="s">
        <v>6202</v>
      </c>
      <c r="G733" s="193">
        <f>IF(_1_541284561214624104645789101745[[#This Row],[Type]]&gt;0,VLOOKUP(_1_541284561214624104645789101745[[#This Row],[Type]],Main[[#All],[TYPE]:[UNIT]],'Unit Price'!C$1,FALSE),0)</f>
        <v>0</v>
      </c>
      <c r="H733" s="197">
        <f>IF(_1_541284561214624104645789101745[[#This Row],[Type]]&gt;0,VLOOKUP(_1_541284561214624104645789101745[[#This Row],[Type]],Main[[#All],[TYPE]:[UNIT]],'Unit Price'!D$1,FALSE),0)</f>
        <v>0</v>
      </c>
      <c r="I733" s="194">
        <f>IF(_1_541284561214624104645789101745[[#This Row],[Type]]&gt;0,VLOOKUP(_1_541284561214624104645789101745[[#This Row],[Type]],Main[[#All],[TYPE]:[UNIT]],'Unit Price'!G$1,FALSE),0)</f>
        <v>0</v>
      </c>
      <c r="J733" s="194">
        <f>IF(_1_541284561214624104645789101745[[#This Row],[Type]]&gt;0,VLOOKUP(_1_541284561214624104645789101745[[#This Row],[Type]],Main[[#All],[TYPE]:[UNIT]],'Unit Price'!H$1,FALSE),0)</f>
        <v>0</v>
      </c>
      <c r="K733" s="194">
        <f>IF(_1_541284561214624104645789101745[[#This Row],[Discount selection]]&gt;0,VLOOKUP(_1_541284561214624104645789101745[[#This Row],[Discount selection]],'Discount Structure'!$A$2:$B$30,2,"false"),0)</f>
        <v>1</v>
      </c>
      <c r="L733" s="194">
        <f>_1_541284561214624104645789101745[[#This Row],[LIST $]]*_1_541284561214624104645789101745[[#This Row],[DISCOUNT]]*_1_541284561214624104645789101745[[#This Row],[DISCOUNT 2]]</f>
        <v>0</v>
      </c>
      <c r="M733" s="194">
        <f>IF(OR(_1_541284561214624104645789101745[[#This Row],[UNIT]]&gt;0,_1_541284561214624104645789101745[[#This Row],[UNIT]]&lt;0),_1_541284561214624104645789101745[[#This Row],[UNIT]]*_1_541284561214624104645789101745[[#This Row],[COST]],0)</f>
        <v>0</v>
      </c>
      <c r="N733" s="194">
        <f t="shared" si="11"/>
        <v>1.5</v>
      </c>
      <c r="O733" s="198">
        <f>_1_541284561214624104645789101745[[#This Row],[TOTAL]]*_1_541284561214624104645789101745[[#This Row],[MARGIN]]</f>
        <v>0</v>
      </c>
      <c r="R733" s="41"/>
    </row>
    <row r="734" spans="4:18">
      <c r="D734" s="188"/>
      <c r="F734" s="168" t="s">
        <v>6202</v>
      </c>
      <c r="G734" s="193">
        <f>IF(_1_541284561214624104645789101745[[#This Row],[Type]]&gt;0,VLOOKUP(_1_541284561214624104645789101745[[#This Row],[Type]],Main[[#All],[TYPE]:[UNIT]],'Unit Price'!C$1,FALSE),0)</f>
        <v>0</v>
      </c>
      <c r="H734" s="197">
        <f>IF(_1_541284561214624104645789101745[[#This Row],[Type]]&gt;0,VLOOKUP(_1_541284561214624104645789101745[[#This Row],[Type]],Main[[#All],[TYPE]:[UNIT]],'Unit Price'!D$1,FALSE),0)</f>
        <v>0</v>
      </c>
      <c r="I734" s="194">
        <f>IF(_1_541284561214624104645789101745[[#This Row],[Type]]&gt;0,VLOOKUP(_1_541284561214624104645789101745[[#This Row],[Type]],Main[[#All],[TYPE]:[UNIT]],'Unit Price'!G$1,FALSE),0)</f>
        <v>0</v>
      </c>
      <c r="J734" s="194">
        <f>IF(_1_541284561214624104645789101745[[#This Row],[Type]]&gt;0,VLOOKUP(_1_541284561214624104645789101745[[#This Row],[Type]],Main[[#All],[TYPE]:[UNIT]],'Unit Price'!H$1,FALSE),0)</f>
        <v>0</v>
      </c>
      <c r="K734" s="194">
        <f>IF(_1_541284561214624104645789101745[[#This Row],[Discount selection]]&gt;0,VLOOKUP(_1_541284561214624104645789101745[[#This Row],[Discount selection]],'Discount Structure'!$A$2:$B$30,2,"false"),0)</f>
        <v>1</v>
      </c>
      <c r="L734" s="194">
        <f>_1_541284561214624104645789101745[[#This Row],[LIST $]]*_1_541284561214624104645789101745[[#This Row],[DISCOUNT]]*_1_541284561214624104645789101745[[#This Row],[DISCOUNT 2]]</f>
        <v>0</v>
      </c>
      <c r="M734" s="194">
        <f>IF(OR(_1_541284561214624104645789101745[[#This Row],[UNIT]]&gt;0,_1_541284561214624104645789101745[[#This Row],[UNIT]]&lt;0),_1_541284561214624104645789101745[[#This Row],[UNIT]]*_1_541284561214624104645789101745[[#This Row],[COST]],0)</f>
        <v>0</v>
      </c>
      <c r="N734" s="194">
        <f t="shared" si="11"/>
        <v>1.5</v>
      </c>
      <c r="O734" s="198">
        <f>_1_541284561214624104645789101745[[#This Row],[TOTAL]]*_1_541284561214624104645789101745[[#This Row],[MARGIN]]</f>
        <v>0</v>
      </c>
      <c r="R734" s="41"/>
    </row>
    <row r="735" spans="4:18">
      <c r="D735" s="188"/>
      <c r="F735" s="168" t="s">
        <v>6202</v>
      </c>
      <c r="G735" s="193">
        <f>IF(_1_541284561214624104645789101745[[#This Row],[Type]]&gt;0,VLOOKUP(_1_541284561214624104645789101745[[#This Row],[Type]],Main[[#All],[TYPE]:[UNIT]],'Unit Price'!C$1,FALSE),0)</f>
        <v>0</v>
      </c>
      <c r="H735" s="197">
        <f>IF(_1_541284561214624104645789101745[[#This Row],[Type]]&gt;0,VLOOKUP(_1_541284561214624104645789101745[[#This Row],[Type]],Main[[#All],[TYPE]:[UNIT]],'Unit Price'!D$1,FALSE),0)</f>
        <v>0</v>
      </c>
      <c r="I735" s="194">
        <f>IF(_1_541284561214624104645789101745[[#This Row],[Type]]&gt;0,VLOOKUP(_1_541284561214624104645789101745[[#This Row],[Type]],Main[[#All],[TYPE]:[UNIT]],'Unit Price'!G$1,FALSE),0)</f>
        <v>0</v>
      </c>
      <c r="J735" s="194">
        <f>IF(_1_541284561214624104645789101745[[#This Row],[Type]]&gt;0,VLOOKUP(_1_541284561214624104645789101745[[#This Row],[Type]],Main[[#All],[TYPE]:[UNIT]],'Unit Price'!H$1,FALSE),0)</f>
        <v>0</v>
      </c>
      <c r="K735" s="194">
        <f>IF(_1_541284561214624104645789101745[[#This Row],[Discount selection]]&gt;0,VLOOKUP(_1_541284561214624104645789101745[[#This Row],[Discount selection]],'Discount Structure'!$A$2:$B$30,2,"false"),0)</f>
        <v>1</v>
      </c>
      <c r="L735" s="194">
        <f>_1_541284561214624104645789101745[[#This Row],[LIST $]]*_1_541284561214624104645789101745[[#This Row],[DISCOUNT]]*_1_541284561214624104645789101745[[#This Row],[DISCOUNT 2]]</f>
        <v>0</v>
      </c>
      <c r="M735" s="194">
        <f>IF(OR(_1_541284561214624104645789101745[[#This Row],[UNIT]]&gt;0,_1_541284561214624104645789101745[[#This Row],[UNIT]]&lt;0),_1_541284561214624104645789101745[[#This Row],[UNIT]]*_1_541284561214624104645789101745[[#This Row],[COST]],0)</f>
        <v>0</v>
      </c>
      <c r="N735" s="194">
        <f t="shared" si="11"/>
        <v>1.5</v>
      </c>
      <c r="O735" s="198">
        <f>_1_541284561214624104645789101745[[#This Row],[TOTAL]]*_1_541284561214624104645789101745[[#This Row],[MARGIN]]</f>
        <v>0</v>
      </c>
      <c r="R735" s="41"/>
    </row>
    <row r="736" spans="4:18">
      <c r="D736" s="188"/>
      <c r="F736" s="168" t="s">
        <v>6202</v>
      </c>
      <c r="G736" s="193">
        <f>IF(_1_541284561214624104645789101745[[#This Row],[Type]]&gt;0,VLOOKUP(_1_541284561214624104645789101745[[#This Row],[Type]],Main[[#All],[TYPE]:[UNIT]],'Unit Price'!C$1,FALSE),0)</f>
        <v>0</v>
      </c>
      <c r="H736" s="197">
        <f>IF(_1_541284561214624104645789101745[[#This Row],[Type]]&gt;0,VLOOKUP(_1_541284561214624104645789101745[[#This Row],[Type]],Main[[#All],[TYPE]:[UNIT]],'Unit Price'!D$1,FALSE),0)</f>
        <v>0</v>
      </c>
      <c r="I736" s="194">
        <f>IF(_1_541284561214624104645789101745[[#This Row],[Type]]&gt;0,VLOOKUP(_1_541284561214624104645789101745[[#This Row],[Type]],Main[[#All],[TYPE]:[UNIT]],'Unit Price'!G$1,FALSE),0)</f>
        <v>0</v>
      </c>
      <c r="J736" s="194">
        <f>IF(_1_541284561214624104645789101745[[#This Row],[Type]]&gt;0,VLOOKUP(_1_541284561214624104645789101745[[#This Row],[Type]],Main[[#All],[TYPE]:[UNIT]],'Unit Price'!H$1,FALSE),0)</f>
        <v>0</v>
      </c>
      <c r="K736" s="194">
        <f>IF(_1_541284561214624104645789101745[[#This Row],[Discount selection]]&gt;0,VLOOKUP(_1_541284561214624104645789101745[[#This Row],[Discount selection]],'Discount Structure'!$A$2:$B$30,2,"false"),0)</f>
        <v>1</v>
      </c>
      <c r="L736" s="194">
        <f>_1_541284561214624104645789101745[[#This Row],[LIST $]]*_1_541284561214624104645789101745[[#This Row],[DISCOUNT]]*_1_541284561214624104645789101745[[#This Row],[DISCOUNT 2]]</f>
        <v>0</v>
      </c>
      <c r="M736" s="194">
        <f>IF(OR(_1_541284561214624104645789101745[[#This Row],[UNIT]]&gt;0,_1_541284561214624104645789101745[[#This Row],[UNIT]]&lt;0),_1_541284561214624104645789101745[[#This Row],[UNIT]]*_1_541284561214624104645789101745[[#This Row],[COST]],0)</f>
        <v>0</v>
      </c>
      <c r="N736" s="194">
        <f t="shared" si="11"/>
        <v>1.5</v>
      </c>
      <c r="O736" s="198">
        <f>_1_541284561214624104645789101745[[#This Row],[TOTAL]]*_1_541284561214624104645789101745[[#This Row],[MARGIN]]</f>
        <v>0</v>
      </c>
      <c r="R736" s="41"/>
    </row>
    <row r="737" spans="4:18">
      <c r="D737" s="188"/>
      <c r="F737" s="168" t="s">
        <v>6202</v>
      </c>
      <c r="G737" s="193">
        <f>IF(_1_541284561214624104645789101745[[#This Row],[Type]]&gt;0,VLOOKUP(_1_541284561214624104645789101745[[#This Row],[Type]],Main[[#All],[TYPE]:[UNIT]],'Unit Price'!C$1,FALSE),0)</f>
        <v>0</v>
      </c>
      <c r="H737" s="197">
        <f>IF(_1_541284561214624104645789101745[[#This Row],[Type]]&gt;0,VLOOKUP(_1_541284561214624104645789101745[[#This Row],[Type]],Main[[#All],[TYPE]:[UNIT]],'Unit Price'!D$1,FALSE),0)</f>
        <v>0</v>
      </c>
      <c r="I737" s="194">
        <f>IF(_1_541284561214624104645789101745[[#This Row],[Type]]&gt;0,VLOOKUP(_1_541284561214624104645789101745[[#This Row],[Type]],Main[[#All],[TYPE]:[UNIT]],'Unit Price'!G$1,FALSE),0)</f>
        <v>0</v>
      </c>
      <c r="J737" s="194">
        <f>IF(_1_541284561214624104645789101745[[#This Row],[Type]]&gt;0,VLOOKUP(_1_541284561214624104645789101745[[#This Row],[Type]],Main[[#All],[TYPE]:[UNIT]],'Unit Price'!H$1,FALSE),0)</f>
        <v>0</v>
      </c>
      <c r="K737" s="194">
        <f>IF(_1_541284561214624104645789101745[[#This Row],[Discount selection]]&gt;0,VLOOKUP(_1_541284561214624104645789101745[[#This Row],[Discount selection]],'Discount Structure'!$A$2:$B$30,2,"false"),0)</f>
        <v>1</v>
      </c>
      <c r="L737" s="194">
        <f>_1_541284561214624104645789101745[[#This Row],[LIST $]]*_1_541284561214624104645789101745[[#This Row],[DISCOUNT]]*_1_541284561214624104645789101745[[#This Row],[DISCOUNT 2]]</f>
        <v>0</v>
      </c>
      <c r="M737" s="194">
        <f>IF(OR(_1_541284561214624104645789101745[[#This Row],[UNIT]]&gt;0,_1_541284561214624104645789101745[[#This Row],[UNIT]]&lt;0),_1_541284561214624104645789101745[[#This Row],[UNIT]]*_1_541284561214624104645789101745[[#This Row],[COST]],0)</f>
        <v>0</v>
      </c>
      <c r="N737" s="194">
        <f t="shared" si="11"/>
        <v>1.5</v>
      </c>
      <c r="O737" s="198">
        <f>_1_541284561214624104645789101745[[#This Row],[TOTAL]]*_1_541284561214624104645789101745[[#This Row],[MARGIN]]</f>
        <v>0</v>
      </c>
      <c r="R737" s="41"/>
    </row>
    <row r="738" spans="4:18">
      <c r="D738" s="188"/>
      <c r="F738" s="168" t="s">
        <v>6202</v>
      </c>
      <c r="G738" s="193">
        <f>IF(_1_541284561214624104645789101745[[#This Row],[Type]]&gt;0,VLOOKUP(_1_541284561214624104645789101745[[#This Row],[Type]],Main[[#All],[TYPE]:[UNIT]],'Unit Price'!C$1,FALSE),0)</f>
        <v>0</v>
      </c>
      <c r="H738" s="197">
        <f>IF(_1_541284561214624104645789101745[[#This Row],[Type]]&gt;0,VLOOKUP(_1_541284561214624104645789101745[[#This Row],[Type]],Main[[#All],[TYPE]:[UNIT]],'Unit Price'!D$1,FALSE),0)</f>
        <v>0</v>
      </c>
      <c r="I738" s="194">
        <f>IF(_1_541284561214624104645789101745[[#This Row],[Type]]&gt;0,VLOOKUP(_1_541284561214624104645789101745[[#This Row],[Type]],Main[[#All],[TYPE]:[UNIT]],'Unit Price'!G$1,FALSE),0)</f>
        <v>0</v>
      </c>
      <c r="J738" s="194">
        <f>IF(_1_541284561214624104645789101745[[#This Row],[Type]]&gt;0,VLOOKUP(_1_541284561214624104645789101745[[#This Row],[Type]],Main[[#All],[TYPE]:[UNIT]],'Unit Price'!H$1,FALSE),0)</f>
        <v>0</v>
      </c>
      <c r="K738" s="194">
        <f>IF(_1_541284561214624104645789101745[[#This Row],[Discount selection]]&gt;0,VLOOKUP(_1_541284561214624104645789101745[[#This Row],[Discount selection]],'Discount Structure'!$A$2:$B$30,2,"false"),0)</f>
        <v>1</v>
      </c>
      <c r="L738" s="194">
        <f>_1_541284561214624104645789101745[[#This Row],[LIST $]]*_1_541284561214624104645789101745[[#This Row],[DISCOUNT]]*_1_541284561214624104645789101745[[#This Row],[DISCOUNT 2]]</f>
        <v>0</v>
      </c>
      <c r="M738" s="194">
        <f>IF(OR(_1_541284561214624104645789101745[[#This Row],[UNIT]]&gt;0,_1_541284561214624104645789101745[[#This Row],[UNIT]]&lt;0),_1_541284561214624104645789101745[[#This Row],[UNIT]]*_1_541284561214624104645789101745[[#This Row],[COST]],0)</f>
        <v>0</v>
      </c>
      <c r="N738" s="194">
        <f t="shared" si="11"/>
        <v>1.5</v>
      </c>
      <c r="O738" s="198">
        <f>_1_541284561214624104645789101745[[#This Row],[TOTAL]]*_1_541284561214624104645789101745[[#This Row],[MARGIN]]</f>
        <v>0</v>
      </c>
      <c r="R738" s="41"/>
    </row>
    <row r="739" spans="4:18">
      <c r="D739" s="188"/>
      <c r="F739" s="168" t="s">
        <v>6202</v>
      </c>
      <c r="G739" s="193">
        <f>IF(_1_541284561214624104645789101745[[#This Row],[Type]]&gt;0,VLOOKUP(_1_541284561214624104645789101745[[#This Row],[Type]],Main[[#All],[TYPE]:[UNIT]],'Unit Price'!C$1,FALSE),0)</f>
        <v>0</v>
      </c>
      <c r="H739" s="197">
        <f>IF(_1_541284561214624104645789101745[[#This Row],[Type]]&gt;0,VLOOKUP(_1_541284561214624104645789101745[[#This Row],[Type]],Main[[#All],[TYPE]:[UNIT]],'Unit Price'!D$1,FALSE),0)</f>
        <v>0</v>
      </c>
      <c r="I739" s="194">
        <f>IF(_1_541284561214624104645789101745[[#This Row],[Type]]&gt;0,VLOOKUP(_1_541284561214624104645789101745[[#This Row],[Type]],Main[[#All],[TYPE]:[UNIT]],'Unit Price'!G$1,FALSE),0)</f>
        <v>0</v>
      </c>
      <c r="J739" s="194">
        <f>IF(_1_541284561214624104645789101745[[#This Row],[Type]]&gt;0,VLOOKUP(_1_541284561214624104645789101745[[#This Row],[Type]],Main[[#All],[TYPE]:[UNIT]],'Unit Price'!H$1,FALSE),0)</f>
        <v>0</v>
      </c>
      <c r="K739" s="194">
        <f>IF(_1_541284561214624104645789101745[[#This Row],[Discount selection]]&gt;0,VLOOKUP(_1_541284561214624104645789101745[[#This Row],[Discount selection]],'Discount Structure'!$A$2:$B$30,2,"false"),0)</f>
        <v>1</v>
      </c>
      <c r="L739" s="194">
        <f>_1_541284561214624104645789101745[[#This Row],[LIST $]]*_1_541284561214624104645789101745[[#This Row],[DISCOUNT]]*_1_541284561214624104645789101745[[#This Row],[DISCOUNT 2]]</f>
        <v>0</v>
      </c>
      <c r="M739" s="194">
        <f>IF(OR(_1_541284561214624104645789101745[[#This Row],[UNIT]]&gt;0,_1_541284561214624104645789101745[[#This Row],[UNIT]]&lt;0),_1_541284561214624104645789101745[[#This Row],[UNIT]]*_1_541284561214624104645789101745[[#This Row],[COST]],0)</f>
        <v>0</v>
      </c>
      <c r="N739" s="194">
        <f t="shared" si="11"/>
        <v>1.5</v>
      </c>
      <c r="O739" s="198">
        <f>_1_541284561214624104645789101745[[#This Row],[TOTAL]]*_1_541284561214624104645789101745[[#This Row],[MARGIN]]</f>
        <v>0</v>
      </c>
      <c r="R739" s="41"/>
    </row>
    <row r="740" spans="4:18">
      <c r="D740" s="188"/>
      <c r="F740" s="168" t="s">
        <v>6202</v>
      </c>
      <c r="G740" s="193">
        <f>IF(_1_541284561214624104645789101745[[#This Row],[Type]]&gt;0,VLOOKUP(_1_541284561214624104645789101745[[#This Row],[Type]],Main[[#All],[TYPE]:[UNIT]],'Unit Price'!C$1,FALSE),0)</f>
        <v>0</v>
      </c>
      <c r="H740" s="197">
        <f>IF(_1_541284561214624104645789101745[[#This Row],[Type]]&gt;0,VLOOKUP(_1_541284561214624104645789101745[[#This Row],[Type]],Main[[#All],[TYPE]:[UNIT]],'Unit Price'!D$1,FALSE),0)</f>
        <v>0</v>
      </c>
      <c r="I740" s="194">
        <f>IF(_1_541284561214624104645789101745[[#This Row],[Type]]&gt;0,VLOOKUP(_1_541284561214624104645789101745[[#This Row],[Type]],Main[[#All],[TYPE]:[UNIT]],'Unit Price'!G$1,FALSE),0)</f>
        <v>0</v>
      </c>
      <c r="J740" s="194">
        <f>IF(_1_541284561214624104645789101745[[#This Row],[Type]]&gt;0,VLOOKUP(_1_541284561214624104645789101745[[#This Row],[Type]],Main[[#All],[TYPE]:[UNIT]],'Unit Price'!H$1,FALSE),0)</f>
        <v>0</v>
      </c>
      <c r="K740" s="194">
        <f>IF(_1_541284561214624104645789101745[[#This Row],[Discount selection]]&gt;0,VLOOKUP(_1_541284561214624104645789101745[[#This Row],[Discount selection]],'Discount Structure'!$A$2:$B$30,2,"false"),0)</f>
        <v>1</v>
      </c>
      <c r="L740" s="194">
        <f>_1_541284561214624104645789101745[[#This Row],[LIST $]]*_1_541284561214624104645789101745[[#This Row],[DISCOUNT]]*_1_541284561214624104645789101745[[#This Row],[DISCOUNT 2]]</f>
        <v>0</v>
      </c>
      <c r="M740" s="194">
        <f>IF(OR(_1_541284561214624104645789101745[[#This Row],[UNIT]]&gt;0,_1_541284561214624104645789101745[[#This Row],[UNIT]]&lt;0),_1_541284561214624104645789101745[[#This Row],[UNIT]]*_1_541284561214624104645789101745[[#This Row],[COST]],0)</f>
        <v>0</v>
      </c>
      <c r="N740" s="194">
        <f t="shared" si="11"/>
        <v>1.5</v>
      </c>
      <c r="O740" s="198">
        <f>_1_541284561214624104645789101745[[#This Row],[TOTAL]]*_1_541284561214624104645789101745[[#This Row],[MARGIN]]</f>
        <v>0</v>
      </c>
      <c r="R740" s="41"/>
    </row>
    <row r="741" spans="4:18">
      <c r="D741" s="188"/>
      <c r="F741" s="168" t="s">
        <v>6202</v>
      </c>
      <c r="G741" s="193">
        <f>IF(_1_541284561214624104645789101745[[#This Row],[Type]]&gt;0,VLOOKUP(_1_541284561214624104645789101745[[#This Row],[Type]],Main[[#All],[TYPE]:[UNIT]],'Unit Price'!C$1,FALSE),0)</f>
        <v>0</v>
      </c>
      <c r="H741" s="197">
        <f>IF(_1_541284561214624104645789101745[[#This Row],[Type]]&gt;0,VLOOKUP(_1_541284561214624104645789101745[[#This Row],[Type]],Main[[#All],[TYPE]:[UNIT]],'Unit Price'!D$1,FALSE),0)</f>
        <v>0</v>
      </c>
      <c r="I741" s="194">
        <f>IF(_1_541284561214624104645789101745[[#This Row],[Type]]&gt;0,VLOOKUP(_1_541284561214624104645789101745[[#This Row],[Type]],Main[[#All],[TYPE]:[UNIT]],'Unit Price'!G$1,FALSE),0)</f>
        <v>0</v>
      </c>
      <c r="J741" s="194">
        <f>IF(_1_541284561214624104645789101745[[#This Row],[Type]]&gt;0,VLOOKUP(_1_541284561214624104645789101745[[#This Row],[Type]],Main[[#All],[TYPE]:[UNIT]],'Unit Price'!H$1,FALSE),0)</f>
        <v>0</v>
      </c>
      <c r="K741" s="194">
        <f>IF(_1_541284561214624104645789101745[[#This Row],[Discount selection]]&gt;0,VLOOKUP(_1_541284561214624104645789101745[[#This Row],[Discount selection]],'Discount Structure'!$A$2:$B$30,2,"false"),0)</f>
        <v>1</v>
      </c>
      <c r="L741" s="194">
        <f>_1_541284561214624104645789101745[[#This Row],[LIST $]]*_1_541284561214624104645789101745[[#This Row],[DISCOUNT]]*_1_541284561214624104645789101745[[#This Row],[DISCOUNT 2]]</f>
        <v>0</v>
      </c>
      <c r="M741" s="194">
        <f>IF(OR(_1_541284561214624104645789101745[[#This Row],[UNIT]]&gt;0,_1_541284561214624104645789101745[[#This Row],[UNIT]]&lt;0),_1_541284561214624104645789101745[[#This Row],[UNIT]]*_1_541284561214624104645789101745[[#This Row],[COST]],0)</f>
        <v>0</v>
      </c>
      <c r="N741" s="194">
        <f t="shared" si="11"/>
        <v>1.5</v>
      </c>
      <c r="O741" s="198">
        <f>_1_541284561214624104645789101745[[#This Row],[TOTAL]]*_1_541284561214624104645789101745[[#This Row],[MARGIN]]</f>
        <v>0</v>
      </c>
      <c r="R741" s="41"/>
    </row>
    <row r="742" spans="4:18">
      <c r="D742" s="188"/>
      <c r="F742" s="168" t="s">
        <v>6202</v>
      </c>
      <c r="G742" s="193">
        <f>IF(_1_541284561214624104645789101745[[#This Row],[Type]]&gt;0,VLOOKUP(_1_541284561214624104645789101745[[#This Row],[Type]],Main[[#All],[TYPE]:[UNIT]],'Unit Price'!C$1,FALSE),0)</f>
        <v>0</v>
      </c>
      <c r="H742" s="197">
        <f>IF(_1_541284561214624104645789101745[[#This Row],[Type]]&gt;0,VLOOKUP(_1_541284561214624104645789101745[[#This Row],[Type]],Main[[#All],[TYPE]:[UNIT]],'Unit Price'!D$1,FALSE),0)</f>
        <v>0</v>
      </c>
      <c r="I742" s="194">
        <f>IF(_1_541284561214624104645789101745[[#This Row],[Type]]&gt;0,VLOOKUP(_1_541284561214624104645789101745[[#This Row],[Type]],Main[[#All],[TYPE]:[UNIT]],'Unit Price'!G$1,FALSE),0)</f>
        <v>0</v>
      </c>
      <c r="J742" s="194">
        <f>IF(_1_541284561214624104645789101745[[#This Row],[Type]]&gt;0,VLOOKUP(_1_541284561214624104645789101745[[#This Row],[Type]],Main[[#All],[TYPE]:[UNIT]],'Unit Price'!H$1,FALSE),0)</f>
        <v>0</v>
      </c>
      <c r="K742" s="194">
        <f>IF(_1_541284561214624104645789101745[[#This Row],[Discount selection]]&gt;0,VLOOKUP(_1_541284561214624104645789101745[[#This Row],[Discount selection]],'Discount Structure'!$A$2:$B$30,2,"false"),0)</f>
        <v>1</v>
      </c>
      <c r="L742" s="194">
        <f>_1_541284561214624104645789101745[[#This Row],[LIST $]]*_1_541284561214624104645789101745[[#This Row],[DISCOUNT]]*_1_541284561214624104645789101745[[#This Row],[DISCOUNT 2]]</f>
        <v>0</v>
      </c>
      <c r="M742" s="194">
        <f>IF(OR(_1_541284561214624104645789101745[[#This Row],[UNIT]]&gt;0,_1_541284561214624104645789101745[[#This Row],[UNIT]]&lt;0),_1_541284561214624104645789101745[[#This Row],[UNIT]]*_1_541284561214624104645789101745[[#This Row],[COST]],0)</f>
        <v>0</v>
      </c>
      <c r="N742" s="194">
        <f t="shared" si="11"/>
        <v>1.5</v>
      </c>
      <c r="O742" s="198">
        <f>_1_541284561214624104645789101745[[#This Row],[TOTAL]]*_1_541284561214624104645789101745[[#This Row],[MARGIN]]</f>
        <v>0</v>
      </c>
      <c r="R742" s="41"/>
    </row>
    <row r="743" spans="4:18">
      <c r="D743" s="188"/>
      <c r="F743" s="168" t="s">
        <v>6202</v>
      </c>
      <c r="G743" s="193">
        <f>IF(_1_541284561214624104645789101745[[#This Row],[Type]]&gt;0,VLOOKUP(_1_541284561214624104645789101745[[#This Row],[Type]],Main[[#All],[TYPE]:[UNIT]],'Unit Price'!C$1,FALSE),0)</f>
        <v>0</v>
      </c>
      <c r="H743" s="197">
        <f>IF(_1_541284561214624104645789101745[[#This Row],[Type]]&gt;0,VLOOKUP(_1_541284561214624104645789101745[[#This Row],[Type]],Main[[#All],[TYPE]:[UNIT]],'Unit Price'!D$1,FALSE),0)</f>
        <v>0</v>
      </c>
      <c r="I743" s="194">
        <f>IF(_1_541284561214624104645789101745[[#This Row],[Type]]&gt;0,VLOOKUP(_1_541284561214624104645789101745[[#This Row],[Type]],Main[[#All],[TYPE]:[UNIT]],'Unit Price'!G$1,FALSE),0)</f>
        <v>0</v>
      </c>
      <c r="J743" s="194">
        <f>IF(_1_541284561214624104645789101745[[#This Row],[Type]]&gt;0,VLOOKUP(_1_541284561214624104645789101745[[#This Row],[Type]],Main[[#All],[TYPE]:[UNIT]],'Unit Price'!H$1,FALSE),0)</f>
        <v>0</v>
      </c>
      <c r="K743" s="194">
        <f>IF(_1_541284561214624104645789101745[[#This Row],[Discount selection]]&gt;0,VLOOKUP(_1_541284561214624104645789101745[[#This Row],[Discount selection]],'Discount Structure'!$A$2:$B$30,2,"false"),0)</f>
        <v>1</v>
      </c>
      <c r="L743" s="194">
        <f>_1_541284561214624104645789101745[[#This Row],[LIST $]]*_1_541284561214624104645789101745[[#This Row],[DISCOUNT]]*_1_541284561214624104645789101745[[#This Row],[DISCOUNT 2]]</f>
        <v>0</v>
      </c>
      <c r="M743" s="194">
        <f>IF(OR(_1_541284561214624104645789101745[[#This Row],[UNIT]]&gt;0,_1_541284561214624104645789101745[[#This Row],[UNIT]]&lt;0),_1_541284561214624104645789101745[[#This Row],[UNIT]]*_1_541284561214624104645789101745[[#This Row],[COST]],0)</f>
        <v>0</v>
      </c>
      <c r="N743" s="194">
        <f t="shared" si="11"/>
        <v>1.5</v>
      </c>
      <c r="O743" s="198">
        <f>_1_541284561214624104645789101745[[#This Row],[TOTAL]]*_1_541284561214624104645789101745[[#This Row],[MARGIN]]</f>
        <v>0</v>
      </c>
      <c r="R743" s="41"/>
    </row>
    <row r="744" spans="4:18">
      <c r="D744" s="188"/>
      <c r="F744" s="168" t="s">
        <v>6202</v>
      </c>
      <c r="G744" s="193">
        <f>IF(_1_541284561214624104645789101745[[#This Row],[Type]]&gt;0,VLOOKUP(_1_541284561214624104645789101745[[#This Row],[Type]],Main[[#All],[TYPE]:[UNIT]],'Unit Price'!C$1,FALSE),0)</f>
        <v>0</v>
      </c>
      <c r="H744" s="197">
        <f>IF(_1_541284561214624104645789101745[[#This Row],[Type]]&gt;0,VLOOKUP(_1_541284561214624104645789101745[[#This Row],[Type]],Main[[#All],[TYPE]:[UNIT]],'Unit Price'!D$1,FALSE),0)</f>
        <v>0</v>
      </c>
      <c r="I744" s="194">
        <f>IF(_1_541284561214624104645789101745[[#This Row],[Type]]&gt;0,VLOOKUP(_1_541284561214624104645789101745[[#This Row],[Type]],Main[[#All],[TYPE]:[UNIT]],'Unit Price'!G$1,FALSE),0)</f>
        <v>0</v>
      </c>
      <c r="J744" s="194">
        <f>IF(_1_541284561214624104645789101745[[#This Row],[Type]]&gt;0,VLOOKUP(_1_541284561214624104645789101745[[#This Row],[Type]],Main[[#All],[TYPE]:[UNIT]],'Unit Price'!H$1,FALSE),0)</f>
        <v>0</v>
      </c>
      <c r="K744" s="194">
        <f>IF(_1_541284561214624104645789101745[[#This Row],[Discount selection]]&gt;0,VLOOKUP(_1_541284561214624104645789101745[[#This Row],[Discount selection]],'Discount Structure'!$A$2:$B$30,2,"false"),0)</f>
        <v>1</v>
      </c>
      <c r="L744" s="194">
        <f>_1_541284561214624104645789101745[[#This Row],[LIST $]]*_1_541284561214624104645789101745[[#This Row],[DISCOUNT]]*_1_541284561214624104645789101745[[#This Row],[DISCOUNT 2]]</f>
        <v>0</v>
      </c>
      <c r="M744" s="194">
        <f>IF(OR(_1_541284561214624104645789101745[[#This Row],[UNIT]]&gt;0,_1_541284561214624104645789101745[[#This Row],[UNIT]]&lt;0),_1_541284561214624104645789101745[[#This Row],[UNIT]]*_1_541284561214624104645789101745[[#This Row],[COST]],0)</f>
        <v>0</v>
      </c>
      <c r="N744" s="194">
        <f t="shared" si="11"/>
        <v>1.5</v>
      </c>
      <c r="O744" s="198">
        <f>_1_541284561214624104645789101745[[#This Row],[TOTAL]]*_1_541284561214624104645789101745[[#This Row],[MARGIN]]</f>
        <v>0</v>
      </c>
      <c r="R744" s="41"/>
    </row>
    <row r="745" spans="4:18">
      <c r="D745" s="188"/>
      <c r="F745" s="168" t="s">
        <v>6202</v>
      </c>
      <c r="G745" s="193">
        <f>IF(_1_541284561214624104645789101745[[#This Row],[Type]]&gt;0,VLOOKUP(_1_541284561214624104645789101745[[#This Row],[Type]],Main[[#All],[TYPE]:[UNIT]],'Unit Price'!C$1,FALSE),0)</f>
        <v>0</v>
      </c>
      <c r="H745" s="197">
        <f>IF(_1_541284561214624104645789101745[[#This Row],[Type]]&gt;0,VLOOKUP(_1_541284561214624104645789101745[[#This Row],[Type]],Main[[#All],[TYPE]:[UNIT]],'Unit Price'!D$1,FALSE),0)</f>
        <v>0</v>
      </c>
      <c r="I745" s="194">
        <f>IF(_1_541284561214624104645789101745[[#This Row],[Type]]&gt;0,VLOOKUP(_1_541284561214624104645789101745[[#This Row],[Type]],Main[[#All],[TYPE]:[UNIT]],'Unit Price'!G$1,FALSE),0)</f>
        <v>0</v>
      </c>
      <c r="J745" s="194">
        <f>IF(_1_541284561214624104645789101745[[#This Row],[Type]]&gt;0,VLOOKUP(_1_541284561214624104645789101745[[#This Row],[Type]],Main[[#All],[TYPE]:[UNIT]],'Unit Price'!H$1,FALSE),0)</f>
        <v>0</v>
      </c>
      <c r="K745" s="194">
        <f>IF(_1_541284561214624104645789101745[[#This Row],[Discount selection]]&gt;0,VLOOKUP(_1_541284561214624104645789101745[[#This Row],[Discount selection]],'Discount Structure'!$A$2:$B$30,2,"false"),0)</f>
        <v>1</v>
      </c>
      <c r="L745" s="194">
        <f>_1_541284561214624104645789101745[[#This Row],[LIST $]]*_1_541284561214624104645789101745[[#This Row],[DISCOUNT]]*_1_541284561214624104645789101745[[#This Row],[DISCOUNT 2]]</f>
        <v>0</v>
      </c>
      <c r="M745" s="194">
        <f>IF(OR(_1_541284561214624104645789101745[[#This Row],[UNIT]]&gt;0,_1_541284561214624104645789101745[[#This Row],[UNIT]]&lt;0),_1_541284561214624104645789101745[[#This Row],[UNIT]]*_1_541284561214624104645789101745[[#This Row],[COST]],0)</f>
        <v>0</v>
      </c>
      <c r="N745" s="194">
        <f t="shared" si="11"/>
        <v>1.5</v>
      </c>
      <c r="O745" s="198">
        <f>_1_541284561214624104645789101745[[#This Row],[TOTAL]]*_1_541284561214624104645789101745[[#This Row],[MARGIN]]</f>
        <v>0</v>
      </c>
      <c r="R745" s="41"/>
    </row>
    <row r="746" spans="4:18">
      <c r="D746" s="188"/>
      <c r="F746" s="168" t="s">
        <v>6202</v>
      </c>
      <c r="G746" s="193">
        <f>IF(_1_541284561214624104645789101745[[#This Row],[Type]]&gt;0,VLOOKUP(_1_541284561214624104645789101745[[#This Row],[Type]],Main[[#All],[TYPE]:[UNIT]],'Unit Price'!C$1,FALSE),0)</f>
        <v>0</v>
      </c>
      <c r="H746" s="197">
        <f>IF(_1_541284561214624104645789101745[[#This Row],[Type]]&gt;0,VLOOKUP(_1_541284561214624104645789101745[[#This Row],[Type]],Main[[#All],[TYPE]:[UNIT]],'Unit Price'!D$1,FALSE),0)</f>
        <v>0</v>
      </c>
      <c r="I746" s="194">
        <f>IF(_1_541284561214624104645789101745[[#This Row],[Type]]&gt;0,VLOOKUP(_1_541284561214624104645789101745[[#This Row],[Type]],Main[[#All],[TYPE]:[UNIT]],'Unit Price'!G$1,FALSE),0)</f>
        <v>0</v>
      </c>
      <c r="J746" s="194">
        <f>IF(_1_541284561214624104645789101745[[#This Row],[Type]]&gt;0,VLOOKUP(_1_541284561214624104645789101745[[#This Row],[Type]],Main[[#All],[TYPE]:[UNIT]],'Unit Price'!H$1,FALSE),0)</f>
        <v>0</v>
      </c>
      <c r="K746" s="194">
        <f>IF(_1_541284561214624104645789101745[[#This Row],[Discount selection]]&gt;0,VLOOKUP(_1_541284561214624104645789101745[[#This Row],[Discount selection]],'Discount Structure'!$A$2:$B$30,2,"false"),0)</f>
        <v>1</v>
      </c>
      <c r="L746" s="194">
        <f>_1_541284561214624104645789101745[[#This Row],[LIST $]]*_1_541284561214624104645789101745[[#This Row],[DISCOUNT]]*_1_541284561214624104645789101745[[#This Row],[DISCOUNT 2]]</f>
        <v>0</v>
      </c>
      <c r="M746" s="194">
        <f>IF(OR(_1_541284561214624104645789101745[[#This Row],[UNIT]]&gt;0,_1_541284561214624104645789101745[[#This Row],[UNIT]]&lt;0),_1_541284561214624104645789101745[[#This Row],[UNIT]]*_1_541284561214624104645789101745[[#This Row],[COST]],0)</f>
        <v>0</v>
      </c>
      <c r="N746" s="194">
        <f t="shared" si="11"/>
        <v>1.5</v>
      </c>
      <c r="O746" s="198">
        <f>_1_541284561214624104645789101745[[#This Row],[TOTAL]]*_1_541284561214624104645789101745[[#This Row],[MARGIN]]</f>
        <v>0</v>
      </c>
      <c r="R746" s="41"/>
    </row>
    <row r="747" spans="4:18">
      <c r="D747" s="188"/>
      <c r="F747" s="168" t="s">
        <v>6202</v>
      </c>
      <c r="G747" s="193">
        <f>IF(_1_541284561214624104645789101745[[#This Row],[Type]]&gt;0,VLOOKUP(_1_541284561214624104645789101745[[#This Row],[Type]],Main[[#All],[TYPE]:[UNIT]],'Unit Price'!C$1,FALSE),0)</f>
        <v>0</v>
      </c>
      <c r="H747" s="197">
        <f>IF(_1_541284561214624104645789101745[[#This Row],[Type]]&gt;0,VLOOKUP(_1_541284561214624104645789101745[[#This Row],[Type]],Main[[#All],[TYPE]:[UNIT]],'Unit Price'!D$1,FALSE),0)</f>
        <v>0</v>
      </c>
      <c r="I747" s="194">
        <f>IF(_1_541284561214624104645789101745[[#This Row],[Type]]&gt;0,VLOOKUP(_1_541284561214624104645789101745[[#This Row],[Type]],Main[[#All],[TYPE]:[UNIT]],'Unit Price'!G$1,FALSE),0)</f>
        <v>0</v>
      </c>
      <c r="J747" s="194">
        <f>IF(_1_541284561214624104645789101745[[#This Row],[Type]]&gt;0,VLOOKUP(_1_541284561214624104645789101745[[#This Row],[Type]],Main[[#All],[TYPE]:[UNIT]],'Unit Price'!H$1,FALSE),0)</f>
        <v>0</v>
      </c>
      <c r="K747" s="194">
        <f>IF(_1_541284561214624104645789101745[[#This Row],[Discount selection]]&gt;0,VLOOKUP(_1_541284561214624104645789101745[[#This Row],[Discount selection]],'Discount Structure'!$A$2:$B$30,2,"false"),0)</f>
        <v>1</v>
      </c>
      <c r="L747" s="194">
        <f>_1_541284561214624104645789101745[[#This Row],[LIST $]]*_1_541284561214624104645789101745[[#This Row],[DISCOUNT]]*_1_541284561214624104645789101745[[#This Row],[DISCOUNT 2]]</f>
        <v>0</v>
      </c>
      <c r="M747" s="194">
        <f>IF(OR(_1_541284561214624104645789101745[[#This Row],[UNIT]]&gt;0,_1_541284561214624104645789101745[[#This Row],[UNIT]]&lt;0),_1_541284561214624104645789101745[[#This Row],[UNIT]]*_1_541284561214624104645789101745[[#This Row],[COST]],0)</f>
        <v>0</v>
      </c>
      <c r="N747" s="194">
        <f t="shared" si="11"/>
        <v>1.5</v>
      </c>
      <c r="O747" s="198">
        <f>_1_541284561214624104645789101745[[#This Row],[TOTAL]]*_1_541284561214624104645789101745[[#This Row],[MARGIN]]</f>
        <v>0</v>
      </c>
      <c r="R747" s="41"/>
    </row>
    <row r="748" spans="4:18">
      <c r="D748" s="188"/>
      <c r="F748" s="168" t="s">
        <v>6202</v>
      </c>
      <c r="G748" s="193">
        <f>IF(_1_541284561214624104645789101745[[#This Row],[Type]]&gt;0,VLOOKUP(_1_541284561214624104645789101745[[#This Row],[Type]],Main[[#All],[TYPE]:[UNIT]],'Unit Price'!C$1,FALSE),0)</f>
        <v>0</v>
      </c>
      <c r="H748" s="197">
        <f>IF(_1_541284561214624104645789101745[[#This Row],[Type]]&gt;0,VLOOKUP(_1_541284561214624104645789101745[[#This Row],[Type]],Main[[#All],[TYPE]:[UNIT]],'Unit Price'!D$1,FALSE),0)</f>
        <v>0</v>
      </c>
      <c r="I748" s="194">
        <f>IF(_1_541284561214624104645789101745[[#This Row],[Type]]&gt;0,VLOOKUP(_1_541284561214624104645789101745[[#This Row],[Type]],Main[[#All],[TYPE]:[UNIT]],'Unit Price'!G$1,FALSE),0)</f>
        <v>0</v>
      </c>
      <c r="J748" s="194">
        <f>IF(_1_541284561214624104645789101745[[#This Row],[Type]]&gt;0,VLOOKUP(_1_541284561214624104645789101745[[#This Row],[Type]],Main[[#All],[TYPE]:[UNIT]],'Unit Price'!H$1,FALSE),0)</f>
        <v>0</v>
      </c>
      <c r="K748" s="194">
        <f>IF(_1_541284561214624104645789101745[[#This Row],[Discount selection]]&gt;0,VLOOKUP(_1_541284561214624104645789101745[[#This Row],[Discount selection]],'Discount Structure'!$A$2:$B$30,2,"false"),0)</f>
        <v>1</v>
      </c>
      <c r="L748" s="194">
        <f>_1_541284561214624104645789101745[[#This Row],[LIST $]]*_1_541284561214624104645789101745[[#This Row],[DISCOUNT]]*_1_541284561214624104645789101745[[#This Row],[DISCOUNT 2]]</f>
        <v>0</v>
      </c>
      <c r="M748" s="194">
        <f>IF(OR(_1_541284561214624104645789101745[[#This Row],[UNIT]]&gt;0,_1_541284561214624104645789101745[[#This Row],[UNIT]]&lt;0),_1_541284561214624104645789101745[[#This Row],[UNIT]]*_1_541284561214624104645789101745[[#This Row],[COST]],0)</f>
        <v>0</v>
      </c>
      <c r="N748" s="194">
        <f t="shared" si="11"/>
        <v>1.5</v>
      </c>
      <c r="O748" s="198">
        <f>_1_541284561214624104645789101745[[#This Row],[TOTAL]]*_1_541284561214624104645789101745[[#This Row],[MARGIN]]</f>
        <v>0</v>
      </c>
      <c r="R748" s="41"/>
    </row>
    <row r="749" spans="4:18">
      <c r="D749" s="188"/>
      <c r="F749" s="168" t="s">
        <v>6202</v>
      </c>
      <c r="G749" s="193">
        <f>IF(_1_541284561214624104645789101745[[#This Row],[Type]]&gt;0,VLOOKUP(_1_541284561214624104645789101745[[#This Row],[Type]],Main[[#All],[TYPE]:[UNIT]],'Unit Price'!C$1,FALSE),0)</f>
        <v>0</v>
      </c>
      <c r="H749" s="197">
        <f>IF(_1_541284561214624104645789101745[[#This Row],[Type]]&gt;0,VLOOKUP(_1_541284561214624104645789101745[[#This Row],[Type]],Main[[#All],[TYPE]:[UNIT]],'Unit Price'!D$1,FALSE),0)</f>
        <v>0</v>
      </c>
      <c r="I749" s="194">
        <f>IF(_1_541284561214624104645789101745[[#This Row],[Type]]&gt;0,VLOOKUP(_1_541284561214624104645789101745[[#This Row],[Type]],Main[[#All],[TYPE]:[UNIT]],'Unit Price'!G$1,FALSE),0)</f>
        <v>0</v>
      </c>
      <c r="J749" s="194">
        <f>IF(_1_541284561214624104645789101745[[#This Row],[Type]]&gt;0,VLOOKUP(_1_541284561214624104645789101745[[#This Row],[Type]],Main[[#All],[TYPE]:[UNIT]],'Unit Price'!H$1,FALSE),0)</f>
        <v>0</v>
      </c>
      <c r="K749" s="194">
        <f>IF(_1_541284561214624104645789101745[[#This Row],[Discount selection]]&gt;0,VLOOKUP(_1_541284561214624104645789101745[[#This Row],[Discount selection]],'Discount Structure'!$A$2:$B$30,2,"false"),0)</f>
        <v>1</v>
      </c>
      <c r="L749" s="194">
        <f>_1_541284561214624104645789101745[[#This Row],[LIST $]]*_1_541284561214624104645789101745[[#This Row],[DISCOUNT]]*_1_541284561214624104645789101745[[#This Row],[DISCOUNT 2]]</f>
        <v>0</v>
      </c>
      <c r="M749" s="194">
        <f>IF(OR(_1_541284561214624104645789101745[[#This Row],[UNIT]]&gt;0,_1_541284561214624104645789101745[[#This Row],[UNIT]]&lt;0),_1_541284561214624104645789101745[[#This Row],[UNIT]]*_1_541284561214624104645789101745[[#This Row],[COST]],0)</f>
        <v>0</v>
      </c>
      <c r="N749" s="194">
        <f t="shared" si="11"/>
        <v>1.5</v>
      </c>
      <c r="O749" s="198">
        <f>_1_541284561214624104645789101745[[#This Row],[TOTAL]]*_1_541284561214624104645789101745[[#This Row],[MARGIN]]</f>
        <v>0</v>
      </c>
      <c r="R749" s="41"/>
    </row>
    <row r="750" spans="4:18">
      <c r="D750" s="188"/>
      <c r="F750" s="168" t="s">
        <v>6202</v>
      </c>
      <c r="G750" s="193">
        <f>IF(_1_541284561214624104645789101745[[#This Row],[Type]]&gt;0,VLOOKUP(_1_541284561214624104645789101745[[#This Row],[Type]],Main[[#All],[TYPE]:[UNIT]],'Unit Price'!C$1,FALSE),0)</f>
        <v>0</v>
      </c>
      <c r="H750" s="197">
        <f>IF(_1_541284561214624104645789101745[[#This Row],[Type]]&gt;0,VLOOKUP(_1_541284561214624104645789101745[[#This Row],[Type]],Main[[#All],[TYPE]:[UNIT]],'Unit Price'!D$1,FALSE),0)</f>
        <v>0</v>
      </c>
      <c r="I750" s="194">
        <f>IF(_1_541284561214624104645789101745[[#This Row],[Type]]&gt;0,VLOOKUP(_1_541284561214624104645789101745[[#This Row],[Type]],Main[[#All],[TYPE]:[UNIT]],'Unit Price'!G$1,FALSE),0)</f>
        <v>0</v>
      </c>
      <c r="J750" s="194">
        <f>IF(_1_541284561214624104645789101745[[#This Row],[Type]]&gt;0,VLOOKUP(_1_541284561214624104645789101745[[#This Row],[Type]],Main[[#All],[TYPE]:[UNIT]],'Unit Price'!H$1,FALSE),0)</f>
        <v>0</v>
      </c>
      <c r="K750" s="194">
        <f>IF(_1_541284561214624104645789101745[[#This Row],[Discount selection]]&gt;0,VLOOKUP(_1_541284561214624104645789101745[[#This Row],[Discount selection]],'Discount Structure'!$A$2:$B$30,2,"false"),0)</f>
        <v>1</v>
      </c>
      <c r="L750" s="194">
        <f>_1_541284561214624104645789101745[[#This Row],[LIST $]]*_1_541284561214624104645789101745[[#This Row],[DISCOUNT]]*_1_541284561214624104645789101745[[#This Row],[DISCOUNT 2]]</f>
        <v>0</v>
      </c>
      <c r="M750" s="194">
        <f>IF(OR(_1_541284561214624104645789101745[[#This Row],[UNIT]]&gt;0,_1_541284561214624104645789101745[[#This Row],[UNIT]]&lt;0),_1_541284561214624104645789101745[[#This Row],[UNIT]]*_1_541284561214624104645789101745[[#This Row],[COST]],0)</f>
        <v>0</v>
      </c>
      <c r="N750" s="194">
        <f t="shared" si="11"/>
        <v>1.5</v>
      </c>
      <c r="O750" s="198">
        <f>_1_541284561214624104645789101745[[#This Row],[TOTAL]]*_1_541284561214624104645789101745[[#This Row],[MARGIN]]</f>
        <v>0</v>
      </c>
      <c r="R750" s="41"/>
    </row>
    <row r="751" spans="4:18">
      <c r="D751" s="188"/>
      <c r="F751" s="168" t="s">
        <v>6202</v>
      </c>
      <c r="G751" s="193">
        <f>IF(_1_541284561214624104645789101745[[#This Row],[Type]]&gt;0,VLOOKUP(_1_541284561214624104645789101745[[#This Row],[Type]],Main[[#All],[TYPE]:[UNIT]],'Unit Price'!C$1,FALSE),0)</f>
        <v>0</v>
      </c>
      <c r="H751" s="197">
        <f>IF(_1_541284561214624104645789101745[[#This Row],[Type]]&gt;0,VLOOKUP(_1_541284561214624104645789101745[[#This Row],[Type]],Main[[#All],[TYPE]:[UNIT]],'Unit Price'!D$1,FALSE),0)</f>
        <v>0</v>
      </c>
      <c r="I751" s="194">
        <f>IF(_1_541284561214624104645789101745[[#This Row],[Type]]&gt;0,VLOOKUP(_1_541284561214624104645789101745[[#This Row],[Type]],Main[[#All],[TYPE]:[UNIT]],'Unit Price'!G$1,FALSE),0)</f>
        <v>0</v>
      </c>
      <c r="J751" s="194">
        <f>IF(_1_541284561214624104645789101745[[#This Row],[Type]]&gt;0,VLOOKUP(_1_541284561214624104645789101745[[#This Row],[Type]],Main[[#All],[TYPE]:[UNIT]],'Unit Price'!H$1,FALSE),0)</f>
        <v>0</v>
      </c>
      <c r="K751" s="194">
        <f>IF(_1_541284561214624104645789101745[[#This Row],[Discount selection]]&gt;0,VLOOKUP(_1_541284561214624104645789101745[[#This Row],[Discount selection]],'Discount Structure'!$A$2:$B$30,2,"false"),0)</f>
        <v>1</v>
      </c>
      <c r="L751" s="194">
        <f>_1_541284561214624104645789101745[[#This Row],[LIST $]]*_1_541284561214624104645789101745[[#This Row],[DISCOUNT]]*_1_541284561214624104645789101745[[#This Row],[DISCOUNT 2]]</f>
        <v>0</v>
      </c>
      <c r="M751" s="194">
        <f>IF(OR(_1_541284561214624104645789101745[[#This Row],[UNIT]]&gt;0,_1_541284561214624104645789101745[[#This Row],[UNIT]]&lt;0),_1_541284561214624104645789101745[[#This Row],[UNIT]]*_1_541284561214624104645789101745[[#This Row],[COST]],0)</f>
        <v>0</v>
      </c>
      <c r="N751" s="194">
        <f t="shared" si="11"/>
        <v>1.5</v>
      </c>
      <c r="O751" s="198">
        <f>_1_541284561214624104645789101745[[#This Row],[TOTAL]]*_1_541284561214624104645789101745[[#This Row],[MARGIN]]</f>
        <v>0</v>
      </c>
      <c r="R751" s="41"/>
    </row>
    <row r="752" spans="4:18">
      <c r="D752" s="188"/>
      <c r="F752" s="168" t="s">
        <v>6202</v>
      </c>
      <c r="G752" s="193">
        <f>IF(_1_541284561214624104645789101745[[#This Row],[Type]]&gt;0,VLOOKUP(_1_541284561214624104645789101745[[#This Row],[Type]],Main[[#All],[TYPE]:[UNIT]],'Unit Price'!C$1,FALSE),0)</f>
        <v>0</v>
      </c>
      <c r="H752" s="197">
        <f>IF(_1_541284561214624104645789101745[[#This Row],[Type]]&gt;0,VLOOKUP(_1_541284561214624104645789101745[[#This Row],[Type]],Main[[#All],[TYPE]:[UNIT]],'Unit Price'!D$1,FALSE),0)</f>
        <v>0</v>
      </c>
      <c r="I752" s="194">
        <f>IF(_1_541284561214624104645789101745[[#This Row],[Type]]&gt;0,VLOOKUP(_1_541284561214624104645789101745[[#This Row],[Type]],Main[[#All],[TYPE]:[UNIT]],'Unit Price'!G$1,FALSE),0)</f>
        <v>0</v>
      </c>
      <c r="J752" s="194">
        <f>IF(_1_541284561214624104645789101745[[#This Row],[Type]]&gt;0,VLOOKUP(_1_541284561214624104645789101745[[#This Row],[Type]],Main[[#All],[TYPE]:[UNIT]],'Unit Price'!H$1,FALSE),0)</f>
        <v>0</v>
      </c>
      <c r="K752" s="194">
        <f>IF(_1_541284561214624104645789101745[[#This Row],[Discount selection]]&gt;0,VLOOKUP(_1_541284561214624104645789101745[[#This Row],[Discount selection]],'Discount Structure'!$A$2:$B$30,2,"false"),0)</f>
        <v>1</v>
      </c>
      <c r="L752" s="194">
        <f>_1_541284561214624104645789101745[[#This Row],[LIST $]]*_1_541284561214624104645789101745[[#This Row],[DISCOUNT]]*_1_541284561214624104645789101745[[#This Row],[DISCOUNT 2]]</f>
        <v>0</v>
      </c>
      <c r="M752" s="194">
        <f>IF(OR(_1_541284561214624104645789101745[[#This Row],[UNIT]]&gt;0,_1_541284561214624104645789101745[[#This Row],[UNIT]]&lt;0),_1_541284561214624104645789101745[[#This Row],[UNIT]]*_1_541284561214624104645789101745[[#This Row],[COST]],0)</f>
        <v>0</v>
      </c>
      <c r="N752" s="194">
        <f t="shared" si="11"/>
        <v>1.5</v>
      </c>
      <c r="O752" s="198">
        <f>_1_541284561214624104645789101745[[#This Row],[TOTAL]]*_1_541284561214624104645789101745[[#This Row],[MARGIN]]</f>
        <v>0</v>
      </c>
      <c r="R752" s="41"/>
    </row>
    <row r="753" spans="4:18">
      <c r="D753" s="188"/>
      <c r="F753" s="168" t="s">
        <v>6202</v>
      </c>
      <c r="G753" s="193">
        <f>IF(_1_541284561214624104645789101745[[#This Row],[Type]]&gt;0,VLOOKUP(_1_541284561214624104645789101745[[#This Row],[Type]],Main[[#All],[TYPE]:[UNIT]],'Unit Price'!C$1,FALSE),0)</f>
        <v>0</v>
      </c>
      <c r="H753" s="197">
        <f>IF(_1_541284561214624104645789101745[[#This Row],[Type]]&gt;0,VLOOKUP(_1_541284561214624104645789101745[[#This Row],[Type]],Main[[#All],[TYPE]:[UNIT]],'Unit Price'!D$1,FALSE),0)</f>
        <v>0</v>
      </c>
      <c r="I753" s="194">
        <f>IF(_1_541284561214624104645789101745[[#This Row],[Type]]&gt;0,VLOOKUP(_1_541284561214624104645789101745[[#This Row],[Type]],Main[[#All],[TYPE]:[UNIT]],'Unit Price'!G$1,FALSE),0)</f>
        <v>0</v>
      </c>
      <c r="J753" s="194">
        <f>IF(_1_541284561214624104645789101745[[#This Row],[Type]]&gt;0,VLOOKUP(_1_541284561214624104645789101745[[#This Row],[Type]],Main[[#All],[TYPE]:[UNIT]],'Unit Price'!H$1,FALSE),0)</f>
        <v>0</v>
      </c>
      <c r="K753" s="194">
        <f>IF(_1_541284561214624104645789101745[[#This Row],[Discount selection]]&gt;0,VLOOKUP(_1_541284561214624104645789101745[[#This Row],[Discount selection]],'Discount Structure'!$A$2:$B$30,2,"false"),0)</f>
        <v>1</v>
      </c>
      <c r="L753" s="194">
        <f>_1_541284561214624104645789101745[[#This Row],[LIST $]]*_1_541284561214624104645789101745[[#This Row],[DISCOUNT]]*_1_541284561214624104645789101745[[#This Row],[DISCOUNT 2]]</f>
        <v>0</v>
      </c>
      <c r="M753" s="194">
        <f>IF(OR(_1_541284561214624104645789101745[[#This Row],[UNIT]]&gt;0,_1_541284561214624104645789101745[[#This Row],[UNIT]]&lt;0),_1_541284561214624104645789101745[[#This Row],[UNIT]]*_1_541284561214624104645789101745[[#This Row],[COST]],0)</f>
        <v>0</v>
      </c>
      <c r="N753" s="194">
        <f t="shared" si="11"/>
        <v>1.5</v>
      </c>
      <c r="O753" s="198">
        <f>_1_541284561214624104645789101745[[#This Row],[TOTAL]]*_1_541284561214624104645789101745[[#This Row],[MARGIN]]</f>
        <v>0</v>
      </c>
      <c r="R753" s="41"/>
    </row>
    <row r="754" spans="4:18">
      <c r="D754" s="188"/>
      <c r="F754" s="168" t="s">
        <v>6202</v>
      </c>
      <c r="G754" s="193">
        <f>IF(_1_541284561214624104645789101745[[#This Row],[Type]]&gt;0,VLOOKUP(_1_541284561214624104645789101745[[#This Row],[Type]],Main[[#All],[TYPE]:[UNIT]],'Unit Price'!C$1,FALSE),0)</f>
        <v>0</v>
      </c>
      <c r="H754" s="197">
        <f>IF(_1_541284561214624104645789101745[[#This Row],[Type]]&gt;0,VLOOKUP(_1_541284561214624104645789101745[[#This Row],[Type]],Main[[#All],[TYPE]:[UNIT]],'Unit Price'!D$1,FALSE),0)</f>
        <v>0</v>
      </c>
      <c r="I754" s="194">
        <f>IF(_1_541284561214624104645789101745[[#This Row],[Type]]&gt;0,VLOOKUP(_1_541284561214624104645789101745[[#This Row],[Type]],Main[[#All],[TYPE]:[UNIT]],'Unit Price'!G$1,FALSE),0)</f>
        <v>0</v>
      </c>
      <c r="J754" s="194">
        <f>IF(_1_541284561214624104645789101745[[#This Row],[Type]]&gt;0,VLOOKUP(_1_541284561214624104645789101745[[#This Row],[Type]],Main[[#All],[TYPE]:[UNIT]],'Unit Price'!H$1,FALSE),0)</f>
        <v>0</v>
      </c>
      <c r="K754" s="194">
        <f>IF(_1_541284561214624104645789101745[[#This Row],[Discount selection]]&gt;0,VLOOKUP(_1_541284561214624104645789101745[[#This Row],[Discount selection]],'Discount Structure'!$A$2:$B$30,2,"false"),0)</f>
        <v>1</v>
      </c>
      <c r="L754" s="194">
        <f>_1_541284561214624104645789101745[[#This Row],[LIST $]]*_1_541284561214624104645789101745[[#This Row],[DISCOUNT]]*_1_541284561214624104645789101745[[#This Row],[DISCOUNT 2]]</f>
        <v>0</v>
      </c>
      <c r="M754" s="194">
        <f>IF(OR(_1_541284561214624104645789101745[[#This Row],[UNIT]]&gt;0,_1_541284561214624104645789101745[[#This Row],[UNIT]]&lt;0),_1_541284561214624104645789101745[[#This Row],[UNIT]]*_1_541284561214624104645789101745[[#This Row],[COST]],0)</f>
        <v>0</v>
      </c>
      <c r="N754" s="194">
        <f t="shared" si="11"/>
        <v>1.5</v>
      </c>
      <c r="O754" s="198">
        <f>_1_541284561214624104645789101745[[#This Row],[TOTAL]]*_1_541284561214624104645789101745[[#This Row],[MARGIN]]</f>
        <v>0</v>
      </c>
      <c r="R754" s="41"/>
    </row>
    <row r="755" spans="4:18">
      <c r="D755" s="188"/>
      <c r="F755" s="168" t="s">
        <v>6202</v>
      </c>
      <c r="G755" s="193">
        <f>IF(_1_541284561214624104645789101745[[#This Row],[Type]]&gt;0,VLOOKUP(_1_541284561214624104645789101745[[#This Row],[Type]],Main[[#All],[TYPE]:[UNIT]],'Unit Price'!C$1,FALSE),0)</f>
        <v>0</v>
      </c>
      <c r="H755" s="197">
        <f>IF(_1_541284561214624104645789101745[[#This Row],[Type]]&gt;0,VLOOKUP(_1_541284561214624104645789101745[[#This Row],[Type]],Main[[#All],[TYPE]:[UNIT]],'Unit Price'!D$1,FALSE),0)</f>
        <v>0</v>
      </c>
      <c r="I755" s="194">
        <f>IF(_1_541284561214624104645789101745[[#This Row],[Type]]&gt;0,VLOOKUP(_1_541284561214624104645789101745[[#This Row],[Type]],Main[[#All],[TYPE]:[UNIT]],'Unit Price'!G$1,FALSE),0)</f>
        <v>0</v>
      </c>
      <c r="J755" s="194">
        <f>IF(_1_541284561214624104645789101745[[#This Row],[Type]]&gt;0,VLOOKUP(_1_541284561214624104645789101745[[#This Row],[Type]],Main[[#All],[TYPE]:[UNIT]],'Unit Price'!H$1,FALSE),0)</f>
        <v>0</v>
      </c>
      <c r="K755" s="194">
        <f>IF(_1_541284561214624104645789101745[[#This Row],[Discount selection]]&gt;0,VLOOKUP(_1_541284561214624104645789101745[[#This Row],[Discount selection]],'Discount Structure'!$A$2:$B$30,2,"false"),0)</f>
        <v>1</v>
      </c>
      <c r="L755" s="194">
        <f>_1_541284561214624104645789101745[[#This Row],[LIST $]]*_1_541284561214624104645789101745[[#This Row],[DISCOUNT]]*_1_541284561214624104645789101745[[#This Row],[DISCOUNT 2]]</f>
        <v>0</v>
      </c>
      <c r="M755" s="194">
        <f>IF(OR(_1_541284561214624104645789101745[[#This Row],[UNIT]]&gt;0,_1_541284561214624104645789101745[[#This Row],[UNIT]]&lt;0),_1_541284561214624104645789101745[[#This Row],[UNIT]]*_1_541284561214624104645789101745[[#This Row],[COST]],0)</f>
        <v>0</v>
      </c>
      <c r="N755" s="194">
        <f t="shared" si="11"/>
        <v>1.5</v>
      </c>
      <c r="O755" s="198">
        <f>_1_541284561214624104645789101745[[#This Row],[TOTAL]]*_1_541284561214624104645789101745[[#This Row],[MARGIN]]</f>
        <v>0</v>
      </c>
      <c r="R755" s="41"/>
    </row>
    <row r="756" spans="4:18">
      <c r="D756" s="188"/>
      <c r="F756" s="168" t="s">
        <v>6202</v>
      </c>
      <c r="G756" s="193">
        <f>IF(_1_541284561214624104645789101745[[#This Row],[Type]]&gt;0,VLOOKUP(_1_541284561214624104645789101745[[#This Row],[Type]],Main[[#All],[TYPE]:[UNIT]],'Unit Price'!C$1,FALSE),0)</f>
        <v>0</v>
      </c>
      <c r="H756" s="197">
        <f>IF(_1_541284561214624104645789101745[[#This Row],[Type]]&gt;0,VLOOKUP(_1_541284561214624104645789101745[[#This Row],[Type]],Main[[#All],[TYPE]:[UNIT]],'Unit Price'!D$1,FALSE),0)</f>
        <v>0</v>
      </c>
      <c r="I756" s="194">
        <f>IF(_1_541284561214624104645789101745[[#This Row],[Type]]&gt;0,VLOOKUP(_1_541284561214624104645789101745[[#This Row],[Type]],Main[[#All],[TYPE]:[UNIT]],'Unit Price'!G$1,FALSE),0)</f>
        <v>0</v>
      </c>
      <c r="J756" s="194">
        <f>IF(_1_541284561214624104645789101745[[#This Row],[Type]]&gt;0,VLOOKUP(_1_541284561214624104645789101745[[#This Row],[Type]],Main[[#All],[TYPE]:[UNIT]],'Unit Price'!H$1,FALSE),0)</f>
        <v>0</v>
      </c>
      <c r="K756" s="194">
        <f>IF(_1_541284561214624104645789101745[[#This Row],[Discount selection]]&gt;0,VLOOKUP(_1_541284561214624104645789101745[[#This Row],[Discount selection]],'Discount Structure'!$A$2:$B$30,2,"false"),0)</f>
        <v>1</v>
      </c>
      <c r="L756" s="194">
        <f>_1_541284561214624104645789101745[[#This Row],[LIST $]]*_1_541284561214624104645789101745[[#This Row],[DISCOUNT]]*_1_541284561214624104645789101745[[#This Row],[DISCOUNT 2]]</f>
        <v>0</v>
      </c>
      <c r="M756" s="194">
        <f>IF(OR(_1_541284561214624104645789101745[[#This Row],[UNIT]]&gt;0,_1_541284561214624104645789101745[[#This Row],[UNIT]]&lt;0),_1_541284561214624104645789101745[[#This Row],[UNIT]]*_1_541284561214624104645789101745[[#This Row],[COST]],0)</f>
        <v>0</v>
      </c>
      <c r="N756" s="194">
        <f t="shared" si="11"/>
        <v>1.5</v>
      </c>
      <c r="O756" s="198">
        <f>_1_541284561214624104645789101745[[#This Row],[TOTAL]]*_1_541284561214624104645789101745[[#This Row],[MARGIN]]</f>
        <v>0</v>
      </c>
      <c r="R756" s="41"/>
    </row>
    <row r="757" spans="4:18">
      <c r="D757" s="188"/>
      <c r="F757" s="168" t="s">
        <v>6202</v>
      </c>
      <c r="G757" s="193">
        <f>IF(_1_541284561214624104645789101745[[#This Row],[Type]]&gt;0,VLOOKUP(_1_541284561214624104645789101745[[#This Row],[Type]],Main[[#All],[TYPE]:[UNIT]],'Unit Price'!C$1,FALSE),0)</f>
        <v>0</v>
      </c>
      <c r="H757" s="197">
        <f>IF(_1_541284561214624104645789101745[[#This Row],[Type]]&gt;0,VLOOKUP(_1_541284561214624104645789101745[[#This Row],[Type]],Main[[#All],[TYPE]:[UNIT]],'Unit Price'!D$1,FALSE),0)</f>
        <v>0</v>
      </c>
      <c r="I757" s="194">
        <f>IF(_1_541284561214624104645789101745[[#This Row],[Type]]&gt;0,VLOOKUP(_1_541284561214624104645789101745[[#This Row],[Type]],Main[[#All],[TYPE]:[UNIT]],'Unit Price'!G$1,FALSE),0)</f>
        <v>0</v>
      </c>
      <c r="J757" s="194">
        <f>IF(_1_541284561214624104645789101745[[#This Row],[Type]]&gt;0,VLOOKUP(_1_541284561214624104645789101745[[#This Row],[Type]],Main[[#All],[TYPE]:[UNIT]],'Unit Price'!H$1,FALSE),0)</f>
        <v>0</v>
      </c>
      <c r="K757" s="194">
        <f>IF(_1_541284561214624104645789101745[[#This Row],[Discount selection]]&gt;0,VLOOKUP(_1_541284561214624104645789101745[[#This Row],[Discount selection]],'Discount Structure'!$A$2:$B$30,2,"false"),0)</f>
        <v>1</v>
      </c>
      <c r="L757" s="194">
        <f>_1_541284561214624104645789101745[[#This Row],[LIST $]]*_1_541284561214624104645789101745[[#This Row],[DISCOUNT]]*_1_541284561214624104645789101745[[#This Row],[DISCOUNT 2]]</f>
        <v>0</v>
      </c>
      <c r="M757" s="194">
        <f>IF(OR(_1_541284561214624104645789101745[[#This Row],[UNIT]]&gt;0,_1_541284561214624104645789101745[[#This Row],[UNIT]]&lt;0),_1_541284561214624104645789101745[[#This Row],[UNIT]]*_1_541284561214624104645789101745[[#This Row],[COST]],0)</f>
        <v>0</v>
      </c>
      <c r="N757" s="194">
        <f t="shared" si="11"/>
        <v>1.5</v>
      </c>
      <c r="O757" s="198">
        <f>_1_541284561214624104645789101745[[#This Row],[TOTAL]]*_1_541284561214624104645789101745[[#This Row],[MARGIN]]</f>
        <v>0</v>
      </c>
      <c r="R757" s="41"/>
    </row>
    <row r="758" spans="4:18">
      <c r="D758" s="188"/>
      <c r="F758" s="168" t="s">
        <v>6202</v>
      </c>
      <c r="G758" s="193">
        <f>IF(_1_541284561214624104645789101745[[#This Row],[Type]]&gt;0,VLOOKUP(_1_541284561214624104645789101745[[#This Row],[Type]],Main[[#All],[TYPE]:[UNIT]],'Unit Price'!C$1,FALSE),0)</f>
        <v>0</v>
      </c>
      <c r="H758" s="197">
        <f>IF(_1_541284561214624104645789101745[[#This Row],[Type]]&gt;0,VLOOKUP(_1_541284561214624104645789101745[[#This Row],[Type]],Main[[#All],[TYPE]:[UNIT]],'Unit Price'!D$1,FALSE),0)</f>
        <v>0</v>
      </c>
      <c r="I758" s="194">
        <f>IF(_1_541284561214624104645789101745[[#This Row],[Type]]&gt;0,VLOOKUP(_1_541284561214624104645789101745[[#This Row],[Type]],Main[[#All],[TYPE]:[UNIT]],'Unit Price'!G$1,FALSE),0)</f>
        <v>0</v>
      </c>
      <c r="J758" s="194">
        <f>IF(_1_541284561214624104645789101745[[#This Row],[Type]]&gt;0,VLOOKUP(_1_541284561214624104645789101745[[#This Row],[Type]],Main[[#All],[TYPE]:[UNIT]],'Unit Price'!H$1,FALSE),0)</f>
        <v>0</v>
      </c>
      <c r="K758" s="194">
        <f>IF(_1_541284561214624104645789101745[[#This Row],[Discount selection]]&gt;0,VLOOKUP(_1_541284561214624104645789101745[[#This Row],[Discount selection]],'Discount Structure'!$A$2:$B$30,2,"false"),0)</f>
        <v>1</v>
      </c>
      <c r="L758" s="194">
        <f>_1_541284561214624104645789101745[[#This Row],[LIST $]]*_1_541284561214624104645789101745[[#This Row],[DISCOUNT]]*_1_541284561214624104645789101745[[#This Row],[DISCOUNT 2]]</f>
        <v>0</v>
      </c>
      <c r="M758" s="194">
        <f>IF(OR(_1_541284561214624104645789101745[[#This Row],[UNIT]]&gt;0,_1_541284561214624104645789101745[[#This Row],[UNIT]]&lt;0),_1_541284561214624104645789101745[[#This Row],[UNIT]]*_1_541284561214624104645789101745[[#This Row],[COST]],0)</f>
        <v>0</v>
      </c>
      <c r="N758" s="194">
        <f t="shared" si="11"/>
        <v>1.5</v>
      </c>
      <c r="O758" s="198">
        <f>_1_541284561214624104645789101745[[#This Row],[TOTAL]]*_1_541284561214624104645789101745[[#This Row],[MARGIN]]</f>
        <v>0</v>
      </c>
      <c r="R758" s="41"/>
    </row>
    <row r="759" spans="4:18">
      <c r="D759" s="188"/>
      <c r="F759" s="168" t="s">
        <v>6202</v>
      </c>
      <c r="G759" s="193">
        <f>IF(_1_541284561214624104645789101745[[#This Row],[Type]]&gt;0,VLOOKUP(_1_541284561214624104645789101745[[#This Row],[Type]],Main[[#All],[TYPE]:[UNIT]],'Unit Price'!C$1,FALSE),0)</f>
        <v>0</v>
      </c>
      <c r="H759" s="197">
        <f>IF(_1_541284561214624104645789101745[[#This Row],[Type]]&gt;0,VLOOKUP(_1_541284561214624104645789101745[[#This Row],[Type]],Main[[#All],[TYPE]:[UNIT]],'Unit Price'!D$1,FALSE),0)</f>
        <v>0</v>
      </c>
      <c r="I759" s="194">
        <f>IF(_1_541284561214624104645789101745[[#This Row],[Type]]&gt;0,VLOOKUP(_1_541284561214624104645789101745[[#This Row],[Type]],Main[[#All],[TYPE]:[UNIT]],'Unit Price'!G$1,FALSE),0)</f>
        <v>0</v>
      </c>
      <c r="J759" s="194">
        <f>IF(_1_541284561214624104645789101745[[#This Row],[Type]]&gt;0,VLOOKUP(_1_541284561214624104645789101745[[#This Row],[Type]],Main[[#All],[TYPE]:[UNIT]],'Unit Price'!H$1,FALSE),0)</f>
        <v>0</v>
      </c>
      <c r="K759" s="194">
        <f>IF(_1_541284561214624104645789101745[[#This Row],[Discount selection]]&gt;0,VLOOKUP(_1_541284561214624104645789101745[[#This Row],[Discount selection]],'Discount Structure'!$A$2:$B$30,2,"false"),0)</f>
        <v>1</v>
      </c>
      <c r="L759" s="194">
        <f>_1_541284561214624104645789101745[[#This Row],[LIST $]]*_1_541284561214624104645789101745[[#This Row],[DISCOUNT]]*_1_541284561214624104645789101745[[#This Row],[DISCOUNT 2]]</f>
        <v>0</v>
      </c>
      <c r="M759" s="194">
        <f>IF(OR(_1_541284561214624104645789101745[[#This Row],[UNIT]]&gt;0,_1_541284561214624104645789101745[[#This Row],[UNIT]]&lt;0),_1_541284561214624104645789101745[[#This Row],[UNIT]]*_1_541284561214624104645789101745[[#This Row],[COST]],0)</f>
        <v>0</v>
      </c>
      <c r="N759" s="194">
        <f t="shared" si="11"/>
        <v>1.5</v>
      </c>
      <c r="O759" s="198">
        <f>_1_541284561214624104645789101745[[#This Row],[TOTAL]]*_1_541284561214624104645789101745[[#This Row],[MARGIN]]</f>
        <v>0</v>
      </c>
      <c r="R759" s="41"/>
    </row>
    <row r="760" spans="4:18">
      <c r="D760" s="188"/>
      <c r="F760" s="168" t="s">
        <v>6202</v>
      </c>
      <c r="G760" s="193">
        <f>IF(_1_541284561214624104645789101745[[#This Row],[Type]]&gt;0,VLOOKUP(_1_541284561214624104645789101745[[#This Row],[Type]],Main[[#All],[TYPE]:[UNIT]],'Unit Price'!C$1,FALSE),0)</f>
        <v>0</v>
      </c>
      <c r="H760" s="197">
        <f>IF(_1_541284561214624104645789101745[[#This Row],[Type]]&gt;0,VLOOKUP(_1_541284561214624104645789101745[[#This Row],[Type]],Main[[#All],[TYPE]:[UNIT]],'Unit Price'!D$1,FALSE),0)</f>
        <v>0</v>
      </c>
      <c r="I760" s="194">
        <f>IF(_1_541284561214624104645789101745[[#This Row],[Type]]&gt;0,VLOOKUP(_1_541284561214624104645789101745[[#This Row],[Type]],Main[[#All],[TYPE]:[UNIT]],'Unit Price'!G$1,FALSE),0)</f>
        <v>0</v>
      </c>
      <c r="J760" s="194">
        <f>IF(_1_541284561214624104645789101745[[#This Row],[Type]]&gt;0,VLOOKUP(_1_541284561214624104645789101745[[#This Row],[Type]],Main[[#All],[TYPE]:[UNIT]],'Unit Price'!H$1,FALSE),0)</f>
        <v>0</v>
      </c>
      <c r="K760" s="194">
        <f>IF(_1_541284561214624104645789101745[[#This Row],[Discount selection]]&gt;0,VLOOKUP(_1_541284561214624104645789101745[[#This Row],[Discount selection]],'Discount Structure'!$A$2:$B$30,2,"false"),0)</f>
        <v>1</v>
      </c>
      <c r="L760" s="194">
        <f>_1_541284561214624104645789101745[[#This Row],[LIST $]]*_1_541284561214624104645789101745[[#This Row],[DISCOUNT]]*_1_541284561214624104645789101745[[#This Row],[DISCOUNT 2]]</f>
        <v>0</v>
      </c>
      <c r="M760" s="194">
        <f>IF(OR(_1_541284561214624104645789101745[[#This Row],[UNIT]]&gt;0,_1_541284561214624104645789101745[[#This Row],[UNIT]]&lt;0),_1_541284561214624104645789101745[[#This Row],[UNIT]]*_1_541284561214624104645789101745[[#This Row],[COST]],0)</f>
        <v>0</v>
      </c>
      <c r="N760" s="194">
        <f t="shared" si="11"/>
        <v>1.5</v>
      </c>
      <c r="O760" s="198">
        <f>_1_541284561214624104645789101745[[#This Row],[TOTAL]]*_1_541284561214624104645789101745[[#This Row],[MARGIN]]</f>
        <v>0</v>
      </c>
      <c r="R760" s="41"/>
    </row>
    <row r="761" spans="4:18">
      <c r="D761" s="188"/>
      <c r="F761" s="168" t="s">
        <v>6202</v>
      </c>
      <c r="G761" s="193">
        <f>IF(_1_541284561214624104645789101745[[#This Row],[Type]]&gt;0,VLOOKUP(_1_541284561214624104645789101745[[#This Row],[Type]],Main[[#All],[TYPE]:[UNIT]],'Unit Price'!C$1,FALSE),0)</f>
        <v>0</v>
      </c>
      <c r="H761" s="197">
        <f>IF(_1_541284561214624104645789101745[[#This Row],[Type]]&gt;0,VLOOKUP(_1_541284561214624104645789101745[[#This Row],[Type]],Main[[#All],[TYPE]:[UNIT]],'Unit Price'!D$1,FALSE),0)</f>
        <v>0</v>
      </c>
      <c r="I761" s="194">
        <f>IF(_1_541284561214624104645789101745[[#This Row],[Type]]&gt;0,VLOOKUP(_1_541284561214624104645789101745[[#This Row],[Type]],Main[[#All],[TYPE]:[UNIT]],'Unit Price'!G$1,FALSE),0)</f>
        <v>0</v>
      </c>
      <c r="J761" s="194">
        <f>IF(_1_541284561214624104645789101745[[#This Row],[Type]]&gt;0,VLOOKUP(_1_541284561214624104645789101745[[#This Row],[Type]],Main[[#All],[TYPE]:[UNIT]],'Unit Price'!H$1,FALSE),0)</f>
        <v>0</v>
      </c>
      <c r="K761" s="194">
        <f>IF(_1_541284561214624104645789101745[[#This Row],[Discount selection]]&gt;0,VLOOKUP(_1_541284561214624104645789101745[[#This Row],[Discount selection]],'Discount Structure'!$A$2:$B$30,2,"false"),0)</f>
        <v>1</v>
      </c>
      <c r="L761" s="194">
        <f>_1_541284561214624104645789101745[[#This Row],[LIST $]]*_1_541284561214624104645789101745[[#This Row],[DISCOUNT]]*_1_541284561214624104645789101745[[#This Row],[DISCOUNT 2]]</f>
        <v>0</v>
      </c>
      <c r="M761" s="194">
        <f>IF(OR(_1_541284561214624104645789101745[[#This Row],[UNIT]]&gt;0,_1_541284561214624104645789101745[[#This Row],[UNIT]]&lt;0),_1_541284561214624104645789101745[[#This Row],[UNIT]]*_1_541284561214624104645789101745[[#This Row],[COST]],0)</f>
        <v>0</v>
      </c>
      <c r="N761" s="194">
        <f t="shared" si="11"/>
        <v>1.5</v>
      </c>
      <c r="O761" s="198">
        <f>_1_541284561214624104645789101745[[#This Row],[TOTAL]]*_1_541284561214624104645789101745[[#This Row],[MARGIN]]</f>
        <v>0</v>
      </c>
      <c r="R761" s="41"/>
    </row>
    <row r="762" spans="4:18">
      <c r="D762" s="188"/>
      <c r="F762" s="168" t="s">
        <v>6202</v>
      </c>
      <c r="G762" s="193">
        <f>IF(_1_541284561214624104645789101745[[#This Row],[Type]]&gt;0,VLOOKUP(_1_541284561214624104645789101745[[#This Row],[Type]],Main[[#All],[TYPE]:[UNIT]],'Unit Price'!C$1,FALSE),0)</f>
        <v>0</v>
      </c>
      <c r="H762" s="197">
        <f>IF(_1_541284561214624104645789101745[[#This Row],[Type]]&gt;0,VLOOKUP(_1_541284561214624104645789101745[[#This Row],[Type]],Main[[#All],[TYPE]:[UNIT]],'Unit Price'!D$1,FALSE),0)</f>
        <v>0</v>
      </c>
      <c r="I762" s="194">
        <f>IF(_1_541284561214624104645789101745[[#This Row],[Type]]&gt;0,VLOOKUP(_1_541284561214624104645789101745[[#This Row],[Type]],Main[[#All],[TYPE]:[UNIT]],'Unit Price'!G$1,FALSE),0)</f>
        <v>0</v>
      </c>
      <c r="J762" s="194">
        <f>IF(_1_541284561214624104645789101745[[#This Row],[Type]]&gt;0,VLOOKUP(_1_541284561214624104645789101745[[#This Row],[Type]],Main[[#All],[TYPE]:[UNIT]],'Unit Price'!H$1,FALSE),0)</f>
        <v>0</v>
      </c>
      <c r="K762" s="194">
        <f>IF(_1_541284561214624104645789101745[[#This Row],[Discount selection]]&gt;0,VLOOKUP(_1_541284561214624104645789101745[[#This Row],[Discount selection]],'Discount Structure'!$A$2:$B$30,2,"false"),0)</f>
        <v>1</v>
      </c>
      <c r="L762" s="194">
        <f>_1_541284561214624104645789101745[[#This Row],[LIST $]]*_1_541284561214624104645789101745[[#This Row],[DISCOUNT]]*_1_541284561214624104645789101745[[#This Row],[DISCOUNT 2]]</f>
        <v>0</v>
      </c>
      <c r="M762" s="194">
        <f>IF(OR(_1_541284561214624104645789101745[[#This Row],[UNIT]]&gt;0,_1_541284561214624104645789101745[[#This Row],[UNIT]]&lt;0),_1_541284561214624104645789101745[[#This Row],[UNIT]]*_1_541284561214624104645789101745[[#This Row],[COST]],0)</f>
        <v>0</v>
      </c>
      <c r="N762" s="194">
        <f t="shared" si="11"/>
        <v>1.5</v>
      </c>
      <c r="O762" s="198">
        <f>_1_541284561214624104645789101745[[#This Row],[TOTAL]]*_1_541284561214624104645789101745[[#This Row],[MARGIN]]</f>
        <v>0</v>
      </c>
      <c r="R762" s="41"/>
    </row>
    <row r="763" spans="4:18">
      <c r="D763" s="188"/>
      <c r="F763" s="168" t="s">
        <v>6202</v>
      </c>
      <c r="G763" s="193">
        <f>IF(_1_541284561214624104645789101745[[#This Row],[Type]]&gt;0,VLOOKUP(_1_541284561214624104645789101745[[#This Row],[Type]],Main[[#All],[TYPE]:[UNIT]],'Unit Price'!C$1,FALSE),0)</f>
        <v>0</v>
      </c>
      <c r="H763" s="197">
        <f>IF(_1_541284561214624104645789101745[[#This Row],[Type]]&gt;0,VLOOKUP(_1_541284561214624104645789101745[[#This Row],[Type]],Main[[#All],[TYPE]:[UNIT]],'Unit Price'!D$1,FALSE),0)</f>
        <v>0</v>
      </c>
      <c r="I763" s="194">
        <f>IF(_1_541284561214624104645789101745[[#This Row],[Type]]&gt;0,VLOOKUP(_1_541284561214624104645789101745[[#This Row],[Type]],Main[[#All],[TYPE]:[UNIT]],'Unit Price'!G$1,FALSE),0)</f>
        <v>0</v>
      </c>
      <c r="J763" s="194">
        <f>IF(_1_541284561214624104645789101745[[#This Row],[Type]]&gt;0,VLOOKUP(_1_541284561214624104645789101745[[#This Row],[Type]],Main[[#All],[TYPE]:[UNIT]],'Unit Price'!H$1,FALSE),0)</f>
        <v>0</v>
      </c>
      <c r="K763" s="194">
        <f>IF(_1_541284561214624104645789101745[[#This Row],[Discount selection]]&gt;0,VLOOKUP(_1_541284561214624104645789101745[[#This Row],[Discount selection]],'Discount Structure'!$A$2:$B$30,2,"false"),0)</f>
        <v>1</v>
      </c>
      <c r="L763" s="194">
        <f>_1_541284561214624104645789101745[[#This Row],[LIST $]]*_1_541284561214624104645789101745[[#This Row],[DISCOUNT]]*_1_541284561214624104645789101745[[#This Row],[DISCOUNT 2]]</f>
        <v>0</v>
      </c>
      <c r="M763" s="194">
        <f>IF(OR(_1_541284561214624104645789101745[[#This Row],[UNIT]]&gt;0,_1_541284561214624104645789101745[[#This Row],[UNIT]]&lt;0),_1_541284561214624104645789101745[[#This Row],[UNIT]]*_1_541284561214624104645789101745[[#This Row],[COST]],0)</f>
        <v>0</v>
      </c>
      <c r="N763" s="194">
        <f t="shared" si="11"/>
        <v>1.5</v>
      </c>
      <c r="O763" s="198">
        <f>_1_541284561214624104645789101745[[#This Row],[TOTAL]]*_1_541284561214624104645789101745[[#This Row],[MARGIN]]</f>
        <v>0</v>
      </c>
      <c r="R763" s="41"/>
    </row>
    <row r="764" spans="4:18">
      <c r="D764" s="188"/>
      <c r="F764" s="168" t="s">
        <v>6202</v>
      </c>
      <c r="G764" s="193">
        <f>IF(_1_541284561214624104645789101745[[#This Row],[Type]]&gt;0,VLOOKUP(_1_541284561214624104645789101745[[#This Row],[Type]],Main[[#All],[TYPE]:[UNIT]],'Unit Price'!C$1,FALSE),0)</f>
        <v>0</v>
      </c>
      <c r="H764" s="197">
        <f>IF(_1_541284561214624104645789101745[[#This Row],[Type]]&gt;0,VLOOKUP(_1_541284561214624104645789101745[[#This Row],[Type]],Main[[#All],[TYPE]:[UNIT]],'Unit Price'!D$1,FALSE),0)</f>
        <v>0</v>
      </c>
      <c r="I764" s="194">
        <f>IF(_1_541284561214624104645789101745[[#This Row],[Type]]&gt;0,VLOOKUP(_1_541284561214624104645789101745[[#This Row],[Type]],Main[[#All],[TYPE]:[UNIT]],'Unit Price'!G$1,FALSE),0)</f>
        <v>0</v>
      </c>
      <c r="J764" s="194">
        <f>IF(_1_541284561214624104645789101745[[#This Row],[Type]]&gt;0,VLOOKUP(_1_541284561214624104645789101745[[#This Row],[Type]],Main[[#All],[TYPE]:[UNIT]],'Unit Price'!H$1,FALSE),0)</f>
        <v>0</v>
      </c>
      <c r="K764" s="194">
        <f>IF(_1_541284561214624104645789101745[[#This Row],[Discount selection]]&gt;0,VLOOKUP(_1_541284561214624104645789101745[[#This Row],[Discount selection]],'Discount Structure'!$A$2:$B$30,2,"false"),0)</f>
        <v>1</v>
      </c>
      <c r="L764" s="194">
        <f>_1_541284561214624104645789101745[[#This Row],[LIST $]]*_1_541284561214624104645789101745[[#This Row],[DISCOUNT]]*_1_541284561214624104645789101745[[#This Row],[DISCOUNT 2]]</f>
        <v>0</v>
      </c>
      <c r="M764" s="194">
        <f>IF(OR(_1_541284561214624104645789101745[[#This Row],[UNIT]]&gt;0,_1_541284561214624104645789101745[[#This Row],[UNIT]]&lt;0),_1_541284561214624104645789101745[[#This Row],[UNIT]]*_1_541284561214624104645789101745[[#This Row],[COST]],0)</f>
        <v>0</v>
      </c>
      <c r="N764" s="194">
        <f t="shared" si="11"/>
        <v>1.5</v>
      </c>
      <c r="O764" s="198">
        <f>_1_541284561214624104645789101745[[#This Row],[TOTAL]]*_1_541284561214624104645789101745[[#This Row],[MARGIN]]</f>
        <v>0</v>
      </c>
      <c r="R764" s="41"/>
    </row>
    <row r="765" spans="4:18">
      <c r="D765" s="188"/>
      <c r="F765" s="168" t="s">
        <v>6202</v>
      </c>
      <c r="G765" s="193">
        <f>IF(_1_541284561214624104645789101745[[#This Row],[Type]]&gt;0,VLOOKUP(_1_541284561214624104645789101745[[#This Row],[Type]],Main[[#All],[TYPE]:[UNIT]],'Unit Price'!C$1,FALSE),0)</f>
        <v>0</v>
      </c>
      <c r="H765" s="197">
        <f>IF(_1_541284561214624104645789101745[[#This Row],[Type]]&gt;0,VLOOKUP(_1_541284561214624104645789101745[[#This Row],[Type]],Main[[#All],[TYPE]:[UNIT]],'Unit Price'!D$1,FALSE),0)</f>
        <v>0</v>
      </c>
      <c r="I765" s="194">
        <f>IF(_1_541284561214624104645789101745[[#This Row],[Type]]&gt;0,VLOOKUP(_1_541284561214624104645789101745[[#This Row],[Type]],Main[[#All],[TYPE]:[UNIT]],'Unit Price'!G$1,FALSE),0)</f>
        <v>0</v>
      </c>
      <c r="J765" s="194">
        <f>IF(_1_541284561214624104645789101745[[#This Row],[Type]]&gt;0,VLOOKUP(_1_541284561214624104645789101745[[#This Row],[Type]],Main[[#All],[TYPE]:[UNIT]],'Unit Price'!H$1,FALSE),0)</f>
        <v>0</v>
      </c>
      <c r="K765" s="194">
        <f>IF(_1_541284561214624104645789101745[[#This Row],[Discount selection]]&gt;0,VLOOKUP(_1_541284561214624104645789101745[[#This Row],[Discount selection]],'Discount Structure'!$A$2:$B$30,2,"false"),0)</f>
        <v>1</v>
      </c>
      <c r="L765" s="194">
        <f>_1_541284561214624104645789101745[[#This Row],[LIST $]]*_1_541284561214624104645789101745[[#This Row],[DISCOUNT]]*_1_541284561214624104645789101745[[#This Row],[DISCOUNT 2]]</f>
        <v>0</v>
      </c>
      <c r="M765" s="194">
        <f>IF(OR(_1_541284561214624104645789101745[[#This Row],[UNIT]]&gt;0,_1_541284561214624104645789101745[[#This Row],[UNIT]]&lt;0),_1_541284561214624104645789101745[[#This Row],[UNIT]]*_1_541284561214624104645789101745[[#This Row],[COST]],0)</f>
        <v>0</v>
      </c>
      <c r="N765" s="194">
        <f t="shared" si="11"/>
        <v>1.5</v>
      </c>
      <c r="O765" s="198">
        <f>_1_541284561214624104645789101745[[#This Row],[TOTAL]]*_1_541284561214624104645789101745[[#This Row],[MARGIN]]</f>
        <v>0</v>
      </c>
      <c r="R765" s="41"/>
    </row>
    <row r="766" spans="4:18">
      <c r="D766" s="188"/>
      <c r="F766" s="168" t="s">
        <v>6202</v>
      </c>
      <c r="G766" s="193">
        <f>IF(_1_541284561214624104645789101745[[#This Row],[Type]]&gt;0,VLOOKUP(_1_541284561214624104645789101745[[#This Row],[Type]],Main[[#All],[TYPE]:[UNIT]],'Unit Price'!C$1,FALSE),0)</f>
        <v>0</v>
      </c>
      <c r="H766" s="197">
        <f>IF(_1_541284561214624104645789101745[[#This Row],[Type]]&gt;0,VLOOKUP(_1_541284561214624104645789101745[[#This Row],[Type]],Main[[#All],[TYPE]:[UNIT]],'Unit Price'!D$1,FALSE),0)</f>
        <v>0</v>
      </c>
      <c r="I766" s="194">
        <f>IF(_1_541284561214624104645789101745[[#This Row],[Type]]&gt;0,VLOOKUP(_1_541284561214624104645789101745[[#This Row],[Type]],Main[[#All],[TYPE]:[UNIT]],'Unit Price'!G$1,FALSE),0)</f>
        <v>0</v>
      </c>
      <c r="J766" s="194">
        <f>IF(_1_541284561214624104645789101745[[#This Row],[Type]]&gt;0,VLOOKUP(_1_541284561214624104645789101745[[#This Row],[Type]],Main[[#All],[TYPE]:[UNIT]],'Unit Price'!H$1,FALSE),0)</f>
        <v>0</v>
      </c>
      <c r="K766" s="194">
        <f>IF(_1_541284561214624104645789101745[[#This Row],[Discount selection]]&gt;0,VLOOKUP(_1_541284561214624104645789101745[[#This Row],[Discount selection]],'Discount Structure'!$A$2:$B$30,2,"false"),0)</f>
        <v>1</v>
      </c>
      <c r="L766" s="194">
        <f>_1_541284561214624104645789101745[[#This Row],[LIST $]]*_1_541284561214624104645789101745[[#This Row],[DISCOUNT]]*_1_541284561214624104645789101745[[#This Row],[DISCOUNT 2]]</f>
        <v>0</v>
      </c>
      <c r="M766" s="194">
        <f>IF(OR(_1_541284561214624104645789101745[[#This Row],[UNIT]]&gt;0,_1_541284561214624104645789101745[[#This Row],[UNIT]]&lt;0),_1_541284561214624104645789101745[[#This Row],[UNIT]]*_1_541284561214624104645789101745[[#This Row],[COST]],0)</f>
        <v>0</v>
      </c>
      <c r="N766" s="194">
        <f t="shared" si="11"/>
        <v>1.5</v>
      </c>
      <c r="O766" s="198">
        <f>_1_541284561214624104645789101745[[#This Row],[TOTAL]]*_1_541284561214624104645789101745[[#This Row],[MARGIN]]</f>
        <v>0</v>
      </c>
      <c r="R766" s="41"/>
    </row>
    <row r="767" spans="4:18">
      <c r="D767" s="188"/>
      <c r="F767" s="168" t="s">
        <v>6202</v>
      </c>
      <c r="G767" s="193">
        <f>IF(_1_541284561214624104645789101745[[#This Row],[Type]]&gt;0,VLOOKUP(_1_541284561214624104645789101745[[#This Row],[Type]],Main[[#All],[TYPE]:[UNIT]],'Unit Price'!C$1,FALSE),0)</f>
        <v>0</v>
      </c>
      <c r="H767" s="197">
        <f>IF(_1_541284561214624104645789101745[[#This Row],[Type]]&gt;0,VLOOKUP(_1_541284561214624104645789101745[[#This Row],[Type]],Main[[#All],[TYPE]:[UNIT]],'Unit Price'!D$1,FALSE),0)</f>
        <v>0</v>
      </c>
      <c r="I767" s="194">
        <f>IF(_1_541284561214624104645789101745[[#This Row],[Type]]&gt;0,VLOOKUP(_1_541284561214624104645789101745[[#This Row],[Type]],Main[[#All],[TYPE]:[UNIT]],'Unit Price'!G$1,FALSE),0)</f>
        <v>0</v>
      </c>
      <c r="J767" s="194">
        <f>IF(_1_541284561214624104645789101745[[#This Row],[Type]]&gt;0,VLOOKUP(_1_541284561214624104645789101745[[#This Row],[Type]],Main[[#All],[TYPE]:[UNIT]],'Unit Price'!H$1,FALSE),0)</f>
        <v>0</v>
      </c>
      <c r="K767" s="194">
        <f>IF(_1_541284561214624104645789101745[[#This Row],[Discount selection]]&gt;0,VLOOKUP(_1_541284561214624104645789101745[[#This Row],[Discount selection]],'Discount Structure'!$A$2:$B$30,2,"false"),0)</f>
        <v>1</v>
      </c>
      <c r="L767" s="194">
        <f>_1_541284561214624104645789101745[[#This Row],[LIST $]]*_1_541284561214624104645789101745[[#This Row],[DISCOUNT]]*_1_541284561214624104645789101745[[#This Row],[DISCOUNT 2]]</f>
        <v>0</v>
      </c>
      <c r="M767" s="194">
        <f>IF(OR(_1_541284561214624104645789101745[[#This Row],[UNIT]]&gt;0,_1_541284561214624104645789101745[[#This Row],[UNIT]]&lt;0),_1_541284561214624104645789101745[[#This Row],[UNIT]]*_1_541284561214624104645789101745[[#This Row],[COST]],0)</f>
        <v>0</v>
      </c>
      <c r="N767" s="194">
        <f t="shared" si="11"/>
        <v>1.5</v>
      </c>
      <c r="O767" s="198">
        <f>_1_541284561214624104645789101745[[#This Row],[TOTAL]]*_1_541284561214624104645789101745[[#This Row],[MARGIN]]</f>
        <v>0</v>
      </c>
      <c r="R767" s="41"/>
    </row>
    <row r="768" spans="4:18">
      <c r="D768" s="188"/>
      <c r="F768" s="168" t="s">
        <v>6202</v>
      </c>
      <c r="G768" s="193">
        <f>IF(_1_541284561214624104645789101745[[#This Row],[Type]]&gt;0,VLOOKUP(_1_541284561214624104645789101745[[#This Row],[Type]],Main[[#All],[TYPE]:[UNIT]],'Unit Price'!C$1,FALSE),0)</f>
        <v>0</v>
      </c>
      <c r="H768" s="197">
        <f>IF(_1_541284561214624104645789101745[[#This Row],[Type]]&gt;0,VLOOKUP(_1_541284561214624104645789101745[[#This Row],[Type]],Main[[#All],[TYPE]:[UNIT]],'Unit Price'!D$1,FALSE),0)</f>
        <v>0</v>
      </c>
      <c r="I768" s="194">
        <f>IF(_1_541284561214624104645789101745[[#This Row],[Type]]&gt;0,VLOOKUP(_1_541284561214624104645789101745[[#This Row],[Type]],Main[[#All],[TYPE]:[UNIT]],'Unit Price'!G$1,FALSE),0)</f>
        <v>0</v>
      </c>
      <c r="J768" s="194">
        <f>IF(_1_541284561214624104645789101745[[#This Row],[Type]]&gt;0,VLOOKUP(_1_541284561214624104645789101745[[#This Row],[Type]],Main[[#All],[TYPE]:[UNIT]],'Unit Price'!H$1,FALSE),0)</f>
        <v>0</v>
      </c>
      <c r="K768" s="194">
        <f>IF(_1_541284561214624104645789101745[[#This Row],[Discount selection]]&gt;0,VLOOKUP(_1_541284561214624104645789101745[[#This Row],[Discount selection]],'Discount Structure'!$A$2:$B$30,2,"false"),0)</f>
        <v>1</v>
      </c>
      <c r="L768" s="194">
        <f>_1_541284561214624104645789101745[[#This Row],[LIST $]]*_1_541284561214624104645789101745[[#This Row],[DISCOUNT]]*_1_541284561214624104645789101745[[#This Row],[DISCOUNT 2]]</f>
        <v>0</v>
      </c>
      <c r="M768" s="194">
        <f>IF(OR(_1_541284561214624104645789101745[[#This Row],[UNIT]]&gt;0,_1_541284561214624104645789101745[[#This Row],[UNIT]]&lt;0),_1_541284561214624104645789101745[[#This Row],[UNIT]]*_1_541284561214624104645789101745[[#This Row],[COST]],0)</f>
        <v>0</v>
      </c>
      <c r="N768" s="194">
        <f t="shared" si="11"/>
        <v>1.5</v>
      </c>
      <c r="O768" s="198">
        <f>_1_541284561214624104645789101745[[#This Row],[TOTAL]]*_1_541284561214624104645789101745[[#This Row],[MARGIN]]</f>
        <v>0</v>
      </c>
      <c r="R768" s="41"/>
    </row>
    <row r="769" spans="4:18">
      <c r="D769" s="188"/>
      <c r="F769" s="168" t="s">
        <v>6202</v>
      </c>
      <c r="G769" s="193">
        <f>IF(_1_541284561214624104645789101745[[#This Row],[Type]]&gt;0,VLOOKUP(_1_541284561214624104645789101745[[#This Row],[Type]],Main[[#All],[TYPE]:[UNIT]],'Unit Price'!C$1,FALSE),0)</f>
        <v>0</v>
      </c>
      <c r="H769" s="197">
        <f>IF(_1_541284561214624104645789101745[[#This Row],[Type]]&gt;0,VLOOKUP(_1_541284561214624104645789101745[[#This Row],[Type]],Main[[#All],[TYPE]:[UNIT]],'Unit Price'!D$1,FALSE),0)</f>
        <v>0</v>
      </c>
      <c r="I769" s="194">
        <f>IF(_1_541284561214624104645789101745[[#This Row],[Type]]&gt;0,VLOOKUP(_1_541284561214624104645789101745[[#This Row],[Type]],Main[[#All],[TYPE]:[UNIT]],'Unit Price'!G$1,FALSE),0)</f>
        <v>0</v>
      </c>
      <c r="J769" s="194">
        <f>IF(_1_541284561214624104645789101745[[#This Row],[Type]]&gt;0,VLOOKUP(_1_541284561214624104645789101745[[#This Row],[Type]],Main[[#All],[TYPE]:[UNIT]],'Unit Price'!H$1,FALSE),0)</f>
        <v>0</v>
      </c>
      <c r="K769" s="194">
        <f>IF(_1_541284561214624104645789101745[[#This Row],[Discount selection]]&gt;0,VLOOKUP(_1_541284561214624104645789101745[[#This Row],[Discount selection]],'Discount Structure'!$A$2:$B$30,2,"false"),0)</f>
        <v>1</v>
      </c>
      <c r="L769" s="194">
        <f>_1_541284561214624104645789101745[[#This Row],[LIST $]]*_1_541284561214624104645789101745[[#This Row],[DISCOUNT]]*_1_541284561214624104645789101745[[#This Row],[DISCOUNT 2]]</f>
        <v>0</v>
      </c>
      <c r="M769" s="194">
        <f>IF(OR(_1_541284561214624104645789101745[[#This Row],[UNIT]]&gt;0,_1_541284561214624104645789101745[[#This Row],[UNIT]]&lt;0),_1_541284561214624104645789101745[[#This Row],[UNIT]]*_1_541284561214624104645789101745[[#This Row],[COST]],0)</f>
        <v>0</v>
      </c>
      <c r="N769" s="194">
        <f t="shared" si="11"/>
        <v>1.5</v>
      </c>
      <c r="O769" s="198">
        <f>_1_541284561214624104645789101745[[#This Row],[TOTAL]]*_1_541284561214624104645789101745[[#This Row],[MARGIN]]</f>
        <v>0</v>
      </c>
      <c r="R769" s="41"/>
    </row>
    <row r="770" spans="4:18">
      <c r="D770" s="188"/>
      <c r="F770" s="168" t="s">
        <v>6202</v>
      </c>
      <c r="G770" s="193">
        <f>IF(_1_541284561214624104645789101745[[#This Row],[Type]]&gt;0,VLOOKUP(_1_541284561214624104645789101745[[#This Row],[Type]],Main[[#All],[TYPE]:[UNIT]],'Unit Price'!C$1,FALSE),0)</f>
        <v>0</v>
      </c>
      <c r="H770" s="197">
        <f>IF(_1_541284561214624104645789101745[[#This Row],[Type]]&gt;0,VLOOKUP(_1_541284561214624104645789101745[[#This Row],[Type]],Main[[#All],[TYPE]:[UNIT]],'Unit Price'!D$1,FALSE),0)</f>
        <v>0</v>
      </c>
      <c r="I770" s="194">
        <f>IF(_1_541284561214624104645789101745[[#This Row],[Type]]&gt;0,VLOOKUP(_1_541284561214624104645789101745[[#This Row],[Type]],Main[[#All],[TYPE]:[UNIT]],'Unit Price'!G$1,FALSE),0)</f>
        <v>0</v>
      </c>
      <c r="J770" s="194">
        <f>IF(_1_541284561214624104645789101745[[#This Row],[Type]]&gt;0,VLOOKUP(_1_541284561214624104645789101745[[#This Row],[Type]],Main[[#All],[TYPE]:[UNIT]],'Unit Price'!H$1,FALSE),0)</f>
        <v>0</v>
      </c>
      <c r="K770" s="194">
        <f>IF(_1_541284561214624104645789101745[[#This Row],[Discount selection]]&gt;0,VLOOKUP(_1_541284561214624104645789101745[[#This Row],[Discount selection]],'Discount Structure'!$A$2:$B$30,2,"false"),0)</f>
        <v>1</v>
      </c>
      <c r="L770" s="194">
        <f>_1_541284561214624104645789101745[[#This Row],[LIST $]]*_1_541284561214624104645789101745[[#This Row],[DISCOUNT]]*_1_541284561214624104645789101745[[#This Row],[DISCOUNT 2]]</f>
        <v>0</v>
      </c>
      <c r="M770" s="194">
        <f>IF(OR(_1_541284561214624104645789101745[[#This Row],[UNIT]]&gt;0,_1_541284561214624104645789101745[[#This Row],[UNIT]]&lt;0),_1_541284561214624104645789101745[[#This Row],[UNIT]]*_1_541284561214624104645789101745[[#This Row],[COST]],0)</f>
        <v>0</v>
      </c>
      <c r="N770" s="194">
        <f t="shared" si="11"/>
        <v>1.5</v>
      </c>
      <c r="O770" s="198">
        <f>_1_541284561214624104645789101745[[#This Row],[TOTAL]]*_1_541284561214624104645789101745[[#This Row],[MARGIN]]</f>
        <v>0</v>
      </c>
      <c r="R770" s="41"/>
    </row>
    <row r="771" spans="4:18">
      <c r="D771" s="188"/>
      <c r="F771" s="168" t="s">
        <v>6202</v>
      </c>
      <c r="G771" s="193">
        <f>IF(_1_541284561214624104645789101745[[#This Row],[Type]]&gt;0,VLOOKUP(_1_541284561214624104645789101745[[#This Row],[Type]],Main[[#All],[TYPE]:[UNIT]],'Unit Price'!C$1,FALSE),0)</f>
        <v>0</v>
      </c>
      <c r="H771" s="197">
        <f>IF(_1_541284561214624104645789101745[[#This Row],[Type]]&gt;0,VLOOKUP(_1_541284561214624104645789101745[[#This Row],[Type]],Main[[#All],[TYPE]:[UNIT]],'Unit Price'!D$1,FALSE),0)</f>
        <v>0</v>
      </c>
      <c r="I771" s="194">
        <f>IF(_1_541284561214624104645789101745[[#This Row],[Type]]&gt;0,VLOOKUP(_1_541284561214624104645789101745[[#This Row],[Type]],Main[[#All],[TYPE]:[UNIT]],'Unit Price'!G$1,FALSE),0)</f>
        <v>0</v>
      </c>
      <c r="J771" s="194">
        <f>IF(_1_541284561214624104645789101745[[#This Row],[Type]]&gt;0,VLOOKUP(_1_541284561214624104645789101745[[#This Row],[Type]],Main[[#All],[TYPE]:[UNIT]],'Unit Price'!H$1,FALSE),0)</f>
        <v>0</v>
      </c>
      <c r="K771" s="194">
        <f>IF(_1_541284561214624104645789101745[[#This Row],[Discount selection]]&gt;0,VLOOKUP(_1_541284561214624104645789101745[[#This Row],[Discount selection]],'Discount Structure'!$A$2:$B$30,2,"false"),0)</f>
        <v>1</v>
      </c>
      <c r="L771" s="194">
        <f>_1_541284561214624104645789101745[[#This Row],[LIST $]]*_1_541284561214624104645789101745[[#This Row],[DISCOUNT]]*_1_541284561214624104645789101745[[#This Row],[DISCOUNT 2]]</f>
        <v>0</v>
      </c>
      <c r="M771" s="194">
        <f>IF(OR(_1_541284561214624104645789101745[[#This Row],[UNIT]]&gt;0,_1_541284561214624104645789101745[[#This Row],[UNIT]]&lt;0),_1_541284561214624104645789101745[[#This Row],[UNIT]]*_1_541284561214624104645789101745[[#This Row],[COST]],0)</f>
        <v>0</v>
      </c>
      <c r="N771" s="194">
        <f t="shared" si="11"/>
        <v>1.5</v>
      </c>
      <c r="O771" s="198">
        <f>_1_541284561214624104645789101745[[#This Row],[TOTAL]]*_1_541284561214624104645789101745[[#This Row],[MARGIN]]</f>
        <v>0</v>
      </c>
      <c r="R771" s="41"/>
    </row>
    <row r="772" spans="4:18">
      <c r="D772" s="188"/>
      <c r="F772" s="168" t="s">
        <v>6202</v>
      </c>
      <c r="G772" s="193">
        <f>IF(_1_541284561214624104645789101745[[#This Row],[Type]]&gt;0,VLOOKUP(_1_541284561214624104645789101745[[#This Row],[Type]],Main[[#All],[TYPE]:[UNIT]],'Unit Price'!C$1,FALSE),0)</f>
        <v>0</v>
      </c>
      <c r="H772" s="197">
        <f>IF(_1_541284561214624104645789101745[[#This Row],[Type]]&gt;0,VLOOKUP(_1_541284561214624104645789101745[[#This Row],[Type]],Main[[#All],[TYPE]:[UNIT]],'Unit Price'!D$1,FALSE),0)</f>
        <v>0</v>
      </c>
      <c r="I772" s="194">
        <f>IF(_1_541284561214624104645789101745[[#This Row],[Type]]&gt;0,VLOOKUP(_1_541284561214624104645789101745[[#This Row],[Type]],Main[[#All],[TYPE]:[UNIT]],'Unit Price'!G$1,FALSE),0)</f>
        <v>0</v>
      </c>
      <c r="J772" s="194">
        <f>IF(_1_541284561214624104645789101745[[#This Row],[Type]]&gt;0,VLOOKUP(_1_541284561214624104645789101745[[#This Row],[Type]],Main[[#All],[TYPE]:[UNIT]],'Unit Price'!H$1,FALSE),0)</f>
        <v>0</v>
      </c>
      <c r="K772" s="194">
        <f>IF(_1_541284561214624104645789101745[[#This Row],[Discount selection]]&gt;0,VLOOKUP(_1_541284561214624104645789101745[[#This Row],[Discount selection]],'Discount Structure'!$A$2:$B$30,2,"false"),0)</f>
        <v>1</v>
      </c>
      <c r="L772" s="194">
        <f>_1_541284561214624104645789101745[[#This Row],[LIST $]]*_1_541284561214624104645789101745[[#This Row],[DISCOUNT]]*_1_541284561214624104645789101745[[#This Row],[DISCOUNT 2]]</f>
        <v>0</v>
      </c>
      <c r="M772" s="194">
        <f>IF(OR(_1_541284561214624104645789101745[[#This Row],[UNIT]]&gt;0,_1_541284561214624104645789101745[[#This Row],[UNIT]]&lt;0),_1_541284561214624104645789101745[[#This Row],[UNIT]]*_1_541284561214624104645789101745[[#This Row],[COST]],0)</f>
        <v>0</v>
      </c>
      <c r="N772" s="194">
        <f t="shared" si="11"/>
        <v>1.5</v>
      </c>
      <c r="O772" s="198">
        <f>_1_541284561214624104645789101745[[#This Row],[TOTAL]]*_1_541284561214624104645789101745[[#This Row],[MARGIN]]</f>
        <v>0</v>
      </c>
      <c r="R772" s="41"/>
    </row>
    <row r="773" spans="4:18">
      <c r="D773" s="188"/>
      <c r="F773" s="168" t="s">
        <v>6202</v>
      </c>
      <c r="G773" s="193">
        <f>IF(_1_541284561214624104645789101745[[#This Row],[Type]]&gt;0,VLOOKUP(_1_541284561214624104645789101745[[#This Row],[Type]],Main[[#All],[TYPE]:[UNIT]],'Unit Price'!C$1,FALSE),0)</f>
        <v>0</v>
      </c>
      <c r="H773" s="197">
        <f>IF(_1_541284561214624104645789101745[[#This Row],[Type]]&gt;0,VLOOKUP(_1_541284561214624104645789101745[[#This Row],[Type]],Main[[#All],[TYPE]:[UNIT]],'Unit Price'!D$1,FALSE),0)</f>
        <v>0</v>
      </c>
      <c r="I773" s="194">
        <f>IF(_1_541284561214624104645789101745[[#This Row],[Type]]&gt;0,VLOOKUP(_1_541284561214624104645789101745[[#This Row],[Type]],Main[[#All],[TYPE]:[UNIT]],'Unit Price'!G$1,FALSE),0)</f>
        <v>0</v>
      </c>
      <c r="J773" s="194">
        <f>IF(_1_541284561214624104645789101745[[#This Row],[Type]]&gt;0,VLOOKUP(_1_541284561214624104645789101745[[#This Row],[Type]],Main[[#All],[TYPE]:[UNIT]],'Unit Price'!H$1,FALSE),0)</f>
        <v>0</v>
      </c>
      <c r="K773" s="194">
        <f>IF(_1_541284561214624104645789101745[[#This Row],[Discount selection]]&gt;0,VLOOKUP(_1_541284561214624104645789101745[[#This Row],[Discount selection]],'Discount Structure'!$A$2:$B$30,2,"false"),0)</f>
        <v>1</v>
      </c>
      <c r="L773" s="194">
        <f>_1_541284561214624104645789101745[[#This Row],[LIST $]]*_1_541284561214624104645789101745[[#This Row],[DISCOUNT]]*_1_541284561214624104645789101745[[#This Row],[DISCOUNT 2]]</f>
        <v>0</v>
      </c>
      <c r="M773" s="194">
        <f>IF(OR(_1_541284561214624104645789101745[[#This Row],[UNIT]]&gt;0,_1_541284561214624104645789101745[[#This Row],[UNIT]]&lt;0),_1_541284561214624104645789101745[[#This Row],[UNIT]]*_1_541284561214624104645789101745[[#This Row],[COST]],0)</f>
        <v>0</v>
      </c>
      <c r="N773" s="194">
        <f t="shared" si="11"/>
        <v>1.5</v>
      </c>
      <c r="O773" s="198">
        <f>_1_541284561214624104645789101745[[#This Row],[TOTAL]]*_1_541284561214624104645789101745[[#This Row],[MARGIN]]</f>
        <v>0</v>
      </c>
      <c r="R773" s="41"/>
    </row>
    <row r="774" spans="4:18">
      <c r="D774" s="188"/>
      <c r="F774" s="168" t="s">
        <v>6202</v>
      </c>
      <c r="G774" s="193">
        <f>IF(_1_541284561214624104645789101745[[#This Row],[Type]]&gt;0,VLOOKUP(_1_541284561214624104645789101745[[#This Row],[Type]],Main[[#All],[TYPE]:[UNIT]],'Unit Price'!C$1,FALSE),0)</f>
        <v>0</v>
      </c>
      <c r="H774" s="197">
        <f>IF(_1_541284561214624104645789101745[[#This Row],[Type]]&gt;0,VLOOKUP(_1_541284561214624104645789101745[[#This Row],[Type]],Main[[#All],[TYPE]:[UNIT]],'Unit Price'!D$1,FALSE),0)</f>
        <v>0</v>
      </c>
      <c r="I774" s="194">
        <f>IF(_1_541284561214624104645789101745[[#This Row],[Type]]&gt;0,VLOOKUP(_1_541284561214624104645789101745[[#This Row],[Type]],Main[[#All],[TYPE]:[UNIT]],'Unit Price'!G$1,FALSE),0)</f>
        <v>0</v>
      </c>
      <c r="J774" s="194">
        <f>IF(_1_541284561214624104645789101745[[#This Row],[Type]]&gt;0,VLOOKUP(_1_541284561214624104645789101745[[#This Row],[Type]],Main[[#All],[TYPE]:[UNIT]],'Unit Price'!H$1,FALSE),0)</f>
        <v>0</v>
      </c>
      <c r="K774" s="194">
        <f>IF(_1_541284561214624104645789101745[[#This Row],[Discount selection]]&gt;0,VLOOKUP(_1_541284561214624104645789101745[[#This Row],[Discount selection]],'Discount Structure'!$A$2:$B$30,2,"false"),0)</f>
        <v>1</v>
      </c>
      <c r="L774" s="194">
        <f>_1_541284561214624104645789101745[[#This Row],[LIST $]]*_1_541284561214624104645789101745[[#This Row],[DISCOUNT]]*_1_541284561214624104645789101745[[#This Row],[DISCOUNT 2]]</f>
        <v>0</v>
      </c>
      <c r="M774" s="194">
        <f>IF(OR(_1_541284561214624104645789101745[[#This Row],[UNIT]]&gt;0,_1_541284561214624104645789101745[[#This Row],[UNIT]]&lt;0),_1_541284561214624104645789101745[[#This Row],[UNIT]]*_1_541284561214624104645789101745[[#This Row],[COST]],0)</f>
        <v>0</v>
      </c>
      <c r="N774" s="194">
        <f t="shared" si="11"/>
        <v>1.5</v>
      </c>
      <c r="O774" s="198">
        <f>_1_541284561214624104645789101745[[#This Row],[TOTAL]]*_1_541284561214624104645789101745[[#This Row],[MARGIN]]</f>
        <v>0</v>
      </c>
      <c r="R774" s="41"/>
    </row>
    <row r="775" spans="4:18">
      <c r="D775" s="188"/>
      <c r="F775" s="168" t="s">
        <v>6202</v>
      </c>
      <c r="G775" s="193">
        <f>IF(_1_541284561214624104645789101745[[#This Row],[Type]]&gt;0,VLOOKUP(_1_541284561214624104645789101745[[#This Row],[Type]],Main[[#All],[TYPE]:[UNIT]],'Unit Price'!C$1,FALSE),0)</f>
        <v>0</v>
      </c>
      <c r="H775" s="197">
        <f>IF(_1_541284561214624104645789101745[[#This Row],[Type]]&gt;0,VLOOKUP(_1_541284561214624104645789101745[[#This Row],[Type]],Main[[#All],[TYPE]:[UNIT]],'Unit Price'!D$1,FALSE),0)</f>
        <v>0</v>
      </c>
      <c r="I775" s="194">
        <f>IF(_1_541284561214624104645789101745[[#This Row],[Type]]&gt;0,VLOOKUP(_1_541284561214624104645789101745[[#This Row],[Type]],Main[[#All],[TYPE]:[UNIT]],'Unit Price'!G$1,FALSE),0)</f>
        <v>0</v>
      </c>
      <c r="J775" s="194">
        <f>IF(_1_541284561214624104645789101745[[#This Row],[Type]]&gt;0,VLOOKUP(_1_541284561214624104645789101745[[#This Row],[Type]],Main[[#All],[TYPE]:[UNIT]],'Unit Price'!H$1,FALSE),0)</f>
        <v>0</v>
      </c>
      <c r="K775" s="194">
        <f>IF(_1_541284561214624104645789101745[[#This Row],[Discount selection]]&gt;0,VLOOKUP(_1_541284561214624104645789101745[[#This Row],[Discount selection]],'Discount Structure'!$A$2:$B$30,2,"false"),0)</f>
        <v>1</v>
      </c>
      <c r="L775" s="194">
        <f>_1_541284561214624104645789101745[[#This Row],[LIST $]]*_1_541284561214624104645789101745[[#This Row],[DISCOUNT]]*_1_541284561214624104645789101745[[#This Row],[DISCOUNT 2]]</f>
        <v>0</v>
      </c>
      <c r="M775" s="194">
        <f>IF(OR(_1_541284561214624104645789101745[[#This Row],[UNIT]]&gt;0,_1_541284561214624104645789101745[[#This Row],[UNIT]]&lt;0),_1_541284561214624104645789101745[[#This Row],[UNIT]]*_1_541284561214624104645789101745[[#This Row],[COST]],0)</f>
        <v>0</v>
      </c>
      <c r="N775" s="194">
        <f t="shared" si="11"/>
        <v>1.5</v>
      </c>
      <c r="O775" s="198">
        <f>_1_541284561214624104645789101745[[#This Row],[TOTAL]]*_1_541284561214624104645789101745[[#This Row],[MARGIN]]</f>
        <v>0</v>
      </c>
      <c r="R775" s="41"/>
    </row>
    <row r="776" spans="4:18">
      <c r="D776" s="188"/>
      <c r="F776" s="168" t="s">
        <v>6202</v>
      </c>
      <c r="G776" s="193">
        <f>IF(_1_541284561214624104645789101745[[#This Row],[Type]]&gt;0,VLOOKUP(_1_541284561214624104645789101745[[#This Row],[Type]],Main[[#All],[TYPE]:[UNIT]],'Unit Price'!C$1,FALSE),0)</f>
        <v>0</v>
      </c>
      <c r="H776" s="197">
        <f>IF(_1_541284561214624104645789101745[[#This Row],[Type]]&gt;0,VLOOKUP(_1_541284561214624104645789101745[[#This Row],[Type]],Main[[#All],[TYPE]:[UNIT]],'Unit Price'!D$1,FALSE),0)</f>
        <v>0</v>
      </c>
      <c r="I776" s="194">
        <f>IF(_1_541284561214624104645789101745[[#This Row],[Type]]&gt;0,VLOOKUP(_1_541284561214624104645789101745[[#This Row],[Type]],Main[[#All],[TYPE]:[UNIT]],'Unit Price'!G$1,FALSE),0)</f>
        <v>0</v>
      </c>
      <c r="J776" s="194">
        <f>IF(_1_541284561214624104645789101745[[#This Row],[Type]]&gt;0,VLOOKUP(_1_541284561214624104645789101745[[#This Row],[Type]],Main[[#All],[TYPE]:[UNIT]],'Unit Price'!H$1,FALSE),0)</f>
        <v>0</v>
      </c>
      <c r="K776" s="194">
        <f>IF(_1_541284561214624104645789101745[[#This Row],[Discount selection]]&gt;0,VLOOKUP(_1_541284561214624104645789101745[[#This Row],[Discount selection]],'Discount Structure'!$A$2:$B$30,2,"false"),0)</f>
        <v>1</v>
      </c>
      <c r="L776" s="194">
        <f>_1_541284561214624104645789101745[[#This Row],[LIST $]]*_1_541284561214624104645789101745[[#This Row],[DISCOUNT]]*_1_541284561214624104645789101745[[#This Row],[DISCOUNT 2]]</f>
        <v>0</v>
      </c>
      <c r="M776" s="194">
        <f>IF(OR(_1_541284561214624104645789101745[[#This Row],[UNIT]]&gt;0,_1_541284561214624104645789101745[[#This Row],[UNIT]]&lt;0),_1_541284561214624104645789101745[[#This Row],[UNIT]]*_1_541284561214624104645789101745[[#This Row],[COST]],0)</f>
        <v>0</v>
      </c>
      <c r="N776" s="194">
        <f t="shared" si="11"/>
        <v>1.5</v>
      </c>
      <c r="O776" s="198">
        <f>_1_541284561214624104645789101745[[#This Row],[TOTAL]]*_1_541284561214624104645789101745[[#This Row],[MARGIN]]</f>
        <v>0</v>
      </c>
      <c r="R776" s="41"/>
    </row>
    <row r="777" spans="4:18">
      <c r="D777" s="188"/>
      <c r="F777" s="168" t="s">
        <v>6202</v>
      </c>
      <c r="G777" s="193">
        <f>IF(_1_541284561214624104645789101745[[#This Row],[Type]]&gt;0,VLOOKUP(_1_541284561214624104645789101745[[#This Row],[Type]],Main[[#All],[TYPE]:[UNIT]],'Unit Price'!C$1,FALSE),0)</f>
        <v>0</v>
      </c>
      <c r="H777" s="197">
        <f>IF(_1_541284561214624104645789101745[[#This Row],[Type]]&gt;0,VLOOKUP(_1_541284561214624104645789101745[[#This Row],[Type]],Main[[#All],[TYPE]:[UNIT]],'Unit Price'!D$1,FALSE),0)</f>
        <v>0</v>
      </c>
      <c r="I777" s="194">
        <f>IF(_1_541284561214624104645789101745[[#This Row],[Type]]&gt;0,VLOOKUP(_1_541284561214624104645789101745[[#This Row],[Type]],Main[[#All],[TYPE]:[UNIT]],'Unit Price'!G$1,FALSE),0)</f>
        <v>0</v>
      </c>
      <c r="J777" s="194">
        <f>IF(_1_541284561214624104645789101745[[#This Row],[Type]]&gt;0,VLOOKUP(_1_541284561214624104645789101745[[#This Row],[Type]],Main[[#All],[TYPE]:[UNIT]],'Unit Price'!H$1,FALSE),0)</f>
        <v>0</v>
      </c>
      <c r="K777" s="194">
        <f>IF(_1_541284561214624104645789101745[[#This Row],[Discount selection]]&gt;0,VLOOKUP(_1_541284561214624104645789101745[[#This Row],[Discount selection]],'Discount Structure'!$A$2:$B$30,2,"false"),0)</f>
        <v>1</v>
      </c>
      <c r="L777" s="194">
        <f>_1_541284561214624104645789101745[[#This Row],[LIST $]]*_1_541284561214624104645789101745[[#This Row],[DISCOUNT]]*_1_541284561214624104645789101745[[#This Row],[DISCOUNT 2]]</f>
        <v>0</v>
      </c>
      <c r="M777" s="194">
        <f>IF(OR(_1_541284561214624104645789101745[[#This Row],[UNIT]]&gt;0,_1_541284561214624104645789101745[[#This Row],[UNIT]]&lt;0),_1_541284561214624104645789101745[[#This Row],[UNIT]]*_1_541284561214624104645789101745[[#This Row],[COST]],0)</f>
        <v>0</v>
      </c>
      <c r="N777" s="194">
        <f t="shared" si="11"/>
        <v>1.5</v>
      </c>
      <c r="O777" s="198">
        <f>_1_541284561214624104645789101745[[#This Row],[TOTAL]]*_1_541284561214624104645789101745[[#This Row],[MARGIN]]</f>
        <v>0</v>
      </c>
      <c r="R777" s="41"/>
    </row>
    <row r="778" spans="4:18">
      <c r="D778" s="188"/>
      <c r="F778" s="168" t="s">
        <v>6202</v>
      </c>
      <c r="G778" s="193">
        <f>IF(_1_541284561214624104645789101745[[#This Row],[Type]]&gt;0,VLOOKUP(_1_541284561214624104645789101745[[#This Row],[Type]],Main[[#All],[TYPE]:[UNIT]],'Unit Price'!C$1,FALSE),0)</f>
        <v>0</v>
      </c>
      <c r="H778" s="197">
        <f>IF(_1_541284561214624104645789101745[[#This Row],[Type]]&gt;0,VLOOKUP(_1_541284561214624104645789101745[[#This Row],[Type]],Main[[#All],[TYPE]:[UNIT]],'Unit Price'!D$1,FALSE),0)</f>
        <v>0</v>
      </c>
      <c r="I778" s="194">
        <f>IF(_1_541284561214624104645789101745[[#This Row],[Type]]&gt;0,VLOOKUP(_1_541284561214624104645789101745[[#This Row],[Type]],Main[[#All],[TYPE]:[UNIT]],'Unit Price'!G$1,FALSE),0)</f>
        <v>0</v>
      </c>
      <c r="J778" s="194">
        <f>IF(_1_541284561214624104645789101745[[#This Row],[Type]]&gt;0,VLOOKUP(_1_541284561214624104645789101745[[#This Row],[Type]],Main[[#All],[TYPE]:[UNIT]],'Unit Price'!H$1,FALSE),0)</f>
        <v>0</v>
      </c>
      <c r="K778" s="194">
        <f>IF(_1_541284561214624104645789101745[[#This Row],[Discount selection]]&gt;0,VLOOKUP(_1_541284561214624104645789101745[[#This Row],[Discount selection]],'Discount Structure'!$A$2:$B$30,2,"false"),0)</f>
        <v>1</v>
      </c>
      <c r="L778" s="194">
        <f>_1_541284561214624104645789101745[[#This Row],[LIST $]]*_1_541284561214624104645789101745[[#This Row],[DISCOUNT]]*_1_541284561214624104645789101745[[#This Row],[DISCOUNT 2]]</f>
        <v>0</v>
      </c>
      <c r="M778" s="194">
        <f>IF(OR(_1_541284561214624104645789101745[[#This Row],[UNIT]]&gt;0,_1_541284561214624104645789101745[[#This Row],[UNIT]]&lt;0),_1_541284561214624104645789101745[[#This Row],[UNIT]]*_1_541284561214624104645789101745[[#This Row],[COST]],0)</f>
        <v>0</v>
      </c>
      <c r="N778" s="194">
        <f t="shared" ref="N778:N841" si="12">$N$7</f>
        <v>1.5</v>
      </c>
      <c r="O778" s="198">
        <f>_1_541284561214624104645789101745[[#This Row],[TOTAL]]*_1_541284561214624104645789101745[[#This Row],[MARGIN]]</f>
        <v>0</v>
      </c>
      <c r="R778" s="41"/>
    </row>
    <row r="779" spans="4:18">
      <c r="D779" s="188"/>
      <c r="F779" s="168" t="s">
        <v>6202</v>
      </c>
      <c r="G779" s="193">
        <f>IF(_1_541284561214624104645789101745[[#This Row],[Type]]&gt;0,VLOOKUP(_1_541284561214624104645789101745[[#This Row],[Type]],Main[[#All],[TYPE]:[UNIT]],'Unit Price'!C$1,FALSE),0)</f>
        <v>0</v>
      </c>
      <c r="H779" s="197">
        <f>IF(_1_541284561214624104645789101745[[#This Row],[Type]]&gt;0,VLOOKUP(_1_541284561214624104645789101745[[#This Row],[Type]],Main[[#All],[TYPE]:[UNIT]],'Unit Price'!D$1,FALSE),0)</f>
        <v>0</v>
      </c>
      <c r="I779" s="194">
        <f>IF(_1_541284561214624104645789101745[[#This Row],[Type]]&gt;0,VLOOKUP(_1_541284561214624104645789101745[[#This Row],[Type]],Main[[#All],[TYPE]:[UNIT]],'Unit Price'!G$1,FALSE),0)</f>
        <v>0</v>
      </c>
      <c r="J779" s="194">
        <f>IF(_1_541284561214624104645789101745[[#This Row],[Type]]&gt;0,VLOOKUP(_1_541284561214624104645789101745[[#This Row],[Type]],Main[[#All],[TYPE]:[UNIT]],'Unit Price'!H$1,FALSE),0)</f>
        <v>0</v>
      </c>
      <c r="K779" s="194">
        <f>IF(_1_541284561214624104645789101745[[#This Row],[Discount selection]]&gt;0,VLOOKUP(_1_541284561214624104645789101745[[#This Row],[Discount selection]],'Discount Structure'!$A$2:$B$30,2,"false"),0)</f>
        <v>1</v>
      </c>
      <c r="L779" s="194">
        <f>_1_541284561214624104645789101745[[#This Row],[LIST $]]*_1_541284561214624104645789101745[[#This Row],[DISCOUNT]]*_1_541284561214624104645789101745[[#This Row],[DISCOUNT 2]]</f>
        <v>0</v>
      </c>
      <c r="M779" s="194">
        <f>IF(OR(_1_541284561214624104645789101745[[#This Row],[UNIT]]&gt;0,_1_541284561214624104645789101745[[#This Row],[UNIT]]&lt;0),_1_541284561214624104645789101745[[#This Row],[UNIT]]*_1_541284561214624104645789101745[[#This Row],[COST]],0)</f>
        <v>0</v>
      </c>
      <c r="N779" s="194">
        <f t="shared" si="12"/>
        <v>1.5</v>
      </c>
      <c r="O779" s="198">
        <f>_1_541284561214624104645789101745[[#This Row],[TOTAL]]*_1_541284561214624104645789101745[[#This Row],[MARGIN]]</f>
        <v>0</v>
      </c>
      <c r="R779" s="41"/>
    </row>
    <row r="780" spans="4:18">
      <c r="D780" s="188"/>
      <c r="F780" s="168" t="s">
        <v>6202</v>
      </c>
      <c r="G780" s="193">
        <f>IF(_1_541284561214624104645789101745[[#This Row],[Type]]&gt;0,VLOOKUP(_1_541284561214624104645789101745[[#This Row],[Type]],Main[[#All],[TYPE]:[UNIT]],'Unit Price'!C$1,FALSE),0)</f>
        <v>0</v>
      </c>
      <c r="H780" s="197">
        <f>IF(_1_541284561214624104645789101745[[#This Row],[Type]]&gt;0,VLOOKUP(_1_541284561214624104645789101745[[#This Row],[Type]],Main[[#All],[TYPE]:[UNIT]],'Unit Price'!D$1,FALSE),0)</f>
        <v>0</v>
      </c>
      <c r="I780" s="194">
        <f>IF(_1_541284561214624104645789101745[[#This Row],[Type]]&gt;0,VLOOKUP(_1_541284561214624104645789101745[[#This Row],[Type]],Main[[#All],[TYPE]:[UNIT]],'Unit Price'!G$1,FALSE),0)</f>
        <v>0</v>
      </c>
      <c r="J780" s="194">
        <f>IF(_1_541284561214624104645789101745[[#This Row],[Type]]&gt;0,VLOOKUP(_1_541284561214624104645789101745[[#This Row],[Type]],Main[[#All],[TYPE]:[UNIT]],'Unit Price'!H$1,FALSE),0)</f>
        <v>0</v>
      </c>
      <c r="K780" s="194">
        <f>IF(_1_541284561214624104645789101745[[#This Row],[Discount selection]]&gt;0,VLOOKUP(_1_541284561214624104645789101745[[#This Row],[Discount selection]],'Discount Structure'!$A$2:$B$30,2,"false"),0)</f>
        <v>1</v>
      </c>
      <c r="L780" s="194">
        <f>_1_541284561214624104645789101745[[#This Row],[LIST $]]*_1_541284561214624104645789101745[[#This Row],[DISCOUNT]]*_1_541284561214624104645789101745[[#This Row],[DISCOUNT 2]]</f>
        <v>0</v>
      </c>
      <c r="M780" s="194">
        <f>IF(OR(_1_541284561214624104645789101745[[#This Row],[UNIT]]&gt;0,_1_541284561214624104645789101745[[#This Row],[UNIT]]&lt;0),_1_541284561214624104645789101745[[#This Row],[UNIT]]*_1_541284561214624104645789101745[[#This Row],[COST]],0)</f>
        <v>0</v>
      </c>
      <c r="N780" s="194">
        <f t="shared" si="12"/>
        <v>1.5</v>
      </c>
      <c r="O780" s="198">
        <f>_1_541284561214624104645789101745[[#This Row],[TOTAL]]*_1_541284561214624104645789101745[[#This Row],[MARGIN]]</f>
        <v>0</v>
      </c>
      <c r="R780" s="41"/>
    </row>
    <row r="781" spans="4:18">
      <c r="D781" s="188"/>
      <c r="F781" s="168" t="s">
        <v>6202</v>
      </c>
      <c r="G781" s="193">
        <f>IF(_1_541284561214624104645789101745[[#This Row],[Type]]&gt;0,VLOOKUP(_1_541284561214624104645789101745[[#This Row],[Type]],Main[[#All],[TYPE]:[UNIT]],'Unit Price'!C$1,FALSE),0)</f>
        <v>0</v>
      </c>
      <c r="H781" s="197">
        <f>IF(_1_541284561214624104645789101745[[#This Row],[Type]]&gt;0,VLOOKUP(_1_541284561214624104645789101745[[#This Row],[Type]],Main[[#All],[TYPE]:[UNIT]],'Unit Price'!D$1,FALSE),0)</f>
        <v>0</v>
      </c>
      <c r="I781" s="194">
        <f>IF(_1_541284561214624104645789101745[[#This Row],[Type]]&gt;0,VLOOKUP(_1_541284561214624104645789101745[[#This Row],[Type]],Main[[#All],[TYPE]:[UNIT]],'Unit Price'!G$1,FALSE),0)</f>
        <v>0</v>
      </c>
      <c r="J781" s="194">
        <f>IF(_1_541284561214624104645789101745[[#This Row],[Type]]&gt;0,VLOOKUP(_1_541284561214624104645789101745[[#This Row],[Type]],Main[[#All],[TYPE]:[UNIT]],'Unit Price'!H$1,FALSE),0)</f>
        <v>0</v>
      </c>
      <c r="K781" s="194">
        <f>IF(_1_541284561214624104645789101745[[#This Row],[Discount selection]]&gt;0,VLOOKUP(_1_541284561214624104645789101745[[#This Row],[Discount selection]],'Discount Structure'!$A$2:$B$30,2,"false"),0)</f>
        <v>1</v>
      </c>
      <c r="L781" s="194">
        <f>_1_541284561214624104645789101745[[#This Row],[LIST $]]*_1_541284561214624104645789101745[[#This Row],[DISCOUNT]]*_1_541284561214624104645789101745[[#This Row],[DISCOUNT 2]]</f>
        <v>0</v>
      </c>
      <c r="M781" s="194">
        <f>IF(OR(_1_541284561214624104645789101745[[#This Row],[UNIT]]&gt;0,_1_541284561214624104645789101745[[#This Row],[UNIT]]&lt;0),_1_541284561214624104645789101745[[#This Row],[UNIT]]*_1_541284561214624104645789101745[[#This Row],[COST]],0)</f>
        <v>0</v>
      </c>
      <c r="N781" s="194">
        <f t="shared" si="12"/>
        <v>1.5</v>
      </c>
      <c r="O781" s="198">
        <f>_1_541284561214624104645789101745[[#This Row],[TOTAL]]*_1_541284561214624104645789101745[[#This Row],[MARGIN]]</f>
        <v>0</v>
      </c>
      <c r="R781" s="41"/>
    </row>
    <row r="782" spans="4:18">
      <c r="D782" s="188"/>
      <c r="F782" s="168" t="s">
        <v>6202</v>
      </c>
      <c r="G782" s="193">
        <f>IF(_1_541284561214624104645789101745[[#This Row],[Type]]&gt;0,VLOOKUP(_1_541284561214624104645789101745[[#This Row],[Type]],Main[[#All],[TYPE]:[UNIT]],'Unit Price'!C$1,FALSE),0)</f>
        <v>0</v>
      </c>
      <c r="H782" s="197">
        <f>IF(_1_541284561214624104645789101745[[#This Row],[Type]]&gt;0,VLOOKUP(_1_541284561214624104645789101745[[#This Row],[Type]],Main[[#All],[TYPE]:[UNIT]],'Unit Price'!D$1,FALSE),0)</f>
        <v>0</v>
      </c>
      <c r="I782" s="194">
        <f>IF(_1_541284561214624104645789101745[[#This Row],[Type]]&gt;0,VLOOKUP(_1_541284561214624104645789101745[[#This Row],[Type]],Main[[#All],[TYPE]:[UNIT]],'Unit Price'!G$1,FALSE),0)</f>
        <v>0</v>
      </c>
      <c r="J782" s="194">
        <f>IF(_1_541284561214624104645789101745[[#This Row],[Type]]&gt;0,VLOOKUP(_1_541284561214624104645789101745[[#This Row],[Type]],Main[[#All],[TYPE]:[UNIT]],'Unit Price'!H$1,FALSE),0)</f>
        <v>0</v>
      </c>
      <c r="K782" s="194">
        <f>IF(_1_541284561214624104645789101745[[#This Row],[Discount selection]]&gt;0,VLOOKUP(_1_541284561214624104645789101745[[#This Row],[Discount selection]],'Discount Structure'!$A$2:$B$30,2,"false"),0)</f>
        <v>1</v>
      </c>
      <c r="L782" s="194">
        <f>_1_541284561214624104645789101745[[#This Row],[LIST $]]*_1_541284561214624104645789101745[[#This Row],[DISCOUNT]]*_1_541284561214624104645789101745[[#This Row],[DISCOUNT 2]]</f>
        <v>0</v>
      </c>
      <c r="M782" s="194">
        <f>IF(OR(_1_541284561214624104645789101745[[#This Row],[UNIT]]&gt;0,_1_541284561214624104645789101745[[#This Row],[UNIT]]&lt;0),_1_541284561214624104645789101745[[#This Row],[UNIT]]*_1_541284561214624104645789101745[[#This Row],[COST]],0)</f>
        <v>0</v>
      </c>
      <c r="N782" s="194">
        <f t="shared" si="12"/>
        <v>1.5</v>
      </c>
      <c r="O782" s="198">
        <f>_1_541284561214624104645789101745[[#This Row],[TOTAL]]*_1_541284561214624104645789101745[[#This Row],[MARGIN]]</f>
        <v>0</v>
      </c>
      <c r="R782" s="41"/>
    </row>
    <row r="783" spans="4:18">
      <c r="D783" s="188"/>
      <c r="F783" s="168" t="s">
        <v>6202</v>
      </c>
      <c r="G783" s="193">
        <f>IF(_1_541284561214624104645789101745[[#This Row],[Type]]&gt;0,VLOOKUP(_1_541284561214624104645789101745[[#This Row],[Type]],Main[[#All],[TYPE]:[UNIT]],'Unit Price'!C$1,FALSE),0)</f>
        <v>0</v>
      </c>
      <c r="H783" s="197">
        <f>IF(_1_541284561214624104645789101745[[#This Row],[Type]]&gt;0,VLOOKUP(_1_541284561214624104645789101745[[#This Row],[Type]],Main[[#All],[TYPE]:[UNIT]],'Unit Price'!D$1,FALSE),0)</f>
        <v>0</v>
      </c>
      <c r="I783" s="194">
        <f>IF(_1_541284561214624104645789101745[[#This Row],[Type]]&gt;0,VLOOKUP(_1_541284561214624104645789101745[[#This Row],[Type]],Main[[#All],[TYPE]:[UNIT]],'Unit Price'!G$1,FALSE),0)</f>
        <v>0</v>
      </c>
      <c r="J783" s="194">
        <f>IF(_1_541284561214624104645789101745[[#This Row],[Type]]&gt;0,VLOOKUP(_1_541284561214624104645789101745[[#This Row],[Type]],Main[[#All],[TYPE]:[UNIT]],'Unit Price'!H$1,FALSE),0)</f>
        <v>0</v>
      </c>
      <c r="K783" s="194">
        <f>IF(_1_541284561214624104645789101745[[#This Row],[Discount selection]]&gt;0,VLOOKUP(_1_541284561214624104645789101745[[#This Row],[Discount selection]],'Discount Structure'!$A$2:$B$30,2,"false"),0)</f>
        <v>1</v>
      </c>
      <c r="L783" s="194">
        <f>_1_541284561214624104645789101745[[#This Row],[LIST $]]*_1_541284561214624104645789101745[[#This Row],[DISCOUNT]]*_1_541284561214624104645789101745[[#This Row],[DISCOUNT 2]]</f>
        <v>0</v>
      </c>
      <c r="M783" s="194">
        <f>IF(OR(_1_541284561214624104645789101745[[#This Row],[UNIT]]&gt;0,_1_541284561214624104645789101745[[#This Row],[UNIT]]&lt;0),_1_541284561214624104645789101745[[#This Row],[UNIT]]*_1_541284561214624104645789101745[[#This Row],[COST]],0)</f>
        <v>0</v>
      </c>
      <c r="N783" s="194">
        <f t="shared" si="12"/>
        <v>1.5</v>
      </c>
      <c r="O783" s="198">
        <f>_1_541284561214624104645789101745[[#This Row],[TOTAL]]*_1_541284561214624104645789101745[[#This Row],[MARGIN]]</f>
        <v>0</v>
      </c>
      <c r="R783" s="41"/>
    </row>
    <row r="784" spans="4:18">
      <c r="D784" s="188"/>
      <c r="F784" s="168" t="s">
        <v>6202</v>
      </c>
      <c r="G784" s="193">
        <f>IF(_1_541284561214624104645789101745[[#This Row],[Type]]&gt;0,VLOOKUP(_1_541284561214624104645789101745[[#This Row],[Type]],Main[[#All],[TYPE]:[UNIT]],'Unit Price'!C$1,FALSE),0)</f>
        <v>0</v>
      </c>
      <c r="H784" s="197">
        <f>IF(_1_541284561214624104645789101745[[#This Row],[Type]]&gt;0,VLOOKUP(_1_541284561214624104645789101745[[#This Row],[Type]],Main[[#All],[TYPE]:[UNIT]],'Unit Price'!D$1,FALSE),0)</f>
        <v>0</v>
      </c>
      <c r="I784" s="194">
        <f>IF(_1_541284561214624104645789101745[[#This Row],[Type]]&gt;0,VLOOKUP(_1_541284561214624104645789101745[[#This Row],[Type]],Main[[#All],[TYPE]:[UNIT]],'Unit Price'!G$1,FALSE),0)</f>
        <v>0</v>
      </c>
      <c r="J784" s="194">
        <f>IF(_1_541284561214624104645789101745[[#This Row],[Type]]&gt;0,VLOOKUP(_1_541284561214624104645789101745[[#This Row],[Type]],Main[[#All],[TYPE]:[UNIT]],'Unit Price'!H$1,FALSE),0)</f>
        <v>0</v>
      </c>
      <c r="K784" s="194">
        <f>IF(_1_541284561214624104645789101745[[#This Row],[Discount selection]]&gt;0,VLOOKUP(_1_541284561214624104645789101745[[#This Row],[Discount selection]],'Discount Structure'!$A$2:$B$30,2,"false"),0)</f>
        <v>1</v>
      </c>
      <c r="L784" s="194">
        <f>_1_541284561214624104645789101745[[#This Row],[LIST $]]*_1_541284561214624104645789101745[[#This Row],[DISCOUNT]]*_1_541284561214624104645789101745[[#This Row],[DISCOUNT 2]]</f>
        <v>0</v>
      </c>
      <c r="M784" s="194">
        <f>IF(OR(_1_541284561214624104645789101745[[#This Row],[UNIT]]&gt;0,_1_541284561214624104645789101745[[#This Row],[UNIT]]&lt;0),_1_541284561214624104645789101745[[#This Row],[UNIT]]*_1_541284561214624104645789101745[[#This Row],[COST]],0)</f>
        <v>0</v>
      </c>
      <c r="N784" s="194">
        <f t="shared" si="12"/>
        <v>1.5</v>
      </c>
      <c r="O784" s="198">
        <f>_1_541284561214624104645789101745[[#This Row],[TOTAL]]*_1_541284561214624104645789101745[[#This Row],[MARGIN]]</f>
        <v>0</v>
      </c>
      <c r="R784" s="41"/>
    </row>
    <row r="785" spans="4:18">
      <c r="D785" s="188"/>
      <c r="F785" s="168" t="s">
        <v>6202</v>
      </c>
      <c r="G785" s="193">
        <f>IF(_1_541284561214624104645789101745[[#This Row],[Type]]&gt;0,VLOOKUP(_1_541284561214624104645789101745[[#This Row],[Type]],Main[[#All],[TYPE]:[UNIT]],'Unit Price'!C$1,FALSE),0)</f>
        <v>0</v>
      </c>
      <c r="H785" s="197">
        <f>IF(_1_541284561214624104645789101745[[#This Row],[Type]]&gt;0,VLOOKUP(_1_541284561214624104645789101745[[#This Row],[Type]],Main[[#All],[TYPE]:[UNIT]],'Unit Price'!D$1,FALSE),0)</f>
        <v>0</v>
      </c>
      <c r="I785" s="194">
        <f>IF(_1_541284561214624104645789101745[[#This Row],[Type]]&gt;0,VLOOKUP(_1_541284561214624104645789101745[[#This Row],[Type]],Main[[#All],[TYPE]:[UNIT]],'Unit Price'!G$1,FALSE),0)</f>
        <v>0</v>
      </c>
      <c r="J785" s="194">
        <f>IF(_1_541284561214624104645789101745[[#This Row],[Type]]&gt;0,VLOOKUP(_1_541284561214624104645789101745[[#This Row],[Type]],Main[[#All],[TYPE]:[UNIT]],'Unit Price'!H$1,FALSE),0)</f>
        <v>0</v>
      </c>
      <c r="K785" s="194">
        <f>IF(_1_541284561214624104645789101745[[#This Row],[Discount selection]]&gt;0,VLOOKUP(_1_541284561214624104645789101745[[#This Row],[Discount selection]],'Discount Structure'!$A$2:$B$30,2,"false"),0)</f>
        <v>1</v>
      </c>
      <c r="L785" s="194">
        <f>_1_541284561214624104645789101745[[#This Row],[LIST $]]*_1_541284561214624104645789101745[[#This Row],[DISCOUNT]]*_1_541284561214624104645789101745[[#This Row],[DISCOUNT 2]]</f>
        <v>0</v>
      </c>
      <c r="M785" s="194">
        <f>IF(OR(_1_541284561214624104645789101745[[#This Row],[UNIT]]&gt;0,_1_541284561214624104645789101745[[#This Row],[UNIT]]&lt;0),_1_541284561214624104645789101745[[#This Row],[UNIT]]*_1_541284561214624104645789101745[[#This Row],[COST]],0)</f>
        <v>0</v>
      </c>
      <c r="N785" s="194">
        <f t="shared" si="12"/>
        <v>1.5</v>
      </c>
      <c r="O785" s="198">
        <f>_1_541284561214624104645789101745[[#This Row],[TOTAL]]*_1_541284561214624104645789101745[[#This Row],[MARGIN]]</f>
        <v>0</v>
      </c>
      <c r="R785" s="41"/>
    </row>
    <row r="786" spans="4:18">
      <c r="D786" s="188"/>
      <c r="F786" s="168" t="s">
        <v>6202</v>
      </c>
      <c r="G786" s="193">
        <f>IF(_1_541284561214624104645789101745[[#This Row],[Type]]&gt;0,VLOOKUP(_1_541284561214624104645789101745[[#This Row],[Type]],Main[[#All],[TYPE]:[UNIT]],'Unit Price'!C$1,FALSE),0)</f>
        <v>0</v>
      </c>
      <c r="H786" s="197">
        <f>IF(_1_541284561214624104645789101745[[#This Row],[Type]]&gt;0,VLOOKUP(_1_541284561214624104645789101745[[#This Row],[Type]],Main[[#All],[TYPE]:[UNIT]],'Unit Price'!D$1,FALSE),0)</f>
        <v>0</v>
      </c>
      <c r="I786" s="194">
        <f>IF(_1_541284561214624104645789101745[[#This Row],[Type]]&gt;0,VLOOKUP(_1_541284561214624104645789101745[[#This Row],[Type]],Main[[#All],[TYPE]:[UNIT]],'Unit Price'!G$1,FALSE),0)</f>
        <v>0</v>
      </c>
      <c r="J786" s="194">
        <f>IF(_1_541284561214624104645789101745[[#This Row],[Type]]&gt;0,VLOOKUP(_1_541284561214624104645789101745[[#This Row],[Type]],Main[[#All],[TYPE]:[UNIT]],'Unit Price'!H$1,FALSE),0)</f>
        <v>0</v>
      </c>
      <c r="K786" s="194">
        <f>IF(_1_541284561214624104645789101745[[#This Row],[Discount selection]]&gt;0,VLOOKUP(_1_541284561214624104645789101745[[#This Row],[Discount selection]],'Discount Structure'!$A$2:$B$30,2,"false"),0)</f>
        <v>1</v>
      </c>
      <c r="L786" s="194">
        <f>_1_541284561214624104645789101745[[#This Row],[LIST $]]*_1_541284561214624104645789101745[[#This Row],[DISCOUNT]]*_1_541284561214624104645789101745[[#This Row],[DISCOUNT 2]]</f>
        <v>0</v>
      </c>
      <c r="M786" s="194">
        <f>IF(OR(_1_541284561214624104645789101745[[#This Row],[UNIT]]&gt;0,_1_541284561214624104645789101745[[#This Row],[UNIT]]&lt;0),_1_541284561214624104645789101745[[#This Row],[UNIT]]*_1_541284561214624104645789101745[[#This Row],[COST]],0)</f>
        <v>0</v>
      </c>
      <c r="N786" s="194">
        <f t="shared" si="12"/>
        <v>1.5</v>
      </c>
      <c r="O786" s="198">
        <f>_1_541284561214624104645789101745[[#This Row],[TOTAL]]*_1_541284561214624104645789101745[[#This Row],[MARGIN]]</f>
        <v>0</v>
      </c>
      <c r="R786" s="41"/>
    </row>
    <row r="787" spans="4:18">
      <c r="D787" s="188"/>
      <c r="F787" s="168" t="s">
        <v>6202</v>
      </c>
      <c r="G787" s="193">
        <f>IF(_1_541284561214624104645789101745[[#This Row],[Type]]&gt;0,VLOOKUP(_1_541284561214624104645789101745[[#This Row],[Type]],Main[[#All],[TYPE]:[UNIT]],'Unit Price'!C$1,FALSE),0)</f>
        <v>0</v>
      </c>
      <c r="H787" s="197">
        <f>IF(_1_541284561214624104645789101745[[#This Row],[Type]]&gt;0,VLOOKUP(_1_541284561214624104645789101745[[#This Row],[Type]],Main[[#All],[TYPE]:[UNIT]],'Unit Price'!D$1,FALSE),0)</f>
        <v>0</v>
      </c>
      <c r="I787" s="194">
        <f>IF(_1_541284561214624104645789101745[[#This Row],[Type]]&gt;0,VLOOKUP(_1_541284561214624104645789101745[[#This Row],[Type]],Main[[#All],[TYPE]:[UNIT]],'Unit Price'!G$1,FALSE),0)</f>
        <v>0</v>
      </c>
      <c r="J787" s="194">
        <f>IF(_1_541284561214624104645789101745[[#This Row],[Type]]&gt;0,VLOOKUP(_1_541284561214624104645789101745[[#This Row],[Type]],Main[[#All],[TYPE]:[UNIT]],'Unit Price'!H$1,FALSE),0)</f>
        <v>0</v>
      </c>
      <c r="K787" s="194">
        <f>IF(_1_541284561214624104645789101745[[#This Row],[Discount selection]]&gt;0,VLOOKUP(_1_541284561214624104645789101745[[#This Row],[Discount selection]],'Discount Structure'!$A$2:$B$30,2,"false"),0)</f>
        <v>1</v>
      </c>
      <c r="L787" s="194">
        <f>_1_541284561214624104645789101745[[#This Row],[LIST $]]*_1_541284561214624104645789101745[[#This Row],[DISCOUNT]]*_1_541284561214624104645789101745[[#This Row],[DISCOUNT 2]]</f>
        <v>0</v>
      </c>
      <c r="M787" s="194">
        <f>IF(OR(_1_541284561214624104645789101745[[#This Row],[UNIT]]&gt;0,_1_541284561214624104645789101745[[#This Row],[UNIT]]&lt;0),_1_541284561214624104645789101745[[#This Row],[UNIT]]*_1_541284561214624104645789101745[[#This Row],[COST]],0)</f>
        <v>0</v>
      </c>
      <c r="N787" s="194">
        <f t="shared" si="12"/>
        <v>1.5</v>
      </c>
      <c r="O787" s="198">
        <f>_1_541284561214624104645789101745[[#This Row],[TOTAL]]*_1_541284561214624104645789101745[[#This Row],[MARGIN]]</f>
        <v>0</v>
      </c>
      <c r="R787" s="41"/>
    </row>
    <row r="788" spans="4:18">
      <c r="D788" s="188"/>
      <c r="F788" s="168" t="s">
        <v>6202</v>
      </c>
      <c r="G788" s="193">
        <f>IF(_1_541284561214624104645789101745[[#This Row],[Type]]&gt;0,VLOOKUP(_1_541284561214624104645789101745[[#This Row],[Type]],Main[[#All],[TYPE]:[UNIT]],'Unit Price'!C$1,FALSE),0)</f>
        <v>0</v>
      </c>
      <c r="H788" s="197">
        <f>IF(_1_541284561214624104645789101745[[#This Row],[Type]]&gt;0,VLOOKUP(_1_541284561214624104645789101745[[#This Row],[Type]],Main[[#All],[TYPE]:[UNIT]],'Unit Price'!D$1,FALSE),0)</f>
        <v>0</v>
      </c>
      <c r="I788" s="194">
        <f>IF(_1_541284561214624104645789101745[[#This Row],[Type]]&gt;0,VLOOKUP(_1_541284561214624104645789101745[[#This Row],[Type]],Main[[#All],[TYPE]:[UNIT]],'Unit Price'!G$1,FALSE),0)</f>
        <v>0</v>
      </c>
      <c r="J788" s="194">
        <f>IF(_1_541284561214624104645789101745[[#This Row],[Type]]&gt;0,VLOOKUP(_1_541284561214624104645789101745[[#This Row],[Type]],Main[[#All],[TYPE]:[UNIT]],'Unit Price'!H$1,FALSE),0)</f>
        <v>0</v>
      </c>
      <c r="K788" s="194">
        <f>IF(_1_541284561214624104645789101745[[#This Row],[Discount selection]]&gt;0,VLOOKUP(_1_541284561214624104645789101745[[#This Row],[Discount selection]],'Discount Structure'!$A$2:$B$30,2,"false"),0)</f>
        <v>1</v>
      </c>
      <c r="L788" s="194">
        <f>_1_541284561214624104645789101745[[#This Row],[LIST $]]*_1_541284561214624104645789101745[[#This Row],[DISCOUNT]]*_1_541284561214624104645789101745[[#This Row],[DISCOUNT 2]]</f>
        <v>0</v>
      </c>
      <c r="M788" s="194">
        <f>IF(OR(_1_541284561214624104645789101745[[#This Row],[UNIT]]&gt;0,_1_541284561214624104645789101745[[#This Row],[UNIT]]&lt;0),_1_541284561214624104645789101745[[#This Row],[UNIT]]*_1_541284561214624104645789101745[[#This Row],[COST]],0)</f>
        <v>0</v>
      </c>
      <c r="N788" s="194">
        <f t="shared" si="12"/>
        <v>1.5</v>
      </c>
      <c r="O788" s="198">
        <f>_1_541284561214624104645789101745[[#This Row],[TOTAL]]*_1_541284561214624104645789101745[[#This Row],[MARGIN]]</f>
        <v>0</v>
      </c>
      <c r="R788" s="41"/>
    </row>
    <row r="789" spans="4:18">
      <c r="D789" s="188"/>
      <c r="F789" s="168" t="s">
        <v>6202</v>
      </c>
      <c r="G789" s="193">
        <f>IF(_1_541284561214624104645789101745[[#This Row],[Type]]&gt;0,VLOOKUP(_1_541284561214624104645789101745[[#This Row],[Type]],Main[[#All],[TYPE]:[UNIT]],'Unit Price'!C$1,FALSE),0)</f>
        <v>0</v>
      </c>
      <c r="H789" s="197">
        <f>IF(_1_541284561214624104645789101745[[#This Row],[Type]]&gt;0,VLOOKUP(_1_541284561214624104645789101745[[#This Row],[Type]],Main[[#All],[TYPE]:[UNIT]],'Unit Price'!D$1,FALSE),0)</f>
        <v>0</v>
      </c>
      <c r="I789" s="194">
        <f>IF(_1_541284561214624104645789101745[[#This Row],[Type]]&gt;0,VLOOKUP(_1_541284561214624104645789101745[[#This Row],[Type]],Main[[#All],[TYPE]:[UNIT]],'Unit Price'!G$1,FALSE),0)</f>
        <v>0</v>
      </c>
      <c r="J789" s="194">
        <f>IF(_1_541284561214624104645789101745[[#This Row],[Type]]&gt;0,VLOOKUP(_1_541284561214624104645789101745[[#This Row],[Type]],Main[[#All],[TYPE]:[UNIT]],'Unit Price'!H$1,FALSE),0)</f>
        <v>0</v>
      </c>
      <c r="K789" s="194">
        <f>IF(_1_541284561214624104645789101745[[#This Row],[Discount selection]]&gt;0,VLOOKUP(_1_541284561214624104645789101745[[#This Row],[Discount selection]],'Discount Structure'!$A$2:$B$30,2,"false"),0)</f>
        <v>1</v>
      </c>
      <c r="L789" s="194">
        <f>_1_541284561214624104645789101745[[#This Row],[LIST $]]*_1_541284561214624104645789101745[[#This Row],[DISCOUNT]]*_1_541284561214624104645789101745[[#This Row],[DISCOUNT 2]]</f>
        <v>0</v>
      </c>
      <c r="M789" s="194">
        <f>IF(OR(_1_541284561214624104645789101745[[#This Row],[UNIT]]&gt;0,_1_541284561214624104645789101745[[#This Row],[UNIT]]&lt;0),_1_541284561214624104645789101745[[#This Row],[UNIT]]*_1_541284561214624104645789101745[[#This Row],[COST]],0)</f>
        <v>0</v>
      </c>
      <c r="N789" s="194">
        <f t="shared" si="12"/>
        <v>1.5</v>
      </c>
      <c r="O789" s="198">
        <f>_1_541284561214624104645789101745[[#This Row],[TOTAL]]*_1_541284561214624104645789101745[[#This Row],[MARGIN]]</f>
        <v>0</v>
      </c>
      <c r="R789" s="41"/>
    </row>
    <row r="790" spans="4:18">
      <c r="D790" s="188"/>
      <c r="F790" s="168" t="s">
        <v>6202</v>
      </c>
      <c r="G790" s="193">
        <f>IF(_1_541284561214624104645789101745[[#This Row],[Type]]&gt;0,VLOOKUP(_1_541284561214624104645789101745[[#This Row],[Type]],Main[[#All],[TYPE]:[UNIT]],'Unit Price'!C$1,FALSE),0)</f>
        <v>0</v>
      </c>
      <c r="H790" s="197">
        <f>IF(_1_541284561214624104645789101745[[#This Row],[Type]]&gt;0,VLOOKUP(_1_541284561214624104645789101745[[#This Row],[Type]],Main[[#All],[TYPE]:[UNIT]],'Unit Price'!D$1,FALSE),0)</f>
        <v>0</v>
      </c>
      <c r="I790" s="194">
        <f>IF(_1_541284561214624104645789101745[[#This Row],[Type]]&gt;0,VLOOKUP(_1_541284561214624104645789101745[[#This Row],[Type]],Main[[#All],[TYPE]:[UNIT]],'Unit Price'!G$1,FALSE),0)</f>
        <v>0</v>
      </c>
      <c r="J790" s="194">
        <f>IF(_1_541284561214624104645789101745[[#This Row],[Type]]&gt;0,VLOOKUP(_1_541284561214624104645789101745[[#This Row],[Type]],Main[[#All],[TYPE]:[UNIT]],'Unit Price'!H$1,FALSE),0)</f>
        <v>0</v>
      </c>
      <c r="K790" s="194">
        <f>IF(_1_541284561214624104645789101745[[#This Row],[Discount selection]]&gt;0,VLOOKUP(_1_541284561214624104645789101745[[#This Row],[Discount selection]],'Discount Structure'!$A$2:$B$30,2,"false"),0)</f>
        <v>1</v>
      </c>
      <c r="L790" s="194">
        <f>_1_541284561214624104645789101745[[#This Row],[LIST $]]*_1_541284561214624104645789101745[[#This Row],[DISCOUNT]]*_1_541284561214624104645789101745[[#This Row],[DISCOUNT 2]]</f>
        <v>0</v>
      </c>
      <c r="M790" s="194">
        <f>IF(OR(_1_541284561214624104645789101745[[#This Row],[UNIT]]&gt;0,_1_541284561214624104645789101745[[#This Row],[UNIT]]&lt;0),_1_541284561214624104645789101745[[#This Row],[UNIT]]*_1_541284561214624104645789101745[[#This Row],[COST]],0)</f>
        <v>0</v>
      </c>
      <c r="N790" s="194">
        <f t="shared" si="12"/>
        <v>1.5</v>
      </c>
      <c r="O790" s="198">
        <f>_1_541284561214624104645789101745[[#This Row],[TOTAL]]*_1_541284561214624104645789101745[[#This Row],[MARGIN]]</f>
        <v>0</v>
      </c>
      <c r="R790" s="41"/>
    </row>
    <row r="791" spans="4:18">
      <c r="D791" s="188"/>
      <c r="F791" s="168" t="s">
        <v>6202</v>
      </c>
      <c r="G791" s="193">
        <f>IF(_1_541284561214624104645789101745[[#This Row],[Type]]&gt;0,VLOOKUP(_1_541284561214624104645789101745[[#This Row],[Type]],Main[[#All],[TYPE]:[UNIT]],'Unit Price'!C$1,FALSE),0)</f>
        <v>0</v>
      </c>
      <c r="H791" s="197">
        <f>IF(_1_541284561214624104645789101745[[#This Row],[Type]]&gt;0,VLOOKUP(_1_541284561214624104645789101745[[#This Row],[Type]],Main[[#All],[TYPE]:[UNIT]],'Unit Price'!D$1,FALSE),0)</f>
        <v>0</v>
      </c>
      <c r="I791" s="194">
        <f>IF(_1_541284561214624104645789101745[[#This Row],[Type]]&gt;0,VLOOKUP(_1_541284561214624104645789101745[[#This Row],[Type]],Main[[#All],[TYPE]:[UNIT]],'Unit Price'!G$1,FALSE),0)</f>
        <v>0</v>
      </c>
      <c r="J791" s="194">
        <f>IF(_1_541284561214624104645789101745[[#This Row],[Type]]&gt;0,VLOOKUP(_1_541284561214624104645789101745[[#This Row],[Type]],Main[[#All],[TYPE]:[UNIT]],'Unit Price'!H$1,FALSE),0)</f>
        <v>0</v>
      </c>
      <c r="K791" s="194">
        <f>IF(_1_541284561214624104645789101745[[#This Row],[Discount selection]]&gt;0,VLOOKUP(_1_541284561214624104645789101745[[#This Row],[Discount selection]],'Discount Structure'!$A$2:$B$30,2,"false"),0)</f>
        <v>1</v>
      </c>
      <c r="L791" s="194">
        <f>_1_541284561214624104645789101745[[#This Row],[LIST $]]*_1_541284561214624104645789101745[[#This Row],[DISCOUNT]]*_1_541284561214624104645789101745[[#This Row],[DISCOUNT 2]]</f>
        <v>0</v>
      </c>
      <c r="M791" s="194">
        <f>IF(OR(_1_541284561214624104645789101745[[#This Row],[UNIT]]&gt;0,_1_541284561214624104645789101745[[#This Row],[UNIT]]&lt;0),_1_541284561214624104645789101745[[#This Row],[UNIT]]*_1_541284561214624104645789101745[[#This Row],[COST]],0)</f>
        <v>0</v>
      </c>
      <c r="N791" s="194">
        <f t="shared" si="12"/>
        <v>1.5</v>
      </c>
      <c r="O791" s="198">
        <f>_1_541284561214624104645789101745[[#This Row],[TOTAL]]*_1_541284561214624104645789101745[[#This Row],[MARGIN]]</f>
        <v>0</v>
      </c>
      <c r="R791" s="41"/>
    </row>
    <row r="792" spans="4:18">
      <c r="D792" s="188"/>
      <c r="F792" s="168" t="s">
        <v>6202</v>
      </c>
      <c r="G792" s="193">
        <f>IF(_1_541284561214624104645789101745[[#This Row],[Type]]&gt;0,VLOOKUP(_1_541284561214624104645789101745[[#This Row],[Type]],Main[[#All],[TYPE]:[UNIT]],'Unit Price'!C$1,FALSE),0)</f>
        <v>0</v>
      </c>
      <c r="H792" s="197">
        <f>IF(_1_541284561214624104645789101745[[#This Row],[Type]]&gt;0,VLOOKUP(_1_541284561214624104645789101745[[#This Row],[Type]],Main[[#All],[TYPE]:[UNIT]],'Unit Price'!D$1,FALSE),0)</f>
        <v>0</v>
      </c>
      <c r="I792" s="194">
        <f>IF(_1_541284561214624104645789101745[[#This Row],[Type]]&gt;0,VLOOKUP(_1_541284561214624104645789101745[[#This Row],[Type]],Main[[#All],[TYPE]:[UNIT]],'Unit Price'!G$1,FALSE),0)</f>
        <v>0</v>
      </c>
      <c r="J792" s="194">
        <f>IF(_1_541284561214624104645789101745[[#This Row],[Type]]&gt;0,VLOOKUP(_1_541284561214624104645789101745[[#This Row],[Type]],Main[[#All],[TYPE]:[UNIT]],'Unit Price'!H$1,FALSE),0)</f>
        <v>0</v>
      </c>
      <c r="K792" s="194">
        <f>IF(_1_541284561214624104645789101745[[#This Row],[Discount selection]]&gt;0,VLOOKUP(_1_541284561214624104645789101745[[#This Row],[Discount selection]],'Discount Structure'!$A$2:$B$30,2,"false"),0)</f>
        <v>1</v>
      </c>
      <c r="L792" s="194">
        <f>_1_541284561214624104645789101745[[#This Row],[LIST $]]*_1_541284561214624104645789101745[[#This Row],[DISCOUNT]]*_1_541284561214624104645789101745[[#This Row],[DISCOUNT 2]]</f>
        <v>0</v>
      </c>
      <c r="M792" s="194">
        <f>IF(OR(_1_541284561214624104645789101745[[#This Row],[UNIT]]&gt;0,_1_541284561214624104645789101745[[#This Row],[UNIT]]&lt;0),_1_541284561214624104645789101745[[#This Row],[UNIT]]*_1_541284561214624104645789101745[[#This Row],[COST]],0)</f>
        <v>0</v>
      </c>
      <c r="N792" s="194">
        <f t="shared" si="12"/>
        <v>1.5</v>
      </c>
      <c r="O792" s="198">
        <f>_1_541284561214624104645789101745[[#This Row],[TOTAL]]*_1_541284561214624104645789101745[[#This Row],[MARGIN]]</f>
        <v>0</v>
      </c>
      <c r="R792" s="41"/>
    </row>
    <row r="793" spans="4:18">
      <c r="D793" s="188"/>
      <c r="F793" s="168" t="s">
        <v>6202</v>
      </c>
      <c r="G793" s="193">
        <f>IF(_1_541284561214624104645789101745[[#This Row],[Type]]&gt;0,VLOOKUP(_1_541284561214624104645789101745[[#This Row],[Type]],Main[[#All],[TYPE]:[UNIT]],'Unit Price'!C$1,FALSE),0)</f>
        <v>0</v>
      </c>
      <c r="H793" s="197">
        <f>IF(_1_541284561214624104645789101745[[#This Row],[Type]]&gt;0,VLOOKUP(_1_541284561214624104645789101745[[#This Row],[Type]],Main[[#All],[TYPE]:[UNIT]],'Unit Price'!D$1,FALSE),0)</f>
        <v>0</v>
      </c>
      <c r="I793" s="194">
        <f>IF(_1_541284561214624104645789101745[[#This Row],[Type]]&gt;0,VLOOKUP(_1_541284561214624104645789101745[[#This Row],[Type]],Main[[#All],[TYPE]:[UNIT]],'Unit Price'!G$1,FALSE),0)</f>
        <v>0</v>
      </c>
      <c r="J793" s="194">
        <f>IF(_1_541284561214624104645789101745[[#This Row],[Type]]&gt;0,VLOOKUP(_1_541284561214624104645789101745[[#This Row],[Type]],Main[[#All],[TYPE]:[UNIT]],'Unit Price'!H$1,FALSE),0)</f>
        <v>0</v>
      </c>
      <c r="K793" s="194">
        <f>IF(_1_541284561214624104645789101745[[#This Row],[Discount selection]]&gt;0,VLOOKUP(_1_541284561214624104645789101745[[#This Row],[Discount selection]],'Discount Structure'!$A$2:$B$30,2,"false"),0)</f>
        <v>1</v>
      </c>
      <c r="L793" s="194">
        <f>_1_541284561214624104645789101745[[#This Row],[LIST $]]*_1_541284561214624104645789101745[[#This Row],[DISCOUNT]]*_1_541284561214624104645789101745[[#This Row],[DISCOUNT 2]]</f>
        <v>0</v>
      </c>
      <c r="M793" s="194">
        <f>IF(OR(_1_541284561214624104645789101745[[#This Row],[UNIT]]&gt;0,_1_541284561214624104645789101745[[#This Row],[UNIT]]&lt;0),_1_541284561214624104645789101745[[#This Row],[UNIT]]*_1_541284561214624104645789101745[[#This Row],[COST]],0)</f>
        <v>0</v>
      </c>
      <c r="N793" s="194">
        <f t="shared" si="12"/>
        <v>1.5</v>
      </c>
      <c r="O793" s="198">
        <f>_1_541284561214624104645789101745[[#This Row],[TOTAL]]*_1_541284561214624104645789101745[[#This Row],[MARGIN]]</f>
        <v>0</v>
      </c>
      <c r="R793" s="41"/>
    </row>
    <row r="794" spans="4:18">
      <c r="D794" s="188"/>
      <c r="F794" s="168" t="s">
        <v>6202</v>
      </c>
      <c r="G794" s="193">
        <f>IF(_1_541284561214624104645789101745[[#This Row],[Type]]&gt;0,VLOOKUP(_1_541284561214624104645789101745[[#This Row],[Type]],Main[[#All],[TYPE]:[UNIT]],'Unit Price'!C$1,FALSE),0)</f>
        <v>0</v>
      </c>
      <c r="H794" s="197">
        <f>IF(_1_541284561214624104645789101745[[#This Row],[Type]]&gt;0,VLOOKUP(_1_541284561214624104645789101745[[#This Row],[Type]],Main[[#All],[TYPE]:[UNIT]],'Unit Price'!D$1,FALSE),0)</f>
        <v>0</v>
      </c>
      <c r="I794" s="194">
        <f>IF(_1_541284561214624104645789101745[[#This Row],[Type]]&gt;0,VLOOKUP(_1_541284561214624104645789101745[[#This Row],[Type]],Main[[#All],[TYPE]:[UNIT]],'Unit Price'!G$1,FALSE),0)</f>
        <v>0</v>
      </c>
      <c r="J794" s="194">
        <f>IF(_1_541284561214624104645789101745[[#This Row],[Type]]&gt;0,VLOOKUP(_1_541284561214624104645789101745[[#This Row],[Type]],Main[[#All],[TYPE]:[UNIT]],'Unit Price'!H$1,FALSE),0)</f>
        <v>0</v>
      </c>
      <c r="K794" s="194">
        <f>IF(_1_541284561214624104645789101745[[#This Row],[Discount selection]]&gt;0,VLOOKUP(_1_541284561214624104645789101745[[#This Row],[Discount selection]],'Discount Structure'!$A$2:$B$30,2,"false"),0)</f>
        <v>1</v>
      </c>
      <c r="L794" s="194">
        <f>_1_541284561214624104645789101745[[#This Row],[LIST $]]*_1_541284561214624104645789101745[[#This Row],[DISCOUNT]]*_1_541284561214624104645789101745[[#This Row],[DISCOUNT 2]]</f>
        <v>0</v>
      </c>
      <c r="M794" s="194">
        <f>IF(OR(_1_541284561214624104645789101745[[#This Row],[UNIT]]&gt;0,_1_541284561214624104645789101745[[#This Row],[UNIT]]&lt;0),_1_541284561214624104645789101745[[#This Row],[UNIT]]*_1_541284561214624104645789101745[[#This Row],[COST]],0)</f>
        <v>0</v>
      </c>
      <c r="N794" s="194">
        <f t="shared" si="12"/>
        <v>1.5</v>
      </c>
      <c r="O794" s="198">
        <f>_1_541284561214624104645789101745[[#This Row],[TOTAL]]*_1_541284561214624104645789101745[[#This Row],[MARGIN]]</f>
        <v>0</v>
      </c>
      <c r="R794" s="41"/>
    </row>
    <row r="795" spans="4:18">
      <c r="D795" s="188"/>
      <c r="F795" s="168" t="s">
        <v>6202</v>
      </c>
      <c r="G795" s="193">
        <f>IF(_1_541284561214624104645789101745[[#This Row],[Type]]&gt;0,VLOOKUP(_1_541284561214624104645789101745[[#This Row],[Type]],Main[[#All],[TYPE]:[UNIT]],'Unit Price'!C$1,FALSE),0)</f>
        <v>0</v>
      </c>
      <c r="H795" s="197">
        <f>IF(_1_541284561214624104645789101745[[#This Row],[Type]]&gt;0,VLOOKUP(_1_541284561214624104645789101745[[#This Row],[Type]],Main[[#All],[TYPE]:[UNIT]],'Unit Price'!D$1,FALSE),0)</f>
        <v>0</v>
      </c>
      <c r="I795" s="194">
        <f>IF(_1_541284561214624104645789101745[[#This Row],[Type]]&gt;0,VLOOKUP(_1_541284561214624104645789101745[[#This Row],[Type]],Main[[#All],[TYPE]:[UNIT]],'Unit Price'!G$1,FALSE),0)</f>
        <v>0</v>
      </c>
      <c r="J795" s="194">
        <f>IF(_1_541284561214624104645789101745[[#This Row],[Type]]&gt;0,VLOOKUP(_1_541284561214624104645789101745[[#This Row],[Type]],Main[[#All],[TYPE]:[UNIT]],'Unit Price'!H$1,FALSE),0)</f>
        <v>0</v>
      </c>
      <c r="K795" s="194">
        <f>IF(_1_541284561214624104645789101745[[#This Row],[Discount selection]]&gt;0,VLOOKUP(_1_541284561214624104645789101745[[#This Row],[Discount selection]],'Discount Structure'!$A$2:$B$30,2,"false"),0)</f>
        <v>1</v>
      </c>
      <c r="L795" s="194">
        <f>_1_541284561214624104645789101745[[#This Row],[LIST $]]*_1_541284561214624104645789101745[[#This Row],[DISCOUNT]]*_1_541284561214624104645789101745[[#This Row],[DISCOUNT 2]]</f>
        <v>0</v>
      </c>
      <c r="M795" s="194">
        <f>IF(OR(_1_541284561214624104645789101745[[#This Row],[UNIT]]&gt;0,_1_541284561214624104645789101745[[#This Row],[UNIT]]&lt;0),_1_541284561214624104645789101745[[#This Row],[UNIT]]*_1_541284561214624104645789101745[[#This Row],[COST]],0)</f>
        <v>0</v>
      </c>
      <c r="N795" s="194">
        <f t="shared" si="12"/>
        <v>1.5</v>
      </c>
      <c r="O795" s="198">
        <f>_1_541284561214624104645789101745[[#This Row],[TOTAL]]*_1_541284561214624104645789101745[[#This Row],[MARGIN]]</f>
        <v>0</v>
      </c>
      <c r="R795" s="41"/>
    </row>
    <row r="796" spans="4:18">
      <c r="D796" s="188"/>
      <c r="F796" s="168" t="s">
        <v>6202</v>
      </c>
      <c r="G796" s="193">
        <f>IF(_1_541284561214624104645789101745[[#This Row],[Type]]&gt;0,VLOOKUP(_1_541284561214624104645789101745[[#This Row],[Type]],Main[[#All],[TYPE]:[UNIT]],'Unit Price'!C$1,FALSE),0)</f>
        <v>0</v>
      </c>
      <c r="H796" s="197">
        <f>IF(_1_541284561214624104645789101745[[#This Row],[Type]]&gt;0,VLOOKUP(_1_541284561214624104645789101745[[#This Row],[Type]],Main[[#All],[TYPE]:[UNIT]],'Unit Price'!D$1,FALSE),0)</f>
        <v>0</v>
      </c>
      <c r="I796" s="194">
        <f>IF(_1_541284561214624104645789101745[[#This Row],[Type]]&gt;0,VLOOKUP(_1_541284561214624104645789101745[[#This Row],[Type]],Main[[#All],[TYPE]:[UNIT]],'Unit Price'!G$1,FALSE),0)</f>
        <v>0</v>
      </c>
      <c r="J796" s="194">
        <f>IF(_1_541284561214624104645789101745[[#This Row],[Type]]&gt;0,VLOOKUP(_1_541284561214624104645789101745[[#This Row],[Type]],Main[[#All],[TYPE]:[UNIT]],'Unit Price'!H$1,FALSE),0)</f>
        <v>0</v>
      </c>
      <c r="K796" s="194">
        <f>IF(_1_541284561214624104645789101745[[#This Row],[Discount selection]]&gt;0,VLOOKUP(_1_541284561214624104645789101745[[#This Row],[Discount selection]],'Discount Structure'!$A$2:$B$30,2,"false"),0)</f>
        <v>1</v>
      </c>
      <c r="L796" s="194">
        <f>_1_541284561214624104645789101745[[#This Row],[LIST $]]*_1_541284561214624104645789101745[[#This Row],[DISCOUNT]]*_1_541284561214624104645789101745[[#This Row],[DISCOUNT 2]]</f>
        <v>0</v>
      </c>
      <c r="M796" s="194">
        <f>IF(OR(_1_541284561214624104645789101745[[#This Row],[UNIT]]&gt;0,_1_541284561214624104645789101745[[#This Row],[UNIT]]&lt;0),_1_541284561214624104645789101745[[#This Row],[UNIT]]*_1_541284561214624104645789101745[[#This Row],[COST]],0)</f>
        <v>0</v>
      </c>
      <c r="N796" s="194">
        <f t="shared" si="12"/>
        <v>1.5</v>
      </c>
      <c r="O796" s="198">
        <f>_1_541284561214624104645789101745[[#This Row],[TOTAL]]*_1_541284561214624104645789101745[[#This Row],[MARGIN]]</f>
        <v>0</v>
      </c>
      <c r="R796" s="41"/>
    </row>
    <row r="797" spans="4:18">
      <c r="D797" s="188"/>
      <c r="F797" s="168" t="s">
        <v>6202</v>
      </c>
      <c r="G797" s="193">
        <f>IF(_1_541284561214624104645789101745[[#This Row],[Type]]&gt;0,VLOOKUP(_1_541284561214624104645789101745[[#This Row],[Type]],Main[[#All],[TYPE]:[UNIT]],'Unit Price'!C$1,FALSE),0)</f>
        <v>0</v>
      </c>
      <c r="H797" s="197">
        <f>IF(_1_541284561214624104645789101745[[#This Row],[Type]]&gt;0,VLOOKUP(_1_541284561214624104645789101745[[#This Row],[Type]],Main[[#All],[TYPE]:[UNIT]],'Unit Price'!D$1,FALSE),0)</f>
        <v>0</v>
      </c>
      <c r="I797" s="194">
        <f>IF(_1_541284561214624104645789101745[[#This Row],[Type]]&gt;0,VLOOKUP(_1_541284561214624104645789101745[[#This Row],[Type]],Main[[#All],[TYPE]:[UNIT]],'Unit Price'!G$1,FALSE),0)</f>
        <v>0</v>
      </c>
      <c r="J797" s="194">
        <f>IF(_1_541284561214624104645789101745[[#This Row],[Type]]&gt;0,VLOOKUP(_1_541284561214624104645789101745[[#This Row],[Type]],Main[[#All],[TYPE]:[UNIT]],'Unit Price'!H$1,FALSE),0)</f>
        <v>0</v>
      </c>
      <c r="K797" s="194">
        <f>IF(_1_541284561214624104645789101745[[#This Row],[Discount selection]]&gt;0,VLOOKUP(_1_541284561214624104645789101745[[#This Row],[Discount selection]],'Discount Structure'!$A$2:$B$30,2,"false"),0)</f>
        <v>1</v>
      </c>
      <c r="L797" s="194">
        <f>_1_541284561214624104645789101745[[#This Row],[LIST $]]*_1_541284561214624104645789101745[[#This Row],[DISCOUNT]]*_1_541284561214624104645789101745[[#This Row],[DISCOUNT 2]]</f>
        <v>0</v>
      </c>
      <c r="M797" s="194">
        <f>IF(OR(_1_541284561214624104645789101745[[#This Row],[UNIT]]&gt;0,_1_541284561214624104645789101745[[#This Row],[UNIT]]&lt;0),_1_541284561214624104645789101745[[#This Row],[UNIT]]*_1_541284561214624104645789101745[[#This Row],[COST]],0)</f>
        <v>0</v>
      </c>
      <c r="N797" s="194">
        <f t="shared" si="12"/>
        <v>1.5</v>
      </c>
      <c r="O797" s="198">
        <f>_1_541284561214624104645789101745[[#This Row],[TOTAL]]*_1_541284561214624104645789101745[[#This Row],[MARGIN]]</f>
        <v>0</v>
      </c>
      <c r="R797" s="41"/>
    </row>
    <row r="798" spans="4:18">
      <c r="D798" s="188"/>
      <c r="F798" s="168" t="s">
        <v>6202</v>
      </c>
      <c r="G798" s="193">
        <f>IF(_1_541284561214624104645789101745[[#This Row],[Type]]&gt;0,VLOOKUP(_1_541284561214624104645789101745[[#This Row],[Type]],Main[[#All],[TYPE]:[UNIT]],'Unit Price'!C$1,FALSE),0)</f>
        <v>0</v>
      </c>
      <c r="H798" s="197">
        <f>IF(_1_541284561214624104645789101745[[#This Row],[Type]]&gt;0,VLOOKUP(_1_541284561214624104645789101745[[#This Row],[Type]],Main[[#All],[TYPE]:[UNIT]],'Unit Price'!D$1,FALSE),0)</f>
        <v>0</v>
      </c>
      <c r="I798" s="194">
        <f>IF(_1_541284561214624104645789101745[[#This Row],[Type]]&gt;0,VLOOKUP(_1_541284561214624104645789101745[[#This Row],[Type]],Main[[#All],[TYPE]:[UNIT]],'Unit Price'!G$1,FALSE),0)</f>
        <v>0</v>
      </c>
      <c r="J798" s="194">
        <f>IF(_1_541284561214624104645789101745[[#This Row],[Type]]&gt;0,VLOOKUP(_1_541284561214624104645789101745[[#This Row],[Type]],Main[[#All],[TYPE]:[UNIT]],'Unit Price'!H$1,FALSE),0)</f>
        <v>0</v>
      </c>
      <c r="K798" s="194">
        <f>IF(_1_541284561214624104645789101745[[#This Row],[Discount selection]]&gt;0,VLOOKUP(_1_541284561214624104645789101745[[#This Row],[Discount selection]],'Discount Structure'!$A$2:$B$30,2,"false"),0)</f>
        <v>1</v>
      </c>
      <c r="L798" s="194">
        <f>_1_541284561214624104645789101745[[#This Row],[LIST $]]*_1_541284561214624104645789101745[[#This Row],[DISCOUNT]]*_1_541284561214624104645789101745[[#This Row],[DISCOUNT 2]]</f>
        <v>0</v>
      </c>
      <c r="M798" s="194">
        <f>IF(OR(_1_541284561214624104645789101745[[#This Row],[UNIT]]&gt;0,_1_541284561214624104645789101745[[#This Row],[UNIT]]&lt;0),_1_541284561214624104645789101745[[#This Row],[UNIT]]*_1_541284561214624104645789101745[[#This Row],[COST]],0)</f>
        <v>0</v>
      </c>
      <c r="N798" s="194">
        <f t="shared" si="12"/>
        <v>1.5</v>
      </c>
      <c r="O798" s="198">
        <f>_1_541284561214624104645789101745[[#This Row],[TOTAL]]*_1_541284561214624104645789101745[[#This Row],[MARGIN]]</f>
        <v>0</v>
      </c>
      <c r="R798" s="41"/>
    </row>
    <row r="799" spans="4:18">
      <c r="D799" s="188"/>
      <c r="F799" s="168" t="s">
        <v>6202</v>
      </c>
      <c r="G799" s="193">
        <f>IF(_1_541284561214624104645789101745[[#This Row],[Type]]&gt;0,VLOOKUP(_1_541284561214624104645789101745[[#This Row],[Type]],Main[[#All],[TYPE]:[UNIT]],'Unit Price'!C$1,FALSE),0)</f>
        <v>0</v>
      </c>
      <c r="H799" s="197">
        <f>IF(_1_541284561214624104645789101745[[#This Row],[Type]]&gt;0,VLOOKUP(_1_541284561214624104645789101745[[#This Row],[Type]],Main[[#All],[TYPE]:[UNIT]],'Unit Price'!D$1,FALSE),0)</f>
        <v>0</v>
      </c>
      <c r="I799" s="194">
        <f>IF(_1_541284561214624104645789101745[[#This Row],[Type]]&gt;0,VLOOKUP(_1_541284561214624104645789101745[[#This Row],[Type]],Main[[#All],[TYPE]:[UNIT]],'Unit Price'!G$1,FALSE),0)</f>
        <v>0</v>
      </c>
      <c r="J799" s="194">
        <f>IF(_1_541284561214624104645789101745[[#This Row],[Type]]&gt;0,VLOOKUP(_1_541284561214624104645789101745[[#This Row],[Type]],Main[[#All],[TYPE]:[UNIT]],'Unit Price'!H$1,FALSE),0)</f>
        <v>0</v>
      </c>
      <c r="K799" s="194">
        <f>IF(_1_541284561214624104645789101745[[#This Row],[Discount selection]]&gt;0,VLOOKUP(_1_541284561214624104645789101745[[#This Row],[Discount selection]],'Discount Structure'!$A$2:$B$30,2,"false"),0)</f>
        <v>1</v>
      </c>
      <c r="L799" s="194">
        <f>_1_541284561214624104645789101745[[#This Row],[LIST $]]*_1_541284561214624104645789101745[[#This Row],[DISCOUNT]]*_1_541284561214624104645789101745[[#This Row],[DISCOUNT 2]]</f>
        <v>0</v>
      </c>
      <c r="M799" s="194">
        <f>IF(OR(_1_541284561214624104645789101745[[#This Row],[UNIT]]&gt;0,_1_541284561214624104645789101745[[#This Row],[UNIT]]&lt;0),_1_541284561214624104645789101745[[#This Row],[UNIT]]*_1_541284561214624104645789101745[[#This Row],[COST]],0)</f>
        <v>0</v>
      </c>
      <c r="N799" s="194">
        <f t="shared" si="12"/>
        <v>1.5</v>
      </c>
      <c r="O799" s="198">
        <f>_1_541284561214624104645789101745[[#This Row],[TOTAL]]*_1_541284561214624104645789101745[[#This Row],[MARGIN]]</f>
        <v>0</v>
      </c>
      <c r="R799" s="41"/>
    </row>
    <row r="800" spans="4:18">
      <c r="D800" s="188"/>
      <c r="F800" s="168" t="s">
        <v>6202</v>
      </c>
      <c r="G800" s="193">
        <f>IF(_1_541284561214624104645789101745[[#This Row],[Type]]&gt;0,VLOOKUP(_1_541284561214624104645789101745[[#This Row],[Type]],Main[[#All],[TYPE]:[UNIT]],'Unit Price'!C$1,FALSE),0)</f>
        <v>0</v>
      </c>
      <c r="H800" s="197">
        <f>IF(_1_541284561214624104645789101745[[#This Row],[Type]]&gt;0,VLOOKUP(_1_541284561214624104645789101745[[#This Row],[Type]],Main[[#All],[TYPE]:[UNIT]],'Unit Price'!D$1,FALSE),0)</f>
        <v>0</v>
      </c>
      <c r="I800" s="194">
        <f>IF(_1_541284561214624104645789101745[[#This Row],[Type]]&gt;0,VLOOKUP(_1_541284561214624104645789101745[[#This Row],[Type]],Main[[#All],[TYPE]:[UNIT]],'Unit Price'!G$1,FALSE),0)</f>
        <v>0</v>
      </c>
      <c r="J800" s="194">
        <f>IF(_1_541284561214624104645789101745[[#This Row],[Type]]&gt;0,VLOOKUP(_1_541284561214624104645789101745[[#This Row],[Type]],Main[[#All],[TYPE]:[UNIT]],'Unit Price'!H$1,FALSE),0)</f>
        <v>0</v>
      </c>
      <c r="K800" s="194">
        <f>IF(_1_541284561214624104645789101745[[#This Row],[Discount selection]]&gt;0,VLOOKUP(_1_541284561214624104645789101745[[#This Row],[Discount selection]],'Discount Structure'!$A$2:$B$30,2,"false"),0)</f>
        <v>1</v>
      </c>
      <c r="L800" s="194">
        <f>_1_541284561214624104645789101745[[#This Row],[LIST $]]*_1_541284561214624104645789101745[[#This Row],[DISCOUNT]]*_1_541284561214624104645789101745[[#This Row],[DISCOUNT 2]]</f>
        <v>0</v>
      </c>
      <c r="M800" s="194">
        <f>IF(OR(_1_541284561214624104645789101745[[#This Row],[UNIT]]&gt;0,_1_541284561214624104645789101745[[#This Row],[UNIT]]&lt;0),_1_541284561214624104645789101745[[#This Row],[UNIT]]*_1_541284561214624104645789101745[[#This Row],[COST]],0)</f>
        <v>0</v>
      </c>
      <c r="N800" s="194">
        <f t="shared" si="12"/>
        <v>1.5</v>
      </c>
      <c r="O800" s="198">
        <f>_1_541284561214624104645789101745[[#This Row],[TOTAL]]*_1_541284561214624104645789101745[[#This Row],[MARGIN]]</f>
        <v>0</v>
      </c>
      <c r="R800" s="41"/>
    </row>
    <row r="801" spans="4:18">
      <c r="D801" s="188"/>
      <c r="F801" s="168" t="s">
        <v>6202</v>
      </c>
      <c r="G801" s="193">
        <f>IF(_1_541284561214624104645789101745[[#This Row],[Type]]&gt;0,VLOOKUP(_1_541284561214624104645789101745[[#This Row],[Type]],Main[[#All],[TYPE]:[UNIT]],'Unit Price'!C$1,FALSE),0)</f>
        <v>0</v>
      </c>
      <c r="H801" s="197">
        <f>IF(_1_541284561214624104645789101745[[#This Row],[Type]]&gt;0,VLOOKUP(_1_541284561214624104645789101745[[#This Row],[Type]],Main[[#All],[TYPE]:[UNIT]],'Unit Price'!D$1,FALSE),0)</f>
        <v>0</v>
      </c>
      <c r="I801" s="194">
        <f>IF(_1_541284561214624104645789101745[[#This Row],[Type]]&gt;0,VLOOKUP(_1_541284561214624104645789101745[[#This Row],[Type]],Main[[#All],[TYPE]:[UNIT]],'Unit Price'!G$1,FALSE),0)</f>
        <v>0</v>
      </c>
      <c r="J801" s="194">
        <f>IF(_1_541284561214624104645789101745[[#This Row],[Type]]&gt;0,VLOOKUP(_1_541284561214624104645789101745[[#This Row],[Type]],Main[[#All],[TYPE]:[UNIT]],'Unit Price'!H$1,FALSE),0)</f>
        <v>0</v>
      </c>
      <c r="K801" s="194">
        <f>IF(_1_541284561214624104645789101745[[#This Row],[Discount selection]]&gt;0,VLOOKUP(_1_541284561214624104645789101745[[#This Row],[Discount selection]],'Discount Structure'!$A$2:$B$30,2,"false"),0)</f>
        <v>1</v>
      </c>
      <c r="L801" s="194">
        <f>_1_541284561214624104645789101745[[#This Row],[LIST $]]*_1_541284561214624104645789101745[[#This Row],[DISCOUNT]]*_1_541284561214624104645789101745[[#This Row],[DISCOUNT 2]]</f>
        <v>0</v>
      </c>
      <c r="M801" s="194">
        <f>IF(OR(_1_541284561214624104645789101745[[#This Row],[UNIT]]&gt;0,_1_541284561214624104645789101745[[#This Row],[UNIT]]&lt;0),_1_541284561214624104645789101745[[#This Row],[UNIT]]*_1_541284561214624104645789101745[[#This Row],[COST]],0)</f>
        <v>0</v>
      </c>
      <c r="N801" s="194">
        <f t="shared" si="12"/>
        <v>1.5</v>
      </c>
      <c r="O801" s="198">
        <f>_1_541284561214624104645789101745[[#This Row],[TOTAL]]*_1_541284561214624104645789101745[[#This Row],[MARGIN]]</f>
        <v>0</v>
      </c>
      <c r="R801" s="41"/>
    </row>
    <row r="802" spans="4:18">
      <c r="D802" s="188"/>
      <c r="F802" s="168" t="s">
        <v>6202</v>
      </c>
      <c r="G802" s="193">
        <f>IF(_1_541284561214624104645789101745[[#This Row],[Type]]&gt;0,VLOOKUP(_1_541284561214624104645789101745[[#This Row],[Type]],Main[[#All],[TYPE]:[UNIT]],'Unit Price'!C$1,FALSE),0)</f>
        <v>0</v>
      </c>
      <c r="H802" s="197">
        <f>IF(_1_541284561214624104645789101745[[#This Row],[Type]]&gt;0,VLOOKUP(_1_541284561214624104645789101745[[#This Row],[Type]],Main[[#All],[TYPE]:[UNIT]],'Unit Price'!D$1,FALSE),0)</f>
        <v>0</v>
      </c>
      <c r="I802" s="194">
        <f>IF(_1_541284561214624104645789101745[[#This Row],[Type]]&gt;0,VLOOKUP(_1_541284561214624104645789101745[[#This Row],[Type]],Main[[#All],[TYPE]:[UNIT]],'Unit Price'!G$1,FALSE),0)</f>
        <v>0</v>
      </c>
      <c r="J802" s="194">
        <f>IF(_1_541284561214624104645789101745[[#This Row],[Type]]&gt;0,VLOOKUP(_1_541284561214624104645789101745[[#This Row],[Type]],Main[[#All],[TYPE]:[UNIT]],'Unit Price'!H$1,FALSE),0)</f>
        <v>0</v>
      </c>
      <c r="K802" s="194">
        <f>IF(_1_541284561214624104645789101745[[#This Row],[Discount selection]]&gt;0,VLOOKUP(_1_541284561214624104645789101745[[#This Row],[Discount selection]],'Discount Structure'!$A$2:$B$30,2,"false"),0)</f>
        <v>1</v>
      </c>
      <c r="L802" s="194">
        <f>_1_541284561214624104645789101745[[#This Row],[LIST $]]*_1_541284561214624104645789101745[[#This Row],[DISCOUNT]]*_1_541284561214624104645789101745[[#This Row],[DISCOUNT 2]]</f>
        <v>0</v>
      </c>
      <c r="M802" s="194">
        <f>IF(OR(_1_541284561214624104645789101745[[#This Row],[UNIT]]&gt;0,_1_541284561214624104645789101745[[#This Row],[UNIT]]&lt;0),_1_541284561214624104645789101745[[#This Row],[UNIT]]*_1_541284561214624104645789101745[[#This Row],[COST]],0)</f>
        <v>0</v>
      </c>
      <c r="N802" s="194">
        <f t="shared" si="12"/>
        <v>1.5</v>
      </c>
      <c r="O802" s="198">
        <f>_1_541284561214624104645789101745[[#This Row],[TOTAL]]*_1_541284561214624104645789101745[[#This Row],[MARGIN]]</f>
        <v>0</v>
      </c>
      <c r="R802" s="41"/>
    </row>
    <row r="803" spans="4:18">
      <c r="D803" s="188"/>
      <c r="F803" s="168" t="s">
        <v>6202</v>
      </c>
      <c r="G803" s="193">
        <f>IF(_1_541284561214624104645789101745[[#This Row],[Type]]&gt;0,VLOOKUP(_1_541284561214624104645789101745[[#This Row],[Type]],Main[[#All],[TYPE]:[UNIT]],'Unit Price'!C$1,FALSE),0)</f>
        <v>0</v>
      </c>
      <c r="H803" s="197">
        <f>IF(_1_541284561214624104645789101745[[#This Row],[Type]]&gt;0,VLOOKUP(_1_541284561214624104645789101745[[#This Row],[Type]],Main[[#All],[TYPE]:[UNIT]],'Unit Price'!D$1,FALSE),0)</f>
        <v>0</v>
      </c>
      <c r="I803" s="194">
        <f>IF(_1_541284561214624104645789101745[[#This Row],[Type]]&gt;0,VLOOKUP(_1_541284561214624104645789101745[[#This Row],[Type]],Main[[#All],[TYPE]:[UNIT]],'Unit Price'!G$1,FALSE),0)</f>
        <v>0</v>
      </c>
      <c r="J803" s="194">
        <f>IF(_1_541284561214624104645789101745[[#This Row],[Type]]&gt;0,VLOOKUP(_1_541284561214624104645789101745[[#This Row],[Type]],Main[[#All],[TYPE]:[UNIT]],'Unit Price'!H$1,FALSE),0)</f>
        <v>0</v>
      </c>
      <c r="K803" s="194">
        <f>IF(_1_541284561214624104645789101745[[#This Row],[Discount selection]]&gt;0,VLOOKUP(_1_541284561214624104645789101745[[#This Row],[Discount selection]],'Discount Structure'!$A$2:$B$30,2,"false"),0)</f>
        <v>1</v>
      </c>
      <c r="L803" s="194">
        <f>_1_541284561214624104645789101745[[#This Row],[LIST $]]*_1_541284561214624104645789101745[[#This Row],[DISCOUNT]]*_1_541284561214624104645789101745[[#This Row],[DISCOUNT 2]]</f>
        <v>0</v>
      </c>
      <c r="M803" s="194">
        <f>IF(OR(_1_541284561214624104645789101745[[#This Row],[UNIT]]&gt;0,_1_541284561214624104645789101745[[#This Row],[UNIT]]&lt;0),_1_541284561214624104645789101745[[#This Row],[UNIT]]*_1_541284561214624104645789101745[[#This Row],[COST]],0)</f>
        <v>0</v>
      </c>
      <c r="N803" s="194">
        <f t="shared" si="12"/>
        <v>1.5</v>
      </c>
      <c r="O803" s="198">
        <f>_1_541284561214624104645789101745[[#This Row],[TOTAL]]*_1_541284561214624104645789101745[[#This Row],[MARGIN]]</f>
        <v>0</v>
      </c>
      <c r="R803" s="41"/>
    </row>
    <row r="804" spans="4:18">
      <c r="D804" s="188"/>
      <c r="F804" s="168" t="s">
        <v>6202</v>
      </c>
      <c r="G804" s="193">
        <f>IF(_1_541284561214624104645789101745[[#This Row],[Type]]&gt;0,VLOOKUP(_1_541284561214624104645789101745[[#This Row],[Type]],Main[[#All],[TYPE]:[UNIT]],'Unit Price'!C$1,FALSE),0)</f>
        <v>0</v>
      </c>
      <c r="H804" s="197">
        <f>IF(_1_541284561214624104645789101745[[#This Row],[Type]]&gt;0,VLOOKUP(_1_541284561214624104645789101745[[#This Row],[Type]],Main[[#All],[TYPE]:[UNIT]],'Unit Price'!D$1,FALSE),0)</f>
        <v>0</v>
      </c>
      <c r="I804" s="194">
        <f>IF(_1_541284561214624104645789101745[[#This Row],[Type]]&gt;0,VLOOKUP(_1_541284561214624104645789101745[[#This Row],[Type]],Main[[#All],[TYPE]:[UNIT]],'Unit Price'!G$1,FALSE),0)</f>
        <v>0</v>
      </c>
      <c r="J804" s="194">
        <f>IF(_1_541284561214624104645789101745[[#This Row],[Type]]&gt;0,VLOOKUP(_1_541284561214624104645789101745[[#This Row],[Type]],Main[[#All],[TYPE]:[UNIT]],'Unit Price'!H$1,FALSE),0)</f>
        <v>0</v>
      </c>
      <c r="K804" s="194">
        <f>IF(_1_541284561214624104645789101745[[#This Row],[Discount selection]]&gt;0,VLOOKUP(_1_541284561214624104645789101745[[#This Row],[Discount selection]],'Discount Structure'!$A$2:$B$30,2,"false"),0)</f>
        <v>1</v>
      </c>
      <c r="L804" s="194">
        <f>_1_541284561214624104645789101745[[#This Row],[LIST $]]*_1_541284561214624104645789101745[[#This Row],[DISCOUNT]]*_1_541284561214624104645789101745[[#This Row],[DISCOUNT 2]]</f>
        <v>0</v>
      </c>
      <c r="M804" s="194">
        <f>IF(OR(_1_541284561214624104645789101745[[#This Row],[UNIT]]&gt;0,_1_541284561214624104645789101745[[#This Row],[UNIT]]&lt;0),_1_541284561214624104645789101745[[#This Row],[UNIT]]*_1_541284561214624104645789101745[[#This Row],[COST]],0)</f>
        <v>0</v>
      </c>
      <c r="N804" s="194">
        <f t="shared" si="12"/>
        <v>1.5</v>
      </c>
      <c r="O804" s="198">
        <f>_1_541284561214624104645789101745[[#This Row],[TOTAL]]*_1_541284561214624104645789101745[[#This Row],[MARGIN]]</f>
        <v>0</v>
      </c>
      <c r="R804" s="41"/>
    </row>
    <row r="805" spans="4:18">
      <c r="D805" s="188"/>
      <c r="F805" s="168" t="s">
        <v>6202</v>
      </c>
      <c r="G805" s="193">
        <f>IF(_1_541284561214624104645789101745[[#This Row],[Type]]&gt;0,VLOOKUP(_1_541284561214624104645789101745[[#This Row],[Type]],Main[[#All],[TYPE]:[UNIT]],'Unit Price'!C$1,FALSE),0)</f>
        <v>0</v>
      </c>
      <c r="H805" s="197">
        <f>IF(_1_541284561214624104645789101745[[#This Row],[Type]]&gt;0,VLOOKUP(_1_541284561214624104645789101745[[#This Row],[Type]],Main[[#All],[TYPE]:[UNIT]],'Unit Price'!D$1,FALSE),0)</f>
        <v>0</v>
      </c>
      <c r="I805" s="194">
        <f>IF(_1_541284561214624104645789101745[[#This Row],[Type]]&gt;0,VLOOKUP(_1_541284561214624104645789101745[[#This Row],[Type]],Main[[#All],[TYPE]:[UNIT]],'Unit Price'!G$1,FALSE),0)</f>
        <v>0</v>
      </c>
      <c r="J805" s="194">
        <f>IF(_1_541284561214624104645789101745[[#This Row],[Type]]&gt;0,VLOOKUP(_1_541284561214624104645789101745[[#This Row],[Type]],Main[[#All],[TYPE]:[UNIT]],'Unit Price'!H$1,FALSE),0)</f>
        <v>0</v>
      </c>
      <c r="K805" s="194">
        <f>IF(_1_541284561214624104645789101745[[#This Row],[Discount selection]]&gt;0,VLOOKUP(_1_541284561214624104645789101745[[#This Row],[Discount selection]],'Discount Structure'!$A$2:$B$30,2,"false"),0)</f>
        <v>1</v>
      </c>
      <c r="L805" s="194">
        <f>_1_541284561214624104645789101745[[#This Row],[LIST $]]*_1_541284561214624104645789101745[[#This Row],[DISCOUNT]]*_1_541284561214624104645789101745[[#This Row],[DISCOUNT 2]]</f>
        <v>0</v>
      </c>
      <c r="M805" s="194">
        <f>IF(OR(_1_541284561214624104645789101745[[#This Row],[UNIT]]&gt;0,_1_541284561214624104645789101745[[#This Row],[UNIT]]&lt;0),_1_541284561214624104645789101745[[#This Row],[UNIT]]*_1_541284561214624104645789101745[[#This Row],[COST]],0)</f>
        <v>0</v>
      </c>
      <c r="N805" s="194">
        <f t="shared" si="12"/>
        <v>1.5</v>
      </c>
      <c r="O805" s="198">
        <f>_1_541284561214624104645789101745[[#This Row],[TOTAL]]*_1_541284561214624104645789101745[[#This Row],[MARGIN]]</f>
        <v>0</v>
      </c>
      <c r="R805" s="41"/>
    </row>
    <row r="806" spans="4:18">
      <c r="D806" s="188"/>
      <c r="F806" s="168" t="s">
        <v>6202</v>
      </c>
      <c r="G806" s="193">
        <f>IF(_1_541284561214624104645789101745[[#This Row],[Type]]&gt;0,VLOOKUP(_1_541284561214624104645789101745[[#This Row],[Type]],Main[[#All],[TYPE]:[UNIT]],'Unit Price'!C$1,FALSE),0)</f>
        <v>0</v>
      </c>
      <c r="H806" s="197">
        <f>IF(_1_541284561214624104645789101745[[#This Row],[Type]]&gt;0,VLOOKUP(_1_541284561214624104645789101745[[#This Row],[Type]],Main[[#All],[TYPE]:[UNIT]],'Unit Price'!D$1,FALSE),0)</f>
        <v>0</v>
      </c>
      <c r="I806" s="194">
        <f>IF(_1_541284561214624104645789101745[[#This Row],[Type]]&gt;0,VLOOKUP(_1_541284561214624104645789101745[[#This Row],[Type]],Main[[#All],[TYPE]:[UNIT]],'Unit Price'!G$1,FALSE),0)</f>
        <v>0</v>
      </c>
      <c r="J806" s="194">
        <f>IF(_1_541284561214624104645789101745[[#This Row],[Type]]&gt;0,VLOOKUP(_1_541284561214624104645789101745[[#This Row],[Type]],Main[[#All],[TYPE]:[UNIT]],'Unit Price'!H$1,FALSE),0)</f>
        <v>0</v>
      </c>
      <c r="K806" s="194">
        <f>IF(_1_541284561214624104645789101745[[#This Row],[Discount selection]]&gt;0,VLOOKUP(_1_541284561214624104645789101745[[#This Row],[Discount selection]],'Discount Structure'!$A$2:$B$30,2,"false"),0)</f>
        <v>1</v>
      </c>
      <c r="L806" s="194">
        <f>_1_541284561214624104645789101745[[#This Row],[LIST $]]*_1_541284561214624104645789101745[[#This Row],[DISCOUNT]]*_1_541284561214624104645789101745[[#This Row],[DISCOUNT 2]]</f>
        <v>0</v>
      </c>
      <c r="M806" s="194">
        <f>IF(OR(_1_541284561214624104645789101745[[#This Row],[UNIT]]&gt;0,_1_541284561214624104645789101745[[#This Row],[UNIT]]&lt;0),_1_541284561214624104645789101745[[#This Row],[UNIT]]*_1_541284561214624104645789101745[[#This Row],[COST]],0)</f>
        <v>0</v>
      </c>
      <c r="N806" s="194">
        <f t="shared" si="12"/>
        <v>1.5</v>
      </c>
      <c r="O806" s="198">
        <f>_1_541284561214624104645789101745[[#This Row],[TOTAL]]*_1_541284561214624104645789101745[[#This Row],[MARGIN]]</f>
        <v>0</v>
      </c>
      <c r="R806" s="41"/>
    </row>
    <row r="807" spans="4:18">
      <c r="D807" s="188"/>
      <c r="F807" s="168" t="s">
        <v>6202</v>
      </c>
      <c r="G807" s="193">
        <f>IF(_1_541284561214624104645789101745[[#This Row],[Type]]&gt;0,VLOOKUP(_1_541284561214624104645789101745[[#This Row],[Type]],Main[[#All],[TYPE]:[UNIT]],'Unit Price'!C$1,FALSE),0)</f>
        <v>0</v>
      </c>
      <c r="H807" s="197">
        <f>IF(_1_541284561214624104645789101745[[#This Row],[Type]]&gt;0,VLOOKUP(_1_541284561214624104645789101745[[#This Row],[Type]],Main[[#All],[TYPE]:[UNIT]],'Unit Price'!D$1,FALSE),0)</f>
        <v>0</v>
      </c>
      <c r="I807" s="194">
        <f>IF(_1_541284561214624104645789101745[[#This Row],[Type]]&gt;0,VLOOKUP(_1_541284561214624104645789101745[[#This Row],[Type]],Main[[#All],[TYPE]:[UNIT]],'Unit Price'!G$1,FALSE),0)</f>
        <v>0</v>
      </c>
      <c r="J807" s="194">
        <f>IF(_1_541284561214624104645789101745[[#This Row],[Type]]&gt;0,VLOOKUP(_1_541284561214624104645789101745[[#This Row],[Type]],Main[[#All],[TYPE]:[UNIT]],'Unit Price'!H$1,FALSE),0)</f>
        <v>0</v>
      </c>
      <c r="K807" s="194">
        <f>IF(_1_541284561214624104645789101745[[#This Row],[Discount selection]]&gt;0,VLOOKUP(_1_541284561214624104645789101745[[#This Row],[Discount selection]],'Discount Structure'!$A$2:$B$30,2,"false"),0)</f>
        <v>1</v>
      </c>
      <c r="L807" s="194">
        <f>_1_541284561214624104645789101745[[#This Row],[LIST $]]*_1_541284561214624104645789101745[[#This Row],[DISCOUNT]]*_1_541284561214624104645789101745[[#This Row],[DISCOUNT 2]]</f>
        <v>0</v>
      </c>
      <c r="M807" s="194">
        <f>IF(OR(_1_541284561214624104645789101745[[#This Row],[UNIT]]&gt;0,_1_541284561214624104645789101745[[#This Row],[UNIT]]&lt;0),_1_541284561214624104645789101745[[#This Row],[UNIT]]*_1_541284561214624104645789101745[[#This Row],[COST]],0)</f>
        <v>0</v>
      </c>
      <c r="N807" s="194">
        <f t="shared" si="12"/>
        <v>1.5</v>
      </c>
      <c r="O807" s="198">
        <f>_1_541284561214624104645789101745[[#This Row],[TOTAL]]*_1_541284561214624104645789101745[[#This Row],[MARGIN]]</f>
        <v>0</v>
      </c>
      <c r="R807" s="41"/>
    </row>
    <row r="808" spans="4:18">
      <c r="D808" s="188"/>
      <c r="F808" s="168" t="s">
        <v>6202</v>
      </c>
      <c r="G808" s="193">
        <f>IF(_1_541284561214624104645789101745[[#This Row],[Type]]&gt;0,VLOOKUP(_1_541284561214624104645789101745[[#This Row],[Type]],Main[[#All],[TYPE]:[UNIT]],'Unit Price'!C$1,FALSE),0)</f>
        <v>0</v>
      </c>
      <c r="H808" s="197">
        <f>IF(_1_541284561214624104645789101745[[#This Row],[Type]]&gt;0,VLOOKUP(_1_541284561214624104645789101745[[#This Row],[Type]],Main[[#All],[TYPE]:[UNIT]],'Unit Price'!D$1,FALSE),0)</f>
        <v>0</v>
      </c>
      <c r="I808" s="194">
        <f>IF(_1_541284561214624104645789101745[[#This Row],[Type]]&gt;0,VLOOKUP(_1_541284561214624104645789101745[[#This Row],[Type]],Main[[#All],[TYPE]:[UNIT]],'Unit Price'!G$1,FALSE),0)</f>
        <v>0</v>
      </c>
      <c r="J808" s="194">
        <f>IF(_1_541284561214624104645789101745[[#This Row],[Type]]&gt;0,VLOOKUP(_1_541284561214624104645789101745[[#This Row],[Type]],Main[[#All],[TYPE]:[UNIT]],'Unit Price'!H$1,FALSE),0)</f>
        <v>0</v>
      </c>
      <c r="K808" s="194">
        <f>IF(_1_541284561214624104645789101745[[#This Row],[Discount selection]]&gt;0,VLOOKUP(_1_541284561214624104645789101745[[#This Row],[Discount selection]],'Discount Structure'!$A$2:$B$30,2,"false"),0)</f>
        <v>1</v>
      </c>
      <c r="L808" s="194">
        <f>_1_541284561214624104645789101745[[#This Row],[LIST $]]*_1_541284561214624104645789101745[[#This Row],[DISCOUNT]]*_1_541284561214624104645789101745[[#This Row],[DISCOUNT 2]]</f>
        <v>0</v>
      </c>
      <c r="M808" s="194">
        <f>IF(OR(_1_541284561214624104645789101745[[#This Row],[UNIT]]&gt;0,_1_541284561214624104645789101745[[#This Row],[UNIT]]&lt;0),_1_541284561214624104645789101745[[#This Row],[UNIT]]*_1_541284561214624104645789101745[[#This Row],[COST]],0)</f>
        <v>0</v>
      </c>
      <c r="N808" s="194">
        <f t="shared" si="12"/>
        <v>1.5</v>
      </c>
      <c r="O808" s="198">
        <f>_1_541284561214624104645789101745[[#This Row],[TOTAL]]*_1_541284561214624104645789101745[[#This Row],[MARGIN]]</f>
        <v>0</v>
      </c>
      <c r="R808" s="41"/>
    </row>
    <row r="809" spans="4:18">
      <c r="D809" s="188"/>
      <c r="F809" s="168" t="s">
        <v>6202</v>
      </c>
      <c r="G809" s="193">
        <f>IF(_1_541284561214624104645789101745[[#This Row],[Type]]&gt;0,VLOOKUP(_1_541284561214624104645789101745[[#This Row],[Type]],Main[[#All],[TYPE]:[UNIT]],'Unit Price'!C$1,FALSE),0)</f>
        <v>0</v>
      </c>
      <c r="H809" s="197">
        <f>IF(_1_541284561214624104645789101745[[#This Row],[Type]]&gt;0,VLOOKUP(_1_541284561214624104645789101745[[#This Row],[Type]],Main[[#All],[TYPE]:[UNIT]],'Unit Price'!D$1,FALSE),0)</f>
        <v>0</v>
      </c>
      <c r="I809" s="194">
        <f>IF(_1_541284561214624104645789101745[[#This Row],[Type]]&gt;0,VLOOKUP(_1_541284561214624104645789101745[[#This Row],[Type]],Main[[#All],[TYPE]:[UNIT]],'Unit Price'!G$1,FALSE),0)</f>
        <v>0</v>
      </c>
      <c r="J809" s="194">
        <f>IF(_1_541284561214624104645789101745[[#This Row],[Type]]&gt;0,VLOOKUP(_1_541284561214624104645789101745[[#This Row],[Type]],Main[[#All],[TYPE]:[UNIT]],'Unit Price'!H$1,FALSE),0)</f>
        <v>0</v>
      </c>
      <c r="K809" s="194">
        <f>IF(_1_541284561214624104645789101745[[#This Row],[Discount selection]]&gt;0,VLOOKUP(_1_541284561214624104645789101745[[#This Row],[Discount selection]],'Discount Structure'!$A$2:$B$30,2,"false"),0)</f>
        <v>1</v>
      </c>
      <c r="L809" s="194">
        <f>_1_541284561214624104645789101745[[#This Row],[LIST $]]*_1_541284561214624104645789101745[[#This Row],[DISCOUNT]]*_1_541284561214624104645789101745[[#This Row],[DISCOUNT 2]]</f>
        <v>0</v>
      </c>
      <c r="M809" s="194">
        <f>IF(OR(_1_541284561214624104645789101745[[#This Row],[UNIT]]&gt;0,_1_541284561214624104645789101745[[#This Row],[UNIT]]&lt;0),_1_541284561214624104645789101745[[#This Row],[UNIT]]*_1_541284561214624104645789101745[[#This Row],[COST]],0)</f>
        <v>0</v>
      </c>
      <c r="N809" s="194">
        <f t="shared" si="12"/>
        <v>1.5</v>
      </c>
      <c r="O809" s="198">
        <f>_1_541284561214624104645789101745[[#This Row],[TOTAL]]*_1_541284561214624104645789101745[[#This Row],[MARGIN]]</f>
        <v>0</v>
      </c>
      <c r="R809" s="41"/>
    </row>
    <row r="810" spans="4:18">
      <c r="D810" s="188"/>
      <c r="F810" s="168" t="s">
        <v>6202</v>
      </c>
      <c r="G810" s="193">
        <f>IF(_1_541284561214624104645789101745[[#This Row],[Type]]&gt;0,VLOOKUP(_1_541284561214624104645789101745[[#This Row],[Type]],Main[[#All],[TYPE]:[UNIT]],'Unit Price'!C$1,FALSE),0)</f>
        <v>0</v>
      </c>
      <c r="H810" s="197">
        <f>IF(_1_541284561214624104645789101745[[#This Row],[Type]]&gt;0,VLOOKUP(_1_541284561214624104645789101745[[#This Row],[Type]],Main[[#All],[TYPE]:[UNIT]],'Unit Price'!D$1,FALSE),0)</f>
        <v>0</v>
      </c>
      <c r="I810" s="194">
        <f>IF(_1_541284561214624104645789101745[[#This Row],[Type]]&gt;0,VLOOKUP(_1_541284561214624104645789101745[[#This Row],[Type]],Main[[#All],[TYPE]:[UNIT]],'Unit Price'!G$1,FALSE),0)</f>
        <v>0</v>
      </c>
      <c r="J810" s="194">
        <f>IF(_1_541284561214624104645789101745[[#This Row],[Type]]&gt;0,VLOOKUP(_1_541284561214624104645789101745[[#This Row],[Type]],Main[[#All],[TYPE]:[UNIT]],'Unit Price'!H$1,FALSE),0)</f>
        <v>0</v>
      </c>
      <c r="K810" s="194">
        <f>IF(_1_541284561214624104645789101745[[#This Row],[Discount selection]]&gt;0,VLOOKUP(_1_541284561214624104645789101745[[#This Row],[Discount selection]],'Discount Structure'!$A$2:$B$30,2,"false"),0)</f>
        <v>1</v>
      </c>
      <c r="L810" s="194">
        <f>_1_541284561214624104645789101745[[#This Row],[LIST $]]*_1_541284561214624104645789101745[[#This Row],[DISCOUNT]]*_1_541284561214624104645789101745[[#This Row],[DISCOUNT 2]]</f>
        <v>0</v>
      </c>
      <c r="M810" s="194">
        <f>IF(OR(_1_541284561214624104645789101745[[#This Row],[UNIT]]&gt;0,_1_541284561214624104645789101745[[#This Row],[UNIT]]&lt;0),_1_541284561214624104645789101745[[#This Row],[UNIT]]*_1_541284561214624104645789101745[[#This Row],[COST]],0)</f>
        <v>0</v>
      </c>
      <c r="N810" s="194">
        <f t="shared" si="12"/>
        <v>1.5</v>
      </c>
      <c r="O810" s="198">
        <f>_1_541284561214624104645789101745[[#This Row],[TOTAL]]*_1_541284561214624104645789101745[[#This Row],[MARGIN]]</f>
        <v>0</v>
      </c>
      <c r="R810" s="41"/>
    </row>
    <row r="811" spans="4:18">
      <c r="D811" s="188"/>
      <c r="F811" s="168" t="s">
        <v>6202</v>
      </c>
      <c r="G811" s="193">
        <f>IF(_1_541284561214624104645789101745[[#This Row],[Type]]&gt;0,VLOOKUP(_1_541284561214624104645789101745[[#This Row],[Type]],Main[[#All],[TYPE]:[UNIT]],'Unit Price'!C$1,FALSE),0)</f>
        <v>0</v>
      </c>
      <c r="H811" s="197">
        <f>IF(_1_541284561214624104645789101745[[#This Row],[Type]]&gt;0,VLOOKUP(_1_541284561214624104645789101745[[#This Row],[Type]],Main[[#All],[TYPE]:[UNIT]],'Unit Price'!D$1,FALSE),0)</f>
        <v>0</v>
      </c>
      <c r="I811" s="194">
        <f>IF(_1_541284561214624104645789101745[[#This Row],[Type]]&gt;0,VLOOKUP(_1_541284561214624104645789101745[[#This Row],[Type]],Main[[#All],[TYPE]:[UNIT]],'Unit Price'!G$1,FALSE),0)</f>
        <v>0</v>
      </c>
      <c r="J811" s="194">
        <f>IF(_1_541284561214624104645789101745[[#This Row],[Type]]&gt;0,VLOOKUP(_1_541284561214624104645789101745[[#This Row],[Type]],Main[[#All],[TYPE]:[UNIT]],'Unit Price'!H$1,FALSE),0)</f>
        <v>0</v>
      </c>
      <c r="K811" s="194">
        <f>IF(_1_541284561214624104645789101745[[#This Row],[Discount selection]]&gt;0,VLOOKUP(_1_541284561214624104645789101745[[#This Row],[Discount selection]],'Discount Structure'!$A$2:$B$30,2,"false"),0)</f>
        <v>1</v>
      </c>
      <c r="L811" s="194">
        <f>_1_541284561214624104645789101745[[#This Row],[LIST $]]*_1_541284561214624104645789101745[[#This Row],[DISCOUNT]]*_1_541284561214624104645789101745[[#This Row],[DISCOUNT 2]]</f>
        <v>0</v>
      </c>
      <c r="M811" s="194">
        <f>IF(OR(_1_541284561214624104645789101745[[#This Row],[UNIT]]&gt;0,_1_541284561214624104645789101745[[#This Row],[UNIT]]&lt;0),_1_541284561214624104645789101745[[#This Row],[UNIT]]*_1_541284561214624104645789101745[[#This Row],[COST]],0)</f>
        <v>0</v>
      </c>
      <c r="N811" s="194">
        <f t="shared" si="12"/>
        <v>1.5</v>
      </c>
      <c r="O811" s="198">
        <f>_1_541284561214624104645789101745[[#This Row],[TOTAL]]*_1_541284561214624104645789101745[[#This Row],[MARGIN]]</f>
        <v>0</v>
      </c>
      <c r="R811" s="41"/>
    </row>
    <row r="812" spans="4:18">
      <c r="D812" s="188"/>
      <c r="F812" s="168" t="s">
        <v>6202</v>
      </c>
      <c r="G812" s="193">
        <f>IF(_1_541284561214624104645789101745[[#This Row],[Type]]&gt;0,VLOOKUP(_1_541284561214624104645789101745[[#This Row],[Type]],Main[[#All],[TYPE]:[UNIT]],'Unit Price'!C$1,FALSE),0)</f>
        <v>0</v>
      </c>
      <c r="H812" s="197">
        <f>IF(_1_541284561214624104645789101745[[#This Row],[Type]]&gt;0,VLOOKUP(_1_541284561214624104645789101745[[#This Row],[Type]],Main[[#All],[TYPE]:[UNIT]],'Unit Price'!D$1,FALSE),0)</f>
        <v>0</v>
      </c>
      <c r="I812" s="194">
        <f>IF(_1_541284561214624104645789101745[[#This Row],[Type]]&gt;0,VLOOKUP(_1_541284561214624104645789101745[[#This Row],[Type]],Main[[#All],[TYPE]:[UNIT]],'Unit Price'!G$1,FALSE),0)</f>
        <v>0</v>
      </c>
      <c r="J812" s="194">
        <f>IF(_1_541284561214624104645789101745[[#This Row],[Type]]&gt;0,VLOOKUP(_1_541284561214624104645789101745[[#This Row],[Type]],Main[[#All],[TYPE]:[UNIT]],'Unit Price'!H$1,FALSE),0)</f>
        <v>0</v>
      </c>
      <c r="K812" s="194">
        <f>IF(_1_541284561214624104645789101745[[#This Row],[Discount selection]]&gt;0,VLOOKUP(_1_541284561214624104645789101745[[#This Row],[Discount selection]],'Discount Structure'!$A$2:$B$30,2,"false"),0)</f>
        <v>1</v>
      </c>
      <c r="L812" s="194">
        <f>_1_541284561214624104645789101745[[#This Row],[LIST $]]*_1_541284561214624104645789101745[[#This Row],[DISCOUNT]]*_1_541284561214624104645789101745[[#This Row],[DISCOUNT 2]]</f>
        <v>0</v>
      </c>
      <c r="M812" s="194">
        <f>IF(OR(_1_541284561214624104645789101745[[#This Row],[UNIT]]&gt;0,_1_541284561214624104645789101745[[#This Row],[UNIT]]&lt;0),_1_541284561214624104645789101745[[#This Row],[UNIT]]*_1_541284561214624104645789101745[[#This Row],[COST]],0)</f>
        <v>0</v>
      </c>
      <c r="N812" s="194">
        <f t="shared" si="12"/>
        <v>1.5</v>
      </c>
      <c r="O812" s="198">
        <f>_1_541284561214624104645789101745[[#This Row],[TOTAL]]*_1_541284561214624104645789101745[[#This Row],[MARGIN]]</f>
        <v>0</v>
      </c>
      <c r="R812" s="41"/>
    </row>
    <row r="813" spans="4:18">
      <c r="D813" s="188"/>
      <c r="F813" s="168" t="s">
        <v>6202</v>
      </c>
      <c r="G813" s="193">
        <f>IF(_1_541284561214624104645789101745[[#This Row],[Type]]&gt;0,VLOOKUP(_1_541284561214624104645789101745[[#This Row],[Type]],Main[[#All],[TYPE]:[UNIT]],'Unit Price'!C$1,FALSE),0)</f>
        <v>0</v>
      </c>
      <c r="H813" s="197">
        <f>IF(_1_541284561214624104645789101745[[#This Row],[Type]]&gt;0,VLOOKUP(_1_541284561214624104645789101745[[#This Row],[Type]],Main[[#All],[TYPE]:[UNIT]],'Unit Price'!D$1,FALSE),0)</f>
        <v>0</v>
      </c>
      <c r="I813" s="194">
        <f>IF(_1_541284561214624104645789101745[[#This Row],[Type]]&gt;0,VLOOKUP(_1_541284561214624104645789101745[[#This Row],[Type]],Main[[#All],[TYPE]:[UNIT]],'Unit Price'!G$1,FALSE),0)</f>
        <v>0</v>
      </c>
      <c r="J813" s="194">
        <f>IF(_1_541284561214624104645789101745[[#This Row],[Type]]&gt;0,VLOOKUP(_1_541284561214624104645789101745[[#This Row],[Type]],Main[[#All],[TYPE]:[UNIT]],'Unit Price'!H$1,FALSE),0)</f>
        <v>0</v>
      </c>
      <c r="K813" s="194">
        <f>IF(_1_541284561214624104645789101745[[#This Row],[Discount selection]]&gt;0,VLOOKUP(_1_541284561214624104645789101745[[#This Row],[Discount selection]],'Discount Structure'!$A$2:$B$30,2,"false"),0)</f>
        <v>1</v>
      </c>
      <c r="L813" s="194">
        <f>_1_541284561214624104645789101745[[#This Row],[LIST $]]*_1_541284561214624104645789101745[[#This Row],[DISCOUNT]]*_1_541284561214624104645789101745[[#This Row],[DISCOUNT 2]]</f>
        <v>0</v>
      </c>
      <c r="M813" s="194">
        <f>IF(OR(_1_541284561214624104645789101745[[#This Row],[UNIT]]&gt;0,_1_541284561214624104645789101745[[#This Row],[UNIT]]&lt;0),_1_541284561214624104645789101745[[#This Row],[UNIT]]*_1_541284561214624104645789101745[[#This Row],[COST]],0)</f>
        <v>0</v>
      </c>
      <c r="N813" s="194">
        <f t="shared" si="12"/>
        <v>1.5</v>
      </c>
      <c r="O813" s="198">
        <f>_1_541284561214624104645789101745[[#This Row],[TOTAL]]*_1_541284561214624104645789101745[[#This Row],[MARGIN]]</f>
        <v>0</v>
      </c>
      <c r="R813" s="41"/>
    </row>
    <row r="814" spans="4:18">
      <c r="D814" s="188"/>
      <c r="F814" s="168" t="s">
        <v>6202</v>
      </c>
      <c r="G814" s="193">
        <f>IF(_1_541284561214624104645789101745[[#This Row],[Type]]&gt;0,VLOOKUP(_1_541284561214624104645789101745[[#This Row],[Type]],Main[[#All],[TYPE]:[UNIT]],'Unit Price'!C$1,FALSE),0)</f>
        <v>0</v>
      </c>
      <c r="H814" s="197">
        <f>IF(_1_541284561214624104645789101745[[#This Row],[Type]]&gt;0,VLOOKUP(_1_541284561214624104645789101745[[#This Row],[Type]],Main[[#All],[TYPE]:[UNIT]],'Unit Price'!D$1,FALSE),0)</f>
        <v>0</v>
      </c>
      <c r="I814" s="194">
        <f>IF(_1_541284561214624104645789101745[[#This Row],[Type]]&gt;0,VLOOKUP(_1_541284561214624104645789101745[[#This Row],[Type]],Main[[#All],[TYPE]:[UNIT]],'Unit Price'!G$1,FALSE),0)</f>
        <v>0</v>
      </c>
      <c r="J814" s="194">
        <f>IF(_1_541284561214624104645789101745[[#This Row],[Type]]&gt;0,VLOOKUP(_1_541284561214624104645789101745[[#This Row],[Type]],Main[[#All],[TYPE]:[UNIT]],'Unit Price'!H$1,FALSE),0)</f>
        <v>0</v>
      </c>
      <c r="K814" s="194">
        <f>IF(_1_541284561214624104645789101745[[#This Row],[Discount selection]]&gt;0,VLOOKUP(_1_541284561214624104645789101745[[#This Row],[Discount selection]],'Discount Structure'!$A$2:$B$30,2,"false"),0)</f>
        <v>1</v>
      </c>
      <c r="L814" s="194">
        <f>_1_541284561214624104645789101745[[#This Row],[LIST $]]*_1_541284561214624104645789101745[[#This Row],[DISCOUNT]]*_1_541284561214624104645789101745[[#This Row],[DISCOUNT 2]]</f>
        <v>0</v>
      </c>
      <c r="M814" s="194">
        <f>IF(OR(_1_541284561214624104645789101745[[#This Row],[UNIT]]&gt;0,_1_541284561214624104645789101745[[#This Row],[UNIT]]&lt;0),_1_541284561214624104645789101745[[#This Row],[UNIT]]*_1_541284561214624104645789101745[[#This Row],[COST]],0)</f>
        <v>0</v>
      </c>
      <c r="N814" s="194">
        <f t="shared" si="12"/>
        <v>1.5</v>
      </c>
      <c r="O814" s="198">
        <f>_1_541284561214624104645789101745[[#This Row],[TOTAL]]*_1_541284561214624104645789101745[[#This Row],[MARGIN]]</f>
        <v>0</v>
      </c>
      <c r="R814" s="41"/>
    </row>
    <row r="815" spans="4:18">
      <c r="D815" s="188"/>
      <c r="F815" s="168" t="s">
        <v>6202</v>
      </c>
      <c r="G815" s="193">
        <f>IF(_1_541284561214624104645789101745[[#This Row],[Type]]&gt;0,VLOOKUP(_1_541284561214624104645789101745[[#This Row],[Type]],Main[[#All],[TYPE]:[UNIT]],'Unit Price'!C$1,FALSE),0)</f>
        <v>0</v>
      </c>
      <c r="H815" s="197">
        <f>IF(_1_541284561214624104645789101745[[#This Row],[Type]]&gt;0,VLOOKUP(_1_541284561214624104645789101745[[#This Row],[Type]],Main[[#All],[TYPE]:[UNIT]],'Unit Price'!D$1,FALSE),0)</f>
        <v>0</v>
      </c>
      <c r="I815" s="194">
        <f>IF(_1_541284561214624104645789101745[[#This Row],[Type]]&gt;0,VLOOKUP(_1_541284561214624104645789101745[[#This Row],[Type]],Main[[#All],[TYPE]:[UNIT]],'Unit Price'!G$1,FALSE),0)</f>
        <v>0</v>
      </c>
      <c r="J815" s="194">
        <f>IF(_1_541284561214624104645789101745[[#This Row],[Type]]&gt;0,VLOOKUP(_1_541284561214624104645789101745[[#This Row],[Type]],Main[[#All],[TYPE]:[UNIT]],'Unit Price'!H$1,FALSE),0)</f>
        <v>0</v>
      </c>
      <c r="K815" s="194">
        <f>IF(_1_541284561214624104645789101745[[#This Row],[Discount selection]]&gt;0,VLOOKUP(_1_541284561214624104645789101745[[#This Row],[Discount selection]],'Discount Structure'!$A$2:$B$30,2,"false"),0)</f>
        <v>1</v>
      </c>
      <c r="L815" s="194">
        <f>_1_541284561214624104645789101745[[#This Row],[LIST $]]*_1_541284561214624104645789101745[[#This Row],[DISCOUNT]]*_1_541284561214624104645789101745[[#This Row],[DISCOUNT 2]]</f>
        <v>0</v>
      </c>
      <c r="M815" s="194">
        <f>IF(OR(_1_541284561214624104645789101745[[#This Row],[UNIT]]&gt;0,_1_541284561214624104645789101745[[#This Row],[UNIT]]&lt;0),_1_541284561214624104645789101745[[#This Row],[UNIT]]*_1_541284561214624104645789101745[[#This Row],[COST]],0)</f>
        <v>0</v>
      </c>
      <c r="N815" s="194">
        <f t="shared" si="12"/>
        <v>1.5</v>
      </c>
      <c r="O815" s="198">
        <f>_1_541284561214624104645789101745[[#This Row],[TOTAL]]*_1_541284561214624104645789101745[[#This Row],[MARGIN]]</f>
        <v>0</v>
      </c>
      <c r="R815" s="41"/>
    </row>
    <row r="816" spans="4:18">
      <c r="D816" s="188"/>
      <c r="F816" s="168" t="s">
        <v>6202</v>
      </c>
      <c r="G816" s="193">
        <f>IF(_1_541284561214624104645789101745[[#This Row],[Type]]&gt;0,VLOOKUP(_1_541284561214624104645789101745[[#This Row],[Type]],Main[[#All],[TYPE]:[UNIT]],'Unit Price'!C$1,FALSE),0)</f>
        <v>0</v>
      </c>
      <c r="H816" s="197">
        <f>IF(_1_541284561214624104645789101745[[#This Row],[Type]]&gt;0,VLOOKUP(_1_541284561214624104645789101745[[#This Row],[Type]],Main[[#All],[TYPE]:[UNIT]],'Unit Price'!D$1,FALSE),0)</f>
        <v>0</v>
      </c>
      <c r="I816" s="194">
        <f>IF(_1_541284561214624104645789101745[[#This Row],[Type]]&gt;0,VLOOKUP(_1_541284561214624104645789101745[[#This Row],[Type]],Main[[#All],[TYPE]:[UNIT]],'Unit Price'!G$1,FALSE),0)</f>
        <v>0</v>
      </c>
      <c r="J816" s="194">
        <f>IF(_1_541284561214624104645789101745[[#This Row],[Type]]&gt;0,VLOOKUP(_1_541284561214624104645789101745[[#This Row],[Type]],Main[[#All],[TYPE]:[UNIT]],'Unit Price'!H$1,FALSE),0)</f>
        <v>0</v>
      </c>
      <c r="K816" s="194">
        <f>IF(_1_541284561214624104645789101745[[#This Row],[Discount selection]]&gt;0,VLOOKUP(_1_541284561214624104645789101745[[#This Row],[Discount selection]],'Discount Structure'!$A$2:$B$30,2,"false"),0)</f>
        <v>1</v>
      </c>
      <c r="L816" s="194">
        <f>_1_541284561214624104645789101745[[#This Row],[LIST $]]*_1_541284561214624104645789101745[[#This Row],[DISCOUNT]]*_1_541284561214624104645789101745[[#This Row],[DISCOUNT 2]]</f>
        <v>0</v>
      </c>
      <c r="M816" s="194">
        <f>IF(OR(_1_541284561214624104645789101745[[#This Row],[UNIT]]&gt;0,_1_541284561214624104645789101745[[#This Row],[UNIT]]&lt;0),_1_541284561214624104645789101745[[#This Row],[UNIT]]*_1_541284561214624104645789101745[[#This Row],[COST]],0)</f>
        <v>0</v>
      </c>
      <c r="N816" s="194">
        <f t="shared" si="12"/>
        <v>1.5</v>
      </c>
      <c r="O816" s="198">
        <f>_1_541284561214624104645789101745[[#This Row],[TOTAL]]*_1_541284561214624104645789101745[[#This Row],[MARGIN]]</f>
        <v>0</v>
      </c>
      <c r="R816" s="41"/>
    </row>
    <row r="817" spans="4:18">
      <c r="D817" s="188"/>
      <c r="F817" s="168" t="s">
        <v>6202</v>
      </c>
      <c r="G817" s="193">
        <f>IF(_1_541284561214624104645789101745[[#This Row],[Type]]&gt;0,VLOOKUP(_1_541284561214624104645789101745[[#This Row],[Type]],Main[[#All],[TYPE]:[UNIT]],'Unit Price'!C$1,FALSE),0)</f>
        <v>0</v>
      </c>
      <c r="H817" s="197">
        <f>IF(_1_541284561214624104645789101745[[#This Row],[Type]]&gt;0,VLOOKUP(_1_541284561214624104645789101745[[#This Row],[Type]],Main[[#All],[TYPE]:[UNIT]],'Unit Price'!D$1,FALSE),0)</f>
        <v>0</v>
      </c>
      <c r="I817" s="194">
        <f>IF(_1_541284561214624104645789101745[[#This Row],[Type]]&gt;0,VLOOKUP(_1_541284561214624104645789101745[[#This Row],[Type]],Main[[#All],[TYPE]:[UNIT]],'Unit Price'!G$1,FALSE),0)</f>
        <v>0</v>
      </c>
      <c r="J817" s="194">
        <f>IF(_1_541284561214624104645789101745[[#This Row],[Type]]&gt;0,VLOOKUP(_1_541284561214624104645789101745[[#This Row],[Type]],Main[[#All],[TYPE]:[UNIT]],'Unit Price'!H$1,FALSE),0)</f>
        <v>0</v>
      </c>
      <c r="K817" s="194">
        <f>IF(_1_541284561214624104645789101745[[#This Row],[Discount selection]]&gt;0,VLOOKUP(_1_541284561214624104645789101745[[#This Row],[Discount selection]],'Discount Structure'!$A$2:$B$30,2,"false"),0)</f>
        <v>1</v>
      </c>
      <c r="L817" s="194">
        <f>_1_541284561214624104645789101745[[#This Row],[LIST $]]*_1_541284561214624104645789101745[[#This Row],[DISCOUNT]]*_1_541284561214624104645789101745[[#This Row],[DISCOUNT 2]]</f>
        <v>0</v>
      </c>
      <c r="M817" s="194">
        <f>IF(OR(_1_541284561214624104645789101745[[#This Row],[UNIT]]&gt;0,_1_541284561214624104645789101745[[#This Row],[UNIT]]&lt;0),_1_541284561214624104645789101745[[#This Row],[UNIT]]*_1_541284561214624104645789101745[[#This Row],[COST]],0)</f>
        <v>0</v>
      </c>
      <c r="N817" s="194">
        <f t="shared" si="12"/>
        <v>1.5</v>
      </c>
      <c r="O817" s="198">
        <f>_1_541284561214624104645789101745[[#This Row],[TOTAL]]*_1_541284561214624104645789101745[[#This Row],[MARGIN]]</f>
        <v>0</v>
      </c>
      <c r="R817" s="41"/>
    </row>
    <row r="818" spans="4:18">
      <c r="D818" s="188"/>
      <c r="F818" s="168" t="s">
        <v>6202</v>
      </c>
      <c r="G818" s="193">
        <f>IF(_1_541284561214624104645789101745[[#This Row],[Type]]&gt;0,VLOOKUP(_1_541284561214624104645789101745[[#This Row],[Type]],Main[[#All],[TYPE]:[UNIT]],'Unit Price'!C$1,FALSE),0)</f>
        <v>0</v>
      </c>
      <c r="H818" s="197">
        <f>IF(_1_541284561214624104645789101745[[#This Row],[Type]]&gt;0,VLOOKUP(_1_541284561214624104645789101745[[#This Row],[Type]],Main[[#All],[TYPE]:[UNIT]],'Unit Price'!D$1,FALSE),0)</f>
        <v>0</v>
      </c>
      <c r="I818" s="194">
        <f>IF(_1_541284561214624104645789101745[[#This Row],[Type]]&gt;0,VLOOKUP(_1_541284561214624104645789101745[[#This Row],[Type]],Main[[#All],[TYPE]:[UNIT]],'Unit Price'!G$1,FALSE),0)</f>
        <v>0</v>
      </c>
      <c r="J818" s="194">
        <f>IF(_1_541284561214624104645789101745[[#This Row],[Type]]&gt;0,VLOOKUP(_1_541284561214624104645789101745[[#This Row],[Type]],Main[[#All],[TYPE]:[UNIT]],'Unit Price'!H$1,FALSE),0)</f>
        <v>0</v>
      </c>
      <c r="K818" s="194">
        <f>IF(_1_541284561214624104645789101745[[#This Row],[Discount selection]]&gt;0,VLOOKUP(_1_541284561214624104645789101745[[#This Row],[Discount selection]],'Discount Structure'!$A$2:$B$30,2,"false"),0)</f>
        <v>1</v>
      </c>
      <c r="L818" s="194">
        <f>_1_541284561214624104645789101745[[#This Row],[LIST $]]*_1_541284561214624104645789101745[[#This Row],[DISCOUNT]]*_1_541284561214624104645789101745[[#This Row],[DISCOUNT 2]]</f>
        <v>0</v>
      </c>
      <c r="M818" s="194">
        <f>IF(OR(_1_541284561214624104645789101745[[#This Row],[UNIT]]&gt;0,_1_541284561214624104645789101745[[#This Row],[UNIT]]&lt;0),_1_541284561214624104645789101745[[#This Row],[UNIT]]*_1_541284561214624104645789101745[[#This Row],[COST]],0)</f>
        <v>0</v>
      </c>
      <c r="N818" s="194">
        <f t="shared" si="12"/>
        <v>1.5</v>
      </c>
      <c r="O818" s="198">
        <f>_1_541284561214624104645789101745[[#This Row],[TOTAL]]*_1_541284561214624104645789101745[[#This Row],[MARGIN]]</f>
        <v>0</v>
      </c>
      <c r="R818" s="41"/>
    </row>
    <row r="819" spans="4:18">
      <c r="D819" s="188"/>
      <c r="F819" s="168" t="s">
        <v>6202</v>
      </c>
      <c r="G819" s="193">
        <f>IF(_1_541284561214624104645789101745[[#This Row],[Type]]&gt;0,VLOOKUP(_1_541284561214624104645789101745[[#This Row],[Type]],Main[[#All],[TYPE]:[UNIT]],'Unit Price'!C$1,FALSE),0)</f>
        <v>0</v>
      </c>
      <c r="H819" s="197">
        <f>IF(_1_541284561214624104645789101745[[#This Row],[Type]]&gt;0,VLOOKUP(_1_541284561214624104645789101745[[#This Row],[Type]],Main[[#All],[TYPE]:[UNIT]],'Unit Price'!D$1,FALSE),0)</f>
        <v>0</v>
      </c>
      <c r="I819" s="194">
        <f>IF(_1_541284561214624104645789101745[[#This Row],[Type]]&gt;0,VLOOKUP(_1_541284561214624104645789101745[[#This Row],[Type]],Main[[#All],[TYPE]:[UNIT]],'Unit Price'!G$1,FALSE),0)</f>
        <v>0</v>
      </c>
      <c r="J819" s="194">
        <f>IF(_1_541284561214624104645789101745[[#This Row],[Type]]&gt;0,VLOOKUP(_1_541284561214624104645789101745[[#This Row],[Type]],Main[[#All],[TYPE]:[UNIT]],'Unit Price'!H$1,FALSE),0)</f>
        <v>0</v>
      </c>
      <c r="K819" s="194">
        <f>IF(_1_541284561214624104645789101745[[#This Row],[Discount selection]]&gt;0,VLOOKUP(_1_541284561214624104645789101745[[#This Row],[Discount selection]],'Discount Structure'!$A$2:$B$30,2,"false"),0)</f>
        <v>1</v>
      </c>
      <c r="L819" s="194">
        <f>_1_541284561214624104645789101745[[#This Row],[LIST $]]*_1_541284561214624104645789101745[[#This Row],[DISCOUNT]]*_1_541284561214624104645789101745[[#This Row],[DISCOUNT 2]]</f>
        <v>0</v>
      </c>
      <c r="M819" s="194">
        <f>IF(OR(_1_541284561214624104645789101745[[#This Row],[UNIT]]&gt;0,_1_541284561214624104645789101745[[#This Row],[UNIT]]&lt;0),_1_541284561214624104645789101745[[#This Row],[UNIT]]*_1_541284561214624104645789101745[[#This Row],[COST]],0)</f>
        <v>0</v>
      </c>
      <c r="N819" s="194">
        <f t="shared" si="12"/>
        <v>1.5</v>
      </c>
      <c r="O819" s="198">
        <f>_1_541284561214624104645789101745[[#This Row],[TOTAL]]*_1_541284561214624104645789101745[[#This Row],[MARGIN]]</f>
        <v>0</v>
      </c>
      <c r="R819" s="41"/>
    </row>
    <row r="820" spans="4:18">
      <c r="D820" s="188"/>
      <c r="F820" s="168" t="s">
        <v>6202</v>
      </c>
      <c r="G820" s="193">
        <f>IF(_1_541284561214624104645789101745[[#This Row],[Type]]&gt;0,VLOOKUP(_1_541284561214624104645789101745[[#This Row],[Type]],Main[[#All],[TYPE]:[UNIT]],'Unit Price'!C$1,FALSE),0)</f>
        <v>0</v>
      </c>
      <c r="H820" s="197">
        <f>IF(_1_541284561214624104645789101745[[#This Row],[Type]]&gt;0,VLOOKUP(_1_541284561214624104645789101745[[#This Row],[Type]],Main[[#All],[TYPE]:[UNIT]],'Unit Price'!D$1,FALSE),0)</f>
        <v>0</v>
      </c>
      <c r="I820" s="194">
        <f>IF(_1_541284561214624104645789101745[[#This Row],[Type]]&gt;0,VLOOKUP(_1_541284561214624104645789101745[[#This Row],[Type]],Main[[#All],[TYPE]:[UNIT]],'Unit Price'!G$1,FALSE),0)</f>
        <v>0</v>
      </c>
      <c r="J820" s="194">
        <f>IF(_1_541284561214624104645789101745[[#This Row],[Type]]&gt;0,VLOOKUP(_1_541284561214624104645789101745[[#This Row],[Type]],Main[[#All],[TYPE]:[UNIT]],'Unit Price'!H$1,FALSE),0)</f>
        <v>0</v>
      </c>
      <c r="K820" s="194">
        <f>IF(_1_541284561214624104645789101745[[#This Row],[Discount selection]]&gt;0,VLOOKUP(_1_541284561214624104645789101745[[#This Row],[Discount selection]],'Discount Structure'!$A$2:$B$30,2,"false"),0)</f>
        <v>1</v>
      </c>
      <c r="L820" s="194">
        <f>_1_541284561214624104645789101745[[#This Row],[LIST $]]*_1_541284561214624104645789101745[[#This Row],[DISCOUNT]]*_1_541284561214624104645789101745[[#This Row],[DISCOUNT 2]]</f>
        <v>0</v>
      </c>
      <c r="M820" s="194">
        <f>IF(OR(_1_541284561214624104645789101745[[#This Row],[UNIT]]&gt;0,_1_541284561214624104645789101745[[#This Row],[UNIT]]&lt;0),_1_541284561214624104645789101745[[#This Row],[UNIT]]*_1_541284561214624104645789101745[[#This Row],[COST]],0)</f>
        <v>0</v>
      </c>
      <c r="N820" s="194">
        <f t="shared" si="12"/>
        <v>1.5</v>
      </c>
      <c r="O820" s="198">
        <f>_1_541284561214624104645789101745[[#This Row],[TOTAL]]*_1_541284561214624104645789101745[[#This Row],[MARGIN]]</f>
        <v>0</v>
      </c>
      <c r="R820" s="41"/>
    </row>
    <row r="821" spans="4:18">
      <c r="D821" s="188"/>
      <c r="F821" s="168" t="s">
        <v>6202</v>
      </c>
      <c r="G821" s="193">
        <f>IF(_1_541284561214624104645789101745[[#This Row],[Type]]&gt;0,VLOOKUP(_1_541284561214624104645789101745[[#This Row],[Type]],Main[[#All],[TYPE]:[UNIT]],'Unit Price'!C$1,FALSE),0)</f>
        <v>0</v>
      </c>
      <c r="H821" s="197">
        <f>IF(_1_541284561214624104645789101745[[#This Row],[Type]]&gt;0,VLOOKUP(_1_541284561214624104645789101745[[#This Row],[Type]],Main[[#All],[TYPE]:[UNIT]],'Unit Price'!D$1,FALSE),0)</f>
        <v>0</v>
      </c>
      <c r="I821" s="194">
        <f>IF(_1_541284561214624104645789101745[[#This Row],[Type]]&gt;0,VLOOKUP(_1_541284561214624104645789101745[[#This Row],[Type]],Main[[#All],[TYPE]:[UNIT]],'Unit Price'!G$1,FALSE),0)</f>
        <v>0</v>
      </c>
      <c r="J821" s="194">
        <f>IF(_1_541284561214624104645789101745[[#This Row],[Type]]&gt;0,VLOOKUP(_1_541284561214624104645789101745[[#This Row],[Type]],Main[[#All],[TYPE]:[UNIT]],'Unit Price'!H$1,FALSE),0)</f>
        <v>0</v>
      </c>
      <c r="K821" s="194">
        <f>IF(_1_541284561214624104645789101745[[#This Row],[Discount selection]]&gt;0,VLOOKUP(_1_541284561214624104645789101745[[#This Row],[Discount selection]],'Discount Structure'!$A$2:$B$30,2,"false"),0)</f>
        <v>1</v>
      </c>
      <c r="L821" s="194">
        <f>_1_541284561214624104645789101745[[#This Row],[LIST $]]*_1_541284561214624104645789101745[[#This Row],[DISCOUNT]]*_1_541284561214624104645789101745[[#This Row],[DISCOUNT 2]]</f>
        <v>0</v>
      </c>
      <c r="M821" s="194">
        <f>IF(OR(_1_541284561214624104645789101745[[#This Row],[UNIT]]&gt;0,_1_541284561214624104645789101745[[#This Row],[UNIT]]&lt;0),_1_541284561214624104645789101745[[#This Row],[UNIT]]*_1_541284561214624104645789101745[[#This Row],[COST]],0)</f>
        <v>0</v>
      </c>
      <c r="N821" s="194">
        <f t="shared" si="12"/>
        <v>1.5</v>
      </c>
      <c r="O821" s="198">
        <f>_1_541284561214624104645789101745[[#This Row],[TOTAL]]*_1_541284561214624104645789101745[[#This Row],[MARGIN]]</f>
        <v>0</v>
      </c>
      <c r="R821" s="41"/>
    </row>
    <row r="822" spans="4:18">
      <c r="D822" s="188"/>
      <c r="F822" s="168" t="s">
        <v>6202</v>
      </c>
      <c r="G822" s="193">
        <f>IF(_1_541284561214624104645789101745[[#This Row],[Type]]&gt;0,VLOOKUP(_1_541284561214624104645789101745[[#This Row],[Type]],Main[[#All],[TYPE]:[UNIT]],'Unit Price'!C$1,FALSE),0)</f>
        <v>0</v>
      </c>
      <c r="H822" s="197">
        <f>IF(_1_541284561214624104645789101745[[#This Row],[Type]]&gt;0,VLOOKUP(_1_541284561214624104645789101745[[#This Row],[Type]],Main[[#All],[TYPE]:[UNIT]],'Unit Price'!D$1,FALSE),0)</f>
        <v>0</v>
      </c>
      <c r="I822" s="194">
        <f>IF(_1_541284561214624104645789101745[[#This Row],[Type]]&gt;0,VLOOKUP(_1_541284561214624104645789101745[[#This Row],[Type]],Main[[#All],[TYPE]:[UNIT]],'Unit Price'!G$1,FALSE),0)</f>
        <v>0</v>
      </c>
      <c r="J822" s="194">
        <f>IF(_1_541284561214624104645789101745[[#This Row],[Type]]&gt;0,VLOOKUP(_1_541284561214624104645789101745[[#This Row],[Type]],Main[[#All],[TYPE]:[UNIT]],'Unit Price'!H$1,FALSE),0)</f>
        <v>0</v>
      </c>
      <c r="K822" s="194">
        <f>IF(_1_541284561214624104645789101745[[#This Row],[Discount selection]]&gt;0,VLOOKUP(_1_541284561214624104645789101745[[#This Row],[Discount selection]],'Discount Structure'!$A$2:$B$30,2,"false"),0)</f>
        <v>1</v>
      </c>
      <c r="L822" s="194">
        <f>_1_541284561214624104645789101745[[#This Row],[LIST $]]*_1_541284561214624104645789101745[[#This Row],[DISCOUNT]]*_1_541284561214624104645789101745[[#This Row],[DISCOUNT 2]]</f>
        <v>0</v>
      </c>
      <c r="M822" s="194">
        <f>IF(OR(_1_541284561214624104645789101745[[#This Row],[UNIT]]&gt;0,_1_541284561214624104645789101745[[#This Row],[UNIT]]&lt;0),_1_541284561214624104645789101745[[#This Row],[UNIT]]*_1_541284561214624104645789101745[[#This Row],[COST]],0)</f>
        <v>0</v>
      </c>
      <c r="N822" s="194">
        <f t="shared" si="12"/>
        <v>1.5</v>
      </c>
      <c r="O822" s="198">
        <f>_1_541284561214624104645789101745[[#This Row],[TOTAL]]*_1_541284561214624104645789101745[[#This Row],[MARGIN]]</f>
        <v>0</v>
      </c>
      <c r="R822" s="41"/>
    </row>
    <row r="823" spans="4:18">
      <c r="D823" s="188"/>
      <c r="F823" s="168" t="s">
        <v>6202</v>
      </c>
      <c r="G823" s="193">
        <f>IF(_1_541284561214624104645789101745[[#This Row],[Type]]&gt;0,VLOOKUP(_1_541284561214624104645789101745[[#This Row],[Type]],Main[[#All],[TYPE]:[UNIT]],'Unit Price'!C$1,FALSE),0)</f>
        <v>0</v>
      </c>
      <c r="H823" s="197">
        <f>IF(_1_541284561214624104645789101745[[#This Row],[Type]]&gt;0,VLOOKUP(_1_541284561214624104645789101745[[#This Row],[Type]],Main[[#All],[TYPE]:[UNIT]],'Unit Price'!D$1,FALSE),0)</f>
        <v>0</v>
      </c>
      <c r="I823" s="194">
        <f>IF(_1_541284561214624104645789101745[[#This Row],[Type]]&gt;0,VLOOKUP(_1_541284561214624104645789101745[[#This Row],[Type]],Main[[#All],[TYPE]:[UNIT]],'Unit Price'!G$1,FALSE),0)</f>
        <v>0</v>
      </c>
      <c r="J823" s="194">
        <f>IF(_1_541284561214624104645789101745[[#This Row],[Type]]&gt;0,VLOOKUP(_1_541284561214624104645789101745[[#This Row],[Type]],Main[[#All],[TYPE]:[UNIT]],'Unit Price'!H$1,FALSE),0)</f>
        <v>0</v>
      </c>
      <c r="K823" s="194">
        <f>IF(_1_541284561214624104645789101745[[#This Row],[Discount selection]]&gt;0,VLOOKUP(_1_541284561214624104645789101745[[#This Row],[Discount selection]],'Discount Structure'!$A$2:$B$30,2,"false"),0)</f>
        <v>1</v>
      </c>
      <c r="L823" s="194">
        <f>_1_541284561214624104645789101745[[#This Row],[LIST $]]*_1_541284561214624104645789101745[[#This Row],[DISCOUNT]]*_1_541284561214624104645789101745[[#This Row],[DISCOUNT 2]]</f>
        <v>0</v>
      </c>
      <c r="M823" s="194">
        <f>IF(OR(_1_541284561214624104645789101745[[#This Row],[UNIT]]&gt;0,_1_541284561214624104645789101745[[#This Row],[UNIT]]&lt;0),_1_541284561214624104645789101745[[#This Row],[UNIT]]*_1_541284561214624104645789101745[[#This Row],[COST]],0)</f>
        <v>0</v>
      </c>
      <c r="N823" s="194">
        <f t="shared" si="12"/>
        <v>1.5</v>
      </c>
      <c r="O823" s="198">
        <f>_1_541284561214624104645789101745[[#This Row],[TOTAL]]*_1_541284561214624104645789101745[[#This Row],[MARGIN]]</f>
        <v>0</v>
      </c>
      <c r="R823" s="41"/>
    </row>
    <row r="824" spans="4:18">
      <c r="D824" s="188"/>
      <c r="F824" s="168" t="s">
        <v>6202</v>
      </c>
      <c r="G824" s="193">
        <f>IF(_1_541284561214624104645789101745[[#This Row],[Type]]&gt;0,VLOOKUP(_1_541284561214624104645789101745[[#This Row],[Type]],Main[[#All],[TYPE]:[UNIT]],'Unit Price'!C$1,FALSE),0)</f>
        <v>0</v>
      </c>
      <c r="H824" s="197">
        <f>IF(_1_541284561214624104645789101745[[#This Row],[Type]]&gt;0,VLOOKUP(_1_541284561214624104645789101745[[#This Row],[Type]],Main[[#All],[TYPE]:[UNIT]],'Unit Price'!D$1,FALSE),0)</f>
        <v>0</v>
      </c>
      <c r="I824" s="194">
        <f>IF(_1_541284561214624104645789101745[[#This Row],[Type]]&gt;0,VLOOKUP(_1_541284561214624104645789101745[[#This Row],[Type]],Main[[#All],[TYPE]:[UNIT]],'Unit Price'!G$1,FALSE),0)</f>
        <v>0</v>
      </c>
      <c r="J824" s="194">
        <f>IF(_1_541284561214624104645789101745[[#This Row],[Type]]&gt;0,VLOOKUP(_1_541284561214624104645789101745[[#This Row],[Type]],Main[[#All],[TYPE]:[UNIT]],'Unit Price'!H$1,FALSE),0)</f>
        <v>0</v>
      </c>
      <c r="K824" s="194">
        <f>IF(_1_541284561214624104645789101745[[#This Row],[Discount selection]]&gt;0,VLOOKUP(_1_541284561214624104645789101745[[#This Row],[Discount selection]],'Discount Structure'!$A$2:$B$30,2,"false"),0)</f>
        <v>1</v>
      </c>
      <c r="L824" s="194">
        <f>_1_541284561214624104645789101745[[#This Row],[LIST $]]*_1_541284561214624104645789101745[[#This Row],[DISCOUNT]]*_1_541284561214624104645789101745[[#This Row],[DISCOUNT 2]]</f>
        <v>0</v>
      </c>
      <c r="M824" s="194">
        <f>IF(OR(_1_541284561214624104645789101745[[#This Row],[UNIT]]&gt;0,_1_541284561214624104645789101745[[#This Row],[UNIT]]&lt;0),_1_541284561214624104645789101745[[#This Row],[UNIT]]*_1_541284561214624104645789101745[[#This Row],[COST]],0)</f>
        <v>0</v>
      </c>
      <c r="N824" s="194">
        <f t="shared" si="12"/>
        <v>1.5</v>
      </c>
      <c r="O824" s="198">
        <f>_1_541284561214624104645789101745[[#This Row],[TOTAL]]*_1_541284561214624104645789101745[[#This Row],[MARGIN]]</f>
        <v>0</v>
      </c>
      <c r="R824" s="41"/>
    </row>
    <row r="825" spans="4:18">
      <c r="D825" s="188"/>
      <c r="F825" s="168" t="s">
        <v>6202</v>
      </c>
      <c r="G825" s="193">
        <f>IF(_1_541284561214624104645789101745[[#This Row],[Type]]&gt;0,VLOOKUP(_1_541284561214624104645789101745[[#This Row],[Type]],Main[[#All],[TYPE]:[UNIT]],'Unit Price'!C$1,FALSE),0)</f>
        <v>0</v>
      </c>
      <c r="H825" s="197">
        <f>IF(_1_541284561214624104645789101745[[#This Row],[Type]]&gt;0,VLOOKUP(_1_541284561214624104645789101745[[#This Row],[Type]],Main[[#All],[TYPE]:[UNIT]],'Unit Price'!D$1,FALSE),0)</f>
        <v>0</v>
      </c>
      <c r="I825" s="194">
        <f>IF(_1_541284561214624104645789101745[[#This Row],[Type]]&gt;0,VLOOKUP(_1_541284561214624104645789101745[[#This Row],[Type]],Main[[#All],[TYPE]:[UNIT]],'Unit Price'!G$1,FALSE),0)</f>
        <v>0</v>
      </c>
      <c r="J825" s="194">
        <f>IF(_1_541284561214624104645789101745[[#This Row],[Type]]&gt;0,VLOOKUP(_1_541284561214624104645789101745[[#This Row],[Type]],Main[[#All],[TYPE]:[UNIT]],'Unit Price'!H$1,FALSE),0)</f>
        <v>0</v>
      </c>
      <c r="K825" s="194">
        <f>IF(_1_541284561214624104645789101745[[#This Row],[Discount selection]]&gt;0,VLOOKUP(_1_541284561214624104645789101745[[#This Row],[Discount selection]],'Discount Structure'!$A$2:$B$30,2,"false"),0)</f>
        <v>1</v>
      </c>
      <c r="L825" s="194">
        <f>_1_541284561214624104645789101745[[#This Row],[LIST $]]*_1_541284561214624104645789101745[[#This Row],[DISCOUNT]]*_1_541284561214624104645789101745[[#This Row],[DISCOUNT 2]]</f>
        <v>0</v>
      </c>
      <c r="M825" s="194">
        <f>IF(OR(_1_541284561214624104645789101745[[#This Row],[UNIT]]&gt;0,_1_541284561214624104645789101745[[#This Row],[UNIT]]&lt;0),_1_541284561214624104645789101745[[#This Row],[UNIT]]*_1_541284561214624104645789101745[[#This Row],[COST]],0)</f>
        <v>0</v>
      </c>
      <c r="N825" s="194">
        <f t="shared" si="12"/>
        <v>1.5</v>
      </c>
      <c r="O825" s="198">
        <f>_1_541284561214624104645789101745[[#This Row],[TOTAL]]*_1_541284561214624104645789101745[[#This Row],[MARGIN]]</f>
        <v>0</v>
      </c>
      <c r="R825" s="41"/>
    </row>
    <row r="826" spans="4:18">
      <c r="D826" s="188"/>
      <c r="F826" s="168" t="s">
        <v>6202</v>
      </c>
      <c r="G826" s="193">
        <f>IF(_1_541284561214624104645789101745[[#This Row],[Type]]&gt;0,VLOOKUP(_1_541284561214624104645789101745[[#This Row],[Type]],Main[[#All],[TYPE]:[UNIT]],'Unit Price'!C$1,FALSE),0)</f>
        <v>0</v>
      </c>
      <c r="H826" s="197">
        <f>IF(_1_541284561214624104645789101745[[#This Row],[Type]]&gt;0,VLOOKUP(_1_541284561214624104645789101745[[#This Row],[Type]],Main[[#All],[TYPE]:[UNIT]],'Unit Price'!D$1,FALSE),0)</f>
        <v>0</v>
      </c>
      <c r="I826" s="194">
        <f>IF(_1_541284561214624104645789101745[[#This Row],[Type]]&gt;0,VLOOKUP(_1_541284561214624104645789101745[[#This Row],[Type]],Main[[#All],[TYPE]:[UNIT]],'Unit Price'!G$1,FALSE),0)</f>
        <v>0</v>
      </c>
      <c r="J826" s="194">
        <f>IF(_1_541284561214624104645789101745[[#This Row],[Type]]&gt;0,VLOOKUP(_1_541284561214624104645789101745[[#This Row],[Type]],Main[[#All],[TYPE]:[UNIT]],'Unit Price'!H$1,FALSE),0)</f>
        <v>0</v>
      </c>
      <c r="K826" s="194">
        <f>IF(_1_541284561214624104645789101745[[#This Row],[Discount selection]]&gt;0,VLOOKUP(_1_541284561214624104645789101745[[#This Row],[Discount selection]],'Discount Structure'!$A$2:$B$30,2,"false"),0)</f>
        <v>1</v>
      </c>
      <c r="L826" s="194">
        <f>_1_541284561214624104645789101745[[#This Row],[LIST $]]*_1_541284561214624104645789101745[[#This Row],[DISCOUNT]]*_1_541284561214624104645789101745[[#This Row],[DISCOUNT 2]]</f>
        <v>0</v>
      </c>
      <c r="M826" s="194">
        <f>IF(OR(_1_541284561214624104645789101745[[#This Row],[UNIT]]&gt;0,_1_541284561214624104645789101745[[#This Row],[UNIT]]&lt;0),_1_541284561214624104645789101745[[#This Row],[UNIT]]*_1_541284561214624104645789101745[[#This Row],[COST]],0)</f>
        <v>0</v>
      </c>
      <c r="N826" s="194">
        <f t="shared" si="12"/>
        <v>1.5</v>
      </c>
      <c r="O826" s="198">
        <f>_1_541284561214624104645789101745[[#This Row],[TOTAL]]*_1_541284561214624104645789101745[[#This Row],[MARGIN]]</f>
        <v>0</v>
      </c>
      <c r="R826" s="41"/>
    </row>
    <row r="827" spans="4:18">
      <c r="D827" s="188"/>
      <c r="F827" s="168" t="s">
        <v>6202</v>
      </c>
      <c r="G827" s="193">
        <f>IF(_1_541284561214624104645789101745[[#This Row],[Type]]&gt;0,VLOOKUP(_1_541284561214624104645789101745[[#This Row],[Type]],Main[[#All],[TYPE]:[UNIT]],'Unit Price'!C$1,FALSE),0)</f>
        <v>0</v>
      </c>
      <c r="H827" s="197">
        <f>IF(_1_541284561214624104645789101745[[#This Row],[Type]]&gt;0,VLOOKUP(_1_541284561214624104645789101745[[#This Row],[Type]],Main[[#All],[TYPE]:[UNIT]],'Unit Price'!D$1,FALSE),0)</f>
        <v>0</v>
      </c>
      <c r="I827" s="194">
        <f>IF(_1_541284561214624104645789101745[[#This Row],[Type]]&gt;0,VLOOKUP(_1_541284561214624104645789101745[[#This Row],[Type]],Main[[#All],[TYPE]:[UNIT]],'Unit Price'!G$1,FALSE),0)</f>
        <v>0</v>
      </c>
      <c r="J827" s="194">
        <f>IF(_1_541284561214624104645789101745[[#This Row],[Type]]&gt;0,VLOOKUP(_1_541284561214624104645789101745[[#This Row],[Type]],Main[[#All],[TYPE]:[UNIT]],'Unit Price'!H$1,FALSE),0)</f>
        <v>0</v>
      </c>
      <c r="K827" s="194">
        <f>IF(_1_541284561214624104645789101745[[#This Row],[Discount selection]]&gt;0,VLOOKUP(_1_541284561214624104645789101745[[#This Row],[Discount selection]],'Discount Structure'!$A$2:$B$30,2,"false"),0)</f>
        <v>1</v>
      </c>
      <c r="L827" s="194">
        <f>_1_541284561214624104645789101745[[#This Row],[LIST $]]*_1_541284561214624104645789101745[[#This Row],[DISCOUNT]]*_1_541284561214624104645789101745[[#This Row],[DISCOUNT 2]]</f>
        <v>0</v>
      </c>
      <c r="M827" s="194">
        <f>IF(OR(_1_541284561214624104645789101745[[#This Row],[UNIT]]&gt;0,_1_541284561214624104645789101745[[#This Row],[UNIT]]&lt;0),_1_541284561214624104645789101745[[#This Row],[UNIT]]*_1_541284561214624104645789101745[[#This Row],[COST]],0)</f>
        <v>0</v>
      </c>
      <c r="N827" s="194">
        <f t="shared" si="12"/>
        <v>1.5</v>
      </c>
      <c r="O827" s="198">
        <f>_1_541284561214624104645789101745[[#This Row],[TOTAL]]*_1_541284561214624104645789101745[[#This Row],[MARGIN]]</f>
        <v>0</v>
      </c>
      <c r="R827" s="41"/>
    </row>
    <row r="828" spans="4:18">
      <c r="D828" s="188"/>
      <c r="F828" s="168" t="s">
        <v>6202</v>
      </c>
      <c r="G828" s="193">
        <f>IF(_1_541284561214624104645789101745[[#This Row],[Type]]&gt;0,VLOOKUP(_1_541284561214624104645789101745[[#This Row],[Type]],Main[[#All],[TYPE]:[UNIT]],'Unit Price'!C$1,FALSE),0)</f>
        <v>0</v>
      </c>
      <c r="H828" s="197">
        <f>IF(_1_541284561214624104645789101745[[#This Row],[Type]]&gt;0,VLOOKUP(_1_541284561214624104645789101745[[#This Row],[Type]],Main[[#All],[TYPE]:[UNIT]],'Unit Price'!D$1,FALSE),0)</f>
        <v>0</v>
      </c>
      <c r="I828" s="194">
        <f>IF(_1_541284561214624104645789101745[[#This Row],[Type]]&gt;0,VLOOKUP(_1_541284561214624104645789101745[[#This Row],[Type]],Main[[#All],[TYPE]:[UNIT]],'Unit Price'!G$1,FALSE),0)</f>
        <v>0</v>
      </c>
      <c r="J828" s="194">
        <f>IF(_1_541284561214624104645789101745[[#This Row],[Type]]&gt;0,VLOOKUP(_1_541284561214624104645789101745[[#This Row],[Type]],Main[[#All],[TYPE]:[UNIT]],'Unit Price'!H$1,FALSE),0)</f>
        <v>0</v>
      </c>
      <c r="K828" s="194">
        <f>IF(_1_541284561214624104645789101745[[#This Row],[Discount selection]]&gt;0,VLOOKUP(_1_541284561214624104645789101745[[#This Row],[Discount selection]],'Discount Structure'!$A$2:$B$30,2,"false"),0)</f>
        <v>1</v>
      </c>
      <c r="L828" s="194">
        <f>_1_541284561214624104645789101745[[#This Row],[LIST $]]*_1_541284561214624104645789101745[[#This Row],[DISCOUNT]]*_1_541284561214624104645789101745[[#This Row],[DISCOUNT 2]]</f>
        <v>0</v>
      </c>
      <c r="M828" s="194">
        <f>IF(OR(_1_541284561214624104645789101745[[#This Row],[UNIT]]&gt;0,_1_541284561214624104645789101745[[#This Row],[UNIT]]&lt;0),_1_541284561214624104645789101745[[#This Row],[UNIT]]*_1_541284561214624104645789101745[[#This Row],[COST]],0)</f>
        <v>0</v>
      </c>
      <c r="N828" s="194">
        <f t="shared" si="12"/>
        <v>1.5</v>
      </c>
      <c r="O828" s="198">
        <f>_1_541284561214624104645789101745[[#This Row],[TOTAL]]*_1_541284561214624104645789101745[[#This Row],[MARGIN]]</f>
        <v>0</v>
      </c>
      <c r="R828" s="41"/>
    </row>
    <row r="829" spans="4:18">
      <c r="D829" s="188"/>
      <c r="F829" s="168" t="s">
        <v>6202</v>
      </c>
      <c r="G829" s="193">
        <f>IF(_1_541284561214624104645789101745[[#This Row],[Type]]&gt;0,VLOOKUP(_1_541284561214624104645789101745[[#This Row],[Type]],Main[[#All],[TYPE]:[UNIT]],'Unit Price'!C$1,FALSE),0)</f>
        <v>0</v>
      </c>
      <c r="H829" s="197">
        <f>IF(_1_541284561214624104645789101745[[#This Row],[Type]]&gt;0,VLOOKUP(_1_541284561214624104645789101745[[#This Row],[Type]],Main[[#All],[TYPE]:[UNIT]],'Unit Price'!D$1,FALSE),0)</f>
        <v>0</v>
      </c>
      <c r="I829" s="194">
        <f>IF(_1_541284561214624104645789101745[[#This Row],[Type]]&gt;0,VLOOKUP(_1_541284561214624104645789101745[[#This Row],[Type]],Main[[#All],[TYPE]:[UNIT]],'Unit Price'!G$1,FALSE),0)</f>
        <v>0</v>
      </c>
      <c r="J829" s="194">
        <f>IF(_1_541284561214624104645789101745[[#This Row],[Type]]&gt;0,VLOOKUP(_1_541284561214624104645789101745[[#This Row],[Type]],Main[[#All],[TYPE]:[UNIT]],'Unit Price'!H$1,FALSE),0)</f>
        <v>0</v>
      </c>
      <c r="K829" s="194">
        <f>IF(_1_541284561214624104645789101745[[#This Row],[Discount selection]]&gt;0,VLOOKUP(_1_541284561214624104645789101745[[#This Row],[Discount selection]],'Discount Structure'!$A$2:$B$30,2,"false"),0)</f>
        <v>1</v>
      </c>
      <c r="L829" s="194">
        <f>_1_541284561214624104645789101745[[#This Row],[LIST $]]*_1_541284561214624104645789101745[[#This Row],[DISCOUNT]]*_1_541284561214624104645789101745[[#This Row],[DISCOUNT 2]]</f>
        <v>0</v>
      </c>
      <c r="M829" s="194">
        <f>IF(OR(_1_541284561214624104645789101745[[#This Row],[UNIT]]&gt;0,_1_541284561214624104645789101745[[#This Row],[UNIT]]&lt;0),_1_541284561214624104645789101745[[#This Row],[UNIT]]*_1_541284561214624104645789101745[[#This Row],[COST]],0)</f>
        <v>0</v>
      </c>
      <c r="N829" s="194">
        <f t="shared" si="12"/>
        <v>1.5</v>
      </c>
      <c r="O829" s="198">
        <f>_1_541284561214624104645789101745[[#This Row],[TOTAL]]*_1_541284561214624104645789101745[[#This Row],[MARGIN]]</f>
        <v>0</v>
      </c>
      <c r="R829" s="41"/>
    </row>
    <row r="830" spans="4:18">
      <c r="D830" s="188"/>
      <c r="F830" s="168" t="s">
        <v>6202</v>
      </c>
      <c r="G830" s="193">
        <f>IF(_1_541284561214624104645789101745[[#This Row],[Type]]&gt;0,VLOOKUP(_1_541284561214624104645789101745[[#This Row],[Type]],Main[[#All],[TYPE]:[UNIT]],'Unit Price'!C$1,FALSE),0)</f>
        <v>0</v>
      </c>
      <c r="H830" s="197">
        <f>IF(_1_541284561214624104645789101745[[#This Row],[Type]]&gt;0,VLOOKUP(_1_541284561214624104645789101745[[#This Row],[Type]],Main[[#All],[TYPE]:[UNIT]],'Unit Price'!D$1,FALSE),0)</f>
        <v>0</v>
      </c>
      <c r="I830" s="194">
        <f>IF(_1_541284561214624104645789101745[[#This Row],[Type]]&gt;0,VLOOKUP(_1_541284561214624104645789101745[[#This Row],[Type]],Main[[#All],[TYPE]:[UNIT]],'Unit Price'!G$1,FALSE),0)</f>
        <v>0</v>
      </c>
      <c r="J830" s="194">
        <f>IF(_1_541284561214624104645789101745[[#This Row],[Type]]&gt;0,VLOOKUP(_1_541284561214624104645789101745[[#This Row],[Type]],Main[[#All],[TYPE]:[UNIT]],'Unit Price'!H$1,FALSE),0)</f>
        <v>0</v>
      </c>
      <c r="K830" s="194">
        <f>IF(_1_541284561214624104645789101745[[#This Row],[Discount selection]]&gt;0,VLOOKUP(_1_541284561214624104645789101745[[#This Row],[Discount selection]],'Discount Structure'!$A$2:$B$30,2,"false"),0)</f>
        <v>1</v>
      </c>
      <c r="L830" s="194">
        <f>_1_541284561214624104645789101745[[#This Row],[LIST $]]*_1_541284561214624104645789101745[[#This Row],[DISCOUNT]]*_1_541284561214624104645789101745[[#This Row],[DISCOUNT 2]]</f>
        <v>0</v>
      </c>
      <c r="M830" s="194">
        <f>IF(OR(_1_541284561214624104645789101745[[#This Row],[UNIT]]&gt;0,_1_541284561214624104645789101745[[#This Row],[UNIT]]&lt;0),_1_541284561214624104645789101745[[#This Row],[UNIT]]*_1_541284561214624104645789101745[[#This Row],[COST]],0)</f>
        <v>0</v>
      </c>
      <c r="N830" s="194">
        <f t="shared" si="12"/>
        <v>1.5</v>
      </c>
      <c r="O830" s="198">
        <f>_1_541284561214624104645789101745[[#This Row],[TOTAL]]*_1_541284561214624104645789101745[[#This Row],[MARGIN]]</f>
        <v>0</v>
      </c>
      <c r="R830" s="41"/>
    </row>
    <row r="831" spans="4:18">
      <c r="D831" s="188"/>
      <c r="F831" s="168" t="s">
        <v>6202</v>
      </c>
      <c r="G831" s="193">
        <f>IF(_1_541284561214624104645789101745[[#This Row],[Type]]&gt;0,VLOOKUP(_1_541284561214624104645789101745[[#This Row],[Type]],Main[[#All],[TYPE]:[UNIT]],'Unit Price'!C$1,FALSE),0)</f>
        <v>0</v>
      </c>
      <c r="H831" s="197">
        <f>IF(_1_541284561214624104645789101745[[#This Row],[Type]]&gt;0,VLOOKUP(_1_541284561214624104645789101745[[#This Row],[Type]],Main[[#All],[TYPE]:[UNIT]],'Unit Price'!D$1,FALSE),0)</f>
        <v>0</v>
      </c>
      <c r="I831" s="194">
        <f>IF(_1_541284561214624104645789101745[[#This Row],[Type]]&gt;0,VLOOKUP(_1_541284561214624104645789101745[[#This Row],[Type]],Main[[#All],[TYPE]:[UNIT]],'Unit Price'!G$1,FALSE),0)</f>
        <v>0</v>
      </c>
      <c r="J831" s="194">
        <f>IF(_1_541284561214624104645789101745[[#This Row],[Type]]&gt;0,VLOOKUP(_1_541284561214624104645789101745[[#This Row],[Type]],Main[[#All],[TYPE]:[UNIT]],'Unit Price'!H$1,FALSE),0)</f>
        <v>0</v>
      </c>
      <c r="K831" s="194">
        <f>IF(_1_541284561214624104645789101745[[#This Row],[Discount selection]]&gt;0,VLOOKUP(_1_541284561214624104645789101745[[#This Row],[Discount selection]],'Discount Structure'!$A$2:$B$30,2,"false"),0)</f>
        <v>1</v>
      </c>
      <c r="L831" s="194">
        <f>_1_541284561214624104645789101745[[#This Row],[LIST $]]*_1_541284561214624104645789101745[[#This Row],[DISCOUNT]]*_1_541284561214624104645789101745[[#This Row],[DISCOUNT 2]]</f>
        <v>0</v>
      </c>
      <c r="M831" s="194">
        <f>IF(OR(_1_541284561214624104645789101745[[#This Row],[UNIT]]&gt;0,_1_541284561214624104645789101745[[#This Row],[UNIT]]&lt;0),_1_541284561214624104645789101745[[#This Row],[UNIT]]*_1_541284561214624104645789101745[[#This Row],[COST]],0)</f>
        <v>0</v>
      </c>
      <c r="N831" s="194">
        <f t="shared" si="12"/>
        <v>1.5</v>
      </c>
      <c r="O831" s="198">
        <f>_1_541284561214624104645789101745[[#This Row],[TOTAL]]*_1_541284561214624104645789101745[[#This Row],[MARGIN]]</f>
        <v>0</v>
      </c>
      <c r="R831" s="41"/>
    </row>
    <row r="832" spans="4:18">
      <c r="D832" s="188"/>
      <c r="F832" s="168" t="s">
        <v>6202</v>
      </c>
      <c r="G832" s="193">
        <f>IF(_1_541284561214624104645789101745[[#This Row],[Type]]&gt;0,VLOOKUP(_1_541284561214624104645789101745[[#This Row],[Type]],Main[[#All],[TYPE]:[UNIT]],'Unit Price'!C$1,FALSE),0)</f>
        <v>0</v>
      </c>
      <c r="H832" s="197">
        <f>IF(_1_541284561214624104645789101745[[#This Row],[Type]]&gt;0,VLOOKUP(_1_541284561214624104645789101745[[#This Row],[Type]],Main[[#All],[TYPE]:[UNIT]],'Unit Price'!D$1,FALSE),0)</f>
        <v>0</v>
      </c>
      <c r="I832" s="194">
        <f>IF(_1_541284561214624104645789101745[[#This Row],[Type]]&gt;0,VLOOKUP(_1_541284561214624104645789101745[[#This Row],[Type]],Main[[#All],[TYPE]:[UNIT]],'Unit Price'!G$1,FALSE),0)</f>
        <v>0</v>
      </c>
      <c r="J832" s="194">
        <f>IF(_1_541284561214624104645789101745[[#This Row],[Type]]&gt;0,VLOOKUP(_1_541284561214624104645789101745[[#This Row],[Type]],Main[[#All],[TYPE]:[UNIT]],'Unit Price'!H$1,FALSE),0)</f>
        <v>0</v>
      </c>
      <c r="K832" s="194">
        <f>IF(_1_541284561214624104645789101745[[#This Row],[Discount selection]]&gt;0,VLOOKUP(_1_541284561214624104645789101745[[#This Row],[Discount selection]],'Discount Structure'!$A$2:$B$30,2,"false"),0)</f>
        <v>1</v>
      </c>
      <c r="L832" s="194">
        <f>_1_541284561214624104645789101745[[#This Row],[LIST $]]*_1_541284561214624104645789101745[[#This Row],[DISCOUNT]]*_1_541284561214624104645789101745[[#This Row],[DISCOUNT 2]]</f>
        <v>0</v>
      </c>
      <c r="M832" s="194">
        <f>IF(OR(_1_541284561214624104645789101745[[#This Row],[UNIT]]&gt;0,_1_541284561214624104645789101745[[#This Row],[UNIT]]&lt;0),_1_541284561214624104645789101745[[#This Row],[UNIT]]*_1_541284561214624104645789101745[[#This Row],[COST]],0)</f>
        <v>0</v>
      </c>
      <c r="N832" s="194">
        <f t="shared" si="12"/>
        <v>1.5</v>
      </c>
      <c r="O832" s="198">
        <f>_1_541284561214624104645789101745[[#This Row],[TOTAL]]*_1_541284561214624104645789101745[[#This Row],[MARGIN]]</f>
        <v>0</v>
      </c>
      <c r="R832" s="41"/>
    </row>
    <row r="833" spans="4:18">
      <c r="D833" s="188"/>
      <c r="F833" s="168" t="s">
        <v>6202</v>
      </c>
      <c r="G833" s="193">
        <f>IF(_1_541284561214624104645789101745[[#This Row],[Type]]&gt;0,VLOOKUP(_1_541284561214624104645789101745[[#This Row],[Type]],Main[[#All],[TYPE]:[UNIT]],'Unit Price'!C$1,FALSE),0)</f>
        <v>0</v>
      </c>
      <c r="H833" s="197">
        <f>IF(_1_541284561214624104645789101745[[#This Row],[Type]]&gt;0,VLOOKUP(_1_541284561214624104645789101745[[#This Row],[Type]],Main[[#All],[TYPE]:[UNIT]],'Unit Price'!D$1,FALSE),0)</f>
        <v>0</v>
      </c>
      <c r="I833" s="194">
        <f>IF(_1_541284561214624104645789101745[[#This Row],[Type]]&gt;0,VLOOKUP(_1_541284561214624104645789101745[[#This Row],[Type]],Main[[#All],[TYPE]:[UNIT]],'Unit Price'!G$1,FALSE),0)</f>
        <v>0</v>
      </c>
      <c r="J833" s="194">
        <f>IF(_1_541284561214624104645789101745[[#This Row],[Type]]&gt;0,VLOOKUP(_1_541284561214624104645789101745[[#This Row],[Type]],Main[[#All],[TYPE]:[UNIT]],'Unit Price'!H$1,FALSE),0)</f>
        <v>0</v>
      </c>
      <c r="K833" s="194">
        <f>IF(_1_541284561214624104645789101745[[#This Row],[Discount selection]]&gt;0,VLOOKUP(_1_541284561214624104645789101745[[#This Row],[Discount selection]],'Discount Structure'!$A$2:$B$30,2,"false"),0)</f>
        <v>1</v>
      </c>
      <c r="L833" s="194">
        <f>_1_541284561214624104645789101745[[#This Row],[LIST $]]*_1_541284561214624104645789101745[[#This Row],[DISCOUNT]]*_1_541284561214624104645789101745[[#This Row],[DISCOUNT 2]]</f>
        <v>0</v>
      </c>
      <c r="M833" s="194">
        <f>IF(OR(_1_541284561214624104645789101745[[#This Row],[UNIT]]&gt;0,_1_541284561214624104645789101745[[#This Row],[UNIT]]&lt;0),_1_541284561214624104645789101745[[#This Row],[UNIT]]*_1_541284561214624104645789101745[[#This Row],[COST]],0)</f>
        <v>0</v>
      </c>
      <c r="N833" s="194">
        <f t="shared" si="12"/>
        <v>1.5</v>
      </c>
      <c r="O833" s="198">
        <f>_1_541284561214624104645789101745[[#This Row],[TOTAL]]*_1_541284561214624104645789101745[[#This Row],[MARGIN]]</f>
        <v>0</v>
      </c>
      <c r="R833" s="41"/>
    </row>
    <row r="834" spans="4:18">
      <c r="D834" s="188"/>
      <c r="F834" s="168" t="s">
        <v>6202</v>
      </c>
      <c r="G834" s="193">
        <f>IF(_1_541284561214624104645789101745[[#This Row],[Type]]&gt;0,VLOOKUP(_1_541284561214624104645789101745[[#This Row],[Type]],Main[[#All],[TYPE]:[UNIT]],'Unit Price'!C$1,FALSE),0)</f>
        <v>0</v>
      </c>
      <c r="H834" s="197">
        <f>IF(_1_541284561214624104645789101745[[#This Row],[Type]]&gt;0,VLOOKUP(_1_541284561214624104645789101745[[#This Row],[Type]],Main[[#All],[TYPE]:[UNIT]],'Unit Price'!D$1,FALSE),0)</f>
        <v>0</v>
      </c>
      <c r="I834" s="194">
        <f>IF(_1_541284561214624104645789101745[[#This Row],[Type]]&gt;0,VLOOKUP(_1_541284561214624104645789101745[[#This Row],[Type]],Main[[#All],[TYPE]:[UNIT]],'Unit Price'!G$1,FALSE),0)</f>
        <v>0</v>
      </c>
      <c r="J834" s="194">
        <f>IF(_1_541284561214624104645789101745[[#This Row],[Type]]&gt;0,VLOOKUP(_1_541284561214624104645789101745[[#This Row],[Type]],Main[[#All],[TYPE]:[UNIT]],'Unit Price'!H$1,FALSE),0)</f>
        <v>0</v>
      </c>
      <c r="K834" s="194">
        <f>IF(_1_541284561214624104645789101745[[#This Row],[Discount selection]]&gt;0,VLOOKUP(_1_541284561214624104645789101745[[#This Row],[Discount selection]],'Discount Structure'!$A$2:$B$30,2,"false"),0)</f>
        <v>1</v>
      </c>
      <c r="L834" s="194">
        <f>_1_541284561214624104645789101745[[#This Row],[LIST $]]*_1_541284561214624104645789101745[[#This Row],[DISCOUNT]]*_1_541284561214624104645789101745[[#This Row],[DISCOUNT 2]]</f>
        <v>0</v>
      </c>
      <c r="M834" s="194">
        <f>IF(OR(_1_541284561214624104645789101745[[#This Row],[UNIT]]&gt;0,_1_541284561214624104645789101745[[#This Row],[UNIT]]&lt;0),_1_541284561214624104645789101745[[#This Row],[UNIT]]*_1_541284561214624104645789101745[[#This Row],[COST]],0)</f>
        <v>0</v>
      </c>
      <c r="N834" s="194">
        <f t="shared" si="12"/>
        <v>1.5</v>
      </c>
      <c r="O834" s="198">
        <f>_1_541284561214624104645789101745[[#This Row],[TOTAL]]*_1_541284561214624104645789101745[[#This Row],[MARGIN]]</f>
        <v>0</v>
      </c>
      <c r="R834" s="41"/>
    </row>
    <row r="835" spans="4:18">
      <c r="D835" s="188"/>
      <c r="F835" s="168" t="s">
        <v>6202</v>
      </c>
      <c r="G835" s="193">
        <f>IF(_1_541284561214624104645789101745[[#This Row],[Type]]&gt;0,VLOOKUP(_1_541284561214624104645789101745[[#This Row],[Type]],Main[[#All],[TYPE]:[UNIT]],'Unit Price'!C$1,FALSE),0)</f>
        <v>0</v>
      </c>
      <c r="H835" s="197">
        <f>IF(_1_541284561214624104645789101745[[#This Row],[Type]]&gt;0,VLOOKUP(_1_541284561214624104645789101745[[#This Row],[Type]],Main[[#All],[TYPE]:[UNIT]],'Unit Price'!D$1,FALSE),0)</f>
        <v>0</v>
      </c>
      <c r="I835" s="194">
        <f>IF(_1_541284561214624104645789101745[[#This Row],[Type]]&gt;0,VLOOKUP(_1_541284561214624104645789101745[[#This Row],[Type]],Main[[#All],[TYPE]:[UNIT]],'Unit Price'!G$1,FALSE),0)</f>
        <v>0</v>
      </c>
      <c r="J835" s="194">
        <f>IF(_1_541284561214624104645789101745[[#This Row],[Type]]&gt;0,VLOOKUP(_1_541284561214624104645789101745[[#This Row],[Type]],Main[[#All],[TYPE]:[UNIT]],'Unit Price'!H$1,FALSE),0)</f>
        <v>0</v>
      </c>
      <c r="K835" s="194">
        <f>IF(_1_541284561214624104645789101745[[#This Row],[Discount selection]]&gt;0,VLOOKUP(_1_541284561214624104645789101745[[#This Row],[Discount selection]],'Discount Structure'!$A$2:$B$30,2,"false"),0)</f>
        <v>1</v>
      </c>
      <c r="L835" s="194">
        <f>_1_541284561214624104645789101745[[#This Row],[LIST $]]*_1_541284561214624104645789101745[[#This Row],[DISCOUNT]]*_1_541284561214624104645789101745[[#This Row],[DISCOUNT 2]]</f>
        <v>0</v>
      </c>
      <c r="M835" s="194">
        <f>IF(OR(_1_541284561214624104645789101745[[#This Row],[UNIT]]&gt;0,_1_541284561214624104645789101745[[#This Row],[UNIT]]&lt;0),_1_541284561214624104645789101745[[#This Row],[UNIT]]*_1_541284561214624104645789101745[[#This Row],[COST]],0)</f>
        <v>0</v>
      </c>
      <c r="N835" s="194">
        <f t="shared" si="12"/>
        <v>1.5</v>
      </c>
      <c r="O835" s="198">
        <f>_1_541284561214624104645789101745[[#This Row],[TOTAL]]*_1_541284561214624104645789101745[[#This Row],[MARGIN]]</f>
        <v>0</v>
      </c>
      <c r="R835" s="41"/>
    </row>
    <row r="836" spans="4:18">
      <c r="D836" s="188"/>
      <c r="F836" s="168" t="s">
        <v>6202</v>
      </c>
      <c r="G836" s="193">
        <f>IF(_1_541284561214624104645789101745[[#This Row],[Type]]&gt;0,VLOOKUP(_1_541284561214624104645789101745[[#This Row],[Type]],Main[[#All],[TYPE]:[UNIT]],'Unit Price'!C$1,FALSE),0)</f>
        <v>0</v>
      </c>
      <c r="H836" s="197">
        <f>IF(_1_541284561214624104645789101745[[#This Row],[Type]]&gt;0,VLOOKUP(_1_541284561214624104645789101745[[#This Row],[Type]],Main[[#All],[TYPE]:[UNIT]],'Unit Price'!D$1,FALSE),0)</f>
        <v>0</v>
      </c>
      <c r="I836" s="194">
        <f>IF(_1_541284561214624104645789101745[[#This Row],[Type]]&gt;0,VLOOKUP(_1_541284561214624104645789101745[[#This Row],[Type]],Main[[#All],[TYPE]:[UNIT]],'Unit Price'!G$1,FALSE),0)</f>
        <v>0</v>
      </c>
      <c r="J836" s="194">
        <f>IF(_1_541284561214624104645789101745[[#This Row],[Type]]&gt;0,VLOOKUP(_1_541284561214624104645789101745[[#This Row],[Type]],Main[[#All],[TYPE]:[UNIT]],'Unit Price'!H$1,FALSE),0)</f>
        <v>0</v>
      </c>
      <c r="K836" s="194">
        <f>IF(_1_541284561214624104645789101745[[#This Row],[Discount selection]]&gt;0,VLOOKUP(_1_541284561214624104645789101745[[#This Row],[Discount selection]],'Discount Structure'!$A$2:$B$30,2,"false"),0)</f>
        <v>1</v>
      </c>
      <c r="L836" s="194">
        <f>_1_541284561214624104645789101745[[#This Row],[LIST $]]*_1_541284561214624104645789101745[[#This Row],[DISCOUNT]]*_1_541284561214624104645789101745[[#This Row],[DISCOUNT 2]]</f>
        <v>0</v>
      </c>
      <c r="M836" s="194">
        <f>IF(OR(_1_541284561214624104645789101745[[#This Row],[UNIT]]&gt;0,_1_541284561214624104645789101745[[#This Row],[UNIT]]&lt;0),_1_541284561214624104645789101745[[#This Row],[UNIT]]*_1_541284561214624104645789101745[[#This Row],[COST]],0)</f>
        <v>0</v>
      </c>
      <c r="N836" s="194">
        <f t="shared" si="12"/>
        <v>1.5</v>
      </c>
      <c r="O836" s="198">
        <f>_1_541284561214624104645789101745[[#This Row],[TOTAL]]*_1_541284561214624104645789101745[[#This Row],[MARGIN]]</f>
        <v>0</v>
      </c>
      <c r="R836" s="41"/>
    </row>
    <row r="837" spans="4:18">
      <c r="D837" s="188"/>
      <c r="F837" s="168" t="s">
        <v>6202</v>
      </c>
      <c r="G837" s="193">
        <f>IF(_1_541284561214624104645789101745[[#This Row],[Type]]&gt;0,VLOOKUP(_1_541284561214624104645789101745[[#This Row],[Type]],Main[[#All],[TYPE]:[UNIT]],'Unit Price'!C$1,FALSE),0)</f>
        <v>0</v>
      </c>
      <c r="H837" s="197">
        <f>IF(_1_541284561214624104645789101745[[#This Row],[Type]]&gt;0,VLOOKUP(_1_541284561214624104645789101745[[#This Row],[Type]],Main[[#All],[TYPE]:[UNIT]],'Unit Price'!D$1,FALSE),0)</f>
        <v>0</v>
      </c>
      <c r="I837" s="194">
        <f>IF(_1_541284561214624104645789101745[[#This Row],[Type]]&gt;0,VLOOKUP(_1_541284561214624104645789101745[[#This Row],[Type]],Main[[#All],[TYPE]:[UNIT]],'Unit Price'!G$1,FALSE),0)</f>
        <v>0</v>
      </c>
      <c r="J837" s="194">
        <f>IF(_1_541284561214624104645789101745[[#This Row],[Type]]&gt;0,VLOOKUP(_1_541284561214624104645789101745[[#This Row],[Type]],Main[[#All],[TYPE]:[UNIT]],'Unit Price'!H$1,FALSE),0)</f>
        <v>0</v>
      </c>
      <c r="K837" s="194">
        <f>IF(_1_541284561214624104645789101745[[#This Row],[Discount selection]]&gt;0,VLOOKUP(_1_541284561214624104645789101745[[#This Row],[Discount selection]],'Discount Structure'!$A$2:$B$30,2,"false"),0)</f>
        <v>1</v>
      </c>
      <c r="L837" s="194">
        <f>_1_541284561214624104645789101745[[#This Row],[LIST $]]*_1_541284561214624104645789101745[[#This Row],[DISCOUNT]]*_1_541284561214624104645789101745[[#This Row],[DISCOUNT 2]]</f>
        <v>0</v>
      </c>
      <c r="M837" s="194">
        <f>IF(OR(_1_541284561214624104645789101745[[#This Row],[UNIT]]&gt;0,_1_541284561214624104645789101745[[#This Row],[UNIT]]&lt;0),_1_541284561214624104645789101745[[#This Row],[UNIT]]*_1_541284561214624104645789101745[[#This Row],[COST]],0)</f>
        <v>0</v>
      </c>
      <c r="N837" s="194">
        <f t="shared" si="12"/>
        <v>1.5</v>
      </c>
      <c r="O837" s="198">
        <f>_1_541284561214624104645789101745[[#This Row],[TOTAL]]*_1_541284561214624104645789101745[[#This Row],[MARGIN]]</f>
        <v>0</v>
      </c>
      <c r="R837" s="41"/>
    </row>
    <row r="838" spans="4:18">
      <c r="D838" s="188"/>
      <c r="F838" s="168" t="s">
        <v>6202</v>
      </c>
      <c r="G838" s="193">
        <f>IF(_1_541284561214624104645789101745[[#This Row],[Type]]&gt;0,VLOOKUP(_1_541284561214624104645789101745[[#This Row],[Type]],Main[[#All],[TYPE]:[UNIT]],'Unit Price'!C$1,FALSE),0)</f>
        <v>0</v>
      </c>
      <c r="H838" s="197">
        <f>IF(_1_541284561214624104645789101745[[#This Row],[Type]]&gt;0,VLOOKUP(_1_541284561214624104645789101745[[#This Row],[Type]],Main[[#All],[TYPE]:[UNIT]],'Unit Price'!D$1,FALSE),0)</f>
        <v>0</v>
      </c>
      <c r="I838" s="194">
        <f>IF(_1_541284561214624104645789101745[[#This Row],[Type]]&gt;0,VLOOKUP(_1_541284561214624104645789101745[[#This Row],[Type]],Main[[#All],[TYPE]:[UNIT]],'Unit Price'!G$1,FALSE),0)</f>
        <v>0</v>
      </c>
      <c r="J838" s="194">
        <f>IF(_1_541284561214624104645789101745[[#This Row],[Type]]&gt;0,VLOOKUP(_1_541284561214624104645789101745[[#This Row],[Type]],Main[[#All],[TYPE]:[UNIT]],'Unit Price'!H$1,FALSE),0)</f>
        <v>0</v>
      </c>
      <c r="K838" s="194">
        <f>IF(_1_541284561214624104645789101745[[#This Row],[Discount selection]]&gt;0,VLOOKUP(_1_541284561214624104645789101745[[#This Row],[Discount selection]],'Discount Structure'!$A$2:$B$30,2,"false"),0)</f>
        <v>1</v>
      </c>
      <c r="L838" s="194">
        <f>_1_541284561214624104645789101745[[#This Row],[LIST $]]*_1_541284561214624104645789101745[[#This Row],[DISCOUNT]]*_1_541284561214624104645789101745[[#This Row],[DISCOUNT 2]]</f>
        <v>0</v>
      </c>
      <c r="M838" s="194">
        <f>IF(OR(_1_541284561214624104645789101745[[#This Row],[UNIT]]&gt;0,_1_541284561214624104645789101745[[#This Row],[UNIT]]&lt;0),_1_541284561214624104645789101745[[#This Row],[UNIT]]*_1_541284561214624104645789101745[[#This Row],[COST]],0)</f>
        <v>0</v>
      </c>
      <c r="N838" s="194">
        <f t="shared" si="12"/>
        <v>1.5</v>
      </c>
      <c r="O838" s="198">
        <f>_1_541284561214624104645789101745[[#This Row],[TOTAL]]*_1_541284561214624104645789101745[[#This Row],[MARGIN]]</f>
        <v>0</v>
      </c>
      <c r="R838" s="41"/>
    </row>
    <row r="839" spans="4:18">
      <c r="D839" s="188"/>
      <c r="F839" s="168" t="s">
        <v>6202</v>
      </c>
      <c r="G839" s="193">
        <f>IF(_1_541284561214624104645789101745[[#This Row],[Type]]&gt;0,VLOOKUP(_1_541284561214624104645789101745[[#This Row],[Type]],Main[[#All],[TYPE]:[UNIT]],'Unit Price'!C$1,FALSE),0)</f>
        <v>0</v>
      </c>
      <c r="H839" s="197">
        <f>IF(_1_541284561214624104645789101745[[#This Row],[Type]]&gt;0,VLOOKUP(_1_541284561214624104645789101745[[#This Row],[Type]],Main[[#All],[TYPE]:[UNIT]],'Unit Price'!D$1,FALSE),0)</f>
        <v>0</v>
      </c>
      <c r="I839" s="194">
        <f>IF(_1_541284561214624104645789101745[[#This Row],[Type]]&gt;0,VLOOKUP(_1_541284561214624104645789101745[[#This Row],[Type]],Main[[#All],[TYPE]:[UNIT]],'Unit Price'!G$1,FALSE),0)</f>
        <v>0</v>
      </c>
      <c r="J839" s="194">
        <f>IF(_1_541284561214624104645789101745[[#This Row],[Type]]&gt;0,VLOOKUP(_1_541284561214624104645789101745[[#This Row],[Type]],Main[[#All],[TYPE]:[UNIT]],'Unit Price'!H$1,FALSE),0)</f>
        <v>0</v>
      </c>
      <c r="K839" s="194">
        <f>IF(_1_541284561214624104645789101745[[#This Row],[Discount selection]]&gt;0,VLOOKUP(_1_541284561214624104645789101745[[#This Row],[Discount selection]],'Discount Structure'!$A$2:$B$30,2,"false"),0)</f>
        <v>1</v>
      </c>
      <c r="L839" s="194">
        <f>_1_541284561214624104645789101745[[#This Row],[LIST $]]*_1_541284561214624104645789101745[[#This Row],[DISCOUNT]]*_1_541284561214624104645789101745[[#This Row],[DISCOUNT 2]]</f>
        <v>0</v>
      </c>
      <c r="M839" s="194">
        <f>IF(OR(_1_541284561214624104645789101745[[#This Row],[UNIT]]&gt;0,_1_541284561214624104645789101745[[#This Row],[UNIT]]&lt;0),_1_541284561214624104645789101745[[#This Row],[UNIT]]*_1_541284561214624104645789101745[[#This Row],[COST]],0)</f>
        <v>0</v>
      </c>
      <c r="N839" s="194">
        <f t="shared" si="12"/>
        <v>1.5</v>
      </c>
      <c r="O839" s="198">
        <f>_1_541284561214624104645789101745[[#This Row],[TOTAL]]*_1_541284561214624104645789101745[[#This Row],[MARGIN]]</f>
        <v>0</v>
      </c>
      <c r="R839" s="41"/>
    </row>
    <row r="840" spans="4:18">
      <c r="D840" s="188"/>
      <c r="F840" s="168" t="s">
        <v>6202</v>
      </c>
      <c r="G840" s="193">
        <f>IF(_1_541284561214624104645789101745[[#This Row],[Type]]&gt;0,VLOOKUP(_1_541284561214624104645789101745[[#This Row],[Type]],Main[[#All],[TYPE]:[UNIT]],'Unit Price'!C$1,FALSE),0)</f>
        <v>0</v>
      </c>
      <c r="H840" s="197">
        <f>IF(_1_541284561214624104645789101745[[#This Row],[Type]]&gt;0,VLOOKUP(_1_541284561214624104645789101745[[#This Row],[Type]],Main[[#All],[TYPE]:[UNIT]],'Unit Price'!D$1,FALSE),0)</f>
        <v>0</v>
      </c>
      <c r="I840" s="194">
        <f>IF(_1_541284561214624104645789101745[[#This Row],[Type]]&gt;0,VLOOKUP(_1_541284561214624104645789101745[[#This Row],[Type]],Main[[#All],[TYPE]:[UNIT]],'Unit Price'!G$1,FALSE),0)</f>
        <v>0</v>
      </c>
      <c r="J840" s="194">
        <f>IF(_1_541284561214624104645789101745[[#This Row],[Type]]&gt;0,VLOOKUP(_1_541284561214624104645789101745[[#This Row],[Type]],Main[[#All],[TYPE]:[UNIT]],'Unit Price'!H$1,FALSE),0)</f>
        <v>0</v>
      </c>
      <c r="K840" s="194">
        <f>IF(_1_541284561214624104645789101745[[#This Row],[Discount selection]]&gt;0,VLOOKUP(_1_541284561214624104645789101745[[#This Row],[Discount selection]],'Discount Structure'!$A$2:$B$30,2,"false"),0)</f>
        <v>1</v>
      </c>
      <c r="L840" s="194">
        <f>_1_541284561214624104645789101745[[#This Row],[LIST $]]*_1_541284561214624104645789101745[[#This Row],[DISCOUNT]]*_1_541284561214624104645789101745[[#This Row],[DISCOUNT 2]]</f>
        <v>0</v>
      </c>
      <c r="M840" s="194">
        <f>IF(OR(_1_541284561214624104645789101745[[#This Row],[UNIT]]&gt;0,_1_541284561214624104645789101745[[#This Row],[UNIT]]&lt;0),_1_541284561214624104645789101745[[#This Row],[UNIT]]*_1_541284561214624104645789101745[[#This Row],[COST]],0)</f>
        <v>0</v>
      </c>
      <c r="N840" s="194">
        <f t="shared" si="12"/>
        <v>1.5</v>
      </c>
      <c r="O840" s="198">
        <f>_1_541284561214624104645789101745[[#This Row],[TOTAL]]*_1_541284561214624104645789101745[[#This Row],[MARGIN]]</f>
        <v>0</v>
      </c>
      <c r="R840" s="41"/>
    </row>
    <row r="841" spans="4:18">
      <c r="D841" s="188"/>
      <c r="F841" s="168" t="s">
        <v>6202</v>
      </c>
      <c r="G841" s="193">
        <f>IF(_1_541284561214624104645789101745[[#This Row],[Type]]&gt;0,VLOOKUP(_1_541284561214624104645789101745[[#This Row],[Type]],Main[[#All],[TYPE]:[UNIT]],'Unit Price'!C$1,FALSE),0)</f>
        <v>0</v>
      </c>
      <c r="H841" s="197">
        <f>IF(_1_541284561214624104645789101745[[#This Row],[Type]]&gt;0,VLOOKUP(_1_541284561214624104645789101745[[#This Row],[Type]],Main[[#All],[TYPE]:[UNIT]],'Unit Price'!D$1,FALSE),0)</f>
        <v>0</v>
      </c>
      <c r="I841" s="194">
        <f>IF(_1_541284561214624104645789101745[[#This Row],[Type]]&gt;0,VLOOKUP(_1_541284561214624104645789101745[[#This Row],[Type]],Main[[#All],[TYPE]:[UNIT]],'Unit Price'!G$1,FALSE),0)</f>
        <v>0</v>
      </c>
      <c r="J841" s="194">
        <f>IF(_1_541284561214624104645789101745[[#This Row],[Type]]&gt;0,VLOOKUP(_1_541284561214624104645789101745[[#This Row],[Type]],Main[[#All],[TYPE]:[UNIT]],'Unit Price'!H$1,FALSE),0)</f>
        <v>0</v>
      </c>
      <c r="K841" s="194">
        <f>IF(_1_541284561214624104645789101745[[#This Row],[Discount selection]]&gt;0,VLOOKUP(_1_541284561214624104645789101745[[#This Row],[Discount selection]],'Discount Structure'!$A$2:$B$30,2,"false"),0)</f>
        <v>1</v>
      </c>
      <c r="L841" s="194">
        <f>_1_541284561214624104645789101745[[#This Row],[LIST $]]*_1_541284561214624104645789101745[[#This Row],[DISCOUNT]]*_1_541284561214624104645789101745[[#This Row],[DISCOUNT 2]]</f>
        <v>0</v>
      </c>
      <c r="M841" s="194">
        <f>IF(OR(_1_541284561214624104645789101745[[#This Row],[UNIT]]&gt;0,_1_541284561214624104645789101745[[#This Row],[UNIT]]&lt;0),_1_541284561214624104645789101745[[#This Row],[UNIT]]*_1_541284561214624104645789101745[[#This Row],[COST]],0)</f>
        <v>0</v>
      </c>
      <c r="N841" s="194">
        <f t="shared" si="12"/>
        <v>1.5</v>
      </c>
      <c r="O841" s="198">
        <f>_1_541284561214624104645789101745[[#This Row],[TOTAL]]*_1_541284561214624104645789101745[[#This Row],[MARGIN]]</f>
        <v>0</v>
      </c>
      <c r="R841" s="41"/>
    </row>
    <row r="842" spans="4:18">
      <c r="D842" s="188"/>
      <c r="F842" s="168" t="s">
        <v>6202</v>
      </c>
      <c r="G842" s="193">
        <f>IF(_1_541284561214624104645789101745[[#This Row],[Type]]&gt;0,VLOOKUP(_1_541284561214624104645789101745[[#This Row],[Type]],Main[[#All],[TYPE]:[UNIT]],'Unit Price'!C$1,FALSE),0)</f>
        <v>0</v>
      </c>
      <c r="H842" s="197">
        <f>IF(_1_541284561214624104645789101745[[#This Row],[Type]]&gt;0,VLOOKUP(_1_541284561214624104645789101745[[#This Row],[Type]],Main[[#All],[TYPE]:[UNIT]],'Unit Price'!D$1,FALSE),0)</f>
        <v>0</v>
      </c>
      <c r="I842" s="194">
        <f>IF(_1_541284561214624104645789101745[[#This Row],[Type]]&gt;0,VLOOKUP(_1_541284561214624104645789101745[[#This Row],[Type]],Main[[#All],[TYPE]:[UNIT]],'Unit Price'!G$1,FALSE),0)</f>
        <v>0</v>
      </c>
      <c r="J842" s="194">
        <f>IF(_1_541284561214624104645789101745[[#This Row],[Type]]&gt;0,VLOOKUP(_1_541284561214624104645789101745[[#This Row],[Type]],Main[[#All],[TYPE]:[UNIT]],'Unit Price'!H$1,FALSE),0)</f>
        <v>0</v>
      </c>
      <c r="K842" s="194">
        <f>IF(_1_541284561214624104645789101745[[#This Row],[Discount selection]]&gt;0,VLOOKUP(_1_541284561214624104645789101745[[#This Row],[Discount selection]],'Discount Structure'!$A$2:$B$30,2,"false"),0)</f>
        <v>1</v>
      </c>
      <c r="L842" s="194">
        <f>_1_541284561214624104645789101745[[#This Row],[LIST $]]*_1_541284561214624104645789101745[[#This Row],[DISCOUNT]]*_1_541284561214624104645789101745[[#This Row],[DISCOUNT 2]]</f>
        <v>0</v>
      </c>
      <c r="M842" s="194">
        <f>IF(OR(_1_541284561214624104645789101745[[#This Row],[UNIT]]&gt;0,_1_541284561214624104645789101745[[#This Row],[UNIT]]&lt;0),_1_541284561214624104645789101745[[#This Row],[UNIT]]*_1_541284561214624104645789101745[[#This Row],[COST]],0)</f>
        <v>0</v>
      </c>
      <c r="N842" s="194">
        <f t="shared" ref="N842:N905" si="13">$N$7</f>
        <v>1.5</v>
      </c>
      <c r="O842" s="198">
        <f>_1_541284561214624104645789101745[[#This Row],[TOTAL]]*_1_541284561214624104645789101745[[#This Row],[MARGIN]]</f>
        <v>0</v>
      </c>
      <c r="R842" s="41"/>
    </row>
    <row r="843" spans="4:18">
      <c r="D843" s="188"/>
      <c r="F843" s="168" t="s">
        <v>6202</v>
      </c>
      <c r="G843" s="193">
        <f>IF(_1_541284561214624104645789101745[[#This Row],[Type]]&gt;0,VLOOKUP(_1_541284561214624104645789101745[[#This Row],[Type]],Main[[#All],[TYPE]:[UNIT]],'Unit Price'!C$1,FALSE),0)</f>
        <v>0</v>
      </c>
      <c r="H843" s="197">
        <f>IF(_1_541284561214624104645789101745[[#This Row],[Type]]&gt;0,VLOOKUP(_1_541284561214624104645789101745[[#This Row],[Type]],Main[[#All],[TYPE]:[UNIT]],'Unit Price'!D$1,FALSE),0)</f>
        <v>0</v>
      </c>
      <c r="I843" s="194">
        <f>IF(_1_541284561214624104645789101745[[#This Row],[Type]]&gt;0,VLOOKUP(_1_541284561214624104645789101745[[#This Row],[Type]],Main[[#All],[TYPE]:[UNIT]],'Unit Price'!G$1,FALSE),0)</f>
        <v>0</v>
      </c>
      <c r="J843" s="194">
        <f>IF(_1_541284561214624104645789101745[[#This Row],[Type]]&gt;0,VLOOKUP(_1_541284561214624104645789101745[[#This Row],[Type]],Main[[#All],[TYPE]:[UNIT]],'Unit Price'!H$1,FALSE),0)</f>
        <v>0</v>
      </c>
      <c r="K843" s="194">
        <f>IF(_1_541284561214624104645789101745[[#This Row],[Discount selection]]&gt;0,VLOOKUP(_1_541284561214624104645789101745[[#This Row],[Discount selection]],'Discount Structure'!$A$2:$B$30,2,"false"),0)</f>
        <v>1</v>
      </c>
      <c r="L843" s="194">
        <f>_1_541284561214624104645789101745[[#This Row],[LIST $]]*_1_541284561214624104645789101745[[#This Row],[DISCOUNT]]*_1_541284561214624104645789101745[[#This Row],[DISCOUNT 2]]</f>
        <v>0</v>
      </c>
      <c r="M843" s="194">
        <f>IF(OR(_1_541284561214624104645789101745[[#This Row],[UNIT]]&gt;0,_1_541284561214624104645789101745[[#This Row],[UNIT]]&lt;0),_1_541284561214624104645789101745[[#This Row],[UNIT]]*_1_541284561214624104645789101745[[#This Row],[COST]],0)</f>
        <v>0</v>
      </c>
      <c r="N843" s="194">
        <f t="shared" si="13"/>
        <v>1.5</v>
      </c>
      <c r="O843" s="198">
        <f>_1_541284561214624104645789101745[[#This Row],[TOTAL]]*_1_541284561214624104645789101745[[#This Row],[MARGIN]]</f>
        <v>0</v>
      </c>
      <c r="R843" s="41"/>
    </row>
    <row r="844" spans="4:18">
      <c r="D844" s="188"/>
      <c r="F844" s="168" t="s">
        <v>6202</v>
      </c>
      <c r="G844" s="193">
        <f>IF(_1_541284561214624104645789101745[[#This Row],[Type]]&gt;0,VLOOKUP(_1_541284561214624104645789101745[[#This Row],[Type]],Main[[#All],[TYPE]:[UNIT]],'Unit Price'!C$1,FALSE),0)</f>
        <v>0</v>
      </c>
      <c r="H844" s="197">
        <f>IF(_1_541284561214624104645789101745[[#This Row],[Type]]&gt;0,VLOOKUP(_1_541284561214624104645789101745[[#This Row],[Type]],Main[[#All],[TYPE]:[UNIT]],'Unit Price'!D$1,FALSE),0)</f>
        <v>0</v>
      </c>
      <c r="I844" s="194">
        <f>IF(_1_541284561214624104645789101745[[#This Row],[Type]]&gt;0,VLOOKUP(_1_541284561214624104645789101745[[#This Row],[Type]],Main[[#All],[TYPE]:[UNIT]],'Unit Price'!G$1,FALSE),0)</f>
        <v>0</v>
      </c>
      <c r="J844" s="194">
        <f>IF(_1_541284561214624104645789101745[[#This Row],[Type]]&gt;0,VLOOKUP(_1_541284561214624104645789101745[[#This Row],[Type]],Main[[#All],[TYPE]:[UNIT]],'Unit Price'!H$1,FALSE),0)</f>
        <v>0</v>
      </c>
      <c r="K844" s="194">
        <f>IF(_1_541284561214624104645789101745[[#This Row],[Discount selection]]&gt;0,VLOOKUP(_1_541284561214624104645789101745[[#This Row],[Discount selection]],'Discount Structure'!$A$2:$B$30,2,"false"),0)</f>
        <v>1</v>
      </c>
      <c r="L844" s="194">
        <f>_1_541284561214624104645789101745[[#This Row],[LIST $]]*_1_541284561214624104645789101745[[#This Row],[DISCOUNT]]*_1_541284561214624104645789101745[[#This Row],[DISCOUNT 2]]</f>
        <v>0</v>
      </c>
      <c r="M844" s="194">
        <f>IF(OR(_1_541284561214624104645789101745[[#This Row],[UNIT]]&gt;0,_1_541284561214624104645789101745[[#This Row],[UNIT]]&lt;0),_1_541284561214624104645789101745[[#This Row],[UNIT]]*_1_541284561214624104645789101745[[#This Row],[COST]],0)</f>
        <v>0</v>
      </c>
      <c r="N844" s="194">
        <f t="shared" si="13"/>
        <v>1.5</v>
      </c>
      <c r="O844" s="198">
        <f>_1_541284561214624104645789101745[[#This Row],[TOTAL]]*_1_541284561214624104645789101745[[#This Row],[MARGIN]]</f>
        <v>0</v>
      </c>
      <c r="R844" s="41"/>
    </row>
    <row r="845" spans="4:18">
      <c r="D845" s="188"/>
      <c r="F845" s="168" t="s">
        <v>6202</v>
      </c>
      <c r="G845" s="193">
        <f>IF(_1_541284561214624104645789101745[[#This Row],[Type]]&gt;0,VLOOKUP(_1_541284561214624104645789101745[[#This Row],[Type]],Main[[#All],[TYPE]:[UNIT]],'Unit Price'!C$1,FALSE),0)</f>
        <v>0</v>
      </c>
      <c r="H845" s="197">
        <f>IF(_1_541284561214624104645789101745[[#This Row],[Type]]&gt;0,VLOOKUP(_1_541284561214624104645789101745[[#This Row],[Type]],Main[[#All],[TYPE]:[UNIT]],'Unit Price'!D$1,FALSE),0)</f>
        <v>0</v>
      </c>
      <c r="I845" s="194">
        <f>IF(_1_541284561214624104645789101745[[#This Row],[Type]]&gt;0,VLOOKUP(_1_541284561214624104645789101745[[#This Row],[Type]],Main[[#All],[TYPE]:[UNIT]],'Unit Price'!G$1,FALSE),0)</f>
        <v>0</v>
      </c>
      <c r="J845" s="194">
        <f>IF(_1_541284561214624104645789101745[[#This Row],[Type]]&gt;0,VLOOKUP(_1_541284561214624104645789101745[[#This Row],[Type]],Main[[#All],[TYPE]:[UNIT]],'Unit Price'!H$1,FALSE),0)</f>
        <v>0</v>
      </c>
      <c r="K845" s="194">
        <f>IF(_1_541284561214624104645789101745[[#This Row],[Discount selection]]&gt;0,VLOOKUP(_1_541284561214624104645789101745[[#This Row],[Discount selection]],'Discount Structure'!$A$2:$B$30,2,"false"),0)</f>
        <v>1</v>
      </c>
      <c r="L845" s="194">
        <f>_1_541284561214624104645789101745[[#This Row],[LIST $]]*_1_541284561214624104645789101745[[#This Row],[DISCOUNT]]*_1_541284561214624104645789101745[[#This Row],[DISCOUNT 2]]</f>
        <v>0</v>
      </c>
      <c r="M845" s="194">
        <f>IF(OR(_1_541284561214624104645789101745[[#This Row],[UNIT]]&gt;0,_1_541284561214624104645789101745[[#This Row],[UNIT]]&lt;0),_1_541284561214624104645789101745[[#This Row],[UNIT]]*_1_541284561214624104645789101745[[#This Row],[COST]],0)</f>
        <v>0</v>
      </c>
      <c r="N845" s="194">
        <f t="shared" si="13"/>
        <v>1.5</v>
      </c>
      <c r="O845" s="198">
        <f>_1_541284561214624104645789101745[[#This Row],[TOTAL]]*_1_541284561214624104645789101745[[#This Row],[MARGIN]]</f>
        <v>0</v>
      </c>
      <c r="R845" s="41"/>
    </row>
    <row r="846" spans="4:18">
      <c r="D846" s="188"/>
      <c r="F846" s="168" t="s">
        <v>6202</v>
      </c>
      <c r="G846" s="193">
        <f>IF(_1_541284561214624104645789101745[[#This Row],[Type]]&gt;0,VLOOKUP(_1_541284561214624104645789101745[[#This Row],[Type]],Main[[#All],[TYPE]:[UNIT]],'Unit Price'!C$1,FALSE),0)</f>
        <v>0</v>
      </c>
      <c r="H846" s="197">
        <f>IF(_1_541284561214624104645789101745[[#This Row],[Type]]&gt;0,VLOOKUP(_1_541284561214624104645789101745[[#This Row],[Type]],Main[[#All],[TYPE]:[UNIT]],'Unit Price'!D$1,FALSE),0)</f>
        <v>0</v>
      </c>
      <c r="I846" s="194">
        <f>IF(_1_541284561214624104645789101745[[#This Row],[Type]]&gt;0,VLOOKUP(_1_541284561214624104645789101745[[#This Row],[Type]],Main[[#All],[TYPE]:[UNIT]],'Unit Price'!G$1,FALSE),0)</f>
        <v>0</v>
      </c>
      <c r="J846" s="194">
        <f>IF(_1_541284561214624104645789101745[[#This Row],[Type]]&gt;0,VLOOKUP(_1_541284561214624104645789101745[[#This Row],[Type]],Main[[#All],[TYPE]:[UNIT]],'Unit Price'!H$1,FALSE),0)</f>
        <v>0</v>
      </c>
      <c r="K846" s="194">
        <f>IF(_1_541284561214624104645789101745[[#This Row],[Discount selection]]&gt;0,VLOOKUP(_1_541284561214624104645789101745[[#This Row],[Discount selection]],'Discount Structure'!$A$2:$B$30,2,"false"),0)</f>
        <v>1</v>
      </c>
      <c r="L846" s="194">
        <f>_1_541284561214624104645789101745[[#This Row],[LIST $]]*_1_541284561214624104645789101745[[#This Row],[DISCOUNT]]*_1_541284561214624104645789101745[[#This Row],[DISCOUNT 2]]</f>
        <v>0</v>
      </c>
      <c r="M846" s="194">
        <f>IF(OR(_1_541284561214624104645789101745[[#This Row],[UNIT]]&gt;0,_1_541284561214624104645789101745[[#This Row],[UNIT]]&lt;0),_1_541284561214624104645789101745[[#This Row],[UNIT]]*_1_541284561214624104645789101745[[#This Row],[COST]],0)</f>
        <v>0</v>
      </c>
      <c r="N846" s="194">
        <f t="shared" si="13"/>
        <v>1.5</v>
      </c>
      <c r="O846" s="198">
        <f>_1_541284561214624104645789101745[[#This Row],[TOTAL]]*_1_541284561214624104645789101745[[#This Row],[MARGIN]]</f>
        <v>0</v>
      </c>
      <c r="R846" s="41"/>
    </row>
    <row r="847" spans="4:18">
      <c r="D847" s="188"/>
      <c r="F847" s="168" t="s">
        <v>6202</v>
      </c>
      <c r="G847" s="193">
        <f>IF(_1_541284561214624104645789101745[[#This Row],[Type]]&gt;0,VLOOKUP(_1_541284561214624104645789101745[[#This Row],[Type]],Main[[#All],[TYPE]:[UNIT]],'Unit Price'!C$1,FALSE),0)</f>
        <v>0</v>
      </c>
      <c r="H847" s="197">
        <f>IF(_1_541284561214624104645789101745[[#This Row],[Type]]&gt;0,VLOOKUP(_1_541284561214624104645789101745[[#This Row],[Type]],Main[[#All],[TYPE]:[UNIT]],'Unit Price'!D$1,FALSE),0)</f>
        <v>0</v>
      </c>
      <c r="I847" s="194">
        <f>IF(_1_541284561214624104645789101745[[#This Row],[Type]]&gt;0,VLOOKUP(_1_541284561214624104645789101745[[#This Row],[Type]],Main[[#All],[TYPE]:[UNIT]],'Unit Price'!G$1,FALSE),0)</f>
        <v>0</v>
      </c>
      <c r="J847" s="194">
        <f>IF(_1_541284561214624104645789101745[[#This Row],[Type]]&gt;0,VLOOKUP(_1_541284561214624104645789101745[[#This Row],[Type]],Main[[#All],[TYPE]:[UNIT]],'Unit Price'!H$1,FALSE),0)</f>
        <v>0</v>
      </c>
      <c r="K847" s="194">
        <f>IF(_1_541284561214624104645789101745[[#This Row],[Discount selection]]&gt;0,VLOOKUP(_1_541284561214624104645789101745[[#This Row],[Discount selection]],'Discount Structure'!$A$2:$B$30,2,"false"),0)</f>
        <v>1</v>
      </c>
      <c r="L847" s="194">
        <f>_1_541284561214624104645789101745[[#This Row],[LIST $]]*_1_541284561214624104645789101745[[#This Row],[DISCOUNT]]*_1_541284561214624104645789101745[[#This Row],[DISCOUNT 2]]</f>
        <v>0</v>
      </c>
      <c r="M847" s="194">
        <f>IF(OR(_1_541284561214624104645789101745[[#This Row],[UNIT]]&gt;0,_1_541284561214624104645789101745[[#This Row],[UNIT]]&lt;0),_1_541284561214624104645789101745[[#This Row],[UNIT]]*_1_541284561214624104645789101745[[#This Row],[COST]],0)</f>
        <v>0</v>
      </c>
      <c r="N847" s="194">
        <f t="shared" si="13"/>
        <v>1.5</v>
      </c>
      <c r="O847" s="198">
        <f>_1_541284561214624104645789101745[[#This Row],[TOTAL]]*_1_541284561214624104645789101745[[#This Row],[MARGIN]]</f>
        <v>0</v>
      </c>
      <c r="R847" s="41"/>
    </row>
    <row r="848" spans="4:18">
      <c r="D848" s="188"/>
      <c r="F848" s="168" t="s">
        <v>6202</v>
      </c>
      <c r="G848" s="193">
        <f>IF(_1_541284561214624104645789101745[[#This Row],[Type]]&gt;0,VLOOKUP(_1_541284561214624104645789101745[[#This Row],[Type]],Main[[#All],[TYPE]:[UNIT]],'Unit Price'!C$1,FALSE),0)</f>
        <v>0</v>
      </c>
      <c r="H848" s="197">
        <f>IF(_1_541284561214624104645789101745[[#This Row],[Type]]&gt;0,VLOOKUP(_1_541284561214624104645789101745[[#This Row],[Type]],Main[[#All],[TYPE]:[UNIT]],'Unit Price'!D$1,FALSE),0)</f>
        <v>0</v>
      </c>
      <c r="I848" s="194">
        <f>IF(_1_541284561214624104645789101745[[#This Row],[Type]]&gt;0,VLOOKUP(_1_541284561214624104645789101745[[#This Row],[Type]],Main[[#All],[TYPE]:[UNIT]],'Unit Price'!G$1,FALSE),0)</f>
        <v>0</v>
      </c>
      <c r="J848" s="194">
        <f>IF(_1_541284561214624104645789101745[[#This Row],[Type]]&gt;0,VLOOKUP(_1_541284561214624104645789101745[[#This Row],[Type]],Main[[#All],[TYPE]:[UNIT]],'Unit Price'!H$1,FALSE),0)</f>
        <v>0</v>
      </c>
      <c r="K848" s="194">
        <f>IF(_1_541284561214624104645789101745[[#This Row],[Discount selection]]&gt;0,VLOOKUP(_1_541284561214624104645789101745[[#This Row],[Discount selection]],'Discount Structure'!$A$2:$B$30,2,"false"),0)</f>
        <v>1</v>
      </c>
      <c r="L848" s="194">
        <f>_1_541284561214624104645789101745[[#This Row],[LIST $]]*_1_541284561214624104645789101745[[#This Row],[DISCOUNT]]*_1_541284561214624104645789101745[[#This Row],[DISCOUNT 2]]</f>
        <v>0</v>
      </c>
      <c r="M848" s="194">
        <f>IF(OR(_1_541284561214624104645789101745[[#This Row],[UNIT]]&gt;0,_1_541284561214624104645789101745[[#This Row],[UNIT]]&lt;0),_1_541284561214624104645789101745[[#This Row],[UNIT]]*_1_541284561214624104645789101745[[#This Row],[COST]],0)</f>
        <v>0</v>
      </c>
      <c r="N848" s="194">
        <f t="shared" si="13"/>
        <v>1.5</v>
      </c>
      <c r="O848" s="198">
        <f>_1_541284561214624104645789101745[[#This Row],[TOTAL]]*_1_541284561214624104645789101745[[#This Row],[MARGIN]]</f>
        <v>0</v>
      </c>
      <c r="R848" s="41"/>
    </row>
    <row r="849" spans="4:18">
      <c r="D849" s="188"/>
      <c r="F849" s="168" t="s">
        <v>6202</v>
      </c>
      <c r="G849" s="193">
        <f>IF(_1_541284561214624104645789101745[[#This Row],[Type]]&gt;0,VLOOKUP(_1_541284561214624104645789101745[[#This Row],[Type]],Main[[#All],[TYPE]:[UNIT]],'Unit Price'!C$1,FALSE),0)</f>
        <v>0</v>
      </c>
      <c r="H849" s="197">
        <f>IF(_1_541284561214624104645789101745[[#This Row],[Type]]&gt;0,VLOOKUP(_1_541284561214624104645789101745[[#This Row],[Type]],Main[[#All],[TYPE]:[UNIT]],'Unit Price'!D$1,FALSE),0)</f>
        <v>0</v>
      </c>
      <c r="I849" s="194">
        <f>IF(_1_541284561214624104645789101745[[#This Row],[Type]]&gt;0,VLOOKUP(_1_541284561214624104645789101745[[#This Row],[Type]],Main[[#All],[TYPE]:[UNIT]],'Unit Price'!G$1,FALSE),0)</f>
        <v>0</v>
      </c>
      <c r="J849" s="194">
        <f>IF(_1_541284561214624104645789101745[[#This Row],[Type]]&gt;0,VLOOKUP(_1_541284561214624104645789101745[[#This Row],[Type]],Main[[#All],[TYPE]:[UNIT]],'Unit Price'!H$1,FALSE),0)</f>
        <v>0</v>
      </c>
      <c r="K849" s="194">
        <f>IF(_1_541284561214624104645789101745[[#This Row],[Discount selection]]&gt;0,VLOOKUP(_1_541284561214624104645789101745[[#This Row],[Discount selection]],'Discount Structure'!$A$2:$B$30,2,"false"),0)</f>
        <v>1</v>
      </c>
      <c r="L849" s="194">
        <f>_1_541284561214624104645789101745[[#This Row],[LIST $]]*_1_541284561214624104645789101745[[#This Row],[DISCOUNT]]*_1_541284561214624104645789101745[[#This Row],[DISCOUNT 2]]</f>
        <v>0</v>
      </c>
      <c r="M849" s="194">
        <f>IF(OR(_1_541284561214624104645789101745[[#This Row],[UNIT]]&gt;0,_1_541284561214624104645789101745[[#This Row],[UNIT]]&lt;0),_1_541284561214624104645789101745[[#This Row],[UNIT]]*_1_541284561214624104645789101745[[#This Row],[COST]],0)</f>
        <v>0</v>
      </c>
      <c r="N849" s="194">
        <f t="shared" si="13"/>
        <v>1.5</v>
      </c>
      <c r="O849" s="198">
        <f>_1_541284561214624104645789101745[[#This Row],[TOTAL]]*_1_541284561214624104645789101745[[#This Row],[MARGIN]]</f>
        <v>0</v>
      </c>
      <c r="R849" s="41"/>
    </row>
    <row r="850" spans="4:18">
      <c r="D850" s="188"/>
      <c r="F850" s="168" t="s">
        <v>6202</v>
      </c>
      <c r="G850" s="193">
        <f>IF(_1_541284561214624104645789101745[[#This Row],[Type]]&gt;0,VLOOKUP(_1_541284561214624104645789101745[[#This Row],[Type]],Main[[#All],[TYPE]:[UNIT]],'Unit Price'!C$1,FALSE),0)</f>
        <v>0</v>
      </c>
      <c r="H850" s="197">
        <f>IF(_1_541284561214624104645789101745[[#This Row],[Type]]&gt;0,VLOOKUP(_1_541284561214624104645789101745[[#This Row],[Type]],Main[[#All],[TYPE]:[UNIT]],'Unit Price'!D$1,FALSE),0)</f>
        <v>0</v>
      </c>
      <c r="I850" s="194">
        <f>IF(_1_541284561214624104645789101745[[#This Row],[Type]]&gt;0,VLOOKUP(_1_541284561214624104645789101745[[#This Row],[Type]],Main[[#All],[TYPE]:[UNIT]],'Unit Price'!G$1,FALSE),0)</f>
        <v>0</v>
      </c>
      <c r="J850" s="194">
        <f>IF(_1_541284561214624104645789101745[[#This Row],[Type]]&gt;0,VLOOKUP(_1_541284561214624104645789101745[[#This Row],[Type]],Main[[#All],[TYPE]:[UNIT]],'Unit Price'!H$1,FALSE),0)</f>
        <v>0</v>
      </c>
      <c r="K850" s="194">
        <f>IF(_1_541284561214624104645789101745[[#This Row],[Discount selection]]&gt;0,VLOOKUP(_1_541284561214624104645789101745[[#This Row],[Discount selection]],'Discount Structure'!$A$2:$B$30,2,"false"),0)</f>
        <v>1</v>
      </c>
      <c r="L850" s="194">
        <f>_1_541284561214624104645789101745[[#This Row],[LIST $]]*_1_541284561214624104645789101745[[#This Row],[DISCOUNT]]*_1_541284561214624104645789101745[[#This Row],[DISCOUNT 2]]</f>
        <v>0</v>
      </c>
      <c r="M850" s="194">
        <f>IF(OR(_1_541284561214624104645789101745[[#This Row],[UNIT]]&gt;0,_1_541284561214624104645789101745[[#This Row],[UNIT]]&lt;0),_1_541284561214624104645789101745[[#This Row],[UNIT]]*_1_541284561214624104645789101745[[#This Row],[COST]],0)</f>
        <v>0</v>
      </c>
      <c r="N850" s="194">
        <f t="shared" si="13"/>
        <v>1.5</v>
      </c>
      <c r="O850" s="198">
        <f>_1_541284561214624104645789101745[[#This Row],[TOTAL]]*_1_541284561214624104645789101745[[#This Row],[MARGIN]]</f>
        <v>0</v>
      </c>
      <c r="R850" s="41"/>
    </row>
    <row r="851" spans="4:18">
      <c r="D851" s="188"/>
      <c r="F851" s="168" t="s">
        <v>6202</v>
      </c>
      <c r="G851" s="193">
        <f>IF(_1_541284561214624104645789101745[[#This Row],[Type]]&gt;0,VLOOKUP(_1_541284561214624104645789101745[[#This Row],[Type]],Main[[#All],[TYPE]:[UNIT]],'Unit Price'!C$1,FALSE),0)</f>
        <v>0</v>
      </c>
      <c r="H851" s="197">
        <f>IF(_1_541284561214624104645789101745[[#This Row],[Type]]&gt;0,VLOOKUP(_1_541284561214624104645789101745[[#This Row],[Type]],Main[[#All],[TYPE]:[UNIT]],'Unit Price'!D$1,FALSE),0)</f>
        <v>0</v>
      </c>
      <c r="I851" s="194">
        <f>IF(_1_541284561214624104645789101745[[#This Row],[Type]]&gt;0,VLOOKUP(_1_541284561214624104645789101745[[#This Row],[Type]],Main[[#All],[TYPE]:[UNIT]],'Unit Price'!G$1,FALSE),0)</f>
        <v>0</v>
      </c>
      <c r="J851" s="194">
        <f>IF(_1_541284561214624104645789101745[[#This Row],[Type]]&gt;0,VLOOKUP(_1_541284561214624104645789101745[[#This Row],[Type]],Main[[#All],[TYPE]:[UNIT]],'Unit Price'!H$1,FALSE),0)</f>
        <v>0</v>
      </c>
      <c r="K851" s="194">
        <f>IF(_1_541284561214624104645789101745[[#This Row],[Discount selection]]&gt;0,VLOOKUP(_1_541284561214624104645789101745[[#This Row],[Discount selection]],'Discount Structure'!$A$2:$B$30,2,"false"),0)</f>
        <v>1</v>
      </c>
      <c r="L851" s="194">
        <f>_1_541284561214624104645789101745[[#This Row],[LIST $]]*_1_541284561214624104645789101745[[#This Row],[DISCOUNT]]*_1_541284561214624104645789101745[[#This Row],[DISCOUNT 2]]</f>
        <v>0</v>
      </c>
      <c r="M851" s="194">
        <f>IF(OR(_1_541284561214624104645789101745[[#This Row],[UNIT]]&gt;0,_1_541284561214624104645789101745[[#This Row],[UNIT]]&lt;0),_1_541284561214624104645789101745[[#This Row],[UNIT]]*_1_541284561214624104645789101745[[#This Row],[COST]],0)</f>
        <v>0</v>
      </c>
      <c r="N851" s="194">
        <f t="shared" si="13"/>
        <v>1.5</v>
      </c>
      <c r="O851" s="198">
        <f>_1_541284561214624104645789101745[[#This Row],[TOTAL]]*_1_541284561214624104645789101745[[#This Row],[MARGIN]]</f>
        <v>0</v>
      </c>
      <c r="R851" s="41"/>
    </row>
    <row r="852" spans="4:18">
      <c r="D852" s="188"/>
      <c r="F852" s="168" t="s">
        <v>6202</v>
      </c>
      <c r="G852" s="193">
        <f>IF(_1_541284561214624104645789101745[[#This Row],[Type]]&gt;0,VLOOKUP(_1_541284561214624104645789101745[[#This Row],[Type]],Main[[#All],[TYPE]:[UNIT]],'Unit Price'!C$1,FALSE),0)</f>
        <v>0</v>
      </c>
      <c r="H852" s="197">
        <f>IF(_1_541284561214624104645789101745[[#This Row],[Type]]&gt;0,VLOOKUP(_1_541284561214624104645789101745[[#This Row],[Type]],Main[[#All],[TYPE]:[UNIT]],'Unit Price'!D$1,FALSE),0)</f>
        <v>0</v>
      </c>
      <c r="I852" s="194">
        <f>IF(_1_541284561214624104645789101745[[#This Row],[Type]]&gt;0,VLOOKUP(_1_541284561214624104645789101745[[#This Row],[Type]],Main[[#All],[TYPE]:[UNIT]],'Unit Price'!G$1,FALSE),0)</f>
        <v>0</v>
      </c>
      <c r="J852" s="194">
        <f>IF(_1_541284561214624104645789101745[[#This Row],[Type]]&gt;0,VLOOKUP(_1_541284561214624104645789101745[[#This Row],[Type]],Main[[#All],[TYPE]:[UNIT]],'Unit Price'!H$1,FALSE),0)</f>
        <v>0</v>
      </c>
      <c r="K852" s="194">
        <f>IF(_1_541284561214624104645789101745[[#This Row],[Discount selection]]&gt;0,VLOOKUP(_1_541284561214624104645789101745[[#This Row],[Discount selection]],'Discount Structure'!$A$2:$B$30,2,"false"),0)</f>
        <v>1</v>
      </c>
      <c r="L852" s="194">
        <f>_1_541284561214624104645789101745[[#This Row],[LIST $]]*_1_541284561214624104645789101745[[#This Row],[DISCOUNT]]*_1_541284561214624104645789101745[[#This Row],[DISCOUNT 2]]</f>
        <v>0</v>
      </c>
      <c r="M852" s="194">
        <f>IF(OR(_1_541284561214624104645789101745[[#This Row],[UNIT]]&gt;0,_1_541284561214624104645789101745[[#This Row],[UNIT]]&lt;0),_1_541284561214624104645789101745[[#This Row],[UNIT]]*_1_541284561214624104645789101745[[#This Row],[COST]],0)</f>
        <v>0</v>
      </c>
      <c r="N852" s="194">
        <f t="shared" si="13"/>
        <v>1.5</v>
      </c>
      <c r="O852" s="198">
        <f>_1_541284561214624104645789101745[[#This Row],[TOTAL]]*_1_541284561214624104645789101745[[#This Row],[MARGIN]]</f>
        <v>0</v>
      </c>
      <c r="R852" s="41"/>
    </row>
    <row r="853" spans="4:18">
      <c r="D853" s="188"/>
      <c r="F853" s="168" t="s">
        <v>6202</v>
      </c>
      <c r="G853" s="193">
        <f>IF(_1_541284561214624104645789101745[[#This Row],[Type]]&gt;0,VLOOKUP(_1_541284561214624104645789101745[[#This Row],[Type]],Main[[#All],[TYPE]:[UNIT]],'Unit Price'!C$1,FALSE),0)</f>
        <v>0</v>
      </c>
      <c r="H853" s="197">
        <f>IF(_1_541284561214624104645789101745[[#This Row],[Type]]&gt;0,VLOOKUP(_1_541284561214624104645789101745[[#This Row],[Type]],Main[[#All],[TYPE]:[UNIT]],'Unit Price'!D$1,FALSE),0)</f>
        <v>0</v>
      </c>
      <c r="I853" s="194">
        <f>IF(_1_541284561214624104645789101745[[#This Row],[Type]]&gt;0,VLOOKUP(_1_541284561214624104645789101745[[#This Row],[Type]],Main[[#All],[TYPE]:[UNIT]],'Unit Price'!G$1,FALSE),0)</f>
        <v>0</v>
      </c>
      <c r="J853" s="194">
        <f>IF(_1_541284561214624104645789101745[[#This Row],[Type]]&gt;0,VLOOKUP(_1_541284561214624104645789101745[[#This Row],[Type]],Main[[#All],[TYPE]:[UNIT]],'Unit Price'!H$1,FALSE),0)</f>
        <v>0</v>
      </c>
      <c r="K853" s="194">
        <f>IF(_1_541284561214624104645789101745[[#This Row],[Discount selection]]&gt;0,VLOOKUP(_1_541284561214624104645789101745[[#This Row],[Discount selection]],'Discount Structure'!$A$2:$B$30,2,"false"),0)</f>
        <v>1</v>
      </c>
      <c r="L853" s="194">
        <f>_1_541284561214624104645789101745[[#This Row],[LIST $]]*_1_541284561214624104645789101745[[#This Row],[DISCOUNT]]*_1_541284561214624104645789101745[[#This Row],[DISCOUNT 2]]</f>
        <v>0</v>
      </c>
      <c r="M853" s="194">
        <f>IF(OR(_1_541284561214624104645789101745[[#This Row],[UNIT]]&gt;0,_1_541284561214624104645789101745[[#This Row],[UNIT]]&lt;0),_1_541284561214624104645789101745[[#This Row],[UNIT]]*_1_541284561214624104645789101745[[#This Row],[COST]],0)</f>
        <v>0</v>
      </c>
      <c r="N853" s="194">
        <f t="shared" si="13"/>
        <v>1.5</v>
      </c>
      <c r="O853" s="198">
        <f>_1_541284561214624104645789101745[[#This Row],[TOTAL]]*_1_541284561214624104645789101745[[#This Row],[MARGIN]]</f>
        <v>0</v>
      </c>
      <c r="R853" s="41"/>
    </row>
    <row r="854" spans="4:18">
      <c r="D854" s="188"/>
      <c r="F854" s="168" t="s">
        <v>6202</v>
      </c>
      <c r="G854" s="193">
        <f>IF(_1_541284561214624104645789101745[[#This Row],[Type]]&gt;0,VLOOKUP(_1_541284561214624104645789101745[[#This Row],[Type]],Main[[#All],[TYPE]:[UNIT]],'Unit Price'!C$1,FALSE),0)</f>
        <v>0</v>
      </c>
      <c r="H854" s="197">
        <f>IF(_1_541284561214624104645789101745[[#This Row],[Type]]&gt;0,VLOOKUP(_1_541284561214624104645789101745[[#This Row],[Type]],Main[[#All],[TYPE]:[UNIT]],'Unit Price'!D$1,FALSE),0)</f>
        <v>0</v>
      </c>
      <c r="I854" s="194">
        <f>IF(_1_541284561214624104645789101745[[#This Row],[Type]]&gt;0,VLOOKUP(_1_541284561214624104645789101745[[#This Row],[Type]],Main[[#All],[TYPE]:[UNIT]],'Unit Price'!G$1,FALSE),0)</f>
        <v>0</v>
      </c>
      <c r="J854" s="194">
        <f>IF(_1_541284561214624104645789101745[[#This Row],[Type]]&gt;0,VLOOKUP(_1_541284561214624104645789101745[[#This Row],[Type]],Main[[#All],[TYPE]:[UNIT]],'Unit Price'!H$1,FALSE),0)</f>
        <v>0</v>
      </c>
      <c r="K854" s="194">
        <f>IF(_1_541284561214624104645789101745[[#This Row],[Discount selection]]&gt;0,VLOOKUP(_1_541284561214624104645789101745[[#This Row],[Discount selection]],'Discount Structure'!$A$2:$B$30,2,"false"),0)</f>
        <v>1</v>
      </c>
      <c r="L854" s="194">
        <f>_1_541284561214624104645789101745[[#This Row],[LIST $]]*_1_541284561214624104645789101745[[#This Row],[DISCOUNT]]*_1_541284561214624104645789101745[[#This Row],[DISCOUNT 2]]</f>
        <v>0</v>
      </c>
      <c r="M854" s="194">
        <f>IF(OR(_1_541284561214624104645789101745[[#This Row],[UNIT]]&gt;0,_1_541284561214624104645789101745[[#This Row],[UNIT]]&lt;0),_1_541284561214624104645789101745[[#This Row],[UNIT]]*_1_541284561214624104645789101745[[#This Row],[COST]],0)</f>
        <v>0</v>
      </c>
      <c r="N854" s="194">
        <f t="shared" si="13"/>
        <v>1.5</v>
      </c>
      <c r="O854" s="198">
        <f>_1_541284561214624104645789101745[[#This Row],[TOTAL]]*_1_541284561214624104645789101745[[#This Row],[MARGIN]]</f>
        <v>0</v>
      </c>
      <c r="R854" s="41"/>
    </row>
    <row r="855" spans="4:18">
      <c r="D855" s="188"/>
      <c r="F855" s="168" t="s">
        <v>6202</v>
      </c>
      <c r="G855" s="193">
        <f>IF(_1_541284561214624104645789101745[[#This Row],[Type]]&gt;0,VLOOKUP(_1_541284561214624104645789101745[[#This Row],[Type]],Main[[#All],[TYPE]:[UNIT]],'Unit Price'!C$1,FALSE),0)</f>
        <v>0</v>
      </c>
      <c r="H855" s="197">
        <f>IF(_1_541284561214624104645789101745[[#This Row],[Type]]&gt;0,VLOOKUP(_1_541284561214624104645789101745[[#This Row],[Type]],Main[[#All],[TYPE]:[UNIT]],'Unit Price'!D$1,FALSE),0)</f>
        <v>0</v>
      </c>
      <c r="I855" s="194">
        <f>IF(_1_541284561214624104645789101745[[#This Row],[Type]]&gt;0,VLOOKUP(_1_541284561214624104645789101745[[#This Row],[Type]],Main[[#All],[TYPE]:[UNIT]],'Unit Price'!G$1,FALSE),0)</f>
        <v>0</v>
      </c>
      <c r="J855" s="194">
        <f>IF(_1_541284561214624104645789101745[[#This Row],[Type]]&gt;0,VLOOKUP(_1_541284561214624104645789101745[[#This Row],[Type]],Main[[#All],[TYPE]:[UNIT]],'Unit Price'!H$1,FALSE),0)</f>
        <v>0</v>
      </c>
      <c r="K855" s="194">
        <f>IF(_1_541284561214624104645789101745[[#This Row],[Discount selection]]&gt;0,VLOOKUP(_1_541284561214624104645789101745[[#This Row],[Discount selection]],'Discount Structure'!$A$2:$B$30,2,"false"),0)</f>
        <v>1</v>
      </c>
      <c r="L855" s="194">
        <f>_1_541284561214624104645789101745[[#This Row],[LIST $]]*_1_541284561214624104645789101745[[#This Row],[DISCOUNT]]*_1_541284561214624104645789101745[[#This Row],[DISCOUNT 2]]</f>
        <v>0</v>
      </c>
      <c r="M855" s="194">
        <f>IF(OR(_1_541284561214624104645789101745[[#This Row],[UNIT]]&gt;0,_1_541284561214624104645789101745[[#This Row],[UNIT]]&lt;0),_1_541284561214624104645789101745[[#This Row],[UNIT]]*_1_541284561214624104645789101745[[#This Row],[COST]],0)</f>
        <v>0</v>
      </c>
      <c r="N855" s="194">
        <f t="shared" si="13"/>
        <v>1.5</v>
      </c>
      <c r="O855" s="198">
        <f>_1_541284561214624104645789101745[[#This Row],[TOTAL]]*_1_541284561214624104645789101745[[#This Row],[MARGIN]]</f>
        <v>0</v>
      </c>
      <c r="R855" s="41"/>
    </row>
    <row r="856" spans="4:18">
      <c r="D856" s="188"/>
      <c r="F856" s="168" t="s">
        <v>6202</v>
      </c>
      <c r="G856" s="193">
        <f>IF(_1_541284561214624104645789101745[[#This Row],[Type]]&gt;0,VLOOKUP(_1_541284561214624104645789101745[[#This Row],[Type]],Main[[#All],[TYPE]:[UNIT]],'Unit Price'!C$1,FALSE),0)</f>
        <v>0</v>
      </c>
      <c r="H856" s="197">
        <f>IF(_1_541284561214624104645789101745[[#This Row],[Type]]&gt;0,VLOOKUP(_1_541284561214624104645789101745[[#This Row],[Type]],Main[[#All],[TYPE]:[UNIT]],'Unit Price'!D$1,FALSE),0)</f>
        <v>0</v>
      </c>
      <c r="I856" s="194">
        <f>IF(_1_541284561214624104645789101745[[#This Row],[Type]]&gt;0,VLOOKUP(_1_541284561214624104645789101745[[#This Row],[Type]],Main[[#All],[TYPE]:[UNIT]],'Unit Price'!G$1,FALSE),0)</f>
        <v>0</v>
      </c>
      <c r="J856" s="194">
        <f>IF(_1_541284561214624104645789101745[[#This Row],[Type]]&gt;0,VLOOKUP(_1_541284561214624104645789101745[[#This Row],[Type]],Main[[#All],[TYPE]:[UNIT]],'Unit Price'!H$1,FALSE),0)</f>
        <v>0</v>
      </c>
      <c r="K856" s="194">
        <f>IF(_1_541284561214624104645789101745[[#This Row],[Discount selection]]&gt;0,VLOOKUP(_1_541284561214624104645789101745[[#This Row],[Discount selection]],'Discount Structure'!$A$2:$B$30,2,"false"),0)</f>
        <v>1</v>
      </c>
      <c r="L856" s="194">
        <f>_1_541284561214624104645789101745[[#This Row],[LIST $]]*_1_541284561214624104645789101745[[#This Row],[DISCOUNT]]*_1_541284561214624104645789101745[[#This Row],[DISCOUNT 2]]</f>
        <v>0</v>
      </c>
      <c r="M856" s="194">
        <f>IF(OR(_1_541284561214624104645789101745[[#This Row],[UNIT]]&gt;0,_1_541284561214624104645789101745[[#This Row],[UNIT]]&lt;0),_1_541284561214624104645789101745[[#This Row],[UNIT]]*_1_541284561214624104645789101745[[#This Row],[COST]],0)</f>
        <v>0</v>
      </c>
      <c r="N856" s="194">
        <f t="shared" si="13"/>
        <v>1.5</v>
      </c>
      <c r="O856" s="198">
        <f>_1_541284561214624104645789101745[[#This Row],[TOTAL]]*_1_541284561214624104645789101745[[#This Row],[MARGIN]]</f>
        <v>0</v>
      </c>
      <c r="R856" s="41"/>
    </row>
    <row r="857" spans="4:18">
      <c r="D857" s="188"/>
      <c r="F857" s="168" t="s">
        <v>6202</v>
      </c>
      <c r="G857" s="193">
        <f>IF(_1_541284561214624104645789101745[[#This Row],[Type]]&gt;0,VLOOKUP(_1_541284561214624104645789101745[[#This Row],[Type]],Main[[#All],[TYPE]:[UNIT]],'Unit Price'!C$1,FALSE),0)</f>
        <v>0</v>
      </c>
      <c r="H857" s="197">
        <f>IF(_1_541284561214624104645789101745[[#This Row],[Type]]&gt;0,VLOOKUP(_1_541284561214624104645789101745[[#This Row],[Type]],Main[[#All],[TYPE]:[UNIT]],'Unit Price'!D$1,FALSE),0)</f>
        <v>0</v>
      </c>
      <c r="I857" s="194">
        <f>IF(_1_541284561214624104645789101745[[#This Row],[Type]]&gt;0,VLOOKUP(_1_541284561214624104645789101745[[#This Row],[Type]],Main[[#All],[TYPE]:[UNIT]],'Unit Price'!G$1,FALSE),0)</f>
        <v>0</v>
      </c>
      <c r="J857" s="194">
        <f>IF(_1_541284561214624104645789101745[[#This Row],[Type]]&gt;0,VLOOKUP(_1_541284561214624104645789101745[[#This Row],[Type]],Main[[#All],[TYPE]:[UNIT]],'Unit Price'!H$1,FALSE),0)</f>
        <v>0</v>
      </c>
      <c r="K857" s="194">
        <f>IF(_1_541284561214624104645789101745[[#This Row],[Discount selection]]&gt;0,VLOOKUP(_1_541284561214624104645789101745[[#This Row],[Discount selection]],'Discount Structure'!$A$2:$B$30,2,"false"),0)</f>
        <v>1</v>
      </c>
      <c r="L857" s="194">
        <f>_1_541284561214624104645789101745[[#This Row],[LIST $]]*_1_541284561214624104645789101745[[#This Row],[DISCOUNT]]*_1_541284561214624104645789101745[[#This Row],[DISCOUNT 2]]</f>
        <v>0</v>
      </c>
      <c r="M857" s="194">
        <f>IF(OR(_1_541284561214624104645789101745[[#This Row],[UNIT]]&gt;0,_1_541284561214624104645789101745[[#This Row],[UNIT]]&lt;0),_1_541284561214624104645789101745[[#This Row],[UNIT]]*_1_541284561214624104645789101745[[#This Row],[COST]],0)</f>
        <v>0</v>
      </c>
      <c r="N857" s="194">
        <f t="shared" si="13"/>
        <v>1.5</v>
      </c>
      <c r="O857" s="198">
        <f>_1_541284561214624104645789101745[[#This Row],[TOTAL]]*_1_541284561214624104645789101745[[#This Row],[MARGIN]]</f>
        <v>0</v>
      </c>
      <c r="R857" s="41"/>
    </row>
    <row r="858" spans="4:18">
      <c r="D858" s="188"/>
      <c r="F858" s="168" t="s">
        <v>6202</v>
      </c>
      <c r="G858" s="193">
        <f>IF(_1_541284561214624104645789101745[[#This Row],[Type]]&gt;0,VLOOKUP(_1_541284561214624104645789101745[[#This Row],[Type]],Main[[#All],[TYPE]:[UNIT]],'Unit Price'!C$1,FALSE),0)</f>
        <v>0</v>
      </c>
      <c r="H858" s="197">
        <f>IF(_1_541284561214624104645789101745[[#This Row],[Type]]&gt;0,VLOOKUP(_1_541284561214624104645789101745[[#This Row],[Type]],Main[[#All],[TYPE]:[UNIT]],'Unit Price'!D$1,FALSE),0)</f>
        <v>0</v>
      </c>
      <c r="I858" s="194">
        <f>IF(_1_541284561214624104645789101745[[#This Row],[Type]]&gt;0,VLOOKUP(_1_541284561214624104645789101745[[#This Row],[Type]],Main[[#All],[TYPE]:[UNIT]],'Unit Price'!G$1,FALSE),0)</f>
        <v>0</v>
      </c>
      <c r="J858" s="194">
        <f>IF(_1_541284561214624104645789101745[[#This Row],[Type]]&gt;0,VLOOKUP(_1_541284561214624104645789101745[[#This Row],[Type]],Main[[#All],[TYPE]:[UNIT]],'Unit Price'!H$1,FALSE),0)</f>
        <v>0</v>
      </c>
      <c r="K858" s="194">
        <f>IF(_1_541284561214624104645789101745[[#This Row],[Discount selection]]&gt;0,VLOOKUP(_1_541284561214624104645789101745[[#This Row],[Discount selection]],'Discount Structure'!$A$2:$B$30,2,"false"),0)</f>
        <v>1</v>
      </c>
      <c r="L858" s="194">
        <f>_1_541284561214624104645789101745[[#This Row],[LIST $]]*_1_541284561214624104645789101745[[#This Row],[DISCOUNT]]*_1_541284561214624104645789101745[[#This Row],[DISCOUNT 2]]</f>
        <v>0</v>
      </c>
      <c r="M858" s="194">
        <f>IF(OR(_1_541284561214624104645789101745[[#This Row],[UNIT]]&gt;0,_1_541284561214624104645789101745[[#This Row],[UNIT]]&lt;0),_1_541284561214624104645789101745[[#This Row],[UNIT]]*_1_541284561214624104645789101745[[#This Row],[COST]],0)</f>
        <v>0</v>
      </c>
      <c r="N858" s="194">
        <f t="shared" si="13"/>
        <v>1.5</v>
      </c>
      <c r="O858" s="198">
        <f>_1_541284561214624104645789101745[[#This Row],[TOTAL]]*_1_541284561214624104645789101745[[#This Row],[MARGIN]]</f>
        <v>0</v>
      </c>
      <c r="R858" s="41"/>
    </row>
    <row r="859" spans="4:18">
      <c r="D859" s="188"/>
      <c r="F859" s="168" t="s">
        <v>6202</v>
      </c>
      <c r="G859" s="193">
        <f>IF(_1_541284561214624104645789101745[[#This Row],[Type]]&gt;0,VLOOKUP(_1_541284561214624104645789101745[[#This Row],[Type]],Main[[#All],[TYPE]:[UNIT]],'Unit Price'!C$1,FALSE),0)</f>
        <v>0</v>
      </c>
      <c r="H859" s="197">
        <f>IF(_1_541284561214624104645789101745[[#This Row],[Type]]&gt;0,VLOOKUP(_1_541284561214624104645789101745[[#This Row],[Type]],Main[[#All],[TYPE]:[UNIT]],'Unit Price'!D$1,FALSE),0)</f>
        <v>0</v>
      </c>
      <c r="I859" s="194">
        <f>IF(_1_541284561214624104645789101745[[#This Row],[Type]]&gt;0,VLOOKUP(_1_541284561214624104645789101745[[#This Row],[Type]],Main[[#All],[TYPE]:[UNIT]],'Unit Price'!G$1,FALSE),0)</f>
        <v>0</v>
      </c>
      <c r="J859" s="194">
        <f>IF(_1_541284561214624104645789101745[[#This Row],[Type]]&gt;0,VLOOKUP(_1_541284561214624104645789101745[[#This Row],[Type]],Main[[#All],[TYPE]:[UNIT]],'Unit Price'!H$1,FALSE),0)</f>
        <v>0</v>
      </c>
      <c r="K859" s="194">
        <f>IF(_1_541284561214624104645789101745[[#This Row],[Discount selection]]&gt;0,VLOOKUP(_1_541284561214624104645789101745[[#This Row],[Discount selection]],'Discount Structure'!$A$2:$B$30,2,"false"),0)</f>
        <v>1</v>
      </c>
      <c r="L859" s="194">
        <f>_1_541284561214624104645789101745[[#This Row],[LIST $]]*_1_541284561214624104645789101745[[#This Row],[DISCOUNT]]*_1_541284561214624104645789101745[[#This Row],[DISCOUNT 2]]</f>
        <v>0</v>
      </c>
      <c r="M859" s="194">
        <f>IF(OR(_1_541284561214624104645789101745[[#This Row],[UNIT]]&gt;0,_1_541284561214624104645789101745[[#This Row],[UNIT]]&lt;0),_1_541284561214624104645789101745[[#This Row],[UNIT]]*_1_541284561214624104645789101745[[#This Row],[COST]],0)</f>
        <v>0</v>
      </c>
      <c r="N859" s="194">
        <f t="shared" si="13"/>
        <v>1.5</v>
      </c>
      <c r="O859" s="198">
        <f>_1_541284561214624104645789101745[[#This Row],[TOTAL]]*_1_541284561214624104645789101745[[#This Row],[MARGIN]]</f>
        <v>0</v>
      </c>
      <c r="R859" s="41"/>
    </row>
    <row r="860" spans="4:18">
      <c r="D860" s="188"/>
      <c r="F860" s="168" t="s">
        <v>6202</v>
      </c>
      <c r="G860" s="193">
        <f>IF(_1_541284561214624104645789101745[[#This Row],[Type]]&gt;0,VLOOKUP(_1_541284561214624104645789101745[[#This Row],[Type]],Main[[#All],[TYPE]:[UNIT]],'Unit Price'!C$1,FALSE),0)</f>
        <v>0</v>
      </c>
      <c r="H860" s="197">
        <f>IF(_1_541284561214624104645789101745[[#This Row],[Type]]&gt;0,VLOOKUP(_1_541284561214624104645789101745[[#This Row],[Type]],Main[[#All],[TYPE]:[UNIT]],'Unit Price'!D$1,FALSE),0)</f>
        <v>0</v>
      </c>
      <c r="I860" s="194">
        <f>IF(_1_541284561214624104645789101745[[#This Row],[Type]]&gt;0,VLOOKUP(_1_541284561214624104645789101745[[#This Row],[Type]],Main[[#All],[TYPE]:[UNIT]],'Unit Price'!G$1,FALSE),0)</f>
        <v>0</v>
      </c>
      <c r="J860" s="194">
        <f>IF(_1_541284561214624104645789101745[[#This Row],[Type]]&gt;0,VLOOKUP(_1_541284561214624104645789101745[[#This Row],[Type]],Main[[#All],[TYPE]:[UNIT]],'Unit Price'!H$1,FALSE),0)</f>
        <v>0</v>
      </c>
      <c r="K860" s="194">
        <f>IF(_1_541284561214624104645789101745[[#This Row],[Discount selection]]&gt;0,VLOOKUP(_1_541284561214624104645789101745[[#This Row],[Discount selection]],'Discount Structure'!$A$2:$B$30,2,"false"),0)</f>
        <v>1</v>
      </c>
      <c r="L860" s="194">
        <f>_1_541284561214624104645789101745[[#This Row],[LIST $]]*_1_541284561214624104645789101745[[#This Row],[DISCOUNT]]*_1_541284561214624104645789101745[[#This Row],[DISCOUNT 2]]</f>
        <v>0</v>
      </c>
      <c r="M860" s="194">
        <f>IF(OR(_1_541284561214624104645789101745[[#This Row],[UNIT]]&gt;0,_1_541284561214624104645789101745[[#This Row],[UNIT]]&lt;0),_1_541284561214624104645789101745[[#This Row],[UNIT]]*_1_541284561214624104645789101745[[#This Row],[COST]],0)</f>
        <v>0</v>
      </c>
      <c r="N860" s="194">
        <f t="shared" si="13"/>
        <v>1.5</v>
      </c>
      <c r="O860" s="198">
        <f>_1_541284561214624104645789101745[[#This Row],[TOTAL]]*_1_541284561214624104645789101745[[#This Row],[MARGIN]]</f>
        <v>0</v>
      </c>
      <c r="R860" s="41"/>
    </row>
    <row r="861" spans="4:18">
      <c r="D861" s="188"/>
      <c r="F861" s="168" t="s">
        <v>6202</v>
      </c>
      <c r="G861" s="193">
        <f>IF(_1_541284561214624104645789101745[[#This Row],[Type]]&gt;0,VLOOKUP(_1_541284561214624104645789101745[[#This Row],[Type]],Main[[#All],[TYPE]:[UNIT]],'Unit Price'!C$1,FALSE),0)</f>
        <v>0</v>
      </c>
      <c r="H861" s="197">
        <f>IF(_1_541284561214624104645789101745[[#This Row],[Type]]&gt;0,VLOOKUP(_1_541284561214624104645789101745[[#This Row],[Type]],Main[[#All],[TYPE]:[UNIT]],'Unit Price'!D$1,FALSE),0)</f>
        <v>0</v>
      </c>
      <c r="I861" s="194">
        <f>IF(_1_541284561214624104645789101745[[#This Row],[Type]]&gt;0,VLOOKUP(_1_541284561214624104645789101745[[#This Row],[Type]],Main[[#All],[TYPE]:[UNIT]],'Unit Price'!G$1,FALSE),0)</f>
        <v>0</v>
      </c>
      <c r="J861" s="194">
        <f>IF(_1_541284561214624104645789101745[[#This Row],[Type]]&gt;0,VLOOKUP(_1_541284561214624104645789101745[[#This Row],[Type]],Main[[#All],[TYPE]:[UNIT]],'Unit Price'!H$1,FALSE),0)</f>
        <v>0</v>
      </c>
      <c r="K861" s="194">
        <f>IF(_1_541284561214624104645789101745[[#This Row],[Discount selection]]&gt;0,VLOOKUP(_1_541284561214624104645789101745[[#This Row],[Discount selection]],'Discount Structure'!$A$2:$B$30,2,"false"),0)</f>
        <v>1</v>
      </c>
      <c r="L861" s="194">
        <f>_1_541284561214624104645789101745[[#This Row],[LIST $]]*_1_541284561214624104645789101745[[#This Row],[DISCOUNT]]*_1_541284561214624104645789101745[[#This Row],[DISCOUNT 2]]</f>
        <v>0</v>
      </c>
      <c r="M861" s="194">
        <f>IF(OR(_1_541284561214624104645789101745[[#This Row],[UNIT]]&gt;0,_1_541284561214624104645789101745[[#This Row],[UNIT]]&lt;0),_1_541284561214624104645789101745[[#This Row],[UNIT]]*_1_541284561214624104645789101745[[#This Row],[COST]],0)</f>
        <v>0</v>
      </c>
      <c r="N861" s="194">
        <f t="shared" si="13"/>
        <v>1.5</v>
      </c>
      <c r="O861" s="198">
        <f>_1_541284561214624104645789101745[[#This Row],[TOTAL]]*_1_541284561214624104645789101745[[#This Row],[MARGIN]]</f>
        <v>0</v>
      </c>
      <c r="R861" s="41"/>
    </row>
    <row r="862" spans="4:18">
      <c r="D862" s="188"/>
      <c r="F862" s="168" t="s">
        <v>6202</v>
      </c>
      <c r="G862" s="193">
        <f>IF(_1_541284561214624104645789101745[[#This Row],[Type]]&gt;0,VLOOKUP(_1_541284561214624104645789101745[[#This Row],[Type]],Main[[#All],[TYPE]:[UNIT]],'Unit Price'!C$1,FALSE),0)</f>
        <v>0</v>
      </c>
      <c r="H862" s="197">
        <f>IF(_1_541284561214624104645789101745[[#This Row],[Type]]&gt;0,VLOOKUP(_1_541284561214624104645789101745[[#This Row],[Type]],Main[[#All],[TYPE]:[UNIT]],'Unit Price'!D$1,FALSE),0)</f>
        <v>0</v>
      </c>
      <c r="I862" s="194">
        <f>IF(_1_541284561214624104645789101745[[#This Row],[Type]]&gt;0,VLOOKUP(_1_541284561214624104645789101745[[#This Row],[Type]],Main[[#All],[TYPE]:[UNIT]],'Unit Price'!G$1,FALSE),0)</f>
        <v>0</v>
      </c>
      <c r="J862" s="194">
        <f>IF(_1_541284561214624104645789101745[[#This Row],[Type]]&gt;0,VLOOKUP(_1_541284561214624104645789101745[[#This Row],[Type]],Main[[#All],[TYPE]:[UNIT]],'Unit Price'!H$1,FALSE),0)</f>
        <v>0</v>
      </c>
      <c r="K862" s="194">
        <f>IF(_1_541284561214624104645789101745[[#This Row],[Discount selection]]&gt;0,VLOOKUP(_1_541284561214624104645789101745[[#This Row],[Discount selection]],'Discount Structure'!$A$2:$B$30,2,"false"),0)</f>
        <v>1</v>
      </c>
      <c r="L862" s="194">
        <f>_1_541284561214624104645789101745[[#This Row],[LIST $]]*_1_541284561214624104645789101745[[#This Row],[DISCOUNT]]*_1_541284561214624104645789101745[[#This Row],[DISCOUNT 2]]</f>
        <v>0</v>
      </c>
      <c r="M862" s="194">
        <f>IF(OR(_1_541284561214624104645789101745[[#This Row],[UNIT]]&gt;0,_1_541284561214624104645789101745[[#This Row],[UNIT]]&lt;0),_1_541284561214624104645789101745[[#This Row],[UNIT]]*_1_541284561214624104645789101745[[#This Row],[COST]],0)</f>
        <v>0</v>
      </c>
      <c r="N862" s="194">
        <f t="shared" si="13"/>
        <v>1.5</v>
      </c>
      <c r="O862" s="198">
        <f>_1_541284561214624104645789101745[[#This Row],[TOTAL]]*_1_541284561214624104645789101745[[#This Row],[MARGIN]]</f>
        <v>0</v>
      </c>
      <c r="R862" s="41"/>
    </row>
    <row r="863" spans="4:18">
      <c r="D863" s="188"/>
      <c r="F863" s="168" t="s">
        <v>6202</v>
      </c>
      <c r="G863" s="193">
        <f>IF(_1_541284561214624104645789101745[[#This Row],[Type]]&gt;0,VLOOKUP(_1_541284561214624104645789101745[[#This Row],[Type]],Main[[#All],[TYPE]:[UNIT]],'Unit Price'!C$1,FALSE),0)</f>
        <v>0</v>
      </c>
      <c r="H863" s="197">
        <f>IF(_1_541284561214624104645789101745[[#This Row],[Type]]&gt;0,VLOOKUP(_1_541284561214624104645789101745[[#This Row],[Type]],Main[[#All],[TYPE]:[UNIT]],'Unit Price'!D$1,FALSE),0)</f>
        <v>0</v>
      </c>
      <c r="I863" s="194">
        <f>IF(_1_541284561214624104645789101745[[#This Row],[Type]]&gt;0,VLOOKUP(_1_541284561214624104645789101745[[#This Row],[Type]],Main[[#All],[TYPE]:[UNIT]],'Unit Price'!G$1,FALSE),0)</f>
        <v>0</v>
      </c>
      <c r="J863" s="194">
        <f>IF(_1_541284561214624104645789101745[[#This Row],[Type]]&gt;0,VLOOKUP(_1_541284561214624104645789101745[[#This Row],[Type]],Main[[#All],[TYPE]:[UNIT]],'Unit Price'!H$1,FALSE),0)</f>
        <v>0</v>
      </c>
      <c r="K863" s="194">
        <f>IF(_1_541284561214624104645789101745[[#This Row],[Discount selection]]&gt;0,VLOOKUP(_1_541284561214624104645789101745[[#This Row],[Discount selection]],'Discount Structure'!$A$2:$B$30,2,"false"),0)</f>
        <v>1</v>
      </c>
      <c r="L863" s="194">
        <f>_1_541284561214624104645789101745[[#This Row],[LIST $]]*_1_541284561214624104645789101745[[#This Row],[DISCOUNT]]*_1_541284561214624104645789101745[[#This Row],[DISCOUNT 2]]</f>
        <v>0</v>
      </c>
      <c r="M863" s="194">
        <f>IF(OR(_1_541284561214624104645789101745[[#This Row],[UNIT]]&gt;0,_1_541284561214624104645789101745[[#This Row],[UNIT]]&lt;0),_1_541284561214624104645789101745[[#This Row],[UNIT]]*_1_541284561214624104645789101745[[#This Row],[COST]],0)</f>
        <v>0</v>
      </c>
      <c r="N863" s="194">
        <f t="shared" si="13"/>
        <v>1.5</v>
      </c>
      <c r="O863" s="198">
        <f>_1_541284561214624104645789101745[[#This Row],[TOTAL]]*_1_541284561214624104645789101745[[#This Row],[MARGIN]]</f>
        <v>0</v>
      </c>
      <c r="R863" s="41"/>
    </row>
    <row r="864" spans="4:18">
      <c r="D864" s="188"/>
      <c r="F864" s="168" t="s">
        <v>6202</v>
      </c>
      <c r="G864" s="193">
        <f>IF(_1_541284561214624104645789101745[[#This Row],[Type]]&gt;0,VLOOKUP(_1_541284561214624104645789101745[[#This Row],[Type]],Main[[#All],[TYPE]:[UNIT]],'Unit Price'!C$1,FALSE),0)</f>
        <v>0</v>
      </c>
      <c r="H864" s="197">
        <f>IF(_1_541284561214624104645789101745[[#This Row],[Type]]&gt;0,VLOOKUP(_1_541284561214624104645789101745[[#This Row],[Type]],Main[[#All],[TYPE]:[UNIT]],'Unit Price'!D$1,FALSE),0)</f>
        <v>0</v>
      </c>
      <c r="I864" s="194">
        <f>IF(_1_541284561214624104645789101745[[#This Row],[Type]]&gt;0,VLOOKUP(_1_541284561214624104645789101745[[#This Row],[Type]],Main[[#All],[TYPE]:[UNIT]],'Unit Price'!G$1,FALSE),0)</f>
        <v>0</v>
      </c>
      <c r="J864" s="194">
        <f>IF(_1_541284561214624104645789101745[[#This Row],[Type]]&gt;0,VLOOKUP(_1_541284561214624104645789101745[[#This Row],[Type]],Main[[#All],[TYPE]:[UNIT]],'Unit Price'!H$1,FALSE),0)</f>
        <v>0</v>
      </c>
      <c r="K864" s="194">
        <f>IF(_1_541284561214624104645789101745[[#This Row],[Discount selection]]&gt;0,VLOOKUP(_1_541284561214624104645789101745[[#This Row],[Discount selection]],'Discount Structure'!$A$2:$B$30,2,"false"),0)</f>
        <v>1</v>
      </c>
      <c r="L864" s="194">
        <f>_1_541284561214624104645789101745[[#This Row],[LIST $]]*_1_541284561214624104645789101745[[#This Row],[DISCOUNT]]*_1_541284561214624104645789101745[[#This Row],[DISCOUNT 2]]</f>
        <v>0</v>
      </c>
      <c r="M864" s="194">
        <f>IF(OR(_1_541284561214624104645789101745[[#This Row],[UNIT]]&gt;0,_1_541284561214624104645789101745[[#This Row],[UNIT]]&lt;0),_1_541284561214624104645789101745[[#This Row],[UNIT]]*_1_541284561214624104645789101745[[#This Row],[COST]],0)</f>
        <v>0</v>
      </c>
      <c r="N864" s="194">
        <f t="shared" si="13"/>
        <v>1.5</v>
      </c>
      <c r="O864" s="198">
        <f>_1_541284561214624104645789101745[[#This Row],[TOTAL]]*_1_541284561214624104645789101745[[#This Row],[MARGIN]]</f>
        <v>0</v>
      </c>
      <c r="R864" s="41"/>
    </row>
    <row r="865" spans="4:18">
      <c r="D865" s="188"/>
      <c r="E865" s="42"/>
      <c r="F865" s="168" t="s">
        <v>6202</v>
      </c>
      <c r="G865" s="193">
        <f>IF(_1_541284561214624104645789101745[[#This Row],[Type]]&gt;0,VLOOKUP(_1_541284561214624104645789101745[[#This Row],[Type]],Main[[#All],[TYPE]:[UNIT]],'Unit Price'!C$1,FALSE),0)</f>
        <v>0</v>
      </c>
      <c r="H865" s="197">
        <f>IF(_1_541284561214624104645789101745[[#This Row],[Type]]&gt;0,VLOOKUP(_1_541284561214624104645789101745[[#This Row],[Type]],Main[[#All],[TYPE]:[UNIT]],'Unit Price'!D$1,FALSE),0)</f>
        <v>0</v>
      </c>
      <c r="I865" s="194">
        <f>IF(_1_541284561214624104645789101745[[#This Row],[Type]]&gt;0,VLOOKUP(_1_541284561214624104645789101745[[#This Row],[Type]],Main[[#All],[TYPE]:[UNIT]],'Unit Price'!G$1,FALSE),0)</f>
        <v>0</v>
      </c>
      <c r="J865" s="194">
        <f>IF(_1_541284561214624104645789101745[[#This Row],[Type]]&gt;0,VLOOKUP(_1_541284561214624104645789101745[[#This Row],[Type]],Main[[#All],[TYPE]:[UNIT]],'Unit Price'!H$1,FALSE),0)</f>
        <v>0</v>
      </c>
      <c r="K865" s="194">
        <f>IF(_1_541284561214624104645789101745[[#This Row],[Discount selection]]&gt;0,VLOOKUP(_1_541284561214624104645789101745[[#This Row],[Discount selection]],'Discount Structure'!$A$2:$B$30,2,"false"),0)</f>
        <v>1</v>
      </c>
      <c r="L865" s="194">
        <f>_1_541284561214624104645789101745[[#This Row],[LIST $]]*_1_541284561214624104645789101745[[#This Row],[DISCOUNT]]*_1_541284561214624104645789101745[[#This Row],[DISCOUNT 2]]</f>
        <v>0</v>
      </c>
      <c r="M865" s="194">
        <f>IF(OR(_1_541284561214624104645789101745[[#This Row],[UNIT]]&gt;0,_1_541284561214624104645789101745[[#This Row],[UNIT]]&lt;0),_1_541284561214624104645789101745[[#This Row],[UNIT]]*_1_541284561214624104645789101745[[#This Row],[COST]],0)</f>
        <v>0</v>
      </c>
      <c r="N865" s="194">
        <f t="shared" si="13"/>
        <v>1.5</v>
      </c>
      <c r="O865" s="198">
        <f>_1_541284561214624104645789101745[[#This Row],[TOTAL]]*_1_541284561214624104645789101745[[#This Row],[MARGIN]]</f>
        <v>0</v>
      </c>
      <c r="P865" s="198"/>
      <c r="R865" s="41"/>
    </row>
    <row r="866" spans="4:18">
      <c r="D866" s="188"/>
      <c r="E866" s="42"/>
      <c r="F866" s="168" t="s">
        <v>6202</v>
      </c>
      <c r="G866" s="193">
        <f>IF(_1_541284561214624104645789101745[[#This Row],[Type]]&gt;0,VLOOKUP(_1_541284561214624104645789101745[[#This Row],[Type]],Main[[#All],[TYPE]:[UNIT]],'Unit Price'!C$1,FALSE),0)</f>
        <v>0</v>
      </c>
      <c r="H866" s="197">
        <f>IF(_1_541284561214624104645789101745[[#This Row],[Type]]&gt;0,VLOOKUP(_1_541284561214624104645789101745[[#This Row],[Type]],Main[[#All],[TYPE]:[UNIT]],'Unit Price'!D$1,FALSE),0)</f>
        <v>0</v>
      </c>
      <c r="I866" s="194">
        <f>IF(_1_541284561214624104645789101745[[#This Row],[Type]]&gt;0,VLOOKUP(_1_541284561214624104645789101745[[#This Row],[Type]],Main[[#All],[TYPE]:[UNIT]],'Unit Price'!G$1,FALSE),0)</f>
        <v>0</v>
      </c>
      <c r="J866" s="194">
        <f>IF(_1_541284561214624104645789101745[[#This Row],[Type]]&gt;0,VLOOKUP(_1_541284561214624104645789101745[[#This Row],[Type]],Main[[#All],[TYPE]:[UNIT]],'Unit Price'!H$1,FALSE),0)</f>
        <v>0</v>
      </c>
      <c r="K866" s="194">
        <f>IF(_1_541284561214624104645789101745[[#This Row],[Discount selection]]&gt;0,VLOOKUP(_1_541284561214624104645789101745[[#This Row],[Discount selection]],'Discount Structure'!$A$2:$B$30,2,"false"),0)</f>
        <v>1</v>
      </c>
      <c r="L866" s="194">
        <f>_1_541284561214624104645789101745[[#This Row],[LIST $]]*_1_541284561214624104645789101745[[#This Row],[DISCOUNT]]*_1_541284561214624104645789101745[[#This Row],[DISCOUNT 2]]</f>
        <v>0</v>
      </c>
      <c r="M866" s="194">
        <f>IF(OR(_1_541284561214624104645789101745[[#This Row],[UNIT]]&gt;0,_1_541284561214624104645789101745[[#This Row],[UNIT]]&lt;0),_1_541284561214624104645789101745[[#This Row],[UNIT]]*_1_541284561214624104645789101745[[#This Row],[COST]],0)</f>
        <v>0</v>
      </c>
      <c r="N866" s="194">
        <f t="shared" si="13"/>
        <v>1.5</v>
      </c>
      <c r="O866" s="198">
        <f>_1_541284561214624104645789101745[[#This Row],[TOTAL]]*_1_541284561214624104645789101745[[#This Row],[MARGIN]]</f>
        <v>0</v>
      </c>
      <c r="P866" s="198"/>
      <c r="R866" s="41"/>
    </row>
    <row r="867" spans="4:18">
      <c r="D867" s="188"/>
      <c r="E867" s="42"/>
      <c r="F867" s="168" t="s">
        <v>6202</v>
      </c>
      <c r="G867" s="193">
        <f>IF(_1_541284561214624104645789101745[[#This Row],[Type]]&gt;0,VLOOKUP(_1_541284561214624104645789101745[[#This Row],[Type]],Main[[#All],[TYPE]:[UNIT]],'Unit Price'!C$1,FALSE),0)</f>
        <v>0</v>
      </c>
      <c r="H867" s="197">
        <f>IF(_1_541284561214624104645789101745[[#This Row],[Type]]&gt;0,VLOOKUP(_1_541284561214624104645789101745[[#This Row],[Type]],Main[[#All],[TYPE]:[UNIT]],'Unit Price'!D$1,FALSE),0)</f>
        <v>0</v>
      </c>
      <c r="I867" s="194">
        <f>IF(_1_541284561214624104645789101745[[#This Row],[Type]]&gt;0,VLOOKUP(_1_541284561214624104645789101745[[#This Row],[Type]],Main[[#All],[TYPE]:[UNIT]],'Unit Price'!G$1,FALSE),0)</f>
        <v>0</v>
      </c>
      <c r="J867" s="194">
        <f>IF(_1_541284561214624104645789101745[[#This Row],[Type]]&gt;0,VLOOKUP(_1_541284561214624104645789101745[[#This Row],[Type]],Main[[#All],[TYPE]:[UNIT]],'Unit Price'!H$1,FALSE),0)</f>
        <v>0</v>
      </c>
      <c r="K867" s="194">
        <f>IF(_1_541284561214624104645789101745[[#This Row],[Discount selection]]&gt;0,VLOOKUP(_1_541284561214624104645789101745[[#This Row],[Discount selection]],'Discount Structure'!$A$2:$B$30,2,"false"),0)</f>
        <v>1</v>
      </c>
      <c r="L867" s="194">
        <f>_1_541284561214624104645789101745[[#This Row],[LIST $]]*_1_541284561214624104645789101745[[#This Row],[DISCOUNT]]*_1_541284561214624104645789101745[[#This Row],[DISCOUNT 2]]</f>
        <v>0</v>
      </c>
      <c r="M867" s="194">
        <f>IF(OR(_1_541284561214624104645789101745[[#This Row],[UNIT]]&gt;0,_1_541284561214624104645789101745[[#This Row],[UNIT]]&lt;0),_1_541284561214624104645789101745[[#This Row],[UNIT]]*_1_541284561214624104645789101745[[#This Row],[COST]],0)</f>
        <v>0</v>
      </c>
      <c r="N867" s="194">
        <f t="shared" si="13"/>
        <v>1.5</v>
      </c>
      <c r="O867" s="198">
        <f>_1_541284561214624104645789101745[[#This Row],[TOTAL]]*_1_541284561214624104645789101745[[#This Row],[MARGIN]]</f>
        <v>0</v>
      </c>
      <c r="P867" s="198"/>
      <c r="R867" s="41"/>
    </row>
    <row r="868" spans="4:18">
      <c r="D868" s="188"/>
      <c r="E868" s="42"/>
      <c r="F868" s="168" t="s">
        <v>6202</v>
      </c>
      <c r="G868" s="193">
        <f>IF(_1_541284561214624104645789101745[[#This Row],[Type]]&gt;0,VLOOKUP(_1_541284561214624104645789101745[[#This Row],[Type]],Main[[#All],[TYPE]:[UNIT]],'Unit Price'!C$1,FALSE),0)</f>
        <v>0</v>
      </c>
      <c r="H868" s="197">
        <f>IF(_1_541284561214624104645789101745[[#This Row],[Type]]&gt;0,VLOOKUP(_1_541284561214624104645789101745[[#This Row],[Type]],Main[[#All],[TYPE]:[UNIT]],'Unit Price'!D$1,FALSE),0)</f>
        <v>0</v>
      </c>
      <c r="I868" s="194">
        <f>IF(_1_541284561214624104645789101745[[#This Row],[Type]]&gt;0,VLOOKUP(_1_541284561214624104645789101745[[#This Row],[Type]],Main[[#All],[TYPE]:[UNIT]],'Unit Price'!G$1,FALSE),0)</f>
        <v>0</v>
      </c>
      <c r="J868" s="194">
        <f>IF(_1_541284561214624104645789101745[[#This Row],[Type]]&gt;0,VLOOKUP(_1_541284561214624104645789101745[[#This Row],[Type]],Main[[#All],[TYPE]:[UNIT]],'Unit Price'!H$1,FALSE),0)</f>
        <v>0</v>
      </c>
      <c r="K868" s="194">
        <f>IF(_1_541284561214624104645789101745[[#This Row],[Discount selection]]&gt;0,VLOOKUP(_1_541284561214624104645789101745[[#This Row],[Discount selection]],'Discount Structure'!$A$2:$B$30,2,"false"),0)</f>
        <v>1</v>
      </c>
      <c r="L868" s="194">
        <f>_1_541284561214624104645789101745[[#This Row],[LIST $]]*_1_541284561214624104645789101745[[#This Row],[DISCOUNT]]*_1_541284561214624104645789101745[[#This Row],[DISCOUNT 2]]</f>
        <v>0</v>
      </c>
      <c r="M868" s="194">
        <f>IF(OR(_1_541284561214624104645789101745[[#This Row],[UNIT]]&gt;0,_1_541284561214624104645789101745[[#This Row],[UNIT]]&lt;0),_1_541284561214624104645789101745[[#This Row],[UNIT]]*_1_541284561214624104645789101745[[#This Row],[COST]],0)</f>
        <v>0</v>
      </c>
      <c r="N868" s="194">
        <f t="shared" si="13"/>
        <v>1.5</v>
      </c>
      <c r="O868" s="198">
        <f>_1_541284561214624104645789101745[[#This Row],[TOTAL]]*_1_541284561214624104645789101745[[#This Row],[MARGIN]]</f>
        <v>0</v>
      </c>
      <c r="P868" s="198"/>
      <c r="R868" s="41"/>
    </row>
    <row r="869" spans="4:18">
      <c r="D869" s="188"/>
      <c r="E869" s="42"/>
      <c r="F869" s="168" t="s">
        <v>6202</v>
      </c>
      <c r="G869" s="193">
        <f>IF(_1_541284561214624104645789101745[[#This Row],[Type]]&gt;0,VLOOKUP(_1_541284561214624104645789101745[[#This Row],[Type]],Main[[#All],[TYPE]:[UNIT]],'Unit Price'!C$1,FALSE),0)</f>
        <v>0</v>
      </c>
      <c r="H869" s="197">
        <f>IF(_1_541284561214624104645789101745[[#This Row],[Type]]&gt;0,VLOOKUP(_1_541284561214624104645789101745[[#This Row],[Type]],Main[[#All],[TYPE]:[UNIT]],'Unit Price'!D$1,FALSE),0)</f>
        <v>0</v>
      </c>
      <c r="I869" s="194">
        <f>IF(_1_541284561214624104645789101745[[#This Row],[Type]]&gt;0,VLOOKUP(_1_541284561214624104645789101745[[#This Row],[Type]],Main[[#All],[TYPE]:[UNIT]],'Unit Price'!G$1,FALSE),0)</f>
        <v>0</v>
      </c>
      <c r="J869" s="194">
        <f>IF(_1_541284561214624104645789101745[[#This Row],[Type]]&gt;0,VLOOKUP(_1_541284561214624104645789101745[[#This Row],[Type]],Main[[#All],[TYPE]:[UNIT]],'Unit Price'!H$1,FALSE),0)</f>
        <v>0</v>
      </c>
      <c r="K869" s="194">
        <f>IF(_1_541284561214624104645789101745[[#This Row],[Discount selection]]&gt;0,VLOOKUP(_1_541284561214624104645789101745[[#This Row],[Discount selection]],'Discount Structure'!$A$2:$B$30,2,"false"),0)</f>
        <v>1</v>
      </c>
      <c r="L869" s="194">
        <f>_1_541284561214624104645789101745[[#This Row],[LIST $]]*_1_541284561214624104645789101745[[#This Row],[DISCOUNT]]*_1_541284561214624104645789101745[[#This Row],[DISCOUNT 2]]</f>
        <v>0</v>
      </c>
      <c r="M869" s="194">
        <f>IF(OR(_1_541284561214624104645789101745[[#This Row],[UNIT]]&gt;0,_1_541284561214624104645789101745[[#This Row],[UNIT]]&lt;0),_1_541284561214624104645789101745[[#This Row],[UNIT]]*_1_541284561214624104645789101745[[#This Row],[COST]],0)</f>
        <v>0</v>
      </c>
      <c r="N869" s="194">
        <f t="shared" si="13"/>
        <v>1.5</v>
      </c>
      <c r="O869" s="198">
        <f>_1_541284561214624104645789101745[[#This Row],[TOTAL]]*_1_541284561214624104645789101745[[#This Row],[MARGIN]]</f>
        <v>0</v>
      </c>
      <c r="P869" s="198"/>
      <c r="R869" s="41"/>
    </row>
    <row r="870" spans="4:18">
      <c r="D870" s="188"/>
      <c r="E870" s="42"/>
      <c r="F870" s="168" t="s">
        <v>6202</v>
      </c>
      <c r="G870" s="193">
        <f>IF(_1_541284561214624104645789101745[[#This Row],[Type]]&gt;0,VLOOKUP(_1_541284561214624104645789101745[[#This Row],[Type]],Main[[#All],[TYPE]:[UNIT]],'Unit Price'!C$1,FALSE),0)</f>
        <v>0</v>
      </c>
      <c r="H870" s="197">
        <f>IF(_1_541284561214624104645789101745[[#This Row],[Type]]&gt;0,VLOOKUP(_1_541284561214624104645789101745[[#This Row],[Type]],Main[[#All],[TYPE]:[UNIT]],'Unit Price'!D$1,FALSE),0)</f>
        <v>0</v>
      </c>
      <c r="I870" s="194">
        <f>IF(_1_541284561214624104645789101745[[#This Row],[Type]]&gt;0,VLOOKUP(_1_541284561214624104645789101745[[#This Row],[Type]],Main[[#All],[TYPE]:[UNIT]],'Unit Price'!G$1,FALSE),0)</f>
        <v>0</v>
      </c>
      <c r="J870" s="194">
        <f>IF(_1_541284561214624104645789101745[[#This Row],[Type]]&gt;0,VLOOKUP(_1_541284561214624104645789101745[[#This Row],[Type]],Main[[#All],[TYPE]:[UNIT]],'Unit Price'!H$1,FALSE),0)</f>
        <v>0</v>
      </c>
      <c r="K870" s="194">
        <f>IF(_1_541284561214624104645789101745[[#This Row],[Discount selection]]&gt;0,VLOOKUP(_1_541284561214624104645789101745[[#This Row],[Discount selection]],'Discount Structure'!$A$2:$B$30,2,"false"),0)</f>
        <v>1</v>
      </c>
      <c r="L870" s="194">
        <f>_1_541284561214624104645789101745[[#This Row],[LIST $]]*_1_541284561214624104645789101745[[#This Row],[DISCOUNT]]*_1_541284561214624104645789101745[[#This Row],[DISCOUNT 2]]</f>
        <v>0</v>
      </c>
      <c r="M870" s="194">
        <f>IF(OR(_1_541284561214624104645789101745[[#This Row],[UNIT]]&gt;0,_1_541284561214624104645789101745[[#This Row],[UNIT]]&lt;0),_1_541284561214624104645789101745[[#This Row],[UNIT]]*_1_541284561214624104645789101745[[#This Row],[COST]],0)</f>
        <v>0</v>
      </c>
      <c r="N870" s="194">
        <f t="shared" si="13"/>
        <v>1.5</v>
      </c>
      <c r="O870" s="198">
        <f>_1_541284561214624104645789101745[[#This Row],[TOTAL]]*_1_541284561214624104645789101745[[#This Row],[MARGIN]]</f>
        <v>0</v>
      </c>
      <c r="P870" s="198"/>
      <c r="R870" s="41"/>
    </row>
    <row r="871" spans="4:18">
      <c r="D871" s="188"/>
      <c r="E871" s="42"/>
      <c r="F871" s="168" t="s">
        <v>6202</v>
      </c>
      <c r="G871" s="193">
        <f>IF(_1_541284561214624104645789101745[[#This Row],[Type]]&gt;0,VLOOKUP(_1_541284561214624104645789101745[[#This Row],[Type]],Main[[#All],[TYPE]:[UNIT]],'Unit Price'!C$1,FALSE),0)</f>
        <v>0</v>
      </c>
      <c r="H871" s="197">
        <f>IF(_1_541284561214624104645789101745[[#This Row],[Type]]&gt;0,VLOOKUP(_1_541284561214624104645789101745[[#This Row],[Type]],Main[[#All],[TYPE]:[UNIT]],'Unit Price'!D$1,FALSE),0)</f>
        <v>0</v>
      </c>
      <c r="I871" s="194">
        <f>IF(_1_541284561214624104645789101745[[#This Row],[Type]]&gt;0,VLOOKUP(_1_541284561214624104645789101745[[#This Row],[Type]],Main[[#All],[TYPE]:[UNIT]],'Unit Price'!G$1,FALSE),0)</f>
        <v>0</v>
      </c>
      <c r="J871" s="194">
        <f>IF(_1_541284561214624104645789101745[[#This Row],[Type]]&gt;0,VLOOKUP(_1_541284561214624104645789101745[[#This Row],[Type]],Main[[#All],[TYPE]:[UNIT]],'Unit Price'!H$1,FALSE),0)</f>
        <v>0</v>
      </c>
      <c r="K871" s="194">
        <f>IF(_1_541284561214624104645789101745[[#This Row],[Discount selection]]&gt;0,VLOOKUP(_1_541284561214624104645789101745[[#This Row],[Discount selection]],'Discount Structure'!$A$2:$B$30,2,"false"),0)</f>
        <v>1</v>
      </c>
      <c r="L871" s="194">
        <f>_1_541284561214624104645789101745[[#This Row],[LIST $]]*_1_541284561214624104645789101745[[#This Row],[DISCOUNT]]*_1_541284561214624104645789101745[[#This Row],[DISCOUNT 2]]</f>
        <v>0</v>
      </c>
      <c r="M871" s="194">
        <f>IF(OR(_1_541284561214624104645789101745[[#This Row],[UNIT]]&gt;0,_1_541284561214624104645789101745[[#This Row],[UNIT]]&lt;0),_1_541284561214624104645789101745[[#This Row],[UNIT]]*_1_541284561214624104645789101745[[#This Row],[COST]],0)</f>
        <v>0</v>
      </c>
      <c r="N871" s="194">
        <f t="shared" si="13"/>
        <v>1.5</v>
      </c>
      <c r="O871" s="198">
        <f>_1_541284561214624104645789101745[[#This Row],[TOTAL]]*_1_541284561214624104645789101745[[#This Row],[MARGIN]]</f>
        <v>0</v>
      </c>
      <c r="P871" s="198"/>
      <c r="R871" s="41"/>
    </row>
    <row r="872" spans="4:18">
      <c r="D872" s="188"/>
      <c r="E872" s="42"/>
      <c r="F872" s="168" t="s">
        <v>6202</v>
      </c>
      <c r="G872" s="193">
        <f>IF(_1_541284561214624104645789101745[[#This Row],[Type]]&gt;0,VLOOKUP(_1_541284561214624104645789101745[[#This Row],[Type]],Main[[#All],[TYPE]:[UNIT]],'Unit Price'!C$1,FALSE),0)</f>
        <v>0</v>
      </c>
      <c r="H872" s="197">
        <f>IF(_1_541284561214624104645789101745[[#This Row],[Type]]&gt;0,VLOOKUP(_1_541284561214624104645789101745[[#This Row],[Type]],Main[[#All],[TYPE]:[UNIT]],'Unit Price'!D$1,FALSE),0)</f>
        <v>0</v>
      </c>
      <c r="I872" s="194">
        <f>IF(_1_541284561214624104645789101745[[#This Row],[Type]]&gt;0,VLOOKUP(_1_541284561214624104645789101745[[#This Row],[Type]],Main[[#All],[TYPE]:[UNIT]],'Unit Price'!G$1,FALSE),0)</f>
        <v>0</v>
      </c>
      <c r="J872" s="194">
        <f>IF(_1_541284561214624104645789101745[[#This Row],[Type]]&gt;0,VLOOKUP(_1_541284561214624104645789101745[[#This Row],[Type]],Main[[#All],[TYPE]:[UNIT]],'Unit Price'!H$1,FALSE),0)</f>
        <v>0</v>
      </c>
      <c r="K872" s="194">
        <f>IF(_1_541284561214624104645789101745[[#This Row],[Discount selection]]&gt;0,VLOOKUP(_1_541284561214624104645789101745[[#This Row],[Discount selection]],'Discount Structure'!$A$2:$B$30,2,"false"),0)</f>
        <v>1</v>
      </c>
      <c r="L872" s="194">
        <f>_1_541284561214624104645789101745[[#This Row],[LIST $]]*_1_541284561214624104645789101745[[#This Row],[DISCOUNT]]*_1_541284561214624104645789101745[[#This Row],[DISCOUNT 2]]</f>
        <v>0</v>
      </c>
      <c r="M872" s="194">
        <f>IF(OR(_1_541284561214624104645789101745[[#This Row],[UNIT]]&gt;0,_1_541284561214624104645789101745[[#This Row],[UNIT]]&lt;0),_1_541284561214624104645789101745[[#This Row],[UNIT]]*_1_541284561214624104645789101745[[#This Row],[COST]],0)</f>
        <v>0</v>
      </c>
      <c r="N872" s="194">
        <f t="shared" si="13"/>
        <v>1.5</v>
      </c>
      <c r="O872" s="198">
        <f>_1_541284561214624104645789101745[[#This Row],[TOTAL]]*_1_541284561214624104645789101745[[#This Row],[MARGIN]]</f>
        <v>0</v>
      </c>
      <c r="P872" s="198"/>
      <c r="R872" s="41"/>
    </row>
    <row r="873" spans="4:18">
      <c r="D873" s="188"/>
      <c r="E873" s="42"/>
      <c r="F873" s="168" t="s">
        <v>6202</v>
      </c>
      <c r="G873" s="193">
        <f>IF(_1_541284561214624104645789101745[[#This Row],[Type]]&gt;0,VLOOKUP(_1_541284561214624104645789101745[[#This Row],[Type]],Main[[#All],[TYPE]:[UNIT]],'Unit Price'!C$1,FALSE),0)</f>
        <v>0</v>
      </c>
      <c r="H873" s="197">
        <f>IF(_1_541284561214624104645789101745[[#This Row],[Type]]&gt;0,VLOOKUP(_1_541284561214624104645789101745[[#This Row],[Type]],Main[[#All],[TYPE]:[UNIT]],'Unit Price'!D$1,FALSE),0)</f>
        <v>0</v>
      </c>
      <c r="I873" s="194">
        <f>IF(_1_541284561214624104645789101745[[#This Row],[Type]]&gt;0,VLOOKUP(_1_541284561214624104645789101745[[#This Row],[Type]],Main[[#All],[TYPE]:[UNIT]],'Unit Price'!G$1,FALSE),0)</f>
        <v>0</v>
      </c>
      <c r="J873" s="194">
        <f>IF(_1_541284561214624104645789101745[[#This Row],[Type]]&gt;0,VLOOKUP(_1_541284561214624104645789101745[[#This Row],[Type]],Main[[#All],[TYPE]:[UNIT]],'Unit Price'!H$1,FALSE),0)</f>
        <v>0</v>
      </c>
      <c r="K873" s="194">
        <f>IF(_1_541284561214624104645789101745[[#This Row],[Discount selection]]&gt;0,VLOOKUP(_1_541284561214624104645789101745[[#This Row],[Discount selection]],'Discount Structure'!$A$2:$B$30,2,"false"),0)</f>
        <v>1</v>
      </c>
      <c r="L873" s="194">
        <f>_1_541284561214624104645789101745[[#This Row],[LIST $]]*_1_541284561214624104645789101745[[#This Row],[DISCOUNT]]*_1_541284561214624104645789101745[[#This Row],[DISCOUNT 2]]</f>
        <v>0</v>
      </c>
      <c r="M873" s="194">
        <f>IF(OR(_1_541284561214624104645789101745[[#This Row],[UNIT]]&gt;0,_1_541284561214624104645789101745[[#This Row],[UNIT]]&lt;0),_1_541284561214624104645789101745[[#This Row],[UNIT]]*_1_541284561214624104645789101745[[#This Row],[COST]],0)</f>
        <v>0</v>
      </c>
      <c r="N873" s="194">
        <f t="shared" si="13"/>
        <v>1.5</v>
      </c>
      <c r="O873" s="198">
        <f>_1_541284561214624104645789101745[[#This Row],[TOTAL]]*_1_541284561214624104645789101745[[#This Row],[MARGIN]]</f>
        <v>0</v>
      </c>
      <c r="P873" s="198"/>
      <c r="R873" s="41"/>
    </row>
    <row r="874" spans="4:18">
      <c r="D874" s="188"/>
      <c r="E874" s="42"/>
      <c r="F874" s="168" t="s">
        <v>6202</v>
      </c>
      <c r="G874" s="193">
        <f>IF(_1_541284561214624104645789101745[[#This Row],[Type]]&gt;0,VLOOKUP(_1_541284561214624104645789101745[[#This Row],[Type]],Main[[#All],[TYPE]:[UNIT]],'Unit Price'!C$1,FALSE),0)</f>
        <v>0</v>
      </c>
      <c r="H874" s="197">
        <f>IF(_1_541284561214624104645789101745[[#This Row],[Type]]&gt;0,VLOOKUP(_1_541284561214624104645789101745[[#This Row],[Type]],Main[[#All],[TYPE]:[UNIT]],'Unit Price'!D$1,FALSE),0)</f>
        <v>0</v>
      </c>
      <c r="I874" s="194">
        <f>IF(_1_541284561214624104645789101745[[#This Row],[Type]]&gt;0,VLOOKUP(_1_541284561214624104645789101745[[#This Row],[Type]],Main[[#All],[TYPE]:[UNIT]],'Unit Price'!G$1,FALSE),0)</f>
        <v>0</v>
      </c>
      <c r="J874" s="194">
        <f>IF(_1_541284561214624104645789101745[[#This Row],[Type]]&gt;0,VLOOKUP(_1_541284561214624104645789101745[[#This Row],[Type]],Main[[#All],[TYPE]:[UNIT]],'Unit Price'!H$1,FALSE),0)</f>
        <v>0</v>
      </c>
      <c r="K874" s="194">
        <f>IF(_1_541284561214624104645789101745[[#This Row],[Discount selection]]&gt;0,VLOOKUP(_1_541284561214624104645789101745[[#This Row],[Discount selection]],'Discount Structure'!$A$2:$B$30,2,"false"),0)</f>
        <v>1</v>
      </c>
      <c r="L874" s="194">
        <f>_1_541284561214624104645789101745[[#This Row],[LIST $]]*_1_541284561214624104645789101745[[#This Row],[DISCOUNT]]*_1_541284561214624104645789101745[[#This Row],[DISCOUNT 2]]</f>
        <v>0</v>
      </c>
      <c r="M874" s="194">
        <f>IF(OR(_1_541284561214624104645789101745[[#This Row],[UNIT]]&gt;0,_1_541284561214624104645789101745[[#This Row],[UNIT]]&lt;0),_1_541284561214624104645789101745[[#This Row],[UNIT]]*_1_541284561214624104645789101745[[#This Row],[COST]],0)</f>
        <v>0</v>
      </c>
      <c r="N874" s="194">
        <f t="shared" si="13"/>
        <v>1.5</v>
      </c>
      <c r="O874" s="198">
        <f>_1_541284561214624104645789101745[[#This Row],[TOTAL]]*_1_541284561214624104645789101745[[#This Row],[MARGIN]]</f>
        <v>0</v>
      </c>
      <c r="P874" s="198"/>
      <c r="R874" s="41"/>
    </row>
    <row r="875" spans="4:18">
      <c r="D875" s="188"/>
      <c r="E875" s="42"/>
      <c r="F875" s="168" t="s">
        <v>6202</v>
      </c>
      <c r="G875" s="193">
        <f>IF(_1_541284561214624104645789101745[[#This Row],[Type]]&gt;0,VLOOKUP(_1_541284561214624104645789101745[[#This Row],[Type]],Main[[#All],[TYPE]:[UNIT]],'Unit Price'!C$1,FALSE),0)</f>
        <v>0</v>
      </c>
      <c r="H875" s="197">
        <f>IF(_1_541284561214624104645789101745[[#This Row],[Type]]&gt;0,VLOOKUP(_1_541284561214624104645789101745[[#This Row],[Type]],Main[[#All],[TYPE]:[UNIT]],'Unit Price'!D$1,FALSE),0)</f>
        <v>0</v>
      </c>
      <c r="I875" s="194">
        <f>IF(_1_541284561214624104645789101745[[#This Row],[Type]]&gt;0,VLOOKUP(_1_541284561214624104645789101745[[#This Row],[Type]],Main[[#All],[TYPE]:[UNIT]],'Unit Price'!G$1,FALSE),0)</f>
        <v>0</v>
      </c>
      <c r="J875" s="194">
        <f>IF(_1_541284561214624104645789101745[[#This Row],[Type]]&gt;0,VLOOKUP(_1_541284561214624104645789101745[[#This Row],[Type]],Main[[#All],[TYPE]:[UNIT]],'Unit Price'!H$1,FALSE),0)</f>
        <v>0</v>
      </c>
      <c r="K875" s="194">
        <f>IF(_1_541284561214624104645789101745[[#This Row],[Discount selection]]&gt;0,VLOOKUP(_1_541284561214624104645789101745[[#This Row],[Discount selection]],'Discount Structure'!$A$2:$B$30,2,"false"),0)</f>
        <v>1</v>
      </c>
      <c r="L875" s="194">
        <f>_1_541284561214624104645789101745[[#This Row],[LIST $]]*_1_541284561214624104645789101745[[#This Row],[DISCOUNT]]*_1_541284561214624104645789101745[[#This Row],[DISCOUNT 2]]</f>
        <v>0</v>
      </c>
      <c r="M875" s="194">
        <f>IF(OR(_1_541284561214624104645789101745[[#This Row],[UNIT]]&gt;0,_1_541284561214624104645789101745[[#This Row],[UNIT]]&lt;0),_1_541284561214624104645789101745[[#This Row],[UNIT]]*_1_541284561214624104645789101745[[#This Row],[COST]],0)</f>
        <v>0</v>
      </c>
      <c r="N875" s="194">
        <f t="shared" si="13"/>
        <v>1.5</v>
      </c>
      <c r="O875" s="198">
        <f>_1_541284561214624104645789101745[[#This Row],[TOTAL]]*_1_541284561214624104645789101745[[#This Row],[MARGIN]]</f>
        <v>0</v>
      </c>
      <c r="P875" s="198"/>
      <c r="R875" s="41"/>
    </row>
    <row r="876" spans="4:18">
      <c r="D876" s="188"/>
      <c r="E876" s="42"/>
      <c r="F876" s="168" t="s">
        <v>6202</v>
      </c>
      <c r="G876" s="193">
        <f>IF(_1_541284561214624104645789101745[[#This Row],[Type]]&gt;0,VLOOKUP(_1_541284561214624104645789101745[[#This Row],[Type]],Main[[#All],[TYPE]:[UNIT]],'Unit Price'!C$1,FALSE),0)</f>
        <v>0</v>
      </c>
      <c r="H876" s="197">
        <f>IF(_1_541284561214624104645789101745[[#This Row],[Type]]&gt;0,VLOOKUP(_1_541284561214624104645789101745[[#This Row],[Type]],Main[[#All],[TYPE]:[UNIT]],'Unit Price'!D$1,FALSE),0)</f>
        <v>0</v>
      </c>
      <c r="I876" s="194">
        <f>IF(_1_541284561214624104645789101745[[#This Row],[Type]]&gt;0,VLOOKUP(_1_541284561214624104645789101745[[#This Row],[Type]],Main[[#All],[TYPE]:[UNIT]],'Unit Price'!G$1,FALSE),0)</f>
        <v>0</v>
      </c>
      <c r="J876" s="194">
        <f>IF(_1_541284561214624104645789101745[[#This Row],[Type]]&gt;0,VLOOKUP(_1_541284561214624104645789101745[[#This Row],[Type]],Main[[#All],[TYPE]:[UNIT]],'Unit Price'!H$1,FALSE),0)</f>
        <v>0</v>
      </c>
      <c r="K876" s="194">
        <f>IF(_1_541284561214624104645789101745[[#This Row],[Discount selection]]&gt;0,VLOOKUP(_1_541284561214624104645789101745[[#This Row],[Discount selection]],'Discount Structure'!$A$2:$B$30,2,"false"),0)</f>
        <v>1</v>
      </c>
      <c r="L876" s="194">
        <f>_1_541284561214624104645789101745[[#This Row],[LIST $]]*_1_541284561214624104645789101745[[#This Row],[DISCOUNT]]*_1_541284561214624104645789101745[[#This Row],[DISCOUNT 2]]</f>
        <v>0</v>
      </c>
      <c r="M876" s="194">
        <f>IF(OR(_1_541284561214624104645789101745[[#This Row],[UNIT]]&gt;0,_1_541284561214624104645789101745[[#This Row],[UNIT]]&lt;0),_1_541284561214624104645789101745[[#This Row],[UNIT]]*_1_541284561214624104645789101745[[#This Row],[COST]],0)</f>
        <v>0</v>
      </c>
      <c r="N876" s="194">
        <f t="shared" si="13"/>
        <v>1.5</v>
      </c>
      <c r="O876" s="198">
        <f>_1_541284561214624104645789101745[[#This Row],[TOTAL]]*_1_541284561214624104645789101745[[#This Row],[MARGIN]]</f>
        <v>0</v>
      </c>
      <c r="P876" s="198"/>
      <c r="R876" s="41"/>
    </row>
    <row r="877" spans="4:18">
      <c r="D877" s="188"/>
      <c r="E877" s="42"/>
      <c r="F877" s="168" t="s">
        <v>6202</v>
      </c>
      <c r="G877" s="193">
        <f>IF(_1_541284561214624104645789101745[[#This Row],[Type]]&gt;0,VLOOKUP(_1_541284561214624104645789101745[[#This Row],[Type]],Main[[#All],[TYPE]:[UNIT]],'Unit Price'!C$1,FALSE),0)</f>
        <v>0</v>
      </c>
      <c r="H877" s="197">
        <f>IF(_1_541284561214624104645789101745[[#This Row],[Type]]&gt;0,VLOOKUP(_1_541284561214624104645789101745[[#This Row],[Type]],Main[[#All],[TYPE]:[UNIT]],'Unit Price'!D$1,FALSE),0)</f>
        <v>0</v>
      </c>
      <c r="I877" s="194">
        <f>IF(_1_541284561214624104645789101745[[#This Row],[Type]]&gt;0,VLOOKUP(_1_541284561214624104645789101745[[#This Row],[Type]],Main[[#All],[TYPE]:[UNIT]],'Unit Price'!G$1,FALSE),0)</f>
        <v>0</v>
      </c>
      <c r="J877" s="194">
        <f>IF(_1_541284561214624104645789101745[[#This Row],[Type]]&gt;0,VLOOKUP(_1_541284561214624104645789101745[[#This Row],[Type]],Main[[#All],[TYPE]:[UNIT]],'Unit Price'!H$1,FALSE),0)</f>
        <v>0</v>
      </c>
      <c r="K877" s="194">
        <f>IF(_1_541284561214624104645789101745[[#This Row],[Discount selection]]&gt;0,VLOOKUP(_1_541284561214624104645789101745[[#This Row],[Discount selection]],'Discount Structure'!$A$2:$B$30,2,"false"),0)</f>
        <v>1</v>
      </c>
      <c r="L877" s="194">
        <f>_1_541284561214624104645789101745[[#This Row],[LIST $]]*_1_541284561214624104645789101745[[#This Row],[DISCOUNT]]*_1_541284561214624104645789101745[[#This Row],[DISCOUNT 2]]</f>
        <v>0</v>
      </c>
      <c r="M877" s="194">
        <f>IF(OR(_1_541284561214624104645789101745[[#This Row],[UNIT]]&gt;0,_1_541284561214624104645789101745[[#This Row],[UNIT]]&lt;0),_1_541284561214624104645789101745[[#This Row],[UNIT]]*_1_541284561214624104645789101745[[#This Row],[COST]],0)</f>
        <v>0</v>
      </c>
      <c r="N877" s="194">
        <f t="shared" si="13"/>
        <v>1.5</v>
      </c>
      <c r="O877" s="198">
        <f>_1_541284561214624104645789101745[[#This Row],[TOTAL]]*_1_541284561214624104645789101745[[#This Row],[MARGIN]]</f>
        <v>0</v>
      </c>
      <c r="P877" s="198"/>
      <c r="R877" s="41"/>
    </row>
    <row r="878" spans="4:18">
      <c r="D878" s="188"/>
      <c r="E878" s="42"/>
      <c r="F878" s="168" t="s">
        <v>6202</v>
      </c>
      <c r="G878" s="193">
        <f>IF(_1_541284561214624104645789101745[[#This Row],[Type]]&gt;0,VLOOKUP(_1_541284561214624104645789101745[[#This Row],[Type]],Main[[#All],[TYPE]:[UNIT]],'Unit Price'!C$1,FALSE),0)</f>
        <v>0</v>
      </c>
      <c r="H878" s="197">
        <f>IF(_1_541284561214624104645789101745[[#This Row],[Type]]&gt;0,VLOOKUP(_1_541284561214624104645789101745[[#This Row],[Type]],Main[[#All],[TYPE]:[UNIT]],'Unit Price'!D$1,FALSE),0)</f>
        <v>0</v>
      </c>
      <c r="I878" s="194">
        <f>IF(_1_541284561214624104645789101745[[#This Row],[Type]]&gt;0,VLOOKUP(_1_541284561214624104645789101745[[#This Row],[Type]],Main[[#All],[TYPE]:[UNIT]],'Unit Price'!G$1,FALSE),0)</f>
        <v>0</v>
      </c>
      <c r="J878" s="194">
        <f>IF(_1_541284561214624104645789101745[[#This Row],[Type]]&gt;0,VLOOKUP(_1_541284561214624104645789101745[[#This Row],[Type]],Main[[#All],[TYPE]:[UNIT]],'Unit Price'!H$1,FALSE),0)</f>
        <v>0</v>
      </c>
      <c r="K878" s="194">
        <f>IF(_1_541284561214624104645789101745[[#This Row],[Discount selection]]&gt;0,VLOOKUP(_1_541284561214624104645789101745[[#This Row],[Discount selection]],'Discount Structure'!$A$2:$B$30,2,"false"),0)</f>
        <v>1</v>
      </c>
      <c r="L878" s="194">
        <f>_1_541284561214624104645789101745[[#This Row],[LIST $]]*_1_541284561214624104645789101745[[#This Row],[DISCOUNT]]*_1_541284561214624104645789101745[[#This Row],[DISCOUNT 2]]</f>
        <v>0</v>
      </c>
      <c r="M878" s="194">
        <f>IF(OR(_1_541284561214624104645789101745[[#This Row],[UNIT]]&gt;0,_1_541284561214624104645789101745[[#This Row],[UNIT]]&lt;0),_1_541284561214624104645789101745[[#This Row],[UNIT]]*_1_541284561214624104645789101745[[#This Row],[COST]],0)</f>
        <v>0</v>
      </c>
      <c r="N878" s="194">
        <f t="shared" si="13"/>
        <v>1.5</v>
      </c>
      <c r="O878" s="198">
        <f>_1_541284561214624104645789101745[[#This Row],[TOTAL]]*_1_541284561214624104645789101745[[#This Row],[MARGIN]]</f>
        <v>0</v>
      </c>
      <c r="P878" s="198"/>
      <c r="R878" s="41"/>
    </row>
    <row r="879" spans="4:18">
      <c r="D879" s="188"/>
      <c r="E879" s="42"/>
      <c r="F879" s="168" t="s">
        <v>6202</v>
      </c>
      <c r="G879" s="193">
        <f>IF(_1_541284561214624104645789101745[[#This Row],[Type]]&gt;0,VLOOKUP(_1_541284561214624104645789101745[[#This Row],[Type]],Main[[#All],[TYPE]:[UNIT]],'Unit Price'!C$1,FALSE),0)</f>
        <v>0</v>
      </c>
      <c r="H879" s="197">
        <f>IF(_1_541284561214624104645789101745[[#This Row],[Type]]&gt;0,VLOOKUP(_1_541284561214624104645789101745[[#This Row],[Type]],Main[[#All],[TYPE]:[UNIT]],'Unit Price'!D$1,FALSE),0)</f>
        <v>0</v>
      </c>
      <c r="I879" s="194">
        <f>IF(_1_541284561214624104645789101745[[#This Row],[Type]]&gt;0,VLOOKUP(_1_541284561214624104645789101745[[#This Row],[Type]],Main[[#All],[TYPE]:[UNIT]],'Unit Price'!G$1,FALSE),0)</f>
        <v>0</v>
      </c>
      <c r="J879" s="194">
        <f>IF(_1_541284561214624104645789101745[[#This Row],[Type]]&gt;0,VLOOKUP(_1_541284561214624104645789101745[[#This Row],[Type]],Main[[#All],[TYPE]:[UNIT]],'Unit Price'!H$1,FALSE),0)</f>
        <v>0</v>
      </c>
      <c r="K879" s="194">
        <f>IF(_1_541284561214624104645789101745[[#This Row],[Discount selection]]&gt;0,VLOOKUP(_1_541284561214624104645789101745[[#This Row],[Discount selection]],'Discount Structure'!$A$2:$B$30,2,"false"),0)</f>
        <v>1</v>
      </c>
      <c r="L879" s="194">
        <f>_1_541284561214624104645789101745[[#This Row],[LIST $]]*_1_541284561214624104645789101745[[#This Row],[DISCOUNT]]*_1_541284561214624104645789101745[[#This Row],[DISCOUNT 2]]</f>
        <v>0</v>
      </c>
      <c r="M879" s="194">
        <f>IF(OR(_1_541284561214624104645789101745[[#This Row],[UNIT]]&gt;0,_1_541284561214624104645789101745[[#This Row],[UNIT]]&lt;0),_1_541284561214624104645789101745[[#This Row],[UNIT]]*_1_541284561214624104645789101745[[#This Row],[COST]],0)</f>
        <v>0</v>
      </c>
      <c r="N879" s="194">
        <f t="shared" si="13"/>
        <v>1.5</v>
      </c>
      <c r="O879" s="198">
        <f>_1_541284561214624104645789101745[[#This Row],[TOTAL]]*_1_541284561214624104645789101745[[#This Row],[MARGIN]]</f>
        <v>0</v>
      </c>
      <c r="P879" s="198"/>
      <c r="R879" s="41"/>
    </row>
    <row r="880" spans="4:18">
      <c r="D880" s="188"/>
      <c r="E880" s="42"/>
      <c r="F880" s="168" t="s">
        <v>6202</v>
      </c>
      <c r="G880" s="193">
        <f>IF(_1_541284561214624104645789101745[[#This Row],[Type]]&gt;0,VLOOKUP(_1_541284561214624104645789101745[[#This Row],[Type]],Main[[#All],[TYPE]:[UNIT]],'Unit Price'!C$1,FALSE),0)</f>
        <v>0</v>
      </c>
      <c r="H880" s="197">
        <f>IF(_1_541284561214624104645789101745[[#This Row],[Type]]&gt;0,VLOOKUP(_1_541284561214624104645789101745[[#This Row],[Type]],Main[[#All],[TYPE]:[UNIT]],'Unit Price'!D$1,FALSE),0)</f>
        <v>0</v>
      </c>
      <c r="I880" s="194">
        <f>IF(_1_541284561214624104645789101745[[#This Row],[Type]]&gt;0,VLOOKUP(_1_541284561214624104645789101745[[#This Row],[Type]],Main[[#All],[TYPE]:[UNIT]],'Unit Price'!G$1,FALSE),0)</f>
        <v>0</v>
      </c>
      <c r="J880" s="194">
        <f>IF(_1_541284561214624104645789101745[[#This Row],[Type]]&gt;0,VLOOKUP(_1_541284561214624104645789101745[[#This Row],[Type]],Main[[#All],[TYPE]:[UNIT]],'Unit Price'!H$1,FALSE),0)</f>
        <v>0</v>
      </c>
      <c r="K880" s="194">
        <f>IF(_1_541284561214624104645789101745[[#This Row],[Discount selection]]&gt;0,VLOOKUP(_1_541284561214624104645789101745[[#This Row],[Discount selection]],'Discount Structure'!$A$2:$B$30,2,"false"),0)</f>
        <v>1</v>
      </c>
      <c r="L880" s="194">
        <f>_1_541284561214624104645789101745[[#This Row],[LIST $]]*_1_541284561214624104645789101745[[#This Row],[DISCOUNT]]*_1_541284561214624104645789101745[[#This Row],[DISCOUNT 2]]</f>
        <v>0</v>
      </c>
      <c r="M880" s="194">
        <f>IF(OR(_1_541284561214624104645789101745[[#This Row],[UNIT]]&gt;0,_1_541284561214624104645789101745[[#This Row],[UNIT]]&lt;0),_1_541284561214624104645789101745[[#This Row],[UNIT]]*_1_541284561214624104645789101745[[#This Row],[COST]],0)</f>
        <v>0</v>
      </c>
      <c r="N880" s="194">
        <f t="shared" si="13"/>
        <v>1.5</v>
      </c>
      <c r="O880" s="198">
        <f>_1_541284561214624104645789101745[[#This Row],[TOTAL]]*_1_541284561214624104645789101745[[#This Row],[MARGIN]]</f>
        <v>0</v>
      </c>
      <c r="P880" s="198"/>
      <c r="R880" s="41"/>
    </row>
    <row r="881" spans="4:18">
      <c r="D881" s="188"/>
      <c r="E881" s="42"/>
      <c r="F881" s="168" t="s">
        <v>6202</v>
      </c>
      <c r="G881" s="193">
        <f>IF(_1_541284561214624104645789101745[[#This Row],[Type]]&gt;0,VLOOKUP(_1_541284561214624104645789101745[[#This Row],[Type]],Main[[#All],[TYPE]:[UNIT]],'Unit Price'!C$1,FALSE),0)</f>
        <v>0</v>
      </c>
      <c r="H881" s="197">
        <f>IF(_1_541284561214624104645789101745[[#This Row],[Type]]&gt;0,VLOOKUP(_1_541284561214624104645789101745[[#This Row],[Type]],Main[[#All],[TYPE]:[UNIT]],'Unit Price'!D$1,FALSE),0)</f>
        <v>0</v>
      </c>
      <c r="I881" s="194">
        <f>IF(_1_541284561214624104645789101745[[#This Row],[Type]]&gt;0,VLOOKUP(_1_541284561214624104645789101745[[#This Row],[Type]],Main[[#All],[TYPE]:[UNIT]],'Unit Price'!G$1,FALSE),0)</f>
        <v>0</v>
      </c>
      <c r="J881" s="194">
        <f>IF(_1_541284561214624104645789101745[[#This Row],[Type]]&gt;0,VLOOKUP(_1_541284561214624104645789101745[[#This Row],[Type]],Main[[#All],[TYPE]:[UNIT]],'Unit Price'!H$1,FALSE),0)</f>
        <v>0</v>
      </c>
      <c r="K881" s="194">
        <f>IF(_1_541284561214624104645789101745[[#This Row],[Discount selection]]&gt;0,VLOOKUP(_1_541284561214624104645789101745[[#This Row],[Discount selection]],'Discount Structure'!$A$2:$B$30,2,"false"),0)</f>
        <v>1</v>
      </c>
      <c r="L881" s="194">
        <f>_1_541284561214624104645789101745[[#This Row],[LIST $]]*_1_541284561214624104645789101745[[#This Row],[DISCOUNT]]*_1_541284561214624104645789101745[[#This Row],[DISCOUNT 2]]</f>
        <v>0</v>
      </c>
      <c r="M881" s="194">
        <f>IF(OR(_1_541284561214624104645789101745[[#This Row],[UNIT]]&gt;0,_1_541284561214624104645789101745[[#This Row],[UNIT]]&lt;0),_1_541284561214624104645789101745[[#This Row],[UNIT]]*_1_541284561214624104645789101745[[#This Row],[COST]],0)</f>
        <v>0</v>
      </c>
      <c r="N881" s="194">
        <f t="shared" si="13"/>
        <v>1.5</v>
      </c>
      <c r="O881" s="198">
        <f>_1_541284561214624104645789101745[[#This Row],[TOTAL]]*_1_541284561214624104645789101745[[#This Row],[MARGIN]]</f>
        <v>0</v>
      </c>
      <c r="P881" s="198"/>
      <c r="R881" s="41"/>
    </row>
    <row r="882" spans="4:18">
      <c r="D882" s="188"/>
      <c r="E882" s="42"/>
      <c r="F882" s="168" t="s">
        <v>6202</v>
      </c>
      <c r="G882" s="193">
        <f>IF(_1_541284561214624104645789101745[[#This Row],[Type]]&gt;0,VLOOKUP(_1_541284561214624104645789101745[[#This Row],[Type]],Main[[#All],[TYPE]:[UNIT]],'Unit Price'!C$1,FALSE),0)</f>
        <v>0</v>
      </c>
      <c r="H882" s="197">
        <f>IF(_1_541284561214624104645789101745[[#This Row],[Type]]&gt;0,VLOOKUP(_1_541284561214624104645789101745[[#This Row],[Type]],Main[[#All],[TYPE]:[UNIT]],'Unit Price'!D$1,FALSE),0)</f>
        <v>0</v>
      </c>
      <c r="I882" s="194">
        <f>IF(_1_541284561214624104645789101745[[#This Row],[Type]]&gt;0,VLOOKUP(_1_541284561214624104645789101745[[#This Row],[Type]],Main[[#All],[TYPE]:[UNIT]],'Unit Price'!G$1,FALSE),0)</f>
        <v>0</v>
      </c>
      <c r="J882" s="194">
        <f>IF(_1_541284561214624104645789101745[[#This Row],[Type]]&gt;0,VLOOKUP(_1_541284561214624104645789101745[[#This Row],[Type]],Main[[#All],[TYPE]:[UNIT]],'Unit Price'!H$1,FALSE),0)</f>
        <v>0</v>
      </c>
      <c r="K882" s="194">
        <f>IF(_1_541284561214624104645789101745[[#This Row],[Discount selection]]&gt;0,VLOOKUP(_1_541284561214624104645789101745[[#This Row],[Discount selection]],'Discount Structure'!$A$2:$B$30,2,"false"),0)</f>
        <v>1</v>
      </c>
      <c r="L882" s="194">
        <f>_1_541284561214624104645789101745[[#This Row],[LIST $]]*_1_541284561214624104645789101745[[#This Row],[DISCOUNT]]*_1_541284561214624104645789101745[[#This Row],[DISCOUNT 2]]</f>
        <v>0</v>
      </c>
      <c r="M882" s="194">
        <f>IF(OR(_1_541284561214624104645789101745[[#This Row],[UNIT]]&gt;0,_1_541284561214624104645789101745[[#This Row],[UNIT]]&lt;0),_1_541284561214624104645789101745[[#This Row],[UNIT]]*_1_541284561214624104645789101745[[#This Row],[COST]],0)</f>
        <v>0</v>
      </c>
      <c r="N882" s="194">
        <f t="shared" si="13"/>
        <v>1.5</v>
      </c>
      <c r="O882" s="198">
        <f>_1_541284561214624104645789101745[[#This Row],[TOTAL]]*_1_541284561214624104645789101745[[#This Row],[MARGIN]]</f>
        <v>0</v>
      </c>
      <c r="P882" s="198"/>
      <c r="R882" s="41"/>
    </row>
    <row r="883" spans="4:18">
      <c r="D883" s="188"/>
      <c r="E883" s="42"/>
      <c r="F883" s="168" t="s">
        <v>6202</v>
      </c>
      <c r="G883" s="193">
        <f>IF(_1_541284561214624104645789101745[[#This Row],[Type]]&gt;0,VLOOKUP(_1_541284561214624104645789101745[[#This Row],[Type]],Main[[#All],[TYPE]:[UNIT]],'Unit Price'!C$1,FALSE),0)</f>
        <v>0</v>
      </c>
      <c r="H883" s="197">
        <f>IF(_1_541284561214624104645789101745[[#This Row],[Type]]&gt;0,VLOOKUP(_1_541284561214624104645789101745[[#This Row],[Type]],Main[[#All],[TYPE]:[UNIT]],'Unit Price'!D$1,FALSE),0)</f>
        <v>0</v>
      </c>
      <c r="I883" s="194">
        <f>IF(_1_541284561214624104645789101745[[#This Row],[Type]]&gt;0,VLOOKUP(_1_541284561214624104645789101745[[#This Row],[Type]],Main[[#All],[TYPE]:[UNIT]],'Unit Price'!G$1,FALSE),0)</f>
        <v>0</v>
      </c>
      <c r="J883" s="194">
        <f>IF(_1_541284561214624104645789101745[[#This Row],[Type]]&gt;0,VLOOKUP(_1_541284561214624104645789101745[[#This Row],[Type]],Main[[#All],[TYPE]:[UNIT]],'Unit Price'!H$1,FALSE),0)</f>
        <v>0</v>
      </c>
      <c r="K883" s="194">
        <f>IF(_1_541284561214624104645789101745[[#This Row],[Discount selection]]&gt;0,VLOOKUP(_1_541284561214624104645789101745[[#This Row],[Discount selection]],'Discount Structure'!$A$2:$B$30,2,"false"),0)</f>
        <v>1</v>
      </c>
      <c r="L883" s="194">
        <f>_1_541284561214624104645789101745[[#This Row],[LIST $]]*_1_541284561214624104645789101745[[#This Row],[DISCOUNT]]*_1_541284561214624104645789101745[[#This Row],[DISCOUNT 2]]</f>
        <v>0</v>
      </c>
      <c r="M883" s="194">
        <f>IF(OR(_1_541284561214624104645789101745[[#This Row],[UNIT]]&gt;0,_1_541284561214624104645789101745[[#This Row],[UNIT]]&lt;0),_1_541284561214624104645789101745[[#This Row],[UNIT]]*_1_541284561214624104645789101745[[#This Row],[COST]],0)</f>
        <v>0</v>
      </c>
      <c r="N883" s="194">
        <f t="shared" si="13"/>
        <v>1.5</v>
      </c>
      <c r="O883" s="198">
        <f>_1_541284561214624104645789101745[[#This Row],[TOTAL]]*_1_541284561214624104645789101745[[#This Row],[MARGIN]]</f>
        <v>0</v>
      </c>
      <c r="P883" s="198"/>
      <c r="R883" s="41"/>
    </row>
    <row r="884" spans="4:18">
      <c r="D884" s="188"/>
      <c r="E884" s="42"/>
      <c r="F884" s="168" t="s">
        <v>6202</v>
      </c>
      <c r="G884" s="193">
        <f>IF(_1_541284561214624104645789101745[[#This Row],[Type]]&gt;0,VLOOKUP(_1_541284561214624104645789101745[[#This Row],[Type]],Main[[#All],[TYPE]:[UNIT]],'Unit Price'!C$1,FALSE),0)</f>
        <v>0</v>
      </c>
      <c r="H884" s="197">
        <f>IF(_1_541284561214624104645789101745[[#This Row],[Type]]&gt;0,VLOOKUP(_1_541284561214624104645789101745[[#This Row],[Type]],Main[[#All],[TYPE]:[UNIT]],'Unit Price'!D$1,FALSE),0)</f>
        <v>0</v>
      </c>
      <c r="I884" s="194">
        <f>IF(_1_541284561214624104645789101745[[#This Row],[Type]]&gt;0,VLOOKUP(_1_541284561214624104645789101745[[#This Row],[Type]],Main[[#All],[TYPE]:[UNIT]],'Unit Price'!G$1,FALSE),0)</f>
        <v>0</v>
      </c>
      <c r="J884" s="194">
        <f>IF(_1_541284561214624104645789101745[[#This Row],[Type]]&gt;0,VLOOKUP(_1_541284561214624104645789101745[[#This Row],[Type]],Main[[#All],[TYPE]:[UNIT]],'Unit Price'!H$1,FALSE),0)</f>
        <v>0</v>
      </c>
      <c r="K884" s="194">
        <f>IF(_1_541284561214624104645789101745[[#This Row],[Discount selection]]&gt;0,VLOOKUP(_1_541284561214624104645789101745[[#This Row],[Discount selection]],'Discount Structure'!$A$2:$B$30,2,"false"),0)</f>
        <v>1</v>
      </c>
      <c r="L884" s="194">
        <f>_1_541284561214624104645789101745[[#This Row],[LIST $]]*_1_541284561214624104645789101745[[#This Row],[DISCOUNT]]*_1_541284561214624104645789101745[[#This Row],[DISCOUNT 2]]</f>
        <v>0</v>
      </c>
      <c r="M884" s="194">
        <f>IF(OR(_1_541284561214624104645789101745[[#This Row],[UNIT]]&gt;0,_1_541284561214624104645789101745[[#This Row],[UNIT]]&lt;0),_1_541284561214624104645789101745[[#This Row],[UNIT]]*_1_541284561214624104645789101745[[#This Row],[COST]],0)</f>
        <v>0</v>
      </c>
      <c r="N884" s="194">
        <f t="shared" si="13"/>
        <v>1.5</v>
      </c>
      <c r="O884" s="198">
        <f>_1_541284561214624104645789101745[[#This Row],[TOTAL]]*_1_541284561214624104645789101745[[#This Row],[MARGIN]]</f>
        <v>0</v>
      </c>
      <c r="P884" s="198"/>
      <c r="R884" s="41"/>
    </row>
    <row r="885" spans="4:18">
      <c r="D885" s="188"/>
      <c r="E885" s="42"/>
      <c r="F885" s="168" t="s">
        <v>6202</v>
      </c>
      <c r="G885" s="193">
        <f>IF(_1_541284561214624104645789101745[[#This Row],[Type]]&gt;0,VLOOKUP(_1_541284561214624104645789101745[[#This Row],[Type]],Main[[#All],[TYPE]:[UNIT]],'Unit Price'!C$1,FALSE),0)</f>
        <v>0</v>
      </c>
      <c r="H885" s="197">
        <f>IF(_1_541284561214624104645789101745[[#This Row],[Type]]&gt;0,VLOOKUP(_1_541284561214624104645789101745[[#This Row],[Type]],Main[[#All],[TYPE]:[UNIT]],'Unit Price'!D$1,FALSE),0)</f>
        <v>0</v>
      </c>
      <c r="I885" s="194">
        <f>IF(_1_541284561214624104645789101745[[#This Row],[Type]]&gt;0,VLOOKUP(_1_541284561214624104645789101745[[#This Row],[Type]],Main[[#All],[TYPE]:[UNIT]],'Unit Price'!G$1,FALSE),0)</f>
        <v>0</v>
      </c>
      <c r="J885" s="194">
        <f>IF(_1_541284561214624104645789101745[[#This Row],[Type]]&gt;0,VLOOKUP(_1_541284561214624104645789101745[[#This Row],[Type]],Main[[#All],[TYPE]:[UNIT]],'Unit Price'!H$1,FALSE),0)</f>
        <v>0</v>
      </c>
      <c r="K885" s="194">
        <f>IF(_1_541284561214624104645789101745[[#This Row],[Discount selection]]&gt;0,VLOOKUP(_1_541284561214624104645789101745[[#This Row],[Discount selection]],'Discount Structure'!$A$2:$B$30,2,"false"),0)</f>
        <v>1</v>
      </c>
      <c r="L885" s="194">
        <f>_1_541284561214624104645789101745[[#This Row],[LIST $]]*_1_541284561214624104645789101745[[#This Row],[DISCOUNT]]*_1_541284561214624104645789101745[[#This Row],[DISCOUNT 2]]</f>
        <v>0</v>
      </c>
      <c r="M885" s="194">
        <f>IF(OR(_1_541284561214624104645789101745[[#This Row],[UNIT]]&gt;0,_1_541284561214624104645789101745[[#This Row],[UNIT]]&lt;0),_1_541284561214624104645789101745[[#This Row],[UNIT]]*_1_541284561214624104645789101745[[#This Row],[COST]],0)</f>
        <v>0</v>
      </c>
      <c r="N885" s="194">
        <f t="shared" si="13"/>
        <v>1.5</v>
      </c>
      <c r="O885" s="198">
        <f>_1_541284561214624104645789101745[[#This Row],[TOTAL]]*_1_541284561214624104645789101745[[#This Row],[MARGIN]]</f>
        <v>0</v>
      </c>
      <c r="P885" s="198"/>
      <c r="R885" s="41"/>
    </row>
    <row r="886" spans="4:18">
      <c r="D886" s="188"/>
      <c r="E886" s="42"/>
      <c r="F886" s="168" t="s">
        <v>6202</v>
      </c>
      <c r="G886" s="193">
        <f>IF(_1_541284561214624104645789101745[[#This Row],[Type]]&gt;0,VLOOKUP(_1_541284561214624104645789101745[[#This Row],[Type]],Main[[#All],[TYPE]:[UNIT]],'Unit Price'!C$1,FALSE),0)</f>
        <v>0</v>
      </c>
      <c r="H886" s="197">
        <f>IF(_1_541284561214624104645789101745[[#This Row],[Type]]&gt;0,VLOOKUP(_1_541284561214624104645789101745[[#This Row],[Type]],Main[[#All],[TYPE]:[UNIT]],'Unit Price'!D$1,FALSE),0)</f>
        <v>0</v>
      </c>
      <c r="I886" s="194">
        <f>IF(_1_541284561214624104645789101745[[#This Row],[Type]]&gt;0,VLOOKUP(_1_541284561214624104645789101745[[#This Row],[Type]],Main[[#All],[TYPE]:[UNIT]],'Unit Price'!G$1,FALSE),0)</f>
        <v>0</v>
      </c>
      <c r="J886" s="194">
        <f>IF(_1_541284561214624104645789101745[[#This Row],[Type]]&gt;0,VLOOKUP(_1_541284561214624104645789101745[[#This Row],[Type]],Main[[#All],[TYPE]:[UNIT]],'Unit Price'!H$1,FALSE),0)</f>
        <v>0</v>
      </c>
      <c r="K886" s="194">
        <f>IF(_1_541284561214624104645789101745[[#This Row],[Discount selection]]&gt;0,VLOOKUP(_1_541284561214624104645789101745[[#This Row],[Discount selection]],'Discount Structure'!$A$2:$B$30,2,"false"),0)</f>
        <v>1</v>
      </c>
      <c r="L886" s="194">
        <f>_1_541284561214624104645789101745[[#This Row],[LIST $]]*_1_541284561214624104645789101745[[#This Row],[DISCOUNT]]*_1_541284561214624104645789101745[[#This Row],[DISCOUNT 2]]</f>
        <v>0</v>
      </c>
      <c r="M886" s="194">
        <f>IF(OR(_1_541284561214624104645789101745[[#This Row],[UNIT]]&gt;0,_1_541284561214624104645789101745[[#This Row],[UNIT]]&lt;0),_1_541284561214624104645789101745[[#This Row],[UNIT]]*_1_541284561214624104645789101745[[#This Row],[COST]],0)</f>
        <v>0</v>
      </c>
      <c r="N886" s="194">
        <f t="shared" si="13"/>
        <v>1.5</v>
      </c>
      <c r="O886" s="198">
        <f>_1_541284561214624104645789101745[[#This Row],[TOTAL]]*_1_541284561214624104645789101745[[#This Row],[MARGIN]]</f>
        <v>0</v>
      </c>
      <c r="P886" s="198"/>
      <c r="R886" s="41"/>
    </row>
    <row r="887" spans="4:18">
      <c r="D887" s="188"/>
      <c r="E887" s="42"/>
      <c r="F887" s="168" t="s">
        <v>6202</v>
      </c>
      <c r="G887" s="193">
        <f>IF(_1_541284561214624104645789101745[[#This Row],[Type]]&gt;0,VLOOKUP(_1_541284561214624104645789101745[[#This Row],[Type]],Main[[#All],[TYPE]:[UNIT]],'Unit Price'!C$1,FALSE),0)</f>
        <v>0</v>
      </c>
      <c r="H887" s="197">
        <f>IF(_1_541284561214624104645789101745[[#This Row],[Type]]&gt;0,VLOOKUP(_1_541284561214624104645789101745[[#This Row],[Type]],Main[[#All],[TYPE]:[UNIT]],'Unit Price'!D$1,FALSE),0)</f>
        <v>0</v>
      </c>
      <c r="I887" s="194">
        <f>IF(_1_541284561214624104645789101745[[#This Row],[Type]]&gt;0,VLOOKUP(_1_541284561214624104645789101745[[#This Row],[Type]],Main[[#All],[TYPE]:[UNIT]],'Unit Price'!G$1,FALSE),0)</f>
        <v>0</v>
      </c>
      <c r="J887" s="194">
        <f>IF(_1_541284561214624104645789101745[[#This Row],[Type]]&gt;0,VLOOKUP(_1_541284561214624104645789101745[[#This Row],[Type]],Main[[#All],[TYPE]:[UNIT]],'Unit Price'!H$1,FALSE),0)</f>
        <v>0</v>
      </c>
      <c r="K887" s="194">
        <f>IF(_1_541284561214624104645789101745[[#This Row],[Discount selection]]&gt;0,VLOOKUP(_1_541284561214624104645789101745[[#This Row],[Discount selection]],'Discount Structure'!$A$2:$B$30,2,"false"),0)</f>
        <v>1</v>
      </c>
      <c r="L887" s="194">
        <f>_1_541284561214624104645789101745[[#This Row],[LIST $]]*_1_541284561214624104645789101745[[#This Row],[DISCOUNT]]*_1_541284561214624104645789101745[[#This Row],[DISCOUNT 2]]</f>
        <v>0</v>
      </c>
      <c r="M887" s="194">
        <f>IF(OR(_1_541284561214624104645789101745[[#This Row],[UNIT]]&gt;0,_1_541284561214624104645789101745[[#This Row],[UNIT]]&lt;0),_1_541284561214624104645789101745[[#This Row],[UNIT]]*_1_541284561214624104645789101745[[#This Row],[COST]],0)</f>
        <v>0</v>
      </c>
      <c r="N887" s="194">
        <f t="shared" si="13"/>
        <v>1.5</v>
      </c>
      <c r="O887" s="198">
        <f>_1_541284561214624104645789101745[[#This Row],[TOTAL]]*_1_541284561214624104645789101745[[#This Row],[MARGIN]]</f>
        <v>0</v>
      </c>
      <c r="P887" s="198"/>
      <c r="R887" s="41"/>
    </row>
    <row r="888" spans="4:18">
      <c r="D888" s="188"/>
      <c r="E888" s="42"/>
      <c r="F888" s="168" t="s">
        <v>6202</v>
      </c>
      <c r="G888" s="193">
        <f>IF(_1_541284561214624104645789101745[[#This Row],[Type]]&gt;0,VLOOKUP(_1_541284561214624104645789101745[[#This Row],[Type]],Main[[#All],[TYPE]:[UNIT]],'Unit Price'!C$1,FALSE),0)</f>
        <v>0</v>
      </c>
      <c r="H888" s="197">
        <f>IF(_1_541284561214624104645789101745[[#This Row],[Type]]&gt;0,VLOOKUP(_1_541284561214624104645789101745[[#This Row],[Type]],Main[[#All],[TYPE]:[UNIT]],'Unit Price'!D$1,FALSE),0)</f>
        <v>0</v>
      </c>
      <c r="I888" s="194">
        <f>IF(_1_541284561214624104645789101745[[#This Row],[Type]]&gt;0,VLOOKUP(_1_541284561214624104645789101745[[#This Row],[Type]],Main[[#All],[TYPE]:[UNIT]],'Unit Price'!G$1,FALSE),0)</f>
        <v>0</v>
      </c>
      <c r="J888" s="194">
        <f>IF(_1_541284561214624104645789101745[[#This Row],[Type]]&gt;0,VLOOKUP(_1_541284561214624104645789101745[[#This Row],[Type]],Main[[#All],[TYPE]:[UNIT]],'Unit Price'!H$1,FALSE),0)</f>
        <v>0</v>
      </c>
      <c r="K888" s="194">
        <f>IF(_1_541284561214624104645789101745[[#This Row],[Discount selection]]&gt;0,VLOOKUP(_1_541284561214624104645789101745[[#This Row],[Discount selection]],'Discount Structure'!$A$2:$B$30,2,"false"),0)</f>
        <v>1</v>
      </c>
      <c r="L888" s="194">
        <f>_1_541284561214624104645789101745[[#This Row],[LIST $]]*_1_541284561214624104645789101745[[#This Row],[DISCOUNT]]*_1_541284561214624104645789101745[[#This Row],[DISCOUNT 2]]</f>
        <v>0</v>
      </c>
      <c r="M888" s="194">
        <f>IF(OR(_1_541284561214624104645789101745[[#This Row],[UNIT]]&gt;0,_1_541284561214624104645789101745[[#This Row],[UNIT]]&lt;0),_1_541284561214624104645789101745[[#This Row],[UNIT]]*_1_541284561214624104645789101745[[#This Row],[COST]],0)</f>
        <v>0</v>
      </c>
      <c r="N888" s="194">
        <f t="shared" si="13"/>
        <v>1.5</v>
      </c>
      <c r="O888" s="198">
        <f>_1_541284561214624104645789101745[[#This Row],[TOTAL]]*_1_541284561214624104645789101745[[#This Row],[MARGIN]]</f>
        <v>0</v>
      </c>
      <c r="P888" s="198"/>
      <c r="R888" s="41"/>
    </row>
    <row r="889" spans="4:18">
      <c r="D889" s="188"/>
      <c r="E889" s="42"/>
      <c r="F889" s="168" t="s">
        <v>6202</v>
      </c>
      <c r="G889" s="193">
        <f>IF(_1_541284561214624104645789101745[[#This Row],[Type]]&gt;0,VLOOKUP(_1_541284561214624104645789101745[[#This Row],[Type]],Main[[#All],[TYPE]:[UNIT]],'Unit Price'!C$1,FALSE),0)</f>
        <v>0</v>
      </c>
      <c r="H889" s="197">
        <f>IF(_1_541284561214624104645789101745[[#This Row],[Type]]&gt;0,VLOOKUP(_1_541284561214624104645789101745[[#This Row],[Type]],Main[[#All],[TYPE]:[UNIT]],'Unit Price'!D$1,FALSE),0)</f>
        <v>0</v>
      </c>
      <c r="I889" s="194">
        <f>IF(_1_541284561214624104645789101745[[#This Row],[Type]]&gt;0,VLOOKUP(_1_541284561214624104645789101745[[#This Row],[Type]],Main[[#All],[TYPE]:[UNIT]],'Unit Price'!G$1,FALSE),0)</f>
        <v>0</v>
      </c>
      <c r="J889" s="194">
        <f>IF(_1_541284561214624104645789101745[[#This Row],[Type]]&gt;0,VLOOKUP(_1_541284561214624104645789101745[[#This Row],[Type]],Main[[#All],[TYPE]:[UNIT]],'Unit Price'!H$1,FALSE),0)</f>
        <v>0</v>
      </c>
      <c r="K889" s="194">
        <f>IF(_1_541284561214624104645789101745[[#This Row],[Discount selection]]&gt;0,VLOOKUP(_1_541284561214624104645789101745[[#This Row],[Discount selection]],'Discount Structure'!$A$2:$B$30,2,"false"),0)</f>
        <v>1</v>
      </c>
      <c r="L889" s="194">
        <f>_1_541284561214624104645789101745[[#This Row],[LIST $]]*_1_541284561214624104645789101745[[#This Row],[DISCOUNT]]*_1_541284561214624104645789101745[[#This Row],[DISCOUNT 2]]</f>
        <v>0</v>
      </c>
      <c r="M889" s="194">
        <f>IF(OR(_1_541284561214624104645789101745[[#This Row],[UNIT]]&gt;0,_1_541284561214624104645789101745[[#This Row],[UNIT]]&lt;0),_1_541284561214624104645789101745[[#This Row],[UNIT]]*_1_541284561214624104645789101745[[#This Row],[COST]],0)</f>
        <v>0</v>
      </c>
      <c r="N889" s="194">
        <f t="shared" si="13"/>
        <v>1.5</v>
      </c>
      <c r="O889" s="198">
        <f>_1_541284561214624104645789101745[[#This Row],[TOTAL]]*_1_541284561214624104645789101745[[#This Row],[MARGIN]]</f>
        <v>0</v>
      </c>
      <c r="P889" s="198"/>
      <c r="R889" s="41"/>
    </row>
    <row r="890" spans="4:18">
      <c r="D890" s="188"/>
      <c r="E890" s="42"/>
      <c r="F890" s="168" t="s">
        <v>6202</v>
      </c>
      <c r="G890" s="193">
        <f>IF(_1_541284561214624104645789101745[[#This Row],[Type]]&gt;0,VLOOKUP(_1_541284561214624104645789101745[[#This Row],[Type]],Main[[#All],[TYPE]:[UNIT]],'Unit Price'!C$1,FALSE),0)</f>
        <v>0</v>
      </c>
      <c r="H890" s="197">
        <f>IF(_1_541284561214624104645789101745[[#This Row],[Type]]&gt;0,VLOOKUP(_1_541284561214624104645789101745[[#This Row],[Type]],Main[[#All],[TYPE]:[UNIT]],'Unit Price'!D$1,FALSE),0)</f>
        <v>0</v>
      </c>
      <c r="I890" s="194">
        <f>IF(_1_541284561214624104645789101745[[#This Row],[Type]]&gt;0,VLOOKUP(_1_541284561214624104645789101745[[#This Row],[Type]],Main[[#All],[TYPE]:[UNIT]],'Unit Price'!G$1,FALSE),0)</f>
        <v>0</v>
      </c>
      <c r="J890" s="194">
        <f>IF(_1_541284561214624104645789101745[[#This Row],[Type]]&gt;0,VLOOKUP(_1_541284561214624104645789101745[[#This Row],[Type]],Main[[#All],[TYPE]:[UNIT]],'Unit Price'!H$1,FALSE),0)</f>
        <v>0</v>
      </c>
      <c r="K890" s="194">
        <f>IF(_1_541284561214624104645789101745[[#This Row],[Discount selection]]&gt;0,VLOOKUP(_1_541284561214624104645789101745[[#This Row],[Discount selection]],'Discount Structure'!$A$2:$B$30,2,"false"),0)</f>
        <v>1</v>
      </c>
      <c r="L890" s="194">
        <f>_1_541284561214624104645789101745[[#This Row],[LIST $]]*_1_541284561214624104645789101745[[#This Row],[DISCOUNT]]*_1_541284561214624104645789101745[[#This Row],[DISCOUNT 2]]</f>
        <v>0</v>
      </c>
      <c r="M890" s="194">
        <f>IF(OR(_1_541284561214624104645789101745[[#This Row],[UNIT]]&gt;0,_1_541284561214624104645789101745[[#This Row],[UNIT]]&lt;0),_1_541284561214624104645789101745[[#This Row],[UNIT]]*_1_541284561214624104645789101745[[#This Row],[COST]],0)</f>
        <v>0</v>
      </c>
      <c r="N890" s="194">
        <f t="shared" si="13"/>
        <v>1.5</v>
      </c>
      <c r="O890" s="198">
        <f>_1_541284561214624104645789101745[[#This Row],[TOTAL]]*_1_541284561214624104645789101745[[#This Row],[MARGIN]]</f>
        <v>0</v>
      </c>
      <c r="P890" s="198"/>
      <c r="R890" s="41"/>
    </row>
    <row r="891" spans="4:18">
      <c r="D891" s="188"/>
      <c r="E891" s="42"/>
      <c r="F891" s="168" t="s">
        <v>6202</v>
      </c>
      <c r="G891" s="193">
        <f>IF(_1_541284561214624104645789101745[[#This Row],[Type]]&gt;0,VLOOKUP(_1_541284561214624104645789101745[[#This Row],[Type]],Main[[#All],[TYPE]:[UNIT]],'Unit Price'!C$1,FALSE),0)</f>
        <v>0</v>
      </c>
      <c r="H891" s="197">
        <f>IF(_1_541284561214624104645789101745[[#This Row],[Type]]&gt;0,VLOOKUP(_1_541284561214624104645789101745[[#This Row],[Type]],Main[[#All],[TYPE]:[UNIT]],'Unit Price'!D$1,FALSE),0)</f>
        <v>0</v>
      </c>
      <c r="I891" s="194">
        <f>IF(_1_541284561214624104645789101745[[#This Row],[Type]]&gt;0,VLOOKUP(_1_541284561214624104645789101745[[#This Row],[Type]],Main[[#All],[TYPE]:[UNIT]],'Unit Price'!G$1,FALSE),0)</f>
        <v>0</v>
      </c>
      <c r="J891" s="194">
        <f>IF(_1_541284561214624104645789101745[[#This Row],[Type]]&gt;0,VLOOKUP(_1_541284561214624104645789101745[[#This Row],[Type]],Main[[#All],[TYPE]:[UNIT]],'Unit Price'!H$1,FALSE),0)</f>
        <v>0</v>
      </c>
      <c r="K891" s="194">
        <f>IF(_1_541284561214624104645789101745[[#This Row],[Discount selection]]&gt;0,VLOOKUP(_1_541284561214624104645789101745[[#This Row],[Discount selection]],'Discount Structure'!$A$2:$B$30,2,"false"),0)</f>
        <v>1</v>
      </c>
      <c r="L891" s="194">
        <f>_1_541284561214624104645789101745[[#This Row],[LIST $]]*_1_541284561214624104645789101745[[#This Row],[DISCOUNT]]*_1_541284561214624104645789101745[[#This Row],[DISCOUNT 2]]</f>
        <v>0</v>
      </c>
      <c r="M891" s="194">
        <f>IF(OR(_1_541284561214624104645789101745[[#This Row],[UNIT]]&gt;0,_1_541284561214624104645789101745[[#This Row],[UNIT]]&lt;0),_1_541284561214624104645789101745[[#This Row],[UNIT]]*_1_541284561214624104645789101745[[#This Row],[COST]],0)</f>
        <v>0</v>
      </c>
      <c r="N891" s="194">
        <f t="shared" si="13"/>
        <v>1.5</v>
      </c>
      <c r="O891" s="198">
        <f>_1_541284561214624104645789101745[[#This Row],[TOTAL]]*_1_541284561214624104645789101745[[#This Row],[MARGIN]]</f>
        <v>0</v>
      </c>
      <c r="P891" s="198"/>
      <c r="R891" s="41"/>
    </row>
    <row r="892" spans="4:18">
      <c r="D892" s="188"/>
      <c r="E892" s="42"/>
      <c r="F892" s="168" t="s">
        <v>6202</v>
      </c>
      <c r="G892" s="193">
        <f>IF(_1_541284561214624104645789101745[[#This Row],[Type]]&gt;0,VLOOKUP(_1_541284561214624104645789101745[[#This Row],[Type]],Main[[#All],[TYPE]:[UNIT]],'Unit Price'!C$1,FALSE),0)</f>
        <v>0</v>
      </c>
      <c r="H892" s="197">
        <f>IF(_1_541284561214624104645789101745[[#This Row],[Type]]&gt;0,VLOOKUP(_1_541284561214624104645789101745[[#This Row],[Type]],Main[[#All],[TYPE]:[UNIT]],'Unit Price'!D$1,FALSE),0)</f>
        <v>0</v>
      </c>
      <c r="I892" s="194">
        <f>IF(_1_541284561214624104645789101745[[#This Row],[Type]]&gt;0,VLOOKUP(_1_541284561214624104645789101745[[#This Row],[Type]],Main[[#All],[TYPE]:[UNIT]],'Unit Price'!G$1,FALSE),0)</f>
        <v>0</v>
      </c>
      <c r="J892" s="194">
        <f>IF(_1_541284561214624104645789101745[[#This Row],[Type]]&gt;0,VLOOKUP(_1_541284561214624104645789101745[[#This Row],[Type]],Main[[#All],[TYPE]:[UNIT]],'Unit Price'!H$1,FALSE),0)</f>
        <v>0</v>
      </c>
      <c r="K892" s="194">
        <f>IF(_1_541284561214624104645789101745[[#This Row],[Discount selection]]&gt;0,VLOOKUP(_1_541284561214624104645789101745[[#This Row],[Discount selection]],'Discount Structure'!$A$2:$B$30,2,"false"),0)</f>
        <v>1</v>
      </c>
      <c r="L892" s="194">
        <f>_1_541284561214624104645789101745[[#This Row],[LIST $]]*_1_541284561214624104645789101745[[#This Row],[DISCOUNT]]*_1_541284561214624104645789101745[[#This Row],[DISCOUNT 2]]</f>
        <v>0</v>
      </c>
      <c r="M892" s="194">
        <f>IF(OR(_1_541284561214624104645789101745[[#This Row],[UNIT]]&gt;0,_1_541284561214624104645789101745[[#This Row],[UNIT]]&lt;0),_1_541284561214624104645789101745[[#This Row],[UNIT]]*_1_541284561214624104645789101745[[#This Row],[COST]],0)</f>
        <v>0</v>
      </c>
      <c r="N892" s="194">
        <f t="shared" si="13"/>
        <v>1.5</v>
      </c>
      <c r="O892" s="198">
        <f>_1_541284561214624104645789101745[[#This Row],[TOTAL]]*_1_541284561214624104645789101745[[#This Row],[MARGIN]]</f>
        <v>0</v>
      </c>
      <c r="P892" s="198"/>
      <c r="R892" s="41"/>
    </row>
    <row r="893" spans="4:18">
      <c r="D893" s="188"/>
      <c r="E893" s="42"/>
      <c r="F893" s="168" t="s">
        <v>6202</v>
      </c>
      <c r="G893" s="193">
        <f>IF(_1_541284561214624104645789101745[[#This Row],[Type]]&gt;0,VLOOKUP(_1_541284561214624104645789101745[[#This Row],[Type]],Main[[#All],[TYPE]:[UNIT]],'Unit Price'!C$1,FALSE),0)</f>
        <v>0</v>
      </c>
      <c r="H893" s="197">
        <f>IF(_1_541284561214624104645789101745[[#This Row],[Type]]&gt;0,VLOOKUP(_1_541284561214624104645789101745[[#This Row],[Type]],Main[[#All],[TYPE]:[UNIT]],'Unit Price'!D$1,FALSE),0)</f>
        <v>0</v>
      </c>
      <c r="I893" s="194">
        <f>IF(_1_541284561214624104645789101745[[#This Row],[Type]]&gt;0,VLOOKUP(_1_541284561214624104645789101745[[#This Row],[Type]],Main[[#All],[TYPE]:[UNIT]],'Unit Price'!G$1,FALSE),0)</f>
        <v>0</v>
      </c>
      <c r="J893" s="194">
        <f>IF(_1_541284561214624104645789101745[[#This Row],[Type]]&gt;0,VLOOKUP(_1_541284561214624104645789101745[[#This Row],[Type]],Main[[#All],[TYPE]:[UNIT]],'Unit Price'!H$1,FALSE),0)</f>
        <v>0</v>
      </c>
      <c r="K893" s="194">
        <f>IF(_1_541284561214624104645789101745[[#This Row],[Discount selection]]&gt;0,VLOOKUP(_1_541284561214624104645789101745[[#This Row],[Discount selection]],'Discount Structure'!$A$2:$B$30,2,"false"),0)</f>
        <v>1</v>
      </c>
      <c r="L893" s="194">
        <f>_1_541284561214624104645789101745[[#This Row],[LIST $]]*_1_541284561214624104645789101745[[#This Row],[DISCOUNT]]*_1_541284561214624104645789101745[[#This Row],[DISCOUNT 2]]</f>
        <v>0</v>
      </c>
      <c r="M893" s="194">
        <f>IF(OR(_1_541284561214624104645789101745[[#This Row],[UNIT]]&gt;0,_1_541284561214624104645789101745[[#This Row],[UNIT]]&lt;0),_1_541284561214624104645789101745[[#This Row],[UNIT]]*_1_541284561214624104645789101745[[#This Row],[COST]],0)</f>
        <v>0</v>
      </c>
      <c r="N893" s="194">
        <f t="shared" si="13"/>
        <v>1.5</v>
      </c>
      <c r="O893" s="198">
        <f>_1_541284561214624104645789101745[[#This Row],[TOTAL]]*_1_541284561214624104645789101745[[#This Row],[MARGIN]]</f>
        <v>0</v>
      </c>
      <c r="P893" s="198"/>
      <c r="R893" s="41"/>
    </row>
    <row r="894" spans="4:18">
      <c r="D894" s="188"/>
      <c r="E894" s="42"/>
      <c r="F894" s="168" t="s">
        <v>6202</v>
      </c>
      <c r="G894" s="193">
        <f>IF(_1_541284561214624104645789101745[[#This Row],[Type]]&gt;0,VLOOKUP(_1_541284561214624104645789101745[[#This Row],[Type]],Main[[#All],[TYPE]:[UNIT]],'Unit Price'!C$1,FALSE),0)</f>
        <v>0</v>
      </c>
      <c r="H894" s="197">
        <f>IF(_1_541284561214624104645789101745[[#This Row],[Type]]&gt;0,VLOOKUP(_1_541284561214624104645789101745[[#This Row],[Type]],Main[[#All],[TYPE]:[UNIT]],'Unit Price'!D$1,FALSE),0)</f>
        <v>0</v>
      </c>
      <c r="I894" s="194">
        <f>IF(_1_541284561214624104645789101745[[#This Row],[Type]]&gt;0,VLOOKUP(_1_541284561214624104645789101745[[#This Row],[Type]],Main[[#All],[TYPE]:[UNIT]],'Unit Price'!G$1,FALSE),0)</f>
        <v>0</v>
      </c>
      <c r="J894" s="194">
        <f>IF(_1_541284561214624104645789101745[[#This Row],[Type]]&gt;0,VLOOKUP(_1_541284561214624104645789101745[[#This Row],[Type]],Main[[#All],[TYPE]:[UNIT]],'Unit Price'!H$1,FALSE),0)</f>
        <v>0</v>
      </c>
      <c r="K894" s="194">
        <f>IF(_1_541284561214624104645789101745[[#This Row],[Discount selection]]&gt;0,VLOOKUP(_1_541284561214624104645789101745[[#This Row],[Discount selection]],'Discount Structure'!$A$2:$B$30,2,"false"),0)</f>
        <v>1</v>
      </c>
      <c r="L894" s="194">
        <f>_1_541284561214624104645789101745[[#This Row],[LIST $]]*_1_541284561214624104645789101745[[#This Row],[DISCOUNT]]*_1_541284561214624104645789101745[[#This Row],[DISCOUNT 2]]</f>
        <v>0</v>
      </c>
      <c r="M894" s="194">
        <f>IF(OR(_1_541284561214624104645789101745[[#This Row],[UNIT]]&gt;0,_1_541284561214624104645789101745[[#This Row],[UNIT]]&lt;0),_1_541284561214624104645789101745[[#This Row],[UNIT]]*_1_541284561214624104645789101745[[#This Row],[COST]],0)</f>
        <v>0</v>
      </c>
      <c r="N894" s="194">
        <f t="shared" si="13"/>
        <v>1.5</v>
      </c>
      <c r="O894" s="198">
        <f>_1_541284561214624104645789101745[[#This Row],[TOTAL]]*_1_541284561214624104645789101745[[#This Row],[MARGIN]]</f>
        <v>0</v>
      </c>
      <c r="P894" s="198"/>
      <c r="R894" s="41"/>
    </row>
    <row r="895" spans="4:18">
      <c r="D895" s="188"/>
      <c r="E895" s="42"/>
      <c r="F895" s="168" t="s">
        <v>6202</v>
      </c>
      <c r="G895" s="193">
        <f>IF(_1_541284561214624104645789101745[[#This Row],[Type]]&gt;0,VLOOKUP(_1_541284561214624104645789101745[[#This Row],[Type]],Main[[#All],[TYPE]:[UNIT]],'Unit Price'!C$1,FALSE),0)</f>
        <v>0</v>
      </c>
      <c r="H895" s="197">
        <f>IF(_1_541284561214624104645789101745[[#This Row],[Type]]&gt;0,VLOOKUP(_1_541284561214624104645789101745[[#This Row],[Type]],Main[[#All],[TYPE]:[UNIT]],'Unit Price'!D$1,FALSE),0)</f>
        <v>0</v>
      </c>
      <c r="I895" s="194">
        <f>IF(_1_541284561214624104645789101745[[#This Row],[Type]]&gt;0,VLOOKUP(_1_541284561214624104645789101745[[#This Row],[Type]],Main[[#All],[TYPE]:[UNIT]],'Unit Price'!G$1,FALSE),0)</f>
        <v>0</v>
      </c>
      <c r="J895" s="194">
        <f>IF(_1_541284561214624104645789101745[[#This Row],[Type]]&gt;0,VLOOKUP(_1_541284561214624104645789101745[[#This Row],[Type]],Main[[#All],[TYPE]:[UNIT]],'Unit Price'!H$1,FALSE),0)</f>
        <v>0</v>
      </c>
      <c r="K895" s="194">
        <f>IF(_1_541284561214624104645789101745[[#This Row],[Discount selection]]&gt;0,VLOOKUP(_1_541284561214624104645789101745[[#This Row],[Discount selection]],'Discount Structure'!$A$2:$B$30,2,"false"),0)</f>
        <v>1</v>
      </c>
      <c r="L895" s="194">
        <f>_1_541284561214624104645789101745[[#This Row],[LIST $]]*_1_541284561214624104645789101745[[#This Row],[DISCOUNT]]*_1_541284561214624104645789101745[[#This Row],[DISCOUNT 2]]</f>
        <v>0</v>
      </c>
      <c r="M895" s="194">
        <f>IF(OR(_1_541284561214624104645789101745[[#This Row],[UNIT]]&gt;0,_1_541284561214624104645789101745[[#This Row],[UNIT]]&lt;0),_1_541284561214624104645789101745[[#This Row],[UNIT]]*_1_541284561214624104645789101745[[#This Row],[COST]],0)</f>
        <v>0</v>
      </c>
      <c r="N895" s="194">
        <f t="shared" si="13"/>
        <v>1.5</v>
      </c>
      <c r="O895" s="198">
        <f>_1_541284561214624104645789101745[[#This Row],[TOTAL]]*_1_541284561214624104645789101745[[#This Row],[MARGIN]]</f>
        <v>0</v>
      </c>
      <c r="P895" s="198"/>
      <c r="R895" s="41"/>
    </row>
    <row r="896" spans="4:18">
      <c r="D896" s="188"/>
      <c r="E896" s="42"/>
      <c r="F896" s="168" t="s">
        <v>6202</v>
      </c>
      <c r="G896" s="193">
        <f>IF(_1_541284561214624104645789101745[[#This Row],[Type]]&gt;0,VLOOKUP(_1_541284561214624104645789101745[[#This Row],[Type]],Main[[#All],[TYPE]:[UNIT]],'Unit Price'!C$1,FALSE),0)</f>
        <v>0</v>
      </c>
      <c r="H896" s="197">
        <f>IF(_1_541284561214624104645789101745[[#This Row],[Type]]&gt;0,VLOOKUP(_1_541284561214624104645789101745[[#This Row],[Type]],Main[[#All],[TYPE]:[UNIT]],'Unit Price'!D$1,FALSE),0)</f>
        <v>0</v>
      </c>
      <c r="I896" s="194">
        <f>IF(_1_541284561214624104645789101745[[#This Row],[Type]]&gt;0,VLOOKUP(_1_541284561214624104645789101745[[#This Row],[Type]],Main[[#All],[TYPE]:[UNIT]],'Unit Price'!G$1,FALSE),0)</f>
        <v>0</v>
      </c>
      <c r="J896" s="194">
        <f>IF(_1_541284561214624104645789101745[[#This Row],[Type]]&gt;0,VLOOKUP(_1_541284561214624104645789101745[[#This Row],[Type]],Main[[#All],[TYPE]:[UNIT]],'Unit Price'!H$1,FALSE),0)</f>
        <v>0</v>
      </c>
      <c r="K896" s="194">
        <f>IF(_1_541284561214624104645789101745[[#This Row],[Discount selection]]&gt;0,VLOOKUP(_1_541284561214624104645789101745[[#This Row],[Discount selection]],'Discount Structure'!$A$2:$B$30,2,"false"),0)</f>
        <v>1</v>
      </c>
      <c r="L896" s="194">
        <f>_1_541284561214624104645789101745[[#This Row],[LIST $]]*_1_541284561214624104645789101745[[#This Row],[DISCOUNT]]*_1_541284561214624104645789101745[[#This Row],[DISCOUNT 2]]</f>
        <v>0</v>
      </c>
      <c r="M896" s="194">
        <f>IF(OR(_1_541284561214624104645789101745[[#This Row],[UNIT]]&gt;0,_1_541284561214624104645789101745[[#This Row],[UNIT]]&lt;0),_1_541284561214624104645789101745[[#This Row],[UNIT]]*_1_541284561214624104645789101745[[#This Row],[COST]],0)</f>
        <v>0</v>
      </c>
      <c r="N896" s="194">
        <f t="shared" si="13"/>
        <v>1.5</v>
      </c>
      <c r="O896" s="198">
        <f>_1_541284561214624104645789101745[[#This Row],[TOTAL]]*_1_541284561214624104645789101745[[#This Row],[MARGIN]]</f>
        <v>0</v>
      </c>
      <c r="P896" s="198"/>
      <c r="R896" s="41"/>
    </row>
    <row r="897" spans="4:18">
      <c r="D897" s="188"/>
      <c r="E897" s="42"/>
      <c r="F897" s="168" t="s">
        <v>6202</v>
      </c>
      <c r="G897" s="193">
        <f>IF(_1_541284561214624104645789101745[[#This Row],[Type]]&gt;0,VLOOKUP(_1_541284561214624104645789101745[[#This Row],[Type]],Main[[#All],[TYPE]:[UNIT]],'Unit Price'!C$1,FALSE),0)</f>
        <v>0</v>
      </c>
      <c r="H897" s="197">
        <f>IF(_1_541284561214624104645789101745[[#This Row],[Type]]&gt;0,VLOOKUP(_1_541284561214624104645789101745[[#This Row],[Type]],Main[[#All],[TYPE]:[UNIT]],'Unit Price'!D$1,FALSE),0)</f>
        <v>0</v>
      </c>
      <c r="I897" s="194">
        <f>IF(_1_541284561214624104645789101745[[#This Row],[Type]]&gt;0,VLOOKUP(_1_541284561214624104645789101745[[#This Row],[Type]],Main[[#All],[TYPE]:[UNIT]],'Unit Price'!G$1,FALSE),0)</f>
        <v>0</v>
      </c>
      <c r="J897" s="194">
        <f>IF(_1_541284561214624104645789101745[[#This Row],[Type]]&gt;0,VLOOKUP(_1_541284561214624104645789101745[[#This Row],[Type]],Main[[#All],[TYPE]:[UNIT]],'Unit Price'!H$1,FALSE),0)</f>
        <v>0</v>
      </c>
      <c r="K897" s="194">
        <f>IF(_1_541284561214624104645789101745[[#This Row],[Discount selection]]&gt;0,VLOOKUP(_1_541284561214624104645789101745[[#This Row],[Discount selection]],'Discount Structure'!$A$2:$B$30,2,"false"),0)</f>
        <v>1</v>
      </c>
      <c r="L897" s="194">
        <f>_1_541284561214624104645789101745[[#This Row],[LIST $]]*_1_541284561214624104645789101745[[#This Row],[DISCOUNT]]*_1_541284561214624104645789101745[[#This Row],[DISCOUNT 2]]</f>
        <v>0</v>
      </c>
      <c r="M897" s="194">
        <f>IF(OR(_1_541284561214624104645789101745[[#This Row],[UNIT]]&gt;0,_1_541284561214624104645789101745[[#This Row],[UNIT]]&lt;0),_1_541284561214624104645789101745[[#This Row],[UNIT]]*_1_541284561214624104645789101745[[#This Row],[COST]],0)</f>
        <v>0</v>
      </c>
      <c r="N897" s="194">
        <f t="shared" si="13"/>
        <v>1.5</v>
      </c>
      <c r="O897" s="198">
        <f>_1_541284561214624104645789101745[[#This Row],[TOTAL]]*_1_541284561214624104645789101745[[#This Row],[MARGIN]]</f>
        <v>0</v>
      </c>
      <c r="P897" s="198"/>
      <c r="R897" s="41"/>
    </row>
    <row r="898" spans="4:18">
      <c r="D898" s="188"/>
      <c r="E898" s="42"/>
      <c r="F898" s="168" t="s">
        <v>6202</v>
      </c>
      <c r="G898" s="193">
        <f>IF(_1_541284561214624104645789101745[[#This Row],[Type]]&gt;0,VLOOKUP(_1_541284561214624104645789101745[[#This Row],[Type]],Main[[#All],[TYPE]:[UNIT]],'Unit Price'!C$1,FALSE),0)</f>
        <v>0</v>
      </c>
      <c r="H898" s="197">
        <f>IF(_1_541284561214624104645789101745[[#This Row],[Type]]&gt;0,VLOOKUP(_1_541284561214624104645789101745[[#This Row],[Type]],Main[[#All],[TYPE]:[UNIT]],'Unit Price'!D$1,FALSE),0)</f>
        <v>0</v>
      </c>
      <c r="I898" s="194">
        <f>IF(_1_541284561214624104645789101745[[#This Row],[Type]]&gt;0,VLOOKUP(_1_541284561214624104645789101745[[#This Row],[Type]],Main[[#All],[TYPE]:[UNIT]],'Unit Price'!G$1,FALSE),0)</f>
        <v>0</v>
      </c>
      <c r="J898" s="194">
        <f>IF(_1_541284561214624104645789101745[[#This Row],[Type]]&gt;0,VLOOKUP(_1_541284561214624104645789101745[[#This Row],[Type]],Main[[#All],[TYPE]:[UNIT]],'Unit Price'!H$1,FALSE),0)</f>
        <v>0</v>
      </c>
      <c r="K898" s="194">
        <f>IF(_1_541284561214624104645789101745[[#This Row],[Discount selection]]&gt;0,VLOOKUP(_1_541284561214624104645789101745[[#This Row],[Discount selection]],'Discount Structure'!$A$2:$B$30,2,"false"),0)</f>
        <v>1</v>
      </c>
      <c r="L898" s="194">
        <f>_1_541284561214624104645789101745[[#This Row],[LIST $]]*_1_541284561214624104645789101745[[#This Row],[DISCOUNT]]*_1_541284561214624104645789101745[[#This Row],[DISCOUNT 2]]</f>
        <v>0</v>
      </c>
      <c r="M898" s="194">
        <f>IF(OR(_1_541284561214624104645789101745[[#This Row],[UNIT]]&gt;0,_1_541284561214624104645789101745[[#This Row],[UNIT]]&lt;0),_1_541284561214624104645789101745[[#This Row],[UNIT]]*_1_541284561214624104645789101745[[#This Row],[COST]],0)</f>
        <v>0</v>
      </c>
      <c r="N898" s="194">
        <f t="shared" si="13"/>
        <v>1.5</v>
      </c>
      <c r="O898" s="198">
        <f>_1_541284561214624104645789101745[[#This Row],[TOTAL]]*_1_541284561214624104645789101745[[#This Row],[MARGIN]]</f>
        <v>0</v>
      </c>
      <c r="P898" s="198"/>
      <c r="R898" s="41"/>
    </row>
    <row r="899" spans="4:18">
      <c r="D899" s="188"/>
      <c r="E899" s="42"/>
      <c r="F899" s="168" t="s">
        <v>6202</v>
      </c>
      <c r="G899" s="193">
        <f>IF(_1_541284561214624104645789101745[[#This Row],[Type]]&gt;0,VLOOKUP(_1_541284561214624104645789101745[[#This Row],[Type]],Main[[#All],[TYPE]:[UNIT]],'Unit Price'!C$1,FALSE),0)</f>
        <v>0</v>
      </c>
      <c r="H899" s="197">
        <f>IF(_1_541284561214624104645789101745[[#This Row],[Type]]&gt;0,VLOOKUP(_1_541284561214624104645789101745[[#This Row],[Type]],Main[[#All],[TYPE]:[UNIT]],'Unit Price'!D$1,FALSE),0)</f>
        <v>0</v>
      </c>
      <c r="I899" s="194">
        <f>IF(_1_541284561214624104645789101745[[#This Row],[Type]]&gt;0,VLOOKUP(_1_541284561214624104645789101745[[#This Row],[Type]],Main[[#All],[TYPE]:[UNIT]],'Unit Price'!G$1,FALSE),0)</f>
        <v>0</v>
      </c>
      <c r="J899" s="194">
        <f>IF(_1_541284561214624104645789101745[[#This Row],[Type]]&gt;0,VLOOKUP(_1_541284561214624104645789101745[[#This Row],[Type]],Main[[#All],[TYPE]:[UNIT]],'Unit Price'!H$1,FALSE),0)</f>
        <v>0</v>
      </c>
      <c r="K899" s="194">
        <f>IF(_1_541284561214624104645789101745[[#This Row],[Discount selection]]&gt;0,VLOOKUP(_1_541284561214624104645789101745[[#This Row],[Discount selection]],'Discount Structure'!$A$2:$B$30,2,"false"),0)</f>
        <v>1</v>
      </c>
      <c r="L899" s="194">
        <f>_1_541284561214624104645789101745[[#This Row],[LIST $]]*_1_541284561214624104645789101745[[#This Row],[DISCOUNT]]*_1_541284561214624104645789101745[[#This Row],[DISCOUNT 2]]</f>
        <v>0</v>
      </c>
      <c r="M899" s="194">
        <f>IF(OR(_1_541284561214624104645789101745[[#This Row],[UNIT]]&gt;0,_1_541284561214624104645789101745[[#This Row],[UNIT]]&lt;0),_1_541284561214624104645789101745[[#This Row],[UNIT]]*_1_541284561214624104645789101745[[#This Row],[COST]],0)</f>
        <v>0</v>
      </c>
      <c r="N899" s="194">
        <f t="shared" si="13"/>
        <v>1.5</v>
      </c>
      <c r="O899" s="198">
        <f>_1_541284561214624104645789101745[[#This Row],[TOTAL]]*_1_541284561214624104645789101745[[#This Row],[MARGIN]]</f>
        <v>0</v>
      </c>
      <c r="P899" s="198"/>
      <c r="R899" s="41"/>
    </row>
    <row r="900" spans="4:18">
      <c r="D900" s="188"/>
      <c r="E900" s="42"/>
      <c r="F900" s="168" t="s">
        <v>6202</v>
      </c>
      <c r="G900" s="193">
        <f>IF(_1_541284561214624104645789101745[[#This Row],[Type]]&gt;0,VLOOKUP(_1_541284561214624104645789101745[[#This Row],[Type]],Main[[#All],[TYPE]:[UNIT]],'Unit Price'!C$1,FALSE),0)</f>
        <v>0</v>
      </c>
      <c r="H900" s="197">
        <f>IF(_1_541284561214624104645789101745[[#This Row],[Type]]&gt;0,VLOOKUP(_1_541284561214624104645789101745[[#This Row],[Type]],Main[[#All],[TYPE]:[UNIT]],'Unit Price'!D$1,FALSE),0)</f>
        <v>0</v>
      </c>
      <c r="I900" s="194">
        <f>IF(_1_541284561214624104645789101745[[#This Row],[Type]]&gt;0,VLOOKUP(_1_541284561214624104645789101745[[#This Row],[Type]],Main[[#All],[TYPE]:[UNIT]],'Unit Price'!G$1,FALSE),0)</f>
        <v>0</v>
      </c>
      <c r="J900" s="194">
        <f>IF(_1_541284561214624104645789101745[[#This Row],[Type]]&gt;0,VLOOKUP(_1_541284561214624104645789101745[[#This Row],[Type]],Main[[#All],[TYPE]:[UNIT]],'Unit Price'!H$1,FALSE),0)</f>
        <v>0</v>
      </c>
      <c r="K900" s="194">
        <f>IF(_1_541284561214624104645789101745[[#This Row],[Discount selection]]&gt;0,VLOOKUP(_1_541284561214624104645789101745[[#This Row],[Discount selection]],'Discount Structure'!$A$2:$B$30,2,"false"),0)</f>
        <v>1</v>
      </c>
      <c r="L900" s="194">
        <f>_1_541284561214624104645789101745[[#This Row],[LIST $]]*_1_541284561214624104645789101745[[#This Row],[DISCOUNT]]*_1_541284561214624104645789101745[[#This Row],[DISCOUNT 2]]</f>
        <v>0</v>
      </c>
      <c r="M900" s="194">
        <f>IF(OR(_1_541284561214624104645789101745[[#This Row],[UNIT]]&gt;0,_1_541284561214624104645789101745[[#This Row],[UNIT]]&lt;0),_1_541284561214624104645789101745[[#This Row],[UNIT]]*_1_541284561214624104645789101745[[#This Row],[COST]],0)</f>
        <v>0</v>
      </c>
      <c r="N900" s="194">
        <f t="shared" si="13"/>
        <v>1.5</v>
      </c>
      <c r="O900" s="198">
        <f>_1_541284561214624104645789101745[[#This Row],[TOTAL]]*_1_541284561214624104645789101745[[#This Row],[MARGIN]]</f>
        <v>0</v>
      </c>
      <c r="P900" s="198"/>
      <c r="R900" s="41"/>
    </row>
    <row r="901" spans="4:18">
      <c r="D901" s="188"/>
      <c r="E901" s="42"/>
      <c r="F901" s="168" t="s">
        <v>6202</v>
      </c>
      <c r="G901" s="193">
        <f>IF(_1_541284561214624104645789101745[[#This Row],[Type]]&gt;0,VLOOKUP(_1_541284561214624104645789101745[[#This Row],[Type]],Main[[#All],[TYPE]:[UNIT]],'Unit Price'!C$1,FALSE),0)</f>
        <v>0</v>
      </c>
      <c r="H901" s="197">
        <f>IF(_1_541284561214624104645789101745[[#This Row],[Type]]&gt;0,VLOOKUP(_1_541284561214624104645789101745[[#This Row],[Type]],Main[[#All],[TYPE]:[UNIT]],'Unit Price'!D$1,FALSE),0)</f>
        <v>0</v>
      </c>
      <c r="I901" s="194">
        <f>IF(_1_541284561214624104645789101745[[#This Row],[Type]]&gt;0,VLOOKUP(_1_541284561214624104645789101745[[#This Row],[Type]],Main[[#All],[TYPE]:[UNIT]],'Unit Price'!G$1,FALSE),0)</f>
        <v>0</v>
      </c>
      <c r="J901" s="194">
        <f>IF(_1_541284561214624104645789101745[[#This Row],[Type]]&gt;0,VLOOKUP(_1_541284561214624104645789101745[[#This Row],[Type]],Main[[#All],[TYPE]:[UNIT]],'Unit Price'!H$1,FALSE),0)</f>
        <v>0</v>
      </c>
      <c r="K901" s="194">
        <f>IF(_1_541284561214624104645789101745[[#This Row],[Discount selection]]&gt;0,VLOOKUP(_1_541284561214624104645789101745[[#This Row],[Discount selection]],'Discount Structure'!$A$2:$B$30,2,"false"),0)</f>
        <v>1</v>
      </c>
      <c r="L901" s="194">
        <f>_1_541284561214624104645789101745[[#This Row],[LIST $]]*_1_541284561214624104645789101745[[#This Row],[DISCOUNT]]*_1_541284561214624104645789101745[[#This Row],[DISCOUNT 2]]</f>
        <v>0</v>
      </c>
      <c r="M901" s="194">
        <f>IF(OR(_1_541284561214624104645789101745[[#This Row],[UNIT]]&gt;0,_1_541284561214624104645789101745[[#This Row],[UNIT]]&lt;0),_1_541284561214624104645789101745[[#This Row],[UNIT]]*_1_541284561214624104645789101745[[#This Row],[COST]],0)</f>
        <v>0</v>
      </c>
      <c r="N901" s="194">
        <f t="shared" si="13"/>
        <v>1.5</v>
      </c>
      <c r="O901" s="198">
        <f>_1_541284561214624104645789101745[[#This Row],[TOTAL]]*_1_541284561214624104645789101745[[#This Row],[MARGIN]]</f>
        <v>0</v>
      </c>
      <c r="P901" s="198"/>
      <c r="R901" s="41"/>
    </row>
    <row r="902" spans="4:18">
      <c r="D902" s="188"/>
      <c r="E902" s="42"/>
      <c r="F902" s="168" t="s">
        <v>6202</v>
      </c>
      <c r="G902" s="193">
        <f>IF(_1_541284561214624104645789101745[[#This Row],[Type]]&gt;0,VLOOKUP(_1_541284561214624104645789101745[[#This Row],[Type]],Main[[#All],[TYPE]:[UNIT]],'Unit Price'!C$1,FALSE),0)</f>
        <v>0</v>
      </c>
      <c r="H902" s="197">
        <f>IF(_1_541284561214624104645789101745[[#This Row],[Type]]&gt;0,VLOOKUP(_1_541284561214624104645789101745[[#This Row],[Type]],Main[[#All],[TYPE]:[UNIT]],'Unit Price'!D$1,FALSE),0)</f>
        <v>0</v>
      </c>
      <c r="I902" s="194">
        <f>IF(_1_541284561214624104645789101745[[#This Row],[Type]]&gt;0,VLOOKUP(_1_541284561214624104645789101745[[#This Row],[Type]],Main[[#All],[TYPE]:[UNIT]],'Unit Price'!G$1,FALSE),0)</f>
        <v>0</v>
      </c>
      <c r="J902" s="194">
        <f>IF(_1_541284561214624104645789101745[[#This Row],[Type]]&gt;0,VLOOKUP(_1_541284561214624104645789101745[[#This Row],[Type]],Main[[#All],[TYPE]:[UNIT]],'Unit Price'!H$1,FALSE),0)</f>
        <v>0</v>
      </c>
      <c r="K902" s="194">
        <f>IF(_1_541284561214624104645789101745[[#This Row],[Discount selection]]&gt;0,VLOOKUP(_1_541284561214624104645789101745[[#This Row],[Discount selection]],'Discount Structure'!$A$2:$B$30,2,"false"),0)</f>
        <v>1</v>
      </c>
      <c r="L902" s="194">
        <f>_1_541284561214624104645789101745[[#This Row],[LIST $]]*_1_541284561214624104645789101745[[#This Row],[DISCOUNT]]*_1_541284561214624104645789101745[[#This Row],[DISCOUNT 2]]</f>
        <v>0</v>
      </c>
      <c r="M902" s="194">
        <f>IF(OR(_1_541284561214624104645789101745[[#This Row],[UNIT]]&gt;0,_1_541284561214624104645789101745[[#This Row],[UNIT]]&lt;0),_1_541284561214624104645789101745[[#This Row],[UNIT]]*_1_541284561214624104645789101745[[#This Row],[COST]],0)</f>
        <v>0</v>
      </c>
      <c r="N902" s="194">
        <f t="shared" si="13"/>
        <v>1.5</v>
      </c>
      <c r="O902" s="198">
        <f>_1_541284561214624104645789101745[[#This Row],[TOTAL]]*_1_541284561214624104645789101745[[#This Row],[MARGIN]]</f>
        <v>0</v>
      </c>
      <c r="P902" s="198"/>
      <c r="R902" s="41"/>
    </row>
    <row r="903" spans="4:18">
      <c r="D903" s="188"/>
      <c r="E903" s="42"/>
      <c r="F903" s="168" t="s">
        <v>6202</v>
      </c>
      <c r="G903" s="193">
        <f>IF(_1_541284561214624104645789101745[[#This Row],[Type]]&gt;0,VLOOKUP(_1_541284561214624104645789101745[[#This Row],[Type]],Main[[#All],[TYPE]:[UNIT]],'Unit Price'!C$1,FALSE),0)</f>
        <v>0</v>
      </c>
      <c r="H903" s="197">
        <f>IF(_1_541284561214624104645789101745[[#This Row],[Type]]&gt;0,VLOOKUP(_1_541284561214624104645789101745[[#This Row],[Type]],Main[[#All],[TYPE]:[UNIT]],'Unit Price'!D$1,FALSE),0)</f>
        <v>0</v>
      </c>
      <c r="I903" s="194">
        <f>IF(_1_541284561214624104645789101745[[#This Row],[Type]]&gt;0,VLOOKUP(_1_541284561214624104645789101745[[#This Row],[Type]],Main[[#All],[TYPE]:[UNIT]],'Unit Price'!G$1,FALSE),0)</f>
        <v>0</v>
      </c>
      <c r="J903" s="194">
        <f>IF(_1_541284561214624104645789101745[[#This Row],[Type]]&gt;0,VLOOKUP(_1_541284561214624104645789101745[[#This Row],[Type]],Main[[#All],[TYPE]:[UNIT]],'Unit Price'!H$1,FALSE),0)</f>
        <v>0</v>
      </c>
      <c r="K903" s="194">
        <f>IF(_1_541284561214624104645789101745[[#This Row],[Discount selection]]&gt;0,VLOOKUP(_1_541284561214624104645789101745[[#This Row],[Discount selection]],'Discount Structure'!$A$2:$B$30,2,"false"),0)</f>
        <v>1</v>
      </c>
      <c r="L903" s="194">
        <f>_1_541284561214624104645789101745[[#This Row],[LIST $]]*_1_541284561214624104645789101745[[#This Row],[DISCOUNT]]*_1_541284561214624104645789101745[[#This Row],[DISCOUNT 2]]</f>
        <v>0</v>
      </c>
      <c r="M903" s="194">
        <f>IF(OR(_1_541284561214624104645789101745[[#This Row],[UNIT]]&gt;0,_1_541284561214624104645789101745[[#This Row],[UNIT]]&lt;0),_1_541284561214624104645789101745[[#This Row],[UNIT]]*_1_541284561214624104645789101745[[#This Row],[COST]],0)</f>
        <v>0</v>
      </c>
      <c r="N903" s="194">
        <f t="shared" si="13"/>
        <v>1.5</v>
      </c>
      <c r="O903" s="198">
        <f>_1_541284561214624104645789101745[[#This Row],[TOTAL]]*_1_541284561214624104645789101745[[#This Row],[MARGIN]]</f>
        <v>0</v>
      </c>
      <c r="P903" s="198"/>
      <c r="R903" s="41"/>
    </row>
    <row r="904" spans="4:18">
      <c r="D904" s="188"/>
      <c r="E904" s="42"/>
      <c r="F904" s="168" t="s">
        <v>6202</v>
      </c>
      <c r="G904" s="193">
        <f>IF(_1_541284561214624104645789101745[[#This Row],[Type]]&gt;0,VLOOKUP(_1_541284561214624104645789101745[[#This Row],[Type]],Main[[#All],[TYPE]:[UNIT]],'Unit Price'!C$1,FALSE),0)</f>
        <v>0</v>
      </c>
      <c r="H904" s="197">
        <f>IF(_1_541284561214624104645789101745[[#This Row],[Type]]&gt;0,VLOOKUP(_1_541284561214624104645789101745[[#This Row],[Type]],Main[[#All],[TYPE]:[UNIT]],'Unit Price'!D$1,FALSE),0)</f>
        <v>0</v>
      </c>
      <c r="I904" s="194">
        <f>IF(_1_541284561214624104645789101745[[#This Row],[Type]]&gt;0,VLOOKUP(_1_541284561214624104645789101745[[#This Row],[Type]],Main[[#All],[TYPE]:[UNIT]],'Unit Price'!G$1,FALSE),0)</f>
        <v>0</v>
      </c>
      <c r="J904" s="194">
        <f>IF(_1_541284561214624104645789101745[[#This Row],[Type]]&gt;0,VLOOKUP(_1_541284561214624104645789101745[[#This Row],[Type]],Main[[#All],[TYPE]:[UNIT]],'Unit Price'!H$1,FALSE),0)</f>
        <v>0</v>
      </c>
      <c r="K904" s="194">
        <f>IF(_1_541284561214624104645789101745[[#This Row],[Discount selection]]&gt;0,VLOOKUP(_1_541284561214624104645789101745[[#This Row],[Discount selection]],'Discount Structure'!$A$2:$B$30,2,"false"),0)</f>
        <v>1</v>
      </c>
      <c r="L904" s="194">
        <f>_1_541284561214624104645789101745[[#This Row],[LIST $]]*_1_541284561214624104645789101745[[#This Row],[DISCOUNT]]*_1_541284561214624104645789101745[[#This Row],[DISCOUNT 2]]</f>
        <v>0</v>
      </c>
      <c r="M904" s="194">
        <f>IF(OR(_1_541284561214624104645789101745[[#This Row],[UNIT]]&gt;0,_1_541284561214624104645789101745[[#This Row],[UNIT]]&lt;0),_1_541284561214624104645789101745[[#This Row],[UNIT]]*_1_541284561214624104645789101745[[#This Row],[COST]],0)</f>
        <v>0</v>
      </c>
      <c r="N904" s="194">
        <f t="shared" si="13"/>
        <v>1.5</v>
      </c>
      <c r="O904" s="198">
        <f>_1_541284561214624104645789101745[[#This Row],[TOTAL]]*_1_541284561214624104645789101745[[#This Row],[MARGIN]]</f>
        <v>0</v>
      </c>
      <c r="P904" s="198"/>
      <c r="R904" s="41"/>
    </row>
    <row r="905" spans="4:18">
      <c r="D905" s="188"/>
      <c r="E905" s="42"/>
      <c r="F905" s="168" t="s">
        <v>6202</v>
      </c>
      <c r="G905" s="193">
        <f>IF(_1_541284561214624104645789101745[[#This Row],[Type]]&gt;0,VLOOKUP(_1_541284561214624104645789101745[[#This Row],[Type]],Main[[#All],[TYPE]:[UNIT]],'Unit Price'!C$1,FALSE),0)</f>
        <v>0</v>
      </c>
      <c r="H905" s="197">
        <f>IF(_1_541284561214624104645789101745[[#This Row],[Type]]&gt;0,VLOOKUP(_1_541284561214624104645789101745[[#This Row],[Type]],Main[[#All],[TYPE]:[UNIT]],'Unit Price'!D$1,FALSE),0)</f>
        <v>0</v>
      </c>
      <c r="I905" s="194">
        <f>IF(_1_541284561214624104645789101745[[#This Row],[Type]]&gt;0,VLOOKUP(_1_541284561214624104645789101745[[#This Row],[Type]],Main[[#All],[TYPE]:[UNIT]],'Unit Price'!G$1,FALSE),0)</f>
        <v>0</v>
      </c>
      <c r="J905" s="194">
        <f>IF(_1_541284561214624104645789101745[[#This Row],[Type]]&gt;0,VLOOKUP(_1_541284561214624104645789101745[[#This Row],[Type]],Main[[#All],[TYPE]:[UNIT]],'Unit Price'!H$1,FALSE),0)</f>
        <v>0</v>
      </c>
      <c r="K905" s="194">
        <f>IF(_1_541284561214624104645789101745[[#This Row],[Discount selection]]&gt;0,VLOOKUP(_1_541284561214624104645789101745[[#This Row],[Discount selection]],'Discount Structure'!$A$2:$B$30,2,"false"),0)</f>
        <v>1</v>
      </c>
      <c r="L905" s="194">
        <f>_1_541284561214624104645789101745[[#This Row],[LIST $]]*_1_541284561214624104645789101745[[#This Row],[DISCOUNT]]*_1_541284561214624104645789101745[[#This Row],[DISCOUNT 2]]</f>
        <v>0</v>
      </c>
      <c r="M905" s="194">
        <f>IF(OR(_1_541284561214624104645789101745[[#This Row],[UNIT]]&gt;0,_1_541284561214624104645789101745[[#This Row],[UNIT]]&lt;0),_1_541284561214624104645789101745[[#This Row],[UNIT]]*_1_541284561214624104645789101745[[#This Row],[COST]],0)</f>
        <v>0</v>
      </c>
      <c r="N905" s="194">
        <f t="shared" si="13"/>
        <v>1.5</v>
      </c>
      <c r="O905" s="198">
        <f>_1_541284561214624104645789101745[[#This Row],[TOTAL]]*_1_541284561214624104645789101745[[#This Row],[MARGIN]]</f>
        <v>0</v>
      </c>
      <c r="P905" s="198"/>
      <c r="R905" s="41"/>
    </row>
    <row r="906" spans="4:18">
      <c r="D906" s="188"/>
      <c r="E906" s="42"/>
      <c r="F906" s="168" t="s">
        <v>6202</v>
      </c>
      <c r="G906" s="193">
        <f>IF(_1_541284561214624104645789101745[[#This Row],[Type]]&gt;0,VLOOKUP(_1_541284561214624104645789101745[[#This Row],[Type]],Main[[#All],[TYPE]:[UNIT]],'Unit Price'!C$1,FALSE),0)</f>
        <v>0</v>
      </c>
      <c r="H906" s="197">
        <f>IF(_1_541284561214624104645789101745[[#This Row],[Type]]&gt;0,VLOOKUP(_1_541284561214624104645789101745[[#This Row],[Type]],Main[[#All],[TYPE]:[UNIT]],'Unit Price'!D$1,FALSE),0)</f>
        <v>0</v>
      </c>
      <c r="I906" s="194">
        <f>IF(_1_541284561214624104645789101745[[#This Row],[Type]]&gt;0,VLOOKUP(_1_541284561214624104645789101745[[#This Row],[Type]],Main[[#All],[TYPE]:[UNIT]],'Unit Price'!G$1,FALSE),0)</f>
        <v>0</v>
      </c>
      <c r="J906" s="194">
        <f>IF(_1_541284561214624104645789101745[[#This Row],[Type]]&gt;0,VLOOKUP(_1_541284561214624104645789101745[[#This Row],[Type]],Main[[#All],[TYPE]:[UNIT]],'Unit Price'!H$1,FALSE),0)</f>
        <v>0</v>
      </c>
      <c r="K906" s="194">
        <f>IF(_1_541284561214624104645789101745[[#This Row],[Discount selection]]&gt;0,VLOOKUP(_1_541284561214624104645789101745[[#This Row],[Discount selection]],'Discount Structure'!$A$2:$B$30,2,"false"),0)</f>
        <v>1</v>
      </c>
      <c r="L906" s="194">
        <f>_1_541284561214624104645789101745[[#This Row],[LIST $]]*_1_541284561214624104645789101745[[#This Row],[DISCOUNT]]*_1_541284561214624104645789101745[[#This Row],[DISCOUNT 2]]</f>
        <v>0</v>
      </c>
      <c r="M906" s="194">
        <f>IF(OR(_1_541284561214624104645789101745[[#This Row],[UNIT]]&gt;0,_1_541284561214624104645789101745[[#This Row],[UNIT]]&lt;0),_1_541284561214624104645789101745[[#This Row],[UNIT]]*_1_541284561214624104645789101745[[#This Row],[COST]],0)</f>
        <v>0</v>
      </c>
      <c r="N906" s="194">
        <f t="shared" ref="N906:N969" si="14">$N$7</f>
        <v>1.5</v>
      </c>
      <c r="O906" s="198">
        <f>_1_541284561214624104645789101745[[#This Row],[TOTAL]]*_1_541284561214624104645789101745[[#This Row],[MARGIN]]</f>
        <v>0</v>
      </c>
      <c r="P906" s="198"/>
      <c r="R906" s="41"/>
    </row>
    <row r="907" spans="4:18">
      <c r="D907" s="188"/>
      <c r="E907" s="42"/>
      <c r="F907" s="168" t="s">
        <v>6202</v>
      </c>
      <c r="G907" s="193">
        <f>IF(_1_541284561214624104645789101745[[#This Row],[Type]]&gt;0,VLOOKUP(_1_541284561214624104645789101745[[#This Row],[Type]],Main[[#All],[TYPE]:[UNIT]],'Unit Price'!C$1,FALSE),0)</f>
        <v>0</v>
      </c>
      <c r="H907" s="197">
        <f>IF(_1_541284561214624104645789101745[[#This Row],[Type]]&gt;0,VLOOKUP(_1_541284561214624104645789101745[[#This Row],[Type]],Main[[#All],[TYPE]:[UNIT]],'Unit Price'!D$1,FALSE),0)</f>
        <v>0</v>
      </c>
      <c r="I907" s="194">
        <f>IF(_1_541284561214624104645789101745[[#This Row],[Type]]&gt;0,VLOOKUP(_1_541284561214624104645789101745[[#This Row],[Type]],Main[[#All],[TYPE]:[UNIT]],'Unit Price'!G$1,FALSE),0)</f>
        <v>0</v>
      </c>
      <c r="J907" s="194">
        <f>IF(_1_541284561214624104645789101745[[#This Row],[Type]]&gt;0,VLOOKUP(_1_541284561214624104645789101745[[#This Row],[Type]],Main[[#All],[TYPE]:[UNIT]],'Unit Price'!H$1,FALSE),0)</f>
        <v>0</v>
      </c>
      <c r="K907" s="194">
        <f>IF(_1_541284561214624104645789101745[[#This Row],[Discount selection]]&gt;0,VLOOKUP(_1_541284561214624104645789101745[[#This Row],[Discount selection]],'Discount Structure'!$A$2:$B$30,2,"false"),0)</f>
        <v>1</v>
      </c>
      <c r="L907" s="194">
        <f>_1_541284561214624104645789101745[[#This Row],[LIST $]]*_1_541284561214624104645789101745[[#This Row],[DISCOUNT]]*_1_541284561214624104645789101745[[#This Row],[DISCOUNT 2]]</f>
        <v>0</v>
      </c>
      <c r="M907" s="194">
        <f>IF(OR(_1_541284561214624104645789101745[[#This Row],[UNIT]]&gt;0,_1_541284561214624104645789101745[[#This Row],[UNIT]]&lt;0),_1_541284561214624104645789101745[[#This Row],[UNIT]]*_1_541284561214624104645789101745[[#This Row],[COST]],0)</f>
        <v>0</v>
      </c>
      <c r="N907" s="194">
        <f t="shared" si="14"/>
        <v>1.5</v>
      </c>
      <c r="O907" s="198">
        <f>_1_541284561214624104645789101745[[#This Row],[TOTAL]]*_1_541284561214624104645789101745[[#This Row],[MARGIN]]</f>
        <v>0</v>
      </c>
      <c r="P907" s="198"/>
      <c r="R907" s="41"/>
    </row>
    <row r="908" spans="4:18">
      <c r="D908" s="188"/>
      <c r="E908" s="42"/>
      <c r="F908" s="168" t="s">
        <v>6202</v>
      </c>
      <c r="G908" s="193">
        <f>IF(_1_541284561214624104645789101745[[#This Row],[Type]]&gt;0,VLOOKUP(_1_541284561214624104645789101745[[#This Row],[Type]],Main[[#All],[TYPE]:[UNIT]],'Unit Price'!C$1,FALSE),0)</f>
        <v>0</v>
      </c>
      <c r="H908" s="197">
        <f>IF(_1_541284561214624104645789101745[[#This Row],[Type]]&gt;0,VLOOKUP(_1_541284561214624104645789101745[[#This Row],[Type]],Main[[#All],[TYPE]:[UNIT]],'Unit Price'!D$1,FALSE),0)</f>
        <v>0</v>
      </c>
      <c r="I908" s="194">
        <f>IF(_1_541284561214624104645789101745[[#This Row],[Type]]&gt;0,VLOOKUP(_1_541284561214624104645789101745[[#This Row],[Type]],Main[[#All],[TYPE]:[UNIT]],'Unit Price'!G$1,FALSE),0)</f>
        <v>0</v>
      </c>
      <c r="J908" s="194">
        <f>IF(_1_541284561214624104645789101745[[#This Row],[Type]]&gt;0,VLOOKUP(_1_541284561214624104645789101745[[#This Row],[Type]],Main[[#All],[TYPE]:[UNIT]],'Unit Price'!H$1,FALSE),0)</f>
        <v>0</v>
      </c>
      <c r="K908" s="194">
        <f>IF(_1_541284561214624104645789101745[[#This Row],[Discount selection]]&gt;0,VLOOKUP(_1_541284561214624104645789101745[[#This Row],[Discount selection]],'Discount Structure'!$A$2:$B$30,2,"false"),0)</f>
        <v>1</v>
      </c>
      <c r="L908" s="194">
        <f>_1_541284561214624104645789101745[[#This Row],[LIST $]]*_1_541284561214624104645789101745[[#This Row],[DISCOUNT]]*_1_541284561214624104645789101745[[#This Row],[DISCOUNT 2]]</f>
        <v>0</v>
      </c>
      <c r="M908" s="194">
        <f>IF(OR(_1_541284561214624104645789101745[[#This Row],[UNIT]]&gt;0,_1_541284561214624104645789101745[[#This Row],[UNIT]]&lt;0),_1_541284561214624104645789101745[[#This Row],[UNIT]]*_1_541284561214624104645789101745[[#This Row],[COST]],0)</f>
        <v>0</v>
      </c>
      <c r="N908" s="194">
        <f t="shared" si="14"/>
        <v>1.5</v>
      </c>
      <c r="O908" s="198">
        <f>_1_541284561214624104645789101745[[#This Row],[TOTAL]]*_1_541284561214624104645789101745[[#This Row],[MARGIN]]</f>
        <v>0</v>
      </c>
      <c r="P908" s="198"/>
      <c r="R908" s="41"/>
    </row>
    <row r="909" spans="4:18">
      <c r="D909" s="188"/>
      <c r="E909" s="42"/>
      <c r="F909" s="168" t="s">
        <v>6202</v>
      </c>
      <c r="G909" s="193">
        <f>IF(_1_541284561214624104645789101745[[#This Row],[Type]]&gt;0,VLOOKUP(_1_541284561214624104645789101745[[#This Row],[Type]],Main[[#All],[TYPE]:[UNIT]],'Unit Price'!C$1,FALSE),0)</f>
        <v>0</v>
      </c>
      <c r="H909" s="197">
        <f>IF(_1_541284561214624104645789101745[[#This Row],[Type]]&gt;0,VLOOKUP(_1_541284561214624104645789101745[[#This Row],[Type]],Main[[#All],[TYPE]:[UNIT]],'Unit Price'!D$1,FALSE),0)</f>
        <v>0</v>
      </c>
      <c r="I909" s="194">
        <f>IF(_1_541284561214624104645789101745[[#This Row],[Type]]&gt;0,VLOOKUP(_1_541284561214624104645789101745[[#This Row],[Type]],Main[[#All],[TYPE]:[UNIT]],'Unit Price'!G$1,FALSE),0)</f>
        <v>0</v>
      </c>
      <c r="J909" s="194">
        <f>IF(_1_541284561214624104645789101745[[#This Row],[Type]]&gt;0,VLOOKUP(_1_541284561214624104645789101745[[#This Row],[Type]],Main[[#All],[TYPE]:[UNIT]],'Unit Price'!H$1,FALSE),0)</f>
        <v>0</v>
      </c>
      <c r="K909" s="194">
        <f>IF(_1_541284561214624104645789101745[[#This Row],[Discount selection]]&gt;0,VLOOKUP(_1_541284561214624104645789101745[[#This Row],[Discount selection]],'Discount Structure'!$A$2:$B$30,2,"false"),0)</f>
        <v>1</v>
      </c>
      <c r="L909" s="194">
        <f>_1_541284561214624104645789101745[[#This Row],[LIST $]]*_1_541284561214624104645789101745[[#This Row],[DISCOUNT]]*_1_541284561214624104645789101745[[#This Row],[DISCOUNT 2]]</f>
        <v>0</v>
      </c>
      <c r="M909" s="194">
        <f>IF(OR(_1_541284561214624104645789101745[[#This Row],[UNIT]]&gt;0,_1_541284561214624104645789101745[[#This Row],[UNIT]]&lt;0),_1_541284561214624104645789101745[[#This Row],[UNIT]]*_1_541284561214624104645789101745[[#This Row],[COST]],0)</f>
        <v>0</v>
      </c>
      <c r="N909" s="194">
        <f t="shared" si="14"/>
        <v>1.5</v>
      </c>
      <c r="O909" s="198">
        <f>_1_541284561214624104645789101745[[#This Row],[TOTAL]]*_1_541284561214624104645789101745[[#This Row],[MARGIN]]</f>
        <v>0</v>
      </c>
      <c r="P909" s="198"/>
      <c r="R909" s="41"/>
    </row>
    <row r="910" spans="4:18">
      <c r="D910" s="188"/>
      <c r="E910" s="42"/>
      <c r="F910" s="168" t="s">
        <v>6202</v>
      </c>
      <c r="G910" s="193">
        <f>IF(_1_541284561214624104645789101745[[#This Row],[Type]]&gt;0,VLOOKUP(_1_541284561214624104645789101745[[#This Row],[Type]],Main[[#All],[TYPE]:[UNIT]],'Unit Price'!C$1,FALSE),0)</f>
        <v>0</v>
      </c>
      <c r="H910" s="197">
        <f>IF(_1_541284561214624104645789101745[[#This Row],[Type]]&gt;0,VLOOKUP(_1_541284561214624104645789101745[[#This Row],[Type]],Main[[#All],[TYPE]:[UNIT]],'Unit Price'!D$1,FALSE),0)</f>
        <v>0</v>
      </c>
      <c r="I910" s="194">
        <f>IF(_1_541284561214624104645789101745[[#This Row],[Type]]&gt;0,VLOOKUP(_1_541284561214624104645789101745[[#This Row],[Type]],Main[[#All],[TYPE]:[UNIT]],'Unit Price'!G$1,FALSE),0)</f>
        <v>0</v>
      </c>
      <c r="J910" s="194">
        <f>IF(_1_541284561214624104645789101745[[#This Row],[Type]]&gt;0,VLOOKUP(_1_541284561214624104645789101745[[#This Row],[Type]],Main[[#All],[TYPE]:[UNIT]],'Unit Price'!H$1,FALSE),0)</f>
        <v>0</v>
      </c>
      <c r="K910" s="194">
        <f>IF(_1_541284561214624104645789101745[[#This Row],[Discount selection]]&gt;0,VLOOKUP(_1_541284561214624104645789101745[[#This Row],[Discount selection]],'Discount Structure'!$A$2:$B$30,2,"false"),0)</f>
        <v>1</v>
      </c>
      <c r="L910" s="194">
        <f>_1_541284561214624104645789101745[[#This Row],[LIST $]]*_1_541284561214624104645789101745[[#This Row],[DISCOUNT]]*_1_541284561214624104645789101745[[#This Row],[DISCOUNT 2]]</f>
        <v>0</v>
      </c>
      <c r="M910" s="194">
        <f>IF(OR(_1_541284561214624104645789101745[[#This Row],[UNIT]]&gt;0,_1_541284561214624104645789101745[[#This Row],[UNIT]]&lt;0),_1_541284561214624104645789101745[[#This Row],[UNIT]]*_1_541284561214624104645789101745[[#This Row],[COST]],0)</f>
        <v>0</v>
      </c>
      <c r="N910" s="194">
        <f t="shared" si="14"/>
        <v>1.5</v>
      </c>
      <c r="O910" s="198">
        <f>_1_541284561214624104645789101745[[#This Row],[TOTAL]]*_1_541284561214624104645789101745[[#This Row],[MARGIN]]</f>
        <v>0</v>
      </c>
      <c r="P910" s="198"/>
      <c r="R910" s="41"/>
    </row>
    <row r="911" spans="4:18">
      <c r="D911" s="188"/>
      <c r="E911" s="42"/>
      <c r="F911" s="168" t="s">
        <v>6202</v>
      </c>
      <c r="G911" s="193">
        <f>IF(_1_541284561214624104645789101745[[#This Row],[Type]]&gt;0,VLOOKUP(_1_541284561214624104645789101745[[#This Row],[Type]],Main[[#All],[TYPE]:[UNIT]],'Unit Price'!C$1,FALSE),0)</f>
        <v>0</v>
      </c>
      <c r="H911" s="197">
        <f>IF(_1_541284561214624104645789101745[[#This Row],[Type]]&gt;0,VLOOKUP(_1_541284561214624104645789101745[[#This Row],[Type]],Main[[#All],[TYPE]:[UNIT]],'Unit Price'!D$1,FALSE),0)</f>
        <v>0</v>
      </c>
      <c r="I911" s="194">
        <f>IF(_1_541284561214624104645789101745[[#This Row],[Type]]&gt;0,VLOOKUP(_1_541284561214624104645789101745[[#This Row],[Type]],Main[[#All],[TYPE]:[UNIT]],'Unit Price'!G$1,FALSE),0)</f>
        <v>0</v>
      </c>
      <c r="J911" s="194">
        <f>IF(_1_541284561214624104645789101745[[#This Row],[Type]]&gt;0,VLOOKUP(_1_541284561214624104645789101745[[#This Row],[Type]],Main[[#All],[TYPE]:[UNIT]],'Unit Price'!H$1,FALSE),0)</f>
        <v>0</v>
      </c>
      <c r="K911" s="194">
        <f>IF(_1_541284561214624104645789101745[[#This Row],[Discount selection]]&gt;0,VLOOKUP(_1_541284561214624104645789101745[[#This Row],[Discount selection]],'Discount Structure'!$A$2:$B$30,2,"false"),0)</f>
        <v>1</v>
      </c>
      <c r="L911" s="194">
        <f>_1_541284561214624104645789101745[[#This Row],[LIST $]]*_1_541284561214624104645789101745[[#This Row],[DISCOUNT]]*_1_541284561214624104645789101745[[#This Row],[DISCOUNT 2]]</f>
        <v>0</v>
      </c>
      <c r="M911" s="194">
        <f>IF(OR(_1_541284561214624104645789101745[[#This Row],[UNIT]]&gt;0,_1_541284561214624104645789101745[[#This Row],[UNIT]]&lt;0),_1_541284561214624104645789101745[[#This Row],[UNIT]]*_1_541284561214624104645789101745[[#This Row],[COST]],0)</f>
        <v>0</v>
      </c>
      <c r="N911" s="194">
        <f t="shared" si="14"/>
        <v>1.5</v>
      </c>
      <c r="O911" s="198">
        <f>_1_541284561214624104645789101745[[#This Row],[TOTAL]]*_1_541284561214624104645789101745[[#This Row],[MARGIN]]</f>
        <v>0</v>
      </c>
      <c r="P911" s="198"/>
      <c r="R911" s="41"/>
    </row>
    <row r="912" spans="4:18">
      <c r="D912" s="188"/>
      <c r="E912" s="42"/>
      <c r="F912" s="168" t="s">
        <v>6202</v>
      </c>
      <c r="G912" s="193">
        <f>IF(_1_541284561214624104645789101745[[#This Row],[Type]]&gt;0,VLOOKUP(_1_541284561214624104645789101745[[#This Row],[Type]],Main[[#All],[TYPE]:[UNIT]],'Unit Price'!C$1,FALSE),0)</f>
        <v>0</v>
      </c>
      <c r="H912" s="197">
        <f>IF(_1_541284561214624104645789101745[[#This Row],[Type]]&gt;0,VLOOKUP(_1_541284561214624104645789101745[[#This Row],[Type]],Main[[#All],[TYPE]:[UNIT]],'Unit Price'!D$1,FALSE),0)</f>
        <v>0</v>
      </c>
      <c r="I912" s="194">
        <f>IF(_1_541284561214624104645789101745[[#This Row],[Type]]&gt;0,VLOOKUP(_1_541284561214624104645789101745[[#This Row],[Type]],Main[[#All],[TYPE]:[UNIT]],'Unit Price'!G$1,FALSE),0)</f>
        <v>0</v>
      </c>
      <c r="J912" s="194">
        <f>IF(_1_541284561214624104645789101745[[#This Row],[Type]]&gt;0,VLOOKUP(_1_541284561214624104645789101745[[#This Row],[Type]],Main[[#All],[TYPE]:[UNIT]],'Unit Price'!H$1,FALSE),0)</f>
        <v>0</v>
      </c>
      <c r="K912" s="194">
        <f>IF(_1_541284561214624104645789101745[[#This Row],[Discount selection]]&gt;0,VLOOKUP(_1_541284561214624104645789101745[[#This Row],[Discount selection]],'Discount Structure'!$A$2:$B$30,2,"false"),0)</f>
        <v>1</v>
      </c>
      <c r="L912" s="194">
        <f>_1_541284561214624104645789101745[[#This Row],[LIST $]]*_1_541284561214624104645789101745[[#This Row],[DISCOUNT]]*_1_541284561214624104645789101745[[#This Row],[DISCOUNT 2]]</f>
        <v>0</v>
      </c>
      <c r="M912" s="194">
        <f>IF(OR(_1_541284561214624104645789101745[[#This Row],[UNIT]]&gt;0,_1_541284561214624104645789101745[[#This Row],[UNIT]]&lt;0),_1_541284561214624104645789101745[[#This Row],[UNIT]]*_1_541284561214624104645789101745[[#This Row],[COST]],0)</f>
        <v>0</v>
      </c>
      <c r="N912" s="194">
        <f t="shared" si="14"/>
        <v>1.5</v>
      </c>
      <c r="O912" s="198">
        <f>_1_541284561214624104645789101745[[#This Row],[TOTAL]]*_1_541284561214624104645789101745[[#This Row],[MARGIN]]</f>
        <v>0</v>
      </c>
      <c r="P912" s="198"/>
      <c r="R912" s="41"/>
    </row>
    <row r="913" spans="4:18">
      <c r="D913" s="188"/>
      <c r="E913" s="42"/>
      <c r="F913" s="168" t="s">
        <v>6202</v>
      </c>
      <c r="G913" s="193">
        <f>IF(_1_541284561214624104645789101745[[#This Row],[Type]]&gt;0,VLOOKUP(_1_541284561214624104645789101745[[#This Row],[Type]],Main[[#All],[TYPE]:[UNIT]],'Unit Price'!C$1,FALSE),0)</f>
        <v>0</v>
      </c>
      <c r="H913" s="197">
        <f>IF(_1_541284561214624104645789101745[[#This Row],[Type]]&gt;0,VLOOKUP(_1_541284561214624104645789101745[[#This Row],[Type]],Main[[#All],[TYPE]:[UNIT]],'Unit Price'!D$1,FALSE),0)</f>
        <v>0</v>
      </c>
      <c r="I913" s="194">
        <f>IF(_1_541284561214624104645789101745[[#This Row],[Type]]&gt;0,VLOOKUP(_1_541284561214624104645789101745[[#This Row],[Type]],Main[[#All],[TYPE]:[UNIT]],'Unit Price'!G$1,FALSE),0)</f>
        <v>0</v>
      </c>
      <c r="J913" s="194">
        <f>IF(_1_541284561214624104645789101745[[#This Row],[Type]]&gt;0,VLOOKUP(_1_541284561214624104645789101745[[#This Row],[Type]],Main[[#All],[TYPE]:[UNIT]],'Unit Price'!H$1,FALSE),0)</f>
        <v>0</v>
      </c>
      <c r="K913" s="194">
        <f>IF(_1_541284561214624104645789101745[[#This Row],[Discount selection]]&gt;0,VLOOKUP(_1_541284561214624104645789101745[[#This Row],[Discount selection]],'Discount Structure'!$A$2:$B$30,2,"false"),0)</f>
        <v>1</v>
      </c>
      <c r="L913" s="194">
        <f>_1_541284561214624104645789101745[[#This Row],[LIST $]]*_1_541284561214624104645789101745[[#This Row],[DISCOUNT]]*_1_541284561214624104645789101745[[#This Row],[DISCOUNT 2]]</f>
        <v>0</v>
      </c>
      <c r="M913" s="194">
        <f>IF(OR(_1_541284561214624104645789101745[[#This Row],[UNIT]]&gt;0,_1_541284561214624104645789101745[[#This Row],[UNIT]]&lt;0),_1_541284561214624104645789101745[[#This Row],[UNIT]]*_1_541284561214624104645789101745[[#This Row],[COST]],0)</f>
        <v>0</v>
      </c>
      <c r="N913" s="194">
        <f t="shared" si="14"/>
        <v>1.5</v>
      </c>
      <c r="O913" s="198">
        <f>_1_541284561214624104645789101745[[#This Row],[TOTAL]]*_1_541284561214624104645789101745[[#This Row],[MARGIN]]</f>
        <v>0</v>
      </c>
      <c r="P913" s="198"/>
      <c r="R913" s="41"/>
    </row>
    <row r="914" spans="4:18">
      <c r="D914" s="188"/>
      <c r="E914" s="42"/>
      <c r="F914" s="168" t="s">
        <v>6202</v>
      </c>
      <c r="G914" s="193">
        <f>IF(_1_541284561214624104645789101745[[#This Row],[Type]]&gt;0,VLOOKUP(_1_541284561214624104645789101745[[#This Row],[Type]],Main[[#All],[TYPE]:[UNIT]],'Unit Price'!C$1,FALSE),0)</f>
        <v>0</v>
      </c>
      <c r="H914" s="197">
        <f>IF(_1_541284561214624104645789101745[[#This Row],[Type]]&gt;0,VLOOKUP(_1_541284561214624104645789101745[[#This Row],[Type]],Main[[#All],[TYPE]:[UNIT]],'Unit Price'!D$1,FALSE),0)</f>
        <v>0</v>
      </c>
      <c r="I914" s="194">
        <f>IF(_1_541284561214624104645789101745[[#This Row],[Type]]&gt;0,VLOOKUP(_1_541284561214624104645789101745[[#This Row],[Type]],Main[[#All],[TYPE]:[UNIT]],'Unit Price'!G$1,FALSE),0)</f>
        <v>0</v>
      </c>
      <c r="J914" s="194">
        <f>IF(_1_541284561214624104645789101745[[#This Row],[Type]]&gt;0,VLOOKUP(_1_541284561214624104645789101745[[#This Row],[Type]],Main[[#All],[TYPE]:[UNIT]],'Unit Price'!H$1,FALSE),0)</f>
        <v>0</v>
      </c>
      <c r="K914" s="194">
        <f>IF(_1_541284561214624104645789101745[[#This Row],[Discount selection]]&gt;0,VLOOKUP(_1_541284561214624104645789101745[[#This Row],[Discount selection]],'Discount Structure'!$A$2:$B$30,2,"false"),0)</f>
        <v>1</v>
      </c>
      <c r="L914" s="194">
        <f>_1_541284561214624104645789101745[[#This Row],[LIST $]]*_1_541284561214624104645789101745[[#This Row],[DISCOUNT]]*_1_541284561214624104645789101745[[#This Row],[DISCOUNT 2]]</f>
        <v>0</v>
      </c>
      <c r="M914" s="194">
        <f>IF(OR(_1_541284561214624104645789101745[[#This Row],[UNIT]]&gt;0,_1_541284561214624104645789101745[[#This Row],[UNIT]]&lt;0),_1_541284561214624104645789101745[[#This Row],[UNIT]]*_1_541284561214624104645789101745[[#This Row],[COST]],0)</f>
        <v>0</v>
      </c>
      <c r="N914" s="194">
        <f t="shared" si="14"/>
        <v>1.5</v>
      </c>
      <c r="O914" s="198">
        <f>_1_541284561214624104645789101745[[#This Row],[TOTAL]]*_1_541284561214624104645789101745[[#This Row],[MARGIN]]</f>
        <v>0</v>
      </c>
      <c r="P914" s="198"/>
      <c r="R914" s="41"/>
    </row>
    <row r="915" spans="4:18">
      <c r="D915" s="188"/>
      <c r="E915" s="42"/>
      <c r="F915" s="168" t="s">
        <v>6202</v>
      </c>
      <c r="G915" s="193">
        <f>IF(_1_541284561214624104645789101745[[#This Row],[Type]]&gt;0,VLOOKUP(_1_541284561214624104645789101745[[#This Row],[Type]],Main[[#All],[TYPE]:[UNIT]],'Unit Price'!C$1,FALSE),0)</f>
        <v>0</v>
      </c>
      <c r="H915" s="197">
        <f>IF(_1_541284561214624104645789101745[[#This Row],[Type]]&gt;0,VLOOKUP(_1_541284561214624104645789101745[[#This Row],[Type]],Main[[#All],[TYPE]:[UNIT]],'Unit Price'!D$1,FALSE),0)</f>
        <v>0</v>
      </c>
      <c r="I915" s="194">
        <f>IF(_1_541284561214624104645789101745[[#This Row],[Type]]&gt;0,VLOOKUP(_1_541284561214624104645789101745[[#This Row],[Type]],Main[[#All],[TYPE]:[UNIT]],'Unit Price'!G$1,FALSE),0)</f>
        <v>0</v>
      </c>
      <c r="J915" s="194">
        <f>IF(_1_541284561214624104645789101745[[#This Row],[Type]]&gt;0,VLOOKUP(_1_541284561214624104645789101745[[#This Row],[Type]],Main[[#All],[TYPE]:[UNIT]],'Unit Price'!H$1,FALSE),0)</f>
        <v>0</v>
      </c>
      <c r="K915" s="194">
        <f>IF(_1_541284561214624104645789101745[[#This Row],[Discount selection]]&gt;0,VLOOKUP(_1_541284561214624104645789101745[[#This Row],[Discount selection]],'Discount Structure'!$A$2:$B$30,2,"false"),0)</f>
        <v>1</v>
      </c>
      <c r="L915" s="194">
        <f>_1_541284561214624104645789101745[[#This Row],[LIST $]]*_1_541284561214624104645789101745[[#This Row],[DISCOUNT]]*_1_541284561214624104645789101745[[#This Row],[DISCOUNT 2]]</f>
        <v>0</v>
      </c>
      <c r="M915" s="194">
        <f>IF(OR(_1_541284561214624104645789101745[[#This Row],[UNIT]]&gt;0,_1_541284561214624104645789101745[[#This Row],[UNIT]]&lt;0),_1_541284561214624104645789101745[[#This Row],[UNIT]]*_1_541284561214624104645789101745[[#This Row],[COST]],0)</f>
        <v>0</v>
      </c>
      <c r="N915" s="194">
        <f t="shared" si="14"/>
        <v>1.5</v>
      </c>
      <c r="O915" s="198">
        <f>_1_541284561214624104645789101745[[#This Row],[TOTAL]]*_1_541284561214624104645789101745[[#This Row],[MARGIN]]</f>
        <v>0</v>
      </c>
      <c r="P915" s="198"/>
      <c r="R915" s="41"/>
    </row>
    <row r="916" spans="4:18">
      <c r="D916" s="188"/>
      <c r="E916" s="42"/>
      <c r="F916" s="168" t="s">
        <v>6202</v>
      </c>
      <c r="G916" s="193">
        <f>IF(_1_541284561214624104645789101745[[#This Row],[Type]]&gt;0,VLOOKUP(_1_541284561214624104645789101745[[#This Row],[Type]],Main[[#All],[TYPE]:[UNIT]],'Unit Price'!C$1,FALSE),0)</f>
        <v>0</v>
      </c>
      <c r="H916" s="197">
        <f>IF(_1_541284561214624104645789101745[[#This Row],[Type]]&gt;0,VLOOKUP(_1_541284561214624104645789101745[[#This Row],[Type]],Main[[#All],[TYPE]:[UNIT]],'Unit Price'!D$1,FALSE),0)</f>
        <v>0</v>
      </c>
      <c r="I916" s="194">
        <f>IF(_1_541284561214624104645789101745[[#This Row],[Type]]&gt;0,VLOOKUP(_1_541284561214624104645789101745[[#This Row],[Type]],Main[[#All],[TYPE]:[UNIT]],'Unit Price'!G$1,FALSE),0)</f>
        <v>0</v>
      </c>
      <c r="J916" s="194">
        <f>IF(_1_541284561214624104645789101745[[#This Row],[Type]]&gt;0,VLOOKUP(_1_541284561214624104645789101745[[#This Row],[Type]],Main[[#All],[TYPE]:[UNIT]],'Unit Price'!H$1,FALSE),0)</f>
        <v>0</v>
      </c>
      <c r="K916" s="194">
        <f>IF(_1_541284561214624104645789101745[[#This Row],[Discount selection]]&gt;0,VLOOKUP(_1_541284561214624104645789101745[[#This Row],[Discount selection]],'Discount Structure'!$A$2:$B$30,2,"false"),0)</f>
        <v>1</v>
      </c>
      <c r="L916" s="194">
        <f>_1_541284561214624104645789101745[[#This Row],[LIST $]]*_1_541284561214624104645789101745[[#This Row],[DISCOUNT]]*_1_541284561214624104645789101745[[#This Row],[DISCOUNT 2]]</f>
        <v>0</v>
      </c>
      <c r="M916" s="194">
        <f>IF(OR(_1_541284561214624104645789101745[[#This Row],[UNIT]]&gt;0,_1_541284561214624104645789101745[[#This Row],[UNIT]]&lt;0),_1_541284561214624104645789101745[[#This Row],[UNIT]]*_1_541284561214624104645789101745[[#This Row],[COST]],0)</f>
        <v>0</v>
      </c>
      <c r="N916" s="194">
        <f t="shared" si="14"/>
        <v>1.5</v>
      </c>
      <c r="O916" s="198">
        <f>_1_541284561214624104645789101745[[#This Row],[TOTAL]]*_1_541284561214624104645789101745[[#This Row],[MARGIN]]</f>
        <v>0</v>
      </c>
      <c r="P916" s="198"/>
      <c r="R916" s="41"/>
    </row>
    <row r="917" spans="4:18">
      <c r="D917" s="188"/>
      <c r="E917" s="42"/>
      <c r="F917" s="168" t="s">
        <v>6202</v>
      </c>
      <c r="G917" s="193">
        <f>IF(_1_541284561214624104645789101745[[#This Row],[Type]]&gt;0,VLOOKUP(_1_541284561214624104645789101745[[#This Row],[Type]],Main[[#All],[TYPE]:[UNIT]],'Unit Price'!C$1,FALSE),0)</f>
        <v>0</v>
      </c>
      <c r="H917" s="197">
        <f>IF(_1_541284561214624104645789101745[[#This Row],[Type]]&gt;0,VLOOKUP(_1_541284561214624104645789101745[[#This Row],[Type]],Main[[#All],[TYPE]:[UNIT]],'Unit Price'!D$1,FALSE),0)</f>
        <v>0</v>
      </c>
      <c r="I917" s="194">
        <f>IF(_1_541284561214624104645789101745[[#This Row],[Type]]&gt;0,VLOOKUP(_1_541284561214624104645789101745[[#This Row],[Type]],Main[[#All],[TYPE]:[UNIT]],'Unit Price'!G$1,FALSE),0)</f>
        <v>0</v>
      </c>
      <c r="J917" s="194">
        <f>IF(_1_541284561214624104645789101745[[#This Row],[Type]]&gt;0,VLOOKUP(_1_541284561214624104645789101745[[#This Row],[Type]],Main[[#All],[TYPE]:[UNIT]],'Unit Price'!H$1,FALSE),0)</f>
        <v>0</v>
      </c>
      <c r="K917" s="194">
        <f>IF(_1_541284561214624104645789101745[[#This Row],[Discount selection]]&gt;0,VLOOKUP(_1_541284561214624104645789101745[[#This Row],[Discount selection]],'Discount Structure'!$A$2:$B$30,2,"false"),0)</f>
        <v>1</v>
      </c>
      <c r="L917" s="194">
        <f>_1_541284561214624104645789101745[[#This Row],[LIST $]]*_1_541284561214624104645789101745[[#This Row],[DISCOUNT]]*_1_541284561214624104645789101745[[#This Row],[DISCOUNT 2]]</f>
        <v>0</v>
      </c>
      <c r="M917" s="194">
        <f>IF(OR(_1_541284561214624104645789101745[[#This Row],[UNIT]]&gt;0,_1_541284561214624104645789101745[[#This Row],[UNIT]]&lt;0),_1_541284561214624104645789101745[[#This Row],[UNIT]]*_1_541284561214624104645789101745[[#This Row],[COST]],0)</f>
        <v>0</v>
      </c>
      <c r="N917" s="194">
        <f t="shared" si="14"/>
        <v>1.5</v>
      </c>
      <c r="O917" s="198">
        <f>_1_541284561214624104645789101745[[#This Row],[TOTAL]]*_1_541284561214624104645789101745[[#This Row],[MARGIN]]</f>
        <v>0</v>
      </c>
      <c r="P917" s="198"/>
      <c r="R917" s="41"/>
    </row>
    <row r="918" spans="4:18">
      <c r="D918" s="188"/>
      <c r="E918" s="42"/>
      <c r="F918" s="168" t="s">
        <v>6202</v>
      </c>
      <c r="G918" s="193">
        <f>IF(_1_541284561214624104645789101745[[#This Row],[Type]]&gt;0,VLOOKUP(_1_541284561214624104645789101745[[#This Row],[Type]],Main[[#All],[TYPE]:[UNIT]],'Unit Price'!C$1,FALSE),0)</f>
        <v>0</v>
      </c>
      <c r="H918" s="197">
        <f>IF(_1_541284561214624104645789101745[[#This Row],[Type]]&gt;0,VLOOKUP(_1_541284561214624104645789101745[[#This Row],[Type]],Main[[#All],[TYPE]:[UNIT]],'Unit Price'!D$1,FALSE),0)</f>
        <v>0</v>
      </c>
      <c r="I918" s="194">
        <f>IF(_1_541284561214624104645789101745[[#This Row],[Type]]&gt;0,VLOOKUP(_1_541284561214624104645789101745[[#This Row],[Type]],Main[[#All],[TYPE]:[UNIT]],'Unit Price'!G$1,FALSE),0)</f>
        <v>0</v>
      </c>
      <c r="J918" s="194">
        <f>IF(_1_541284561214624104645789101745[[#This Row],[Type]]&gt;0,VLOOKUP(_1_541284561214624104645789101745[[#This Row],[Type]],Main[[#All],[TYPE]:[UNIT]],'Unit Price'!H$1,FALSE),0)</f>
        <v>0</v>
      </c>
      <c r="K918" s="194">
        <f>IF(_1_541284561214624104645789101745[[#This Row],[Discount selection]]&gt;0,VLOOKUP(_1_541284561214624104645789101745[[#This Row],[Discount selection]],'Discount Structure'!$A$2:$B$30,2,"false"),0)</f>
        <v>1</v>
      </c>
      <c r="L918" s="194">
        <f>_1_541284561214624104645789101745[[#This Row],[LIST $]]*_1_541284561214624104645789101745[[#This Row],[DISCOUNT]]*_1_541284561214624104645789101745[[#This Row],[DISCOUNT 2]]</f>
        <v>0</v>
      </c>
      <c r="M918" s="194">
        <f>IF(OR(_1_541284561214624104645789101745[[#This Row],[UNIT]]&gt;0,_1_541284561214624104645789101745[[#This Row],[UNIT]]&lt;0),_1_541284561214624104645789101745[[#This Row],[UNIT]]*_1_541284561214624104645789101745[[#This Row],[COST]],0)</f>
        <v>0</v>
      </c>
      <c r="N918" s="194">
        <f t="shared" si="14"/>
        <v>1.5</v>
      </c>
      <c r="O918" s="198">
        <f>_1_541284561214624104645789101745[[#This Row],[TOTAL]]*_1_541284561214624104645789101745[[#This Row],[MARGIN]]</f>
        <v>0</v>
      </c>
      <c r="P918" s="198"/>
      <c r="R918" s="41"/>
    </row>
    <row r="919" spans="4:18">
      <c r="D919" s="188"/>
      <c r="E919" s="42"/>
      <c r="F919" s="168" t="s">
        <v>6202</v>
      </c>
      <c r="G919" s="193">
        <f>IF(_1_541284561214624104645789101745[[#This Row],[Type]]&gt;0,VLOOKUP(_1_541284561214624104645789101745[[#This Row],[Type]],Main[[#All],[TYPE]:[UNIT]],'Unit Price'!C$1,FALSE),0)</f>
        <v>0</v>
      </c>
      <c r="H919" s="197">
        <f>IF(_1_541284561214624104645789101745[[#This Row],[Type]]&gt;0,VLOOKUP(_1_541284561214624104645789101745[[#This Row],[Type]],Main[[#All],[TYPE]:[UNIT]],'Unit Price'!D$1,FALSE),0)</f>
        <v>0</v>
      </c>
      <c r="I919" s="194">
        <f>IF(_1_541284561214624104645789101745[[#This Row],[Type]]&gt;0,VLOOKUP(_1_541284561214624104645789101745[[#This Row],[Type]],Main[[#All],[TYPE]:[UNIT]],'Unit Price'!G$1,FALSE),0)</f>
        <v>0</v>
      </c>
      <c r="J919" s="194">
        <f>IF(_1_541284561214624104645789101745[[#This Row],[Type]]&gt;0,VLOOKUP(_1_541284561214624104645789101745[[#This Row],[Type]],Main[[#All],[TYPE]:[UNIT]],'Unit Price'!H$1,FALSE),0)</f>
        <v>0</v>
      </c>
      <c r="K919" s="194">
        <f>IF(_1_541284561214624104645789101745[[#This Row],[Discount selection]]&gt;0,VLOOKUP(_1_541284561214624104645789101745[[#This Row],[Discount selection]],'Discount Structure'!$A$2:$B$30,2,"false"),0)</f>
        <v>1</v>
      </c>
      <c r="L919" s="194">
        <f>_1_541284561214624104645789101745[[#This Row],[LIST $]]*_1_541284561214624104645789101745[[#This Row],[DISCOUNT]]*_1_541284561214624104645789101745[[#This Row],[DISCOUNT 2]]</f>
        <v>0</v>
      </c>
      <c r="M919" s="194">
        <f>IF(OR(_1_541284561214624104645789101745[[#This Row],[UNIT]]&gt;0,_1_541284561214624104645789101745[[#This Row],[UNIT]]&lt;0),_1_541284561214624104645789101745[[#This Row],[UNIT]]*_1_541284561214624104645789101745[[#This Row],[COST]],0)</f>
        <v>0</v>
      </c>
      <c r="N919" s="194">
        <f t="shared" si="14"/>
        <v>1.5</v>
      </c>
      <c r="O919" s="198">
        <f>_1_541284561214624104645789101745[[#This Row],[TOTAL]]*_1_541284561214624104645789101745[[#This Row],[MARGIN]]</f>
        <v>0</v>
      </c>
      <c r="P919" s="198"/>
      <c r="R919" s="41"/>
    </row>
    <row r="920" spans="4:18">
      <c r="D920" s="188"/>
      <c r="E920" s="42"/>
      <c r="F920" s="168" t="s">
        <v>6202</v>
      </c>
      <c r="G920" s="193">
        <f>IF(_1_541284561214624104645789101745[[#This Row],[Type]]&gt;0,VLOOKUP(_1_541284561214624104645789101745[[#This Row],[Type]],Main[[#All],[TYPE]:[UNIT]],'Unit Price'!C$1,FALSE),0)</f>
        <v>0</v>
      </c>
      <c r="H920" s="197">
        <f>IF(_1_541284561214624104645789101745[[#This Row],[Type]]&gt;0,VLOOKUP(_1_541284561214624104645789101745[[#This Row],[Type]],Main[[#All],[TYPE]:[UNIT]],'Unit Price'!D$1,FALSE),0)</f>
        <v>0</v>
      </c>
      <c r="I920" s="194">
        <f>IF(_1_541284561214624104645789101745[[#This Row],[Type]]&gt;0,VLOOKUP(_1_541284561214624104645789101745[[#This Row],[Type]],Main[[#All],[TYPE]:[UNIT]],'Unit Price'!G$1,FALSE),0)</f>
        <v>0</v>
      </c>
      <c r="J920" s="194">
        <f>IF(_1_541284561214624104645789101745[[#This Row],[Type]]&gt;0,VLOOKUP(_1_541284561214624104645789101745[[#This Row],[Type]],Main[[#All],[TYPE]:[UNIT]],'Unit Price'!H$1,FALSE),0)</f>
        <v>0</v>
      </c>
      <c r="K920" s="194">
        <f>IF(_1_541284561214624104645789101745[[#This Row],[Discount selection]]&gt;0,VLOOKUP(_1_541284561214624104645789101745[[#This Row],[Discount selection]],'Discount Structure'!$A$2:$B$30,2,"false"),0)</f>
        <v>1</v>
      </c>
      <c r="L920" s="194">
        <f>_1_541284561214624104645789101745[[#This Row],[LIST $]]*_1_541284561214624104645789101745[[#This Row],[DISCOUNT]]*_1_541284561214624104645789101745[[#This Row],[DISCOUNT 2]]</f>
        <v>0</v>
      </c>
      <c r="M920" s="194">
        <f>IF(OR(_1_541284561214624104645789101745[[#This Row],[UNIT]]&gt;0,_1_541284561214624104645789101745[[#This Row],[UNIT]]&lt;0),_1_541284561214624104645789101745[[#This Row],[UNIT]]*_1_541284561214624104645789101745[[#This Row],[COST]],0)</f>
        <v>0</v>
      </c>
      <c r="N920" s="194">
        <f t="shared" si="14"/>
        <v>1.5</v>
      </c>
      <c r="O920" s="198">
        <f>_1_541284561214624104645789101745[[#This Row],[TOTAL]]*_1_541284561214624104645789101745[[#This Row],[MARGIN]]</f>
        <v>0</v>
      </c>
      <c r="P920" s="198"/>
      <c r="R920" s="41"/>
    </row>
    <row r="921" spans="4:18">
      <c r="D921" s="188"/>
      <c r="E921" s="42"/>
      <c r="F921" s="168" t="s">
        <v>6202</v>
      </c>
      <c r="G921" s="193">
        <f>IF(_1_541284561214624104645789101745[[#This Row],[Type]]&gt;0,VLOOKUP(_1_541284561214624104645789101745[[#This Row],[Type]],Main[[#All],[TYPE]:[UNIT]],'Unit Price'!C$1,FALSE),0)</f>
        <v>0</v>
      </c>
      <c r="H921" s="197">
        <f>IF(_1_541284561214624104645789101745[[#This Row],[Type]]&gt;0,VLOOKUP(_1_541284561214624104645789101745[[#This Row],[Type]],Main[[#All],[TYPE]:[UNIT]],'Unit Price'!D$1,FALSE),0)</f>
        <v>0</v>
      </c>
      <c r="I921" s="194">
        <f>IF(_1_541284561214624104645789101745[[#This Row],[Type]]&gt;0,VLOOKUP(_1_541284561214624104645789101745[[#This Row],[Type]],Main[[#All],[TYPE]:[UNIT]],'Unit Price'!G$1,FALSE),0)</f>
        <v>0</v>
      </c>
      <c r="J921" s="194">
        <f>IF(_1_541284561214624104645789101745[[#This Row],[Type]]&gt;0,VLOOKUP(_1_541284561214624104645789101745[[#This Row],[Type]],Main[[#All],[TYPE]:[UNIT]],'Unit Price'!H$1,FALSE),0)</f>
        <v>0</v>
      </c>
      <c r="K921" s="194">
        <f>IF(_1_541284561214624104645789101745[[#This Row],[Discount selection]]&gt;0,VLOOKUP(_1_541284561214624104645789101745[[#This Row],[Discount selection]],'Discount Structure'!$A$2:$B$30,2,"false"),0)</f>
        <v>1</v>
      </c>
      <c r="L921" s="194">
        <f>_1_541284561214624104645789101745[[#This Row],[LIST $]]*_1_541284561214624104645789101745[[#This Row],[DISCOUNT]]*_1_541284561214624104645789101745[[#This Row],[DISCOUNT 2]]</f>
        <v>0</v>
      </c>
      <c r="M921" s="194">
        <f>IF(OR(_1_541284561214624104645789101745[[#This Row],[UNIT]]&gt;0,_1_541284561214624104645789101745[[#This Row],[UNIT]]&lt;0),_1_541284561214624104645789101745[[#This Row],[UNIT]]*_1_541284561214624104645789101745[[#This Row],[COST]],0)</f>
        <v>0</v>
      </c>
      <c r="N921" s="194">
        <f t="shared" si="14"/>
        <v>1.5</v>
      </c>
      <c r="O921" s="198">
        <f>_1_541284561214624104645789101745[[#This Row],[TOTAL]]*_1_541284561214624104645789101745[[#This Row],[MARGIN]]</f>
        <v>0</v>
      </c>
      <c r="P921" s="198"/>
      <c r="R921" s="41"/>
    </row>
    <row r="922" spans="4:18">
      <c r="D922" s="188"/>
      <c r="E922" s="42"/>
      <c r="F922" s="168" t="s">
        <v>6202</v>
      </c>
      <c r="G922" s="193">
        <f>IF(_1_541284561214624104645789101745[[#This Row],[Type]]&gt;0,VLOOKUP(_1_541284561214624104645789101745[[#This Row],[Type]],Main[[#All],[TYPE]:[UNIT]],'Unit Price'!C$1,FALSE),0)</f>
        <v>0</v>
      </c>
      <c r="H922" s="197">
        <f>IF(_1_541284561214624104645789101745[[#This Row],[Type]]&gt;0,VLOOKUP(_1_541284561214624104645789101745[[#This Row],[Type]],Main[[#All],[TYPE]:[UNIT]],'Unit Price'!D$1,FALSE),0)</f>
        <v>0</v>
      </c>
      <c r="I922" s="194">
        <f>IF(_1_541284561214624104645789101745[[#This Row],[Type]]&gt;0,VLOOKUP(_1_541284561214624104645789101745[[#This Row],[Type]],Main[[#All],[TYPE]:[UNIT]],'Unit Price'!G$1,FALSE),0)</f>
        <v>0</v>
      </c>
      <c r="J922" s="194">
        <f>IF(_1_541284561214624104645789101745[[#This Row],[Type]]&gt;0,VLOOKUP(_1_541284561214624104645789101745[[#This Row],[Type]],Main[[#All],[TYPE]:[UNIT]],'Unit Price'!H$1,FALSE),0)</f>
        <v>0</v>
      </c>
      <c r="K922" s="194">
        <f>IF(_1_541284561214624104645789101745[[#This Row],[Discount selection]]&gt;0,VLOOKUP(_1_541284561214624104645789101745[[#This Row],[Discount selection]],'Discount Structure'!$A$2:$B$30,2,"false"),0)</f>
        <v>1</v>
      </c>
      <c r="L922" s="194">
        <f>_1_541284561214624104645789101745[[#This Row],[LIST $]]*_1_541284561214624104645789101745[[#This Row],[DISCOUNT]]*_1_541284561214624104645789101745[[#This Row],[DISCOUNT 2]]</f>
        <v>0</v>
      </c>
      <c r="M922" s="194">
        <f>IF(OR(_1_541284561214624104645789101745[[#This Row],[UNIT]]&gt;0,_1_541284561214624104645789101745[[#This Row],[UNIT]]&lt;0),_1_541284561214624104645789101745[[#This Row],[UNIT]]*_1_541284561214624104645789101745[[#This Row],[COST]],0)</f>
        <v>0</v>
      </c>
      <c r="N922" s="194">
        <f t="shared" si="14"/>
        <v>1.5</v>
      </c>
      <c r="O922" s="198">
        <f>_1_541284561214624104645789101745[[#This Row],[TOTAL]]*_1_541284561214624104645789101745[[#This Row],[MARGIN]]</f>
        <v>0</v>
      </c>
      <c r="P922" s="198"/>
      <c r="R922" s="41"/>
    </row>
    <row r="923" spans="4:18">
      <c r="D923" s="188"/>
      <c r="E923" s="42"/>
      <c r="F923" s="168" t="s">
        <v>6202</v>
      </c>
      <c r="G923" s="193">
        <f>IF(_1_541284561214624104645789101745[[#This Row],[Type]]&gt;0,VLOOKUP(_1_541284561214624104645789101745[[#This Row],[Type]],Main[[#All],[TYPE]:[UNIT]],'Unit Price'!C$1,FALSE),0)</f>
        <v>0</v>
      </c>
      <c r="H923" s="197">
        <f>IF(_1_541284561214624104645789101745[[#This Row],[Type]]&gt;0,VLOOKUP(_1_541284561214624104645789101745[[#This Row],[Type]],Main[[#All],[TYPE]:[UNIT]],'Unit Price'!D$1,FALSE),0)</f>
        <v>0</v>
      </c>
      <c r="I923" s="194">
        <f>IF(_1_541284561214624104645789101745[[#This Row],[Type]]&gt;0,VLOOKUP(_1_541284561214624104645789101745[[#This Row],[Type]],Main[[#All],[TYPE]:[UNIT]],'Unit Price'!G$1,FALSE),0)</f>
        <v>0</v>
      </c>
      <c r="J923" s="194">
        <f>IF(_1_541284561214624104645789101745[[#This Row],[Type]]&gt;0,VLOOKUP(_1_541284561214624104645789101745[[#This Row],[Type]],Main[[#All],[TYPE]:[UNIT]],'Unit Price'!H$1,FALSE),0)</f>
        <v>0</v>
      </c>
      <c r="K923" s="194">
        <f>IF(_1_541284561214624104645789101745[[#This Row],[Discount selection]]&gt;0,VLOOKUP(_1_541284561214624104645789101745[[#This Row],[Discount selection]],'Discount Structure'!$A$2:$B$30,2,"false"),0)</f>
        <v>1</v>
      </c>
      <c r="L923" s="194">
        <f>_1_541284561214624104645789101745[[#This Row],[LIST $]]*_1_541284561214624104645789101745[[#This Row],[DISCOUNT]]*_1_541284561214624104645789101745[[#This Row],[DISCOUNT 2]]</f>
        <v>0</v>
      </c>
      <c r="M923" s="194">
        <f>IF(OR(_1_541284561214624104645789101745[[#This Row],[UNIT]]&gt;0,_1_541284561214624104645789101745[[#This Row],[UNIT]]&lt;0),_1_541284561214624104645789101745[[#This Row],[UNIT]]*_1_541284561214624104645789101745[[#This Row],[COST]],0)</f>
        <v>0</v>
      </c>
      <c r="N923" s="194">
        <f t="shared" si="14"/>
        <v>1.5</v>
      </c>
      <c r="O923" s="198">
        <f>_1_541284561214624104645789101745[[#This Row],[TOTAL]]*_1_541284561214624104645789101745[[#This Row],[MARGIN]]</f>
        <v>0</v>
      </c>
      <c r="P923" s="198"/>
      <c r="R923" s="41"/>
    </row>
    <row r="924" spans="4:18">
      <c r="D924" s="188"/>
      <c r="E924" s="42"/>
      <c r="F924" s="168" t="s">
        <v>6202</v>
      </c>
      <c r="G924" s="193">
        <f>IF(_1_541284561214624104645789101745[[#This Row],[Type]]&gt;0,VLOOKUP(_1_541284561214624104645789101745[[#This Row],[Type]],Main[[#All],[TYPE]:[UNIT]],'Unit Price'!C$1,FALSE),0)</f>
        <v>0</v>
      </c>
      <c r="H924" s="197">
        <f>IF(_1_541284561214624104645789101745[[#This Row],[Type]]&gt;0,VLOOKUP(_1_541284561214624104645789101745[[#This Row],[Type]],Main[[#All],[TYPE]:[UNIT]],'Unit Price'!D$1,FALSE),0)</f>
        <v>0</v>
      </c>
      <c r="I924" s="194">
        <f>IF(_1_541284561214624104645789101745[[#This Row],[Type]]&gt;0,VLOOKUP(_1_541284561214624104645789101745[[#This Row],[Type]],Main[[#All],[TYPE]:[UNIT]],'Unit Price'!G$1,FALSE),0)</f>
        <v>0</v>
      </c>
      <c r="J924" s="194">
        <f>IF(_1_541284561214624104645789101745[[#This Row],[Type]]&gt;0,VLOOKUP(_1_541284561214624104645789101745[[#This Row],[Type]],Main[[#All],[TYPE]:[UNIT]],'Unit Price'!H$1,FALSE),0)</f>
        <v>0</v>
      </c>
      <c r="K924" s="194">
        <f>IF(_1_541284561214624104645789101745[[#This Row],[Discount selection]]&gt;0,VLOOKUP(_1_541284561214624104645789101745[[#This Row],[Discount selection]],'Discount Structure'!$A$2:$B$30,2,"false"),0)</f>
        <v>1</v>
      </c>
      <c r="L924" s="194">
        <f>_1_541284561214624104645789101745[[#This Row],[LIST $]]*_1_541284561214624104645789101745[[#This Row],[DISCOUNT]]*_1_541284561214624104645789101745[[#This Row],[DISCOUNT 2]]</f>
        <v>0</v>
      </c>
      <c r="M924" s="194">
        <f>IF(OR(_1_541284561214624104645789101745[[#This Row],[UNIT]]&gt;0,_1_541284561214624104645789101745[[#This Row],[UNIT]]&lt;0),_1_541284561214624104645789101745[[#This Row],[UNIT]]*_1_541284561214624104645789101745[[#This Row],[COST]],0)</f>
        <v>0</v>
      </c>
      <c r="N924" s="194">
        <f t="shared" si="14"/>
        <v>1.5</v>
      </c>
      <c r="O924" s="198">
        <f>_1_541284561214624104645789101745[[#This Row],[TOTAL]]*_1_541284561214624104645789101745[[#This Row],[MARGIN]]</f>
        <v>0</v>
      </c>
      <c r="P924" s="198"/>
      <c r="R924" s="41"/>
    </row>
    <row r="925" spans="4:18">
      <c r="D925" s="188"/>
      <c r="E925" s="42"/>
      <c r="F925" s="168" t="s">
        <v>6202</v>
      </c>
      <c r="G925" s="193">
        <f>IF(_1_541284561214624104645789101745[[#This Row],[Type]]&gt;0,VLOOKUP(_1_541284561214624104645789101745[[#This Row],[Type]],Main[[#All],[TYPE]:[UNIT]],'Unit Price'!C$1,FALSE),0)</f>
        <v>0</v>
      </c>
      <c r="H925" s="197">
        <f>IF(_1_541284561214624104645789101745[[#This Row],[Type]]&gt;0,VLOOKUP(_1_541284561214624104645789101745[[#This Row],[Type]],Main[[#All],[TYPE]:[UNIT]],'Unit Price'!D$1,FALSE),0)</f>
        <v>0</v>
      </c>
      <c r="I925" s="194">
        <f>IF(_1_541284561214624104645789101745[[#This Row],[Type]]&gt;0,VLOOKUP(_1_541284561214624104645789101745[[#This Row],[Type]],Main[[#All],[TYPE]:[UNIT]],'Unit Price'!G$1,FALSE),0)</f>
        <v>0</v>
      </c>
      <c r="J925" s="194">
        <f>IF(_1_541284561214624104645789101745[[#This Row],[Type]]&gt;0,VLOOKUP(_1_541284561214624104645789101745[[#This Row],[Type]],Main[[#All],[TYPE]:[UNIT]],'Unit Price'!H$1,FALSE),0)</f>
        <v>0</v>
      </c>
      <c r="K925" s="194">
        <f>IF(_1_541284561214624104645789101745[[#This Row],[Discount selection]]&gt;0,VLOOKUP(_1_541284561214624104645789101745[[#This Row],[Discount selection]],'Discount Structure'!$A$2:$B$30,2,"false"),0)</f>
        <v>1</v>
      </c>
      <c r="L925" s="194">
        <f>_1_541284561214624104645789101745[[#This Row],[LIST $]]*_1_541284561214624104645789101745[[#This Row],[DISCOUNT]]*_1_541284561214624104645789101745[[#This Row],[DISCOUNT 2]]</f>
        <v>0</v>
      </c>
      <c r="M925" s="194">
        <f>IF(OR(_1_541284561214624104645789101745[[#This Row],[UNIT]]&gt;0,_1_541284561214624104645789101745[[#This Row],[UNIT]]&lt;0),_1_541284561214624104645789101745[[#This Row],[UNIT]]*_1_541284561214624104645789101745[[#This Row],[COST]],0)</f>
        <v>0</v>
      </c>
      <c r="N925" s="194">
        <f t="shared" si="14"/>
        <v>1.5</v>
      </c>
      <c r="O925" s="198">
        <f>_1_541284561214624104645789101745[[#This Row],[TOTAL]]*_1_541284561214624104645789101745[[#This Row],[MARGIN]]</f>
        <v>0</v>
      </c>
      <c r="P925" s="198"/>
      <c r="R925" s="41"/>
    </row>
    <row r="926" spans="4:18">
      <c r="D926" s="188"/>
      <c r="E926" s="42"/>
      <c r="F926" s="168" t="s">
        <v>6202</v>
      </c>
      <c r="G926" s="193">
        <f>IF(_1_541284561214624104645789101745[[#This Row],[Type]]&gt;0,VLOOKUP(_1_541284561214624104645789101745[[#This Row],[Type]],Main[[#All],[TYPE]:[UNIT]],'Unit Price'!C$1,FALSE),0)</f>
        <v>0</v>
      </c>
      <c r="H926" s="197">
        <f>IF(_1_541284561214624104645789101745[[#This Row],[Type]]&gt;0,VLOOKUP(_1_541284561214624104645789101745[[#This Row],[Type]],Main[[#All],[TYPE]:[UNIT]],'Unit Price'!D$1,FALSE),0)</f>
        <v>0</v>
      </c>
      <c r="I926" s="194">
        <f>IF(_1_541284561214624104645789101745[[#This Row],[Type]]&gt;0,VLOOKUP(_1_541284561214624104645789101745[[#This Row],[Type]],Main[[#All],[TYPE]:[UNIT]],'Unit Price'!G$1,FALSE),0)</f>
        <v>0</v>
      </c>
      <c r="J926" s="194">
        <f>IF(_1_541284561214624104645789101745[[#This Row],[Type]]&gt;0,VLOOKUP(_1_541284561214624104645789101745[[#This Row],[Type]],Main[[#All],[TYPE]:[UNIT]],'Unit Price'!H$1,FALSE),0)</f>
        <v>0</v>
      </c>
      <c r="K926" s="194">
        <f>IF(_1_541284561214624104645789101745[[#This Row],[Discount selection]]&gt;0,VLOOKUP(_1_541284561214624104645789101745[[#This Row],[Discount selection]],'Discount Structure'!$A$2:$B$30,2,"false"),0)</f>
        <v>1</v>
      </c>
      <c r="L926" s="194">
        <f>_1_541284561214624104645789101745[[#This Row],[LIST $]]*_1_541284561214624104645789101745[[#This Row],[DISCOUNT]]*_1_541284561214624104645789101745[[#This Row],[DISCOUNT 2]]</f>
        <v>0</v>
      </c>
      <c r="M926" s="194">
        <f>IF(OR(_1_541284561214624104645789101745[[#This Row],[UNIT]]&gt;0,_1_541284561214624104645789101745[[#This Row],[UNIT]]&lt;0),_1_541284561214624104645789101745[[#This Row],[UNIT]]*_1_541284561214624104645789101745[[#This Row],[COST]],0)</f>
        <v>0</v>
      </c>
      <c r="N926" s="194">
        <f t="shared" si="14"/>
        <v>1.5</v>
      </c>
      <c r="O926" s="198">
        <f>_1_541284561214624104645789101745[[#This Row],[TOTAL]]*_1_541284561214624104645789101745[[#This Row],[MARGIN]]</f>
        <v>0</v>
      </c>
      <c r="P926" s="198"/>
      <c r="R926" s="41"/>
    </row>
    <row r="927" spans="4:18">
      <c r="D927" s="188"/>
      <c r="E927" s="42"/>
      <c r="F927" s="168" t="s">
        <v>6202</v>
      </c>
      <c r="G927" s="193">
        <f>IF(_1_541284561214624104645789101745[[#This Row],[Type]]&gt;0,VLOOKUP(_1_541284561214624104645789101745[[#This Row],[Type]],Main[[#All],[TYPE]:[UNIT]],'Unit Price'!C$1,FALSE),0)</f>
        <v>0</v>
      </c>
      <c r="H927" s="197">
        <f>IF(_1_541284561214624104645789101745[[#This Row],[Type]]&gt;0,VLOOKUP(_1_541284561214624104645789101745[[#This Row],[Type]],Main[[#All],[TYPE]:[UNIT]],'Unit Price'!D$1,FALSE),0)</f>
        <v>0</v>
      </c>
      <c r="I927" s="194">
        <f>IF(_1_541284561214624104645789101745[[#This Row],[Type]]&gt;0,VLOOKUP(_1_541284561214624104645789101745[[#This Row],[Type]],Main[[#All],[TYPE]:[UNIT]],'Unit Price'!G$1,FALSE),0)</f>
        <v>0</v>
      </c>
      <c r="J927" s="194">
        <f>IF(_1_541284561214624104645789101745[[#This Row],[Type]]&gt;0,VLOOKUP(_1_541284561214624104645789101745[[#This Row],[Type]],Main[[#All],[TYPE]:[UNIT]],'Unit Price'!H$1,FALSE),0)</f>
        <v>0</v>
      </c>
      <c r="K927" s="194">
        <f>IF(_1_541284561214624104645789101745[[#This Row],[Discount selection]]&gt;0,VLOOKUP(_1_541284561214624104645789101745[[#This Row],[Discount selection]],'Discount Structure'!$A$2:$B$30,2,"false"),0)</f>
        <v>1</v>
      </c>
      <c r="L927" s="194">
        <f>_1_541284561214624104645789101745[[#This Row],[LIST $]]*_1_541284561214624104645789101745[[#This Row],[DISCOUNT]]*_1_541284561214624104645789101745[[#This Row],[DISCOUNT 2]]</f>
        <v>0</v>
      </c>
      <c r="M927" s="194">
        <f>IF(OR(_1_541284561214624104645789101745[[#This Row],[UNIT]]&gt;0,_1_541284561214624104645789101745[[#This Row],[UNIT]]&lt;0),_1_541284561214624104645789101745[[#This Row],[UNIT]]*_1_541284561214624104645789101745[[#This Row],[COST]],0)</f>
        <v>0</v>
      </c>
      <c r="N927" s="194">
        <f t="shared" si="14"/>
        <v>1.5</v>
      </c>
      <c r="O927" s="198">
        <f>_1_541284561214624104645789101745[[#This Row],[TOTAL]]*_1_541284561214624104645789101745[[#This Row],[MARGIN]]</f>
        <v>0</v>
      </c>
      <c r="P927" s="198"/>
      <c r="R927" s="41"/>
    </row>
    <row r="928" spans="4:18">
      <c r="D928" s="188"/>
      <c r="E928" s="42"/>
      <c r="F928" s="168" t="s">
        <v>6202</v>
      </c>
      <c r="G928" s="193">
        <f>IF(_1_541284561214624104645789101745[[#This Row],[Type]]&gt;0,VLOOKUP(_1_541284561214624104645789101745[[#This Row],[Type]],Main[[#All],[TYPE]:[UNIT]],'Unit Price'!C$1,FALSE),0)</f>
        <v>0</v>
      </c>
      <c r="H928" s="197">
        <f>IF(_1_541284561214624104645789101745[[#This Row],[Type]]&gt;0,VLOOKUP(_1_541284561214624104645789101745[[#This Row],[Type]],Main[[#All],[TYPE]:[UNIT]],'Unit Price'!D$1,FALSE),0)</f>
        <v>0</v>
      </c>
      <c r="I928" s="194">
        <f>IF(_1_541284561214624104645789101745[[#This Row],[Type]]&gt;0,VLOOKUP(_1_541284561214624104645789101745[[#This Row],[Type]],Main[[#All],[TYPE]:[UNIT]],'Unit Price'!G$1,FALSE),0)</f>
        <v>0</v>
      </c>
      <c r="J928" s="194">
        <f>IF(_1_541284561214624104645789101745[[#This Row],[Type]]&gt;0,VLOOKUP(_1_541284561214624104645789101745[[#This Row],[Type]],Main[[#All],[TYPE]:[UNIT]],'Unit Price'!H$1,FALSE),0)</f>
        <v>0</v>
      </c>
      <c r="K928" s="194">
        <f>IF(_1_541284561214624104645789101745[[#This Row],[Discount selection]]&gt;0,VLOOKUP(_1_541284561214624104645789101745[[#This Row],[Discount selection]],'Discount Structure'!$A$2:$B$30,2,"false"),0)</f>
        <v>1</v>
      </c>
      <c r="L928" s="194">
        <f>_1_541284561214624104645789101745[[#This Row],[LIST $]]*_1_541284561214624104645789101745[[#This Row],[DISCOUNT]]*_1_541284561214624104645789101745[[#This Row],[DISCOUNT 2]]</f>
        <v>0</v>
      </c>
      <c r="M928" s="194">
        <f>IF(OR(_1_541284561214624104645789101745[[#This Row],[UNIT]]&gt;0,_1_541284561214624104645789101745[[#This Row],[UNIT]]&lt;0),_1_541284561214624104645789101745[[#This Row],[UNIT]]*_1_541284561214624104645789101745[[#This Row],[COST]],0)</f>
        <v>0</v>
      </c>
      <c r="N928" s="194">
        <f t="shared" si="14"/>
        <v>1.5</v>
      </c>
      <c r="O928" s="198">
        <f>_1_541284561214624104645789101745[[#This Row],[TOTAL]]*_1_541284561214624104645789101745[[#This Row],[MARGIN]]</f>
        <v>0</v>
      </c>
      <c r="P928" s="198"/>
      <c r="R928" s="41"/>
    </row>
    <row r="929" spans="4:18">
      <c r="D929" s="188"/>
      <c r="E929" s="42"/>
      <c r="F929" s="168" t="s">
        <v>6202</v>
      </c>
      <c r="G929" s="193">
        <f>IF(_1_541284561214624104645789101745[[#This Row],[Type]]&gt;0,VLOOKUP(_1_541284561214624104645789101745[[#This Row],[Type]],Main[[#All],[TYPE]:[UNIT]],'Unit Price'!C$1,FALSE),0)</f>
        <v>0</v>
      </c>
      <c r="H929" s="197">
        <f>IF(_1_541284561214624104645789101745[[#This Row],[Type]]&gt;0,VLOOKUP(_1_541284561214624104645789101745[[#This Row],[Type]],Main[[#All],[TYPE]:[UNIT]],'Unit Price'!D$1,FALSE),0)</f>
        <v>0</v>
      </c>
      <c r="I929" s="194">
        <f>IF(_1_541284561214624104645789101745[[#This Row],[Type]]&gt;0,VLOOKUP(_1_541284561214624104645789101745[[#This Row],[Type]],Main[[#All],[TYPE]:[UNIT]],'Unit Price'!G$1,FALSE),0)</f>
        <v>0</v>
      </c>
      <c r="J929" s="194">
        <f>IF(_1_541284561214624104645789101745[[#This Row],[Type]]&gt;0,VLOOKUP(_1_541284561214624104645789101745[[#This Row],[Type]],Main[[#All],[TYPE]:[UNIT]],'Unit Price'!H$1,FALSE),0)</f>
        <v>0</v>
      </c>
      <c r="K929" s="194">
        <f>IF(_1_541284561214624104645789101745[[#This Row],[Discount selection]]&gt;0,VLOOKUP(_1_541284561214624104645789101745[[#This Row],[Discount selection]],'Discount Structure'!$A$2:$B$30,2,"false"),0)</f>
        <v>1</v>
      </c>
      <c r="L929" s="194">
        <f>_1_541284561214624104645789101745[[#This Row],[LIST $]]*_1_541284561214624104645789101745[[#This Row],[DISCOUNT]]*_1_541284561214624104645789101745[[#This Row],[DISCOUNT 2]]</f>
        <v>0</v>
      </c>
      <c r="M929" s="194">
        <f>IF(OR(_1_541284561214624104645789101745[[#This Row],[UNIT]]&gt;0,_1_541284561214624104645789101745[[#This Row],[UNIT]]&lt;0),_1_541284561214624104645789101745[[#This Row],[UNIT]]*_1_541284561214624104645789101745[[#This Row],[COST]],0)</f>
        <v>0</v>
      </c>
      <c r="N929" s="194">
        <f t="shared" si="14"/>
        <v>1.5</v>
      </c>
      <c r="O929" s="198">
        <f>_1_541284561214624104645789101745[[#This Row],[TOTAL]]*_1_541284561214624104645789101745[[#This Row],[MARGIN]]</f>
        <v>0</v>
      </c>
      <c r="P929" s="198"/>
      <c r="R929" s="41"/>
    </row>
    <row r="930" spans="4:18">
      <c r="D930" s="188"/>
      <c r="E930" s="42"/>
      <c r="F930" s="168" t="s">
        <v>6202</v>
      </c>
      <c r="G930" s="193">
        <f>IF(_1_541284561214624104645789101745[[#This Row],[Type]]&gt;0,VLOOKUP(_1_541284561214624104645789101745[[#This Row],[Type]],Main[[#All],[TYPE]:[UNIT]],'Unit Price'!C$1,FALSE),0)</f>
        <v>0</v>
      </c>
      <c r="H930" s="197">
        <f>IF(_1_541284561214624104645789101745[[#This Row],[Type]]&gt;0,VLOOKUP(_1_541284561214624104645789101745[[#This Row],[Type]],Main[[#All],[TYPE]:[UNIT]],'Unit Price'!D$1,FALSE),0)</f>
        <v>0</v>
      </c>
      <c r="I930" s="194">
        <f>IF(_1_541284561214624104645789101745[[#This Row],[Type]]&gt;0,VLOOKUP(_1_541284561214624104645789101745[[#This Row],[Type]],Main[[#All],[TYPE]:[UNIT]],'Unit Price'!G$1,FALSE),0)</f>
        <v>0</v>
      </c>
      <c r="J930" s="194">
        <f>IF(_1_541284561214624104645789101745[[#This Row],[Type]]&gt;0,VLOOKUP(_1_541284561214624104645789101745[[#This Row],[Type]],Main[[#All],[TYPE]:[UNIT]],'Unit Price'!H$1,FALSE),0)</f>
        <v>0</v>
      </c>
      <c r="K930" s="194">
        <f>IF(_1_541284561214624104645789101745[[#This Row],[Discount selection]]&gt;0,VLOOKUP(_1_541284561214624104645789101745[[#This Row],[Discount selection]],'Discount Structure'!$A$2:$B$30,2,"false"),0)</f>
        <v>1</v>
      </c>
      <c r="L930" s="194">
        <f>_1_541284561214624104645789101745[[#This Row],[LIST $]]*_1_541284561214624104645789101745[[#This Row],[DISCOUNT]]*_1_541284561214624104645789101745[[#This Row],[DISCOUNT 2]]</f>
        <v>0</v>
      </c>
      <c r="M930" s="194">
        <f>IF(OR(_1_541284561214624104645789101745[[#This Row],[UNIT]]&gt;0,_1_541284561214624104645789101745[[#This Row],[UNIT]]&lt;0),_1_541284561214624104645789101745[[#This Row],[UNIT]]*_1_541284561214624104645789101745[[#This Row],[COST]],0)</f>
        <v>0</v>
      </c>
      <c r="N930" s="194">
        <f t="shared" si="14"/>
        <v>1.5</v>
      </c>
      <c r="O930" s="198">
        <f>_1_541284561214624104645789101745[[#This Row],[TOTAL]]*_1_541284561214624104645789101745[[#This Row],[MARGIN]]</f>
        <v>0</v>
      </c>
      <c r="P930" s="198"/>
      <c r="R930" s="41"/>
    </row>
    <row r="931" spans="4:18">
      <c r="D931" s="188"/>
      <c r="E931" s="42"/>
      <c r="F931" s="168" t="s">
        <v>6202</v>
      </c>
      <c r="G931" s="193">
        <f>IF(_1_541284561214624104645789101745[[#This Row],[Type]]&gt;0,VLOOKUP(_1_541284561214624104645789101745[[#This Row],[Type]],Main[[#All],[TYPE]:[UNIT]],'Unit Price'!C$1,FALSE),0)</f>
        <v>0</v>
      </c>
      <c r="H931" s="197">
        <f>IF(_1_541284561214624104645789101745[[#This Row],[Type]]&gt;0,VLOOKUP(_1_541284561214624104645789101745[[#This Row],[Type]],Main[[#All],[TYPE]:[UNIT]],'Unit Price'!D$1,FALSE),0)</f>
        <v>0</v>
      </c>
      <c r="I931" s="194">
        <f>IF(_1_541284561214624104645789101745[[#This Row],[Type]]&gt;0,VLOOKUP(_1_541284561214624104645789101745[[#This Row],[Type]],Main[[#All],[TYPE]:[UNIT]],'Unit Price'!G$1,FALSE),0)</f>
        <v>0</v>
      </c>
      <c r="J931" s="194">
        <f>IF(_1_541284561214624104645789101745[[#This Row],[Type]]&gt;0,VLOOKUP(_1_541284561214624104645789101745[[#This Row],[Type]],Main[[#All],[TYPE]:[UNIT]],'Unit Price'!H$1,FALSE),0)</f>
        <v>0</v>
      </c>
      <c r="K931" s="194">
        <f>IF(_1_541284561214624104645789101745[[#This Row],[Discount selection]]&gt;0,VLOOKUP(_1_541284561214624104645789101745[[#This Row],[Discount selection]],'Discount Structure'!$A$2:$B$30,2,"false"),0)</f>
        <v>1</v>
      </c>
      <c r="L931" s="194">
        <f>_1_541284561214624104645789101745[[#This Row],[LIST $]]*_1_541284561214624104645789101745[[#This Row],[DISCOUNT]]*_1_541284561214624104645789101745[[#This Row],[DISCOUNT 2]]</f>
        <v>0</v>
      </c>
      <c r="M931" s="194">
        <f>IF(OR(_1_541284561214624104645789101745[[#This Row],[UNIT]]&gt;0,_1_541284561214624104645789101745[[#This Row],[UNIT]]&lt;0),_1_541284561214624104645789101745[[#This Row],[UNIT]]*_1_541284561214624104645789101745[[#This Row],[COST]],0)</f>
        <v>0</v>
      </c>
      <c r="N931" s="194">
        <f t="shared" si="14"/>
        <v>1.5</v>
      </c>
      <c r="O931" s="198">
        <f>_1_541284561214624104645789101745[[#This Row],[TOTAL]]*_1_541284561214624104645789101745[[#This Row],[MARGIN]]</f>
        <v>0</v>
      </c>
      <c r="P931" s="198"/>
      <c r="R931" s="41"/>
    </row>
    <row r="932" spans="4:18">
      <c r="D932" s="188"/>
      <c r="E932" s="42"/>
      <c r="F932" s="168" t="s">
        <v>6202</v>
      </c>
      <c r="G932" s="193">
        <f>IF(_1_541284561214624104645789101745[[#This Row],[Type]]&gt;0,VLOOKUP(_1_541284561214624104645789101745[[#This Row],[Type]],Main[[#All],[TYPE]:[UNIT]],'Unit Price'!C$1,FALSE),0)</f>
        <v>0</v>
      </c>
      <c r="H932" s="197">
        <f>IF(_1_541284561214624104645789101745[[#This Row],[Type]]&gt;0,VLOOKUP(_1_541284561214624104645789101745[[#This Row],[Type]],Main[[#All],[TYPE]:[UNIT]],'Unit Price'!D$1,FALSE),0)</f>
        <v>0</v>
      </c>
      <c r="I932" s="194">
        <f>IF(_1_541284561214624104645789101745[[#This Row],[Type]]&gt;0,VLOOKUP(_1_541284561214624104645789101745[[#This Row],[Type]],Main[[#All],[TYPE]:[UNIT]],'Unit Price'!G$1,FALSE),0)</f>
        <v>0</v>
      </c>
      <c r="J932" s="194">
        <f>IF(_1_541284561214624104645789101745[[#This Row],[Type]]&gt;0,VLOOKUP(_1_541284561214624104645789101745[[#This Row],[Type]],Main[[#All],[TYPE]:[UNIT]],'Unit Price'!H$1,FALSE),0)</f>
        <v>0</v>
      </c>
      <c r="K932" s="194">
        <f>IF(_1_541284561214624104645789101745[[#This Row],[Discount selection]]&gt;0,VLOOKUP(_1_541284561214624104645789101745[[#This Row],[Discount selection]],'Discount Structure'!$A$2:$B$30,2,"false"),0)</f>
        <v>1</v>
      </c>
      <c r="L932" s="194">
        <f>_1_541284561214624104645789101745[[#This Row],[LIST $]]*_1_541284561214624104645789101745[[#This Row],[DISCOUNT]]*_1_541284561214624104645789101745[[#This Row],[DISCOUNT 2]]</f>
        <v>0</v>
      </c>
      <c r="M932" s="194">
        <f>IF(OR(_1_541284561214624104645789101745[[#This Row],[UNIT]]&gt;0,_1_541284561214624104645789101745[[#This Row],[UNIT]]&lt;0),_1_541284561214624104645789101745[[#This Row],[UNIT]]*_1_541284561214624104645789101745[[#This Row],[COST]],0)</f>
        <v>0</v>
      </c>
      <c r="N932" s="194">
        <f t="shared" si="14"/>
        <v>1.5</v>
      </c>
      <c r="O932" s="198">
        <f>_1_541284561214624104645789101745[[#This Row],[TOTAL]]*_1_541284561214624104645789101745[[#This Row],[MARGIN]]</f>
        <v>0</v>
      </c>
      <c r="P932" s="198"/>
      <c r="R932" s="41"/>
    </row>
    <row r="933" spans="4:18">
      <c r="D933" s="188"/>
      <c r="E933" s="42"/>
      <c r="F933" s="168" t="s">
        <v>6202</v>
      </c>
      <c r="G933" s="193">
        <f>IF(_1_541284561214624104645789101745[[#This Row],[Type]]&gt;0,VLOOKUP(_1_541284561214624104645789101745[[#This Row],[Type]],Main[[#All],[TYPE]:[UNIT]],'Unit Price'!C$1,FALSE),0)</f>
        <v>0</v>
      </c>
      <c r="H933" s="197">
        <f>IF(_1_541284561214624104645789101745[[#This Row],[Type]]&gt;0,VLOOKUP(_1_541284561214624104645789101745[[#This Row],[Type]],Main[[#All],[TYPE]:[UNIT]],'Unit Price'!D$1,FALSE),0)</f>
        <v>0</v>
      </c>
      <c r="I933" s="194">
        <f>IF(_1_541284561214624104645789101745[[#This Row],[Type]]&gt;0,VLOOKUP(_1_541284561214624104645789101745[[#This Row],[Type]],Main[[#All],[TYPE]:[UNIT]],'Unit Price'!G$1,FALSE),0)</f>
        <v>0</v>
      </c>
      <c r="J933" s="194">
        <f>IF(_1_541284561214624104645789101745[[#This Row],[Type]]&gt;0,VLOOKUP(_1_541284561214624104645789101745[[#This Row],[Type]],Main[[#All],[TYPE]:[UNIT]],'Unit Price'!H$1,FALSE),0)</f>
        <v>0</v>
      </c>
      <c r="K933" s="194">
        <f>IF(_1_541284561214624104645789101745[[#This Row],[Discount selection]]&gt;0,VLOOKUP(_1_541284561214624104645789101745[[#This Row],[Discount selection]],'Discount Structure'!$A$2:$B$30,2,"false"),0)</f>
        <v>1</v>
      </c>
      <c r="L933" s="194">
        <f>_1_541284561214624104645789101745[[#This Row],[LIST $]]*_1_541284561214624104645789101745[[#This Row],[DISCOUNT]]*_1_541284561214624104645789101745[[#This Row],[DISCOUNT 2]]</f>
        <v>0</v>
      </c>
      <c r="M933" s="194">
        <f>IF(OR(_1_541284561214624104645789101745[[#This Row],[UNIT]]&gt;0,_1_541284561214624104645789101745[[#This Row],[UNIT]]&lt;0),_1_541284561214624104645789101745[[#This Row],[UNIT]]*_1_541284561214624104645789101745[[#This Row],[COST]],0)</f>
        <v>0</v>
      </c>
      <c r="N933" s="194">
        <f t="shared" si="14"/>
        <v>1.5</v>
      </c>
      <c r="O933" s="198">
        <f>_1_541284561214624104645789101745[[#This Row],[TOTAL]]*_1_541284561214624104645789101745[[#This Row],[MARGIN]]</f>
        <v>0</v>
      </c>
      <c r="P933" s="198"/>
      <c r="R933" s="41"/>
    </row>
    <row r="934" spans="4:18">
      <c r="D934" s="188"/>
      <c r="E934" s="42"/>
      <c r="F934" s="168" t="s">
        <v>6202</v>
      </c>
      <c r="G934" s="193">
        <f>IF(_1_541284561214624104645789101745[[#This Row],[Type]]&gt;0,VLOOKUP(_1_541284561214624104645789101745[[#This Row],[Type]],Main[[#All],[TYPE]:[UNIT]],'Unit Price'!C$1,FALSE),0)</f>
        <v>0</v>
      </c>
      <c r="H934" s="197">
        <f>IF(_1_541284561214624104645789101745[[#This Row],[Type]]&gt;0,VLOOKUP(_1_541284561214624104645789101745[[#This Row],[Type]],Main[[#All],[TYPE]:[UNIT]],'Unit Price'!D$1,FALSE),0)</f>
        <v>0</v>
      </c>
      <c r="I934" s="194">
        <f>IF(_1_541284561214624104645789101745[[#This Row],[Type]]&gt;0,VLOOKUP(_1_541284561214624104645789101745[[#This Row],[Type]],Main[[#All],[TYPE]:[UNIT]],'Unit Price'!G$1,FALSE),0)</f>
        <v>0</v>
      </c>
      <c r="J934" s="194">
        <f>IF(_1_541284561214624104645789101745[[#This Row],[Type]]&gt;0,VLOOKUP(_1_541284561214624104645789101745[[#This Row],[Type]],Main[[#All],[TYPE]:[UNIT]],'Unit Price'!H$1,FALSE),0)</f>
        <v>0</v>
      </c>
      <c r="K934" s="194">
        <f>IF(_1_541284561214624104645789101745[[#This Row],[Discount selection]]&gt;0,VLOOKUP(_1_541284561214624104645789101745[[#This Row],[Discount selection]],'Discount Structure'!$A$2:$B$30,2,"false"),0)</f>
        <v>1</v>
      </c>
      <c r="L934" s="194">
        <f>_1_541284561214624104645789101745[[#This Row],[LIST $]]*_1_541284561214624104645789101745[[#This Row],[DISCOUNT]]*_1_541284561214624104645789101745[[#This Row],[DISCOUNT 2]]</f>
        <v>0</v>
      </c>
      <c r="M934" s="194">
        <f>IF(OR(_1_541284561214624104645789101745[[#This Row],[UNIT]]&gt;0,_1_541284561214624104645789101745[[#This Row],[UNIT]]&lt;0),_1_541284561214624104645789101745[[#This Row],[UNIT]]*_1_541284561214624104645789101745[[#This Row],[COST]],0)</f>
        <v>0</v>
      </c>
      <c r="N934" s="194">
        <f t="shared" si="14"/>
        <v>1.5</v>
      </c>
      <c r="O934" s="198">
        <f>_1_541284561214624104645789101745[[#This Row],[TOTAL]]*_1_541284561214624104645789101745[[#This Row],[MARGIN]]</f>
        <v>0</v>
      </c>
      <c r="P934" s="198"/>
      <c r="R934" s="41"/>
    </row>
    <row r="935" spans="4:18">
      <c r="D935" s="188"/>
      <c r="E935" s="42"/>
      <c r="F935" s="168" t="s">
        <v>6202</v>
      </c>
      <c r="G935" s="193">
        <f>IF(_1_541284561214624104645789101745[[#This Row],[Type]]&gt;0,VLOOKUP(_1_541284561214624104645789101745[[#This Row],[Type]],Main[[#All],[TYPE]:[UNIT]],'Unit Price'!C$1,FALSE),0)</f>
        <v>0</v>
      </c>
      <c r="H935" s="197">
        <f>IF(_1_541284561214624104645789101745[[#This Row],[Type]]&gt;0,VLOOKUP(_1_541284561214624104645789101745[[#This Row],[Type]],Main[[#All],[TYPE]:[UNIT]],'Unit Price'!D$1,FALSE),0)</f>
        <v>0</v>
      </c>
      <c r="I935" s="194">
        <f>IF(_1_541284561214624104645789101745[[#This Row],[Type]]&gt;0,VLOOKUP(_1_541284561214624104645789101745[[#This Row],[Type]],Main[[#All],[TYPE]:[UNIT]],'Unit Price'!G$1,FALSE),0)</f>
        <v>0</v>
      </c>
      <c r="J935" s="194">
        <f>IF(_1_541284561214624104645789101745[[#This Row],[Type]]&gt;0,VLOOKUP(_1_541284561214624104645789101745[[#This Row],[Type]],Main[[#All],[TYPE]:[UNIT]],'Unit Price'!H$1,FALSE),0)</f>
        <v>0</v>
      </c>
      <c r="K935" s="194">
        <f>IF(_1_541284561214624104645789101745[[#This Row],[Discount selection]]&gt;0,VLOOKUP(_1_541284561214624104645789101745[[#This Row],[Discount selection]],'Discount Structure'!$A$2:$B$30,2,"false"),0)</f>
        <v>1</v>
      </c>
      <c r="L935" s="194">
        <f>_1_541284561214624104645789101745[[#This Row],[LIST $]]*_1_541284561214624104645789101745[[#This Row],[DISCOUNT]]*_1_541284561214624104645789101745[[#This Row],[DISCOUNT 2]]</f>
        <v>0</v>
      </c>
      <c r="M935" s="194">
        <f>IF(OR(_1_541284561214624104645789101745[[#This Row],[UNIT]]&gt;0,_1_541284561214624104645789101745[[#This Row],[UNIT]]&lt;0),_1_541284561214624104645789101745[[#This Row],[UNIT]]*_1_541284561214624104645789101745[[#This Row],[COST]],0)</f>
        <v>0</v>
      </c>
      <c r="N935" s="194">
        <f t="shared" si="14"/>
        <v>1.5</v>
      </c>
      <c r="O935" s="198">
        <f>_1_541284561214624104645789101745[[#This Row],[TOTAL]]*_1_541284561214624104645789101745[[#This Row],[MARGIN]]</f>
        <v>0</v>
      </c>
      <c r="P935" s="198"/>
      <c r="R935" s="41"/>
    </row>
    <row r="936" spans="4:18">
      <c r="D936" s="188"/>
      <c r="E936" s="42"/>
      <c r="F936" s="168" t="s">
        <v>6202</v>
      </c>
      <c r="G936" s="193">
        <f>IF(_1_541284561214624104645789101745[[#This Row],[Type]]&gt;0,VLOOKUP(_1_541284561214624104645789101745[[#This Row],[Type]],Main[[#All],[TYPE]:[UNIT]],'Unit Price'!C$1,FALSE),0)</f>
        <v>0</v>
      </c>
      <c r="H936" s="197">
        <f>IF(_1_541284561214624104645789101745[[#This Row],[Type]]&gt;0,VLOOKUP(_1_541284561214624104645789101745[[#This Row],[Type]],Main[[#All],[TYPE]:[UNIT]],'Unit Price'!D$1,FALSE),0)</f>
        <v>0</v>
      </c>
      <c r="I936" s="194">
        <f>IF(_1_541284561214624104645789101745[[#This Row],[Type]]&gt;0,VLOOKUP(_1_541284561214624104645789101745[[#This Row],[Type]],Main[[#All],[TYPE]:[UNIT]],'Unit Price'!G$1,FALSE),0)</f>
        <v>0</v>
      </c>
      <c r="J936" s="194">
        <f>IF(_1_541284561214624104645789101745[[#This Row],[Type]]&gt;0,VLOOKUP(_1_541284561214624104645789101745[[#This Row],[Type]],Main[[#All],[TYPE]:[UNIT]],'Unit Price'!H$1,FALSE),0)</f>
        <v>0</v>
      </c>
      <c r="K936" s="194">
        <f>IF(_1_541284561214624104645789101745[[#This Row],[Discount selection]]&gt;0,VLOOKUP(_1_541284561214624104645789101745[[#This Row],[Discount selection]],'Discount Structure'!$A$2:$B$30,2,"false"),0)</f>
        <v>1</v>
      </c>
      <c r="L936" s="194">
        <f>_1_541284561214624104645789101745[[#This Row],[LIST $]]*_1_541284561214624104645789101745[[#This Row],[DISCOUNT]]*_1_541284561214624104645789101745[[#This Row],[DISCOUNT 2]]</f>
        <v>0</v>
      </c>
      <c r="M936" s="194">
        <f>IF(OR(_1_541284561214624104645789101745[[#This Row],[UNIT]]&gt;0,_1_541284561214624104645789101745[[#This Row],[UNIT]]&lt;0),_1_541284561214624104645789101745[[#This Row],[UNIT]]*_1_541284561214624104645789101745[[#This Row],[COST]],0)</f>
        <v>0</v>
      </c>
      <c r="N936" s="194">
        <f t="shared" si="14"/>
        <v>1.5</v>
      </c>
      <c r="O936" s="198">
        <f>_1_541284561214624104645789101745[[#This Row],[TOTAL]]*_1_541284561214624104645789101745[[#This Row],[MARGIN]]</f>
        <v>0</v>
      </c>
      <c r="P936" s="198"/>
      <c r="R936" s="41"/>
    </row>
    <row r="937" spans="4:18">
      <c r="D937" s="188"/>
      <c r="E937" s="42"/>
      <c r="F937" s="168" t="s">
        <v>6202</v>
      </c>
      <c r="G937" s="193">
        <f>IF(_1_541284561214624104645789101745[[#This Row],[Type]]&gt;0,VLOOKUP(_1_541284561214624104645789101745[[#This Row],[Type]],Main[[#All],[TYPE]:[UNIT]],'Unit Price'!C$1,FALSE),0)</f>
        <v>0</v>
      </c>
      <c r="H937" s="197">
        <f>IF(_1_541284561214624104645789101745[[#This Row],[Type]]&gt;0,VLOOKUP(_1_541284561214624104645789101745[[#This Row],[Type]],Main[[#All],[TYPE]:[UNIT]],'Unit Price'!D$1,FALSE),0)</f>
        <v>0</v>
      </c>
      <c r="I937" s="194">
        <f>IF(_1_541284561214624104645789101745[[#This Row],[Type]]&gt;0,VLOOKUP(_1_541284561214624104645789101745[[#This Row],[Type]],Main[[#All],[TYPE]:[UNIT]],'Unit Price'!G$1,FALSE),0)</f>
        <v>0</v>
      </c>
      <c r="J937" s="194">
        <f>IF(_1_541284561214624104645789101745[[#This Row],[Type]]&gt;0,VLOOKUP(_1_541284561214624104645789101745[[#This Row],[Type]],Main[[#All],[TYPE]:[UNIT]],'Unit Price'!H$1,FALSE),0)</f>
        <v>0</v>
      </c>
      <c r="K937" s="194">
        <f>IF(_1_541284561214624104645789101745[[#This Row],[Discount selection]]&gt;0,VLOOKUP(_1_541284561214624104645789101745[[#This Row],[Discount selection]],'Discount Structure'!$A$2:$B$30,2,"false"),0)</f>
        <v>1</v>
      </c>
      <c r="L937" s="194">
        <f>_1_541284561214624104645789101745[[#This Row],[LIST $]]*_1_541284561214624104645789101745[[#This Row],[DISCOUNT]]*_1_541284561214624104645789101745[[#This Row],[DISCOUNT 2]]</f>
        <v>0</v>
      </c>
      <c r="M937" s="194">
        <f>IF(OR(_1_541284561214624104645789101745[[#This Row],[UNIT]]&gt;0,_1_541284561214624104645789101745[[#This Row],[UNIT]]&lt;0),_1_541284561214624104645789101745[[#This Row],[UNIT]]*_1_541284561214624104645789101745[[#This Row],[COST]],0)</f>
        <v>0</v>
      </c>
      <c r="N937" s="194">
        <f t="shared" si="14"/>
        <v>1.5</v>
      </c>
      <c r="O937" s="198">
        <f>_1_541284561214624104645789101745[[#This Row],[TOTAL]]*_1_541284561214624104645789101745[[#This Row],[MARGIN]]</f>
        <v>0</v>
      </c>
      <c r="P937" s="198"/>
      <c r="R937" s="41"/>
    </row>
    <row r="938" spans="4:18">
      <c r="D938" s="188"/>
      <c r="E938" s="42"/>
      <c r="F938" s="168" t="s">
        <v>6202</v>
      </c>
      <c r="G938" s="193">
        <f>IF(_1_541284561214624104645789101745[[#This Row],[Type]]&gt;0,VLOOKUP(_1_541284561214624104645789101745[[#This Row],[Type]],Main[[#All],[TYPE]:[UNIT]],'Unit Price'!C$1,FALSE),0)</f>
        <v>0</v>
      </c>
      <c r="H938" s="197">
        <f>IF(_1_541284561214624104645789101745[[#This Row],[Type]]&gt;0,VLOOKUP(_1_541284561214624104645789101745[[#This Row],[Type]],Main[[#All],[TYPE]:[UNIT]],'Unit Price'!D$1,FALSE),0)</f>
        <v>0</v>
      </c>
      <c r="I938" s="194">
        <f>IF(_1_541284561214624104645789101745[[#This Row],[Type]]&gt;0,VLOOKUP(_1_541284561214624104645789101745[[#This Row],[Type]],Main[[#All],[TYPE]:[UNIT]],'Unit Price'!G$1,FALSE),0)</f>
        <v>0</v>
      </c>
      <c r="J938" s="194">
        <f>IF(_1_541284561214624104645789101745[[#This Row],[Type]]&gt;0,VLOOKUP(_1_541284561214624104645789101745[[#This Row],[Type]],Main[[#All],[TYPE]:[UNIT]],'Unit Price'!H$1,FALSE),0)</f>
        <v>0</v>
      </c>
      <c r="K938" s="194">
        <f>IF(_1_541284561214624104645789101745[[#This Row],[Discount selection]]&gt;0,VLOOKUP(_1_541284561214624104645789101745[[#This Row],[Discount selection]],'Discount Structure'!$A$2:$B$30,2,"false"),0)</f>
        <v>1</v>
      </c>
      <c r="L938" s="194">
        <f>_1_541284561214624104645789101745[[#This Row],[LIST $]]*_1_541284561214624104645789101745[[#This Row],[DISCOUNT]]*_1_541284561214624104645789101745[[#This Row],[DISCOUNT 2]]</f>
        <v>0</v>
      </c>
      <c r="M938" s="194">
        <f>IF(OR(_1_541284561214624104645789101745[[#This Row],[UNIT]]&gt;0,_1_541284561214624104645789101745[[#This Row],[UNIT]]&lt;0),_1_541284561214624104645789101745[[#This Row],[UNIT]]*_1_541284561214624104645789101745[[#This Row],[COST]],0)</f>
        <v>0</v>
      </c>
      <c r="N938" s="194">
        <f t="shared" si="14"/>
        <v>1.5</v>
      </c>
      <c r="O938" s="198">
        <f>_1_541284561214624104645789101745[[#This Row],[TOTAL]]*_1_541284561214624104645789101745[[#This Row],[MARGIN]]</f>
        <v>0</v>
      </c>
      <c r="P938" s="198"/>
      <c r="R938" s="41"/>
    </row>
    <row r="939" spans="4:18">
      <c r="D939" s="188"/>
      <c r="E939" s="42"/>
      <c r="F939" s="168" t="s">
        <v>6202</v>
      </c>
      <c r="G939" s="193">
        <f>IF(_1_541284561214624104645789101745[[#This Row],[Type]]&gt;0,VLOOKUP(_1_541284561214624104645789101745[[#This Row],[Type]],Main[[#All],[TYPE]:[UNIT]],'Unit Price'!C$1,FALSE),0)</f>
        <v>0</v>
      </c>
      <c r="H939" s="197">
        <f>IF(_1_541284561214624104645789101745[[#This Row],[Type]]&gt;0,VLOOKUP(_1_541284561214624104645789101745[[#This Row],[Type]],Main[[#All],[TYPE]:[UNIT]],'Unit Price'!D$1,FALSE),0)</f>
        <v>0</v>
      </c>
      <c r="I939" s="194">
        <f>IF(_1_541284561214624104645789101745[[#This Row],[Type]]&gt;0,VLOOKUP(_1_541284561214624104645789101745[[#This Row],[Type]],Main[[#All],[TYPE]:[UNIT]],'Unit Price'!G$1,FALSE),0)</f>
        <v>0</v>
      </c>
      <c r="J939" s="194">
        <f>IF(_1_541284561214624104645789101745[[#This Row],[Type]]&gt;0,VLOOKUP(_1_541284561214624104645789101745[[#This Row],[Type]],Main[[#All],[TYPE]:[UNIT]],'Unit Price'!H$1,FALSE),0)</f>
        <v>0</v>
      </c>
      <c r="K939" s="194">
        <f>IF(_1_541284561214624104645789101745[[#This Row],[Discount selection]]&gt;0,VLOOKUP(_1_541284561214624104645789101745[[#This Row],[Discount selection]],'Discount Structure'!$A$2:$B$30,2,"false"),0)</f>
        <v>1</v>
      </c>
      <c r="L939" s="194">
        <f>_1_541284561214624104645789101745[[#This Row],[LIST $]]*_1_541284561214624104645789101745[[#This Row],[DISCOUNT]]*_1_541284561214624104645789101745[[#This Row],[DISCOUNT 2]]</f>
        <v>0</v>
      </c>
      <c r="M939" s="194">
        <f>IF(OR(_1_541284561214624104645789101745[[#This Row],[UNIT]]&gt;0,_1_541284561214624104645789101745[[#This Row],[UNIT]]&lt;0),_1_541284561214624104645789101745[[#This Row],[UNIT]]*_1_541284561214624104645789101745[[#This Row],[COST]],0)</f>
        <v>0</v>
      </c>
      <c r="N939" s="194">
        <f t="shared" si="14"/>
        <v>1.5</v>
      </c>
      <c r="O939" s="198">
        <f>_1_541284561214624104645789101745[[#This Row],[TOTAL]]*_1_541284561214624104645789101745[[#This Row],[MARGIN]]</f>
        <v>0</v>
      </c>
      <c r="P939" s="198"/>
      <c r="R939" s="41"/>
    </row>
    <row r="940" spans="4:18">
      <c r="D940" s="188"/>
      <c r="E940" s="42"/>
      <c r="F940" s="168" t="s">
        <v>6202</v>
      </c>
      <c r="G940" s="193">
        <f>IF(_1_541284561214624104645789101745[[#This Row],[Type]]&gt;0,VLOOKUP(_1_541284561214624104645789101745[[#This Row],[Type]],Main[[#All],[TYPE]:[UNIT]],'Unit Price'!C$1,FALSE),0)</f>
        <v>0</v>
      </c>
      <c r="H940" s="197">
        <f>IF(_1_541284561214624104645789101745[[#This Row],[Type]]&gt;0,VLOOKUP(_1_541284561214624104645789101745[[#This Row],[Type]],Main[[#All],[TYPE]:[UNIT]],'Unit Price'!D$1,FALSE),0)</f>
        <v>0</v>
      </c>
      <c r="I940" s="194">
        <f>IF(_1_541284561214624104645789101745[[#This Row],[Type]]&gt;0,VLOOKUP(_1_541284561214624104645789101745[[#This Row],[Type]],Main[[#All],[TYPE]:[UNIT]],'Unit Price'!G$1,FALSE),0)</f>
        <v>0</v>
      </c>
      <c r="J940" s="194">
        <f>IF(_1_541284561214624104645789101745[[#This Row],[Type]]&gt;0,VLOOKUP(_1_541284561214624104645789101745[[#This Row],[Type]],Main[[#All],[TYPE]:[UNIT]],'Unit Price'!H$1,FALSE),0)</f>
        <v>0</v>
      </c>
      <c r="K940" s="194">
        <f>IF(_1_541284561214624104645789101745[[#This Row],[Discount selection]]&gt;0,VLOOKUP(_1_541284561214624104645789101745[[#This Row],[Discount selection]],'Discount Structure'!$A$2:$B$30,2,"false"),0)</f>
        <v>1</v>
      </c>
      <c r="L940" s="194">
        <f>_1_541284561214624104645789101745[[#This Row],[LIST $]]*_1_541284561214624104645789101745[[#This Row],[DISCOUNT]]*_1_541284561214624104645789101745[[#This Row],[DISCOUNT 2]]</f>
        <v>0</v>
      </c>
      <c r="M940" s="194">
        <f>IF(OR(_1_541284561214624104645789101745[[#This Row],[UNIT]]&gt;0,_1_541284561214624104645789101745[[#This Row],[UNIT]]&lt;0),_1_541284561214624104645789101745[[#This Row],[UNIT]]*_1_541284561214624104645789101745[[#This Row],[COST]],0)</f>
        <v>0</v>
      </c>
      <c r="N940" s="194">
        <f t="shared" si="14"/>
        <v>1.5</v>
      </c>
      <c r="O940" s="198">
        <f>_1_541284561214624104645789101745[[#This Row],[TOTAL]]*_1_541284561214624104645789101745[[#This Row],[MARGIN]]</f>
        <v>0</v>
      </c>
      <c r="P940" s="198"/>
      <c r="R940" s="41"/>
    </row>
    <row r="941" spans="4:18">
      <c r="D941" s="188"/>
      <c r="E941" s="42"/>
      <c r="F941" s="168" t="s">
        <v>6202</v>
      </c>
      <c r="G941" s="193">
        <f>IF(_1_541284561214624104645789101745[[#This Row],[Type]]&gt;0,VLOOKUP(_1_541284561214624104645789101745[[#This Row],[Type]],Main[[#All],[TYPE]:[UNIT]],'Unit Price'!C$1,FALSE),0)</f>
        <v>0</v>
      </c>
      <c r="H941" s="197">
        <f>IF(_1_541284561214624104645789101745[[#This Row],[Type]]&gt;0,VLOOKUP(_1_541284561214624104645789101745[[#This Row],[Type]],Main[[#All],[TYPE]:[UNIT]],'Unit Price'!D$1,FALSE),0)</f>
        <v>0</v>
      </c>
      <c r="I941" s="194">
        <f>IF(_1_541284561214624104645789101745[[#This Row],[Type]]&gt;0,VLOOKUP(_1_541284561214624104645789101745[[#This Row],[Type]],Main[[#All],[TYPE]:[UNIT]],'Unit Price'!G$1,FALSE),0)</f>
        <v>0</v>
      </c>
      <c r="J941" s="194">
        <f>IF(_1_541284561214624104645789101745[[#This Row],[Type]]&gt;0,VLOOKUP(_1_541284561214624104645789101745[[#This Row],[Type]],Main[[#All],[TYPE]:[UNIT]],'Unit Price'!H$1,FALSE),0)</f>
        <v>0</v>
      </c>
      <c r="K941" s="194">
        <f>IF(_1_541284561214624104645789101745[[#This Row],[Discount selection]]&gt;0,VLOOKUP(_1_541284561214624104645789101745[[#This Row],[Discount selection]],'Discount Structure'!$A$2:$B$30,2,"false"),0)</f>
        <v>1</v>
      </c>
      <c r="L941" s="194">
        <f>_1_541284561214624104645789101745[[#This Row],[LIST $]]*_1_541284561214624104645789101745[[#This Row],[DISCOUNT]]*_1_541284561214624104645789101745[[#This Row],[DISCOUNT 2]]</f>
        <v>0</v>
      </c>
      <c r="M941" s="194">
        <f>IF(OR(_1_541284561214624104645789101745[[#This Row],[UNIT]]&gt;0,_1_541284561214624104645789101745[[#This Row],[UNIT]]&lt;0),_1_541284561214624104645789101745[[#This Row],[UNIT]]*_1_541284561214624104645789101745[[#This Row],[COST]],0)</f>
        <v>0</v>
      </c>
      <c r="N941" s="194">
        <f t="shared" si="14"/>
        <v>1.5</v>
      </c>
      <c r="O941" s="198">
        <f>_1_541284561214624104645789101745[[#This Row],[TOTAL]]*_1_541284561214624104645789101745[[#This Row],[MARGIN]]</f>
        <v>0</v>
      </c>
      <c r="P941" s="198"/>
      <c r="R941" s="41"/>
    </row>
    <row r="942" spans="4:18">
      <c r="D942" s="188"/>
      <c r="E942" s="42"/>
      <c r="F942" s="168" t="s">
        <v>6202</v>
      </c>
      <c r="G942" s="193">
        <f>IF(_1_541284561214624104645789101745[[#This Row],[Type]]&gt;0,VLOOKUP(_1_541284561214624104645789101745[[#This Row],[Type]],Main[[#All],[TYPE]:[UNIT]],'Unit Price'!C$1,FALSE),0)</f>
        <v>0</v>
      </c>
      <c r="H942" s="197">
        <f>IF(_1_541284561214624104645789101745[[#This Row],[Type]]&gt;0,VLOOKUP(_1_541284561214624104645789101745[[#This Row],[Type]],Main[[#All],[TYPE]:[UNIT]],'Unit Price'!D$1,FALSE),0)</f>
        <v>0</v>
      </c>
      <c r="I942" s="194">
        <f>IF(_1_541284561214624104645789101745[[#This Row],[Type]]&gt;0,VLOOKUP(_1_541284561214624104645789101745[[#This Row],[Type]],Main[[#All],[TYPE]:[UNIT]],'Unit Price'!G$1,FALSE),0)</f>
        <v>0</v>
      </c>
      <c r="J942" s="194">
        <f>IF(_1_541284561214624104645789101745[[#This Row],[Type]]&gt;0,VLOOKUP(_1_541284561214624104645789101745[[#This Row],[Type]],Main[[#All],[TYPE]:[UNIT]],'Unit Price'!H$1,FALSE),0)</f>
        <v>0</v>
      </c>
      <c r="K942" s="194">
        <f>IF(_1_541284561214624104645789101745[[#This Row],[Discount selection]]&gt;0,VLOOKUP(_1_541284561214624104645789101745[[#This Row],[Discount selection]],'Discount Structure'!$A$2:$B$30,2,"false"),0)</f>
        <v>1</v>
      </c>
      <c r="L942" s="194">
        <f>_1_541284561214624104645789101745[[#This Row],[LIST $]]*_1_541284561214624104645789101745[[#This Row],[DISCOUNT]]*_1_541284561214624104645789101745[[#This Row],[DISCOUNT 2]]</f>
        <v>0</v>
      </c>
      <c r="M942" s="194">
        <f>IF(OR(_1_541284561214624104645789101745[[#This Row],[UNIT]]&gt;0,_1_541284561214624104645789101745[[#This Row],[UNIT]]&lt;0),_1_541284561214624104645789101745[[#This Row],[UNIT]]*_1_541284561214624104645789101745[[#This Row],[COST]],0)</f>
        <v>0</v>
      </c>
      <c r="N942" s="194">
        <f t="shared" si="14"/>
        <v>1.5</v>
      </c>
      <c r="O942" s="198">
        <f>_1_541284561214624104645789101745[[#This Row],[TOTAL]]*_1_541284561214624104645789101745[[#This Row],[MARGIN]]</f>
        <v>0</v>
      </c>
      <c r="P942" s="198"/>
      <c r="R942" s="41"/>
    </row>
    <row r="943" spans="4:18">
      <c r="D943" s="188"/>
      <c r="E943" s="42"/>
      <c r="F943" s="168" t="s">
        <v>6202</v>
      </c>
      <c r="G943" s="193">
        <f>IF(_1_541284561214624104645789101745[[#This Row],[Type]]&gt;0,VLOOKUP(_1_541284561214624104645789101745[[#This Row],[Type]],Main[[#All],[TYPE]:[UNIT]],'Unit Price'!C$1,FALSE),0)</f>
        <v>0</v>
      </c>
      <c r="H943" s="197">
        <f>IF(_1_541284561214624104645789101745[[#This Row],[Type]]&gt;0,VLOOKUP(_1_541284561214624104645789101745[[#This Row],[Type]],Main[[#All],[TYPE]:[UNIT]],'Unit Price'!D$1,FALSE),0)</f>
        <v>0</v>
      </c>
      <c r="I943" s="194">
        <f>IF(_1_541284561214624104645789101745[[#This Row],[Type]]&gt;0,VLOOKUP(_1_541284561214624104645789101745[[#This Row],[Type]],Main[[#All],[TYPE]:[UNIT]],'Unit Price'!G$1,FALSE),0)</f>
        <v>0</v>
      </c>
      <c r="J943" s="194">
        <f>IF(_1_541284561214624104645789101745[[#This Row],[Type]]&gt;0,VLOOKUP(_1_541284561214624104645789101745[[#This Row],[Type]],Main[[#All],[TYPE]:[UNIT]],'Unit Price'!H$1,FALSE),0)</f>
        <v>0</v>
      </c>
      <c r="K943" s="194">
        <f>IF(_1_541284561214624104645789101745[[#This Row],[Discount selection]]&gt;0,VLOOKUP(_1_541284561214624104645789101745[[#This Row],[Discount selection]],'Discount Structure'!$A$2:$B$30,2,"false"),0)</f>
        <v>1</v>
      </c>
      <c r="L943" s="194">
        <f>_1_541284561214624104645789101745[[#This Row],[LIST $]]*_1_541284561214624104645789101745[[#This Row],[DISCOUNT]]*_1_541284561214624104645789101745[[#This Row],[DISCOUNT 2]]</f>
        <v>0</v>
      </c>
      <c r="M943" s="194">
        <f>IF(OR(_1_541284561214624104645789101745[[#This Row],[UNIT]]&gt;0,_1_541284561214624104645789101745[[#This Row],[UNIT]]&lt;0),_1_541284561214624104645789101745[[#This Row],[UNIT]]*_1_541284561214624104645789101745[[#This Row],[COST]],0)</f>
        <v>0</v>
      </c>
      <c r="N943" s="194">
        <f t="shared" si="14"/>
        <v>1.5</v>
      </c>
      <c r="O943" s="198">
        <f>_1_541284561214624104645789101745[[#This Row],[TOTAL]]*_1_541284561214624104645789101745[[#This Row],[MARGIN]]</f>
        <v>0</v>
      </c>
      <c r="P943" s="198"/>
      <c r="R943" s="41"/>
    </row>
    <row r="944" spans="4:18">
      <c r="D944" s="188"/>
      <c r="E944" s="42"/>
      <c r="F944" s="168" t="s">
        <v>6202</v>
      </c>
      <c r="G944" s="193">
        <f>IF(_1_541284561214624104645789101745[[#This Row],[Type]]&gt;0,VLOOKUP(_1_541284561214624104645789101745[[#This Row],[Type]],Main[[#All],[TYPE]:[UNIT]],'Unit Price'!C$1,FALSE),0)</f>
        <v>0</v>
      </c>
      <c r="H944" s="197">
        <f>IF(_1_541284561214624104645789101745[[#This Row],[Type]]&gt;0,VLOOKUP(_1_541284561214624104645789101745[[#This Row],[Type]],Main[[#All],[TYPE]:[UNIT]],'Unit Price'!D$1,FALSE),0)</f>
        <v>0</v>
      </c>
      <c r="I944" s="194">
        <f>IF(_1_541284561214624104645789101745[[#This Row],[Type]]&gt;0,VLOOKUP(_1_541284561214624104645789101745[[#This Row],[Type]],Main[[#All],[TYPE]:[UNIT]],'Unit Price'!G$1,FALSE),0)</f>
        <v>0</v>
      </c>
      <c r="J944" s="194">
        <f>IF(_1_541284561214624104645789101745[[#This Row],[Type]]&gt;0,VLOOKUP(_1_541284561214624104645789101745[[#This Row],[Type]],Main[[#All],[TYPE]:[UNIT]],'Unit Price'!H$1,FALSE),0)</f>
        <v>0</v>
      </c>
      <c r="K944" s="194">
        <f>IF(_1_541284561214624104645789101745[[#This Row],[Discount selection]]&gt;0,VLOOKUP(_1_541284561214624104645789101745[[#This Row],[Discount selection]],'Discount Structure'!$A$2:$B$30,2,"false"),0)</f>
        <v>1</v>
      </c>
      <c r="L944" s="194">
        <f>_1_541284561214624104645789101745[[#This Row],[LIST $]]*_1_541284561214624104645789101745[[#This Row],[DISCOUNT]]*_1_541284561214624104645789101745[[#This Row],[DISCOUNT 2]]</f>
        <v>0</v>
      </c>
      <c r="M944" s="194">
        <f>IF(OR(_1_541284561214624104645789101745[[#This Row],[UNIT]]&gt;0,_1_541284561214624104645789101745[[#This Row],[UNIT]]&lt;0),_1_541284561214624104645789101745[[#This Row],[UNIT]]*_1_541284561214624104645789101745[[#This Row],[COST]],0)</f>
        <v>0</v>
      </c>
      <c r="N944" s="194">
        <f t="shared" si="14"/>
        <v>1.5</v>
      </c>
      <c r="O944" s="198">
        <f>_1_541284561214624104645789101745[[#This Row],[TOTAL]]*_1_541284561214624104645789101745[[#This Row],[MARGIN]]</f>
        <v>0</v>
      </c>
      <c r="P944" s="198"/>
      <c r="R944" s="41"/>
    </row>
    <row r="945" spans="4:18">
      <c r="D945" s="188"/>
      <c r="E945" s="42"/>
      <c r="F945" s="168" t="s">
        <v>6202</v>
      </c>
      <c r="G945" s="193">
        <f>IF(_1_541284561214624104645789101745[[#This Row],[Type]]&gt;0,VLOOKUP(_1_541284561214624104645789101745[[#This Row],[Type]],Main[[#All],[TYPE]:[UNIT]],'Unit Price'!C$1,FALSE),0)</f>
        <v>0</v>
      </c>
      <c r="H945" s="197">
        <f>IF(_1_541284561214624104645789101745[[#This Row],[Type]]&gt;0,VLOOKUP(_1_541284561214624104645789101745[[#This Row],[Type]],Main[[#All],[TYPE]:[UNIT]],'Unit Price'!D$1,FALSE),0)</f>
        <v>0</v>
      </c>
      <c r="I945" s="194">
        <f>IF(_1_541284561214624104645789101745[[#This Row],[Type]]&gt;0,VLOOKUP(_1_541284561214624104645789101745[[#This Row],[Type]],Main[[#All],[TYPE]:[UNIT]],'Unit Price'!G$1,FALSE),0)</f>
        <v>0</v>
      </c>
      <c r="J945" s="194">
        <f>IF(_1_541284561214624104645789101745[[#This Row],[Type]]&gt;0,VLOOKUP(_1_541284561214624104645789101745[[#This Row],[Type]],Main[[#All],[TYPE]:[UNIT]],'Unit Price'!H$1,FALSE),0)</f>
        <v>0</v>
      </c>
      <c r="K945" s="194">
        <f>IF(_1_541284561214624104645789101745[[#This Row],[Discount selection]]&gt;0,VLOOKUP(_1_541284561214624104645789101745[[#This Row],[Discount selection]],'Discount Structure'!$A$2:$B$30,2,"false"),0)</f>
        <v>1</v>
      </c>
      <c r="L945" s="194">
        <f>_1_541284561214624104645789101745[[#This Row],[LIST $]]*_1_541284561214624104645789101745[[#This Row],[DISCOUNT]]*_1_541284561214624104645789101745[[#This Row],[DISCOUNT 2]]</f>
        <v>0</v>
      </c>
      <c r="M945" s="194">
        <f>IF(OR(_1_541284561214624104645789101745[[#This Row],[UNIT]]&gt;0,_1_541284561214624104645789101745[[#This Row],[UNIT]]&lt;0),_1_541284561214624104645789101745[[#This Row],[UNIT]]*_1_541284561214624104645789101745[[#This Row],[COST]],0)</f>
        <v>0</v>
      </c>
      <c r="N945" s="194">
        <f t="shared" si="14"/>
        <v>1.5</v>
      </c>
      <c r="O945" s="198">
        <f>_1_541284561214624104645789101745[[#This Row],[TOTAL]]*_1_541284561214624104645789101745[[#This Row],[MARGIN]]</f>
        <v>0</v>
      </c>
      <c r="P945" s="198"/>
      <c r="R945" s="41"/>
    </row>
    <row r="946" spans="4:18">
      <c r="D946" s="188"/>
      <c r="E946" s="42"/>
      <c r="F946" s="168" t="s">
        <v>6202</v>
      </c>
      <c r="G946" s="193">
        <f>IF(_1_541284561214624104645789101745[[#This Row],[Type]]&gt;0,VLOOKUP(_1_541284561214624104645789101745[[#This Row],[Type]],Main[[#All],[TYPE]:[UNIT]],'Unit Price'!C$1,FALSE),0)</f>
        <v>0</v>
      </c>
      <c r="H946" s="197">
        <f>IF(_1_541284561214624104645789101745[[#This Row],[Type]]&gt;0,VLOOKUP(_1_541284561214624104645789101745[[#This Row],[Type]],Main[[#All],[TYPE]:[UNIT]],'Unit Price'!D$1,FALSE),0)</f>
        <v>0</v>
      </c>
      <c r="I946" s="194">
        <f>IF(_1_541284561214624104645789101745[[#This Row],[Type]]&gt;0,VLOOKUP(_1_541284561214624104645789101745[[#This Row],[Type]],Main[[#All],[TYPE]:[UNIT]],'Unit Price'!G$1,FALSE),0)</f>
        <v>0</v>
      </c>
      <c r="J946" s="194">
        <f>IF(_1_541284561214624104645789101745[[#This Row],[Type]]&gt;0,VLOOKUP(_1_541284561214624104645789101745[[#This Row],[Type]],Main[[#All],[TYPE]:[UNIT]],'Unit Price'!H$1,FALSE),0)</f>
        <v>0</v>
      </c>
      <c r="K946" s="194">
        <f>IF(_1_541284561214624104645789101745[[#This Row],[Discount selection]]&gt;0,VLOOKUP(_1_541284561214624104645789101745[[#This Row],[Discount selection]],'Discount Structure'!$A$2:$B$30,2,"false"),0)</f>
        <v>1</v>
      </c>
      <c r="L946" s="194">
        <f>_1_541284561214624104645789101745[[#This Row],[LIST $]]*_1_541284561214624104645789101745[[#This Row],[DISCOUNT]]*_1_541284561214624104645789101745[[#This Row],[DISCOUNT 2]]</f>
        <v>0</v>
      </c>
      <c r="M946" s="194">
        <f>IF(OR(_1_541284561214624104645789101745[[#This Row],[UNIT]]&gt;0,_1_541284561214624104645789101745[[#This Row],[UNIT]]&lt;0),_1_541284561214624104645789101745[[#This Row],[UNIT]]*_1_541284561214624104645789101745[[#This Row],[COST]],0)</f>
        <v>0</v>
      </c>
      <c r="N946" s="194">
        <f t="shared" si="14"/>
        <v>1.5</v>
      </c>
      <c r="O946" s="198">
        <f>_1_541284561214624104645789101745[[#This Row],[TOTAL]]*_1_541284561214624104645789101745[[#This Row],[MARGIN]]</f>
        <v>0</v>
      </c>
      <c r="P946" s="198"/>
      <c r="R946" s="41"/>
    </row>
    <row r="947" spans="4:18">
      <c r="D947" s="188"/>
      <c r="E947" s="42"/>
      <c r="F947" s="168" t="s">
        <v>6202</v>
      </c>
      <c r="G947" s="193">
        <f>IF(_1_541284561214624104645789101745[[#This Row],[Type]]&gt;0,VLOOKUP(_1_541284561214624104645789101745[[#This Row],[Type]],Main[[#All],[TYPE]:[UNIT]],'Unit Price'!C$1,FALSE),0)</f>
        <v>0</v>
      </c>
      <c r="H947" s="197">
        <f>IF(_1_541284561214624104645789101745[[#This Row],[Type]]&gt;0,VLOOKUP(_1_541284561214624104645789101745[[#This Row],[Type]],Main[[#All],[TYPE]:[UNIT]],'Unit Price'!D$1,FALSE),0)</f>
        <v>0</v>
      </c>
      <c r="I947" s="194">
        <f>IF(_1_541284561214624104645789101745[[#This Row],[Type]]&gt;0,VLOOKUP(_1_541284561214624104645789101745[[#This Row],[Type]],Main[[#All],[TYPE]:[UNIT]],'Unit Price'!G$1,FALSE),0)</f>
        <v>0</v>
      </c>
      <c r="J947" s="194">
        <f>IF(_1_541284561214624104645789101745[[#This Row],[Type]]&gt;0,VLOOKUP(_1_541284561214624104645789101745[[#This Row],[Type]],Main[[#All],[TYPE]:[UNIT]],'Unit Price'!H$1,FALSE),0)</f>
        <v>0</v>
      </c>
      <c r="K947" s="194">
        <f>IF(_1_541284561214624104645789101745[[#This Row],[Discount selection]]&gt;0,VLOOKUP(_1_541284561214624104645789101745[[#This Row],[Discount selection]],'Discount Structure'!$A$2:$B$30,2,"false"),0)</f>
        <v>1</v>
      </c>
      <c r="L947" s="194">
        <f>_1_541284561214624104645789101745[[#This Row],[LIST $]]*_1_541284561214624104645789101745[[#This Row],[DISCOUNT]]*_1_541284561214624104645789101745[[#This Row],[DISCOUNT 2]]</f>
        <v>0</v>
      </c>
      <c r="M947" s="194">
        <f>IF(OR(_1_541284561214624104645789101745[[#This Row],[UNIT]]&gt;0,_1_541284561214624104645789101745[[#This Row],[UNIT]]&lt;0),_1_541284561214624104645789101745[[#This Row],[UNIT]]*_1_541284561214624104645789101745[[#This Row],[COST]],0)</f>
        <v>0</v>
      </c>
      <c r="N947" s="194">
        <f t="shared" si="14"/>
        <v>1.5</v>
      </c>
      <c r="O947" s="198">
        <f>_1_541284561214624104645789101745[[#This Row],[TOTAL]]*_1_541284561214624104645789101745[[#This Row],[MARGIN]]</f>
        <v>0</v>
      </c>
      <c r="P947" s="198"/>
      <c r="R947" s="41"/>
    </row>
    <row r="948" spans="4:18">
      <c r="D948" s="188"/>
      <c r="E948" s="42"/>
      <c r="F948" s="168" t="s">
        <v>6202</v>
      </c>
      <c r="G948" s="193">
        <f>IF(_1_541284561214624104645789101745[[#This Row],[Type]]&gt;0,VLOOKUP(_1_541284561214624104645789101745[[#This Row],[Type]],Main[[#All],[TYPE]:[UNIT]],'Unit Price'!C$1,FALSE),0)</f>
        <v>0</v>
      </c>
      <c r="H948" s="197">
        <f>IF(_1_541284561214624104645789101745[[#This Row],[Type]]&gt;0,VLOOKUP(_1_541284561214624104645789101745[[#This Row],[Type]],Main[[#All],[TYPE]:[UNIT]],'Unit Price'!D$1,FALSE),0)</f>
        <v>0</v>
      </c>
      <c r="I948" s="194">
        <f>IF(_1_541284561214624104645789101745[[#This Row],[Type]]&gt;0,VLOOKUP(_1_541284561214624104645789101745[[#This Row],[Type]],Main[[#All],[TYPE]:[UNIT]],'Unit Price'!G$1,FALSE),0)</f>
        <v>0</v>
      </c>
      <c r="J948" s="194">
        <f>IF(_1_541284561214624104645789101745[[#This Row],[Type]]&gt;0,VLOOKUP(_1_541284561214624104645789101745[[#This Row],[Type]],Main[[#All],[TYPE]:[UNIT]],'Unit Price'!H$1,FALSE),0)</f>
        <v>0</v>
      </c>
      <c r="K948" s="194">
        <f>IF(_1_541284561214624104645789101745[[#This Row],[Discount selection]]&gt;0,VLOOKUP(_1_541284561214624104645789101745[[#This Row],[Discount selection]],'Discount Structure'!$A$2:$B$30,2,"false"),0)</f>
        <v>1</v>
      </c>
      <c r="L948" s="194">
        <f>_1_541284561214624104645789101745[[#This Row],[LIST $]]*_1_541284561214624104645789101745[[#This Row],[DISCOUNT]]*_1_541284561214624104645789101745[[#This Row],[DISCOUNT 2]]</f>
        <v>0</v>
      </c>
      <c r="M948" s="194">
        <f>IF(OR(_1_541284561214624104645789101745[[#This Row],[UNIT]]&gt;0,_1_541284561214624104645789101745[[#This Row],[UNIT]]&lt;0),_1_541284561214624104645789101745[[#This Row],[UNIT]]*_1_541284561214624104645789101745[[#This Row],[COST]],0)</f>
        <v>0</v>
      </c>
      <c r="N948" s="194">
        <f t="shared" si="14"/>
        <v>1.5</v>
      </c>
      <c r="O948" s="198">
        <f>_1_541284561214624104645789101745[[#This Row],[TOTAL]]*_1_541284561214624104645789101745[[#This Row],[MARGIN]]</f>
        <v>0</v>
      </c>
      <c r="P948" s="198"/>
      <c r="R948" s="41"/>
    </row>
    <row r="949" spans="4:18">
      <c r="D949" s="188"/>
      <c r="E949" s="42"/>
      <c r="F949" s="168" t="s">
        <v>6202</v>
      </c>
      <c r="G949" s="193">
        <f>IF(_1_541284561214624104645789101745[[#This Row],[Type]]&gt;0,VLOOKUP(_1_541284561214624104645789101745[[#This Row],[Type]],Main[[#All],[TYPE]:[UNIT]],'Unit Price'!C$1,FALSE),0)</f>
        <v>0</v>
      </c>
      <c r="H949" s="197">
        <f>IF(_1_541284561214624104645789101745[[#This Row],[Type]]&gt;0,VLOOKUP(_1_541284561214624104645789101745[[#This Row],[Type]],Main[[#All],[TYPE]:[UNIT]],'Unit Price'!D$1,FALSE),0)</f>
        <v>0</v>
      </c>
      <c r="I949" s="194">
        <f>IF(_1_541284561214624104645789101745[[#This Row],[Type]]&gt;0,VLOOKUP(_1_541284561214624104645789101745[[#This Row],[Type]],Main[[#All],[TYPE]:[UNIT]],'Unit Price'!G$1,FALSE),0)</f>
        <v>0</v>
      </c>
      <c r="J949" s="194">
        <f>IF(_1_541284561214624104645789101745[[#This Row],[Type]]&gt;0,VLOOKUP(_1_541284561214624104645789101745[[#This Row],[Type]],Main[[#All],[TYPE]:[UNIT]],'Unit Price'!H$1,FALSE),0)</f>
        <v>0</v>
      </c>
      <c r="K949" s="194">
        <f>IF(_1_541284561214624104645789101745[[#This Row],[Discount selection]]&gt;0,VLOOKUP(_1_541284561214624104645789101745[[#This Row],[Discount selection]],'Discount Structure'!$A$2:$B$30,2,"false"),0)</f>
        <v>1</v>
      </c>
      <c r="L949" s="194">
        <f>_1_541284561214624104645789101745[[#This Row],[LIST $]]*_1_541284561214624104645789101745[[#This Row],[DISCOUNT]]*_1_541284561214624104645789101745[[#This Row],[DISCOUNT 2]]</f>
        <v>0</v>
      </c>
      <c r="M949" s="194">
        <f>IF(OR(_1_541284561214624104645789101745[[#This Row],[UNIT]]&gt;0,_1_541284561214624104645789101745[[#This Row],[UNIT]]&lt;0),_1_541284561214624104645789101745[[#This Row],[UNIT]]*_1_541284561214624104645789101745[[#This Row],[COST]],0)</f>
        <v>0</v>
      </c>
      <c r="N949" s="194">
        <f t="shared" si="14"/>
        <v>1.5</v>
      </c>
      <c r="O949" s="198">
        <f>_1_541284561214624104645789101745[[#This Row],[TOTAL]]*_1_541284561214624104645789101745[[#This Row],[MARGIN]]</f>
        <v>0</v>
      </c>
      <c r="P949" s="198"/>
      <c r="R949" s="41"/>
    </row>
    <row r="950" spans="4:18">
      <c r="D950" s="188"/>
      <c r="E950" s="42"/>
      <c r="F950" s="168" t="s">
        <v>6202</v>
      </c>
      <c r="G950" s="193">
        <f>IF(_1_541284561214624104645789101745[[#This Row],[Type]]&gt;0,VLOOKUP(_1_541284561214624104645789101745[[#This Row],[Type]],Main[[#All],[TYPE]:[UNIT]],'Unit Price'!C$1,FALSE),0)</f>
        <v>0</v>
      </c>
      <c r="H950" s="197">
        <f>IF(_1_541284561214624104645789101745[[#This Row],[Type]]&gt;0,VLOOKUP(_1_541284561214624104645789101745[[#This Row],[Type]],Main[[#All],[TYPE]:[UNIT]],'Unit Price'!D$1,FALSE),0)</f>
        <v>0</v>
      </c>
      <c r="I950" s="194">
        <f>IF(_1_541284561214624104645789101745[[#This Row],[Type]]&gt;0,VLOOKUP(_1_541284561214624104645789101745[[#This Row],[Type]],Main[[#All],[TYPE]:[UNIT]],'Unit Price'!G$1,FALSE),0)</f>
        <v>0</v>
      </c>
      <c r="J950" s="194">
        <f>IF(_1_541284561214624104645789101745[[#This Row],[Type]]&gt;0,VLOOKUP(_1_541284561214624104645789101745[[#This Row],[Type]],Main[[#All],[TYPE]:[UNIT]],'Unit Price'!H$1,FALSE),0)</f>
        <v>0</v>
      </c>
      <c r="K950" s="194">
        <f>IF(_1_541284561214624104645789101745[[#This Row],[Discount selection]]&gt;0,VLOOKUP(_1_541284561214624104645789101745[[#This Row],[Discount selection]],'Discount Structure'!$A$2:$B$30,2,"false"),0)</f>
        <v>1</v>
      </c>
      <c r="L950" s="194">
        <f>_1_541284561214624104645789101745[[#This Row],[LIST $]]*_1_541284561214624104645789101745[[#This Row],[DISCOUNT]]*_1_541284561214624104645789101745[[#This Row],[DISCOUNT 2]]</f>
        <v>0</v>
      </c>
      <c r="M950" s="194">
        <f>IF(OR(_1_541284561214624104645789101745[[#This Row],[UNIT]]&gt;0,_1_541284561214624104645789101745[[#This Row],[UNIT]]&lt;0),_1_541284561214624104645789101745[[#This Row],[UNIT]]*_1_541284561214624104645789101745[[#This Row],[COST]],0)</f>
        <v>0</v>
      </c>
      <c r="N950" s="194">
        <f t="shared" si="14"/>
        <v>1.5</v>
      </c>
      <c r="O950" s="198">
        <f>_1_541284561214624104645789101745[[#This Row],[TOTAL]]*_1_541284561214624104645789101745[[#This Row],[MARGIN]]</f>
        <v>0</v>
      </c>
      <c r="P950" s="198"/>
      <c r="R950" s="41"/>
    </row>
    <row r="951" spans="4:18">
      <c r="D951" s="188"/>
      <c r="E951" s="42"/>
      <c r="F951" s="168" t="s">
        <v>6202</v>
      </c>
      <c r="G951" s="193">
        <f>IF(_1_541284561214624104645789101745[[#This Row],[Type]]&gt;0,VLOOKUP(_1_541284561214624104645789101745[[#This Row],[Type]],Main[[#All],[TYPE]:[UNIT]],'Unit Price'!C$1,FALSE),0)</f>
        <v>0</v>
      </c>
      <c r="H951" s="197">
        <f>IF(_1_541284561214624104645789101745[[#This Row],[Type]]&gt;0,VLOOKUP(_1_541284561214624104645789101745[[#This Row],[Type]],Main[[#All],[TYPE]:[UNIT]],'Unit Price'!D$1,FALSE),0)</f>
        <v>0</v>
      </c>
      <c r="I951" s="194">
        <f>IF(_1_541284561214624104645789101745[[#This Row],[Type]]&gt;0,VLOOKUP(_1_541284561214624104645789101745[[#This Row],[Type]],Main[[#All],[TYPE]:[UNIT]],'Unit Price'!G$1,FALSE),0)</f>
        <v>0</v>
      </c>
      <c r="J951" s="194">
        <f>IF(_1_541284561214624104645789101745[[#This Row],[Type]]&gt;0,VLOOKUP(_1_541284561214624104645789101745[[#This Row],[Type]],Main[[#All],[TYPE]:[UNIT]],'Unit Price'!H$1,FALSE),0)</f>
        <v>0</v>
      </c>
      <c r="K951" s="194">
        <f>IF(_1_541284561214624104645789101745[[#This Row],[Discount selection]]&gt;0,VLOOKUP(_1_541284561214624104645789101745[[#This Row],[Discount selection]],'Discount Structure'!$A$2:$B$30,2,"false"),0)</f>
        <v>1</v>
      </c>
      <c r="L951" s="194">
        <f>_1_541284561214624104645789101745[[#This Row],[LIST $]]*_1_541284561214624104645789101745[[#This Row],[DISCOUNT]]*_1_541284561214624104645789101745[[#This Row],[DISCOUNT 2]]</f>
        <v>0</v>
      </c>
      <c r="M951" s="194">
        <f>IF(OR(_1_541284561214624104645789101745[[#This Row],[UNIT]]&gt;0,_1_541284561214624104645789101745[[#This Row],[UNIT]]&lt;0),_1_541284561214624104645789101745[[#This Row],[UNIT]]*_1_541284561214624104645789101745[[#This Row],[COST]],0)</f>
        <v>0</v>
      </c>
      <c r="N951" s="194">
        <f t="shared" si="14"/>
        <v>1.5</v>
      </c>
      <c r="O951" s="198">
        <f>_1_541284561214624104645789101745[[#This Row],[TOTAL]]*_1_541284561214624104645789101745[[#This Row],[MARGIN]]</f>
        <v>0</v>
      </c>
      <c r="P951" s="198"/>
      <c r="R951" s="41"/>
    </row>
    <row r="952" spans="4:18">
      <c r="D952" s="188"/>
      <c r="E952" s="42"/>
      <c r="F952" s="168" t="s">
        <v>6202</v>
      </c>
      <c r="G952" s="193">
        <f>IF(_1_541284561214624104645789101745[[#This Row],[Type]]&gt;0,VLOOKUP(_1_541284561214624104645789101745[[#This Row],[Type]],Main[[#All],[TYPE]:[UNIT]],'Unit Price'!C$1,FALSE),0)</f>
        <v>0</v>
      </c>
      <c r="H952" s="197">
        <f>IF(_1_541284561214624104645789101745[[#This Row],[Type]]&gt;0,VLOOKUP(_1_541284561214624104645789101745[[#This Row],[Type]],Main[[#All],[TYPE]:[UNIT]],'Unit Price'!D$1,FALSE),0)</f>
        <v>0</v>
      </c>
      <c r="I952" s="194">
        <f>IF(_1_541284561214624104645789101745[[#This Row],[Type]]&gt;0,VLOOKUP(_1_541284561214624104645789101745[[#This Row],[Type]],Main[[#All],[TYPE]:[UNIT]],'Unit Price'!G$1,FALSE),0)</f>
        <v>0</v>
      </c>
      <c r="J952" s="194">
        <f>IF(_1_541284561214624104645789101745[[#This Row],[Type]]&gt;0,VLOOKUP(_1_541284561214624104645789101745[[#This Row],[Type]],Main[[#All],[TYPE]:[UNIT]],'Unit Price'!H$1,FALSE),0)</f>
        <v>0</v>
      </c>
      <c r="K952" s="194">
        <f>IF(_1_541284561214624104645789101745[[#This Row],[Discount selection]]&gt;0,VLOOKUP(_1_541284561214624104645789101745[[#This Row],[Discount selection]],'Discount Structure'!$A$2:$B$30,2,"false"),0)</f>
        <v>1</v>
      </c>
      <c r="L952" s="194">
        <f>_1_541284561214624104645789101745[[#This Row],[LIST $]]*_1_541284561214624104645789101745[[#This Row],[DISCOUNT]]*_1_541284561214624104645789101745[[#This Row],[DISCOUNT 2]]</f>
        <v>0</v>
      </c>
      <c r="M952" s="194">
        <f>IF(OR(_1_541284561214624104645789101745[[#This Row],[UNIT]]&gt;0,_1_541284561214624104645789101745[[#This Row],[UNIT]]&lt;0),_1_541284561214624104645789101745[[#This Row],[UNIT]]*_1_541284561214624104645789101745[[#This Row],[COST]],0)</f>
        <v>0</v>
      </c>
      <c r="N952" s="194">
        <f t="shared" si="14"/>
        <v>1.5</v>
      </c>
      <c r="O952" s="198">
        <f>_1_541284561214624104645789101745[[#This Row],[TOTAL]]*_1_541284561214624104645789101745[[#This Row],[MARGIN]]</f>
        <v>0</v>
      </c>
      <c r="P952" s="198"/>
      <c r="R952" s="41"/>
    </row>
    <row r="953" spans="4:18">
      <c r="D953" s="188"/>
      <c r="E953" s="42"/>
      <c r="F953" s="168" t="s">
        <v>6202</v>
      </c>
      <c r="G953" s="193">
        <f>IF(_1_541284561214624104645789101745[[#This Row],[Type]]&gt;0,VLOOKUP(_1_541284561214624104645789101745[[#This Row],[Type]],Main[[#All],[TYPE]:[UNIT]],'Unit Price'!C$1,FALSE),0)</f>
        <v>0</v>
      </c>
      <c r="H953" s="197">
        <f>IF(_1_541284561214624104645789101745[[#This Row],[Type]]&gt;0,VLOOKUP(_1_541284561214624104645789101745[[#This Row],[Type]],Main[[#All],[TYPE]:[UNIT]],'Unit Price'!D$1,FALSE),0)</f>
        <v>0</v>
      </c>
      <c r="I953" s="194">
        <f>IF(_1_541284561214624104645789101745[[#This Row],[Type]]&gt;0,VLOOKUP(_1_541284561214624104645789101745[[#This Row],[Type]],Main[[#All],[TYPE]:[UNIT]],'Unit Price'!G$1,FALSE),0)</f>
        <v>0</v>
      </c>
      <c r="J953" s="194">
        <f>IF(_1_541284561214624104645789101745[[#This Row],[Type]]&gt;0,VLOOKUP(_1_541284561214624104645789101745[[#This Row],[Type]],Main[[#All],[TYPE]:[UNIT]],'Unit Price'!H$1,FALSE),0)</f>
        <v>0</v>
      </c>
      <c r="K953" s="194">
        <f>IF(_1_541284561214624104645789101745[[#This Row],[Discount selection]]&gt;0,VLOOKUP(_1_541284561214624104645789101745[[#This Row],[Discount selection]],'Discount Structure'!$A$2:$B$30,2,"false"),0)</f>
        <v>1</v>
      </c>
      <c r="L953" s="194">
        <f>_1_541284561214624104645789101745[[#This Row],[LIST $]]*_1_541284561214624104645789101745[[#This Row],[DISCOUNT]]*_1_541284561214624104645789101745[[#This Row],[DISCOUNT 2]]</f>
        <v>0</v>
      </c>
      <c r="M953" s="194">
        <f>IF(OR(_1_541284561214624104645789101745[[#This Row],[UNIT]]&gt;0,_1_541284561214624104645789101745[[#This Row],[UNIT]]&lt;0),_1_541284561214624104645789101745[[#This Row],[UNIT]]*_1_541284561214624104645789101745[[#This Row],[COST]],0)</f>
        <v>0</v>
      </c>
      <c r="N953" s="194">
        <f t="shared" si="14"/>
        <v>1.5</v>
      </c>
      <c r="O953" s="198">
        <f>_1_541284561214624104645789101745[[#This Row],[TOTAL]]*_1_541284561214624104645789101745[[#This Row],[MARGIN]]</f>
        <v>0</v>
      </c>
      <c r="P953" s="198"/>
      <c r="R953" s="41"/>
    </row>
    <row r="954" spans="4:18">
      <c r="D954" s="188"/>
      <c r="E954" s="42"/>
      <c r="F954" s="168" t="s">
        <v>6202</v>
      </c>
      <c r="G954" s="193">
        <f>IF(_1_541284561214624104645789101745[[#This Row],[Type]]&gt;0,VLOOKUP(_1_541284561214624104645789101745[[#This Row],[Type]],Main[[#All],[TYPE]:[UNIT]],'Unit Price'!C$1,FALSE),0)</f>
        <v>0</v>
      </c>
      <c r="H954" s="197">
        <f>IF(_1_541284561214624104645789101745[[#This Row],[Type]]&gt;0,VLOOKUP(_1_541284561214624104645789101745[[#This Row],[Type]],Main[[#All],[TYPE]:[UNIT]],'Unit Price'!D$1,FALSE),0)</f>
        <v>0</v>
      </c>
      <c r="I954" s="194">
        <f>IF(_1_541284561214624104645789101745[[#This Row],[Type]]&gt;0,VLOOKUP(_1_541284561214624104645789101745[[#This Row],[Type]],Main[[#All],[TYPE]:[UNIT]],'Unit Price'!G$1,FALSE),0)</f>
        <v>0</v>
      </c>
      <c r="J954" s="194">
        <f>IF(_1_541284561214624104645789101745[[#This Row],[Type]]&gt;0,VLOOKUP(_1_541284561214624104645789101745[[#This Row],[Type]],Main[[#All],[TYPE]:[UNIT]],'Unit Price'!H$1,FALSE),0)</f>
        <v>0</v>
      </c>
      <c r="K954" s="194">
        <f>IF(_1_541284561214624104645789101745[[#This Row],[Discount selection]]&gt;0,VLOOKUP(_1_541284561214624104645789101745[[#This Row],[Discount selection]],'Discount Structure'!$A$2:$B$30,2,"false"),0)</f>
        <v>1</v>
      </c>
      <c r="L954" s="194">
        <f>_1_541284561214624104645789101745[[#This Row],[LIST $]]*_1_541284561214624104645789101745[[#This Row],[DISCOUNT]]*_1_541284561214624104645789101745[[#This Row],[DISCOUNT 2]]</f>
        <v>0</v>
      </c>
      <c r="M954" s="194">
        <f>IF(OR(_1_541284561214624104645789101745[[#This Row],[UNIT]]&gt;0,_1_541284561214624104645789101745[[#This Row],[UNIT]]&lt;0),_1_541284561214624104645789101745[[#This Row],[UNIT]]*_1_541284561214624104645789101745[[#This Row],[COST]],0)</f>
        <v>0</v>
      </c>
      <c r="N954" s="194">
        <f t="shared" si="14"/>
        <v>1.5</v>
      </c>
      <c r="O954" s="198">
        <f>_1_541284561214624104645789101745[[#This Row],[TOTAL]]*_1_541284561214624104645789101745[[#This Row],[MARGIN]]</f>
        <v>0</v>
      </c>
      <c r="P954" s="198"/>
      <c r="R954" s="41"/>
    </row>
    <row r="955" spans="4:18">
      <c r="D955" s="188"/>
      <c r="E955" s="42"/>
      <c r="F955" s="168" t="s">
        <v>6202</v>
      </c>
      <c r="G955" s="193">
        <f>IF(_1_541284561214624104645789101745[[#This Row],[Type]]&gt;0,VLOOKUP(_1_541284561214624104645789101745[[#This Row],[Type]],Main[[#All],[TYPE]:[UNIT]],'Unit Price'!C$1,FALSE),0)</f>
        <v>0</v>
      </c>
      <c r="H955" s="197">
        <f>IF(_1_541284561214624104645789101745[[#This Row],[Type]]&gt;0,VLOOKUP(_1_541284561214624104645789101745[[#This Row],[Type]],Main[[#All],[TYPE]:[UNIT]],'Unit Price'!D$1,FALSE),0)</f>
        <v>0</v>
      </c>
      <c r="I955" s="194">
        <f>IF(_1_541284561214624104645789101745[[#This Row],[Type]]&gt;0,VLOOKUP(_1_541284561214624104645789101745[[#This Row],[Type]],Main[[#All],[TYPE]:[UNIT]],'Unit Price'!G$1,FALSE),0)</f>
        <v>0</v>
      </c>
      <c r="J955" s="194">
        <f>IF(_1_541284561214624104645789101745[[#This Row],[Type]]&gt;0,VLOOKUP(_1_541284561214624104645789101745[[#This Row],[Type]],Main[[#All],[TYPE]:[UNIT]],'Unit Price'!H$1,FALSE),0)</f>
        <v>0</v>
      </c>
      <c r="K955" s="194">
        <f>IF(_1_541284561214624104645789101745[[#This Row],[Discount selection]]&gt;0,VLOOKUP(_1_541284561214624104645789101745[[#This Row],[Discount selection]],'Discount Structure'!$A$2:$B$30,2,"false"),0)</f>
        <v>1</v>
      </c>
      <c r="L955" s="194">
        <f>_1_541284561214624104645789101745[[#This Row],[LIST $]]*_1_541284561214624104645789101745[[#This Row],[DISCOUNT]]*_1_541284561214624104645789101745[[#This Row],[DISCOUNT 2]]</f>
        <v>0</v>
      </c>
      <c r="M955" s="194">
        <f>IF(OR(_1_541284561214624104645789101745[[#This Row],[UNIT]]&gt;0,_1_541284561214624104645789101745[[#This Row],[UNIT]]&lt;0),_1_541284561214624104645789101745[[#This Row],[UNIT]]*_1_541284561214624104645789101745[[#This Row],[COST]],0)</f>
        <v>0</v>
      </c>
      <c r="N955" s="194">
        <f t="shared" si="14"/>
        <v>1.5</v>
      </c>
      <c r="O955" s="198">
        <f>_1_541284561214624104645789101745[[#This Row],[TOTAL]]*_1_541284561214624104645789101745[[#This Row],[MARGIN]]</f>
        <v>0</v>
      </c>
      <c r="P955" s="198"/>
      <c r="R955" s="41"/>
    </row>
    <row r="956" spans="4:18">
      <c r="D956" s="188"/>
      <c r="E956" s="42"/>
      <c r="F956" s="168" t="s">
        <v>6202</v>
      </c>
      <c r="G956" s="193">
        <f>IF(_1_541284561214624104645789101745[[#This Row],[Type]]&gt;0,VLOOKUP(_1_541284561214624104645789101745[[#This Row],[Type]],Main[[#All],[TYPE]:[UNIT]],'Unit Price'!C$1,FALSE),0)</f>
        <v>0</v>
      </c>
      <c r="H956" s="197">
        <f>IF(_1_541284561214624104645789101745[[#This Row],[Type]]&gt;0,VLOOKUP(_1_541284561214624104645789101745[[#This Row],[Type]],Main[[#All],[TYPE]:[UNIT]],'Unit Price'!D$1,FALSE),0)</f>
        <v>0</v>
      </c>
      <c r="I956" s="194">
        <f>IF(_1_541284561214624104645789101745[[#This Row],[Type]]&gt;0,VLOOKUP(_1_541284561214624104645789101745[[#This Row],[Type]],Main[[#All],[TYPE]:[UNIT]],'Unit Price'!G$1,FALSE),0)</f>
        <v>0</v>
      </c>
      <c r="J956" s="194">
        <f>IF(_1_541284561214624104645789101745[[#This Row],[Type]]&gt;0,VLOOKUP(_1_541284561214624104645789101745[[#This Row],[Type]],Main[[#All],[TYPE]:[UNIT]],'Unit Price'!H$1,FALSE),0)</f>
        <v>0</v>
      </c>
      <c r="K956" s="194">
        <f>IF(_1_541284561214624104645789101745[[#This Row],[Discount selection]]&gt;0,VLOOKUP(_1_541284561214624104645789101745[[#This Row],[Discount selection]],'Discount Structure'!$A$2:$B$30,2,"false"),0)</f>
        <v>1</v>
      </c>
      <c r="L956" s="194">
        <f>_1_541284561214624104645789101745[[#This Row],[LIST $]]*_1_541284561214624104645789101745[[#This Row],[DISCOUNT]]*_1_541284561214624104645789101745[[#This Row],[DISCOUNT 2]]</f>
        <v>0</v>
      </c>
      <c r="M956" s="194">
        <f>IF(OR(_1_541284561214624104645789101745[[#This Row],[UNIT]]&gt;0,_1_541284561214624104645789101745[[#This Row],[UNIT]]&lt;0),_1_541284561214624104645789101745[[#This Row],[UNIT]]*_1_541284561214624104645789101745[[#This Row],[COST]],0)</f>
        <v>0</v>
      </c>
      <c r="N956" s="194">
        <f t="shared" si="14"/>
        <v>1.5</v>
      </c>
      <c r="O956" s="198">
        <f>_1_541284561214624104645789101745[[#This Row],[TOTAL]]*_1_541284561214624104645789101745[[#This Row],[MARGIN]]</f>
        <v>0</v>
      </c>
      <c r="P956" s="198"/>
      <c r="R956" s="41"/>
    </row>
    <row r="957" spans="4:18">
      <c r="D957" s="188"/>
      <c r="E957" s="42"/>
      <c r="F957" s="168" t="s">
        <v>6202</v>
      </c>
      <c r="G957" s="193">
        <f>IF(_1_541284561214624104645789101745[[#This Row],[Type]]&gt;0,VLOOKUP(_1_541284561214624104645789101745[[#This Row],[Type]],Main[[#All],[TYPE]:[UNIT]],'Unit Price'!C$1,FALSE),0)</f>
        <v>0</v>
      </c>
      <c r="H957" s="197">
        <f>IF(_1_541284561214624104645789101745[[#This Row],[Type]]&gt;0,VLOOKUP(_1_541284561214624104645789101745[[#This Row],[Type]],Main[[#All],[TYPE]:[UNIT]],'Unit Price'!D$1,FALSE),0)</f>
        <v>0</v>
      </c>
      <c r="I957" s="194">
        <f>IF(_1_541284561214624104645789101745[[#This Row],[Type]]&gt;0,VLOOKUP(_1_541284561214624104645789101745[[#This Row],[Type]],Main[[#All],[TYPE]:[UNIT]],'Unit Price'!G$1,FALSE),0)</f>
        <v>0</v>
      </c>
      <c r="J957" s="194">
        <f>IF(_1_541284561214624104645789101745[[#This Row],[Type]]&gt;0,VLOOKUP(_1_541284561214624104645789101745[[#This Row],[Type]],Main[[#All],[TYPE]:[UNIT]],'Unit Price'!H$1,FALSE),0)</f>
        <v>0</v>
      </c>
      <c r="K957" s="194">
        <f>IF(_1_541284561214624104645789101745[[#This Row],[Discount selection]]&gt;0,VLOOKUP(_1_541284561214624104645789101745[[#This Row],[Discount selection]],'Discount Structure'!$A$2:$B$30,2,"false"),0)</f>
        <v>1</v>
      </c>
      <c r="L957" s="194">
        <f>_1_541284561214624104645789101745[[#This Row],[LIST $]]*_1_541284561214624104645789101745[[#This Row],[DISCOUNT]]*_1_541284561214624104645789101745[[#This Row],[DISCOUNT 2]]</f>
        <v>0</v>
      </c>
      <c r="M957" s="194">
        <f>IF(OR(_1_541284561214624104645789101745[[#This Row],[UNIT]]&gt;0,_1_541284561214624104645789101745[[#This Row],[UNIT]]&lt;0),_1_541284561214624104645789101745[[#This Row],[UNIT]]*_1_541284561214624104645789101745[[#This Row],[COST]],0)</f>
        <v>0</v>
      </c>
      <c r="N957" s="194">
        <f t="shared" si="14"/>
        <v>1.5</v>
      </c>
      <c r="O957" s="198">
        <f>_1_541284561214624104645789101745[[#This Row],[TOTAL]]*_1_541284561214624104645789101745[[#This Row],[MARGIN]]</f>
        <v>0</v>
      </c>
      <c r="P957" s="198"/>
      <c r="R957" s="41"/>
    </row>
    <row r="958" spans="4:18">
      <c r="D958" s="188"/>
      <c r="E958" s="42"/>
      <c r="F958" s="168" t="s">
        <v>6202</v>
      </c>
      <c r="G958" s="193">
        <f>IF(_1_541284561214624104645789101745[[#This Row],[Type]]&gt;0,VLOOKUP(_1_541284561214624104645789101745[[#This Row],[Type]],Main[[#All],[TYPE]:[UNIT]],'Unit Price'!C$1,FALSE),0)</f>
        <v>0</v>
      </c>
      <c r="H958" s="197">
        <f>IF(_1_541284561214624104645789101745[[#This Row],[Type]]&gt;0,VLOOKUP(_1_541284561214624104645789101745[[#This Row],[Type]],Main[[#All],[TYPE]:[UNIT]],'Unit Price'!D$1,FALSE),0)</f>
        <v>0</v>
      </c>
      <c r="I958" s="194">
        <f>IF(_1_541284561214624104645789101745[[#This Row],[Type]]&gt;0,VLOOKUP(_1_541284561214624104645789101745[[#This Row],[Type]],Main[[#All],[TYPE]:[UNIT]],'Unit Price'!G$1,FALSE),0)</f>
        <v>0</v>
      </c>
      <c r="J958" s="194">
        <f>IF(_1_541284561214624104645789101745[[#This Row],[Type]]&gt;0,VLOOKUP(_1_541284561214624104645789101745[[#This Row],[Type]],Main[[#All],[TYPE]:[UNIT]],'Unit Price'!H$1,FALSE),0)</f>
        <v>0</v>
      </c>
      <c r="K958" s="194">
        <f>IF(_1_541284561214624104645789101745[[#This Row],[Discount selection]]&gt;0,VLOOKUP(_1_541284561214624104645789101745[[#This Row],[Discount selection]],'Discount Structure'!$A$2:$B$30,2,"false"),0)</f>
        <v>1</v>
      </c>
      <c r="L958" s="194">
        <f>_1_541284561214624104645789101745[[#This Row],[LIST $]]*_1_541284561214624104645789101745[[#This Row],[DISCOUNT]]*_1_541284561214624104645789101745[[#This Row],[DISCOUNT 2]]</f>
        <v>0</v>
      </c>
      <c r="M958" s="194">
        <f>IF(OR(_1_541284561214624104645789101745[[#This Row],[UNIT]]&gt;0,_1_541284561214624104645789101745[[#This Row],[UNIT]]&lt;0),_1_541284561214624104645789101745[[#This Row],[UNIT]]*_1_541284561214624104645789101745[[#This Row],[COST]],0)</f>
        <v>0</v>
      </c>
      <c r="N958" s="194">
        <f t="shared" si="14"/>
        <v>1.5</v>
      </c>
      <c r="O958" s="198">
        <f>_1_541284561214624104645789101745[[#This Row],[TOTAL]]*_1_541284561214624104645789101745[[#This Row],[MARGIN]]</f>
        <v>0</v>
      </c>
      <c r="P958" s="198"/>
      <c r="R958" s="41"/>
    </row>
    <row r="959" spans="4:18">
      <c r="D959" s="188"/>
      <c r="E959" s="42"/>
      <c r="F959" s="168" t="s">
        <v>6202</v>
      </c>
      <c r="G959" s="193">
        <f>IF(_1_541284561214624104645789101745[[#This Row],[Type]]&gt;0,VLOOKUP(_1_541284561214624104645789101745[[#This Row],[Type]],Main[[#All],[TYPE]:[UNIT]],'Unit Price'!C$1,FALSE),0)</f>
        <v>0</v>
      </c>
      <c r="H959" s="197">
        <f>IF(_1_541284561214624104645789101745[[#This Row],[Type]]&gt;0,VLOOKUP(_1_541284561214624104645789101745[[#This Row],[Type]],Main[[#All],[TYPE]:[UNIT]],'Unit Price'!D$1,FALSE),0)</f>
        <v>0</v>
      </c>
      <c r="I959" s="194">
        <f>IF(_1_541284561214624104645789101745[[#This Row],[Type]]&gt;0,VLOOKUP(_1_541284561214624104645789101745[[#This Row],[Type]],Main[[#All],[TYPE]:[UNIT]],'Unit Price'!G$1,FALSE),0)</f>
        <v>0</v>
      </c>
      <c r="J959" s="194">
        <f>IF(_1_541284561214624104645789101745[[#This Row],[Type]]&gt;0,VLOOKUP(_1_541284561214624104645789101745[[#This Row],[Type]],Main[[#All],[TYPE]:[UNIT]],'Unit Price'!H$1,FALSE),0)</f>
        <v>0</v>
      </c>
      <c r="K959" s="194">
        <f>IF(_1_541284561214624104645789101745[[#This Row],[Discount selection]]&gt;0,VLOOKUP(_1_541284561214624104645789101745[[#This Row],[Discount selection]],'Discount Structure'!$A$2:$B$30,2,"false"),0)</f>
        <v>1</v>
      </c>
      <c r="L959" s="194">
        <f>_1_541284561214624104645789101745[[#This Row],[LIST $]]*_1_541284561214624104645789101745[[#This Row],[DISCOUNT]]*_1_541284561214624104645789101745[[#This Row],[DISCOUNT 2]]</f>
        <v>0</v>
      </c>
      <c r="M959" s="194">
        <f>IF(OR(_1_541284561214624104645789101745[[#This Row],[UNIT]]&gt;0,_1_541284561214624104645789101745[[#This Row],[UNIT]]&lt;0),_1_541284561214624104645789101745[[#This Row],[UNIT]]*_1_541284561214624104645789101745[[#This Row],[COST]],0)</f>
        <v>0</v>
      </c>
      <c r="N959" s="194">
        <f t="shared" si="14"/>
        <v>1.5</v>
      </c>
      <c r="O959" s="198">
        <f>_1_541284561214624104645789101745[[#This Row],[TOTAL]]*_1_541284561214624104645789101745[[#This Row],[MARGIN]]</f>
        <v>0</v>
      </c>
      <c r="P959" s="198"/>
      <c r="R959" s="41"/>
    </row>
    <row r="960" spans="4:18">
      <c r="D960" s="188"/>
      <c r="E960" s="42"/>
      <c r="F960" s="168" t="s">
        <v>6202</v>
      </c>
      <c r="G960" s="193">
        <f>IF(_1_541284561214624104645789101745[[#This Row],[Type]]&gt;0,VLOOKUP(_1_541284561214624104645789101745[[#This Row],[Type]],Main[[#All],[TYPE]:[UNIT]],'Unit Price'!C$1,FALSE),0)</f>
        <v>0</v>
      </c>
      <c r="H960" s="197">
        <f>IF(_1_541284561214624104645789101745[[#This Row],[Type]]&gt;0,VLOOKUP(_1_541284561214624104645789101745[[#This Row],[Type]],Main[[#All],[TYPE]:[UNIT]],'Unit Price'!D$1,FALSE),0)</f>
        <v>0</v>
      </c>
      <c r="I960" s="194">
        <f>IF(_1_541284561214624104645789101745[[#This Row],[Type]]&gt;0,VLOOKUP(_1_541284561214624104645789101745[[#This Row],[Type]],Main[[#All],[TYPE]:[UNIT]],'Unit Price'!G$1,FALSE),0)</f>
        <v>0</v>
      </c>
      <c r="J960" s="194">
        <f>IF(_1_541284561214624104645789101745[[#This Row],[Type]]&gt;0,VLOOKUP(_1_541284561214624104645789101745[[#This Row],[Type]],Main[[#All],[TYPE]:[UNIT]],'Unit Price'!H$1,FALSE),0)</f>
        <v>0</v>
      </c>
      <c r="K960" s="194">
        <f>IF(_1_541284561214624104645789101745[[#This Row],[Discount selection]]&gt;0,VLOOKUP(_1_541284561214624104645789101745[[#This Row],[Discount selection]],'Discount Structure'!$A$2:$B$30,2,"false"),0)</f>
        <v>1</v>
      </c>
      <c r="L960" s="194">
        <f>_1_541284561214624104645789101745[[#This Row],[LIST $]]*_1_541284561214624104645789101745[[#This Row],[DISCOUNT]]*_1_541284561214624104645789101745[[#This Row],[DISCOUNT 2]]</f>
        <v>0</v>
      </c>
      <c r="M960" s="194">
        <f>IF(OR(_1_541284561214624104645789101745[[#This Row],[UNIT]]&gt;0,_1_541284561214624104645789101745[[#This Row],[UNIT]]&lt;0),_1_541284561214624104645789101745[[#This Row],[UNIT]]*_1_541284561214624104645789101745[[#This Row],[COST]],0)</f>
        <v>0</v>
      </c>
      <c r="N960" s="194">
        <f t="shared" si="14"/>
        <v>1.5</v>
      </c>
      <c r="O960" s="198">
        <f>_1_541284561214624104645789101745[[#This Row],[TOTAL]]*_1_541284561214624104645789101745[[#This Row],[MARGIN]]</f>
        <v>0</v>
      </c>
      <c r="P960" s="198"/>
      <c r="R960" s="41"/>
    </row>
    <row r="961" spans="4:18">
      <c r="D961" s="188"/>
      <c r="E961" s="42"/>
      <c r="F961" s="168" t="s">
        <v>6202</v>
      </c>
      <c r="G961" s="193">
        <f>IF(_1_541284561214624104645789101745[[#This Row],[Type]]&gt;0,VLOOKUP(_1_541284561214624104645789101745[[#This Row],[Type]],Main[[#All],[TYPE]:[UNIT]],'Unit Price'!C$1,FALSE),0)</f>
        <v>0</v>
      </c>
      <c r="H961" s="197">
        <f>IF(_1_541284561214624104645789101745[[#This Row],[Type]]&gt;0,VLOOKUP(_1_541284561214624104645789101745[[#This Row],[Type]],Main[[#All],[TYPE]:[UNIT]],'Unit Price'!D$1,FALSE),0)</f>
        <v>0</v>
      </c>
      <c r="I961" s="194">
        <f>IF(_1_541284561214624104645789101745[[#This Row],[Type]]&gt;0,VLOOKUP(_1_541284561214624104645789101745[[#This Row],[Type]],Main[[#All],[TYPE]:[UNIT]],'Unit Price'!G$1,FALSE),0)</f>
        <v>0</v>
      </c>
      <c r="J961" s="194">
        <f>IF(_1_541284561214624104645789101745[[#This Row],[Type]]&gt;0,VLOOKUP(_1_541284561214624104645789101745[[#This Row],[Type]],Main[[#All],[TYPE]:[UNIT]],'Unit Price'!H$1,FALSE),0)</f>
        <v>0</v>
      </c>
      <c r="K961" s="194">
        <f>IF(_1_541284561214624104645789101745[[#This Row],[Discount selection]]&gt;0,VLOOKUP(_1_541284561214624104645789101745[[#This Row],[Discount selection]],'Discount Structure'!$A$2:$B$30,2,"false"),0)</f>
        <v>1</v>
      </c>
      <c r="L961" s="194">
        <f>_1_541284561214624104645789101745[[#This Row],[LIST $]]*_1_541284561214624104645789101745[[#This Row],[DISCOUNT]]*_1_541284561214624104645789101745[[#This Row],[DISCOUNT 2]]</f>
        <v>0</v>
      </c>
      <c r="M961" s="194">
        <f>IF(OR(_1_541284561214624104645789101745[[#This Row],[UNIT]]&gt;0,_1_541284561214624104645789101745[[#This Row],[UNIT]]&lt;0),_1_541284561214624104645789101745[[#This Row],[UNIT]]*_1_541284561214624104645789101745[[#This Row],[COST]],0)</f>
        <v>0</v>
      </c>
      <c r="N961" s="194">
        <f t="shared" si="14"/>
        <v>1.5</v>
      </c>
      <c r="O961" s="198">
        <f>_1_541284561214624104645789101745[[#This Row],[TOTAL]]*_1_541284561214624104645789101745[[#This Row],[MARGIN]]</f>
        <v>0</v>
      </c>
      <c r="P961" s="198"/>
      <c r="R961" s="41"/>
    </row>
    <row r="962" spans="4:18">
      <c r="D962" s="188"/>
      <c r="E962" s="42"/>
      <c r="F962" s="168" t="s">
        <v>6202</v>
      </c>
      <c r="G962" s="193">
        <f>IF(_1_541284561214624104645789101745[[#This Row],[Type]]&gt;0,VLOOKUP(_1_541284561214624104645789101745[[#This Row],[Type]],Main[[#All],[TYPE]:[UNIT]],'Unit Price'!C$1,FALSE),0)</f>
        <v>0</v>
      </c>
      <c r="H962" s="197">
        <f>IF(_1_541284561214624104645789101745[[#This Row],[Type]]&gt;0,VLOOKUP(_1_541284561214624104645789101745[[#This Row],[Type]],Main[[#All],[TYPE]:[UNIT]],'Unit Price'!D$1,FALSE),0)</f>
        <v>0</v>
      </c>
      <c r="I962" s="194">
        <f>IF(_1_541284561214624104645789101745[[#This Row],[Type]]&gt;0,VLOOKUP(_1_541284561214624104645789101745[[#This Row],[Type]],Main[[#All],[TYPE]:[UNIT]],'Unit Price'!G$1,FALSE),0)</f>
        <v>0</v>
      </c>
      <c r="J962" s="194">
        <f>IF(_1_541284561214624104645789101745[[#This Row],[Type]]&gt;0,VLOOKUP(_1_541284561214624104645789101745[[#This Row],[Type]],Main[[#All],[TYPE]:[UNIT]],'Unit Price'!H$1,FALSE),0)</f>
        <v>0</v>
      </c>
      <c r="K962" s="194">
        <f>IF(_1_541284561214624104645789101745[[#This Row],[Discount selection]]&gt;0,VLOOKUP(_1_541284561214624104645789101745[[#This Row],[Discount selection]],'Discount Structure'!$A$2:$B$30,2,"false"),0)</f>
        <v>1</v>
      </c>
      <c r="L962" s="194">
        <f>_1_541284561214624104645789101745[[#This Row],[LIST $]]*_1_541284561214624104645789101745[[#This Row],[DISCOUNT]]*_1_541284561214624104645789101745[[#This Row],[DISCOUNT 2]]</f>
        <v>0</v>
      </c>
      <c r="M962" s="194">
        <f>IF(OR(_1_541284561214624104645789101745[[#This Row],[UNIT]]&gt;0,_1_541284561214624104645789101745[[#This Row],[UNIT]]&lt;0),_1_541284561214624104645789101745[[#This Row],[UNIT]]*_1_541284561214624104645789101745[[#This Row],[COST]],0)</f>
        <v>0</v>
      </c>
      <c r="N962" s="194">
        <f t="shared" si="14"/>
        <v>1.5</v>
      </c>
      <c r="O962" s="198">
        <f>_1_541284561214624104645789101745[[#This Row],[TOTAL]]*_1_541284561214624104645789101745[[#This Row],[MARGIN]]</f>
        <v>0</v>
      </c>
      <c r="P962" s="198"/>
      <c r="R962" s="41"/>
    </row>
    <row r="963" spans="4:18">
      <c r="D963" s="188"/>
      <c r="E963" s="42"/>
      <c r="F963" s="168" t="s">
        <v>6202</v>
      </c>
      <c r="G963" s="193">
        <f>IF(_1_541284561214624104645789101745[[#This Row],[Type]]&gt;0,VLOOKUP(_1_541284561214624104645789101745[[#This Row],[Type]],Main[[#All],[TYPE]:[UNIT]],'Unit Price'!C$1,FALSE),0)</f>
        <v>0</v>
      </c>
      <c r="H963" s="197">
        <f>IF(_1_541284561214624104645789101745[[#This Row],[Type]]&gt;0,VLOOKUP(_1_541284561214624104645789101745[[#This Row],[Type]],Main[[#All],[TYPE]:[UNIT]],'Unit Price'!D$1,FALSE),0)</f>
        <v>0</v>
      </c>
      <c r="I963" s="194">
        <f>IF(_1_541284561214624104645789101745[[#This Row],[Type]]&gt;0,VLOOKUP(_1_541284561214624104645789101745[[#This Row],[Type]],Main[[#All],[TYPE]:[UNIT]],'Unit Price'!G$1,FALSE),0)</f>
        <v>0</v>
      </c>
      <c r="J963" s="194">
        <f>IF(_1_541284561214624104645789101745[[#This Row],[Type]]&gt;0,VLOOKUP(_1_541284561214624104645789101745[[#This Row],[Type]],Main[[#All],[TYPE]:[UNIT]],'Unit Price'!H$1,FALSE),0)</f>
        <v>0</v>
      </c>
      <c r="K963" s="194">
        <f>IF(_1_541284561214624104645789101745[[#This Row],[Discount selection]]&gt;0,VLOOKUP(_1_541284561214624104645789101745[[#This Row],[Discount selection]],'Discount Structure'!$A$2:$B$30,2,"false"),0)</f>
        <v>1</v>
      </c>
      <c r="L963" s="194">
        <f>_1_541284561214624104645789101745[[#This Row],[LIST $]]*_1_541284561214624104645789101745[[#This Row],[DISCOUNT]]*_1_541284561214624104645789101745[[#This Row],[DISCOUNT 2]]</f>
        <v>0</v>
      </c>
      <c r="M963" s="194">
        <f>IF(OR(_1_541284561214624104645789101745[[#This Row],[UNIT]]&gt;0,_1_541284561214624104645789101745[[#This Row],[UNIT]]&lt;0),_1_541284561214624104645789101745[[#This Row],[UNIT]]*_1_541284561214624104645789101745[[#This Row],[COST]],0)</f>
        <v>0</v>
      </c>
      <c r="N963" s="194">
        <f t="shared" si="14"/>
        <v>1.5</v>
      </c>
      <c r="O963" s="198">
        <f>_1_541284561214624104645789101745[[#This Row],[TOTAL]]*_1_541284561214624104645789101745[[#This Row],[MARGIN]]</f>
        <v>0</v>
      </c>
      <c r="P963" s="198"/>
      <c r="R963" s="41"/>
    </row>
    <row r="964" spans="4:18">
      <c r="D964" s="188"/>
      <c r="E964" s="42"/>
      <c r="F964" s="168" t="s">
        <v>6202</v>
      </c>
      <c r="G964" s="193">
        <f>IF(_1_541284561214624104645789101745[[#This Row],[Type]]&gt;0,VLOOKUP(_1_541284561214624104645789101745[[#This Row],[Type]],Main[[#All],[TYPE]:[UNIT]],'Unit Price'!C$1,FALSE),0)</f>
        <v>0</v>
      </c>
      <c r="H964" s="197">
        <f>IF(_1_541284561214624104645789101745[[#This Row],[Type]]&gt;0,VLOOKUP(_1_541284561214624104645789101745[[#This Row],[Type]],Main[[#All],[TYPE]:[UNIT]],'Unit Price'!D$1,FALSE),0)</f>
        <v>0</v>
      </c>
      <c r="I964" s="194">
        <f>IF(_1_541284561214624104645789101745[[#This Row],[Type]]&gt;0,VLOOKUP(_1_541284561214624104645789101745[[#This Row],[Type]],Main[[#All],[TYPE]:[UNIT]],'Unit Price'!G$1,FALSE),0)</f>
        <v>0</v>
      </c>
      <c r="J964" s="194">
        <f>IF(_1_541284561214624104645789101745[[#This Row],[Type]]&gt;0,VLOOKUP(_1_541284561214624104645789101745[[#This Row],[Type]],Main[[#All],[TYPE]:[UNIT]],'Unit Price'!H$1,FALSE),0)</f>
        <v>0</v>
      </c>
      <c r="K964" s="194">
        <f>IF(_1_541284561214624104645789101745[[#This Row],[Discount selection]]&gt;0,VLOOKUP(_1_541284561214624104645789101745[[#This Row],[Discount selection]],'Discount Structure'!$A$2:$B$30,2,"false"),0)</f>
        <v>1</v>
      </c>
      <c r="L964" s="194">
        <f>_1_541284561214624104645789101745[[#This Row],[LIST $]]*_1_541284561214624104645789101745[[#This Row],[DISCOUNT]]*_1_541284561214624104645789101745[[#This Row],[DISCOUNT 2]]</f>
        <v>0</v>
      </c>
      <c r="M964" s="194">
        <f>IF(OR(_1_541284561214624104645789101745[[#This Row],[UNIT]]&gt;0,_1_541284561214624104645789101745[[#This Row],[UNIT]]&lt;0),_1_541284561214624104645789101745[[#This Row],[UNIT]]*_1_541284561214624104645789101745[[#This Row],[COST]],0)</f>
        <v>0</v>
      </c>
      <c r="N964" s="194">
        <f t="shared" si="14"/>
        <v>1.5</v>
      </c>
      <c r="O964" s="198">
        <f>_1_541284561214624104645789101745[[#This Row],[TOTAL]]*_1_541284561214624104645789101745[[#This Row],[MARGIN]]</f>
        <v>0</v>
      </c>
      <c r="P964" s="198"/>
      <c r="R964" s="41"/>
    </row>
    <row r="965" spans="4:18">
      <c r="D965" s="188"/>
      <c r="E965" s="42"/>
      <c r="F965" s="168" t="s">
        <v>6202</v>
      </c>
      <c r="G965" s="193">
        <f>IF(_1_541284561214624104645789101745[[#This Row],[Type]]&gt;0,VLOOKUP(_1_541284561214624104645789101745[[#This Row],[Type]],Main[[#All],[TYPE]:[UNIT]],'Unit Price'!C$1,FALSE),0)</f>
        <v>0</v>
      </c>
      <c r="H965" s="197">
        <f>IF(_1_541284561214624104645789101745[[#This Row],[Type]]&gt;0,VLOOKUP(_1_541284561214624104645789101745[[#This Row],[Type]],Main[[#All],[TYPE]:[UNIT]],'Unit Price'!D$1,FALSE),0)</f>
        <v>0</v>
      </c>
      <c r="I965" s="194">
        <f>IF(_1_541284561214624104645789101745[[#This Row],[Type]]&gt;0,VLOOKUP(_1_541284561214624104645789101745[[#This Row],[Type]],Main[[#All],[TYPE]:[UNIT]],'Unit Price'!G$1,FALSE),0)</f>
        <v>0</v>
      </c>
      <c r="J965" s="194">
        <f>IF(_1_541284561214624104645789101745[[#This Row],[Type]]&gt;0,VLOOKUP(_1_541284561214624104645789101745[[#This Row],[Type]],Main[[#All],[TYPE]:[UNIT]],'Unit Price'!H$1,FALSE),0)</f>
        <v>0</v>
      </c>
      <c r="K965" s="194">
        <f>IF(_1_541284561214624104645789101745[[#This Row],[Discount selection]]&gt;0,VLOOKUP(_1_541284561214624104645789101745[[#This Row],[Discount selection]],'Discount Structure'!$A$2:$B$30,2,"false"),0)</f>
        <v>1</v>
      </c>
      <c r="L965" s="194">
        <f>_1_541284561214624104645789101745[[#This Row],[LIST $]]*_1_541284561214624104645789101745[[#This Row],[DISCOUNT]]*_1_541284561214624104645789101745[[#This Row],[DISCOUNT 2]]</f>
        <v>0</v>
      </c>
      <c r="M965" s="194">
        <f>IF(OR(_1_541284561214624104645789101745[[#This Row],[UNIT]]&gt;0,_1_541284561214624104645789101745[[#This Row],[UNIT]]&lt;0),_1_541284561214624104645789101745[[#This Row],[UNIT]]*_1_541284561214624104645789101745[[#This Row],[COST]],0)</f>
        <v>0</v>
      </c>
      <c r="N965" s="194">
        <f t="shared" si="14"/>
        <v>1.5</v>
      </c>
      <c r="O965" s="198">
        <f>_1_541284561214624104645789101745[[#This Row],[TOTAL]]*_1_541284561214624104645789101745[[#This Row],[MARGIN]]</f>
        <v>0</v>
      </c>
      <c r="P965" s="198"/>
      <c r="R965" s="41"/>
    </row>
    <row r="966" spans="4:18">
      <c r="D966" s="188"/>
      <c r="E966" s="42"/>
      <c r="F966" s="168" t="s">
        <v>6202</v>
      </c>
      <c r="G966" s="193">
        <f>IF(_1_541284561214624104645789101745[[#This Row],[Type]]&gt;0,VLOOKUP(_1_541284561214624104645789101745[[#This Row],[Type]],Main[[#All],[TYPE]:[UNIT]],'Unit Price'!C$1,FALSE),0)</f>
        <v>0</v>
      </c>
      <c r="H966" s="197">
        <f>IF(_1_541284561214624104645789101745[[#This Row],[Type]]&gt;0,VLOOKUP(_1_541284561214624104645789101745[[#This Row],[Type]],Main[[#All],[TYPE]:[UNIT]],'Unit Price'!D$1,FALSE),0)</f>
        <v>0</v>
      </c>
      <c r="I966" s="194">
        <f>IF(_1_541284561214624104645789101745[[#This Row],[Type]]&gt;0,VLOOKUP(_1_541284561214624104645789101745[[#This Row],[Type]],Main[[#All],[TYPE]:[UNIT]],'Unit Price'!G$1,FALSE),0)</f>
        <v>0</v>
      </c>
      <c r="J966" s="194">
        <f>IF(_1_541284561214624104645789101745[[#This Row],[Type]]&gt;0,VLOOKUP(_1_541284561214624104645789101745[[#This Row],[Type]],Main[[#All],[TYPE]:[UNIT]],'Unit Price'!H$1,FALSE),0)</f>
        <v>0</v>
      </c>
      <c r="K966" s="194">
        <f>IF(_1_541284561214624104645789101745[[#This Row],[Discount selection]]&gt;0,VLOOKUP(_1_541284561214624104645789101745[[#This Row],[Discount selection]],'Discount Structure'!$A$2:$B$30,2,"false"),0)</f>
        <v>1</v>
      </c>
      <c r="L966" s="194">
        <f>_1_541284561214624104645789101745[[#This Row],[LIST $]]*_1_541284561214624104645789101745[[#This Row],[DISCOUNT]]*_1_541284561214624104645789101745[[#This Row],[DISCOUNT 2]]</f>
        <v>0</v>
      </c>
      <c r="M966" s="194">
        <f>IF(OR(_1_541284561214624104645789101745[[#This Row],[UNIT]]&gt;0,_1_541284561214624104645789101745[[#This Row],[UNIT]]&lt;0),_1_541284561214624104645789101745[[#This Row],[UNIT]]*_1_541284561214624104645789101745[[#This Row],[COST]],0)</f>
        <v>0</v>
      </c>
      <c r="N966" s="194">
        <f t="shared" si="14"/>
        <v>1.5</v>
      </c>
      <c r="O966" s="198">
        <f>_1_541284561214624104645789101745[[#This Row],[TOTAL]]*_1_541284561214624104645789101745[[#This Row],[MARGIN]]</f>
        <v>0</v>
      </c>
      <c r="P966" s="198"/>
      <c r="R966" s="41"/>
    </row>
    <row r="967" spans="4:18">
      <c r="D967" s="188"/>
      <c r="E967" s="42"/>
      <c r="F967" s="168" t="s">
        <v>6202</v>
      </c>
      <c r="G967" s="193">
        <f>IF(_1_541284561214624104645789101745[[#This Row],[Type]]&gt;0,VLOOKUP(_1_541284561214624104645789101745[[#This Row],[Type]],Main[[#All],[TYPE]:[UNIT]],'Unit Price'!C$1,FALSE),0)</f>
        <v>0</v>
      </c>
      <c r="H967" s="197">
        <f>IF(_1_541284561214624104645789101745[[#This Row],[Type]]&gt;0,VLOOKUP(_1_541284561214624104645789101745[[#This Row],[Type]],Main[[#All],[TYPE]:[UNIT]],'Unit Price'!D$1,FALSE),0)</f>
        <v>0</v>
      </c>
      <c r="I967" s="194">
        <f>IF(_1_541284561214624104645789101745[[#This Row],[Type]]&gt;0,VLOOKUP(_1_541284561214624104645789101745[[#This Row],[Type]],Main[[#All],[TYPE]:[UNIT]],'Unit Price'!G$1,FALSE),0)</f>
        <v>0</v>
      </c>
      <c r="J967" s="194">
        <f>IF(_1_541284561214624104645789101745[[#This Row],[Type]]&gt;0,VLOOKUP(_1_541284561214624104645789101745[[#This Row],[Type]],Main[[#All],[TYPE]:[UNIT]],'Unit Price'!H$1,FALSE),0)</f>
        <v>0</v>
      </c>
      <c r="K967" s="194">
        <f>IF(_1_541284561214624104645789101745[[#This Row],[Discount selection]]&gt;0,VLOOKUP(_1_541284561214624104645789101745[[#This Row],[Discount selection]],'Discount Structure'!$A$2:$B$30,2,"false"),0)</f>
        <v>1</v>
      </c>
      <c r="L967" s="194">
        <f>_1_541284561214624104645789101745[[#This Row],[LIST $]]*_1_541284561214624104645789101745[[#This Row],[DISCOUNT]]*_1_541284561214624104645789101745[[#This Row],[DISCOUNT 2]]</f>
        <v>0</v>
      </c>
      <c r="M967" s="194">
        <f>IF(OR(_1_541284561214624104645789101745[[#This Row],[UNIT]]&gt;0,_1_541284561214624104645789101745[[#This Row],[UNIT]]&lt;0),_1_541284561214624104645789101745[[#This Row],[UNIT]]*_1_541284561214624104645789101745[[#This Row],[COST]],0)</f>
        <v>0</v>
      </c>
      <c r="N967" s="194">
        <f t="shared" si="14"/>
        <v>1.5</v>
      </c>
      <c r="O967" s="198">
        <f>_1_541284561214624104645789101745[[#This Row],[TOTAL]]*_1_541284561214624104645789101745[[#This Row],[MARGIN]]</f>
        <v>0</v>
      </c>
      <c r="P967" s="198"/>
      <c r="R967" s="41"/>
    </row>
    <row r="968" spans="4:18">
      <c r="D968" s="188"/>
      <c r="E968" s="42"/>
      <c r="F968" s="168" t="s">
        <v>6202</v>
      </c>
      <c r="G968" s="193">
        <f>IF(_1_541284561214624104645789101745[[#This Row],[Type]]&gt;0,VLOOKUP(_1_541284561214624104645789101745[[#This Row],[Type]],Main[[#All],[TYPE]:[UNIT]],'Unit Price'!C$1,FALSE),0)</f>
        <v>0</v>
      </c>
      <c r="H968" s="197">
        <f>IF(_1_541284561214624104645789101745[[#This Row],[Type]]&gt;0,VLOOKUP(_1_541284561214624104645789101745[[#This Row],[Type]],Main[[#All],[TYPE]:[UNIT]],'Unit Price'!D$1,FALSE),0)</f>
        <v>0</v>
      </c>
      <c r="I968" s="194">
        <f>IF(_1_541284561214624104645789101745[[#This Row],[Type]]&gt;0,VLOOKUP(_1_541284561214624104645789101745[[#This Row],[Type]],Main[[#All],[TYPE]:[UNIT]],'Unit Price'!G$1,FALSE),0)</f>
        <v>0</v>
      </c>
      <c r="J968" s="194">
        <f>IF(_1_541284561214624104645789101745[[#This Row],[Type]]&gt;0,VLOOKUP(_1_541284561214624104645789101745[[#This Row],[Type]],Main[[#All],[TYPE]:[UNIT]],'Unit Price'!H$1,FALSE),0)</f>
        <v>0</v>
      </c>
      <c r="K968" s="194">
        <f>IF(_1_541284561214624104645789101745[[#This Row],[Discount selection]]&gt;0,VLOOKUP(_1_541284561214624104645789101745[[#This Row],[Discount selection]],'Discount Structure'!$A$2:$B$30,2,"false"),0)</f>
        <v>1</v>
      </c>
      <c r="L968" s="194">
        <f>_1_541284561214624104645789101745[[#This Row],[LIST $]]*_1_541284561214624104645789101745[[#This Row],[DISCOUNT]]*_1_541284561214624104645789101745[[#This Row],[DISCOUNT 2]]</f>
        <v>0</v>
      </c>
      <c r="M968" s="194">
        <f>IF(OR(_1_541284561214624104645789101745[[#This Row],[UNIT]]&gt;0,_1_541284561214624104645789101745[[#This Row],[UNIT]]&lt;0),_1_541284561214624104645789101745[[#This Row],[UNIT]]*_1_541284561214624104645789101745[[#This Row],[COST]],0)</f>
        <v>0</v>
      </c>
      <c r="N968" s="194">
        <f t="shared" si="14"/>
        <v>1.5</v>
      </c>
      <c r="O968" s="198">
        <f>_1_541284561214624104645789101745[[#This Row],[TOTAL]]*_1_541284561214624104645789101745[[#This Row],[MARGIN]]</f>
        <v>0</v>
      </c>
      <c r="P968" s="198"/>
      <c r="R968" s="41"/>
    </row>
    <row r="969" spans="4:18">
      <c r="D969" s="188"/>
      <c r="E969" s="42"/>
      <c r="F969" s="168" t="s">
        <v>6202</v>
      </c>
      <c r="G969" s="193">
        <f>IF(_1_541284561214624104645789101745[[#This Row],[Type]]&gt;0,VLOOKUP(_1_541284561214624104645789101745[[#This Row],[Type]],Main[[#All],[TYPE]:[UNIT]],'Unit Price'!C$1,FALSE),0)</f>
        <v>0</v>
      </c>
      <c r="H969" s="197">
        <f>IF(_1_541284561214624104645789101745[[#This Row],[Type]]&gt;0,VLOOKUP(_1_541284561214624104645789101745[[#This Row],[Type]],Main[[#All],[TYPE]:[UNIT]],'Unit Price'!D$1,FALSE),0)</f>
        <v>0</v>
      </c>
      <c r="I969" s="194">
        <f>IF(_1_541284561214624104645789101745[[#This Row],[Type]]&gt;0,VLOOKUP(_1_541284561214624104645789101745[[#This Row],[Type]],Main[[#All],[TYPE]:[UNIT]],'Unit Price'!G$1,FALSE),0)</f>
        <v>0</v>
      </c>
      <c r="J969" s="194">
        <f>IF(_1_541284561214624104645789101745[[#This Row],[Type]]&gt;0,VLOOKUP(_1_541284561214624104645789101745[[#This Row],[Type]],Main[[#All],[TYPE]:[UNIT]],'Unit Price'!H$1,FALSE),0)</f>
        <v>0</v>
      </c>
      <c r="K969" s="194">
        <f>IF(_1_541284561214624104645789101745[[#This Row],[Discount selection]]&gt;0,VLOOKUP(_1_541284561214624104645789101745[[#This Row],[Discount selection]],'Discount Structure'!$A$2:$B$30,2,"false"),0)</f>
        <v>1</v>
      </c>
      <c r="L969" s="194">
        <f>_1_541284561214624104645789101745[[#This Row],[LIST $]]*_1_541284561214624104645789101745[[#This Row],[DISCOUNT]]*_1_541284561214624104645789101745[[#This Row],[DISCOUNT 2]]</f>
        <v>0</v>
      </c>
      <c r="M969" s="194">
        <f>IF(OR(_1_541284561214624104645789101745[[#This Row],[UNIT]]&gt;0,_1_541284561214624104645789101745[[#This Row],[UNIT]]&lt;0),_1_541284561214624104645789101745[[#This Row],[UNIT]]*_1_541284561214624104645789101745[[#This Row],[COST]],0)</f>
        <v>0</v>
      </c>
      <c r="N969" s="194">
        <f t="shared" si="14"/>
        <v>1.5</v>
      </c>
      <c r="O969" s="198">
        <f>_1_541284561214624104645789101745[[#This Row],[TOTAL]]*_1_541284561214624104645789101745[[#This Row],[MARGIN]]</f>
        <v>0</v>
      </c>
      <c r="P969" s="198"/>
      <c r="R969" s="41"/>
    </row>
    <row r="970" spans="4:18">
      <c r="D970" s="188"/>
      <c r="E970" s="42"/>
      <c r="F970" s="168" t="s">
        <v>6202</v>
      </c>
      <c r="G970" s="193">
        <f>IF(_1_541284561214624104645789101745[[#This Row],[Type]]&gt;0,VLOOKUP(_1_541284561214624104645789101745[[#This Row],[Type]],Main[[#All],[TYPE]:[UNIT]],'Unit Price'!C$1,FALSE),0)</f>
        <v>0</v>
      </c>
      <c r="H970" s="197">
        <f>IF(_1_541284561214624104645789101745[[#This Row],[Type]]&gt;0,VLOOKUP(_1_541284561214624104645789101745[[#This Row],[Type]],Main[[#All],[TYPE]:[UNIT]],'Unit Price'!D$1,FALSE),0)</f>
        <v>0</v>
      </c>
      <c r="I970" s="194">
        <f>IF(_1_541284561214624104645789101745[[#This Row],[Type]]&gt;0,VLOOKUP(_1_541284561214624104645789101745[[#This Row],[Type]],Main[[#All],[TYPE]:[UNIT]],'Unit Price'!G$1,FALSE),0)</f>
        <v>0</v>
      </c>
      <c r="J970" s="194">
        <f>IF(_1_541284561214624104645789101745[[#This Row],[Type]]&gt;0,VLOOKUP(_1_541284561214624104645789101745[[#This Row],[Type]],Main[[#All],[TYPE]:[UNIT]],'Unit Price'!H$1,FALSE),0)</f>
        <v>0</v>
      </c>
      <c r="K970" s="194">
        <f>IF(_1_541284561214624104645789101745[[#This Row],[Discount selection]]&gt;0,VLOOKUP(_1_541284561214624104645789101745[[#This Row],[Discount selection]],'Discount Structure'!$A$2:$B$30,2,"false"),0)</f>
        <v>1</v>
      </c>
      <c r="L970" s="194">
        <f>_1_541284561214624104645789101745[[#This Row],[LIST $]]*_1_541284561214624104645789101745[[#This Row],[DISCOUNT]]*_1_541284561214624104645789101745[[#This Row],[DISCOUNT 2]]</f>
        <v>0</v>
      </c>
      <c r="M970" s="194">
        <f>IF(OR(_1_541284561214624104645789101745[[#This Row],[UNIT]]&gt;0,_1_541284561214624104645789101745[[#This Row],[UNIT]]&lt;0),_1_541284561214624104645789101745[[#This Row],[UNIT]]*_1_541284561214624104645789101745[[#This Row],[COST]],0)</f>
        <v>0</v>
      </c>
      <c r="N970" s="194">
        <f t="shared" ref="N970:N999" si="15">$N$7</f>
        <v>1.5</v>
      </c>
      <c r="O970" s="198">
        <f>_1_541284561214624104645789101745[[#This Row],[TOTAL]]*_1_541284561214624104645789101745[[#This Row],[MARGIN]]</f>
        <v>0</v>
      </c>
      <c r="P970" s="198"/>
      <c r="R970" s="41"/>
    </row>
    <row r="971" spans="4:18">
      <c r="D971" s="188"/>
      <c r="E971" s="42"/>
      <c r="F971" s="168" t="s">
        <v>6202</v>
      </c>
      <c r="G971" s="193">
        <f>IF(_1_541284561214624104645789101745[[#This Row],[Type]]&gt;0,VLOOKUP(_1_541284561214624104645789101745[[#This Row],[Type]],Main[[#All],[TYPE]:[UNIT]],'Unit Price'!C$1,FALSE),0)</f>
        <v>0</v>
      </c>
      <c r="H971" s="197">
        <f>IF(_1_541284561214624104645789101745[[#This Row],[Type]]&gt;0,VLOOKUP(_1_541284561214624104645789101745[[#This Row],[Type]],Main[[#All],[TYPE]:[UNIT]],'Unit Price'!D$1,FALSE),0)</f>
        <v>0</v>
      </c>
      <c r="I971" s="194">
        <f>IF(_1_541284561214624104645789101745[[#This Row],[Type]]&gt;0,VLOOKUP(_1_541284561214624104645789101745[[#This Row],[Type]],Main[[#All],[TYPE]:[UNIT]],'Unit Price'!G$1,FALSE),0)</f>
        <v>0</v>
      </c>
      <c r="J971" s="194">
        <f>IF(_1_541284561214624104645789101745[[#This Row],[Type]]&gt;0,VLOOKUP(_1_541284561214624104645789101745[[#This Row],[Type]],Main[[#All],[TYPE]:[UNIT]],'Unit Price'!H$1,FALSE),0)</f>
        <v>0</v>
      </c>
      <c r="K971" s="194">
        <f>IF(_1_541284561214624104645789101745[[#This Row],[Discount selection]]&gt;0,VLOOKUP(_1_541284561214624104645789101745[[#This Row],[Discount selection]],'Discount Structure'!$A$2:$B$30,2,"false"),0)</f>
        <v>1</v>
      </c>
      <c r="L971" s="194">
        <f>_1_541284561214624104645789101745[[#This Row],[LIST $]]*_1_541284561214624104645789101745[[#This Row],[DISCOUNT]]*_1_541284561214624104645789101745[[#This Row],[DISCOUNT 2]]</f>
        <v>0</v>
      </c>
      <c r="M971" s="194">
        <f>IF(OR(_1_541284561214624104645789101745[[#This Row],[UNIT]]&gt;0,_1_541284561214624104645789101745[[#This Row],[UNIT]]&lt;0),_1_541284561214624104645789101745[[#This Row],[UNIT]]*_1_541284561214624104645789101745[[#This Row],[COST]],0)</f>
        <v>0</v>
      </c>
      <c r="N971" s="194">
        <f t="shared" si="15"/>
        <v>1.5</v>
      </c>
      <c r="O971" s="198">
        <f>_1_541284561214624104645789101745[[#This Row],[TOTAL]]*_1_541284561214624104645789101745[[#This Row],[MARGIN]]</f>
        <v>0</v>
      </c>
      <c r="P971" s="198"/>
      <c r="R971" s="41"/>
    </row>
    <row r="972" spans="4:18">
      <c r="D972" s="188"/>
      <c r="E972" s="42"/>
      <c r="F972" s="168" t="s">
        <v>6202</v>
      </c>
      <c r="G972" s="193">
        <f>IF(_1_541284561214624104645789101745[[#This Row],[Type]]&gt;0,VLOOKUP(_1_541284561214624104645789101745[[#This Row],[Type]],Main[[#All],[TYPE]:[UNIT]],'Unit Price'!C$1,FALSE),0)</f>
        <v>0</v>
      </c>
      <c r="H972" s="197">
        <f>IF(_1_541284561214624104645789101745[[#This Row],[Type]]&gt;0,VLOOKUP(_1_541284561214624104645789101745[[#This Row],[Type]],Main[[#All],[TYPE]:[UNIT]],'Unit Price'!D$1,FALSE),0)</f>
        <v>0</v>
      </c>
      <c r="I972" s="194">
        <f>IF(_1_541284561214624104645789101745[[#This Row],[Type]]&gt;0,VLOOKUP(_1_541284561214624104645789101745[[#This Row],[Type]],Main[[#All],[TYPE]:[UNIT]],'Unit Price'!G$1,FALSE),0)</f>
        <v>0</v>
      </c>
      <c r="J972" s="194">
        <f>IF(_1_541284561214624104645789101745[[#This Row],[Type]]&gt;0,VLOOKUP(_1_541284561214624104645789101745[[#This Row],[Type]],Main[[#All],[TYPE]:[UNIT]],'Unit Price'!H$1,FALSE),0)</f>
        <v>0</v>
      </c>
      <c r="K972" s="194">
        <f>IF(_1_541284561214624104645789101745[[#This Row],[Discount selection]]&gt;0,VLOOKUP(_1_541284561214624104645789101745[[#This Row],[Discount selection]],'Discount Structure'!$A$2:$B$30,2,"false"),0)</f>
        <v>1</v>
      </c>
      <c r="L972" s="194">
        <f>_1_541284561214624104645789101745[[#This Row],[LIST $]]*_1_541284561214624104645789101745[[#This Row],[DISCOUNT]]*_1_541284561214624104645789101745[[#This Row],[DISCOUNT 2]]</f>
        <v>0</v>
      </c>
      <c r="M972" s="194">
        <f>IF(OR(_1_541284561214624104645789101745[[#This Row],[UNIT]]&gt;0,_1_541284561214624104645789101745[[#This Row],[UNIT]]&lt;0),_1_541284561214624104645789101745[[#This Row],[UNIT]]*_1_541284561214624104645789101745[[#This Row],[COST]],0)</f>
        <v>0</v>
      </c>
      <c r="N972" s="194">
        <f t="shared" si="15"/>
        <v>1.5</v>
      </c>
      <c r="O972" s="198">
        <f>_1_541284561214624104645789101745[[#This Row],[TOTAL]]*_1_541284561214624104645789101745[[#This Row],[MARGIN]]</f>
        <v>0</v>
      </c>
      <c r="P972" s="198"/>
      <c r="R972" s="41"/>
    </row>
    <row r="973" spans="4:18">
      <c r="D973" s="188"/>
      <c r="E973" s="42"/>
      <c r="F973" s="168" t="s">
        <v>6202</v>
      </c>
      <c r="G973" s="193">
        <f>IF(_1_541284561214624104645789101745[[#This Row],[Type]]&gt;0,VLOOKUP(_1_541284561214624104645789101745[[#This Row],[Type]],Main[[#All],[TYPE]:[UNIT]],'Unit Price'!C$1,FALSE),0)</f>
        <v>0</v>
      </c>
      <c r="H973" s="197">
        <f>IF(_1_541284561214624104645789101745[[#This Row],[Type]]&gt;0,VLOOKUP(_1_541284561214624104645789101745[[#This Row],[Type]],Main[[#All],[TYPE]:[UNIT]],'Unit Price'!D$1,FALSE),0)</f>
        <v>0</v>
      </c>
      <c r="I973" s="194">
        <f>IF(_1_541284561214624104645789101745[[#This Row],[Type]]&gt;0,VLOOKUP(_1_541284561214624104645789101745[[#This Row],[Type]],Main[[#All],[TYPE]:[UNIT]],'Unit Price'!G$1,FALSE),0)</f>
        <v>0</v>
      </c>
      <c r="J973" s="194">
        <f>IF(_1_541284561214624104645789101745[[#This Row],[Type]]&gt;0,VLOOKUP(_1_541284561214624104645789101745[[#This Row],[Type]],Main[[#All],[TYPE]:[UNIT]],'Unit Price'!H$1,FALSE),0)</f>
        <v>0</v>
      </c>
      <c r="K973" s="194">
        <f>IF(_1_541284561214624104645789101745[[#This Row],[Discount selection]]&gt;0,VLOOKUP(_1_541284561214624104645789101745[[#This Row],[Discount selection]],'Discount Structure'!$A$2:$B$30,2,"false"),0)</f>
        <v>1</v>
      </c>
      <c r="L973" s="194">
        <f>_1_541284561214624104645789101745[[#This Row],[LIST $]]*_1_541284561214624104645789101745[[#This Row],[DISCOUNT]]*_1_541284561214624104645789101745[[#This Row],[DISCOUNT 2]]</f>
        <v>0</v>
      </c>
      <c r="M973" s="194">
        <f>IF(OR(_1_541284561214624104645789101745[[#This Row],[UNIT]]&gt;0,_1_541284561214624104645789101745[[#This Row],[UNIT]]&lt;0),_1_541284561214624104645789101745[[#This Row],[UNIT]]*_1_541284561214624104645789101745[[#This Row],[COST]],0)</f>
        <v>0</v>
      </c>
      <c r="N973" s="194">
        <f t="shared" si="15"/>
        <v>1.5</v>
      </c>
      <c r="O973" s="198">
        <f>_1_541284561214624104645789101745[[#This Row],[TOTAL]]*_1_541284561214624104645789101745[[#This Row],[MARGIN]]</f>
        <v>0</v>
      </c>
      <c r="P973" s="198"/>
      <c r="R973" s="41"/>
    </row>
    <row r="974" spans="4:18">
      <c r="D974" s="188"/>
      <c r="E974" s="42"/>
      <c r="F974" s="168" t="s">
        <v>6202</v>
      </c>
      <c r="G974" s="193">
        <f>IF(_1_541284561214624104645789101745[[#This Row],[Type]]&gt;0,VLOOKUP(_1_541284561214624104645789101745[[#This Row],[Type]],Main[[#All],[TYPE]:[UNIT]],'Unit Price'!C$1,FALSE),0)</f>
        <v>0</v>
      </c>
      <c r="H974" s="197">
        <f>IF(_1_541284561214624104645789101745[[#This Row],[Type]]&gt;0,VLOOKUP(_1_541284561214624104645789101745[[#This Row],[Type]],Main[[#All],[TYPE]:[UNIT]],'Unit Price'!D$1,FALSE),0)</f>
        <v>0</v>
      </c>
      <c r="I974" s="194">
        <f>IF(_1_541284561214624104645789101745[[#This Row],[Type]]&gt;0,VLOOKUP(_1_541284561214624104645789101745[[#This Row],[Type]],Main[[#All],[TYPE]:[UNIT]],'Unit Price'!G$1,FALSE),0)</f>
        <v>0</v>
      </c>
      <c r="J974" s="194">
        <f>IF(_1_541284561214624104645789101745[[#This Row],[Type]]&gt;0,VLOOKUP(_1_541284561214624104645789101745[[#This Row],[Type]],Main[[#All],[TYPE]:[UNIT]],'Unit Price'!H$1,FALSE),0)</f>
        <v>0</v>
      </c>
      <c r="K974" s="194">
        <f>IF(_1_541284561214624104645789101745[[#This Row],[Discount selection]]&gt;0,VLOOKUP(_1_541284561214624104645789101745[[#This Row],[Discount selection]],'Discount Structure'!$A$2:$B$30,2,"false"),0)</f>
        <v>1</v>
      </c>
      <c r="L974" s="194">
        <f>_1_541284561214624104645789101745[[#This Row],[LIST $]]*_1_541284561214624104645789101745[[#This Row],[DISCOUNT]]*_1_541284561214624104645789101745[[#This Row],[DISCOUNT 2]]</f>
        <v>0</v>
      </c>
      <c r="M974" s="194">
        <f>IF(OR(_1_541284561214624104645789101745[[#This Row],[UNIT]]&gt;0,_1_541284561214624104645789101745[[#This Row],[UNIT]]&lt;0),_1_541284561214624104645789101745[[#This Row],[UNIT]]*_1_541284561214624104645789101745[[#This Row],[COST]],0)</f>
        <v>0</v>
      </c>
      <c r="N974" s="194">
        <f t="shared" si="15"/>
        <v>1.5</v>
      </c>
      <c r="O974" s="198">
        <f>_1_541284561214624104645789101745[[#This Row],[TOTAL]]*_1_541284561214624104645789101745[[#This Row],[MARGIN]]</f>
        <v>0</v>
      </c>
      <c r="P974" s="198"/>
      <c r="R974" s="41"/>
    </row>
    <row r="975" spans="4:18">
      <c r="D975" s="188"/>
      <c r="E975" s="42"/>
      <c r="F975" s="168" t="s">
        <v>6202</v>
      </c>
      <c r="G975" s="193">
        <f>IF(_1_541284561214624104645789101745[[#This Row],[Type]]&gt;0,VLOOKUP(_1_541284561214624104645789101745[[#This Row],[Type]],Main[[#All],[TYPE]:[UNIT]],'Unit Price'!C$1,FALSE),0)</f>
        <v>0</v>
      </c>
      <c r="H975" s="197">
        <f>IF(_1_541284561214624104645789101745[[#This Row],[Type]]&gt;0,VLOOKUP(_1_541284561214624104645789101745[[#This Row],[Type]],Main[[#All],[TYPE]:[UNIT]],'Unit Price'!D$1,FALSE),0)</f>
        <v>0</v>
      </c>
      <c r="I975" s="194">
        <f>IF(_1_541284561214624104645789101745[[#This Row],[Type]]&gt;0,VLOOKUP(_1_541284561214624104645789101745[[#This Row],[Type]],Main[[#All],[TYPE]:[UNIT]],'Unit Price'!G$1,FALSE),0)</f>
        <v>0</v>
      </c>
      <c r="J975" s="194">
        <f>IF(_1_541284561214624104645789101745[[#This Row],[Type]]&gt;0,VLOOKUP(_1_541284561214624104645789101745[[#This Row],[Type]],Main[[#All],[TYPE]:[UNIT]],'Unit Price'!H$1,FALSE),0)</f>
        <v>0</v>
      </c>
      <c r="K975" s="194">
        <f>IF(_1_541284561214624104645789101745[[#This Row],[Discount selection]]&gt;0,VLOOKUP(_1_541284561214624104645789101745[[#This Row],[Discount selection]],'Discount Structure'!$A$2:$B$30,2,"false"),0)</f>
        <v>1</v>
      </c>
      <c r="L975" s="194">
        <f>_1_541284561214624104645789101745[[#This Row],[LIST $]]*_1_541284561214624104645789101745[[#This Row],[DISCOUNT]]*_1_541284561214624104645789101745[[#This Row],[DISCOUNT 2]]</f>
        <v>0</v>
      </c>
      <c r="M975" s="194">
        <f>IF(OR(_1_541284561214624104645789101745[[#This Row],[UNIT]]&gt;0,_1_541284561214624104645789101745[[#This Row],[UNIT]]&lt;0),_1_541284561214624104645789101745[[#This Row],[UNIT]]*_1_541284561214624104645789101745[[#This Row],[COST]],0)</f>
        <v>0</v>
      </c>
      <c r="N975" s="194">
        <f t="shared" si="15"/>
        <v>1.5</v>
      </c>
      <c r="O975" s="198">
        <f>_1_541284561214624104645789101745[[#This Row],[TOTAL]]*_1_541284561214624104645789101745[[#This Row],[MARGIN]]</f>
        <v>0</v>
      </c>
      <c r="P975" s="198"/>
      <c r="R975" s="41"/>
    </row>
    <row r="976" spans="4:18">
      <c r="D976" s="188"/>
      <c r="E976" s="42"/>
      <c r="F976" s="168" t="s">
        <v>6202</v>
      </c>
      <c r="G976" s="193">
        <f>IF(_1_541284561214624104645789101745[[#This Row],[Type]]&gt;0,VLOOKUP(_1_541284561214624104645789101745[[#This Row],[Type]],Main[[#All],[TYPE]:[UNIT]],'Unit Price'!C$1,FALSE),0)</f>
        <v>0</v>
      </c>
      <c r="H976" s="197">
        <f>IF(_1_541284561214624104645789101745[[#This Row],[Type]]&gt;0,VLOOKUP(_1_541284561214624104645789101745[[#This Row],[Type]],Main[[#All],[TYPE]:[UNIT]],'Unit Price'!D$1,FALSE),0)</f>
        <v>0</v>
      </c>
      <c r="I976" s="194">
        <f>IF(_1_541284561214624104645789101745[[#This Row],[Type]]&gt;0,VLOOKUP(_1_541284561214624104645789101745[[#This Row],[Type]],Main[[#All],[TYPE]:[UNIT]],'Unit Price'!G$1,FALSE),0)</f>
        <v>0</v>
      </c>
      <c r="J976" s="194">
        <f>IF(_1_541284561214624104645789101745[[#This Row],[Type]]&gt;0,VLOOKUP(_1_541284561214624104645789101745[[#This Row],[Type]],Main[[#All],[TYPE]:[UNIT]],'Unit Price'!H$1,FALSE),0)</f>
        <v>0</v>
      </c>
      <c r="K976" s="194">
        <f>IF(_1_541284561214624104645789101745[[#This Row],[Discount selection]]&gt;0,VLOOKUP(_1_541284561214624104645789101745[[#This Row],[Discount selection]],'Discount Structure'!$A$2:$B$30,2,"false"),0)</f>
        <v>1</v>
      </c>
      <c r="L976" s="194">
        <f>_1_541284561214624104645789101745[[#This Row],[LIST $]]*_1_541284561214624104645789101745[[#This Row],[DISCOUNT]]*_1_541284561214624104645789101745[[#This Row],[DISCOUNT 2]]</f>
        <v>0</v>
      </c>
      <c r="M976" s="194">
        <f>IF(OR(_1_541284561214624104645789101745[[#This Row],[UNIT]]&gt;0,_1_541284561214624104645789101745[[#This Row],[UNIT]]&lt;0),_1_541284561214624104645789101745[[#This Row],[UNIT]]*_1_541284561214624104645789101745[[#This Row],[COST]],0)</f>
        <v>0</v>
      </c>
      <c r="N976" s="194">
        <f t="shared" si="15"/>
        <v>1.5</v>
      </c>
      <c r="O976" s="198">
        <f>_1_541284561214624104645789101745[[#This Row],[TOTAL]]*_1_541284561214624104645789101745[[#This Row],[MARGIN]]</f>
        <v>0</v>
      </c>
      <c r="P976" s="198"/>
      <c r="R976" s="41"/>
    </row>
    <row r="977" spans="4:18">
      <c r="D977" s="188"/>
      <c r="E977" s="42"/>
      <c r="F977" s="168" t="s">
        <v>6202</v>
      </c>
      <c r="G977" s="193">
        <f>IF(_1_541284561214624104645789101745[[#This Row],[Type]]&gt;0,VLOOKUP(_1_541284561214624104645789101745[[#This Row],[Type]],Main[[#All],[TYPE]:[UNIT]],'Unit Price'!C$1,FALSE),0)</f>
        <v>0</v>
      </c>
      <c r="H977" s="197">
        <f>IF(_1_541284561214624104645789101745[[#This Row],[Type]]&gt;0,VLOOKUP(_1_541284561214624104645789101745[[#This Row],[Type]],Main[[#All],[TYPE]:[UNIT]],'Unit Price'!D$1,FALSE),0)</f>
        <v>0</v>
      </c>
      <c r="I977" s="194">
        <f>IF(_1_541284561214624104645789101745[[#This Row],[Type]]&gt;0,VLOOKUP(_1_541284561214624104645789101745[[#This Row],[Type]],Main[[#All],[TYPE]:[UNIT]],'Unit Price'!G$1,FALSE),0)</f>
        <v>0</v>
      </c>
      <c r="J977" s="194">
        <f>IF(_1_541284561214624104645789101745[[#This Row],[Type]]&gt;0,VLOOKUP(_1_541284561214624104645789101745[[#This Row],[Type]],Main[[#All],[TYPE]:[UNIT]],'Unit Price'!H$1,FALSE),0)</f>
        <v>0</v>
      </c>
      <c r="K977" s="194">
        <f>IF(_1_541284561214624104645789101745[[#This Row],[Discount selection]]&gt;0,VLOOKUP(_1_541284561214624104645789101745[[#This Row],[Discount selection]],'Discount Structure'!$A$2:$B$30,2,"false"),0)</f>
        <v>1</v>
      </c>
      <c r="L977" s="194">
        <f>_1_541284561214624104645789101745[[#This Row],[LIST $]]*_1_541284561214624104645789101745[[#This Row],[DISCOUNT]]*_1_541284561214624104645789101745[[#This Row],[DISCOUNT 2]]</f>
        <v>0</v>
      </c>
      <c r="M977" s="194">
        <f>IF(OR(_1_541284561214624104645789101745[[#This Row],[UNIT]]&gt;0,_1_541284561214624104645789101745[[#This Row],[UNIT]]&lt;0),_1_541284561214624104645789101745[[#This Row],[UNIT]]*_1_541284561214624104645789101745[[#This Row],[COST]],0)</f>
        <v>0</v>
      </c>
      <c r="N977" s="194">
        <f t="shared" si="15"/>
        <v>1.5</v>
      </c>
      <c r="O977" s="198">
        <f>_1_541284561214624104645789101745[[#This Row],[TOTAL]]*_1_541284561214624104645789101745[[#This Row],[MARGIN]]</f>
        <v>0</v>
      </c>
      <c r="P977" s="198"/>
      <c r="R977" s="41"/>
    </row>
    <row r="978" spans="4:18">
      <c r="D978" s="188"/>
      <c r="E978" s="42"/>
      <c r="F978" s="168" t="s">
        <v>6202</v>
      </c>
      <c r="G978" s="193">
        <f>IF(_1_541284561214624104645789101745[[#This Row],[Type]]&gt;0,VLOOKUP(_1_541284561214624104645789101745[[#This Row],[Type]],Main[[#All],[TYPE]:[UNIT]],'Unit Price'!C$1,FALSE),0)</f>
        <v>0</v>
      </c>
      <c r="H978" s="197">
        <f>IF(_1_541284561214624104645789101745[[#This Row],[Type]]&gt;0,VLOOKUP(_1_541284561214624104645789101745[[#This Row],[Type]],Main[[#All],[TYPE]:[UNIT]],'Unit Price'!D$1,FALSE),0)</f>
        <v>0</v>
      </c>
      <c r="I978" s="194">
        <f>IF(_1_541284561214624104645789101745[[#This Row],[Type]]&gt;0,VLOOKUP(_1_541284561214624104645789101745[[#This Row],[Type]],Main[[#All],[TYPE]:[UNIT]],'Unit Price'!G$1,FALSE),0)</f>
        <v>0</v>
      </c>
      <c r="J978" s="194">
        <f>IF(_1_541284561214624104645789101745[[#This Row],[Type]]&gt;0,VLOOKUP(_1_541284561214624104645789101745[[#This Row],[Type]],Main[[#All],[TYPE]:[UNIT]],'Unit Price'!H$1,FALSE),0)</f>
        <v>0</v>
      </c>
      <c r="K978" s="194">
        <f>IF(_1_541284561214624104645789101745[[#This Row],[Discount selection]]&gt;0,VLOOKUP(_1_541284561214624104645789101745[[#This Row],[Discount selection]],'Discount Structure'!$A$2:$B$30,2,"false"),0)</f>
        <v>1</v>
      </c>
      <c r="L978" s="194">
        <f>_1_541284561214624104645789101745[[#This Row],[LIST $]]*_1_541284561214624104645789101745[[#This Row],[DISCOUNT]]*_1_541284561214624104645789101745[[#This Row],[DISCOUNT 2]]</f>
        <v>0</v>
      </c>
      <c r="M978" s="194">
        <f>IF(OR(_1_541284561214624104645789101745[[#This Row],[UNIT]]&gt;0,_1_541284561214624104645789101745[[#This Row],[UNIT]]&lt;0),_1_541284561214624104645789101745[[#This Row],[UNIT]]*_1_541284561214624104645789101745[[#This Row],[COST]],0)</f>
        <v>0</v>
      </c>
      <c r="N978" s="194">
        <f t="shared" si="15"/>
        <v>1.5</v>
      </c>
      <c r="O978" s="198">
        <f>_1_541284561214624104645789101745[[#This Row],[TOTAL]]*_1_541284561214624104645789101745[[#This Row],[MARGIN]]</f>
        <v>0</v>
      </c>
      <c r="P978" s="198"/>
      <c r="R978" s="41"/>
    </row>
    <row r="979" spans="4:18">
      <c r="D979" s="188"/>
      <c r="E979" s="42"/>
      <c r="F979" s="168" t="s">
        <v>6202</v>
      </c>
      <c r="G979" s="193">
        <f>IF(_1_541284561214624104645789101745[[#This Row],[Type]]&gt;0,VLOOKUP(_1_541284561214624104645789101745[[#This Row],[Type]],Main[[#All],[TYPE]:[UNIT]],'Unit Price'!C$1,FALSE),0)</f>
        <v>0</v>
      </c>
      <c r="H979" s="197">
        <f>IF(_1_541284561214624104645789101745[[#This Row],[Type]]&gt;0,VLOOKUP(_1_541284561214624104645789101745[[#This Row],[Type]],Main[[#All],[TYPE]:[UNIT]],'Unit Price'!D$1,FALSE),0)</f>
        <v>0</v>
      </c>
      <c r="I979" s="194">
        <f>IF(_1_541284561214624104645789101745[[#This Row],[Type]]&gt;0,VLOOKUP(_1_541284561214624104645789101745[[#This Row],[Type]],Main[[#All],[TYPE]:[UNIT]],'Unit Price'!G$1,FALSE),0)</f>
        <v>0</v>
      </c>
      <c r="J979" s="194">
        <f>IF(_1_541284561214624104645789101745[[#This Row],[Type]]&gt;0,VLOOKUP(_1_541284561214624104645789101745[[#This Row],[Type]],Main[[#All],[TYPE]:[UNIT]],'Unit Price'!H$1,FALSE),0)</f>
        <v>0</v>
      </c>
      <c r="K979" s="194">
        <f>IF(_1_541284561214624104645789101745[[#This Row],[Discount selection]]&gt;0,VLOOKUP(_1_541284561214624104645789101745[[#This Row],[Discount selection]],'Discount Structure'!$A$2:$B$30,2,"false"),0)</f>
        <v>1</v>
      </c>
      <c r="L979" s="194">
        <f>_1_541284561214624104645789101745[[#This Row],[LIST $]]*_1_541284561214624104645789101745[[#This Row],[DISCOUNT]]*_1_541284561214624104645789101745[[#This Row],[DISCOUNT 2]]</f>
        <v>0</v>
      </c>
      <c r="M979" s="194">
        <f>IF(OR(_1_541284561214624104645789101745[[#This Row],[UNIT]]&gt;0,_1_541284561214624104645789101745[[#This Row],[UNIT]]&lt;0),_1_541284561214624104645789101745[[#This Row],[UNIT]]*_1_541284561214624104645789101745[[#This Row],[COST]],0)</f>
        <v>0</v>
      </c>
      <c r="N979" s="194">
        <f t="shared" si="15"/>
        <v>1.5</v>
      </c>
      <c r="O979" s="198">
        <f>_1_541284561214624104645789101745[[#This Row],[TOTAL]]*_1_541284561214624104645789101745[[#This Row],[MARGIN]]</f>
        <v>0</v>
      </c>
      <c r="P979" s="198"/>
      <c r="R979" s="41"/>
    </row>
    <row r="980" spans="4:18">
      <c r="D980" s="188"/>
      <c r="E980" s="42"/>
      <c r="F980" s="168" t="s">
        <v>6202</v>
      </c>
      <c r="G980" s="193">
        <f>IF(_1_541284561214624104645789101745[[#This Row],[Type]]&gt;0,VLOOKUP(_1_541284561214624104645789101745[[#This Row],[Type]],Main[[#All],[TYPE]:[UNIT]],'Unit Price'!C$1,FALSE),0)</f>
        <v>0</v>
      </c>
      <c r="H980" s="197">
        <f>IF(_1_541284561214624104645789101745[[#This Row],[Type]]&gt;0,VLOOKUP(_1_541284561214624104645789101745[[#This Row],[Type]],Main[[#All],[TYPE]:[UNIT]],'Unit Price'!D$1,FALSE),0)</f>
        <v>0</v>
      </c>
      <c r="I980" s="194">
        <f>IF(_1_541284561214624104645789101745[[#This Row],[Type]]&gt;0,VLOOKUP(_1_541284561214624104645789101745[[#This Row],[Type]],Main[[#All],[TYPE]:[UNIT]],'Unit Price'!G$1,FALSE),0)</f>
        <v>0</v>
      </c>
      <c r="J980" s="194">
        <f>IF(_1_541284561214624104645789101745[[#This Row],[Type]]&gt;0,VLOOKUP(_1_541284561214624104645789101745[[#This Row],[Type]],Main[[#All],[TYPE]:[UNIT]],'Unit Price'!H$1,FALSE),0)</f>
        <v>0</v>
      </c>
      <c r="K980" s="194">
        <f>IF(_1_541284561214624104645789101745[[#This Row],[Discount selection]]&gt;0,VLOOKUP(_1_541284561214624104645789101745[[#This Row],[Discount selection]],'Discount Structure'!$A$2:$B$30,2,"false"),0)</f>
        <v>1</v>
      </c>
      <c r="L980" s="194">
        <f>_1_541284561214624104645789101745[[#This Row],[LIST $]]*_1_541284561214624104645789101745[[#This Row],[DISCOUNT]]*_1_541284561214624104645789101745[[#This Row],[DISCOUNT 2]]</f>
        <v>0</v>
      </c>
      <c r="M980" s="194">
        <f>IF(OR(_1_541284561214624104645789101745[[#This Row],[UNIT]]&gt;0,_1_541284561214624104645789101745[[#This Row],[UNIT]]&lt;0),_1_541284561214624104645789101745[[#This Row],[UNIT]]*_1_541284561214624104645789101745[[#This Row],[COST]],0)</f>
        <v>0</v>
      </c>
      <c r="N980" s="194">
        <f t="shared" si="15"/>
        <v>1.5</v>
      </c>
      <c r="O980" s="198">
        <f>_1_541284561214624104645789101745[[#This Row],[TOTAL]]*_1_541284561214624104645789101745[[#This Row],[MARGIN]]</f>
        <v>0</v>
      </c>
      <c r="P980" s="198"/>
      <c r="R980" s="41"/>
    </row>
    <row r="981" spans="4:18">
      <c r="D981" s="188"/>
      <c r="E981" s="42"/>
      <c r="F981" s="168" t="s">
        <v>6202</v>
      </c>
      <c r="G981" s="193">
        <f>IF(_1_541284561214624104645789101745[[#This Row],[Type]]&gt;0,VLOOKUP(_1_541284561214624104645789101745[[#This Row],[Type]],Main[[#All],[TYPE]:[UNIT]],'Unit Price'!C$1,FALSE),0)</f>
        <v>0</v>
      </c>
      <c r="H981" s="197">
        <f>IF(_1_541284561214624104645789101745[[#This Row],[Type]]&gt;0,VLOOKUP(_1_541284561214624104645789101745[[#This Row],[Type]],Main[[#All],[TYPE]:[UNIT]],'Unit Price'!D$1,FALSE),0)</f>
        <v>0</v>
      </c>
      <c r="I981" s="194">
        <f>IF(_1_541284561214624104645789101745[[#This Row],[Type]]&gt;0,VLOOKUP(_1_541284561214624104645789101745[[#This Row],[Type]],Main[[#All],[TYPE]:[UNIT]],'Unit Price'!G$1,FALSE),0)</f>
        <v>0</v>
      </c>
      <c r="J981" s="194">
        <f>IF(_1_541284561214624104645789101745[[#This Row],[Type]]&gt;0,VLOOKUP(_1_541284561214624104645789101745[[#This Row],[Type]],Main[[#All],[TYPE]:[UNIT]],'Unit Price'!H$1,FALSE),0)</f>
        <v>0</v>
      </c>
      <c r="K981" s="194">
        <f>IF(_1_541284561214624104645789101745[[#This Row],[Discount selection]]&gt;0,VLOOKUP(_1_541284561214624104645789101745[[#This Row],[Discount selection]],'Discount Structure'!$A$2:$B$30,2,"false"),0)</f>
        <v>1</v>
      </c>
      <c r="L981" s="194">
        <f>_1_541284561214624104645789101745[[#This Row],[LIST $]]*_1_541284561214624104645789101745[[#This Row],[DISCOUNT]]*_1_541284561214624104645789101745[[#This Row],[DISCOUNT 2]]</f>
        <v>0</v>
      </c>
      <c r="M981" s="194">
        <f>IF(OR(_1_541284561214624104645789101745[[#This Row],[UNIT]]&gt;0,_1_541284561214624104645789101745[[#This Row],[UNIT]]&lt;0),_1_541284561214624104645789101745[[#This Row],[UNIT]]*_1_541284561214624104645789101745[[#This Row],[COST]],0)</f>
        <v>0</v>
      </c>
      <c r="N981" s="194">
        <f t="shared" si="15"/>
        <v>1.5</v>
      </c>
      <c r="O981" s="198">
        <f>_1_541284561214624104645789101745[[#This Row],[TOTAL]]*_1_541284561214624104645789101745[[#This Row],[MARGIN]]</f>
        <v>0</v>
      </c>
      <c r="P981" s="198"/>
      <c r="R981" s="41"/>
    </row>
    <row r="982" spans="4:18">
      <c r="D982" s="188"/>
      <c r="E982" s="42"/>
      <c r="F982" s="168" t="s">
        <v>6202</v>
      </c>
      <c r="G982" s="193">
        <f>IF(_1_541284561214624104645789101745[[#This Row],[Type]]&gt;0,VLOOKUP(_1_541284561214624104645789101745[[#This Row],[Type]],Main[[#All],[TYPE]:[UNIT]],'Unit Price'!C$1,FALSE),0)</f>
        <v>0</v>
      </c>
      <c r="H982" s="197">
        <f>IF(_1_541284561214624104645789101745[[#This Row],[Type]]&gt;0,VLOOKUP(_1_541284561214624104645789101745[[#This Row],[Type]],Main[[#All],[TYPE]:[UNIT]],'Unit Price'!D$1,FALSE),0)</f>
        <v>0</v>
      </c>
      <c r="I982" s="194">
        <f>IF(_1_541284561214624104645789101745[[#This Row],[Type]]&gt;0,VLOOKUP(_1_541284561214624104645789101745[[#This Row],[Type]],Main[[#All],[TYPE]:[UNIT]],'Unit Price'!G$1,FALSE),0)</f>
        <v>0</v>
      </c>
      <c r="J982" s="194">
        <f>IF(_1_541284561214624104645789101745[[#This Row],[Type]]&gt;0,VLOOKUP(_1_541284561214624104645789101745[[#This Row],[Type]],Main[[#All],[TYPE]:[UNIT]],'Unit Price'!H$1,FALSE),0)</f>
        <v>0</v>
      </c>
      <c r="K982" s="194">
        <f>IF(_1_541284561214624104645789101745[[#This Row],[Discount selection]]&gt;0,VLOOKUP(_1_541284561214624104645789101745[[#This Row],[Discount selection]],'Discount Structure'!$A$2:$B$30,2,"false"),0)</f>
        <v>1</v>
      </c>
      <c r="L982" s="194">
        <f>_1_541284561214624104645789101745[[#This Row],[LIST $]]*_1_541284561214624104645789101745[[#This Row],[DISCOUNT]]*_1_541284561214624104645789101745[[#This Row],[DISCOUNT 2]]</f>
        <v>0</v>
      </c>
      <c r="M982" s="194">
        <f>IF(OR(_1_541284561214624104645789101745[[#This Row],[UNIT]]&gt;0,_1_541284561214624104645789101745[[#This Row],[UNIT]]&lt;0),_1_541284561214624104645789101745[[#This Row],[UNIT]]*_1_541284561214624104645789101745[[#This Row],[COST]],0)</f>
        <v>0</v>
      </c>
      <c r="N982" s="194">
        <f t="shared" si="15"/>
        <v>1.5</v>
      </c>
      <c r="O982" s="198">
        <f>_1_541284561214624104645789101745[[#This Row],[TOTAL]]*_1_541284561214624104645789101745[[#This Row],[MARGIN]]</f>
        <v>0</v>
      </c>
      <c r="P982" s="198"/>
      <c r="R982" s="41"/>
    </row>
    <row r="983" spans="4:18">
      <c r="D983" s="188"/>
      <c r="E983" s="42"/>
      <c r="F983" s="168" t="s">
        <v>6202</v>
      </c>
      <c r="G983" s="193">
        <f>IF(_1_541284561214624104645789101745[[#This Row],[Type]]&gt;0,VLOOKUP(_1_541284561214624104645789101745[[#This Row],[Type]],Main[[#All],[TYPE]:[UNIT]],'Unit Price'!C$1,FALSE),0)</f>
        <v>0</v>
      </c>
      <c r="H983" s="197">
        <f>IF(_1_541284561214624104645789101745[[#This Row],[Type]]&gt;0,VLOOKUP(_1_541284561214624104645789101745[[#This Row],[Type]],Main[[#All],[TYPE]:[UNIT]],'Unit Price'!D$1,FALSE),0)</f>
        <v>0</v>
      </c>
      <c r="I983" s="194">
        <f>IF(_1_541284561214624104645789101745[[#This Row],[Type]]&gt;0,VLOOKUP(_1_541284561214624104645789101745[[#This Row],[Type]],Main[[#All],[TYPE]:[UNIT]],'Unit Price'!G$1,FALSE),0)</f>
        <v>0</v>
      </c>
      <c r="J983" s="194">
        <f>IF(_1_541284561214624104645789101745[[#This Row],[Type]]&gt;0,VLOOKUP(_1_541284561214624104645789101745[[#This Row],[Type]],Main[[#All],[TYPE]:[UNIT]],'Unit Price'!H$1,FALSE),0)</f>
        <v>0</v>
      </c>
      <c r="K983" s="194">
        <f>IF(_1_541284561214624104645789101745[[#This Row],[Discount selection]]&gt;0,VLOOKUP(_1_541284561214624104645789101745[[#This Row],[Discount selection]],'Discount Structure'!$A$2:$B$30,2,"false"),0)</f>
        <v>1</v>
      </c>
      <c r="L983" s="194">
        <f>_1_541284561214624104645789101745[[#This Row],[LIST $]]*_1_541284561214624104645789101745[[#This Row],[DISCOUNT]]*_1_541284561214624104645789101745[[#This Row],[DISCOUNT 2]]</f>
        <v>0</v>
      </c>
      <c r="M983" s="194">
        <f>IF(OR(_1_541284561214624104645789101745[[#This Row],[UNIT]]&gt;0,_1_541284561214624104645789101745[[#This Row],[UNIT]]&lt;0),_1_541284561214624104645789101745[[#This Row],[UNIT]]*_1_541284561214624104645789101745[[#This Row],[COST]],0)</f>
        <v>0</v>
      </c>
      <c r="N983" s="194">
        <f t="shared" si="15"/>
        <v>1.5</v>
      </c>
      <c r="O983" s="198">
        <f>_1_541284561214624104645789101745[[#This Row],[TOTAL]]*_1_541284561214624104645789101745[[#This Row],[MARGIN]]</f>
        <v>0</v>
      </c>
      <c r="P983" s="198"/>
      <c r="R983" s="41"/>
    </row>
    <row r="984" spans="4:18">
      <c r="D984" s="188"/>
      <c r="E984" s="42"/>
      <c r="F984" s="168" t="s">
        <v>6202</v>
      </c>
      <c r="G984" s="193">
        <f>IF(_1_541284561214624104645789101745[[#This Row],[Type]]&gt;0,VLOOKUP(_1_541284561214624104645789101745[[#This Row],[Type]],Main[[#All],[TYPE]:[UNIT]],'Unit Price'!C$1,FALSE),0)</f>
        <v>0</v>
      </c>
      <c r="H984" s="197">
        <f>IF(_1_541284561214624104645789101745[[#This Row],[Type]]&gt;0,VLOOKUP(_1_541284561214624104645789101745[[#This Row],[Type]],Main[[#All],[TYPE]:[UNIT]],'Unit Price'!D$1,FALSE),0)</f>
        <v>0</v>
      </c>
      <c r="I984" s="194">
        <f>IF(_1_541284561214624104645789101745[[#This Row],[Type]]&gt;0,VLOOKUP(_1_541284561214624104645789101745[[#This Row],[Type]],Main[[#All],[TYPE]:[UNIT]],'Unit Price'!G$1,FALSE),0)</f>
        <v>0</v>
      </c>
      <c r="J984" s="194">
        <f>IF(_1_541284561214624104645789101745[[#This Row],[Type]]&gt;0,VLOOKUP(_1_541284561214624104645789101745[[#This Row],[Type]],Main[[#All],[TYPE]:[UNIT]],'Unit Price'!H$1,FALSE),0)</f>
        <v>0</v>
      </c>
      <c r="K984" s="194">
        <f>IF(_1_541284561214624104645789101745[[#This Row],[Discount selection]]&gt;0,VLOOKUP(_1_541284561214624104645789101745[[#This Row],[Discount selection]],'Discount Structure'!$A$2:$B$30,2,"false"),0)</f>
        <v>1</v>
      </c>
      <c r="L984" s="194">
        <f>_1_541284561214624104645789101745[[#This Row],[LIST $]]*_1_541284561214624104645789101745[[#This Row],[DISCOUNT]]*_1_541284561214624104645789101745[[#This Row],[DISCOUNT 2]]</f>
        <v>0</v>
      </c>
      <c r="M984" s="194">
        <f>IF(OR(_1_541284561214624104645789101745[[#This Row],[UNIT]]&gt;0,_1_541284561214624104645789101745[[#This Row],[UNIT]]&lt;0),_1_541284561214624104645789101745[[#This Row],[UNIT]]*_1_541284561214624104645789101745[[#This Row],[COST]],0)</f>
        <v>0</v>
      </c>
      <c r="N984" s="194">
        <f t="shared" si="15"/>
        <v>1.5</v>
      </c>
      <c r="O984" s="198">
        <f>_1_541284561214624104645789101745[[#This Row],[TOTAL]]*_1_541284561214624104645789101745[[#This Row],[MARGIN]]</f>
        <v>0</v>
      </c>
      <c r="P984" s="198"/>
      <c r="R984" s="41"/>
    </row>
    <row r="985" spans="4:18">
      <c r="D985" s="188"/>
      <c r="E985" s="42"/>
      <c r="F985" s="168" t="s">
        <v>6202</v>
      </c>
      <c r="G985" s="193">
        <f>IF(_1_541284561214624104645789101745[[#This Row],[Type]]&gt;0,VLOOKUP(_1_541284561214624104645789101745[[#This Row],[Type]],Main[[#All],[TYPE]:[UNIT]],'Unit Price'!C$1,FALSE),0)</f>
        <v>0</v>
      </c>
      <c r="H985" s="197">
        <f>IF(_1_541284561214624104645789101745[[#This Row],[Type]]&gt;0,VLOOKUP(_1_541284561214624104645789101745[[#This Row],[Type]],Main[[#All],[TYPE]:[UNIT]],'Unit Price'!D$1,FALSE),0)</f>
        <v>0</v>
      </c>
      <c r="I985" s="194">
        <f>IF(_1_541284561214624104645789101745[[#This Row],[Type]]&gt;0,VLOOKUP(_1_541284561214624104645789101745[[#This Row],[Type]],Main[[#All],[TYPE]:[UNIT]],'Unit Price'!G$1,FALSE),0)</f>
        <v>0</v>
      </c>
      <c r="J985" s="194">
        <f>IF(_1_541284561214624104645789101745[[#This Row],[Type]]&gt;0,VLOOKUP(_1_541284561214624104645789101745[[#This Row],[Type]],Main[[#All],[TYPE]:[UNIT]],'Unit Price'!H$1,FALSE),0)</f>
        <v>0</v>
      </c>
      <c r="K985" s="194">
        <f>IF(_1_541284561214624104645789101745[[#This Row],[Discount selection]]&gt;0,VLOOKUP(_1_541284561214624104645789101745[[#This Row],[Discount selection]],'Discount Structure'!$A$2:$B$30,2,"false"),0)</f>
        <v>1</v>
      </c>
      <c r="L985" s="194">
        <f>_1_541284561214624104645789101745[[#This Row],[LIST $]]*_1_541284561214624104645789101745[[#This Row],[DISCOUNT]]*_1_541284561214624104645789101745[[#This Row],[DISCOUNT 2]]</f>
        <v>0</v>
      </c>
      <c r="M985" s="194">
        <f>IF(OR(_1_541284561214624104645789101745[[#This Row],[UNIT]]&gt;0,_1_541284561214624104645789101745[[#This Row],[UNIT]]&lt;0),_1_541284561214624104645789101745[[#This Row],[UNIT]]*_1_541284561214624104645789101745[[#This Row],[COST]],0)</f>
        <v>0</v>
      </c>
      <c r="N985" s="194">
        <f t="shared" si="15"/>
        <v>1.5</v>
      </c>
      <c r="O985" s="198">
        <f>_1_541284561214624104645789101745[[#This Row],[TOTAL]]*_1_541284561214624104645789101745[[#This Row],[MARGIN]]</f>
        <v>0</v>
      </c>
      <c r="P985" s="198"/>
      <c r="R985" s="41"/>
    </row>
    <row r="986" spans="4:18">
      <c r="D986" s="188"/>
      <c r="E986" s="42"/>
      <c r="F986" s="168" t="s">
        <v>6202</v>
      </c>
      <c r="G986" s="193">
        <f>IF(_1_541284561214624104645789101745[[#This Row],[Type]]&gt;0,VLOOKUP(_1_541284561214624104645789101745[[#This Row],[Type]],Main[[#All],[TYPE]:[UNIT]],'Unit Price'!C$1,FALSE),0)</f>
        <v>0</v>
      </c>
      <c r="H986" s="197">
        <f>IF(_1_541284561214624104645789101745[[#This Row],[Type]]&gt;0,VLOOKUP(_1_541284561214624104645789101745[[#This Row],[Type]],Main[[#All],[TYPE]:[UNIT]],'Unit Price'!D$1,FALSE),0)</f>
        <v>0</v>
      </c>
      <c r="I986" s="194">
        <f>IF(_1_541284561214624104645789101745[[#This Row],[Type]]&gt;0,VLOOKUP(_1_541284561214624104645789101745[[#This Row],[Type]],Main[[#All],[TYPE]:[UNIT]],'Unit Price'!G$1,FALSE),0)</f>
        <v>0</v>
      </c>
      <c r="J986" s="194">
        <f>IF(_1_541284561214624104645789101745[[#This Row],[Type]]&gt;0,VLOOKUP(_1_541284561214624104645789101745[[#This Row],[Type]],Main[[#All],[TYPE]:[UNIT]],'Unit Price'!H$1,FALSE),0)</f>
        <v>0</v>
      </c>
      <c r="K986" s="194">
        <f>IF(_1_541284561214624104645789101745[[#This Row],[Discount selection]]&gt;0,VLOOKUP(_1_541284561214624104645789101745[[#This Row],[Discount selection]],'Discount Structure'!$A$2:$B$30,2,"false"),0)</f>
        <v>1</v>
      </c>
      <c r="L986" s="194">
        <f>_1_541284561214624104645789101745[[#This Row],[LIST $]]*_1_541284561214624104645789101745[[#This Row],[DISCOUNT]]*_1_541284561214624104645789101745[[#This Row],[DISCOUNT 2]]</f>
        <v>0</v>
      </c>
      <c r="M986" s="194">
        <f>IF(OR(_1_541284561214624104645789101745[[#This Row],[UNIT]]&gt;0,_1_541284561214624104645789101745[[#This Row],[UNIT]]&lt;0),_1_541284561214624104645789101745[[#This Row],[UNIT]]*_1_541284561214624104645789101745[[#This Row],[COST]],0)</f>
        <v>0</v>
      </c>
      <c r="N986" s="194">
        <f t="shared" si="15"/>
        <v>1.5</v>
      </c>
      <c r="O986" s="198">
        <f>_1_541284561214624104645789101745[[#This Row],[TOTAL]]*_1_541284561214624104645789101745[[#This Row],[MARGIN]]</f>
        <v>0</v>
      </c>
      <c r="P986" s="198"/>
      <c r="R986" s="41"/>
    </row>
    <row r="987" spans="4:18">
      <c r="D987" s="188"/>
      <c r="E987" s="42"/>
      <c r="F987" s="168" t="s">
        <v>6202</v>
      </c>
      <c r="G987" s="193">
        <f>IF(_1_541284561214624104645789101745[[#This Row],[Type]]&gt;0,VLOOKUP(_1_541284561214624104645789101745[[#This Row],[Type]],Main[[#All],[TYPE]:[UNIT]],'Unit Price'!C$1,FALSE),0)</f>
        <v>0</v>
      </c>
      <c r="H987" s="197">
        <f>IF(_1_541284561214624104645789101745[[#This Row],[Type]]&gt;0,VLOOKUP(_1_541284561214624104645789101745[[#This Row],[Type]],Main[[#All],[TYPE]:[UNIT]],'Unit Price'!D$1,FALSE),0)</f>
        <v>0</v>
      </c>
      <c r="I987" s="194">
        <f>IF(_1_541284561214624104645789101745[[#This Row],[Type]]&gt;0,VLOOKUP(_1_541284561214624104645789101745[[#This Row],[Type]],Main[[#All],[TYPE]:[UNIT]],'Unit Price'!G$1,FALSE),0)</f>
        <v>0</v>
      </c>
      <c r="J987" s="194">
        <f>IF(_1_541284561214624104645789101745[[#This Row],[Type]]&gt;0,VLOOKUP(_1_541284561214624104645789101745[[#This Row],[Type]],Main[[#All],[TYPE]:[UNIT]],'Unit Price'!H$1,FALSE),0)</f>
        <v>0</v>
      </c>
      <c r="K987" s="194">
        <f>IF(_1_541284561214624104645789101745[[#This Row],[Discount selection]]&gt;0,VLOOKUP(_1_541284561214624104645789101745[[#This Row],[Discount selection]],'Discount Structure'!$A$2:$B$30,2,"false"),0)</f>
        <v>1</v>
      </c>
      <c r="L987" s="194">
        <f>_1_541284561214624104645789101745[[#This Row],[LIST $]]*_1_541284561214624104645789101745[[#This Row],[DISCOUNT]]*_1_541284561214624104645789101745[[#This Row],[DISCOUNT 2]]</f>
        <v>0</v>
      </c>
      <c r="M987" s="194">
        <f>IF(OR(_1_541284561214624104645789101745[[#This Row],[UNIT]]&gt;0,_1_541284561214624104645789101745[[#This Row],[UNIT]]&lt;0),_1_541284561214624104645789101745[[#This Row],[UNIT]]*_1_541284561214624104645789101745[[#This Row],[COST]],0)</f>
        <v>0</v>
      </c>
      <c r="N987" s="194">
        <f t="shared" si="15"/>
        <v>1.5</v>
      </c>
      <c r="O987" s="198">
        <f>_1_541284561214624104645789101745[[#This Row],[TOTAL]]*_1_541284561214624104645789101745[[#This Row],[MARGIN]]</f>
        <v>0</v>
      </c>
      <c r="P987" s="198"/>
      <c r="R987" s="41"/>
    </row>
    <row r="988" spans="4:18">
      <c r="D988" s="188"/>
      <c r="E988" s="42"/>
      <c r="F988" s="168" t="s">
        <v>6202</v>
      </c>
      <c r="G988" s="193">
        <f>IF(_1_541284561214624104645789101745[[#This Row],[Type]]&gt;0,VLOOKUP(_1_541284561214624104645789101745[[#This Row],[Type]],Main[[#All],[TYPE]:[UNIT]],'Unit Price'!C$1,FALSE),0)</f>
        <v>0</v>
      </c>
      <c r="H988" s="197">
        <f>IF(_1_541284561214624104645789101745[[#This Row],[Type]]&gt;0,VLOOKUP(_1_541284561214624104645789101745[[#This Row],[Type]],Main[[#All],[TYPE]:[UNIT]],'Unit Price'!D$1,FALSE),0)</f>
        <v>0</v>
      </c>
      <c r="I988" s="194">
        <f>IF(_1_541284561214624104645789101745[[#This Row],[Type]]&gt;0,VLOOKUP(_1_541284561214624104645789101745[[#This Row],[Type]],Main[[#All],[TYPE]:[UNIT]],'Unit Price'!G$1,FALSE),0)</f>
        <v>0</v>
      </c>
      <c r="J988" s="194">
        <f>IF(_1_541284561214624104645789101745[[#This Row],[Type]]&gt;0,VLOOKUP(_1_541284561214624104645789101745[[#This Row],[Type]],Main[[#All],[TYPE]:[UNIT]],'Unit Price'!H$1,FALSE),0)</f>
        <v>0</v>
      </c>
      <c r="K988" s="194">
        <f>IF(_1_541284561214624104645789101745[[#This Row],[Discount selection]]&gt;0,VLOOKUP(_1_541284561214624104645789101745[[#This Row],[Discount selection]],'Discount Structure'!$A$2:$B$30,2,"false"),0)</f>
        <v>1</v>
      </c>
      <c r="L988" s="194">
        <f>_1_541284561214624104645789101745[[#This Row],[LIST $]]*_1_541284561214624104645789101745[[#This Row],[DISCOUNT]]*_1_541284561214624104645789101745[[#This Row],[DISCOUNT 2]]</f>
        <v>0</v>
      </c>
      <c r="M988" s="194">
        <f>IF(OR(_1_541284561214624104645789101745[[#This Row],[UNIT]]&gt;0,_1_541284561214624104645789101745[[#This Row],[UNIT]]&lt;0),_1_541284561214624104645789101745[[#This Row],[UNIT]]*_1_541284561214624104645789101745[[#This Row],[COST]],0)</f>
        <v>0</v>
      </c>
      <c r="N988" s="194">
        <f t="shared" si="15"/>
        <v>1.5</v>
      </c>
      <c r="O988" s="198">
        <f>_1_541284561214624104645789101745[[#This Row],[TOTAL]]*_1_541284561214624104645789101745[[#This Row],[MARGIN]]</f>
        <v>0</v>
      </c>
      <c r="P988" s="198"/>
      <c r="R988" s="41"/>
    </row>
    <row r="989" spans="4:18">
      <c r="D989" s="188"/>
      <c r="E989" s="42"/>
      <c r="F989" s="168" t="s">
        <v>6202</v>
      </c>
      <c r="G989" s="193">
        <f>IF(_1_541284561214624104645789101745[[#This Row],[Type]]&gt;0,VLOOKUP(_1_541284561214624104645789101745[[#This Row],[Type]],Main[[#All],[TYPE]:[UNIT]],'Unit Price'!C$1,FALSE),0)</f>
        <v>0</v>
      </c>
      <c r="H989" s="197">
        <f>IF(_1_541284561214624104645789101745[[#This Row],[Type]]&gt;0,VLOOKUP(_1_541284561214624104645789101745[[#This Row],[Type]],Main[[#All],[TYPE]:[UNIT]],'Unit Price'!D$1,FALSE),0)</f>
        <v>0</v>
      </c>
      <c r="I989" s="194">
        <f>IF(_1_541284561214624104645789101745[[#This Row],[Type]]&gt;0,VLOOKUP(_1_541284561214624104645789101745[[#This Row],[Type]],Main[[#All],[TYPE]:[UNIT]],'Unit Price'!G$1,FALSE),0)</f>
        <v>0</v>
      </c>
      <c r="J989" s="194">
        <f>IF(_1_541284561214624104645789101745[[#This Row],[Type]]&gt;0,VLOOKUP(_1_541284561214624104645789101745[[#This Row],[Type]],Main[[#All],[TYPE]:[UNIT]],'Unit Price'!H$1,FALSE),0)</f>
        <v>0</v>
      </c>
      <c r="K989" s="194">
        <f>IF(_1_541284561214624104645789101745[[#This Row],[Discount selection]]&gt;0,VLOOKUP(_1_541284561214624104645789101745[[#This Row],[Discount selection]],'Discount Structure'!$A$2:$B$30,2,"false"),0)</f>
        <v>1</v>
      </c>
      <c r="L989" s="194">
        <f>_1_541284561214624104645789101745[[#This Row],[LIST $]]*_1_541284561214624104645789101745[[#This Row],[DISCOUNT]]*_1_541284561214624104645789101745[[#This Row],[DISCOUNT 2]]</f>
        <v>0</v>
      </c>
      <c r="M989" s="194">
        <f>IF(OR(_1_541284561214624104645789101745[[#This Row],[UNIT]]&gt;0,_1_541284561214624104645789101745[[#This Row],[UNIT]]&lt;0),_1_541284561214624104645789101745[[#This Row],[UNIT]]*_1_541284561214624104645789101745[[#This Row],[COST]],0)</f>
        <v>0</v>
      </c>
      <c r="N989" s="194">
        <f t="shared" si="15"/>
        <v>1.5</v>
      </c>
      <c r="O989" s="198">
        <f>_1_541284561214624104645789101745[[#This Row],[TOTAL]]*_1_541284561214624104645789101745[[#This Row],[MARGIN]]</f>
        <v>0</v>
      </c>
      <c r="P989" s="198"/>
      <c r="R989" s="41"/>
    </row>
    <row r="990" spans="4:18">
      <c r="D990" s="188"/>
      <c r="E990" s="42"/>
      <c r="F990" s="168" t="s">
        <v>6202</v>
      </c>
      <c r="G990" s="193">
        <f>IF(_1_541284561214624104645789101745[[#This Row],[Type]]&gt;0,VLOOKUP(_1_541284561214624104645789101745[[#This Row],[Type]],Main[[#All],[TYPE]:[UNIT]],'Unit Price'!C$1,FALSE),0)</f>
        <v>0</v>
      </c>
      <c r="H990" s="197">
        <f>IF(_1_541284561214624104645789101745[[#This Row],[Type]]&gt;0,VLOOKUP(_1_541284561214624104645789101745[[#This Row],[Type]],Main[[#All],[TYPE]:[UNIT]],'Unit Price'!D$1,FALSE),0)</f>
        <v>0</v>
      </c>
      <c r="I990" s="194">
        <f>IF(_1_541284561214624104645789101745[[#This Row],[Type]]&gt;0,VLOOKUP(_1_541284561214624104645789101745[[#This Row],[Type]],Main[[#All],[TYPE]:[UNIT]],'Unit Price'!G$1,FALSE),0)</f>
        <v>0</v>
      </c>
      <c r="J990" s="194">
        <f>IF(_1_541284561214624104645789101745[[#This Row],[Type]]&gt;0,VLOOKUP(_1_541284561214624104645789101745[[#This Row],[Type]],Main[[#All],[TYPE]:[UNIT]],'Unit Price'!H$1,FALSE),0)</f>
        <v>0</v>
      </c>
      <c r="K990" s="194">
        <f>IF(_1_541284561214624104645789101745[[#This Row],[Discount selection]]&gt;0,VLOOKUP(_1_541284561214624104645789101745[[#This Row],[Discount selection]],'Discount Structure'!$A$2:$B$30,2,"false"),0)</f>
        <v>1</v>
      </c>
      <c r="L990" s="194">
        <f>_1_541284561214624104645789101745[[#This Row],[LIST $]]*_1_541284561214624104645789101745[[#This Row],[DISCOUNT]]*_1_541284561214624104645789101745[[#This Row],[DISCOUNT 2]]</f>
        <v>0</v>
      </c>
      <c r="M990" s="194">
        <f>IF(OR(_1_541284561214624104645789101745[[#This Row],[UNIT]]&gt;0,_1_541284561214624104645789101745[[#This Row],[UNIT]]&lt;0),_1_541284561214624104645789101745[[#This Row],[UNIT]]*_1_541284561214624104645789101745[[#This Row],[COST]],0)</f>
        <v>0</v>
      </c>
      <c r="N990" s="194">
        <f t="shared" si="15"/>
        <v>1.5</v>
      </c>
      <c r="O990" s="198">
        <f>_1_541284561214624104645789101745[[#This Row],[TOTAL]]*_1_541284561214624104645789101745[[#This Row],[MARGIN]]</f>
        <v>0</v>
      </c>
      <c r="P990" s="198"/>
      <c r="R990" s="41"/>
    </row>
    <row r="991" spans="4:18">
      <c r="D991" s="188"/>
      <c r="E991" s="42"/>
      <c r="F991" s="168" t="s">
        <v>6202</v>
      </c>
      <c r="G991" s="193">
        <f>IF(_1_541284561214624104645789101745[[#This Row],[Type]]&gt;0,VLOOKUP(_1_541284561214624104645789101745[[#This Row],[Type]],Main[[#All],[TYPE]:[UNIT]],'Unit Price'!C$1,FALSE),0)</f>
        <v>0</v>
      </c>
      <c r="H991" s="197">
        <f>IF(_1_541284561214624104645789101745[[#This Row],[Type]]&gt;0,VLOOKUP(_1_541284561214624104645789101745[[#This Row],[Type]],Main[[#All],[TYPE]:[UNIT]],'Unit Price'!D$1,FALSE),0)</f>
        <v>0</v>
      </c>
      <c r="I991" s="194">
        <f>IF(_1_541284561214624104645789101745[[#This Row],[Type]]&gt;0,VLOOKUP(_1_541284561214624104645789101745[[#This Row],[Type]],Main[[#All],[TYPE]:[UNIT]],'Unit Price'!G$1,FALSE),0)</f>
        <v>0</v>
      </c>
      <c r="J991" s="194">
        <f>IF(_1_541284561214624104645789101745[[#This Row],[Type]]&gt;0,VLOOKUP(_1_541284561214624104645789101745[[#This Row],[Type]],Main[[#All],[TYPE]:[UNIT]],'Unit Price'!H$1,FALSE),0)</f>
        <v>0</v>
      </c>
      <c r="K991" s="194">
        <f>IF(_1_541284561214624104645789101745[[#This Row],[Discount selection]]&gt;0,VLOOKUP(_1_541284561214624104645789101745[[#This Row],[Discount selection]],'Discount Structure'!$A$2:$B$30,2,"false"),0)</f>
        <v>1</v>
      </c>
      <c r="L991" s="194">
        <f>_1_541284561214624104645789101745[[#This Row],[LIST $]]*_1_541284561214624104645789101745[[#This Row],[DISCOUNT]]*_1_541284561214624104645789101745[[#This Row],[DISCOUNT 2]]</f>
        <v>0</v>
      </c>
      <c r="M991" s="194">
        <f>IF(OR(_1_541284561214624104645789101745[[#This Row],[UNIT]]&gt;0,_1_541284561214624104645789101745[[#This Row],[UNIT]]&lt;0),_1_541284561214624104645789101745[[#This Row],[UNIT]]*_1_541284561214624104645789101745[[#This Row],[COST]],0)</f>
        <v>0</v>
      </c>
      <c r="N991" s="194">
        <f t="shared" si="15"/>
        <v>1.5</v>
      </c>
      <c r="O991" s="198">
        <f>_1_541284561214624104645789101745[[#This Row],[TOTAL]]*_1_541284561214624104645789101745[[#This Row],[MARGIN]]</f>
        <v>0</v>
      </c>
      <c r="P991" s="198"/>
      <c r="R991" s="41"/>
    </row>
    <row r="992" spans="4:18">
      <c r="D992" s="188"/>
      <c r="E992" s="42"/>
      <c r="F992" s="168" t="s">
        <v>6202</v>
      </c>
      <c r="G992" s="193">
        <f>IF(_1_541284561214624104645789101745[[#This Row],[Type]]&gt;0,VLOOKUP(_1_541284561214624104645789101745[[#This Row],[Type]],Main[[#All],[TYPE]:[UNIT]],'Unit Price'!C$1,FALSE),0)</f>
        <v>0</v>
      </c>
      <c r="H992" s="197">
        <f>IF(_1_541284561214624104645789101745[[#This Row],[Type]]&gt;0,VLOOKUP(_1_541284561214624104645789101745[[#This Row],[Type]],Main[[#All],[TYPE]:[UNIT]],'Unit Price'!D$1,FALSE),0)</f>
        <v>0</v>
      </c>
      <c r="I992" s="194">
        <f>IF(_1_541284561214624104645789101745[[#This Row],[Type]]&gt;0,VLOOKUP(_1_541284561214624104645789101745[[#This Row],[Type]],Main[[#All],[TYPE]:[UNIT]],'Unit Price'!G$1,FALSE),0)</f>
        <v>0</v>
      </c>
      <c r="J992" s="194">
        <f>IF(_1_541284561214624104645789101745[[#This Row],[Type]]&gt;0,VLOOKUP(_1_541284561214624104645789101745[[#This Row],[Type]],Main[[#All],[TYPE]:[UNIT]],'Unit Price'!H$1,FALSE),0)</f>
        <v>0</v>
      </c>
      <c r="K992" s="194">
        <f>IF(_1_541284561214624104645789101745[[#This Row],[Discount selection]]&gt;0,VLOOKUP(_1_541284561214624104645789101745[[#This Row],[Discount selection]],'Discount Structure'!$A$2:$B$30,2,"false"),0)</f>
        <v>1</v>
      </c>
      <c r="L992" s="194">
        <f>_1_541284561214624104645789101745[[#This Row],[LIST $]]*_1_541284561214624104645789101745[[#This Row],[DISCOUNT]]*_1_541284561214624104645789101745[[#This Row],[DISCOUNT 2]]</f>
        <v>0</v>
      </c>
      <c r="M992" s="194">
        <f>IF(OR(_1_541284561214624104645789101745[[#This Row],[UNIT]]&gt;0,_1_541284561214624104645789101745[[#This Row],[UNIT]]&lt;0),_1_541284561214624104645789101745[[#This Row],[UNIT]]*_1_541284561214624104645789101745[[#This Row],[COST]],0)</f>
        <v>0</v>
      </c>
      <c r="N992" s="194">
        <f t="shared" si="15"/>
        <v>1.5</v>
      </c>
      <c r="O992" s="198">
        <f>_1_541284561214624104645789101745[[#This Row],[TOTAL]]*_1_541284561214624104645789101745[[#This Row],[MARGIN]]</f>
        <v>0</v>
      </c>
      <c r="P992" s="198"/>
      <c r="R992" s="41"/>
    </row>
    <row r="993" spans="4:18">
      <c r="D993" s="188"/>
      <c r="E993" s="42"/>
      <c r="F993" s="168" t="s">
        <v>6202</v>
      </c>
      <c r="G993" s="193">
        <f>IF(_1_541284561214624104645789101745[[#This Row],[Type]]&gt;0,VLOOKUP(_1_541284561214624104645789101745[[#This Row],[Type]],Main[[#All],[TYPE]:[UNIT]],'Unit Price'!C$1,FALSE),0)</f>
        <v>0</v>
      </c>
      <c r="H993" s="197">
        <f>IF(_1_541284561214624104645789101745[[#This Row],[Type]]&gt;0,VLOOKUP(_1_541284561214624104645789101745[[#This Row],[Type]],Main[[#All],[TYPE]:[UNIT]],'Unit Price'!D$1,FALSE),0)</f>
        <v>0</v>
      </c>
      <c r="I993" s="194">
        <f>IF(_1_541284561214624104645789101745[[#This Row],[Type]]&gt;0,VLOOKUP(_1_541284561214624104645789101745[[#This Row],[Type]],Main[[#All],[TYPE]:[UNIT]],'Unit Price'!G$1,FALSE),0)</f>
        <v>0</v>
      </c>
      <c r="J993" s="194">
        <f>IF(_1_541284561214624104645789101745[[#This Row],[Type]]&gt;0,VLOOKUP(_1_541284561214624104645789101745[[#This Row],[Type]],Main[[#All],[TYPE]:[UNIT]],'Unit Price'!H$1,FALSE),0)</f>
        <v>0</v>
      </c>
      <c r="K993" s="194">
        <f>IF(_1_541284561214624104645789101745[[#This Row],[Discount selection]]&gt;0,VLOOKUP(_1_541284561214624104645789101745[[#This Row],[Discount selection]],'Discount Structure'!$A$2:$B$30,2,"false"),0)</f>
        <v>1</v>
      </c>
      <c r="L993" s="194">
        <f>_1_541284561214624104645789101745[[#This Row],[LIST $]]*_1_541284561214624104645789101745[[#This Row],[DISCOUNT]]*_1_541284561214624104645789101745[[#This Row],[DISCOUNT 2]]</f>
        <v>0</v>
      </c>
      <c r="M993" s="194">
        <f>IF(OR(_1_541284561214624104645789101745[[#This Row],[UNIT]]&gt;0,_1_541284561214624104645789101745[[#This Row],[UNIT]]&lt;0),_1_541284561214624104645789101745[[#This Row],[UNIT]]*_1_541284561214624104645789101745[[#This Row],[COST]],0)</f>
        <v>0</v>
      </c>
      <c r="N993" s="194">
        <f t="shared" si="15"/>
        <v>1.5</v>
      </c>
      <c r="O993" s="198">
        <f>_1_541284561214624104645789101745[[#This Row],[TOTAL]]*_1_541284561214624104645789101745[[#This Row],[MARGIN]]</f>
        <v>0</v>
      </c>
      <c r="P993" s="198"/>
      <c r="R993" s="41"/>
    </row>
    <row r="994" spans="4:18">
      <c r="D994" s="188"/>
      <c r="E994" s="42"/>
      <c r="F994" s="168" t="s">
        <v>6202</v>
      </c>
      <c r="G994" s="193">
        <f>IF(_1_541284561214624104645789101745[[#This Row],[Type]]&gt;0,VLOOKUP(_1_541284561214624104645789101745[[#This Row],[Type]],Main[[#All],[TYPE]:[UNIT]],'Unit Price'!C$1,FALSE),0)</f>
        <v>0</v>
      </c>
      <c r="H994" s="197">
        <f>IF(_1_541284561214624104645789101745[[#This Row],[Type]]&gt;0,VLOOKUP(_1_541284561214624104645789101745[[#This Row],[Type]],Main[[#All],[TYPE]:[UNIT]],'Unit Price'!D$1,FALSE),0)</f>
        <v>0</v>
      </c>
      <c r="I994" s="194">
        <f>IF(_1_541284561214624104645789101745[[#This Row],[Type]]&gt;0,VLOOKUP(_1_541284561214624104645789101745[[#This Row],[Type]],Main[[#All],[TYPE]:[UNIT]],'Unit Price'!G$1,FALSE),0)</f>
        <v>0</v>
      </c>
      <c r="J994" s="194">
        <f>IF(_1_541284561214624104645789101745[[#This Row],[Type]]&gt;0,VLOOKUP(_1_541284561214624104645789101745[[#This Row],[Type]],Main[[#All],[TYPE]:[UNIT]],'Unit Price'!H$1,FALSE),0)</f>
        <v>0</v>
      </c>
      <c r="K994" s="194">
        <f>IF(_1_541284561214624104645789101745[[#This Row],[Discount selection]]&gt;0,VLOOKUP(_1_541284561214624104645789101745[[#This Row],[Discount selection]],'Discount Structure'!$A$2:$B$30,2,"false"),0)</f>
        <v>1</v>
      </c>
      <c r="L994" s="194">
        <f>_1_541284561214624104645789101745[[#This Row],[LIST $]]*_1_541284561214624104645789101745[[#This Row],[DISCOUNT]]*_1_541284561214624104645789101745[[#This Row],[DISCOUNT 2]]</f>
        <v>0</v>
      </c>
      <c r="M994" s="194">
        <f>IF(OR(_1_541284561214624104645789101745[[#This Row],[UNIT]]&gt;0,_1_541284561214624104645789101745[[#This Row],[UNIT]]&lt;0),_1_541284561214624104645789101745[[#This Row],[UNIT]]*_1_541284561214624104645789101745[[#This Row],[COST]],0)</f>
        <v>0</v>
      </c>
      <c r="N994" s="194">
        <f t="shared" si="15"/>
        <v>1.5</v>
      </c>
      <c r="O994" s="198">
        <f>_1_541284561214624104645789101745[[#This Row],[TOTAL]]*_1_541284561214624104645789101745[[#This Row],[MARGIN]]</f>
        <v>0</v>
      </c>
      <c r="P994" s="198"/>
      <c r="R994" s="41"/>
    </row>
    <row r="995" spans="4:18">
      <c r="D995" s="188"/>
      <c r="E995" s="42"/>
      <c r="F995" s="168" t="s">
        <v>6202</v>
      </c>
      <c r="G995" s="193">
        <f>IF(_1_541284561214624104645789101745[[#This Row],[Type]]&gt;0,VLOOKUP(_1_541284561214624104645789101745[[#This Row],[Type]],Main[[#All],[TYPE]:[UNIT]],'Unit Price'!C$1,FALSE),0)</f>
        <v>0</v>
      </c>
      <c r="H995" s="197">
        <f>IF(_1_541284561214624104645789101745[[#This Row],[Type]]&gt;0,VLOOKUP(_1_541284561214624104645789101745[[#This Row],[Type]],Main[[#All],[TYPE]:[UNIT]],'Unit Price'!D$1,FALSE),0)</f>
        <v>0</v>
      </c>
      <c r="I995" s="194">
        <f>IF(_1_541284561214624104645789101745[[#This Row],[Type]]&gt;0,VLOOKUP(_1_541284561214624104645789101745[[#This Row],[Type]],Main[[#All],[TYPE]:[UNIT]],'Unit Price'!G$1,FALSE),0)</f>
        <v>0</v>
      </c>
      <c r="J995" s="194">
        <f>IF(_1_541284561214624104645789101745[[#This Row],[Type]]&gt;0,VLOOKUP(_1_541284561214624104645789101745[[#This Row],[Type]],Main[[#All],[TYPE]:[UNIT]],'Unit Price'!H$1,FALSE),0)</f>
        <v>0</v>
      </c>
      <c r="K995" s="194">
        <f>IF(_1_541284561214624104645789101745[[#This Row],[Discount selection]]&gt;0,VLOOKUP(_1_541284561214624104645789101745[[#This Row],[Discount selection]],'Discount Structure'!$A$2:$B$30,2,"false"),0)</f>
        <v>1</v>
      </c>
      <c r="L995" s="194">
        <f>_1_541284561214624104645789101745[[#This Row],[LIST $]]*_1_541284561214624104645789101745[[#This Row],[DISCOUNT]]*_1_541284561214624104645789101745[[#This Row],[DISCOUNT 2]]</f>
        <v>0</v>
      </c>
      <c r="M995" s="194">
        <f>IF(OR(_1_541284561214624104645789101745[[#This Row],[UNIT]]&gt;0,_1_541284561214624104645789101745[[#This Row],[UNIT]]&lt;0),_1_541284561214624104645789101745[[#This Row],[UNIT]]*_1_541284561214624104645789101745[[#This Row],[COST]],0)</f>
        <v>0</v>
      </c>
      <c r="N995" s="194">
        <f t="shared" si="15"/>
        <v>1.5</v>
      </c>
      <c r="O995" s="198">
        <f>_1_541284561214624104645789101745[[#This Row],[TOTAL]]*_1_541284561214624104645789101745[[#This Row],[MARGIN]]</f>
        <v>0</v>
      </c>
      <c r="P995" s="198"/>
      <c r="R995" s="41"/>
    </row>
    <row r="996" spans="4:18">
      <c r="D996" s="188"/>
      <c r="E996" s="42"/>
      <c r="F996" s="168" t="s">
        <v>6202</v>
      </c>
      <c r="G996" s="193">
        <f>IF(_1_541284561214624104645789101745[[#This Row],[Type]]&gt;0,VLOOKUP(_1_541284561214624104645789101745[[#This Row],[Type]],Main[[#All],[TYPE]:[UNIT]],'Unit Price'!C$1,FALSE),0)</f>
        <v>0</v>
      </c>
      <c r="H996" s="197">
        <f>IF(_1_541284561214624104645789101745[[#This Row],[Type]]&gt;0,VLOOKUP(_1_541284561214624104645789101745[[#This Row],[Type]],Main[[#All],[TYPE]:[UNIT]],'Unit Price'!D$1,FALSE),0)</f>
        <v>0</v>
      </c>
      <c r="I996" s="194">
        <f>IF(_1_541284561214624104645789101745[[#This Row],[Type]]&gt;0,VLOOKUP(_1_541284561214624104645789101745[[#This Row],[Type]],Main[[#All],[TYPE]:[UNIT]],'Unit Price'!G$1,FALSE),0)</f>
        <v>0</v>
      </c>
      <c r="J996" s="194">
        <f>IF(_1_541284561214624104645789101745[[#This Row],[Type]]&gt;0,VLOOKUP(_1_541284561214624104645789101745[[#This Row],[Type]],Main[[#All],[TYPE]:[UNIT]],'Unit Price'!H$1,FALSE),0)</f>
        <v>0</v>
      </c>
      <c r="K996" s="194">
        <f>IF(_1_541284561214624104645789101745[[#This Row],[Discount selection]]&gt;0,VLOOKUP(_1_541284561214624104645789101745[[#This Row],[Discount selection]],'Discount Structure'!$A$2:$B$30,2,"false"),0)</f>
        <v>1</v>
      </c>
      <c r="L996" s="194">
        <f>_1_541284561214624104645789101745[[#This Row],[LIST $]]*_1_541284561214624104645789101745[[#This Row],[DISCOUNT]]*_1_541284561214624104645789101745[[#This Row],[DISCOUNT 2]]</f>
        <v>0</v>
      </c>
      <c r="M996" s="194">
        <f>IF(OR(_1_541284561214624104645789101745[[#This Row],[UNIT]]&gt;0,_1_541284561214624104645789101745[[#This Row],[UNIT]]&lt;0),_1_541284561214624104645789101745[[#This Row],[UNIT]]*_1_541284561214624104645789101745[[#This Row],[COST]],0)</f>
        <v>0</v>
      </c>
      <c r="N996" s="194">
        <f t="shared" si="15"/>
        <v>1.5</v>
      </c>
      <c r="O996" s="198">
        <f>_1_541284561214624104645789101745[[#This Row],[TOTAL]]*_1_541284561214624104645789101745[[#This Row],[MARGIN]]</f>
        <v>0</v>
      </c>
      <c r="P996" s="198"/>
      <c r="R996" s="41"/>
    </row>
    <row r="997" spans="4:18">
      <c r="D997" s="188"/>
      <c r="E997" s="42"/>
      <c r="F997" s="168" t="s">
        <v>6202</v>
      </c>
      <c r="G997" s="193">
        <f>IF(_1_541284561214624104645789101745[[#This Row],[Type]]&gt;0,VLOOKUP(_1_541284561214624104645789101745[[#This Row],[Type]],Main[[#All],[TYPE]:[UNIT]],'Unit Price'!C$1,FALSE),0)</f>
        <v>0</v>
      </c>
      <c r="H997" s="197">
        <f>IF(_1_541284561214624104645789101745[[#This Row],[Type]]&gt;0,VLOOKUP(_1_541284561214624104645789101745[[#This Row],[Type]],Main[[#All],[TYPE]:[UNIT]],'Unit Price'!D$1,FALSE),0)</f>
        <v>0</v>
      </c>
      <c r="I997" s="194">
        <f>IF(_1_541284561214624104645789101745[[#This Row],[Type]]&gt;0,VLOOKUP(_1_541284561214624104645789101745[[#This Row],[Type]],Main[[#All],[TYPE]:[UNIT]],'Unit Price'!G$1,FALSE),0)</f>
        <v>0</v>
      </c>
      <c r="J997" s="194">
        <f>IF(_1_541284561214624104645789101745[[#This Row],[Type]]&gt;0,VLOOKUP(_1_541284561214624104645789101745[[#This Row],[Type]],Main[[#All],[TYPE]:[UNIT]],'Unit Price'!H$1,FALSE),0)</f>
        <v>0</v>
      </c>
      <c r="K997" s="194">
        <f>IF(_1_541284561214624104645789101745[[#This Row],[Discount selection]]&gt;0,VLOOKUP(_1_541284561214624104645789101745[[#This Row],[Discount selection]],'Discount Structure'!$A$2:$B$30,2,"false"),0)</f>
        <v>1</v>
      </c>
      <c r="L997" s="194">
        <f>_1_541284561214624104645789101745[[#This Row],[LIST $]]*_1_541284561214624104645789101745[[#This Row],[DISCOUNT]]*_1_541284561214624104645789101745[[#This Row],[DISCOUNT 2]]</f>
        <v>0</v>
      </c>
      <c r="M997" s="194">
        <f>IF(OR(_1_541284561214624104645789101745[[#This Row],[UNIT]]&gt;0,_1_541284561214624104645789101745[[#This Row],[UNIT]]&lt;0),_1_541284561214624104645789101745[[#This Row],[UNIT]]*_1_541284561214624104645789101745[[#This Row],[COST]],0)</f>
        <v>0</v>
      </c>
      <c r="N997" s="194">
        <f t="shared" si="15"/>
        <v>1.5</v>
      </c>
      <c r="O997" s="198">
        <f>_1_541284561214624104645789101745[[#This Row],[TOTAL]]*_1_541284561214624104645789101745[[#This Row],[MARGIN]]</f>
        <v>0</v>
      </c>
      <c r="P997" s="198"/>
      <c r="R997" s="41"/>
    </row>
    <row r="998" spans="4:18">
      <c r="D998" s="188"/>
      <c r="E998" s="42"/>
      <c r="F998" s="168" t="s">
        <v>6202</v>
      </c>
      <c r="G998" s="193">
        <f>IF(_1_541284561214624104645789101745[[#This Row],[Type]]&gt;0,VLOOKUP(_1_541284561214624104645789101745[[#This Row],[Type]],Main[[#All],[TYPE]:[UNIT]],'Unit Price'!C$1,FALSE),0)</f>
        <v>0</v>
      </c>
      <c r="H998" s="197">
        <f>IF(_1_541284561214624104645789101745[[#This Row],[Type]]&gt;0,VLOOKUP(_1_541284561214624104645789101745[[#This Row],[Type]],Main[[#All],[TYPE]:[UNIT]],'Unit Price'!D$1,FALSE),0)</f>
        <v>0</v>
      </c>
      <c r="I998" s="194">
        <f>IF(_1_541284561214624104645789101745[[#This Row],[Type]]&gt;0,VLOOKUP(_1_541284561214624104645789101745[[#This Row],[Type]],Main[[#All],[TYPE]:[UNIT]],'Unit Price'!G$1,FALSE),0)</f>
        <v>0</v>
      </c>
      <c r="J998" s="194">
        <f>IF(_1_541284561214624104645789101745[[#This Row],[Type]]&gt;0,VLOOKUP(_1_541284561214624104645789101745[[#This Row],[Type]],Main[[#All],[TYPE]:[UNIT]],'Unit Price'!H$1,FALSE),0)</f>
        <v>0</v>
      </c>
      <c r="K998" s="194">
        <f>IF(_1_541284561214624104645789101745[[#This Row],[Discount selection]]&gt;0,VLOOKUP(_1_541284561214624104645789101745[[#This Row],[Discount selection]],'Discount Structure'!$A$2:$B$30,2,"false"),0)</f>
        <v>1</v>
      </c>
      <c r="L998" s="194">
        <f>_1_541284561214624104645789101745[[#This Row],[LIST $]]*_1_541284561214624104645789101745[[#This Row],[DISCOUNT]]*_1_541284561214624104645789101745[[#This Row],[DISCOUNT 2]]</f>
        <v>0</v>
      </c>
      <c r="M998" s="194">
        <f>IF(OR(_1_541284561214624104645789101745[[#This Row],[UNIT]]&gt;0,_1_541284561214624104645789101745[[#This Row],[UNIT]]&lt;0),_1_541284561214624104645789101745[[#This Row],[UNIT]]*_1_541284561214624104645789101745[[#This Row],[COST]],0)</f>
        <v>0</v>
      </c>
      <c r="N998" s="194">
        <f t="shared" si="15"/>
        <v>1.5</v>
      </c>
      <c r="O998" s="198">
        <f>_1_541284561214624104645789101745[[#This Row],[TOTAL]]*_1_541284561214624104645789101745[[#This Row],[MARGIN]]</f>
        <v>0</v>
      </c>
      <c r="P998" s="198"/>
      <c r="R998" s="41"/>
    </row>
    <row r="999" spans="4:18">
      <c r="D999" s="188"/>
      <c r="E999" s="42"/>
      <c r="F999" s="168" t="s">
        <v>6202</v>
      </c>
      <c r="G999" s="193">
        <f>IF(_1_541284561214624104645789101745[[#This Row],[Type]]&gt;0,VLOOKUP(_1_541284561214624104645789101745[[#This Row],[Type]],Main[[#All],[TYPE]:[UNIT]],'Unit Price'!C$1,FALSE),0)</f>
        <v>0</v>
      </c>
      <c r="H999" s="197">
        <f>IF(_1_541284561214624104645789101745[[#This Row],[Type]]&gt;0,VLOOKUP(_1_541284561214624104645789101745[[#This Row],[Type]],Main[[#All],[TYPE]:[UNIT]],'Unit Price'!D$1,FALSE),0)</f>
        <v>0</v>
      </c>
      <c r="I999" s="194">
        <f>IF(_1_541284561214624104645789101745[[#This Row],[Type]]&gt;0,VLOOKUP(_1_541284561214624104645789101745[[#This Row],[Type]],Main[[#All],[TYPE]:[UNIT]],'Unit Price'!G$1,FALSE),0)</f>
        <v>0</v>
      </c>
      <c r="J999" s="194">
        <f>IF(_1_541284561214624104645789101745[[#This Row],[Type]]&gt;0,VLOOKUP(_1_541284561214624104645789101745[[#This Row],[Type]],Main[[#All],[TYPE]:[UNIT]],'Unit Price'!H$1,FALSE),0)</f>
        <v>0</v>
      </c>
      <c r="K999" s="194">
        <f>IF(_1_541284561214624104645789101745[[#This Row],[Discount selection]]&gt;0,VLOOKUP(_1_541284561214624104645789101745[[#This Row],[Discount selection]],'Discount Structure'!$A$2:$B$30,2,"false"),0)</f>
        <v>1</v>
      </c>
      <c r="L999" s="194">
        <f>_1_541284561214624104645789101745[[#This Row],[LIST $]]*_1_541284561214624104645789101745[[#This Row],[DISCOUNT]]*_1_541284561214624104645789101745[[#This Row],[DISCOUNT 2]]</f>
        <v>0</v>
      </c>
      <c r="M999" s="194">
        <f>IF(OR(_1_541284561214624104645789101745[[#This Row],[UNIT]]&gt;0,_1_541284561214624104645789101745[[#This Row],[UNIT]]&lt;0),_1_541284561214624104645789101745[[#This Row],[UNIT]]*_1_541284561214624104645789101745[[#This Row],[COST]],0)</f>
        <v>0</v>
      </c>
      <c r="N999" s="194">
        <f t="shared" si="15"/>
        <v>1.5</v>
      </c>
      <c r="O999" s="198">
        <f>_1_541284561214624104645789101745[[#This Row],[TOTAL]]*_1_541284561214624104645789101745[[#This Row],[MARGIN]]</f>
        <v>0</v>
      </c>
      <c r="P999" s="198"/>
      <c r="R999" s="41"/>
    </row>
    <row r="1000" spans="4:18">
      <c r="D1000" s="188"/>
      <c r="E1000" s="42"/>
      <c r="F1000" s="168" t="s">
        <v>6202</v>
      </c>
      <c r="G1000" s="193">
        <f>IF(_1_541284561214624104645789101745[[#This Row],[Type]]&gt;0,VLOOKUP(_1_541284561214624104645789101745[[#This Row],[Type]],Main[[#All],[TYPE]:[UNIT]],'Unit Price'!C$1,FALSE),0)</f>
        <v>0</v>
      </c>
      <c r="H1000" s="197">
        <f>IF(_1_541284561214624104645789101745[[#This Row],[Type]]&gt;0,VLOOKUP(_1_541284561214624104645789101745[[#This Row],[Type]],Main[[#All],[TYPE]:[UNIT]],'Unit Price'!D$1,FALSE),0)</f>
        <v>0</v>
      </c>
      <c r="I1000" s="194">
        <f>IF(_1_541284561214624104645789101745[[#This Row],[Type]]&gt;0,VLOOKUP(_1_541284561214624104645789101745[[#This Row],[Type]],Main[[#All],[TYPE]:[UNIT]],'Unit Price'!G$1,FALSE),0)</f>
        <v>0</v>
      </c>
      <c r="J1000" s="194">
        <f>IF(_1_541284561214624104645789101745[[#This Row],[Type]]&gt;0,VLOOKUP(_1_541284561214624104645789101745[[#This Row],[Type]],Main[[#All],[TYPE]:[UNIT]],'Unit Price'!H$1,FALSE),0)</f>
        <v>0</v>
      </c>
      <c r="K1000" s="194">
        <f>IF(_1_541284561214624104645789101745[[#This Row],[Discount selection]]&gt;0,VLOOKUP(_1_541284561214624104645789101745[[#This Row],[Discount selection]],'Discount Structure'!$A$2:$B$30,2,"false"),0)</f>
        <v>1</v>
      </c>
      <c r="L1000" s="194">
        <f>_1_541284561214624104645789101745[[#This Row],[LIST $]]*_1_541284561214624104645789101745[[#This Row],[DISCOUNT]]*_1_541284561214624104645789101745[[#This Row],[DISCOUNT 2]]</f>
        <v>0</v>
      </c>
      <c r="M1000" s="194">
        <f>IF(OR(_1_541284561214624104645789101745[[#This Row],[UNIT]]&gt;0,_1_541284561214624104645789101745[[#This Row],[UNIT]]&lt;0),_1_541284561214624104645789101745[[#This Row],[UNIT]]*_1_541284561214624104645789101745[[#This Row],[COST]],0)</f>
        <v>0</v>
      </c>
      <c r="N1000" s="194">
        <f>$N$7</f>
        <v>1.5</v>
      </c>
      <c r="O1000" s="198">
        <f>_1_541284561214624104645789101745[[#This Row],[TOTAL]]*_1_541284561214624104645789101745[[#This Row],[MARGIN]]</f>
        <v>0</v>
      </c>
      <c r="P1000" s="198"/>
      <c r="R1000" s="41"/>
    </row>
    <row r="1001" spans="4:18">
      <c r="D1001" s="188"/>
      <c r="E1001" s="42"/>
      <c r="F1001" s="168" t="s">
        <v>6202</v>
      </c>
      <c r="G1001" s="193">
        <f>IF(_1_541284561214624104645789101745[[#This Row],[Type]]&gt;0,VLOOKUP(_1_541284561214624104645789101745[[#This Row],[Type]],Main[[#All],[TYPE]:[UNIT]],'Unit Price'!C$1,FALSE),0)</f>
        <v>0</v>
      </c>
      <c r="H1001" s="197">
        <f>IF(_1_541284561214624104645789101745[[#This Row],[Type]]&gt;0,VLOOKUP(_1_541284561214624104645789101745[[#This Row],[Type]],Main[[#All],[TYPE]:[UNIT]],'Unit Price'!D$1,FALSE),0)</f>
        <v>0</v>
      </c>
      <c r="I1001" s="194">
        <f>IF(_1_541284561214624104645789101745[[#This Row],[Type]]&gt;0,VLOOKUP(_1_541284561214624104645789101745[[#This Row],[Type]],Main[[#All],[TYPE]:[UNIT]],'Unit Price'!G$1,FALSE),0)</f>
        <v>0</v>
      </c>
      <c r="J1001" s="194">
        <f>IF(_1_541284561214624104645789101745[[#This Row],[Type]]&gt;0,VLOOKUP(_1_541284561214624104645789101745[[#This Row],[Type]],Main[[#All],[TYPE]:[UNIT]],'Unit Price'!H$1,FALSE),0)</f>
        <v>0</v>
      </c>
      <c r="K1001" s="194">
        <f>IF(_1_541284561214624104645789101745[[#This Row],[Discount selection]]&gt;0,VLOOKUP(_1_541284561214624104645789101745[[#This Row],[Discount selection]],'Discount Structure'!$A$2:$B$30,2,"false"),0)</f>
        <v>1</v>
      </c>
      <c r="L1001" s="194">
        <f>_1_541284561214624104645789101745[[#This Row],[LIST $]]*_1_541284561214624104645789101745[[#This Row],[DISCOUNT]]*_1_541284561214624104645789101745[[#This Row],[DISCOUNT 2]]</f>
        <v>0</v>
      </c>
      <c r="M1001" s="194">
        <f>IF(OR(_1_541284561214624104645789101745[[#This Row],[UNIT]]&gt;0,_1_541284561214624104645789101745[[#This Row],[UNIT]]&lt;0),_1_541284561214624104645789101745[[#This Row],[UNIT]]*_1_541284561214624104645789101745[[#This Row],[COST]],0)</f>
        <v>0</v>
      </c>
      <c r="N1001" s="194">
        <f>$N$7</f>
        <v>1.5</v>
      </c>
      <c r="O1001" s="198">
        <f>_1_541284561214624104645789101745[[#This Row],[TOTAL]]*_1_541284561214624104645789101745[[#This Row],[MARGIN]]</f>
        <v>0</v>
      </c>
      <c r="P1001" s="198"/>
      <c r="R1001" s="41"/>
    </row>
  </sheetData>
  <sheetProtection formatCells="0" formatColumns="0" formatRows="0" insertColumns="0" insertRows="0" deleteColumns="0" deleteRows="0"/>
  <conditionalFormatting sqref="E1:E1048576">
    <cfRule type="colorScale" priority="6">
      <colorScale>
        <cfvo type="min"/>
        <cfvo type="percentile" val="50"/>
        <cfvo type="max"/>
        <color rgb="FFFF7128"/>
        <color rgb="FFFFEB84"/>
        <color rgb="FFFFEF9C"/>
      </colorScale>
    </cfRule>
  </conditionalFormatting>
  <conditionalFormatting sqref="K1:K1048576">
    <cfRule type="cellIs" dxfId="29" priority="7" operator="equal">
      <formula>$K$7</formula>
    </cfRule>
  </conditionalFormatting>
  <conditionalFormatting sqref="N1:N1048576">
    <cfRule type="cellIs" dxfId="28" priority="8" operator="equal">
      <formula>$N$7</formula>
    </cfRule>
  </conditionalFormatting>
  <conditionalFormatting sqref="H1:H1048576">
    <cfRule type="containsText" dxfId="27" priority="1" operator="containsText" text="ABB">
      <formula>NOT(ISERROR(SEARCH("ABB",H1)))</formula>
    </cfRule>
    <cfRule type="containsText" dxfId="26" priority="2" operator="containsText" text="LS">
      <formula>NOT(ISERROR(SEARCH("LS",H1)))</formula>
    </cfRule>
    <cfRule type="containsText" dxfId="25" priority="3" operator="containsText" text="SCHNEIDER">
      <formula>NOT(ISERROR(SEARCH("SCHNEIDER",H1)))</formula>
    </cfRule>
    <cfRule type="containsText" dxfId="24" priority="4" operator="containsText" text="CHINT">
      <formula>NOT(ISERROR(SEARCH("CHINT",H1)))</formula>
    </cfRule>
    <cfRule type="containsText" dxfId="23" priority="5" operator="containsText" text="0">
      <formula>NOT(ISERROR(SEARCH("0",H1)))</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6DC03A99-0166-4A7F-95C2-16B492FFFED6}">
          <x14:formula1>
            <xm:f>'Discount Structure'!$A$2:$A$30</xm:f>
          </x14:formula1>
          <xm:sqref>F9:F1001</xm:sqref>
        </x14:dataValidation>
        <x14:dataValidation type="list" allowBlank="1" showInputMessage="1" showErrorMessage="1" xr:uid="{7A2A6FB5-9614-4BB7-A852-35BD0B0C9FA5}">
          <x14:formula1>
            <xm:f>'Unit Price'!$B:$B</xm:f>
          </x14:formula1>
          <xm:sqref>D79:D1001 D9:D77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DA86F-6CF1-4890-BC44-3873CE80143A}">
  <sheetPr codeName="Sheet222"/>
  <dimension ref="A1:R1001"/>
  <sheetViews>
    <sheetView zoomScale="85" zoomScaleNormal="85" workbookViewId="0">
      <selection activeCell="B4" sqref="B4"/>
    </sheetView>
  </sheetViews>
  <sheetFormatPr defaultColWidth="21.28515625" defaultRowHeight="15"/>
  <cols>
    <col min="1" max="1" width="18.85546875" style="131" bestFit="1" customWidth="1"/>
    <col min="2" max="2" width="73.42578125" style="131" bestFit="1" customWidth="1"/>
    <col min="3" max="3" width="11.85546875" style="131" customWidth="1"/>
    <col min="4" max="4" width="33.7109375" style="40" customWidth="1"/>
    <col min="5" max="5" width="10.7109375" style="41" bestFit="1" customWidth="1"/>
    <col min="6" max="6" width="19.85546875" style="42" bestFit="1" customWidth="1"/>
    <col min="7" max="7" width="44.140625" style="192" bestFit="1" customWidth="1"/>
    <col min="8" max="8" width="11.85546875" style="197" bestFit="1" customWidth="1"/>
    <col min="9" max="9" width="8.7109375" style="194" bestFit="1" customWidth="1"/>
    <col min="10" max="10" width="12.7109375" style="194" bestFit="1" customWidth="1"/>
    <col min="11" max="11" width="14.28515625" style="194" bestFit="1" customWidth="1"/>
    <col min="12" max="12" width="10.28515625" style="194" bestFit="1" customWidth="1"/>
    <col min="13" max="13" width="12.85546875" style="194" bestFit="1" customWidth="1"/>
    <col min="14" max="14" width="11" style="194" bestFit="1" customWidth="1"/>
    <col min="15" max="15" width="15.140625" style="194" bestFit="1" customWidth="1"/>
    <col min="16" max="16" width="10.28515625" style="194" bestFit="1" customWidth="1"/>
    <col min="17" max="17" width="21.28515625" style="41"/>
    <col min="18" max="18" width="21.28515625" style="43"/>
    <col min="19" max="16384" width="21.28515625" style="41"/>
  </cols>
  <sheetData>
    <row r="1" spans="1:18" ht="46.5">
      <c r="A1" s="218" t="s">
        <v>5780</v>
      </c>
      <c r="B1" s="218" t="s">
        <v>29</v>
      </c>
      <c r="C1" s="219"/>
      <c r="F1" s="41"/>
      <c r="G1" s="39"/>
      <c r="H1" s="42"/>
      <c r="I1" s="41"/>
      <c r="J1" s="41"/>
      <c r="K1" s="41"/>
      <c r="L1" s="41"/>
      <c r="M1" s="41"/>
      <c r="N1" s="41"/>
      <c r="O1" s="43"/>
      <c r="P1" s="41"/>
      <c r="R1" s="41"/>
    </row>
    <row r="2" spans="1:18" ht="23.25">
      <c r="A2" s="161" t="s">
        <v>7837</v>
      </c>
      <c r="B2" s="161" t="s">
        <v>7824</v>
      </c>
      <c r="C2" s="184"/>
      <c r="F2" s="41"/>
      <c r="G2" s="39"/>
      <c r="H2" s="42"/>
      <c r="I2" s="41"/>
      <c r="J2" s="41"/>
      <c r="K2" s="41"/>
      <c r="L2" s="41"/>
      <c r="M2" s="41"/>
      <c r="N2" s="41"/>
      <c r="O2" s="43"/>
      <c r="P2" s="41"/>
      <c r="R2" s="41"/>
    </row>
    <row r="3" spans="1:18">
      <c r="A3" s="40"/>
      <c r="B3" s="40"/>
      <c r="C3" s="40"/>
      <c r="D3" s="41"/>
      <c r="F3" s="41"/>
      <c r="G3" s="39"/>
      <c r="H3" s="42"/>
      <c r="I3" s="41"/>
      <c r="J3" s="41"/>
      <c r="K3" s="41"/>
      <c r="L3" s="41"/>
      <c r="M3" s="41"/>
      <c r="N3" s="41"/>
      <c r="O3" s="43"/>
      <c r="P3" s="41"/>
      <c r="R3" s="41"/>
    </row>
    <row r="4" spans="1:18">
      <c r="A4" s="40"/>
      <c r="B4" s="40"/>
      <c r="C4" s="40"/>
      <c r="D4" s="41"/>
      <c r="F4" s="41"/>
      <c r="G4" s="39"/>
      <c r="H4" s="42"/>
      <c r="I4" s="41"/>
      <c r="J4" s="41"/>
      <c r="K4" s="41"/>
      <c r="L4" s="41"/>
      <c r="M4" s="41"/>
      <c r="N4" s="41"/>
      <c r="O4" s="43"/>
      <c r="P4" s="41"/>
      <c r="R4" s="41"/>
    </row>
    <row r="5" spans="1:18">
      <c r="A5" s="40"/>
      <c r="B5" s="40"/>
      <c r="C5" s="40"/>
      <c r="D5" s="41"/>
      <c r="F5" s="41"/>
      <c r="G5" s="39"/>
      <c r="H5" s="42"/>
      <c r="I5" s="41"/>
      <c r="J5" s="41"/>
      <c r="K5" s="41"/>
      <c r="L5" s="41"/>
      <c r="M5" s="41"/>
      <c r="N5" s="41"/>
      <c r="O5" s="43"/>
      <c r="P5" s="41"/>
      <c r="R5" s="41"/>
    </row>
    <row r="6" spans="1:18" ht="15.75">
      <c r="A6" s="40"/>
      <c r="B6" s="40"/>
      <c r="C6" s="40"/>
      <c r="D6" s="41"/>
      <c r="F6" s="41"/>
      <c r="G6" s="39"/>
      <c r="H6" s="42"/>
      <c r="I6" s="41"/>
      <c r="J6" s="41"/>
      <c r="K6" s="41"/>
      <c r="L6" s="41"/>
      <c r="M6" s="206" t="s">
        <v>279</v>
      </c>
      <c r="N6" s="207"/>
      <c r="O6" s="208" t="s">
        <v>280</v>
      </c>
      <c r="P6" s="206" t="s">
        <v>281</v>
      </c>
      <c r="R6" s="41"/>
    </row>
    <row r="7" spans="1:18">
      <c r="F7" s="40"/>
      <c r="G7" s="39"/>
      <c r="H7" s="42"/>
      <c r="I7" s="41"/>
      <c r="J7" s="41"/>
      <c r="K7" s="41">
        <v>1</v>
      </c>
      <c r="L7" s="41"/>
      <c r="M7" s="209">
        <f>SUM(_1_5412845612146241046457891017456[TOTAL])</f>
        <v>691.76420559999997</v>
      </c>
      <c r="N7" s="41">
        <v>1.3</v>
      </c>
      <c r="O7" s="210">
        <f>SUM(_1_5412845612146241046457891017456[QUOTE])</f>
        <v>899.29346728000007</v>
      </c>
      <c r="P7" s="209">
        <f>O7-M7</f>
        <v>207.5292616800001</v>
      </c>
      <c r="R7" s="41"/>
    </row>
    <row r="8" spans="1:18">
      <c r="A8" s="220" t="s">
        <v>6194</v>
      </c>
      <c r="B8" s="220" t="s">
        <v>6195</v>
      </c>
      <c r="C8" s="220" t="s">
        <v>6196</v>
      </c>
      <c r="D8" s="40" t="s">
        <v>283</v>
      </c>
      <c r="E8" s="191" t="s">
        <v>284</v>
      </c>
      <c r="F8" s="40" t="s">
        <v>6206</v>
      </c>
      <c r="G8" s="193" t="s">
        <v>278</v>
      </c>
      <c r="H8" s="199" t="s">
        <v>282</v>
      </c>
      <c r="I8" s="200" t="s">
        <v>285</v>
      </c>
      <c r="J8" s="200" t="s">
        <v>286</v>
      </c>
      <c r="K8" s="200" t="s">
        <v>287</v>
      </c>
      <c r="L8" s="201" t="s">
        <v>288</v>
      </c>
      <c r="M8" s="202" t="s">
        <v>289</v>
      </c>
      <c r="N8" s="200" t="s">
        <v>290</v>
      </c>
      <c r="O8" s="203" t="s">
        <v>291</v>
      </c>
      <c r="R8" s="41"/>
    </row>
    <row r="9" spans="1:18">
      <c r="A9" s="357"/>
      <c r="B9" s="354"/>
      <c r="C9" s="168"/>
      <c r="D9" s="311"/>
      <c r="F9" s="168" t="s">
        <v>6202</v>
      </c>
      <c r="G9" s="193">
        <f>IF(_1_5412845612146241046457891017456[[#This Row],[Type]]&gt;0,VLOOKUP(_1_5412845612146241046457891017456[[#This Row],[Type]],Main[[#All],[TYPE]:[UNIT]],'Unit Price'!C$1,FALSE),0)</f>
        <v>0</v>
      </c>
      <c r="H9" s="197">
        <f>IF(_1_5412845612146241046457891017456[[#This Row],[Type]]&gt;0,VLOOKUP(_1_5412845612146241046457891017456[[#This Row],[Type]],Main[[#All],[TYPE]:[UNIT]],'Unit Price'!D$1,FALSE),0)</f>
        <v>0</v>
      </c>
      <c r="I9" s="194">
        <f>IF(_1_5412845612146241046457891017456[[#This Row],[Type]]&gt;0,VLOOKUP(_1_5412845612146241046457891017456[[#This Row],[Type]],Main[[#All],[TYPE]:[UNIT]],'Unit Price'!G$1,FALSE),0)</f>
        <v>0</v>
      </c>
      <c r="J9" s="194">
        <f>IF(_1_5412845612146241046457891017456[[#This Row],[Type]]&gt;0,VLOOKUP(_1_5412845612146241046457891017456[[#This Row],[Type]],Main[[#All],[TYPE]:[UNIT]],'Unit Price'!H$1,FALSE),0)</f>
        <v>0</v>
      </c>
      <c r="K9" s="194">
        <f>IF(_1_5412845612146241046457891017456[[#This Row],[Discount selection]]&gt;0,VLOOKUP(_1_5412845612146241046457891017456[[#This Row],[Discount selection]],'Discount Structure'!$A$2:$B$30,2,"false"),0)</f>
        <v>1</v>
      </c>
      <c r="L9" s="194">
        <f>_1_5412845612146241046457891017456[[#This Row],[LIST $]]*_1_5412845612146241046457891017456[[#This Row],[DISCOUNT]]*_1_5412845612146241046457891017456[[#This Row],[DISCOUNT 2]]</f>
        <v>0</v>
      </c>
      <c r="M9" s="194">
        <f>IF(OR(_1_5412845612146241046457891017456[[#This Row],[UNIT]]&gt;0,_1_5412845612146241046457891017456[[#This Row],[UNIT]]&lt;0),_1_5412845612146241046457891017456[[#This Row],[UNIT]]*_1_5412845612146241046457891017456[[#This Row],[COST]],0)</f>
        <v>0</v>
      </c>
      <c r="N9" s="194">
        <f t="shared" ref="N9:N73" si="0">$N$7</f>
        <v>1.3</v>
      </c>
      <c r="O9" s="198">
        <f>_1_5412845612146241046457891017456[[#This Row],[TOTAL]]*_1_5412845612146241046457891017456[[#This Row],[MARGIN]]</f>
        <v>0</v>
      </c>
      <c r="P9" s="198"/>
      <c r="R9" s="41"/>
    </row>
    <row r="10" spans="1:18">
      <c r="B10" s="168"/>
      <c r="C10" s="312"/>
      <c r="D10" s="384" t="s">
        <v>1569</v>
      </c>
      <c r="E10" s="41">
        <v>1</v>
      </c>
      <c r="F10" s="168" t="s">
        <v>6202</v>
      </c>
      <c r="G10" s="193" t="str">
        <f>IF(_1_5412845612146241046457891017456[[#This Row],[Type]]&gt;0,VLOOKUP(_1_5412845612146241046457891017456[[#This Row],[Type]],Main[[#All],[TYPE]:[UNIT]],'Unit Price'!C$1,FALSE),0)</f>
        <v>40A 3P 50kA MCCB</v>
      </c>
      <c r="H10" s="197" t="str">
        <f>IF(_1_5412845612146241046457891017456[[#This Row],[Type]]&gt;0,VLOOKUP(_1_5412845612146241046457891017456[[#This Row],[Type]],Main[[#All],[TYPE]:[UNIT]],'Unit Price'!D$1,FALSE),0)</f>
        <v>CHINT</v>
      </c>
      <c r="I10" s="194">
        <f>IF(_1_5412845612146241046457891017456[[#This Row],[Type]]&gt;0,VLOOKUP(_1_5412845612146241046457891017456[[#This Row],[Type]],Main[[#All],[TYPE]:[UNIT]],'Unit Price'!G$1,FALSE),0)</f>
        <v>501</v>
      </c>
      <c r="J10" s="194">
        <f>IF(_1_5412845612146241046457891017456[[#This Row],[Type]]&gt;0,VLOOKUP(_1_5412845612146241046457891017456[[#This Row],[Type]],Main[[#All],[TYPE]:[UNIT]],'Unit Price'!H$1,FALSE),0)</f>
        <v>0.47155599999999998</v>
      </c>
      <c r="K10" s="194">
        <f>IF(_1_5412845612146241046457891017456[[#This Row],[Discount selection]]&gt;0,VLOOKUP(_1_5412845612146241046457891017456[[#This Row],[Discount selection]],'Discount Structure'!$A$2:$B$30,2,"false"),0)</f>
        <v>1</v>
      </c>
      <c r="L10" s="194">
        <f>_1_5412845612146241046457891017456[[#This Row],[LIST $]]*_1_5412845612146241046457891017456[[#This Row],[DISCOUNT]]*_1_5412845612146241046457891017456[[#This Row],[DISCOUNT 2]]</f>
        <v>236.24955599999998</v>
      </c>
      <c r="M10" s="194">
        <f>IF(OR(_1_5412845612146241046457891017456[[#This Row],[UNIT]]&gt;0,_1_5412845612146241046457891017456[[#This Row],[UNIT]]&lt;0),_1_5412845612146241046457891017456[[#This Row],[UNIT]]*_1_5412845612146241046457891017456[[#This Row],[COST]],0)</f>
        <v>236.24955599999998</v>
      </c>
      <c r="N10" s="194">
        <f t="shared" si="0"/>
        <v>1.3</v>
      </c>
      <c r="O10" s="198">
        <f>_1_5412845612146241046457891017456[[#This Row],[TOTAL]]*_1_5412845612146241046457891017456[[#This Row],[MARGIN]]</f>
        <v>307.12442279999999</v>
      </c>
      <c r="R10" s="41"/>
    </row>
    <row r="11" spans="1:18">
      <c r="D11" s="188" t="s">
        <v>331</v>
      </c>
      <c r="E11" s="41">
        <v>1</v>
      </c>
      <c r="F11" s="168" t="s">
        <v>6202</v>
      </c>
      <c r="G11" s="193" t="str">
        <f>IF(_1_5412845612146241046457891017456[[#This Row],[Type]]&gt;0,VLOOKUP(_1_5412845612146241046457891017456[[#This Row],[Type]],Main[[#All],[TYPE]:[UNIT]],'Unit Price'!C$1,FALSE),0)</f>
        <v>40A 4P 100mA ELCB</v>
      </c>
      <c r="H11" s="197" t="str">
        <f>IF(_1_5412845612146241046457891017456[[#This Row],[Type]]&gt;0,VLOOKUP(_1_5412845612146241046457891017456[[#This Row],[Type]],Main[[#All],[TYPE]:[UNIT]],'Unit Price'!D$1,FALSE),0)</f>
        <v>CHINT</v>
      </c>
      <c r="I11" s="194">
        <f>IF(_1_5412845612146241046457891017456[[#This Row],[Type]]&gt;0,VLOOKUP(_1_5412845612146241046457891017456[[#This Row],[Type]],Main[[#All],[TYPE]:[UNIT]],'Unit Price'!G$1,FALSE),0)</f>
        <v>154</v>
      </c>
      <c r="J11" s="194">
        <f>IF(_1_5412845612146241046457891017456[[#This Row],[Type]]&gt;0,VLOOKUP(_1_5412845612146241046457891017456[[#This Row],[Type]],Main[[#All],[TYPE]:[UNIT]],'Unit Price'!H$1,FALSE),0)</f>
        <v>0.47155599999999998</v>
      </c>
      <c r="K11" s="194">
        <f>IF(_1_5412845612146241046457891017456[[#This Row],[Discount selection]]&gt;0,VLOOKUP(_1_5412845612146241046457891017456[[#This Row],[Discount selection]],'Discount Structure'!$A$2:$B$30,2,"false"),0)</f>
        <v>1</v>
      </c>
      <c r="L11" s="194">
        <f>_1_5412845612146241046457891017456[[#This Row],[LIST $]]*_1_5412845612146241046457891017456[[#This Row],[DISCOUNT]]*_1_5412845612146241046457891017456[[#This Row],[DISCOUNT 2]]</f>
        <v>72.619624000000002</v>
      </c>
      <c r="M11" s="194">
        <f>IF(OR(_1_5412845612146241046457891017456[[#This Row],[UNIT]]&gt;0,_1_5412845612146241046457891017456[[#This Row],[UNIT]]&lt;0),_1_5412845612146241046457891017456[[#This Row],[UNIT]]*_1_5412845612146241046457891017456[[#This Row],[COST]],0)</f>
        <v>72.619624000000002</v>
      </c>
      <c r="N11" s="194">
        <f t="shared" si="0"/>
        <v>1.3</v>
      </c>
      <c r="O11" s="198">
        <f>_1_5412845612146241046457891017456[[#This Row],[TOTAL]]*_1_5412845612146241046457891017456[[#This Row],[MARGIN]]</f>
        <v>94.405511200000007</v>
      </c>
      <c r="R11" s="41"/>
    </row>
    <row r="12" spans="1:18">
      <c r="D12" s="188" t="s">
        <v>299</v>
      </c>
      <c r="E12" s="313">
        <v>8</v>
      </c>
      <c r="F12" s="168" t="s">
        <v>6202</v>
      </c>
      <c r="G12" s="193" t="str">
        <f>IF(_1_5412845612146241046457891017456[[#This Row],[Type]]&gt;0,VLOOKUP(_1_5412845612146241046457891017456[[#This Row],[Type]],Main[[#All],[TYPE]:[UNIT]],'Unit Price'!C$1,FALSE),0)</f>
        <v>10MM SQ PVC CABLE (40A)</v>
      </c>
      <c r="H12" s="197" t="str">
        <f>IF(_1_5412845612146241046457891017456[[#This Row],[Type]]&gt;0,VLOOKUP(_1_5412845612146241046457891017456[[#This Row],[Type]],Main[[#All],[TYPE]:[UNIT]],'Unit Price'!D$1,FALSE),0)</f>
        <v>UC</v>
      </c>
      <c r="I12" s="194">
        <f>IF(_1_5412845612146241046457891017456[[#This Row],[Type]]&gt;0,VLOOKUP(_1_5412845612146241046457891017456[[#This Row],[Type]],Main[[#All],[TYPE]:[UNIT]],'Unit Price'!G$1,FALSE),0)</f>
        <v>6</v>
      </c>
      <c r="J12" s="194">
        <f>IF(_1_5412845612146241046457891017456[[#This Row],[Type]]&gt;0,VLOOKUP(_1_5412845612146241046457891017456[[#This Row],[Type]],Main[[#All],[TYPE]:[UNIT]],'Unit Price'!H$1,FALSE),0)</f>
        <v>1</v>
      </c>
      <c r="K12" s="194">
        <f>IF(_1_5412845612146241046457891017456[[#This Row],[Discount selection]]&gt;0,VLOOKUP(_1_5412845612146241046457891017456[[#This Row],[Discount selection]],'Discount Structure'!$A$2:$B$30,2,"false"),0)</f>
        <v>1</v>
      </c>
      <c r="L12" s="194">
        <f>_1_5412845612146241046457891017456[[#This Row],[LIST $]]*_1_5412845612146241046457891017456[[#This Row],[DISCOUNT]]*_1_5412845612146241046457891017456[[#This Row],[DISCOUNT 2]]</f>
        <v>6</v>
      </c>
      <c r="M12" s="194">
        <f>IF(OR(_1_5412845612146241046457891017456[[#This Row],[UNIT]]&gt;0,_1_5412845612146241046457891017456[[#This Row],[UNIT]]&lt;0),_1_5412845612146241046457891017456[[#This Row],[UNIT]]*_1_5412845612146241046457891017456[[#This Row],[COST]],0)</f>
        <v>48</v>
      </c>
      <c r="N12" s="194">
        <f>$N$7</f>
        <v>1.3</v>
      </c>
      <c r="O12" s="198">
        <f>_1_5412845612146241046457891017456[[#This Row],[TOTAL]]*_1_5412845612146241046457891017456[[#This Row],[MARGIN]]</f>
        <v>62.400000000000006</v>
      </c>
      <c r="R12" s="41"/>
    </row>
    <row r="13" spans="1:18">
      <c r="D13" s="188"/>
      <c r="F13" s="168" t="s">
        <v>6202</v>
      </c>
      <c r="G13" s="193">
        <f>IF(_1_5412845612146241046457891017456[[#This Row],[Type]]&gt;0,VLOOKUP(_1_5412845612146241046457891017456[[#This Row],[Type]],Main[[#All],[TYPE]:[UNIT]],'Unit Price'!C$1,FALSE),0)</f>
        <v>0</v>
      </c>
      <c r="H13" s="197">
        <f>IF(_1_5412845612146241046457891017456[[#This Row],[Type]]&gt;0,VLOOKUP(_1_5412845612146241046457891017456[[#This Row],[Type]],Main[[#All],[TYPE]:[UNIT]],'Unit Price'!D$1,FALSE),0)</f>
        <v>0</v>
      </c>
      <c r="I13" s="194">
        <f>IF(_1_5412845612146241046457891017456[[#This Row],[Type]]&gt;0,VLOOKUP(_1_5412845612146241046457891017456[[#This Row],[Type]],Main[[#All],[TYPE]:[UNIT]],'Unit Price'!G$1,FALSE),0)</f>
        <v>0</v>
      </c>
      <c r="J13" s="194">
        <f>IF(_1_5412845612146241046457891017456[[#This Row],[Type]]&gt;0,VLOOKUP(_1_5412845612146241046457891017456[[#This Row],[Type]],Main[[#All],[TYPE]:[UNIT]],'Unit Price'!H$1,FALSE),0)</f>
        <v>0</v>
      </c>
      <c r="K13" s="194">
        <f>IF(_1_5412845612146241046457891017456[[#This Row],[Discount selection]]&gt;0,VLOOKUP(_1_5412845612146241046457891017456[[#This Row],[Discount selection]],'Discount Structure'!$A$2:$B$30,2,"false"),0)</f>
        <v>1</v>
      </c>
      <c r="L13" s="194">
        <f>_1_5412845612146241046457891017456[[#This Row],[LIST $]]*_1_5412845612146241046457891017456[[#This Row],[DISCOUNT]]*_1_5412845612146241046457891017456[[#This Row],[DISCOUNT 2]]</f>
        <v>0</v>
      </c>
      <c r="M13" s="194">
        <f>IF(OR(_1_5412845612146241046457891017456[[#This Row],[UNIT]]&gt;0,_1_5412845612146241046457891017456[[#This Row],[UNIT]]&lt;0),_1_5412845612146241046457891017456[[#This Row],[UNIT]]*_1_5412845612146241046457891017456[[#This Row],[COST]],0)</f>
        <v>0</v>
      </c>
      <c r="N13" s="194">
        <f t="shared" si="0"/>
        <v>1.3</v>
      </c>
      <c r="O13" s="198">
        <f>_1_5412845612146241046457891017456[[#This Row],[TOTAL]]*_1_5412845612146241046457891017456[[#This Row],[MARGIN]]</f>
        <v>0</v>
      </c>
      <c r="R13" s="41"/>
    </row>
    <row r="14" spans="1:18">
      <c r="A14" s="168"/>
      <c r="C14" s="168"/>
      <c r="D14" s="188" t="s">
        <v>313</v>
      </c>
      <c r="E14" s="41">
        <v>12</v>
      </c>
      <c r="F14" s="168" t="s">
        <v>6202</v>
      </c>
      <c r="G14" s="193" t="str">
        <f>IF(_1_5412845612146241046457891017456[[#This Row],[Type]]&gt;0,VLOOKUP(_1_5412845612146241046457891017456[[#This Row],[Type]],Main[[#All],[TYPE]:[UNIT]],'Unit Price'!C$1,FALSE),0)</f>
        <v>6A ~ 40A 1P 6kA MCB</v>
      </c>
      <c r="H14" s="197" t="str">
        <f>IF(_1_5412845612146241046457891017456[[#This Row],[Type]]&gt;0,VLOOKUP(_1_5412845612146241046457891017456[[#This Row],[Type]],Main[[#All],[TYPE]:[UNIT]],'Unit Price'!D$1,FALSE),0)</f>
        <v>CHINT</v>
      </c>
      <c r="I14" s="194">
        <f>IF(_1_5412845612146241046457891017456[[#This Row],[Type]]&gt;0,VLOOKUP(_1_5412845612146241046457891017456[[#This Row],[Type]],Main[[#All],[TYPE]:[UNIT]],'Unit Price'!G$1,FALSE),0)</f>
        <v>17.3</v>
      </c>
      <c r="J14" s="194">
        <f>IF(_1_5412845612146241046457891017456[[#This Row],[Type]]&gt;0,VLOOKUP(_1_5412845612146241046457891017456[[#This Row],[Type]],Main[[#All],[TYPE]:[UNIT]],'Unit Price'!H$1,FALSE),0)</f>
        <v>0.47155599999999998</v>
      </c>
      <c r="K14" s="194">
        <f>IF(_1_5412845612146241046457891017456[[#This Row],[Discount selection]]&gt;0,VLOOKUP(_1_5412845612146241046457891017456[[#This Row],[Discount selection]],'Discount Structure'!$A$2:$B$30,2,"false"),0)</f>
        <v>1</v>
      </c>
      <c r="L14" s="194">
        <f>_1_5412845612146241046457891017456[[#This Row],[LIST $]]*_1_5412845612146241046457891017456[[#This Row],[DISCOUNT]]*_1_5412845612146241046457891017456[[#This Row],[DISCOUNT 2]]</f>
        <v>8.1579187999999991</v>
      </c>
      <c r="M14" s="194">
        <f>IF(OR(_1_5412845612146241046457891017456[[#This Row],[UNIT]]&gt;0,_1_5412845612146241046457891017456[[#This Row],[UNIT]]&lt;0),_1_5412845612146241046457891017456[[#This Row],[UNIT]]*_1_5412845612146241046457891017456[[#This Row],[COST]],0)</f>
        <v>97.895025599999997</v>
      </c>
      <c r="N14" s="194">
        <f t="shared" si="0"/>
        <v>1.3</v>
      </c>
      <c r="O14" s="198">
        <f>_1_5412845612146241046457891017456[[#This Row],[TOTAL]]*_1_5412845612146241046457891017456[[#This Row],[MARGIN]]</f>
        <v>127.26353328</v>
      </c>
      <c r="R14" s="41"/>
    </row>
    <row r="15" spans="1:18">
      <c r="C15" s="168"/>
      <c r="D15" s="188"/>
      <c r="F15" s="168" t="s">
        <v>6202</v>
      </c>
      <c r="G15" s="193">
        <f>IF(_1_5412845612146241046457891017456[[#This Row],[Type]]&gt;0,VLOOKUP(_1_5412845612146241046457891017456[[#This Row],[Type]],Main[[#All],[TYPE]:[UNIT]],'Unit Price'!C$1,FALSE),0)</f>
        <v>0</v>
      </c>
      <c r="H15" s="197">
        <f>IF(_1_5412845612146241046457891017456[[#This Row],[Type]]&gt;0,VLOOKUP(_1_5412845612146241046457891017456[[#This Row],[Type]],Main[[#All],[TYPE]:[UNIT]],'Unit Price'!D$1,FALSE),0)</f>
        <v>0</v>
      </c>
      <c r="I15" s="194">
        <f>IF(_1_5412845612146241046457891017456[[#This Row],[Type]]&gt;0,VLOOKUP(_1_5412845612146241046457891017456[[#This Row],[Type]],Main[[#All],[TYPE]:[UNIT]],'Unit Price'!G$1,FALSE),0)</f>
        <v>0</v>
      </c>
      <c r="J15" s="194">
        <f>IF(_1_5412845612146241046457891017456[[#This Row],[Type]]&gt;0,VLOOKUP(_1_5412845612146241046457891017456[[#This Row],[Type]],Main[[#All],[TYPE]:[UNIT]],'Unit Price'!H$1,FALSE),0)</f>
        <v>0</v>
      </c>
      <c r="K15" s="194">
        <f>IF(_1_5412845612146241046457891017456[[#This Row],[Discount selection]]&gt;0,VLOOKUP(_1_5412845612146241046457891017456[[#This Row],[Discount selection]],'Discount Structure'!$A$2:$B$30,2,"false"),0)</f>
        <v>1</v>
      </c>
      <c r="L15" s="194">
        <f>_1_5412845612146241046457891017456[[#This Row],[LIST $]]*_1_5412845612146241046457891017456[[#This Row],[DISCOUNT]]*_1_5412845612146241046457891017456[[#This Row],[DISCOUNT 2]]</f>
        <v>0</v>
      </c>
      <c r="M15" s="194">
        <f>IF(OR(_1_5412845612146241046457891017456[[#This Row],[UNIT]]&gt;0,_1_5412845612146241046457891017456[[#This Row],[UNIT]]&lt;0),_1_5412845612146241046457891017456[[#This Row],[UNIT]]*_1_5412845612146241046457891017456[[#This Row],[COST]],0)</f>
        <v>0</v>
      </c>
      <c r="N15" s="194">
        <f t="shared" si="0"/>
        <v>1.3</v>
      </c>
      <c r="O15" s="198">
        <f>_1_5412845612146241046457891017456[[#This Row],[TOTAL]]*_1_5412845612146241046457891017456[[#This Row],[MARGIN]]</f>
        <v>0</v>
      </c>
      <c r="R15" s="41"/>
    </row>
    <row r="16" spans="1:18">
      <c r="A16" s="168"/>
      <c r="C16" s="168"/>
      <c r="D16" s="188" t="s">
        <v>5800</v>
      </c>
      <c r="E16" s="41">
        <v>1</v>
      </c>
      <c r="F16" s="168" t="s">
        <v>6202</v>
      </c>
      <c r="G16" s="193" t="str">
        <f>IF(_1_5412845612146241046457891017456[[#This Row],[Type]]&gt;0,VLOOKUP(_1_5412845612146241046457891017456[[#This Row],[Type]],Main[[#All],[TYPE]:[UNIT]],'Unit Price'!C$1,FALSE),0)</f>
        <v>DB, MCCB incoming,
2R 12W
400x500x150</v>
      </c>
      <c r="H16" s="197" t="str">
        <f>IF(_1_5412845612146241046457891017456[[#This Row],[Type]]&gt;0,VLOOKUP(_1_5412845612146241046457891017456[[#This Row],[Type]],Main[[#All],[TYPE]:[UNIT]],'Unit Price'!D$1,FALSE),0)</f>
        <v>TK</v>
      </c>
      <c r="I16" s="194">
        <f>IF(_1_5412845612146241046457891017456[[#This Row],[Type]]&gt;0,VLOOKUP(_1_5412845612146241046457891017456[[#This Row],[Type]],Main[[#All],[TYPE]:[UNIT]],'Unit Price'!G$1,FALSE),0)</f>
        <v>237</v>
      </c>
      <c r="J16" s="194">
        <f>IF(_1_5412845612146241046457891017456[[#This Row],[Type]]&gt;0,VLOOKUP(_1_5412845612146241046457891017456[[#This Row],[Type]],Main[[#All],[TYPE]:[UNIT]],'Unit Price'!H$1,FALSE),0)</f>
        <v>1</v>
      </c>
      <c r="K16" s="194">
        <f>IF(_1_5412845612146241046457891017456[[#This Row],[Discount selection]]&gt;0,VLOOKUP(_1_5412845612146241046457891017456[[#This Row],[Discount selection]],'Discount Structure'!$A$2:$B$30,2,"false"),0)</f>
        <v>1</v>
      </c>
      <c r="L16" s="194">
        <f>_1_5412845612146241046457891017456[[#This Row],[LIST $]]*_1_5412845612146241046457891017456[[#This Row],[DISCOUNT]]*_1_5412845612146241046457891017456[[#This Row],[DISCOUNT 2]]</f>
        <v>237</v>
      </c>
      <c r="M16" s="194">
        <f>IF(OR(_1_5412845612146241046457891017456[[#This Row],[UNIT]]&gt;0,_1_5412845612146241046457891017456[[#This Row],[UNIT]]&lt;0),_1_5412845612146241046457891017456[[#This Row],[UNIT]]*_1_5412845612146241046457891017456[[#This Row],[COST]],0)</f>
        <v>237</v>
      </c>
      <c r="N16" s="194">
        <f t="shared" si="0"/>
        <v>1.3</v>
      </c>
      <c r="O16" s="198">
        <f>_1_5412845612146241046457891017456[[#This Row],[TOTAL]]*_1_5412845612146241046457891017456[[#This Row],[MARGIN]]</f>
        <v>308.10000000000002</v>
      </c>
      <c r="R16" s="41"/>
    </row>
    <row r="17" spans="1:18">
      <c r="C17" s="168"/>
      <c r="D17" s="314"/>
      <c r="F17" s="168" t="s">
        <v>6202</v>
      </c>
      <c r="G17" s="193">
        <f>IF(_1_5412845612146241046457891017456[[#This Row],[Type]]&gt;0,VLOOKUP(_1_5412845612146241046457891017456[[#This Row],[Type]],Main[[#All],[TYPE]:[UNIT]],'Unit Price'!C$1,FALSE),0)</f>
        <v>0</v>
      </c>
      <c r="H17" s="197">
        <f>IF(_1_5412845612146241046457891017456[[#This Row],[Type]]&gt;0,VLOOKUP(_1_5412845612146241046457891017456[[#This Row],[Type]],Main[[#All],[TYPE]:[UNIT]],'Unit Price'!D$1,FALSE),0)</f>
        <v>0</v>
      </c>
      <c r="I17" s="194">
        <f>IF(_1_5412845612146241046457891017456[[#This Row],[Type]]&gt;0,VLOOKUP(_1_5412845612146241046457891017456[[#This Row],[Type]],Main[[#All],[TYPE]:[UNIT]],'Unit Price'!G$1,FALSE),0)</f>
        <v>0</v>
      </c>
      <c r="J17" s="194">
        <f>IF(_1_5412845612146241046457891017456[[#This Row],[Type]]&gt;0,VLOOKUP(_1_5412845612146241046457891017456[[#This Row],[Type]],Main[[#All],[TYPE]:[UNIT]],'Unit Price'!H$1,FALSE),0)</f>
        <v>0</v>
      </c>
      <c r="K17" s="194">
        <f>IF(_1_5412845612146241046457891017456[[#This Row],[Discount selection]]&gt;0,VLOOKUP(_1_5412845612146241046457891017456[[#This Row],[Discount selection]],'Discount Structure'!$A$2:$B$30,2,"false"),0)</f>
        <v>1</v>
      </c>
      <c r="L17" s="194">
        <f>_1_5412845612146241046457891017456[[#This Row],[LIST $]]*_1_5412845612146241046457891017456[[#This Row],[DISCOUNT]]*_1_5412845612146241046457891017456[[#This Row],[DISCOUNT 2]]</f>
        <v>0</v>
      </c>
      <c r="M17" s="194">
        <f>IF(OR(_1_5412845612146241046457891017456[[#This Row],[UNIT]]&gt;0,_1_5412845612146241046457891017456[[#This Row],[UNIT]]&lt;0),_1_5412845612146241046457891017456[[#This Row],[UNIT]]*_1_5412845612146241046457891017456[[#This Row],[COST]],0)</f>
        <v>0</v>
      </c>
      <c r="N17" s="194">
        <f t="shared" si="0"/>
        <v>1.3</v>
      </c>
      <c r="O17" s="198">
        <f>_1_5412845612146241046457891017456[[#This Row],[TOTAL]]*_1_5412845612146241046457891017456[[#This Row],[MARGIN]]</f>
        <v>0</v>
      </c>
      <c r="R17" s="41"/>
    </row>
    <row r="18" spans="1:18">
      <c r="A18" s="168"/>
      <c r="C18" s="168"/>
      <c r="D18" s="188"/>
      <c r="F18" s="168" t="s">
        <v>6202</v>
      </c>
      <c r="G18" s="193">
        <f>IF(_1_5412845612146241046457891017456[[#This Row],[Type]]&gt;0,VLOOKUP(_1_5412845612146241046457891017456[[#This Row],[Type]],Main[[#All],[TYPE]:[UNIT]],'Unit Price'!C$1,FALSE),0)</f>
        <v>0</v>
      </c>
      <c r="H18" s="197">
        <f>IF(_1_5412845612146241046457891017456[[#This Row],[Type]]&gt;0,VLOOKUP(_1_5412845612146241046457891017456[[#This Row],[Type]],Main[[#All],[TYPE]:[UNIT]],'Unit Price'!D$1,FALSE),0)</f>
        <v>0</v>
      </c>
      <c r="I18" s="194">
        <f>IF(_1_5412845612146241046457891017456[[#This Row],[Type]]&gt;0,VLOOKUP(_1_5412845612146241046457891017456[[#This Row],[Type]],Main[[#All],[TYPE]:[UNIT]],'Unit Price'!G$1,FALSE),0)</f>
        <v>0</v>
      </c>
      <c r="J18" s="194">
        <f>IF(_1_5412845612146241046457891017456[[#This Row],[Type]]&gt;0,VLOOKUP(_1_5412845612146241046457891017456[[#This Row],[Type]],Main[[#All],[TYPE]:[UNIT]],'Unit Price'!H$1,FALSE),0)</f>
        <v>0</v>
      </c>
      <c r="K18" s="194">
        <f>IF(_1_5412845612146241046457891017456[[#This Row],[Discount selection]]&gt;0,VLOOKUP(_1_5412845612146241046457891017456[[#This Row],[Discount selection]],'Discount Structure'!$A$2:$B$30,2,"false"),0)</f>
        <v>1</v>
      </c>
      <c r="L18" s="194">
        <f>_1_5412845612146241046457891017456[[#This Row],[LIST $]]*_1_5412845612146241046457891017456[[#This Row],[DISCOUNT]]*_1_5412845612146241046457891017456[[#This Row],[DISCOUNT 2]]</f>
        <v>0</v>
      </c>
      <c r="M18" s="194">
        <f>IF(OR(_1_5412845612146241046457891017456[[#This Row],[UNIT]]&gt;0,_1_5412845612146241046457891017456[[#This Row],[UNIT]]&lt;0),_1_5412845612146241046457891017456[[#This Row],[UNIT]]*_1_5412845612146241046457891017456[[#This Row],[COST]],0)</f>
        <v>0</v>
      </c>
      <c r="N18" s="194">
        <f t="shared" si="0"/>
        <v>1.3</v>
      </c>
      <c r="O18" s="198">
        <f>_1_5412845612146241046457891017456[[#This Row],[TOTAL]]*_1_5412845612146241046457891017456[[#This Row],[MARGIN]]</f>
        <v>0</v>
      </c>
      <c r="R18" s="41"/>
    </row>
    <row r="19" spans="1:18">
      <c r="C19" s="168"/>
      <c r="D19" s="188"/>
      <c r="F19" s="168" t="s">
        <v>6202</v>
      </c>
      <c r="G19" s="193">
        <f>IF(_1_5412845612146241046457891017456[[#This Row],[Type]]&gt;0,VLOOKUP(_1_5412845612146241046457891017456[[#This Row],[Type]],Main[[#All],[TYPE]:[UNIT]],'Unit Price'!C$1,FALSE),0)</f>
        <v>0</v>
      </c>
      <c r="H19" s="197">
        <f>IF(_1_5412845612146241046457891017456[[#This Row],[Type]]&gt;0,VLOOKUP(_1_5412845612146241046457891017456[[#This Row],[Type]],Main[[#All],[TYPE]:[UNIT]],'Unit Price'!D$1,FALSE),0)</f>
        <v>0</v>
      </c>
      <c r="I19" s="194">
        <f>IF(_1_5412845612146241046457891017456[[#This Row],[Type]]&gt;0,VLOOKUP(_1_5412845612146241046457891017456[[#This Row],[Type]],Main[[#All],[TYPE]:[UNIT]],'Unit Price'!G$1,FALSE),0)</f>
        <v>0</v>
      </c>
      <c r="J19" s="194">
        <f>IF(_1_5412845612146241046457891017456[[#This Row],[Type]]&gt;0,VLOOKUP(_1_5412845612146241046457891017456[[#This Row],[Type]],Main[[#All],[TYPE]:[UNIT]],'Unit Price'!H$1,FALSE),0)</f>
        <v>0</v>
      </c>
      <c r="K19" s="194">
        <f>IF(_1_5412845612146241046457891017456[[#This Row],[Discount selection]]&gt;0,VLOOKUP(_1_5412845612146241046457891017456[[#This Row],[Discount selection]],'Discount Structure'!$A$2:$B$30,2,"false"),0)</f>
        <v>1</v>
      </c>
      <c r="L19" s="194">
        <f>_1_5412845612146241046457891017456[[#This Row],[LIST $]]*_1_5412845612146241046457891017456[[#This Row],[DISCOUNT]]*_1_5412845612146241046457891017456[[#This Row],[DISCOUNT 2]]</f>
        <v>0</v>
      </c>
      <c r="M19" s="194">
        <f>IF(OR(_1_5412845612146241046457891017456[[#This Row],[UNIT]]&gt;0,_1_5412845612146241046457891017456[[#This Row],[UNIT]]&lt;0),_1_5412845612146241046457891017456[[#This Row],[UNIT]]*_1_5412845612146241046457891017456[[#This Row],[COST]],0)</f>
        <v>0</v>
      </c>
      <c r="N19" s="194">
        <f t="shared" si="0"/>
        <v>1.3</v>
      </c>
      <c r="O19" s="198">
        <f>_1_5412845612146241046457891017456[[#This Row],[TOTAL]]*_1_5412845612146241046457891017456[[#This Row],[MARGIN]]</f>
        <v>0</v>
      </c>
      <c r="R19" s="41"/>
    </row>
    <row r="20" spans="1:18">
      <c r="A20" s="168"/>
      <c r="B20" s="168"/>
      <c r="C20" s="168"/>
      <c r="D20" s="188"/>
      <c r="F20" s="168" t="s">
        <v>6202</v>
      </c>
      <c r="G20" s="193">
        <f>IF(_1_5412845612146241046457891017456[[#This Row],[Type]]&gt;0,VLOOKUP(_1_5412845612146241046457891017456[[#This Row],[Type]],Main[[#All],[TYPE]:[UNIT]],'Unit Price'!C$1,FALSE),0)</f>
        <v>0</v>
      </c>
      <c r="H20" s="197">
        <f>IF(_1_5412845612146241046457891017456[[#This Row],[Type]]&gt;0,VLOOKUP(_1_5412845612146241046457891017456[[#This Row],[Type]],Main[[#All],[TYPE]:[UNIT]],'Unit Price'!D$1,FALSE),0)</f>
        <v>0</v>
      </c>
      <c r="I20" s="194">
        <f>IF(_1_5412845612146241046457891017456[[#This Row],[Type]]&gt;0,VLOOKUP(_1_5412845612146241046457891017456[[#This Row],[Type]],Main[[#All],[TYPE]:[UNIT]],'Unit Price'!G$1,FALSE),0)</f>
        <v>0</v>
      </c>
      <c r="J20" s="194">
        <f>IF(_1_5412845612146241046457891017456[[#This Row],[Type]]&gt;0,VLOOKUP(_1_5412845612146241046457891017456[[#This Row],[Type]],Main[[#All],[TYPE]:[UNIT]],'Unit Price'!H$1,FALSE),0)</f>
        <v>0</v>
      </c>
      <c r="K20" s="194">
        <f>IF(_1_5412845612146241046457891017456[[#This Row],[Discount selection]]&gt;0,VLOOKUP(_1_5412845612146241046457891017456[[#This Row],[Discount selection]],'Discount Structure'!$A$2:$B$30,2,"false"),0)</f>
        <v>1</v>
      </c>
      <c r="L20" s="194">
        <f>_1_5412845612146241046457891017456[[#This Row],[LIST $]]*_1_5412845612146241046457891017456[[#This Row],[DISCOUNT]]*_1_5412845612146241046457891017456[[#This Row],[DISCOUNT 2]]</f>
        <v>0</v>
      </c>
      <c r="M20" s="194">
        <f>IF(OR(_1_5412845612146241046457891017456[[#This Row],[UNIT]]&gt;0,_1_5412845612146241046457891017456[[#This Row],[UNIT]]&lt;0),_1_5412845612146241046457891017456[[#This Row],[UNIT]]*_1_5412845612146241046457891017456[[#This Row],[COST]],0)</f>
        <v>0</v>
      </c>
      <c r="N20" s="194">
        <f t="shared" si="0"/>
        <v>1.3</v>
      </c>
      <c r="O20" s="198">
        <f>_1_5412845612146241046457891017456[[#This Row],[TOTAL]]*_1_5412845612146241046457891017456[[#This Row],[MARGIN]]</f>
        <v>0</v>
      </c>
      <c r="R20" s="41"/>
    </row>
    <row r="21" spans="1:18">
      <c r="C21" s="168"/>
      <c r="D21" s="188"/>
      <c r="F21" s="168" t="s">
        <v>6202</v>
      </c>
      <c r="G21" s="193">
        <f>IF(_1_5412845612146241046457891017456[[#This Row],[Type]]&gt;0,VLOOKUP(_1_5412845612146241046457891017456[[#This Row],[Type]],Main[[#All],[TYPE]:[UNIT]],'Unit Price'!C$1,FALSE),0)</f>
        <v>0</v>
      </c>
      <c r="H21" s="197">
        <f>IF(_1_5412845612146241046457891017456[[#This Row],[Type]]&gt;0,VLOOKUP(_1_5412845612146241046457891017456[[#This Row],[Type]],Main[[#All],[TYPE]:[UNIT]],'Unit Price'!D$1,FALSE),0)</f>
        <v>0</v>
      </c>
      <c r="I21" s="194">
        <f>IF(_1_5412845612146241046457891017456[[#This Row],[Type]]&gt;0,VLOOKUP(_1_5412845612146241046457891017456[[#This Row],[Type]],Main[[#All],[TYPE]:[UNIT]],'Unit Price'!G$1,FALSE),0)</f>
        <v>0</v>
      </c>
      <c r="J21" s="194">
        <f>IF(_1_5412845612146241046457891017456[[#This Row],[Type]]&gt;0,VLOOKUP(_1_5412845612146241046457891017456[[#This Row],[Type]],Main[[#All],[TYPE]:[UNIT]],'Unit Price'!H$1,FALSE),0)</f>
        <v>0</v>
      </c>
      <c r="K21" s="194">
        <f>IF(_1_5412845612146241046457891017456[[#This Row],[Discount selection]]&gt;0,VLOOKUP(_1_5412845612146241046457891017456[[#This Row],[Discount selection]],'Discount Structure'!$A$2:$B$30,2,"false"),0)</f>
        <v>1</v>
      </c>
      <c r="L21" s="194">
        <f>_1_5412845612146241046457891017456[[#This Row],[LIST $]]*_1_5412845612146241046457891017456[[#This Row],[DISCOUNT]]*_1_5412845612146241046457891017456[[#This Row],[DISCOUNT 2]]</f>
        <v>0</v>
      </c>
      <c r="M21" s="194">
        <f>IF(OR(_1_5412845612146241046457891017456[[#This Row],[UNIT]]&gt;0,_1_5412845612146241046457891017456[[#This Row],[UNIT]]&lt;0),_1_5412845612146241046457891017456[[#This Row],[UNIT]]*_1_5412845612146241046457891017456[[#This Row],[COST]],0)</f>
        <v>0</v>
      </c>
      <c r="N21" s="194">
        <f t="shared" si="0"/>
        <v>1.3</v>
      </c>
      <c r="O21" s="198">
        <f>_1_5412845612146241046457891017456[[#This Row],[TOTAL]]*_1_5412845612146241046457891017456[[#This Row],[MARGIN]]</f>
        <v>0</v>
      </c>
      <c r="R21" s="41"/>
    </row>
    <row r="22" spans="1:18">
      <c r="A22" s="168"/>
      <c r="C22" s="168"/>
      <c r="D22" s="188"/>
      <c r="F22" s="168" t="s">
        <v>6202</v>
      </c>
      <c r="G22" s="193">
        <f>IF(_1_5412845612146241046457891017456[[#This Row],[Type]]&gt;0,VLOOKUP(_1_5412845612146241046457891017456[[#This Row],[Type]],Main[[#All],[TYPE]:[UNIT]],'Unit Price'!C$1,FALSE),0)</f>
        <v>0</v>
      </c>
      <c r="H22" s="197">
        <f>IF(_1_5412845612146241046457891017456[[#This Row],[Type]]&gt;0,VLOOKUP(_1_5412845612146241046457891017456[[#This Row],[Type]],Main[[#All],[TYPE]:[UNIT]],'Unit Price'!D$1,FALSE),0)</f>
        <v>0</v>
      </c>
      <c r="I22" s="194">
        <f>IF(_1_5412845612146241046457891017456[[#This Row],[Type]]&gt;0,VLOOKUP(_1_5412845612146241046457891017456[[#This Row],[Type]],Main[[#All],[TYPE]:[UNIT]],'Unit Price'!G$1,FALSE),0)</f>
        <v>0</v>
      </c>
      <c r="J22" s="194">
        <f>IF(_1_5412845612146241046457891017456[[#This Row],[Type]]&gt;0,VLOOKUP(_1_5412845612146241046457891017456[[#This Row],[Type]],Main[[#All],[TYPE]:[UNIT]],'Unit Price'!H$1,FALSE),0)</f>
        <v>0</v>
      </c>
      <c r="K22" s="194">
        <f>IF(_1_5412845612146241046457891017456[[#This Row],[Discount selection]]&gt;0,VLOOKUP(_1_5412845612146241046457891017456[[#This Row],[Discount selection]],'Discount Structure'!$A$2:$B$30,2,"false"),0)</f>
        <v>1</v>
      </c>
      <c r="L22" s="194">
        <f>_1_5412845612146241046457891017456[[#This Row],[LIST $]]*_1_5412845612146241046457891017456[[#This Row],[DISCOUNT]]*_1_5412845612146241046457891017456[[#This Row],[DISCOUNT 2]]</f>
        <v>0</v>
      </c>
      <c r="M22" s="194">
        <f>IF(OR(_1_5412845612146241046457891017456[[#This Row],[UNIT]]&gt;0,_1_5412845612146241046457891017456[[#This Row],[UNIT]]&lt;0),_1_5412845612146241046457891017456[[#This Row],[UNIT]]*_1_5412845612146241046457891017456[[#This Row],[COST]],0)</f>
        <v>0</v>
      </c>
      <c r="N22" s="194">
        <f t="shared" si="0"/>
        <v>1.3</v>
      </c>
      <c r="O22" s="198">
        <f>_1_5412845612146241046457891017456[[#This Row],[TOTAL]]*_1_5412845612146241046457891017456[[#This Row],[MARGIN]]</f>
        <v>0</v>
      </c>
      <c r="R22" s="41"/>
    </row>
    <row r="23" spans="1:18">
      <c r="C23" s="168"/>
      <c r="D23" s="314"/>
      <c r="F23" s="168" t="s">
        <v>6202</v>
      </c>
      <c r="G23" s="193">
        <f>IF(_1_5412845612146241046457891017456[[#This Row],[Type]]&gt;0,VLOOKUP(_1_5412845612146241046457891017456[[#This Row],[Type]],Main[[#All],[TYPE]:[UNIT]],'Unit Price'!C$1,FALSE),0)</f>
        <v>0</v>
      </c>
      <c r="H23" s="197">
        <f>IF(_1_5412845612146241046457891017456[[#This Row],[Type]]&gt;0,VLOOKUP(_1_5412845612146241046457891017456[[#This Row],[Type]],Main[[#All],[TYPE]:[UNIT]],'Unit Price'!D$1,FALSE),0)</f>
        <v>0</v>
      </c>
      <c r="I23" s="194">
        <f>IF(_1_5412845612146241046457891017456[[#This Row],[Type]]&gt;0,VLOOKUP(_1_5412845612146241046457891017456[[#This Row],[Type]],Main[[#All],[TYPE]:[UNIT]],'Unit Price'!G$1,FALSE),0)</f>
        <v>0</v>
      </c>
      <c r="J23" s="194">
        <f>IF(_1_5412845612146241046457891017456[[#This Row],[Type]]&gt;0,VLOOKUP(_1_5412845612146241046457891017456[[#This Row],[Type]],Main[[#All],[TYPE]:[UNIT]],'Unit Price'!H$1,FALSE),0)</f>
        <v>0</v>
      </c>
      <c r="K23" s="194">
        <f>IF(_1_5412845612146241046457891017456[[#This Row],[Discount selection]]&gt;0,VLOOKUP(_1_5412845612146241046457891017456[[#This Row],[Discount selection]],'Discount Structure'!$A$2:$B$30,2,"false"),0)</f>
        <v>1</v>
      </c>
      <c r="L23" s="194">
        <f>_1_5412845612146241046457891017456[[#This Row],[LIST $]]*_1_5412845612146241046457891017456[[#This Row],[DISCOUNT]]*_1_5412845612146241046457891017456[[#This Row],[DISCOUNT 2]]</f>
        <v>0</v>
      </c>
      <c r="M23" s="194">
        <f>IF(OR(_1_5412845612146241046457891017456[[#This Row],[UNIT]]&gt;0,_1_5412845612146241046457891017456[[#This Row],[UNIT]]&lt;0),_1_5412845612146241046457891017456[[#This Row],[UNIT]]*_1_5412845612146241046457891017456[[#This Row],[COST]],0)</f>
        <v>0</v>
      </c>
      <c r="N23" s="194">
        <f t="shared" si="0"/>
        <v>1.3</v>
      </c>
      <c r="O23" s="198">
        <f>_1_5412845612146241046457891017456[[#This Row],[TOTAL]]*_1_5412845612146241046457891017456[[#This Row],[MARGIN]]</f>
        <v>0</v>
      </c>
      <c r="R23" s="41"/>
    </row>
    <row r="24" spans="1:18">
      <c r="C24" s="168"/>
      <c r="D24" s="188"/>
      <c r="F24" s="168" t="s">
        <v>6202</v>
      </c>
      <c r="G24" s="193">
        <f>IF(_1_5412845612146241046457891017456[[#This Row],[Type]]&gt;0,VLOOKUP(_1_5412845612146241046457891017456[[#This Row],[Type]],Main[[#All],[TYPE]:[UNIT]],'Unit Price'!C$1,FALSE),0)</f>
        <v>0</v>
      </c>
      <c r="H24" s="197">
        <f>IF(_1_5412845612146241046457891017456[[#This Row],[Type]]&gt;0,VLOOKUP(_1_5412845612146241046457891017456[[#This Row],[Type]],Main[[#All],[TYPE]:[UNIT]],'Unit Price'!D$1,FALSE),0)</f>
        <v>0</v>
      </c>
      <c r="I24" s="194">
        <f>IF(_1_5412845612146241046457891017456[[#This Row],[Type]]&gt;0,VLOOKUP(_1_5412845612146241046457891017456[[#This Row],[Type]],Main[[#All],[TYPE]:[UNIT]],'Unit Price'!G$1,FALSE),0)</f>
        <v>0</v>
      </c>
      <c r="J24" s="194">
        <f>IF(_1_5412845612146241046457891017456[[#This Row],[Type]]&gt;0,VLOOKUP(_1_5412845612146241046457891017456[[#This Row],[Type]],Main[[#All],[TYPE]:[UNIT]],'Unit Price'!H$1,FALSE),0)</f>
        <v>0</v>
      </c>
      <c r="K24" s="194">
        <f>IF(_1_5412845612146241046457891017456[[#This Row],[Discount selection]]&gt;0,VLOOKUP(_1_5412845612146241046457891017456[[#This Row],[Discount selection]],'Discount Structure'!$A$2:$B$30,2,"false"),0)</f>
        <v>1</v>
      </c>
      <c r="L24" s="194">
        <f>_1_5412845612146241046457891017456[[#This Row],[LIST $]]*_1_5412845612146241046457891017456[[#This Row],[DISCOUNT]]*_1_5412845612146241046457891017456[[#This Row],[DISCOUNT 2]]</f>
        <v>0</v>
      </c>
      <c r="M24" s="194">
        <f>IF(OR(_1_5412845612146241046457891017456[[#This Row],[UNIT]]&gt;0,_1_5412845612146241046457891017456[[#This Row],[UNIT]]&lt;0),_1_5412845612146241046457891017456[[#This Row],[UNIT]]*_1_5412845612146241046457891017456[[#This Row],[COST]],0)</f>
        <v>0</v>
      </c>
      <c r="N24" s="194">
        <f t="shared" si="0"/>
        <v>1.3</v>
      </c>
      <c r="O24" s="198">
        <f>_1_5412845612146241046457891017456[[#This Row],[TOTAL]]*_1_5412845612146241046457891017456[[#This Row],[MARGIN]]</f>
        <v>0</v>
      </c>
      <c r="R24" s="41"/>
    </row>
    <row r="25" spans="1:18">
      <c r="C25" s="168"/>
      <c r="D25" s="188"/>
      <c r="F25" s="168" t="s">
        <v>6202</v>
      </c>
      <c r="G25" s="193">
        <f>IF(_1_5412845612146241046457891017456[[#This Row],[Type]]&gt;0,VLOOKUP(_1_5412845612146241046457891017456[[#This Row],[Type]],Main[[#All],[TYPE]:[UNIT]],'Unit Price'!C$1,FALSE),0)</f>
        <v>0</v>
      </c>
      <c r="H25" s="197">
        <f>IF(_1_5412845612146241046457891017456[[#This Row],[Type]]&gt;0,VLOOKUP(_1_5412845612146241046457891017456[[#This Row],[Type]],Main[[#All],[TYPE]:[UNIT]],'Unit Price'!D$1,FALSE),0)</f>
        <v>0</v>
      </c>
      <c r="I25" s="194">
        <f>IF(_1_5412845612146241046457891017456[[#This Row],[Type]]&gt;0,VLOOKUP(_1_5412845612146241046457891017456[[#This Row],[Type]],Main[[#All],[TYPE]:[UNIT]],'Unit Price'!G$1,FALSE),0)</f>
        <v>0</v>
      </c>
      <c r="J25" s="194">
        <f>IF(_1_5412845612146241046457891017456[[#This Row],[Type]]&gt;0,VLOOKUP(_1_5412845612146241046457891017456[[#This Row],[Type]],Main[[#All],[TYPE]:[UNIT]],'Unit Price'!H$1,FALSE),0)</f>
        <v>0</v>
      </c>
      <c r="K25" s="194">
        <f>IF(_1_5412845612146241046457891017456[[#This Row],[Discount selection]]&gt;0,VLOOKUP(_1_5412845612146241046457891017456[[#This Row],[Discount selection]],'Discount Structure'!$A$2:$B$30,2,"false"),0)</f>
        <v>1</v>
      </c>
      <c r="L25" s="194">
        <f>_1_5412845612146241046457891017456[[#This Row],[LIST $]]*_1_5412845612146241046457891017456[[#This Row],[DISCOUNT]]*_1_5412845612146241046457891017456[[#This Row],[DISCOUNT 2]]</f>
        <v>0</v>
      </c>
      <c r="M25" s="194">
        <f>IF(OR(_1_5412845612146241046457891017456[[#This Row],[UNIT]]&gt;0,_1_5412845612146241046457891017456[[#This Row],[UNIT]]&lt;0),_1_5412845612146241046457891017456[[#This Row],[UNIT]]*_1_5412845612146241046457891017456[[#This Row],[COST]],0)</f>
        <v>0</v>
      </c>
      <c r="N25" s="194">
        <f t="shared" si="0"/>
        <v>1.3</v>
      </c>
      <c r="O25" s="198">
        <f>_1_5412845612146241046457891017456[[#This Row],[TOTAL]]*_1_5412845612146241046457891017456[[#This Row],[MARGIN]]</f>
        <v>0</v>
      </c>
      <c r="R25" s="41"/>
    </row>
    <row r="26" spans="1:18">
      <c r="C26" s="168"/>
      <c r="D26" s="188"/>
      <c r="F26" s="168" t="s">
        <v>6202</v>
      </c>
      <c r="G26" s="193">
        <f>IF(_1_5412845612146241046457891017456[[#This Row],[Type]]&gt;0,VLOOKUP(_1_5412845612146241046457891017456[[#This Row],[Type]],Main[[#All],[TYPE]:[UNIT]],'Unit Price'!C$1,FALSE),0)</f>
        <v>0</v>
      </c>
      <c r="H26" s="197">
        <f>IF(_1_5412845612146241046457891017456[[#This Row],[Type]]&gt;0,VLOOKUP(_1_5412845612146241046457891017456[[#This Row],[Type]],Main[[#All],[TYPE]:[UNIT]],'Unit Price'!D$1,FALSE),0)</f>
        <v>0</v>
      </c>
      <c r="I26" s="194">
        <f>IF(_1_5412845612146241046457891017456[[#This Row],[Type]]&gt;0,VLOOKUP(_1_5412845612146241046457891017456[[#This Row],[Type]],Main[[#All],[TYPE]:[UNIT]],'Unit Price'!G$1,FALSE),0)</f>
        <v>0</v>
      </c>
      <c r="J26" s="194">
        <f>IF(_1_5412845612146241046457891017456[[#This Row],[Type]]&gt;0,VLOOKUP(_1_5412845612146241046457891017456[[#This Row],[Type]],Main[[#All],[TYPE]:[UNIT]],'Unit Price'!H$1,FALSE),0)</f>
        <v>0</v>
      </c>
      <c r="K26" s="194">
        <f>IF(_1_5412845612146241046457891017456[[#This Row],[Discount selection]]&gt;0,VLOOKUP(_1_5412845612146241046457891017456[[#This Row],[Discount selection]],'Discount Structure'!$A$2:$B$30,2,"false"),0)</f>
        <v>1</v>
      </c>
      <c r="L26" s="194">
        <f>_1_5412845612146241046457891017456[[#This Row],[LIST $]]*_1_5412845612146241046457891017456[[#This Row],[DISCOUNT]]*_1_5412845612146241046457891017456[[#This Row],[DISCOUNT 2]]</f>
        <v>0</v>
      </c>
      <c r="M26" s="194">
        <f>IF(OR(_1_5412845612146241046457891017456[[#This Row],[UNIT]]&gt;0,_1_5412845612146241046457891017456[[#This Row],[UNIT]]&lt;0),_1_5412845612146241046457891017456[[#This Row],[UNIT]]*_1_5412845612146241046457891017456[[#This Row],[COST]],0)</f>
        <v>0</v>
      </c>
      <c r="N26" s="194">
        <f t="shared" si="0"/>
        <v>1.3</v>
      </c>
      <c r="O26" s="198">
        <f>_1_5412845612146241046457891017456[[#This Row],[TOTAL]]*_1_5412845612146241046457891017456[[#This Row],[MARGIN]]</f>
        <v>0</v>
      </c>
      <c r="R26" s="41"/>
    </row>
    <row r="27" spans="1:18">
      <c r="B27" s="168"/>
      <c r="C27" s="168"/>
      <c r="D27" s="188"/>
      <c r="F27" s="168" t="s">
        <v>6202</v>
      </c>
      <c r="G27" s="193">
        <f>IF(_1_5412845612146241046457891017456[[#This Row],[Type]]&gt;0,VLOOKUP(_1_5412845612146241046457891017456[[#This Row],[Type]],Main[[#All],[TYPE]:[UNIT]],'Unit Price'!C$1,FALSE),0)</f>
        <v>0</v>
      </c>
      <c r="H27" s="197">
        <f>IF(_1_5412845612146241046457891017456[[#This Row],[Type]]&gt;0,VLOOKUP(_1_5412845612146241046457891017456[[#This Row],[Type]],Main[[#All],[TYPE]:[UNIT]],'Unit Price'!D$1,FALSE),0)</f>
        <v>0</v>
      </c>
      <c r="I27" s="194">
        <f>IF(_1_5412845612146241046457891017456[[#This Row],[Type]]&gt;0,VLOOKUP(_1_5412845612146241046457891017456[[#This Row],[Type]],Main[[#All],[TYPE]:[UNIT]],'Unit Price'!G$1,FALSE),0)</f>
        <v>0</v>
      </c>
      <c r="J27" s="194">
        <f>IF(_1_5412845612146241046457891017456[[#This Row],[Type]]&gt;0,VLOOKUP(_1_5412845612146241046457891017456[[#This Row],[Type]],Main[[#All],[TYPE]:[UNIT]],'Unit Price'!H$1,FALSE),0)</f>
        <v>0</v>
      </c>
      <c r="K27" s="194">
        <f>IF(_1_5412845612146241046457891017456[[#This Row],[Discount selection]]&gt;0,VLOOKUP(_1_5412845612146241046457891017456[[#This Row],[Discount selection]],'Discount Structure'!$A$2:$B$30,2,"false"),0)</f>
        <v>1</v>
      </c>
      <c r="L27" s="194">
        <f>_1_5412845612146241046457891017456[[#This Row],[LIST $]]*_1_5412845612146241046457891017456[[#This Row],[DISCOUNT]]*_1_5412845612146241046457891017456[[#This Row],[DISCOUNT 2]]</f>
        <v>0</v>
      </c>
      <c r="M27" s="194">
        <f>IF(OR(_1_5412845612146241046457891017456[[#This Row],[UNIT]]&gt;0,_1_5412845612146241046457891017456[[#This Row],[UNIT]]&lt;0),_1_5412845612146241046457891017456[[#This Row],[UNIT]]*_1_5412845612146241046457891017456[[#This Row],[COST]],0)</f>
        <v>0</v>
      </c>
      <c r="N27" s="194">
        <f t="shared" si="0"/>
        <v>1.3</v>
      </c>
      <c r="O27" s="198">
        <f>_1_5412845612146241046457891017456[[#This Row],[TOTAL]]*_1_5412845612146241046457891017456[[#This Row],[MARGIN]]</f>
        <v>0</v>
      </c>
      <c r="R27" s="41"/>
    </row>
    <row r="28" spans="1:18">
      <c r="A28" s="168"/>
      <c r="C28" s="168"/>
      <c r="D28" s="188"/>
      <c r="F28" s="168" t="s">
        <v>6202</v>
      </c>
      <c r="G28" s="193">
        <f>IF(_1_5412845612146241046457891017456[[#This Row],[Type]]&gt;0,VLOOKUP(_1_5412845612146241046457891017456[[#This Row],[Type]],Main[[#All],[TYPE]:[UNIT]],'Unit Price'!C$1,FALSE),0)</f>
        <v>0</v>
      </c>
      <c r="H28" s="197">
        <f>IF(_1_5412845612146241046457891017456[[#This Row],[Type]]&gt;0,VLOOKUP(_1_5412845612146241046457891017456[[#This Row],[Type]],Main[[#All],[TYPE]:[UNIT]],'Unit Price'!D$1,FALSE),0)</f>
        <v>0</v>
      </c>
      <c r="I28" s="194">
        <f>IF(_1_5412845612146241046457891017456[[#This Row],[Type]]&gt;0,VLOOKUP(_1_5412845612146241046457891017456[[#This Row],[Type]],Main[[#All],[TYPE]:[UNIT]],'Unit Price'!G$1,FALSE),0)</f>
        <v>0</v>
      </c>
      <c r="J28" s="194">
        <f>IF(_1_5412845612146241046457891017456[[#This Row],[Type]]&gt;0,VLOOKUP(_1_5412845612146241046457891017456[[#This Row],[Type]],Main[[#All],[TYPE]:[UNIT]],'Unit Price'!H$1,FALSE),0)</f>
        <v>0</v>
      </c>
      <c r="K28" s="194">
        <f>IF(_1_5412845612146241046457891017456[[#This Row],[Discount selection]]&gt;0,VLOOKUP(_1_5412845612146241046457891017456[[#This Row],[Discount selection]],'Discount Structure'!$A$2:$B$30,2,"false"),0)</f>
        <v>1</v>
      </c>
      <c r="L28" s="194">
        <f>_1_5412845612146241046457891017456[[#This Row],[LIST $]]*_1_5412845612146241046457891017456[[#This Row],[DISCOUNT]]*_1_5412845612146241046457891017456[[#This Row],[DISCOUNT 2]]</f>
        <v>0</v>
      </c>
      <c r="M28" s="194">
        <f>IF(OR(_1_5412845612146241046457891017456[[#This Row],[UNIT]]&gt;0,_1_5412845612146241046457891017456[[#This Row],[UNIT]]&lt;0),_1_5412845612146241046457891017456[[#This Row],[UNIT]]*_1_5412845612146241046457891017456[[#This Row],[COST]],0)</f>
        <v>0</v>
      </c>
      <c r="N28" s="194">
        <f t="shared" si="0"/>
        <v>1.3</v>
      </c>
      <c r="O28" s="198">
        <f>_1_5412845612146241046457891017456[[#This Row],[TOTAL]]*_1_5412845612146241046457891017456[[#This Row],[MARGIN]]</f>
        <v>0</v>
      </c>
      <c r="R28" s="41"/>
    </row>
    <row r="29" spans="1:18">
      <c r="A29" s="168"/>
      <c r="C29" s="168"/>
      <c r="D29" s="188"/>
      <c r="F29" s="168" t="s">
        <v>6202</v>
      </c>
      <c r="G29" s="193">
        <f>IF(_1_5412845612146241046457891017456[[#This Row],[Type]]&gt;0,VLOOKUP(_1_5412845612146241046457891017456[[#This Row],[Type]],Main[[#All],[TYPE]:[UNIT]],'Unit Price'!C$1,FALSE),0)</f>
        <v>0</v>
      </c>
      <c r="H29" s="197">
        <f>IF(_1_5412845612146241046457891017456[[#This Row],[Type]]&gt;0,VLOOKUP(_1_5412845612146241046457891017456[[#This Row],[Type]],Main[[#All],[TYPE]:[UNIT]],'Unit Price'!D$1,FALSE),0)</f>
        <v>0</v>
      </c>
      <c r="I29" s="194">
        <f>IF(_1_5412845612146241046457891017456[[#This Row],[Type]]&gt;0,VLOOKUP(_1_5412845612146241046457891017456[[#This Row],[Type]],Main[[#All],[TYPE]:[UNIT]],'Unit Price'!G$1,FALSE),0)</f>
        <v>0</v>
      </c>
      <c r="J29" s="194">
        <f>IF(_1_5412845612146241046457891017456[[#This Row],[Type]]&gt;0,VLOOKUP(_1_5412845612146241046457891017456[[#This Row],[Type]],Main[[#All],[TYPE]:[UNIT]],'Unit Price'!H$1,FALSE),0)</f>
        <v>0</v>
      </c>
      <c r="K29" s="194">
        <f>IF(_1_5412845612146241046457891017456[[#This Row],[Discount selection]]&gt;0,VLOOKUP(_1_5412845612146241046457891017456[[#This Row],[Discount selection]],'Discount Structure'!$A$2:$B$30,2,"false"),0)</f>
        <v>1</v>
      </c>
      <c r="L29" s="194">
        <f>_1_5412845612146241046457891017456[[#This Row],[LIST $]]*_1_5412845612146241046457891017456[[#This Row],[DISCOUNT]]*_1_5412845612146241046457891017456[[#This Row],[DISCOUNT 2]]</f>
        <v>0</v>
      </c>
      <c r="M29" s="194">
        <f>IF(OR(_1_5412845612146241046457891017456[[#This Row],[UNIT]]&gt;0,_1_5412845612146241046457891017456[[#This Row],[UNIT]]&lt;0),_1_5412845612146241046457891017456[[#This Row],[UNIT]]*_1_5412845612146241046457891017456[[#This Row],[COST]],0)</f>
        <v>0</v>
      </c>
      <c r="N29" s="194">
        <f t="shared" si="0"/>
        <v>1.3</v>
      </c>
      <c r="O29" s="198">
        <f>_1_5412845612146241046457891017456[[#This Row],[TOTAL]]*_1_5412845612146241046457891017456[[#This Row],[MARGIN]]</f>
        <v>0</v>
      </c>
      <c r="R29" s="41"/>
    </row>
    <row r="30" spans="1:18">
      <c r="A30" s="168"/>
      <c r="C30" s="168"/>
      <c r="D30" s="188"/>
      <c r="F30" s="168" t="s">
        <v>6202</v>
      </c>
      <c r="G30" s="193">
        <f>IF(_1_5412845612146241046457891017456[[#This Row],[Type]]&gt;0,VLOOKUP(_1_5412845612146241046457891017456[[#This Row],[Type]],Main[[#All],[TYPE]:[UNIT]],'Unit Price'!C$1,FALSE),0)</f>
        <v>0</v>
      </c>
      <c r="H30" s="197">
        <f>IF(_1_5412845612146241046457891017456[[#This Row],[Type]]&gt;0,VLOOKUP(_1_5412845612146241046457891017456[[#This Row],[Type]],Main[[#All],[TYPE]:[UNIT]],'Unit Price'!D$1,FALSE),0)</f>
        <v>0</v>
      </c>
      <c r="I30" s="194">
        <f>IF(_1_5412845612146241046457891017456[[#This Row],[Type]]&gt;0,VLOOKUP(_1_5412845612146241046457891017456[[#This Row],[Type]],Main[[#All],[TYPE]:[UNIT]],'Unit Price'!G$1,FALSE),0)</f>
        <v>0</v>
      </c>
      <c r="J30" s="194">
        <f>IF(_1_5412845612146241046457891017456[[#This Row],[Type]]&gt;0,VLOOKUP(_1_5412845612146241046457891017456[[#This Row],[Type]],Main[[#All],[TYPE]:[UNIT]],'Unit Price'!H$1,FALSE),0)</f>
        <v>0</v>
      </c>
      <c r="K30" s="194">
        <f>IF(_1_5412845612146241046457891017456[[#This Row],[Discount selection]]&gt;0,VLOOKUP(_1_5412845612146241046457891017456[[#This Row],[Discount selection]],'Discount Structure'!$A$2:$B$30,2,"false"),0)</f>
        <v>1</v>
      </c>
      <c r="L30" s="194">
        <f>_1_5412845612146241046457891017456[[#This Row],[LIST $]]*_1_5412845612146241046457891017456[[#This Row],[DISCOUNT]]*_1_5412845612146241046457891017456[[#This Row],[DISCOUNT 2]]</f>
        <v>0</v>
      </c>
      <c r="M30" s="194">
        <f>IF(OR(_1_5412845612146241046457891017456[[#This Row],[UNIT]]&gt;0,_1_5412845612146241046457891017456[[#This Row],[UNIT]]&lt;0),_1_5412845612146241046457891017456[[#This Row],[UNIT]]*_1_5412845612146241046457891017456[[#This Row],[COST]],0)</f>
        <v>0</v>
      </c>
      <c r="N30" s="194">
        <f t="shared" si="0"/>
        <v>1.3</v>
      </c>
      <c r="O30" s="198">
        <f>_1_5412845612146241046457891017456[[#This Row],[TOTAL]]*_1_5412845612146241046457891017456[[#This Row],[MARGIN]]</f>
        <v>0</v>
      </c>
      <c r="R30" s="41"/>
    </row>
    <row r="31" spans="1:18">
      <c r="A31" s="168"/>
      <c r="C31" s="168"/>
      <c r="D31" s="188"/>
      <c r="F31" s="168" t="s">
        <v>6202</v>
      </c>
      <c r="G31" s="193">
        <f>IF(_1_5412845612146241046457891017456[[#This Row],[Type]]&gt;0,VLOOKUP(_1_5412845612146241046457891017456[[#This Row],[Type]],Main[[#All],[TYPE]:[UNIT]],'Unit Price'!C$1,FALSE),0)</f>
        <v>0</v>
      </c>
      <c r="H31" s="197">
        <f>IF(_1_5412845612146241046457891017456[[#This Row],[Type]]&gt;0,VLOOKUP(_1_5412845612146241046457891017456[[#This Row],[Type]],Main[[#All],[TYPE]:[UNIT]],'Unit Price'!D$1,FALSE),0)</f>
        <v>0</v>
      </c>
      <c r="I31" s="194">
        <f>IF(_1_5412845612146241046457891017456[[#This Row],[Type]]&gt;0,VLOOKUP(_1_5412845612146241046457891017456[[#This Row],[Type]],Main[[#All],[TYPE]:[UNIT]],'Unit Price'!G$1,FALSE),0)</f>
        <v>0</v>
      </c>
      <c r="J31" s="194">
        <f>IF(_1_5412845612146241046457891017456[[#This Row],[Type]]&gt;0,VLOOKUP(_1_5412845612146241046457891017456[[#This Row],[Type]],Main[[#All],[TYPE]:[UNIT]],'Unit Price'!H$1,FALSE),0)</f>
        <v>0</v>
      </c>
      <c r="K31" s="194">
        <f>IF(_1_5412845612146241046457891017456[[#This Row],[Discount selection]]&gt;0,VLOOKUP(_1_5412845612146241046457891017456[[#This Row],[Discount selection]],'Discount Structure'!$A$2:$B$30,2,"false"),0)</f>
        <v>1</v>
      </c>
      <c r="L31" s="194">
        <f>_1_5412845612146241046457891017456[[#This Row],[LIST $]]*_1_5412845612146241046457891017456[[#This Row],[DISCOUNT]]*_1_5412845612146241046457891017456[[#This Row],[DISCOUNT 2]]</f>
        <v>0</v>
      </c>
      <c r="M31" s="194">
        <f>IF(OR(_1_5412845612146241046457891017456[[#This Row],[UNIT]]&gt;0,_1_5412845612146241046457891017456[[#This Row],[UNIT]]&lt;0),_1_5412845612146241046457891017456[[#This Row],[UNIT]]*_1_5412845612146241046457891017456[[#This Row],[COST]],0)</f>
        <v>0</v>
      </c>
      <c r="N31" s="194">
        <f t="shared" si="0"/>
        <v>1.3</v>
      </c>
      <c r="O31" s="198">
        <f>_1_5412845612146241046457891017456[[#This Row],[TOTAL]]*_1_5412845612146241046457891017456[[#This Row],[MARGIN]]</f>
        <v>0</v>
      </c>
      <c r="R31" s="41"/>
    </row>
    <row r="32" spans="1:18">
      <c r="C32" s="168"/>
      <c r="D32" s="188"/>
      <c r="F32" s="168" t="s">
        <v>6202</v>
      </c>
      <c r="G32" s="193">
        <f>IF(_1_5412845612146241046457891017456[[#This Row],[Type]]&gt;0,VLOOKUP(_1_5412845612146241046457891017456[[#This Row],[Type]],Main[[#All],[TYPE]:[UNIT]],'Unit Price'!C$1,FALSE),0)</f>
        <v>0</v>
      </c>
      <c r="H32" s="197">
        <f>IF(_1_5412845612146241046457891017456[[#This Row],[Type]]&gt;0,VLOOKUP(_1_5412845612146241046457891017456[[#This Row],[Type]],Main[[#All],[TYPE]:[UNIT]],'Unit Price'!D$1,FALSE),0)</f>
        <v>0</v>
      </c>
      <c r="I32" s="194">
        <f>IF(_1_5412845612146241046457891017456[[#This Row],[Type]]&gt;0,VLOOKUP(_1_5412845612146241046457891017456[[#This Row],[Type]],Main[[#All],[TYPE]:[UNIT]],'Unit Price'!G$1,FALSE),0)</f>
        <v>0</v>
      </c>
      <c r="J32" s="194">
        <f>IF(_1_5412845612146241046457891017456[[#This Row],[Type]]&gt;0,VLOOKUP(_1_5412845612146241046457891017456[[#This Row],[Type]],Main[[#All],[TYPE]:[UNIT]],'Unit Price'!H$1,FALSE),0)</f>
        <v>0</v>
      </c>
      <c r="K32" s="194">
        <f>IF(_1_5412845612146241046457891017456[[#This Row],[Discount selection]]&gt;0,VLOOKUP(_1_5412845612146241046457891017456[[#This Row],[Discount selection]],'Discount Structure'!$A$2:$B$30,2,"false"),0)</f>
        <v>1</v>
      </c>
      <c r="L32" s="194">
        <f>_1_5412845612146241046457891017456[[#This Row],[LIST $]]*_1_5412845612146241046457891017456[[#This Row],[DISCOUNT]]*_1_5412845612146241046457891017456[[#This Row],[DISCOUNT 2]]</f>
        <v>0</v>
      </c>
      <c r="M32" s="194">
        <f>IF(OR(_1_5412845612146241046457891017456[[#This Row],[UNIT]]&gt;0,_1_5412845612146241046457891017456[[#This Row],[UNIT]]&lt;0),_1_5412845612146241046457891017456[[#This Row],[UNIT]]*_1_5412845612146241046457891017456[[#This Row],[COST]],0)</f>
        <v>0</v>
      </c>
      <c r="N32" s="194">
        <f t="shared" si="0"/>
        <v>1.3</v>
      </c>
      <c r="O32" s="198">
        <f>_1_5412845612146241046457891017456[[#This Row],[TOTAL]]*_1_5412845612146241046457891017456[[#This Row],[MARGIN]]</f>
        <v>0</v>
      </c>
      <c r="R32" s="41"/>
    </row>
    <row r="33" spans="1:18">
      <c r="A33" s="331"/>
      <c r="C33" s="168"/>
      <c r="D33" s="188"/>
      <c r="F33" s="168" t="s">
        <v>6202</v>
      </c>
      <c r="G33" s="193">
        <f>IF(_1_5412845612146241046457891017456[[#This Row],[Type]]&gt;0,VLOOKUP(_1_5412845612146241046457891017456[[#This Row],[Type]],Main[[#All],[TYPE]:[UNIT]],'Unit Price'!C$1,FALSE),0)</f>
        <v>0</v>
      </c>
      <c r="H33" s="197">
        <f>IF(_1_5412845612146241046457891017456[[#This Row],[Type]]&gt;0,VLOOKUP(_1_5412845612146241046457891017456[[#This Row],[Type]],Main[[#All],[TYPE]:[UNIT]],'Unit Price'!D$1,FALSE),0)</f>
        <v>0</v>
      </c>
      <c r="I33" s="194">
        <f>IF(_1_5412845612146241046457891017456[[#This Row],[Type]]&gt;0,VLOOKUP(_1_5412845612146241046457891017456[[#This Row],[Type]],Main[[#All],[TYPE]:[UNIT]],'Unit Price'!G$1,FALSE),0)</f>
        <v>0</v>
      </c>
      <c r="J33" s="194">
        <f>IF(_1_5412845612146241046457891017456[[#This Row],[Type]]&gt;0,VLOOKUP(_1_5412845612146241046457891017456[[#This Row],[Type]],Main[[#All],[TYPE]:[UNIT]],'Unit Price'!H$1,FALSE),0)</f>
        <v>0</v>
      </c>
      <c r="K33" s="194">
        <f>IF(_1_5412845612146241046457891017456[[#This Row],[Discount selection]]&gt;0,VLOOKUP(_1_5412845612146241046457891017456[[#This Row],[Discount selection]],'Discount Structure'!$A$2:$B$30,2,"false"),0)</f>
        <v>1</v>
      </c>
      <c r="L33" s="194">
        <f>_1_5412845612146241046457891017456[[#This Row],[LIST $]]*_1_5412845612146241046457891017456[[#This Row],[DISCOUNT]]*_1_5412845612146241046457891017456[[#This Row],[DISCOUNT 2]]</f>
        <v>0</v>
      </c>
      <c r="M33" s="194">
        <f>IF(OR(_1_5412845612146241046457891017456[[#This Row],[UNIT]]&gt;0,_1_5412845612146241046457891017456[[#This Row],[UNIT]]&lt;0),_1_5412845612146241046457891017456[[#This Row],[UNIT]]*_1_5412845612146241046457891017456[[#This Row],[COST]],0)</f>
        <v>0</v>
      </c>
      <c r="N33" s="194">
        <f t="shared" si="0"/>
        <v>1.3</v>
      </c>
      <c r="O33" s="198">
        <f>_1_5412845612146241046457891017456[[#This Row],[TOTAL]]*_1_5412845612146241046457891017456[[#This Row],[MARGIN]]</f>
        <v>0</v>
      </c>
      <c r="R33" s="41"/>
    </row>
    <row r="34" spans="1:18">
      <c r="C34" s="168"/>
      <c r="D34" s="188"/>
      <c r="F34" s="168" t="s">
        <v>6202</v>
      </c>
      <c r="G34" s="193">
        <f>IF(_1_5412845612146241046457891017456[[#This Row],[Type]]&gt;0,VLOOKUP(_1_5412845612146241046457891017456[[#This Row],[Type]],Main[[#All],[TYPE]:[UNIT]],'Unit Price'!C$1,FALSE),0)</f>
        <v>0</v>
      </c>
      <c r="H34" s="197">
        <f>IF(_1_5412845612146241046457891017456[[#This Row],[Type]]&gt;0,VLOOKUP(_1_5412845612146241046457891017456[[#This Row],[Type]],Main[[#All],[TYPE]:[UNIT]],'Unit Price'!D$1,FALSE),0)</f>
        <v>0</v>
      </c>
      <c r="I34" s="194">
        <f>IF(_1_5412845612146241046457891017456[[#This Row],[Type]]&gt;0,VLOOKUP(_1_5412845612146241046457891017456[[#This Row],[Type]],Main[[#All],[TYPE]:[UNIT]],'Unit Price'!G$1,FALSE),0)</f>
        <v>0</v>
      </c>
      <c r="J34" s="194">
        <f>IF(_1_5412845612146241046457891017456[[#This Row],[Type]]&gt;0,VLOOKUP(_1_5412845612146241046457891017456[[#This Row],[Type]],Main[[#All],[TYPE]:[UNIT]],'Unit Price'!H$1,FALSE),0)</f>
        <v>0</v>
      </c>
      <c r="K34" s="194">
        <f>IF(_1_5412845612146241046457891017456[[#This Row],[Discount selection]]&gt;0,VLOOKUP(_1_5412845612146241046457891017456[[#This Row],[Discount selection]],'Discount Structure'!$A$2:$B$30,2,"false"),0)</f>
        <v>1</v>
      </c>
      <c r="L34" s="194">
        <f>_1_5412845612146241046457891017456[[#This Row],[LIST $]]*_1_5412845612146241046457891017456[[#This Row],[DISCOUNT]]*_1_5412845612146241046457891017456[[#This Row],[DISCOUNT 2]]</f>
        <v>0</v>
      </c>
      <c r="M34" s="194">
        <f>IF(OR(_1_5412845612146241046457891017456[[#This Row],[UNIT]]&gt;0,_1_5412845612146241046457891017456[[#This Row],[UNIT]]&lt;0),_1_5412845612146241046457891017456[[#This Row],[UNIT]]*_1_5412845612146241046457891017456[[#This Row],[COST]],0)</f>
        <v>0</v>
      </c>
      <c r="N34" s="194">
        <f t="shared" si="0"/>
        <v>1.3</v>
      </c>
      <c r="O34" s="198">
        <f>_1_5412845612146241046457891017456[[#This Row],[TOTAL]]*_1_5412845612146241046457891017456[[#This Row],[MARGIN]]</f>
        <v>0</v>
      </c>
      <c r="R34" s="41"/>
    </row>
    <row r="35" spans="1:18">
      <c r="C35" s="168"/>
      <c r="D35" s="188"/>
      <c r="F35" s="168" t="s">
        <v>6202</v>
      </c>
      <c r="G35" s="193">
        <f>IF(_1_5412845612146241046457891017456[[#This Row],[Type]]&gt;0,VLOOKUP(_1_5412845612146241046457891017456[[#This Row],[Type]],Main[[#All],[TYPE]:[UNIT]],'Unit Price'!C$1,FALSE),0)</f>
        <v>0</v>
      </c>
      <c r="H35" s="197">
        <f>IF(_1_5412845612146241046457891017456[[#This Row],[Type]]&gt;0,VLOOKUP(_1_5412845612146241046457891017456[[#This Row],[Type]],Main[[#All],[TYPE]:[UNIT]],'Unit Price'!D$1,FALSE),0)</f>
        <v>0</v>
      </c>
      <c r="I35" s="194">
        <f>IF(_1_5412845612146241046457891017456[[#This Row],[Type]]&gt;0,VLOOKUP(_1_5412845612146241046457891017456[[#This Row],[Type]],Main[[#All],[TYPE]:[UNIT]],'Unit Price'!G$1,FALSE),0)</f>
        <v>0</v>
      </c>
      <c r="J35" s="194">
        <f>IF(_1_5412845612146241046457891017456[[#This Row],[Type]]&gt;0,VLOOKUP(_1_5412845612146241046457891017456[[#This Row],[Type]],Main[[#All],[TYPE]:[UNIT]],'Unit Price'!H$1,FALSE),0)</f>
        <v>0</v>
      </c>
      <c r="K35" s="194">
        <f>IF(_1_5412845612146241046457891017456[[#This Row],[Discount selection]]&gt;0,VLOOKUP(_1_5412845612146241046457891017456[[#This Row],[Discount selection]],'Discount Structure'!$A$2:$B$30,2,"false"),0)</f>
        <v>1</v>
      </c>
      <c r="L35" s="194">
        <f>_1_5412845612146241046457891017456[[#This Row],[LIST $]]*_1_5412845612146241046457891017456[[#This Row],[DISCOUNT]]*_1_5412845612146241046457891017456[[#This Row],[DISCOUNT 2]]</f>
        <v>0</v>
      </c>
      <c r="M35" s="194">
        <f>IF(OR(_1_5412845612146241046457891017456[[#This Row],[UNIT]]&gt;0,_1_5412845612146241046457891017456[[#This Row],[UNIT]]&lt;0),_1_5412845612146241046457891017456[[#This Row],[UNIT]]*_1_5412845612146241046457891017456[[#This Row],[COST]],0)</f>
        <v>0</v>
      </c>
      <c r="N35" s="194">
        <f t="shared" si="0"/>
        <v>1.3</v>
      </c>
      <c r="O35" s="198">
        <f>_1_5412845612146241046457891017456[[#This Row],[TOTAL]]*_1_5412845612146241046457891017456[[#This Row],[MARGIN]]</f>
        <v>0</v>
      </c>
      <c r="R35" s="41"/>
    </row>
    <row r="36" spans="1:18">
      <c r="A36" s="168"/>
      <c r="B36" s="315"/>
      <c r="C36" s="168"/>
      <c r="D36" s="188"/>
      <c r="F36" s="168" t="s">
        <v>6202</v>
      </c>
      <c r="G36" s="193">
        <f>IF(_1_5412845612146241046457891017456[[#This Row],[Type]]&gt;0,VLOOKUP(_1_5412845612146241046457891017456[[#This Row],[Type]],Main[[#All],[TYPE]:[UNIT]],'Unit Price'!C$1,FALSE),0)</f>
        <v>0</v>
      </c>
      <c r="H36" s="197">
        <f>IF(_1_5412845612146241046457891017456[[#This Row],[Type]]&gt;0,VLOOKUP(_1_5412845612146241046457891017456[[#This Row],[Type]],Main[[#All],[TYPE]:[UNIT]],'Unit Price'!D$1,FALSE),0)</f>
        <v>0</v>
      </c>
      <c r="I36" s="194">
        <f>IF(_1_5412845612146241046457891017456[[#This Row],[Type]]&gt;0,VLOOKUP(_1_5412845612146241046457891017456[[#This Row],[Type]],Main[[#All],[TYPE]:[UNIT]],'Unit Price'!G$1,FALSE),0)</f>
        <v>0</v>
      </c>
      <c r="J36" s="194">
        <f>IF(_1_5412845612146241046457891017456[[#This Row],[Type]]&gt;0,VLOOKUP(_1_5412845612146241046457891017456[[#This Row],[Type]],Main[[#All],[TYPE]:[UNIT]],'Unit Price'!H$1,FALSE),0)</f>
        <v>0</v>
      </c>
      <c r="K36" s="194">
        <f>IF(_1_5412845612146241046457891017456[[#This Row],[Discount selection]]&gt;0,VLOOKUP(_1_5412845612146241046457891017456[[#This Row],[Discount selection]],'Discount Structure'!$A$2:$B$30,2,"false"),0)</f>
        <v>1</v>
      </c>
      <c r="L36" s="194">
        <f>_1_5412845612146241046457891017456[[#This Row],[LIST $]]*_1_5412845612146241046457891017456[[#This Row],[DISCOUNT]]*_1_5412845612146241046457891017456[[#This Row],[DISCOUNT 2]]</f>
        <v>0</v>
      </c>
      <c r="M36" s="194">
        <f>IF(OR(_1_5412845612146241046457891017456[[#This Row],[UNIT]]&gt;0,_1_5412845612146241046457891017456[[#This Row],[UNIT]]&lt;0),_1_5412845612146241046457891017456[[#This Row],[UNIT]]*_1_5412845612146241046457891017456[[#This Row],[COST]],0)</f>
        <v>0</v>
      </c>
      <c r="N36" s="194">
        <f t="shared" si="0"/>
        <v>1.3</v>
      </c>
      <c r="O36" s="198">
        <f>_1_5412845612146241046457891017456[[#This Row],[TOTAL]]*_1_5412845612146241046457891017456[[#This Row],[MARGIN]]</f>
        <v>0</v>
      </c>
      <c r="R36" s="41"/>
    </row>
    <row r="37" spans="1:18">
      <c r="A37" s="168"/>
      <c r="C37" s="168"/>
      <c r="D37" s="188"/>
      <c r="F37" s="168" t="s">
        <v>6202</v>
      </c>
      <c r="G37" s="193">
        <f>IF(_1_5412845612146241046457891017456[[#This Row],[Type]]&gt;0,VLOOKUP(_1_5412845612146241046457891017456[[#This Row],[Type]],Main[[#All],[TYPE]:[UNIT]],'Unit Price'!C$1,FALSE),0)</f>
        <v>0</v>
      </c>
      <c r="H37" s="197">
        <f>IF(_1_5412845612146241046457891017456[[#This Row],[Type]]&gt;0,VLOOKUP(_1_5412845612146241046457891017456[[#This Row],[Type]],Main[[#All],[TYPE]:[UNIT]],'Unit Price'!D$1,FALSE),0)</f>
        <v>0</v>
      </c>
      <c r="I37" s="194">
        <f>IF(_1_5412845612146241046457891017456[[#This Row],[Type]]&gt;0,VLOOKUP(_1_5412845612146241046457891017456[[#This Row],[Type]],Main[[#All],[TYPE]:[UNIT]],'Unit Price'!G$1,FALSE),0)</f>
        <v>0</v>
      </c>
      <c r="J37" s="194">
        <f>IF(_1_5412845612146241046457891017456[[#This Row],[Type]]&gt;0,VLOOKUP(_1_5412845612146241046457891017456[[#This Row],[Type]],Main[[#All],[TYPE]:[UNIT]],'Unit Price'!H$1,FALSE),0)</f>
        <v>0</v>
      </c>
      <c r="K37" s="194">
        <f>IF(_1_5412845612146241046457891017456[[#This Row],[Discount selection]]&gt;0,VLOOKUP(_1_5412845612146241046457891017456[[#This Row],[Discount selection]],'Discount Structure'!$A$2:$B$30,2,"false"),0)</f>
        <v>1</v>
      </c>
      <c r="L37" s="194">
        <f>_1_5412845612146241046457891017456[[#This Row],[LIST $]]*_1_5412845612146241046457891017456[[#This Row],[DISCOUNT]]*_1_5412845612146241046457891017456[[#This Row],[DISCOUNT 2]]</f>
        <v>0</v>
      </c>
      <c r="M37" s="194">
        <f>IF(OR(_1_5412845612146241046457891017456[[#This Row],[UNIT]]&gt;0,_1_5412845612146241046457891017456[[#This Row],[UNIT]]&lt;0),_1_5412845612146241046457891017456[[#This Row],[UNIT]]*_1_5412845612146241046457891017456[[#This Row],[COST]],0)</f>
        <v>0</v>
      </c>
      <c r="N37" s="194">
        <f t="shared" si="0"/>
        <v>1.3</v>
      </c>
      <c r="O37" s="198">
        <f>_1_5412845612146241046457891017456[[#This Row],[TOTAL]]*_1_5412845612146241046457891017456[[#This Row],[MARGIN]]</f>
        <v>0</v>
      </c>
      <c r="R37" s="41"/>
    </row>
    <row r="38" spans="1:18">
      <c r="C38" s="168"/>
      <c r="D38" s="188"/>
      <c r="F38" s="168" t="s">
        <v>6202</v>
      </c>
      <c r="G38" s="193">
        <f>IF(_1_5412845612146241046457891017456[[#This Row],[Type]]&gt;0,VLOOKUP(_1_5412845612146241046457891017456[[#This Row],[Type]],Main[[#All],[TYPE]:[UNIT]],'Unit Price'!C$1,FALSE),0)</f>
        <v>0</v>
      </c>
      <c r="H38" s="197">
        <f>IF(_1_5412845612146241046457891017456[[#This Row],[Type]]&gt;0,VLOOKUP(_1_5412845612146241046457891017456[[#This Row],[Type]],Main[[#All],[TYPE]:[UNIT]],'Unit Price'!D$1,FALSE),0)</f>
        <v>0</v>
      </c>
      <c r="I38" s="194">
        <f>IF(_1_5412845612146241046457891017456[[#This Row],[Type]]&gt;0,VLOOKUP(_1_5412845612146241046457891017456[[#This Row],[Type]],Main[[#All],[TYPE]:[UNIT]],'Unit Price'!G$1,FALSE),0)</f>
        <v>0</v>
      </c>
      <c r="J38" s="194">
        <f>IF(_1_5412845612146241046457891017456[[#This Row],[Type]]&gt;0,VLOOKUP(_1_5412845612146241046457891017456[[#This Row],[Type]],Main[[#All],[TYPE]:[UNIT]],'Unit Price'!H$1,FALSE),0)</f>
        <v>0</v>
      </c>
      <c r="K38" s="194">
        <f>IF(_1_5412845612146241046457891017456[[#This Row],[Discount selection]]&gt;0,VLOOKUP(_1_5412845612146241046457891017456[[#This Row],[Discount selection]],'Discount Structure'!$A$2:$B$30,2,"false"),0)</f>
        <v>1</v>
      </c>
      <c r="L38" s="194">
        <f>_1_5412845612146241046457891017456[[#This Row],[LIST $]]*_1_5412845612146241046457891017456[[#This Row],[DISCOUNT]]*_1_5412845612146241046457891017456[[#This Row],[DISCOUNT 2]]</f>
        <v>0</v>
      </c>
      <c r="M38" s="194">
        <f>IF(OR(_1_5412845612146241046457891017456[[#This Row],[UNIT]]&gt;0,_1_5412845612146241046457891017456[[#This Row],[UNIT]]&lt;0),_1_5412845612146241046457891017456[[#This Row],[UNIT]]*_1_5412845612146241046457891017456[[#This Row],[COST]],0)</f>
        <v>0</v>
      </c>
      <c r="N38" s="194">
        <f t="shared" si="0"/>
        <v>1.3</v>
      </c>
      <c r="O38" s="198">
        <f>_1_5412845612146241046457891017456[[#This Row],[TOTAL]]*_1_5412845612146241046457891017456[[#This Row],[MARGIN]]</f>
        <v>0</v>
      </c>
      <c r="R38" s="41"/>
    </row>
    <row r="39" spans="1:18">
      <c r="C39" s="168"/>
      <c r="D39" s="188"/>
      <c r="F39" s="168" t="s">
        <v>6202</v>
      </c>
      <c r="G39" s="193">
        <f>IF(_1_5412845612146241046457891017456[[#This Row],[Type]]&gt;0,VLOOKUP(_1_5412845612146241046457891017456[[#This Row],[Type]],Main[[#All],[TYPE]:[UNIT]],'Unit Price'!C$1,FALSE),0)</f>
        <v>0</v>
      </c>
      <c r="H39" s="197">
        <f>IF(_1_5412845612146241046457891017456[[#This Row],[Type]]&gt;0,VLOOKUP(_1_5412845612146241046457891017456[[#This Row],[Type]],Main[[#All],[TYPE]:[UNIT]],'Unit Price'!D$1,FALSE),0)</f>
        <v>0</v>
      </c>
      <c r="I39" s="194">
        <f>IF(_1_5412845612146241046457891017456[[#This Row],[Type]]&gt;0,VLOOKUP(_1_5412845612146241046457891017456[[#This Row],[Type]],Main[[#All],[TYPE]:[UNIT]],'Unit Price'!G$1,FALSE),0)</f>
        <v>0</v>
      </c>
      <c r="J39" s="194">
        <f>IF(_1_5412845612146241046457891017456[[#This Row],[Type]]&gt;0,VLOOKUP(_1_5412845612146241046457891017456[[#This Row],[Type]],Main[[#All],[TYPE]:[UNIT]],'Unit Price'!H$1,FALSE),0)</f>
        <v>0</v>
      </c>
      <c r="K39" s="194">
        <f>IF(_1_5412845612146241046457891017456[[#This Row],[Discount selection]]&gt;0,VLOOKUP(_1_5412845612146241046457891017456[[#This Row],[Discount selection]],'Discount Structure'!$A$2:$B$30,2,"false"),0)</f>
        <v>1</v>
      </c>
      <c r="L39" s="194">
        <f>_1_5412845612146241046457891017456[[#This Row],[LIST $]]*_1_5412845612146241046457891017456[[#This Row],[DISCOUNT]]*_1_5412845612146241046457891017456[[#This Row],[DISCOUNT 2]]</f>
        <v>0</v>
      </c>
      <c r="M39" s="194">
        <f>IF(OR(_1_5412845612146241046457891017456[[#This Row],[UNIT]]&gt;0,_1_5412845612146241046457891017456[[#This Row],[UNIT]]&lt;0),_1_5412845612146241046457891017456[[#This Row],[UNIT]]*_1_5412845612146241046457891017456[[#This Row],[COST]],0)</f>
        <v>0</v>
      </c>
      <c r="N39" s="194">
        <f t="shared" si="0"/>
        <v>1.3</v>
      </c>
      <c r="O39" s="198">
        <f>_1_5412845612146241046457891017456[[#This Row],[TOTAL]]*_1_5412845612146241046457891017456[[#This Row],[MARGIN]]</f>
        <v>0</v>
      </c>
      <c r="R39" s="41"/>
    </row>
    <row r="40" spans="1:18">
      <c r="C40" s="168"/>
      <c r="D40" s="188"/>
      <c r="F40" s="168" t="s">
        <v>6202</v>
      </c>
      <c r="G40" s="193">
        <f>IF(_1_5412845612146241046457891017456[[#This Row],[Type]]&gt;0,VLOOKUP(_1_5412845612146241046457891017456[[#This Row],[Type]],Main[[#All],[TYPE]:[UNIT]],'Unit Price'!C$1,FALSE),0)</f>
        <v>0</v>
      </c>
      <c r="H40" s="197">
        <f>IF(_1_5412845612146241046457891017456[[#This Row],[Type]]&gt;0,VLOOKUP(_1_5412845612146241046457891017456[[#This Row],[Type]],Main[[#All],[TYPE]:[UNIT]],'Unit Price'!D$1,FALSE),0)</f>
        <v>0</v>
      </c>
      <c r="I40" s="194">
        <f>IF(_1_5412845612146241046457891017456[[#This Row],[Type]]&gt;0,VLOOKUP(_1_5412845612146241046457891017456[[#This Row],[Type]],Main[[#All],[TYPE]:[UNIT]],'Unit Price'!G$1,FALSE),0)</f>
        <v>0</v>
      </c>
      <c r="J40" s="194">
        <f>IF(_1_5412845612146241046457891017456[[#This Row],[Type]]&gt;0,VLOOKUP(_1_5412845612146241046457891017456[[#This Row],[Type]],Main[[#All],[TYPE]:[UNIT]],'Unit Price'!H$1,FALSE),0)</f>
        <v>0</v>
      </c>
      <c r="K40" s="194">
        <f>IF(_1_5412845612146241046457891017456[[#This Row],[Discount selection]]&gt;0,VLOOKUP(_1_5412845612146241046457891017456[[#This Row],[Discount selection]],'Discount Structure'!$A$2:$B$30,2,"false"),0)</f>
        <v>1</v>
      </c>
      <c r="L40" s="194">
        <f>_1_5412845612146241046457891017456[[#This Row],[LIST $]]*_1_5412845612146241046457891017456[[#This Row],[DISCOUNT]]*_1_5412845612146241046457891017456[[#This Row],[DISCOUNT 2]]</f>
        <v>0</v>
      </c>
      <c r="M40" s="194">
        <f>IF(OR(_1_5412845612146241046457891017456[[#This Row],[UNIT]]&gt;0,_1_5412845612146241046457891017456[[#This Row],[UNIT]]&lt;0),_1_5412845612146241046457891017456[[#This Row],[UNIT]]*_1_5412845612146241046457891017456[[#This Row],[COST]],0)</f>
        <v>0</v>
      </c>
      <c r="N40" s="194">
        <f t="shared" si="0"/>
        <v>1.3</v>
      </c>
      <c r="O40" s="198">
        <f>_1_5412845612146241046457891017456[[#This Row],[TOTAL]]*_1_5412845612146241046457891017456[[#This Row],[MARGIN]]</f>
        <v>0</v>
      </c>
      <c r="R40" s="41"/>
    </row>
    <row r="41" spans="1:18">
      <c r="A41" s="316"/>
      <c r="C41" s="168"/>
      <c r="D41" s="188"/>
      <c r="F41" s="168" t="s">
        <v>6202</v>
      </c>
      <c r="G41" s="193">
        <f>IF(_1_5412845612146241046457891017456[[#This Row],[Type]]&gt;0,VLOOKUP(_1_5412845612146241046457891017456[[#This Row],[Type]],Main[[#All],[TYPE]:[UNIT]],'Unit Price'!C$1,FALSE),0)</f>
        <v>0</v>
      </c>
      <c r="H41" s="197">
        <f>IF(_1_5412845612146241046457891017456[[#This Row],[Type]]&gt;0,VLOOKUP(_1_5412845612146241046457891017456[[#This Row],[Type]],Main[[#All],[TYPE]:[UNIT]],'Unit Price'!D$1,FALSE),0)</f>
        <v>0</v>
      </c>
      <c r="I41" s="194">
        <f>IF(_1_5412845612146241046457891017456[[#This Row],[Type]]&gt;0,VLOOKUP(_1_5412845612146241046457891017456[[#This Row],[Type]],Main[[#All],[TYPE]:[UNIT]],'Unit Price'!G$1,FALSE),0)</f>
        <v>0</v>
      </c>
      <c r="J41" s="194">
        <f>IF(_1_5412845612146241046457891017456[[#This Row],[Type]]&gt;0,VLOOKUP(_1_5412845612146241046457891017456[[#This Row],[Type]],Main[[#All],[TYPE]:[UNIT]],'Unit Price'!H$1,FALSE),0)</f>
        <v>0</v>
      </c>
      <c r="K41" s="194">
        <f>IF(_1_5412845612146241046457891017456[[#This Row],[Discount selection]]&gt;0,VLOOKUP(_1_5412845612146241046457891017456[[#This Row],[Discount selection]],'Discount Structure'!$A$2:$B$30,2,"false"),0)</f>
        <v>1</v>
      </c>
      <c r="L41" s="194">
        <f>_1_5412845612146241046457891017456[[#This Row],[LIST $]]*_1_5412845612146241046457891017456[[#This Row],[DISCOUNT]]*_1_5412845612146241046457891017456[[#This Row],[DISCOUNT 2]]</f>
        <v>0</v>
      </c>
      <c r="M41" s="194">
        <f>IF(OR(_1_5412845612146241046457891017456[[#This Row],[UNIT]]&gt;0,_1_5412845612146241046457891017456[[#This Row],[UNIT]]&lt;0),_1_5412845612146241046457891017456[[#This Row],[UNIT]]*_1_5412845612146241046457891017456[[#This Row],[COST]],0)</f>
        <v>0</v>
      </c>
      <c r="N41" s="194">
        <f t="shared" si="0"/>
        <v>1.3</v>
      </c>
      <c r="O41" s="198">
        <f>_1_5412845612146241046457891017456[[#This Row],[TOTAL]]*_1_5412845612146241046457891017456[[#This Row],[MARGIN]]</f>
        <v>0</v>
      </c>
      <c r="R41" s="41"/>
    </row>
    <row r="42" spans="1:18">
      <c r="C42" s="168"/>
      <c r="D42" s="188"/>
      <c r="F42" s="168" t="s">
        <v>6202</v>
      </c>
      <c r="G42" s="193">
        <f>IF(_1_5412845612146241046457891017456[[#This Row],[Type]]&gt;0,VLOOKUP(_1_5412845612146241046457891017456[[#This Row],[Type]],Main[[#All],[TYPE]:[UNIT]],'Unit Price'!C$1,FALSE),0)</f>
        <v>0</v>
      </c>
      <c r="H42" s="197">
        <f>IF(_1_5412845612146241046457891017456[[#This Row],[Type]]&gt;0,VLOOKUP(_1_5412845612146241046457891017456[[#This Row],[Type]],Main[[#All],[TYPE]:[UNIT]],'Unit Price'!D$1,FALSE),0)</f>
        <v>0</v>
      </c>
      <c r="I42" s="194">
        <f>IF(_1_5412845612146241046457891017456[[#This Row],[Type]]&gt;0,VLOOKUP(_1_5412845612146241046457891017456[[#This Row],[Type]],Main[[#All],[TYPE]:[UNIT]],'Unit Price'!G$1,FALSE),0)</f>
        <v>0</v>
      </c>
      <c r="J42" s="194">
        <f>IF(_1_5412845612146241046457891017456[[#This Row],[Type]]&gt;0,VLOOKUP(_1_5412845612146241046457891017456[[#This Row],[Type]],Main[[#All],[TYPE]:[UNIT]],'Unit Price'!H$1,FALSE),0)</f>
        <v>0</v>
      </c>
      <c r="K42" s="194">
        <f>IF(_1_5412845612146241046457891017456[[#This Row],[Discount selection]]&gt;0,VLOOKUP(_1_5412845612146241046457891017456[[#This Row],[Discount selection]],'Discount Structure'!$A$2:$B$30,2,"false"),0)</f>
        <v>1</v>
      </c>
      <c r="L42" s="194">
        <f>_1_5412845612146241046457891017456[[#This Row],[LIST $]]*_1_5412845612146241046457891017456[[#This Row],[DISCOUNT]]*_1_5412845612146241046457891017456[[#This Row],[DISCOUNT 2]]</f>
        <v>0</v>
      </c>
      <c r="M42" s="194">
        <f>IF(OR(_1_5412845612146241046457891017456[[#This Row],[UNIT]]&gt;0,_1_5412845612146241046457891017456[[#This Row],[UNIT]]&lt;0),_1_5412845612146241046457891017456[[#This Row],[UNIT]]*_1_5412845612146241046457891017456[[#This Row],[COST]],0)</f>
        <v>0</v>
      </c>
      <c r="N42" s="194">
        <f t="shared" si="0"/>
        <v>1.3</v>
      </c>
      <c r="O42" s="198">
        <f>_1_5412845612146241046457891017456[[#This Row],[TOTAL]]*_1_5412845612146241046457891017456[[#This Row],[MARGIN]]</f>
        <v>0</v>
      </c>
      <c r="R42" s="41"/>
    </row>
    <row r="43" spans="1:18">
      <c r="C43" s="168"/>
      <c r="D43" s="188"/>
      <c r="F43" s="168" t="s">
        <v>6202</v>
      </c>
      <c r="G43" s="193">
        <f>IF(_1_5412845612146241046457891017456[[#This Row],[Type]]&gt;0,VLOOKUP(_1_5412845612146241046457891017456[[#This Row],[Type]],Main[[#All],[TYPE]:[UNIT]],'Unit Price'!C$1,FALSE),0)</f>
        <v>0</v>
      </c>
      <c r="H43" s="197">
        <f>IF(_1_5412845612146241046457891017456[[#This Row],[Type]]&gt;0,VLOOKUP(_1_5412845612146241046457891017456[[#This Row],[Type]],Main[[#All],[TYPE]:[UNIT]],'Unit Price'!D$1,FALSE),0)</f>
        <v>0</v>
      </c>
      <c r="I43" s="194">
        <f>IF(_1_5412845612146241046457891017456[[#This Row],[Type]]&gt;0,VLOOKUP(_1_5412845612146241046457891017456[[#This Row],[Type]],Main[[#All],[TYPE]:[UNIT]],'Unit Price'!G$1,FALSE),0)</f>
        <v>0</v>
      </c>
      <c r="J43" s="194">
        <f>IF(_1_5412845612146241046457891017456[[#This Row],[Type]]&gt;0,VLOOKUP(_1_5412845612146241046457891017456[[#This Row],[Type]],Main[[#All],[TYPE]:[UNIT]],'Unit Price'!H$1,FALSE),0)</f>
        <v>0</v>
      </c>
      <c r="K43" s="194">
        <f>IF(_1_5412845612146241046457891017456[[#This Row],[Discount selection]]&gt;0,VLOOKUP(_1_5412845612146241046457891017456[[#This Row],[Discount selection]],'Discount Structure'!$A$2:$B$30,2,"false"),0)</f>
        <v>1</v>
      </c>
      <c r="L43" s="194">
        <f>_1_5412845612146241046457891017456[[#This Row],[LIST $]]*_1_5412845612146241046457891017456[[#This Row],[DISCOUNT]]*_1_5412845612146241046457891017456[[#This Row],[DISCOUNT 2]]</f>
        <v>0</v>
      </c>
      <c r="M43" s="194">
        <f>IF(OR(_1_5412845612146241046457891017456[[#This Row],[UNIT]]&gt;0,_1_5412845612146241046457891017456[[#This Row],[UNIT]]&lt;0),_1_5412845612146241046457891017456[[#This Row],[UNIT]]*_1_5412845612146241046457891017456[[#This Row],[COST]],0)</f>
        <v>0</v>
      </c>
      <c r="N43" s="194">
        <f t="shared" si="0"/>
        <v>1.3</v>
      </c>
      <c r="O43" s="198">
        <f>_1_5412845612146241046457891017456[[#This Row],[TOTAL]]*_1_5412845612146241046457891017456[[#This Row],[MARGIN]]</f>
        <v>0</v>
      </c>
      <c r="R43" s="41"/>
    </row>
    <row r="44" spans="1:18">
      <c r="C44" s="168"/>
      <c r="D44" s="188"/>
      <c r="F44" s="168" t="s">
        <v>6202</v>
      </c>
      <c r="G44" s="193">
        <f>IF(_1_5412845612146241046457891017456[[#This Row],[Type]]&gt;0,VLOOKUP(_1_5412845612146241046457891017456[[#This Row],[Type]],Main[[#All],[TYPE]:[UNIT]],'Unit Price'!C$1,FALSE),0)</f>
        <v>0</v>
      </c>
      <c r="H44" s="197">
        <f>IF(_1_5412845612146241046457891017456[[#This Row],[Type]]&gt;0,VLOOKUP(_1_5412845612146241046457891017456[[#This Row],[Type]],Main[[#All],[TYPE]:[UNIT]],'Unit Price'!D$1,FALSE),0)</f>
        <v>0</v>
      </c>
      <c r="I44" s="194">
        <f>IF(_1_5412845612146241046457891017456[[#This Row],[Type]]&gt;0,VLOOKUP(_1_5412845612146241046457891017456[[#This Row],[Type]],Main[[#All],[TYPE]:[UNIT]],'Unit Price'!G$1,FALSE),0)</f>
        <v>0</v>
      </c>
      <c r="J44" s="194">
        <f>IF(_1_5412845612146241046457891017456[[#This Row],[Type]]&gt;0,VLOOKUP(_1_5412845612146241046457891017456[[#This Row],[Type]],Main[[#All],[TYPE]:[UNIT]],'Unit Price'!H$1,FALSE),0)</f>
        <v>0</v>
      </c>
      <c r="K44" s="194">
        <f>IF(_1_5412845612146241046457891017456[[#This Row],[Discount selection]]&gt;0,VLOOKUP(_1_5412845612146241046457891017456[[#This Row],[Discount selection]],'Discount Structure'!$A$2:$B$30,2,"false"),0)</f>
        <v>1</v>
      </c>
      <c r="L44" s="194">
        <f>_1_5412845612146241046457891017456[[#This Row],[LIST $]]*_1_5412845612146241046457891017456[[#This Row],[DISCOUNT]]*_1_5412845612146241046457891017456[[#This Row],[DISCOUNT 2]]</f>
        <v>0</v>
      </c>
      <c r="M44" s="194">
        <f>IF(OR(_1_5412845612146241046457891017456[[#This Row],[UNIT]]&gt;0,_1_5412845612146241046457891017456[[#This Row],[UNIT]]&lt;0),_1_5412845612146241046457891017456[[#This Row],[UNIT]]*_1_5412845612146241046457891017456[[#This Row],[COST]],0)</f>
        <v>0</v>
      </c>
      <c r="N44" s="194">
        <f t="shared" si="0"/>
        <v>1.3</v>
      </c>
      <c r="O44" s="198">
        <f>_1_5412845612146241046457891017456[[#This Row],[TOTAL]]*_1_5412845612146241046457891017456[[#This Row],[MARGIN]]</f>
        <v>0</v>
      </c>
      <c r="R44" s="41"/>
    </row>
    <row r="45" spans="1:18">
      <c r="C45" s="168"/>
      <c r="D45" s="188"/>
      <c r="F45" s="168" t="s">
        <v>6202</v>
      </c>
      <c r="G45" s="193">
        <f>IF(_1_5412845612146241046457891017456[[#This Row],[Type]]&gt;0,VLOOKUP(_1_5412845612146241046457891017456[[#This Row],[Type]],Main[[#All],[TYPE]:[UNIT]],'Unit Price'!C$1,FALSE),0)</f>
        <v>0</v>
      </c>
      <c r="H45" s="197">
        <f>IF(_1_5412845612146241046457891017456[[#This Row],[Type]]&gt;0,VLOOKUP(_1_5412845612146241046457891017456[[#This Row],[Type]],Main[[#All],[TYPE]:[UNIT]],'Unit Price'!D$1,FALSE),0)</f>
        <v>0</v>
      </c>
      <c r="I45" s="194">
        <f>IF(_1_5412845612146241046457891017456[[#This Row],[Type]]&gt;0,VLOOKUP(_1_5412845612146241046457891017456[[#This Row],[Type]],Main[[#All],[TYPE]:[UNIT]],'Unit Price'!G$1,FALSE),0)</f>
        <v>0</v>
      </c>
      <c r="J45" s="194">
        <f>IF(_1_5412845612146241046457891017456[[#This Row],[Type]]&gt;0,VLOOKUP(_1_5412845612146241046457891017456[[#This Row],[Type]],Main[[#All],[TYPE]:[UNIT]],'Unit Price'!H$1,FALSE),0)</f>
        <v>0</v>
      </c>
      <c r="K45" s="194">
        <f>IF(_1_5412845612146241046457891017456[[#This Row],[Discount selection]]&gt;0,VLOOKUP(_1_5412845612146241046457891017456[[#This Row],[Discount selection]],'Discount Structure'!$A$2:$B$30,2,"false"),0)</f>
        <v>1</v>
      </c>
      <c r="L45" s="194">
        <f>_1_5412845612146241046457891017456[[#This Row],[LIST $]]*_1_5412845612146241046457891017456[[#This Row],[DISCOUNT]]*_1_5412845612146241046457891017456[[#This Row],[DISCOUNT 2]]</f>
        <v>0</v>
      </c>
      <c r="M45" s="194">
        <f>IF(OR(_1_5412845612146241046457891017456[[#This Row],[UNIT]]&gt;0,_1_5412845612146241046457891017456[[#This Row],[UNIT]]&lt;0),_1_5412845612146241046457891017456[[#This Row],[UNIT]]*_1_5412845612146241046457891017456[[#This Row],[COST]],0)</f>
        <v>0</v>
      </c>
      <c r="N45" s="194">
        <f t="shared" si="0"/>
        <v>1.3</v>
      </c>
      <c r="O45" s="198">
        <f>_1_5412845612146241046457891017456[[#This Row],[TOTAL]]*_1_5412845612146241046457891017456[[#This Row],[MARGIN]]</f>
        <v>0</v>
      </c>
      <c r="R45" s="41"/>
    </row>
    <row r="46" spans="1:18">
      <c r="C46" s="168"/>
      <c r="D46" s="188"/>
      <c r="F46" s="168" t="s">
        <v>6202</v>
      </c>
      <c r="G46" s="193">
        <f>IF(_1_5412845612146241046457891017456[[#This Row],[Type]]&gt;0,VLOOKUP(_1_5412845612146241046457891017456[[#This Row],[Type]],Main[[#All],[TYPE]:[UNIT]],'Unit Price'!C$1,FALSE),0)</f>
        <v>0</v>
      </c>
      <c r="H46" s="197">
        <f>IF(_1_5412845612146241046457891017456[[#This Row],[Type]]&gt;0,VLOOKUP(_1_5412845612146241046457891017456[[#This Row],[Type]],Main[[#All],[TYPE]:[UNIT]],'Unit Price'!D$1,FALSE),0)</f>
        <v>0</v>
      </c>
      <c r="I46" s="194">
        <f>IF(_1_5412845612146241046457891017456[[#This Row],[Type]]&gt;0,VLOOKUP(_1_5412845612146241046457891017456[[#This Row],[Type]],Main[[#All],[TYPE]:[UNIT]],'Unit Price'!G$1,FALSE),0)</f>
        <v>0</v>
      </c>
      <c r="J46" s="194">
        <f>IF(_1_5412845612146241046457891017456[[#This Row],[Type]]&gt;0,VLOOKUP(_1_5412845612146241046457891017456[[#This Row],[Type]],Main[[#All],[TYPE]:[UNIT]],'Unit Price'!H$1,FALSE),0)</f>
        <v>0</v>
      </c>
      <c r="K46" s="194">
        <f>IF(_1_5412845612146241046457891017456[[#This Row],[Discount selection]]&gt;0,VLOOKUP(_1_5412845612146241046457891017456[[#This Row],[Discount selection]],'Discount Structure'!$A$2:$B$30,2,"false"),0)</f>
        <v>1</v>
      </c>
      <c r="L46" s="194">
        <f>_1_5412845612146241046457891017456[[#This Row],[LIST $]]*_1_5412845612146241046457891017456[[#This Row],[DISCOUNT]]*_1_5412845612146241046457891017456[[#This Row],[DISCOUNT 2]]</f>
        <v>0</v>
      </c>
      <c r="M46" s="194">
        <f>IF(OR(_1_5412845612146241046457891017456[[#This Row],[UNIT]]&gt;0,_1_5412845612146241046457891017456[[#This Row],[UNIT]]&lt;0),_1_5412845612146241046457891017456[[#This Row],[UNIT]]*_1_5412845612146241046457891017456[[#This Row],[COST]],0)</f>
        <v>0</v>
      </c>
      <c r="N46" s="194">
        <f t="shared" si="0"/>
        <v>1.3</v>
      </c>
      <c r="O46" s="198">
        <f>_1_5412845612146241046457891017456[[#This Row],[TOTAL]]*_1_5412845612146241046457891017456[[#This Row],[MARGIN]]</f>
        <v>0</v>
      </c>
      <c r="R46" s="41"/>
    </row>
    <row r="47" spans="1:18">
      <c r="C47" s="168"/>
      <c r="D47" s="188"/>
      <c r="F47" s="168" t="s">
        <v>6202</v>
      </c>
      <c r="G47" s="193">
        <f>IF(_1_5412845612146241046457891017456[[#This Row],[Type]]&gt;0,VLOOKUP(_1_5412845612146241046457891017456[[#This Row],[Type]],Main[[#All],[TYPE]:[UNIT]],'Unit Price'!C$1,FALSE),0)</f>
        <v>0</v>
      </c>
      <c r="H47" s="197">
        <f>IF(_1_5412845612146241046457891017456[[#This Row],[Type]]&gt;0,VLOOKUP(_1_5412845612146241046457891017456[[#This Row],[Type]],Main[[#All],[TYPE]:[UNIT]],'Unit Price'!D$1,FALSE),0)</f>
        <v>0</v>
      </c>
      <c r="I47" s="194">
        <f>IF(_1_5412845612146241046457891017456[[#This Row],[Type]]&gt;0,VLOOKUP(_1_5412845612146241046457891017456[[#This Row],[Type]],Main[[#All],[TYPE]:[UNIT]],'Unit Price'!G$1,FALSE),0)</f>
        <v>0</v>
      </c>
      <c r="J47" s="194">
        <f>IF(_1_5412845612146241046457891017456[[#This Row],[Type]]&gt;0,VLOOKUP(_1_5412845612146241046457891017456[[#This Row],[Type]],Main[[#All],[TYPE]:[UNIT]],'Unit Price'!H$1,FALSE),0)</f>
        <v>0</v>
      </c>
      <c r="K47" s="194">
        <f>IF(_1_5412845612146241046457891017456[[#This Row],[Discount selection]]&gt;0,VLOOKUP(_1_5412845612146241046457891017456[[#This Row],[Discount selection]],'Discount Structure'!$A$2:$B$30,2,"false"),0)</f>
        <v>1</v>
      </c>
      <c r="L47" s="194">
        <f>_1_5412845612146241046457891017456[[#This Row],[LIST $]]*_1_5412845612146241046457891017456[[#This Row],[DISCOUNT]]*_1_5412845612146241046457891017456[[#This Row],[DISCOUNT 2]]</f>
        <v>0</v>
      </c>
      <c r="M47" s="194">
        <f>IF(OR(_1_5412845612146241046457891017456[[#This Row],[UNIT]]&gt;0,_1_5412845612146241046457891017456[[#This Row],[UNIT]]&lt;0),_1_5412845612146241046457891017456[[#This Row],[UNIT]]*_1_5412845612146241046457891017456[[#This Row],[COST]],0)</f>
        <v>0</v>
      </c>
      <c r="N47" s="194">
        <f t="shared" si="0"/>
        <v>1.3</v>
      </c>
      <c r="O47" s="198">
        <f>_1_5412845612146241046457891017456[[#This Row],[TOTAL]]*_1_5412845612146241046457891017456[[#This Row],[MARGIN]]</f>
        <v>0</v>
      </c>
      <c r="R47" s="41"/>
    </row>
    <row r="48" spans="1:18">
      <c r="C48" s="168"/>
      <c r="D48" s="188"/>
      <c r="F48" s="168" t="s">
        <v>6202</v>
      </c>
      <c r="G48" s="193">
        <f>IF(_1_5412845612146241046457891017456[[#This Row],[Type]]&gt;0,VLOOKUP(_1_5412845612146241046457891017456[[#This Row],[Type]],Main[[#All],[TYPE]:[UNIT]],'Unit Price'!C$1,FALSE),0)</f>
        <v>0</v>
      </c>
      <c r="H48" s="197">
        <f>IF(_1_5412845612146241046457891017456[[#This Row],[Type]]&gt;0,VLOOKUP(_1_5412845612146241046457891017456[[#This Row],[Type]],Main[[#All],[TYPE]:[UNIT]],'Unit Price'!D$1,FALSE),0)</f>
        <v>0</v>
      </c>
      <c r="I48" s="194">
        <f>IF(_1_5412845612146241046457891017456[[#This Row],[Type]]&gt;0,VLOOKUP(_1_5412845612146241046457891017456[[#This Row],[Type]],Main[[#All],[TYPE]:[UNIT]],'Unit Price'!G$1,FALSE),0)</f>
        <v>0</v>
      </c>
      <c r="J48" s="194">
        <f>IF(_1_5412845612146241046457891017456[[#This Row],[Type]]&gt;0,VLOOKUP(_1_5412845612146241046457891017456[[#This Row],[Type]],Main[[#All],[TYPE]:[UNIT]],'Unit Price'!H$1,FALSE),0)</f>
        <v>0</v>
      </c>
      <c r="K48" s="194">
        <f>IF(_1_5412845612146241046457891017456[[#This Row],[Discount selection]]&gt;0,VLOOKUP(_1_5412845612146241046457891017456[[#This Row],[Discount selection]],'Discount Structure'!$A$2:$B$30,2,"false"),0)</f>
        <v>1</v>
      </c>
      <c r="L48" s="194">
        <f>_1_5412845612146241046457891017456[[#This Row],[LIST $]]*_1_5412845612146241046457891017456[[#This Row],[DISCOUNT]]*_1_5412845612146241046457891017456[[#This Row],[DISCOUNT 2]]</f>
        <v>0</v>
      </c>
      <c r="M48" s="194">
        <f>IF(OR(_1_5412845612146241046457891017456[[#This Row],[UNIT]]&gt;0,_1_5412845612146241046457891017456[[#This Row],[UNIT]]&lt;0),_1_5412845612146241046457891017456[[#This Row],[UNIT]]*_1_5412845612146241046457891017456[[#This Row],[COST]],0)</f>
        <v>0</v>
      </c>
      <c r="N48" s="194">
        <f t="shared" si="0"/>
        <v>1.3</v>
      </c>
      <c r="O48" s="198">
        <f>_1_5412845612146241046457891017456[[#This Row],[TOTAL]]*_1_5412845612146241046457891017456[[#This Row],[MARGIN]]</f>
        <v>0</v>
      </c>
      <c r="R48" s="41"/>
    </row>
    <row r="49" spans="1:18">
      <c r="C49" s="168"/>
      <c r="D49" s="188"/>
      <c r="F49" s="168" t="s">
        <v>6202</v>
      </c>
      <c r="G49" s="193">
        <f>IF(_1_5412845612146241046457891017456[[#This Row],[Type]]&gt;0,VLOOKUP(_1_5412845612146241046457891017456[[#This Row],[Type]],Main[[#All],[TYPE]:[UNIT]],'Unit Price'!C$1,FALSE),0)</f>
        <v>0</v>
      </c>
      <c r="H49" s="197">
        <f>IF(_1_5412845612146241046457891017456[[#This Row],[Type]]&gt;0,VLOOKUP(_1_5412845612146241046457891017456[[#This Row],[Type]],Main[[#All],[TYPE]:[UNIT]],'Unit Price'!D$1,FALSE),0)</f>
        <v>0</v>
      </c>
      <c r="I49" s="194">
        <f>IF(_1_5412845612146241046457891017456[[#This Row],[Type]]&gt;0,VLOOKUP(_1_5412845612146241046457891017456[[#This Row],[Type]],Main[[#All],[TYPE]:[UNIT]],'Unit Price'!G$1,FALSE),0)</f>
        <v>0</v>
      </c>
      <c r="J49" s="194">
        <f>IF(_1_5412845612146241046457891017456[[#This Row],[Type]]&gt;0,VLOOKUP(_1_5412845612146241046457891017456[[#This Row],[Type]],Main[[#All],[TYPE]:[UNIT]],'Unit Price'!H$1,FALSE),0)</f>
        <v>0</v>
      </c>
      <c r="K49" s="194">
        <f>IF(_1_5412845612146241046457891017456[[#This Row],[Discount selection]]&gt;0,VLOOKUP(_1_5412845612146241046457891017456[[#This Row],[Discount selection]],'Discount Structure'!$A$2:$B$30,2,"false"),0)</f>
        <v>1</v>
      </c>
      <c r="L49" s="194">
        <f>_1_5412845612146241046457891017456[[#This Row],[LIST $]]*_1_5412845612146241046457891017456[[#This Row],[DISCOUNT]]*_1_5412845612146241046457891017456[[#This Row],[DISCOUNT 2]]</f>
        <v>0</v>
      </c>
      <c r="M49" s="194">
        <f>IF(OR(_1_5412845612146241046457891017456[[#This Row],[UNIT]]&gt;0,_1_5412845612146241046457891017456[[#This Row],[UNIT]]&lt;0),_1_5412845612146241046457891017456[[#This Row],[UNIT]]*_1_5412845612146241046457891017456[[#This Row],[COST]],0)</f>
        <v>0</v>
      </c>
      <c r="N49" s="194">
        <f t="shared" si="0"/>
        <v>1.3</v>
      </c>
      <c r="O49" s="198">
        <f>_1_5412845612146241046457891017456[[#This Row],[TOTAL]]*_1_5412845612146241046457891017456[[#This Row],[MARGIN]]</f>
        <v>0</v>
      </c>
      <c r="R49" s="41"/>
    </row>
    <row r="50" spans="1:18">
      <c r="C50" s="168"/>
      <c r="D50" s="188"/>
      <c r="F50" s="168" t="s">
        <v>6202</v>
      </c>
      <c r="G50" s="193">
        <f>IF(_1_5412845612146241046457891017456[[#This Row],[Type]]&gt;0,VLOOKUP(_1_5412845612146241046457891017456[[#This Row],[Type]],Main[[#All],[TYPE]:[UNIT]],'Unit Price'!C$1,FALSE),0)</f>
        <v>0</v>
      </c>
      <c r="H50" s="197">
        <f>IF(_1_5412845612146241046457891017456[[#This Row],[Type]]&gt;0,VLOOKUP(_1_5412845612146241046457891017456[[#This Row],[Type]],Main[[#All],[TYPE]:[UNIT]],'Unit Price'!D$1,FALSE),0)</f>
        <v>0</v>
      </c>
      <c r="I50" s="194">
        <f>IF(_1_5412845612146241046457891017456[[#This Row],[Type]]&gt;0,VLOOKUP(_1_5412845612146241046457891017456[[#This Row],[Type]],Main[[#All],[TYPE]:[UNIT]],'Unit Price'!G$1,FALSE),0)</f>
        <v>0</v>
      </c>
      <c r="J50" s="194">
        <f>IF(_1_5412845612146241046457891017456[[#This Row],[Type]]&gt;0,VLOOKUP(_1_5412845612146241046457891017456[[#This Row],[Type]],Main[[#All],[TYPE]:[UNIT]],'Unit Price'!H$1,FALSE),0)</f>
        <v>0</v>
      </c>
      <c r="K50" s="194">
        <f>IF(_1_5412845612146241046457891017456[[#This Row],[Discount selection]]&gt;0,VLOOKUP(_1_5412845612146241046457891017456[[#This Row],[Discount selection]],'Discount Structure'!$A$2:$B$30,2,"false"),0)</f>
        <v>1</v>
      </c>
      <c r="L50" s="194">
        <f>_1_5412845612146241046457891017456[[#This Row],[LIST $]]*_1_5412845612146241046457891017456[[#This Row],[DISCOUNT]]*_1_5412845612146241046457891017456[[#This Row],[DISCOUNT 2]]</f>
        <v>0</v>
      </c>
      <c r="M50" s="194">
        <f>IF(OR(_1_5412845612146241046457891017456[[#This Row],[UNIT]]&gt;0,_1_5412845612146241046457891017456[[#This Row],[UNIT]]&lt;0),_1_5412845612146241046457891017456[[#This Row],[UNIT]]*_1_5412845612146241046457891017456[[#This Row],[COST]],0)</f>
        <v>0</v>
      </c>
      <c r="N50" s="194">
        <f t="shared" si="0"/>
        <v>1.3</v>
      </c>
      <c r="O50" s="198">
        <f>_1_5412845612146241046457891017456[[#This Row],[TOTAL]]*_1_5412845612146241046457891017456[[#This Row],[MARGIN]]</f>
        <v>0</v>
      </c>
      <c r="R50" s="41"/>
    </row>
    <row r="51" spans="1:18">
      <c r="C51" s="168"/>
      <c r="D51" s="188"/>
      <c r="F51" s="168" t="s">
        <v>6202</v>
      </c>
      <c r="G51" s="193">
        <f>IF(_1_5412845612146241046457891017456[[#This Row],[Type]]&gt;0,VLOOKUP(_1_5412845612146241046457891017456[[#This Row],[Type]],Main[[#All],[TYPE]:[UNIT]],'Unit Price'!C$1,FALSE),0)</f>
        <v>0</v>
      </c>
      <c r="H51" s="197">
        <f>IF(_1_5412845612146241046457891017456[[#This Row],[Type]]&gt;0,VLOOKUP(_1_5412845612146241046457891017456[[#This Row],[Type]],Main[[#All],[TYPE]:[UNIT]],'Unit Price'!D$1,FALSE),0)</f>
        <v>0</v>
      </c>
      <c r="I51" s="194">
        <f>IF(_1_5412845612146241046457891017456[[#This Row],[Type]]&gt;0,VLOOKUP(_1_5412845612146241046457891017456[[#This Row],[Type]],Main[[#All],[TYPE]:[UNIT]],'Unit Price'!G$1,FALSE),0)</f>
        <v>0</v>
      </c>
      <c r="J51" s="194">
        <f>IF(_1_5412845612146241046457891017456[[#This Row],[Type]]&gt;0,VLOOKUP(_1_5412845612146241046457891017456[[#This Row],[Type]],Main[[#All],[TYPE]:[UNIT]],'Unit Price'!H$1,FALSE),0)</f>
        <v>0</v>
      </c>
      <c r="K51" s="194">
        <f>IF(_1_5412845612146241046457891017456[[#This Row],[Discount selection]]&gt;0,VLOOKUP(_1_5412845612146241046457891017456[[#This Row],[Discount selection]],'Discount Structure'!$A$2:$B$30,2,"false"),0)</f>
        <v>1</v>
      </c>
      <c r="L51" s="194">
        <f>_1_5412845612146241046457891017456[[#This Row],[LIST $]]*_1_5412845612146241046457891017456[[#This Row],[DISCOUNT]]*_1_5412845612146241046457891017456[[#This Row],[DISCOUNT 2]]</f>
        <v>0</v>
      </c>
      <c r="M51" s="194">
        <f>IF(OR(_1_5412845612146241046457891017456[[#This Row],[UNIT]]&gt;0,_1_5412845612146241046457891017456[[#This Row],[UNIT]]&lt;0),_1_5412845612146241046457891017456[[#This Row],[UNIT]]*_1_5412845612146241046457891017456[[#This Row],[COST]],0)</f>
        <v>0</v>
      </c>
      <c r="N51" s="194">
        <f t="shared" si="0"/>
        <v>1.3</v>
      </c>
      <c r="O51" s="198">
        <f>_1_5412845612146241046457891017456[[#This Row],[TOTAL]]*_1_5412845612146241046457891017456[[#This Row],[MARGIN]]</f>
        <v>0</v>
      </c>
      <c r="R51" s="41"/>
    </row>
    <row r="52" spans="1:18">
      <c r="C52" s="168"/>
      <c r="D52" s="188"/>
      <c r="F52" s="168" t="s">
        <v>6202</v>
      </c>
      <c r="G52" s="193">
        <f>IF(_1_5412845612146241046457891017456[[#This Row],[Type]]&gt;0,VLOOKUP(_1_5412845612146241046457891017456[[#This Row],[Type]],Main[[#All],[TYPE]:[UNIT]],'Unit Price'!C$1,FALSE),0)</f>
        <v>0</v>
      </c>
      <c r="H52" s="197">
        <f>IF(_1_5412845612146241046457891017456[[#This Row],[Type]]&gt;0,VLOOKUP(_1_5412845612146241046457891017456[[#This Row],[Type]],Main[[#All],[TYPE]:[UNIT]],'Unit Price'!D$1,FALSE),0)</f>
        <v>0</v>
      </c>
      <c r="I52" s="194">
        <f>IF(_1_5412845612146241046457891017456[[#This Row],[Type]]&gt;0,VLOOKUP(_1_5412845612146241046457891017456[[#This Row],[Type]],Main[[#All],[TYPE]:[UNIT]],'Unit Price'!G$1,FALSE),0)</f>
        <v>0</v>
      </c>
      <c r="J52" s="194">
        <f>IF(_1_5412845612146241046457891017456[[#This Row],[Type]]&gt;0,VLOOKUP(_1_5412845612146241046457891017456[[#This Row],[Type]],Main[[#All],[TYPE]:[UNIT]],'Unit Price'!H$1,FALSE),0)</f>
        <v>0</v>
      </c>
      <c r="K52" s="194">
        <f>IF(_1_5412845612146241046457891017456[[#This Row],[Discount selection]]&gt;0,VLOOKUP(_1_5412845612146241046457891017456[[#This Row],[Discount selection]],'Discount Structure'!$A$2:$B$30,2,"false"),0)</f>
        <v>1</v>
      </c>
      <c r="L52" s="194">
        <f>_1_5412845612146241046457891017456[[#This Row],[LIST $]]*_1_5412845612146241046457891017456[[#This Row],[DISCOUNT]]*_1_5412845612146241046457891017456[[#This Row],[DISCOUNT 2]]</f>
        <v>0</v>
      </c>
      <c r="M52" s="194">
        <f>IF(OR(_1_5412845612146241046457891017456[[#This Row],[UNIT]]&gt;0,_1_5412845612146241046457891017456[[#This Row],[UNIT]]&lt;0),_1_5412845612146241046457891017456[[#This Row],[UNIT]]*_1_5412845612146241046457891017456[[#This Row],[COST]],0)</f>
        <v>0</v>
      </c>
      <c r="N52" s="194">
        <f t="shared" si="0"/>
        <v>1.3</v>
      </c>
      <c r="O52" s="198">
        <f>_1_5412845612146241046457891017456[[#This Row],[TOTAL]]*_1_5412845612146241046457891017456[[#This Row],[MARGIN]]</f>
        <v>0</v>
      </c>
      <c r="R52" s="41"/>
    </row>
    <row r="53" spans="1:18">
      <c r="C53" s="168"/>
      <c r="D53" s="188"/>
      <c r="F53" s="168" t="s">
        <v>6202</v>
      </c>
      <c r="G53" s="193">
        <f>IF(_1_5412845612146241046457891017456[[#This Row],[Type]]&gt;0,VLOOKUP(_1_5412845612146241046457891017456[[#This Row],[Type]],Main[[#All],[TYPE]:[UNIT]],'Unit Price'!C$1,FALSE),0)</f>
        <v>0</v>
      </c>
      <c r="H53" s="197">
        <f>IF(_1_5412845612146241046457891017456[[#This Row],[Type]]&gt;0,VLOOKUP(_1_5412845612146241046457891017456[[#This Row],[Type]],Main[[#All],[TYPE]:[UNIT]],'Unit Price'!D$1,FALSE),0)</f>
        <v>0</v>
      </c>
      <c r="I53" s="194">
        <f>IF(_1_5412845612146241046457891017456[[#This Row],[Type]]&gt;0,VLOOKUP(_1_5412845612146241046457891017456[[#This Row],[Type]],Main[[#All],[TYPE]:[UNIT]],'Unit Price'!G$1,FALSE),0)</f>
        <v>0</v>
      </c>
      <c r="J53" s="194">
        <f>IF(_1_5412845612146241046457891017456[[#This Row],[Type]]&gt;0,VLOOKUP(_1_5412845612146241046457891017456[[#This Row],[Type]],Main[[#All],[TYPE]:[UNIT]],'Unit Price'!H$1,FALSE),0)</f>
        <v>0</v>
      </c>
      <c r="K53" s="194">
        <f>IF(_1_5412845612146241046457891017456[[#This Row],[Discount selection]]&gt;0,VLOOKUP(_1_5412845612146241046457891017456[[#This Row],[Discount selection]],'Discount Structure'!$A$2:$B$30,2,"false"),0)</f>
        <v>1</v>
      </c>
      <c r="L53" s="194">
        <f>_1_5412845612146241046457891017456[[#This Row],[LIST $]]*_1_5412845612146241046457891017456[[#This Row],[DISCOUNT]]*_1_5412845612146241046457891017456[[#This Row],[DISCOUNT 2]]</f>
        <v>0</v>
      </c>
      <c r="M53" s="194">
        <f>IF(OR(_1_5412845612146241046457891017456[[#This Row],[UNIT]]&gt;0,_1_5412845612146241046457891017456[[#This Row],[UNIT]]&lt;0),_1_5412845612146241046457891017456[[#This Row],[UNIT]]*_1_5412845612146241046457891017456[[#This Row],[COST]],0)</f>
        <v>0</v>
      </c>
      <c r="N53" s="194">
        <f t="shared" si="0"/>
        <v>1.3</v>
      </c>
      <c r="O53" s="198">
        <f>_1_5412845612146241046457891017456[[#This Row],[TOTAL]]*_1_5412845612146241046457891017456[[#This Row],[MARGIN]]</f>
        <v>0</v>
      </c>
      <c r="R53" s="41"/>
    </row>
    <row r="54" spans="1:18">
      <c r="C54" s="168"/>
      <c r="D54" s="188"/>
      <c r="F54" s="168" t="s">
        <v>6202</v>
      </c>
      <c r="G54" s="193">
        <f>IF(_1_5412845612146241046457891017456[[#This Row],[Type]]&gt;0,VLOOKUP(_1_5412845612146241046457891017456[[#This Row],[Type]],Main[[#All],[TYPE]:[UNIT]],'Unit Price'!C$1,FALSE),0)</f>
        <v>0</v>
      </c>
      <c r="H54" s="197">
        <f>IF(_1_5412845612146241046457891017456[[#This Row],[Type]]&gt;0,VLOOKUP(_1_5412845612146241046457891017456[[#This Row],[Type]],Main[[#All],[TYPE]:[UNIT]],'Unit Price'!D$1,FALSE),0)</f>
        <v>0</v>
      </c>
      <c r="I54" s="194">
        <f>IF(_1_5412845612146241046457891017456[[#This Row],[Type]]&gt;0,VLOOKUP(_1_5412845612146241046457891017456[[#This Row],[Type]],Main[[#All],[TYPE]:[UNIT]],'Unit Price'!G$1,FALSE),0)</f>
        <v>0</v>
      </c>
      <c r="J54" s="194">
        <f>IF(_1_5412845612146241046457891017456[[#This Row],[Type]]&gt;0,VLOOKUP(_1_5412845612146241046457891017456[[#This Row],[Type]],Main[[#All],[TYPE]:[UNIT]],'Unit Price'!H$1,FALSE),0)</f>
        <v>0</v>
      </c>
      <c r="K54" s="194">
        <f>IF(_1_5412845612146241046457891017456[[#This Row],[Discount selection]]&gt;0,VLOOKUP(_1_5412845612146241046457891017456[[#This Row],[Discount selection]],'Discount Structure'!$A$2:$B$30,2,"false"),0)</f>
        <v>1</v>
      </c>
      <c r="L54" s="194">
        <f>_1_5412845612146241046457891017456[[#This Row],[LIST $]]*_1_5412845612146241046457891017456[[#This Row],[DISCOUNT]]*_1_5412845612146241046457891017456[[#This Row],[DISCOUNT 2]]</f>
        <v>0</v>
      </c>
      <c r="M54" s="194">
        <f>IF(OR(_1_5412845612146241046457891017456[[#This Row],[UNIT]]&gt;0,_1_5412845612146241046457891017456[[#This Row],[UNIT]]&lt;0),_1_5412845612146241046457891017456[[#This Row],[UNIT]]*_1_5412845612146241046457891017456[[#This Row],[COST]],0)</f>
        <v>0</v>
      </c>
      <c r="N54" s="194">
        <f t="shared" si="0"/>
        <v>1.3</v>
      </c>
      <c r="O54" s="198">
        <f>_1_5412845612146241046457891017456[[#This Row],[TOTAL]]*_1_5412845612146241046457891017456[[#This Row],[MARGIN]]</f>
        <v>0</v>
      </c>
      <c r="R54" s="41"/>
    </row>
    <row r="55" spans="1:18">
      <c r="C55" s="168"/>
      <c r="D55" s="188"/>
      <c r="F55" s="168" t="s">
        <v>6202</v>
      </c>
      <c r="G55" s="193">
        <f>IF(_1_5412845612146241046457891017456[[#This Row],[Type]]&gt;0,VLOOKUP(_1_5412845612146241046457891017456[[#This Row],[Type]],Main[[#All],[TYPE]:[UNIT]],'Unit Price'!C$1,FALSE),0)</f>
        <v>0</v>
      </c>
      <c r="H55" s="197">
        <f>IF(_1_5412845612146241046457891017456[[#This Row],[Type]]&gt;0,VLOOKUP(_1_5412845612146241046457891017456[[#This Row],[Type]],Main[[#All],[TYPE]:[UNIT]],'Unit Price'!D$1,FALSE),0)</f>
        <v>0</v>
      </c>
      <c r="I55" s="194">
        <f>IF(_1_5412845612146241046457891017456[[#This Row],[Type]]&gt;0,VLOOKUP(_1_5412845612146241046457891017456[[#This Row],[Type]],Main[[#All],[TYPE]:[UNIT]],'Unit Price'!G$1,FALSE),0)</f>
        <v>0</v>
      </c>
      <c r="J55" s="194">
        <f>IF(_1_5412845612146241046457891017456[[#This Row],[Type]]&gt;0,VLOOKUP(_1_5412845612146241046457891017456[[#This Row],[Type]],Main[[#All],[TYPE]:[UNIT]],'Unit Price'!H$1,FALSE),0)</f>
        <v>0</v>
      </c>
      <c r="K55" s="194">
        <f>IF(_1_5412845612146241046457891017456[[#This Row],[Discount selection]]&gt;0,VLOOKUP(_1_5412845612146241046457891017456[[#This Row],[Discount selection]],'Discount Structure'!$A$2:$B$30,2,"false"),0)</f>
        <v>1</v>
      </c>
      <c r="L55" s="194">
        <f>_1_5412845612146241046457891017456[[#This Row],[LIST $]]*_1_5412845612146241046457891017456[[#This Row],[DISCOUNT]]*_1_5412845612146241046457891017456[[#This Row],[DISCOUNT 2]]</f>
        <v>0</v>
      </c>
      <c r="M55" s="194">
        <f>IF(OR(_1_5412845612146241046457891017456[[#This Row],[UNIT]]&gt;0,_1_5412845612146241046457891017456[[#This Row],[UNIT]]&lt;0),_1_5412845612146241046457891017456[[#This Row],[UNIT]]*_1_5412845612146241046457891017456[[#This Row],[COST]],0)</f>
        <v>0</v>
      </c>
      <c r="N55" s="194">
        <f t="shared" si="0"/>
        <v>1.3</v>
      </c>
      <c r="O55" s="198">
        <f>_1_5412845612146241046457891017456[[#This Row],[TOTAL]]*_1_5412845612146241046457891017456[[#This Row],[MARGIN]]</f>
        <v>0</v>
      </c>
      <c r="R55" s="41"/>
    </row>
    <row r="56" spans="1:18">
      <c r="B56" s="317"/>
      <c r="C56" s="168"/>
      <c r="D56" s="188"/>
      <c r="F56" s="168" t="s">
        <v>6202</v>
      </c>
      <c r="G56" s="193">
        <f>IF(_1_5412845612146241046457891017456[[#This Row],[Type]]&gt;0,VLOOKUP(_1_5412845612146241046457891017456[[#This Row],[Type]],Main[[#All],[TYPE]:[UNIT]],'Unit Price'!C$1,FALSE),0)</f>
        <v>0</v>
      </c>
      <c r="H56" s="197">
        <f>IF(_1_5412845612146241046457891017456[[#This Row],[Type]]&gt;0,VLOOKUP(_1_5412845612146241046457891017456[[#This Row],[Type]],Main[[#All],[TYPE]:[UNIT]],'Unit Price'!D$1,FALSE),0)</f>
        <v>0</v>
      </c>
      <c r="I56" s="194">
        <f>IF(_1_5412845612146241046457891017456[[#This Row],[Type]]&gt;0,VLOOKUP(_1_5412845612146241046457891017456[[#This Row],[Type]],Main[[#All],[TYPE]:[UNIT]],'Unit Price'!G$1,FALSE),0)</f>
        <v>0</v>
      </c>
      <c r="J56" s="194">
        <f>IF(_1_5412845612146241046457891017456[[#This Row],[Type]]&gt;0,VLOOKUP(_1_5412845612146241046457891017456[[#This Row],[Type]],Main[[#All],[TYPE]:[UNIT]],'Unit Price'!H$1,FALSE),0)</f>
        <v>0</v>
      </c>
      <c r="K56" s="194">
        <f>IF(_1_5412845612146241046457891017456[[#This Row],[Discount selection]]&gt;0,VLOOKUP(_1_5412845612146241046457891017456[[#This Row],[Discount selection]],'Discount Structure'!$A$2:$B$30,2,"false"),0)</f>
        <v>1</v>
      </c>
      <c r="L56" s="194">
        <f>_1_5412845612146241046457891017456[[#This Row],[LIST $]]*_1_5412845612146241046457891017456[[#This Row],[DISCOUNT]]*_1_5412845612146241046457891017456[[#This Row],[DISCOUNT 2]]</f>
        <v>0</v>
      </c>
      <c r="M56" s="194">
        <f>IF(OR(_1_5412845612146241046457891017456[[#This Row],[UNIT]]&gt;0,_1_5412845612146241046457891017456[[#This Row],[UNIT]]&lt;0),_1_5412845612146241046457891017456[[#This Row],[UNIT]]*_1_5412845612146241046457891017456[[#This Row],[COST]],0)</f>
        <v>0</v>
      </c>
      <c r="N56" s="194">
        <f t="shared" si="0"/>
        <v>1.3</v>
      </c>
      <c r="O56" s="198">
        <f>_1_5412845612146241046457891017456[[#This Row],[TOTAL]]*_1_5412845612146241046457891017456[[#This Row],[MARGIN]]</f>
        <v>0</v>
      </c>
      <c r="R56" s="41"/>
    </row>
    <row r="57" spans="1:18">
      <c r="A57" s="168"/>
      <c r="C57" s="168"/>
      <c r="D57" s="188"/>
      <c r="F57" s="168" t="s">
        <v>6202</v>
      </c>
      <c r="G57" s="193">
        <f>IF(_1_5412845612146241046457891017456[[#This Row],[Type]]&gt;0,VLOOKUP(_1_5412845612146241046457891017456[[#This Row],[Type]],Main[[#All],[TYPE]:[UNIT]],'Unit Price'!C$1,FALSE),0)</f>
        <v>0</v>
      </c>
      <c r="H57" s="197">
        <f>IF(_1_5412845612146241046457891017456[[#This Row],[Type]]&gt;0,VLOOKUP(_1_5412845612146241046457891017456[[#This Row],[Type]],Main[[#All],[TYPE]:[UNIT]],'Unit Price'!D$1,FALSE),0)</f>
        <v>0</v>
      </c>
      <c r="I57" s="194">
        <f>IF(_1_5412845612146241046457891017456[[#This Row],[Type]]&gt;0,VLOOKUP(_1_5412845612146241046457891017456[[#This Row],[Type]],Main[[#All],[TYPE]:[UNIT]],'Unit Price'!G$1,FALSE),0)</f>
        <v>0</v>
      </c>
      <c r="J57" s="194">
        <f>IF(_1_5412845612146241046457891017456[[#This Row],[Type]]&gt;0,VLOOKUP(_1_5412845612146241046457891017456[[#This Row],[Type]],Main[[#All],[TYPE]:[UNIT]],'Unit Price'!H$1,FALSE),0)</f>
        <v>0</v>
      </c>
      <c r="K57" s="194">
        <f>IF(_1_5412845612146241046457891017456[[#This Row],[Discount selection]]&gt;0,VLOOKUP(_1_5412845612146241046457891017456[[#This Row],[Discount selection]],'Discount Structure'!$A$2:$B$30,2,"false"),0)</f>
        <v>1</v>
      </c>
      <c r="L57" s="194">
        <f>_1_5412845612146241046457891017456[[#This Row],[LIST $]]*_1_5412845612146241046457891017456[[#This Row],[DISCOUNT]]*_1_5412845612146241046457891017456[[#This Row],[DISCOUNT 2]]</f>
        <v>0</v>
      </c>
      <c r="M57" s="194">
        <f>IF(OR(_1_5412845612146241046457891017456[[#This Row],[UNIT]]&gt;0,_1_5412845612146241046457891017456[[#This Row],[UNIT]]&lt;0),_1_5412845612146241046457891017456[[#This Row],[UNIT]]*_1_5412845612146241046457891017456[[#This Row],[COST]],0)</f>
        <v>0</v>
      </c>
      <c r="N57" s="194">
        <f t="shared" si="0"/>
        <v>1.3</v>
      </c>
      <c r="O57" s="198">
        <f>_1_5412845612146241046457891017456[[#This Row],[TOTAL]]*_1_5412845612146241046457891017456[[#This Row],[MARGIN]]</f>
        <v>0</v>
      </c>
      <c r="R57" s="41"/>
    </row>
    <row r="58" spans="1:18">
      <c r="B58" s="317"/>
      <c r="C58" s="168"/>
      <c r="D58" s="188"/>
      <c r="F58" s="168" t="s">
        <v>6202</v>
      </c>
      <c r="G58" s="193">
        <f>IF(_1_5412845612146241046457891017456[[#This Row],[Type]]&gt;0,VLOOKUP(_1_5412845612146241046457891017456[[#This Row],[Type]],Main[[#All],[TYPE]:[UNIT]],'Unit Price'!C$1,FALSE),0)</f>
        <v>0</v>
      </c>
      <c r="H58" s="197">
        <f>IF(_1_5412845612146241046457891017456[[#This Row],[Type]]&gt;0,VLOOKUP(_1_5412845612146241046457891017456[[#This Row],[Type]],Main[[#All],[TYPE]:[UNIT]],'Unit Price'!D$1,FALSE),0)</f>
        <v>0</v>
      </c>
      <c r="I58" s="194">
        <f>IF(_1_5412845612146241046457891017456[[#This Row],[Type]]&gt;0,VLOOKUP(_1_5412845612146241046457891017456[[#This Row],[Type]],Main[[#All],[TYPE]:[UNIT]],'Unit Price'!G$1,FALSE),0)</f>
        <v>0</v>
      </c>
      <c r="J58" s="194">
        <f>IF(_1_5412845612146241046457891017456[[#This Row],[Type]]&gt;0,VLOOKUP(_1_5412845612146241046457891017456[[#This Row],[Type]],Main[[#All],[TYPE]:[UNIT]],'Unit Price'!H$1,FALSE),0)</f>
        <v>0</v>
      </c>
      <c r="K58" s="194">
        <f>IF(_1_5412845612146241046457891017456[[#This Row],[Discount selection]]&gt;0,VLOOKUP(_1_5412845612146241046457891017456[[#This Row],[Discount selection]],'Discount Structure'!$A$2:$B$30,2,"false"),0)</f>
        <v>1</v>
      </c>
      <c r="L58" s="194">
        <f>_1_5412845612146241046457891017456[[#This Row],[LIST $]]*_1_5412845612146241046457891017456[[#This Row],[DISCOUNT]]*_1_5412845612146241046457891017456[[#This Row],[DISCOUNT 2]]</f>
        <v>0</v>
      </c>
      <c r="M58" s="194">
        <f>IF(OR(_1_5412845612146241046457891017456[[#This Row],[UNIT]]&gt;0,_1_5412845612146241046457891017456[[#This Row],[UNIT]]&lt;0),_1_5412845612146241046457891017456[[#This Row],[UNIT]]*_1_5412845612146241046457891017456[[#This Row],[COST]],0)</f>
        <v>0</v>
      </c>
      <c r="N58" s="194">
        <f t="shared" si="0"/>
        <v>1.3</v>
      </c>
      <c r="O58" s="198">
        <f>_1_5412845612146241046457891017456[[#This Row],[TOTAL]]*_1_5412845612146241046457891017456[[#This Row],[MARGIN]]</f>
        <v>0</v>
      </c>
      <c r="R58" s="41"/>
    </row>
    <row r="59" spans="1:18">
      <c r="C59" s="168"/>
      <c r="D59" s="188"/>
      <c r="F59" s="168" t="s">
        <v>6202</v>
      </c>
      <c r="G59" s="193">
        <f>IF(_1_5412845612146241046457891017456[[#This Row],[Type]]&gt;0,VLOOKUP(_1_5412845612146241046457891017456[[#This Row],[Type]],Main[[#All],[TYPE]:[UNIT]],'Unit Price'!C$1,FALSE),0)</f>
        <v>0</v>
      </c>
      <c r="H59" s="197">
        <f>IF(_1_5412845612146241046457891017456[[#This Row],[Type]]&gt;0,VLOOKUP(_1_5412845612146241046457891017456[[#This Row],[Type]],Main[[#All],[TYPE]:[UNIT]],'Unit Price'!D$1,FALSE),0)</f>
        <v>0</v>
      </c>
      <c r="I59" s="194">
        <f>IF(_1_5412845612146241046457891017456[[#This Row],[Type]]&gt;0,VLOOKUP(_1_5412845612146241046457891017456[[#This Row],[Type]],Main[[#All],[TYPE]:[UNIT]],'Unit Price'!G$1,FALSE),0)</f>
        <v>0</v>
      </c>
      <c r="J59" s="194">
        <f>IF(_1_5412845612146241046457891017456[[#This Row],[Type]]&gt;0,VLOOKUP(_1_5412845612146241046457891017456[[#This Row],[Type]],Main[[#All],[TYPE]:[UNIT]],'Unit Price'!H$1,FALSE),0)</f>
        <v>0</v>
      </c>
      <c r="K59" s="194">
        <f>IF(_1_5412845612146241046457891017456[[#This Row],[Discount selection]]&gt;0,VLOOKUP(_1_5412845612146241046457891017456[[#This Row],[Discount selection]],'Discount Structure'!$A$2:$B$30,2,"false"),0)</f>
        <v>1</v>
      </c>
      <c r="L59" s="194">
        <f>_1_5412845612146241046457891017456[[#This Row],[LIST $]]*_1_5412845612146241046457891017456[[#This Row],[DISCOUNT]]*_1_5412845612146241046457891017456[[#This Row],[DISCOUNT 2]]</f>
        <v>0</v>
      </c>
      <c r="M59" s="194">
        <f>IF(OR(_1_5412845612146241046457891017456[[#This Row],[UNIT]]&gt;0,_1_5412845612146241046457891017456[[#This Row],[UNIT]]&lt;0),_1_5412845612146241046457891017456[[#This Row],[UNIT]]*_1_5412845612146241046457891017456[[#This Row],[COST]],0)</f>
        <v>0</v>
      </c>
      <c r="N59" s="194">
        <f t="shared" si="0"/>
        <v>1.3</v>
      </c>
      <c r="O59" s="198">
        <f>_1_5412845612146241046457891017456[[#This Row],[TOTAL]]*_1_5412845612146241046457891017456[[#This Row],[MARGIN]]</f>
        <v>0</v>
      </c>
      <c r="R59" s="41"/>
    </row>
    <row r="60" spans="1:18">
      <c r="C60" s="168"/>
      <c r="D60" s="188"/>
      <c r="F60" s="168" t="s">
        <v>6202</v>
      </c>
      <c r="G60" s="193">
        <f>IF(_1_5412845612146241046457891017456[[#This Row],[Type]]&gt;0,VLOOKUP(_1_5412845612146241046457891017456[[#This Row],[Type]],Main[[#All],[TYPE]:[UNIT]],'Unit Price'!C$1,FALSE),0)</f>
        <v>0</v>
      </c>
      <c r="H60" s="197">
        <f>IF(_1_5412845612146241046457891017456[[#This Row],[Type]]&gt;0,VLOOKUP(_1_5412845612146241046457891017456[[#This Row],[Type]],Main[[#All],[TYPE]:[UNIT]],'Unit Price'!D$1,FALSE),0)</f>
        <v>0</v>
      </c>
      <c r="I60" s="194">
        <f>IF(_1_5412845612146241046457891017456[[#This Row],[Type]]&gt;0,VLOOKUP(_1_5412845612146241046457891017456[[#This Row],[Type]],Main[[#All],[TYPE]:[UNIT]],'Unit Price'!G$1,FALSE),0)</f>
        <v>0</v>
      </c>
      <c r="J60" s="194">
        <f>IF(_1_5412845612146241046457891017456[[#This Row],[Type]]&gt;0,VLOOKUP(_1_5412845612146241046457891017456[[#This Row],[Type]],Main[[#All],[TYPE]:[UNIT]],'Unit Price'!H$1,FALSE),0)</f>
        <v>0</v>
      </c>
      <c r="K60" s="194">
        <f>IF(_1_5412845612146241046457891017456[[#This Row],[Discount selection]]&gt;0,VLOOKUP(_1_5412845612146241046457891017456[[#This Row],[Discount selection]],'Discount Structure'!$A$2:$B$30,2,"false"),0)</f>
        <v>1</v>
      </c>
      <c r="L60" s="194">
        <f>_1_5412845612146241046457891017456[[#This Row],[LIST $]]*_1_5412845612146241046457891017456[[#This Row],[DISCOUNT]]*_1_5412845612146241046457891017456[[#This Row],[DISCOUNT 2]]</f>
        <v>0</v>
      </c>
      <c r="M60" s="194">
        <f>IF(OR(_1_5412845612146241046457891017456[[#This Row],[UNIT]]&gt;0,_1_5412845612146241046457891017456[[#This Row],[UNIT]]&lt;0),_1_5412845612146241046457891017456[[#This Row],[UNIT]]*_1_5412845612146241046457891017456[[#This Row],[COST]],0)</f>
        <v>0</v>
      </c>
      <c r="N60" s="194">
        <f t="shared" si="0"/>
        <v>1.3</v>
      </c>
      <c r="O60" s="198">
        <f>_1_5412845612146241046457891017456[[#This Row],[TOTAL]]*_1_5412845612146241046457891017456[[#This Row],[MARGIN]]</f>
        <v>0</v>
      </c>
      <c r="R60" s="41"/>
    </row>
    <row r="61" spans="1:18">
      <c r="B61" s="168"/>
      <c r="C61" s="168"/>
      <c r="D61" s="361"/>
      <c r="F61" s="168" t="s">
        <v>6202</v>
      </c>
      <c r="G61" s="193">
        <f>IF(_1_5412845612146241046457891017456[[#This Row],[Type]]&gt;0,VLOOKUP(_1_5412845612146241046457891017456[[#This Row],[Type]],Main[[#All],[TYPE]:[UNIT]],'Unit Price'!C$1,FALSE),0)</f>
        <v>0</v>
      </c>
      <c r="H61" s="197">
        <f>IF(_1_5412845612146241046457891017456[[#This Row],[Type]]&gt;0,VLOOKUP(_1_5412845612146241046457891017456[[#This Row],[Type]],Main[[#All],[TYPE]:[UNIT]],'Unit Price'!D$1,FALSE),0)</f>
        <v>0</v>
      </c>
      <c r="I61" s="194">
        <f>IF(_1_5412845612146241046457891017456[[#This Row],[Type]]&gt;0,VLOOKUP(_1_5412845612146241046457891017456[[#This Row],[Type]],Main[[#All],[TYPE]:[UNIT]],'Unit Price'!G$1,FALSE),0)</f>
        <v>0</v>
      </c>
      <c r="J61" s="194">
        <f>IF(_1_5412845612146241046457891017456[[#This Row],[Type]]&gt;0,VLOOKUP(_1_5412845612146241046457891017456[[#This Row],[Type]],Main[[#All],[TYPE]:[UNIT]],'Unit Price'!H$1,FALSE),0)</f>
        <v>0</v>
      </c>
      <c r="K61" s="194">
        <f>IF(_1_5412845612146241046457891017456[[#This Row],[Discount selection]]&gt;0,VLOOKUP(_1_5412845612146241046457891017456[[#This Row],[Discount selection]],'Discount Structure'!$A$2:$B$30,2,"false"),0)</f>
        <v>1</v>
      </c>
      <c r="L61" s="194">
        <f>_1_5412845612146241046457891017456[[#This Row],[LIST $]]*_1_5412845612146241046457891017456[[#This Row],[DISCOUNT]]*_1_5412845612146241046457891017456[[#This Row],[DISCOUNT 2]]</f>
        <v>0</v>
      </c>
      <c r="M61" s="194">
        <f>IF(OR(_1_5412845612146241046457891017456[[#This Row],[UNIT]]&gt;0,_1_5412845612146241046457891017456[[#This Row],[UNIT]]&lt;0),_1_5412845612146241046457891017456[[#This Row],[UNIT]]*_1_5412845612146241046457891017456[[#This Row],[COST]],0)</f>
        <v>0</v>
      </c>
      <c r="N61" s="194">
        <f t="shared" si="0"/>
        <v>1.3</v>
      </c>
      <c r="O61" s="198">
        <f>_1_5412845612146241046457891017456[[#This Row],[TOTAL]]*_1_5412845612146241046457891017456[[#This Row],[MARGIN]]</f>
        <v>0</v>
      </c>
      <c r="R61" s="41"/>
    </row>
    <row r="62" spans="1:18">
      <c r="C62" s="168"/>
      <c r="D62" s="188"/>
      <c r="F62" s="168" t="s">
        <v>6202</v>
      </c>
      <c r="G62" s="193">
        <f>IF(_1_5412845612146241046457891017456[[#This Row],[Type]]&gt;0,VLOOKUP(_1_5412845612146241046457891017456[[#This Row],[Type]],Main[[#All],[TYPE]:[UNIT]],'Unit Price'!C$1,FALSE),0)</f>
        <v>0</v>
      </c>
      <c r="H62" s="197">
        <f>IF(_1_5412845612146241046457891017456[[#This Row],[Type]]&gt;0,VLOOKUP(_1_5412845612146241046457891017456[[#This Row],[Type]],Main[[#All],[TYPE]:[UNIT]],'Unit Price'!D$1,FALSE),0)</f>
        <v>0</v>
      </c>
      <c r="I62" s="194">
        <f>IF(_1_5412845612146241046457891017456[[#This Row],[Type]]&gt;0,VLOOKUP(_1_5412845612146241046457891017456[[#This Row],[Type]],Main[[#All],[TYPE]:[UNIT]],'Unit Price'!G$1,FALSE),0)</f>
        <v>0</v>
      </c>
      <c r="J62" s="194">
        <f>IF(_1_5412845612146241046457891017456[[#This Row],[Type]]&gt;0,VLOOKUP(_1_5412845612146241046457891017456[[#This Row],[Type]],Main[[#All],[TYPE]:[UNIT]],'Unit Price'!H$1,FALSE),0)</f>
        <v>0</v>
      </c>
      <c r="K62" s="194">
        <f>IF(_1_5412845612146241046457891017456[[#This Row],[Discount selection]]&gt;0,VLOOKUP(_1_5412845612146241046457891017456[[#This Row],[Discount selection]],'Discount Structure'!$A$2:$B$30,2,"false"),0)</f>
        <v>1</v>
      </c>
      <c r="L62" s="194">
        <f>_1_5412845612146241046457891017456[[#This Row],[LIST $]]*_1_5412845612146241046457891017456[[#This Row],[DISCOUNT]]*_1_5412845612146241046457891017456[[#This Row],[DISCOUNT 2]]</f>
        <v>0</v>
      </c>
      <c r="M62" s="194">
        <f>IF(OR(_1_5412845612146241046457891017456[[#This Row],[UNIT]]&gt;0,_1_5412845612146241046457891017456[[#This Row],[UNIT]]&lt;0),_1_5412845612146241046457891017456[[#This Row],[UNIT]]*_1_5412845612146241046457891017456[[#This Row],[COST]],0)</f>
        <v>0</v>
      </c>
      <c r="N62" s="194">
        <f t="shared" si="0"/>
        <v>1.3</v>
      </c>
      <c r="O62" s="198">
        <f>_1_5412845612146241046457891017456[[#This Row],[TOTAL]]*_1_5412845612146241046457891017456[[#This Row],[MARGIN]]</f>
        <v>0</v>
      </c>
      <c r="R62" s="41"/>
    </row>
    <row r="63" spans="1:18">
      <c r="C63" s="168"/>
      <c r="D63" s="188"/>
      <c r="F63" s="168" t="s">
        <v>6202</v>
      </c>
      <c r="G63" s="193">
        <f>IF(_1_5412845612146241046457891017456[[#This Row],[Type]]&gt;0,VLOOKUP(_1_5412845612146241046457891017456[[#This Row],[Type]],Main[[#All],[TYPE]:[UNIT]],'Unit Price'!C$1,FALSE),0)</f>
        <v>0</v>
      </c>
      <c r="H63" s="197">
        <f>IF(_1_5412845612146241046457891017456[[#This Row],[Type]]&gt;0,VLOOKUP(_1_5412845612146241046457891017456[[#This Row],[Type]],Main[[#All],[TYPE]:[UNIT]],'Unit Price'!D$1,FALSE),0)</f>
        <v>0</v>
      </c>
      <c r="I63" s="194">
        <f>IF(_1_5412845612146241046457891017456[[#This Row],[Type]]&gt;0,VLOOKUP(_1_5412845612146241046457891017456[[#This Row],[Type]],Main[[#All],[TYPE]:[UNIT]],'Unit Price'!G$1,FALSE),0)</f>
        <v>0</v>
      </c>
      <c r="J63" s="194">
        <f>IF(_1_5412845612146241046457891017456[[#This Row],[Type]]&gt;0,VLOOKUP(_1_5412845612146241046457891017456[[#This Row],[Type]],Main[[#All],[TYPE]:[UNIT]],'Unit Price'!H$1,FALSE),0)</f>
        <v>0</v>
      </c>
      <c r="K63" s="194">
        <f>IF(_1_5412845612146241046457891017456[[#This Row],[Discount selection]]&gt;0,VLOOKUP(_1_5412845612146241046457891017456[[#This Row],[Discount selection]],'Discount Structure'!$A$2:$B$30,2,"false"),0)</f>
        <v>1</v>
      </c>
      <c r="L63" s="194">
        <f>_1_5412845612146241046457891017456[[#This Row],[LIST $]]*_1_5412845612146241046457891017456[[#This Row],[DISCOUNT]]*_1_5412845612146241046457891017456[[#This Row],[DISCOUNT 2]]</f>
        <v>0</v>
      </c>
      <c r="M63" s="194">
        <f>IF(OR(_1_5412845612146241046457891017456[[#This Row],[UNIT]]&gt;0,_1_5412845612146241046457891017456[[#This Row],[UNIT]]&lt;0),_1_5412845612146241046457891017456[[#This Row],[UNIT]]*_1_5412845612146241046457891017456[[#This Row],[COST]],0)</f>
        <v>0</v>
      </c>
      <c r="N63" s="194">
        <f t="shared" si="0"/>
        <v>1.3</v>
      </c>
      <c r="O63" s="198">
        <f>_1_5412845612146241046457891017456[[#This Row],[TOTAL]]*_1_5412845612146241046457891017456[[#This Row],[MARGIN]]</f>
        <v>0</v>
      </c>
      <c r="R63" s="41"/>
    </row>
    <row r="64" spans="1:18">
      <c r="C64" s="168"/>
      <c r="D64" s="188"/>
      <c r="F64" s="168" t="s">
        <v>6202</v>
      </c>
      <c r="G64" s="193">
        <f>IF(_1_5412845612146241046457891017456[[#This Row],[Type]]&gt;0,VLOOKUP(_1_5412845612146241046457891017456[[#This Row],[Type]],Main[[#All],[TYPE]:[UNIT]],'Unit Price'!C$1,FALSE),0)</f>
        <v>0</v>
      </c>
      <c r="H64" s="197">
        <f>IF(_1_5412845612146241046457891017456[[#This Row],[Type]]&gt;0,VLOOKUP(_1_5412845612146241046457891017456[[#This Row],[Type]],Main[[#All],[TYPE]:[UNIT]],'Unit Price'!D$1,FALSE),0)</f>
        <v>0</v>
      </c>
      <c r="I64" s="194">
        <f>IF(_1_5412845612146241046457891017456[[#This Row],[Type]]&gt;0,VLOOKUP(_1_5412845612146241046457891017456[[#This Row],[Type]],Main[[#All],[TYPE]:[UNIT]],'Unit Price'!G$1,FALSE),0)</f>
        <v>0</v>
      </c>
      <c r="J64" s="194">
        <f>IF(_1_5412845612146241046457891017456[[#This Row],[Type]]&gt;0,VLOOKUP(_1_5412845612146241046457891017456[[#This Row],[Type]],Main[[#All],[TYPE]:[UNIT]],'Unit Price'!H$1,FALSE),0)</f>
        <v>0</v>
      </c>
      <c r="K64" s="194">
        <f>IF(_1_5412845612146241046457891017456[[#This Row],[Discount selection]]&gt;0,VLOOKUP(_1_5412845612146241046457891017456[[#This Row],[Discount selection]],'Discount Structure'!$A$2:$B$30,2,"false"),0)</f>
        <v>1</v>
      </c>
      <c r="L64" s="194">
        <f>_1_5412845612146241046457891017456[[#This Row],[LIST $]]*_1_5412845612146241046457891017456[[#This Row],[DISCOUNT]]*_1_5412845612146241046457891017456[[#This Row],[DISCOUNT 2]]</f>
        <v>0</v>
      </c>
      <c r="M64" s="194">
        <f>IF(OR(_1_5412845612146241046457891017456[[#This Row],[UNIT]]&gt;0,_1_5412845612146241046457891017456[[#This Row],[UNIT]]&lt;0),_1_5412845612146241046457891017456[[#This Row],[UNIT]]*_1_5412845612146241046457891017456[[#This Row],[COST]],0)</f>
        <v>0</v>
      </c>
      <c r="N64" s="194">
        <f t="shared" si="0"/>
        <v>1.3</v>
      </c>
      <c r="O64" s="198">
        <f>_1_5412845612146241046457891017456[[#This Row],[TOTAL]]*_1_5412845612146241046457891017456[[#This Row],[MARGIN]]</f>
        <v>0</v>
      </c>
      <c r="R64" s="41"/>
    </row>
    <row r="65" spans="1:18">
      <c r="C65" s="168"/>
      <c r="D65" s="188"/>
      <c r="F65" s="168" t="s">
        <v>6202</v>
      </c>
      <c r="G65" s="193">
        <f>IF(_1_5412845612146241046457891017456[[#This Row],[Type]]&gt;0,VLOOKUP(_1_5412845612146241046457891017456[[#This Row],[Type]],Main[[#All],[TYPE]:[UNIT]],'Unit Price'!C$1,FALSE),0)</f>
        <v>0</v>
      </c>
      <c r="H65" s="197">
        <f>IF(_1_5412845612146241046457891017456[[#This Row],[Type]]&gt;0,VLOOKUP(_1_5412845612146241046457891017456[[#This Row],[Type]],Main[[#All],[TYPE]:[UNIT]],'Unit Price'!D$1,FALSE),0)</f>
        <v>0</v>
      </c>
      <c r="I65" s="194">
        <f>IF(_1_5412845612146241046457891017456[[#This Row],[Type]]&gt;0,VLOOKUP(_1_5412845612146241046457891017456[[#This Row],[Type]],Main[[#All],[TYPE]:[UNIT]],'Unit Price'!G$1,FALSE),0)</f>
        <v>0</v>
      </c>
      <c r="J65" s="194">
        <f>IF(_1_5412845612146241046457891017456[[#This Row],[Type]]&gt;0,VLOOKUP(_1_5412845612146241046457891017456[[#This Row],[Type]],Main[[#All],[TYPE]:[UNIT]],'Unit Price'!H$1,FALSE),0)</f>
        <v>0</v>
      </c>
      <c r="K65" s="194">
        <f>IF(_1_5412845612146241046457891017456[[#This Row],[Discount selection]]&gt;0,VLOOKUP(_1_5412845612146241046457891017456[[#This Row],[Discount selection]],'Discount Structure'!$A$2:$B$30,2,"false"),0)</f>
        <v>1</v>
      </c>
      <c r="L65" s="194">
        <f>_1_5412845612146241046457891017456[[#This Row],[LIST $]]*_1_5412845612146241046457891017456[[#This Row],[DISCOUNT]]*_1_5412845612146241046457891017456[[#This Row],[DISCOUNT 2]]</f>
        <v>0</v>
      </c>
      <c r="M65" s="194">
        <f>IF(OR(_1_5412845612146241046457891017456[[#This Row],[UNIT]]&gt;0,_1_5412845612146241046457891017456[[#This Row],[UNIT]]&lt;0),_1_5412845612146241046457891017456[[#This Row],[UNIT]]*_1_5412845612146241046457891017456[[#This Row],[COST]],0)</f>
        <v>0</v>
      </c>
      <c r="N65" s="194">
        <f t="shared" si="0"/>
        <v>1.3</v>
      </c>
      <c r="O65" s="198">
        <f>_1_5412845612146241046457891017456[[#This Row],[TOTAL]]*_1_5412845612146241046457891017456[[#This Row],[MARGIN]]</f>
        <v>0</v>
      </c>
      <c r="R65" s="41"/>
    </row>
    <row r="66" spans="1:18">
      <c r="B66" s="363"/>
      <c r="C66" s="168"/>
      <c r="D66" s="188"/>
      <c r="F66" s="168" t="s">
        <v>6202</v>
      </c>
      <c r="G66" s="193">
        <f>IF(_1_5412845612146241046457891017456[[#This Row],[Type]]&gt;0,VLOOKUP(_1_5412845612146241046457891017456[[#This Row],[Type]],Main[[#All],[TYPE]:[UNIT]],'Unit Price'!C$1,FALSE),0)</f>
        <v>0</v>
      </c>
      <c r="H66" s="197">
        <f>IF(_1_5412845612146241046457891017456[[#This Row],[Type]]&gt;0,VLOOKUP(_1_5412845612146241046457891017456[[#This Row],[Type]],Main[[#All],[TYPE]:[UNIT]],'Unit Price'!D$1,FALSE),0)</f>
        <v>0</v>
      </c>
      <c r="I66" s="194">
        <f>IF(_1_5412845612146241046457891017456[[#This Row],[Type]]&gt;0,VLOOKUP(_1_5412845612146241046457891017456[[#This Row],[Type]],Main[[#All],[TYPE]:[UNIT]],'Unit Price'!G$1,FALSE),0)</f>
        <v>0</v>
      </c>
      <c r="J66" s="194">
        <f>IF(_1_5412845612146241046457891017456[[#This Row],[Type]]&gt;0,VLOOKUP(_1_5412845612146241046457891017456[[#This Row],[Type]],Main[[#All],[TYPE]:[UNIT]],'Unit Price'!H$1,FALSE),0)</f>
        <v>0</v>
      </c>
      <c r="K66" s="194">
        <f>IF(_1_5412845612146241046457891017456[[#This Row],[Discount selection]]&gt;0,VLOOKUP(_1_5412845612146241046457891017456[[#This Row],[Discount selection]],'Discount Structure'!$A$2:$B$30,2,"false"),0)</f>
        <v>1</v>
      </c>
      <c r="L66" s="194">
        <f>_1_5412845612146241046457891017456[[#This Row],[LIST $]]*_1_5412845612146241046457891017456[[#This Row],[DISCOUNT]]*_1_5412845612146241046457891017456[[#This Row],[DISCOUNT 2]]</f>
        <v>0</v>
      </c>
      <c r="M66" s="194">
        <f>IF(OR(_1_5412845612146241046457891017456[[#This Row],[UNIT]]&gt;0,_1_5412845612146241046457891017456[[#This Row],[UNIT]]&lt;0),_1_5412845612146241046457891017456[[#This Row],[UNIT]]*_1_5412845612146241046457891017456[[#This Row],[COST]],0)</f>
        <v>0</v>
      </c>
      <c r="N66" s="194">
        <f t="shared" si="0"/>
        <v>1.3</v>
      </c>
      <c r="O66" s="198">
        <f>_1_5412845612146241046457891017456[[#This Row],[TOTAL]]*_1_5412845612146241046457891017456[[#This Row],[MARGIN]]</f>
        <v>0</v>
      </c>
      <c r="R66" s="41"/>
    </row>
    <row r="67" spans="1:18">
      <c r="C67" s="168"/>
      <c r="D67" s="188"/>
      <c r="F67" s="168" t="s">
        <v>6202</v>
      </c>
      <c r="G67" s="193">
        <f>IF(_1_5412845612146241046457891017456[[#This Row],[Type]]&gt;0,VLOOKUP(_1_5412845612146241046457891017456[[#This Row],[Type]],Main[[#All],[TYPE]:[UNIT]],'Unit Price'!C$1,FALSE),0)</f>
        <v>0</v>
      </c>
      <c r="H67" s="197">
        <f>IF(_1_5412845612146241046457891017456[[#This Row],[Type]]&gt;0,VLOOKUP(_1_5412845612146241046457891017456[[#This Row],[Type]],Main[[#All],[TYPE]:[UNIT]],'Unit Price'!D$1,FALSE),0)</f>
        <v>0</v>
      </c>
      <c r="I67" s="194">
        <f>IF(_1_5412845612146241046457891017456[[#This Row],[Type]]&gt;0,VLOOKUP(_1_5412845612146241046457891017456[[#This Row],[Type]],Main[[#All],[TYPE]:[UNIT]],'Unit Price'!G$1,FALSE),0)</f>
        <v>0</v>
      </c>
      <c r="J67" s="194">
        <f>IF(_1_5412845612146241046457891017456[[#This Row],[Type]]&gt;0,VLOOKUP(_1_5412845612146241046457891017456[[#This Row],[Type]],Main[[#All],[TYPE]:[UNIT]],'Unit Price'!H$1,FALSE),0)</f>
        <v>0</v>
      </c>
      <c r="K67" s="194">
        <f>IF(_1_5412845612146241046457891017456[[#This Row],[Discount selection]]&gt;0,VLOOKUP(_1_5412845612146241046457891017456[[#This Row],[Discount selection]],'Discount Structure'!$A$2:$B$30,2,"false"),0)</f>
        <v>1</v>
      </c>
      <c r="L67" s="194">
        <f>_1_5412845612146241046457891017456[[#This Row],[LIST $]]*_1_5412845612146241046457891017456[[#This Row],[DISCOUNT]]*_1_5412845612146241046457891017456[[#This Row],[DISCOUNT 2]]</f>
        <v>0</v>
      </c>
      <c r="M67" s="194">
        <f>IF(OR(_1_5412845612146241046457891017456[[#This Row],[UNIT]]&gt;0,_1_5412845612146241046457891017456[[#This Row],[UNIT]]&lt;0),_1_5412845612146241046457891017456[[#This Row],[UNIT]]*_1_5412845612146241046457891017456[[#This Row],[COST]],0)</f>
        <v>0</v>
      </c>
      <c r="N67" s="194">
        <f t="shared" si="0"/>
        <v>1.3</v>
      </c>
      <c r="O67" s="198">
        <f>_1_5412845612146241046457891017456[[#This Row],[TOTAL]]*_1_5412845612146241046457891017456[[#This Row],[MARGIN]]</f>
        <v>0</v>
      </c>
      <c r="R67" s="41"/>
    </row>
    <row r="68" spans="1:18">
      <c r="A68" s="168"/>
      <c r="C68" s="168"/>
      <c r="D68" s="188"/>
      <c r="F68" s="168" t="s">
        <v>6202</v>
      </c>
      <c r="G68" s="193">
        <f>IF(_1_5412845612146241046457891017456[[#This Row],[Type]]&gt;0,VLOOKUP(_1_5412845612146241046457891017456[[#This Row],[Type]],Main[[#All],[TYPE]:[UNIT]],'Unit Price'!C$1,FALSE),0)</f>
        <v>0</v>
      </c>
      <c r="H68" s="197">
        <f>IF(_1_5412845612146241046457891017456[[#This Row],[Type]]&gt;0,VLOOKUP(_1_5412845612146241046457891017456[[#This Row],[Type]],Main[[#All],[TYPE]:[UNIT]],'Unit Price'!D$1,FALSE),0)</f>
        <v>0</v>
      </c>
      <c r="I68" s="194">
        <f>IF(_1_5412845612146241046457891017456[[#This Row],[Type]]&gt;0,VLOOKUP(_1_5412845612146241046457891017456[[#This Row],[Type]],Main[[#All],[TYPE]:[UNIT]],'Unit Price'!G$1,FALSE),0)</f>
        <v>0</v>
      </c>
      <c r="J68" s="194">
        <f>IF(_1_5412845612146241046457891017456[[#This Row],[Type]]&gt;0,VLOOKUP(_1_5412845612146241046457891017456[[#This Row],[Type]],Main[[#All],[TYPE]:[UNIT]],'Unit Price'!H$1,FALSE),0)</f>
        <v>0</v>
      </c>
      <c r="K68" s="194">
        <f>IF(_1_5412845612146241046457891017456[[#This Row],[Discount selection]]&gt;0,VLOOKUP(_1_5412845612146241046457891017456[[#This Row],[Discount selection]],'Discount Structure'!$A$2:$B$30,2,"false"),0)</f>
        <v>1</v>
      </c>
      <c r="L68" s="194">
        <f>_1_5412845612146241046457891017456[[#This Row],[LIST $]]*_1_5412845612146241046457891017456[[#This Row],[DISCOUNT]]*_1_5412845612146241046457891017456[[#This Row],[DISCOUNT 2]]</f>
        <v>0</v>
      </c>
      <c r="M68" s="194">
        <f>IF(OR(_1_5412845612146241046457891017456[[#This Row],[UNIT]]&gt;0,_1_5412845612146241046457891017456[[#This Row],[UNIT]]&lt;0),_1_5412845612146241046457891017456[[#This Row],[UNIT]]*_1_5412845612146241046457891017456[[#This Row],[COST]],0)</f>
        <v>0</v>
      </c>
      <c r="N68" s="194">
        <f t="shared" si="0"/>
        <v>1.3</v>
      </c>
      <c r="O68" s="198">
        <f>_1_5412845612146241046457891017456[[#This Row],[TOTAL]]*_1_5412845612146241046457891017456[[#This Row],[MARGIN]]</f>
        <v>0</v>
      </c>
      <c r="R68" s="41"/>
    </row>
    <row r="69" spans="1:18">
      <c r="A69" s="168"/>
      <c r="C69" s="168"/>
      <c r="D69" s="188"/>
      <c r="F69" s="168" t="s">
        <v>6202</v>
      </c>
      <c r="G69" s="193">
        <f>IF(_1_5412845612146241046457891017456[[#This Row],[Type]]&gt;0,VLOOKUP(_1_5412845612146241046457891017456[[#This Row],[Type]],Main[[#All],[TYPE]:[UNIT]],'Unit Price'!C$1,FALSE),0)</f>
        <v>0</v>
      </c>
      <c r="H69" s="197">
        <f>IF(_1_5412845612146241046457891017456[[#This Row],[Type]]&gt;0,VLOOKUP(_1_5412845612146241046457891017456[[#This Row],[Type]],Main[[#All],[TYPE]:[UNIT]],'Unit Price'!D$1,FALSE),0)</f>
        <v>0</v>
      </c>
      <c r="I69" s="194">
        <f>IF(_1_5412845612146241046457891017456[[#This Row],[Type]]&gt;0,VLOOKUP(_1_5412845612146241046457891017456[[#This Row],[Type]],Main[[#All],[TYPE]:[UNIT]],'Unit Price'!G$1,FALSE),0)</f>
        <v>0</v>
      </c>
      <c r="J69" s="194">
        <f>IF(_1_5412845612146241046457891017456[[#This Row],[Type]]&gt;0,VLOOKUP(_1_5412845612146241046457891017456[[#This Row],[Type]],Main[[#All],[TYPE]:[UNIT]],'Unit Price'!H$1,FALSE),0)</f>
        <v>0</v>
      </c>
      <c r="K69" s="194">
        <f>IF(_1_5412845612146241046457891017456[[#This Row],[Discount selection]]&gt;0,VLOOKUP(_1_5412845612146241046457891017456[[#This Row],[Discount selection]],'Discount Structure'!$A$2:$B$30,2,"false"),0)</f>
        <v>1</v>
      </c>
      <c r="L69" s="194">
        <f>_1_5412845612146241046457891017456[[#This Row],[LIST $]]*_1_5412845612146241046457891017456[[#This Row],[DISCOUNT]]*_1_5412845612146241046457891017456[[#This Row],[DISCOUNT 2]]</f>
        <v>0</v>
      </c>
      <c r="M69" s="194">
        <f>IF(OR(_1_5412845612146241046457891017456[[#This Row],[UNIT]]&gt;0,_1_5412845612146241046457891017456[[#This Row],[UNIT]]&lt;0),_1_5412845612146241046457891017456[[#This Row],[UNIT]]*_1_5412845612146241046457891017456[[#This Row],[COST]],0)</f>
        <v>0</v>
      </c>
      <c r="N69" s="194">
        <f t="shared" si="0"/>
        <v>1.3</v>
      </c>
      <c r="O69" s="198">
        <f>_1_5412845612146241046457891017456[[#This Row],[TOTAL]]*_1_5412845612146241046457891017456[[#This Row],[MARGIN]]</f>
        <v>0</v>
      </c>
      <c r="R69" s="41"/>
    </row>
    <row r="70" spans="1:18">
      <c r="C70" s="168"/>
      <c r="D70" s="188"/>
      <c r="F70" s="168" t="s">
        <v>6202</v>
      </c>
      <c r="G70" s="193">
        <f>IF(_1_5412845612146241046457891017456[[#This Row],[Type]]&gt;0,VLOOKUP(_1_5412845612146241046457891017456[[#This Row],[Type]],Main[[#All],[TYPE]:[UNIT]],'Unit Price'!C$1,FALSE),0)</f>
        <v>0</v>
      </c>
      <c r="H70" s="197">
        <f>IF(_1_5412845612146241046457891017456[[#This Row],[Type]]&gt;0,VLOOKUP(_1_5412845612146241046457891017456[[#This Row],[Type]],Main[[#All],[TYPE]:[UNIT]],'Unit Price'!D$1,FALSE),0)</f>
        <v>0</v>
      </c>
      <c r="I70" s="194">
        <f>IF(_1_5412845612146241046457891017456[[#This Row],[Type]]&gt;0,VLOOKUP(_1_5412845612146241046457891017456[[#This Row],[Type]],Main[[#All],[TYPE]:[UNIT]],'Unit Price'!G$1,FALSE),0)</f>
        <v>0</v>
      </c>
      <c r="J70" s="194">
        <f>IF(_1_5412845612146241046457891017456[[#This Row],[Type]]&gt;0,VLOOKUP(_1_5412845612146241046457891017456[[#This Row],[Type]],Main[[#All],[TYPE]:[UNIT]],'Unit Price'!H$1,FALSE),0)</f>
        <v>0</v>
      </c>
      <c r="K70" s="194">
        <f>IF(_1_5412845612146241046457891017456[[#This Row],[Discount selection]]&gt;0,VLOOKUP(_1_5412845612146241046457891017456[[#This Row],[Discount selection]],'Discount Structure'!$A$2:$B$30,2,"false"),0)</f>
        <v>1</v>
      </c>
      <c r="L70" s="194">
        <f>_1_5412845612146241046457891017456[[#This Row],[LIST $]]*_1_5412845612146241046457891017456[[#This Row],[DISCOUNT]]*_1_5412845612146241046457891017456[[#This Row],[DISCOUNT 2]]</f>
        <v>0</v>
      </c>
      <c r="M70" s="194">
        <f>IF(OR(_1_5412845612146241046457891017456[[#This Row],[UNIT]]&gt;0,_1_5412845612146241046457891017456[[#This Row],[UNIT]]&lt;0),_1_5412845612146241046457891017456[[#This Row],[UNIT]]*_1_5412845612146241046457891017456[[#This Row],[COST]],0)</f>
        <v>0</v>
      </c>
      <c r="N70" s="194">
        <f t="shared" si="0"/>
        <v>1.3</v>
      </c>
      <c r="O70" s="198">
        <f>_1_5412845612146241046457891017456[[#This Row],[TOTAL]]*_1_5412845612146241046457891017456[[#This Row],[MARGIN]]</f>
        <v>0</v>
      </c>
      <c r="R70" s="41"/>
    </row>
    <row r="71" spans="1:18">
      <c r="C71" s="168"/>
      <c r="D71" s="188"/>
      <c r="F71" s="168" t="s">
        <v>6202</v>
      </c>
      <c r="G71" s="193">
        <f>IF(_1_5412845612146241046457891017456[[#This Row],[Type]]&gt;0,VLOOKUP(_1_5412845612146241046457891017456[[#This Row],[Type]],Main[[#All],[TYPE]:[UNIT]],'Unit Price'!C$1,FALSE),0)</f>
        <v>0</v>
      </c>
      <c r="H71" s="197">
        <f>IF(_1_5412845612146241046457891017456[[#This Row],[Type]]&gt;0,VLOOKUP(_1_5412845612146241046457891017456[[#This Row],[Type]],Main[[#All],[TYPE]:[UNIT]],'Unit Price'!D$1,FALSE),0)</f>
        <v>0</v>
      </c>
      <c r="I71" s="194">
        <f>IF(_1_5412845612146241046457891017456[[#This Row],[Type]]&gt;0,VLOOKUP(_1_5412845612146241046457891017456[[#This Row],[Type]],Main[[#All],[TYPE]:[UNIT]],'Unit Price'!G$1,FALSE),0)</f>
        <v>0</v>
      </c>
      <c r="J71" s="194">
        <f>IF(_1_5412845612146241046457891017456[[#This Row],[Type]]&gt;0,VLOOKUP(_1_5412845612146241046457891017456[[#This Row],[Type]],Main[[#All],[TYPE]:[UNIT]],'Unit Price'!H$1,FALSE),0)</f>
        <v>0</v>
      </c>
      <c r="K71" s="194">
        <f>IF(_1_5412845612146241046457891017456[[#This Row],[Discount selection]]&gt;0,VLOOKUP(_1_5412845612146241046457891017456[[#This Row],[Discount selection]],'Discount Structure'!$A$2:$B$30,2,"false"),0)</f>
        <v>1</v>
      </c>
      <c r="L71" s="194">
        <f>_1_5412845612146241046457891017456[[#This Row],[LIST $]]*_1_5412845612146241046457891017456[[#This Row],[DISCOUNT]]*_1_5412845612146241046457891017456[[#This Row],[DISCOUNT 2]]</f>
        <v>0</v>
      </c>
      <c r="M71" s="194">
        <f>IF(OR(_1_5412845612146241046457891017456[[#This Row],[UNIT]]&gt;0,_1_5412845612146241046457891017456[[#This Row],[UNIT]]&lt;0),_1_5412845612146241046457891017456[[#This Row],[UNIT]]*_1_5412845612146241046457891017456[[#This Row],[COST]],0)</f>
        <v>0</v>
      </c>
      <c r="N71" s="194">
        <f t="shared" si="0"/>
        <v>1.3</v>
      </c>
      <c r="O71" s="198">
        <f>_1_5412845612146241046457891017456[[#This Row],[TOTAL]]*_1_5412845612146241046457891017456[[#This Row],[MARGIN]]</f>
        <v>0</v>
      </c>
      <c r="R71" s="41"/>
    </row>
    <row r="72" spans="1:18">
      <c r="A72" s="168"/>
      <c r="C72" s="168"/>
      <c r="D72" s="188"/>
      <c r="F72" s="168" t="s">
        <v>6202</v>
      </c>
      <c r="G72" s="193">
        <f>IF(_1_5412845612146241046457891017456[[#This Row],[Type]]&gt;0,VLOOKUP(_1_5412845612146241046457891017456[[#This Row],[Type]],Main[[#All],[TYPE]:[UNIT]],'Unit Price'!C$1,FALSE),0)</f>
        <v>0</v>
      </c>
      <c r="H72" s="197">
        <f>IF(_1_5412845612146241046457891017456[[#This Row],[Type]]&gt;0,VLOOKUP(_1_5412845612146241046457891017456[[#This Row],[Type]],Main[[#All],[TYPE]:[UNIT]],'Unit Price'!D$1,FALSE),0)</f>
        <v>0</v>
      </c>
      <c r="I72" s="194">
        <f>IF(_1_5412845612146241046457891017456[[#This Row],[Type]]&gt;0,VLOOKUP(_1_5412845612146241046457891017456[[#This Row],[Type]],Main[[#All],[TYPE]:[UNIT]],'Unit Price'!G$1,FALSE),0)</f>
        <v>0</v>
      </c>
      <c r="J72" s="194">
        <f>IF(_1_5412845612146241046457891017456[[#This Row],[Type]]&gt;0,VLOOKUP(_1_5412845612146241046457891017456[[#This Row],[Type]],Main[[#All],[TYPE]:[UNIT]],'Unit Price'!H$1,FALSE),0)</f>
        <v>0</v>
      </c>
      <c r="K72" s="194">
        <f>IF(_1_5412845612146241046457891017456[[#This Row],[Discount selection]]&gt;0,VLOOKUP(_1_5412845612146241046457891017456[[#This Row],[Discount selection]],'Discount Structure'!$A$2:$B$30,2,"false"),0)</f>
        <v>1</v>
      </c>
      <c r="L72" s="194">
        <f>_1_5412845612146241046457891017456[[#This Row],[LIST $]]*_1_5412845612146241046457891017456[[#This Row],[DISCOUNT]]*_1_5412845612146241046457891017456[[#This Row],[DISCOUNT 2]]</f>
        <v>0</v>
      </c>
      <c r="M72" s="194">
        <f>IF(OR(_1_5412845612146241046457891017456[[#This Row],[UNIT]]&gt;0,_1_5412845612146241046457891017456[[#This Row],[UNIT]]&lt;0),_1_5412845612146241046457891017456[[#This Row],[UNIT]]*_1_5412845612146241046457891017456[[#This Row],[COST]],0)</f>
        <v>0</v>
      </c>
      <c r="N72" s="194">
        <f t="shared" si="0"/>
        <v>1.3</v>
      </c>
      <c r="O72" s="198">
        <f>_1_5412845612146241046457891017456[[#This Row],[TOTAL]]*_1_5412845612146241046457891017456[[#This Row],[MARGIN]]</f>
        <v>0</v>
      </c>
      <c r="R72" s="41"/>
    </row>
    <row r="73" spans="1:18">
      <c r="C73" s="168"/>
      <c r="D73" s="188"/>
      <c r="F73" s="168" t="s">
        <v>6202</v>
      </c>
      <c r="G73" s="193">
        <f>IF(_1_5412845612146241046457891017456[[#This Row],[Type]]&gt;0,VLOOKUP(_1_5412845612146241046457891017456[[#This Row],[Type]],Main[[#All],[TYPE]:[UNIT]],'Unit Price'!C$1,FALSE),0)</f>
        <v>0</v>
      </c>
      <c r="H73" s="197">
        <f>IF(_1_5412845612146241046457891017456[[#This Row],[Type]]&gt;0,VLOOKUP(_1_5412845612146241046457891017456[[#This Row],[Type]],Main[[#All],[TYPE]:[UNIT]],'Unit Price'!D$1,FALSE),0)</f>
        <v>0</v>
      </c>
      <c r="I73" s="194">
        <f>IF(_1_5412845612146241046457891017456[[#This Row],[Type]]&gt;0,VLOOKUP(_1_5412845612146241046457891017456[[#This Row],[Type]],Main[[#All],[TYPE]:[UNIT]],'Unit Price'!G$1,FALSE),0)</f>
        <v>0</v>
      </c>
      <c r="J73" s="194">
        <f>IF(_1_5412845612146241046457891017456[[#This Row],[Type]]&gt;0,VLOOKUP(_1_5412845612146241046457891017456[[#This Row],[Type]],Main[[#All],[TYPE]:[UNIT]],'Unit Price'!H$1,FALSE),0)</f>
        <v>0</v>
      </c>
      <c r="K73" s="194">
        <f>IF(_1_5412845612146241046457891017456[[#This Row],[Discount selection]]&gt;0,VLOOKUP(_1_5412845612146241046457891017456[[#This Row],[Discount selection]],'Discount Structure'!$A$2:$B$30,2,"false"),0)</f>
        <v>1</v>
      </c>
      <c r="L73" s="194">
        <f>_1_5412845612146241046457891017456[[#This Row],[LIST $]]*_1_5412845612146241046457891017456[[#This Row],[DISCOUNT]]*_1_5412845612146241046457891017456[[#This Row],[DISCOUNT 2]]</f>
        <v>0</v>
      </c>
      <c r="M73" s="194">
        <f>IF(OR(_1_5412845612146241046457891017456[[#This Row],[UNIT]]&gt;0,_1_5412845612146241046457891017456[[#This Row],[UNIT]]&lt;0),_1_5412845612146241046457891017456[[#This Row],[UNIT]]*_1_5412845612146241046457891017456[[#This Row],[COST]],0)</f>
        <v>0</v>
      </c>
      <c r="N73" s="194">
        <f t="shared" si="0"/>
        <v>1.3</v>
      </c>
      <c r="O73" s="198">
        <f>_1_5412845612146241046457891017456[[#This Row],[TOTAL]]*_1_5412845612146241046457891017456[[#This Row],[MARGIN]]</f>
        <v>0</v>
      </c>
      <c r="R73" s="41"/>
    </row>
    <row r="74" spans="1:18">
      <c r="A74" s="356"/>
      <c r="C74" s="168"/>
      <c r="D74" s="188"/>
      <c r="F74" s="168" t="s">
        <v>6202</v>
      </c>
      <c r="G74" s="193">
        <f>IF(_1_5412845612146241046457891017456[[#This Row],[Type]]&gt;0,VLOOKUP(_1_5412845612146241046457891017456[[#This Row],[Type]],Main[[#All],[TYPE]:[UNIT]],'Unit Price'!C$1,FALSE),0)</f>
        <v>0</v>
      </c>
      <c r="H74" s="197">
        <f>IF(_1_5412845612146241046457891017456[[#This Row],[Type]]&gt;0,VLOOKUP(_1_5412845612146241046457891017456[[#This Row],[Type]],Main[[#All],[TYPE]:[UNIT]],'Unit Price'!D$1,FALSE),0)</f>
        <v>0</v>
      </c>
      <c r="I74" s="194">
        <f>IF(_1_5412845612146241046457891017456[[#This Row],[Type]]&gt;0,VLOOKUP(_1_5412845612146241046457891017456[[#This Row],[Type]],Main[[#All],[TYPE]:[UNIT]],'Unit Price'!G$1,FALSE),0)</f>
        <v>0</v>
      </c>
      <c r="J74" s="194">
        <f>IF(_1_5412845612146241046457891017456[[#This Row],[Type]]&gt;0,VLOOKUP(_1_5412845612146241046457891017456[[#This Row],[Type]],Main[[#All],[TYPE]:[UNIT]],'Unit Price'!H$1,FALSE),0)</f>
        <v>0</v>
      </c>
      <c r="K74" s="194">
        <f>IF(_1_5412845612146241046457891017456[[#This Row],[Discount selection]]&gt;0,VLOOKUP(_1_5412845612146241046457891017456[[#This Row],[Discount selection]],'Discount Structure'!$A$2:$B$30,2,"false"),0)</f>
        <v>1</v>
      </c>
      <c r="L74" s="194">
        <f>_1_5412845612146241046457891017456[[#This Row],[LIST $]]*_1_5412845612146241046457891017456[[#This Row],[DISCOUNT]]*_1_5412845612146241046457891017456[[#This Row],[DISCOUNT 2]]</f>
        <v>0</v>
      </c>
      <c r="M74" s="194">
        <f>IF(OR(_1_5412845612146241046457891017456[[#This Row],[UNIT]]&gt;0,_1_5412845612146241046457891017456[[#This Row],[UNIT]]&lt;0),_1_5412845612146241046457891017456[[#This Row],[UNIT]]*_1_5412845612146241046457891017456[[#This Row],[COST]],0)</f>
        <v>0</v>
      </c>
      <c r="N74" s="194">
        <f t="shared" ref="N74:N137" si="1">$N$7</f>
        <v>1.3</v>
      </c>
      <c r="O74" s="198">
        <f>_1_5412845612146241046457891017456[[#This Row],[TOTAL]]*_1_5412845612146241046457891017456[[#This Row],[MARGIN]]</f>
        <v>0</v>
      </c>
      <c r="R74" s="41"/>
    </row>
    <row r="75" spans="1:18">
      <c r="C75" s="168"/>
      <c r="D75" s="188"/>
      <c r="F75" s="168" t="s">
        <v>6202</v>
      </c>
      <c r="G75" s="193">
        <f>IF(_1_5412845612146241046457891017456[[#This Row],[Type]]&gt;0,VLOOKUP(_1_5412845612146241046457891017456[[#This Row],[Type]],Main[[#All],[TYPE]:[UNIT]],'Unit Price'!C$1,FALSE),0)</f>
        <v>0</v>
      </c>
      <c r="H75" s="197">
        <f>IF(_1_5412845612146241046457891017456[[#This Row],[Type]]&gt;0,VLOOKUP(_1_5412845612146241046457891017456[[#This Row],[Type]],Main[[#All],[TYPE]:[UNIT]],'Unit Price'!D$1,FALSE),0)</f>
        <v>0</v>
      </c>
      <c r="I75" s="194">
        <f>IF(_1_5412845612146241046457891017456[[#This Row],[Type]]&gt;0,VLOOKUP(_1_5412845612146241046457891017456[[#This Row],[Type]],Main[[#All],[TYPE]:[UNIT]],'Unit Price'!G$1,FALSE),0)</f>
        <v>0</v>
      </c>
      <c r="J75" s="194">
        <f>IF(_1_5412845612146241046457891017456[[#This Row],[Type]]&gt;0,VLOOKUP(_1_5412845612146241046457891017456[[#This Row],[Type]],Main[[#All],[TYPE]:[UNIT]],'Unit Price'!H$1,FALSE),0)</f>
        <v>0</v>
      </c>
      <c r="K75" s="194">
        <f>IF(_1_5412845612146241046457891017456[[#This Row],[Discount selection]]&gt;0,VLOOKUP(_1_5412845612146241046457891017456[[#This Row],[Discount selection]],'Discount Structure'!$A$2:$B$30,2,"false"),0)</f>
        <v>1</v>
      </c>
      <c r="L75" s="194">
        <f>_1_5412845612146241046457891017456[[#This Row],[LIST $]]*_1_5412845612146241046457891017456[[#This Row],[DISCOUNT]]*_1_5412845612146241046457891017456[[#This Row],[DISCOUNT 2]]</f>
        <v>0</v>
      </c>
      <c r="M75" s="194">
        <f>IF(OR(_1_5412845612146241046457891017456[[#This Row],[UNIT]]&gt;0,_1_5412845612146241046457891017456[[#This Row],[UNIT]]&lt;0),_1_5412845612146241046457891017456[[#This Row],[UNIT]]*_1_5412845612146241046457891017456[[#This Row],[COST]],0)</f>
        <v>0</v>
      </c>
      <c r="N75" s="194">
        <f t="shared" si="1"/>
        <v>1.3</v>
      </c>
      <c r="O75" s="198">
        <f>_1_5412845612146241046457891017456[[#This Row],[TOTAL]]*_1_5412845612146241046457891017456[[#This Row],[MARGIN]]</f>
        <v>0</v>
      </c>
      <c r="R75" s="41"/>
    </row>
    <row r="76" spans="1:18">
      <c r="A76" s="355"/>
      <c r="C76" s="168"/>
      <c r="D76" s="188"/>
      <c r="F76" s="168" t="s">
        <v>6202</v>
      </c>
      <c r="G76" s="193">
        <f>IF(_1_5412845612146241046457891017456[[#This Row],[Type]]&gt;0,VLOOKUP(_1_5412845612146241046457891017456[[#This Row],[Type]],Main[[#All],[TYPE]:[UNIT]],'Unit Price'!C$1,FALSE),0)</f>
        <v>0</v>
      </c>
      <c r="H76" s="197">
        <f>IF(_1_5412845612146241046457891017456[[#This Row],[Type]]&gt;0,VLOOKUP(_1_5412845612146241046457891017456[[#This Row],[Type]],Main[[#All],[TYPE]:[UNIT]],'Unit Price'!D$1,FALSE),0)</f>
        <v>0</v>
      </c>
      <c r="I76" s="194">
        <f>IF(_1_5412845612146241046457891017456[[#This Row],[Type]]&gt;0,VLOOKUP(_1_5412845612146241046457891017456[[#This Row],[Type]],Main[[#All],[TYPE]:[UNIT]],'Unit Price'!G$1,FALSE),0)</f>
        <v>0</v>
      </c>
      <c r="J76" s="194">
        <f>IF(_1_5412845612146241046457891017456[[#This Row],[Type]]&gt;0,VLOOKUP(_1_5412845612146241046457891017456[[#This Row],[Type]],Main[[#All],[TYPE]:[UNIT]],'Unit Price'!H$1,FALSE),0)</f>
        <v>0</v>
      </c>
      <c r="K76" s="194">
        <f>IF(_1_5412845612146241046457891017456[[#This Row],[Discount selection]]&gt;0,VLOOKUP(_1_5412845612146241046457891017456[[#This Row],[Discount selection]],'Discount Structure'!$A$2:$B$30,2,"false"),0)</f>
        <v>1</v>
      </c>
      <c r="L76" s="194">
        <f>_1_5412845612146241046457891017456[[#This Row],[LIST $]]*_1_5412845612146241046457891017456[[#This Row],[DISCOUNT]]*_1_5412845612146241046457891017456[[#This Row],[DISCOUNT 2]]</f>
        <v>0</v>
      </c>
      <c r="M76" s="194">
        <f>IF(OR(_1_5412845612146241046457891017456[[#This Row],[UNIT]]&gt;0,_1_5412845612146241046457891017456[[#This Row],[UNIT]]&lt;0),_1_5412845612146241046457891017456[[#This Row],[UNIT]]*_1_5412845612146241046457891017456[[#This Row],[COST]],0)</f>
        <v>0</v>
      </c>
      <c r="N76" s="194">
        <f t="shared" si="1"/>
        <v>1.3</v>
      </c>
      <c r="O76" s="198">
        <f>_1_5412845612146241046457891017456[[#This Row],[TOTAL]]*_1_5412845612146241046457891017456[[#This Row],[MARGIN]]</f>
        <v>0</v>
      </c>
      <c r="R76" s="41"/>
    </row>
    <row r="77" spans="1:18">
      <c r="C77" s="168"/>
      <c r="D77" s="188"/>
      <c r="F77" s="168" t="s">
        <v>6202</v>
      </c>
      <c r="G77" s="193">
        <f>IF(_1_5412845612146241046457891017456[[#This Row],[Type]]&gt;0,VLOOKUP(_1_5412845612146241046457891017456[[#This Row],[Type]],Main[[#All],[TYPE]:[UNIT]],'Unit Price'!C$1,FALSE),0)</f>
        <v>0</v>
      </c>
      <c r="H77" s="197">
        <f>IF(_1_5412845612146241046457891017456[[#This Row],[Type]]&gt;0,VLOOKUP(_1_5412845612146241046457891017456[[#This Row],[Type]],Main[[#All],[TYPE]:[UNIT]],'Unit Price'!D$1,FALSE),0)</f>
        <v>0</v>
      </c>
      <c r="I77" s="194">
        <f>IF(_1_5412845612146241046457891017456[[#This Row],[Type]]&gt;0,VLOOKUP(_1_5412845612146241046457891017456[[#This Row],[Type]],Main[[#All],[TYPE]:[UNIT]],'Unit Price'!G$1,FALSE),0)</f>
        <v>0</v>
      </c>
      <c r="J77" s="194">
        <f>IF(_1_5412845612146241046457891017456[[#This Row],[Type]]&gt;0,VLOOKUP(_1_5412845612146241046457891017456[[#This Row],[Type]],Main[[#All],[TYPE]:[UNIT]],'Unit Price'!H$1,FALSE),0)</f>
        <v>0</v>
      </c>
      <c r="K77" s="194">
        <f>IF(_1_5412845612146241046457891017456[[#This Row],[Discount selection]]&gt;0,VLOOKUP(_1_5412845612146241046457891017456[[#This Row],[Discount selection]],'Discount Structure'!$A$2:$B$30,2,"false"),0)</f>
        <v>1</v>
      </c>
      <c r="L77" s="194">
        <f>_1_5412845612146241046457891017456[[#This Row],[LIST $]]*_1_5412845612146241046457891017456[[#This Row],[DISCOUNT]]*_1_5412845612146241046457891017456[[#This Row],[DISCOUNT 2]]</f>
        <v>0</v>
      </c>
      <c r="M77" s="194">
        <f>IF(OR(_1_5412845612146241046457891017456[[#This Row],[UNIT]]&gt;0,_1_5412845612146241046457891017456[[#This Row],[UNIT]]&lt;0),_1_5412845612146241046457891017456[[#This Row],[UNIT]]*_1_5412845612146241046457891017456[[#This Row],[COST]],0)</f>
        <v>0</v>
      </c>
      <c r="N77" s="194">
        <f t="shared" si="1"/>
        <v>1.3</v>
      </c>
      <c r="O77" s="198">
        <f>_1_5412845612146241046457891017456[[#This Row],[TOTAL]]*_1_5412845612146241046457891017456[[#This Row],[MARGIN]]</f>
        <v>0</v>
      </c>
      <c r="R77" s="41"/>
    </row>
    <row r="78" spans="1:18">
      <c r="A78" s="316"/>
      <c r="C78" s="168"/>
      <c r="D78" s="311"/>
      <c r="F78" s="168" t="s">
        <v>6202</v>
      </c>
      <c r="G78" s="193">
        <f>IF(_1_5412845612146241046457891017456[[#This Row],[Type]]&gt;0,VLOOKUP(_1_5412845612146241046457891017456[[#This Row],[Type]],Main[[#All],[TYPE]:[UNIT]],'Unit Price'!C$1,FALSE),0)</f>
        <v>0</v>
      </c>
      <c r="H78" s="197">
        <f>IF(_1_5412845612146241046457891017456[[#This Row],[Type]]&gt;0,VLOOKUP(_1_5412845612146241046457891017456[[#This Row],[Type]],Main[[#All],[TYPE]:[UNIT]],'Unit Price'!D$1,FALSE),0)</f>
        <v>0</v>
      </c>
      <c r="I78" s="194">
        <f>IF(_1_5412845612146241046457891017456[[#This Row],[Type]]&gt;0,VLOOKUP(_1_5412845612146241046457891017456[[#This Row],[Type]],Main[[#All],[TYPE]:[UNIT]],'Unit Price'!G$1,FALSE),0)</f>
        <v>0</v>
      </c>
      <c r="J78" s="194">
        <f>IF(_1_5412845612146241046457891017456[[#This Row],[Type]]&gt;0,VLOOKUP(_1_5412845612146241046457891017456[[#This Row],[Type]],Main[[#All],[TYPE]:[UNIT]],'Unit Price'!H$1,FALSE),0)</f>
        <v>0</v>
      </c>
      <c r="K78" s="194">
        <f>IF(_1_5412845612146241046457891017456[[#This Row],[Discount selection]]&gt;0,VLOOKUP(_1_5412845612146241046457891017456[[#This Row],[Discount selection]],'Discount Structure'!$A$2:$B$30,2,"false"),0)</f>
        <v>1</v>
      </c>
      <c r="L78" s="194">
        <f>_1_5412845612146241046457891017456[[#This Row],[LIST $]]*_1_5412845612146241046457891017456[[#This Row],[DISCOUNT]]*_1_5412845612146241046457891017456[[#This Row],[DISCOUNT 2]]</f>
        <v>0</v>
      </c>
      <c r="M78" s="194">
        <f>IF(OR(_1_5412845612146241046457891017456[[#This Row],[UNIT]]&gt;0,_1_5412845612146241046457891017456[[#This Row],[UNIT]]&lt;0),_1_5412845612146241046457891017456[[#This Row],[UNIT]]*_1_5412845612146241046457891017456[[#This Row],[COST]],0)</f>
        <v>0</v>
      </c>
      <c r="N78" s="194">
        <f t="shared" si="1"/>
        <v>1.3</v>
      </c>
      <c r="O78" s="198">
        <f>_1_5412845612146241046457891017456[[#This Row],[TOTAL]]*_1_5412845612146241046457891017456[[#This Row],[MARGIN]]</f>
        <v>0</v>
      </c>
      <c r="R78" s="41"/>
    </row>
    <row r="79" spans="1:18">
      <c r="C79" s="168"/>
      <c r="D79" s="188"/>
      <c r="F79" s="168" t="s">
        <v>6202</v>
      </c>
      <c r="G79" s="193">
        <f>IF(_1_5412845612146241046457891017456[[#This Row],[Type]]&gt;0,VLOOKUP(_1_5412845612146241046457891017456[[#This Row],[Type]],Main[[#All],[TYPE]:[UNIT]],'Unit Price'!C$1,FALSE),0)</f>
        <v>0</v>
      </c>
      <c r="H79" s="197">
        <f>IF(_1_5412845612146241046457891017456[[#This Row],[Type]]&gt;0,VLOOKUP(_1_5412845612146241046457891017456[[#This Row],[Type]],Main[[#All],[TYPE]:[UNIT]],'Unit Price'!D$1,FALSE),0)</f>
        <v>0</v>
      </c>
      <c r="I79" s="194">
        <f>IF(_1_5412845612146241046457891017456[[#This Row],[Type]]&gt;0,VLOOKUP(_1_5412845612146241046457891017456[[#This Row],[Type]],Main[[#All],[TYPE]:[UNIT]],'Unit Price'!G$1,FALSE),0)</f>
        <v>0</v>
      </c>
      <c r="J79" s="194">
        <f>IF(_1_5412845612146241046457891017456[[#This Row],[Type]]&gt;0,VLOOKUP(_1_5412845612146241046457891017456[[#This Row],[Type]],Main[[#All],[TYPE]:[UNIT]],'Unit Price'!H$1,FALSE),0)</f>
        <v>0</v>
      </c>
      <c r="K79" s="194">
        <f>IF(_1_5412845612146241046457891017456[[#This Row],[Discount selection]]&gt;0,VLOOKUP(_1_5412845612146241046457891017456[[#This Row],[Discount selection]],'Discount Structure'!$A$2:$B$30,2,"false"),0)</f>
        <v>1</v>
      </c>
      <c r="L79" s="194">
        <f>_1_5412845612146241046457891017456[[#This Row],[LIST $]]*_1_5412845612146241046457891017456[[#This Row],[DISCOUNT]]*_1_5412845612146241046457891017456[[#This Row],[DISCOUNT 2]]</f>
        <v>0</v>
      </c>
      <c r="M79" s="194">
        <f>IF(OR(_1_5412845612146241046457891017456[[#This Row],[UNIT]]&gt;0,_1_5412845612146241046457891017456[[#This Row],[UNIT]]&lt;0),_1_5412845612146241046457891017456[[#This Row],[UNIT]]*_1_5412845612146241046457891017456[[#This Row],[COST]],0)</f>
        <v>0</v>
      </c>
      <c r="N79" s="194">
        <f t="shared" si="1"/>
        <v>1.3</v>
      </c>
      <c r="O79" s="198">
        <f>_1_5412845612146241046457891017456[[#This Row],[TOTAL]]*_1_5412845612146241046457891017456[[#This Row],[MARGIN]]</f>
        <v>0</v>
      </c>
      <c r="R79" s="41"/>
    </row>
    <row r="80" spans="1:18">
      <c r="A80" s="362"/>
      <c r="C80" s="168"/>
      <c r="D80" s="188"/>
      <c r="F80" s="168" t="s">
        <v>6202</v>
      </c>
      <c r="G80" s="193">
        <f>IF(_1_5412845612146241046457891017456[[#This Row],[Type]]&gt;0,VLOOKUP(_1_5412845612146241046457891017456[[#This Row],[Type]],Main[[#All],[TYPE]:[UNIT]],'Unit Price'!C$1,FALSE),0)</f>
        <v>0</v>
      </c>
      <c r="H80" s="197">
        <f>IF(_1_5412845612146241046457891017456[[#This Row],[Type]]&gt;0,VLOOKUP(_1_5412845612146241046457891017456[[#This Row],[Type]],Main[[#All],[TYPE]:[UNIT]],'Unit Price'!D$1,FALSE),0)</f>
        <v>0</v>
      </c>
      <c r="I80" s="194">
        <f>IF(_1_5412845612146241046457891017456[[#This Row],[Type]]&gt;0,VLOOKUP(_1_5412845612146241046457891017456[[#This Row],[Type]],Main[[#All],[TYPE]:[UNIT]],'Unit Price'!G$1,FALSE),0)</f>
        <v>0</v>
      </c>
      <c r="J80" s="194">
        <f>IF(_1_5412845612146241046457891017456[[#This Row],[Type]]&gt;0,VLOOKUP(_1_5412845612146241046457891017456[[#This Row],[Type]],Main[[#All],[TYPE]:[UNIT]],'Unit Price'!H$1,FALSE),0)</f>
        <v>0</v>
      </c>
      <c r="K80" s="194">
        <f>IF(_1_5412845612146241046457891017456[[#This Row],[Discount selection]]&gt;0,VLOOKUP(_1_5412845612146241046457891017456[[#This Row],[Discount selection]],'Discount Structure'!$A$2:$B$30,2,"false"),0)</f>
        <v>1</v>
      </c>
      <c r="L80" s="194">
        <f>_1_5412845612146241046457891017456[[#This Row],[LIST $]]*_1_5412845612146241046457891017456[[#This Row],[DISCOUNT]]*_1_5412845612146241046457891017456[[#This Row],[DISCOUNT 2]]</f>
        <v>0</v>
      </c>
      <c r="M80" s="194">
        <f>IF(OR(_1_5412845612146241046457891017456[[#This Row],[UNIT]]&gt;0,_1_5412845612146241046457891017456[[#This Row],[UNIT]]&lt;0),_1_5412845612146241046457891017456[[#This Row],[UNIT]]*_1_5412845612146241046457891017456[[#This Row],[COST]],0)</f>
        <v>0</v>
      </c>
      <c r="N80" s="194">
        <f t="shared" si="1"/>
        <v>1.3</v>
      </c>
      <c r="O80" s="198">
        <f>_1_5412845612146241046457891017456[[#This Row],[TOTAL]]*_1_5412845612146241046457891017456[[#This Row],[MARGIN]]</f>
        <v>0</v>
      </c>
      <c r="R80" s="41"/>
    </row>
    <row r="81" spans="1:18">
      <c r="A81" s="362"/>
      <c r="C81" s="168"/>
      <c r="D81" s="188"/>
      <c r="F81" s="168" t="s">
        <v>6202</v>
      </c>
      <c r="G81" s="193">
        <f>IF(_1_5412845612146241046457891017456[[#This Row],[Type]]&gt;0,VLOOKUP(_1_5412845612146241046457891017456[[#This Row],[Type]],Main[[#All],[TYPE]:[UNIT]],'Unit Price'!C$1,FALSE),0)</f>
        <v>0</v>
      </c>
      <c r="H81" s="197">
        <f>IF(_1_5412845612146241046457891017456[[#This Row],[Type]]&gt;0,VLOOKUP(_1_5412845612146241046457891017456[[#This Row],[Type]],Main[[#All],[TYPE]:[UNIT]],'Unit Price'!D$1,FALSE),0)</f>
        <v>0</v>
      </c>
      <c r="I81" s="194">
        <f>IF(_1_5412845612146241046457891017456[[#This Row],[Type]]&gt;0,VLOOKUP(_1_5412845612146241046457891017456[[#This Row],[Type]],Main[[#All],[TYPE]:[UNIT]],'Unit Price'!G$1,FALSE),0)</f>
        <v>0</v>
      </c>
      <c r="J81" s="194">
        <f>IF(_1_5412845612146241046457891017456[[#This Row],[Type]]&gt;0,VLOOKUP(_1_5412845612146241046457891017456[[#This Row],[Type]],Main[[#All],[TYPE]:[UNIT]],'Unit Price'!H$1,FALSE),0)</f>
        <v>0</v>
      </c>
      <c r="K81" s="194">
        <f>IF(_1_5412845612146241046457891017456[[#This Row],[Discount selection]]&gt;0,VLOOKUP(_1_5412845612146241046457891017456[[#This Row],[Discount selection]],'Discount Structure'!$A$2:$B$30,2,"false"),0)</f>
        <v>1</v>
      </c>
      <c r="L81" s="194">
        <f>_1_5412845612146241046457891017456[[#This Row],[LIST $]]*_1_5412845612146241046457891017456[[#This Row],[DISCOUNT]]*_1_5412845612146241046457891017456[[#This Row],[DISCOUNT 2]]</f>
        <v>0</v>
      </c>
      <c r="M81" s="194">
        <f>IF(OR(_1_5412845612146241046457891017456[[#This Row],[UNIT]]&gt;0,_1_5412845612146241046457891017456[[#This Row],[UNIT]]&lt;0),_1_5412845612146241046457891017456[[#This Row],[UNIT]]*_1_5412845612146241046457891017456[[#This Row],[COST]],0)</f>
        <v>0</v>
      </c>
      <c r="N81" s="194">
        <f t="shared" si="1"/>
        <v>1.3</v>
      </c>
      <c r="O81" s="198">
        <f>_1_5412845612146241046457891017456[[#This Row],[TOTAL]]*_1_5412845612146241046457891017456[[#This Row],[MARGIN]]</f>
        <v>0</v>
      </c>
      <c r="R81" s="41"/>
    </row>
    <row r="82" spans="1:18">
      <c r="A82" s="329"/>
      <c r="C82" s="168"/>
      <c r="D82" s="188"/>
      <c r="F82" s="168" t="s">
        <v>6202</v>
      </c>
      <c r="G82" s="193">
        <f>IF(_1_5412845612146241046457891017456[[#This Row],[Type]]&gt;0,VLOOKUP(_1_5412845612146241046457891017456[[#This Row],[Type]],Main[[#All],[TYPE]:[UNIT]],'Unit Price'!C$1,FALSE),0)</f>
        <v>0</v>
      </c>
      <c r="H82" s="197">
        <f>IF(_1_5412845612146241046457891017456[[#This Row],[Type]]&gt;0,VLOOKUP(_1_5412845612146241046457891017456[[#This Row],[Type]],Main[[#All],[TYPE]:[UNIT]],'Unit Price'!D$1,FALSE),0)</f>
        <v>0</v>
      </c>
      <c r="I82" s="194">
        <f>IF(_1_5412845612146241046457891017456[[#This Row],[Type]]&gt;0,VLOOKUP(_1_5412845612146241046457891017456[[#This Row],[Type]],Main[[#All],[TYPE]:[UNIT]],'Unit Price'!G$1,FALSE),0)</f>
        <v>0</v>
      </c>
      <c r="J82" s="194">
        <f>IF(_1_5412845612146241046457891017456[[#This Row],[Type]]&gt;0,VLOOKUP(_1_5412845612146241046457891017456[[#This Row],[Type]],Main[[#All],[TYPE]:[UNIT]],'Unit Price'!H$1,FALSE),0)</f>
        <v>0</v>
      </c>
      <c r="K82" s="194">
        <f>IF(_1_5412845612146241046457891017456[[#This Row],[Discount selection]]&gt;0,VLOOKUP(_1_5412845612146241046457891017456[[#This Row],[Discount selection]],'Discount Structure'!$A$2:$B$30,2,"false"),0)</f>
        <v>1</v>
      </c>
      <c r="L82" s="194">
        <f>_1_5412845612146241046457891017456[[#This Row],[LIST $]]*_1_5412845612146241046457891017456[[#This Row],[DISCOUNT]]*_1_5412845612146241046457891017456[[#This Row],[DISCOUNT 2]]</f>
        <v>0</v>
      </c>
      <c r="M82" s="194">
        <f>IF(OR(_1_5412845612146241046457891017456[[#This Row],[UNIT]]&gt;0,_1_5412845612146241046457891017456[[#This Row],[UNIT]]&lt;0),_1_5412845612146241046457891017456[[#This Row],[UNIT]]*_1_5412845612146241046457891017456[[#This Row],[COST]],0)</f>
        <v>0</v>
      </c>
      <c r="N82" s="194">
        <f t="shared" si="1"/>
        <v>1.3</v>
      </c>
      <c r="O82" s="198">
        <f>_1_5412845612146241046457891017456[[#This Row],[TOTAL]]*_1_5412845612146241046457891017456[[#This Row],[MARGIN]]</f>
        <v>0</v>
      </c>
      <c r="R82" s="41"/>
    </row>
    <row r="83" spans="1:18">
      <c r="A83" s="329"/>
      <c r="C83" s="168"/>
      <c r="D83" s="188"/>
      <c r="F83" s="168" t="s">
        <v>6202</v>
      </c>
      <c r="G83" s="193">
        <f>IF(_1_5412845612146241046457891017456[[#This Row],[Type]]&gt;0,VLOOKUP(_1_5412845612146241046457891017456[[#This Row],[Type]],Main[[#All],[TYPE]:[UNIT]],'Unit Price'!C$1,FALSE),0)</f>
        <v>0</v>
      </c>
      <c r="H83" s="197">
        <f>IF(_1_5412845612146241046457891017456[[#This Row],[Type]]&gt;0,VLOOKUP(_1_5412845612146241046457891017456[[#This Row],[Type]],Main[[#All],[TYPE]:[UNIT]],'Unit Price'!D$1,FALSE),0)</f>
        <v>0</v>
      </c>
      <c r="I83" s="194">
        <f>IF(_1_5412845612146241046457891017456[[#This Row],[Type]]&gt;0,VLOOKUP(_1_5412845612146241046457891017456[[#This Row],[Type]],Main[[#All],[TYPE]:[UNIT]],'Unit Price'!G$1,FALSE),0)</f>
        <v>0</v>
      </c>
      <c r="J83" s="194">
        <f>IF(_1_5412845612146241046457891017456[[#This Row],[Type]]&gt;0,VLOOKUP(_1_5412845612146241046457891017456[[#This Row],[Type]],Main[[#All],[TYPE]:[UNIT]],'Unit Price'!H$1,FALSE),0)</f>
        <v>0</v>
      </c>
      <c r="K83" s="194">
        <f>IF(_1_5412845612146241046457891017456[[#This Row],[Discount selection]]&gt;0,VLOOKUP(_1_5412845612146241046457891017456[[#This Row],[Discount selection]],'Discount Structure'!$A$2:$B$30,2,"false"),0)</f>
        <v>1</v>
      </c>
      <c r="L83" s="194">
        <f>_1_5412845612146241046457891017456[[#This Row],[LIST $]]*_1_5412845612146241046457891017456[[#This Row],[DISCOUNT]]*_1_5412845612146241046457891017456[[#This Row],[DISCOUNT 2]]</f>
        <v>0</v>
      </c>
      <c r="M83" s="194">
        <f>IF(OR(_1_5412845612146241046457891017456[[#This Row],[UNIT]]&gt;0,_1_5412845612146241046457891017456[[#This Row],[UNIT]]&lt;0),_1_5412845612146241046457891017456[[#This Row],[UNIT]]*_1_5412845612146241046457891017456[[#This Row],[COST]],0)</f>
        <v>0</v>
      </c>
      <c r="N83" s="194">
        <f t="shared" si="1"/>
        <v>1.3</v>
      </c>
      <c r="O83" s="198">
        <f>_1_5412845612146241046457891017456[[#This Row],[TOTAL]]*_1_5412845612146241046457891017456[[#This Row],[MARGIN]]</f>
        <v>0</v>
      </c>
      <c r="R83" s="41"/>
    </row>
    <row r="84" spans="1:18">
      <c r="A84" s="364"/>
      <c r="C84" s="168"/>
      <c r="D84" s="188"/>
      <c r="F84" s="168" t="s">
        <v>6202</v>
      </c>
      <c r="G84" s="193">
        <f>IF(_1_5412845612146241046457891017456[[#This Row],[Type]]&gt;0,VLOOKUP(_1_5412845612146241046457891017456[[#This Row],[Type]],Main[[#All],[TYPE]:[UNIT]],'Unit Price'!C$1,FALSE),0)</f>
        <v>0</v>
      </c>
      <c r="H84" s="197">
        <f>IF(_1_5412845612146241046457891017456[[#This Row],[Type]]&gt;0,VLOOKUP(_1_5412845612146241046457891017456[[#This Row],[Type]],Main[[#All],[TYPE]:[UNIT]],'Unit Price'!D$1,FALSE),0)</f>
        <v>0</v>
      </c>
      <c r="I84" s="194">
        <f>IF(_1_5412845612146241046457891017456[[#This Row],[Type]]&gt;0,VLOOKUP(_1_5412845612146241046457891017456[[#This Row],[Type]],Main[[#All],[TYPE]:[UNIT]],'Unit Price'!G$1,FALSE),0)</f>
        <v>0</v>
      </c>
      <c r="J84" s="194">
        <f>IF(_1_5412845612146241046457891017456[[#This Row],[Type]]&gt;0,VLOOKUP(_1_5412845612146241046457891017456[[#This Row],[Type]],Main[[#All],[TYPE]:[UNIT]],'Unit Price'!H$1,FALSE),0)</f>
        <v>0</v>
      </c>
      <c r="K84" s="194">
        <f>IF(_1_5412845612146241046457891017456[[#This Row],[Discount selection]]&gt;0,VLOOKUP(_1_5412845612146241046457891017456[[#This Row],[Discount selection]],'Discount Structure'!$A$2:$B$30,2,"false"),0)</f>
        <v>1</v>
      </c>
      <c r="L84" s="194">
        <f>_1_5412845612146241046457891017456[[#This Row],[LIST $]]*_1_5412845612146241046457891017456[[#This Row],[DISCOUNT]]*_1_5412845612146241046457891017456[[#This Row],[DISCOUNT 2]]</f>
        <v>0</v>
      </c>
      <c r="M84" s="194">
        <f>IF(OR(_1_5412845612146241046457891017456[[#This Row],[UNIT]]&gt;0,_1_5412845612146241046457891017456[[#This Row],[UNIT]]&lt;0),_1_5412845612146241046457891017456[[#This Row],[UNIT]]*_1_5412845612146241046457891017456[[#This Row],[COST]],0)</f>
        <v>0</v>
      </c>
      <c r="N84" s="194">
        <f t="shared" si="1"/>
        <v>1.3</v>
      </c>
      <c r="O84" s="198">
        <f>_1_5412845612146241046457891017456[[#This Row],[TOTAL]]*_1_5412845612146241046457891017456[[#This Row],[MARGIN]]</f>
        <v>0</v>
      </c>
      <c r="R84" s="41"/>
    </row>
    <row r="85" spans="1:18">
      <c r="C85" s="168"/>
      <c r="D85" s="188"/>
      <c r="F85" s="168" t="s">
        <v>6202</v>
      </c>
      <c r="G85" s="193">
        <f>IF(_1_5412845612146241046457891017456[[#This Row],[Type]]&gt;0,VLOOKUP(_1_5412845612146241046457891017456[[#This Row],[Type]],Main[[#All],[TYPE]:[UNIT]],'Unit Price'!C$1,FALSE),0)</f>
        <v>0</v>
      </c>
      <c r="H85" s="197">
        <f>IF(_1_5412845612146241046457891017456[[#This Row],[Type]]&gt;0,VLOOKUP(_1_5412845612146241046457891017456[[#This Row],[Type]],Main[[#All],[TYPE]:[UNIT]],'Unit Price'!D$1,FALSE),0)</f>
        <v>0</v>
      </c>
      <c r="I85" s="194">
        <f>IF(_1_5412845612146241046457891017456[[#This Row],[Type]]&gt;0,VLOOKUP(_1_5412845612146241046457891017456[[#This Row],[Type]],Main[[#All],[TYPE]:[UNIT]],'Unit Price'!G$1,FALSE),0)</f>
        <v>0</v>
      </c>
      <c r="J85" s="194">
        <f>IF(_1_5412845612146241046457891017456[[#This Row],[Type]]&gt;0,VLOOKUP(_1_5412845612146241046457891017456[[#This Row],[Type]],Main[[#All],[TYPE]:[UNIT]],'Unit Price'!H$1,FALSE),0)</f>
        <v>0</v>
      </c>
      <c r="K85" s="194">
        <f>IF(_1_5412845612146241046457891017456[[#This Row],[Discount selection]]&gt;0,VLOOKUP(_1_5412845612146241046457891017456[[#This Row],[Discount selection]],'Discount Structure'!$A$2:$B$30,2,"false"),0)</f>
        <v>1</v>
      </c>
      <c r="L85" s="194">
        <f>_1_5412845612146241046457891017456[[#This Row],[LIST $]]*_1_5412845612146241046457891017456[[#This Row],[DISCOUNT]]*_1_5412845612146241046457891017456[[#This Row],[DISCOUNT 2]]</f>
        <v>0</v>
      </c>
      <c r="M85" s="194">
        <f>IF(OR(_1_5412845612146241046457891017456[[#This Row],[UNIT]]&gt;0,_1_5412845612146241046457891017456[[#This Row],[UNIT]]&lt;0),_1_5412845612146241046457891017456[[#This Row],[UNIT]]*_1_5412845612146241046457891017456[[#This Row],[COST]],0)</f>
        <v>0</v>
      </c>
      <c r="N85" s="194">
        <f t="shared" si="1"/>
        <v>1.3</v>
      </c>
      <c r="O85" s="198">
        <f>_1_5412845612146241046457891017456[[#This Row],[TOTAL]]*_1_5412845612146241046457891017456[[#This Row],[MARGIN]]</f>
        <v>0</v>
      </c>
      <c r="R85" s="41"/>
    </row>
    <row r="86" spans="1:18">
      <c r="C86" s="168"/>
      <c r="D86" s="188"/>
      <c r="F86" s="168" t="s">
        <v>6202</v>
      </c>
      <c r="G86" s="193">
        <f>IF(_1_5412845612146241046457891017456[[#This Row],[Type]]&gt;0,VLOOKUP(_1_5412845612146241046457891017456[[#This Row],[Type]],Main[[#All],[TYPE]:[UNIT]],'Unit Price'!C$1,FALSE),0)</f>
        <v>0</v>
      </c>
      <c r="H86" s="197">
        <f>IF(_1_5412845612146241046457891017456[[#This Row],[Type]]&gt;0,VLOOKUP(_1_5412845612146241046457891017456[[#This Row],[Type]],Main[[#All],[TYPE]:[UNIT]],'Unit Price'!D$1,FALSE),0)</f>
        <v>0</v>
      </c>
      <c r="I86" s="194">
        <f>IF(_1_5412845612146241046457891017456[[#This Row],[Type]]&gt;0,VLOOKUP(_1_5412845612146241046457891017456[[#This Row],[Type]],Main[[#All],[TYPE]:[UNIT]],'Unit Price'!G$1,FALSE),0)</f>
        <v>0</v>
      </c>
      <c r="J86" s="194">
        <f>IF(_1_5412845612146241046457891017456[[#This Row],[Type]]&gt;0,VLOOKUP(_1_5412845612146241046457891017456[[#This Row],[Type]],Main[[#All],[TYPE]:[UNIT]],'Unit Price'!H$1,FALSE),0)</f>
        <v>0</v>
      </c>
      <c r="K86" s="194">
        <f>IF(_1_5412845612146241046457891017456[[#This Row],[Discount selection]]&gt;0,VLOOKUP(_1_5412845612146241046457891017456[[#This Row],[Discount selection]],'Discount Structure'!$A$2:$B$30,2,"false"),0)</f>
        <v>1</v>
      </c>
      <c r="L86" s="194">
        <f>_1_5412845612146241046457891017456[[#This Row],[LIST $]]*_1_5412845612146241046457891017456[[#This Row],[DISCOUNT]]*_1_5412845612146241046457891017456[[#This Row],[DISCOUNT 2]]</f>
        <v>0</v>
      </c>
      <c r="M86" s="194">
        <f>IF(OR(_1_5412845612146241046457891017456[[#This Row],[UNIT]]&gt;0,_1_5412845612146241046457891017456[[#This Row],[UNIT]]&lt;0),_1_5412845612146241046457891017456[[#This Row],[UNIT]]*_1_5412845612146241046457891017456[[#This Row],[COST]],0)</f>
        <v>0</v>
      </c>
      <c r="N86" s="194">
        <f t="shared" si="1"/>
        <v>1.3</v>
      </c>
      <c r="O86" s="198">
        <f>_1_5412845612146241046457891017456[[#This Row],[TOTAL]]*_1_5412845612146241046457891017456[[#This Row],[MARGIN]]</f>
        <v>0</v>
      </c>
      <c r="R86" s="41"/>
    </row>
    <row r="87" spans="1:18">
      <c r="C87" s="168"/>
      <c r="D87" s="188"/>
      <c r="F87" s="168" t="s">
        <v>6202</v>
      </c>
      <c r="G87" s="193">
        <f>IF(_1_5412845612146241046457891017456[[#This Row],[Type]]&gt;0,VLOOKUP(_1_5412845612146241046457891017456[[#This Row],[Type]],Main[[#All],[TYPE]:[UNIT]],'Unit Price'!C$1,FALSE),0)</f>
        <v>0</v>
      </c>
      <c r="H87" s="197">
        <f>IF(_1_5412845612146241046457891017456[[#This Row],[Type]]&gt;0,VLOOKUP(_1_5412845612146241046457891017456[[#This Row],[Type]],Main[[#All],[TYPE]:[UNIT]],'Unit Price'!D$1,FALSE),0)</f>
        <v>0</v>
      </c>
      <c r="I87" s="194">
        <f>IF(_1_5412845612146241046457891017456[[#This Row],[Type]]&gt;0,VLOOKUP(_1_5412845612146241046457891017456[[#This Row],[Type]],Main[[#All],[TYPE]:[UNIT]],'Unit Price'!G$1,FALSE),0)</f>
        <v>0</v>
      </c>
      <c r="J87" s="194">
        <f>IF(_1_5412845612146241046457891017456[[#This Row],[Type]]&gt;0,VLOOKUP(_1_5412845612146241046457891017456[[#This Row],[Type]],Main[[#All],[TYPE]:[UNIT]],'Unit Price'!H$1,FALSE),0)</f>
        <v>0</v>
      </c>
      <c r="K87" s="194">
        <f>IF(_1_5412845612146241046457891017456[[#This Row],[Discount selection]]&gt;0,VLOOKUP(_1_5412845612146241046457891017456[[#This Row],[Discount selection]],'Discount Structure'!$A$2:$B$30,2,"false"),0)</f>
        <v>1</v>
      </c>
      <c r="L87" s="194">
        <f>_1_5412845612146241046457891017456[[#This Row],[LIST $]]*_1_5412845612146241046457891017456[[#This Row],[DISCOUNT]]*_1_5412845612146241046457891017456[[#This Row],[DISCOUNT 2]]</f>
        <v>0</v>
      </c>
      <c r="M87" s="194">
        <f>IF(OR(_1_5412845612146241046457891017456[[#This Row],[UNIT]]&gt;0,_1_5412845612146241046457891017456[[#This Row],[UNIT]]&lt;0),_1_5412845612146241046457891017456[[#This Row],[UNIT]]*_1_5412845612146241046457891017456[[#This Row],[COST]],0)</f>
        <v>0</v>
      </c>
      <c r="N87" s="194">
        <f t="shared" si="1"/>
        <v>1.3</v>
      </c>
      <c r="O87" s="198">
        <f>_1_5412845612146241046457891017456[[#This Row],[TOTAL]]*_1_5412845612146241046457891017456[[#This Row],[MARGIN]]</f>
        <v>0</v>
      </c>
      <c r="R87" s="41"/>
    </row>
    <row r="88" spans="1:18">
      <c r="C88" s="168"/>
      <c r="D88" s="188"/>
      <c r="F88" s="168" t="s">
        <v>6202</v>
      </c>
      <c r="G88" s="193">
        <f>IF(_1_5412845612146241046457891017456[[#This Row],[Type]]&gt;0,VLOOKUP(_1_5412845612146241046457891017456[[#This Row],[Type]],Main[[#All],[TYPE]:[UNIT]],'Unit Price'!C$1,FALSE),0)</f>
        <v>0</v>
      </c>
      <c r="H88" s="197">
        <f>IF(_1_5412845612146241046457891017456[[#This Row],[Type]]&gt;0,VLOOKUP(_1_5412845612146241046457891017456[[#This Row],[Type]],Main[[#All],[TYPE]:[UNIT]],'Unit Price'!D$1,FALSE),0)</f>
        <v>0</v>
      </c>
      <c r="I88" s="194">
        <f>IF(_1_5412845612146241046457891017456[[#This Row],[Type]]&gt;0,VLOOKUP(_1_5412845612146241046457891017456[[#This Row],[Type]],Main[[#All],[TYPE]:[UNIT]],'Unit Price'!G$1,FALSE),0)</f>
        <v>0</v>
      </c>
      <c r="J88" s="194">
        <f>IF(_1_5412845612146241046457891017456[[#This Row],[Type]]&gt;0,VLOOKUP(_1_5412845612146241046457891017456[[#This Row],[Type]],Main[[#All],[TYPE]:[UNIT]],'Unit Price'!H$1,FALSE),0)</f>
        <v>0</v>
      </c>
      <c r="K88" s="194">
        <f>IF(_1_5412845612146241046457891017456[[#This Row],[Discount selection]]&gt;0,VLOOKUP(_1_5412845612146241046457891017456[[#This Row],[Discount selection]],'Discount Structure'!$A$2:$B$30,2,"false"),0)</f>
        <v>1</v>
      </c>
      <c r="L88" s="194">
        <f>_1_5412845612146241046457891017456[[#This Row],[LIST $]]*_1_5412845612146241046457891017456[[#This Row],[DISCOUNT]]*_1_5412845612146241046457891017456[[#This Row],[DISCOUNT 2]]</f>
        <v>0</v>
      </c>
      <c r="M88" s="194">
        <f>IF(OR(_1_5412845612146241046457891017456[[#This Row],[UNIT]]&gt;0,_1_5412845612146241046457891017456[[#This Row],[UNIT]]&lt;0),_1_5412845612146241046457891017456[[#This Row],[UNIT]]*_1_5412845612146241046457891017456[[#This Row],[COST]],0)</f>
        <v>0</v>
      </c>
      <c r="N88" s="194">
        <f t="shared" si="1"/>
        <v>1.3</v>
      </c>
      <c r="O88" s="198">
        <f>_1_5412845612146241046457891017456[[#This Row],[TOTAL]]*_1_5412845612146241046457891017456[[#This Row],[MARGIN]]</f>
        <v>0</v>
      </c>
      <c r="R88" s="41"/>
    </row>
    <row r="89" spans="1:18">
      <c r="C89" s="168"/>
      <c r="D89" s="188"/>
      <c r="F89" s="168" t="s">
        <v>6202</v>
      </c>
      <c r="G89" s="193">
        <f>IF(_1_5412845612146241046457891017456[[#This Row],[Type]]&gt;0,VLOOKUP(_1_5412845612146241046457891017456[[#This Row],[Type]],Main[[#All],[TYPE]:[UNIT]],'Unit Price'!C$1,FALSE),0)</f>
        <v>0</v>
      </c>
      <c r="H89" s="197">
        <f>IF(_1_5412845612146241046457891017456[[#This Row],[Type]]&gt;0,VLOOKUP(_1_5412845612146241046457891017456[[#This Row],[Type]],Main[[#All],[TYPE]:[UNIT]],'Unit Price'!D$1,FALSE),0)</f>
        <v>0</v>
      </c>
      <c r="I89" s="194">
        <f>IF(_1_5412845612146241046457891017456[[#This Row],[Type]]&gt;0,VLOOKUP(_1_5412845612146241046457891017456[[#This Row],[Type]],Main[[#All],[TYPE]:[UNIT]],'Unit Price'!G$1,FALSE),0)</f>
        <v>0</v>
      </c>
      <c r="J89" s="194">
        <f>IF(_1_5412845612146241046457891017456[[#This Row],[Type]]&gt;0,VLOOKUP(_1_5412845612146241046457891017456[[#This Row],[Type]],Main[[#All],[TYPE]:[UNIT]],'Unit Price'!H$1,FALSE),0)</f>
        <v>0</v>
      </c>
      <c r="K89" s="194">
        <f>IF(_1_5412845612146241046457891017456[[#This Row],[Discount selection]]&gt;0,VLOOKUP(_1_5412845612146241046457891017456[[#This Row],[Discount selection]],'Discount Structure'!$A$2:$B$30,2,"false"),0)</f>
        <v>1</v>
      </c>
      <c r="L89" s="194">
        <f>_1_5412845612146241046457891017456[[#This Row],[LIST $]]*_1_5412845612146241046457891017456[[#This Row],[DISCOUNT]]*_1_5412845612146241046457891017456[[#This Row],[DISCOUNT 2]]</f>
        <v>0</v>
      </c>
      <c r="M89" s="194">
        <f>IF(OR(_1_5412845612146241046457891017456[[#This Row],[UNIT]]&gt;0,_1_5412845612146241046457891017456[[#This Row],[UNIT]]&lt;0),_1_5412845612146241046457891017456[[#This Row],[UNIT]]*_1_5412845612146241046457891017456[[#This Row],[COST]],0)</f>
        <v>0</v>
      </c>
      <c r="N89" s="194">
        <f t="shared" si="1"/>
        <v>1.3</v>
      </c>
      <c r="O89" s="198">
        <f>_1_5412845612146241046457891017456[[#This Row],[TOTAL]]*_1_5412845612146241046457891017456[[#This Row],[MARGIN]]</f>
        <v>0</v>
      </c>
      <c r="R89" s="41"/>
    </row>
    <row r="90" spans="1:18">
      <c r="C90" s="168"/>
      <c r="D90" s="188"/>
      <c r="F90" s="168" t="s">
        <v>6202</v>
      </c>
      <c r="G90" s="193">
        <f>IF(_1_5412845612146241046457891017456[[#This Row],[Type]]&gt;0,VLOOKUP(_1_5412845612146241046457891017456[[#This Row],[Type]],Main[[#All],[TYPE]:[UNIT]],'Unit Price'!C$1,FALSE),0)</f>
        <v>0</v>
      </c>
      <c r="H90" s="197">
        <f>IF(_1_5412845612146241046457891017456[[#This Row],[Type]]&gt;0,VLOOKUP(_1_5412845612146241046457891017456[[#This Row],[Type]],Main[[#All],[TYPE]:[UNIT]],'Unit Price'!D$1,FALSE),0)</f>
        <v>0</v>
      </c>
      <c r="I90" s="194">
        <f>IF(_1_5412845612146241046457891017456[[#This Row],[Type]]&gt;0,VLOOKUP(_1_5412845612146241046457891017456[[#This Row],[Type]],Main[[#All],[TYPE]:[UNIT]],'Unit Price'!G$1,FALSE),0)</f>
        <v>0</v>
      </c>
      <c r="J90" s="194">
        <f>IF(_1_5412845612146241046457891017456[[#This Row],[Type]]&gt;0,VLOOKUP(_1_5412845612146241046457891017456[[#This Row],[Type]],Main[[#All],[TYPE]:[UNIT]],'Unit Price'!H$1,FALSE),0)</f>
        <v>0</v>
      </c>
      <c r="K90" s="194">
        <f>IF(_1_5412845612146241046457891017456[[#This Row],[Discount selection]]&gt;0,VLOOKUP(_1_5412845612146241046457891017456[[#This Row],[Discount selection]],'Discount Structure'!$A$2:$B$30,2,"false"),0)</f>
        <v>1</v>
      </c>
      <c r="L90" s="194">
        <f>_1_5412845612146241046457891017456[[#This Row],[LIST $]]*_1_5412845612146241046457891017456[[#This Row],[DISCOUNT]]*_1_5412845612146241046457891017456[[#This Row],[DISCOUNT 2]]</f>
        <v>0</v>
      </c>
      <c r="M90" s="194">
        <f>IF(OR(_1_5412845612146241046457891017456[[#This Row],[UNIT]]&gt;0,_1_5412845612146241046457891017456[[#This Row],[UNIT]]&lt;0),_1_5412845612146241046457891017456[[#This Row],[UNIT]]*_1_5412845612146241046457891017456[[#This Row],[COST]],0)</f>
        <v>0</v>
      </c>
      <c r="N90" s="194">
        <f t="shared" si="1"/>
        <v>1.3</v>
      </c>
      <c r="O90" s="198">
        <f>_1_5412845612146241046457891017456[[#This Row],[TOTAL]]*_1_5412845612146241046457891017456[[#This Row],[MARGIN]]</f>
        <v>0</v>
      </c>
      <c r="R90" s="41"/>
    </row>
    <row r="91" spans="1:18">
      <c r="A91" s="168"/>
      <c r="B91" s="168"/>
      <c r="C91" s="168"/>
      <c r="D91" s="188"/>
      <c r="F91" s="168" t="s">
        <v>6202</v>
      </c>
      <c r="G91" s="193">
        <f>IF(_1_5412845612146241046457891017456[[#This Row],[Type]]&gt;0,VLOOKUP(_1_5412845612146241046457891017456[[#This Row],[Type]],Main[[#All],[TYPE]:[UNIT]],'Unit Price'!C$1,FALSE),0)</f>
        <v>0</v>
      </c>
      <c r="H91" s="197">
        <f>IF(_1_5412845612146241046457891017456[[#This Row],[Type]]&gt;0,VLOOKUP(_1_5412845612146241046457891017456[[#This Row],[Type]],Main[[#All],[TYPE]:[UNIT]],'Unit Price'!D$1,FALSE),0)</f>
        <v>0</v>
      </c>
      <c r="I91" s="194">
        <f>IF(_1_5412845612146241046457891017456[[#This Row],[Type]]&gt;0,VLOOKUP(_1_5412845612146241046457891017456[[#This Row],[Type]],Main[[#All],[TYPE]:[UNIT]],'Unit Price'!G$1,FALSE),0)</f>
        <v>0</v>
      </c>
      <c r="J91" s="194">
        <f>IF(_1_5412845612146241046457891017456[[#This Row],[Type]]&gt;0,VLOOKUP(_1_5412845612146241046457891017456[[#This Row],[Type]],Main[[#All],[TYPE]:[UNIT]],'Unit Price'!H$1,FALSE),0)</f>
        <v>0</v>
      </c>
      <c r="K91" s="194">
        <f>IF(_1_5412845612146241046457891017456[[#This Row],[Discount selection]]&gt;0,VLOOKUP(_1_5412845612146241046457891017456[[#This Row],[Discount selection]],'Discount Structure'!$A$2:$B$30,2,"false"),0)</f>
        <v>1</v>
      </c>
      <c r="L91" s="194">
        <f>_1_5412845612146241046457891017456[[#This Row],[LIST $]]*_1_5412845612146241046457891017456[[#This Row],[DISCOUNT]]*_1_5412845612146241046457891017456[[#This Row],[DISCOUNT 2]]</f>
        <v>0</v>
      </c>
      <c r="M91" s="194">
        <f>IF(OR(_1_5412845612146241046457891017456[[#This Row],[UNIT]]&gt;0,_1_5412845612146241046457891017456[[#This Row],[UNIT]]&lt;0),_1_5412845612146241046457891017456[[#This Row],[UNIT]]*_1_5412845612146241046457891017456[[#This Row],[COST]],0)</f>
        <v>0</v>
      </c>
      <c r="N91" s="194">
        <f t="shared" si="1"/>
        <v>1.3</v>
      </c>
      <c r="O91" s="198">
        <f>_1_5412845612146241046457891017456[[#This Row],[TOTAL]]*_1_5412845612146241046457891017456[[#This Row],[MARGIN]]</f>
        <v>0</v>
      </c>
      <c r="R91" s="41"/>
    </row>
    <row r="92" spans="1:18">
      <c r="A92" s="168"/>
      <c r="C92" s="168"/>
      <c r="D92" s="188"/>
      <c r="F92" s="168" t="s">
        <v>6202</v>
      </c>
      <c r="G92" s="193">
        <f>IF(_1_5412845612146241046457891017456[[#This Row],[Type]]&gt;0,VLOOKUP(_1_5412845612146241046457891017456[[#This Row],[Type]],Main[[#All],[TYPE]:[UNIT]],'Unit Price'!C$1,FALSE),0)</f>
        <v>0</v>
      </c>
      <c r="H92" s="197">
        <f>IF(_1_5412845612146241046457891017456[[#This Row],[Type]]&gt;0,VLOOKUP(_1_5412845612146241046457891017456[[#This Row],[Type]],Main[[#All],[TYPE]:[UNIT]],'Unit Price'!D$1,FALSE),0)</f>
        <v>0</v>
      </c>
      <c r="I92" s="194">
        <f>IF(_1_5412845612146241046457891017456[[#This Row],[Type]]&gt;0,VLOOKUP(_1_5412845612146241046457891017456[[#This Row],[Type]],Main[[#All],[TYPE]:[UNIT]],'Unit Price'!G$1,FALSE),0)</f>
        <v>0</v>
      </c>
      <c r="J92" s="194">
        <f>IF(_1_5412845612146241046457891017456[[#This Row],[Type]]&gt;0,VLOOKUP(_1_5412845612146241046457891017456[[#This Row],[Type]],Main[[#All],[TYPE]:[UNIT]],'Unit Price'!H$1,FALSE),0)</f>
        <v>0</v>
      </c>
      <c r="K92" s="194">
        <f>IF(_1_5412845612146241046457891017456[[#This Row],[Discount selection]]&gt;0,VLOOKUP(_1_5412845612146241046457891017456[[#This Row],[Discount selection]],'Discount Structure'!$A$2:$B$30,2,"false"),0)</f>
        <v>1</v>
      </c>
      <c r="L92" s="194">
        <f>_1_5412845612146241046457891017456[[#This Row],[LIST $]]*_1_5412845612146241046457891017456[[#This Row],[DISCOUNT]]*_1_5412845612146241046457891017456[[#This Row],[DISCOUNT 2]]</f>
        <v>0</v>
      </c>
      <c r="M92" s="194">
        <f>IF(OR(_1_5412845612146241046457891017456[[#This Row],[UNIT]]&gt;0,_1_5412845612146241046457891017456[[#This Row],[UNIT]]&lt;0),_1_5412845612146241046457891017456[[#This Row],[UNIT]]*_1_5412845612146241046457891017456[[#This Row],[COST]],0)</f>
        <v>0</v>
      </c>
      <c r="N92" s="194">
        <f t="shared" si="1"/>
        <v>1.3</v>
      </c>
      <c r="O92" s="198">
        <f>_1_5412845612146241046457891017456[[#This Row],[TOTAL]]*_1_5412845612146241046457891017456[[#This Row],[MARGIN]]</f>
        <v>0</v>
      </c>
      <c r="R92" s="41"/>
    </row>
    <row r="93" spans="1:18">
      <c r="A93" s="168"/>
      <c r="B93" s="168"/>
      <c r="C93" s="168"/>
      <c r="D93" s="188"/>
      <c r="F93" s="168" t="s">
        <v>6202</v>
      </c>
      <c r="G93" s="193">
        <f>IF(_1_5412845612146241046457891017456[[#This Row],[Type]]&gt;0,VLOOKUP(_1_5412845612146241046457891017456[[#This Row],[Type]],Main[[#All],[TYPE]:[UNIT]],'Unit Price'!C$1,FALSE),0)</f>
        <v>0</v>
      </c>
      <c r="H93" s="197">
        <f>IF(_1_5412845612146241046457891017456[[#This Row],[Type]]&gt;0,VLOOKUP(_1_5412845612146241046457891017456[[#This Row],[Type]],Main[[#All],[TYPE]:[UNIT]],'Unit Price'!D$1,FALSE),0)</f>
        <v>0</v>
      </c>
      <c r="I93" s="194">
        <f>IF(_1_5412845612146241046457891017456[[#This Row],[Type]]&gt;0,VLOOKUP(_1_5412845612146241046457891017456[[#This Row],[Type]],Main[[#All],[TYPE]:[UNIT]],'Unit Price'!G$1,FALSE),0)</f>
        <v>0</v>
      </c>
      <c r="J93" s="194">
        <f>IF(_1_5412845612146241046457891017456[[#This Row],[Type]]&gt;0,VLOOKUP(_1_5412845612146241046457891017456[[#This Row],[Type]],Main[[#All],[TYPE]:[UNIT]],'Unit Price'!H$1,FALSE),0)</f>
        <v>0</v>
      </c>
      <c r="K93" s="194">
        <f>IF(_1_5412845612146241046457891017456[[#This Row],[Discount selection]]&gt;0,VLOOKUP(_1_5412845612146241046457891017456[[#This Row],[Discount selection]],'Discount Structure'!$A$2:$B$30,2,"false"),0)</f>
        <v>1</v>
      </c>
      <c r="L93" s="194">
        <f>_1_5412845612146241046457891017456[[#This Row],[LIST $]]*_1_5412845612146241046457891017456[[#This Row],[DISCOUNT]]*_1_5412845612146241046457891017456[[#This Row],[DISCOUNT 2]]</f>
        <v>0</v>
      </c>
      <c r="M93" s="194">
        <f>IF(OR(_1_5412845612146241046457891017456[[#This Row],[UNIT]]&gt;0,_1_5412845612146241046457891017456[[#This Row],[UNIT]]&lt;0),_1_5412845612146241046457891017456[[#This Row],[UNIT]]*_1_5412845612146241046457891017456[[#This Row],[COST]],0)</f>
        <v>0</v>
      </c>
      <c r="N93" s="194">
        <f t="shared" si="1"/>
        <v>1.3</v>
      </c>
      <c r="O93" s="198">
        <f>_1_5412845612146241046457891017456[[#This Row],[TOTAL]]*_1_5412845612146241046457891017456[[#This Row],[MARGIN]]</f>
        <v>0</v>
      </c>
      <c r="R93" s="41"/>
    </row>
    <row r="94" spans="1:18">
      <c r="A94" s="168"/>
      <c r="B94" s="168"/>
      <c r="C94" s="168"/>
      <c r="D94" s="188"/>
      <c r="F94" s="168" t="s">
        <v>6202</v>
      </c>
      <c r="G94" s="193">
        <f>IF(_1_5412845612146241046457891017456[[#This Row],[Type]]&gt;0,VLOOKUP(_1_5412845612146241046457891017456[[#This Row],[Type]],Main[[#All],[TYPE]:[UNIT]],'Unit Price'!C$1,FALSE),0)</f>
        <v>0</v>
      </c>
      <c r="H94" s="197">
        <f>IF(_1_5412845612146241046457891017456[[#This Row],[Type]]&gt;0,VLOOKUP(_1_5412845612146241046457891017456[[#This Row],[Type]],Main[[#All],[TYPE]:[UNIT]],'Unit Price'!D$1,FALSE),0)</f>
        <v>0</v>
      </c>
      <c r="I94" s="194">
        <f>IF(_1_5412845612146241046457891017456[[#This Row],[Type]]&gt;0,VLOOKUP(_1_5412845612146241046457891017456[[#This Row],[Type]],Main[[#All],[TYPE]:[UNIT]],'Unit Price'!G$1,FALSE),0)</f>
        <v>0</v>
      </c>
      <c r="J94" s="194">
        <f>IF(_1_5412845612146241046457891017456[[#This Row],[Type]]&gt;0,VLOOKUP(_1_5412845612146241046457891017456[[#This Row],[Type]],Main[[#All],[TYPE]:[UNIT]],'Unit Price'!H$1,FALSE),0)</f>
        <v>0</v>
      </c>
      <c r="K94" s="194">
        <f>IF(_1_5412845612146241046457891017456[[#This Row],[Discount selection]]&gt;0,VLOOKUP(_1_5412845612146241046457891017456[[#This Row],[Discount selection]],'Discount Structure'!$A$2:$B$30,2,"false"),0)</f>
        <v>1</v>
      </c>
      <c r="L94" s="194">
        <f>_1_5412845612146241046457891017456[[#This Row],[LIST $]]*_1_5412845612146241046457891017456[[#This Row],[DISCOUNT]]*_1_5412845612146241046457891017456[[#This Row],[DISCOUNT 2]]</f>
        <v>0</v>
      </c>
      <c r="M94" s="194">
        <f>IF(OR(_1_5412845612146241046457891017456[[#This Row],[UNIT]]&gt;0,_1_5412845612146241046457891017456[[#This Row],[UNIT]]&lt;0),_1_5412845612146241046457891017456[[#This Row],[UNIT]]*_1_5412845612146241046457891017456[[#This Row],[COST]],0)</f>
        <v>0</v>
      </c>
      <c r="N94" s="194">
        <f t="shared" si="1"/>
        <v>1.3</v>
      </c>
      <c r="O94" s="198">
        <f>_1_5412845612146241046457891017456[[#This Row],[TOTAL]]*_1_5412845612146241046457891017456[[#This Row],[MARGIN]]</f>
        <v>0</v>
      </c>
      <c r="R94" s="41"/>
    </row>
    <row r="95" spans="1:18">
      <c r="A95" s="168"/>
      <c r="C95" s="168"/>
      <c r="D95" s="188"/>
      <c r="F95" s="168" t="s">
        <v>6202</v>
      </c>
      <c r="G95" s="193">
        <f>IF(_1_5412845612146241046457891017456[[#This Row],[Type]]&gt;0,VLOOKUP(_1_5412845612146241046457891017456[[#This Row],[Type]],Main[[#All],[TYPE]:[UNIT]],'Unit Price'!C$1,FALSE),0)</f>
        <v>0</v>
      </c>
      <c r="H95" s="197">
        <f>IF(_1_5412845612146241046457891017456[[#This Row],[Type]]&gt;0,VLOOKUP(_1_5412845612146241046457891017456[[#This Row],[Type]],Main[[#All],[TYPE]:[UNIT]],'Unit Price'!D$1,FALSE),0)</f>
        <v>0</v>
      </c>
      <c r="I95" s="194">
        <f>IF(_1_5412845612146241046457891017456[[#This Row],[Type]]&gt;0,VLOOKUP(_1_5412845612146241046457891017456[[#This Row],[Type]],Main[[#All],[TYPE]:[UNIT]],'Unit Price'!G$1,FALSE),0)</f>
        <v>0</v>
      </c>
      <c r="J95" s="194">
        <f>IF(_1_5412845612146241046457891017456[[#This Row],[Type]]&gt;0,VLOOKUP(_1_5412845612146241046457891017456[[#This Row],[Type]],Main[[#All],[TYPE]:[UNIT]],'Unit Price'!H$1,FALSE),0)</f>
        <v>0</v>
      </c>
      <c r="K95" s="194">
        <f>IF(_1_5412845612146241046457891017456[[#This Row],[Discount selection]]&gt;0,VLOOKUP(_1_5412845612146241046457891017456[[#This Row],[Discount selection]],'Discount Structure'!$A$2:$B$30,2,"false"),0)</f>
        <v>1</v>
      </c>
      <c r="L95" s="194">
        <f>_1_5412845612146241046457891017456[[#This Row],[LIST $]]*_1_5412845612146241046457891017456[[#This Row],[DISCOUNT]]*_1_5412845612146241046457891017456[[#This Row],[DISCOUNT 2]]</f>
        <v>0</v>
      </c>
      <c r="M95" s="194">
        <f>IF(OR(_1_5412845612146241046457891017456[[#This Row],[UNIT]]&gt;0,_1_5412845612146241046457891017456[[#This Row],[UNIT]]&lt;0),_1_5412845612146241046457891017456[[#This Row],[UNIT]]*_1_5412845612146241046457891017456[[#This Row],[COST]],0)</f>
        <v>0</v>
      </c>
      <c r="N95" s="194">
        <f t="shared" si="1"/>
        <v>1.3</v>
      </c>
      <c r="O95" s="198">
        <f>_1_5412845612146241046457891017456[[#This Row],[TOTAL]]*_1_5412845612146241046457891017456[[#This Row],[MARGIN]]</f>
        <v>0</v>
      </c>
      <c r="R95" s="41"/>
    </row>
    <row r="96" spans="1:18">
      <c r="A96" s="320"/>
      <c r="B96" s="351"/>
      <c r="C96" s="168"/>
      <c r="D96" s="188"/>
      <c r="E96" s="313"/>
      <c r="F96" s="168" t="s">
        <v>6202</v>
      </c>
      <c r="G96" s="193">
        <f>IF(_1_5412845612146241046457891017456[[#This Row],[Type]]&gt;0,VLOOKUP(_1_5412845612146241046457891017456[[#This Row],[Type]],Main[[#All],[TYPE]:[UNIT]],'Unit Price'!C$1,FALSE),0)</f>
        <v>0</v>
      </c>
      <c r="H96" s="197">
        <f>IF(_1_5412845612146241046457891017456[[#This Row],[Type]]&gt;0,VLOOKUP(_1_5412845612146241046457891017456[[#This Row],[Type]],Main[[#All],[TYPE]:[UNIT]],'Unit Price'!D$1,FALSE),0)</f>
        <v>0</v>
      </c>
      <c r="I96" s="194">
        <f>IF(_1_5412845612146241046457891017456[[#This Row],[Type]]&gt;0,VLOOKUP(_1_5412845612146241046457891017456[[#This Row],[Type]],Main[[#All],[TYPE]:[UNIT]],'Unit Price'!G$1,FALSE),0)</f>
        <v>0</v>
      </c>
      <c r="J96" s="194">
        <f>IF(_1_5412845612146241046457891017456[[#This Row],[Type]]&gt;0,VLOOKUP(_1_5412845612146241046457891017456[[#This Row],[Type]],Main[[#All],[TYPE]:[UNIT]],'Unit Price'!H$1,FALSE),0)</f>
        <v>0</v>
      </c>
      <c r="K96" s="194">
        <f>IF(_1_5412845612146241046457891017456[[#This Row],[Discount selection]]&gt;0,VLOOKUP(_1_5412845612146241046457891017456[[#This Row],[Discount selection]],'Discount Structure'!$A$2:$B$30,2,"false"),0)</f>
        <v>1</v>
      </c>
      <c r="L96" s="194">
        <f>_1_5412845612146241046457891017456[[#This Row],[LIST $]]*_1_5412845612146241046457891017456[[#This Row],[DISCOUNT]]*_1_5412845612146241046457891017456[[#This Row],[DISCOUNT 2]]</f>
        <v>0</v>
      </c>
      <c r="M96" s="194">
        <f>IF(OR(_1_5412845612146241046457891017456[[#This Row],[UNIT]]&gt;0,_1_5412845612146241046457891017456[[#This Row],[UNIT]]&lt;0),_1_5412845612146241046457891017456[[#This Row],[UNIT]]*_1_5412845612146241046457891017456[[#This Row],[COST]],0)</f>
        <v>0</v>
      </c>
      <c r="N96" s="194">
        <f t="shared" si="1"/>
        <v>1.3</v>
      </c>
      <c r="O96" s="198">
        <f>_1_5412845612146241046457891017456[[#This Row],[TOTAL]]*_1_5412845612146241046457891017456[[#This Row],[MARGIN]]</f>
        <v>0</v>
      </c>
      <c r="R96" s="41"/>
    </row>
    <row r="97" spans="1:18">
      <c r="A97" s="340"/>
      <c r="B97" s="168"/>
      <c r="C97" s="168"/>
      <c r="D97" s="188"/>
      <c r="F97" s="168" t="s">
        <v>6202</v>
      </c>
      <c r="G97" s="193">
        <f>IF(_1_5412845612146241046457891017456[[#This Row],[Type]]&gt;0,VLOOKUP(_1_5412845612146241046457891017456[[#This Row],[Type]],Main[[#All],[TYPE]:[UNIT]],'Unit Price'!C$1,FALSE),0)</f>
        <v>0</v>
      </c>
      <c r="H97" s="197">
        <f>IF(_1_5412845612146241046457891017456[[#This Row],[Type]]&gt;0,VLOOKUP(_1_5412845612146241046457891017456[[#This Row],[Type]],Main[[#All],[TYPE]:[UNIT]],'Unit Price'!D$1,FALSE),0)</f>
        <v>0</v>
      </c>
      <c r="I97" s="194">
        <f>IF(_1_5412845612146241046457891017456[[#This Row],[Type]]&gt;0,VLOOKUP(_1_5412845612146241046457891017456[[#This Row],[Type]],Main[[#All],[TYPE]:[UNIT]],'Unit Price'!G$1,FALSE),0)</f>
        <v>0</v>
      </c>
      <c r="J97" s="194">
        <f>IF(_1_5412845612146241046457891017456[[#This Row],[Type]]&gt;0,VLOOKUP(_1_5412845612146241046457891017456[[#This Row],[Type]],Main[[#All],[TYPE]:[UNIT]],'Unit Price'!H$1,FALSE),0)</f>
        <v>0</v>
      </c>
      <c r="K97" s="194">
        <f>IF(_1_5412845612146241046457891017456[[#This Row],[Discount selection]]&gt;0,VLOOKUP(_1_5412845612146241046457891017456[[#This Row],[Discount selection]],'Discount Structure'!$A$2:$B$30,2,"false"),0)</f>
        <v>1</v>
      </c>
      <c r="L97" s="194">
        <f>_1_5412845612146241046457891017456[[#This Row],[LIST $]]*_1_5412845612146241046457891017456[[#This Row],[DISCOUNT]]*_1_5412845612146241046457891017456[[#This Row],[DISCOUNT 2]]</f>
        <v>0</v>
      </c>
      <c r="M97" s="194">
        <f>IF(OR(_1_5412845612146241046457891017456[[#This Row],[UNIT]]&gt;0,_1_5412845612146241046457891017456[[#This Row],[UNIT]]&lt;0),_1_5412845612146241046457891017456[[#This Row],[UNIT]]*_1_5412845612146241046457891017456[[#This Row],[COST]],0)</f>
        <v>0</v>
      </c>
      <c r="N97" s="194">
        <f t="shared" si="1"/>
        <v>1.3</v>
      </c>
      <c r="O97" s="198">
        <f>_1_5412845612146241046457891017456[[#This Row],[TOTAL]]*_1_5412845612146241046457891017456[[#This Row],[MARGIN]]</f>
        <v>0</v>
      </c>
      <c r="R97" s="41"/>
    </row>
    <row r="98" spans="1:18">
      <c r="A98" s="168"/>
      <c r="C98" s="168"/>
      <c r="D98" s="188"/>
      <c r="F98" s="168" t="s">
        <v>6202</v>
      </c>
      <c r="G98" s="193">
        <f>IF(_1_5412845612146241046457891017456[[#This Row],[Type]]&gt;0,VLOOKUP(_1_5412845612146241046457891017456[[#This Row],[Type]],Main[[#All],[TYPE]:[UNIT]],'Unit Price'!C$1,FALSE),0)</f>
        <v>0</v>
      </c>
      <c r="H98" s="197">
        <f>IF(_1_5412845612146241046457891017456[[#This Row],[Type]]&gt;0,VLOOKUP(_1_5412845612146241046457891017456[[#This Row],[Type]],Main[[#All],[TYPE]:[UNIT]],'Unit Price'!D$1,FALSE),0)</f>
        <v>0</v>
      </c>
      <c r="I98" s="194">
        <f>IF(_1_5412845612146241046457891017456[[#This Row],[Type]]&gt;0,VLOOKUP(_1_5412845612146241046457891017456[[#This Row],[Type]],Main[[#All],[TYPE]:[UNIT]],'Unit Price'!G$1,FALSE),0)</f>
        <v>0</v>
      </c>
      <c r="J98" s="194">
        <f>IF(_1_5412845612146241046457891017456[[#This Row],[Type]]&gt;0,VLOOKUP(_1_5412845612146241046457891017456[[#This Row],[Type]],Main[[#All],[TYPE]:[UNIT]],'Unit Price'!H$1,FALSE),0)</f>
        <v>0</v>
      </c>
      <c r="K98" s="194">
        <f>IF(_1_5412845612146241046457891017456[[#This Row],[Discount selection]]&gt;0,VLOOKUP(_1_5412845612146241046457891017456[[#This Row],[Discount selection]],'Discount Structure'!$A$2:$B$30,2,"false"),0)</f>
        <v>1</v>
      </c>
      <c r="L98" s="194">
        <f>_1_5412845612146241046457891017456[[#This Row],[LIST $]]*_1_5412845612146241046457891017456[[#This Row],[DISCOUNT]]*_1_5412845612146241046457891017456[[#This Row],[DISCOUNT 2]]</f>
        <v>0</v>
      </c>
      <c r="M98" s="194">
        <f>IF(OR(_1_5412845612146241046457891017456[[#This Row],[UNIT]]&gt;0,_1_5412845612146241046457891017456[[#This Row],[UNIT]]&lt;0),_1_5412845612146241046457891017456[[#This Row],[UNIT]]*_1_5412845612146241046457891017456[[#This Row],[COST]],0)</f>
        <v>0</v>
      </c>
      <c r="N98" s="194">
        <f t="shared" si="1"/>
        <v>1.3</v>
      </c>
      <c r="O98" s="198">
        <f>_1_5412845612146241046457891017456[[#This Row],[TOTAL]]*_1_5412845612146241046457891017456[[#This Row],[MARGIN]]</f>
        <v>0</v>
      </c>
      <c r="R98" s="41"/>
    </row>
    <row r="99" spans="1:18">
      <c r="C99" s="168"/>
      <c r="D99" s="188"/>
      <c r="F99" s="168" t="s">
        <v>6202</v>
      </c>
      <c r="G99" s="193">
        <f>IF(_1_5412845612146241046457891017456[[#This Row],[Type]]&gt;0,VLOOKUP(_1_5412845612146241046457891017456[[#This Row],[Type]],Main[[#All],[TYPE]:[UNIT]],'Unit Price'!C$1,FALSE),0)</f>
        <v>0</v>
      </c>
      <c r="H99" s="197">
        <f>IF(_1_5412845612146241046457891017456[[#This Row],[Type]]&gt;0,VLOOKUP(_1_5412845612146241046457891017456[[#This Row],[Type]],Main[[#All],[TYPE]:[UNIT]],'Unit Price'!D$1,FALSE),0)</f>
        <v>0</v>
      </c>
      <c r="I99" s="194">
        <f>IF(_1_5412845612146241046457891017456[[#This Row],[Type]]&gt;0,VLOOKUP(_1_5412845612146241046457891017456[[#This Row],[Type]],Main[[#All],[TYPE]:[UNIT]],'Unit Price'!G$1,FALSE),0)</f>
        <v>0</v>
      </c>
      <c r="J99" s="194">
        <f>IF(_1_5412845612146241046457891017456[[#This Row],[Type]]&gt;0,VLOOKUP(_1_5412845612146241046457891017456[[#This Row],[Type]],Main[[#All],[TYPE]:[UNIT]],'Unit Price'!H$1,FALSE),0)</f>
        <v>0</v>
      </c>
      <c r="K99" s="194">
        <f>IF(_1_5412845612146241046457891017456[[#This Row],[Discount selection]]&gt;0,VLOOKUP(_1_5412845612146241046457891017456[[#This Row],[Discount selection]],'Discount Structure'!$A$2:$B$30,2,"false"),0)</f>
        <v>1</v>
      </c>
      <c r="L99" s="194">
        <f>_1_5412845612146241046457891017456[[#This Row],[LIST $]]*_1_5412845612146241046457891017456[[#This Row],[DISCOUNT]]*_1_5412845612146241046457891017456[[#This Row],[DISCOUNT 2]]</f>
        <v>0</v>
      </c>
      <c r="M99" s="194">
        <f>IF(OR(_1_5412845612146241046457891017456[[#This Row],[UNIT]]&gt;0,_1_5412845612146241046457891017456[[#This Row],[UNIT]]&lt;0),_1_5412845612146241046457891017456[[#This Row],[UNIT]]*_1_5412845612146241046457891017456[[#This Row],[COST]],0)</f>
        <v>0</v>
      </c>
      <c r="N99" s="194">
        <f t="shared" si="1"/>
        <v>1.3</v>
      </c>
      <c r="O99" s="198">
        <f>_1_5412845612146241046457891017456[[#This Row],[TOTAL]]*_1_5412845612146241046457891017456[[#This Row],[MARGIN]]</f>
        <v>0</v>
      </c>
      <c r="R99" s="41"/>
    </row>
    <row r="100" spans="1:18">
      <c r="C100" s="168"/>
      <c r="D100" s="188"/>
      <c r="F100" s="168" t="s">
        <v>6202</v>
      </c>
      <c r="G100" s="193">
        <f>IF(_1_5412845612146241046457891017456[[#This Row],[Type]]&gt;0,VLOOKUP(_1_5412845612146241046457891017456[[#This Row],[Type]],Main[[#All],[TYPE]:[UNIT]],'Unit Price'!C$1,FALSE),0)</f>
        <v>0</v>
      </c>
      <c r="H100" s="197">
        <f>IF(_1_5412845612146241046457891017456[[#This Row],[Type]]&gt;0,VLOOKUP(_1_5412845612146241046457891017456[[#This Row],[Type]],Main[[#All],[TYPE]:[UNIT]],'Unit Price'!D$1,FALSE),0)</f>
        <v>0</v>
      </c>
      <c r="I100" s="194">
        <f>IF(_1_5412845612146241046457891017456[[#This Row],[Type]]&gt;0,VLOOKUP(_1_5412845612146241046457891017456[[#This Row],[Type]],Main[[#All],[TYPE]:[UNIT]],'Unit Price'!G$1,FALSE),0)</f>
        <v>0</v>
      </c>
      <c r="J100" s="194">
        <f>IF(_1_5412845612146241046457891017456[[#This Row],[Type]]&gt;0,VLOOKUP(_1_5412845612146241046457891017456[[#This Row],[Type]],Main[[#All],[TYPE]:[UNIT]],'Unit Price'!H$1,FALSE),0)</f>
        <v>0</v>
      </c>
      <c r="K100" s="194">
        <f>IF(_1_5412845612146241046457891017456[[#This Row],[Discount selection]]&gt;0,VLOOKUP(_1_5412845612146241046457891017456[[#This Row],[Discount selection]],'Discount Structure'!$A$2:$B$30,2,"false"),0)</f>
        <v>1</v>
      </c>
      <c r="L100" s="194">
        <f>_1_5412845612146241046457891017456[[#This Row],[LIST $]]*_1_5412845612146241046457891017456[[#This Row],[DISCOUNT]]*_1_5412845612146241046457891017456[[#This Row],[DISCOUNT 2]]</f>
        <v>0</v>
      </c>
      <c r="M100" s="194">
        <f>IF(OR(_1_5412845612146241046457891017456[[#This Row],[UNIT]]&gt;0,_1_5412845612146241046457891017456[[#This Row],[UNIT]]&lt;0),_1_5412845612146241046457891017456[[#This Row],[UNIT]]*_1_5412845612146241046457891017456[[#This Row],[COST]],0)</f>
        <v>0</v>
      </c>
      <c r="N100" s="194">
        <f t="shared" si="1"/>
        <v>1.3</v>
      </c>
      <c r="O100" s="198">
        <f>_1_5412845612146241046457891017456[[#This Row],[TOTAL]]*_1_5412845612146241046457891017456[[#This Row],[MARGIN]]</f>
        <v>0</v>
      </c>
      <c r="R100" s="41"/>
    </row>
    <row r="101" spans="1:18">
      <c r="B101" s="168"/>
      <c r="C101" s="168"/>
      <c r="D101" s="188"/>
      <c r="F101" s="168" t="s">
        <v>6202</v>
      </c>
      <c r="G101" s="193">
        <f>IF(_1_5412845612146241046457891017456[[#This Row],[Type]]&gt;0,VLOOKUP(_1_5412845612146241046457891017456[[#This Row],[Type]],Main[[#All],[TYPE]:[UNIT]],'Unit Price'!C$1,FALSE),0)</f>
        <v>0</v>
      </c>
      <c r="H101" s="197">
        <f>IF(_1_5412845612146241046457891017456[[#This Row],[Type]]&gt;0,VLOOKUP(_1_5412845612146241046457891017456[[#This Row],[Type]],Main[[#All],[TYPE]:[UNIT]],'Unit Price'!D$1,FALSE),0)</f>
        <v>0</v>
      </c>
      <c r="I101" s="194">
        <f>IF(_1_5412845612146241046457891017456[[#This Row],[Type]]&gt;0,VLOOKUP(_1_5412845612146241046457891017456[[#This Row],[Type]],Main[[#All],[TYPE]:[UNIT]],'Unit Price'!G$1,FALSE),0)</f>
        <v>0</v>
      </c>
      <c r="J101" s="194">
        <f>IF(_1_5412845612146241046457891017456[[#This Row],[Type]]&gt;0,VLOOKUP(_1_5412845612146241046457891017456[[#This Row],[Type]],Main[[#All],[TYPE]:[UNIT]],'Unit Price'!H$1,FALSE),0)</f>
        <v>0</v>
      </c>
      <c r="K101" s="194">
        <f>IF(_1_5412845612146241046457891017456[[#This Row],[Discount selection]]&gt;0,VLOOKUP(_1_5412845612146241046457891017456[[#This Row],[Discount selection]],'Discount Structure'!$A$2:$B$30,2,"false"),0)</f>
        <v>1</v>
      </c>
      <c r="L101" s="194">
        <f>_1_5412845612146241046457891017456[[#This Row],[LIST $]]*_1_5412845612146241046457891017456[[#This Row],[DISCOUNT]]*_1_5412845612146241046457891017456[[#This Row],[DISCOUNT 2]]</f>
        <v>0</v>
      </c>
      <c r="M101" s="194">
        <f>IF(OR(_1_5412845612146241046457891017456[[#This Row],[UNIT]]&gt;0,_1_5412845612146241046457891017456[[#This Row],[UNIT]]&lt;0),_1_5412845612146241046457891017456[[#This Row],[UNIT]]*_1_5412845612146241046457891017456[[#This Row],[COST]],0)</f>
        <v>0</v>
      </c>
      <c r="N101" s="194">
        <f t="shared" si="1"/>
        <v>1.3</v>
      </c>
      <c r="O101" s="198">
        <f>_1_5412845612146241046457891017456[[#This Row],[TOTAL]]*_1_5412845612146241046457891017456[[#This Row],[MARGIN]]</f>
        <v>0</v>
      </c>
      <c r="R101" s="41"/>
    </row>
    <row r="102" spans="1:18">
      <c r="A102" s="168"/>
      <c r="C102" s="168"/>
      <c r="D102" s="188"/>
      <c r="F102" s="168" t="s">
        <v>6202</v>
      </c>
      <c r="G102" s="193">
        <f>IF(_1_5412845612146241046457891017456[[#This Row],[Type]]&gt;0,VLOOKUP(_1_5412845612146241046457891017456[[#This Row],[Type]],Main[[#All],[TYPE]:[UNIT]],'Unit Price'!C$1,FALSE),0)</f>
        <v>0</v>
      </c>
      <c r="H102" s="197">
        <f>IF(_1_5412845612146241046457891017456[[#This Row],[Type]]&gt;0,VLOOKUP(_1_5412845612146241046457891017456[[#This Row],[Type]],Main[[#All],[TYPE]:[UNIT]],'Unit Price'!D$1,FALSE),0)</f>
        <v>0</v>
      </c>
      <c r="I102" s="194">
        <f>IF(_1_5412845612146241046457891017456[[#This Row],[Type]]&gt;0,VLOOKUP(_1_5412845612146241046457891017456[[#This Row],[Type]],Main[[#All],[TYPE]:[UNIT]],'Unit Price'!G$1,FALSE),0)</f>
        <v>0</v>
      </c>
      <c r="J102" s="194">
        <f>IF(_1_5412845612146241046457891017456[[#This Row],[Type]]&gt;0,VLOOKUP(_1_5412845612146241046457891017456[[#This Row],[Type]],Main[[#All],[TYPE]:[UNIT]],'Unit Price'!H$1,FALSE),0)</f>
        <v>0</v>
      </c>
      <c r="K102" s="194">
        <f>IF(_1_5412845612146241046457891017456[[#This Row],[Discount selection]]&gt;0,VLOOKUP(_1_5412845612146241046457891017456[[#This Row],[Discount selection]],'Discount Structure'!$A$2:$B$30,2,"false"),0)</f>
        <v>1</v>
      </c>
      <c r="L102" s="194">
        <f>_1_5412845612146241046457891017456[[#This Row],[LIST $]]*_1_5412845612146241046457891017456[[#This Row],[DISCOUNT]]*_1_5412845612146241046457891017456[[#This Row],[DISCOUNT 2]]</f>
        <v>0</v>
      </c>
      <c r="M102" s="194">
        <f>IF(OR(_1_5412845612146241046457891017456[[#This Row],[UNIT]]&gt;0,_1_5412845612146241046457891017456[[#This Row],[UNIT]]&lt;0),_1_5412845612146241046457891017456[[#This Row],[UNIT]]*_1_5412845612146241046457891017456[[#This Row],[COST]],0)</f>
        <v>0</v>
      </c>
      <c r="N102" s="194">
        <f t="shared" si="1"/>
        <v>1.3</v>
      </c>
      <c r="O102" s="198">
        <f>_1_5412845612146241046457891017456[[#This Row],[TOTAL]]*_1_5412845612146241046457891017456[[#This Row],[MARGIN]]</f>
        <v>0</v>
      </c>
      <c r="R102" s="41"/>
    </row>
    <row r="103" spans="1:18">
      <c r="A103" s="168"/>
      <c r="B103" s="168"/>
      <c r="C103" s="168"/>
      <c r="D103" s="188"/>
      <c r="F103" s="168" t="s">
        <v>6202</v>
      </c>
      <c r="G103" s="193">
        <f>IF(_1_5412845612146241046457891017456[[#This Row],[Type]]&gt;0,VLOOKUP(_1_5412845612146241046457891017456[[#This Row],[Type]],Main[[#All],[TYPE]:[UNIT]],'Unit Price'!C$1,FALSE),0)</f>
        <v>0</v>
      </c>
      <c r="H103" s="197">
        <f>IF(_1_5412845612146241046457891017456[[#This Row],[Type]]&gt;0,VLOOKUP(_1_5412845612146241046457891017456[[#This Row],[Type]],Main[[#All],[TYPE]:[UNIT]],'Unit Price'!D$1,FALSE),0)</f>
        <v>0</v>
      </c>
      <c r="I103" s="194">
        <f>IF(_1_5412845612146241046457891017456[[#This Row],[Type]]&gt;0,VLOOKUP(_1_5412845612146241046457891017456[[#This Row],[Type]],Main[[#All],[TYPE]:[UNIT]],'Unit Price'!G$1,FALSE),0)</f>
        <v>0</v>
      </c>
      <c r="J103" s="194">
        <f>IF(_1_5412845612146241046457891017456[[#This Row],[Type]]&gt;0,VLOOKUP(_1_5412845612146241046457891017456[[#This Row],[Type]],Main[[#All],[TYPE]:[UNIT]],'Unit Price'!H$1,FALSE),0)</f>
        <v>0</v>
      </c>
      <c r="K103" s="194">
        <f>IF(_1_5412845612146241046457891017456[[#This Row],[Discount selection]]&gt;0,VLOOKUP(_1_5412845612146241046457891017456[[#This Row],[Discount selection]],'Discount Structure'!$A$2:$B$30,2,"false"),0)</f>
        <v>1</v>
      </c>
      <c r="L103" s="194">
        <f>_1_5412845612146241046457891017456[[#This Row],[LIST $]]*_1_5412845612146241046457891017456[[#This Row],[DISCOUNT]]*_1_5412845612146241046457891017456[[#This Row],[DISCOUNT 2]]</f>
        <v>0</v>
      </c>
      <c r="M103" s="194">
        <f>IF(OR(_1_5412845612146241046457891017456[[#This Row],[UNIT]]&gt;0,_1_5412845612146241046457891017456[[#This Row],[UNIT]]&lt;0),_1_5412845612146241046457891017456[[#This Row],[UNIT]]*_1_5412845612146241046457891017456[[#This Row],[COST]],0)</f>
        <v>0</v>
      </c>
      <c r="N103" s="194">
        <f t="shared" si="1"/>
        <v>1.3</v>
      </c>
      <c r="O103" s="198">
        <f>_1_5412845612146241046457891017456[[#This Row],[TOTAL]]*_1_5412845612146241046457891017456[[#This Row],[MARGIN]]</f>
        <v>0</v>
      </c>
      <c r="R103" s="41"/>
    </row>
    <row r="104" spans="1:18">
      <c r="B104" s="168"/>
      <c r="C104" s="168"/>
      <c r="D104" s="188"/>
      <c r="F104" s="168" t="s">
        <v>6202</v>
      </c>
      <c r="G104" s="204">
        <f>IF(_1_5412845612146241046457891017456[[#This Row],[Type]]&gt;0,VLOOKUP(_1_5412845612146241046457891017456[[#This Row],[Type]],Main[[#All],[TYPE]:[UNIT]],'Unit Price'!C$1,FALSE),0)</f>
        <v>0</v>
      </c>
      <c r="H104" s="197">
        <f>IF(_1_5412845612146241046457891017456[[#This Row],[Type]]&gt;0,VLOOKUP(_1_5412845612146241046457891017456[[#This Row],[Type]],Main[[#All],[TYPE]:[UNIT]],'Unit Price'!D$1,FALSE),0)</f>
        <v>0</v>
      </c>
      <c r="I104" s="194">
        <f>IF(_1_5412845612146241046457891017456[[#This Row],[Type]]&gt;0,VLOOKUP(_1_5412845612146241046457891017456[[#This Row],[Type]],Main[[#All],[TYPE]:[UNIT]],'Unit Price'!G$1,FALSE),0)</f>
        <v>0</v>
      </c>
      <c r="J104" s="194">
        <f>IF(_1_5412845612146241046457891017456[[#This Row],[Type]]&gt;0,VLOOKUP(_1_5412845612146241046457891017456[[#This Row],[Type]],Main[[#All],[TYPE]:[UNIT]],'Unit Price'!H$1,FALSE),0)</f>
        <v>0</v>
      </c>
      <c r="K104" s="194">
        <f>IF(_1_5412845612146241046457891017456[[#This Row],[Discount selection]]&gt;0,VLOOKUP(_1_5412845612146241046457891017456[[#This Row],[Discount selection]],'Discount Structure'!$A$2:$B$30,2,"false"),0)</f>
        <v>1</v>
      </c>
      <c r="L104" s="194">
        <f>_1_5412845612146241046457891017456[[#This Row],[LIST $]]*_1_5412845612146241046457891017456[[#This Row],[DISCOUNT]]*_1_5412845612146241046457891017456[[#This Row],[DISCOUNT 2]]</f>
        <v>0</v>
      </c>
      <c r="M104" s="194">
        <f>IF(OR(_1_5412845612146241046457891017456[[#This Row],[UNIT]]&gt;0,_1_5412845612146241046457891017456[[#This Row],[UNIT]]&lt;0),_1_5412845612146241046457891017456[[#This Row],[UNIT]]*_1_5412845612146241046457891017456[[#This Row],[COST]],0)</f>
        <v>0</v>
      </c>
      <c r="N104" s="194">
        <f t="shared" si="1"/>
        <v>1.3</v>
      </c>
      <c r="O104" s="198">
        <f>_1_5412845612146241046457891017456[[#This Row],[TOTAL]]*_1_5412845612146241046457891017456[[#This Row],[MARGIN]]</f>
        <v>0</v>
      </c>
      <c r="R104" s="41"/>
    </row>
    <row r="105" spans="1:18">
      <c r="B105" s="168"/>
      <c r="C105" s="168"/>
      <c r="D105" s="188"/>
      <c r="F105" s="168" t="s">
        <v>6202</v>
      </c>
      <c r="G105" s="193">
        <f>IF(_1_5412845612146241046457891017456[[#This Row],[Type]]&gt;0,VLOOKUP(_1_5412845612146241046457891017456[[#This Row],[Type]],Main[[#All],[TYPE]:[UNIT]],'Unit Price'!C$1,FALSE),0)</f>
        <v>0</v>
      </c>
      <c r="H105" s="197">
        <f>IF(_1_5412845612146241046457891017456[[#This Row],[Type]]&gt;0,VLOOKUP(_1_5412845612146241046457891017456[[#This Row],[Type]],Main[[#All],[TYPE]:[UNIT]],'Unit Price'!D$1,FALSE),0)</f>
        <v>0</v>
      </c>
      <c r="I105" s="194">
        <f>IF(_1_5412845612146241046457891017456[[#This Row],[Type]]&gt;0,VLOOKUP(_1_5412845612146241046457891017456[[#This Row],[Type]],Main[[#All],[TYPE]:[UNIT]],'Unit Price'!G$1,FALSE),0)</f>
        <v>0</v>
      </c>
      <c r="J105" s="194">
        <f>IF(_1_5412845612146241046457891017456[[#This Row],[Type]]&gt;0,VLOOKUP(_1_5412845612146241046457891017456[[#This Row],[Type]],Main[[#All],[TYPE]:[UNIT]],'Unit Price'!H$1,FALSE),0)</f>
        <v>0</v>
      </c>
      <c r="K105" s="194">
        <f>IF(_1_5412845612146241046457891017456[[#This Row],[Discount selection]]&gt;0,VLOOKUP(_1_5412845612146241046457891017456[[#This Row],[Discount selection]],'Discount Structure'!$A$2:$B$30,2,"false"),0)</f>
        <v>1</v>
      </c>
      <c r="L105" s="194">
        <f>_1_5412845612146241046457891017456[[#This Row],[LIST $]]*_1_5412845612146241046457891017456[[#This Row],[DISCOUNT]]*_1_5412845612146241046457891017456[[#This Row],[DISCOUNT 2]]</f>
        <v>0</v>
      </c>
      <c r="M105" s="194">
        <f>IF(OR(_1_5412845612146241046457891017456[[#This Row],[UNIT]]&gt;0,_1_5412845612146241046457891017456[[#This Row],[UNIT]]&lt;0),_1_5412845612146241046457891017456[[#This Row],[UNIT]]*_1_5412845612146241046457891017456[[#This Row],[COST]],0)</f>
        <v>0</v>
      </c>
      <c r="N105" s="194">
        <f t="shared" si="1"/>
        <v>1.3</v>
      </c>
      <c r="O105" s="198">
        <f>_1_5412845612146241046457891017456[[#This Row],[TOTAL]]*_1_5412845612146241046457891017456[[#This Row],[MARGIN]]</f>
        <v>0</v>
      </c>
      <c r="R105" s="41"/>
    </row>
    <row r="106" spans="1:18">
      <c r="B106" s="318"/>
      <c r="C106" s="168"/>
      <c r="D106" s="188"/>
      <c r="F106" s="168" t="s">
        <v>6202</v>
      </c>
      <c r="G106" s="204">
        <f>IF(_1_5412845612146241046457891017456[[#This Row],[Type]]&gt;0,VLOOKUP(_1_5412845612146241046457891017456[[#This Row],[Type]],Main[[#All],[TYPE]:[UNIT]],'Unit Price'!C$1,FALSE),0)</f>
        <v>0</v>
      </c>
      <c r="H106" s="197">
        <f>IF(_1_5412845612146241046457891017456[[#This Row],[Type]]&gt;0,VLOOKUP(_1_5412845612146241046457891017456[[#This Row],[Type]],Main[[#All],[TYPE]:[UNIT]],'Unit Price'!D$1,FALSE),0)</f>
        <v>0</v>
      </c>
      <c r="I106" s="194">
        <f>IF(_1_5412845612146241046457891017456[[#This Row],[Type]]&gt;0,VLOOKUP(_1_5412845612146241046457891017456[[#This Row],[Type]],Main[[#All],[TYPE]:[UNIT]],'Unit Price'!G$1,FALSE),0)</f>
        <v>0</v>
      </c>
      <c r="J106" s="194">
        <f>IF(_1_5412845612146241046457891017456[[#This Row],[Type]]&gt;0,VLOOKUP(_1_5412845612146241046457891017456[[#This Row],[Type]],Main[[#All],[TYPE]:[UNIT]],'Unit Price'!H$1,FALSE),0)</f>
        <v>0</v>
      </c>
      <c r="K106" s="194">
        <f>IF(_1_5412845612146241046457891017456[[#This Row],[Discount selection]]&gt;0,VLOOKUP(_1_5412845612146241046457891017456[[#This Row],[Discount selection]],'Discount Structure'!$A$2:$B$30,2,"false"),0)</f>
        <v>1</v>
      </c>
      <c r="L106" s="194">
        <f>_1_5412845612146241046457891017456[[#This Row],[LIST $]]*_1_5412845612146241046457891017456[[#This Row],[DISCOUNT]]*_1_5412845612146241046457891017456[[#This Row],[DISCOUNT 2]]</f>
        <v>0</v>
      </c>
      <c r="M106" s="194">
        <f>IF(OR(_1_5412845612146241046457891017456[[#This Row],[UNIT]]&gt;0,_1_5412845612146241046457891017456[[#This Row],[UNIT]]&lt;0),_1_5412845612146241046457891017456[[#This Row],[UNIT]]*_1_5412845612146241046457891017456[[#This Row],[COST]],0)</f>
        <v>0</v>
      </c>
      <c r="N106" s="194">
        <f t="shared" si="1"/>
        <v>1.3</v>
      </c>
      <c r="O106" s="198">
        <f>_1_5412845612146241046457891017456[[#This Row],[TOTAL]]*_1_5412845612146241046457891017456[[#This Row],[MARGIN]]</f>
        <v>0</v>
      </c>
      <c r="R106" s="41"/>
    </row>
    <row r="107" spans="1:18">
      <c r="A107" s="341"/>
      <c r="C107" s="168"/>
      <c r="D107" s="188"/>
      <c r="F107" s="168" t="s">
        <v>6202</v>
      </c>
      <c r="G107" s="193">
        <f>IF(_1_5412845612146241046457891017456[[#This Row],[Type]]&gt;0,VLOOKUP(_1_5412845612146241046457891017456[[#This Row],[Type]],Main[[#All],[TYPE]:[UNIT]],'Unit Price'!C$1,FALSE),0)</f>
        <v>0</v>
      </c>
      <c r="H107" s="197">
        <f>IF(_1_5412845612146241046457891017456[[#This Row],[Type]]&gt;0,VLOOKUP(_1_5412845612146241046457891017456[[#This Row],[Type]],Main[[#All],[TYPE]:[UNIT]],'Unit Price'!D$1,FALSE),0)</f>
        <v>0</v>
      </c>
      <c r="I107" s="194">
        <f>IF(_1_5412845612146241046457891017456[[#This Row],[Type]]&gt;0,VLOOKUP(_1_5412845612146241046457891017456[[#This Row],[Type]],Main[[#All],[TYPE]:[UNIT]],'Unit Price'!G$1,FALSE),0)</f>
        <v>0</v>
      </c>
      <c r="J107" s="194">
        <f>IF(_1_5412845612146241046457891017456[[#This Row],[Type]]&gt;0,VLOOKUP(_1_5412845612146241046457891017456[[#This Row],[Type]],Main[[#All],[TYPE]:[UNIT]],'Unit Price'!H$1,FALSE),0)</f>
        <v>0</v>
      </c>
      <c r="K107" s="194">
        <f>IF(_1_5412845612146241046457891017456[[#This Row],[Discount selection]]&gt;0,VLOOKUP(_1_5412845612146241046457891017456[[#This Row],[Discount selection]],'Discount Structure'!$A$2:$B$30,2,"false"),0)</f>
        <v>1</v>
      </c>
      <c r="L107" s="194">
        <f>_1_5412845612146241046457891017456[[#This Row],[LIST $]]*_1_5412845612146241046457891017456[[#This Row],[DISCOUNT]]*_1_5412845612146241046457891017456[[#This Row],[DISCOUNT 2]]</f>
        <v>0</v>
      </c>
      <c r="M107" s="194">
        <f>IF(OR(_1_5412845612146241046457891017456[[#This Row],[UNIT]]&gt;0,_1_5412845612146241046457891017456[[#This Row],[UNIT]]&lt;0),_1_5412845612146241046457891017456[[#This Row],[UNIT]]*_1_5412845612146241046457891017456[[#This Row],[COST]],0)</f>
        <v>0</v>
      </c>
      <c r="N107" s="194">
        <f t="shared" si="1"/>
        <v>1.3</v>
      </c>
      <c r="O107" s="198">
        <f>_1_5412845612146241046457891017456[[#This Row],[TOTAL]]*_1_5412845612146241046457891017456[[#This Row],[MARGIN]]</f>
        <v>0</v>
      </c>
      <c r="R107" s="41"/>
    </row>
    <row r="108" spans="1:18">
      <c r="B108" s="318"/>
      <c r="C108" s="168"/>
      <c r="D108" s="188"/>
      <c r="F108" s="168" t="s">
        <v>6202</v>
      </c>
      <c r="G108" s="204">
        <f>IF(_1_5412845612146241046457891017456[[#This Row],[Type]]&gt;0,VLOOKUP(_1_5412845612146241046457891017456[[#This Row],[Type]],Main[[#All],[TYPE]:[UNIT]],'Unit Price'!C$1,FALSE),0)</f>
        <v>0</v>
      </c>
      <c r="H108" s="197">
        <f>IF(_1_5412845612146241046457891017456[[#This Row],[Type]]&gt;0,VLOOKUP(_1_5412845612146241046457891017456[[#This Row],[Type]],Main[[#All],[TYPE]:[UNIT]],'Unit Price'!D$1,FALSE),0)</f>
        <v>0</v>
      </c>
      <c r="I108" s="194">
        <f>IF(_1_5412845612146241046457891017456[[#This Row],[Type]]&gt;0,VLOOKUP(_1_5412845612146241046457891017456[[#This Row],[Type]],Main[[#All],[TYPE]:[UNIT]],'Unit Price'!G$1,FALSE),0)</f>
        <v>0</v>
      </c>
      <c r="J108" s="194">
        <f>IF(_1_5412845612146241046457891017456[[#This Row],[Type]]&gt;0,VLOOKUP(_1_5412845612146241046457891017456[[#This Row],[Type]],Main[[#All],[TYPE]:[UNIT]],'Unit Price'!H$1,FALSE),0)</f>
        <v>0</v>
      </c>
      <c r="K108" s="194">
        <f>IF(_1_5412845612146241046457891017456[[#This Row],[Discount selection]]&gt;0,VLOOKUP(_1_5412845612146241046457891017456[[#This Row],[Discount selection]],'Discount Structure'!$A$2:$B$30,2,"false"),0)</f>
        <v>1</v>
      </c>
      <c r="L108" s="194">
        <f>_1_5412845612146241046457891017456[[#This Row],[LIST $]]*_1_5412845612146241046457891017456[[#This Row],[DISCOUNT]]*_1_5412845612146241046457891017456[[#This Row],[DISCOUNT 2]]</f>
        <v>0</v>
      </c>
      <c r="M108" s="194">
        <f>IF(OR(_1_5412845612146241046457891017456[[#This Row],[UNIT]]&gt;0,_1_5412845612146241046457891017456[[#This Row],[UNIT]]&lt;0),_1_5412845612146241046457891017456[[#This Row],[UNIT]]*_1_5412845612146241046457891017456[[#This Row],[COST]],0)</f>
        <v>0</v>
      </c>
      <c r="N108" s="194">
        <f t="shared" si="1"/>
        <v>1.3</v>
      </c>
      <c r="O108" s="198">
        <f>_1_5412845612146241046457891017456[[#This Row],[TOTAL]]*_1_5412845612146241046457891017456[[#This Row],[MARGIN]]</f>
        <v>0</v>
      </c>
      <c r="R108" s="41"/>
    </row>
    <row r="109" spans="1:18">
      <c r="A109" s="312"/>
      <c r="B109" s="321"/>
      <c r="C109" s="168"/>
      <c r="D109" s="188"/>
      <c r="F109" s="168" t="s">
        <v>6202</v>
      </c>
      <c r="G109" s="193">
        <f>IF(_1_5412845612146241046457891017456[[#This Row],[Type]]&gt;0,VLOOKUP(_1_5412845612146241046457891017456[[#This Row],[Type]],Main[[#All],[TYPE]:[UNIT]],'Unit Price'!C$1,FALSE),0)</f>
        <v>0</v>
      </c>
      <c r="H109" s="197">
        <f>IF(_1_5412845612146241046457891017456[[#This Row],[Type]]&gt;0,VLOOKUP(_1_5412845612146241046457891017456[[#This Row],[Type]],Main[[#All],[TYPE]:[UNIT]],'Unit Price'!D$1,FALSE),0)</f>
        <v>0</v>
      </c>
      <c r="I109" s="194">
        <f>IF(_1_5412845612146241046457891017456[[#This Row],[Type]]&gt;0,VLOOKUP(_1_5412845612146241046457891017456[[#This Row],[Type]],Main[[#All],[TYPE]:[UNIT]],'Unit Price'!G$1,FALSE),0)</f>
        <v>0</v>
      </c>
      <c r="J109" s="194">
        <f>IF(_1_5412845612146241046457891017456[[#This Row],[Type]]&gt;0,VLOOKUP(_1_5412845612146241046457891017456[[#This Row],[Type]],Main[[#All],[TYPE]:[UNIT]],'Unit Price'!H$1,FALSE),0)</f>
        <v>0</v>
      </c>
      <c r="K109" s="194">
        <f>IF(_1_5412845612146241046457891017456[[#This Row],[Discount selection]]&gt;0,VLOOKUP(_1_5412845612146241046457891017456[[#This Row],[Discount selection]],'Discount Structure'!$A$2:$B$30,2,"false"),0)</f>
        <v>1</v>
      </c>
      <c r="L109" s="194">
        <f>_1_5412845612146241046457891017456[[#This Row],[LIST $]]*_1_5412845612146241046457891017456[[#This Row],[DISCOUNT]]*_1_5412845612146241046457891017456[[#This Row],[DISCOUNT 2]]</f>
        <v>0</v>
      </c>
      <c r="M109" s="194">
        <f>IF(OR(_1_5412845612146241046457891017456[[#This Row],[UNIT]]&gt;0,_1_5412845612146241046457891017456[[#This Row],[UNIT]]&lt;0),_1_5412845612146241046457891017456[[#This Row],[UNIT]]*_1_5412845612146241046457891017456[[#This Row],[COST]],0)</f>
        <v>0</v>
      </c>
      <c r="N109" s="194">
        <f t="shared" si="1"/>
        <v>1.3</v>
      </c>
      <c r="O109" s="198">
        <f>_1_5412845612146241046457891017456[[#This Row],[TOTAL]]*_1_5412845612146241046457891017456[[#This Row],[MARGIN]]</f>
        <v>0</v>
      </c>
      <c r="R109" s="41"/>
    </row>
    <row r="110" spans="1:18">
      <c r="B110" s="322"/>
      <c r="C110" s="168"/>
      <c r="D110" s="188"/>
      <c r="F110" s="168" t="s">
        <v>6202</v>
      </c>
      <c r="G110" s="193">
        <f>IF(_1_5412845612146241046457891017456[[#This Row],[Type]]&gt;0,VLOOKUP(_1_5412845612146241046457891017456[[#This Row],[Type]],Main[[#All],[TYPE]:[UNIT]],'Unit Price'!C$1,FALSE),0)</f>
        <v>0</v>
      </c>
      <c r="H110" s="197">
        <f>IF(_1_5412845612146241046457891017456[[#This Row],[Type]]&gt;0,VLOOKUP(_1_5412845612146241046457891017456[[#This Row],[Type]],Main[[#All],[TYPE]:[UNIT]],'Unit Price'!D$1,FALSE),0)</f>
        <v>0</v>
      </c>
      <c r="I110" s="194">
        <f>IF(_1_5412845612146241046457891017456[[#This Row],[Type]]&gt;0,VLOOKUP(_1_5412845612146241046457891017456[[#This Row],[Type]],Main[[#All],[TYPE]:[UNIT]],'Unit Price'!G$1,FALSE),0)</f>
        <v>0</v>
      </c>
      <c r="J110" s="194">
        <f>IF(_1_5412845612146241046457891017456[[#This Row],[Type]]&gt;0,VLOOKUP(_1_5412845612146241046457891017456[[#This Row],[Type]],Main[[#All],[TYPE]:[UNIT]],'Unit Price'!H$1,FALSE),0)</f>
        <v>0</v>
      </c>
      <c r="K110" s="194">
        <f>IF(_1_5412845612146241046457891017456[[#This Row],[Discount selection]]&gt;0,VLOOKUP(_1_5412845612146241046457891017456[[#This Row],[Discount selection]],'Discount Structure'!$A$2:$B$30,2,"false"),0)</f>
        <v>1</v>
      </c>
      <c r="L110" s="194">
        <f>_1_5412845612146241046457891017456[[#This Row],[LIST $]]*_1_5412845612146241046457891017456[[#This Row],[DISCOUNT]]*_1_5412845612146241046457891017456[[#This Row],[DISCOUNT 2]]</f>
        <v>0</v>
      </c>
      <c r="M110" s="194">
        <f>IF(OR(_1_5412845612146241046457891017456[[#This Row],[UNIT]]&gt;0,_1_5412845612146241046457891017456[[#This Row],[UNIT]]&lt;0),_1_5412845612146241046457891017456[[#This Row],[UNIT]]*_1_5412845612146241046457891017456[[#This Row],[COST]],0)</f>
        <v>0</v>
      </c>
      <c r="N110" s="194">
        <f t="shared" si="1"/>
        <v>1.3</v>
      </c>
      <c r="O110" s="198">
        <f>_1_5412845612146241046457891017456[[#This Row],[TOTAL]]*_1_5412845612146241046457891017456[[#This Row],[MARGIN]]</f>
        <v>0</v>
      </c>
      <c r="R110" s="41"/>
    </row>
    <row r="111" spans="1:18">
      <c r="C111" s="168"/>
      <c r="D111" s="188"/>
      <c r="F111" s="168" t="s">
        <v>6202</v>
      </c>
      <c r="G111" s="193">
        <f>IF(_1_5412845612146241046457891017456[[#This Row],[Type]]&gt;0,VLOOKUP(_1_5412845612146241046457891017456[[#This Row],[Type]],Main[[#All],[TYPE]:[UNIT]],'Unit Price'!C$1,FALSE),0)</f>
        <v>0</v>
      </c>
      <c r="H111" s="197">
        <f>IF(_1_5412845612146241046457891017456[[#This Row],[Type]]&gt;0,VLOOKUP(_1_5412845612146241046457891017456[[#This Row],[Type]],Main[[#All],[TYPE]:[UNIT]],'Unit Price'!D$1,FALSE),0)</f>
        <v>0</v>
      </c>
      <c r="I111" s="194">
        <f>IF(_1_5412845612146241046457891017456[[#This Row],[Type]]&gt;0,VLOOKUP(_1_5412845612146241046457891017456[[#This Row],[Type]],Main[[#All],[TYPE]:[UNIT]],'Unit Price'!G$1,FALSE),0)</f>
        <v>0</v>
      </c>
      <c r="J111" s="194">
        <f>IF(_1_5412845612146241046457891017456[[#This Row],[Type]]&gt;0,VLOOKUP(_1_5412845612146241046457891017456[[#This Row],[Type]],Main[[#All],[TYPE]:[UNIT]],'Unit Price'!H$1,FALSE),0)</f>
        <v>0</v>
      </c>
      <c r="K111" s="194">
        <f>IF(_1_5412845612146241046457891017456[[#This Row],[Discount selection]]&gt;0,VLOOKUP(_1_5412845612146241046457891017456[[#This Row],[Discount selection]],'Discount Structure'!$A$2:$B$30,2,"false"),0)</f>
        <v>1</v>
      </c>
      <c r="L111" s="194">
        <f>_1_5412845612146241046457891017456[[#This Row],[LIST $]]*_1_5412845612146241046457891017456[[#This Row],[DISCOUNT]]*_1_5412845612146241046457891017456[[#This Row],[DISCOUNT 2]]</f>
        <v>0</v>
      </c>
      <c r="M111" s="194">
        <f>IF(OR(_1_5412845612146241046457891017456[[#This Row],[UNIT]]&gt;0,_1_5412845612146241046457891017456[[#This Row],[UNIT]]&lt;0),_1_5412845612146241046457891017456[[#This Row],[UNIT]]*_1_5412845612146241046457891017456[[#This Row],[COST]],0)</f>
        <v>0</v>
      </c>
      <c r="N111" s="194">
        <f t="shared" si="1"/>
        <v>1.3</v>
      </c>
      <c r="O111" s="198">
        <f>_1_5412845612146241046457891017456[[#This Row],[TOTAL]]*_1_5412845612146241046457891017456[[#This Row],[MARGIN]]</f>
        <v>0</v>
      </c>
      <c r="R111" s="41"/>
    </row>
    <row r="112" spans="1:18">
      <c r="C112" s="168"/>
      <c r="D112" s="188"/>
      <c r="F112" s="168" t="s">
        <v>6202</v>
      </c>
      <c r="G112" s="193">
        <f>IF(_1_5412845612146241046457891017456[[#This Row],[Type]]&gt;0,VLOOKUP(_1_5412845612146241046457891017456[[#This Row],[Type]],Main[[#All],[TYPE]:[UNIT]],'Unit Price'!C$1,FALSE),0)</f>
        <v>0</v>
      </c>
      <c r="H112" s="197">
        <f>IF(_1_5412845612146241046457891017456[[#This Row],[Type]]&gt;0,VLOOKUP(_1_5412845612146241046457891017456[[#This Row],[Type]],Main[[#All],[TYPE]:[UNIT]],'Unit Price'!D$1,FALSE),0)</f>
        <v>0</v>
      </c>
      <c r="I112" s="194">
        <f>IF(_1_5412845612146241046457891017456[[#This Row],[Type]]&gt;0,VLOOKUP(_1_5412845612146241046457891017456[[#This Row],[Type]],Main[[#All],[TYPE]:[UNIT]],'Unit Price'!G$1,FALSE),0)</f>
        <v>0</v>
      </c>
      <c r="J112" s="194">
        <f>IF(_1_5412845612146241046457891017456[[#This Row],[Type]]&gt;0,VLOOKUP(_1_5412845612146241046457891017456[[#This Row],[Type]],Main[[#All],[TYPE]:[UNIT]],'Unit Price'!H$1,FALSE),0)</f>
        <v>0</v>
      </c>
      <c r="K112" s="194">
        <f>IF(_1_5412845612146241046457891017456[[#This Row],[Discount selection]]&gt;0,VLOOKUP(_1_5412845612146241046457891017456[[#This Row],[Discount selection]],'Discount Structure'!$A$2:$B$30,2,"false"),0)</f>
        <v>1</v>
      </c>
      <c r="L112" s="194">
        <f>_1_5412845612146241046457891017456[[#This Row],[LIST $]]*_1_5412845612146241046457891017456[[#This Row],[DISCOUNT]]*_1_5412845612146241046457891017456[[#This Row],[DISCOUNT 2]]</f>
        <v>0</v>
      </c>
      <c r="M112" s="194">
        <f>IF(OR(_1_5412845612146241046457891017456[[#This Row],[UNIT]]&gt;0,_1_5412845612146241046457891017456[[#This Row],[UNIT]]&lt;0),_1_5412845612146241046457891017456[[#This Row],[UNIT]]*_1_5412845612146241046457891017456[[#This Row],[COST]],0)</f>
        <v>0</v>
      </c>
      <c r="N112" s="194">
        <f t="shared" si="1"/>
        <v>1.3</v>
      </c>
      <c r="O112" s="198">
        <f>_1_5412845612146241046457891017456[[#This Row],[TOTAL]]*_1_5412845612146241046457891017456[[#This Row],[MARGIN]]</f>
        <v>0</v>
      </c>
      <c r="R112" s="41"/>
    </row>
    <row r="113" spans="1:18">
      <c r="A113" s="168"/>
      <c r="C113" s="168"/>
      <c r="D113" s="188"/>
      <c r="F113" s="168" t="s">
        <v>6202</v>
      </c>
      <c r="G113" s="193">
        <f>IF(_1_5412845612146241046457891017456[[#This Row],[Type]]&gt;0,VLOOKUP(_1_5412845612146241046457891017456[[#This Row],[Type]],Main[[#All],[TYPE]:[UNIT]],'Unit Price'!C$1,FALSE),0)</f>
        <v>0</v>
      </c>
      <c r="H113" s="197">
        <f>IF(_1_5412845612146241046457891017456[[#This Row],[Type]]&gt;0,VLOOKUP(_1_5412845612146241046457891017456[[#This Row],[Type]],Main[[#All],[TYPE]:[UNIT]],'Unit Price'!D$1,FALSE),0)</f>
        <v>0</v>
      </c>
      <c r="I113" s="194">
        <f>IF(_1_5412845612146241046457891017456[[#This Row],[Type]]&gt;0,VLOOKUP(_1_5412845612146241046457891017456[[#This Row],[Type]],Main[[#All],[TYPE]:[UNIT]],'Unit Price'!G$1,FALSE),0)</f>
        <v>0</v>
      </c>
      <c r="J113" s="194">
        <f>IF(_1_5412845612146241046457891017456[[#This Row],[Type]]&gt;0,VLOOKUP(_1_5412845612146241046457891017456[[#This Row],[Type]],Main[[#All],[TYPE]:[UNIT]],'Unit Price'!H$1,FALSE),0)</f>
        <v>0</v>
      </c>
      <c r="K113" s="194">
        <f>IF(_1_5412845612146241046457891017456[[#This Row],[Discount selection]]&gt;0,VLOOKUP(_1_5412845612146241046457891017456[[#This Row],[Discount selection]],'Discount Structure'!$A$2:$B$30,2,"false"),0)</f>
        <v>1</v>
      </c>
      <c r="L113" s="194">
        <f>_1_5412845612146241046457891017456[[#This Row],[LIST $]]*_1_5412845612146241046457891017456[[#This Row],[DISCOUNT]]*_1_5412845612146241046457891017456[[#This Row],[DISCOUNT 2]]</f>
        <v>0</v>
      </c>
      <c r="M113" s="194">
        <f>IF(OR(_1_5412845612146241046457891017456[[#This Row],[UNIT]]&gt;0,_1_5412845612146241046457891017456[[#This Row],[UNIT]]&lt;0),_1_5412845612146241046457891017456[[#This Row],[UNIT]]*_1_5412845612146241046457891017456[[#This Row],[COST]],0)</f>
        <v>0</v>
      </c>
      <c r="N113" s="194">
        <f t="shared" si="1"/>
        <v>1.3</v>
      </c>
      <c r="O113" s="198">
        <f>_1_5412845612146241046457891017456[[#This Row],[TOTAL]]*_1_5412845612146241046457891017456[[#This Row],[MARGIN]]</f>
        <v>0</v>
      </c>
      <c r="R113" s="41"/>
    </row>
    <row r="114" spans="1:18">
      <c r="C114" s="168"/>
      <c r="D114" s="188"/>
      <c r="F114" s="168" t="s">
        <v>6202</v>
      </c>
      <c r="G114" s="193">
        <f>IF(_1_5412845612146241046457891017456[[#This Row],[Type]]&gt;0,VLOOKUP(_1_5412845612146241046457891017456[[#This Row],[Type]],Main[[#All],[TYPE]:[UNIT]],'Unit Price'!C$1,FALSE),0)</f>
        <v>0</v>
      </c>
      <c r="H114" s="197">
        <f>IF(_1_5412845612146241046457891017456[[#This Row],[Type]]&gt;0,VLOOKUP(_1_5412845612146241046457891017456[[#This Row],[Type]],Main[[#All],[TYPE]:[UNIT]],'Unit Price'!D$1,FALSE),0)</f>
        <v>0</v>
      </c>
      <c r="I114" s="194">
        <f>IF(_1_5412845612146241046457891017456[[#This Row],[Type]]&gt;0,VLOOKUP(_1_5412845612146241046457891017456[[#This Row],[Type]],Main[[#All],[TYPE]:[UNIT]],'Unit Price'!G$1,FALSE),0)</f>
        <v>0</v>
      </c>
      <c r="J114" s="194">
        <f>IF(_1_5412845612146241046457891017456[[#This Row],[Type]]&gt;0,VLOOKUP(_1_5412845612146241046457891017456[[#This Row],[Type]],Main[[#All],[TYPE]:[UNIT]],'Unit Price'!H$1,FALSE),0)</f>
        <v>0</v>
      </c>
      <c r="K114" s="194">
        <f>IF(_1_5412845612146241046457891017456[[#This Row],[Discount selection]]&gt;0,VLOOKUP(_1_5412845612146241046457891017456[[#This Row],[Discount selection]],'Discount Structure'!$A$2:$B$30,2,"false"),0)</f>
        <v>1</v>
      </c>
      <c r="L114" s="194">
        <f>_1_5412845612146241046457891017456[[#This Row],[LIST $]]*_1_5412845612146241046457891017456[[#This Row],[DISCOUNT]]*_1_5412845612146241046457891017456[[#This Row],[DISCOUNT 2]]</f>
        <v>0</v>
      </c>
      <c r="M114" s="194">
        <f>IF(OR(_1_5412845612146241046457891017456[[#This Row],[UNIT]]&gt;0,_1_5412845612146241046457891017456[[#This Row],[UNIT]]&lt;0),_1_5412845612146241046457891017456[[#This Row],[UNIT]]*_1_5412845612146241046457891017456[[#This Row],[COST]],0)</f>
        <v>0</v>
      </c>
      <c r="N114" s="194">
        <f t="shared" si="1"/>
        <v>1.3</v>
      </c>
      <c r="O114" s="198">
        <f>_1_5412845612146241046457891017456[[#This Row],[TOTAL]]*_1_5412845612146241046457891017456[[#This Row],[MARGIN]]</f>
        <v>0</v>
      </c>
      <c r="R114" s="41"/>
    </row>
    <row r="115" spans="1:18">
      <c r="C115" s="168"/>
      <c r="D115" s="188"/>
      <c r="F115" s="168" t="s">
        <v>6202</v>
      </c>
      <c r="G115" s="193">
        <f>IF(_1_5412845612146241046457891017456[[#This Row],[Type]]&gt;0,VLOOKUP(_1_5412845612146241046457891017456[[#This Row],[Type]],Main[[#All],[TYPE]:[UNIT]],'Unit Price'!C$1,FALSE),0)</f>
        <v>0</v>
      </c>
      <c r="H115" s="197">
        <f>IF(_1_5412845612146241046457891017456[[#This Row],[Type]]&gt;0,VLOOKUP(_1_5412845612146241046457891017456[[#This Row],[Type]],Main[[#All],[TYPE]:[UNIT]],'Unit Price'!D$1,FALSE),0)</f>
        <v>0</v>
      </c>
      <c r="I115" s="194">
        <f>IF(_1_5412845612146241046457891017456[[#This Row],[Type]]&gt;0,VLOOKUP(_1_5412845612146241046457891017456[[#This Row],[Type]],Main[[#All],[TYPE]:[UNIT]],'Unit Price'!G$1,FALSE),0)</f>
        <v>0</v>
      </c>
      <c r="J115" s="194">
        <f>IF(_1_5412845612146241046457891017456[[#This Row],[Type]]&gt;0,VLOOKUP(_1_5412845612146241046457891017456[[#This Row],[Type]],Main[[#All],[TYPE]:[UNIT]],'Unit Price'!H$1,FALSE),0)</f>
        <v>0</v>
      </c>
      <c r="K115" s="194">
        <f>IF(_1_5412845612146241046457891017456[[#This Row],[Discount selection]]&gt;0,VLOOKUP(_1_5412845612146241046457891017456[[#This Row],[Discount selection]],'Discount Structure'!$A$2:$B$30,2,"false"),0)</f>
        <v>1</v>
      </c>
      <c r="L115" s="194">
        <f>_1_5412845612146241046457891017456[[#This Row],[LIST $]]*_1_5412845612146241046457891017456[[#This Row],[DISCOUNT]]*_1_5412845612146241046457891017456[[#This Row],[DISCOUNT 2]]</f>
        <v>0</v>
      </c>
      <c r="M115" s="194">
        <f>IF(OR(_1_5412845612146241046457891017456[[#This Row],[UNIT]]&gt;0,_1_5412845612146241046457891017456[[#This Row],[UNIT]]&lt;0),_1_5412845612146241046457891017456[[#This Row],[UNIT]]*_1_5412845612146241046457891017456[[#This Row],[COST]],0)</f>
        <v>0</v>
      </c>
      <c r="N115" s="194">
        <f t="shared" si="1"/>
        <v>1.3</v>
      </c>
      <c r="O115" s="198">
        <f>_1_5412845612146241046457891017456[[#This Row],[TOTAL]]*_1_5412845612146241046457891017456[[#This Row],[MARGIN]]</f>
        <v>0</v>
      </c>
      <c r="R115" s="41"/>
    </row>
    <row r="116" spans="1:18">
      <c r="A116" s="339"/>
      <c r="C116" s="168"/>
      <c r="D116" s="188"/>
      <c r="F116" s="168" t="s">
        <v>6202</v>
      </c>
      <c r="G116" s="193">
        <f>IF(_1_5412845612146241046457891017456[[#This Row],[Type]]&gt;0,VLOOKUP(_1_5412845612146241046457891017456[[#This Row],[Type]],Main[[#All],[TYPE]:[UNIT]],'Unit Price'!C$1,FALSE),0)</f>
        <v>0</v>
      </c>
      <c r="H116" s="197">
        <f>IF(_1_5412845612146241046457891017456[[#This Row],[Type]]&gt;0,VLOOKUP(_1_5412845612146241046457891017456[[#This Row],[Type]],Main[[#All],[TYPE]:[UNIT]],'Unit Price'!D$1,FALSE),0)</f>
        <v>0</v>
      </c>
      <c r="I116" s="194">
        <f>IF(_1_5412845612146241046457891017456[[#This Row],[Type]]&gt;0,VLOOKUP(_1_5412845612146241046457891017456[[#This Row],[Type]],Main[[#All],[TYPE]:[UNIT]],'Unit Price'!G$1,FALSE),0)</f>
        <v>0</v>
      </c>
      <c r="J116" s="194">
        <f>IF(_1_5412845612146241046457891017456[[#This Row],[Type]]&gt;0,VLOOKUP(_1_5412845612146241046457891017456[[#This Row],[Type]],Main[[#All],[TYPE]:[UNIT]],'Unit Price'!H$1,FALSE),0)</f>
        <v>0</v>
      </c>
      <c r="K116" s="194">
        <f>IF(_1_5412845612146241046457891017456[[#This Row],[Discount selection]]&gt;0,VLOOKUP(_1_5412845612146241046457891017456[[#This Row],[Discount selection]],'Discount Structure'!$A$2:$B$30,2,"false"),0)</f>
        <v>1</v>
      </c>
      <c r="L116" s="194">
        <f>_1_5412845612146241046457891017456[[#This Row],[LIST $]]*_1_5412845612146241046457891017456[[#This Row],[DISCOUNT]]*_1_5412845612146241046457891017456[[#This Row],[DISCOUNT 2]]</f>
        <v>0</v>
      </c>
      <c r="M116" s="194">
        <f>IF(OR(_1_5412845612146241046457891017456[[#This Row],[UNIT]]&gt;0,_1_5412845612146241046457891017456[[#This Row],[UNIT]]&lt;0),_1_5412845612146241046457891017456[[#This Row],[UNIT]]*_1_5412845612146241046457891017456[[#This Row],[COST]],0)</f>
        <v>0</v>
      </c>
      <c r="N116" s="194">
        <f t="shared" si="1"/>
        <v>1.3</v>
      </c>
      <c r="O116" s="198">
        <f>_1_5412845612146241046457891017456[[#This Row],[TOTAL]]*_1_5412845612146241046457891017456[[#This Row],[MARGIN]]</f>
        <v>0</v>
      </c>
      <c r="R116" s="41"/>
    </row>
    <row r="117" spans="1:18">
      <c r="C117" s="168"/>
      <c r="D117" s="188"/>
      <c r="F117" s="168" t="s">
        <v>6202</v>
      </c>
      <c r="G117" s="193">
        <f>IF(_1_5412845612146241046457891017456[[#This Row],[Type]]&gt;0,VLOOKUP(_1_5412845612146241046457891017456[[#This Row],[Type]],Main[[#All],[TYPE]:[UNIT]],'Unit Price'!C$1,FALSE),0)</f>
        <v>0</v>
      </c>
      <c r="H117" s="197">
        <f>IF(_1_5412845612146241046457891017456[[#This Row],[Type]]&gt;0,VLOOKUP(_1_5412845612146241046457891017456[[#This Row],[Type]],Main[[#All],[TYPE]:[UNIT]],'Unit Price'!D$1,FALSE),0)</f>
        <v>0</v>
      </c>
      <c r="I117" s="194">
        <f>IF(_1_5412845612146241046457891017456[[#This Row],[Type]]&gt;0,VLOOKUP(_1_5412845612146241046457891017456[[#This Row],[Type]],Main[[#All],[TYPE]:[UNIT]],'Unit Price'!G$1,FALSE),0)</f>
        <v>0</v>
      </c>
      <c r="J117" s="194">
        <f>IF(_1_5412845612146241046457891017456[[#This Row],[Type]]&gt;0,VLOOKUP(_1_5412845612146241046457891017456[[#This Row],[Type]],Main[[#All],[TYPE]:[UNIT]],'Unit Price'!H$1,FALSE),0)</f>
        <v>0</v>
      </c>
      <c r="K117" s="194">
        <f>IF(_1_5412845612146241046457891017456[[#This Row],[Discount selection]]&gt;0,VLOOKUP(_1_5412845612146241046457891017456[[#This Row],[Discount selection]],'Discount Structure'!$A$2:$B$30,2,"false"),0)</f>
        <v>1</v>
      </c>
      <c r="L117" s="194">
        <f>_1_5412845612146241046457891017456[[#This Row],[LIST $]]*_1_5412845612146241046457891017456[[#This Row],[DISCOUNT]]*_1_5412845612146241046457891017456[[#This Row],[DISCOUNT 2]]</f>
        <v>0</v>
      </c>
      <c r="M117" s="194">
        <f>IF(OR(_1_5412845612146241046457891017456[[#This Row],[UNIT]]&gt;0,_1_5412845612146241046457891017456[[#This Row],[UNIT]]&lt;0),_1_5412845612146241046457891017456[[#This Row],[UNIT]]*_1_5412845612146241046457891017456[[#This Row],[COST]],0)</f>
        <v>0</v>
      </c>
      <c r="N117" s="194">
        <f t="shared" si="1"/>
        <v>1.3</v>
      </c>
      <c r="O117" s="198">
        <f>_1_5412845612146241046457891017456[[#This Row],[TOTAL]]*_1_5412845612146241046457891017456[[#This Row],[MARGIN]]</f>
        <v>0</v>
      </c>
      <c r="R117" s="41"/>
    </row>
    <row r="118" spans="1:18">
      <c r="A118" s="329"/>
      <c r="C118" s="168"/>
      <c r="D118" s="188"/>
      <c r="F118" s="168" t="s">
        <v>6202</v>
      </c>
      <c r="G118" s="193">
        <f>IF(_1_5412845612146241046457891017456[[#This Row],[Type]]&gt;0,VLOOKUP(_1_5412845612146241046457891017456[[#This Row],[Type]],Main[[#All],[TYPE]:[UNIT]],'Unit Price'!C$1,FALSE),0)</f>
        <v>0</v>
      </c>
      <c r="H118" s="197">
        <f>IF(_1_5412845612146241046457891017456[[#This Row],[Type]]&gt;0,VLOOKUP(_1_5412845612146241046457891017456[[#This Row],[Type]],Main[[#All],[TYPE]:[UNIT]],'Unit Price'!D$1,FALSE),0)</f>
        <v>0</v>
      </c>
      <c r="I118" s="194">
        <f>IF(_1_5412845612146241046457891017456[[#This Row],[Type]]&gt;0,VLOOKUP(_1_5412845612146241046457891017456[[#This Row],[Type]],Main[[#All],[TYPE]:[UNIT]],'Unit Price'!G$1,FALSE),0)</f>
        <v>0</v>
      </c>
      <c r="J118" s="194">
        <f>IF(_1_5412845612146241046457891017456[[#This Row],[Type]]&gt;0,VLOOKUP(_1_5412845612146241046457891017456[[#This Row],[Type]],Main[[#All],[TYPE]:[UNIT]],'Unit Price'!H$1,FALSE),0)</f>
        <v>0</v>
      </c>
      <c r="K118" s="194">
        <f>IF(_1_5412845612146241046457891017456[[#This Row],[Discount selection]]&gt;0,VLOOKUP(_1_5412845612146241046457891017456[[#This Row],[Discount selection]],'Discount Structure'!$A$2:$B$30,2,"false"),0)</f>
        <v>1</v>
      </c>
      <c r="L118" s="194">
        <f>_1_5412845612146241046457891017456[[#This Row],[LIST $]]*_1_5412845612146241046457891017456[[#This Row],[DISCOUNT]]*_1_5412845612146241046457891017456[[#This Row],[DISCOUNT 2]]</f>
        <v>0</v>
      </c>
      <c r="M118" s="194">
        <f>IF(OR(_1_5412845612146241046457891017456[[#This Row],[UNIT]]&gt;0,_1_5412845612146241046457891017456[[#This Row],[UNIT]]&lt;0),_1_5412845612146241046457891017456[[#This Row],[UNIT]]*_1_5412845612146241046457891017456[[#This Row],[COST]],0)</f>
        <v>0</v>
      </c>
      <c r="N118" s="194">
        <f t="shared" si="1"/>
        <v>1.3</v>
      </c>
      <c r="O118" s="198">
        <f>_1_5412845612146241046457891017456[[#This Row],[TOTAL]]*_1_5412845612146241046457891017456[[#This Row],[MARGIN]]</f>
        <v>0</v>
      </c>
      <c r="R118" s="41"/>
    </row>
    <row r="119" spans="1:18">
      <c r="B119" s="329"/>
      <c r="C119" s="168"/>
      <c r="D119" s="188"/>
      <c r="F119" s="168" t="s">
        <v>6202</v>
      </c>
      <c r="G119" s="193">
        <f>IF(_1_5412845612146241046457891017456[[#This Row],[Type]]&gt;0,VLOOKUP(_1_5412845612146241046457891017456[[#This Row],[Type]],Main[[#All],[TYPE]:[UNIT]],'Unit Price'!C$1,FALSE),0)</f>
        <v>0</v>
      </c>
      <c r="H119" s="197">
        <f>IF(_1_5412845612146241046457891017456[[#This Row],[Type]]&gt;0,VLOOKUP(_1_5412845612146241046457891017456[[#This Row],[Type]],Main[[#All],[TYPE]:[UNIT]],'Unit Price'!D$1,FALSE),0)</f>
        <v>0</v>
      </c>
      <c r="I119" s="194">
        <f>IF(_1_5412845612146241046457891017456[[#This Row],[Type]]&gt;0,VLOOKUP(_1_5412845612146241046457891017456[[#This Row],[Type]],Main[[#All],[TYPE]:[UNIT]],'Unit Price'!G$1,FALSE),0)</f>
        <v>0</v>
      </c>
      <c r="J119" s="194">
        <f>IF(_1_5412845612146241046457891017456[[#This Row],[Type]]&gt;0,VLOOKUP(_1_5412845612146241046457891017456[[#This Row],[Type]],Main[[#All],[TYPE]:[UNIT]],'Unit Price'!H$1,FALSE),0)</f>
        <v>0</v>
      </c>
      <c r="K119" s="194">
        <f>IF(_1_5412845612146241046457891017456[[#This Row],[Discount selection]]&gt;0,VLOOKUP(_1_5412845612146241046457891017456[[#This Row],[Discount selection]],'Discount Structure'!$A$2:$B$30,2,"false"),0)</f>
        <v>1</v>
      </c>
      <c r="L119" s="194">
        <f>_1_5412845612146241046457891017456[[#This Row],[LIST $]]*_1_5412845612146241046457891017456[[#This Row],[DISCOUNT]]*_1_5412845612146241046457891017456[[#This Row],[DISCOUNT 2]]</f>
        <v>0</v>
      </c>
      <c r="M119" s="194">
        <f>IF(OR(_1_5412845612146241046457891017456[[#This Row],[UNIT]]&gt;0,_1_5412845612146241046457891017456[[#This Row],[UNIT]]&lt;0),_1_5412845612146241046457891017456[[#This Row],[UNIT]]*_1_5412845612146241046457891017456[[#This Row],[COST]],0)</f>
        <v>0</v>
      </c>
      <c r="N119" s="194">
        <f t="shared" si="1"/>
        <v>1.3</v>
      </c>
      <c r="O119" s="198">
        <f>_1_5412845612146241046457891017456[[#This Row],[TOTAL]]*_1_5412845612146241046457891017456[[#This Row],[MARGIN]]</f>
        <v>0</v>
      </c>
      <c r="R119" s="41"/>
    </row>
    <row r="120" spans="1:18">
      <c r="C120" s="168"/>
      <c r="D120" s="188"/>
      <c r="F120" s="168" t="s">
        <v>6202</v>
      </c>
      <c r="G120" s="193">
        <f>IF(_1_5412845612146241046457891017456[[#This Row],[Type]]&gt;0,VLOOKUP(_1_5412845612146241046457891017456[[#This Row],[Type]],Main[[#All],[TYPE]:[UNIT]],'Unit Price'!C$1,FALSE),0)</f>
        <v>0</v>
      </c>
      <c r="H120" s="197">
        <f>IF(_1_5412845612146241046457891017456[[#This Row],[Type]]&gt;0,VLOOKUP(_1_5412845612146241046457891017456[[#This Row],[Type]],Main[[#All],[TYPE]:[UNIT]],'Unit Price'!D$1,FALSE),0)</f>
        <v>0</v>
      </c>
      <c r="I120" s="194">
        <f>IF(_1_5412845612146241046457891017456[[#This Row],[Type]]&gt;0,VLOOKUP(_1_5412845612146241046457891017456[[#This Row],[Type]],Main[[#All],[TYPE]:[UNIT]],'Unit Price'!G$1,FALSE),0)</f>
        <v>0</v>
      </c>
      <c r="J120" s="194">
        <f>IF(_1_5412845612146241046457891017456[[#This Row],[Type]]&gt;0,VLOOKUP(_1_5412845612146241046457891017456[[#This Row],[Type]],Main[[#All],[TYPE]:[UNIT]],'Unit Price'!H$1,FALSE),0)</f>
        <v>0</v>
      </c>
      <c r="K120" s="194">
        <f>IF(_1_5412845612146241046457891017456[[#This Row],[Discount selection]]&gt;0,VLOOKUP(_1_5412845612146241046457891017456[[#This Row],[Discount selection]],'Discount Structure'!$A$2:$B$30,2,"false"),0)</f>
        <v>1</v>
      </c>
      <c r="L120" s="194">
        <f>_1_5412845612146241046457891017456[[#This Row],[LIST $]]*_1_5412845612146241046457891017456[[#This Row],[DISCOUNT]]*_1_5412845612146241046457891017456[[#This Row],[DISCOUNT 2]]</f>
        <v>0</v>
      </c>
      <c r="M120" s="194">
        <f>IF(OR(_1_5412845612146241046457891017456[[#This Row],[UNIT]]&gt;0,_1_5412845612146241046457891017456[[#This Row],[UNIT]]&lt;0),_1_5412845612146241046457891017456[[#This Row],[UNIT]]*_1_5412845612146241046457891017456[[#This Row],[COST]],0)</f>
        <v>0</v>
      </c>
      <c r="N120" s="194">
        <f t="shared" si="1"/>
        <v>1.3</v>
      </c>
      <c r="O120" s="198">
        <f>_1_5412845612146241046457891017456[[#This Row],[TOTAL]]*_1_5412845612146241046457891017456[[#This Row],[MARGIN]]</f>
        <v>0</v>
      </c>
      <c r="R120" s="41"/>
    </row>
    <row r="121" spans="1:18">
      <c r="C121" s="168"/>
      <c r="D121" s="188"/>
      <c r="F121" s="168" t="s">
        <v>6202</v>
      </c>
      <c r="G121" s="193">
        <f>IF(_1_5412845612146241046457891017456[[#This Row],[Type]]&gt;0,VLOOKUP(_1_5412845612146241046457891017456[[#This Row],[Type]],Main[[#All],[TYPE]:[UNIT]],'Unit Price'!C$1,FALSE),0)</f>
        <v>0</v>
      </c>
      <c r="H121" s="197">
        <f>IF(_1_5412845612146241046457891017456[[#This Row],[Type]]&gt;0,VLOOKUP(_1_5412845612146241046457891017456[[#This Row],[Type]],Main[[#All],[TYPE]:[UNIT]],'Unit Price'!D$1,FALSE),0)</f>
        <v>0</v>
      </c>
      <c r="I121" s="194">
        <f>IF(_1_5412845612146241046457891017456[[#This Row],[Type]]&gt;0,VLOOKUP(_1_5412845612146241046457891017456[[#This Row],[Type]],Main[[#All],[TYPE]:[UNIT]],'Unit Price'!G$1,FALSE),0)</f>
        <v>0</v>
      </c>
      <c r="J121" s="194">
        <f>IF(_1_5412845612146241046457891017456[[#This Row],[Type]]&gt;0,VLOOKUP(_1_5412845612146241046457891017456[[#This Row],[Type]],Main[[#All],[TYPE]:[UNIT]],'Unit Price'!H$1,FALSE),0)</f>
        <v>0</v>
      </c>
      <c r="K121" s="194">
        <f>IF(_1_5412845612146241046457891017456[[#This Row],[Discount selection]]&gt;0,VLOOKUP(_1_5412845612146241046457891017456[[#This Row],[Discount selection]],'Discount Structure'!$A$2:$B$30,2,"false"),0)</f>
        <v>1</v>
      </c>
      <c r="L121" s="194">
        <f>_1_5412845612146241046457891017456[[#This Row],[LIST $]]*_1_5412845612146241046457891017456[[#This Row],[DISCOUNT]]*_1_5412845612146241046457891017456[[#This Row],[DISCOUNT 2]]</f>
        <v>0</v>
      </c>
      <c r="M121" s="194">
        <f>IF(OR(_1_5412845612146241046457891017456[[#This Row],[UNIT]]&gt;0,_1_5412845612146241046457891017456[[#This Row],[UNIT]]&lt;0),_1_5412845612146241046457891017456[[#This Row],[UNIT]]*_1_5412845612146241046457891017456[[#This Row],[COST]],0)</f>
        <v>0</v>
      </c>
      <c r="N121" s="194">
        <f t="shared" si="1"/>
        <v>1.3</v>
      </c>
      <c r="O121" s="198">
        <f>_1_5412845612146241046457891017456[[#This Row],[TOTAL]]*_1_5412845612146241046457891017456[[#This Row],[MARGIN]]</f>
        <v>0</v>
      </c>
      <c r="R121" s="41"/>
    </row>
    <row r="122" spans="1:18">
      <c r="C122" s="168"/>
      <c r="D122" s="188"/>
      <c r="F122" s="168" t="s">
        <v>6202</v>
      </c>
      <c r="G122" s="193">
        <f>IF(_1_5412845612146241046457891017456[[#This Row],[Type]]&gt;0,VLOOKUP(_1_5412845612146241046457891017456[[#This Row],[Type]],Main[[#All],[TYPE]:[UNIT]],'Unit Price'!C$1,FALSE),0)</f>
        <v>0</v>
      </c>
      <c r="H122" s="197">
        <f>IF(_1_5412845612146241046457891017456[[#This Row],[Type]]&gt;0,VLOOKUP(_1_5412845612146241046457891017456[[#This Row],[Type]],Main[[#All],[TYPE]:[UNIT]],'Unit Price'!D$1,FALSE),0)</f>
        <v>0</v>
      </c>
      <c r="I122" s="194">
        <f>IF(_1_5412845612146241046457891017456[[#This Row],[Type]]&gt;0,VLOOKUP(_1_5412845612146241046457891017456[[#This Row],[Type]],Main[[#All],[TYPE]:[UNIT]],'Unit Price'!G$1,FALSE),0)</f>
        <v>0</v>
      </c>
      <c r="J122" s="194">
        <f>IF(_1_5412845612146241046457891017456[[#This Row],[Type]]&gt;0,VLOOKUP(_1_5412845612146241046457891017456[[#This Row],[Type]],Main[[#All],[TYPE]:[UNIT]],'Unit Price'!H$1,FALSE),0)</f>
        <v>0</v>
      </c>
      <c r="K122" s="194">
        <f>IF(_1_5412845612146241046457891017456[[#This Row],[Discount selection]]&gt;0,VLOOKUP(_1_5412845612146241046457891017456[[#This Row],[Discount selection]],'Discount Structure'!$A$2:$B$30,2,"false"),0)</f>
        <v>1</v>
      </c>
      <c r="L122" s="194">
        <f>_1_5412845612146241046457891017456[[#This Row],[LIST $]]*_1_5412845612146241046457891017456[[#This Row],[DISCOUNT]]*_1_5412845612146241046457891017456[[#This Row],[DISCOUNT 2]]</f>
        <v>0</v>
      </c>
      <c r="M122" s="194">
        <f>IF(OR(_1_5412845612146241046457891017456[[#This Row],[UNIT]]&gt;0,_1_5412845612146241046457891017456[[#This Row],[UNIT]]&lt;0),_1_5412845612146241046457891017456[[#This Row],[UNIT]]*_1_5412845612146241046457891017456[[#This Row],[COST]],0)</f>
        <v>0</v>
      </c>
      <c r="N122" s="194">
        <f t="shared" si="1"/>
        <v>1.3</v>
      </c>
      <c r="O122" s="198">
        <f>_1_5412845612146241046457891017456[[#This Row],[TOTAL]]*_1_5412845612146241046457891017456[[#This Row],[MARGIN]]</f>
        <v>0</v>
      </c>
      <c r="R122" s="41"/>
    </row>
    <row r="123" spans="1:18">
      <c r="C123" s="168"/>
      <c r="D123" s="188"/>
      <c r="F123" s="168" t="s">
        <v>6202</v>
      </c>
      <c r="G123" s="193">
        <f>IF(_1_5412845612146241046457891017456[[#This Row],[Type]]&gt;0,VLOOKUP(_1_5412845612146241046457891017456[[#This Row],[Type]],Main[[#All],[TYPE]:[UNIT]],'Unit Price'!C$1,FALSE),0)</f>
        <v>0</v>
      </c>
      <c r="H123" s="197">
        <f>IF(_1_5412845612146241046457891017456[[#This Row],[Type]]&gt;0,VLOOKUP(_1_5412845612146241046457891017456[[#This Row],[Type]],Main[[#All],[TYPE]:[UNIT]],'Unit Price'!D$1,FALSE),0)</f>
        <v>0</v>
      </c>
      <c r="I123" s="194">
        <f>IF(_1_5412845612146241046457891017456[[#This Row],[Type]]&gt;0,VLOOKUP(_1_5412845612146241046457891017456[[#This Row],[Type]],Main[[#All],[TYPE]:[UNIT]],'Unit Price'!G$1,FALSE),0)</f>
        <v>0</v>
      </c>
      <c r="J123" s="194">
        <f>IF(_1_5412845612146241046457891017456[[#This Row],[Type]]&gt;0,VLOOKUP(_1_5412845612146241046457891017456[[#This Row],[Type]],Main[[#All],[TYPE]:[UNIT]],'Unit Price'!H$1,FALSE),0)</f>
        <v>0</v>
      </c>
      <c r="K123" s="194">
        <f>IF(_1_5412845612146241046457891017456[[#This Row],[Discount selection]]&gt;0,VLOOKUP(_1_5412845612146241046457891017456[[#This Row],[Discount selection]],'Discount Structure'!$A$2:$B$30,2,"false"),0)</f>
        <v>1</v>
      </c>
      <c r="L123" s="194">
        <f>_1_5412845612146241046457891017456[[#This Row],[LIST $]]*_1_5412845612146241046457891017456[[#This Row],[DISCOUNT]]*_1_5412845612146241046457891017456[[#This Row],[DISCOUNT 2]]</f>
        <v>0</v>
      </c>
      <c r="M123" s="194">
        <f>IF(OR(_1_5412845612146241046457891017456[[#This Row],[UNIT]]&gt;0,_1_5412845612146241046457891017456[[#This Row],[UNIT]]&lt;0),_1_5412845612146241046457891017456[[#This Row],[UNIT]]*_1_5412845612146241046457891017456[[#This Row],[COST]],0)</f>
        <v>0</v>
      </c>
      <c r="N123" s="194">
        <f t="shared" si="1"/>
        <v>1.3</v>
      </c>
      <c r="O123" s="198">
        <f>_1_5412845612146241046457891017456[[#This Row],[TOTAL]]*_1_5412845612146241046457891017456[[#This Row],[MARGIN]]</f>
        <v>0</v>
      </c>
      <c r="R123" s="41"/>
    </row>
    <row r="124" spans="1:18">
      <c r="C124" s="168"/>
      <c r="D124" s="188"/>
      <c r="F124" s="168" t="s">
        <v>6202</v>
      </c>
      <c r="G124" s="193">
        <f>IF(_1_5412845612146241046457891017456[[#This Row],[Type]]&gt;0,VLOOKUP(_1_5412845612146241046457891017456[[#This Row],[Type]],Main[[#All],[TYPE]:[UNIT]],'Unit Price'!C$1,FALSE),0)</f>
        <v>0</v>
      </c>
      <c r="H124" s="197">
        <f>IF(_1_5412845612146241046457891017456[[#This Row],[Type]]&gt;0,VLOOKUP(_1_5412845612146241046457891017456[[#This Row],[Type]],Main[[#All],[TYPE]:[UNIT]],'Unit Price'!D$1,FALSE),0)</f>
        <v>0</v>
      </c>
      <c r="I124" s="194">
        <f>IF(_1_5412845612146241046457891017456[[#This Row],[Type]]&gt;0,VLOOKUP(_1_5412845612146241046457891017456[[#This Row],[Type]],Main[[#All],[TYPE]:[UNIT]],'Unit Price'!G$1,FALSE),0)</f>
        <v>0</v>
      </c>
      <c r="J124" s="194">
        <f>IF(_1_5412845612146241046457891017456[[#This Row],[Type]]&gt;0,VLOOKUP(_1_5412845612146241046457891017456[[#This Row],[Type]],Main[[#All],[TYPE]:[UNIT]],'Unit Price'!H$1,FALSE),0)</f>
        <v>0</v>
      </c>
      <c r="K124" s="194">
        <f>IF(_1_5412845612146241046457891017456[[#This Row],[Discount selection]]&gt;0,VLOOKUP(_1_5412845612146241046457891017456[[#This Row],[Discount selection]],'Discount Structure'!$A$2:$B$30,2,"false"),0)</f>
        <v>1</v>
      </c>
      <c r="L124" s="194">
        <f>_1_5412845612146241046457891017456[[#This Row],[LIST $]]*_1_5412845612146241046457891017456[[#This Row],[DISCOUNT]]*_1_5412845612146241046457891017456[[#This Row],[DISCOUNT 2]]</f>
        <v>0</v>
      </c>
      <c r="M124" s="194">
        <f>IF(OR(_1_5412845612146241046457891017456[[#This Row],[UNIT]]&gt;0,_1_5412845612146241046457891017456[[#This Row],[UNIT]]&lt;0),_1_5412845612146241046457891017456[[#This Row],[UNIT]]*_1_5412845612146241046457891017456[[#This Row],[COST]],0)</f>
        <v>0</v>
      </c>
      <c r="N124" s="194">
        <f t="shared" si="1"/>
        <v>1.3</v>
      </c>
      <c r="O124" s="198">
        <f>_1_5412845612146241046457891017456[[#This Row],[TOTAL]]*_1_5412845612146241046457891017456[[#This Row],[MARGIN]]</f>
        <v>0</v>
      </c>
      <c r="R124" s="41"/>
    </row>
    <row r="125" spans="1:18">
      <c r="C125" s="168"/>
      <c r="D125" s="188"/>
      <c r="F125" s="168" t="s">
        <v>6202</v>
      </c>
      <c r="G125" s="193">
        <f>IF(_1_5412845612146241046457891017456[[#This Row],[Type]]&gt;0,VLOOKUP(_1_5412845612146241046457891017456[[#This Row],[Type]],Main[[#All],[TYPE]:[UNIT]],'Unit Price'!C$1,FALSE),0)</f>
        <v>0</v>
      </c>
      <c r="H125" s="197">
        <f>IF(_1_5412845612146241046457891017456[[#This Row],[Type]]&gt;0,VLOOKUP(_1_5412845612146241046457891017456[[#This Row],[Type]],Main[[#All],[TYPE]:[UNIT]],'Unit Price'!D$1,FALSE),0)</f>
        <v>0</v>
      </c>
      <c r="I125" s="194">
        <f>IF(_1_5412845612146241046457891017456[[#This Row],[Type]]&gt;0,VLOOKUP(_1_5412845612146241046457891017456[[#This Row],[Type]],Main[[#All],[TYPE]:[UNIT]],'Unit Price'!G$1,FALSE),0)</f>
        <v>0</v>
      </c>
      <c r="J125" s="194">
        <f>IF(_1_5412845612146241046457891017456[[#This Row],[Type]]&gt;0,VLOOKUP(_1_5412845612146241046457891017456[[#This Row],[Type]],Main[[#All],[TYPE]:[UNIT]],'Unit Price'!H$1,FALSE),0)</f>
        <v>0</v>
      </c>
      <c r="K125" s="194">
        <f>IF(_1_5412845612146241046457891017456[[#This Row],[Discount selection]]&gt;0,VLOOKUP(_1_5412845612146241046457891017456[[#This Row],[Discount selection]],'Discount Structure'!$A$2:$B$30,2,"false"),0)</f>
        <v>1</v>
      </c>
      <c r="L125" s="194">
        <f>_1_5412845612146241046457891017456[[#This Row],[LIST $]]*_1_5412845612146241046457891017456[[#This Row],[DISCOUNT]]*_1_5412845612146241046457891017456[[#This Row],[DISCOUNT 2]]</f>
        <v>0</v>
      </c>
      <c r="M125" s="194">
        <f>IF(OR(_1_5412845612146241046457891017456[[#This Row],[UNIT]]&gt;0,_1_5412845612146241046457891017456[[#This Row],[UNIT]]&lt;0),_1_5412845612146241046457891017456[[#This Row],[UNIT]]*_1_5412845612146241046457891017456[[#This Row],[COST]],0)</f>
        <v>0</v>
      </c>
      <c r="N125" s="194">
        <f t="shared" si="1"/>
        <v>1.3</v>
      </c>
      <c r="O125" s="198">
        <f>_1_5412845612146241046457891017456[[#This Row],[TOTAL]]*_1_5412845612146241046457891017456[[#This Row],[MARGIN]]</f>
        <v>0</v>
      </c>
      <c r="R125" s="41"/>
    </row>
    <row r="126" spans="1:18">
      <c r="C126" s="168"/>
      <c r="D126" s="188"/>
      <c r="F126" s="168" t="s">
        <v>6202</v>
      </c>
      <c r="G126" s="193">
        <f>IF(_1_5412845612146241046457891017456[[#This Row],[Type]]&gt;0,VLOOKUP(_1_5412845612146241046457891017456[[#This Row],[Type]],Main[[#All],[TYPE]:[UNIT]],'Unit Price'!C$1,FALSE),0)</f>
        <v>0</v>
      </c>
      <c r="H126" s="197">
        <f>IF(_1_5412845612146241046457891017456[[#This Row],[Type]]&gt;0,VLOOKUP(_1_5412845612146241046457891017456[[#This Row],[Type]],Main[[#All],[TYPE]:[UNIT]],'Unit Price'!D$1,FALSE),0)</f>
        <v>0</v>
      </c>
      <c r="I126" s="194">
        <f>IF(_1_5412845612146241046457891017456[[#This Row],[Type]]&gt;0,VLOOKUP(_1_5412845612146241046457891017456[[#This Row],[Type]],Main[[#All],[TYPE]:[UNIT]],'Unit Price'!G$1,FALSE),0)</f>
        <v>0</v>
      </c>
      <c r="J126" s="194">
        <f>IF(_1_5412845612146241046457891017456[[#This Row],[Type]]&gt;0,VLOOKUP(_1_5412845612146241046457891017456[[#This Row],[Type]],Main[[#All],[TYPE]:[UNIT]],'Unit Price'!H$1,FALSE),0)</f>
        <v>0</v>
      </c>
      <c r="K126" s="194">
        <f>IF(_1_5412845612146241046457891017456[[#This Row],[Discount selection]]&gt;0,VLOOKUP(_1_5412845612146241046457891017456[[#This Row],[Discount selection]],'Discount Structure'!$A$2:$B$30,2,"false"),0)</f>
        <v>1</v>
      </c>
      <c r="L126" s="194">
        <f>_1_5412845612146241046457891017456[[#This Row],[LIST $]]*_1_5412845612146241046457891017456[[#This Row],[DISCOUNT]]*_1_5412845612146241046457891017456[[#This Row],[DISCOUNT 2]]</f>
        <v>0</v>
      </c>
      <c r="M126" s="194">
        <f>IF(OR(_1_5412845612146241046457891017456[[#This Row],[UNIT]]&gt;0,_1_5412845612146241046457891017456[[#This Row],[UNIT]]&lt;0),_1_5412845612146241046457891017456[[#This Row],[UNIT]]*_1_5412845612146241046457891017456[[#This Row],[COST]],0)</f>
        <v>0</v>
      </c>
      <c r="N126" s="194">
        <f t="shared" si="1"/>
        <v>1.3</v>
      </c>
      <c r="O126" s="198">
        <f>_1_5412845612146241046457891017456[[#This Row],[TOTAL]]*_1_5412845612146241046457891017456[[#This Row],[MARGIN]]</f>
        <v>0</v>
      </c>
      <c r="R126" s="41"/>
    </row>
    <row r="127" spans="1:18">
      <c r="C127" s="168"/>
      <c r="D127" s="188"/>
      <c r="F127" s="168" t="s">
        <v>6202</v>
      </c>
      <c r="G127" s="193">
        <f>IF(_1_5412845612146241046457891017456[[#This Row],[Type]]&gt;0,VLOOKUP(_1_5412845612146241046457891017456[[#This Row],[Type]],Main[[#All],[TYPE]:[UNIT]],'Unit Price'!C$1,FALSE),0)</f>
        <v>0</v>
      </c>
      <c r="H127" s="197">
        <f>IF(_1_5412845612146241046457891017456[[#This Row],[Type]]&gt;0,VLOOKUP(_1_5412845612146241046457891017456[[#This Row],[Type]],Main[[#All],[TYPE]:[UNIT]],'Unit Price'!D$1,FALSE),0)</f>
        <v>0</v>
      </c>
      <c r="I127" s="194">
        <f>IF(_1_5412845612146241046457891017456[[#This Row],[Type]]&gt;0,VLOOKUP(_1_5412845612146241046457891017456[[#This Row],[Type]],Main[[#All],[TYPE]:[UNIT]],'Unit Price'!G$1,FALSE),0)</f>
        <v>0</v>
      </c>
      <c r="J127" s="194">
        <f>IF(_1_5412845612146241046457891017456[[#This Row],[Type]]&gt;0,VLOOKUP(_1_5412845612146241046457891017456[[#This Row],[Type]],Main[[#All],[TYPE]:[UNIT]],'Unit Price'!H$1,FALSE),0)</f>
        <v>0</v>
      </c>
      <c r="K127" s="194">
        <f>IF(_1_5412845612146241046457891017456[[#This Row],[Discount selection]]&gt;0,VLOOKUP(_1_5412845612146241046457891017456[[#This Row],[Discount selection]],'Discount Structure'!$A$2:$B$30,2,"false"),0)</f>
        <v>1</v>
      </c>
      <c r="L127" s="194">
        <f>_1_5412845612146241046457891017456[[#This Row],[LIST $]]*_1_5412845612146241046457891017456[[#This Row],[DISCOUNT]]*_1_5412845612146241046457891017456[[#This Row],[DISCOUNT 2]]</f>
        <v>0</v>
      </c>
      <c r="M127" s="194">
        <f>IF(OR(_1_5412845612146241046457891017456[[#This Row],[UNIT]]&gt;0,_1_5412845612146241046457891017456[[#This Row],[UNIT]]&lt;0),_1_5412845612146241046457891017456[[#This Row],[UNIT]]*_1_5412845612146241046457891017456[[#This Row],[COST]],0)</f>
        <v>0</v>
      </c>
      <c r="N127" s="194">
        <f t="shared" si="1"/>
        <v>1.3</v>
      </c>
      <c r="O127" s="198">
        <f>_1_5412845612146241046457891017456[[#This Row],[TOTAL]]*_1_5412845612146241046457891017456[[#This Row],[MARGIN]]</f>
        <v>0</v>
      </c>
      <c r="R127" s="41"/>
    </row>
    <row r="128" spans="1:18">
      <c r="C128" s="168"/>
      <c r="D128" s="188"/>
      <c r="F128" s="168" t="s">
        <v>6202</v>
      </c>
      <c r="G128" s="193">
        <f>IF(_1_5412845612146241046457891017456[[#This Row],[Type]]&gt;0,VLOOKUP(_1_5412845612146241046457891017456[[#This Row],[Type]],Main[[#All],[TYPE]:[UNIT]],'Unit Price'!C$1,FALSE),0)</f>
        <v>0</v>
      </c>
      <c r="H128" s="197">
        <f>IF(_1_5412845612146241046457891017456[[#This Row],[Type]]&gt;0,VLOOKUP(_1_5412845612146241046457891017456[[#This Row],[Type]],Main[[#All],[TYPE]:[UNIT]],'Unit Price'!D$1,FALSE),0)</f>
        <v>0</v>
      </c>
      <c r="I128" s="194">
        <f>IF(_1_5412845612146241046457891017456[[#This Row],[Type]]&gt;0,VLOOKUP(_1_5412845612146241046457891017456[[#This Row],[Type]],Main[[#All],[TYPE]:[UNIT]],'Unit Price'!G$1,FALSE),0)</f>
        <v>0</v>
      </c>
      <c r="J128" s="194">
        <f>IF(_1_5412845612146241046457891017456[[#This Row],[Type]]&gt;0,VLOOKUP(_1_5412845612146241046457891017456[[#This Row],[Type]],Main[[#All],[TYPE]:[UNIT]],'Unit Price'!H$1,FALSE),0)</f>
        <v>0</v>
      </c>
      <c r="K128" s="194">
        <f>IF(_1_5412845612146241046457891017456[[#This Row],[Discount selection]]&gt;0,VLOOKUP(_1_5412845612146241046457891017456[[#This Row],[Discount selection]],'Discount Structure'!$A$2:$B$30,2,"false"),0)</f>
        <v>1</v>
      </c>
      <c r="L128" s="194">
        <f>_1_5412845612146241046457891017456[[#This Row],[LIST $]]*_1_5412845612146241046457891017456[[#This Row],[DISCOUNT]]*_1_5412845612146241046457891017456[[#This Row],[DISCOUNT 2]]</f>
        <v>0</v>
      </c>
      <c r="M128" s="194">
        <f>IF(OR(_1_5412845612146241046457891017456[[#This Row],[UNIT]]&gt;0,_1_5412845612146241046457891017456[[#This Row],[UNIT]]&lt;0),_1_5412845612146241046457891017456[[#This Row],[UNIT]]*_1_5412845612146241046457891017456[[#This Row],[COST]],0)</f>
        <v>0</v>
      </c>
      <c r="N128" s="194">
        <f t="shared" si="1"/>
        <v>1.3</v>
      </c>
      <c r="O128" s="198">
        <f>_1_5412845612146241046457891017456[[#This Row],[TOTAL]]*_1_5412845612146241046457891017456[[#This Row],[MARGIN]]</f>
        <v>0</v>
      </c>
      <c r="R128" s="41"/>
    </row>
    <row r="129" spans="1:18">
      <c r="C129" s="168"/>
      <c r="D129" s="188"/>
      <c r="F129" s="168" t="s">
        <v>6202</v>
      </c>
      <c r="G129" s="193">
        <f>IF(_1_5412845612146241046457891017456[[#This Row],[Type]]&gt;0,VLOOKUP(_1_5412845612146241046457891017456[[#This Row],[Type]],Main[[#All],[TYPE]:[UNIT]],'Unit Price'!C$1,FALSE),0)</f>
        <v>0</v>
      </c>
      <c r="H129" s="197">
        <f>IF(_1_5412845612146241046457891017456[[#This Row],[Type]]&gt;0,VLOOKUP(_1_5412845612146241046457891017456[[#This Row],[Type]],Main[[#All],[TYPE]:[UNIT]],'Unit Price'!D$1,FALSE),0)</f>
        <v>0</v>
      </c>
      <c r="I129" s="194">
        <f>IF(_1_5412845612146241046457891017456[[#This Row],[Type]]&gt;0,VLOOKUP(_1_5412845612146241046457891017456[[#This Row],[Type]],Main[[#All],[TYPE]:[UNIT]],'Unit Price'!G$1,FALSE),0)</f>
        <v>0</v>
      </c>
      <c r="J129" s="194">
        <f>IF(_1_5412845612146241046457891017456[[#This Row],[Type]]&gt;0,VLOOKUP(_1_5412845612146241046457891017456[[#This Row],[Type]],Main[[#All],[TYPE]:[UNIT]],'Unit Price'!H$1,FALSE),0)</f>
        <v>0</v>
      </c>
      <c r="K129" s="194">
        <f>IF(_1_5412845612146241046457891017456[[#This Row],[Discount selection]]&gt;0,VLOOKUP(_1_5412845612146241046457891017456[[#This Row],[Discount selection]],'Discount Structure'!$A$2:$B$30,2,"false"),0)</f>
        <v>1</v>
      </c>
      <c r="L129" s="194">
        <f>_1_5412845612146241046457891017456[[#This Row],[LIST $]]*_1_5412845612146241046457891017456[[#This Row],[DISCOUNT]]*_1_5412845612146241046457891017456[[#This Row],[DISCOUNT 2]]</f>
        <v>0</v>
      </c>
      <c r="M129" s="194">
        <f>IF(OR(_1_5412845612146241046457891017456[[#This Row],[UNIT]]&gt;0,_1_5412845612146241046457891017456[[#This Row],[UNIT]]&lt;0),_1_5412845612146241046457891017456[[#This Row],[UNIT]]*_1_5412845612146241046457891017456[[#This Row],[COST]],0)</f>
        <v>0</v>
      </c>
      <c r="N129" s="194">
        <f t="shared" si="1"/>
        <v>1.3</v>
      </c>
      <c r="O129" s="198">
        <f>_1_5412845612146241046457891017456[[#This Row],[TOTAL]]*_1_5412845612146241046457891017456[[#This Row],[MARGIN]]</f>
        <v>0</v>
      </c>
      <c r="R129" s="41"/>
    </row>
    <row r="130" spans="1:18">
      <c r="C130" s="168"/>
      <c r="D130" s="188"/>
      <c r="F130" s="168" t="s">
        <v>6202</v>
      </c>
      <c r="G130" s="193">
        <f>IF(_1_5412845612146241046457891017456[[#This Row],[Type]]&gt;0,VLOOKUP(_1_5412845612146241046457891017456[[#This Row],[Type]],Main[[#All],[TYPE]:[UNIT]],'Unit Price'!C$1,FALSE),0)</f>
        <v>0</v>
      </c>
      <c r="H130" s="197">
        <f>IF(_1_5412845612146241046457891017456[[#This Row],[Type]]&gt;0,VLOOKUP(_1_5412845612146241046457891017456[[#This Row],[Type]],Main[[#All],[TYPE]:[UNIT]],'Unit Price'!D$1,FALSE),0)</f>
        <v>0</v>
      </c>
      <c r="I130" s="194">
        <f>IF(_1_5412845612146241046457891017456[[#This Row],[Type]]&gt;0,VLOOKUP(_1_5412845612146241046457891017456[[#This Row],[Type]],Main[[#All],[TYPE]:[UNIT]],'Unit Price'!G$1,FALSE),0)</f>
        <v>0</v>
      </c>
      <c r="J130" s="194">
        <f>IF(_1_5412845612146241046457891017456[[#This Row],[Type]]&gt;0,VLOOKUP(_1_5412845612146241046457891017456[[#This Row],[Type]],Main[[#All],[TYPE]:[UNIT]],'Unit Price'!H$1,FALSE),0)</f>
        <v>0</v>
      </c>
      <c r="K130" s="194">
        <f>IF(_1_5412845612146241046457891017456[[#This Row],[Discount selection]]&gt;0,VLOOKUP(_1_5412845612146241046457891017456[[#This Row],[Discount selection]],'Discount Structure'!$A$2:$B$30,2,"false"),0)</f>
        <v>1</v>
      </c>
      <c r="L130" s="194">
        <f>_1_5412845612146241046457891017456[[#This Row],[LIST $]]*_1_5412845612146241046457891017456[[#This Row],[DISCOUNT]]*_1_5412845612146241046457891017456[[#This Row],[DISCOUNT 2]]</f>
        <v>0</v>
      </c>
      <c r="M130" s="194">
        <f>IF(OR(_1_5412845612146241046457891017456[[#This Row],[UNIT]]&gt;0,_1_5412845612146241046457891017456[[#This Row],[UNIT]]&lt;0),_1_5412845612146241046457891017456[[#This Row],[UNIT]]*_1_5412845612146241046457891017456[[#This Row],[COST]],0)</f>
        <v>0</v>
      </c>
      <c r="N130" s="194">
        <f t="shared" si="1"/>
        <v>1.3</v>
      </c>
      <c r="O130" s="198">
        <f>_1_5412845612146241046457891017456[[#This Row],[TOTAL]]*_1_5412845612146241046457891017456[[#This Row],[MARGIN]]</f>
        <v>0</v>
      </c>
      <c r="R130" s="41"/>
    </row>
    <row r="131" spans="1:18">
      <c r="C131" s="168"/>
      <c r="D131" s="188"/>
      <c r="F131" s="168" t="s">
        <v>6202</v>
      </c>
      <c r="G131" s="193">
        <f>IF(_1_5412845612146241046457891017456[[#This Row],[Type]]&gt;0,VLOOKUP(_1_5412845612146241046457891017456[[#This Row],[Type]],Main[[#All],[TYPE]:[UNIT]],'Unit Price'!C$1,FALSE),0)</f>
        <v>0</v>
      </c>
      <c r="H131" s="197">
        <f>IF(_1_5412845612146241046457891017456[[#This Row],[Type]]&gt;0,VLOOKUP(_1_5412845612146241046457891017456[[#This Row],[Type]],Main[[#All],[TYPE]:[UNIT]],'Unit Price'!D$1,FALSE),0)</f>
        <v>0</v>
      </c>
      <c r="I131" s="194">
        <f>IF(_1_5412845612146241046457891017456[[#This Row],[Type]]&gt;0,VLOOKUP(_1_5412845612146241046457891017456[[#This Row],[Type]],Main[[#All],[TYPE]:[UNIT]],'Unit Price'!G$1,FALSE),0)</f>
        <v>0</v>
      </c>
      <c r="J131" s="194">
        <f>IF(_1_5412845612146241046457891017456[[#This Row],[Type]]&gt;0,VLOOKUP(_1_5412845612146241046457891017456[[#This Row],[Type]],Main[[#All],[TYPE]:[UNIT]],'Unit Price'!H$1,FALSE),0)</f>
        <v>0</v>
      </c>
      <c r="K131" s="194">
        <f>IF(_1_5412845612146241046457891017456[[#This Row],[Discount selection]]&gt;0,VLOOKUP(_1_5412845612146241046457891017456[[#This Row],[Discount selection]],'Discount Structure'!$A$2:$B$30,2,"false"),0)</f>
        <v>1</v>
      </c>
      <c r="L131" s="194">
        <f>_1_5412845612146241046457891017456[[#This Row],[LIST $]]*_1_5412845612146241046457891017456[[#This Row],[DISCOUNT]]*_1_5412845612146241046457891017456[[#This Row],[DISCOUNT 2]]</f>
        <v>0</v>
      </c>
      <c r="M131" s="194">
        <f>IF(OR(_1_5412845612146241046457891017456[[#This Row],[UNIT]]&gt;0,_1_5412845612146241046457891017456[[#This Row],[UNIT]]&lt;0),_1_5412845612146241046457891017456[[#This Row],[UNIT]]*_1_5412845612146241046457891017456[[#This Row],[COST]],0)</f>
        <v>0</v>
      </c>
      <c r="N131" s="194">
        <f t="shared" si="1"/>
        <v>1.3</v>
      </c>
      <c r="O131" s="198">
        <f>_1_5412845612146241046457891017456[[#This Row],[TOTAL]]*_1_5412845612146241046457891017456[[#This Row],[MARGIN]]</f>
        <v>0</v>
      </c>
      <c r="R131" s="41"/>
    </row>
    <row r="132" spans="1:18">
      <c r="C132" s="168"/>
      <c r="D132" s="188"/>
      <c r="F132" s="168" t="s">
        <v>6202</v>
      </c>
      <c r="G132" s="193">
        <f>IF(_1_5412845612146241046457891017456[[#This Row],[Type]]&gt;0,VLOOKUP(_1_5412845612146241046457891017456[[#This Row],[Type]],Main[[#All],[TYPE]:[UNIT]],'Unit Price'!C$1,FALSE),0)</f>
        <v>0</v>
      </c>
      <c r="H132" s="197">
        <f>IF(_1_5412845612146241046457891017456[[#This Row],[Type]]&gt;0,VLOOKUP(_1_5412845612146241046457891017456[[#This Row],[Type]],Main[[#All],[TYPE]:[UNIT]],'Unit Price'!D$1,FALSE),0)</f>
        <v>0</v>
      </c>
      <c r="I132" s="194">
        <f>IF(_1_5412845612146241046457891017456[[#This Row],[Type]]&gt;0,VLOOKUP(_1_5412845612146241046457891017456[[#This Row],[Type]],Main[[#All],[TYPE]:[UNIT]],'Unit Price'!G$1,FALSE),0)</f>
        <v>0</v>
      </c>
      <c r="J132" s="194">
        <f>IF(_1_5412845612146241046457891017456[[#This Row],[Type]]&gt;0,VLOOKUP(_1_5412845612146241046457891017456[[#This Row],[Type]],Main[[#All],[TYPE]:[UNIT]],'Unit Price'!H$1,FALSE),0)</f>
        <v>0</v>
      </c>
      <c r="K132" s="194">
        <f>IF(_1_5412845612146241046457891017456[[#This Row],[Discount selection]]&gt;0,VLOOKUP(_1_5412845612146241046457891017456[[#This Row],[Discount selection]],'Discount Structure'!$A$2:$B$30,2,"false"),0)</f>
        <v>1</v>
      </c>
      <c r="L132" s="194">
        <f>_1_5412845612146241046457891017456[[#This Row],[LIST $]]*_1_5412845612146241046457891017456[[#This Row],[DISCOUNT]]*_1_5412845612146241046457891017456[[#This Row],[DISCOUNT 2]]</f>
        <v>0</v>
      </c>
      <c r="M132" s="194">
        <f>IF(OR(_1_5412845612146241046457891017456[[#This Row],[UNIT]]&gt;0,_1_5412845612146241046457891017456[[#This Row],[UNIT]]&lt;0),_1_5412845612146241046457891017456[[#This Row],[UNIT]]*_1_5412845612146241046457891017456[[#This Row],[COST]],0)</f>
        <v>0</v>
      </c>
      <c r="N132" s="194">
        <f t="shared" si="1"/>
        <v>1.3</v>
      </c>
      <c r="O132" s="198">
        <f>_1_5412845612146241046457891017456[[#This Row],[TOTAL]]*_1_5412845612146241046457891017456[[#This Row],[MARGIN]]</f>
        <v>0</v>
      </c>
      <c r="R132" s="41"/>
    </row>
    <row r="133" spans="1:18">
      <c r="C133" s="168"/>
      <c r="D133" s="188"/>
      <c r="F133" s="168" t="s">
        <v>6202</v>
      </c>
      <c r="G133" s="193">
        <f>IF(_1_5412845612146241046457891017456[[#This Row],[Type]]&gt;0,VLOOKUP(_1_5412845612146241046457891017456[[#This Row],[Type]],Main[[#All],[TYPE]:[UNIT]],'Unit Price'!C$1,FALSE),0)</f>
        <v>0</v>
      </c>
      <c r="H133" s="197">
        <f>IF(_1_5412845612146241046457891017456[[#This Row],[Type]]&gt;0,VLOOKUP(_1_5412845612146241046457891017456[[#This Row],[Type]],Main[[#All],[TYPE]:[UNIT]],'Unit Price'!D$1,FALSE),0)</f>
        <v>0</v>
      </c>
      <c r="I133" s="194">
        <f>IF(_1_5412845612146241046457891017456[[#This Row],[Type]]&gt;0,VLOOKUP(_1_5412845612146241046457891017456[[#This Row],[Type]],Main[[#All],[TYPE]:[UNIT]],'Unit Price'!G$1,FALSE),0)</f>
        <v>0</v>
      </c>
      <c r="J133" s="194">
        <f>IF(_1_5412845612146241046457891017456[[#This Row],[Type]]&gt;0,VLOOKUP(_1_5412845612146241046457891017456[[#This Row],[Type]],Main[[#All],[TYPE]:[UNIT]],'Unit Price'!H$1,FALSE),0)</f>
        <v>0</v>
      </c>
      <c r="K133" s="194">
        <f>IF(_1_5412845612146241046457891017456[[#This Row],[Discount selection]]&gt;0,VLOOKUP(_1_5412845612146241046457891017456[[#This Row],[Discount selection]],'Discount Structure'!$A$2:$B$30,2,"false"),0)</f>
        <v>1</v>
      </c>
      <c r="L133" s="194">
        <f>_1_5412845612146241046457891017456[[#This Row],[LIST $]]*_1_5412845612146241046457891017456[[#This Row],[DISCOUNT]]*_1_5412845612146241046457891017456[[#This Row],[DISCOUNT 2]]</f>
        <v>0</v>
      </c>
      <c r="M133" s="194">
        <f>IF(OR(_1_5412845612146241046457891017456[[#This Row],[UNIT]]&gt;0,_1_5412845612146241046457891017456[[#This Row],[UNIT]]&lt;0),_1_5412845612146241046457891017456[[#This Row],[UNIT]]*_1_5412845612146241046457891017456[[#This Row],[COST]],0)</f>
        <v>0</v>
      </c>
      <c r="N133" s="194">
        <f t="shared" si="1"/>
        <v>1.3</v>
      </c>
      <c r="O133" s="198">
        <f>_1_5412845612146241046457891017456[[#This Row],[TOTAL]]*_1_5412845612146241046457891017456[[#This Row],[MARGIN]]</f>
        <v>0</v>
      </c>
      <c r="R133" s="41"/>
    </row>
    <row r="134" spans="1:18">
      <c r="C134" s="168"/>
      <c r="D134" s="188"/>
      <c r="F134" s="168" t="s">
        <v>6202</v>
      </c>
      <c r="G134" s="193">
        <f>IF(_1_5412845612146241046457891017456[[#This Row],[Type]]&gt;0,VLOOKUP(_1_5412845612146241046457891017456[[#This Row],[Type]],Main[[#All],[TYPE]:[UNIT]],'Unit Price'!C$1,FALSE),0)</f>
        <v>0</v>
      </c>
      <c r="H134" s="197">
        <f>IF(_1_5412845612146241046457891017456[[#This Row],[Type]]&gt;0,VLOOKUP(_1_5412845612146241046457891017456[[#This Row],[Type]],Main[[#All],[TYPE]:[UNIT]],'Unit Price'!D$1,FALSE),0)</f>
        <v>0</v>
      </c>
      <c r="I134" s="194">
        <f>IF(_1_5412845612146241046457891017456[[#This Row],[Type]]&gt;0,VLOOKUP(_1_5412845612146241046457891017456[[#This Row],[Type]],Main[[#All],[TYPE]:[UNIT]],'Unit Price'!G$1,FALSE),0)</f>
        <v>0</v>
      </c>
      <c r="J134" s="194">
        <f>IF(_1_5412845612146241046457891017456[[#This Row],[Type]]&gt;0,VLOOKUP(_1_5412845612146241046457891017456[[#This Row],[Type]],Main[[#All],[TYPE]:[UNIT]],'Unit Price'!H$1,FALSE),0)</f>
        <v>0</v>
      </c>
      <c r="K134" s="194">
        <f>IF(_1_5412845612146241046457891017456[[#This Row],[Discount selection]]&gt;0,VLOOKUP(_1_5412845612146241046457891017456[[#This Row],[Discount selection]],'Discount Structure'!$A$2:$B$30,2,"false"),0)</f>
        <v>1</v>
      </c>
      <c r="L134" s="194">
        <f>_1_5412845612146241046457891017456[[#This Row],[LIST $]]*_1_5412845612146241046457891017456[[#This Row],[DISCOUNT]]*_1_5412845612146241046457891017456[[#This Row],[DISCOUNT 2]]</f>
        <v>0</v>
      </c>
      <c r="M134" s="194">
        <f>IF(OR(_1_5412845612146241046457891017456[[#This Row],[UNIT]]&gt;0,_1_5412845612146241046457891017456[[#This Row],[UNIT]]&lt;0),_1_5412845612146241046457891017456[[#This Row],[UNIT]]*_1_5412845612146241046457891017456[[#This Row],[COST]],0)</f>
        <v>0</v>
      </c>
      <c r="N134" s="194">
        <f t="shared" si="1"/>
        <v>1.3</v>
      </c>
      <c r="O134" s="198">
        <f>_1_5412845612146241046457891017456[[#This Row],[TOTAL]]*_1_5412845612146241046457891017456[[#This Row],[MARGIN]]</f>
        <v>0</v>
      </c>
      <c r="R134" s="41"/>
    </row>
    <row r="135" spans="1:18">
      <c r="C135" s="168"/>
      <c r="D135" s="188"/>
      <c r="F135" s="168" t="s">
        <v>6202</v>
      </c>
      <c r="G135" s="193">
        <f>IF(_1_5412845612146241046457891017456[[#This Row],[Type]]&gt;0,VLOOKUP(_1_5412845612146241046457891017456[[#This Row],[Type]],Main[[#All],[TYPE]:[UNIT]],'Unit Price'!C$1,FALSE),0)</f>
        <v>0</v>
      </c>
      <c r="H135" s="197">
        <f>IF(_1_5412845612146241046457891017456[[#This Row],[Type]]&gt;0,VLOOKUP(_1_5412845612146241046457891017456[[#This Row],[Type]],Main[[#All],[TYPE]:[UNIT]],'Unit Price'!D$1,FALSE),0)</f>
        <v>0</v>
      </c>
      <c r="I135" s="194">
        <f>IF(_1_5412845612146241046457891017456[[#This Row],[Type]]&gt;0,VLOOKUP(_1_5412845612146241046457891017456[[#This Row],[Type]],Main[[#All],[TYPE]:[UNIT]],'Unit Price'!G$1,FALSE),0)</f>
        <v>0</v>
      </c>
      <c r="J135" s="194">
        <f>IF(_1_5412845612146241046457891017456[[#This Row],[Type]]&gt;0,VLOOKUP(_1_5412845612146241046457891017456[[#This Row],[Type]],Main[[#All],[TYPE]:[UNIT]],'Unit Price'!H$1,FALSE),0)</f>
        <v>0</v>
      </c>
      <c r="K135" s="194">
        <f>IF(_1_5412845612146241046457891017456[[#This Row],[Discount selection]]&gt;0,VLOOKUP(_1_5412845612146241046457891017456[[#This Row],[Discount selection]],'Discount Structure'!$A$2:$B$30,2,"false"),0)</f>
        <v>1</v>
      </c>
      <c r="L135" s="194">
        <f>_1_5412845612146241046457891017456[[#This Row],[LIST $]]*_1_5412845612146241046457891017456[[#This Row],[DISCOUNT]]*_1_5412845612146241046457891017456[[#This Row],[DISCOUNT 2]]</f>
        <v>0</v>
      </c>
      <c r="M135" s="194">
        <f>IF(OR(_1_5412845612146241046457891017456[[#This Row],[UNIT]]&gt;0,_1_5412845612146241046457891017456[[#This Row],[UNIT]]&lt;0),_1_5412845612146241046457891017456[[#This Row],[UNIT]]*_1_5412845612146241046457891017456[[#This Row],[COST]],0)</f>
        <v>0</v>
      </c>
      <c r="N135" s="194">
        <f t="shared" si="1"/>
        <v>1.3</v>
      </c>
      <c r="O135" s="198">
        <f>_1_5412845612146241046457891017456[[#This Row],[TOTAL]]*_1_5412845612146241046457891017456[[#This Row],[MARGIN]]</f>
        <v>0</v>
      </c>
      <c r="R135" s="41"/>
    </row>
    <row r="136" spans="1:18">
      <c r="C136" s="168"/>
      <c r="D136" s="188"/>
      <c r="F136" s="168" t="s">
        <v>6202</v>
      </c>
      <c r="G136" s="193">
        <f>IF(_1_5412845612146241046457891017456[[#This Row],[Type]]&gt;0,VLOOKUP(_1_5412845612146241046457891017456[[#This Row],[Type]],Main[[#All],[TYPE]:[UNIT]],'Unit Price'!C$1,FALSE),0)</f>
        <v>0</v>
      </c>
      <c r="H136" s="197">
        <f>IF(_1_5412845612146241046457891017456[[#This Row],[Type]]&gt;0,VLOOKUP(_1_5412845612146241046457891017456[[#This Row],[Type]],Main[[#All],[TYPE]:[UNIT]],'Unit Price'!D$1,FALSE),0)</f>
        <v>0</v>
      </c>
      <c r="I136" s="194">
        <f>IF(_1_5412845612146241046457891017456[[#This Row],[Type]]&gt;0,VLOOKUP(_1_5412845612146241046457891017456[[#This Row],[Type]],Main[[#All],[TYPE]:[UNIT]],'Unit Price'!G$1,FALSE),0)</f>
        <v>0</v>
      </c>
      <c r="J136" s="194">
        <f>IF(_1_5412845612146241046457891017456[[#This Row],[Type]]&gt;0,VLOOKUP(_1_5412845612146241046457891017456[[#This Row],[Type]],Main[[#All],[TYPE]:[UNIT]],'Unit Price'!H$1,FALSE),0)</f>
        <v>0</v>
      </c>
      <c r="K136" s="194">
        <f>IF(_1_5412845612146241046457891017456[[#This Row],[Discount selection]]&gt;0,VLOOKUP(_1_5412845612146241046457891017456[[#This Row],[Discount selection]],'Discount Structure'!$A$2:$B$30,2,"false"),0)</f>
        <v>1</v>
      </c>
      <c r="L136" s="194">
        <f>_1_5412845612146241046457891017456[[#This Row],[LIST $]]*_1_5412845612146241046457891017456[[#This Row],[DISCOUNT]]*_1_5412845612146241046457891017456[[#This Row],[DISCOUNT 2]]</f>
        <v>0</v>
      </c>
      <c r="M136" s="194">
        <f>IF(OR(_1_5412845612146241046457891017456[[#This Row],[UNIT]]&gt;0,_1_5412845612146241046457891017456[[#This Row],[UNIT]]&lt;0),_1_5412845612146241046457891017456[[#This Row],[UNIT]]*_1_5412845612146241046457891017456[[#This Row],[COST]],0)</f>
        <v>0</v>
      </c>
      <c r="N136" s="194">
        <f t="shared" si="1"/>
        <v>1.3</v>
      </c>
      <c r="O136" s="198">
        <f>_1_5412845612146241046457891017456[[#This Row],[TOTAL]]*_1_5412845612146241046457891017456[[#This Row],[MARGIN]]</f>
        <v>0</v>
      </c>
      <c r="R136" s="41"/>
    </row>
    <row r="137" spans="1:18">
      <c r="A137" s="168"/>
      <c r="C137" s="168"/>
      <c r="D137" s="188"/>
      <c r="F137" s="168" t="s">
        <v>6202</v>
      </c>
      <c r="G137" s="193">
        <f>IF(_1_5412845612146241046457891017456[[#This Row],[Type]]&gt;0,VLOOKUP(_1_5412845612146241046457891017456[[#This Row],[Type]],Main[[#All],[TYPE]:[UNIT]],'Unit Price'!C$1,FALSE),0)</f>
        <v>0</v>
      </c>
      <c r="H137" s="197">
        <f>IF(_1_5412845612146241046457891017456[[#This Row],[Type]]&gt;0,VLOOKUP(_1_5412845612146241046457891017456[[#This Row],[Type]],Main[[#All],[TYPE]:[UNIT]],'Unit Price'!D$1,FALSE),0)</f>
        <v>0</v>
      </c>
      <c r="I137" s="194">
        <f>IF(_1_5412845612146241046457891017456[[#This Row],[Type]]&gt;0,VLOOKUP(_1_5412845612146241046457891017456[[#This Row],[Type]],Main[[#All],[TYPE]:[UNIT]],'Unit Price'!G$1,FALSE),0)</f>
        <v>0</v>
      </c>
      <c r="J137" s="194">
        <f>IF(_1_5412845612146241046457891017456[[#This Row],[Type]]&gt;0,VLOOKUP(_1_5412845612146241046457891017456[[#This Row],[Type]],Main[[#All],[TYPE]:[UNIT]],'Unit Price'!H$1,FALSE),0)</f>
        <v>0</v>
      </c>
      <c r="K137" s="194">
        <f>IF(_1_5412845612146241046457891017456[[#This Row],[Discount selection]]&gt;0,VLOOKUP(_1_5412845612146241046457891017456[[#This Row],[Discount selection]],'Discount Structure'!$A$2:$B$30,2,"false"),0)</f>
        <v>1</v>
      </c>
      <c r="L137" s="194">
        <f>_1_5412845612146241046457891017456[[#This Row],[LIST $]]*_1_5412845612146241046457891017456[[#This Row],[DISCOUNT]]*_1_5412845612146241046457891017456[[#This Row],[DISCOUNT 2]]</f>
        <v>0</v>
      </c>
      <c r="M137" s="194">
        <f>IF(OR(_1_5412845612146241046457891017456[[#This Row],[UNIT]]&gt;0,_1_5412845612146241046457891017456[[#This Row],[UNIT]]&lt;0),_1_5412845612146241046457891017456[[#This Row],[UNIT]]*_1_5412845612146241046457891017456[[#This Row],[COST]],0)</f>
        <v>0</v>
      </c>
      <c r="N137" s="194">
        <f t="shared" si="1"/>
        <v>1.3</v>
      </c>
      <c r="O137" s="198">
        <f>_1_5412845612146241046457891017456[[#This Row],[TOTAL]]*_1_5412845612146241046457891017456[[#This Row],[MARGIN]]</f>
        <v>0</v>
      </c>
      <c r="R137" s="41"/>
    </row>
    <row r="138" spans="1:18">
      <c r="B138" s="168"/>
      <c r="C138" s="168"/>
      <c r="D138" s="188"/>
      <c r="E138" s="313"/>
      <c r="F138" s="168" t="s">
        <v>6202</v>
      </c>
      <c r="G138" s="193">
        <f>IF(_1_5412845612146241046457891017456[[#This Row],[Type]]&gt;0,VLOOKUP(_1_5412845612146241046457891017456[[#This Row],[Type]],Main[[#All],[TYPE]:[UNIT]],'Unit Price'!C$1,FALSE),0)</f>
        <v>0</v>
      </c>
      <c r="H138" s="197">
        <f>IF(_1_5412845612146241046457891017456[[#This Row],[Type]]&gt;0,VLOOKUP(_1_5412845612146241046457891017456[[#This Row],[Type]],Main[[#All],[TYPE]:[UNIT]],'Unit Price'!D$1,FALSE),0)</f>
        <v>0</v>
      </c>
      <c r="I138" s="194">
        <f>IF(_1_5412845612146241046457891017456[[#This Row],[Type]]&gt;0,VLOOKUP(_1_5412845612146241046457891017456[[#This Row],[Type]],Main[[#All],[TYPE]:[UNIT]],'Unit Price'!G$1,FALSE),0)</f>
        <v>0</v>
      </c>
      <c r="J138" s="194">
        <f>IF(_1_5412845612146241046457891017456[[#This Row],[Type]]&gt;0,VLOOKUP(_1_5412845612146241046457891017456[[#This Row],[Type]],Main[[#All],[TYPE]:[UNIT]],'Unit Price'!H$1,FALSE),0)</f>
        <v>0</v>
      </c>
      <c r="K138" s="194">
        <f>IF(_1_5412845612146241046457891017456[[#This Row],[Discount selection]]&gt;0,VLOOKUP(_1_5412845612146241046457891017456[[#This Row],[Discount selection]],'Discount Structure'!$A$2:$B$30,2,"false"),0)</f>
        <v>1</v>
      </c>
      <c r="L138" s="194">
        <f>_1_5412845612146241046457891017456[[#This Row],[LIST $]]*_1_5412845612146241046457891017456[[#This Row],[DISCOUNT]]*_1_5412845612146241046457891017456[[#This Row],[DISCOUNT 2]]</f>
        <v>0</v>
      </c>
      <c r="M138" s="194">
        <f>IF(OR(_1_5412845612146241046457891017456[[#This Row],[UNIT]]&gt;0,_1_5412845612146241046457891017456[[#This Row],[UNIT]]&lt;0),_1_5412845612146241046457891017456[[#This Row],[UNIT]]*_1_5412845612146241046457891017456[[#This Row],[COST]],0)</f>
        <v>0</v>
      </c>
      <c r="N138" s="194">
        <f t="shared" ref="N138:N201" si="2">$N$7</f>
        <v>1.3</v>
      </c>
      <c r="O138" s="198">
        <f>_1_5412845612146241046457891017456[[#This Row],[TOTAL]]*_1_5412845612146241046457891017456[[#This Row],[MARGIN]]</f>
        <v>0</v>
      </c>
      <c r="R138" s="41"/>
    </row>
    <row r="139" spans="1:18">
      <c r="A139" s="168"/>
      <c r="C139" s="168"/>
      <c r="D139" s="188"/>
      <c r="F139" s="168" t="s">
        <v>6202</v>
      </c>
      <c r="G139" s="193">
        <f>IF(_1_5412845612146241046457891017456[[#This Row],[Type]]&gt;0,VLOOKUP(_1_5412845612146241046457891017456[[#This Row],[Type]],Main[[#All],[TYPE]:[UNIT]],'Unit Price'!C$1,FALSE),0)</f>
        <v>0</v>
      </c>
      <c r="H139" s="197">
        <f>IF(_1_5412845612146241046457891017456[[#This Row],[Type]]&gt;0,VLOOKUP(_1_5412845612146241046457891017456[[#This Row],[Type]],Main[[#All],[TYPE]:[UNIT]],'Unit Price'!D$1,FALSE),0)</f>
        <v>0</v>
      </c>
      <c r="I139" s="194">
        <f>IF(_1_5412845612146241046457891017456[[#This Row],[Type]]&gt;0,VLOOKUP(_1_5412845612146241046457891017456[[#This Row],[Type]],Main[[#All],[TYPE]:[UNIT]],'Unit Price'!G$1,FALSE),0)</f>
        <v>0</v>
      </c>
      <c r="J139" s="194">
        <f>IF(_1_5412845612146241046457891017456[[#This Row],[Type]]&gt;0,VLOOKUP(_1_5412845612146241046457891017456[[#This Row],[Type]],Main[[#All],[TYPE]:[UNIT]],'Unit Price'!H$1,FALSE),0)</f>
        <v>0</v>
      </c>
      <c r="K139" s="194">
        <f>IF(_1_5412845612146241046457891017456[[#This Row],[Discount selection]]&gt;0,VLOOKUP(_1_5412845612146241046457891017456[[#This Row],[Discount selection]],'Discount Structure'!$A$2:$B$30,2,"false"),0)</f>
        <v>1</v>
      </c>
      <c r="L139" s="194">
        <f>_1_5412845612146241046457891017456[[#This Row],[LIST $]]*_1_5412845612146241046457891017456[[#This Row],[DISCOUNT]]*_1_5412845612146241046457891017456[[#This Row],[DISCOUNT 2]]</f>
        <v>0</v>
      </c>
      <c r="M139" s="194">
        <f>IF(OR(_1_5412845612146241046457891017456[[#This Row],[UNIT]]&gt;0,_1_5412845612146241046457891017456[[#This Row],[UNIT]]&lt;0),_1_5412845612146241046457891017456[[#This Row],[UNIT]]*_1_5412845612146241046457891017456[[#This Row],[COST]],0)</f>
        <v>0</v>
      </c>
      <c r="N139" s="194">
        <f t="shared" si="2"/>
        <v>1.3</v>
      </c>
      <c r="O139" s="198">
        <f>_1_5412845612146241046457891017456[[#This Row],[TOTAL]]*_1_5412845612146241046457891017456[[#This Row],[MARGIN]]</f>
        <v>0</v>
      </c>
      <c r="R139" s="41"/>
    </row>
    <row r="140" spans="1:18">
      <c r="A140" s="168"/>
      <c r="B140" s="168"/>
      <c r="C140" s="168"/>
      <c r="D140" s="188"/>
      <c r="F140" s="168" t="s">
        <v>6202</v>
      </c>
      <c r="G140" s="193">
        <f>IF(_1_5412845612146241046457891017456[[#This Row],[Type]]&gt;0,VLOOKUP(_1_5412845612146241046457891017456[[#This Row],[Type]],Main[[#All],[TYPE]:[UNIT]],'Unit Price'!C$1,FALSE),0)</f>
        <v>0</v>
      </c>
      <c r="H140" s="197">
        <f>IF(_1_5412845612146241046457891017456[[#This Row],[Type]]&gt;0,VLOOKUP(_1_5412845612146241046457891017456[[#This Row],[Type]],Main[[#All],[TYPE]:[UNIT]],'Unit Price'!D$1,FALSE),0)</f>
        <v>0</v>
      </c>
      <c r="I140" s="194">
        <f>IF(_1_5412845612146241046457891017456[[#This Row],[Type]]&gt;0,VLOOKUP(_1_5412845612146241046457891017456[[#This Row],[Type]],Main[[#All],[TYPE]:[UNIT]],'Unit Price'!G$1,FALSE),0)</f>
        <v>0</v>
      </c>
      <c r="J140" s="194">
        <f>IF(_1_5412845612146241046457891017456[[#This Row],[Type]]&gt;0,VLOOKUP(_1_5412845612146241046457891017456[[#This Row],[Type]],Main[[#All],[TYPE]:[UNIT]],'Unit Price'!H$1,FALSE),0)</f>
        <v>0</v>
      </c>
      <c r="K140" s="194">
        <f>IF(_1_5412845612146241046457891017456[[#This Row],[Discount selection]]&gt;0,VLOOKUP(_1_5412845612146241046457891017456[[#This Row],[Discount selection]],'Discount Structure'!$A$2:$B$30,2,"false"),0)</f>
        <v>1</v>
      </c>
      <c r="L140" s="194">
        <f>_1_5412845612146241046457891017456[[#This Row],[LIST $]]*_1_5412845612146241046457891017456[[#This Row],[DISCOUNT]]*_1_5412845612146241046457891017456[[#This Row],[DISCOUNT 2]]</f>
        <v>0</v>
      </c>
      <c r="M140" s="194">
        <f>IF(OR(_1_5412845612146241046457891017456[[#This Row],[UNIT]]&gt;0,_1_5412845612146241046457891017456[[#This Row],[UNIT]]&lt;0),_1_5412845612146241046457891017456[[#This Row],[UNIT]]*_1_5412845612146241046457891017456[[#This Row],[COST]],0)</f>
        <v>0</v>
      </c>
      <c r="N140" s="194">
        <f t="shared" si="2"/>
        <v>1.3</v>
      </c>
      <c r="O140" s="198">
        <f>_1_5412845612146241046457891017456[[#This Row],[TOTAL]]*_1_5412845612146241046457891017456[[#This Row],[MARGIN]]</f>
        <v>0</v>
      </c>
      <c r="R140" s="41"/>
    </row>
    <row r="141" spans="1:18">
      <c r="C141" s="168"/>
      <c r="D141" s="188"/>
      <c r="F141" s="168" t="s">
        <v>6202</v>
      </c>
      <c r="G141" s="193">
        <f>IF(_1_5412845612146241046457891017456[[#This Row],[Type]]&gt;0,VLOOKUP(_1_5412845612146241046457891017456[[#This Row],[Type]],Main[[#All],[TYPE]:[UNIT]],'Unit Price'!C$1,FALSE),0)</f>
        <v>0</v>
      </c>
      <c r="H141" s="197">
        <f>IF(_1_5412845612146241046457891017456[[#This Row],[Type]]&gt;0,VLOOKUP(_1_5412845612146241046457891017456[[#This Row],[Type]],Main[[#All],[TYPE]:[UNIT]],'Unit Price'!D$1,FALSE),0)</f>
        <v>0</v>
      </c>
      <c r="I141" s="194">
        <f>IF(_1_5412845612146241046457891017456[[#This Row],[Type]]&gt;0,VLOOKUP(_1_5412845612146241046457891017456[[#This Row],[Type]],Main[[#All],[TYPE]:[UNIT]],'Unit Price'!G$1,FALSE),0)</f>
        <v>0</v>
      </c>
      <c r="J141" s="194">
        <f>IF(_1_5412845612146241046457891017456[[#This Row],[Type]]&gt;0,VLOOKUP(_1_5412845612146241046457891017456[[#This Row],[Type]],Main[[#All],[TYPE]:[UNIT]],'Unit Price'!H$1,FALSE),0)</f>
        <v>0</v>
      </c>
      <c r="K141" s="194">
        <f>IF(_1_5412845612146241046457891017456[[#This Row],[Discount selection]]&gt;0,VLOOKUP(_1_5412845612146241046457891017456[[#This Row],[Discount selection]],'Discount Structure'!$A$2:$B$30,2,"false"),0)</f>
        <v>1</v>
      </c>
      <c r="L141" s="194">
        <f>_1_5412845612146241046457891017456[[#This Row],[LIST $]]*_1_5412845612146241046457891017456[[#This Row],[DISCOUNT]]*_1_5412845612146241046457891017456[[#This Row],[DISCOUNT 2]]</f>
        <v>0</v>
      </c>
      <c r="M141" s="194">
        <f>IF(OR(_1_5412845612146241046457891017456[[#This Row],[UNIT]]&gt;0,_1_5412845612146241046457891017456[[#This Row],[UNIT]]&lt;0),_1_5412845612146241046457891017456[[#This Row],[UNIT]]*_1_5412845612146241046457891017456[[#This Row],[COST]],0)</f>
        <v>0</v>
      </c>
      <c r="N141" s="194">
        <f t="shared" si="2"/>
        <v>1.3</v>
      </c>
      <c r="O141" s="198">
        <f>_1_5412845612146241046457891017456[[#This Row],[TOTAL]]*_1_5412845612146241046457891017456[[#This Row],[MARGIN]]</f>
        <v>0</v>
      </c>
      <c r="R141" s="41"/>
    </row>
    <row r="142" spans="1:18">
      <c r="C142" s="168"/>
      <c r="D142" s="188"/>
      <c r="F142" s="168" t="s">
        <v>6202</v>
      </c>
      <c r="G142" s="193">
        <f>IF(_1_5412845612146241046457891017456[[#This Row],[Type]]&gt;0,VLOOKUP(_1_5412845612146241046457891017456[[#This Row],[Type]],Main[[#All],[TYPE]:[UNIT]],'Unit Price'!C$1,FALSE),0)</f>
        <v>0</v>
      </c>
      <c r="H142" s="197">
        <f>IF(_1_5412845612146241046457891017456[[#This Row],[Type]]&gt;0,VLOOKUP(_1_5412845612146241046457891017456[[#This Row],[Type]],Main[[#All],[TYPE]:[UNIT]],'Unit Price'!D$1,FALSE),0)</f>
        <v>0</v>
      </c>
      <c r="I142" s="194">
        <f>IF(_1_5412845612146241046457891017456[[#This Row],[Type]]&gt;0,VLOOKUP(_1_5412845612146241046457891017456[[#This Row],[Type]],Main[[#All],[TYPE]:[UNIT]],'Unit Price'!G$1,FALSE),0)</f>
        <v>0</v>
      </c>
      <c r="J142" s="194">
        <f>IF(_1_5412845612146241046457891017456[[#This Row],[Type]]&gt;0,VLOOKUP(_1_5412845612146241046457891017456[[#This Row],[Type]],Main[[#All],[TYPE]:[UNIT]],'Unit Price'!H$1,FALSE),0)</f>
        <v>0</v>
      </c>
      <c r="K142" s="194">
        <f>IF(_1_5412845612146241046457891017456[[#This Row],[Discount selection]]&gt;0,VLOOKUP(_1_5412845612146241046457891017456[[#This Row],[Discount selection]],'Discount Structure'!$A$2:$B$30,2,"false"),0)</f>
        <v>1</v>
      </c>
      <c r="L142" s="194">
        <f>_1_5412845612146241046457891017456[[#This Row],[LIST $]]*_1_5412845612146241046457891017456[[#This Row],[DISCOUNT]]*_1_5412845612146241046457891017456[[#This Row],[DISCOUNT 2]]</f>
        <v>0</v>
      </c>
      <c r="M142" s="194">
        <f>IF(OR(_1_5412845612146241046457891017456[[#This Row],[UNIT]]&gt;0,_1_5412845612146241046457891017456[[#This Row],[UNIT]]&lt;0),_1_5412845612146241046457891017456[[#This Row],[UNIT]]*_1_5412845612146241046457891017456[[#This Row],[COST]],0)</f>
        <v>0</v>
      </c>
      <c r="N142" s="194">
        <f t="shared" si="2"/>
        <v>1.3</v>
      </c>
      <c r="O142" s="198">
        <f>_1_5412845612146241046457891017456[[#This Row],[TOTAL]]*_1_5412845612146241046457891017456[[#This Row],[MARGIN]]</f>
        <v>0</v>
      </c>
      <c r="R142" s="41"/>
    </row>
    <row r="143" spans="1:18">
      <c r="C143" s="168"/>
      <c r="D143" s="188"/>
      <c r="F143" s="168" t="s">
        <v>6202</v>
      </c>
      <c r="G143" s="193">
        <f>IF(_1_5412845612146241046457891017456[[#This Row],[Type]]&gt;0,VLOOKUP(_1_5412845612146241046457891017456[[#This Row],[Type]],Main[[#All],[TYPE]:[UNIT]],'Unit Price'!C$1,FALSE),0)</f>
        <v>0</v>
      </c>
      <c r="H143" s="197">
        <f>IF(_1_5412845612146241046457891017456[[#This Row],[Type]]&gt;0,VLOOKUP(_1_5412845612146241046457891017456[[#This Row],[Type]],Main[[#All],[TYPE]:[UNIT]],'Unit Price'!D$1,FALSE),0)</f>
        <v>0</v>
      </c>
      <c r="I143" s="194">
        <f>IF(_1_5412845612146241046457891017456[[#This Row],[Type]]&gt;0,VLOOKUP(_1_5412845612146241046457891017456[[#This Row],[Type]],Main[[#All],[TYPE]:[UNIT]],'Unit Price'!G$1,FALSE),0)</f>
        <v>0</v>
      </c>
      <c r="J143" s="194">
        <f>IF(_1_5412845612146241046457891017456[[#This Row],[Type]]&gt;0,VLOOKUP(_1_5412845612146241046457891017456[[#This Row],[Type]],Main[[#All],[TYPE]:[UNIT]],'Unit Price'!H$1,FALSE),0)</f>
        <v>0</v>
      </c>
      <c r="K143" s="194">
        <f>IF(_1_5412845612146241046457891017456[[#This Row],[Discount selection]]&gt;0,VLOOKUP(_1_5412845612146241046457891017456[[#This Row],[Discount selection]],'Discount Structure'!$A$2:$B$30,2,"false"),0)</f>
        <v>1</v>
      </c>
      <c r="L143" s="194">
        <f>_1_5412845612146241046457891017456[[#This Row],[LIST $]]*_1_5412845612146241046457891017456[[#This Row],[DISCOUNT]]*_1_5412845612146241046457891017456[[#This Row],[DISCOUNT 2]]</f>
        <v>0</v>
      </c>
      <c r="M143" s="194">
        <f>IF(OR(_1_5412845612146241046457891017456[[#This Row],[UNIT]]&gt;0,_1_5412845612146241046457891017456[[#This Row],[UNIT]]&lt;0),_1_5412845612146241046457891017456[[#This Row],[UNIT]]*_1_5412845612146241046457891017456[[#This Row],[COST]],0)</f>
        <v>0</v>
      </c>
      <c r="N143" s="194">
        <f t="shared" si="2"/>
        <v>1.3</v>
      </c>
      <c r="O143" s="198">
        <f>_1_5412845612146241046457891017456[[#This Row],[TOTAL]]*_1_5412845612146241046457891017456[[#This Row],[MARGIN]]</f>
        <v>0</v>
      </c>
      <c r="R143" s="41"/>
    </row>
    <row r="144" spans="1:18">
      <c r="C144" s="168"/>
      <c r="D144" s="188"/>
      <c r="F144" s="168" t="s">
        <v>6202</v>
      </c>
      <c r="G144" s="193">
        <f>IF(_1_5412845612146241046457891017456[[#This Row],[Type]]&gt;0,VLOOKUP(_1_5412845612146241046457891017456[[#This Row],[Type]],Main[[#All],[TYPE]:[UNIT]],'Unit Price'!C$1,FALSE),0)</f>
        <v>0</v>
      </c>
      <c r="H144" s="197">
        <f>IF(_1_5412845612146241046457891017456[[#This Row],[Type]]&gt;0,VLOOKUP(_1_5412845612146241046457891017456[[#This Row],[Type]],Main[[#All],[TYPE]:[UNIT]],'Unit Price'!D$1,FALSE),0)</f>
        <v>0</v>
      </c>
      <c r="I144" s="194">
        <f>IF(_1_5412845612146241046457891017456[[#This Row],[Type]]&gt;0,VLOOKUP(_1_5412845612146241046457891017456[[#This Row],[Type]],Main[[#All],[TYPE]:[UNIT]],'Unit Price'!G$1,FALSE),0)</f>
        <v>0</v>
      </c>
      <c r="J144" s="194">
        <f>IF(_1_5412845612146241046457891017456[[#This Row],[Type]]&gt;0,VLOOKUP(_1_5412845612146241046457891017456[[#This Row],[Type]],Main[[#All],[TYPE]:[UNIT]],'Unit Price'!H$1,FALSE),0)</f>
        <v>0</v>
      </c>
      <c r="K144" s="194">
        <f>IF(_1_5412845612146241046457891017456[[#This Row],[Discount selection]]&gt;0,VLOOKUP(_1_5412845612146241046457891017456[[#This Row],[Discount selection]],'Discount Structure'!$A$2:$B$30,2,"false"),0)</f>
        <v>1</v>
      </c>
      <c r="L144" s="194">
        <f>_1_5412845612146241046457891017456[[#This Row],[LIST $]]*_1_5412845612146241046457891017456[[#This Row],[DISCOUNT]]*_1_5412845612146241046457891017456[[#This Row],[DISCOUNT 2]]</f>
        <v>0</v>
      </c>
      <c r="M144" s="194">
        <f>IF(OR(_1_5412845612146241046457891017456[[#This Row],[UNIT]]&gt;0,_1_5412845612146241046457891017456[[#This Row],[UNIT]]&lt;0),_1_5412845612146241046457891017456[[#This Row],[UNIT]]*_1_5412845612146241046457891017456[[#This Row],[COST]],0)</f>
        <v>0</v>
      </c>
      <c r="N144" s="194">
        <f t="shared" si="2"/>
        <v>1.3</v>
      </c>
      <c r="O144" s="198">
        <f>_1_5412845612146241046457891017456[[#This Row],[TOTAL]]*_1_5412845612146241046457891017456[[#This Row],[MARGIN]]</f>
        <v>0</v>
      </c>
      <c r="R144" s="41"/>
    </row>
    <row r="145" spans="1:18">
      <c r="C145" s="168"/>
      <c r="D145" s="188"/>
      <c r="F145" s="168" t="s">
        <v>6202</v>
      </c>
      <c r="G145" s="193">
        <f>IF(_1_5412845612146241046457891017456[[#This Row],[Type]]&gt;0,VLOOKUP(_1_5412845612146241046457891017456[[#This Row],[Type]],Main[[#All],[TYPE]:[UNIT]],'Unit Price'!C$1,FALSE),0)</f>
        <v>0</v>
      </c>
      <c r="H145" s="197">
        <f>IF(_1_5412845612146241046457891017456[[#This Row],[Type]]&gt;0,VLOOKUP(_1_5412845612146241046457891017456[[#This Row],[Type]],Main[[#All],[TYPE]:[UNIT]],'Unit Price'!D$1,FALSE),0)</f>
        <v>0</v>
      </c>
      <c r="I145" s="194">
        <f>IF(_1_5412845612146241046457891017456[[#This Row],[Type]]&gt;0,VLOOKUP(_1_5412845612146241046457891017456[[#This Row],[Type]],Main[[#All],[TYPE]:[UNIT]],'Unit Price'!G$1,FALSE),0)</f>
        <v>0</v>
      </c>
      <c r="J145" s="194">
        <f>IF(_1_5412845612146241046457891017456[[#This Row],[Type]]&gt;0,VLOOKUP(_1_5412845612146241046457891017456[[#This Row],[Type]],Main[[#All],[TYPE]:[UNIT]],'Unit Price'!H$1,FALSE),0)</f>
        <v>0</v>
      </c>
      <c r="K145" s="194">
        <f>IF(_1_5412845612146241046457891017456[[#This Row],[Discount selection]]&gt;0,VLOOKUP(_1_5412845612146241046457891017456[[#This Row],[Discount selection]],'Discount Structure'!$A$2:$B$30,2,"false"),0)</f>
        <v>1</v>
      </c>
      <c r="L145" s="194">
        <f>_1_5412845612146241046457891017456[[#This Row],[LIST $]]*_1_5412845612146241046457891017456[[#This Row],[DISCOUNT]]*_1_5412845612146241046457891017456[[#This Row],[DISCOUNT 2]]</f>
        <v>0</v>
      </c>
      <c r="M145" s="194">
        <f>IF(OR(_1_5412845612146241046457891017456[[#This Row],[UNIT]]&gt;0,_1_5412845612146241046457891017456[[#This Row],[UNIT]]&lt;0),_1_5412845612146241046457891017456[[#This Row],[UNIT]]*_1_5412845612146241046457891017456[[#This Row],[COST]],0)</f>
        <v>0</v>
      </c>
      <c r="N145" s="194">
        <f t="shared" si="2"/>
        <v>1.3</v>
      </c>
      <c r="O145" s="198">
        <f>_1_5412845612146241046457891017456[[#This Row],[TOTAL]]*_1_5412845612146241046457891017456[[#This Row],[MARGIN]]</f>
        <v>0</v>
      </c>
      <c r="R145" s="41"/>
    </row>
    <row r="146" spans="1:18">
      <c r="C146" s="168"/>
      <c r="D146" s="188"/>
      <c r="F146" s="168" t="s">
        <v>6202</v>
      </c>
      <c r="G146" s="193">
        <f>IF(_1_5412845612146241046457891017456[[#This Row],[Type]]&gt;0,VLOOKUP(_1_5412845612146241046457891017456[[#This Row],[Type]],Main[[#All],[TYPE]:[UNIT]],'Unit Price'!C$1,FALSE),0)</f>
        <v>0</v>
      </c>
      <c r="H146" s="197">
        <f>IF(_1_5412845612146241046457891017456[[#This Row],[Type]]&gt;0,VLOOKUP(_1_5412845612146241046457891017456[[#This Row],[Type]],Main[[#All],[TYPE]:[UNIT]],'Unit Price'!D$1,FALSE),0)</f>
        <v>0</v>
      </c>
      <c r="I146" s="194">
        <f>IF(_1_5412845612146241046457891017456[[#This Row],[Type]]&gt;0,VLOOKUP(_1_5412845612146241046457891017456[[#This Row],[Type]],Main[[#All],[TYPE]:[UNIT]],'Unit Price'!G$1,FALSE),0)</f>
        <v>0</v>
      </c>
      <c r="J146" s="194">
        <f>IF(_1_5412845612146241046457891017456[[#This Row],[Type]]&gt;0,VLOOKUP(_1_5412845612146241046457891017456[[#This Row],[Type]],Main[[#All],[TYPE]:[UNIT]],'Unit Price'!H$1,FALSE),0)</f>
        <v>0</v>
      </c>
      <c r="K146" s="194">
        <f>IF(_1_5412845612146241046457891017456[[#This Row],[Discount selection]]&gt;0,VLOOKUP(_1_5412845612146241046457891017456[[#This Row],[Discount selection]],'Discount Structure'!$A$2:$B$30,2,"false"),0)</f>
        <v>1</v>
      </c>
      <c r="L146" s="194">
        <f>_1_5412845612146241046457891017456[[#This Row],[LIST $]]*_1_5412845612146241046457891017456[[#This Row],[DISCOUNT]]*_1_5412845612146241046457891017456[[#This Row],[DISCOUNT 2]]</f>
        <v>0</v>
      </c>
      <c r="M146" s="194">
        <f>IF(OR(_1_5412845612146241046457891017456[[#This Row],[UNIT]]&gt;0,_1_5412845612146241046457891017456[[#This Row],[UNIT]]&lt;0),_1_5412845612146241046457891017456[[#This Row],[UNIT]]*_1_5412845612146241046457891017456[[#This Row],[COST]],0)</f>
        <v>0</v>
      </c>
      <c r="N146" s="194">
        <f t="shared" si="2"/>
        <v>1.3</v>
      </c>
      <c r="O146" s="198">
        <f>_1_5412845612146241046457891017456[[#This Row],[TOTAL]]*_1_5412845612146241046457891017456[[#This Row],[MARGIN]]</f>
        <v>0</v>
      </c>
      <c r="R146" s="41"/>
    </row>
    <row r="147" spans="1:18">
      <c r="C147" s="168"/>
      <c r="D147" s="188"/>
      <c r="F147" s="168" t="s">
        <v>6202</v>
      </c>
      <c r="G147" s="193">
        <f>IF(_1_5412845612146241046457891017456[[#This Row],[Type]]&gt;0,VLOOKUP(_1_5412845612146241046457891017456[[#This Row],[Type]],Main[[#All],[TYPE]:[UNIT]],'Unit Price'!C$1,FALSE),0)</f>
        <v>0</v>
      </c>
      <c r="H147" s="197">
        <f>IF(_1_5412845612146241046457891017456[[#This Row],[Type]]&gt;0,VLOOKUP(_1_5412845612146241046457891017456[[#This Row],[Type]],Main[[#All],[TYPE]:[UNIT]],'Unit Price'!D$1,FALSE),0)</f>
        <v>0</v>
      </c>
      <c r="I147" s="194">
        <f>IF(_1_5412845612146241046457891017456[[#This Row],[Type]]&gt;0,VLOOKUP(_1_5412845612146241046457891017456[[#This Row],[Type]],Main[[#All],[TYPE]:[UNIT]],'Unit Price'!G$1,FALSE),0)</f>
        <v>0</v>
      </c>
      <c r="J147" s="194">
        <f>IF(_1_5412845612146241046457891017456[[#This Row],[Type]]&gt;0,VLOOKUP(_1_5412845612146241046457891017456[[#This Row],[Type]],Main[[#All],[TYPE]:[UNIT]],'Unit Price'!H$1,FALSE),0)</f>
        <v>0</v>
      </c>
      <c r="K147" s="194">
        <f>IF(_1_5412845612146241046457891017456[[#This Row],[Discount selection]]&gt;0,VLOOKUP(_1_5412845612146241046457891017456[[#This Row],[Discount selection]],'Discount Structure'!$A$2:$B$30,2,"false"),0)</f>
        <v>1</v>
      </c>
      <c r="L147" s="194">
        <f>_1_5412845612146241046457891017456[[#This Row],[LIST $]]*_1_5412845612146241046457891017456[[#This Row],[DISCOUNT]]*_1_5412845612146241046457891017456[[#This Row],[DISCOUNT 2]]</f>
        <v>0</v>
      </c>
      <c r="M147" s="194">
        <f>IF(OR(_1_5412845612146241046457891017456[[#This Row],[UNIT]]&gt;0,_1_5412845612146241046457891017456[[#This Row],[UNIT]]&lt;0),_1_5412845612146241046457891017456[[#This Row],[UNIT]]*_1_5412845612146241046457891017456[[#This Row],[COST]],0)</f>
        <v>0</v>
      </c>
      <c r="N147" s="194">
        <f t="shared" si="2"/>
        <v>1.3</v>
      </c>
      <c r="O147" s="198">
        <f>_1_5412845612146241046457891017456[[#This Row],[TOTAL]]*_1_5412845612146241046457891017456[[#This Row],[MARGIN]]</f>
        <v>0</v>
      </c>
      <c r="R147" s="41"/>
    </row>
    <row r="148" spans="1:18">
      <c r="C148" s="168"/>
      <c r="D148" s="188"/>
      <c r="F148" s="168" t="s">
        <v>6202</v>
      </c>
      <c r="G148" s="193">
        <f>IF(_1_5412845612146241046457891017456[[#This Row],[Type]]&gt;0,VLOOKUP(_1_5412845612146241046457891017456[[#This Row],[Type]],Main[[#All],[TYPE]:[UNIT]],'Unit Price'!C$1,FALSE),0)</f>
        <v>0</v>
      </c>
      <c r="H148" s="197">
        <f>IF(_1_5412845612146241046457891017456[[#This Row],[Type]]&gt;0,VLOOKUP(_1_5412845612146241046457891017456[[#This Row],[Type]],Main[[#All],[TYPE]:[UNIT]],'Unit Price'!D$1,FALSE),0)</f>
        <v>0</v>
      </c>
      <c r="I148" s="194">
        <f>IF(_1_5412845612146241046457891017456[[#This Row],[Type]]&gt;0,VLOOKUP(_1_5412845612146241046457891017456[[#This Row],[Type]],Main[[#All],[TYPE]:[UNIT]],'Unit Price'!G$1,FALSE),0)</f>
        <v>0</v>
      </c>
      <c r="J148" s="194">
        <f>IF(_1_5412845612146241046457891017456[[#This Row],[Type]]&gt;0,VLOOKUP(_1_5412845612146241046457891017456[[#This Row],[Type]],Main[[#All],[TYPE]:[UNIT]],'Unit Price'!H$1,FALSE),0)</f>
        <v>0</v>
      </c>
      <c r="K148" s="194">
        <f>IF(_1_5412845612146241046457891017456[[#This Row],[Discount selection]]&gt;0,VLOOKUP(_1_5412845612146241046457891017456[[#This Row],[Discount selection]],'Discount Structure'!$A$2:$B$30,2,"false"),0)</f>
        <v>1</v>
      </c>
      <c r="L148" s="194">
        <f>_1_5412845612146241046457891017456[[#This Row],[LIST $]]*_1_5412845612146241046457891017456[[#This Row],[DISCOUNT]]*_1_5412845612146241046457891017456[[#This Row],[DISCOUNT 2]]</f>
        <v>0</v>
      </c>
      <c r="M148" s="194">
        <f>IF(OR(_1_5412845612146241046457891017456[[#This Row],[UNIT]]&gt;0,_1_5412845612146241046457891017456[[#This Row],[UNIT]]&lt;0),_1_5412845612146241046457891017456[[#This Row],[UNIT]]*_1_5412845612146241046457891017456[[#This Row],[COST]],0)</f>
        <v>0</v>
      </c>
      <c r="N148" s="194">
        <f t="shared" si="2"/>
        <v>1.3</v>
      </c>
      <c r="O148" s="198">
        <f>_1_5412845612146241046457891017456[[#This Row],[TOTAL]]*_1_5412845612146241046457891017456[[#This Row],[MARGIN]]</f>
        <v>0</v>
      </c>
      <c r="R148" s="41"/>
    </row>
    <row r="149" spans="1:18">
      <c r="C149" s="168"/>
      <c r="D149" s="188"/>
      <c r="F149" s="168" t="s">
        <v>6202</v>
      </c>
      <c r="G149" s="193">
        <f>IF(_1_5412845612146241046457891017456[[#This Row],[Type]]&gt;0,VLOOKUP(_1_5412845612146241046457891017456[[#This Row],[Type]],Main[[#All],[TYPE]:[UNIT]],'Unit Price'!C$1,FALSE),0)</f>
        <v>0</v>
      </c>
      <c r="H149" s="197">
        <f>IF(_1_5412845612146241046457891017456[[#This Row],[Type]]&gt;0,VLOOKUP(_1_5412845612146241046457891017456[[#This Row],[Type]],Main[[#All],[TYPE]:[UNIT]],'Unit Price'!D$1,FALSE),0)</f>
        <v>0</v>
      </c>
      <c r="I149" s="194">
        <f>IF(_1_5412845612146241046457891017456[[#This Row],[Type]]&gt;0,VLOOKUP(_1_5412845612146241046457891017456[[#This Row],[Type]],Main[[#All],[TYPE]:[UNIT]],'Unit Price'!G$1,FALSE),0)</f>
        <v>0</v>
      </c>
      <c r="J149" s="194">
        <f>IF(_1_5412845612146241046457891017456[[#This Row],[Type]]&gt;0,VLOOKUP(_1_5412845612146241046457891017456[[#This Row],[Type]],Main[[#All],[TYPE]:[UNIT]],'Unit Price'!H$1,FALSE),0)</f>
        <v>0</v>
      </c>
      <c r="K149" s="194">
        <f>IF(_1_5412845612146241046457891017456[[#This Row],[Discount selection]]&gt;0,VLOOKUP(_1_5412845612146241046457891017456[[#This Row],[Discount selection]],'Discount Structure'!$A$2:$B$30,2,"false"),0)</f>
        <v>1</v>
      </c>
      <c r="L149" s="194">
        <f>_1_5412845612146241046457891017456[[#This Row],[LIST $]]*_1_5412845612146241046457891017456[[#This Row],[DISCOUNT]]*_1_5412845612146241046457891017456[[#This Row],[DISCOUNT 2]]</f>
        <v>0</v>
      </c>
      <c r="M149" s="194">
        <f>IF(OR(_1_5412845612146241046457891017456[[#This Row],[UNIT]]&gt;0,_1_5412845612146241046457891017456[[#This Row],[UNIT]]&lt;0),_1_5412845612146241046457891017456[[#This Row],[UNIT]]*_1_5412845612146241046457891017456[[#This Row],[COST]],0)</f>
        <v>0</v>
      </c>
      <c r="N149" s="194">
        <f t="shared" si="2"/>
        <v>1.3</v>
      </c>
      <c r="O149" s="198">
        <f>_1_5412845612146241046457891017456[[#This Row],[TOTAL]]*_1_5412845612146241046457891017456[[#This Row],[MARGIN]]</f>
        <v>0</v>
      </c>
      <c r="R149" s="41"/>
    </row>
    <row r="150" spans="1:18">
      <c r="B150" s="168"/>
      <c r="C150" s="168"/>
      <c r="D150" s="188"/>
      <c r="F150" s="168" t="s">
        <v>6202</v>
      </c>
      <c r="G150" s="193">
        <f>IF(_1_5412845612146241046457891017456[[#This Row],[Type]]&gt;0,VLOOKUP(_1_5412845612146241046457891017456[[#This Row],[Type]],Main[[#All],[TYPE]:[UNIT]],'Unit Price'!C$1,FALSE),0)</f>
        <v>0</v>
      </c>
      <c r="H150" s="197">
        <f>IF(_1_5412845612146241046457891017456[[#This Row],[Type]]&gt;0,VLOOKUP(_1_5412845612146241046457891017456[[#This Row],[Type]],Main[[#All],[TYPE]:[UNIT]],'Unit Price'!D$1,FALSE),0)</f>
        <v>0</v>
      </c>
      <c r="I150" s="194">
        <f>IF(_1_5412845612146241046457891017456[[#This Row],[Type]]&gt;0,VLOOKUP(_1_5412845612146241046457891017456[[#This Row],[Type]],Main[[#All],[TYPE]:[UNIT]],'Unit Price'!G$1,FALSE),0)</f>
        <v>0</v>
      </c>
      <c r="J150" s="194">
        <f>IF(_1_5412845612146241046457891017456[[#This Row],[Type]]&gt;0,VLOOKUP(_1_5412845612146241046457891017456[[#This Row],[Type]],Main[[#All],[TYPE]:[UNIT]],'Unit Price'!H$1,FALSE),0)</f>
        <v>0</v>
      </c>
      <c r="K150" s="194">
        <f>IF(_1_5412845612146241046457891017456[[#This Row],[Discount selection]]&gt;0,VLOOKUP(_1_5412845612146241046457891017456[[#This Row],[Discount selection]],'Discount Structure'!$A$2:$B$30,2,"false"),0)</f>
        <v>1</v>
      </c>
      <c r="L150" s="194">
        <f>_1_5412845612146241046457891017456[[#This Row],[LIST $]]*_1_5412845612146241046457891017456[[#This Row],[DISCOUNT]]*_1_5412845612146241046457891017456[[#This Row],[DISCOUNT 2]]</f>
        <v>0</v>
      </c>
      <c r="M150" s="194">
        <f>IF(OR(_1_5412845612146241046457891017456[[#This Row],[UNIT]]&gt;0,_1_5412845612146241046457891017456[[#This Row],[UNIT]]&lt;0),_1_5412845612146241046457891017456[[#This Row],[UNIT]]*_1_5412845612146241046457891017456[[#This Row],[COST]],0)</f>
        <v>0</v>
      </c>
      <c r="N150" s="194">
        <f t="shared" si="2"/>
        <v>1.3</v>
      </c>
      <c r="O150" s="198">
        <f>_1_5412845612146241046457891017456[[#This Row],[TOTAL]]*_1_5412845612146241046457891017456[[#This Row],[MARGIN]]</f>
        <v>0</v>
      </c>
      <c r="R150" s="41"/>
    </row>
    <row r="151" spans="1:18">
      <c r="C151" s="168"/>
      <c r="D151" s="188"/>
      <c r="F151" s="168" t="s">
        <v>6202</v>
      </c>
      <c r="G151" s="193">
        <f>IF(_1_5412845612146241046457891017456[[#This Row],[Type]]&gt;0,VLOOKUP(_1_5412845612146241046457891017456[[#This Row],[Type]],Main[[#All],[TYPE]:[UNIT]],'Unit Price'!C$1,FALSE),0)</f>
        <v>0</v>
      </c>
      <c r="H151" s="197">
        <f>IF(_1_5412845612146241046457891017456[[#This Row],[Type]]&gt;0,VLOOKUP(_1_5412845612146241046457891017456[[#This Row],[Type]],Main[[#All],[TYPE]:[UNIT]],'Unit Price'!D$1,FALSE),0)</f>
        <v>0</v>
      </c>
      <c r="I151" s="194">
        <f>IF(_1_5412845612146241046457891017456[[#This Row],[Type]]&gt;0,VLOOKUP(_1_5412845612146241046457891017456[[#This Row],[Type]],Main[[#All],[TYPE]:[UNIT]],'Unit Price'!G$1,FALSE),0)</f>
        <v>0</v>
      </c>
      <c r="J151" s="194">
        <f>IF(_1_5412845612146241046457891017456[[#This Row],[Type]]&gt;0,VLOOKUP(_1_5412845612146241046457891017456[[#This Row],[Type]],Main[[#All],[TYPE]:[UNIT]],'Unit Price'!H$1,FALSE),0)</f>
        <v>0</v>
      </c>
      <c r="K151" s="194">
        <f>IF(_1_5412845612146241046457891017456[[#This Row],[Discount selection]]&gt;0,VLOOKUP(_1_5412845612146241046457891017456[[#This Row],[Discount selection]],'Discount Structure'!$A$2:$B$30,2,"false"),0)</f>
        <v>1</v>
      </c>
      <c r="L151" s="194">
        <f>_1_5412845612146241046457891017456[[#This Row],[LIST $]]*_1_5412845612146241046457891017456[[#This Row],[DISCOUNT]]*_1_5412845612146241046457891017456[[#This Row],[DISCOUNT 2]]</f>
        <v>0</v>
      </c>
      <c r="M151" s="194">
        <f>IF(OR(_1_5412845612146241046457891017456[[#This Row],[UNIT]]&gt;0,_1_5412845612146241046457891017456[[#This Row],[UNIT]]&lt;0),_1_5412845612146241046457891017456[[#This Row],[UNIT]]*_1_5412845612146241046457891017456[[#This Row],[COST]],0)</f>
        <v>0</v>
      </c>
      <c r="N151" s="194">
        <f t="shared" si="2"/>
        <v>1.3</v>
      </c>
      <c r="O151" s="198">
        <f>_1_5412845612146241046457891017456[[#This Row],[TOTAL]]*_1_5412845612146241046457891017456[[#This Row],[MARGIN]]</f>
        <v>0</v>
      </c>
      <c r="R151" s="41"/>
    </row>
    <row r="152" spans="1:18">
      <c r="C152" s="168"/>
      <c r="D152" s="188"/>
      <c r="F152" s="168" t="s">
        <v>6202</v>
      </c>
      <c r="G152" s="193">
        <f>IF(_1_5412845612146241046457891017456[[#This Row],[Type]]&gt;0,VLOOKUP(_1_5412845612146241046457891017456[[#This Row],[Type]],Main[[#All],[TYPE]:[UNIT]],'Unit Price'!C$1,FALSE),0)</f>
        <v>0</v>
      </c>
      <c r="H152" s="197">
        <f>IF(_1_5412845612146241046457891017456[[#This Row],[Type]]&gt;0,VLOOKUP(_1_5412845612146241046457891017456[[#This Row],[Type]],Main[[#All],[TYPE]:[UNIT]],'Unit Price'!D$1,FALSE),0)</f>
        <v>0</v>
      </c>
      <c r="I152" s="194">
        <f>IF(_1_5412845612146241046457891017456[[#This Row],[Type]]&gt;0,VLOOKUP(_1_5412845612146241046457891017456[[#This Row],[Type]],Main[[#All],[TYPE]:[UNIT]],'Unit Price'!G$1,FALSE),0)</f>
        <v>0</v>
      </c>
      <c r="J152" s="194">
        <f>IF(_1_5412845612146241046457891017456[[#This Row],[Type]]&gt;0,VLOOKUP(_1_5412845612146241046457891017456[[#This Row],[Type]],Main[[#All],[TYPE]:[UNIT]],'Unit Price'!H$1,FALSE),0)</f>
        <v>0</v>
      </c>
      <c r="K152" s="194">
        <f>IF(_1_5412845612146241046457891017456[[#This Row],[Discount selection]]&gt;0,VLOOKUP(_1_5412845612146241046457891017456[[#This Row],[Discount selection]],'Discount Structure'!$A$2:$B$30,2,"false"),0)</f>
        <v>1</v>
      </c>
      <c r="L152" s="194">
        <f>_1_5412845612146241046457891017456[[#This Row],[LIST $]]*_1_5412845612146241046457891017456[[#This Row],[DISCOUNT]]*_1_5412845612146241046457891017456[[#This Row],[DISCOUNT 2]]</f>
        <v>0</v>
      </c>
      <c r="M152" s="194">
        <f>IF(OR(_1_5412845612146241046457891017456[[#This Row],[UNIT]]&gt;0,_1_5412845612146241046457891017456[[#This Row],[UNIT]]&lt;0),_1_5412845612146241046457891017456[[#This Row],[UNIT]]*_1_5412845612146241046457891017456[[#This Row],[COST]],0)</f>
        <v>0</v>
      </c>
      <c r="N152" s="194">
        <f t="shared" si="2"/>
        <v>1.3</v>
      </c>
      <c r="O152" s="198">
        <f>_1_5412845612146241046457891017456[[#This Row],[TOTAL]]*_1_5412845612146241046457891017456[[#This Row],[MARGIN]]</f>
        <v>0</v>
      </c>
      <c r="R152" s="41"/>
    </row>
    <row r="153" spans="1:18">
      <c r="A153" s="168"/>
      <c r="C153" s="168"/>
      <c r="D153" s="188"/>
      <c r="F153" s="168" t="s">
        <v>6202</v>
      </c>
      <c r="G153" s="193">
        <f>IF(_1_5412845612146241046457891017456[[#This Row],[Type]]&gt;0,VLOOKUP(_1_5412845612146241046457891017456[[#This Row],[Type]],Main[[#All],[TYPE]:[UNIT]],'Unit Price'!C$1,FALSE),0)</f>
        <v>0</v>
      </c>
      <c r="H153" s="197">
        <f>IF(_1_5412845612146241046457891017456[[#This Row],[Type]]&gt;0,VLOOKUP(_1_5412845612146241046457891017456[[#This Row],[Type]],Main[[#All],[TYPE]:[UNIT]],'Unit Price'!D$1,FALSE),0)</f>
        <v>0</v>
      </c>
      <c r="I153" s="194">
        <f>IF(_1_5412845612146241046457891017456[[#This Row],[Type]]&gt;0,VLOOKUP(_1_5412845612146241046457891017456[[#This Row],[Type]],Main[[#All],[TYPE]:[UNIT]],'Unit Price'!G$1,FALSE),0)</f>
        <v>0</v>
      </c>
      <c r="J153" s="194">
        <f>IF(_1_5412845612146241046457891017456[[#This Row],[Type]]&gt;0,VLOOKUP(_1_5412845612146241046457891017456[[#This Row],[Type]],Main[[#All],[TYPE]:[UNIT]],'Unit Price'!H$1,FALSE),0)</f>
        <v>0</v>
      </c>
      <c r="K153" s="194">
        <f>IF(_1_5412845612146241046457891017456[[#This Row],[Discount selection]]&gt;0,VLOOKUP(_1_5412845612146241046457891017456[[#This Row],[Discount selection]],'Discount Structure'!$A$2:$B$30,2,"false"),0)</f>
        <v>1</v>
      </c>
      <c r="L153" s="194">
        <f>_1_5412845612146241046457891017456[[#This Row],[LIST $]]*_1_5412845612146241046457891017456[[#This Row],[DISCOUNT]]*_1_5412845612146241046457891017456[[#This Row],[DISCOUNT 2]]</f>
        <v>0</v>
      </c>
      <c r="M153" s="194">
        <f>IF(OR(_1_5412845612146241046457891017456[[#This Row],[UNIT]]&gt;0,_1_5412845612146241046457891017456[[#This Row],[UNIT]]&lt;0),_1_5412845612146241046457891017456[[#This Row],[UNIT]]*_1_5412845612146241046457891017456[[#This Row],[COST]],0)</f>
        <v>0</v>
      </c>
      <c r="N153" s="194">
        <f t="shared" si="2"/>
        <v>1.3</v>
      </c>
      <c r="O153" s="198">
        <f>_1_5412845612146241046457891017456[[#This Row],[TOTAL]]*_1_5412845612146241046457891017456[[#This Row],[MARGIN]]</f>
        <v>0</v>
      </c>
      <c r="R153" s="41"/>
    </row>
    <row r="154" spans="1:18">
      <c r="A154" s="168"/>
      <c r="C154" s="168"/>
      <c r="D154" s="188"/>
      <c r="F154" s="168" t="s">
        <v>6202</v>
      </c>
      <c r="G154" s="193">
        <f>IF(_1_5412845612146241046457891017456[[#This Row],[Type]]&gt;0,VLOOKUP(_1_5412845612146241046457891017456[[#This Row],[Type]],Main[[#All],[TYPE]:[UNIT]],'Unit Price'!C$1,FALSE),0)</f>
        <v>0</v>
      </c>
      <c r="H154" s="197">
        <f>IF(_1_5412845612146241046457891017456[[#This Row],[Type]]&gt;0,VLOOKUP(_1_5412845612146241046457891017456[[#This Row],[Type]],Main[[#All],[TYPE]:[UNIT]],'Unit Price'!D$1,FALSE),0)</f>
        <v>0</v>
      </c>
      <c r="I154" s="194">
        <f>IF(_1_5412845612146241046457891017456[[#This Row],[Type]]&gt;0,VLOOKUP(_1_5412845612146241046457891017456[[#This Row],[Type]],Main[[#All],[TYPE]:[UNIT]],'Unit Price'!G$1,FALSE),0)</f>
        <v>0</v>
      </c>
      <c r="J154" s="194">
        <f>IF(_1_5412845612146241046457891017456[[#This Row],[Type]]&gt;0,VLOOKUP(_1_5412845612146241046457891017456[[#This Row],[Type]],Main[[#All],[TYPE]:[UNIT]],'Unit Price'!H$1,FALSE),0)</f>
        <v>0</v>
      </c>
      <c r="K154" s="194">
        <f>IF(_1_5412845612146241046457891017456[[#This Row],[Discount selection]]&gt;0,VLOOKUP(_1_5412845612146241046457891017456[[#This Row],[Discount selection]],'Discount Structure'!$A$2:$B$30,2,"false"),0)</f>
        <v>1</v>
      </c>
      <c r="L154" s="194">
        <f>_1_5412845612146241046457891017456[[#This Row],[LIST $]]*_1_5412845612146241046457891017456[[#This Row],[DISCOUNT]]*_1_5412845612146241046457891017456[[#This Row],[DISCOUNT 2]]</f>
        <v>0</v>
      </c>
      <c r="M154" s="194">
        <f>IF(OR(_1_5412845612146241046457891017456[[#This Row],[UNIT]]&gt;0,_1_5412845612146241046457891017456[[#This Row],[UNIT]]&lt;0),_1_5412845612146241046457891017456[[#This Row],[UNIT]]*_1_5412845612146241046457891017456[[#This Row],[COST]],0)</f>
        <v>0</v>
      </c>
      <c r="N154" s="194">
        <f t="shared" si="2"/>
        <v>1.3</v>
      </c>
      <c r="O154" s="198">
        <f>_1_5412845612146241046457891017456[[#This Row],[TOTAL]]*_1_5412845612146241046457891017456[[#This Row],[MARGIN]]</f>
        <v>0</v>
      </c>
      <c r="R154" s="41"/>
    </row>
    <row r="155" spans="1:18">
      <c r="B155" s="168"/>
      <c r="C155" s="168"/>
      <c r="D155" s="188"/>
      <c r="F155" s="168" t="s">
        <v>6202</v>
      </c>
      <c r="G155" s="193">
        <f>IF(_1_5412845612146241046457891017456[[#This Row],[Type]]&gt;0,VLOOKUP(_1_5412845612146241046457891017456[[#This Row],[Type]],Main[[#All],[TYPE]:[UNIT]],'Unit Price'!C$1,FALSE),0)</f>
        <v>0</v>
      </c>
      <c r="H155" s="197">
        <f>IF(_1_5412845612146241046457891017456[[#This Row],[Type]]&gt;0,VLOOKUP(_1_5412845612146241046457891017456[[#This Row],[Type]],Main[[#All],[TYPE]:[UNIT]],'Unit Price'!D$1,FALSE),0)</f>
        <v>0</v>
      </c>
      <c r="I155" s="194">
        <f>IF(_1_5412845612146241046457891017456[[#This Row],[Type]]&gt;0,VLOOKUP(_1_5412845612146241046457891017456[[#This Row],[Type]],Main[[#All],[TYPE]:[UNIT]],'Unit Price'!G$1,FALSE),0)</f>
        <v>0</v>
      </c>
      <c r="J155" s="194">
        <f>IF(_1_5412845612146241046457891017456[[#This Row],[Type]]&gt;0,VLOOKUP(_1_5412845612146241046457891017456[[#This Row],[Type]],Main[[#All],[TYPE]:[UNIT]],'Unit Price'!H$1,FALSE),0)</f>
        <v>0</v>
      </c>
      <c r="K155" s="194">
        <f>IF(_1_5412845612146241046457891017456[[#This Row],[Discount selection]]&gt;0,VLOOKUP(_1_5412845612146241046457891017456[[#This Row],[Discount selection]],'Discount Structure'!$A$2:$B$30,2,"false"),0)</f>
        <v>1</v>
      </c>
      <c r="L155" s="194">
        <f>_1_5412845612146241046457891017456[[#This Row],[LIST $]]*_1_5412845612146241046457891017456[[#This Row],[DISCOUNT]]*_1_5412845612146241046457891017456[[#This Row],[DISCOUNT 2]]</f>
        <v>0</v>
      </c>
      <c r="M155" s="194">
        <f>IF(OR(_1_5412845612146241046457891017456[[#This Row],[UNIT]]&gt;0,_1_5412845612146241046457891017456[[#This Row],[UNIT]]&lt;0),_1_5412845612146241046457891017456[[#This Row],[UNIT]]*_1_5412845612146241046457891017456[[#This Row],[COST]],0)</f>
        <v>0</v>
      </c>
      <c r="N155" s="194">
        <f t="shared" si="2"/>
        <v>1.3</v>
      </c>
      <c r="O155" s="198">
        <f>_1_5412845612146241046457891017456[[#This Row],[TOTAL]]*_1_5412845612146241046457891017456[[#This Row],[MARGIN]]</f>
        <v>0</v>
      </c>
      <c r="R155" s="41"/>
    </row>
    <row r="156" spans="1:18">
      <c r="C156" s="168"/>
      <c r="D156" s="188"/>
      <c r="F156" s="168" t="s">
        <v>6202</v>
      </c>
      <c r="G156" s="193">
        <f>IF(_1_5412845612146241046457891017456[[#This Row],[Type]]&gt;0,VLOOKUP(_1_5412845612146241046457891017456[[#This Row],[Type]],Main[[#All],[TYPE]:[UNIT]],'Unit Price'!C$1,FALSE),0)</f>
        <v>0</v>
      </c>
      <c r="H156" s="197">
        <f>IF(_1_5412845612146241046457891017456[[#This Row],[Type]]&gt;0,VLOOKUP(_1_5412845612146241046457891017456[[#This Row],[Type]],Main[[#All],[TYPE]:[UNIT]],'Unit Price'!D$1,FALSE),0)</f>
        <v>0</v>
      </c>
      <c r="I156" s="194">
        <f>IF(_1_5412845612146241046457891017456[[#This Row],[Type]]&gt;0,VLOOKUP(_1_5412845612146241046457891017456[[#This Row],[Type]],Main[[#All],[TYPE]:[UNIT]],'Unit Price'!G$1,FALSE),0)</f>
        <v>0</v>
      </c>
      <c r="J156" s="194">
        <f>IF(_1_5412845612146241046457891017456[[#This Row],[Type]]&gt;0,VLOOKUP(_1_5412845612146241046457891017456[[#This Row],[Type]],Main[[#All],[TYPE]:[UNIT]],'Unit Price'!H$1,FALSE),0)</f>
        <v>0</v>
      </c>
      <c r="K156" s="194">
        <f>IF(_1_5412845612146241046457891017456[[#This Row],[Discount selection]]&gt;0,VLOOKUP(_1_5412845612146241046457891017456[[#This Row],[Discount selection]],'Discount Structure'!$A$2:$B$30,2,"false"),0)</f>
        <v>1</v>
      </c>
      <c r="L156" s="194">
        <f>_1_5412845612146241046457891017456[[#This Row],[LIST $]]*_1_5412845612146241046457891017456[[#This Row],[DISCOUNT]]*_1_5412845612146241046457891017456[[#This Row],[DISCOUNT 2]]</f>
        <v>0</v>
      </c>
      <c r="M156" s="194">
        <f>IF(OR(_1_5412845612146241046457891017456[[#This Row],[UNIT]]&gt;0,_1_5412845612146241046457891017456[[#This Row],[UNIT]]&lt;0),_1_5412845612146241046457891017456[[#This Row],[UNIT]]*_1_5412845612146241046457891017456[[#This Row],[COST]],0)</f>
        <v>0</v>
      </c>
      <c r="N156" s="194">
        <f t="shared" si="2"/>
        <v>1.3</v>
      </c>
      <c r="O156" s="198">
        <f>_1_5412845612146241046457891017456[[#This Row],[TOTAL]]*_1_5412845612146241046457891017456[[#This Row],[MARGIN]]</f>
        <v>0</v>
      </c>
      <c r="R156" s="41"/>
    </row>
    <row r="157" spans="1:18">
      <c r="C157" s="168"/>
      <c r="D157" s="188"/>
      <c r="F157" s="168" t="s">
        <v>6202</v>
      </c>
      <c r="G157" s="193">
        <f>IF(_1_5412845612146241046457891017456[[#This Row],[Type]]&gt;0,VLOOKUP(_1_5412845612146241046457891017456[[#This Row],[Type]],Main[[#All],[TYPE]:[UNIT]],'Unit Price'!C$1,FALSE),0)</f>
        <v>0</v>
      </c>
      <c r="H157" s="197">
        <f>IF(_1_5412845612146241046457891017456[[#This Row],[Type]]&gt;0,VLOOKUP(_1_5412845612146241046457891017456[[#This Row],[Type]],Main[[#All],[TYPE]:[UNIT]],'Unit Price'!D$1,FALSE),0)</f>
        <v>0</v>
      </c>
      <c r="I157" s="194">
        <f>IF(_1_5412845612146241046457891017456[[#This Row],[Type]]&gt;0,VLOOKUP(_1_5412845612146241046457891017456[[#This Row],[Type]],Main[[#All],[TYPE]:[UNIT]],'Unit Price'!G$1,FALSE),0)</f>
        <v>0</v>
      </c>
      <c r="J157" s="194">
        <f>IF(_1_5412845612146241046457891017456[[#This Row],[Type]]&gt;0,VLOOKUP(_1_5412845612146241046457891017456[[#This Row],[Type]],Main[[#All],[TYPE]:[UNIT]],'Unit Price'!H$1,FALSE),0)</f>
        <v>0</v>
      </c>
      <c r="K157" s="194">
        <f>IF(_1_5412845612146241046457891017456[[#This Row],[Discount selection]]&gt;0,VLOOKUP(_1_5412845612146241046457891017456[[#This Row],[Discount selection]],'Discount Structure'!$A$2:$B$30,2,"false"),0)</f>
        <v>1</v>
      </c>
      <c r="L157" s="194">
        <f>_1_5412845612146241046457891017456[[#This Row],[LIST $]]*_1_5412845612146241046457891017456[[#This Row],[DISCOUNT]]*_1_5412845612146241046457891017456[[#This Row],[DISCOUNT 2]]</f>
        <v>0</v>
      </c>
      <c r="M157" s="194">
        <f>IF(OR(_1_5412845612146241046457891017456[[#This Row],[UNIT]]&gt;0,_1_5412845612146241046457891017456[[#This Row],[UNIT]]&lt;0),_1_5412845612146241046457891017456[[#This Row],[UNIT]]*_1_5412845612146241046457891017456[[#This Row],[COST]],0)</f>
        <v>0</v>
      </c>
      <c r="N157" s="194">
        <f t="shared" si="2"/>
        <v>1.3</v>
      </c>
      <c r="O157" s="198">
        <f>_1_5412845612146241046457891017456[[#This Row],[TOTAL]]*_1_5412845612146241046457891017456[[#This Row],[MARGIN]]</f>
        <v>0</v>
      </c>
      <c r="R157" s="41"/>
    </row>
    <row r="158" spans="1:18">
      <c r="C158" s="168"/>
      <c r="D158" s="188"/>
      <c r="F158" s="168" t="s">
        <v>6202</v>
      </c>
      <c r="G158" s="193">
        <f>IF(_1_5412845612146241046457891017456[[#This Row],[Type]]&gt;0,VLOOKUP(_1_5412845612146241046457891017456[[#This Row],[Type]],Main[[#All],[TYPE]:[UNIT]],'Unit Price'!C$1,FALSE),0)</f>
        <v>0</v>
      </c>
      <c r="H158" s="197">
        <f>IF(_1_5412845612146241046457891017456[[#This Row],[Type]]&gt;0,VLOOKUP(_1_5412845612146241046457891017456[[#This Row],[Type]],Main[[#All],[TYPE]:[UNIT]],'Unit Price'!D$1,FALSE),0)</f>
        <v>0</v>
      </c>
      <c r="I158" s="194">
        <f>IF(_1_5412845612146241046457891017456[[#This Row],[Type]]&gt;0,VLOOKUP(_1_5412845612146241046457891017456[[#This Row],[Type]],Main[[#All],[TYPE]:[UNIT]],'Unit Price'!G$1,FALSE),0)</f>
        <v>0</v>
      </c>
      <c r="J158" s="194">
        <f>IF(_1_5412845612146241046457891017456[[#This Row],[Type]]&gt;0,VLOOKUP(_1_5412845612146241046457891017456[[#This Row],[Type]],Main[[#All],[TYPE]:[UNIT]],'Unit Price'!H$1,FALSE),0)</f>
        <v>0</v>
      </c>
      <c r="K158" s="194">
        <f>IF(_1_5412845612146241046457891017456[[#This Row],[Discount selection]]&gt;0,VLOOKUP(_1_5412845612146241046457891017456[[#This Row],[Discount selection]],'Discount Structure'!$A$2:$B$30,2,"false"),0)</f>
        <v>1</v>
      </c>
      <c r="L158" s="194">
        <f>_1_5412845612146241046457891017456[[#This Row],[LIST $]]*_1_5412845612146241046457891017456[[#This Row],[DISCOUNT]]*_1_5412845612146241046457891017456[[#This Row],[DISCOUNT 2]]</f>
        <v>0</v>
      </c>
      <c r="M158" s="194">
        <f>IF(OR(_1_5412845612146241046457891017456[[#This Row],[UNIT]]&gt;0,_1_5412845612146241046457891017456[[#This Row],[UNIT]]&lt;0),_1_5412845612146241046457891017456[[#This Row],[UNIT]]*_1_5412845612146241046457891017456[[#This Row],[COST]],0)</f>
        <v>0</v>
      </c>
      <c r="N158" s="194">
        <f t="shared" si="2"/>
        <v>1.3</v>
      </c>
      <c r="O158" s="198">
        <f>_1_5412845612146241046457891017456[[#This Row],[TOTAL]]*_1_5412845612146241046457891017456[[#This Row],[MARGIN]]</f>
        <v>0</v>
      </c>
      <c r="R158" s="41"/>
    </row>
    <row r="159" spans="1:18">
      <c r="C159" s="168"/>
      <c r="D159" s="188"/>
      <c r="F159" s="168" t="s">
        <v>6202</v>
      </c>
      <c r="G159" s="193">
        <f>IF(_1_5412845612146241046457891017456[[#This Row],[Type]]&gt;0,VLOOKUP(_1_5412845612146241046457891017456[[#This Row],[Type]],Main[[#All],[TYPE]:[UNIT]],'Unit Price'!C$1,FALSE),0)</f>
        <v>0</v>
      </c>
      <c r="H159" s="197">
        <f>IF(_1_5412845612146241046457891017456[[#This Row],[Type]]&gt;0,VLOOKUP(_1_5412845612146241046457891017456[[#This Row],[Type]],Main[[#All],[TYPE]:[UNIT]],'Unit Price'!D$1,FALSE),0)</f>
        <v>0</v>
      </c>
      <c r="I159" s="194">
        <f>IF(_1_5412845612146241046457891017456[[#This Row],[Type]]&gt;0,VLOOKUP(_1_5412845612146241046457891017456[[#This Row],[Type]],Main[[#All],[TYPE]:[UNIT]],'Unit Price'!G$1,FALSE),0)</f>
        <v>0</v>
      </c>
      <c r="J159" s="194">
        <f>IF(_1_5412845612146241046457891017456[[#This Row],[Type]]&gt;0,VLOOKUP(_1_5412845612146241046457891017456[[#This Row],[Type]],Main[[#All],[TYPE]:[UNIT]],'Unit Price'!H$1,FALSE),0)</f>
        <v>0</v>
      </c>
      <c r="K159" s="194">
        <f>IF(_1_5412845612146241046457891017456[[#This Row],[Discount selection]]&gt;0,VLOOKUP(_1_5412845612146241046457891017456[[#This Row],[Discount selection]],'Discount Structure'!$A$2:$B$30,2,"false"),0)</f>
        <v>1</v>
      </c>
      <c r="L159" s="194">
        <f>_1_5412845612146241046457891017456[[#This Row],[LIST $]]*_1_5412845612146241046457891017456[[#This Row],[DISCOUNT]]*_1_5412845612146241046457891017456[[#This Row],[DISCOUNT 2]]</f>
        <v>0</v>
      </c>
      <c r="M159" s="194">
        <f>IF(OR(_1_5412845612146241046457891017456[[#This Row],[UNIT]]&gt;0,_1_5412845612146241046457891017456[[#This Row],[UNIT]]&lt;0),_1_5412845612146241046457891017456[[#This Row],[UNIT]]*_1_5412845612146241046457891017456[[#This Row],[COST]],0)</f>
        <v>0</v>
      </c>
      <c r="N159" s="194">
        <f t="shared" si="2"/>
        <v>1.3</v>
      </c>
      <c r="O159" s="198">
        <f>_1_5412845612146241046457891017456[[#This Row],[TOTAL]]*_1_5412845612146241046457891017456[[#This Row],[MARGIN]]</f>
        <v>0</v>
      </c>
      <c r="R159" s="41"/>
    </row>
    <row r="160" spans="1:18">
      <c r="C160" s="168"/>
      <c r="D160" s="188"/>
      <c r="F160" s="168" t="s">
        <v>6202</v>
      </c>
      <c r="G160" s="193">
        <f>IF(_1_5412845612146241046457891017456[[#This Row],[Type]]&gt;0,VLOOKUP(_1_5412845612146241046457891017456[[#This Row],[Type]],Main[[#All],[TYPE]:[UNIT]],'Unit Price'!C$1,FALSE),0)</f>
        <v>0</v>
      </c>
      <c r="H160" s="197">
        <f>IF(_1_5412845612146241046457891017456[[#This Row],[Type]]&gt;0,VLOOKUP(_1_5412845612146241046457891017456[[#This Row],[Type]],Main[[#All],[TYPE]:[UNIT]],'Unit Price'!D$1,FALSE),0)</f>
        <v>0</v>
      </c>
      <c r="I160" s="194">
        <f>IF(_1_5412845612146241046457891017456[[#This Row],[Type]]&gt;0,VLOOKUP(_1_5412845612146241046457891017456[[#This Row],[Type]],Main[[#All],[TYPE]:[UNIT]],'Unit Price'!G$1,FALSE),0)</f>
        <v>0</v>
      </c>
      <c r="J160" s="194">
        <f>IF(_1_5412845612146241046457891017456[[#This Row],[Type]]&gt;0,VLOOKUP(_1_5412845612146241046457891017456[[#This Row],[Type]],Main[[#All],[TYPE]:[UNIT]],'Unit Price'!H$1,FALSE),0)</f>
        <v>0</v>
      </c>
      <c r="K160" s="194">
        <f>IF(_1_5412845612146241046457891017456[[#This Row],[Discount selection]]&gt;0,VLOOKUP(_1_5412845612146241046457891017456[[#This Row],[Discount selection]],'Discount Structure'!$A$2:$B$30,2,"false"),0)</f>
        <v>1</v>
      </c>
      <c r="L160" s="194">
        <f>_1_5412845612146241046457891017456[[#This Row],[LIST $]]*_1_5412845612146241046457891017456[[#This Row],[DISCOUNT]]*_1_5412845612146241046457891017456[[#This Row],[DISCOUNT 2]]</f>
        <v>0</v>
      </c>
      <c r="M160" s="194">
        <f>IF(OR(_1_5412845612146241046457891017456[[#This Row],[UNIT]]&gt;0,_1_5412845612146241046457891017456[[#This Row],[UNIT]]&lt;0),_1_5412845612146241046457891017456[[#This Row],[UNIT]]*_1_5412845612146241046457891017456[[#This Row],[COST]],0)</f>
        <v>0</v>
      </c>
      <c r="N160" s="194">
        <f t="shared" si="2"/>
        <v>1.3</v>
      </c>
      <c r="O160" s="198">
        <f>_1_5412845612146241046457891017456[[#This Row],[TOTAL]]*_1_5412845612146241046457891017456[[#This Row],[MARGIN]]</f>
        <v>0</v>
      </c>
      <c r="R160" s="41"/>
    </row>
    <row r="161" spans="1:18">
      <c r="A161" s="168"/>
      <c r="C161" s="168"/>
      <c r="D161" s="188"/>
      <c r="F161" s="168" t="s">
        <v>6202</v>
      </c>
      <c r="G161" s="193">
        <f>IF(_1_5412845612146241046457891017456[[#This Row],[Type]]&gt;0,VLOOKUP(_1_5412845612146241046457891017456[[#This Row],[Type]],Main[[#All],[TYPE]:[UNIT]],'Unit Price'!C$1,FALSE),0)</f>
        <v>0</v>
      </c>
      <c r="H161" s="197">
        <f>IF(_1_5412845612146241046457891017456[[#This Row],[Type]]&gt;0,VLOOKUP(_1_5412845612146241046457891017456[[#This Row],[Type]],Main[[#All],[TYPE]:[UNIT]],'Unit Price'!D$1,FALSE),0)</f>
        <v>0</v>
      </c>
      <c r="I161" s="194">
        <f>IF(_1_5412845612146241046457891017456[[#This Row],[Type]]&gt;0,VLOOKUP(_1_5412845612146241046457891017456[[#This Row],[Type]],Main[[#All],[TYPE]:[UNIT]],'Unit Price'!G$1,FALSE),0)</f>
        <v>0</v>
      </c>
      <c r="J161" s="194">
        <f>IF(_1_5412845612146241046457891017456[[#This Row],[Type]]&gt;0,VLOOKUP(_1_5412845612146241046457891017456[[#This Row],[Type]],Main[[#All],[TYPE]:[UNIT]],'Unit Price'!H$1,FALSE),0)</f>
        <v>0</v>
      </c>
      <c r="K161" s="194">
        <f>IF(_1_5412845612146241046457891017456[[#This Row],[Discount selection]]&gt;0,VLOOKUP(_1_5412845612146241046457891017456[[#This Row],[Discount selection]],'Discount Structure'!$A$2:$B$30,2,"false"),0)</f>
        <v>1</v>
      </c>
      <c r="L161" s="194">
        <f>_1_5412845612146241046457891017456[[#This Row],[LIST $]]*_1_5412845612146241046457891017456[[#This Row],[DISCOUNT]]*_1_5412845612146241046457891017456[[#This Row],[DISCOUNT 2]]</f>
        <v>0</v>
      </c>
      <c r="M161" s="194">
        <f>IF(OR(_1_5412845612146241046457891017456[[#This Row],[UNIT]]&gt;0,_1_5412845612146241046457891017456[[#This Row],[UNIT]]&lt;0),_1_5412845612146241046457891017456[[#This Row],[UNIT]]*_1_5412845612146241046457891017456[[#This Row],[COST]],0)</f>
        <v>0</v>
      </c>
      <c r="N161" s="194">
        <f t="shared" si="2"/>
        <v>1.3</v>
      </c>
      <c r="O161" s="198">
        <f>_1_5412845612146241046457891017456[[#This Row],[TOTAL]]*_1_5412845612146241046457891017456[[#This Row],[MARGIN]]</f>
        <v>0</v>
      </c>
      <c r="R161" s="41"/>
    </row>
    <row r="162" spans="1:18">
      <c r="B162" s="168"/>
      <c r="C162" s="168"/>
      <c r="D162" s="188"/>
      <c r="F162" s="168" t="s">
        <v>6202</v>
      </c>
      <c r="G162" s="193">
        <f>IF(_1_5412845612146241046457891017456[[#This Row],[Type]]&gt;0,VLOOKUP(_1_5412845612146241046457891017456[[#This Row],[Type]],Main[[#All],[TYPE]:[UNIT]],'Unit Price'!C$1,FALSE),0)</f>
        <v>0</v>
      </c>
      <c r="H162" s="197">
        <f>IF(_1_5412845612146241046457891017456[[#This Row],[Type]]&gt;0,VLOOKUP(_1_5412845612146241046457891017456[[#This Row],[Type]],Main[[#All],[TYPE]:[UNIT]],'Unit Price'!D$1,FALSE),0)</f>
        <v>0</v>
      </c>
      <c r="I162" s="194">
        <f>IF(_1_5412845612146241046457891017456[[#This Row],[Type]]&gt;0,VLOOKUP(_1_5412845612146241046457891017456[[#This Row],[Type]],Main[[#All],[TYPE]:[UNIT]],'Unit Price'!G$1,FALSE),0)</f>
        <v>0</v>
      </c>
      <c r="J162" s="194">
        <f>IF(_1_5412845612146241046457891017456[[#This Row],[Type]]&gt;0,VLOOKUP(_1_5412845612146241046457891017456[[#This Row],[Type]],Main[[#All],[TYPE]:[UNIT]],'Unit Price'!H$1,FALSE),0)</f>
        <v>0</v>
      </c>
      <c r="K162" s="194">
        <f>IF(_1_5412845612146241046457891017456[[#This Row],[Discount selection]]&gt;0,VLOOKUP(_1_5412845612146241046457891017456[[#This Row],[Discount selection]],'Discount Structure'!$A$2:$B$30,2,"false"),0)</f>
        <v>1</v>
      </c>
      <c r="L162" s="194">
        <f>_1_5412845612146241046457891017456[[#This Row],[LIST $]]*_1_5412845612146241046457891017456[[#This Row],[DISCOUNT]]*_1_5412845612146241046457891017456[[#This Row],[DISCOUNT 2]]</f>
        <v>0</v>
      </c>
      <c r="M162" s="194">
        <f>IF(OR(_1_5412845612146241046457891017456[[#This Row],[UNIT]]&gt;0,_1_5412845612146241046457891017456[[#This Row],[UNIT]]&lt;0),_1_5412845612146241046457891017456[[#This Row],[UNIT]]*_1_5412845612146241046457891017456[[#This Row],[COST]],0)</f>
        <v>0</v>
      </c>
      <c r="N162" s="194">
        <f t="shared" si="2"/>
        <v>1.3</v>
      </c>
      <c r="O162" s="198">
        <f>_1_5412845612146241046457891017456[[#This Row],[TOTAL]]*_1_5412845612146241046457891017456[[#This Row],[MARGIN]]</f>
        <v>0</v>
      </c>
      <c r="R162" s="41"/>
    </row>
    <row r="163" spans="1:18">
      <c r="A163" s="168"/>
      <c r="C163" s="168"/>
      <c r="D163" s="188"/>
      <c r="F163" s="168" t="s">
        <v>6202</v>
      </c>
      <c r="G163" s="193">
        <f>IF(_1_5412845612146241046457891017456[[#This Row],[Type]]&gt;0,VLOOKUP(_1_5412845612146241046457891017456[[#This Row],[Type]],Main[[#All],[TYPE]:[UNIT]],'Unit Price'!C$1,FALSE),0)</f>
        <v>0</v>
      </c>
      <c r="H163" s="197">
        <f>IF(_1_5412845612146241046457891017456[[#This Row],[Type]]&gt;0,VLOOKUP(_1_5412845612146241046457891017456[[#This Row],[Type]],Main[[#All],[TYPE]:[UNIT]],'Unit Price'!D$1,FALSE),0)</f>
        <v>0</v>
      </c>
      <c r="I163" s="194">
        <f>IF(_1_5412845612146241046457891017456[[#This Row],[Type]]&gt;0,VLOOKUP(_1_5412845612146241046457891017456[[#This Row],[Type]],Main[[#All],[TYPE]:[UNIT]],'Unit Price'!G$1,FALSE),0)</f>
        <v>0</v>
      </c>
      <c r="J163" s="194">
        <f>IF(_1_5412845612146241046457891017456[[#This Row],[Type]]&gt;0,VLOOKUP(_1_5412845612146241046457891017456[[#This Row],[Type]],Main[[#All],[TYPE]:[UNIT]],'Unit Price'!H$1,FALSE),0)</f>
        <v>0</v>
      </c>
      <c r="K163" s="194">
        <f>IF(_1_5412845612146241046457891017456[[#This Row],[Discount selection]]&gt;0,VLOOKUP(_1_5412845612146241046457891017456[[#This Row],[Discount selection]],'Discount Structure'!$A$2:$B$30,2,"false"),0)</f>
        <v>1</v>
      </c>
      <c r="L163" s="194">
        <f>_1_5412845612146241046457891017456[[#This Row],[LIST $]]*_1_5412845612146241046457891017456[[#This Row],[DISCOUNT]]*_1_5412845612146241046457891017456[[#This Row],[DISCOUNT 2]]</f>
        <v>0</v>
      </c>
      <c r="M163" s="194">
        <f>IF(OR(_1_5412845612146241046457891017456[[#This Row],[UNIT]]&gt;0,_1_5412845612146241046457891017456[[#This Row],[UNIT]]&lt;0),_1_5412845612146241046457891017456[[#This Row],[UNIT]]*_1_5412845612146241046457891017456[[#This Row],[COST]],0)</f>
        <v>0</v>
      </c>
      <c r="N163" s="194">
        <f t="shared" si="2"/>
        <v>1.3</v>
      </c>
      <c r="O163" s="198">
        <f>_1_5412845612146241046457891017456[[#This Row],[TOTAL]]*_1_5412845612146241046457891017456[[#This Row],[MARGIN]]</f>
        <v>0</v>
      </c>
      <c r="R163" s="41"/>
    </row>
    <row r="164" spans="1:18">
      <c r="B164" s="168"/>
      <c r="C164" s="168"/>
      <c r="D164" s="188"/>
      <c r="F164" s="168" t="s">
        <v>6202</v>
      </c>
      <c r="G164" s="193">
        <f>IF(_1_5412845612146241046457891017456[[#This Row],[Type]]&gt;0,VLOOKUP(_1_5412845612146241046457891017456[[#This Row],[Type]],Main[[#All],[TYPE]:[UNIT]],'Unit Price'!C$1,FALSE),0)</f>
        <v>0</v>
      </c>
      <c r="H164" s="197">
        <f>IF(_1_5412845612146241046457891017456[[#This Row],[Type]]&gt;0,VLOOKUP(_1_5412845612146241046457891017456[[#This Row],[Type]],Main[[#All],[TYPE]:[UNIT]],'Unit Price'!D$1,FALSE),0)</f>
        <v>0</v>
      </c>
      <c r="I164" s="194">
        <f>IF(_1_5412845612146241046457891017456[[#This Row],[Type]]&gt;0,VLOOKUP(_1_5412845612146241046457891017456[[#This Row],[Type]],Main[[#All],[TYPE]:[UNIT]],'Unit Price'!G$1,FALSE),0)</f>
        <v>0</v>
      </c>
      <c r="J164" s="194">
        <f>IF(_1_5412845612146241046457891017456[[#This Row],[Type]]&gt;0,VLOOKUP(_1_5412845612146241046457891017456[[#This Row],[Type]],Main[[#All],[TYPE]:[UNIT]],'Unit Price'!H$1,FALSE),0)</f>
        <v>0</v>
      </c>
      <c r="K164" s="194">
        <f>IF(_1_5412845612146241046457891017456[[#This Row],[Discount selection]]&gt;0,VLOOKUP(_1_5412845612146241046457891017456[[#This Row],[Discount selection]],'Discount Structure'!$A$2:$B$30,2,"false"),0)</f>
        <v>1</v>
      </c>
      <c r="L164" s="194">
        <f>_1_5412845612146241046457891017456[[#This Row],[LIST $]]*_1_5412845612146241046457891017456[[#This Row],[DISCOUNT]]*_1_5412845612146241046457891017456[[#This Row],[DISCOUNT 2]]</f>
        <v>0</v>
      </c>
      <c r="M164" s="194">
        <f>IF(OR(_1_5412845612146241046457891017456[[#This Row],[UNIT]]&gt;0,_1_5412845612146241046457891017456[[#This Row],[UNIT]]&lt;0),_1_5412845612146241046457891017456[[#This Row],[UNIT]]*_1_5412845612146241046457891017456[[#This Row],[COST]],0)</f>
        <v>0</v>
      </c>
      <c r="N164" s="194">
        <f t="shared" si="2"/>
        <v>1.3</v>
      </c>
      <c r="O164" s="198">
        <f>_1_5412845612146241046457891017456[[#This Row],[TOTAL]]*_1_5412845612146241046457891017456[[#This Row],[MARGIN]]</f>
        <v>0</v>
      </c>
      <c r="R164" s="41"/>
    </row>
    <row r="165" spans="1:18">
      <c r="A165" s="168"/>
      <c r="C165" s="168"/>
      <c r="D165" s="188"/>
      <c r="F165" s="168" t="s">
        <v>6202</v>
      </c>
      <c r="G165" s="193">
        <f>IF(_1_5412845612146241046457891017456[[#This Row],[Type]]&gt;0,VLOOKUP(_1_5412845612146241046457891017456[[#This Row],[Type]],Main[[#All],[TYPE]:[UNIT]],'Unit Price'!C$1,FALSE),0)</f>
        <v>0</v>
      </c>
      <c r="H165" s="197">
        <f>IF(_1_5412845612146241046457891017456[[#This Row],[Type]]&gt;0,VLOOKUP(_1_5412845612146241046457891017456[[#This Row],[Type]],Main[[#All],[TYPE]:[UNIT]],'Unit Price'!D$1,FALSE),0)</f>
        <v>0</v>
      </c>
      <c r="I165" s="194">
        <f>IF(_1_5412845612146241046457891017456[[#This Row],[Type]]&gt;0,VLOOKUP(_1_5412845612146241046457891017456[[#This Row],[Type]],Main[[#All],[TYPE]:[UNIT]],'Unit Price'!G$1,FALSE),0)</f>
        <v>0</v>
      </c>
      <c r="J165" s="194">
        <f>IF(_1_5412845612146241046457891017456[[#This Row],[Type]]&gt;0,VLOOKUP(_1_5412845612146241046457891017456[[#This Row],[Type]],Main[[#All],[TYPE]:[UNIT]],'Unit Price'!H$1,FALSE),0)</f>
        <v>0</v>
      </c>
      <c r="K165" s="194">
        <f>IF(_1_5412845612146241046457891017456[[#This Row],[Discount selection]]&gt;0,VLOOKUP(_1_5412845612146241046457891017456[[#This Row],[Discount selection]],'Discount Structure'!$A$2:$B$30,2,"false"),0)</f>
        <v>1</v>
      </c>
      <c r="L165" s="194">
        <f>_1_5412845612146241046457891017456[[#This Row],[LIST $]]*_1_5412845612146241046457891017456[[#This Row],[DISCOUNT]]*_1_5412845612146241046457891017456[[#This Row],[DISCOUNT 2]]</f>
        <v>0</v>
      </c>
      <c r="M165" s="194">
        <f>IF(OR(_1_5412845612146241046457891017456[[#This Row],[UNIT]]&gt;0,_1_5412845612146241046457891017456[[#This Row],[UNIT]]&lt;0),_1_5412845612146241046457891017456[[#This Row],[UNIT]]*_1_5412845612146241046457891017456[[#This Row],[COST]],0)</f>
        <v>0</v>
      </c>
      <c r="N165" s="194">
        <f t="shared" si="2"/>
        <v>1.3</v>
      </c>
      <c r="O165" s="198">
        <f>_1_5412845612146241046457891017456[[#This Row],[TOTAL]]*_1_5412845612146241046457891017456[[#This Row],[MARGIN]]</f>
        <v>0</v>
      </c>
      <c r="R165" s="41"/>
    </row>
    <row r="166" spans="1:18">
      <c r="B166" s="168"/>
      <c r="C166" s="168"/>
      <c r="D166" s="188"/>
      <c r="F166" s="168" t="s">
        <v>6202</v>
      </c>
      <c r="G166" s="193">
        <f>IF(_1_5412845612146241046457891017456[[#This Row],[Type]]&gt;0,VLOOKUP(_1_5412845612146241046457891017456[[#This Row],[Type]],Main[[#All],[TYPE]:[UNIT]],'Unit Price'!C$1,FALSE),0)</f>
        <v>0</v>
      </c>
      <c r="H166" s="197">
        <f>IF(_1_5412845612146241046457891017456[[#This Row],[Type]]&gt;0,VLOOKUP(_1_5412845612146241046457891017456[[#This Row],[Type]],Main[[#All],[TYPE]:[UNIT]],'Unit Price'!D$1,FALSE),0)</f>
        <v>0</v>
      </c>
      <c r="I166" s="194">
        <f>IF(_1_5412845612146241046457891017456[[#This Row],[Type]]&gt;0,VLOOKUP(_1_5412845612146241046457891017456[[#This Row],[Type]],Main[[#All],[TYPE]:[UNIT]],'Unit Price'!G$1,FALSE),0)</f>
        <v>0</v>
      </c>
      <c r="J166" s="194">
        <f>IF(_1_5412845612146241046457891017456[[#This Row],[Type]]&gt;0,VLOOKUP(_1_5412845612146241046457891017456[[#This Row],[Type]],Main[[#All],[TYPE]:[UNIT]],'Unit Price'!H$1,FALSE),0)</f>
        <v>0</v>
      </c>
      <c r="K166" s="194">
        <f>IF(_1_5412845612146241046457891017456[[#This Row],[Discount selection]]&gt;0,VLOOKUP(_1_5412845612146241046457891017456[[#This Row],[Discount selection]],'Discount Structure'!$A$2:$B$30,2,"false"),0)</f>
        <v>1</v>
      </c>
      <c r="L166" s="194">
        <f>_1_5412845612146241046457891017456[[#This Row],[LIST $]]*_1_5412845612146241046457891017456[[#This Row],[DISCOUNT]]*_1_5412845612146241046457891017456[[#This Row],[DISCOUNT 2]]</f>
        <v>0</v>
      </c>
      <c r="M166" s="194">
        <f>IF(OR(_1_5412845612146241046457891017456[[#This Row],[UNIT]]&gt;0,_1_5412845612146241046457891017456[[#This Row],[UNIT]]&lt;0),_1_5412845612146241046457891017456[[#This Row],[UNIT]]*_1_5412845612146241046457891017456[[#This Row],[COST]],0)</f>
        <v>0</v>
      </c>
      <c r="N166" s="194">
        <f t="shared" si="2"/>
        <v>1.3</v>
      </c>
      <c r="O166" s="198">
        <f>_1_5412845612146241046457891017456[[#This Row],[TOTAL]]*_1_5412845612146241046457891017456[[#This Row],[MARGIN]]</f>
        <v>0</v>
      </c>
      <c r="R166" s="41"/>
    </row>
    <row r="167" spans="1:18">
      <c r="A167" s="168"/>
      <c r="C167" s="168"/>
      <c r="D167" s="188"/>
      <c r="F167" s="168" t="s">
        <v>6202</v>
      </c>
      <c r="G167" s="193">
        <f>IF(_1_5412845612146241046457891017456[[#This Row],[Type]]&gt;0,VLOOKUP(_1_5412845612146241046457891017456[[#This Row],[Type]],Main[[#All],[TYPE]:[UNIT]],'Unit Price'!C$1,FALSE),0)</f>
        <v>0</v>
      </c>
      <c r="H167" s="197">
        <f>IF(_1_5412845612146241046457891017456[[#This Row],[Type]]&gt;0,VLOOKUP(_1_5412845612146241046457891017456[[#This Row],[Type]],Main[[#All],[TYPE]:[UNIT]],'Unit Price'!D$1,FALSE),0)</f>
        <v>0</v>
      </c>
      <c r="I167" s="194">
        <f>IF(_1_5412845612146241046457891017456[[#This Row],[Type]]&gt;0,VLOOKUP(_1_5412845612146241046457891017456[[#This Row],[Type]],Main[[#All],[TYPE]:[UNIT]],'Unit Price'!G$1,FALSE),0)</f>
        <v>0</v>
      </c>
      <c r="J167" s="194">
        <f>IF(_1_5412845612146241046457891017456[[#This Row],[Type]]&gt;0,VLOOKUP(_1_5412845612146241046457891017456[[#This Row],[Type]],Main[[#All],[TYPE]:[UNIT]],'Unit Price'!H$1,FALSE),0)</f>
        <v>0</v>
      </c>
      <c r="K167" s="194">
        <f>IF(_1_5412845612146241046457891017456[[#This Row],[Discount selection]]&gt;0,VLOOKUP(_1_5412845612146241046457891017456[[#This Row],[Discount selection]],'Discount Structure'!$A$2:$B$30,2,"false"),0)</f>
        <v>1</v>
      </c>
      <c r="L167" s="194">
        <f>_1_5412845612146241046457891017456[[#This Row],[LIST $]]*_1_5412845612146241046457891017456[[#This Row],[DISCOUNT]]*_1_5412845612146241046457891017456[[#This Row],[DISCOUNT 2]]</f>
        <v>0</v>
      </c>
      <c r="M167" s="194">
        <f>IF(OR(_1_5412845612146241046457891017456[[#This Row],[UNIT]]&gt;0,_1_5412845612146241046457891017456[[#This Row],[UNIT]]&lt;0),_1_5412845612146241046457891017456[[#This Row],[UNIT]]*_1_5412845612146241046457891017456[[#This Row],[COST]],0)</f>
        <v>0</v>
      </c>
      <c r="N167" s="194">
        <f t="shared" si="2"/>
        <v>1.3</v>
      </c>
      <c r="O167" s="198">
        <f>_1_5412845612146241046457891017456[[#This Row],[TOTAL]]*_1_5412845612146241046457891017456[[#This Row],[MARGIN]]</f>
        <v>0</v>
      </c>
      <c r="R167" s="41"/>
    </row>
    <row r="168" spans="1:18">
      <c r="B168" s="168"/>
      <c r="C168" s="168"/>
      <c r="D168" s="188"/>
      <c r="F168" s="168" t="s">
        <v>6202</v>
      </c>
      <c r="G168" s="193">
        <f>IF(_1_5412845612146241046457891017456[[#This Row],[Type]]&gt;0,VLOOKUP(_1_5412845612146241046457891017456[[#This Row],[Type]],Main[[#All],[TYPE]:[UNIT]],'Unit Price'!C$1,FALSE),0)</f>
        <v>0</v>
      </c>
      <c r="H168" s="197">
        <f>IF(_1_5412845612146241046457891017456[[#This Row],[Type]]&gt;0,VLOOKUP(_1_5412845612146241046457891017456[[#This Row],[Type]],Main[[#All],[TYPE]:[UNIT]],'Unit Price'!D$1,FALSE),0)</f>
        <v>0</v>
      </c>
      <c r="I168" s="194">
        <f>IF(_1_5412845612146241046457891017456[[#This Row],[Type]]&gt;0,VLOOKUP(_1_5412845612146241046457891017456[[#This Row],[Type]],Main[[#All],[TYPE]:[UNIT]],'Unit Price'!G$1,FALSE),0)</f>
        <v>0</v>
      </c>
      <c r="J168" s="194">
        <f>IF(_1_5412845612146241046457891017456[[#This Row],[Type]]&gt;0,VLOOKUP(_1_5412845612146241046457891017456[[#This Row],[Type]],Main[[#All],[TYPE]:[UNIT]],'Unit Price'!H$1,FALSE),0)</f>
        <v>0</v>
      </c>
      <c r="K168" s="194">
        <f>IF(_1_5412845612146241046457891017456[[#This Row],[Discount selection]]&gt;0,VLOOKUP(_1_5412845612146241046457891017456[[#This Row],[Discount selection]],'Discount Structure'!$A$2:$B$30,2,"false"),0)</f>
        <v>1</v>
      </c>
      <c r="L168" s="194">
        <f>_1_5412845612146241046457891017456[[#This Row],[LIST $]]*_1_5412845612146241046457891017456[[#This Row],[DISCOUNT]]*_1_5412845612146241046457891017456[[#This Row],[DISCOUNT 2]]</f>
        <v>0</v>
      </c>
      <c r="M168" s="194">
        <f>IF(OR(_1_5412845612146241046457891017456[[#This Row],[UNIT]]&gt;0,_1_5412845612146241046457891017456[[#This Row],[UNIT]]&lt;0),_1_5412845612146241046457891017456[[#This Row],[UNIT]]*_1_5412845612146241046457891017456[[#This Row],[COST]],0)</f>
        <v>0</v>
      </c>
      <c r="N168" s="194">
        <f t="shared" si="2"/>
        <v>1.3</v>
      </c>
      <c r="O168" s="198">
        <f>_1_5412845612146241046457891017456[[#This Row],[TOTAL]]*_1_5412845612146241046457891017456[[#This Row],[MARGIN]]</f>
        <v>0</v>
      </c>
      <c r="R168" s="41"/>
    </row>
    <row r="169" spans="1:18">
      <c r="A169" s="168"/>
      <c r="C169" s="168"/>
      <c r="D169" s="188"/>
      <c r="F169" s="168" t="s">
        <v>6202</v>
      </c>
      <c r="G169" s="193">
        <f>IF(_1_5412845612146241046457891017456[[#This Row],[Type]]&gt;0,VLOOKUP(_1_5412845612146241046457891017456[[#This Row],[Type]],Main[[#All],[TYPE]:[UNIT]],'Unit Price'!C$1,FALSE),0)</f>
        <v>0</v>
      </c>
      <c r="H169" s="197">
        <f>IF(_1_5412845612146241046457891017456[[#This Row],[Type]]&gt;0,VLOOKUP(_1_5412845612146241046457891017456[[#This Row],[Type]],Main[[#All],[TYPE]:[UNIT]],'Unit Price'!D$1,FALSE),0)</f>
        <v>0</v>
      </c>
      <c r="I169" s="194">
        <f>IF(_1_5412845612146241046457891017456[[#This Row],[Type]]&gt;0,VLOOKUP(_1_5412845612146241046457891017456[[#This Row],[Type]],Main[[#All],[TYPE]:[UNIT]],'Unit Price'!G$1,FALSE),0)</f>
        <v>0</v>
      </c>
      <c r="J169" s="194">
        <f>IF(_1_5412845612146241046457891017456[[#This Row],[Type]]&gt;0,VLOOKUP(_1_5412845612146241046457891017456[[#This Row],[Type]],Main[[#All],[TYPE]:[UNIT]],'Unit Price'!H$1,FALSE),0)</f>
        <v>0</v>
      </c>
      <c r="K169" s="194">
        <f>IF(_1_5412845612146241046457891017456[[#This Row],[Discount selection]]&gt;0,VLOOKUP(_1_5412845612146241046457891017456[[#This Row],[Discount selection]],'Discount Structure'!$A$2:$B$30,2,"false"),0)</f>
        <v>1</v>
      </c>
      <c r="L169" s="194">
        <f>_1_5412845612146241046457891017456[[#This Row],[LIST $]]*_1_5412845612146241046457891017456[[#This Row],[DISCOUNT]]*_1_5412845612146241046457891017456[[#This Row],[DISCOUNT 2]]</f>
        <v>0</v>
      </c>
      <c r="M169" s="194">
        <f>IF(OR(_1_5412845612146241046457891017456[[#This Row],[UNIT]]&gt;0,_1_5412845612146241046457891017456[[#This Row],[UNIT]]&lt;0),_1_5412845612146241046457891017456[[#This Row],[UNIT]]*_1_5412845612146241046457891017456[[#This Row],[COST]],0)</f>
        <v>0</v>
      </c>
      <c r="N169" s="194">
        <f t="shared" si="2"/>
        <v>1.3</v>
      </c>
      <c r="O169" s="198">
        <f>_1_5412845612146241046457891017456[[#This Row],[TOTAL]]*_1_5412845612146241046457891017456[[#This Row],[MARGIN]]</f>
        <v>0</v>
      </c>
      <c r="R169" s="41"/>
    </row>
    <row r="170" spans="1:18">
      <c r="B170" s="168"/>
      <c r="C170" s="168"/>
      <c r="D170" s="188"/>
      <c r="F170" s="168" t="s">
        <v>6202</v>
      </c>
      <c r="G170" s="193">
        <f>IF(_1_5412845612146241046457891017456[[#This Row],[Type]]&gt;0,VLOOKUP(_1_5412845612146241046457891017456[[#This Row],[Type]],Main[[#All],[TYPE]:[UNIT]],'Unit Price'!C$1,FALSE),0)</f>
        <v>0</v>
      </c>
      <c r="H170" s="197">
        <f>IF(_1_5412845612146241046457891017456[[#This Row],[Type]]&gt;0,VLOOKUP(_1_5412845612146241046457891017456[[#This Row],[Type]],Main[[#All],[TYPE]:[UNIT]],'Unit Price'!D$1,FALSE),0)</f>
        <v>0</v>
      </c>
      <c r="I170" s="194">
        <f>IF(_1_5412845612146241046457891017456[[#This Row],[Type]]&gt;0,VLOOKUP(_1_5412845612146241046457891017456[[#This Row],[Type]],Main[[#All],[TYPE]:[UNIT]],'Unit Price'!G$1,FALSE),0)</f>
        <v>0</v>
      </c>
      <c r="J170" s="194">
        <f>IF(_1_5412845612146241046457891017456[[#This Row],[Type]]&gt;0,VLOOKUP(_1_5412845612146241046457891017456[[#This Row],[Type]],Main[[#All],[TYPE]:[UNIT]],'Unit Price'!H$1,FALSE),0)</f>
        <v>0</v>
      </c>
      <c r="K170" s="194">
        <f>IF(_1_5412845612146241046457891017456[[#This Row],[Discount selection]]&gt;0,VLOOKUP(_1_5412845612146241046457891017456[[#This Row],[Discount selection]],'Discount Structure'!$A$2:$B$30,2,"false"),0)</f>
        <v>1</v>
      </c>
      <c r="L170" s="194">
        <f>_1_5412845612146241046457891017456[[#This Row],[LIST $]]*_1_5412845612146241046457891017456[[#This Row],[DISCOUNT]]*_1_5412845612146241046457891017456[[#This Row],[DISCOUNT 2]]</f>
        <v>0</v>
      </c>
      <c r="M170" s="194">
        <f>IF(OR(_1_5412845612146241046457891017456[[#This Row],[UNIT]]&gt;0,_1_5412845612146241046457891017456[[#This Row],[UNIT]]&lt;0),_1_5412845612146241046457891017456[[#This Row],[UNIT]]*_1_5412845612146241046457891017456[[#This Row],[COST]],0)</f>
        <v>0</v>
      </c>
      <c r="N170" s="194">
        <f t="shared" si="2"/>
        <v>1.3</v>
      </c>
      <c r="O170" s="198">
        <f>_1_5412845612146241046457891017456[[#This Row],[TOTAL]]*_1_5412845612146241046457891017456[[#This Row],[MARGIN]]</f>
        <v>0</v>
      </c>
      <c r="R170" s="41"/>
    </row>
    <row r="171" spans="1:18">
      <c r="C171" s="168"/>
      <c r="D171" s="188"/>
      <c r="F171" s="168" t="s">
        <v>6202</v>
      </c>
      <c r="G171" s="193">
        <f>IF(_1_5412845612146241046457891017456[[#This Row],[Type]]&gt;0,VLOOKUP(_1_5412845612146241046457891017456[[#This Row],[Type]],Main[[#All],[TYPE]:[UNIT]],'Unit Price'!C$1,FALSE),0)</f>
        <v>0</v>
      </c>
      <c r="H171" s="197">
        <f>IF(_1_5412845612146241046457891017456[[#This Row],[Type]]&gt;0,VLOOKUP(_1_5412845612146241046457891017456[[#This Row],[Type]],Main[[#All],[TYPE]:[UNIT]],'Unit Price'!D$1,FALSE),0)</f>
        <v>0</v>
      </c>
      <c r="I171" s="194">
        <f>IF(_1_5412845612146241046457891017456[[#This Row],[Type]]&gt;0,VLOOKUP(_1_5412845612146241046457891017456[[#This Row],[Type]],Main[[#All],[TYPE]:[UNIT]],'Unit Price'!G$1,FALSE),0)</f>
        <v>0</v>
      </c>
      <c r="J171" s="194">
        <f>IF(_1_5412845612146241046457891017456[[#This Row],[Type]]&gt;0,VLOOKUP(_1_5412845612146241046457891017456[[#This Row],[Type]],Main[[#All],[TYPE]:[UNIT]],'Unit Price'!H$1,FALSE),0)</f>
        <v>0</v>
      </c>
      <c r="K171" s="194">
        <f>IF(_1_5412845612146241046457891017456[[#This Row],[Discount selection]]&gt;0,VLOOKUP(_1_5412845612146241046457891017456[[#This Row],[Discount selection]],'Discount Structure'!$A$2:$B$30,2,"false"),0)</f>
        <v>1</v>
      </c>
      <c r="L171" s="194">
        <f>_1_5412845612146241046457891017456[[#This Row],[LIST $]]*_1_5412845612146241046457891017456[[#This Row],[DISCOUNT]]*_1_5412845612146241046457891017456[[#This Row],[DISCOUNT 2]]</f>
        <v>0</v>
      </c>
      <c r="M171" s="194">
        <f>IF(OR(_1_5412845612146241046457891017456[[#This Row],[UNIT]]&gt;0,_1_5412845612146241046457891017456[[#This Row],[UNIT]]&lt;0),_1_5412845612146241046457891017456[[#This Row],[UNIT]]*_1_5412845612146241046457891017456[[#This Row],[COST]],0)</f>
        <v>0</v>
      </c>
      <c r="N171" s="194">
        <f t="shared" si="2"/>
        <v>1.3</v>
      </c>
      <c r="O171" s="198">
        <f>_1_5412845612146241046457891017456[[#This Row],[TOTAL]]*_1_5412845612146241046457891017456[[#This Row],[MARGIN]]</f>
        <v>0</v>
      </c>
      <c r="R171" s="41"/>
    </row>
    <row r="172" spans="1:18">
      <c r="C172" s="168"/>
      <c r="D172" s="188"/>
      <c r="F172" s="168" t="s">
        <v>6202</v>
      </c>
      <c r="G172" s="193">
        <f>IF(_1_5412845612146241046457891017456[[#This Row],[Type]]&gt;0,VLOOKUP(_1_5412845612146241046457891017456[[#This Row],[Type]],Main[[#All],[TYPE]:[UNIT]],'Unit Price'!C$1,FALSE),0)</f>
        <v>0</v>
      </c>
      <c r="H172" s="197">
        <f>IF(_1_5412845612146241046457891017456[[#This Row],[Type]]&gt;0,VLOOKUP(_1_5412845612146241046457891017456[[#This Row],[Type]],Main[[#All],[TYPE]:[UNIT]],'Unit Price'!D$1,FALSE),0)</f>
        <v>0</v>
      </c>
      <c r="I172" s="194">
        <f>IF(_1_5412845612146241046457891017456[[#This Row],[Type]]&gt;0,VLOOKUP(_1_5412845612146241046457891017456[[#This Row],[Type]],Main[[#All],[TYPE]:[UNIT]],'Unit Price'!G$1,FALSE),0)</f>
        <v>0</v>
      </c>
      <c r="J172" s="194">
        <f>IF(_1_5412845612146241046457891017456[[#This Row],[Type]]&gt;0,VLOOKUP(_1_5412845612146241046457891017456[[#This Row],[Type]],Main[[#All],[TYPE]:[UNIT]],'Unit Price'!H$1,FALSE),0)</f>
        <v>0</v>
      </c>
      <c r="K172" s="194">
        <f>IF(_1_5412845612146241046457891017456[[#This Row],[Discount selection]]&gt;0,VLOOKUP(_1_5412845612146241046457891017456[[#This Row],[Discount selection]],'Discount Structure'!$A$2:$B$30,2,"false"),0)</f>
        <v>1</v>
      </c>
      <c r="L172" s="194">
        <f>_1_5412845612146241046457891017456[[#This Row],[LIST $]]*_1_5412845612146241046457891017456[[#This Row],[DISCOUNT]]*_1_5412845612146241046457891017456[[#This Row],[DISCOUNT 2]]</f>
        <v>0</v>
      </c>
      <c r="M172" s="194">
        <f>IF(OR(_1_5412845612146241046457891017456[[#This Row],[UNIT]]&gt;0,_1_5412845612146241046457891017456[[#This Row],[UNIT]]&lt;0),_1_5412845612146241046457891017456[[#This Row],[UNIT]]*_1_5412845612146241046457891017456[[#This Row],[COST]],0)</f>
        <v>0</v>
      </c>
      <c r="N172" s="194">
        <f t="shared" si="2"/>
        <v>1.3</v>
      </c>
      <c r="O172" s="198">
        <f>_1_5412845612146241046457891017456[[#This Row],[TOTAL]]*_1_5412845612146241046457891017456[[#This Row],[MARGIN]]</f>
        <v>0</v>
      </c>
      <c r="R172" s="41"/>
    </row>
    <row r="173" spans="1:18">
      <c r="C173" s="168"/>
      <c r="D173" s="188"/>
      <c r="F173" s="168" t="s">
        <v>6202</v>
      </c>
      <c r="G173" s="193">
        <f>IF(_1_5412845612146241046457891017456[[#This Row],[Type]]&gt;0,VLOOKUP(_1_5412845612146241046457891017456[[#This Row],[Type]],Main[[#All],[TYPE]:[UNIT]],'Unit Price'!C$1,FALSE),0)</f>
        <v>0</v>
      </c>
      <c r="H173" s="197">
        <f>IF(_1_5412845612146241046457891017456[[#This Row],[Type]]&gt;0,VLOOKUP(_1_5412845612146241046457891017456[[#This Row],[Type]],Main[[#All],[TYPE]:[UNIT]],'Unit Price'!D$1,FALSE),0)</f>
        <v>0</v>
      </c>
      <c r="I173" s="194">
        <f>IF(_1_5412845612146241046457891017456[[#This Row],[Type]]&gt;0,VLOOKUP(_1_5412845612146241046457891017456[[#This Row],[Type]],Main[[#All],[TYPE]:[UNIT]],'Unit Price'!G$1,FALSE),0)</f>
        <v>0</v>
      </c>
      <c r="J173" s="194">
        <f>IF(_1_5412845612146241046457891017456[[#This Row],[Type]]&gt;0,VLOOKUP(_1_5412845612146241046457891017456[[#This Row],[Type]],Main[[#All],[TYPE]:[UNIT]],'Unit Price'!H$1,FALSE),0)</f>
        <v>0</v>
      </c>
      <c r="K173" s="194">
        <f>IF(_1_5412845612146241046457891017456[[#This Row],[Discount selection]]&gt;0,VLOOKUP(_1_5412845612146241046457891017456[[#This Row],[Discount selection]],'Discount Structure'!$A$2:$B$30,2,"false"),0)</f>
        <v>1</v>
      </c>
      <c r="L173" s="194">
        <f>_1_5412845612146241046457891017456[[#This Row],[LIST $]]*_1_5412845612146241046457891017456[[#This Row],[DISCOUNT]]*_1_5412845612146241046457891017456[[#This Row],[DISCOUNT 2]]</f>
        <v>0</v>
      </c>
      <c r="M173" s="194">
        <f>IF(OR(_1_5412845612146241046457891017456[[#This Row],[UNIT]]&gt;0,_1_5412845612146241046457891017456[[#This Row],[UNIT]]&lt;0),_1_5412845612146241046457891017456[[#This Row],[UNIT]]*_1_5412845612146241046457891017456[[#This Row],[COST]],0)</f>
        <v>0</v>
      </c>
      <c r="N173" s="194">
        <f t="shared" si="2"/>
        <v>1.3</v>
      </c>
      <c r="O173" s="198">
        <f>_1_5412845612146241046457891017456[[#This Row],[TOTAL]]*_1_5412845612146241046457891017456[[#This Row],[MARGIN]]</f>
        <v>0</v>
      </c>
      <c r="R173" s="41"/>
    </row>
    <row r="174" spans="1:18">
      <c r="C174" s="168"/>
      <c r="D174" s="188"/>
      <c r="F174" s="168" t="s">
        <v>6202</v>
      </c>
      <c r="G174" s="193">
        <f>IF(_1_5412845612146241046457891017456[[#This Row],[Type]]&gt;0,VLOOKUP(_1_5412845612146241046457891017456[[#This Row],[Type]],Main[[#All],[TYPE]:[UNIT]],'Unit Price'!C$1,FALSE),0)</f>
        <v>0</v>
      </c>
      <c r="H174" s="197">
        <f>IF(_1_5412845612146241046457891017456[[#This Row],[Type]]&gt;0,VLOOKUP(_1_5412845612146241046457891017456[[#This Row],[Type]],Main[[#All],[TYPE]:[UNIT]],'Unit Price'!D$1,FALSE),0)</f>
        <v>0</v>
      </c>
      <c r="I174" s="194">
        <f>IF(_1_5412845612146241046457891017456[[#This Row],[Type]]&gt;0,VLOOKUP(_1_5412845612146241046457891017456[[#This Row],[Type]],Main[[#All],[TYPE]:[UNIT]],'Unit Price'!G$1,FALSE),0)</f>
        <v>0</v>
      </c>
      <c r="J174" s="194">
        <f>IF(_1_5412845612146241046457891017456[[#This Row],[Type]]&gt;0,VLOOKUP(_1_5412845612146241046457891017456[[#This Row],[Type]],Main[[#All],[TYPE]:[UNIT]],'Unit Price'!H$1,FALSE),0)</f>
        <v>0</v>
      </c>
      <c r="K174" s="194">
        <f>IF(_1_5412845612146241046457891017456[[#This Row],[Discount selection]]&gt;0,VLOOKUP(_1_5412845612146241046457891017456[[#This Row],[Discount selection]],'Discount Structure'!$A$2:$B$30,2,"false"),0)</f>
        <v>1</v>
      </c>
      <c r="L174" s="194">
        <f>_1_5412845612146241046457891017456[[#This Row],[LIST $]]*_1_5412845612146241046457891017456[[#This Row],[DISCOUNT]]*_1_5412845612146241046457891017456[[#This Row],[DISCOUNT 2]]</f>
        <v>0</v>
      </c>
      <c r="M174" s="194">
        <f>IF(OR(_1_5412845612146241046457891017456[[#This Row],[UNIT]]&gt;0,_1_5412845612146241046457891017456[[#This Row],[UNIT]]&lt;0),_1_5412845612146241046457891017456[[#This Row],[UNIT]]*_1_5412845612146241046457891017456[[#This Row],[COST]],0)</f>
        <v>0</v>
      </c>
      <c r="N174" s="194">
        <f t="shared" si="2"/>
        <v>1.3</v>
      </c>
      <c r="O174" s="198">
        <f>_1_5412845612146241046457891017456[[#This Row],[TOTAL]]*_1_5412845612146241046457891017456[[#This Row],[MARGIN]]</f>
        <v>0</v>
      </c>
      <c r="R174" s="41"/>
    </row>
    <row r="175" spans="1:18">
      <c r="C175" s="168"/>
      <c r="D175" s="188"/>
      <c r="F175" s="168" t="s">
        <v>6202</v>
      </c>
      <c r="G175" s="193">
        <f>IF(_1_5412845612146241046457891017456[[#This Row],[Type]]&gt;0,VLOOKUP(_1_5412845612146241046457891017456[[#This Row],[Type]],Main[[#All],[TYPE]:[UNIT]],'Unit Price'!C$1,FALSE),0)</f>
        <v>0</v>
      </c>
      <c r="H175" s="197">
        <f>IF(_1_5412845612146241046457891017456[[#This Row],[Type]]&gt;0,VLOOKUP(_1_5412845612146241046457891017456[[#This Row],[Type]],Main[[#All],[TYPE]:[UNIT]],'Unit Price'!D$1,FALSE),0)</f>
        <v>0</v>
      </c>
      <c r="I175" s="194">
        <f>IF(_1_5412845612146241046457891017456[[#This Row],[Type]]&gt;0,VLOOKUP(_1_5412845612146241046457891017456[[#This Row],[Type]],Main[[#All],[TYPE]:[UNIT]],'Unit Price'!G$1,FALSE),0)</f>
        <v>0</v>
      </c>
      <c r="J175" s="194">
        <f>IF(_1_5412845612146241046457891017456[[#This Row],[Type]]&gt;0,VLOOKUP(_1_5412845612146241046457891017456[[#This Row],[Type]],Main[[#All],[TYPE]:[UNIT]],'Unit Price'!H$1,FALSE),0)</f>
        <v>0</v>
      </c>
      <c r="K175" s="194">
        <f>IF(_1_5412845612146241046457891017456[[#This Row],[Discount selection]]&gt;0,VLOOKUP(_1_5412845612146241046457891017456[[#This Row],[Discount selection]],'Discount Structure'!$A$2:$B$30,2,"false"),0)</f>
        <v>1</v>
      </c>
      <c r="L175" s="194">
        <f>_1_5412845612146241046457891017456[[#This Row],[LIST $]]*_1_5412845612146241046457891017456[[#This Row],[DISCOUNT]]*_1_5412845612146241046457891017456[[#This Row],[DISCOUNT 2]]</f>
        <v>0</v>
      </c>
      <c r="M175" s="194">
        <f>IF(OR(_1_5412845612146241046457891017456[[#This Row],[UNIT]]&gt;0,_1_5412845612146241046457891017456[[#This Row],[UNIT]]&lt;0),_1_5412845612146241046457891017456[[#This Row],[UNIT]]*_1_5412845612146241046457891017456[[#This Row],[COST]],0)</f>
        <v>0</v>
      </c>
      <c r="N175" s="194">
        <f t="shared" si="2"/>
        <v>1.3</v>
      </c>
      <c r="O175" s="198">
        <f>_1_5412845612146241046457891017456[[#This Row],[TOTAL]]*_1_5412845612146241046457891017456[[#This Row],[MARGIN]]</f>
        <v>0</v>
      </c>
      <c r="R175" s="41"/>
    </row>
    <row r="176" spans="1:18">
      <c r="C176" s="168"/>
      <c r="D176" s="188"/>
      <c r="F176" s="168" t="s">
        <v>6202</v>
      </c>
      <c r="G176" s="193">
        <f>IF(_1_5412845612146241046457891017456[[#This Row],[Type]]&gt;0,VLOOKUP(_1_5412845612146241046457891017456[[#This Row],[Type]],Main[[#All],[TYPE]:[UNIT]],'Unit Price'!C$1,FALSE),0)</f>
        <v>0</v>
      </c>
      <c r="H176" s="197">
        <f>IF(_1_5412845612146241046457891017456[[#This Row],[Type]]&gt;0,VLOOKUP(_1_5412845612146241046457891017456[[#This Row],[Type]],Main[[#All],[TYPE]:[UNIT]],'Unit Price'!D$1,FALSE),0)</f>
        <v>0</v>
      </c>
      <c r="I176" s="194">
        <f>IF(_1_5412845612146241046457891017456[[#This Row],[Type]]&gt;0,VLOOKUP(_1_5412845612146241046457891017456[[#This Row],[Type]],Main[[#All],[TYPE]:[UNIT]],'Unit Price'!G$1,FALSE),0)</f>
        <v>0</v>
      </c>
      <c r="J176" s="194">
        <f>IF(_1_5412845612146241046457891017456[[#This Row],[Type]]&gt;0,VLOOKUP(_1_5412845612146241046457891017456[[#This Row],[Type]],Main[[#All],[TYPE]:[UNIT]],'Unit Price'!H$1,FALSE),0)</f>
        <v>0</v>
      </c>
      <c r="K176" s="194">
        <f>IF(_1_5412845612146241046457891017456[[#This Row],[Discount selection]]&gt;0,VLOOKUP(_1_5412845612146241046457891017456[[#This Row],[Discount selection]],'Discount Structure'!$A$2:$B$30,2,"false"),0)</f>
        <v>1</v>
      </c>
      <c r="L176" s="194">
        <f>_1_5412845612146241046457891017456[[#This Row],[LIST $]]*_1_5412845612146241046457891017456[[#This Row],[DISCOUNT]]*_1_5412845612146241046457891017456[[#This Row],[DISCOUNT 2]]</f>
        <v>0</v>
      </c>
      <c r="M176" s="194">
        <f>IF(OR(_1_5412845612146241046457891017456[[#This Row],[UNIT]]&gt;0,_1_5412845612146241046457891017456[[#This Row],[UNIT]]&lt;0),_1_5412845612146241046457891017456[[#This Row],[UNIT]]*_1_5412845612146241046457891017456[[#This Row],[COST]],0)</f>
        <v>0</v>
      </c>
      <c r="N176" s="194">
        <f t="shared" si="2"/>
        <v>1.3</v>
      </c>
      <c r="O176" s="198">
        <f>_1_5412845612146241046457891017456[[#This Row],[TOTAL]]*_1_5412845612146241046457891017456[[#This Row],[MARGIN]]</f>
        <v>0</v>
      </c>
      <c r="R176" s="41"/>
    </row>
    <row r="177" spans="2:18">
      <c r="C177" s="168"/>
      <c r="D177" s="188"/>
      <c r="F177" s="168" t="s">
        <v>6202</v>
      </c>
      <c r="G177" s="193">
        <f>IF(_1_5412845612146241046457891017456[[#This Row],[Type]]&gt;0,VLOOKUP(_1_5412845612146241046457891017456[[#This Row],[Type]],Main[[#All],[TYPE]:[UNIT]],'Unit Price'!C$1,FALSE),0)</f>
        <v>0</v>
      </c>
      <c r="H177" s="197">
        <f>IF(_1_5412845612146241046457891017456[[#This Row],[Type]]&gt;0,VLOOKUP(_1_5412845612146241046457891017456[[#This Row],[Type]],Main[[#All],[TYPE]:[UNIT]],'Unit Price'!D$1,FALSE),0)</f>
        <v>0</v>
      </c>
      <c r="I177" s="194">
        <f>IF(_1_5412845612146241046457891017456[[#This Row],[Type]]&gt;0,VLOOKUP(_1_5412845612146241046457891017456[[#This Row],[Type]],Main[[#All],[TYPE]:[UNIT]],'Unit Price'!G$1,FALSE),0)</f>
        <v>0</v>
      </c>
      <c r="J177" s="194">
        <f>IF(_1_5412845612146241046457891017456[[#This Row],[Type]]&gt;0,VLOOKUP(_1_5412845612146241046457891017456[[#This Row],[Type]],Main[[#All],[TYPE]:[UNIT]],'Unit Price'!H$1,FALSE),0)</f>
        <v>0</v>
      </c>
      <c r="K177" s="194">
        <f>IF(_1_5412845612146241046457891017456[[#This Row],[Discount selection]]&gt;0,VLOOKUP(_1_5412845612146241046457891017456[[#This Row],[Discount selection]],'Discount Structure'!$A$2:$B$30,2,"false"),0)</f>
        <v>1</v>
      </c>
      <c r="L177" s="194">
        <f>_1_5412845612146241046457891017456[[#This Row],[LIST $]]*_1_5412845612146241046457891017456[[#This Row],[DISCOUNT]]*_1_5412845612146241046457891017456[[#This Row],[DISCOUNT 2]]</f>
        <v>0</v>
      </c>
      <c r="M177" s="194">
        <f>IF(OR(_1_5412845612146241046457891017456[[#This Row],[UNIT]]&gt;0,_1_5412845612146241046457891017456[[#This Row],[UNIT]]&lt;0),_1_5412845612146241046457891017456[[#This Row],[UNIT]]*_1_5412845612146241046457891017456[[#This Row],[COST]],0)</f>
        <v>0</v>
      </c>
      <c r="N177" s="194">
        <f t="shared" si="2"/>
        <v>1.3</v>
      </c>
      <c r="O177" s="198">
        <f>_1_5412845612146241046457891017456[[#This Row],[TOTAL]]*_1_5412845612146241046457891017456[[#This Row],[MARGIN]]</f>
        <v>0</v>
      </c>
      <c r="R177" s="41"/>
    </row>
    <row r="178" spans="2:18">
      <c r="C178" s="168"/>
      <c r="D178" s="188"/>
      <c r="F178" s="168" t="s">
        <v>6202</v>
      </c>
      <c r="G178" s="193">
        <f>IF(_1_5412845612146241046457891017456[[#This Row],[Type]]&gt;0,VLOOKUP(_1_5412845612146241046457891017456[[#This Row],[Type]],Main[[#All],[TYPE]:[UNIT]],'Unit Price'!C$1,FALSE),0)</f>
        <v>0</v>
      </c>
      <c r="H178" s="197">
        <f>IF(_1_5412845612146241046457891017456[[#This Row],[Type]]&gt;0,VLOOKUP(_1_5412845612146241046457891017456[[#This Row],[Type]],Main[[#All],[TYPE]:[UNIT]],'Unit Price'!D$1,FALSE),0)</f>
        <v>0</v>
      </c>
      <c r="I178" s="194">
        <f>IF(_1_5412845612146241046457891017456[[#This Row],[Type]]&gt;0,VLOOKUP(_1_5412845612146241046457891017456[[#This Row],[Type]],Main[[#All],[TYPE]:[UNIT]],'Unit Price'!G$1,FALSE),0)</f>
        <v>0</v>
      </c>
      <c r="J178" s="194">
        <f>IF(_1_5412845612146241046457891017456[[#This Row],[Type]]&gt;0,VLOOKUP(_1_5412845612146241046457891017456[[#This Row],[Type]],Main[[#All],[TYPE]:[UNIT]],'Unit Price'!H$1,FALSE),0)</f>
        <v>0</v>
      </c>
      <c r="K178" s="194">
        <f>IF(_1_5412845612146241046457891017456[[#This Row],[Discount selection]]&gt;0,VLOOKUP(_1_5412845612146241046457891017456[[#This Row],[Discount selection]],'Discount Structure'!$A$2:$B$30,2,"false"),0)</f>
        <v>1</v>
      </c>
      <c r="L178" s="194">
        <f>_1_5412845612146241046457891017456[[#This Row],[LIST $]]*_1_5412845612146241046457891017456[[#This Row],[DISCOUNT]]*_1_5412845612146241046457891017456[[#This Row],[DISCOUNT 2]]</f>
        <v>0</v>
      </c>
      <c r="M178" s="194">
        <f>IF(OR(_1_5412845612146241046457891017456[[#This Row],[UNIT]]&gt;0,_1_5412845612146241046457891017456[[#This Row],[UNIT]]&lt;0),_1_5412845612146241046457891017456[[#This Row],[UNIT]]*_1_5412845612146241046457891017456[[#This Row],[COST]],0)</f>
        <v>0</v>
      </c>
      <c r="N178" s="194">
        <f t="shared" si="2"/>
        <v>1.3</v>
      </c>
      <c r="O178" s="198">
        <f>_1_5412845612146241046457891017456[[#This Row],[TOTAL]]*_1_5412845612146241046457891017456[[#This Row],[MARGIN]]</f>
        <v>0</v>
      </c>
      <c r="R178" s="41"/>
    </row>
    <row r="179" spans="2:18">
      <c r="C179" s="168"/>
      <c r="D179" s="188"/>
      <c r="F179" s="168" t="s">
        <v>6202</v>
      </c>
      <c r="G179" s="193">
        <f>IF(_1_5412845612146241046457891017456[[#This Row],[Type]]&gt;0,VLOOKUP(_1_5412845612146241046457891017456[[#This Row],[Type]],Main[[#All],[TYPE]:[UNIT]],'Unit Price'!C$1,FALSE),0)</f>
        <v>0</v>
      </c>
      <c r="H179" s="197">
        <f>IF(_1_5412845612146241046457891017456[[#This Row],[Type]]&gt;0,VLOOKUP(_1_5412845612146241046457891017456[[#This Row],[Type]],Main[[#All],[TYPE]:[UNIT]],'Unit Price'!D$1,FALSE),0)</f>
        <v>0</v>
      </c>
      <c r="I179" s="194">
        <f>IF(_1_5412845612146241046457891017456[[#This Row],[Type]]&gt;0,VLOOKUP(_1_5412845612146241046457891017456[[#This Row],[Type]],Main[[#All],[TYPE]:[UNIT]],'Unit Price'!G$1,FALSE),0)</f>
        <v>0</v>
      </c>
      <c r="J179" s="194">
        <f>IF(_1_5412845612146241046457891017456[[#This Row],[Type]]&gt;0,VLOOKUP(_1_5412845612146241046457891017456[[#This Row],[Type]],Main[[#All],[TYPE]:[UNIT]],'Unit Price'!H$1,FALSE),0)</f>
        <v>0</v>
      </c>
      <c r="K179" s="194">
        <f>IF(_1_5412845612146241046457891017456[[#This Row],[Discount selection]]&gt;0,VLOOKUP(_1_5412845612146241046457891017456[[#This Row],[Discount selection]],'Discount Structure'!$A$2:$B$30,2,"false"),0)</f>
        <v>1</v>
      </c>
      <c r="L179" s="194">
        <f>_1_5412845612146241046457891017456[[#This Row],[LIST $]]*_1_5412845612146241046457891017456[[#This Row],[DISCOUNT]]*_1_5412845612146241046457891017456[[#This Row],[DISCOUNT 2]]</f>
        <v>0</v>
      </c>
      <c r="M179" s="194">
        <f>IF(OR(_1_5412845612146241046457891017456[[#This Row],[UNIT]]&gt;0,_1_5412845612146241046457891017456[[#This Row],[UNIT]]&lt;0),_1_5412845612146241046457891017456[[#This Row],[UNIT]]*_1_5412845612146241046457891017456[[#This Row],[COST]],0)</f>
        <v>0</v>
      </c>
      <c r="N179" s="194">
        <f t="shared" si="2"/>
        <v>1.3</v>
      </c>
      <c r="O179" s="198">
        <f>_1_5412845612146241046457891017456[[#This Row],[TOTAL]]*_1_5412845612146241046457891017456[[#This Row],[MARGIN]]</f>
        <v>0</v>
      </c>
      <c r="R179" s="41"/>
    </row>
    <row r="180" spans="2:18">
      <c r="C180" s="168"/>
      <c r="D180" s="188"/>
      <c r="F180" s="168" t="s">
        <v>6202</v>
      </c>
      <c r="G180" s="193">
        <f>IF(_1_5412845612146241046457891017456[[#This Row],[Type]]&gt;0,VLOOKUP(_1_5412845612146241046457891017456[[#This Row],[Type]],Main[[#All],[TYPE]:[UNIT]],'Unit Price'!C$1,FALSE),0)</f>
        <v>0</v>
      </c>
      <c r="H180" s="197">
        <f>IF(_1_5412845612146241046457891017456[[#This Row],[Type]]&gt;0,VLOOKUP(_1_5412845612146241046457891017456[[#This Row],[Type]],Main[[#All],[TYPE]:[UNIT]],'Unit Price'!D$1,FALSE),0)</f>
        <v>0</v>
      </c>
      <c r="I180" s="194">
        <f>IF(_1_5412845612146241046457891017456[[#This Row],[Type]]&gt;0,VLOOKUP(_1_5412845612146241046457891017456[[#This Row],[Type]],Main[[#All],[TYPE]:[UNIT]],'Unit Price'!G$1,FALSE),0)</f>
        <v>0</v>
      </c>
      <c r="J180" s="194">
        <f>IF(_1_5412845612146241046457891017456[[#This Row],[Type]]&gt;0,VLOOKUP(_1_5412845612146241046457891017456[[#This Row],[Type]],Main[[#All],[TYPE]:[UNIT]],'Unit Price'!H$1,FALSE),0)</f>
        <v>0</v>
      </c>
      <c r="K180" s="194">
        <f>IF(_1_5412845612146241046457891017456[[#This Row],[Discount selection]]&gt;0,VLOOKUP(_1_5412845612146241046457891017456[[#This Row],[Discount selection]],'Discount Structure'!$A$2:$B$30,2,"false"),0)</f>
        <v>1</v>
      </c>
      <c r="L180" s="194">
        <f>_1_5412845612146241046457891017456[[#This Row],[LIST $]]*_1_5412845612146241046457891017456[[#This Row],[DISCOUNT]]*_1_5412845612146241046457891017456[[#This Row],[DISCOUNT 2]]</f>
        <v>0</v>
      </c>
      <c r="M180" s="194">
        <f>IF(OR(_1_5412845612146241046457891017456[[#This Row],[UNIT]]&gt;0,_1_5412845612146241046457891017456[[#This Row],[UNIT]]&lt;0),_1_5412845612146241046457891017456[[#This Row],[UNIT]]*_1_5412845612146241046457891017456[[#This Row],[COST]],0)</f>
        <v>0</v>
      </c>
      <c r="N180" s="194">
        <f t="shared" si="2"/>
        <v>1.3</v>
      </c>
      <c r="O180" s="198">
        <f>_1_5412845612146241046457891017456[[#This Row],[TOTAL]]*_1_5412845612146241046457891017456[[#This Row],[MARGIN]]</f>
        <v>0</v>
      </c>
      <c r="R180" s="41"/>
    </row>
    <row r="181" spans="2:18">
      <c r="C181" s="168"/>
      <c r="D181" s="188"/>
      <c r="F181" s="168" t="s">
        <v>6202</v>
      </c>
      <c r="G181" s="193">
        <f>IF(_1_5412845612146241046457891017456[[#This Row],[Type]]&gt;0,VLOOKUP(_1_5412845612146241046457891017456[[#This Row],[Type]],Main[[#All],[TYPE]:[UNIT]],'Unit Price'!C$1,FALSE),0)</f>
        <v>0</v>
      </c>
      <c r="H181" s="197">
        <f>IF(_1_5412845612146241046457891017456[[#This Row],[Type]]&gt;0,VLOOKUP(_1_5412845612146241046457891017456[[#This Row],[Type]],Main[[#All],[TYPE]:[UNIT]],'Unit Price'!D$1,FALSE),0)</f>
        <v>0</v>
      </c>
      <c r="I181" s="194">
        <f>IF(_1_5412845612146241046457891017456[[#This Row],[Type]]&gt;0,VLOOKUP(_1_5412845612146241046457891017456[[#This Row],[Type]],Main[[#All],[TYPE]:[UNIT]],'Unit Price'!G$1,FALSE),0)</f>
        <v>0</v>
      </c>
      <c r="J181" s="194">
        <f>IF(_1_5412845612146241046457891017456[[#This Row],[Type]]&gt;0,VLOOKUP(_1_5412845612146241046457891017456[[#This Row],[Type]],Main[[#All],[TYPE]:[UNIT]],'Unit Price'!H$1,FALSE),0)</f>
        <v>0</v>
      </c>
      <c r="K181" s="194">
        <f>IF(_1_5412845612146241046457891017456[[#This Row],[Discount selection]]&gt;0,VLOOKUP(_1_5412845612146241046457891017456[[#This Row],[Discount selection]],'Discount Structure'!$A$2:$B$30,2,"false"),0)</f>
        <v>1</v>
      </c>
      <c r="L181" s="194">
        <f>_1_5412845612146241046457891017456[[#This Row],[LIST $]]*_1_5412845612146241046457891017456[[#This Row],[DISCOUNT]]*_1_5412845612146241046457891017456[[#This Row],[DISCOUNT 2]]</f>
        <v>0</v>
      </c>
      <c r="M181" s="194">
        <f>IF(OR(_1_5412845612146241046457891017456[[#This Row],[UNIT]]&gt;0,_1_5412845612146241046457891017456[[#This Row],[UNIT]]&lt;0),_1_5412845612146241046457891017456[[#This Row],[UNIT]]*_1_5412845612146241046457891017456[[#This Row],[COST]],0)</f>
        <v>0</v>
      </c>
      <c r="N181" s="194">
        <f t="shared" si="2"/>
        <v>1.3</v>
      </c>
      <c r="O181" s="198">
        <f>_1_5412845612146241046457891017456[[#This Row],[TOTAL]]*_1_5412845612146241046457891017456[[#This Row],[MARGIN]]</f>
        <v>0</v>
      </c>
      <c r="R181" s="41"/>
    </row>
    <row r="182" spans="2:18">
      <c r="C182" s="168"/>
      <c r="D182" s="188"/>
      <c r="F182" s="168" t="s">
        <v>6202</v>
      </c>
      <c r="G182" s="193">
        <f>IF(_1_5412845612146241046457891017456[[#This Row],[Type]]&gt;0,VLOOKUP(_1_5412845612146241046457891017456[[#This Row],[Type]],Main[[#All],[TYPE]:[UNIT]],'Unit Price'!C$1,FALSE),0)</f>
        <v>0</v>
      </c>
      <c r="H182" s="197">
        <f>IF(_1_5412845612146241046457891017456[[#This Row],[Type]]&gt;0,VLOOKUP(_1_5412845612146241046457891017456[[#This Row],[Type]],Main[[#All],[TYPE]:[UNIT]],'Unit Price'!D$1,FALSE),0)</f>
        <v>0</v>
      </c>
      <c r="I182" s="194">
        <f>IF(_1_5412845612146241046457891017456[[#This Row],[Type]]&gt;0,VLOOKUP(_1_5412845612146241046457891017456[[#This Row],[Type]],Main[[#All],[TYPE]:[UNIT]],'Unit Price'!G$1,FALSE),0)</f>
        <v>0</v>
      </c>
      <c r="J182" s="194">
        <f>IF(_1_5412845612146241046457891017456[[#This Row],[Type]]&gt;0,VLOOKUP(_1_5412845612146241046457891017456[[#This Row],[Type]],Main[[#All],[TYPE]:[UNIT]],'Unit Price'!H$1,FALSE),0)</f>
        <v>0</v>
      </c>
      <c r="K182" s="194">
        <f>IF(_1_5412845612146241046457891017456[[#This Row],[Discount selection]]&gt;0,VLOOKUP(_1_5412845612146241046457891017456[[#This Row],[Discount selection]],'Discount Structure'!$A$2:$B$30,2,"false"),0)</f>
        <v>1</v>
      </c>
      <c r="L182" s="194">
        <f>_1_5412845612146241046457891017456[[#This Row],[LIST $]]*_1_5412845612146241046457891017456[[#This Row],[DISCOUNT]]*_1_5412845612146241046457891017456[[#This Row],[DISCOUNT 2]]</f>
        <v>0</v>
      </c>
      <c r="M182" s="194">
        <f>IF(OR(_1_5412845612146241046457891017456[[#This Row],[UNIT]]&gt;0,_1_5412845612146241046457891017456[[#This Row],[UNIT]]&lt;0),_1_5412845612146241046457891017456[[#This Row],[UNIT]]*_1_5412845612146241046457891017456[[#This Row],[COST]],0)</f>
        <v>0</v>
      </c>
      <c r="N182" s="194">
        <f t="shared" si="2"/>
        <v>1.3</v>
      </c>
      <c r="O182" s="198">
        <f>_1_5412845612146241046457891017456[[#This Row],[TOTAL]]*_1_5412845612146241046457891017456[[#This Row],[MARGIN]]</f>
        <v>0</v>
      </c>
      <c r="R182" s="41"/>
    </row>
    <row r="183" spans="2:18">
      <c r="C183" s="168"/>
      <c r="D183" s="188"/>
      <c r="F183" s="168" t="s">
        <v>6202</v>
      </c>
      <c r="G183" s="193">
        <f>IF(_1_5412845612146241046457891017456[[#This Row],[Type]]&gt;0,VLOOKUP(_1_5412845612146241046457891017456[[#This Row],[Type]],Main[[#All],[TYPE]:[UNIT]],'Unit Price'!C$1,FALSE),0)</f>
        <v>0</v>
      </c>
      <c r="H183" s="197">
        <f>IF(_1_5412845612146241046457891017456[[#This Row],[Type]]&gt;0,VLOOKUP(_1_5412845612146241046457891017456[[#This Row],[Type]],Main[[#All],[TYPE]:[UNIT]],'Unit Price'!D$1,FALSE),0)</f>
        <v>0</v>
      </c>
      <c r="I183" s="194">
        <f>IF(_1_5412845612146241046457891017456[[#This Row],[Type]]&gt;0,VLOOKUP(_1_5412845612146241046457891017456[[#This Row],[Type]],Main[[#All],[TYPE]:[UNIT]],'Unit Price'!G$1,FALSE),0)</f>
        <v>0</v>
      </c>
      <c r="J183" s="194">
        <f>IF(_1_5412845612146241046457891017456[[#This Row],[Type]]&gt;0,VLOOKUP(_1_5412845612146241046457891017456[[#This Row],[Type]],Main[[#All],[TYPE]:[UNIT]],'Unit Price'!H$1,FALSE),0)</f>
        <v>0</v>
      </c>
      <c r="K183" s="194">
        <f>IF(_1_5412845612146241046457891017456[[#This Row],[Discount selection]]&gt;0,VLOOKUP(_1_5412845612146241046457891017456[[#This Row],[Discount selection]],'Discount Structure'!$A$2:$B$30,2,"false"),0)</f>
        <v>1</v>
      </c>
      <c r="L183" s="194">
        <f>_1_5412845612146241046457891017456[[#This Row],[LIST $]]*_1_5412845612146241046457891017456[[#This Row],[DISCOUNT]]*_1_5412845612146241046457891017456[[#This Row],[DISCOUNT 2]]</f>
        <v>0</v>
      </c>
      <c r="M183" s="194">
        <f>IF(OR(_1_5412845612146241046457891017456[[#This Row],[UNIT]]&gt;0,_1_5412845612146241046457891017456[[#This Row],[UNIT]]&lt;0),_1_5412845612146241046457891017456[[#This Row],[UNIT]]*_1_5412845612146241046457891017456[[#This Row],[COST]],0)</f>
        <v>0</v>
      </c>
      <c r="N183" s="194">
        <f t="shared" si="2"/>
        <v>1.3</v>
      </c>
      <c r="O183" s="198">
        <f>_1_5412845612146241046457891017456[[#This Row],[TOTAL]]*_1_5412845612146241046457891017456[[#This Row],[MARGIN]]</f>
        <v>0</v>
      </c>
      <c r="R183" s="41"/>
    </row>
    <row r="184" spans="2:18">
      <c r="C184" s="168"/>
      <c r="D184" s="188"/>
      <c r="F184" s="168" t="s">
        <v>6202</v>
      </c>
      <c r="G184" s="193">
        <f>IF(_1_5412845612146241046457891017456[[#This Row],[Type]]&gt;0,VLOOKUP(_1_5412845612146241046457891017456[[#This Row],[Type]],Main[[#All],[TYPE]:[UNIT]],'Unit Price'!C$1,FALSE),0)</f>
        <v>0</v>
      </c>
      <c r="H184" s="197">
        <f>IF(_1_5412845612146241046457891017456[[#This Row],[Type]]&gt;0,VLOOKUP(_1_5412845612146241046457891017456[[#This Row],[Type]],Main[[#All],[TYPE]:[UNIT]],'Unit Price'!D$1,FALSE),0)</f>
        <v>0</v>
      </c>
      <c r="I184" s="194">
        <f>IF(_1_5412845612146241046457891017456[[#This Row],[Type]]&gt;0,VLOOKUP(_1_5412845612146241046457891017456[[#This Row],[Type]],Main[[#All],[TYPE]:[UNIT]],'Unit Price'!G$1,FALSE),0)</f>
        <v>0</v>
      </c>
      <c r="J184" s="194">
        <f>IF(_1_5412845612146241046457891017456[[#This Row],[Type]]&gt;0,VLOOKUP(_1_5412845612146241046457891017456[[#This Row],[Type]],Main[[#All],[TYPE]:[UNIT]],'Unit Price'!H$1,FALSE),0)</f>
        <v>0</v>
      </c>
      <c r="K184" s="194">
        <f>IF(_1_5412845612146241046457891017456[[#This Row],[Discount selection]]&gt;0,VLOOKUP(_1_5412845612146241046457891017456[[#This Row],[Discount selection]],'Discount Structure'!$A$2:$B$30,2,"false"),0)</f>
        <v>1</v>
      </c>
      <c r="L184" s="194">
        <f>_1_5412845612146241046457891017456[[#This Row],[LIST $]]*_1_5412845612146241046457891017456[[#This Row],[DISCOUNT]]*_1_5412845612146241046457891017456[[#This Row],[DISCOUNT 2]]</f>
        <v>0</v>
      </c>
      <c r="M184" s="194">
        <f>IF(OR(_1_5412845612146241046457891017456[[#This Row],[UNIT]]&gt;0,_1_5412845612146241046457891017456[[#This Row],[UNIT]]&lt;0),_1_5412845612146241046457891017456[[#This Row],[UNIT]]*_1_5412845612146241046457891017456[[#This Row],[COST]],0)</f>
        <v>0</v>
      </c>
      <c r="N184" s="194">
        <f t="shared" si="2"/>
        <v>1.3</v>
      </c>
      <c r="O184" s="198">
        <f>_1_5412845612146241046457891017456[[#This Row],[TOTAL]]*_1_5412845612146241046457891017456[[#This Row],[MARGIN]]</f>
        <v>0</v>
      </c>
      <c r="R184" s="41"/>
    </row>
    <row r="185" spans="2:18">
      <c r="C185" s="168"/>
      <c r="D185" s="188"/>
      <c r="F185" s="168" t="s">
        <v>6202</v>
      </c>
      <c r="G185" s="193">
        <f>IF(_1_5412845612146241046457891017456[[#This Row],[Type]]&gt;0,VLOOKUP(_1_5412845612146241046457891017456[[#This Row],[Type]],Main[[#All],[TYPE]:[UNIT]],'Unit Price'!C$1,FALSE),0)</f>
        <v>0</v>
      </c>
      <c r="H185" s="197">
        <f>IF(_1_5412845612146241046457891017456[[#This Row],[Type]]&gt;0,VLOOKUP(_1_5412845612146241046457891017456[[#This Row],[Type]],Main[[#All],[TYPE]:[UNIT]],'Unit Price'!D$1,FALSE),0)</f>
        <v>0</v>
      </c>
      <c r="I185" s="194">
        <f>IF(_1_5412845612146241046457891017456[[#This Row],[Type]]&gt;0,VLOOKUP(_1_5412845612146241046457891017456[[#This Row],[Type]],Main[[#All],[TYPE]:[UNIT]],'Unit Price'!G$1,FALSE),0)</f>
        <v>0</v>
      </c>
      <c r="J185" s="194">
        <f>IF(_1_5412845612146241046457891017456[[#This Row],[Type]]&gt;0,VLOOKUP(_1_5412845612146241046457891017456[[#This Row],[Type]],Main[[#All],[TYPE]:[UNIT]],'Unit Price'!H$1,FALSE),0)</f>
        <v>0</v>
      </c>
      <c r="K185" s="194">
        <f>IF(_1_5412845612146241046457891017456[[#This Row],[Discount selection]]&gt;0,VLOOKUP(_1_5412845612146241046457891017456[[#This Row],[Discount selection]],'Discount Structure'!$A$2:$B$30,2,"false"),0)</f>
        <v>1</v>
      </c>
      <c r="L185" s="194">
        <f>_1_5412845612146241046457891017456[[#This Row],[LIST $]]*_1_5412845612146241046457891017456[[#This Row],[DISCOUNT]]*_1_5412845612146241046457891017456[[#This Row],[DISCOUNT 2]]</f>
        <v>0</v>
      </c>
      <c r="M185" s="194">
        <f>IF(OR(_1_5412845612146241046457891017456[[#This Row],[UNIT]]&gt;0,_1_5412845612146241046457891017456[[#This Row],[UNIT]]&lt;0),_1_5412845612146241046457891017456[[#This Row],[UNIT]]*_1_5412845612146241046457891017456[[#This Row],[COST]],0)</f>
        <v>0</v>
      </c>
      <c r="N185" s="194">
        <f t="shared" si="2"/>
        <v>1.3</v>
      </c>
      <c r="O185" s="198">
        <f>_1_5412845612146241046457891017456[[#This Row],[TOTAL]]*_1_5412845612146241046457891017456[[#This Row],[MARGIN]]</f>
        <v>0</v>
      </c>
      <c r="R185" s="41"/>
    </row>
    <row r="186" spans="2:18">
      <c r="C186" s="168"/>
      <c r="D186" s="188"/>
      <c r="F186" s="168" t="s">
        <v>6202</v>
      </c>
      <c r="G186" s="193">
        <f>IF(_1_5412845612146241046457891017456[[#This Row],[Type]]&gt;0,VLOOKUP(_1_5412845612146241046457891017456[[#This Row],[Type]],Main[[#All],[TYPE]:[UNIT]],'Unit Price'!C$1,FALSE),0)</f>
        <v>0</v>
      </c>
      <c r="H186" s="197">
        <f>IF(_1_5412845612146241046457891017456[[#This Row],[Type]]&gt;0,VLOOKUP(_1_5412845612146241046457891017456[[#This Row],[Type]],Main[[#All],[TYPE]:[UNIT]],'Unit Price'!D$1,FALSE),0)</f>
        <v>0</v>
      </c>
      <c r="I186" s="194">
        <f>IF(_1_5412845612146241046457891017456[[#This Row],[Type]]&gt;0,VLOOKUP(_1_5412845612146241046457891017456[[#This Row],[Type]],Main[[#All],[TYPE]:[UNIT]],'Unit Price'!G$1,FALSE),0)</f>
        <v>0</v>
      </c>
      <c r="J186" s="194">
        <f>IF(_1_5412845612146241046457891017456[[#This Row],[Type]]&gt;0,VLOOKUP(_1_5412845612146241046457891017456[[#This Row],[Type]],Main[[#All],[TYPE]:[UNIT]],'Unit Price'!H$1,FALSE),0)</f>
        <v>0</v>
      </c>
      <c r="K186" s="194">
        <f>IF(_1_5412845612146241046457891017456[[#This Row],[Discount selection]]&gt;0,VLOOKUP(_1_5412845612146241046457891017456[[#This Row],[Discount selection]],'Discount Structure'!$A$2:$B$30,2,"false"),0)</f>
        <v>1</v>
      </c>
      <c r="L186" s="194">
        <f>_1_5412845612146241046457891017456[[#This Row],[LIST $]]*_1_5412845612146241046457891017456[[#This Row],[DISCOUNT]]*_1_5412845612146241046457891017456[[#This Row],[DISCOUNT 2]]</f>
        <v>0</v>
      </c>
      <c r="M186" s="194">
        <f>IF(OR(_1_5412845612146241046457891017456[[#This Row],[UNIT]]&gt;0,_1_5412845612146241046457891017456[[#This Row],[UNIT]]&lt;0),_1_5412845612146241046457891017456[[#This Row],[UNIT]]*_1_5412845612146241046457891017456[[#This Row],[COST]],0)</f>
        <v>0</v>
      </c>
      <c r="N186" s="194">
        <f t="shared" si="2"/>
        <v>1.3</v>
      </c>
      <c r="O186" s="198">
        <f>_1_5412845612146241046457891017456[[#This Row],[TOTAL]]*_1_5412845612146241046457891017456[[#This Row],[MARGIN]]</f>
        <v>0</v>
      </c>
      <c r="R186" s="41"/>
    </row>
    <row r="187" spans="2:18">
      <c r="C187" s="168"/>
      <c r="D187" s="188"/>
      <c r="F187" s="168" t="s">
        <v>6202</v>
      </c>
      <c r="G187" s="193">
        <f>IF(_1_5412845612146241046457891017456[[#This Row],[Type]]&gt;0,VLOOKUP(_1_5412845612146241046457891017456[[#This Row],[Type]],Main[[#All],[TYPE]:[UNIT]],'Unit Price'!C$1,FALSE),0)</f>
        <v>0</v>
      </c>
      <c r="H187" s="197">
        <f>IF(_1_5412845612146241046457891017456[[#This Row],[Type]]&gt;0,VLOOKUP(_1_5412845612146241046457891017456[[#This Row],[Type]],Main[[#All],[TYPE]:[UNIT]],'Unit Price'!D$1,FALSE),0)</f>
        <v>0</v>
      </c>
      <c r="I187" s="194">
        <f>IF(_1_5412845612146241046457891017456[[#This Row],[Type]]&gt;0,VLOOKUP(_1_5412845612146241046457891017456[[#This Row],[Type]],Main[[#All],[TYPE]:[UNIT]],'Unit Price'!G$1,FALSE),0)</f>
        <v>0</v>
      </c>
      <c r="J187" s="194">
        <f>IF(_1_5412845612146241046457891017456[[#This Row],[Type]]&gt;0,VLOOKUP(_1_5412845612146241046457891017456[[#This Row],[Type]],Main[[#All],[TYPE]:[UNIT]],'Unit Price'!H$1,FALSE),0)</f>
        <v>0</v>
      </c>
      <c r="K187" s="194">
        <f>IF(_1_5412845612146241046457891017456[[#This Row],[Discount selection]]&gt;0,VLOOKUP(_1_5412845612146241046457891017456[[#This Row],[Discount selection]],'Discount Structure'!$A$2:$B$30,2,"false"),0)</f>
        <v>1</v>
      </c>
      <c r="L187" s="194">
        <f>_1_5412845612146241046457891017456[[#This Row],[LIST $]]*_1_5412845612146241046457891017456[[#This Row],[DISCOUNT]]*_1_5412845612146241046457891017456[[#This Row],[DISCOUNT 2]]</f>
        <v>0</v>
      </c>
      <c r="M187" s="194">
        <f>IF(OR(_1_5412845612146241046457891017456[[#This Row],[UNIT]]&gt;0,_1_5412845612146241046457891017456[[#This Row],[UNIT]]&lt;0),_1_5412845612146241046457891017456[[#This Row],[UNIT]]*_1_5412845612146241046457891017456[[#This Row],[COST]],0)</f>
        <v>0</v>
      </c>
      <c r="N187" s="194">
        <f t="shared" si="2"/>
        <v>1.3</v>
      </c>
      <c r="O187" s="198">
        <f>_1_5412845612146241046457891017456[[#This Row],[TOTAL]]*_1_5412845612146241046457891017456[[#This Row],[MARGIN]]</f>
        <v>0</v>
      </c>
      <c r="R187" s="41"/>
    </row>
    <row r="188" spans="2:18">
      <c r="B188" s="168"/>
      <c r="C188" s="168"/>
      <c r="D188" s="188"/>
      <c r="F188" s="168" t="s">
        <v>6202</v>
      </c>
      <c r="G188" s="193">
        <f>IF(_1_5412845612146241046457891017456[[#This Row],[Type]]&gt;0,VLOOKUP(_1_5412845612146241046457891017456[[#This Row],[Type]],Main[[#All],[TYPE]:[UNIT]],'Unit Price'!C$1,FALSE),0)</f>
        <v>0</v>
      </c>
      <c r="H188" s="197">
        <f>IF(_1_5412845612146241046457891017456[[#This Row],[Type]]&gt;0,VLOOKUP(_1_5412845612146241046457891017456[[#This Row],[Type]],Main[[#All],[TYPE]:[UNIT]],'Unit Price'!D$1,FALSE),0)</f>
        <v>0</v>
      </c>
      <c r="I188" s="194">
        <f>IF(_1_5412845612146241046457891017456[[#This Row],[Type]]&gt;0,VLOOKUP(_1_5412845612146241046457891017456[[#This Row],[Type]],Main[[#All],[TYPE]:[UNIT]],'Unit Price'!G$1,FALSE),0)</f>
        <v>0</v>
      </c>
      <c r="J188" s="194">
        <f>IF(_1_5412845612146241046457891017456[[#This Row],[Type]]&gt;0,VLOOKUP(_1_5412845612146241046457891017456[[#This Row],[Type]],Main[[#All],[TYPE]:[UNIT]],'Unit Price'!H$1,FALSE),0)</f>
        <v>0</v>
      </c>
      <c r="K188" s="194">
        <f>IF(_1_5412845612146241046457891017456[[#This Row],[Discount selection]]&gt;0,VLOOKUP(_1_5412845612146241046457891017456[[#This Row],[Discount selection]],'Discount Structure'!$A$2:$B$30,2,"false"),0)</f>
        <v>1</v>
      </c>
      <c r="L188" s="194">
        <f>_1_5412845612146241046457891017456[[#This Row],[LIST $]]*_1_5412845612146241046457891017456[[#This Row],[DISCOUNT]]*_1_5412845612146241046457891017456[[#This Row],[DISCOUNT 2]]</f>
        <v>0</v>
      </c>
      <c r="M188" s="194">
        <f>IF(OR(_1_5412845612146241046457891017456[[#This Row],[UNIT]]&gt;0,_1_5412845612146241046457891017456[[#This Row],[UNIT]]&lt;0),_1_5412845612146241046457891017456[[#This Row],[UNIT]]*_1_5412845612146241046457891017456[[#This Row],[COST]],0)</f>
        <v>0</v>
      </c>
      <c r="N188" s="194">
        <f t="shared" si="2"/>
        <v>1.3</v>
      </c>
      <c r="O188" s="198">
        <f>_1_5412845612146241046457891017456[[#This Row],[TOTAL]]*_1_5412845612146241046457891017456[[#This Row],[MARGIN]]</f>
        <v>0</v>
      </c>
      <c r="R188" s="41"/>
    </row>
    <row r="189" spans="2:18">
      <c r="C189" s="168"/>
      <c r="D189" s="188"/>
      <c r="F189" s="168" t="s">
        <v>6202</v>
      </c>
      <c r="G189" s="193">
        <f>IF(_1_5412845612146241046457891017456[[#This Row],[Type]]&gt;0,VLOOKUP(_1_5412845612146241046457891017456[[#This Row],[Type]],Main[[#All],[TYPE]:[UNIT]],'Unit Price'!C$1,FALSE),0)</f>
        <v>0</v>
      </c>
      <c r="H189" s="197">
        <f>IF(_1_5412845612146241046457891017456[[#This Row],[Type]]&gt;0,VLOOKUP(_1_5412845612146241046457891017456[[#This Row],[Type]],Main[[#All],[TYPE]:[UNIT]],'Unit Price'!D$1,FALSE),0)</f>
        <v>0</v>
      </c>
      <c r="I189" s="194">
        <f>IF(_1_5412845612146241046457891017456[[#This Row],[Type]]&gt;0,VLOOKUP(_1_5412845612146241046457891017456[[#This Row],[Type]],Main[[#All],[TYPE]:[UNIT]],'Unit Price'!G$1,FALSE),0)</f>
        <v>0</v>
      </c>
      <c r="J189" s="194">
        <f>IF(_1_5412845612146241046457891017456[[#This Row],[Type]]&gt;0,VLOOKUP(_1_5412845612146241046457891017456[[#This Row],[Type]],Main[[#All],[TYPE]:[UNIT]],'Unit Price'!H$1,FALSE),0)</f>
        <v>0</v>
      </c>
      <c r="K189" s="194">
        <f>IF(_1_5412845612146241046457891017456[[#This Row],[Discount selection]]&gt;0,VLOOKUP(_1_5412845612146241046457891017456[[#This Row],[Discount selection]],'Discount Structure'!$A$2:$B$30,2,"false"),0)</f>
        <v>1</v>
      </c>
      <c r="L189" s="194">
        <f>_1_5412845612146241046457891017456[[#This Row],[LIST $]]*_1_5412845612146241046457891017456[[#This Row],[DISCOUNT]]*_1_5412845612146241046457891017456[[#This Row],[DISCOUNT 2]]</f>
        <v>0</v>
      </c>
      <c r="M189" s="194">
        <f>IF(OR(_1_5412845612146241046457891017456[[#This Row],[UNIT]]&gt;0,_1_5412845612146241046457891017456[[#This Row],[UNIT]]&lt;0),_1_5412845612146241046457891017456[[#This Row],[UNIT]]*_1_5412845612146241046457891017456[[#This Row],[COST]],0)</f>
        <v>0</v>
      </c>
      <c r="N189" s="194">
        <f t="shared" si="2"/>
        <v>1.3</v>
      </c>
      <c r="O189" s="198">
        <f>_1_5412845612146241046457891017456[[#This Row],[TOTAL]]*_1_5412845612146241046457891017456[[#This Row],[MARGIN]]</f>
        <v>0</v>
      </c>
      <c r="R189" s="41"/>
    </row>
    <row r="190" spans="2:18">
      <c r="C190" s="168"/>
      <c r="D190" s="188"/>
      <c r="F190" s="168" t="s">
        <v>6202</v>
      </c>
      <c r="G190" s="193">
        <f>IF(_1_5412845612146241046457891017456[[#This Row],[Type]]&gt;0,VLOOKUP(_1_5412845612146241046457891017456[[#This Row],[Type]],Main[[#All],[TYPE]:[UNIT]],'Unit Price'!C$1,FALSE),0)</f>
        <v>0</v>
      </c>
      <c r="H190" s="197">
        <f>IF(_1_5412845612146241046457891017456[[#This Row],[Type]]&gt;0,VLOOKUP(_1_5412845612146241046457891017456[[#This Row],[Type]],Main[[#All],[TYPE]:[UNIT]],'Unit Price'!D$1,FALSE),0)</f>
        <v>0</v>
      </c>
      <c r="I190" s="194">
        <f>IF(_1_5412845612146241046457891017456[[#This Row],[Type]]&gt;0,VLOOKUP(_1_5412845612146241046457891017456[[#This Row],[Type]],Main[[#All],[TYPE]:[UNIT]],'Unit Price'!G$1,FALSE),0)</f>
        <v>0</v>
      </c>
      <c r="J190" s="194">
        <f>IF(_1_5412845612146241046457891017456[[#This Row],[Type]]&gt;0,VLOOKUP(_1_5412845612146241046457891017456[[#This Row],[Type]],Main[[#All],[TYPE]:[UNIT]],'Unit Price'!H$1,FALSE),0)</f>
        <v>0</v>
      </c>
      <c r="K190" s="194">
        <f>IF(_1_5412845612146241046457891017456[[#This Row],[Discount selection]]&gt;0,VLOOKUP(_1_5412845612146241046457891017456[[#This Row],[Discount selection]],'Discount Structure'!$A$2:$B$30,2,"false"),0)</f>
        <v>1</v>
      </c>
      <c r="L190" s="194">
        <f>_1_5412845612146241046457891017456[[#This Row],[LIST $]]*_1_5412845612146241046457891017456[[#This Row],[DISCOUNT]]*_1_5412845612146241046457891017456[[#This Row],[DISCOUNT 2]]</f>
        <v>0</v>
      </c>
      <c r="M190" s="194">
        <f>IF(OR(_1_5412845612146241046457891017456[[#This Row],[UNIT]]&gt;0,_1_5412845612146241046457891017456[[#This Row],[UNIT]]&lt;0),_1_5412845612146241046457891017456[[#This Row],[UNIT]]*_1_5412845612146241046457891017456[[#This Row],[COST]],0)</f>
        <v>0</v>
      </c>
      <c r="N190" s="194">
        <f t="shared" si="2"/>
        <v>1.3</v>
      </c>
      <c r="O190" s="198">
        <f>_1_5412845612146241046457891017456[[#This Row],[TOTAL]]*_1_5412845612146241046457891017456[[#This Row],[MARGIN]]</f>
        <v>0</v>
      </c>
      <c r="R190" s="41"/>
    </row>
    <row r="191" spans="2:18">
      <c r="C191" s="168"/>
      <c r="D191" s="188"/>
      <c r="F191" s="168" t="s">
        <v>6202</v>
      </c>
      <c r="G191" s="193">
        <f>IF(_1_5412845612146241046457891017456[[#This Row],[Type]]&gt;0,VLOOKUP(_1_5412845612146241046457891017456[[#This Row],[Type]],Main[[#All],[TYPE]:[UNIT]],'Unit Price'!C$1,FALSE),0)</f>
        <v>0</v>
      </c>
      <c r="H191" s="197">
        <f>IF(_1_5412845612146241046457891017456[[#This Row],[Type]]&gt;0,VLOOKUP(_1_5412845612146241046457891017456[[#This Row],[Type]],Main[[#All],[TYPE]:[UNIT]],'Unit Price'!D$1,FALSE),0)</f>
        <v>0</v>
      </c>
      <c r="I191" s="194">
        <f>IF(_1_5412845612146241046457891017456[[#This Row],[Type]]&gt;0,VLOOKUP(_1_5412845612146241046457891017456[[#This Row],[Type]],Main[[#All],[TYPE]:[UNIT]],'Unit Price'!G$1,FALSE),0)</f>
        <v>0</v>
      </c>
      <c r="J191" s="194">
        <f>IF(_1_5412845612146241046457891017456[[#This Row],[Type]]&gt;0,VLOOKUP(_1_5412845612146241046457891017456[[#This Row],[Type]],Main[[#All],[TYPE]:[UNIT]],'Unit Price'!H$1,FALSE),0)</f>
        <v>0</v>
      </c>
      <c r="K191" s="194">
        <f>IF(_1_5412845612146241046457891017456[[#This Row],[Discount selection]]&gt;0,VLOOKUP(_1_5412845612146241046457891017456[[#This Row],[Discount selection]],'Discount Structure'!$A$2:$B$30,2,"false"),0)</f>
        <v>1</v>
      </c>
      <c r="L191" s="194">
        <f>_1_5412845612146241046457891017456[[#This Row],[LIST $]]*_1_5412845612146241046457891017456[[#This Row],[DISCOUNT]]*_1_5412845612146241046457891017456[[#This Row],[DISCOUNT 2]]</f>
        <v>0</v>
      </c>
      <c r="M191" s="194">
        <f>IF(OR(_1_5412845612146241046457891017456[[#This Row],[UNIT]]&gt;0,_1_5412845612146241046457891017456[[#This Row],[UNIT]]&lt;0),_1_5412845612146241046457891017456[[#This Row],[UNIT]]*_1_5412845612146241046457891017456[[#This Row],[COST]],0)</f>
        <v>0</v>
      </c>
      <c r="N191" s="194">
        <f t="shared" si="2"/>
        <v>1.3</v>
      </c>
      <c r="O191" s="198">
        <f>_1_5412845612146241046457891017456[[#This Row],[TOTAL]]*_1_5412845612146241046457891017456[[#This Row],[MARGIN]]</f>
        <v>0</v>
      </c>
      <c r="R191" s="41"/>
    </row>
    <row r="192" spans="2:18">
      <c r="C192" s="168"/>
      <c r="D192" s="188"/>
      <c r="F192" s="168" t="s">
        <v>6202</v>
      </c>
      <c r="G192" s="193">
        <f>IF(_1_5412845612146241046457891017456[[#This Row],[Type]]&gt;0,VLOOKUP(_1_5412845612146241046457891017456[[#This Row],[Type]],Main[[#All],[TYPE]:[UNIT]],'Unit Price'!C$1,FALSE),0)</f>
        <v>0</v>
      </c>
      <c r="H192" s="197">
        <f>IF(_1_5412845612146241046457891017456[[#This Row],[Type]]&gt;0,VLOOKUP(_1_5412845612146241046457891017456[[#This Row],[Type]],Main[[#All],[TYPE]:[UNIT]],'Unit Price'!D$1,FALSE),0)</f>
        <v>0</v>
      </c>
      <c r="I192" s="194">
        <f>IF(_1_5412845612146241046457891017456[[#This Row],[Type]]&gt;0,VLOOKUP(_1_5412845612146241046457891017456[[#This Row],[Type]],Main[[#All],[TYPE]:[UNIT]],'Unit Price'!G$1,FALSE),0)</f>
        <v>0</v>
      </c>
      <c r="J192" s="194">
        <f>IF(_1_5412845612146241046457891017456[[#This Row],[Type]]&gt;0,VLOOKUP(_1_5412845612146241046457891017456[[#This Row],[Type]],Main[[#All],[TYPE]:[UNIT]],'Unit Price'!H$1,FALSE),0)</f>
        <v>0</v>
      </c>
      <c r="K192" s="194">
        <f>IF(_1_5412845612146241046457891017456[[#This Row],[Discount selection]]&gt;0,VLOOKUP(_1_5412845612146241046457891017456[[#This Row],[Discount selection]],'Discount Structure'!$A$2:$B$30,2,"false"),0)</f>
        <v>1</v>
      </c>
      <c r="L192" s="194">
        <f>_1_5412845612146241046457891017456[[#This Row],[LIST $]]*_1_5412845612146241046457891017456[[#This Row],[DISCOUNT]]*_1_5412845612146241046457891017456[[#This Row],[DISCOUNT 2]]</f>
        <v>0</v>
      </c>
      <c r="M192" s="194">
        <f>IF(OR(_1_5412845612146241046457891017456[[#This Row],[UNIT]]&gt;0,_1_5412845612146241046457891017456[[#This Row],[UNIT]]&lt;0),_1_5412845612146241046457891017456[[#This Row],[UNIT]]*_1_5412845612146241046457891017456[[#This Row],[COST]],0)</f>
        <v>0</v>
      </c>
      <c r="N192" s="194">
        <f t="shared" si="2"/>
        <v>1.3</v>
      </c>
      <c r="O192" s="198">
        <f>_1_5412845612146241046457891017456[[#This Row],[TOTAL]]*_1_5412845612146241046457891017456[[#This Row],[MARGIN]]</f>
        <v>0</v>
      </c>
      <c r="R192" s="41"/>
    </row>
    <row r="193" spans="1:18">
      <c r="A193" s="168"/>
      <c r="C193" s="168"/>
      <c r="D193" s="188"/>
      <c r="F193" s="168" t="s">
        <v>6202</v>
      </c>
      <c r="G193" s="193">
        <f>IF(_1_5412845612146241046457891017456[[#This Row],[Type]]&gt;0,VLOOKUP(_1_5412845612146241046457891017456[[#This Row],[Type]],Main[[#All],[TYPE]:[UNIT]],'Unit Price'!C$1,FALSE),0)</f>
        <v>0</v>
      </c>
      <c r="H193" s="197">
        <f>IF(_1_5412845612146241046457891017456[[#This Row],[Type]]&gt;0,VLOOKUP(_1_5412845612146241046457891017456[[#This Row],[Type]],Main[[#All],[TYPE]:[UNIT]],'Unit Price'!D$1,FALSE),0)</f>
        <v>0</v>
      </c>
      <c r="I193" s="194">
        <f>IF(_1_5412845612146241046457891017456[[#This Row],[Type]]&gt;0,VLOOKUP(_1_5412845612146241046457891017456[[#This Row],[Type]],Main[[#All],[TYPE]:[UNIT]],'Unit Price'!G$1,FALSE),0)</f>
        <v>0</v>
      </c>
      <c r="J193" s="194">
        <f>IF(_1_5412845612146241046457891017456[[#This Row],[Type]]&gt;0,VLOOKUP(_1_5412845612146241046457891017456[[#This Row],[Type]],Main[[#All],[TYPE]:[UNIT]],'Unit Price'!H$1,FALSE),0)</f>
        <v>0</v>
      </c>
      <c r="K193" s="194">
        <f>IF(_1_5412845612146241046457891017456[[#This Row],[Discount selection]]&gt;0,VLOOKUP(_1_5412845612146241046457891017456[[#This Row],[Discount selection]],'Discount Structure'!$A$2:$B$30,2,"false"),0)</f>
        <v>1</v>
      </c>
      <c r="L193" s="194">
        <f>_1_5412845612146241046457891017456[[#This Row],[LIST $]]*_1_5412845612146241046457891017456[[#This Row],[DISCOUNT]]*_1_5412845612146241046457891017456[[#This Row],[DISCOUNT 2]]</f>
        <v>0</v>
      </c>
      <c r="M193" s="194">
        <f>IF(OR(_1_5412845612146241046457891017456[[#This Row],[UNIT]]&gt;0,_1_5412845612146241046457891017456[[#This Row],[UNIT]]&lt;0),_1_5412845612146241046457891017456[[#This Row],[UNIT]]*_1_5412845612146241046457891017456[[#This Row],[COST]],0)</f>
        <v>0</v>
      </c>
      <c r="N193" s="194">
        <f t="shared" si="2"/>
        <v>1.3</v>
      </c>
      <c r="O193" s="198">
        <f>_1_5412845612146241046457891017456[[#This Row],[TOTAL]]*_1_5412845612146241046457891017456[[#This Row],[MARGIN]]</f>
        <v>0</v>
      </c>
      <c r="R193" s="41"/>
    </row>
    <row r="194" spans="1:18">
      <c r="C194" s="168"/>
      <c r="D194" s="188"/>
      <c r="F194" s="168" t="s">
        <v>6202</v>
      </c>
      <c r="G194" s="193">
        <f>IF(_1_5412845612146241046457891017456[[#This Row],[Type]]&gt;0,VLOOKUP(_1_5412845612146241046457891017456[[#This Row],[Type]],Main[[#All],[TYPE]:[UNIT]],'Unit Price'!C$1,FALSE),0)</f>
        <v>0</v>
      </c>
      <c r="H194" s="197">
        <f>IF(_1_5412845612146241046457891017456[[#This Row],[Type]]&gt;0,VLOOKUP(_1_5412845612146241046457891017456[[#This Row],[Type]],Main[[#All],[TYPE]:[UNIT]],'Unit Price'!D$1,FALSE),0)</f>
        <v>0</v>
      </c>
      <c r="I194" s="194">
        <f>IF(_1_5412845612146241046457891017456[[#This Row],[Type]]&gt;0,VLOOKUP(_1_5412845612146241046457891017456[[#This Row],[Type]],Main[[#All],[TYPE]:[UNIT]],'Unit Price'!G$1,FALSE),0)</f>
        <v>0</v>
      </c>
      <c r="J194" s="194">
        <f>IF(_1_5412845612146241046457891017456[[#This Row],[Type]]&gt;0,VLOOKUP(_1_5412845612146241046457891017456[[#This Row],[Type]],Main[[#All],[TYPE]:[UNIT]],'Unit Price'!H$1,FALSE),0)</f>
        <v>0</v>
      </c>
      <c r="K194" s="194">
        <f>IF(_1_5412845612146241046457891017456[[#This Row],[Discount selection]]&gt;0,VLOOKUP(_1_5412845612146241046457891017456[[#This Row],[Discount selection]],'Discount Structure'!$A$2:$B$30,2,"false"),0)</f>
        <v>1</v>
      </c>
      <c r="L194" s="194">
        <f>_1_5412845612146241046457891017456[[#This Row],[LIST $]]*_1_5412845612146241046457891017456[[#This Row],[DISCOUNT]]*_1_5412845612146241046457891017456[[#This Row],[DISCOUNT 2]]</f>
        <v>0</v>
      </c>
      <c r="M194" s="194">
        <f>IF(OR(_1_5412845612146241046457891017456[[#This Row],[UNIT]]&gt;0,_1_5412845612146241046457891017456[[#This Row],[UNIT]]&lt;0),_1_5412845612146241046457891017456[[#This Row],[UNIT]]*_1_5412845612146241046457891017456[[#This Row],[COST]],0)</f>
        <v>0</v>
      </c>
      <c r="N194" s="194">
        <f t="shared" si="2"/>
        <v>1.3</v>
      </c>
      <c r="O194" s="198">
        <f>_1_5412845612146241046457891017456[[#This Row],[TOTAL]]*_1_5412845612146241046457891017456[[#This Row],[MARGIN]]</f>
        <v>0</v>
      </c>
      <c r="R194" s="41"/>
    </row>
    <row r="195" spans="1:18">
      <c r="C195" s="168"/>
      <c r="D195" s="188"/>
      <c r="F195" s="168" t="s">
        <v>6202</v>
      </c>
      <c r="G195" s="193">
        <f>IF(_1_5412845612146241046457891017456[[#This Row],[Type]]&gt;0,VLOOKUP(_1_5412845612146241046457891017456[[#This Row],[Type]],Main[[#All],[TYPE]:[UNIT]],'Unit Price'!C$1,FALSE),0)</f>
        <v>0</v>
      </c>
      <c r="H195" s="197">
        <f>IF(_1_5412845612146241046457891017456[[#This Row],[Type]]&gt;0,VLOOKUP(_1_5412845612146241046457891017456[[#This Row],[Type]],Main[[#All],[TYPE]:[UNIT]],'Unit Price'!D$1,FALSE),0)</f>
        <v>0</v>
      </c>
      <c r="I195" s="194">
        <f>IF(_1_5412845612146241046457891017456[[#This Row],[Type]]&gt;0,VLOOKUP(_1_5412845612146241046457891017456[[#This Row],[Type]],Main[[#All],[TYPE]:[UNIT]],'Unit Price'!G$1,FALSE),0)</f>
        <v>0</v>
      </c>
      <c r="J195" s="194">
        <f>IF(_1_5412845612146241046457891017456[[#This Row],[Type]]&gt;0,VLOOKUP(_1_5412845612146241046457891017456[[#This Row],[Type]],Main[[#All],[TYPE]:[UNIT]],'Unit Price'!H$1,FALSE),0)</f>
        <v>0</v>
      </c>
      <c r="K195" s="194">
        <f>IF(_1_5412845612146241046457891017456[[#This Row],[Discount selection]]&gt;0,VLOOKUP(_1_5412845612146241046457891017456[[#This Row],[Discount selection]],'Discount Structure'!$A$2:$B$30,2,"false"),0)</f>
        <v>1</v>
      </c>
      <c r="L195" s="194">
        <f>_1_5412845612146241046457891017456[[#This Row],[LIST $]]*_1_5412845612146241046457891017456[[#This Row],[DISCOUNT]]*_1_5412845612146241046457891017456[[#This Row],[DISCOUNT 2]]</f>
        <v>0</v>
      </c>
      <c r="M195" s="194">
        <f>IF(OR(_1_5412845612146241046457891017456[[#This Row],[UNIT]]&gt;0,_1_5412845612146241046457891017456[[#This Row],[UNIT]]&lt;0),_1_5412845612146241046457891017456[[#This Row],[UNIT]]*_1_5412845612146241046457891017456[[#This Row],[COST]],0)</f>
        <v>0</v>
      </c>
      <c r="N195" s="194">
        <f t="shared" si="2"/>
        <v>1.3</v>
      </c>
      <c r="O195" s="198">
        <f>_1_5412845612146241046457891017456[[#This Row],[TOTAL]]*_1_5412845612146241046457891017456[[#This Row],[MARGIN]]</f>
        <v>0</v>
      </c>
      <c r="R195" s="41"/>
    </row>
    <row r="196" spans="1:18">
      <c r="C196" s="168"/>
      <c r="D196" s="188"/>
      <c r="F196" s="168" t="s">
        <v>6202</v>
      </c>
      <c r="G196" s="193">
        <f>IF(_1_5412845612146241046457891017456[[#This Row],[Type]]&gt;0,VLOOKUP(_1_5412845612146241046457891017456[[#This Row],[Type]],Main[[#All],[TYPE]:[UNIT]],'Unit Price'!C$1,FALSE),0)</f>
        <v>0</v>
      </c>
      <c r="H196" s="197">
        <f>IF(_1_5412845612146241046457891017456[[#This Row],[Type]]&gt;0,VLOOKUP(_1_5412845612146241046457891017456[[#This Row],[Type]],Main[[#All],[TYPE]:[UNIT]],'Unit Price'!D$1,FALSE),0)</f>
        <v>0</v>
      </c>
      <c r="I196" s="194">
        <f>IF(_1_5412845612146241046457891017456[[#This Row],[Type]]&gt;0,VLOOKUP(_1_5412845612146241046457891017456[[#This Row],[Type]],Main[[#All],[TYPE]:[UNIT]],'Unit Price'!G$1,FALSE),0)</f>
        <v>0</v>
      </c>
      <c r="J196" s="194">
        <f>IF(_1_5412845612146241046457891017456[[#This Row],[Type]]&gt;0,VLOOKUP(_1_5412845612146241046457891017456[[#This Row],[Type]],Main[[#All],[TYPE]:[UNIT]],'Unit Price'!H$1,FALSE),0)</f>
        <v>0</v>
      </c>
      <c r="K196" s="194">
        <f>IF(_1_5412845612146241046457891017456[[#This Row],[Discount selection]]&gt;0,VLOOKUP(_1_5412845612146241046457891017456[[#This Row],[Discount selection]],'Discount Structure'!$A$2:$B$30,2,"false"),0)</f>
        <v>1</v>
      </c>
      <c r="L196" s="194">
        <f>_1_5412845612146241046457891017456[[#This Row],[LIST $]]*_1_5412845612146241046457891017456[[#This Row],[DISCOUNT]]*_1_5412845612146241046457891017456[[#This Row],[DISCOUNT 2]]</f>
        <v>0</v>
      </c>
      <c r="M196" s="194">
        <f>IF(OR(_1_5412845612146241046457891017456[[#This Row],[UNIT]]&gt;0,_1_5412845612146241046457891017456[[#This Row],[UNIT]]&lt;0),_1_5412845612146241046457891017456[[#This Row],[UNIT]]*_1_5412845612146241046457891017456[[#This Row],[COST]],0)</f>
        <v>0</v>
      </c>
      <c r="N196" s="194">
        <f t="shared" si="2"/>
        <v>1.3</v>
      </c>
      <c r="O196" s="198">
        <f>_1_5412845612146241046457891017456[[#This Row],[TOTAL]]*_1_5412845612146241046457891017456[[#This Row],[MARGIN]]</f>
        <v>0</v>
      </c>
      <c r="R196" s="41"/>
    </row>
    <row r="197" spans="1:18">
      <c r="A197" s="168"/>
      <c r="C197" s="168"/>
      <c r="D197" s="188"/>
      <c r="F197" s="168" t="s">
        <v>6202</v>
      </c>
      <c r="G197" s="193">
        <f>IF(_1_5412845612146241046457891017456[[#This Row],[Type]]&gt;0,VLOOKUP(_1_5412845612146241046457891017456[[#This Row],[Type]],Main[[#All],[TYPE]:[UNIT]],'Unit Price'!C$1,FALSE),0)</f>
        <v>0</v>
      </c>
      <c r="H197" s="197">
        <f>IF(_1_5412845612146241046457891017456[[#This Row],[Type]]&gt;0,VLOOKUP(_1_5412845612146241046457891017456[[#This Row],[Type]],Main[[#All],[TYPE]:[UNIT]],'Unit Price'!D$1,FALSE),0)</f>
        <v>0</v>
      </c>
      <c r="I197" s="194">
        <f>IF(_1_5412845612146241046457891017456[[#This Row],[Type]]&gt;0,VLOOKUP(_1_5412845612146241046457891017456[[#This Row],[Type]],Main[[#All],[TYPE]:[UNIT]],'Unit Price'!G$1,FALSE),0)</f>
        <v>0</v>
      </c>
      <c r="J197" s="194">
        <f>IF(_1_5412845612146241046457891017456[[#This Row],[Type]]&gt;0,VLOOKUP(_1_5412845612146241046457891017456[[#This Row],[Type]],Main[[#All],[TYPE]:[UNIT]],'Unit Price'!H$1,FALSE),0)</f>
        <v>0</v>
      </c>
      <c r="K197" s="194">
        <f>IF(_1_5412845612146241046457891017456[[#This Row],[Discount selection]]&gt;0,VLOOKUP(_1_5412845612146241046457891017456[[#This Row],[Discount selection]],'Discount Structure'!$A$2:$B$30,2,"false"),0)</f>
        <v>1</v>
      </c>
      <c r="L197" s="194">
        <f>_1_5412845612146241046457891017456[[#This Row],[LIST $]]*_1_5412845612146241046457891017456[[#This Row],[DISCOUNT]]*_1_5412845612146241046457891017456[[#This Row],[DISCOUNT 2]]</f>
        <v>0</v>
      </c>
      <c r="M197" s="194">
        <f>IF(OR(_1_5412845612146241046457891017456[[#This Row],[UNIT]]&gt;0,_1_5412845612146241046457891017456[[#This Row],[UNIT]]&lt;0),_1_5412845612146241046457891017456[[#This Row],[UNIT]]*_1_5412845612146241046457891017456[[#This Row],[COST]],0)</f>
        <v>0</v>
      </c>
      <c r="N197" s="194">
        <f t="shared" si="2"/>
        <v>1.3</v>
      </c>
      <c r="O197" s="198">
        <f>_1_5412845612146241046457891017456[[#This Row],[TOTAL]]*_1_5412845612146241046457891017456[[#This Row],[MARGIN]]</f>
        <v>0</v>
      </c>
      <c r="R197" s="41"/>
    </row>
    <row r="198" spans="1:18">
      <c r="C198" s="168"/>
      <c r="D198" s="188"/>
      <c r="F198" s="168" t="s">
        <v>6202</v>
      </c>
      <c r="G198" s="193">
        <f>IF(_1_5412845612146241046457891017456[[#This Row],[Type]]&gt;0,VLOOKUP(_1_5412845612146241046457891017456[[#This Row],[Type]],Main[[#All],[TYPE]:[UNIT]],'Unit Price'!C$1,FALSE),0)</f>
        <v>0</v>
      </c>
      <c r="H198" s="197">
        <f>IF(_1_5412845612146241046457891017456[[#This Row],[Type]]&gt;0,VLOOKUP(_1_5412845612146241046457891017456[[#This Row],[Type]],Main[[#All],[TYPE]:[UNIT]],'Unit Price'!D$1,FALSE),0)</f>
        <v>0</v>
      </c>
      <c r="I198" s="194">
        <f>IF(_1_5412845612146241046457891017456[[#This Row],[Type]]&gt;0,VLOOKUP(_1_5412845612146241046457891017456[[#This Row],[Type]],Main[[#All],[TYPE]:[UNIT]],'Unit Price'!G$1,FALSE),0)</f>
        <v>0</v>
      </c>
      <c r="J198" s="194">
        <f>IF(_1_5412845612146241046457891017456[[#This Row],[Type]]&gt;0,VLOOKUP(_1_5412845612146241046457891017456[[#This Row],[Type]],Main[[#All],[TYPE]:[UNIT]],'Unit Price'!H$1,FALSE),0)</f>
        <v>0</v>
      </c>
      <c r="K198" s="194">
        <f>IF(_1_5412845612146241046457891017456[[#This Row],[Discount selection]]&gt;0,VLOOKUP(_1_5412845612146241046457891017456[[#This Row],[Discount selection]],'Discount Structure'!$A$2:$B$30,2,"false"),0)</f>
        <v>1</v>
      </c>
      <c r="L198" s="194">
        <f>_1_5412845612146241046457891017456[[#This Row],[LIST $]]*_1_5412845612146241046457891017456[[#This Row],[DISCOUNT]]*_1_5412845612146241046457891017456[[#This Row],[DISCOUNT 2]]</f>
        <v>0</v>
      </c>
      <c r="M198" s="194">
        <f>IF(OR(_1_5412845612146241046457891017456[[#This Row],[UNIT]]&gt;0,_1_5412845612146241046457891017456[[#This Row],[UNIT]]&lt;0),_1_5412845612146241046457891017456[[#This Row],[UNIT]]*_1_5412845612146241046457891017456[[#This Row],[COST]],0)</f>
        <v>0</v>
      </c>
      <c r="N198" s="194">
        <f t="shared" si="2"/>
        <v>1.3</v>
      </c>
      <c r="O198" s="198">
        <f>_1_5412845612146241046457891017456[[#This Row],[TOTAL]]*_1_5412845612146241046457891017456[[#This Row],[MARGIN]]</f>
        <v>0</v>
      </c>
      <c r="R198" s="41"/>
    </row>
    <row r="199" spans="1:18">
      <c r="C199" s="168"/>
      <c r="D199" s="188"/>
      <c r="F199" s="168" t="s">
        <v>6202</v>
      </c>
      <c r="G199" s="193">
        <f>IF(_1_5412845612146241046457891017456[[#This Row],[Type]]&gt;0,VLOOKUP(_1_5412845612146241046457891017456[[#This Row],[Type]],Main[[#All],[TYPE]:[UNIT]],'Unit Price'!C$1,FALSE),0)</f>
        <v>0</v>
      </c>
      <c r="H199" s="197">
        <f>IF(_1_5412845612146241046457891017456[[#This Row],[Type]]&gt;0,VLOOKUP(_1_5412845612146241046457891017456[[#This Row],[Type]],Main[[#All],[TYPE]:[UNIT]],'Unit Price'!D$1,FALSE),0)</f>
        <v>0</v>
      </c>
      <c r="I199" s="194">
        <f>IF(_1_5412845612146241046457891017456[[#This Row],[Type]]&gt;0,VLOOKUP(_1_5412845612146241046457891017456[[#This Row],[Type]],Main[[#All],[TYPE]:[UNIT]],'Unit Price'!G$1,FALSE),0)</f>
        <v>0</v>
      </c>
      <c r="J199" s="194">
        <f>IF(_1_5412845612146241046457891017456[[#This Row],[Type]]&gt;0,VLOOKUP(_1_5412845612146241046457891017456[[#This Row],[Type]],Main[[#All],[TYPE]:[UNIT]],'Unit Price'!H$1,FALSE),0)</f>
        <v>0</v>
      </c>
      <c r="K199" s="194">
        <f>IF(_1_5412845612146241046457891017456[[#This Row],[Discount selection]]&gt;0,VLOOKUP(_1_5412845612146241046457891017456[[#This Row],[Discount selection]],'Discount Structure'!$A$2:$B$30,2,"false"),0)</f>
        <v>1</v>
      </c>
      <c r="L199" s="194">
        <f>_1_5412845612146241046457891017456[[#This Row],[LIST $]]*_1_5412845612146241046457891017456[[#This Row],[DISCOUNT]]*_1_5412845612146241046457891017456[[#This Row],[DISCOUNT 2]]</f>
        <v>0</v>
      </c>
      <c r="M199" s="194">
        <f>IF(OR(_1_5412845612146241046457891017456[[#This Row],[UNIT]]&gt;0,_1_5412845612146241046457891017456[[#This Row],[UNIT]]&lt;0),_1_5412845612146241046457891017456[[#This Row],[UNIT]]*_1_5412845612146241046457891017456[[#This Row],[COST]],0)</f>
        <v>0</v>
      </c>
      <c r="N199" s="194">
        <f t="shared" si="2"/>
        <v>1.3</v>
      </c>
      <c r="O199" s="198">
        <f>_1_5412845612146241046457891017456[[#This Row],[TOTAL]]*_1_5412845612146241046457891017456[[#This Row],[MARGIN]]</f>
        <v>0</v>
      </c>
      <c r="R199" s="41"/>
    </row>
    <row r="200" spans="1:18">
      <c r="A200" s="168"/>
      <c r="C200" s="168"/>
      <c r="D200" s="188"/>
      <c r="F200" s="168" t="s">
        <v>6202</v>
      </c>
      <c r="G200" s="193">
        <f>IF(_1_5412845612146241046457891017456[[#This Row],[Type]]&gt;0,VLOOKUP(_1_5412845612146241046457891017456[[#This Row],[Type]],Main[[#All],[TYPE]:[UNIT]],'Unit Price'!C$1,FALSE),0)</f>
        <v>0</v>
      </c>
      <c r="H200" s="197">
        <f>IF(_1_5412845612146241046457891017456[[#This Row],[Type]]&gt;0,VLOOKUP(_1_5412845612146241046457891017456[[#This Row],[Type]],Main[[#All],[TYPE]:[UNIT]],'Unit Price'!D$1,FALSE),0)</f>
        <v>0</v>
      </c>
      <c r="I200" s="194">
        <f>IF(_1_5412845612146241046457891017456[[#This Row],[Type]]&gt;0,VLOOKUP(_1_5412845612146241046457891017456[[#This Row],[Type]],Main[[#All],[TYPE]:[UNIT]],'Unit Price'!G$1,FALSE),0)</f>
        <v>0</v>
      </c>
      <c r="J200" s="194">
        <f>IF(_1_5412845612146241046457891017456[[#This Row],[Type]]&gt;0,VLOOKUP(_1_5412845612146241046457891017456[[#This Row],[Type]],Main[[#All],[TYPE]:[UNIT]],'Unit Price'!H$1,FALSE),0)</f>
        <v>0</v>
      </c>
      <c r="K200" s="194">
        <f>IF(_1_5412845612146241046457891017456[[#This Row],[Discount selection]]&gt;0,VLOOKUP(_1_5412845612146241046457891017456[[#This Row],[Discount selection]],'Discount Structure'!$A$2:$B$30,2,"false"),0)</f>
        <v>1</v>
      </c>
      <c r="L200" s="194">
        <f>_1_5412845612146241046457891017456[[#This Row],[LIST $]]*_1_5412845612146241046457891017456[[#This Row],[DISCOUNT]]*_1_5412845612146241046457891017456[[#This Row],[DISCOUNT 2]]</f>
        <v>0</v>
      </c>
      <c r="M200" s="194">
        <f>IF(OR(_1_5412845612146241046457891017456[[#This Row],[UNIT]]&gt;0,_1_5412845612146241046457891017456[[#This Row],[UNIT]]&lt;0),_1_5412845612146241046457891017456[[#This Row],[UNIT]]*_1_5412845612146241046457891017456[[#This Row],[COST]],0)</f>
        <v>0</v>
      </c>
      <c r="N200" s="194">
        <f t="shared" si="2"/>
        <v>1.3</v>
      </c>
      <c r="O200" s="198">
        <f>_1_5412845612146241046457891017456[[#This Row],[TOTAL]]*_1_5412845612146241046457891017456[[#This Row],[MARGIN]]</f>
        <v>0</v>
      </c>
      <c r="R200" s="41"/>
    </row>
    <row r="201" spans="1:18">
      <c r="B201" s="168"/>
      <c r="C201" s="168"/>
      <c r="D201" s="188"/>
      <c r="F201" s="168" t="s">
        <v>6202</v>
      </c>
      <c r="G201" s="193">
        <f>IF(_1_5412845612146241046457891017456[[#This Row],[Type]]&gt;0,VLOOKUP(_1_5412845612146241046457891017456[[#This Row],[Type]],Main[[#All],[TYPE]:[UNIT]],'Unit Price'!C$1,FALSE),0)</f>
        <v>0</v>
      </c>
      <c r="H201" s="197">
        <f>IF(_1_5412845612146241046457891017456[[#This Row],[Type]]&gt;0,VLOOKUP(_1_5412845612146241046457891017456[[#This Row],[Type]],Main[[#All],[TYPE]:[UNIT]],'Unit Price'!D$1,FALSE),0)</f>
        <v>0</v>
      </c>
      <c r="I201" s="194">
        <f>IF(_1_5412845612146241046457891017456[[#This Row],[Type]]&gt;0,VLOOKUP(_1_5412845612146241046457891017456[[#This Row],[Type]],Main[[#All],[TYPE]:[UNIT]],'Unit Price'!G$1,FALSE),0)</f>
        <v>0</v>
      </c>
      <c r="J201" s="194">
        <f>IF(_1_5412845612146241046457891017456[[#This Row],[Type]]&gt;0,VLOOKUP(_1_5412845612146241046457891017456[[#This Row],[Type]],Main[[#All],[TYPE]:[UNIT]],'Unit Price'!H$1,FALSE),0)</f>
        <v>0</v>
      </c>
      <c r="K201" s="194">
        <f>IF(_1_5412845612146241046457891017456[[#This Row],[Discount selection]]&gt;0,VLOOKUP(_1_5412845612146241046457891017456[[#This Row],[Discount selection]],'Discount Structure'!$A$2:$B$30,2,"false"),0)</f>
        <v>1</v>
      </c>
      <c r="L201" s="194">
        <f>_1_5412845612146241046457891017456[[#This Row],[LIST $]]*_1_5412845612146241046457891017456[[#This Row],[DISCOUNT]]*_1_5412845612146241046457891017456[[#This Row],[DISCOUNT 2]]</f>
        <v>0</v>
      </c>
      <c r="M201" s="194">
        <f>IF(OR(_1_5412845612146241046457891017456[[#This Row],[UNIT]]&gt;0,_1_5412845612146241046457891017456[[#This Row],[UNIT]]&lt;0),_1_5412845612146241046457891017456[[#This Row],[UNIT]]*_1_5412845612146241046457891017456[[#This Row],[COST]],0)</f>
        <v>0</v>
      </c>
      <c r="N201" s="194">
        <f t="shared" si="2"/>
        <v>1.3</v>
      </c>
      <c r="O201" s="198">
        <f>_1_5412845612146241046457891017456[[#This Row],[TOTAL]]*_1_5412845612146241046457891017456[[#This Row],[MARGIN]]</f>
        <v>0</v>
      </c>
      <c r="R201" s="41"/>
    </row>
    <row r="202" spans="1:18">
      <c r="C202" s="168"/>
      <c r="D202" s="188"/>
      <c r="F202" s="168" t="s">
        <v>6202</v>
      </c>
      <c r="G202" s="193">
        <f>IF(_1_5412845612146241046457891017456[[#This Row],[Type]]&gt;0,VLOOKUP(_1_5412845612146241046457891017456[[#This Row],[Type]],Main[[#All],[TYPE]:[UNIT]],'Unit Price'!C$1,FALSE),0)</f>
        <v>0</v>
      </c>
      <c r="H202" s="197">
        <f>IF(_1_5412845612146241046457891017456[[#This Row],[Type]]&gt;0,VLOOKUP(_1_5412845612146241046457891017456[[#This Row],[Type]],Main[[#All],[TYPE]:[UNIT]],'Unit Price'!D$1,FALSE),0)</f>
        <v>0</v>
      </c>
      <c r="I202" s="194">
        <f>IF(_1_5412845612146241046457891017456[[#This Row],[Type]]&gt;0,VLOOKUP(_1_5412845612146241046457891017456[[#This Row],[Type]],Main[[#All],[TYPE]:[UNIT]],'Unit Price'!G$1,FALSE),0)</f>
        <v>0</v>
      </c>
      <c r="J202" s="194">
        <f>IF(_1_5412845612146241046457891017456[[#This Row],[Type]]&gt;0,VLOOKUP(_1_5412845612146241046457891017456[[#This Row],[Type]],Main[[#All],[TYPE]:[UNIT]],'Unit Price'!H$1,FALSE),0)</f>
        <v>0</v>
      </c>
      <c r="K202" s="194">
        <f>IF(_1_5412845612146241046457891017456[[#This Row],[Discount selection]]&gt;0,VLOOKUP(_1_5412845612146241046457891017456[[#This Row],[Discount selection]],'Discount Structure'!$A$2:$B$30,2,"false"),0)</f>
        <v>1</v>
      </c>
      <c r="L202" s="194">
        <f>_1_5412845612146241046457891017456[[#This Row],[LIST $]]*_1_5412845612146241046457891017456[[#This Row],[DISCOUNT]]*_1_5412845612146241046457891017456[[#This Row],[DISCOUNT 2]]</f>
        <v>0</v>
      </c>
      <c r="M202" s="194">
        <f>IF(OR(_1_5412845612146241046457891017456[[#This Row],[UNIT]]&gt;0,_1_5412845612146241046457891017456[[#This Row],[UNIT]]&lt;0),_1_5412845612146241046457891017456[[#This Row],[UNIT]]*_1_5412845612146241046457891017456[[#This Row],[COST]],0)</f>
        <v>0</v>
      </c>
      <c r="N202" s="194">
        <f t="shared" ref="N202:N265" si="3">$N$7</f>
        <v>1.3</v>
      </c>
      <c r="O202" s="198">
        <f>_1_5412845612146241046457891017456[[#This Row],[TOTAL]]*_1_5412845612146241046457891017456[[#This Row],[MARGIN]]</f>
        <v>0</v>
      </c>
      <c r="R202" s="41"/>
    </row>
    <row r="203" spans="1:18">
      <c r="A203" s="168"/>
      <c r="C203" s="168"/>
      <c r="D203" s="188"/>
      <c r="F203" s="168" t="s">
        <v>6202</v>
      </c>
      <c r="G203" s="193">
        <f>IF(_1_5412845612146241046457891017456[[#This Row],[Type]]&gt;0,VLOOKUP(_1_5412845612146241046457891017456[[#This Row],[Type]],Main[[#All],[TYPE]:[UNIT]],'Unit Price'!C$1,FALSE),0)</f>
        <v>0</v>
      </c>
      <c r="H203" s="197">
        <f>IF(_1_5412845612146241046457891017456[[#This Row],[Type]]&gt;0,VLOOKUP(_1_5412845612146241046457891017456[[#This Row],[Type]],Main[[#All],[TYPE]:[UNIT]],'Unit Price'!D$1,FALSE),0)</f>
        <v>0</v>
      </c>
      <c r="I203" s="194">
        <f>IF(_1_5412845612146241046457891017456[[#This Row],[Type]]&gt;0,VLOOKUP(_1_5412845612146241046457891017456[[#This Row],[Type]],Main[[#All],[TYPE]:[UNIT]],'Unit Price'!G$1,FALSE),0)</f>
        <v>0</v>
      </c>
      <c r="J203" s="194">
        <f>IF(_1_5412845612146241046457891017456[[#This Row],[Type]]&gt;0,VLOOKUP(_1_5412845612146241046457891017456[[#This Row],[Type]],Main[[#All],[TYPE]:[UNIT]],'Unit Price'!H$1,FALSE),0)</f>
        <v>0</v>
      </c>
      <c r="K203" s="194">
        <f>IF(_1_5412845612146241046457891017456[[#This Row],[Discount selection]]&gt;0,VLOOKUP(_1_5412845612146241046457891017456[[#This Row],[Discount selection]],'Discount Structure'!$A$2:$B$30,2,"false"),0)</f>
        <v>1</v>
      </c>
      <c r="L203" s="194">
        <f>_1_5412845612146241046457891017456[[#This Row],[LIST $]]*_1_5412845612146241046457891017456[[#This Row],[DISCOUNT]]*_1_5412845612146241046457891017456[[#This Row],[DISCOUNT 2]]</f>
        <v>0</v>
      </c>
      <c r="M203" s="194">
        <f>IF(OR(_1_5412845612146241046457891017456[[#This Row],[UNIT]]&gt;0,_1_5412845612146241046457891017456[[#This Row],[UNIT]]&lt;0),_1_5412845612146241046457891017456[[#This Row],[UNIT]]*_1_5412845612146241046457891017456[[#This Row],[COST]],0)</f>
        <v>0</v>
      </c>
      <c r="N203" s="194">
        <f t="shared" si="3"/>
        <v>1.3</v>
      </c>
      <c r="O203" s="198">
        <f>_1_5412845612146241046457891017456[[#This Row],[TOTAL]]*_1_5412845612146241046457891017456[[#This Row],[MARGIN]]</f>
        <v>0</v>
      </c>
      <c r="R203" s="41"/>
    </row>
    <row r="204" spans="1:18">
      <c r="C204" s="168"/>
      <c r="D204" s="188"/>
      <c r="F204" s="168" t="s">
        <v>6202</v>
      </c>
      <c r="G204" s="193">
        <f>IF(_1_5412845612146241046457891017456[[#This Row],[Type]]&gt;0,VLOOKUP(_1_5412845612146241046457891017456[[#This Row],[Type]],Main[[#All],[TYPE]:[UNIT]],'Unit Price'!C$1,FALSE),0)</f>
        <v>0</v>
      </c>
      <c r="H204" s="197">
        <f>IF(_1_5412845612146241046457891017456[[#This Row],[Type]]&gt;0,VLOOKUP(_1_5412845612146241046457891017456[[#This Row],[Type]],Main[[#All],[TYPE]:[UNIT]],'Unit Price'!D$1,FALSE),0)</f>
        <v>0</v>
      </c>
      <c r="I204" s="194">
        <f>IF(_1_5412845612146241046457891017456[[#This Row],[Type]]&gt;0,VLOOKUP(_1_5412845612146241046457891017456[[#This Row],[Type]],Main[[#All],[TYPE]:[UNIT]],'Unit Price'!G$1,FALSE),0)</f>
        <v>0</v>
      </c>
      <c r="J204" s="194">
        <f>IF(_1_5412845612146241046457891017456[[#This Row],[Type]]&gt;0,VLOOKUP(_1_5412845612146241046457891017456[[#This Row],[Type]],Main[[#All],[TYPE]:[UNIT]],'Unit Price'!H$1,FALSE),0)</f>
        <v>0</v>
      </c>
      <c r="K204" s="194">
        <f>IF(_1_5412845612146241046457891017456[[#This Row],[Discount selection]]&gt;0,VLOOKUP(_1_5412845612146241046457891017456[[#This Row],[Discount selection]],'Discount Structure'!$A$2:$B$30,2,"false"),0)</f>
        <v>1</v>
      </c>
      <c r="L204" s="194">
        <f>_1_5412845612146241046457891017456[[#This Row],[LIST $]]*_1_5412845612146241046457891017456[[#This Row],[DISCOUNT]]*_1_5412845612146241046457891017456[[#This Row],[DISCOUNT 2]]</f>
        <v>0</v>
      </c>
      <c r="M204" s="194">
        <f>IF(OR(_1_5412845612146241046457891017456[[#This Row],[UNIT]]&gt;0,_1_5412845612146241046457891017456[[#This Row],[UNIT]]&lt;0),_1_5412845612146241046457891017456[[#This Row],[UNIT]]*_1_5412845612146241046457891017456[[#This Row],[COST]],0)</f>
        <v>0</v>
      </c>
      <c r="N204" s="194">
        <f t="shared" si="3"/>
        <v>1.3</v>
      </c>
      <c r="O204" s="198">
        <f>_1_5412845612146241046457891017456[[#This Row],[TOTAL]]*_1_5412845612146241046457891017456[[#This Row],[MARGIN]]</f>
        <v>0</v>
      </c>
      <c r="R204" s="41"/>
    </row>
    <row r="205" spans="1:18">
      <c r="C205" s="168"/>
      <c r="D205" s="188"/>
      <c r="F205" s="168" t="s">
        <v>6202</v>
      </c>
      <c r="G205" s="193">
        <f>IF(_1_5412845612146241046457891017456[[#This Row],[Type]]&gt;0,VLOOKUP(_1_5412845612146241046457891017456[[#This Row],[Type]],Main[[#All],[TYPE]:[UNIT]],'Unit Price'!C$1,FALSE),0)</f>
        <v>0</v>
      </c>
      <c r="H205" s="197">
        <f>IF(_1_5412845612146241046457891017456[[#This Row],[Type]]&gt;0,VLOOKUP(_1_5412845612146241046457891017456[[#This Row],[Type]],Main[[#All],[TYPE]:[UNIT]],'Unit Price'!D$1,FALSE),0)</f>
        <v>0</v>
      </c>
      <c r="I205" s="194">
        <f>IF(_1_5412845612146241046457891017456[[#This Row],[Type]]&gt;0,VLOOKUP(_1_5412845612146241046457891017456[[#This Row],[Type]],Main[[#All],[TYPE]:[UNIT]],'Unit Price'!G$1,FALSE),0)</f>
        <v>0</v>
      </c>
      <c r="J205" s="194">
        <f>IF(_1_5412845612146241046457891017456[[#This Row],[Type]]&gt;0,VLOOKUP(_1_5412845612146241046457891017456[[#This Row],[Type]],Main[[#All],[TYPE]:[UNIT]],'Unit Price'!H$1,FALSE),0)</f>
        <v>0</v>
      </c>
      <c r="K205" s="194">
        <f>IF(_1_5412845612146241046457891017456[[#This Row],[Discount selection]]&gt;0,VLOOKUP(_1_5412845612146241046457891017456[[#This Row],[Discount selection]],'Discount Structure'!$A$2:$B$30,2,"false"),0)</f>
        <v>1</v>
      </c>
      <c r="L205" s="194">
        <f>_1_5412845612146241046457891017456[[#This Row],[LIST $]]*_1_5412845612146241046457891017456[[#This Row],[DISCOUNT]]*_1_5412845612146241046457891017456[[#This Row],[DISCOUNT 2]]</f>
        <v>0</v>
      </c>
      <c r="M205" s="194">
        <f>IF(OR(_1_5412845612146241046457891017456[[#This Row],[UNIT]]&gt;0,_1_5412845612146241046457891017456[[#This Row],[UNIT]]&lt;0),_1_5412845612146241046457891017456[[#This Row],[UNIT]]*_1_5412845612146241046457891017456[[#This Row],[COST]],0)</f>
        <v>0</v>
      </c>
      <c r="N205" s="194">
        <f t="shared" si="3"/>
        <v>1.3</v>
      </c>
      <c r="O205" s="198">
        <f>_1_5412845612146241046457891017456[[#This Row],[TOTAL]]*_1_5412845612146241046457891017456[[#This Row],[MARGIN]]</f>
        <v>0</v>
      </c>
      <c r="R205" s="41"/>
    </row>
    <row r="206" spans="1:18">
      <c r="C206" s="168"/>
      <c r="D206" s="188"/>
      <c r="F206" s="168" t="s">
        <v>6202</v>
      </c>
      <c r="G206" s="193">
        <f>IF(_1_5412845612146241046457891017456[[#This Row],[Type]]&gt;0,VLOOKUP(_1_5412845612146241046457891017456[[#This Row],[Type]],Main[[#All],[TYPE]:[UNIT]],'Unit Price'!C$1,FALSE),0)</f>
        <v>0</v>
      </c>
      <c r="H206" s="197">
        <f>IF(_1_5412845612146241046457891017456[[#This Row],[Type]]&gt;0,VLOOKUP(_1_5412845612146241046457891017456[[#This Row],[Type]],Main[[#All],[TYPE]:[UNIT]],'Unit Price'!D$1,FALSE),0)</f>
        <v>0</v>
      </c>
      <c r="I206" s="194">
        <f>IF(_1_5412845612146241046457891017456[[#This Row],[Type]]&gt;0,VLOOKUP(_1_5412845612146241046457891017456[[#This Row],[Type]],Main[[#All],[TYPE]:[UNIT]],'Unit Price'!G$1,FALSE),0)</f>
        <v>0</v>
      </c>
      <c r="J206" s="194">
        <f>IF(_1_5412845612146241046457891017456[[#This Row],[Type]]&gt;0,VLOOKUP(_1_5412845612146241046457891017456[[#This Row],[Type]],Main[[#All],[TYPE]:[UNIT]],'Unit Price'!H$1,FALSE),0)</f>
        <v>0</v>
      </c>
      <c r="K206" s="194">
        <f>IF(_1_5412845612146241046457891017456[[#This Row],[Discount selection]]&gt;0,VLOOKUP(_1_5412845612146241046457891017456[[#This Row],[Discount selection]],'Discount Structure'!$A$2:$B$30,2,"false"),0)</f>
        <v>1</v>
      </c>
      <c r="L206" s="194">
        <f>_1_5412845612146241046457891017456[[#This Row],[LIST $]]*_1_5412845612146241046457891017456[[#This Row],[DISCOUNT]]*_1_5412845612146241046457891017456[[#This Row],[DISCOUNT 2]]</f>
        <v>0</v>
      </c>
      <c r="M206" s="194">
        <f>IF(OR(_1_5412845612146241046457891017456[[#This Row],[UNIT]]&gt;0,_1_5412845612146241046457891017456[[#This Row],[UNIT]]&lt;0),_1_5412845612146241046457891017456[[#This Row],[UNIT]]*_1_5412845612146241046457891017456[[#This Row],[COST]],0)</f>
        <v>0</v>
      </c>
      <c r="N206" s="194">
        <f t="shared" si="3"/>
        <v>1.3</v>
      </c>
      <c r="O206" s="198">
        <f>_1_5412845612146241046457891017456[[#This Row],[TOTAL]]*_1_5412845612146241046457891017456[[#This Row],[MARGIN]]</f>
        <v>0</v>
      </c>
      <c r="R206" s="41"/>
    </row>
    <row r="207" spans="1:18">
      <c r="C207" s="168"/>
      <c r="D207" s="188"/>
      <c r="F207" s="168" t="s">
        <v>6202</v>
      </c>
      <c r="G207" s="193">
        <f>IF(_1_5412845612146241046457891017456[[#This Row],[Type]]&gt;0,VLOOKUP(_1_5412845612146241046457891017456[[#This Row],[Type]],Main[[#All],[TYPE]:[UNIT]],'Unit Price'!C$1,FALSE),0)</f>
        <v>0</v>
      </c>
      <c r="H207" s="197">
        <f>IF(_1_5412845612146241046457891017456[[#This Row],[Type]]&gt;0,VLOOKUP(_1_5412845612146241046457891017456[[#This Row],[Type]],Main[[#All],[TYPE]:[UNIT]],'Unit Price'!D$1,FALSE),0)</f>
        <v>0</v>
      </c>
      <c r="I207" s="194">
        <f>IF(_1_5412845612146241046457891017456[[#This Row],[Type]]&gt;0,VLOOKUP(_1_5412845612146241046457891017456[[#This Row],[Type]],Main[[#All],[TYPE]:[UNIT]],'Unit Price'!G$1,FALSE),0)</f>
        <v>0</v>
      </c>
      <c r="J207" s="194">
        <f>IF(_1_5412845612146241046457891017456[[#This Row],[Type]]&gt;0,VLOOKUP(_1_5412845612146241046457891017456[[#This Row],[Type]],Main[[#All],[TYPE]:[UNIT]],'Unit Price'!H$1,FALSE),0)</f>
        <v>0</v>
      </c>
      <c r="K207" s="194">
        <f>IF(_1_5412845612146241046457891017456[[#This Row],[Discount selection]]&gt;0,VLOOKUP(_1_5412845612146241046457891017456[[#This Row],[Discount selection]],'Discount Structure'!$A$2:$B$30,2,"false"),0)</f>
        <v>1</v>
      </c>
      <c r="L207" s="194">
        <f>_1_5412845612146241046457891017456[[#This Row],[LIST $]]*_1_5412845612146241046457891017456[[#This Row],[DISCOUNT]]*_1_5412845612146241046457891017456[[#This Row],[DISCOUNT 2]]</f>
        <v>0</v>
      </c>
      <c r="M207" s="194">
        <f>IF(OR(_1_5412845612146241046457891017456[[#This Row],[UNIT]]&gt;0,_1_5412845612146241046457891017456[[#This Row],[UNIT]]&lt;0),_1_5412845612146241046457891017456[[#This Row],[UNIT]]*_1_5412845612146241046457891017456[[#This Row],[COST]],0)</f>
        <v>0</v>
      </c>
      <c r="N207" s="194">
        <f t="shared" si="3"/>
        <v>1.3</v>
      </c>
      <c r="O207" s="198">
        <f>_1_5412845612146241046457891017456[[#This Row],[TOTAL]]*_1_5412845612146241046457891017456[[#This Row],[MARGIN]]</f>
        <v>0</v>
      </c>
      <c r="R207" s="41"/>
    </row>
    <row r="208" spans="1:18">
      <c r="C208" s="168"/>
      <c r="D208" s="188"/>
      <c r="F208" s="168" t="s">
        <v>6202</v>
      </c>
      <c r="G208" s="193">
        <f>IF(_1_5412845612146241046457891017456[[#This Row],[Type]]&gt;0,VLOOKUP(_1_5412845612146241046457891017456[[#This Row],[Type]],Main[[#All],[TYPE]:[UNIT]],'Unit Price'!C$1,FALSE),0)</f>
        <v>0</v>
      </c>
      <c r="H208" s="197">
        <f>IF(_1_5412845612146241046457891017456[[#This Row],[Type]]&gt;0,VLOOKUP(_1_5412845612146241046457891017456[[#This Row],[Type]],Main[[#All],[TYPE]:[UNIT]],'Unit Price'!D$1,FALSE),0)</f>
        <v>0</v>
      </c>
      <c r="I208" s="194">
        <f>IF(_1_5412845612146241046457891017456[[#This Row],[Type]]&gt;0,VLOOKUP(_1_5412845612146241046457891017456[[#This Row],[Type]],Main[[#All],[TYPE]:[UNIT]],'Unit Price'!G$1,FALSE),0)</f>
        <v>0</v>
      </c>
      <c r="J208" s="194">
        <f>IF(_1_5412845612146241046457891017456[[#This Row],[Type]]&gt;0,VLOOKUP(_1_5412845612146241046457891017456[[#This Row],[Type]],Main[[#All],[TYPE]:[UNIT]],'Unit Price'!H$1,FALSE),0)</f>
        <v>0</v>
      </c>
      <c r="K208" s="194">
        <f>IF(_1_5412845612146241046457891017456[[#This Row],[Discount selection]]&gt;0,VLOOKUP(_1_5412845612146241046457891017456[[#This Row],[Discount selection]],'Discount Structure'!$A$2:$B$30,2,"false"),0)</f>
        <v>1</v>
      </c>
      <c r="L208" s="194">
        <f>_1_5412845612146241046457891017456[[#This Row],[LIST $]]*_1_5412845612146241046457891017456[[#This Row],[DISCOUNT]]*_1_5412845612146241046457891017456[[#This Row],[DISCOUNT 2]]</f>
        <v>0</v>
      </c>
      <c r="M208" s="194">
        <f>IF(OR(_1_5412845612146241046457891017456[[#This Row],[UNIT]]&gt;0,_1_5412845612146241046457891017456[[#This Row],[UNIT]]&lt;0),_1_5412845612146241046457891017456[[#This Row],[UNIT]]*_1_5412845612146241046457891017456[[#This Row],[COST]],0)</f>
        <v>0</v>
      </c>
      <c r="N208" s="194">
        <f t="shared" si="3"/>
        <v>1.3</v>
      </c>
      <c r="O208" s="198">
        <f>_1_5412845612146241046457891017456[[#This Row],[TOTAL]]*_1_5412845612146241046457891017456[[#This Row],[MARGIN]]</f>
        <v>0</v>
      </c>
      <c r="R208" s="41"/>
    </row>
    <row r="209" spans="3:18">
      <c r="C209" s="168"/>
      <c r="D209" s="188"/>
      <c r="F209" s="168" t="s">
        <v>6202</v>
      </c>
      <c r="G209" s="193">
        <f>IF(_1_5412845612146241046457891017456[[#This Row],[Type]]&gt;0,VLOOKUP(_1_5412845612146241046457891017456[[#This Row],[Type]],Main[[#All],[TYPE]:[UNIT]],'Unit Price'!C$1,FALSE),0)</f>
        <v>0</v>
      </c>
      <c r="H209" s="197">
        <f>IF(_1_5412845612146241046457891017456[[#This Row],[Type]]&gt;0,VLOOKUP(_1_5412845612146241046457891017456[[#This Row],[Type]],Main[[#All],[TYPE]:[UNIT]],'Unit Price'!D$1,FALSE),0)</f>
        <v>0</v>
      </c>
      <c r="I209" s="194">
        <f>IF(_1_5412845612146241046457891017456[[#This Row],[Type]]&gt;0,VLOOKUP(_1_5412845612146241046457891017456[[#This Row],[Type]],Main[[#All],[TYPE]:[UNIT]],'Unit Price'!G$1,FALSE),0)</f>
        <v>0</v>
      </c>
      <c r="J209" s="194">
        <f>IF(_1_5412845612146241046457891017456[[#This Row],[Type]]&gt;0,VLOOKUP(_1_5412845612146241046457891017456[[#This Row],[Type]],Main[[#All],[TYPE]:[UNIT]],'Unit Price'!H$1,FALSE),0)</f>
        <v>0</v>
      </c>
      <c r="K209" s="194">
        <f>IF(_1_5412845612146241046457891017456[[#This Row],[Discount selection]]&gt;0,VLOOKUP(_1_5412845612146241046457891017456[[#This Row],[Discount selection]],'Discount Structure'!$A$2:$B$30,2,"false"),0)</f>
        <v>1</v>
      </c>
      <c r="L209" s="194">
        <f>_1_5412845612146241046457891017456[[#This Row],[LIST $]]*_1_5412845612146241046457891017456[[#This Row],[DISCOUNT]]*_1_5412845612146241046457891017456[[#This Row],[DISCOUNT 2]]</f>
        <v>0</v>
      </c>
      <c r="M209" s="194">
        <f>IF(OR(_1_5412845612146241046457891017456[[#This Row],[UNIT]]&gt;0,_1_5412845612146241046457891017456[[#This Row],[UNIT]]&lt;0),_1_5412845612146241046457891017456[[#This Row],[UNIT]]*_1_5412845612146241046457891017456[[#This Row],[COST]],0)</f>
        <v>0</v>
      </c>
      <c r="N209" s="194">
        <f t="shared" si="3"/>
        <v>1.3</v>
      </c>
      <c r="O209" s="198">
        <f>_1_5412845612146241046457891017456[[#This Row],[TOTAL]]*_1_5412845612146241046457891017456[[#This Row],[MARGIN]]</f>
        <v>0</v>
      </c>
      <c r="R209" s="41"/>
    </row>
    <row r="210" spans="3:18">
      <c r="C210" s="168"/>
      <c r="D210" s="188"/>
      <c r="F210" s="168" t="s">
        <v>6202</v>
      </c>
      <c r="G210" s="193">
        <f>IF(_1_5412845612146241046457891017456[[#This Row],[Type]]&gt;0,VLOOKUP(_1_5412845612146241046457891017456[[#This Row],[Type]],Main[[#All],[TYPE]:[UNIT]],'Unit Price'!C$1,FALSE),0)</f>
        <v>0</v>
      </c>
      <c r="H210" s="197">
        <f>IF(_1_5412845612146241046457891017456[[#This Row],[Type]]&gt;0,VLOOKUP(_1_5412845612146241046457891017456[[#This Row],[Type]],Main[[#All],[TYPE]:[UNIT]],'Unit Price'!D$1,FALSE),0)</f>
        <v>0</v>
      </c>
      <c r="I210" s="194">
        <f>IF(_1_5412845612146241046457891017456[[#This Row],[Type]]&gt;0,VLOOKUP(_1_5412845612146241046457891017456[[#This Row],[Type]],Main[[#All],[TYPE]:[UNIT]],'Unit Price'!G$1,FALSE),0)</f>
        <v>0</v>
      </c>
      <c r="J210" s="194">
        <f>IF(_1_5412845612146241046457891017456[[#This Row],[Type]]&gt;0,VLOOKUP(_1_5412845612146241046457891017456[[#This Row],[Type]],Main[[#All],[TYPE]:[UNIT]],'Unit Price'!H$1,FALSE),0)</f>
        <v>0</v>
      </c>
      <c r="K210" s="194">
        <f>IF(_1_5412845612146241046457891017456[[#This Row],[Discount selection]]&gt;0,VLOOKUP(_1_5412845612146241046457891017456[[#This Row],[Discount selection]],'Discount Structure'!$A$2:$B$30,2,"false"),0)</f>
        <v>1</v>
      </c>
      <c r="L210" s="194">
        <f>_1_5412845612146241046457891017456[[#This Row],[LIST $]]*_1_5412845612146241046457891017456[[#This Row],[DISCOUNT]]*_1_5412845612146241046457891017456[[#This Row],[DISCOUNT 2]]</f>
        <v>0</v>
      </c>
      <c r="M210" s="194">
        <f>IF(OR(_1_5412845612146241046457891017456[[#This Row],[UNIT]]&gt;0,_1_5412845612146241046457891017456[[#This Row],[UNIT]]&lt;0),_1_5412845612146241046457891017456[[#This Row],[UNIT]]*_1_5412845612146241046457891017456[[#This Row],[COST]],0)</f>
        <v>0</v>
      </c>
      <c r="N210" s="194">
        <f t="shared" si="3"/>
        <v>1.3</v>
      </c>
      <c r="O210" s="198">
        <f>_1_5412845612146241046457891017456[[#This Row],[TOTAL]]*_1_5412845612146241046457891017456[[#This Row],[MARGIN]]</f>
        <v>0</v>
      </c>
      <c r="R210" s="41"/>
    </row>
    <row r="211" spans="3:18">
      <c r="C211" s="168"/>
      <c r="D211" s="188"/>
      <c r="F211" s="168" t="s">
        <v>6202</v>
      </c>
      <c r="G211" s="193">
        <f>IF(_1_5412845612146241046457891017456[[#This Row],[Type]]&gt;0,VLOOKUP(_1_5412845612146241046457891017456[[#This Row],[Type]],Main[[#All],[TYPE]:[UNIT]],'Unit Price'!C$1,FALSE),0)</f>
        <v>0</v>
      </c>
      <c r="H211" s="197">
        <f>IF(_1_5412845612146241046457891017456[[#This Row],[Type]]&gt;0,VLOOKUP(_1_5412845612146241046457891017456[[#This Row],[Type]],Main[[#All],[TYPE]:[UNIT]],'Unit Price'!D$1,FALSE),0)</f>
        <v>0</v>
      </c>
      <c r="I211" s="194">
        <f>IF(_1_5412845612146241046457891017456[[#This Row],[Type]]&gt;0,VLOOKUP(_1_5412845612146241046457891017456[[#This Row],[Type]],Main[[#All],[TYPE]:[UNIT]],'Unit Price'!G$1,FALSE),0)</f>
        <v>0</v>
      </c>
      <c r="J211" s="194">
        <f>IF(_1_5412845612146241046457891017456[[#This Row],[Type]]&gt;0,VLOOKUP(_1_5412845612146241046457891017456[[#This Row],[Type]],Main[[#All],[TYPE]:[UNIT]],'Unit Price'!H$1,FALSE),0)</f>
        <v>0</v>
      </c>
      <c r="K211" s="194">
        <f>IF(_1_5412845612146241046457891017456[[#This Row],[Discount selection]]&gt;0,VLOOKUP(_1_5412845612146241046457891017456[[#This Row],[Discount selection]],'Discount Structure'!$A$2:$B$30,2,"false"),0)</f>
        <v>1</v>
      </c>
      <c r="L211" s="194">
        <f>_1_5412845612146241046457891017456[[#This Row],[LIST $]]*_1_5412845612146241046457891017456[[#This Row],[DISCOUNT]]*_1_5412845612146241046457891017456[[#This Row],[DISCOUNT 2]]</f>
        <v>0</v>
      </c>
      <c r="M211" s="194">
        <f>IF(OR(_1_5412845612146241046457891017456[[#This Row],[UNIT]]&gt;0,_1_5412845612146241046457891017456[[#This Row],[UNIT]]&lt;0),_1_5412845612146241046457891017456[[#This Row],[UNIT]]*_1_5412845612146241046457891017456[[#This Row],[COST]],0)</f>
        <v>0</v>
      </c>
      <c r="N211" s="194">
        <f t="shared" si="3"/>
        <v>1.3</v>
      </c>
      <c r="O211" s="198">
        <f>_1_5412845612146241046457891017456[[#This Row],[TOTAL]]*_1_5412845612146241046457891017456[[#This Row],[MARGIN]]</f>
        <v>0</v>
      </c>
      <c r="R211" s="41"/>
    </row>
    <row r="212" spans="3:18">
      <c r="C212" s="168"/>
      <c r="D212" s="188"/>
      <c r="F212" s="168" t="s">
        <v>6202</v>
      </c>
      <c r="G212" s="193">
        <f>IF(_1_5412845612146241046457891017456[[#This Row],[Type]]&gt;0,VLOOKUP(_1_5412845612146241046457891017456[[#This Row],[Type]],Main[[#All],[TYPE]:[UNIT]],'Unit Price'!C$1,FALSE),0)</f>
        <v>0</v>
      </c>
      <c r="H212" s="197">
        <f>IF(_1_5412845612146241046457891017456[[#This Row],[Type]]&gt;0,VLOOKUP(_1_5412845612146241046457891017456[[#This Row],[Type]],Main[[#All],[TYPE]:[UNIT]],'Unit Price'!D$1,FALSE),0)</f>
        <v>0</v>
      </c>
      <c r="I212" s="194">
        <f>IF(_1_5412845612146241046457891017456[[#This Row],[Type]]&gt;0,VLOOKUP(_1_5412845612146241046457891017456[[#This Row],[Type]],Main[[#All],[TYPE]:[UNIT]],'Unit Price'!G$1,FALSE),0)</f>
        <v>0</v>
      </c>
      <c r="J212" s="194">
        <f>IF(_1_5412845612146241046457891017456[[#This Row],[Type]]&gt;0,VLOOKUP(_1_5412845612146241046457891017456[[#This Row],[Type]],Main[[#All],[TYPE]:[UNIT]],'Unit Price'!H$1,FALSE),0)</f>
        <v>0</v>
      </c>
      <c r="K212" s="194">
        <f>IF(_1_5412845612146241046457891017456[[#This Row],[Discount selection]]&gt;0,VLOOKUP(_1_5412845612146241046457891017456[[#This Row],[Discount selection]],'Discount Structure'!$A$2:$B$30,2,"false"),0)</f>
        <v>1</v>
      </c>
      <c r="L212" s="194">
        <f>_1_5412845612146241046457891017456[[#This Row],[LIST $]]*_1_5412845612146241046457891017456[[#This Row],[DISCOUNT]]*_1_5412845612146241046457891017456[[#This Row],[DISCOUNT 2]]</f>
        <v>0</v>
      </c>
      <c r="M212" s="194">
        <f>IF(OR(_1_5412845612146241046457891017456[[#This Row],[UNIT]]&gt;0,_1_5412845612146241046457891017456[[#This Row],[UNIT]]&lt;0),_1_5412845612146241046457891017456[[#This Row],[UNIT]]*_1_5412845612146241046457891017456[[#This Row],[COST]],0)</f>
        <v>0</v>
      </c>
      <c r="N212" s="194">
        <f t="shared" si="3"/>
        <v>1.3</v>
      </c>
      <c r="O212" s="198">
        <f>_1_5412845612146241046457891017456[[#This Row],[TOTAL]]*_1_5412845612146241046457891017456[[#This Row],[MARGIN]]</f>
        <v>0</v>
      </c>
      <c r="R212" s="41"/>
    </row>
    <row r="213" spans="3:18">
      <c r="C213" s="168"/>
      <c r="D213" s="188"/>
      <c r="F213" s="168" t="s">
        <v>6202</v>
      </c>
      <c r="G213" s="193">
        <f>IF(_1_5412845612146241046457891017456[[#This Row],[Type]]&gt;0,VLOOKUP(_1_5412845612146241046457891017456[[#This Row],[Type]],Main[[#All],[TYPE]:[UNIT]],'Unit Price'!C$1,FALSE),0)</f>
        <v>0</v>
      </c>
      <c r="H213" s="197">
        <f>IF(_1_5412845612146241046457891017456[[#This Row],[Type]]&gt;0,VLOOKUP(_1_5412845612146241046457891017456[[#This Row],[Type]],Main[[#All],[TYPE]:[UNIT]],'Unit Price'!D$1,FALSE),0)</f>
        <v>0</v>
      </c>
      <c r="I213" s="194">
        <f>IF(_1_5412845612146241046457891017456[[#This Row],[Type]]&gt;0,VLOOKUP(_1_5412845612146241046457891017456[[#This Row],[Type]],Main[[#All],[TYPE]:[UNIT]],'Unit Price'!G$1,FALSE),0)</f>
        <v>0</v>
      </c>
      <c r="J213" s="194">
        <f>IF(_1_5412845612146241046457891017456[[#This Row],[Type]]&gt;0,VLOOKUP(_1_5412845612146241046457891017456[[#This Row],[Type]],Main[[#All],[TYPE]:[UNIT]],'Unit Price'!H$1,FALSE),0)</f>
        <v>0</v>
      </c>
      <c r="K213" s="194">
        <f>IF(_1_5412845612146241046457891017456[[#This Row],[Discount selection]]&gt;0,VLOOKUP(_1_5412845612146241046457891017456[[#This Row],[Discount selection]],'Discount Structure'!$A$2:$B$30,2,"false"),0)</f>
        <v>1</v>
      </c>
      <c r="L213" s="194">
        <f>_1_5412845612146241046457891017456[[#This Row],[LIST $]]*_1_5412845612146241046457891017456[[#This Row],[DISCOUNT]]*_1_5412845612146241046457891017456[[#This Row],[DISCOUNT 2]]</f>
        <v>0</v>
      </c>
      <c r="M213" s="194">
        <f>IF(OR(_1_5412845612146241046457891017456[[#This Row],[UNIT]]&gt;0,_1_5412845612146241046457891017456[[#This Row],[UNIT]]&lt;0),_1_5412845612146241046457891017456[[#This Row],[UNIT]]*_1_5412845612146241046457891017456[[#This Row],[COST]],0)</f>
        <v>0</v>
      </c>
      <c r="N213" s="194">
        <f t="shared" si="3"/>
        <v>1.3</v>
      </c>
      <c r="O213" s="198">
        <f>_1_5412845612146241046457891017456[[#This Row],[TOTAL]]*_1_5412845612146241046457891017456[[#This Row],[MARGIN]]</f>
        <v>0</v>
      </c>
      <c r="R213" s="41"/>
    </row>
    <row r="214" spans="3:18">
      <c r="C214" s="168"/>
      <c r="D214" s="188"/>
      <c r="F214" s="168" t="s">
        <v>6202</v>
      </c>
      <c r="G214" s="193">
        <f>IF(_1_5412845612146241046457891017456[[#This Row],[Type]]&gt;0,VLOOKUP(_1_5412845612146241046457891017456[[#This Row],[Type]],Main[[#All],[TYPE]:[UNIT]],'Unit Price'!C$1,FALSE),0)</f>
        <v>0</v>
      </c>
      <c r="H214" s="197">
        <f>IF(_1_5412845612146241046457891017456[[#This Row],[Type]]&gt;0,VLOOKUP(_1_5412845612146241046457891017456[[#This Row],[Type]],Main[[#All],[TYPE]:[UNIT]],'Unit Price'!D$1,FALSE),0)</f>
        <v>0</v>
      </c>
      <c r="I214" s="194">
        <f>IF(_1_5412845612146241046457891017456[[#This Row],[Type]]&gt;0,VLOOKUP(_1_5412845612146241046457891017456[[#This Row],[Type]],Main[[#All],[TYPE]:[UNIT]],'Unit Price'!G$1,FALSE),0)</f>
        <v>0</v>
      </c>
      <c r="J214" s="194">
        <f>IF(_1_5412845612146241046457891017456[[#This Row],[Type]]&gt;0,VLOOKUP(_1_5412845612146241046457891017456[[#This Row],[Type]],Main[[#All],[TYPE]:[UNIT]],'Unit Price'!H$1,FALSE),0)</f>
        <v>0</v>
      </c>
      <c r="K214" s="194">
        <f>IF(_1_5412845612146241046457891017456[[#This Row],[Discount selection]]&gt;0,VLOOKUP(_1_5412845612146241046457891017456[[#This Row],[Discount selection]],'Discount Structure'!$A$2:$B$30,2,"false"),0)</f>
        <v>1</v>
      </c>
      <c r="L214" s="194">
        <f>_1_5412845612146241046457891017456[[#This Row],[LIST $]]*_1_5412845612146241046457891017456[[#This Row],[DISCOUNT]]*_1_5412845612146241046457891017456[[#This Row],[DISCOUNT 2]]</f>
        <v>0</v>
      </c>
      <c r="M214" s="194">
        <f>IF(OR(_1_5412845612146241046457891017456[[#This Row],[UNIT]]&gt;0,_1_5412845612146241046457891017456[[#This Row],[UNIT]]&lt;0),_1_5412845612146241046457891017456[[#This Row],[UNIT]]*_1_5412845612146241046457891017456[[#This Row],[COST]],0)</f>
        <v>0</v>
      </c>
      <c r="N214" s="194">
        <f t="shared" si="3"/>
        <v>1.3</v>
      </c>
      <c r="O214" s="198">
        <f>_1_5412845612146241046457891017456[[#This Row],[TOTAL]]*_1_5412845612146241046457891017456[[#This Row],[MARGIN]]</f>
        <v>0</v>
      </c>
      <c r="R214" s="41"/>
    </row>
    <row r="215" spans="3:18">
      <c r="C215" s="168"/>
      <c r="D215" s="188"/>
      <c r="F215" s="168" t="s">
        <v>6202</v>
      </c>
      <c r="G215" s="193">
        <f>IF(_1_5412845612146241046457891017456[[#This Row],[Type]]&gt;0,VLOOKUP(_1_5412845612146241046457891017456[[#This Row],[Type]],Main[[#All],[TYPE]:[UNIT]],'Unit Price'!C$1,FALSE),0)</f>
        <v>0</v>
      </c>
      <c r="H215" s="197">
        <f>IF(_1_5412845612146241046457891017456[[#This Row],[Type]]&gt;0,VLOOKUP(_1_5412845612146241046457891017456[[#This Row],[Type]],Main[[#All],[TYPE]:[UNIT]],'Unit Price'!D$1,FALSE),0)</f>
        <v>0</v>
      </c>
      <c r="I215" s="194">
        <f>IF(_1_5412845612146241046457891017456[[#This Row],[Type]]&gt;0,VLOOKUP(_1_5412845612146241046457891017456[[#This Row],[Type]],Main[[#All],[TYPE]:[UNIT]],'Unit Price'!G$1,FALSE),0)</f>
        <v>0</v>
      </c>
      <c r="J215" s="194">
        <f>IF(_1_5412845612146241046457891017456[[#This Row],[Type]]&gt;0,VLOOKUP(_1_5412845612146241046457891017456[[#This Row],[Type]],Main[[#All],[TYPE]:[UNIT]],'Unit Price'!H$1,FALSE),0)</f>
        <v>0</v>
      </c>
      <c r="K215" s="194">
        <f>IF(_1_5412845612146241046457891017456[[#This Row],[Discount selection]]&gt;0,VLOOKUP(_1_5412845612146241046457891017456[[#This Row],[Discount selection]],'Discount Structure'!$A$2:$B$30,2,"false"),0)</f>
        <v>1</v>
      </c>
      <c r="L215" s="194">
        <f>_1_5412845612146241046457891017456[[#This Row],[LIST $]]*_1_5412845612146241046457891017456[[#This Row],[DISCOUNT]]*_1_5412845612146241046457891017456[[#This Row],[DISCOUNT 2]]</f>
        <v>0</v>
      </c>
      <c r="M215" s="194">
        <f>IF(OR(_1_5412845612146241046457891017456[[#This Row],[UNIT]]&gt;0,_1_5412845612146241046457891017456[[#This Row],[UNIT]]&lt;0),_1_5412845612146241046457891017456[[#This Row],[UNIT]]*_1_5412845612146241046457891017456[[#This Row],[COST]],0)</f>
        <v>0</v>
      </c>
      <c r="N215" s="194">
        <f t="shared" si="3"/>
        <v>1.3</v>
      </c>
      <c r="O215" s="198">
        <f>_1_5412845612146241046457891017456[[#This Row],[TOTAL]]*_1_5412845612146241046457891017456[[#This Row],[MARGIN]]</f>
        <v>0</v>
      </c>
      <c r="R215" s="41"/>
    </row>
    <row r="216" spans="3:18">
      <c r="C216" s="168"/>
      <c r="D216" s="188"/>
      <c r="F216" s="168" t="s">
        <v>6202</v>
      </c>
      <c r="G216" s="193">
        <f>IF(_1_5412845612146241046457891017456[[#This Row],[Type]]&gt;0,VLOOKUP(_1_5412845612146241046457891017456[[#This Row],[Type]],Main[[#All],[TYPE]:[UNIT]],'Unit Price'!C$1,FALSE),0)</f>
        <v>0</v>
      </c>
      <c r="H216" s="197">
        <f>IF(_1_5412845612146241046457891017456[[#This Row],[Type]]&gt;0,VLOOKUP(_1_5412845612146241046457891017456[[#This Row],[Type]],Main[[#All],[TYPE]:[UNIT]],'Unit Price'!D$1,FALSE),0)</f>
        <v>0</v>
      </c>
      <c r="I216" s="194">
        <f>IF(_1_5412845612146241046457891017456[[#This Row],[Type]]&gt;0,VLOOKUP(_1_5412845612146241046457891017456[[#This Row],[Type]],Main[[#All],[TYPE]:[UNIT]],'Unit Price'!G$1,FALSE),0)</f>
        <v>0</v>
      </c>
      <c r="J216" s="194">
        <f>IF(_1_5412845612146241046457891017456[[#This Row],[Type]]&gt;0,VLOOKUP(_1_5412845612146241046457891017456[[#This Row],[Type]],Main[[#All],[TYPE]:[UNIT]],'Unit Price'!H$1,FALSE),0)</f>
        <v>0</v>
      </c>
      <c r="K216" s="194">
        <f>IF(_1_5412845612146241046457891017456[[#This Row],[Discount selection]]&gt;0,VLOOKUP(_1_5412845612146241046457891017456[[#This Row],[Discount selection]],'Discount Structure'!$A$2:$B$30,2,"false"),0)</f>
        <v>1</v>
      </c>
      <c r="L216" s="194">
        <f>_1_5412845612146241046457891017456[[#This Row],[LIST $]]*_1_5412845612146241046457891017456[[#This Row],[DISCOUNT]]*_1_5412845612146241046457891017456[[#This Row],[DISCOUNT 2]]</f>
        <v>0</v>
      </c>
      <c r="M216" s="194">
        <f>IF(OR(_1_5412845612146241046457891017456[[#This Row],[UNIT]]&gt;0,_1_5412845612146241046457891017456[[#This Row],[UNIT]]&lt;0),_1_5412845612146241046457891017456[[#This Row],[UNIT]]*_1_5412845612146241046457891017456[[#This Row],[COST]],0)</f>
        <v>0</v>
      </c>
      <c r="N216" s="194">
        <f t="shared" si="3"/>
        <v>1.3</v>
      </c>
      <c r="O216" s="198">
        <f>_1_5412845612146241046457891017456[[#This Row],[TOTAL]]*_1_5412845612146241046457891017456[[#This Row],[MARGIN]]</f>
        <v>0</v>
      </c>
      <c r="R216" s="41"/>
    </row>
    <row r="217" spans="3:18">
      <c r="C217" s="168"/>
      <c r="D217" s="188"/>
      <c r="F217" s="168" t="s">
        <v>6202</v>
      </c>
      <c r="G217" s="193">
        <f>IF(_1_5412845612146241046457891017456[[#This Row],[Type]]&gt;0,VLOOKUP(_1_5412845612146241046457891017456[[#This Row],[Type]],Main[[#All],[TYPE]:[UNIT]],'Unit Price'!C$1,FALSE),0)</f>
        <v>0</v>
      </c>
      <c r="H217" s="197">
        <f>IF(_1_5412845612146241046457891017456[[#This Row],[Type]]&gt;0,VLOOKUP(_1_5412845612146241046457891017456[[#This Row],[Type]],Main[[#All],[TYPE]:[UNIT]],'Unit Price'!D$1,FALSE),0)</f>
        <v>0</v>
      </c>
      <c r="I217" s="194">
        <f>IF(_1_5412845612146241046457891017456[[#This Row],[Type]]&gt;0,VLOOKUP(_1_5412845612146241046457891017456[[#This Row],[Type]],Main[[#All],[TYPE]:[UNIT]],'Unit Price'!G$1,FALSE),0)</f>
        <v>0</v>
      </c>
      <c r="J217" s="194">
        <f>IF(_1_5412845612146241046457891017456[[#This Row],[Type]]&gt;0,VLOOKUP(_1_5412845612146241046457891017456[[#This Row],[Type]],Main[[#All],[TYPE]:[UNIT]],'Unit Price'!H$1,FALSE),0)</f>
        <v>0</v>
      </c>
      <c r="K217" s="194">
        <f>IF(_1_5412845612146241046457891017456[[#This Row],[Discount selection]]&gt;0,VLOOKUP(_1_5412845612146241046457891017456[[#This Row],[Discount selection]],'Discount Structure'!$A$2:$B$30,2,"false"),0)</f>
        <v>1</v>
      </c>
      <c r="L217" s="194">
        <f>_1_5412845612146241046457891017456[[#This Row],[LIST $]]*_1_5412845612146241046457891017456[[#This Row],[DISCOUNT]]*_1_5412845612146241046457891017456[[#This Row],[DISCOUNT 2]]</f>
        <v>0</v>
      </c>
      <c r="M217" s="194">
        <f>IF(OR(_1_5412845612146241046457891017456[[#This Row],[UNIT]]&gt;0,_1_5412845612146241046457891017456[[#This Row],[UNIT]]&lt;0),_1_5412845612146241046457891017456[[#This Row],[UNIT]]*_1_5412845612146241046457891017456[[#This Row],[COST]],0)</f>
        <v>0</v>
      </c>
      <c r="N217" s="194">
        <f t="shared" si="3"/>
        <v>1.3</v>
      </c>
      <c r="O217" s="198">
        <f>_1_5412845612146241046457891017456[[#This Row],[TOTAL]]*_1_5412845612146241046457891017456[[#This Row],[MARGIN]]</f>
        <v>0</v>
      </c>
      <c r="R217" s="41"/>
    </row>
    <row r="218" spans="3:18">
      <c r="C218" s="168"/>
      <c r="D218" s="188"/>
      <c r="F218" s="168" t="s">
        <v>6202</v>
      </c>
      <c r="G218" s="193">
        <f>IF(_1_5412845612146241046457891017456[[#This Row],[Type]]&gt;0,VLOOKUP(_1_5412845612146241046457891017456[[#This Row],[Type]],Main[[#All],[TYPE]:[UNIT]],'Unit Price'!C$1,FALSE),0)</f>
        <v>0</v>
      </c>
      <c r="H218" s="197">
        <f>IF(_1_5412845612146241046457891017456[[#This Row],[Type]]&gt;0,VLOOKUP(_1_5412845612146241046457891017456[[#This Row],[Type]],Main[[#All],[TYPE]:[UNIT]],'Unit Price'!D$1,FALSE),0)</f>
        <v>0</v>
      </c>
      <c r="I218" s="194">
        <f>IF(_1_5412845612146241046457891017456[[#This Row],[Type]]&gt;0,VLOOKUP(_1_5412845612146241046457891017456[[#This Row],[Type]],Main[[#All],[TYPE]:[UNIT]],'Unit Price'!G$1,FALSE),0)</f>
        <v>0</v>
      </c>
      <c r="J218" s="194">
        <f>IF(_1_5412845612146241046457891017456[[#This Row],[Type]]&gt;0,VLOOKUP(_1_5412845612146241046457891017456[[#This Row],[Type]],Main[[#All],[TYPE]:[UNIT]],'Unit Price'!H$1,FALSE),0)</f>
        <v>0</v>
      </c>
      <c r="K218" s="194">
        <f>IF(_1_5412845612146241046457891017456[[#This Row],[Discount selection]]&gt;0,VLOOKUP(_1_5412845612146241046457891017456[[#This Row],[Discount selection]],'Discount Structure'!$A$2:$B$30,2,"false"),0)</f>
        <v>1</v>
      </c>
      <c r="L218" s="194">
        <f>_1_5412845612146241046457891017456[[#This Row],[LIST $]]*_1_5412845612146241046457891017456[[#This Row],[DISCOUNT]]*_1_5412845612146241046457891017456[[#This Row],[DISCOUNT 2]]</f>
        <v>0</v>
      </c>
      <c r="M218" s="194">
        <f>IF(OR(_1_5412845612146241046457891017456[[#This Row],[UNIT]]&gt;0,_1_5412845612146241046457891017456[[#This Row],[UNIT]]&lt;0),_1_5412845612146241046457891017456[[#This Row],[UNIT]]*_1_5412845612146241046457891017456[[#This Row],[COST]],0)</f>
        <v>0</v>
      </c>
      <c r="N218" s="194">
        <f t="shared" si="3"/>
        <v>1.3</v>
      </c>
      <c r="O218" s="198">
        <f>_1_5412845612146241046457891017456[[#This Row],[TOTAL]]*_1_5412845612146241046457891017456[[#This Row],[MARGIN]]</f>
        <v>0</v>
      </c>
      <c r="R218" s="41"/>
    </row>
    <row r="219" spans="3:18">
      <c r="C219" s="168"/>
      <c r="D219" s="188"/>
      <c r="F219" s="168" t="s">
        <v>6202</v>
      </c>
      <c r="G219" s="193">
        <f>IF(_1_5412845612146241046457891017456[[#This Row],[Type]]&gt;0,VLOOKUP(_1_5412845612146241046457891017456[[#This Row],[Type]],Main[[#All],[TYPE]:[UNIT]],'Unit Price'!C$1,FALSE),0)</f>
        <v>0</v>
      </c>
      <c r="H219" s="197">
        <f>IF(_1_5412845612146241046457891017456[[#This Row],[Type]]&gt;0,VLOOKUP(_1_5412845612146241046457891017456[[#This Row],[Type]],Main[[#All],[TYPE]:[UNIT]],'Unit Price'!D$1,FALSE),0)</f>
        <v>0</v>
      </c>
      <c r="I219" s="194">
        <f>IF(_1_5412845612146241046457891017456[[#This Row],[Type]]&gt;0,VLOOKUP(_1_5412845612146241046457891017456[[#This Row],[Type]],Main[[#All],[TYPE]:[UNIT]],'Unit Price'!G$1,FALSE),0)</f>
        <v>0</v>
      </c>
      <c r="J219" s="194">
        <f>IF(_1_5412845612146241046457891017456[[#This Row],[Type]]&gt;0,VLOOKUP(_1_5412845612146241046457891017456[[#This Row],[Type]],Main[[#All],[TYPE]:[UNIT]],'Unit Price'!H$1,FALSE),0)</f>
        <v>0</v>
      </c>
      <c r="K219" s="194">
        <f>IF(_1_5412845612146241046457891017456[[#This Row],[Discount selection]]&gt;0,VLOOKUP(_1_5412845612146241046457891017456[[#This Row],[Discount selection]],'Discount Structure'!$A$2:$B$30,2,"false"),0)</f>
        <v>1</v>
      </c>
      <c r="L219" s="194">
        <f>_1_5412845612146241046457891017456[[#This Row],[LIST $]]*_1_5412845612146241046457891017456[[#This Row],[DISCOUNT]]*_1_5412845612146241046457891017456[[#This Row],[DISCOUNT 2]]</f>
        <v>0</v>
      </c>
      <c r="M219" s="194">
        <f>IF(OR(_1_5412845612146241046457891017456[[#This Row],[UNIT]]&gt;0,_1_5412845612146241046457891017456[[#This Row],[UNIT]]&lt;0),_1_5412845612146241046457891017456[[#This Row],[UNIT]]*_1_5412845612146241046457891017456[[#This Row],[COST]],0)</f>
        <v>0</v>
      </c>
      <c r="N219" s="194">
        <f t="shared" si="3"/>
        <v>1.3</v>
      </c>
      <c r="O219" s="198">
        <f>_1_5412845612146241046457891017456[[#This Row],[TOTAL]]*_1_5412845612146241046457891017456[[#This Row],[MARGIN]]</f>
        <v>0</v>
      </c>
      <c r="R219" s="41"/>
    </row>
    <row r="220" spans="3:18">
      <c r="C220" s="168"/>
      <c r="D220" s="188"/>
      <c r="F220" s="168" t="s">
        <v>6202</v>
      </c>
      <c r="G220" s="193">
        <f>IF(_1_5412845612146241046457891017456[[#This Row],[Type]]&gt;0,VLOOKUP(_1_5412845612146241046457891017456[[#This Row],[Type]],Main[[#All],[TYPE]:[UNIT]],'Unit Price'!C$1,FALSE),0)</f>
        <v>0</v>
      </c>
      <c r="H220" s="197">
        <f>IF(_1_5412845612146241046457891017456[[#This Row],[Type]]&gt;0,VLOOKUP(_1_5412845612146241046457891017456[[#This Row],[Type]],Main[[#All],[TYPE]:[UNIT]],'Unit Price'!D$1,FALSE),0)</f>
        <v>0</v>
      </c>
      <c r="I220" s="194">
        <f>IF(_1_5412845612146241046457891017456[[#This Row],[Type]]&gt;0,VLOOKUP(_1_5412845612146241046457891017456[[#This Row],[Type]],Main[[#All],[TYPE]:[UNIT]],'Unit Price'!G$1,FALSE),0)</f>
        <v>0</v>
      </c>
      <c r="J220" s="194">
        <f>IF(_1_5412845612146241046457891017456[[#This Row],[Type]]&gt;0,VLOOKUP(_1_5412845612146241046457891017456[[#This Row],[Type]],Main[[#All],[TYPE]:[UNIT]],'Unit Price'!H$1,FALSE),0)</f>
        <v>0</v>
      </c>
      <c r="K220" s="194">
        <f>IF(_1_5412845612146241046457891017456[[#This Row],[Discount selection]]&gt;0,VLOOKUP(_1_5412845612146241046457891017456[[#This Row],[Discount selection]],'Discount Structure'!$A$2:$B$30,2,"false"),0)</f>
        <v>1</v>
      </c>
      <c r="L220" s="194">
        <f>_1_5412845612146241046457891017456[[#This Row],[LIST $]]*_1_5412845612146241046457891017456[[#This Row],[DISCOUNT]]*_1_5412845612146241046457891017456[[#This Row],[DISCOUNT 2]]</f>
        <v>0</v>
      </c>
      <c r="M220" s="194">
        <f>IF(OR(_1_5412845612146241046457891017456[[#This Row],[UNIT]]&gt;0,_1_5412845612146241046457891017456[[#This Row],[UNIT]]&lt;0),_1_5412845612146241046457891017456[[#This Row],[UNIT]]*_1_5412845612146241046457891017456[[#This Row],[COST]],0)</f>
        <v>0</v>
      </c>
      <c r="N220" s="194">
        <f t="shared" si="3"/>
        <v>1.3</v>
      </c>
      <c r="O220" s="198">
        <f>_1_5412845612146241046457891017456[[#This Row],[TOTAL]]*_1_5412845612146241046457891017456[[#This Row],[MARGIN]]</f>
        <v>0</v>
      </c>
      <c r="R220" s="41"/>
    </row>
    <row r="221" spans="3:18">
      <c r="C221" s="168"/>
      <c r="D221" s="188"/>
      <c r="F221" s="168" t="s">
        <v>6202</v>
      </c>
      <c r="G221" s="193">
        <f>IF(_1_5412845612146241046457891017456[[#This Row],[Type]]&gt;0,VLOOKUP(_1_5412845612146241046457891017456[[#This Row],[Type]],Main[[#All],[TYPE]:[UNIT]],'Unit Price'!C$1,FALSE),0)</f>
        <v>0</v>
      </c>
      <c r="H221" s="197">
        <f>IF(_1_5412845612146241046457891017456[[#This Row],[Type]]&gt;0,VLOOKUP(_1_5412845612146241046457891017456[[#This Row],[Type]],Main[[#All],[TYPE]:[UNIT]],'Unit Price'!D$1,FALSE),0)</f>
        <v>0</v>
      </c>
      <c r="I221" s="194">
        <f>IF(_1_5412845612146241046457891017456[[#This Row],[Type]]&gt;0,VLOOKUP(_1_5412845612146241046457891017456[[#This Row],[Type]],Main[[#All],[TYPE]:[UNIT]],'Unit Price'!G$1,FALSE),0)</f>
        <v>0</v>
      </c>
      <c r="J221" s="194">
        <f>IF(_1_5412845612146241046457891017456[[#This Row],[Type]]&gt;0,VLOOKUP(_1_5412845612146241046457891017456[[#This Row],[Type]],Main[[#All],[TYPE]:[UNIT]],'Unit Price'!H$1,FALSE),0)</f>
        <v>0</v>
      </c>
      <c r="K221" s="194">
        <f>IF(_1_5412845612146241046457891017456[[#This Row],[Discount selection]]&gt;0,VLOOKUP(_1_5412845612146241046457891017456[[#This Row],[Discount selection]],'Discount Structure'!$A$2:$B$30,2,"false"),0)</f>
        <v>1</v>
      </c>
      <c r="L221" s="194">
        <f>_1_5412845612146241046457891017456[[#This Row],[LIST $]]*_1_5412845612146241046457891017456[[#This Row],[DISCOUNT]]*_1_5412845612146241046457891017456[[#This Row],[DISCOUNT 2]]</f>
        <v>0</v>
      </c>
      <c r="M221" s="194">
        <f>IF(OR(_1_5412845612146241046457891017456[[#This Row],[UNIT]]&gt;0,_1_5412845612146241046457891017456[[#This Row],[UNIT]]&lt;0),_1_5412845612146241046457891017456[[#This Row],[UNIT]]*_1_5412845612146241046457891017456[[#This Row],[COST]],0)</f>
        <v>0</v>
      </c>
      <c r="N221" s="194">
        <f t="shared" si="3"/>
        <v>1.3</v>
      </c>
      <c r="O221" s="198">
        <f>_1_5412845612146241046457891017456[[#This Row],[TOTAL]]*_1_5412845612146241046457891017456[[#This Row],[MARGIN]]</f>
        <v>0</v>
      </c>
      <c r="R221" s="41"/>
    </row>
    <row r="222" spans="3:18">
      <c r="C222" s="168"/>
      <c r="D222" s="188"/>
      <c r="F222" s="168" t="s">
        <v>6202</v>
      </c>
      <c r="G222" s="193">
        <f>IF(_1_5412845612146241046457891017456[[#This Row],[Type]]&gt;0,VLOOKUP(_1_5412845612146241046457891017456[[#This Row],[Type]],Main[[#All],[TYPE]:[UNIT]],'Unit Price'!C$1,FALSE),0)</f>
        <v>0</v>
      </c>
      <c r="H222" s="197">
        <f>IF(_1_5412845612146241046457891017456[[#This Row],[Type]]&gt;0,VLOOKUP(_1_5412845612146241046457891017456[[#This Row],[Type]],Main[[#All],[TYPE]:[UNIT]],'Unit Price'!D$1,FALSE),0)</f>
        <v>0</v>
      </c>
      <c r="I222" s="194">
        <f>IF(_1_5412845612146241046457891017456[[#This Row],[Type]]&gt;0,VLOOKUP(_1_5412845612146241046457891017456[[#This Row],[Type]],Main[[#All],[TYPE]:[UNIT]],'Unit Price'!G$1,FALSE),0)</f>
        <v>0</v>
      </c>
      <c r="J222" s="194">
        <f>IF(_1_5412845612146241046457891017456[[#This Row],[Type]]&gt;0,VLOOKUP(_1_5412845612146241046457891017456[[#This Row],[Type]],Main[[#All],[TYPE]:[UNIT]],'Unit Price'!H$1,FALSE),0)</f>
        <v>0</v>
      </c>
      <c r="K222" s="194">
        <f>IF(_1_5412845612146241046457891017456[[#This Row],[Discount selection]]&gt;0,VLOOKUP(_1_5412845612146241046457891017456[[#This Row],[Discount selection]],'Discount Structure'!$A$2:$B$30,2,"false"),0)</f>
        <v>1</v>
      </c>
      <c r="L222" s="194">
        <f>_1_5412845612146241046457891017456[[#This Row],[LIST $]]*_1_5412845612146241046457891017456[[#This Row],[DISCOUNT]]*_1_5412845612146241046457891017456[[#This Row],[DISCOUNT 2]]</f>
        <v>0</v>
      </c>
      <c r="M222" s="194">
        <f>IF(OR(_1_5412845612146241046457891017456[[#This Row],[UNIT]]&gt;0,_1_5412845612146241046457891017456[[#This Row],[UNIT]]&lt;0),_1_5412845612146241046457891017456[[#This Row],[UNIT]]*_1_5412845612146241046457891017456[[#This Row],[COST]],0)</f>
        <v>0</v>
      </c>
      <c r="N222" s="194">
        <f t="shared" si="3"/>
        <v>1.3</v>
      </c>
      <c r="O222" s="198">
        <f>_1_5412845612146241046457891017456[[#This Row],[TOTAL]]*_1_5412845612146241046457891017456[[#This Row],[MARGIN]]</f>
        <v>0</v>
      </c>
      <c r="R222" s="41"/>
    </row>
    <row r="223" spans="3:18">
      <c r="C223" s="168"/>
      <c r="D223" s="188"/>
      <c r="F223" s="168" t="s">
        <v>6202</v>
      </c>
      <c r="G223" s="193">
        <f>IF(_1_5412845612146241046457891017456[[#This Row],[Type]]&gt;0,VLOOKUP(_1_5412845612146241046457891017456[[#This Row],[Type]],Main[[#All],[TYPE]:[UNIT]],'Unit Price'!C$1,FALSE),0)</f>
        <v>0</v>
      </c>
      <c r="H223" s="197">
        <f>IF(_1_5412845612146241046457891017456[[#This Row],[Type]]&gt;0,VLOOKUP(_1_5412845612146241046457891017456[[#This Row],[Type]],Main[[#All],[TYPE]:[UNIT]],'Unit Price'!D$1,FALSE),0)</f>
        <v>0</v>
      </c>
      <c r="I223" s="194">
        <f>IF(_1_5412845612146241046457891017456[[#This Row],[Type]]&gt;0,VLOOKUP(_1_5412845612146241046457891017456[[#This Row],[Type]],Main[[#All],[TYPE]:[UNIT]],'Unit Price'!G$1,FALSE),0)</f>
        <v>0</v>
      </c>
      <c r="J223" s="194">
        <f>IF(_1_5412845612146241046457891017456[[#This Row],[Type]]&gt;0,VLOOKUP(_1_5412845612146241046457891017456[[#This Row],[Type]],Main[[#All],[TYPE]:[UNIT]],'Unit Price'!H$1,FALSE),0)</f>
        <v>0</v>
      </c>
      <c r="K223" s="194">
        <f>IF(_1_5412845612146241046457891017456[[#This Row],[Discount selection]]&gt;0,VLOOKUP(_1_5412845612146241046457891017456[[#This Row],[Discount selection]],'Discount Structure'!$A$2:$B$30,2,"false"),0)</f>
        <v>1</v>
      </c>
      <c r="L223" s="194">
        <f>_1_5412845612146241046457891017456[[#This Row],[LIST $]]*_1_5412845612146241046457891017456[[#This Row],[DISCOUNT]]*_1_5412845612146241046457891017456[[#This Row],[DISCOUNT 2]]</f>
        <v>0</v>
      </c>
      <c r="M223" s="194">
        <f>IF(OR(_1_5412845612146241046457891017456[[#This Row],[UNIT]]&gt;0,_1_5412845612146241046457891017456[[#This Row],[UNIT]]&lt;0),_1_5412845612146241046457891017456[[#This Row],[UNIT]]*_1_5412845612146241046457891017456[[#This Row],[COST]],0)</f>
        <v>0</v>
      </c>
      <c r="N223" s="194">
        <f t="shared" si="3"/>
        <v>1.3</v>
      </c>
      <c r="O223" s="198">
        <f>_1_5412845612146241046457891017456[[#This Row],[TOTAL]]*_1_5412845612146241046457891017456[[#This Row],[MARGIN]]</f>
        <v>0</v>
      </c>
      <c r="R223" s="41"/>
    </row>
    <row r="224" spans="3:18">
      <c r="C224" s="168"/>
      <c r="D224" s="188"/>
      <c r="F224" s="168" t="s">
        <v>6202</v>
      </c>
      <c r="G224" s="193">
        <f>IF(_1_5412845612146241046457891017456[[#This Row],[Type]]&gt;0,VLOOKUP(_1_5412845612146241046457891017456[[#This Row],[Type]],Main[[#All],[TYPE]:[UNIT]],'Unit Price'!C$1,FALSE),0)</f>
        <v>0</v>
      </c>
      <c r="H224" s="197">
        <f>IF(_1_5412845612146241046457891017456[[#This Row],[Type]]&gt;0,VLOOKUP(_1_5412845612146241046457891017456[[#This Row],[Type]],Main[[#All],[TYPE]:[UNIT]],'Unit Price'!D$1,FALSE),0)</f>
        <v>0</v>
      </c>
      <c r="I224" s="194">
        <f>IF(_1_5412845612146241046457891017456[[#This Row],[Type]]&gt;0,VLOOKUP(_1_5412845612146241046457891017456[[#This Row],[Type]],Main[[#All],[TYPE]:[UNIT]],'Unit Price'!G$1,FALSE),0)</f>
        <v>0</v>
      </c>
      <c r="J224" s="194">
        <f>IF(_1_5412845612146241046457891017456[[#This Row],[Type]]&gt;0,VLOOKUP(_1_5412845612146241046457891017456[[#This Row],[Type]],Main[[#All],[TYPE]:[UNIT]],'Unit Price'!H$1,FALSE),0)</f>
        <v>0</v>
      </c>
      <c r="K224" s="194">
        <f>IF(_1_5412845612146241046457891017456[[#This Row],[Discount selection]]&gt;0,VLOOKUP(_1_5412845612146241046457891017456[[#This Row],[Discount selection]],'Discount Structure'!$A$2:$B$30,2,"false"),0)</f>
        <v>1</v>
      </c>
      <c r="L224" s="194">
        <f>_1_5412845612146241046457891017456[[#This Row],[LIST $]]*_1_5412845612146241046457891017456[[#This Row],[DISCOUNT]]*_1_5412845612146241046457891017456[[#This Row],[DISCOUNT 2]]</f>
        <v>0</v>
      </c>
      <c r="M224" s="194">
        <f>IF(OR(_1_5412845612146241046457891017456[[#This Row],[UNIT]]&gt;0,_1_5412845612146241046457891017456[[#This Row],[UNIT]]&lt;0),_1_5412845612146241046457891017456[[#This Row],[UNIT]]*_1_5412845612146241046457891017456[[#This Row],[COST]],0)</f>
        <v>0</v>
      </c>
      <c r="N224" s="194">
        <f t="shared" si="3"/>
        <v>1.3</v>
      </c>
      <c r="O224" s="198">
        <f>_1_5412845612146241046457891017456[[#This Row],[TOTAL]]*_1_5412845612146241046457891017456[[#This Row],[MARGIN]]</f>
        <v>0</v>
      </c>
      <c r="R224" s="41"/>
    </row>
    <row r="225" spans="1:18">
      <c r="C225" s="168"/>
      <c r="D225" s="188"/>
      <c r="F225" s="168" t="s">
        <v>6202</v>
      </c>
      <c r="G225" s="193">
        <f>IF(_1_5412845612146241046457891017456[[#This Row],[Type]]&gt;0,VLOOKUP(_1_5412845612146241046457891017456[[#This Row],[Type]],Main[[#All],[TYPE]:[UNIT]],'Unit Price'!C$1,FALSE),0)</f>
        <v>0</v>
      </c>
      <c r="H225" s="197">
        <f>IF(_1_5412845612146241046457891017456[[#This Row],[Type]]&gt;0,VLOOKUP(_1_5412845612146241046457891017456[[#This Row],[Type]],Main[[#All],[TYPE]:[UNIT]],'Unit Price'!D$1,FALSE),0)</f>
        <v>0</v>
      </c>
      <c r="I225" s="194">
        <f>IF(_1_5412845612146241046457891017456[[#This Row],[Type]]&gt;0,VLOOKUP(_1_5412845612146241046457891017456[[#This Row],[Type]],Main[[#All],[TYPE]:[UNIT]],'Unit Price'!G$1,FALSE),0)</f>
        <v>0</v>
      </c>
      <c r="J225" s="194">
        <f>IF(_1_5412845612146241046457891017456[[#This Row],[Type]]&gt;0,VLOOKUP(_1_5412845612146241046457891017456[[#This Row],[Type]],Main[[#All],[TYPE]:[UNIT]],'Unit Price'!H$1,FALSE),0)</f>
        <v>0</v>
      </c>
      <c r="K225" s="194">
        <f>IF(_1_5412845612146241046457891017456[[#This Row],[Discount selection]]&gt;0,VLOOKUP(_1_5412845612146241046457891017456[[#This Row],[Discount selection]],'Discount Structure'!$A$2:$B$30,2,"false"),0)</f>
        <v>1</v>
      </c>
      <c r="L225" s="194">
        <f>_1_5412845612146241046457891017456[[#This Row],[LIST $]]*_1_5412845612146241046457891017456[[#This Row],[DISCOUNT]]*_1_5412845612146241046457891017456[[#This Row],[DISCOUNT 2]]</f>
        <v>0</v>
      </c>
      <c r="M225" s="194">
        <f>IF(OR(_1_5412845612146241046457891017456[[#This Row],[UNIT]]&gt;0,_1_5412845612146241046457891017456[[#This Row],[UNIT]]&lt;0),_1_5412845612146241046457891017456[[#This Row],[UNIT]]*_1_5412845612146241046457891017456[[#This Row],[COST]],0)</f>
        <v>0</v>
      </c>
      <c r="N225" s="194">
        <f t="shared" si="3"/>
        <v>1.3</v>
      </c>
      <c r="O225" s="198">
        <f>_1_5412845612146241046457891017456[[#This Row],[TOTAL]]*_1_5412845612146241046457891017456[[#This Row],[MARGIN]]</f>
        <v>0</v>
      </c>
      <c r="R225" s="41"/>
    </row>
    <row r="226" spans="1:18">
      <c r="C226" s="168"/>
      <c r="D226" s="188"/>
      <c r="F226" s="168" t="s">
        <v>6202</v>
      </c>
      <c r="G226" s="193">
        <f>IF(_1_5412845612146241046457891017456[[#This Row],[Type]]&gt;0,VLOOKUP(_1_5412845612146241046457891017456[[#This Row],[Type]],Main[[#All],[TYPE]:[UNIT]],'Unit Price'!C$1,FALSE),0)</f>
        <v>0</v>
      </c>
      <c r="H226" s="197">
        <f>IF(_1_5412845612146241046457891017456[[#This Row],[Type]]&gt;0,VLOOKUP(_1_5412845612146241046457891017456[[#This Row],[Type]],Main[[#All],[TYPE]:[UNIT]],'Unit Price'!D$1,FALSE),0)</f>
        <v>0</v>
      </c>
      <c r="I226" s="194">
        <f>IF(_1_5412845612146241046457891017456[[#This Row],[Type]]&gt;0,VLOOKUP(_1_5412845612146241046457891017456[[#This Row],[Type]],Main[[#All],[TYPE]:[UNIT]],'Unit Price'!G$1,FALSE),0)</f>
        <v>0</v>
      </c>
      <c r="J226" s="194">
        <f>IF(_1_5412845612146241046457891017456[[#This Row],[Type]]&gt;0,VLOOKUP(_1_5412845612146241046457891017456[[#This Row],[Type]],Main[[#All],[TYPE]:[UNIT]],'Unit Price'!H$1,FALSE),0)</f>
        <v>0</v>
      </c>
      <c r="K226" s="194">
        <f>IF(_1_5412845612146241046457891017456[[#This Row],[Discount selection]]&gt;0,VLOOKUP(_1_5412845612146241046457891017456[[#This Row],[Discount selection]],'Discount Structure'!$A$2:$B$30,2,"false"),0)</f>
        <v>1</v>
      </c>
      <c r="L226" s="194">
        <f>_1_5412845612146241046457891017456[[#This Row],[LIST $]]*_1_5412845612146241046457891017456[[#This Row],[DISCOUNT]]*_1_5412845612146241046457891017456[[#This Row],[DISCOUNT 2]]</f>
        <v>0</v>
      </c>
      <c r="M226" s="194">
        <f>IF(OR(_1_5412845612146241046457891017456[[#This Row],[UNIT]]&gt;0,_1_5412845612146241046457891017456[[#This Row],[UNIT]]&lt;0),_1_5412845612146241046457891017456[[#This Row],[UNIT]]*_1_5412845612146241046457891017456[[#This Row],[COST]],0)</f>
        <v>0</v>
      </c>
      <c r="N226" s="194">
        <f t="shared" si="3"/>
        <v>1.3</v>
      </c>
      <c r="O226" s="198">
        <f>_1_5412845612146241046457891017456[[#This Row],[TOTAL]]*_1_5412845612146241046457891017456[[#This Row],[MARGIN]]</f>
        <v>0</v>
      </c>
      <c r="R226" s="41"/>
    </row>
    <row r="227" spans="1:18">
      <c r="C227" s="168"/>
      <c r="D227" s="188"/>
      <c r="F227" s="168" t="s">
        <v>6202</v>
      </c>
      <c r="G227" s="193">
        <f>IF(_1_5412845612146241046457891017456[[#This Row],[Type]]&gt;0,VLOOKUP(_1_5412845612146241046457891017456[[#This Row],[Type]],Main[[#All],[TYPE]:[UNIT]],'Unit Price'!C$1,FALSE),0)</f>
        <v>0</v>
      </c>
      <c r="H227" s="197">
        <f>IF(_1_5412845612146241046457891017456[[#This Row],[Type]]&gt;0,VLOOKUP(_1_5412845612146241046457891017456[[#This Row],[Type]],Main[[#All],[TYPE]:[UNIT]],'Unit Price'!D$1,FALSE),0)</f>
        <v>0</v>
      </c>
      <c r="I227" s="194">
        <f>IF(_1_5412845612146241046457891017456[[#This Row],[Type]]&gt;0,VLOOKUP(_1_5412845612146241046457891017456[[#This Row],[Type]],Main[[#All],[TYPE]:[UNIT]],'Unit Price'!G$1,FALSE),0)</f>
        <v>0</v>
      </c>
      <c r="J227" s="194">
        <f>IF(_1_5412845612146241046457891017456[[#This Row],[Type]]&gt;0,VLOOKUP(_1_5412845612146241046457891017456[[#This Row],[Type]],Main[[#All],[TYPE]:[UNIT]],'Unit Price'!H$1,FALSE),0)</f>
        <v>0</v>
      </c>
      <c r="K227" s="194">
        <f>IF(_1_5412845612146241046457891017456[[#This Row],[Discount selection]]&gt;0,VLOOKUP(_1_5412845612146241046457891017456[[#This Row],[Discount selection]],'Discount Structure'!$A$2:$B$30,2,"false"),0)</f>
        <v>1</v>
      </c>
      <c r="L227" s="194">
        <f>_1_5412845612146241046457891017456[[#This Row],[LIST $]]*_1_5412845612146241046457891017456[[#This Row],[DISCOUNT]]*_1_5412845612146241046457891017456[[#This Row],[DISCOUNT 2]]</f>
        <v>0</v>
      </c>
      <c r="M227" s="194">
        <f>IF(OR(_1_5412845612146241046457891017456[[#This Row],[UNIT]]&gt;0,_1_5412845612146241046457891017456[[#This Row],[UNIT]]&lt;0),_1_5412845612146241046457891017456[[#This Row],[UNIT]]*_1_5412845612146241046457891017456[[#This Row],[COST]],0)</f>
        <v>0</v>
      </c>
      <c r="N227" s="194">
        <f t="shared" si="3"/>
        <v>1.3</v>
      </c>
      <c r="O227" s="198">
        <f>_1_5412845612146241046457891017456[[#This Row],[TOTAL]]*_1_5412845612146241046457891017456[[#This Row],[MARGIN]]</f>
        <v>0</v>
      </c>
      <c r="R227" s="41"/>
    </row>
    <row r="228" spans="1:18">
      <c r="C228" s="168"/>
      <c r="D228" s="188"/>
      <c r="F228" s="168" t="s">
        <v>6202</v>
      </c>
      <c r="G228" s="193">
        <f>IF(_1_5412845612146241046457891017456[[#This Row],[Type]]&gt;0,VLOOKUP(_1_5412845612146241046457891017456[[#This Row],[Type]],Main[[#All],[TYPE]:[UNIT]],'Unit Price'!C$1,FALSE),0)</f>
        <v>0</v>
      </c>
      <c r="H228" s="197">
        <f>IF(_1_5412845612146241046457891017456[[#This Row],[Type]]&gt;0,VLOOKUP(_1_5412845612146241046457891017456[[#This Row],[Type]],Main[[#All],[TYPE]:[UNIT]],'Unit Price'!D$1,FALSE),0)</f>
        <v>0</v>
      </c>
      <c r="I228" s="194">
        <f>IF(_1_5412845612146241046457891017456[[#This Row],[Type]]&gt;0,VLOOKUP(_1_5412845612146241046457891017456[[#This Row],[Type]],Main[[#All],[TYPE]:[UNIT]],'Unit Price'!G$1,FALSE),0)</f>
        <v>0</v>
      </c>
      <c r="J228" s="194">
        <f>IF(_1_5412845612146241046457891017456[[#This Row],[Type]]&gt;0,VLOOKUP(_1_5412845612146241046457891017456[[#This Row],[Type]],Main[[#All],[TYPE]:[UNIT]],'Unit Price'!H$1,FALSE),0)</f>
        <v>0</v>
      </c>
      <c r="K228" s="194">
        <f>IF(_1_5412845612146241046457891017456[[#This Row],[Discount selection]]&gt;0,VLOOKUP(_1_5412845612146241046457891017456[[#This Row],[Discount selection]],'Discount Structure'!$A$2:$B$30,2,"false"),0)</f>
        <v>1</v>
      </c>
      <c r="L228" s="194">
        <f>_1_5412845612146241046457891017456[[#This Row],[LIST $]]*_1_5412845612146241046457891017456[[#This Row],[DISCOUNT]]*_1_5412845612146241046457891017456[[#This Row],[DISCOUNT 2]]</f>
        <v>0</v>
      </c>
      <c r="M228" s="194">
        <f>IF(OR(_1_5412845612146241046457891017456[[#This Row],[UNIT]]&gt;0,_1_5412845612146241046457891017456[[#This Row],[UNIT]]&lt;0),_1_5412845612146241046457891017456[[#This Row],[UNIT]]*_1_5412845612146241046457891017456[[#This Row],[COST]],0)</f>
        <v>0</v>
      </c>
      <c r="N228" s="194">
        <f t="shared" si="3"/>
        <v>1.3</v>
      </c>
      <c r="O228" s="198">
        <f>_1_5412845612146241046457891017456[[#This Row],[TOTAL]]*_1_5412845612146241046457891017456[[#This Row],[MARGIN]]</f>
        <v>0</v>
      </c>
      <c r="R228" s="41"/>
    </row>
    <row r="229" spans="1:18">
      <c r="C229" s="168"/>
      <c r="D229" s="188"/>
      <c r="F229" s="168" t="s">
        <v>6202</v>
      </c>
      <c r="G229" s="193">
        <f>IF(_1_5412845612146241046457891017456[[#This Row],[Type]]&gt;0,VLOOKUP(_1_5412845612146241046457891017456[[#This Row],[Type]],Main[[#All],[TYPE]:[UNIT]],'Unit Price'!C$1,FALSE),0)</f>
        <v>0</v>
      </c>
      <c r="H229" s="197">
        <f>IF(_1_5412845612146241046457891017456[[#This Row],[Type]]&gt;0,VLOOKUP(_1_5412845612146241046457891017456[[#This Row],[Type]],Main[[#All],[TYPE]:[UNIT]],'Unit Price'!D$1,FALSE),0)</f>
        <v>0</v>
      </c>
      <c r="I229" s="194">
        <f>IF(_1_5412845612146241046457891017456[[#This Row],[Type]]&gt;0,VLOOKUP(_1_5412845612146241046457891017456[[#This Row],[Type]],Main[[#All],[TYPE]:[UNIT]],'Unit Price'!G$1,FALSE),0)</f>
        <v>0</v>
      </c>
      <c r="J229" s="194">
        <f>IF(_1_5412845612146241046457891017456[[#This Row],[Type]]&gt;0,VLOOKUP(_1_5412845612146241046457891017456[[#This Row],[Type]],Main[[#All],[TYPE]:[UNIT]],'Unit Price'!H$1,FALSE),0)</f>
        <v>0</v>
      </c>
      <c r="K229" s="194">
        <f>IF(_1_5412845612146241046457891017456[[#This Row],[Discount selection]]&gt;0,VLOOKUP(_1_5412845612146241046457891017456[[#This Row],[Discount selection]],'Discount Structure'!$A$2:$B$30,2,"false"),0)</f>
        <v>1</v>
      </c>
      <c r="L229" s="194">
        <f>_1_5412845612146241046457891017456[[#This Row],[LIST $]]*_1_5412845612146241046457891017456[[#This Row],[DISCOUNT]]*_1_5412845612146241046457891017456[[#This Row],[DISCOUNT 2]]</f>
        <v>0</v>
      </c>
      <c r="M229" s="194">
        <f>IF(OR(_1_5412845612146241046457891017456[[#This Row],[UNIT]]&gt;0,_1_5412845612146241046457891017456[[#This Row],[UNIT]]&lt;0),_1_5412845612146241046457891017456[[#This Row],[UNIT]]*_1_5412845612146241046457891017456[[#This Row],[COST]],0)</f>
        <v>0</v>
      </c>
      <c r="N229" s="194">
        <f t="shared" si="3"/>
        <v>1.3</v>
      </c>
      <c r="O229" s="198">
        <f>_1_5412845612146241046457891017456[[#This Row],[TOTAL]]*_1_5412845612146241046457891017456[[#This Row],[MARGIN]]</f>
        <v>0</v>
      </c>
      <c r="R229" s="41"/>
    </row>
    <row r="230" spans="1:18">
      <c r="C230" s="168"/>
      <c r="D230" s="188"/>
      <c r="F230" s="168" t="s">
        <v>6202</v>
      </c>
      <c r="G230" s="193">
        <f>IF(_1_5412845612146241046457891017456[[#This Row],[Type]]&gt;0,VLOOKUP(_1_5412845612146241046457891017456[[#This Row],[Type]],Main[[#All],[TYPE]:[UNIT]],'Unit Price'!C$1,FALSE),0)</f>
        <v>0</v>
      </c>
      <c r="H230" s="197">
        <f>IF(_1_5412845612146241046457891017456[[#This Row],[Type]]&gt;0,VLOOKUP(_1_5412845612146241046457891017456[[#This Row],[Type]],Main[[#All],[TYPE]:[UNIT]],'Unit Price'!D$1,FALSE),0)</f>
        <v>0</v>
      </c>
      <c r="I230" s="194">
        <f>IF(_1_5412845612146241046457891017456[[#This Row],[Type]]&gt;0,VLOOKUP(_1_5412845612146241046457891017456[[#This Row],[Type]],Main[[#All],[TYPE]:[UNIT]],'Unit Price'!G$1,FALSE),0)</f>
        <v>0</v>
      </c>
      <c r="J230" s="194">
        <f>IF(_1_5412845612146241046457891017456[[#This Row],[Type]]&gt;0,VLOOKUP(_1_5412845612146241046457891017456[[#This Row],[Type]],Main[[#All],[TYPE]:[UNIT]],'Unit Price'!H$1,FALSE),0)</f>
        <v>0</v>
      </c>
      <c r="K230" s="194">
        <f>IF(_1_5412845612146241046457891017456[[#This Row],[Discount selection]]&gt;0,VLOOKUP(_1_5412845612146241046457891017456[[#This Row],[Discount selection]],'Discount Structure'!$A$2:$B$30,2,"false"),0)</f>
        <v>1</v>
      </c>
      <c r="L230" s="194">
        <f>_1_5412845612146241046457891017456[[#This Row],[LIST $]]*_1_5412845612146241046457891017456[[#This Row],[DISCOUNT]]*_1_5412845612146241046457891017456[[#This Row],[DISCOUNT 2]]</f>
        <v>0</v>
      </c>
      <c r="M230" s="194">
        <f>IF(OR(_1_5412845612146241046457891017456[[#This Row],[UNIT]]&gt;0,_1_5412845612146241046457891017456[[#This Row],[UNIT]]&lt;0),_1_5412845612146241046457891017456[[#This Row],[UNIT]]*_1_5412845612146241046457891017456[[#This Row],[COST]],0)</f>
        <v>0</v>
      </c>
      <c r="N230" s="194">
        <f t="shared" si="3"/>
        <v>1.3</v>
      </c>
      <c r="O230" s="198">
        <f>_1_5412845612146241046457891017456[[#This Row],[TOTAL]]*_1_5412845612146241046457891017456[[#This Row],[MARGIN]]</f>
        <v>0</v>
      </c>
      <c r="R230" s="41"/>
    </row>
    <row r="231" spans="1:18">
      <c r="C231" s="168"/>
      <c r="D231" s="188"/>
      <c r="F231" s="168" t="s">
        <v>6202</v>
      </c>
      <c r="G231" s="193">
        <f>IF(_1_5412845612146241046457891017456[[#This Row],[Type]]&gt;0,VLOOKUP(_1_5412845612146241046457891017456[[#This Row],[Type]],Main[[#All],[TYPE]:[UNIT]],'Unit Price'!C$1,FALSE),0)</f>
        <v>0</v>
      </c>
      <c r="H231" s="197">
        <f>IF(_1_5412845612146241046457891017456[[#This Row],[Type]]&gt;0,VLOOKUP(_1_5412845612146241046457891017456[[#This Row],[Type]],Main[[#All],[TYPE]:[UNIT]],'Unit Price'!D$1,FALSE),0)</f>
        <v>0</v>
      </c>
      <c r="I231" s="194">
        <f>IF(_1_5412845612146241046457891017456[[#This Row],[Type]]&gt;0,VLOOKUP(_1_5412845612146241046457891017456[[#This Row],[Type]],Main[[#All],[TYPE]:[UNIT]],'Unit Price'!G$1,FALSE),0)</f>
        <v>0</v>
      </c>
      <c r="J231" s="194">
        <f>IF(_1_5412845612146241046457891017456[[#This Row],[Type]]&gt;0,VLOOKUP(_1_5412845612146241046457891017456[[#This Row],[Type]],Main[[#All],[TYPE]:[UNIT]],'Unit Price'!H$1,FALSE),0)</f>
        <v>0</v>
      </c>
      <c r="K231" s="194">
        <f>IF(_1_5412845612146241046457891017456[[#This Row],[Discount selection]]&gt;0,VLOOKUP(_1_5412845612146241046457891017456[[#This Row],[Discount selection]],'Discount Structure'!$A$2:$B$30,2,"false"),0)</f>
        <v>1</v>
      </c>
      <c r="L231" s="194">
        <f>_1_5412845612146241046457891017456[[#This Row],[LIST $]]*_1_5412845612146241046457891017456[[#This Row],[DISCOUNT]]*_1_5412845612146241046457891017456[[#This Row],[DISCOUNT 2]]</f>
        <v>0</v>
      </c>
      <c r="M231" s="194">
        <f>IF(OR(_1_5412845612146241046457891017456[[#This Row],[UNIT]]&gt;0,_1_5412845612146241046457891017456[[#This Row],[UNIT]]&lt;0),_1_5412845612146241046457891017456[[#This Row],[UNIT]]*_1_5412845612146241046457891017456[[#This Row],[COST]],0)</f>
        <v>0</v>
      </c>
      <c r="N231" s="194">
        <f t="shared" si="3"/>
        <v>1.3</v>
      </c>
      <c r="O231" s="198">
        <f>_1_5412845612146241046457891017456[[#This Row],[TOTAL]]*_1_5412845612146241046457891017456[[#This Row],[MARGIN]]</f>
        <v>0</v>
      </c>
      <c r="R231" s="41"/>
    </row>
    <row r="232" spans="1:18">
      <c r="A232" s="168"/>
      <c r="B232" s="168"/>
      <c r="C232" s="168"/>
      <c r="D232" s="188"/>
      <c r="F232" s="168" t="s">
        <v>6202</v>
      </c>
      <c r="G232" s="193">
        <f>IF(_1_5412845612146241046457891017456[[#This Row],[Type]]&gt;0,VLOOKUP(_1_5412845612146241046457891017456[[#This Row],[Type]],Main[[#All],[TYPE]:[UNIT]],'Unit Price'!C$1,FALSE),0)</f>
        <v>0</v>
      </c>
      <c r="H232" s="197">
        <f>IF(_1_5412845612146241046457891017456[[#This Row],[Type]]&gt;0,VLOOKUP(_1_5412845612146241046457891017456[[#This Row],[Type]],Main[[#All],[TYPE]:[UNIT]],'Unit Price'!D$1,FALSE),0)</f>
        <v>0</v>
      </c>
      <c r="I232" s="194">
        <f>IF(_1_5412845612146241046457891017456[[#This Row],[Type]]&gt;0,VLOOKUP(_1_5412845612146241046457891017456[[#This Row],[Type]],Main[[#All],[TYPE]:[UNIT]],'Unit Price'!G$1,FALSE),0)</f>
        <v>0</v>
      </c>
      <c r="J232" s="194">
        <f>IF(_1_5412845612146241046457891017456[[#This Row],[Type]]&gt;0,VLOOKUP(_1_5412845612146241046457891017456[[#This Row],[Type]],Main[[#All],[TYPE]:[UNIT]],'Unit Price'!H$1,FALSE),0)</f>
        <v>0</v>
      </c>
      <c r="K232" s="194">
        <f>IF(_1_5412845612146241046457891017456[[#This Row],[Discount selection]]&gt;0,VLOOKUP(_1_5412845612146241046457891017456[[#This Row],[Discount selection]],'Discount Structure'!$A$2:$B$30,2,"false"),0)</f>
        <v>1</v>
      </c>
      <c r="L232" s="194">
        <f>_1_5412845612146241046457891017456[[#This Row],[LIST $]]*_1_5412845612146241046457891017456[[#This Row],[DISCOUNT]]*_1_5412845612146241046457891017456[[#This Row],[DISCOUNT 2]]</f>
        <v>0</v>
      </c>
      <c r="M232" s="194">
        <f>IF(OR(_1_5412845612146241046457891017456[[#This Row],[UNIT]]&gt;0,_1_5412845612146241046457891017456[[#This Row],[UNIT]]&lt;0),_1_5412845612146241046457891017456[[#This Row],[UNIT]]*_1_5412845612146241046457891017456[[#This Row],[COST]],0)</f>
        <v>0</v>
      </c>
      <c r="N232" s="194">
        <f t="shared" si="3"/>
        <v>1.3</v>
      </c>
      <c r="O232" s="198">
        <f>_1_5412845612146241046457891017456[[#This Row],[TOTAL]]*_1_5412845612146241046457891017456[[#This Row],[MARGIN]]</f>
        <v>0</v>
      </c>
      <c r="R232" s="41"/>
    </row>
    <row r="233" spans="1:18">
      <c r="A233" s="310"/>
      <c r="B233" s="323"/>
      <c r="C233" s="168"/>
      <c r="D233" s="188"/>
      <c r="F233" s="168" t="s">
        <v>6202</v>
      </c>
      <c r="G233" s="205">
        <f>IF(_1_5412845612146241046457891017456[[#This Row],[Type]]&gt;0,VLOOKUP(_1_5412845612146241046457891017456[[#This Row],[Type]],Main[[#All],[TYPE]:[UNIT]],'Unit Price'!C$1,FALSE),0)</f>
        <v>0</v>
      </c>
      <c r="H233" s="197">
        <f>IF(_1_5412845612146241046457891017456[[#This Row],[Type]]&gt;0,VLOOKUP(_1_5412845612146241046457891017456[[#This Row],[Type]],Main[[#All],[TYPE]:[UNIT]],'Unit Price'!D$1,FALSE),0)</f>
        <v>0</v>
      </c>
      <c r="I233" s="194">
        <f>IF(_1_5412845612146241046457891017456[[#This Row],[Type]]&gt;0,VLOOKUP(_1_5412845612146241046457891017456[[#This Row],[Type]],Main[[#All],[TYPE]:[UNIT]],'Unit Price'!G$1,FALSE),0)</f>
        <v>0</v>
      </c>
      <c r="J233" s="194">
        <f>IF(_1_5412845612146241046457891017456[[#This Row],[Type]]&gt;0,VLOOKUP(_1_5412845612146241046457891017456[[#This Row],[Type]],Main[[#All],[TYPE]:[UNIT]],'Unit Price'!H$1,FALSE),0)</f>
        <v>0</v>
      </c>
      <c r="K233" s="194">
        <f>IF(_1_5412845612146241046457891017456[[#This Row],[Discount selection]]&gt;0,VLOOKUP(_1_5412845612146241046457891017456[[#This Row],[Discount selection]],'Discount Structure'!$A$2:$B$30,2,"false"),0)</f>
        <v>1</v>
      </c>
      <c r="L233" s="194">
        <f>_1_5412845612146241046457891017456[[#This Row],[LIST $]]*_1_5412845612146241046457891017456[[#This Row],[DISCOUNT]]*_1_5412845612146241046457891017456[[#This Row],[DISCOUNT 2]]</f>
        <v>0</v>
      </c>
      <c r="M233" s="194">
        <f>IF(OR(_1_5412845612146241046457891017456[[#This Row],[UNIT]]&gt;0,_1_5412845612146241046457891017456[[#This Row],[UNIT]]&lt;0),_1_5412845612146241046457891017456[[#This Row],[UNIT]]*_1_5412845612146241046457891017456[[#This Row],[COST]],0)</f>
        <v>0</v>
      </c>
      <c r="N233" s="194">
        <f t="shared" si="3"/>
        <v>1.3</v>
      </c>
      <c r="O233" s="198">
        <f>_1_5412845612146241046457891017456[[#This Row],[TOTAL]]*_1_5412845612146241046457891017456[[#This Row],[MARGIN]]</f>
        <v>0</v>
      </c>
      <c r="R233" s="41"/>
    </row>
    <row r="234" spans="1:18">
      <c r="A234" s="323"/>
      <c r="B234" s="323"/>
      <c r="C234" s="168"/>
      <c r="D234" s="188"/>
      <c r="F234" s="168" t="s">
        <v>6202</v>
      </c>
      <c r="G234" s="193">
        <f>IF(_1_5412845612146241046457891017456[[#This Row],[Type]]&gt;0,VLOOKUP(_1_5412845612146241046457891017456[[#This Row],[Type]],Main[[#All],[TYPE]:[UNIT]],'Unit Price'!C$1,FALSE),0)</f>
        <v>0</v>
      </c>
      <c r="H234" s="197">
        <f>IF(_1_5412845612146241046457891017456[[#This Row],[Type]]&gt;0,VLOOKUP(_1_5412845612146241046457891017456[[#This Row],[Type]],Main[[#All],[TYPE]:[UNIT]],'Unit Price'!D$1,FALSE),0)</f>
        <v>0</v>
      </c>
      <c r="I234" s="194">
        <f>IF(_1_5412845612146241046457891017456[[#This Row],[Type]]&gt;0,VLOOKUP(_1_5412845612146241046457891017456[[#This Row],[Type]],Main[[#All],[TYPE]:[UNIT]],'Unit Price'!G$1,FALSE),0)</f>
        <v>0</v>
      </c>
      <c r="J234" s="194">
        <f>IF(_1_5412845612146241046457891017456[[#This Row],[Type]]&gt;0,VLOOKUP(_1_5412845612146241046457891017456[[#This Row],[Type]],Main[[#All],[TYPE]:[UNIT]],'Unit Price'!H$1,FALSE),0)</f>
        <v>0</v>
      </c>
      <c r="K234" s="194">
        <f>IF(_1_5412845612146241046457891017456[[#This Row],[Discount selection]]&gt;0,VLOOKUP(_1_5412845612146241046457891017456[[#This Row],[Discount selection]],'Discount Structure'!$A$2:$B$30,2,"false"),0)</f>
        <v>1</v>
      </c>
      <c r="L234" s="194">
        <f>_1_5412845612146241046457891017456[[#This Row],[LIST $]]*_1_5412845612146241046457891017456[[#This Row],[DISCOUNT]]*_1_5412845612146241046457891017456[[#This Row],[DISCOUNT 2]]</f>
        <v>0</v>
      </c>
      <c r="M234" s="194">
        <f>IF(OR(_1_5412845612146241046457891017456[[#This Row],[UNIT]]&gt;0,_1_5412845612146241046457891017456[[#This Row],[UNIT]]&lt;0),_1_5412845612146241046457891017456[[#This Row],[UNIT]]*_1_5412845612146241046457891017456[[#This Row],[COST]],0)</f>
        <v>0</v>
      </c>
      <c r="N234" s="194">
        <f t="shared" si="3"/>
        <v>1.3</v>
      </c>
      <c r="O234" s="198">
        <f>_1_5412845612146241046457891017456[[#This Row],[TOTAL]]*_1_5412845612146241046457891017456[[#This Row],[MARGIN]]</f>
        <v>0</v>
      </c>
      <c r="R234" s="41"/>
    </row>
    <row r="235" spans="1:18">
      <c r="C235" s="168"/>
      <c r="D235" s="188"/>
      <c r="F235" s="168" t="s">
        <v>6202</v>
      </c>
      <c r="G235" s="193">
        <f>IF(_1_5412845612146241046457891017456[[#This Row],[Type]]&gt;0,VLOOKUP(_1_5412845612146241046457891017456[[#This Row],[Type]],Main[[#All],[TYPE]:[UNIT]],'Unit Price'!C$1,FALSE),0)</f>
        <v>0</v>
      </c>
      <c r="H235" s="197">
        <f>IF(_1_5412845612146241046457891017456[[#This Row],[Type]]&gt;0,VLOOKUP(_1_5412845612146241046457891017456[[#This Row],[Type]],Main[[#All],[TYPE]:[UNIT]],'Unit Price'!D$1,FALSE),0)</f>
        <v>0</v>
      </c>
      <c r="I235" s="194">
        <f>IF(_1_5412845612146241046457891017456[[#This Row],[Type]]&gt;0,VLOOKUP(_1_5412845612146241046457891017456[[#This Row],[Type]],Main[[#All],[TYPE]:[UNIT]],'Unit Price'!G$1,FALSE),0)</f>
        <v>0</v>
      </c>
      <c r="J235" s="194">
        <f>IF(_1_5412845612146241046457891017456[[#This Row],[Type]]&gt;0,VLOOKUP(_1_5412845612146241046457891017456[[#This Row],[Type]],Main[[#All],[TYPE]:[UNIT]],'Unit Price'!H$1,FALSE),0)</f>
        <v>0</v>
      </c>
      <c r="K235" s="194">
        <f>IF(_1_5412845612146241046457891017456[[#This Row],[Discount selection]]&gt;0,VLOOKUP(_1_5412845612146241046457891017456[[#This Row],[Discount selection]],'Discount Structure'!$A$2:$B$30,2,"false"),0)</f>
        <v>1</v>
      </c>
      <c r="L235" s="194">
        <f>_1_5412845612146241046457891017456[[#This Row],[LIST $]]*_1_5412845612146241046457891017456[[#This Row],[DISCOUNT]]*_1_5412845612146241046457891017456[[#This Row],[DISCOUNT 2]]</f>
        <v>0</v>
      </c>
      <c r="M235" s="194">
        <f>IF(OR(_1_5412845612146241046457891017456[[#This Row],[UNIT]]&gt;0,_1_5412845612146241046457891017456[[#This Row],[UNIT]]&lt;0),_1_5412845612146241046457891017456[[#This Row],[UNIT]]*_1_5412845612146241046457891017456[[#This Row],[COST]],0)</f>
        <v>0</v>
      </c>
      <c r="N235" s="194">
        <f t="shared" si="3"/>
        <v>1.3</v>
      </c>
      <c r="O235" s="198">
        <f>_1_5412845612146241046457891017456[[#This Row],[TOTAL]]*_1_5412845612146241046457891017456[[#This Row],[MARGIN]]</f>
        <v>0</v>
      </c>
      <c r="R235" s="41"/>
    </row>
    <row r="236" spans="1:18">
      <c r="C236" s="168"/>
      <c r="D236" s="188"/>
      <c r="F236" s="168" t="s">
        <v>6202</v>
      </c>
      <c r="G236" s="193">
        <f>IF(_1_5412845612146241046457891017456[[#This Row],[Type]]&gt;0,VLOOKUP(_1_5412845612146241046457891017456[[#This Row],[Type]],Main[[#All],[TYPE]:[UNIT]],'Unit Price'!C$1,FALSE),0)</f>
        <v>0</v>
      </c>
      <c r="H236" s="197">
        <f>IF(_1_5412845612146241046457891017456[[#This Row],[Type]]&gt;0,VLOOKUP(_1_5412845612146241046457891017456[[#This Row],[Type]],Main[[#All],[TYPE]:[UNIT]],'Unit Price'!D$1,FALSE),0)</f>
        <v>0</v>
      </c>
      <c r="I236" s="194">
        <f>IF(_1_5412845612146241046457891017456[[#This Row],[Type]]&gt;0,VLOOKUP(_1_5412845612146241046457891017456[[#This Row],[Type]],Main[[#All],[TYPE]:[UNIT]],'Unit Price'!G$1,FALSE),0)</f>
        <v>0</v>
      </c>
      <c r="J236" s="194">
        <f>IF(_1_5412845612146241046457891017456[[#This Row],[Type]]&gt;0,VLOOKUP(_1_5412845612146241046457891017456[[#This Row],[Type]],Main[[#All],[TYPE]:[UNIT]],'Unit Price'!H$1,FALSE),0)</f>
        <v>0</v>
      </c>
      <c r="K236" s="194">
        <f>IF(_1_5412845612146241046457891017456[[#This Row],[Discount selection]]&gt;0,VLOOKUP(_1_5412845612146241046457891017456[[#This Row],[Discount selection]],'Discount Structure'!$A$2:$B$30,2,"false"),0)</f>
        <v>1</v>
      </c>
      <c r="L236" s="194">
        <f>_1_5412845612146241046457891017456[[#This Row],[LIST $]]*_1_5412845612146241046457891017456[[#This Row],[DISCOUNT]]*_1_5412845612146241046457891017456[[#This Row],[DISCOUNT 2]]</f>
        <v>0</v>
      </c>
      <c r="M236" s="194">
        <f>IF(OR(_1_5412845612146241046457891017456[[#This Row],[UNIT]]&gt;0,_1_5412845612146241046457891017456[[#This Row],[UNIT]]&lt;0),_1_5412845612146241046457891017456[[#This Row],[UNIT]]*_1_5412845612146241046457891017456[[#This Row],[COST]],0)</f>
        <v>0</v>
      </c>
      <c r="N236" s="194">
        <f t="shared" si="3"/>
        <v>1.3</v>
      </c>
      <c r="O236" s="198">
        <f>_1_5412845612146241046457891017456[[#This Row],[TOTAL]]*_1_5412845612146241046457891017456[[#This Row],[MARGIN]]</f>
        <v>0</v>
      </c>
      <c r="R236" s="41"/>
    </row>
    <row r="237" spans="1:18">
      <c r="A237" s="323"/>
      <c r="B237" s="323"/>
      <c r="C237" s="168"/>
      <c r="D237" s="188"/>
      <c r="F237" s="168" t="s">
        <v>6202</v>
      </c>
      <c r="G237" s="193">
        <f>IF(_1_5412845612146241046457891017456[[#This Row],[Type]]&gt;0,VLOOKUP(_1_5412845612146241046457891017456[[#This Row],[Type]],Main[[#All],[TYPE]:[UNIT]],'Unit Price'!C$1,FALSE),0)</f>
        <v>0</v>
      </c>
      <c r="H237" s="197">
        <f>IF(_1_5412845612146241046457891017456[[#This Row],[Type]]&gt;0,VLOOKUP(_1_5412845612146241046457891017456[[#This Row],[Type]],Main[[#All],[TYPE]:[UNIT]],'Unit Price'!D$1,FALSE),0)</f>
        <v>0</v>
      </c>
      <c r="I237" s="194">
        <f>IF(_1_5412845612146241046457891017456[[#This Row],[Type]]&gt;0,VLOOKUP(_1_5412845612146241046457891017456[[#This Row],[Type]],Main[[#All],[TYPE]:[UNIT]],'Unit Price'!G$1,FALSE),0)</f>
        <v>0</v>
      </c>
      <c r="J237" s="194">
        <f>IF(_1_5412845612146241046457891017456[[#This Row],[Type]]&gt;0,VLOOKUP(_1_5412845612146241046457891017456[[#This Row],[Type]],Main[[#All],[TYPE]:[UNIT]],'Unit Price'!H$1,FALSE),0)</f>
        <v>0</v>
      </c>
      <c r="K237" s="194">
        <f>IF(_1_5412845612146241046457891017456[[#This Row],[Discount selection]]&gt;0,VLOOKUP(_1_5412845612146241046457891017456[[#This Row],[Discount selection]],'Discount Structure'!$A$2:$B$30,2,"false"),0)</f>
        <v>1</v>
      </c>
      <c r="L237" s="194">
        <f>_1_5412845612146241046457891017456[[#This Row],[LIST $]]*_1_5412845612146241046457891017456[[#This Row],[DISCOUNT]]*_1_5412845612146241046457891017456[[#This Row],[DISCOUNT 2]]</f>
        <v>0</v>
      </c>
      <c r="M237" s="194">
        <f>IF(OR(_1_5412845612146241046457891017456[[#This Row],[UNIT]]&gt;0,_1_5412845612146241046457891017456[[#This Row],[UNIT]]&lt;0),_1_5412845612146241046457891017456[[#This Row],[UNIT]]*_1_5412845612146241046457891017456[[#This Row],[COST]],0)</f>
        <v>0</v>
      </c>
      <c r="N237" s="194">
        <f t="shared" si="3"/>
        <v>1.3</v>
      </c>
      <c r="O237" s="198">
        <f>_1_5412845612146241046457891017456[[#This Row],[TOTAL]]*_1_5412845612146241046457891017456[[#This Row],[MARGIN]]</f>
        <v>0</v>
      </c>
      <c r="R237" s="41"/>
    </row>
    <row r="238" spans="1:18">
      <c r="C238" s="168"/>
      <c r="D238" s="188"/>
      <c r="F238" s="168" t="s">
        <v>6202</v>
      </c>
      <c r="G238" s="193">
        <f>IF(_1_5412845612146241046457891017456[[#This Row],[Type]]&gt;0,VLOOKUP(_1_5412845612146241046457891017456[[#This Row],[Type]],Main[[#All],[TYPE]:[UNIT]],'Unit Price'!C$1,FALSE),0)</f>
        <v>0</v>
      </c>
      <c r="H238" s="197">
        <f>IF(_1_5412845612146241046457891017456[[#This Row],[Type]]&gt;0,VLOOKUP(_1_5412845612146241046457891017456[[#This Row],[Type]],Main[[#All],[TYPE]:[UNIT]],'Unit Price'!D$1,FALSE),0)</f>
        <v>0</v>
      </c>
      <c r="I238" s="194">
        <f>IF(_1_5412845612146241046457891017456[[#This Row],[Type]]&gt;0,VLOOKUP(_1_5412845612146241046457891017456[[#This Row],[Type]],Main[[#All],[TYPE]:[UNIT]],'Unit Price'!G$1,FALSE),0)</f>
        <v>0</v>
      </c>
      <c r="J238" s="194">
        <f>IF(_1_5412845612146241046457891017456[[#This Row],[Type]]&gt;0,VLOOKUP(_1_5412845612146241046457891017456[[#This Row],[Type]],Main[[#All],[TYPE]:[UNIT]],'Unit Price'!H$1,FALSE),0)</f>
        <v>0</v>
      </c>
      <c r="K238" s="194">
        <f>IF(_1_5412845612146241046457891017456[[#This Row],[Discount selection]]&gt;0,VLOOKUP(_1_5412845612146241046457891017456[[#This Row],[Discount selection]],'Discount Structure'!$A$2:$B$30,2,"false"),0)</f>
        <v>1</v>
      </c>
      <c r="L238" s="194">
        <f>_1_5412845612146241046457891017456[[#This Row],[LIST $]]*_1_5412845612146241046457891017456[[#This Row],[DISCOUNT]]*_1_5412845612146241046457891017456[[#This Row],[DISCOUNT 2]]</f>
        <v>0</v>
      </c>
      <c r="M238" s="194">
        <f>IF(OR(_1_5412845612146241046457891017456[[#This Row],[UNIT]]&gt;0,_1_5412845612146241046457891017456[[#This Row],[UNIT]]&lt;0),_1_5412845612146241046457891017456[[#This Row],[UNIT]]*_1_5412845612146241046457891017456[[#This Row],[COST]],0)</f>
        <v>0</v>
      </c>
      <c r="N238" s="194">
        <f t="shared" si="3"/>
        <v>1.3</v>
      </c>
      <c r="O238" s="198">
        <f>_1_5412845612146241046457891017456[[#This Row],[TOTAL]]*_1_5412845612146241046457891017456[[#This Row],[MARGIN]]</f>
        <v>0</v>
      </c>
      <c r="R238" s="41"/>
    </row>
    <row r="239" spans="1:18">
      <c r="C239" s="168"/>
      <c r="D239" s="188"/>
      <c r="F239" s="168" t="s">
        <v>6202</v>
      </c>
      <c r="G239" s="205">
        <f>IF(_1_5412845612146241046457891017456[[#This Row],[Type]]&gt;0,VLOOKUP(_1_5412845612146241046457891017456[[#This Row],[Type]],Main[[#All],[TYPE]:[UNIT]],'Unit Price'!C$1,FALSE),0)</f>
        <v>0</v>
      </c>
      <c r="H239" s="197">
        <f>IF(_1_5412845612146241046457891017456[[#This Row],[Type]]&gt;0,VLOOKUP(_1_5412845612146241046457891017456[[#This Row],[Type]],Main[[#All],[TYPE]:[UNIT]],'Unit Price'!D$1,FALSE),0)</f>
        <v>0</v>
      </c>
      <c r="I239" s="194">
        <f>IF(_1_5412845612146241046457891017456[[#This Row],[Type]]&gt;0,VLOOKUP(_1_5412845612146241046457891017456[[#This Row],[Type]],Main[[#All],[TYPE]:[UNIT]],'Unit Price'!G$1,FALSE),0)</f>
        <v>0</v>
      </c>
      <c r="J239" s="194">
        <f>IF(_1_5412845612146241046457891017456[[#This Row],[Type]]&gt;0,VLOOKUP(_1_5412845612146241046457891017456[[#This Row],[Type]],Main[[#All],[TYPE]:[UNIT]],'Unit Price'!H$1,FALSE),0)</f>
        <v>0</v>
      </c>
      <c r="K239" s="194">
        <f>IF(_1_5412845612146241046457891017456[[#This Row],[Discount selection]]&gt;0,VLOOKUP(_1_5412845612146241046457891017456[[#This Row],[Discount selection]],'Discount Structure'!$A$2:$B$30,2,"false"),0)</f>
        <v>1</v>
      </c>
      <c r="L239" s="194">
        <f>_1_5412845612146241046457891017456[[#This Row],[LIST $]]*_1_5412845612146241046457891017456[[#This Row],[DISCOUNT]]*_1_5412845612146241046457891017456[[#This Row],[DISCOUNT 2]]</f>
        <v>0</v>
      </c>
      <c r="M239" s="194">
        <f>IF(OR(_1_5412845612146241046457891017456[[#This Row],[UNIT]]&gt;0,_1_5412845612146241046457891017456[[#This Row],[UNIT]]&lt;0),_1_5412845612146241046457891017456[[#This Row],[UNIT]]*_1_5412845612146241046457891017456[[#This Row],[COST]],0)</f>
        <v>0</v>
      </c>
      <c r="N239" s="194">
        <f t="shared" si="3"/>
        <v>1.3</v>
      </c>
      <c r="O239" s="198">
        <f>_1_5412845612146241046457891017456[[#This Row],[TOTAL]]*_1_5412845612146241046457891017456[[#This Row],[MARGIN]]</f>
        <v>0</v>
      </c>
      <c r="R239" s="41"/>
    </row>
    <row r="240" spans="1:18">
      <c r="C240" s="168"/>
      <c r="D240" s="188"/>
      <c r="F240" s="168" t="s">
        <v>6202</v>
      </c>
      <c r="G240" s="193">
        <f>IF(_1_5412845612146241046457891017456[[#This Row],[Type]]&gt;0,VLOOKUP(_1_5412845612146241046457891017456[[#This Row],[Type]],Main[[#All],[TYPE]:[UNIT]],'Unit Price'!C$1,FALSE),0)</f>
        <v>0</v>
      </c>
      <c r="H240" s="197">
        <f>IF(_1_5412845612146241046457891017456[[#This Row],[Type]]&gt;0,VLOOKUP(_1_5412845612146241046457891017456[[#This Row],[Type]],Main[[#All],[TYPE]:[UNIT]],'Unit Price'!D$1,FALSE),0)</f>
        <v>0</v>
      </c>
      <c r="I240" s="194">
        <f>IF(_1_5412845612146241046457891017456[[#This Row],[Type]]&gt;0,VLOOKUP(_1_5412845612146241046457891017456[[#This Row],[Type]],Main[[#All],[TYPE]:[UNIT]],'Unit Price'!G$1,FALSE),0)</f>
        <v>0</v>
      </c>
      <c r="J240" s="194">
        <f>IF(_1_5412845612146241046457891017456[[#This Row],[Type]]&gt;0,VLOOKUP(_1_5412845612146241046457891017456[[#This Row],[Type]],Main[[#All],[TYPE]:[UNIT]],'Unit Price'!H$1,FALSE),0)</f>
        <v>0</v>
      </c>
      <c r="K240" s="194">
        <f>IF(_1_5412845612146241046457891017456[[#This Row],[Discount selection]]&gt;0,VLOOKUP(_1_5412845612146241046457891017456[[#This Row],[Discount selection]],'Discount Structure'!$A$2:$B$30,2,"false"),0)</f>
        <v>1</v>
      </c>
      <c r="L240" s="194">
        <f>_1_5412845612146241046457891017456[[#This Row],[LIST $]]*_1_5412845612146241046457891017456[[#This Row],[DISCOUNT]]*_1_5412845612146241046457891017456[[#This Row],[DISCOUNT 2]]</f>
        <v>0</v>
      </c>
      <c r="M240" s="194">
        <f>IF(OR(_1_5412845612146241046457891017456[[#This Row],[UNIT]]&gt;0,_1_5412845612146241046457891017456[[#This Row],[UNIT]]&lt;0),_1_5412845612146241046457891017456[[#This Row],[UNIT]]*_1_5412845612146241046457891017456[[#This Row],[COST]],0)</f>
        <v>0</v>
      </c>
      <c r="N240" s="194">
        <f t="shared" si="3"/>
        <v>1.3</v>
      </c>
      <c r="O240" s="198">
        <f>_1_5412845612146241046457891017456[[#This Row],[TOTAL]]*_1_5412845612146241046457891017456[[#This Row],[MARGIN]]</f>
        <v>0</v>
      </c>
      <c r="R240" s="41"/>
    </row>
    <row r="241" spans="1:18">
      <c r="C241" s="168"/>
      <c r="D241" s="188"/>
      <c r="F241" s="168" t="s">
        <v>6202</v>
      </c>
      <c r="G241" s="193">
        <f>IF(_1_5412845612146241046457891017456[[#This Row],[Type]]&gt;0,VLOOKUP(_1_5412845612146241046457891017456[[#This Row],[Type]],Main[[#All],[TYPE]:[UNIT]],'Unit Price'!C$1,FALSE),0)</f>
        <v>0</v>
      </c>
      <c r="H241" s="197">
        <f>IF(_1_5412845612146241046457891017456[[#This Row],[Type]]&gt;0,VLOOKUP(_1_5412845612146241046457891017456[[#This Row],[Type]],Main[[#All],[TYPE]:[UNIT]],'Unit Price'!D$1,FALSE),0)</f>
        <v>0</v>
      </c>
      <c r="I241" s="194">
        <f>IF(_1_5412845612146241046457891017456[[#This Row],[Type]]&gt;0,VLOOKUP(_1_5412845612146241046457891017456[[#This Row],[Type]],Main[[#All],[TYPE]:[UNIT]],'Unit Price'!G$1,FALSE),0)</f>
        <v>0</v>
      </c>
      <c r="J241" s="194">
        <f>IF(_1_5412845612146241046457891017456[[#This Row],[Type]]&gt;0,VLOOKUP(_1_5412845612146241046457891017456[[#This Row],[Type]],Main[[#All],[TYPE]:[UNIT]],'Unit Price'!H$1,FALSE),0)</f>
        <v>0</v>
      </c>
      <c r="K241" s="194">
        <f>IF(_1_5412845612146241046457891017456[[#This Row],[Discount selection]]&gt;0,VLOOKUP(_1_5412845612146241046457891017456[[#This Row],[Discount selection]],'Discount Structure'!$A$2:$B$30,2,"false"),0)</f>
        <v>1</v>
      </c>
      <c r="L241" s="194">
        <f>_1_5412845612146241046457891017456[[#This Row],[LIST $]]*_1_5412845612146241046457891017456[[#This Row],[DISCOUNT]]*_1_5412845612146241046457891017456[[#This Row],[DISCOUNT 2]]</f>
        <v>0</v>
      </c>
      <c r="M241" s="194">
        <f>IF(OR(_1_5412845612146241046457891017456[[#This Row],[UNIT]]&gt;0,_1_5412845612146241046457891017456[[#This Row],[UNIT]]&lt;0),_1_5412845612146241046457891017456[[#This Row],[UNIT]]*_1_5412845612146241046457891017456[[#This Row],[COST]],0)</f>
        <v>0</v>
      </c>
      <c r="N241" s="194">
        <f t="shared" si="3"/>
        <v>1.3</v>
      </c>
      <c r="O241" s="198">
        <f>_1_5412845612146241046457891017456[[#This Row],[TOTAL]]*_1_5412845612146241046457891017456[[#This Row],[MARGIN]]</f>
        <v>0</v>
      </c>
      <c r="R241" s="41"/>
    </row>
    <row r="242" spans="1:18">
      <c r="C242" s="168"/>
      <c r="D242" s="188"/>
      <c r="F242" s="168" t="s">
        <v>6202</v>
      </c>
      <c r="G242" s="193">
        <f>IF(_1_5412845612146241046457891017456[[#This Row],[Type]]&gt;0,VLOOKUP(_1_5412845612146241046457891017456[[#This Row],[Type]],Main[[#All],[TYPE]:[UNIT]],'Unit Price'!C$1,FALSE),0)</f>
        <v>0</v>
      </c>
      <c r="H242" s="197">
        <f>IF(_1_5412845612146241046457891017456[[#This Row],[Type]]&gt;0,VLOOKUP(_1_5412845612146241046457891017456[[#This Row],[Type]],Main[[#All],[TYPE]:[UNIT]],'Unit Price'!D$1,FALSE),0)</f>
        <v>0</v>
      </c>
      <c r="I242" s="194">
        <f>IF(_1_5412845612146241046457891017456[[#This Row],[Type]]&gt;0,VLOOKUP(_1_5412845612146241046457891017456[[#This Row],[Type]],Main[[#All],[TYPE]:[UNIT]],'Unit Price'!G$1,FALSE),0)</f>
        <v>0</v>
      </c>
      <c r="J242" s="194">
        <f>IF(_1_5412845612146241046457891017456[[#This Row],[Type]]&gt;0,VLOOKUP(_1_5412845612146241046457891017456[[#This Row],[Type]],Main[[#All],[TYPE]:[UNIT]],'Unit Price'!H$1,FALSE),0)</f>
        <v>0</v>
      </c>
      <c r="K242" s="194">
        <f>IF(_1_5412845612146241046457891017456[[#This Row],[Discount selection]]&gt;0,VLOOKUP(_1_5412845612146241046457891017456[[#This Row],[Discount selection]],'Discount Structure'!$A$2:$B$30,2,"false"),0)</f>
        <v>1</v>
      </c>
      <c r="L242" s="194">
        <f>_1_5412845612146241046457891017456[[#This Row],[LIST $]]*_1_5412845612146241046457891017456[[#This Row],[DISCOUNT]]*_1_5412845612146241046457891017456[[#This Row],[DISCOUNT 2]]</f>
        <v>0</v>
      </c>
      <c r="M242" s="194">
        <f>IF(OR(_1_5412845612146241046457891017456[[#This Row],[UNIT]]&gt;0,_1_5412845612146241046457891017456[[#This Row],[UNIT]]&lt;0),_1_5412845612146241046457891017456[[#This Row],[UNIT]]*_1_5412845612146241046457891017456[[#This Row],[COST]],0)</f>
        <v>0</v>
      </c>
      <c r="N242" s="194">
        <f t="shared" si="3"/>
        <v>1.3</v>
      </c>
      <c r="O242" s="198">
        <f>_1_5412845612146241046457891017456[[#This Row],[TOTAL]]*_1_5412845612146241046457891017456[[#This Row],[MARGIN]]</f>
        <v>0</v>
      </c>
      <c r="R242" s="41"/>
    </row>
    <row r="243" spans="1:18">
      <c r="C243" s="168"/>
      <c r="D243" s="188"/>
      <c r="F243" s="168" t="s">
        <v>6202</v>
      </c>
      <c r="G243" s="193">
        <f>IF(_1_5412845612146241046457891017456[[#This Row],[Type]]&gt;0,VLOOKUP(_1_5412845612146241046457891017456[[#This Row],[Type]],Main[[#All],[TYPE]:[UNIT]],'Unit Price'!C$1,FALSE),0)</f>
        <v>0</v>
      </c>
      <c r="H243" s="197">
        <f>IF(_1_5412845612146241046457891017456[[#This Row],[Type]]&gt;0,VLOOKUP(_1_5412845612146241046457891017456[[#This Row],[Type]],Main[[#All],[TYPE]:[UNIT]],'Unit Price'!D$1,FALSE),0)</f>
        <v>0</v>
      </c>
      <c r="I243" s="194">
        <f>IF(_1_5412845612146241046457891017456[[#This Row],[Type]]&gt;0,VLOOKUP(_1_5412845612146241046457891017456[[#This Row],[Type]],Main[[#All],[TYPE]:[UNIT]],'Unit Price'!G$1,FALSE),0)</f>
        <v>0</v>
      </c>
      <c r="J243" s="194">
        <f>IF(_1_5412845612146241046457891017456[[#This Row],[Type]]&gt;0,VLOOKUP(_1_5412845612146241046457891017456[[#This Row],[Type]],Main[[#All],[TYPE]:[UNIT]],'Unit Price'!H$1,FALSE),0)</f>
        <v>0</v>
      </c>
      <c r="K243" s="194">
        <f>IF(_1_5412845612146241046457891017456[[#This Row],[Discount selection]]&gt;0,VLOOKUP(_1_5412845612146241046457891017456[[#This Row],[Discount selection]],'Discount Structure'!$A$2:$B$30,2,"false"),0)</f>
        <v>1</v>
      </c>
      <c r="L243" s="194">
        <f>_1_5412845612146241046457891017456[[#This Row],[LIST $]]*_1_5412845612146241046457891017456[[#This Row],[DISCOUNT]]*_1_5412845612146241046457891017456[[#This Row],[DISCOUNT 2]]</f>
        <v>0</v>
      </c>
      <c r="M243" s="194">
        <f>IF(OR(_1_5412845612146241046457891017456[[#This Row],[UNIT]]&gt;0,_1_5412845612146241046457891017456[[#This Row],[UNIT]]&lt;0),_1_5412845612146241046457891017456[[#This Row],[UNIT]]*_1_5412845612146241046457891017456[[#This Row],[COST]],0)</f>
        <v>0</v>
      </c>
      <c r="N243" s="194">
        <f t="shared" si="3"/>
        <v>1.3</v>
      </c>
      <c r="O243" s="198">
        <f>_1_5412845612146241046457891017456[[#This Row],[TOTAL]]*_1_5412845612146241046457891017456[[#This Row],[MARGIN]]</f>
        <v>0</v>
      </c>
      <c r="R243" s="41"/>
    </row>
    <row r="244" spans="1:18">
      <c r="A244" s="168"/>
      <c r="B244" s="168"/>
      <c r="C244" s="168"/>
      <c r="D244" s="188"/>
      <c r="F244" s="168" t="s">
        <v>6202</v>
      </c>
      <c r="G244" s="205">
        <f>IF(_1_5412845612146241046457891017456[[#This Row],[Type]]&gt;0,VLOOKUP(_1_5412845612146241046457891017456[[#This Row],[Type]],Main[[#All],[TYPE]:[UNIT]],'Unit Price'!C$1,FALSE),0)</f>
        <v>0</v>
      </c>
      <c r="H244" s="197">
        <f>IF(_1_5412845612146241046457891017456[[#This Row],[Type]]&gt;0,VLOOKUP(_1_5412845612146241046457891017456[[#This Row],[Type]],Main[[#All],[TYPE]:[UNIT]],'Unit Price'!D$1,FALSE),0)</f>
        <v>0</v>
      </c>
      <c r="I244" s="194">
        <f>IF(_1_5412845612146241046457891017456[[#This Row],[Type]]&gt;0,VLOOKUP(_1_5412845612146241046457891017456[[#This Row],[Type]],Main[[#All],[TYPE]:[UNIT]],'Unit Price'!G$1,FALSE),0)</f>
        <v>0</v>
      </c>
      <c r="J244" s="194">
        <f>IF(_1_5412845612146241046457891017456[[#This Row],[Type]]&gt;0,VLOOKUP(_1_5412845612146241046457891017456[[#This Row],[Type]],Main[[#All],[TYPE]:[UNIT]],'Unit Price'!H$1,FALSE),0)</f>
        <v>0</v>
      </c>
      <c r="K244" s="194">
        <f>IF(_1_5412845612146241046457891017456[[#This Row],[Discount selection]]&gt;0,VLOOKUP(_1_5412845612146241046457891017456[[#This Row],[Discount selection]],'Discount Structure'!$A$2:$B$30,2,"false"),0)</f>
        <v>1</v>
      </c>
      <c r="L244" s="194">
        <f>_1_5412845612146241046457891017456[[#This Row],[LIST $]]*_1_5412845612146241046457891017456[[#This Row],[DISCOUNT]]*_1_5412845612146241046457891017456[[#This Row],[DISCOUNT 2]]</f>
        <v>0</v>
      </c>
      <c r="M244" s="194">
        <f>IF(OR(_1_5412845612146241046457891017456[[#This Row],[UNIT]]&gt;0,_1_5412845612146241046457891017456[[#This Row],[UNIT]]&lt;0),_1_5412845612146241046457891017456[[#This Row],[UNIT]]*_1_5412845612146241046457891017456[[#This Row],[COST]],0)</f>
        <v>0</v>
      </c>
      <c r="N244" s="194">
        <f t="shared" si="3"/>
        <v>1.3</v>
      </c>
      <c r="O244" s="198">
        <f>_1_5412845612146241046457891017456[[#This Row],[TOTAL]]*_1_5412845612146241046457891017456[[#This Row],[MARGIN]]</f>
        <v>0</v>
      </c>
      <c r="R244" s="41"/>
    </row>
    <row r="245" spans="1:18">
      <c r="A245" s="324"/>
      <c r="B245" s="323"/>
      <c r="C245" s="168"/>
      <c r="D245" s="188"/>
      <c r="F245" s="168" t="s">
        <v>6202</v>
      </c>
      <c r="G245" s="193">
        <f>IF(_1_5412845612146241046457891017456[[#This Row],[Type]]&gt;0,VLOOKUP(_1_5412845612146241046457891017456[[#This Row],[Type]],Main[[#All],[TYPE]:[UNIT]],'Unit Price'!C$1,FALSE),0)</f>
        <v>0</v>
      </c>
      <c r="H245" s="197">
        <f>IF(_1_5412845612146241046457891017456[[#This Row],[Type]]&gt;0,VLOOKUP(_1_5412845612146241046457891017456[[#This Row],[Type]],Main[[#All],[TYPE]:[UNIT]],'Unit Price'!D$1,FALSE),0)</f>
        <v>0</v>
      </c>
      <c r="I245" s="194">
        <f>IF(_1_5412845612146241046457891017456[[#This Row],[Type]]&gt;0,VLOOKUP(_1_5412845612146241046457891017456[[#This Row],[Type]],Main[[#All],[TYPE]:[UNIT]],'Unit Price'!G$1,FALSE),0)</f>
        <v>0</v>
      </c>
      <c r="J245" s="194">
        <f>IF(_1_5412845612146241046457891017456[[#This Row],[Type]]&gt;0,VLOOKUP(_1_5412845612146241046457891017456[[#This Row],[Type]],Main[[#All],[TYPE]:[UNIT]],'Unit Price'!H$1,FALSE),0)</f>
        <v>0</v>
      </c>
      <c r="K245" s="194">
        <f>IF(_1_5412845612146241046457891017456[[#This Row],[Discount selection]]&gt;0,VLOOKUP(_1_5412845612146241046457891017456[[#This Row],[Discount selection]],'Discount Structure'!$A$2:$B$30,2,"false"),0)</f>
        <v>1</v>
      </c>
      <c r="L245" s="194">
        <f>_1_5412845612146241046457891017456[[#This Row],[LIST $]]*_1_5412845612146241046457891017456[[#This Row],[DISCOUNT]]*_1_5412845612146241046457891017456[[#This Row],[DISCOUNT 2]]</f>
        <v>0</v>
      </c>
      <c r="M245" s="194">
        <f>IF(OR(_1_5412845612146241046457891017456[[#This Row],[UNIT]]&gt;0,_1_5412845612146241046457891017456[[#This Row],[UNIT]]&lt;0),_1_5412845612146241046457891017456[[#This Row],[UNIT]]*_1_5412845612146241046457891017456[[#This Row],[COST]],0)</f>
        <v>0</v>
      </c>
      <c r="N245" s="194">
        <f t="shared" si="3"/>
        <v>1.3</v>
      </c>
      <c r="O245" s="198">
        <f>_1_5412845612146241046457891017456[[#This Row],[TOTAL]]*_1_5412845612146241046457891017456[[#This Row],[MARGIN]]</f>
        <v>0</v>
      </c>
      <c r="R245" s="41"/>
    </row>
    <row r="246" spans="1:18">
      <c r="A246" s="323"/>
      <c r="B246" s="323"/>
      <c r="C246" s="168"/>
      <c r="D246" s="188"/>
      <c r="F246" s="168" t="s">
        <v>6202</v>
      </c>
      <c r="G246" s="193">
        <f>IF(_1_5412845612146241046457891017456[[#This Row],[Type]]&gt;0,VLOOKUP(_1_5412845612146241046457891017456[[#This Row],[Type]],Main[[#All],[TYPE]:[UNIT]],'Unit Price'!C$1,FALSE),0)</f>
        <v>0</v>
      </c>
      <c r="H246" s="197">
        <f>IF(_1_5412845612146241046457891017456[[#This Row],[Type]]&gt;0,VLOOKUP(_1_5412845612146241046457891017456[[#This Row],[Type]],Main[[#All],[TYPE]:[UNIT]],'Unit Price'!D$1,FALSE),0)</f>
        <v>0</v>
      </c>
      <c r="I246" s="194">
        <f>IF(_1_5412845612146241046457891017456[[#This Row],[Type]]&gt;0,VLOOKUP(_1_5412845612146241046457891017456[[#This Row],[Type]],Main[[#All],[TYPE]:[UNIT]],'Unit Price'!G$1,FALSE),0)</f>
        <v>0</v>
      </c>
      <c r="J246" s="194">
        <f>IF(_1_5412845612146241046457891017456[[#This Row],[Type]]&gt;0,VLOOKUP(_1_5412845612146241046457891017456[[#This Row],[Type]],Main[[#All],[TYPE]:[UNIT]],'Unit Price'!H$1,FALSE),0)</f>
        <v>0</v>
      </c>
      <c r="K246" s="194">
        <f>IF(_1_5412845612146241046457891017456[[#This Row],[Discount selection]]&gt;0,VLOOKUP(_1_5412845612146241046457891017456[[#This Row],[Discount selection]],'Discount Structure'!$A$2:$B$30,2,"false"),0)</f>
        <v>1</v>
      </c>
      <c r="L246" s="194">
        <f>_1_5412845612146241046457891017456[[#This Row],[LIST $]]*_1_5412845612146241046457891017456[[#This Row],[DISCOUNT]]*_1_5412845612146241046457891017456[[#This Row],[DISCOUNT 2]]</f>
        <v>0</v>
      </c>
      <c r="M246" s="194">
        <f>IF(OR(_1_5412845612146241046457891017456[[#This Row],[UNIT]]&gt;0,_1_5412845612146241046457891017456[[#This Row],[UNIT]]&lt;0),_1_5412845612146241046457891017456[[#This Row],[UNIT]]*_1_5412845612146241046457891017456[[#This Row],[COST]],0)</f>
        <v>0</v>
      </c>
      <c r="N246" s="194">
        <f t="shared" si="3"/>
        <v>1.3</v>
      </c>
      <c r="O246" s="198">
        <f>_1_5412845612146241046457891017456[[#This Row],[TOTAL]]*_1_5412845612146241046457891017456[[#This Row],[MARGIN]]</f>
        <v>0</v>
      </c>
      <c r="R246" s="41"/>
    </row>
    <row r="247" spans="1:18">
      <c r="C247" s="168"/>
      <c r="D247" s="188"/>
      <c r="F247" s="168" t="s">
        <v>6202</v>
      </c>
      <c r="G247" s="193">
        <f>IF(_1_5412845612146241046457891017456[[#This Row],[Type]]&gt;0,VLOOKUP(_1_5412845612146241046457891017456[[#This Row],[Type]],Main[[#All],[TYPE]:[UNIT]],'Unit Price'!C$1,FALSE),0)</f>
        <v>0</v>
      </c>
      <c r="H247" s="197">
        <f>IF(_1_5412845612146241046457891017456[[#This Row],[Type]]&gt;0,VLOOKUP(_1_5412845612146241046457891017456[[#This Row],[Type]],Main[[#All],[TYPE]:[UNIT]],'Unit Price'!D$1,FALSE),0)</f>
        <v>0</v>
      </c>
      <c r="I247" s="194">
        <f>IF(_1_5412845612146241046457891017456[[#This Row],[Type]]&gt;0,VLOOKUP(_1_5412845612146241046457891017456[[#This Row],[Type]],Main[[#All],[TYPE]:[UNIT]],'Unit Price'!G$1,FALSE),0)</f>
        <v>0</v>
      </c>
      <c r="J247" s="194">
        <f>IF(_1_5412845612146241046457891017456[[#This Row],[Type]]&gt;0,VLOOKUP(_1_5412845612146241046457891017456[[#This Row],[Type]],Main[[#All],[TYPE]:[UNIT]],'Unit Price'!H$1,FALSE),0)</f>
        <v>0</v>
      </c>
      <c r="K247" s="194">
        <f>IF(_1_5412845612146241046457891017456[[#This Row],[Discount selection]]&gt;0,VLOOKUP(_1_5412845612146241046457891017456[[#This Row],[Discount selection]],'Discount Structure'!$A$2:$B$30,2,"false"),0)</f>
        <v>1</v>
      </c>
      <c r="L247" s="194">
        <f>_1_5412845612146241046457891017456[[#This Row],[LIST $]]*_1_5412845612146241046457891017456[[#This Row],[DISCOUNT]]*_1_5412845612146241046457891017456[[#This Row],[DISCOUNT 2]]</f>
        <v>0</v>
      </c>
      <c r="M247" s="194">
        <f>IF(OR(_1_5412845612146241046457891017456[[#This Row],[UNIT]]&gt;0,_1_5412845612146241046457891017456[[#This Row],[UNIT]]&lt;0),_1_5412845612146241046457891017456[[#This Row],[UNIT]]*_1_5412845612146241046457891017456[[#This Row],[COST]],0)</f>
        <v>0</v>
      </c>
      <c r="N247" s="194">
        <f t="shared" si="3"/>
        <v>1.3</v>
      </c>
      <c r="O247" s="198">
        <f>_1_5412845612146241046457891017456[[#This Row],[TOTAL]]*_1_5412845612146241046457891017456[[#This Row],[MARGIN]]</f>
        <v>0</v>
      </c>
      <c r="R247" s="41"/>
    </row>
    <row r="248" spans="1:18">
      <c r="C248" s="168"/>
      <c r="D248" s="188"/>
      <c r="F248" s="168" t="s">
        <v>6202</v>
      </c>
      <c r="G248" s="193">
        <f>IF(_1_5412845612146241046457891017456[[#This Row],[Type]]&gt;0,VLOOKUP(_1_5412845612146241046457891017456[[#This Row],[Type]],Main[[#All],[TYPE]:[UNIT]],'Unit Price'!C$1,FALSE),0)</f>
        <v>0</v>
      </c>
      <c r="H248" s="197">
        <f>IF(_1_5412845612146241046457891017456[[#This Row],[Type]]&gt;0,VLOOKUP(_1_5412845612146241046457891017456[[#This Row],[Type]],Main[[#All],[TYPE]:[UNIT]],'Unit Price'!D$1,FALSE),0)</f>
        <v>0</v>
      </c>
      <c r="I248" s="194">
        <f>IF(_1_5412845612146241046457891017456[[#This Row],[Type]]&gt;0,VLOOKUP(_1_5412845612146241046457891017456[[#This Row],[Type]],Main[[#All],[TYPE]:[UNIT]],'Unit Price'!G$1,FALSE),0)</f>
        <v>0</v>
      </c>
      <c r="J248" s="194">
        <f>IF(_1_5412845612146241046457891017456[[#This Row],[Type]]&gt;0,VLOOKUP(_1_5412845612146241046457891017456[[#This Row],[Type]],Main[[#All],[TYPE]:[UNIT]],'Unit Price'!H$1,FALSE),0)</f>
        <v>0</v>
      </c>
      <c r="K248" s="194">
        <f>IF(_1_5412845612146241046457891017456[[#This Row],[Discount selection]]&gt;0,VLOOKUP(_1_5412845612146241046457891017456[[#This Row],[Discount selection]],'Discount Structure'!$A$2:$B$30,2,"false"),0)</f>
        <v>1</v>
      </c>
      <c r="L248" s="194">
        <f>_1_5412845612146241046457891017456[[#This Row],[LIST $]]*_1_5412845612146241046457891017456[[#This Row],[DISCOUNT]]*_1_5412845612146241046457891017456[[#This Row],[DISCOUNT 2]]</f>
        <v>0</v>
      </c>
      <c r="M248" s="194">
        <f>IF(OR(_1_5412845612146241046457891017456[[#This Row],[UNIT]]&gt;0,_1_5412845612146241046457891017456[[#This Row],[UNIT]]&lt;0),_1_5412845612146241046457891017456[[#This Row],[UNIT]]*_1_5412845612146241046457891017456[[#This Row],[COST]],0)</f>
        <v>0</v>
      </c>
      <c r="N248" s="194">
        <f t="shared" si="3"/>
        <v>1.3</v>
      </c>
      <c r="O248" s="198">
        <f>_1_5412845612146241046457891017456[[#This Row],[TOTAL]]*_1_5412845612146241046457891017456[[#This Row],[MARGIN]]</f>
        <v>0</v>
      </c>
      <c r="R248" s="41"/>
    </row>
    <row r="249" spans="1:18">
      <c r="A249" s="323"/>
      <c r="B249" s="325"/>
      <c r="C249" s="168"/>
      <c r="D249" s="188"/>
      <c r="F249" s="168" t="s">
        <v>6202</v>
      </c>
      <c r="G249" s="205">
        <f>IF(_1_5412845612146241046457891017456[[#This Row],[Type]]&gt;0,VLOOKUP(_1_5412845612146241046457891017456[[#This Row],[Type]],Main[[#All],[TYPE]:[UNIT]],'Unit Price'!C$1,FALSE),0)</f>
        <v>0</v>
      </c>
      <c r="H249" s="197">
        <f>IF(_1_5412845612146241046457891017456[[#This Row],[Type]]&gt;0,VLOOKUP(_1_5412845612146241046457891017456[[#This Row],[Type]],Main[[#All],[TYPE]:[UNIT]],'Unit Price'!D$1,FALSE),0)</f>
        <v>0</v>
      </c>
      <c r="I249" s="194">
        <f>IF(_1_5412845612146241046457891017456[[#This Row],[Type]]&gt;0,VLOOKUP(_1_5412845612146241046457891017456[[#This Row],[Type]],Main[[#All],[TYPE]:[UNIT]],'Unit Price'!G$1,FALSE),0)</f>
        <v>0</v>
      </c>
      <c r="J249" s="194">
        <f>IF(_1_5412845612146241046457891017456[[#This Row],[Type]]&gt;0,VLOOKUP(_1_5412845612146241046457891017456[[#This Row],[Type]],Main[[#All],[TYPE]:[UNIT]],'Unit Price'!H$1,FALSE),0)</f>
        <v>0</v>
      </c>
      <c r="K249" s="194">
        <f>IF(_1_5412845612146241046457891017456[[#This Row],[Discount selection]]&gt;0,VLOOKUP(_1_5412845612146241046457891017456[[#This Row],[Discount selection]],'Discount Structure'!$A$2:$B$30,2,"false"),0)</f>
        <v>1</v>
      </c>
      <c r="L249" s="194">
        <f>_1_5412845612146241046457891017456[[#This Row],[LIST $]]*_1_5412845612146241046457891017456[[#This Row],[DISCOUNT]]*_1_5412845612146241046457891017456[[#This Row],[DISCOUNT 2]]</f>
        <v>0</v>
      </c>
      <c r="M249" s="194">
        <f>IF(OR(_1_5412845612146241046457891017456[[#This Row],[UNIT]]&gt;0,_1_5412845612146241046457891017456[[#This Row],[UNIT]]&lt;0),_1_5412845612146241046457891017456[[#This Row],[UNIT]]*_1_5412845612146241046457891017456[[#This Row],[COST]],0)</f>
        <v>0</v>
      </c>
      <c r="N249" s="194">
        <f t="shared" si="3"/>
        <v>1.3</v>
      </c>
      <c r="O249" s="198">
        <f>_1_5412845612146241046457891017456[[#This Row],[TOTAL]]*_1_5412845612146241046457891017456[[#This Row],[MARGIN]]</f>
        <v>0</v>
      </c>
      <c r="R249" s="41"/>
    </row>
    <row r="250" spans="1:18">
      <c r="A250" s="323"/>
      <c r="B250" s="323"/>
      <c r="C250" s="168"/>
      <c r="D250" s="188"/>
      <c r="F250" s="168" t="s">
        <v>6202</v>
      </c>
      <c r="G250" s="193">
        <f>IF(_1_5412845612146241046457891017456[[#This Row],[Type]]&gt;0,VLOOKUP(_1_5412845612146241046457891017456[[#This Row],[Type]],Main[[#All],[TYPE]:[UNIT]],'Unit Price'!C$1,FALSE),0)</f>
        <v>0</v>
      </c>
      <c r="H250" s="197">
        <f>IF(_1_5412845612146241046457891017456[[#This Row],[Type]]&gt;0,VLOOKUP(_1_5412845612146241046457891017456[[#This Row],[Type]],Main[[#All],[TYPE]:[UNIT]],'Unit Price'!D$1,FALSE),0)</f>
        <v>0</v>
      </c>
      <c r="I250" s="194">
        <f>IF(_1_5412845612146241046457891017456[[#This Row],[Type]]&gt;0,VLOOKUP(_1_5412845612146241046457891017456[[#This Row],[Type]],Main[[#All],[TYPE]:[UNIT]],'Unit Price'!G$1,FALSE),0)</f>
        <v>0</v>
      </c>
      <c r="J250" s="194">
        <f>IF(_1_5412845612146241046457891017456[[#This Row],[Type]]&gt;0,VLOOKUP(_1_5412845612146241046457891017456[[#This Row],[Type]],Main[[#All],[TYPE]:[UNIT]],'Unit Price'!H$1,FALSE),0)</f>
        <v>0</v>
      </c>
      <c r="K250" s="194">
        <f>IF(_1_5412845612146241046457891017456[[#This Row],[Discount selection]]&gt;0,VLOOKUP(_1_5412845612146241046457891017456[[#This Row],[Discount selection]],'Discount Structure'!$A$2:$B$30,2,"false"),0)</f>
        <v>1</v>
      </c>
      <c r="L250" s="194">
        <f>_1_5412845612146241046457891017456[[#This Row],[LIST $]]*_1_5412845612146241046457891017456[[#This Row],[DISCOUNT]]*_1_5412845612146241046457891017456[[#This Row],[DISCOUNT 2]]</f>
        <v>0</v>
      </c>
      <c r="M250" s="194">
        <f>IF(OR(_1_5412845612146241046457891017456[[#This Row],[UNIT]]&gt;0,_1_5412845612146241046457891017456[[#This Row],[UNIT]]&lt;0),_1_5412845612146241046457891017456[[#This Row],[UNIT]]*_1_5412845612146241046457891017456[[#This Row],[COST]],0)</f>
        <v>0</v>
      </c>
      <c r="N250" s="194">
        <f t="shared" si="3"/>
        <v>1.3</v>
      </c>
      <c r="O250" s="198">
        <f>_1_5412845612146241046457891017456[[#This Row],[TOTAL]]*_1_5412845612146241046457891017456[[#This Row],[MARGIN]]</f>
        <v>0</v>
      </c>
      <c r="R250" s="41"/>
    </row>
    <row r="251" spans="1:18">
      <c r="C251" s="168"/>
      <c r="D251" s="188"/>
      <c r="F251" s="168" t="s">
        <v>6202</v>
      </c>
      <c r="G251" s="193">
        <f>IF(_1_5412845612146241046457891017456[[#This Row],[Type]]&gt;0,VLOOKUP(_1_5412845612146241046457891017456[[#This Row],[Type]],Main[[#All],[TYPE]:[UNIT]],'Unit Price'!C$1,FALSE),0)</f>
        <v>0</v>
      </c>
      <c r="H251" s="197">
        <f>IF(_1_5412845612146241046457891017456[[#This Row],[Type]]&gt;0,VLOOKUP(_1_5412845612146241046457891017456[[#This Row],[Type]],Main[[#All],[TYPE]:[UNIT]],'Unit Price'!D$1,FALSE),0)</f>
        <v>0</v>
      </c>
      <c r="I251" s="194">
        <f>IF(_1_5412845612146241046457891017456[[#This Row],[Type]]&gt;0,VLOOKUP(_1_5412845612146241046457891017456[[#This Row],[Type]],Main[[#All],[TYPE]:[UNIT]],'Unit Price'!G$1,FALSE),0)</f>
        <v>0</v>
      </c>
      <c r="J251" s="194">
        <f>IF(_1_5412845612146241046457891017456[[#This Row],[Type]]&gt;0,VLOOKUP(_1_5412845612146241046457891017456[[#This Row],[Type]],Main[[#All],[TYPE]:[UNIT]],'Unit Price'!H$1,FALSE),0)</f>
        <v>0</v>
      </c>
      <c r="K251" s="194">
        <f>IF(_1_5412845612146241046457891017456[[#This Row],[Discount selection]]&gt;0,VLOOKUP(_1_5412845612146241046457891017456[[#This Row],[Discount selection]],'Discount Structure'!$A$2:$B$30,2,"false"),0)</f>
        <v>1</v>
      </c>
      <c r="L251" s="194">
        <f>_1_5412845612146241046457891017456[[#This Row],[LIST $]]*_1_5412845612146241046457891017456[[#This Row],[DISCOUNT]]*_1_5412845612146241046457891017456[[#This Row],[DISCOUNT 2]]</f>
        <v>0</v>
      </c>
      <c r="M251" s="194">
        <f>IF(OR(_1_5412845612146241046457891017456[[#This Row],[UNIT]]&gt;0,_1_5412845612146241046457891017456[[#This Row],[UNIT]]&lt;0),_1_5412845612146241046457891017456[[#This Row],[UNIT]]*_1_5412845612146241046457891017456[[#This Row],[COST]],0)</f>
        <v>0</v>
      </c>
      <c r="N251" s="194">
        <f t="shared" si="3"/>
        <v>1.3</v>
      </c>
      <c r="O251" s="198">
        <f>_1_5412845612146241046457891017456[[#This Row],[TOTAL]]*_1_5412845612146241046457891017456[[#This Row],[MARGIN]]</f>
        <v>0</v>
      </c>
      <c r="R251" s="41"/>
    </row>
    <row r="252" spans="1:18">
      <c r="C252" s="168"/>
      <c r="D252" s="188"/>
      <c r="F252" s="168" t="s">
        <v>6202</v>
      </c>
      <c r="G252" s="193">
        <f>IF(_1_5412845612146241046457891017456[[#This Row],[Type]]&gt;0,VLOOKUP(_1_5412845612146241046457891017456[[#This Row],[Type]],Main[[#All],[TYPE]:[UNIT]],'Unit Price'!C$1,FALSE),0)</f>
        <v>0</v>
      </c>
      <c r="H252" s="197">
        <f>IF(_1_5412845612146241046457891017456[[#This Row],[Type]]&gt;0,VLOOKUP(_1_5412845612146241046457891017456[[#This Row],[Type]],Main[[#All],[TYPE]:[UNIT]],'Unit Price'!D$1,FALSE),0)</f>
        <v>0</v>
      </c>
      <c r="I252" s="194">
        <f>IF(_1_5412845612146241046457891017456[[#This Row],[Type]]&gt;0,VLOOKUP(_1_5412845612146241046457891017456[[#This Row],[Type]],Main[[#All],[TYPE]:[UNIT]],'Unit Price'!G$1,FALSE),0)</f>
        <v>0</v>
      </c>
      <c r="J252" s="194">
        <f>IF(_1_5412845612146241046457891017456[[#This Row],[Type]]&gt;0,VLOOKUP(_1_5412845612146241046457891017456[[#This Row],[Type]],Main[[#All],[TYPE]:[UNIT]],'Unit Price'!H$1,FALSE),0)</f>
        <v>0</v>
      </c>
      <c r="K252" s="194">
        <f>IF(_1_5412845612146241046457891017456[[#This Row],[Discount selection]]&gt;0,VLOOKUP(_1_5412845612146241046457891017456[[#This Row],[Discount selection]],'Discount Structure'!$A$2:$B$30,2,"false"),0)</f>
        <v>1</v>
      </c>
      <c r="L252" s="194">
        <f>_1_5412845612146241046457891017456[[#This Row],[LIST $]]*_1_5412845612146241046457891017456[[#This Row],[DISCOUNT]]*_1_5412845612146241046457891017456[[#This Row],[DISCOUNT 2]]</f>
        <v>0</v>
      </c>
      <c r="M252" s="194">
        <f>IF(OR(_1_5412845612146241046457891017456[[#This Row],[UNIT]]&gt;0,_1_5412845612146241046457891017456[[#This Row],[UNIT]]&lt;0),_1_5412845612146241046457891017456[[#This Row],[UNIT]]*_1_5412845612146241046457891017456[[#This Row],[COST]],0)</f>
        <v>0</v>
      </c>
      <c r="N252" s="194">
        <f t="shared" si="3"/>
        <v>1.3</v>
      </c>
      <c r="O252" s="198">
        <f>_1_5412845612146241046457891017456[[#This Row],[TOTAL]]*_1_5412845612146241046457891017456[[#This Row],[MARGIN]]</f>
        <v>0</v>
      </c>
      <c r="R252" s="41"/>
    </row>
    <row r="253" spans="1:18">
      <c r="C253" s="168"/>
      <c r="D253" s="188"/>
      <c r="F253" s="168" t="s">
        <v>6202</v>
      </c>
      <c r="G253" s="193">
        <f>IF(_1_5412845612146241046457891017456[[#This Row],[Type]]&gt;0,VLOOKUP(_1_5412845612146241046457891017456[[#This Row],[Type]],Main[[#All],[TYPE]:[UNIT]],'Unit Price'!C$1,FALSE),0)</f>
        <v>0</v>
      </c>
      <c r="H253" s="197">
        <f>IF(_1_5412845612146241046457891017456[[#This Row],[Type]]&gt;0,VLOOKUP(_1_5412845612146241046457891017456[[#This Row],[Type]],Main[[#All],[TYPE]:[UNIT]],'Unit Price'!D$1,FALSE),0)</f>
        <v>0</v>
      </c>
      <c r="I253" s="194">
        <f>IF(_1_5412845612146241046457891017456[[#This Row],[Type]]&gt;0,VLOOKUP(_1_5412845612146241046457891017456[[#This Row],[Type]],Main[[#All],[TYPE]:[UNIT]],'Unit Price'!G$1,FALSE),0)</f>
        <v>0</v>
      </c>
      <c r="J253" s="194">
        <f>IF(_1_5412845612146241046457891017456[[#This Row],[Type]]&gt;0,VLOOKUP(_1_5412845612146241046457891017456[[#This Row],[Type]],Main[[#All],[TYPE]:[UNIT]],'Unit Price'!H$1,FALSE),0)</f>
        <v>0</v>
      </c>
      <c r="K253" s="194">
        <f>IF(_1_5412845612146241046457891017456[[#This Row],[Discount selection]]&gt;0,VLOOKUP(_1_5412845612146241046457891017456[[#This Row],[Discount selection]],'Discount Structure'!$A$2:$B$30,2,"false"),0)</f>
        <v>1</v>
      </c>
      <c r="L253" s="194">
        <f>_1_5412845612146241046457891017456[[#This Row],[LIST $]]*_1_5412845612146241046457891017456[[#This Row],[DISCOUNT]]*_1_5412845612146241046457891017456[[#This Row],[DISCOUNT 2]]</f>
        <v>0</v>
      </c>
      <c r="M253" s="194">
        <f>IF(OR(_1_5412845612146241046457891017456[[#This Row],[UNIT]]&gt;0,_1_5412845612146241046457891017456[[#This Row],[UNIT]]&lt;0),_1_5412845612146241046457891017456[[#This Row],[UNIT]]*_1_5412845612146241046457891017456[[#This Row],[COST]],0)</f>
        <v>0</v>
      </c>
      <c r="N253" s="194">
        <f t="shared" si="3"/>
        <v>1.3</v>
      </c>
      <c r="O253" s="198">
        <f>_1_5412845612146241046457891017456[[#This Row],[TOTAL]]*_1_5412845612146241046457891017456[[#This Row],[MARGIN]]</f>
        <v>0</v>
      </c>
      <c r="R253" s="41"/>
    </row>
    <row r="254" spans="1:18">
      <c r="C254" s="168"/>
      <c r="D254" s="188"/>
      <c r="F254" s="168" t="s">
        <v>6202</v>
      </c>
      <c r="G254" s="193">
        <f>IF(_1_5412845612146241046457891017456[[#This Row],[Type]]&gt;0,VLOOKUP(_1_5412845612146241046457891017456[[#This Row],[Type]],Main[[#All],[TYPE]:[UNIT]],'Unit Price'!C$1,FALSE),0)</f>
        <v>0</v>
      </c>
      <c r="H254" s="197">
        <f>IF(_1_5412845612146241046457891017456[[#This Row],[Type]]&gt;0,VLOOKUP(_1_5412845612146241046457891017456[[#This Row],[Type]],Main[[#All],[TYPE]:[UNIT]],'Unit Price'!D$1,FALSE),0)</f>
        <v>0</v>
      </c>
      <c r="I254" s="194">
        <f>IF(_1_5412845612146241046457891017456[[#This Row],[Type]]&gt;0,VLOOKUP(_1_5412845612146241046457891017456[[#This Row],[Type]],Main[[#All],[TYPE]:[UNIT]],'Unit Price'!G$1,FALSE),0)</f>
        <v>0</v>
      </c>
      <c r="J254" s="194">
        <f>IF(_1_5412845612146241046457891017456[[#This Row],[Type]]&gt;0,VLOOKUP(_1_5412845612146241046457891017456[[#This Row],[Type]],Main[[#All],[TYPE]:[UNIT]],'Unit Price'!H$1,FALSE),0)</f>
        <v>0</v>
      </c>
      <c r="K254" s="194">
        <f>IF(_1_5412845612146241046457891017456[[#This Row],[Discount selection]]&gt;0,VLOOKUP(_1_5412845612146241046457891017456[[#This Row],[Discount selection]],'Discount Structure'!$A$2:$B$30,2,"false"),0)</f>
        <v>1</v>
      </c>
      <c r="L254" s="194">
        <f>_1_5412845612146241046457891017456[[#This Row],[LIST $]]*_1_5412845612146241046457891017456[[#This Row],[DISCOUNT]]*_1_5412845612146241046457891017456[[#This Row],[DISCOUNT 2]]</f>
        <v>0</v>
      </c>
      <c r="M254" s="194">
        <f>IF(OR(_1_5412845612146241046457891017456[[#This Row],[UNIT]]&gt;0,_1_5412845612146241046457891017456[[#This Row],[UNIT]]&lt;0),_1_5412845612146241046457891017456[[#This Row],[UNIT]]*_1_5412845612146241046457891017456[[#This Row],[COST]],0)</f>
        <v>0</v>
      </c>
      <c r="N254" s="194">
        <f t="shared" si="3"/>
        <v>1.3</v>
      </c>
      <c r="O254" s="198">
        <f>_1_5412845612146241046457891017456[[#This Row],[TOTAL]]*_1_5412845612146241046457891017456[[#This Row],[MARGIN]]</f>
        <v>0</v>
      </c>
      <c r="R254" s="41"/>
    </row>
    <row r="255" spans="1:18">
      <c r="C255" s="168"/>
      <c r="D255" s="188"/>
      <c r="F255" s="168" t="s">
        <v>6202</v>
      </c>
      <c r="G255" s="205">
        <f>IF(_1_5412845612146241046457891017456[[#This Row],[Type]]&gt;0,VLOOKUP(_1_5412845612146241046457891017456[[#This Row],[Type]],Main[[#All],[TYPE]:[UNIT]],'Unit Price'!C$1,FALSE),0)</f>
        <v>0</v>
      </c>
      <c r="H255" s="197">
        <f>IF(_1_5412845612146241046457891017456[[#This Row],[Type]]&gt;0,VLOOKUP(_1_5412845612146241046457891017456[[#This Row],[Type]],Main[[#All],[TYPE]:[UNIT]],'Unit Price'!D$1,FALSE),0)</f>
        <v>0</v>
      </c>
      <c r="I255" s="194">
        <f>IF(_1_5412845612146241046457891017456[[#This Row],[Type]]&gt;0,VLOOKUP(_1_5412845612146241046457891017456[[#This Row],[Type]],Main[[#All],[TYPE]:[UNIT]],'Unit Price'!G$1,FALSE),0)</f>
        <v>0</v>
      </c>
      <c r="J255" s="194">
        <f>IF(_1_5412845612146241046457891017456[[#This Row],[Type]]&gt;0,VLOOKUP(_1_5412845612146241046457891017456[[#This Row],[Type]],Main[[#All],[TYPE]:[UNIT]],'Unit Price'!H$1,FALSE),0)</f>
        <v>0</v>
      </c>
      <c r="K255" s="194">
        <f>IF(_1_5412845612146241046457891017456[[#This Row],[Discount selection]]&gt;0,VLOOKUP(_1_5412845612146241046457891017456[[#This Row],[Discount selection]],'Discount Structure'!$A$2:$B$30,2,"false"),0)</f>
        <v>1</v>
      </c>
      <c r="L255" s="194">
        <f>_1_5412845612146241046457891017456[[#This Row],[LIST $]]*_1_5412845612146241046457891017456[[#This Row],[DISCOUNT]]*_1_5412845612146241046457891017456[[#This Row],[DISCOUNT 2]]</f>
        <v>0</v>
      </c>
      <c r="M255" s="194">
        <f>IF(OR(_1_5412845612146241046457891017456[[#This Row],[UNIT]]&gt;0,_1_5412845612146241046457891017456[[#This Row],[UNIT]]&lt;0),_1_5412845612146241046457891017456[[#This Row],[UNIT]]*_1_5412845612146241046457891017456[[#This Row],[COST]],0)</f>
        <v>0</v>
      </c>
      <c r="N255" s="194">
        <f t="shared" si="3"/>
        <v>1.3</v>
      </c>
      <c r="O255" s="198">
        <f>_1_5412845612146241046457891017456[[#This Row],[TOTAL]]*_1_5412845612146241046457891017456[[#This Row],[MARGIN]]</f>
        <v>0</v>
      </c>
      <c r="R255" s="41"/>
    </row>
    <row r="256" spans="1:18">
      <c r="A256" s="168"/>
      <c r="B256" s="168"/>
      <c r="C256" s="168"/>
      <c r="D256" s="188"/>
      <c r="F256" s="168" t="s">
        <v>6202</v>
      </c>
      <c r="G256" s="193">
        <f>IF(_1_5412845612146241046457891017456[[#This Row],[Type]]&gt;0,VLOOKUP(_1_5412845612146241046457891017456[[#This Row],[Type]],Main[[#All],[TYPE]:[UNIT]],'Unit Price'!C$1,FALSE),0)</f>
        <v>0</v>
      </c>
      <c r="H256" s="197">
        <f>IF(_1_5412845612146241046457891017456[[#This Row],[Type]]&gt;0,VLOOKUP(_1_5412845612146241046457891017456[[#This Row],[Type]],Main[[#All],[TYPE]:[UNIT]],'Unit Price'!D$1,FALSE),0)</f>
        <v>0</v>
      </c>
      <c r="I256" s="194">
        <f>IF(_1_5412845612146241046457891017456[[#This Row],[Type]]&gt;0,VLOOKUP(_1_5412845612146241046457891017456[[#This Row],[Type]],Main[[#All],[TYPE]:[UNIT]],'Unit Price'!G$1,FALSE),0)</f>
        <v>0</v>
      </c>
      <c r="J256" s="194">
        <f>IF(_1_5412845612146241046457891017456[[#This Row],[Type]]&gt;0,VLOOKUP(_1_5412845612146241046457891017456[[#This Row],[Type]],Main[[#All],[TYPE]:[UNIT]],'Unit Price'!H$1,FALSE),0)</f>
        <v>0</v>
      </c>
      <c r="K256" s="194">
        <f>IF(_1_5412845612146241046457891017456[[#This Row],[Discount selection]]&gt;0,VLOOKUP(_1_5412845612146241046457891017456[[#This Row],[Discount selection]],'Discount Structure'!$A$2:$B$30,2,"false"),0)</f>
        <v>1</v>
      </c>
      <c r="L256" s="194">
        <f>_1_5412845612146241046457891017456[[#This Row],[LIST $]]*_1_5412845612146241046457891017456[[#This Row],[DISCOUNT]]*_1_5412845612146241046457891017456[[#This Row],[DISCOUNT 2]]</f>
        <v>0</v>
      </c>
      <c r="M256" s="194">
        <f>IF(OR(_1_5412845612146241046457891017456[[#This Row],[UNIT]]&gt;0,_1_5412845612146241046457891017456[[#This Row],[UNIT]]&lt;0),_1_5412845612146241046457891017456[[#This Row],[UNIT]]*_1_5412845612146241046457891017456[[#This Row],[COST]],0)</f>
        <v>0</v>
      </c>
      <c r="N256" s="194">
        <f t="shared" si="3"/>
        <v>1.3</v>
      </c>
      <c r="O256" s="198">
        <f>_1_5412845612146241046457891017456[[#This Row],[TOTAL]]*_1_5412845612146241046457891017456[[#This Row],[MARGIN]]</f>
        <v>0</v>
      </c>
      <c r="R256" s="41"/>
    </row>
    <row r="257" spans="1:18">
      <c r="A257" s="323"/>
      <c r="B257" s="323"/>
      <c r="C257" s="168"/>
      <c r="D257" s="188"/>
      <c r="F257" s="168" t="s">
        <v>6202</v>
      </c>
      <c r="G257" s="193">
        <f>IF(_1_5412845612146241046457891017456[[#This Row],[Type]]&gt;0,VLOOKUP(_1_5412845612146241046457891017456[[#This Row],[Type]],Main[[#All],[TYPE]:[UNIT]],'Unit Price'!C$1,FALSE),0)</f>
        <v>0</v>
      </c>
      <c r="H257" s="197">
        <f>IF(_1_5412845612146241046457891017456[[#This Row],[Type]]&gt;0,VLOOKUP(_1_5412845612146241046457891017456[[#This Row],[Type]],Main[[#All],[TYPE]:[UNIT]],'Unit Price'!D$1,FALSE),0)</f>
        <v>0</v>
      </c>
      <c r="I257" s="194">
        <f>IF(_1_5412845612146241046457891017456[[#This Row],[Type]]&gt;0,VLOOKUP(_1_5412845612146241046457891017456[[#This Row],[Type]],Main[[#All],[TYPE]:[UNIT]],'Unit Price'!G$1,FALSE),0)</f>
        <v>0</v>
      </c>
      <c r="J257" s="194">
        <f>IF(_1_5412845612146241046457891017456[[#This Row],[Type]]&gt;0,VLOOKUP(_1_5412845612146241046457891017456[[#This Row],[Type]],Main[[#All],[TYPE]:[UNIT]],'Unit Price'!H$1,FALSE),0)</f>
        <v>0</v>
      </c>
      <c r="K257" s="194">
        <f>IF(_1_5412845612146241046457891017456[[#This Row],[Discount selection]]&gt;0,VLOOKUP(_1_5412845612146241046457891017456[[#This Row],[Discount selection]],'Discount Structure'!$A$2:$B$30,2,"false"),0)</f>
        <v>1</v>
      </c>
      <c r="L257" s="194">
        <f>_1_5412845612146241046457891017456[[#This Row],[LIST $]]*_1_5412845612146241046457891017456[[#This Row],[DISCOUNT]]*_1_5412845612146241046457891017456[[#This Row],[DISCOUNT 2]]</f>
        <v>0</v>
      </c>
      <c r="M257" s="194">
        <f>IF(OR(_1_5412845612146241046457891017456[[#This Row],[UNIT]]&gt;0,_1_5412845612146241046457891017456[[#This Row],[UNIT]]&lt;0),_1_5412845612146241046457891017456[[#This Row],[UNIT]]*_1_5412845612146241046457891017456[[#This Row],[COST]],0)</f>
        <v>0</v>
      </c>
      <c r="N257" s="194">
        <f t="shared" si="3"/>
        <v>1.3</v>
      </c>
      <c r="O257" s="198">
        <f>_1_5412845612146241046457891017456[[#This Row],[TOTAL]]*_1_5412845612146241046457891017456[[#This Row],[MARGIN]]</f>
        <v>0</v>
      </c>
      <c r="R257" s="41"/>
    </row>
    <row r="258" spans="1:18">
      <c r="A258" s="323"/>
      <c r="B258" s="325"/>
      <c r="C258" s="168"/>
      <c r="D258" s="188"/>
      <c r="F258" s="168" t="s">
        <v>6202</v>
      </c>
      <c r="G258" s="193">
        <f>IF(_1_5412845612146241046457891017456[[#This Row],[Type]]&gt;0,VLOOKUP(_1_5412845612146241046457891017456[[#This Row],[Type]],Main[[#All],[TYPE]:[UNIT]],'Unit Price'!C$1,FALSE),0)</f>
        <v>0</v>
      </c>
      <c r="H258" s="197">
        <f>IF(_1_5412845612146241046457891017456[[#This Row],[Type]]&gt;0,VLOOKUP(_1_5412845612146241046457891017456[[#This Row],[Type]],Main[[#All],[TYPE]:[UNIT]],'Unit Price'!D$1,FALSE),0)</f>
        <v>0</v>
      </c>
      <c r="I258" s="194">
        <f>IF(_1_5412845612146241046457891017456[[#This Row],[Type]]&gt;0,VLOOKUP(_1_5412845612146241046457891017456[[#This Row],[Type]],Main[[#All],[TYPE]:[UNIT]],'Unit Price'!G$1,FALSE),0)</f>
        <v>0</v>
      </c>
      <c r="J258" s="194">
        <f>IF(_1_5412845612146241046457891017456[[#This Row],[Type]]&gt;0,VLOOKUP(_1_5412845612146241046457891017456[[#This Row],[Type]],Main[[#All],[TYPE]:[UNIT]],'Unit Price'!H$1,FALSE),0)</f>
        <v>0</v>
      </c>
      <c r="K258" s="194">
        <f>IF(_1_5412845612146241046457891017456[[#This Row],[Discount selection]]&gt;0,VLOOKUP(_1_5412845612146241046457891017456[[#This Row],[Discount selection]],'Discount Structure'!$A$2:$B$30,2,"false"),0)</f>
        <v>1</v>
      </c>
      <c r="L258" s="194">
        <f>_1_5412845612146241046457891017456[[#This Row],[LIST $]]*_1_5412845612146241046457891017456[[#This Row],[DISCOUNT]]*_1_5412845612146241046457891017456[[#This Row],[DISCOUNT 2]]</f>
        <v>0</v>
      </c>
      <c r="M258" s="194">
        <f>IF(OR(_1_5412845612146241046457891017456[[#This Row],[UNIT]]&gt;0,_1_5412845612146241046457891017456[[#This Row],[UNIT]]&lt;0),_1_5412845612146241046457891017456[[#This Row],[UNIT]]*_1_5412845612146241046457891017456[[#This Row],[COST]],0)</f>
        <v>0</v>
      </c>
      <c r="N258" s="194">
        <f t="shared" si="3"/>
        <v>1.3</v>
      </c>
      <c r="O258" s="198">
        <f>_1_5412845612146241046457891017456[[#This Row],[TOTAL]]*_1_5412845612146241046457891017456[[#This Row],[MARGIN]]</f>
        <v>0</v>
      </c>
      <c r="R258" s="41"/>
    </row>
    <row r="259" spans="1:18">
      <c r="C259" s="168"/>
      <c r="D259" s="188"/>
      <c r="F259" s="168" t="s">
        <v>6202</v>
      </c>
      <c r="G259" s="193">
        <f>IF(_1_5412845612146241046457891017456[[#This Row],[Type]]&gt;0,VLOOKUP(_1_5412845612146241046457891017456[[#This Row],[Type]],Main[[#All],[TYPE]:[UNIT]],'Unit Price'!C$1,FALSE),0)</f>
        <v>0</v>
      </c>
      <c r="H259" s="197">
        <f>IF(_1_5412845612146241046457891017456[[#This Row],[Type]]&gt;0,VLOOKUP(_1_5412845612146241046457891017456[[#This Row],[Type]],Main[[#All],[TYPE]:[UNIT]],'Unit Price'!D$1,FALSE),0)</f>
        <v>0</v>
      </c>
      <c r="I259" s="194">
        <f>IF(_1_5412845612146241046457891017456[[#This Row],[Type]]&gt;0,VLOOKUP(_1_5412845612146241046457891017456[[#This Row],[Type]],Main[[#All],[TYPE]:[UNIT]],'Unit Price'!G$1,FALSE),0)</f>
        <v>0</v>
      </c>
      <c r="J259" s="194">
        <f>IF(_1_5412845612146241046457891017456[[#This Row],[Type]]&gt;0,VLOOKUP(_1_5412845612146241046457891017456[[#This Row],[Type]],Main[[#All],[TYPE]:[UNIT]],'Unit Price'!H$1,FALSE),0)</f>
        <v>0</v>
      </c>
      <c r="K259" s="194">
        <f>IF(_1_5412845612146241046457891017456[[#This Row],[Discount selection]]&gt;0,VLOOKUP(_1_5412845612146241046457891017456[[#This Row],[Discount selection]],'Discount Structure'!$A$2:$B$30,2,"false"),0)</f>
        <v>1</v>
      </c>
      <c r="L259" s="194">
        <f>_1_5412845612146241046457891017456[[#This Row],[LIST $]]*_1_5412845612146241046457891017456[[#This Row],[DISCOUNT]]*_1_5412845612146241046457891017456[[#This Row],[DISCOUNT 2]]</f>
        <v>0</v>
      </c>
      <c r="M259" s="194">
        <f>IF(OR(_1_5412845612146241046457891017456[[#This Row],[UNIT]]&gt;0,_1_5412845612146241046457891017456[[#This Row],[UNIT]]&lt;0),_1_5412845612146241046457891017456[[#This Row],[UNIT]]*_1_5412845612146241046457891017456[[#This Row],[COST]],0)</f>
        <v>0</v>
      </c>
      <c r="N259" s="194">
        <f t="shared" si="3"/>
        <v>1.3</v>
      </c>
      <c r="O259" s="198">
        <f>_1_5412845612146241046457891017456[[#This Row],[TOTAL]]*_1_5412845612146241046457891017456[[#This Row],[MARGIN]]</f>
        <v>0</v>
      </c>
      <c r="R259" s="41"/>
    </row>
    <row r="260" spans="1:18">
      <c r="C260" s="168"/>
      <c r="D260" s="188"/>
      <c r="F260" s="168" t="s">
        <v>6202</v>
      </c>
      <c r="G260" s="205">
        <f>IF(_1_5412845612146241046457891017456[[#This Row],[Type]]&gt;0,VLOOKUP(_1_5412845612146241046457891017456[[#This Row],[Type]],Main[[#All],[TYPE]:[UNIT]],'Unit Price'!C$1,FALSE),0)</f>
        <v>0</v>
      </c>
      <c r="H260" s="197">
        <f>IF(_1_5412845612146241046457891017456[[#This Row],[Type]]&gt;0,VLOOKUP(_1_5412845612146241046457891017456[[#This Row],[Type]],Main[[#All],[TYPE]:[UNIT]],'Unit Price'!D$1,FALSE),0)</f>
        <v>0</v>
      </c>
      <c r="I260" s="194">
        <f>IF(_1_5412845612146241046457891017456[[#This Row],[Type]]&gt;0,VLOOKUP(_1_5412845612146241046457891017456[[#This Row],[Type]],Main[[#All],[TYPE]:[UNIT]],'Unit Price'!G$1,FALSE),0)</f>
        <v>0</v>
      </c>
      <c r="J260" s="194">
        <f>IF(_1_5412845612146241046457891017456[[#This Row],[Type]]&gt;0,VLOOKUP(_1_5412845612146241046457891017456[[#This Row],[Type]],Main[[#All],[TYPE]:[UNIT]],'Unit Price'!H$1,FALSE),0)</f>
        <v>0</v>
      </c>
      <c r="K260" s="194">
        <f>IF(_1_5412845612146241046457891017456[[#This Row],[Discount selection]]&gt;0,VLOOKUP(_1_5412845612146241046457891017456[[#This Row],[Discount selection]],'Discount Structure'!$A$2:$B$30,2,"false"),0)</f>
        <v>1</v>
      </c>
      <c r="L260" s="194">
        <f>_1_5412845612146241046457891017456[[#This Row],[LIST $]]*_1_5412845612146241046457891017456[[#This Row],[DISCOUNT]]*_1_5412845612146241046457891017456[[#This Row],[DISCOUNT 2]]</f>
        <v>0</v>
      </c>
      <c r="M260" s="194">
        <f>IF(OR(_1_5412845612146241046457891017456[[#This Row],[UNIT]]&gt;0,_1_5412845612146241046457891017456[[#This Row],[UNIT]]&lt;0),_1_5412845612146241046457891017456[[#This Row],[UNIT]]*_1_5412845612146241046457891017456[[#This Row],[COST]],0)</f>
        <v>0</v>
      </c>
      <c r="N260" s="194">
        <f t="shared" si="3"/>
        <v>1.3</v>
      </c>
      <c r="O260" s="198">
        <f>_1_5412845612146241046457891017456[[#This Row],[TOTAL]]*_1_5412845612146241046457891017456[[#This Row],[MARGIN]]</f>
        <v>0</v>
      </c>
      <c r="R260" s="41"/>
    </row>
    <row r="261" spans="1:18">
      <c r="A261" s="323"/>
      <c r="B261" s="325"/>
      <c r="C261" s="168"/>
      <c r="D261" s="188"/>
      <c r="F261" s="168" t="s">
        <v>6202</v>
      </c>
      <c r="G261" s="193">
        <f>IF(_1_5412845612146241046457891017456[[#This Row],[Type]]&gt;0,VLOOKUP(_1_5412845612146241046457891017456[[#This Row],[Type]],Main[[#All],[TYPE]:[UNIT]],'Unit Price'!C$1,FALSE),0)</f>
        <v>0</v>
      </c>
      <c r="H261" s="197">
        <f>IF(_1_5412845612146241046457891017456[[#This Row],[Type]]&gt;0,VLOOKUP(_1_5412845612146241046457891017456[[#This Row],[Type]],Main[[#All],[TYPE]:[UNIT]],'Unit Price'!D$1,FALSE),0)</f>
        <v>0</v>
      </c>
      <c r="I261" s="194">
        <f>IF(_1_5412845612146241046457891017456[[#This Row],[Type]]&gt;0,VLOOKUP(_1_5412845612146241046457891017456[[#This Row],[Type]],Main[[#All],[TYPE]:[UNIT]],'Unit Price'!G$1,FALSE),0)</f>
        <v>0</v>
      </c>
      <c r="J261" s="194">
        <f>IF(_1_5412845612146241046457891017456[[#This Row],[Type]]&gt;0,VLOOKUP(_1_5412845612146241046457891017456[[#This Row],[Type]],Main[[#All],[TYPE]:[UNIT]],'Unit Price'!H$1,FALSE),0)</f>
        <v>0</v>
      </c>
      <c r="K261" s="194">
        <f>IF(_1_5412845612146241046457891017456[[#This Row],[Discount selection]]&gt;0,VLOOKUP(_1_5412845612146241046457891017456[[#This Row],[Discount selection]],'Discount Structure'!$A$2:$B$30,2,"false"),0)</f>
        <v>1</v>
      </c>
      <c r="L261" s="194">
        <f>_1_5412845612146241046457891017456[[#This Row],[LIST $]]*_1_5412845612146241046457891017456[[#This Row],[DISCOUNT]]*_1_5412845612146241046457891017456[[#This Row],[DISCOUNT 2]]</f>
        <v>0</v>
      </c>
      <c r="M261" s="194">
        <f>IF(OR(_1_5412845612146241046457891017456[[#This Row],[UNIT]]&gt;0,_1_5412845612146241046457891017456[[#This Row],[UNIT]]&lt;0),_1_5412845612146241046457891017456[[#This Row],[UNIT]]*_1_5412845612146241046457891017456[[#This Row],[COST]],0)</f>
        <v>0</v>
      </c>
      <c r="N261" s="194">
        <f t="shared" si="3"/>
        <v>1.3</v>
      </c>
      <c r="O261" s="198">
        <f>_1_5412845612146241046457891017456[[#This Row],[TOTAL]]*_1_5412845612146241046457891017456[[#This Row],[MARGIN]]</f>
        <v>0</v>
      </c>
      <c r="R261" s="41"/>
    </row>
    <row r="262" spans="1:18">
      <c r="C262" s="168"/>
      <c r="D262" s="188"/>
      <c r="F262" s="168" t="s">
        <v>6202</v>
      </c>
      <c r="G262" s="193">
        <f>IF(_1_5412845612146241046457891017456[[#This Row],[Type]]&gt;0,VLOOKUP(_1_5412845612146241046457891017456[[#This Row],[Type]],Main[[#All],[TYPE]:[UNIT]],'Unit Price'!C$1,FALSE),0)</f>
        <v>0</v>
      </c>
      <c r="H262" s="197">
        <f>IF(_1_5412845612146241046457891017456[[#This Row],[Type]]&gt;0,VLOOKUP(_1_5412845612146241046457891017456[[#This Row],[Type]],Main[[#All],[TYPE]:[UNIT]],'Unit Price'!D$1,FALSE),0)</f>
        <v>0</v>
      </c>
      <c r="I262" s="194">
        <f>IF(_1_5412845612146241046457891017456[[#This Row],[Type]]&gt;0,VLOOKUP(_1_5412845612146241046457891017456[[#This Row],[Type]],Main[[#All],[TYPE]:[UNIT]],'Unit Price'!G$1,FALSE),0)</f>
        <v>0</v>
      </c>
      <c r="J262" s="194">
        <f>IF(_1_5412845612146241046457891017456[[#This Row],[Type]]&gt;0,VLOOKUP(_1_5412845612146241046457891017456[[#This Row],[Type]],Main[[#All],[TYPE]:[UNIT]],'Unit Price'!H$1,FALSE),0)</f>
        <v>0</v>
      </c>
      <c r="K262" s="194">
        <f>IF(_1_5412845612146241046457891017456[[#This Row],[Discount selection]]&gt;0,VLOOKUP(_1_5412845612146241046457891017456[[#This Row],[Discount selection]],'Discount Structure'!$A$2:$B$30,2,"false"),0)</f>
        <v>1</v>
      </c>
      <c r="L262" s="194">
        <f>_1_5412845612146241046457891017456[[#This Row],[LIST $]]*_1_5412845612146241046457891017456[[#This Row],[DISCOUNT]]*_1_5412845612146241046457891017456[[#This Row],[DISCOUNT 2]]</f>
        <v>0</v>
      </c>
      <c r="M262" s="194">
        <f>IF(OR(_1_5412845612146241046457891017456[[#This Row],[UNIT]]&gt;0,_1_5412845612146241046457891017456[[#This Row],[UNIT]]&lt;0),_1_5412845612146241046457891017456[[#This Row],[UNIT]]*_1_5412845612146241046457891017456[[#This Row],[COST]],0)</f>
        <v>0</v>
      </c>
      <c r="N262" s="194">
        <f t="shared" si="3"/>
        <v>1.3</v>
      </c>
      <c r="O262" s="198">
        <f>_1_5412845612146241046457891017456[[#This Row],[TOTAL]]*_1_5412845612146241046457891017456[[#This Row],[MARGIN]]</f>
        <v>0</v>
      </c>
      <c r="R262" s="41"/>
    </row>
    <row r="263" spans="1:18">
      <c r="C263" s="168"/>
      <c r="D263" s="188"/>
      <c r="F263" s="168" t="s">
        <v>6202</v>
      </c>
      <c r="G263" s="193">
        <f>IF(_1_5412845612146241046457891017456[[#This Row],[Type]]&gt;0,VLOOKUP(_1_5412845612146241046457891017456[[#This Row],[Type]],Main[[#All],[TYPE]:[UNIT]],'Unit Price'!C$1,FALSE),0)</f>
        <v>0</v>
      </c>
      <c r="H263" s="197">
        <f>IF(_1_5412845612146241046457891017456[[#This Row],[Type]]&gt;0,VLOOKUP(_1_5412845612146241046457891017456[[#This Row],[Type]],Main[[#All],[TYPE]:[UNIT]],'Unit Price'!D$1,FALSE),0)</f>
        <v>0</v>
      </c>
      <c r="I263" s="194">
        <f>IF(_1_5412845612146241046457891017456[[#This Row],[Type]]&gt;0,VLOOKUP(_1_5412845612146241046457891017456[[#This Row],[Type]],Main[[#All],[TYPE]:[UNIT]],'Unit Price'!G$1,FALSE),0)</f>
        <v>0</v>
      </c>
      <c r="J263" s="194">
        <f>IF(_1_5412845612146241046457891017456[[#This Row],[Type]]&gt;0,VLOOKUP(_1_5412845612146241046457891017456[[#This Row],[Type]],Main[[#All],[TYPE]:[UNIT]],'Unit Price'!H$1,FALSE),0)</f>
        <v>0</v>
      </c>
      <c r="K263" s="194">
        <f>IF(_1_5412845612146241046457891017456[[#This Row],[Discount selection]]&gt;0,VLOOKUP(_1_5412845612146241046457891017456[[#This Row],[Discount selection]],'Discount Structure'!$A$2:$B$30,2,"false"),0)</f>
        <v>1</v>
      </c>
      <c r="L263" s="194">
        <f>_1_5412845612146241046457891017456[[#This Row],[LIST $]]*_1_5412845612146241046457891017456[[#This Row],[DISCOUNT]]*_1_5412845612146241046457891017456[[#This Row],[DISCOUNT 2]]</f>
        <v>0</v>
      </c>
      <c r="M263" s="194">
        <f>IF(OR(_1_5412845612146241046457891017456[[#This Row],[UNIT]]&gt;0,_1_5412845612146241046457891017456[[#This Row],[UNIT]]&lt;0),_1_5412845612146241046457891017456[[#This Row],[UNIT]]*_1_5412845612146241046457891017456[[#This Row],[COST]],0)</f>
        <v>0</v>
      </c>
      <c r="N263" s="194">
        <f t="shared" si="3"/>
        <v>1.3</v>
      </c>
      <c r="O263" s="198">
        <f>_1_5412845612146241046457891017456[[#This Row],[TOTAL]]*_1_5412845612146241046457891017456[[#This Row],[MARGIN]]</f>
        <v>0</v>
      </c>
      <c r="R263" s="41"/>
    </row>
    <row r="264" spans="1:18">
      <c r="C264" s="168"/>
      <c r="D264" s="188"/>
      <c r="F264" s="168" t="s">
        <v>6202</v>
      </c>
      <c r="G264" s="193">
        <f>IF(_1_5412845612146241046457891017456[[#This Row],[Type]]&gt;0,VLOOKUP(_1_5412845612146241046457891017456[[#This Row],[Type]],Main[[#All],[TYPE]:[UNIT]],'Unit Price'!C$1,FALSE),0)</f>
        <v>0</v>
      </c>
      <c r="H264" s="197">
        <f>IF(_1_5412845612146241046457891017456[[#This Row],[Type]]&gt;0,VLOOKUP(_1_5412845612146241046457891017456[[#This Row],[Type]],Main[[#All],[TYPE]:[UNIT]],'Unit Price'!D$1,FALSE),0)</f>
        <v>0</v>
      </c>
      <c r="I264" s="194">
        <f>IF(_1_5412845612146241046457891017456[[#This Row],[Type]]&gt;0,VLOOKUP(_1_5412845612146241046457891017456[[#This Row],[Type]],Main[[#All],[TYPE]:[UNIT]],'Unit Price'!G$1,FALSE),0)</f>
        <v>0</v>
      </c>
      <c r="J264" s="194">
        <f>IF(_1_5412845612146241046457891017456[[#This Row],[Type]]&gt;0,VLOOKUP(_1_5412845612146241046457891017456[[#This Row],[Type]],Main[[#All],[TYPE]:[UNIT]],'Unit Price'!H$1,FALSE),0)</f>
        <v>0</v>
      </c>
      <c r="K264" s="194">
        <f>IF(_1_5412845612146241046457891017456[[#This Row],[Discount selection]]&gt;0,VLOOKUP(_1_5412845612146241046457891017456[[#This Row],[Discount selection]],'Discount Structure'!$A$2:$B$30,2,"false"),0)</f>
        <v>1</v>
      </c>
      <c r="L264" s="194">
        <f>_1_5412845612146241046457891017456[[#This Row],[LIST $]]*_1_5412845612146241046457891017456[[#This Row],[DISCOUNT]]*_1_5412845612146241046457891017456[[#This Row],[DISCOUNT 2]]</f>
        <v>0</v>
      </c>
      <c r="M264" s="194">
        <f>IF(OR(_1_5412845612146241046457891017456[[#This Row],[UNIT]]&gt;0,_1_5412845612146241046457891017456[[#This Row],[UNIT]]&lt;0),_1_5412845612146241046457891017456[[#This Row],[UNIT]]*_1_5412845612146241046457891017456[[#This Row],[COST]],0)</f>
        <v>0</v>
      </c>
      <c r="N264" s="194">
        <f t="shared" si="3"/>
        <v>1.3</v>
      </c>
      <c r="O264" s="198">
        <f>_1_5412845612146241046457891017456[[#This Row],[TOTAL]]*_1_5412845612146241046457891017456[[#This Row],[MARGIN]]</f>
        <v>0</v>
      </c>
      <c r="R264" s="41"/>
    </row>
    <row r="265" spans="1:18">
      <c r="C265" s="168"/>
      <c r="D265" s="188"/>
      <c r="F265" s="168" t="s">
        <v>6202</v>
      </c>
      <c r="G265" s="205">
        <f>IF(_1_5412845612146241046457891017456[[#This Row],[Type]]&gt;0,VLOOKUP(_1_5412845612146241046457891017456[[#This Row],[Type]],Main[[#All],[TYPE]:[UNIT]],'Unit Price'!C$1,FALSE),0)</f>
        <v>0</v>
      </c>
      <c r="H265" s="197">
        <f>IF(_1_5412845612146241046457891017456[[#This Row],[Type]]&gt;0,VLOOKUP(_1_5412845612146241046457891017456[[#This Row],[Type]],Main[[#All],[TYPE]:[UNIT]],'Unit Price'!D$1,FALSE),0)</f>
        <v>0</v>
      </c>
      <c r="I265" s="194">
        <f>IF(_1_5412845612146241046457891017456[[#This Row],[Type]]&gt;0,VLOOKUP(_1_5412845612146241046457891017456[[#This Row],[Type]],Main[[#All],[TYPE]:[UNIT]],'Unit Price'!G$1,FALSE),0)</f>
        <v>0</v>
      </c>
      <c r="J265" s="194">
        <f>IF(_1_5412845612146241046457891017456[[#This Row],[Type]]&gt;0,VLOOKUP(_1_5412845612146241046457891017456[[#This Row],[Type]],Main[[#All],[TYPE]:[UNIT]],'Unit Price'!H$1,FALSE),0)</f>
        <v>0</v>
      </c>
      <c r="K265" s="194">
        <f>IF(_1_5412845612146241046457891017456[[#This Row],[Discount selection]]&gt;0,VLOOKUP(_1_5412845612146241046457891017456[[#This Row],[Discount selection]],'Discount Structure'!$A$2:$B$30,2,"false"),0)</f>
        <v>1</v>
      </c>
      <c r="L265" s="194">
        <f>_1_5412845612146241046457891017456[[#This Row],[LIST $]]*_1_5412845612146241046457891017456[[#This Row],[DISCOUNT]]*_1_5412845612146241046457891017456[[#This Row],[DISCOUNT 2]]</f>
        <v>0</v>
      </c>
      <c r="M265" s="194">
        <f>IF(OR(_1_5412845612146241046457891017456[[#This Row],[UNIT]]&gt;0,_1_5412845612146241046457891017456[[#This Row],[UNIT]]&lt;0),_1_5412845612146241046457891017456[[#This Row],[UNIT]]*_1_5412845612146241046457891017456[[#This Row],[COST]],0)</f>
        <v>0</v>
      </c>
      <c r="N265" s="194">
        <f t="shared" si="3"/>
        <v>1.3</v>
      </c>
      <c r="O265" s="198">
        <f>_1_5412845612146241046457891017456[[#This Row],[TOTAL]]*_1_5412845612146241046457891017456[[#This Row],[MARGIN]]</f>
        <v>0</v>
      </c>
      <c r="R265" s="41"/>
    </row>
    <row r="266" spans="1:18">
      <c r="A266" s="168"/>
      <c r="B266" s="168"/>
      <c r="C266" s="168"/>
      <c r="D266" s="188"/>
      <c r="F266" s="168" t="s">
        <v>6202</v>
      </c>
      <c r="G266" s="193">
        <f>IF(_1_5412845612146241046457891017456[[#This Row],[Type]]&gt;0,VLOOKUP(_1_5412845612146241046457891017456[[#This Row],[Type]],Main[[#All],[TYPE]:[UNIT]],'Unit Price'!C$1,FALSE),0)</f>
        <v>0</v>
      </c>
      <c r="H266" s="197">
        <f>IF(_1_5412845612146241046457891017456[[#This Row],[Type]]&gt;0,VLOOKUP(_1_5412845612146241046457891017456[[#This Row],[Type]],Main[[#All],[TYPE]:[UNIT]],'Unit Price'!D$1,FALSE),0)</f>
        <v>0</v>
      </c>
      <c r="I266" s="194">
        <f>IF(_1_5412845612146241046457891017456[[#This Row],[Type]]&gt;0,VLOOKUP(_1_5412845612146241046457891017456[[#This Row],[Type]],Main[[#All],[TYPE]:[UNIT]],'Unit Price'!G$1,FALSE),0)</f>
        <v>0</v>
      </c>
      <c r="J266" s="194">
        <f>IF(_1_5412845612146241046457891017456[[#This Row],[Type]]&gt;0,VLOOKUP(_1_5412845612146241046457891017456[[#This Row],[Type]],Main[[#All],[TYPE]:[UNIT]],'Unit Price'!H$1,FALSE),0)</f>
        <v>0</v>
      </c>
      <c r="K266" s="194">
        <f>IF(_1_5412845612146241046457891017456[[#This Row],[Discount selection]]&gt;0,VLOOKUP(_1_5412845612146241046457891017456[[#This Row],[Discount selection]],'Discount Structure'!$A$2:$B$30,2,"false"),0)</f>
        <v>1</v>
      </c>
      <c r="L266" s="194">
        <f>_1_5412845612146241046457891017456[[#This Row],[LIST $]]*_1_5412845612146241046457891017456[[#This Row],[DISCOUNT]]*_1_5412845612146241046457891017456[[#This Row],[DISCOUNT 2]]</f>
        <v>0</v>
      </c>
      <c r="M266" s="194">
        <f>IF(OR(_1_5412845612146241046457891017456[[#This Row],[UNIT]]&gt;0,_1_5412845612146241046457891017456[[#This Row],[UNIT]]&lt;0),_1_5412845612146241046457891017456[[#This Row],[UNIT]]*_1_5412845612146241046457891017456[[#This Row],[COST]],0)</f>
        <v>0</v>
      </c>
      <c r="N266" s="194">
        <f t="shared" ref="N266:N329" si="4">$N$7</f>
        <v>1.3</v>
      </c>
      <c r="O266" s="198">
        <f>_1_5412845612146241046457891017456[[#This Row],[TOTAL]]*_1_5412845612146241046457891017456[[#This Row],[MARGIN]]</f>
        <v>0</v>
      </c>
      <c r="R266" s="41"/>
    </row>
    <row r="267" spans="1:18">
      <c r="A267" s="323"/>
      <c r="B267" s="323"/>
      <c r="C267" s="168"/>
      <c r="D267" s="188"/>
      <c r="F267" s="168" t="s">
        <v>6202</v>
      </c>
      <c r="G267" s="193">
        <f>IF(_1_5412845612146241046457891017456[[#This Row],[Type]]&gt;0,VLOOKUP(_1_5412845612146241046457891017456[[#This Row],[Type]],Main[[#All],[TYPE]:[UNIT]],'Unit Price'!C$1,FALSE),0)</f>
        <v>0</v>
      </c>
      <c r="H267" s="197">
        <f>IF(_1_5412845612146241046457891017456[[#This Row],[Type]]&gt;0,VLOOKUP(_1_5412845612146241046457891017456[[#This Row],[Type]],Main[[#All],[TYPE]:[UNIT]],'Unit Price'!D$1,FALSE),0)</f>
        <v>0</v>
      </c>
      <c r="I267" s="194">
        <f>IF(_1_5412845612146241046457891017456[[#This Row],[Type]]&gt;0,VLOOKUP(_1_5412845612146241046457891017456[[#This Row],[Type]],Main[[#All],[TYPE]:[UNIT]],'Unit Price'!G$1,FALSE),0)</f>
        <v>0</v>
      </c>
      <c r="J267" s="194">
        <f>IF(_1_5412845612146241046457891017456[[#This Row],[Type]]&gt;0,VLOOKUP(_1_5412845612146241046457891017456[[#This Row],[Type]],Main[[#All],[TYPE]:[UNIT]],'Unit Price'!H$1,FALSE),0)</f>
        <v>0</v>
      </c>
      <c r="K267" s="194">
        <f>IF(_1_5412845612146241046457891017456[[#This Row],[Discount selection]]&gt;0,VLOOKUP(_1_5412845612146241046457891017456[[#This Row],[Discount selection]],'Discount Structure'!$A$2:$B$30,2,"false"),0)</f>
        <v>1</v>
      </c>
      <c r="L267" s="194">
        <f>_1_5412845612146241046457891017456[[#This Row],[LIST $]]*_1_5412845612146241046457891017456[[#This Row],[DISCOUNT]]*_1_5412845612146241046457891017456[[#This Row],[DISCOUNT 2]]</f>
        <v>0</v>
      </c>
      <c r="M267" s="194">
        <f>IF(OR(_1_5412845612146241046457891017456[[#This Row],[UNIT]]&gt;0,_1_5412845612146241046457891017456[[#This Row],[UNIT]]&lt;0),_1_5412845612146241046457891017456[[#This Row],[UNIT]]*_1_5412845612146241046457891017456[[#This Row],[COST]],0)</f>
        <v>0</v>
      </c>
      <c r="N267" s="194">
        <f t="shared" si="4"/>
        <v>1.3</v>
      </c>
      <c r="O267" s="198">
        <f>_1_5412845612146241046457891017456[[#This Row],[TOTAL]]*_1_5412845612146241046457891017456[[#This Row],[MARGIN]]</f>
        <v>0</v>
      </c>
      <c r="R267" s="41"/>
    </row>
    <row r="268" spans="1:18">
      <c r="A268" s="323"/>
      <c r="B268" s="325"/>
      <c r="C268" s="168"/>
      <c r="D268" s="188"/>
      <c r="F268" s="168" t="s">
        <v>6202</v>
      </c>
      <c r="G268" s="193">
        <f>IF(_1_5412845612146241046457891017456[[#This Row],[Type]]&gt;0,VLOOKUP(_1_5412845612146241046457891017456[[#This Row],[Type]],Main[[#All],[TYPE]:[UNIT]],'Unit Price'!C$1,FALSE),0)</f>
        <v>0</v>
      </c>
      <c r="H268" s="197">
        <f>IF(_1_5412845612146241046457891017456[[#This Row],[Type]]&gt;0,VLOOKUP(_1_5412845612146241046457891017456[[#This Row],[Type]],Main[[#All],[TYPE]:[UNIT]],'Unit Price'!D$1,FALSE),0)</f>
        <v>0</v>
      </c>
      <c r="I268" s="194">
        <f>IF(_1_5412845612146241046457891017456[[#This Row],[Type]]&gt;0,VLOOKUP(_1_5412845612146241046457891017456[[#This Row],[Type]],Main[[#All],[TYPE]:[UNIT]],'Unit Price'!G$1,FALSE),0)</f>
        <v>0</v>
      </c>
      <c r="J268" s="194">
        <f>IF(_1_5412845612146241046457891017456[[#This Row],[Type]]&gt;0,VLOOKUP(_1_5412845612146241046457891017456[[#This Row],[Type]],Main[[#All],[TYPE]:[UNIT]],'Unit Price'!H$1,FALSE),0)</f>
        <v>0</v>
      </c>
      <c r="K268" s="194">
        <f>IF(_1_5412845612146241046457891017456[[#This Row],[Discount selection]]&gt;0,VLOOKUP(_1_5412845612146241046457891017456[[#This Row],[Discount selection]],'Discount Structure'!$A$2:$B$30,2,"false"),0)</f>
        <v>1</v>
      </c>
      <c r="L268" s="194">
        <f>_1_5412845612146241046457891017456[[#This Row],[LIST $]]*_1_5412845612146241046457891017456[[#This Row],[DISCOUNT]]*_1_5412845612146241046457891017456[[#This Row],[DISCOUNT 2]]</f>
        <v>0</v>
      </c>
      <c r="M268" s="194">
        <f>IF(OR(_1_5412845612146241046457891017456[[#This Row],[UNIT]]&gt;0,_1_5412845612146241046457891017456[[#This Row],[UNIT]]&lt;0),_1_5412845612146241046457891017456[[#This Row],[UNIT]]*_1_5412845612146241046457891017456[[#This Row],[COST]],0)</f>
        <v>0</v>
      </c>
      <c r="N268" s="194">
        <f t="shared" si="4"/>
        <v>1.3</v>
      </c>
      <c r="O268" s="198">
        <f>_1_5412845612146241046457891017456[[#This Row],[TOTAL]]*_1_5412845612146241046457891017456[[#This Row],[MARGIN]]</f>
        <v>0</v>
      </c>
      <c r="R268" s="41"/>
    </row>
    <row r="269" spans="1:18">
      <c r="C269" s="168"/>
      <c r="D269" s="188"/>
      <c r="F269" s="168" t="s">
        <v>6202</v>
      </c>
      <c r="G269" s="193">
        <f>IF(_1_5412845612146241046457891017456[[#This Row],[Type]]&gt;0,VLOOKUP(_1_5412845612146241046457891017456[[#This Row],[Type]],Main[[#All],[TYPE]:[UNIT]],'Unit Price'!C$1,FALSE),0)</f>
        <v>0</v>
      </c>
      <c r="H269" s="197">
        <f>IF(_1_5412845612146241046457891017456[[#This Row],[Type]]&gt;0,VLOOKUP(_1_5412845612146241046457891017456[[#This Row],[Type]],Main[[#All],[TYPE]:[UNIT]],'Unit Price'!D$1,FALSE),0)</f>
        <v>0</v>
      </c>
      <c r="I269" s="194">
        <f>IF(_1_5412845612146241046457891017456[[#This Row],[Type]]&gt;0,VLOOKUP(_1_5412845612146241046457891017456[[#This Row],[Type]],Main[[#All],[TYPE]:[UNIT]],'Unit Price'!G$1,FALSE),0)</f>
        <v>0</v>
      </c>
      <c r="J269" s="194">
        <f>IF(_1_5412845612146241046457891017456[[#This Row],[Type]]&gt;0,VLOOKUP(_1_5412845612146241046457891017456[[#This Row],[Type]],Main[[#All],[TYPE]:[UNIT]],'Unit Price'!H$1,FALSE),0)</f>
        <v>0</v>
      </c>
      <c r="K269" s="194">
        <f>IF(_1_5412845612146241046457891017456[[#This Row],[Discount selection]]&gt;0,VLOOKUP(_1_5412845612146241046457891017456[[#This Row],[Discount selection]],'Discount Structure'!$A$2:$B$30,2,"false"),0)</f>
        <v>1</v>
      </c>
      <c r="L269" s="194">
        <f>_1_5412845612146241046457891017456[[#This Row],[LIST $]]*_1_5412845612146241046457891017456[[#This Row],[DISCOUNT]]*_1_5412845612146241046457891017456[[#This Row],[DISCOUNT 2]]</f>
        <v>0</v>
      </c>
      <c r="M269" s="194">
        <f>IF(OR(_1_5412845612146241046457891017456[[#This Row],[UNIT]]&gt;0,_1_5412845612146241046457891017456[[#This Row],[UNIT]]&lt;0),_1_5412845612146241046457891017456[[#This Row],[UNIT]]*_1_5412845612146241046457891017456[[#This Row],[COST]],0)</f>
        <v>0</v>
      </c>
      <c r="N269" s="194">
        <f t="shared" si="4"/>
        <v>1.3</v>
      </c>
      <c r="O269" s="198">
        <f>_1_5412845612146241046457891017456[[#This Row],[TOTAL]]*_1_5412845612146241046457891017456[[#This Row],[MARGIN]]</f>
        <v>0</v>
      </c>
      <c r="R269" s="41"/>
    </row>
    <row r="270" spans="1:18">
      <c r="C270" s="168"/>
      <c r="D270" s="188"/>
      <c r="F270" s="168" t="s">
        <v>6202</v>
      </c>
      <c r="G270" s="193">
        <f>IF(_1_5412845612146241046457891017456[[#This Row],[Type]]&gt;0,VLOOKUP(_1_5412845612146241046457891017456[[#This Row],[Type]],Main[[#All],[TYPE]:[UNIT]],'Unit Price'!C$1,FALSE),0)</f>
        <v>0</v>
      </c>
      <c r="H270" s="197">
        <f>IF(_1_5412845612146241046457891017456[[#This Row],[Type]]&gt;0,VLOOKUP(_1_5412845612146241046457891017456[[#This Row],[Type]],Main[[#All],[TYPE]:[UNIT]],'Unit Price'!D$1,FALSE),0)</f>
        <v>0</v>
      </c>
      <c r="I270" s="194">
        <f>IF(_1_5412845612146241046457891017456[[#This Row],[Type]]&gt;0,VLOOKUP(_1_5412845612146241046457891017456[[#This Row],[Type]],Main[[#All],[TYPE]:[UNIT]],'Unit Price'!G$1,FALSE),0)</f>
        <v>0</v>
      </c>
      <c r="J270" s="194">
        <f>IF(_1_5412845612146241046457891017456[[#This Row],[Type]]&gt;0,VLOOKUP(_1_5412845612146241046457891017456[[#This Row],[Type]],Main[[#All],[TYPE]:[UNIT]],'Unit Price'!H$1,FALSE),0)</f>
        <v>0</v>
      </c>
      <c r="K270" s="194">
        <f>IF(_1_5412845612146241046457891017456[[#This Row],[Discount selection]]&gt;0,VLOOKUP(_1_5412845612146241046457891017456[[#This Row],[Discount selection]],'Discount Structure'!$A$2:$B$30,2,"false"),0)</f>
        <v>1</v>
      </c>
      <c r="L270" s="194">
        <f>_1_5412845612146241046457891017456[[#This Row],[LIST $]]*_1_5412845612146241046457891017456[[#This Row],[DISCOUNT]]*_1_5412845612146241046457891017456[[#This Row],[DISCOUNT 2]]</f>
        <v>0</v>
      </c>
      <c r="M270" s="194">
        <f>IF(OR(_1_5412845612146241046457891017456[[#This Row],[UNIT]]&gt;0,_1_5412845612146241046457891017456[[#This Row],[UNIT]]&lt;0),_1_5412845612146241046457891017456[[#This Row],[UNIT]]*_1_5412845612146241046457891017456[[#This Row],[COST]],0)</f>
        <v>0</v>
      </c>
      <c r="N270" s="194">
        <f t="shared" si="4"/>
        <v>1.3</v>
      </c>
      <c r="O270" s="198">
        <f>_1_5412845612146241046457891017456[[#This Row],[TOTAL]]*_1_5412845612146241046457891017456[[#This Row],[MARGIN]]</f>
        <v>0</v>
      </c>
      <c r="R270" s="41"/>
    </row>
    <row r="271" spans="1:18">
      <c r="A271" s="323"/>
      <c r="B271" s="323"/>
      <c r="C271" s="168"/>
      <c r="D271" s="188"/>
      <c r="F271" s="168" t="s">
        <v>6202</v>
      </c>
      <c r="G271" s="205">
        <f>IF(_1_5412845612146241046457891017456[[#This Row],[Type]]&gt;0,VLOOKUP(_1_5412845612146241046457891017456[[#This Row],[Type]],Main[[#All],[TYPE]:[UNIT]],'Unit Price'!C$1,FALSE),0)</f>
        <v>0</v>
      </c>
      <c r="H271" s="197">
        <f>IF(_1_5412845612146241046457891017456[[#This Row],[Type]]&gt;0,VLOOKUP(_1_5412845612146241046457891017456[[#This Row],[Type]],Main[[#All],[TYPE]:[UNIT]],'Unit Price'!D$1,FALSE),0)</f>
        <v>0</v>
      </c>
      <c r="I271" s="194">
        <f>IF(_1_5412845612146241046457891017456[[#This Row],[Type]]&gt;0,VLOOKUP(_1_5412845612146241046457891017456[[#This Row],[Type]],Main[[#All],[TYPE]:[UNIT]],'Unit Price'!G$1,FALSE),0)</f>
        <v>0</v>
      </c>
      <c r="J271" s="194">
        <f>IF(_1_5412845612146241046457891017456[[#This Row],[Type]]&gt;0,VLOOKUP(_1_5412845612146241046457891017456[[#This Row],[Type]],Main[[#All],[TYPE]:[UNIT]],'Unit Price'!H$1,FALSE),0)</f>
        <v>0</v>
      </c>
      <c r="K271" s="194">
        <f>IF(_1_5412845612146241046457891017456[[#This Row],[Discount selection]]&gt;0,VLOOKUP(_1_5412845612146241046457891017456[[#This Row],[Discount selection]],'Discount Structure'!$A$2:$B$30,2,"false"),0)</f>
        <v>1</v>
      </c>
      <c r="L271" s="194">
        <f>_1_5412845612146241046457891017456[[#This Row],[LIST $]]*_1_5412845612146241046457891017456[[#This Row],[DISCOUNT]]*_1_5412845612146241046457891017456[[#This Row],[DISCOUNT 2]]</f>
        <v>0</v>
      </c>
      <c r="M271" s="194">
        <f>IF(OR(_1_5412845612146241046457891017456[[#This Row],[UNIT]]&gt;0,_1_5412845612146241046457891017456[[#This Row],[UNIT]]&lt;0),_1_5412845612146241046457891017456[[#This Row],[UNIT]]*_1_5412845612146241046457891017456[[#This Row],[COST]],0)</f>
        <v>0</v>
      </c>
      <c r="N271" s="194">
        <f t="shared" si="4"/>
        <v>1.3</v>
      </c>
      <c r="O271" s="198">
        <f>_1_5412845612146241046457891017456[[#This Row],[TOTAL]]*_1_5412845612146241046457891017456[[#This Row],[MARGIN]]</f>
        <v>0</v>
      </c>
      <c r="R271" s="41"/>
    </row>
    <row r="272" spans="1:18">
      <c r="C272" s="168"/>
      <c r="D272" s="188"/>
      <c r="F272" s="168" t="s">
        <v>6202</v>
      </c>
      <c r="G272" s="193">
        <f>IF(_1_5412845612146241046457891017456[[#This Row],[Type]]&gt;0,VLOOKUP(_1_5412845612146241046457891017456[[#This Row],[Type]],Main[[#All],[TYPE]:[UNIT]],'Unit Price'!C$1,FALSE),0)</f>
        <v>0</v>
      </c>
      <c r="H272" s="197">
        <f>IF(_1_5412845612146241046457891017456[[#This Row],[Type]]&gt;0,VLOOKUP(_1_5412845612146241046457891017456[[#This Row],[Type]],Main[[#All],[TYPE]:[UNIT]],'Unit Price'!D$1,FALSE),0)</f>
        <v>0</v>
      </c>
      <c r="I272" s="194">
        <f>IF(_1_5412845612146241046457891017456[[#This Row],[Type]]&gt;0,VLOOKUP(_1_5412845612146241046457891017456[[#This Row],[Type]],Main[[#All],[TYPE]:[UNIT]],'Unit Price'!G$1,FALSE),0)</f>
        <v>0</v>
      </c>
      <c r="J272" s="194">
        <f>IF(_1_5412845612146241046457891017456[[#This Row],[Type]]&gt;0,VLOOKUP(_1_5412845612146241046457891017456[[#This Row],[Type]],Main[[#All],[TYPE]:[UNIT]],'Unit Price'!H$1,FALSE),0)</f>
        <v>0</v>
      </c>
      <c r="K272" s="194">
        <f>IF(_1_5412845612146241046457891017456[[#This Row],[Discount selection]]&gt;0,VLOOKUP(_1_5412845612146241046457891017456[[#This Row],[Discount selection]],'Discount Structure'!$A$2:$B$30,2,"false"),0)</f>
        <v>1</v>
      </c>
      <c r="L272" s="194">
        <f>_1_5412845612146241046457891017456[[#This Row],[LIST $]]*_1_5412845612146241046457891017456[[#This Row],[DISCOUNT]]*_1_5412845612146241046457891017456[[#This Row],[DISCOUNT 2]]</f>
        <v>0</v>
      </c>
      <c r="M272" s="194">
        <f>IF(OR(_1_5412845612146241046457891017456[[#This Row],[UNIT]]&gt;0,_1_5412845612146241046457891017456[[#This Row],[UNIT]]&lt;0),_1_5412845612146241046457891017456[[#This Row],[UNIT]]*_1_5412845612146241046457891017456[[#This Row],[COST]],0)</f>
        <v>0</v>
      </c>
      <c r="N272" s="194">
        <f t="shared" si="4"/>
        <v>1.3</v>
      </c>
      <c r="O272" s="198">
        <f>_1_5412845612146241046457891017456[[#This Row],[TOTAL]]*_1_5412845612146241046457891017456[[#This Row],[MARGIN]]</f>
        <v>0</v>
      </c>
      <c r="R272" s="41"/>
    </row>
    <row r="273" spans="1:18">
      <c r="A273" s="168"/>
      <c r="B273" s="168"/>
      <c r="C273" s="168"/>
      <c r="D273" s="188"/>
      <c r="F273" s="168" t="s">
        <v>6202</v>
      </c>
      <c r="G273" s="193">
        <f>IF(_1_5412845612146241046457891017456[[#This Row],[Type]]&gt;0,VLOOKUP(_1_5412845612146241046457891017456[[#This Row],[Type]],Main[[#All],[TYPE]:[UNIT]],'Unit Price'!C$1,FALSE),0)</f>
        <v>0</v>
      </c>
      <c r="H273" s="197">
        <f>IF(_1_5412845612146241046457891017456[[#This Row],[Type]]&gt;0,VLOOKUP(_1_5412845612146241046457891017456[[#This Row],[Type]],Main[[#All],[TYPE]:[UNIT]],'Unit Price'!D$1,FALSE),0)</f>
        <v>0</v>
      </c>
      <c r="I273" s="194">
        <f>IF(_1_5412845612146241046457891017456[[#This Row],[Type]]&gt;0,VLOOKUP(_1_5412845612146241046457891017456[[#This Row],[Type]],Main[[#All],[TYPE]:[UNIT]],'Unit Price'!G$1,FALSE),0)</f>
        <v>0</v>
      </c>
      <c r="J273" s="194">
        <f>IF(_1_5412845612146241046457891017456[[#This Row],[Type]]&gt;0,VLOOKUP(_1_5412845612146241046457891017456[[#This Row],[Type]],Main[[#All],[TYPE]:[UNIT]],'Unit Price'!H$1,FALSE),0)</f>
        <v>0</v>
      </c>
      <c r="K273" s="194">
        <f>IF(_1_5412845612146241046457891017456[[#This Row],[Discount selection]]&gt;0,VLOOKUP(_1_5412845612146241046457891017456[[#This Row],[Discount selection]],'Discount Structure'!$A$2:$B$30,2,"false"),0)</f>
        <v>1</v>
      </c>
      <c r="L273" s="194">
        <f>_1_5412845612146241046457891017456[[#This Row],[LIST $]]*_1_5412845612146241046457891017456[[#This Row],[DISCOUNT]]*_1_5412845612146241046457891017456[[#This Row],[DISCOUNT 2]]</f>
        <v>0</v>
      </c>
      <c r="M273" s="194">
        <f>IF(OR(_1_5412845612146241046457891017456[[#This Row],[UNIT]]&gt;0,_1_5412845612146241046457891017456[[#This Row],[UNIT]]&lt;0),_1_5412845612146241046457891017456[[#This Row],[UNIT]]*_1_5412845612146241046457891017456[[#This Row],[COST]],0)</f>
        <v>0</v>
      </c>
      <c r="N273" s="194">
        <f t="shared" si="4"/>
        <v>1.3</v>
      </c>
      <c r="O273" s="198">
        <f>_1_5412845612146241046457891017456[[#This Row],[TOTAL]]*_1_5412845612146241046457891017456[[#This Row],[MARGIN]]</f>
        <v>0</v>
      </c>
      <c r="R273" s="41"/>
    </row>
    <row r="274" spans="1:18">
      <c r="C274" s="168"/>
      <c r="D274" s="188"/>
      <c r="F274" s="168" t="s">
        <v>6202</v>
      </c>
      <c r="G274" s="193">
        <f>IF(_1_5412845612146241046457891017456[[#This Row],[Type]]&gt;0,VLOOKUP(_1_5412845612146241046457891017456[[#This Row],[Type]],Main[[#All],[TYPE]:[UNIT]],'Unit Price'!C$1,FALSE),0)</f>
        <v>0</v>
      </c>
      <c r="H274" s="197">
        <f>IF(_1_5412845612146241046457891017456[[#This Row],[Type]]&gt;0,VLOOKUP(_1_5412845612146241046457891017456[[#This Row],[Type]],Main[[#All],[TYPE]:[UNIT]],'Unit Price'!D$1,FALSE),0)</f>
        <v>0</v>
      </c>
      <c r="I274" s="194">
        <f>IF(_1_5412845612146241046457891017456[[#This Row],[Type]]&gt;0,VLOOKUP(_1_5412845612146241046457891017456[[#This Row],[Type]],Main[[#All],[TYPE]:[UNIT]],'Unit Price'!G$1,FALSE),0)</f>
        <v>0</v>
      </c>
      <c r="J274" s="194">
        <f>IF(_1_5412845612146241046457891017456[[#This Row],[Type]]&gt;0,VLOOKUP(_1_5412845612146241046457891017456[[#This Row],[Type]],Main[[#All],[TYPE]:[UNIT]],'Unit Price'!H$1,FALSE),0)</f>
        <v>0</v>
      </c>
      <c r="K274" s="194">
        <f>IF(_1_5412845612146241046457891017456[[#This Row],[Discount selection]]&gt;0,VLOOKUP(_1_5412845612146241046457891017456[[#This Row],[Discount selection]],'Discount Structure'!$A$2:$B$30,2,"false"),0)</f>
        <v>1</v>
      </c>
      <c r="L274" s="194">
        <f>_1_5412845612146241046457891017456[[#This Row],[LIST $]]*_1_5412845612146241046457891017456[[#This Row],[DISCOUNT]]*_1_5412845612146241046457891017456[[#This Row],[DISCOUNT 2]]</f>
        <v>0</v>
      </c>
      <c r="M274" s="194">
        <f>IF(OR(_1_5412845612146241046457891017456[[#This Row],[UNIT]]&gt;0,_1_5412845612146241046457891017456[[#This Row],[UNIT]]&lt;0),_1_5412845612146241046457891017456[[#This Row],[UNIT]]*_1_5412845612146241046457891017456[[#This Row],[COST]],0)</f>
        <v>0</v>
      </c>
      <c r="N274" s="194">
        <f t="shared" si="4"/>
        <v>1.3</v>
      </c>
      <c r="O274" s="198">
        <f>_1_5412845612146241046457891017456[[#This Row],[TOTAL]]*_1_5412845612146241046457891017456[[#This Row],[MARGIN]]</f>
        <v>0</v>
      </c>
      <c r="R274" s="41"/>
    </row>
    <row r="275" spans="1:18">
      <c r="A275" s="323"/>
      <c r="B275" s="317"/>
      <c r="C275" s="168"/>
      <c r="D275" s="188"/>
      <c r="F275" s="168" t="s">
        <v>6202</v>
      </c>
      <c r="G275" s="193">
        <f>IF(_1_5412845612146241046457891017456[[#This Row],[Type]]&gt;0,VLOOKUP(_1_5412845612146241046457891017456[[#This Row],[Type]],Main[[#All],[TYPE]:[UNIT]],'Unit Price'!C$1,FALSE),0)</f>
        <v>0</v>
      </c>
      <c r="H275" s="197">
        <f>IF(_1_5412845612146241046457891017456[[#This Row],[Type]]&gt;0,VLOOKUP(_1_5412845612146241046457891017456[[#This Row],[Type]],Main[[#All],[TYPE]:[UNIT]],'Unit Price'!D$1,FALSE),0)</f>
        <v>0</v>
      </c>
      <c r="I275" s="194">
        <f>IF(_1_5412845612146241046457891017456[[#This Row],[Type]]&gt;0,VLOOKUP(_1_5412845612146241046457891017456[[#This Row],[Type]],Main[[#All],[TYPE]:[UNIT]],'Unit Price'!G$1,FALSE),0)</f>
        <v>0</v>
      </c>
      <c r="J275" s="194">
        <f>IF(_1_5412845612146241046457891017456[[#This Row],[Type]]&gt;0,VLOOKUP(_1_5412845612146241046457891017456[[#This Row],[Type]],Main[[#All],[TYPE]:[UNIT]],'Unit Price'!H$1,FALSE),0)</f>
        <v>0</v>
      </c>
      <c r="K275" s="194">
        <f>IF(_1_5412845612146241046457891017456[[#This Row],[Discount selection]]&gt;0,VLOOKUP(_1_5412845612146241046457891017456[[#This Row],[Discount selection]],'Discount Structure'!$A$2:$B$30,2,"false"),0)</f>
        <v>1</v>
      </c>
      <c r="L275" s="194">
        <f>_1_5412845612146241046457891017456[[#This Row],[LIST $]]*_1_5412845612146241046457891017456[[#This Row],[DISCOUNT]]*_1_5412845612146241046457891017456[[#This Row],[DISCOUNT 2]]</f>
        <v>0</v>
      </c>
      <c r="M275" s="194">
        <f>IF(OR(_1_5412845612146241046457891017456[[#This Row],[UNIT]]&gt;0,_1_5412845612146241046457891017456[[#This Row],[UNIT]]&lt;0),_1_5412845612146241046457891017456[[#This Row],[UNIT]]*_1_5412845612146241046457891017456[[#This Row],[COST]],0)</f>
        <v>0</v>
      </c>
      <c r="N275" s="194">
        <f t="shared" si="4"/>
        <v>1.3</v>
      </c>
      <c r="O275" s="198">
        <f>_1_5412845612146241046457891017456[[#This Row],[TOTAL]]*_1_5412845612146241046457891017456[[#This Row],[MARGIN]]</f>
        <v>0</v>
      </c>
      <c r="R275" s="41"/>
    </row>
    <row r="276" spans="1:18">
      <c r="C276" s="168"/>
      <c r="D276" s="188"/>
      <c r="F276" s="168" t="s">
        <v>6202</v>
      </c>
      <c r="G276" s="205">
        <f>IF(_1_5412845612146241046457891017456[[#This Row],[Type]]&gt;0,VLOOKUP(_1_5412845612146241046457891017456[[#This Row],[Type]],Main[[#All],[TYPE]:[UNIT]],'Unit Price'!C$1,FALSE),0)</f>
        <v>0</v>
      </c>
      <c r="H276" s="197">
        <f>IF(_1_5412845612146241046457891017456[[#This Row],[Type]]&gt;0,VLOOKUP(_1_5412845612146241046457891017456[[#This Row],[Type]],Main[[#All],[TYPE]:[UNIT]],'Unit Price'!D$1,FALSE),0)</f>
        <v>0</v>
      </c>
      <c r="I276" s="194">
        <f>IF(_1_5412845612146241046457891017456[[#This Row],[Type]]&gt;0,VLOOKUP(_1_5412845612146241046457891017456[[#This Row],[Type]],Main[[#All],[TYPE]:[UNIT]],'Unit Price'!G$1,FALSE),0)</f>
        <v>0</v>
      </c>
      <c r="J276" s="194">
        <f>IF(_1_5412845612146241046457891017456[[#This Row],[Type]]&gt;0,VLOOKUP(_1_5412845612146241046457891017456[[#This Row],[Type]],Main[[#All],[TYPE]:[UNIT]],'Unit Price'!H$1,FALSE),0)</f>
        <v>0</v>
      </c>
      <c r="K276" s="194">
        <f>IF(_1_5412845612146241046457891017456[[#This Row],[Discount selection]]&gt;0,VLOOKUP(_1_5412845612146241046457891017456[[#This Row],[Discount selection]],'Discount Structure'!$A$2:$B$30,2,"false"),0)</f>
        <v>1</v>
      </c>
      <c r="L276" s="194">
        <f>_1_5412845612146241046457891017456[[#This Row],[LIST $]]*_1_5412845612146241046457891017456[[#This Row],[DISCOUNT]]*_1_5412845612146241046457891017456[[#This Row],[DISCOUNT 2]]</f>
        <v>0</v>
      </c>
      <c r="M276" s="194">
        <f>IF(OR(_1_5412845612146241046457891017456[[#This Row],[UNIT]]&gt;0,_1_5412845612146241046457891017456[[#This Row],[UNIT]]&lt;0),_1_5412845612146241046457891017456[[#This Row],[UNIT]]*_1_5412845612146241046457891017456[[#This Row],[COST]],0)</f>
        <v>0</v>
      </c>
      <c r="N276" s="194">
        <f t="shared" si="4"/>
        <v>1.3</v>
      </c>
      <c r="O276" s="198">
        <f>_1_5412845612146241046457891017456[[#This Row],[TOTAL]]*_1_5412845612146241046457891017456[[#This Row],[MARGIN]]</f>
        <v>0</v>
      </c>
      <c r="R276" s="41"/>
    </row>
    <row r="277" spans="1:18">
      <c r="C277" s="168"/>
      <c r="D277" s="188"/>
      <c r="F277" s="168" t="s">
        <v>6202</v>
      </c>
      <c r="G277" s="193">
        <f>IF(_1_5412845612146241046457891017456[[#This Row],[Type]]&gt;0,VLOOKUP(_1_5412845612146241046457891017456[[#This Row],[Type]],Main[[#All],[TYPE]:[UNIT]],'Unit Price'!C$1,FALSE),0)</f>
        <v>0</v>
      </c>
      <c r="H277" s="197">
        <f>IF(_1_5412845612146241046457891017456[[#This Row],[Type]]&gt;0,VLOOKUP(_1_5412845612146241046457891017456[[#This Row],[Type]],Main[[#All],[TYPE]:[UNIT]],'Unit Price'!D$1,FALSE),0)</f>
        <v>0</v>
      </c>
      <c r="I277" s="194">
        <f>IF(_1_5412845612146241046457891017456[[#This Row],[Type]]&gt;0,VLOOKUP(_1_5412845612146241046457891017456[[#This Row],[Type]],Main[[#All],[TYPE]:[UNIT]],'Unit Price'!G$1,FALSE),0)</f>
        <v>0</v>
      </c>
      <c r="J277" s="194">
        <f>IF(_1_5412845612146241046457891017456[[#This Row],[Type]]&gt;0,VLOOKUP(_1_5412845612146241046457891017456[[#This Row],[Type]],Main[[#All],[TYPE]:[UNIT]],'Unit Price'!H$1,FALSE),0)</f>
        <v>0</v>
      </c>
      <c r="K277" s="194">
        <f>IF(_1_5412845612146241046457891017456[[#This Row],[Discount selection]]&gt;0,VLOOKUP(_1_5412845612146241046457891017456[[#This Row],[Discount selection]],'Discount Structure'!$A$2:$B$30,2,"false"),0)</f>
        <v>1</v>
      </c>
      <c r="L277" s="194">
        <f>_1_5412845612146241046457891017456[[#This Row],[LIST $]]*_1_5412845612146241046457891017456[[#This Row],[DISCOUNT]]*_1_5412845612146241046457891017456[[#This Row],[DISCOUNT 2]]</f>
        <v>0</v>
      </c>
      <c r="M277" s="194">
        <f>IF(OR(_1_5412845612146241046457891017456[[#This Row],[UNIT]]&gt;0,_1_5412845612146241046457891017456[[#This Row],[UNIT]]&lt;0),_1_5412845612146241046457891017456[[#This Row],[UNIT]]*_1_5412845612146241046457891017456[[#This Row],[COST]],0)</f>
        <v>0</v>
      </c>
      <c r="N277" s="194">
        <f t="shared" si="4"/>
        <v>1.3</v>
      </c>
      <c r="O277" s="198">
        <f>_1_5412845612146241046457891017456[[#This Row],[TOTAL]]*_1_5412845612146241046457891017456[[#This Row],[MARGIN]]</f>
        <v>0</v>
      </c>
      <c r="R277" s="41"/>
    </row>
    <row r="278" spans="1:18">
      <c r="A278" s="319"/>
      <c r="B278" s="323"/>
      <c r="C278" s="168"/>
      <c r="D278" s="188"/>
      <c r="F278" s="168" t="s">
        <v>6202</v>
      </c>
      <c r="G278" s="193">
        <f>IF(_1_5412845612146241046457891017456[[#This Row],[Type]]&gt;0,VLOOKUP(_1_5412845612146241046457891017456[[#This Row],[Type]],Main[[#All],[TYPE]:[UNIT]],'Unit Price'!C$1,FALSE),0)</f>
        <v>0</v>
      </c>
      <c r="H278" s="197">
        <f>IF(_1_5412845612146241046457891017456[[#This Row],[Type]]&gt;0,VLOOKUP(_1_5412845612146241046457891017456[[#This Row],[Type]],Main[[#All],[TYPE]:[UNIT]],'Unit Price'!D$1,FALSE),0)</f>
        <v>0</v>
      </c>
      <c r="I278" s="194">
        <f>IF(_1_5412845612146241046457891017456[[#This Row],[Type]]&gt;0,VLOOKUP(_1_5412845612146241046457891017456[[#This Row],[Type]],Main[[#All],[TYPE]:[UNIT]],'Unit Price'!G$1,FALSE),0)</f>
        <v>0</v>
      </c>
      <c r="J278" s="194">
        <f>IF(_1_5412845612146241046457891017456[[#This Row],[Type]]&gt;0,VLOOKUP(_1_5412845612146241046457891017456[[#This Row],[Type]],Main[[#All],[TYPE]:[UNIT]],'Unit Price'!H$1,FALSE),0)</f>
        <v>0</v>
      </c>
      <c r="K278" s="194">
        <f>IF(_1_5412845612146241046457891017456[[#This Row],[Discount selection]]&gt;0,VLOOKUP(_1_5412845612146241046457891017456[[#This Row],[Discount selection]],'Discount Structure'!$A$2:$B$30,2,"false"),0)</f>
        <v>1</v>
      </c>
      <c r="L278" s="194">
        <f>_1_5412845612146241046457891017456[[#This Row],[LIST $]]*_1_5412845612146241046457891017456[[#This Row],[DISCOUNT]]*_1_5412845612146241046457891017456[[#This Row],[DISCOUNT 2]]</f>
        <v>0</v>
      </c>
      <c r="M278" s="194">
        <f>IF(OR(_1_5412845612146241046457891017456[[#This Row],[UNIT]]&gt;0,_1_5412845612146241046457891017456[[#This Row],[UNIT]]&lt;0),_1_5412845612146241046457891017456[[#This Row],[UNIT]]*_1_5412845612146241046457891017456[[#This Row],[COST]],0)</f>
        <v>0</v>
      </c>
      <c r="N278" s="194">
        <f t="shared" si="4"/>
        <v>1.3</v>
      </c>
      <c r="O278" s="198">
        <f>_1_5412845612146241046457891017456[[#This Row],[TOTAL]]*_1_5412845612146241046457891017456[[#This Row],[MARGIN]]</f>
        <v>0</v>
      </c>
      <c r="R278" s="41"/>
    </row>
    <row r="279" spans="1:18">
      <c r="C279" s="168"/>
      <c r="D279" s="188"/>
      <c r="F279" s="168" t="s">
        <v>6202</v>
      </c>
      <c r="G279" s="193">
        <f>IF(_1_5412845612146241046457891017456[[#This Row],[Type]]&gt;0,VLOOKUP(_1_5412845612146241046457891017456[[#This Row],[Type]],Main[[#All],[TYPE]:[UNIT]],'Unit Price'!C$1,FALSE),0)</f>
        <v>0</v>
      </c>
      <c r="H279" s="197">
        <f>IF(_1_5412845612146241046457891017456[[#This Row],[Type]]&gt;0,VLOOKUP(_1_5412845612146241046457891017456[[#This Row],[Type]],Main[[#All],[TYPE]:[UNIT]],'Unit Price'!D$1,FALSE),0)</f>
        <v>0</v>
      </c>
      <c r="I279" s="194">
        <f>IF(_1_5412845612146241046457891017456[[#This Row],[Type]]&gt;0,VLOOKUP(_1_5412845612146241046457891017456[[#This Row],[Type]],Main[[#All],[TYPE]:[UNIT]],'Unit Price'!G$1,FALSE),0)</f>
        <v>0</v>
      </c>
      <c r="J279" s="194">
        <f>IF(_1_5412845612146241046457891017456[[#This Row],[Type]]&gt;0,VLOOKUP(_1_5412845612146241046457891017456[[#This Row],[Type]],Main[[#All],[TYPE]:[UNIT]],'Unit Price'!H$1,FALSE),0)</f>
        <v>0</v>
      </c>
      <c r="K279" s="194">
        <f>IF(_1_5412845612146241046457891017456[[#This Row],[Discount selection]]&gt;0,VLOOKUP(_1_5412845612146241046457891017456[[#This Row],[Discount selection]],'Discount Structure'!$A$2:$B$30,2,"false"),0)</f>
        <v>1</v>
      </c>
      <c r="L279" s="194">
        <f>_1_5412845612146241046457891017456[[#This Row],[LIST $]]*_1_5412845612146241046457891017456[[#This Row],[DISCOUNT]]*_1_5412845612146241046457891017456[[#This Row],[DISCOUNT 2]]</f>
        <v>0</v>
      </c>
      <c r="M279" s="194">
        <f>IF(OR(_1_5412845612146241046457891017456[[#This Row],[UNIT]]&gt;0,_1_5412845612146241046457891017456[[#This Row],[UNIT]]&lt;0),_1_5412845612146241046457891017456[[#This Row],[UNIT]]*_1_5412845612146241046457891017456[[#This Row],[COST]],0)</f>
        <v>0</v>
      </c>
      <c r="N279" s="194">
        <f t="shared" si="4"/>
        <v>1.3</v>
      </c>
      <c r="O279" s="198">
        <f>_1_5412845612146241046457891017456[[#This Row],[TOTAL]]*_1_5412845612146241046457891017456[[#This Row],[MARGIN]]</f>
        <v>0</v>
      </c>
      <c r="R279" s="41"/>
    </row>
    <row r="280" spans="1:18">
      <c r="C280" s="168"/>
      <c r="D280" s="188"/>
      <c r="F280" s="168" t="s">
        <v>6202</v>
      </c>
      <c r="G280" s="193">
        <f>IF(_1_5412845612146241046457891017456[[#This Row],[Type]]&gt;0,VLOOKUP(_1_5412845612146241046457891017456[[#This Row],[Type]],Main[[#All],[TYPE]:[UNIT]],'Unit Price'!C$1,FALSE),0)</f>
        <v>0</v>
      </c>
      <c r="H280" s="197">
        <f>IF(_1_5412845612146241046457891017456[[#This Row],[Type]]&gt;0,VLOOKUP(_1_5412845612146241046457891017456[[#This Row],[Type]],Main[[#All],[TYPE]:[UNIT]],'Unit Price'!D$1,FALSE),0)</f>
        <v>0</v>
      </c>
      <c r="I280" s="194">
        <f>IF(_1_5412845612146241046457891017456[[#This Row],[Type]]&gt;0,VLOOKUP(_1_5412845612146241046457891017456[[#This Row],[Type]],Main[[#All],[TYPE]:[UNIT]],'Unit Price'!G$1,FALSE),0)</f>
        <v>0</v>
      </c>
      <c r="J280" s="194">
        <f>IF(_1_5412845612146241046457891017456[[#This Row],[Type]]&gt;0,VLOOKUP(_1_5412845612146241046457891017456[[#This Row],[Type]],Main[[#All],[TYPE]:[UNIT]],'Unit Price'!H$1,FALSE),0)</f>
        <v>0</v>
      </c>
      <c r="K280" s="194">
        <f>IF(_1_5412845612146241046457891017456[[#This Row],[Discount selection]]&gt;0,VLOOKUP(_1_5412845612146241046457891017456[[#This Row],[Discount selection]],'Discount Structure'!$A$2:$B$30,2,"false"),0)</f>
        <v>1</v>
      </c>
      <c r="L280" s="194">
        <f>_1_5412845612146241046457891017456[[#This Row],[LIST $]]*_1_5412845612146241046457891017456[[#This Row],[DISCOUNT]]*_1_5412845612146241046457891017456[[#This Row],[DISCOUNT 2]]</f>
        <v>0</v>
      </c>
      <c r="M280" s="194">
        <f>IF(OR(_1_5412845612146241046457891017456[[#This Row],[UNIT]]&gt;0,_1_5412845612146241046457891017456[[#This Row],[UNIT]]&lt;0),_1_5412845612146241046457891017456[[#This Row],[UNIT]]*_1_5412845612146241046457891017456[[#This Row],[COST]],0)</f>
        <v>0</v>
      </c>
      <c r="N280" s="194">
        <f t="shared" si="4"/>
        <v>1.3</v>
      </c>
      <c r="O280" s="198">
        <f>_1_5412845612146241046457891017456[[#This Row],[TOTAL]]*_1_5412845612146241046457891017456[[#This Row],[MARGIN]]</f>
        <v>0</v>
      </c>
      <c r="R280" s="41"/>
    </row>
    <row r="281" spans="1:18">
      <c r="C281" s="168"/>
      <c r="D281" s="188"/>
      <c r="F281" s="168" t="s">
        <v>6202</v>
      </c>
      <c r="G281" s="193">
        <f>IF(_1_5412845612146241046457891017456[[#This Row],[Type]]&gt;0,VLOOKUP(_1_5412845612146241046457891017456[[#This Row],[Type]],Main[[#All],[TYPE]:[UNIT]],'Unit Price'!C$1,FALSE),0)</f>
        <v>0</v>
      </c>
      <c r="H281" s="197">
        <f>IF(_1_5412845612146241046457891017456[[#This Row],[Type]]&gt;0,VLOOKUP(_1_5412845612146241046457891017456[[#This Row],[Type]],Main[[#All],[TYPE]:[UNIT]],'Unit Price'!D$1,FALSE),0)</f>
        <v>0</v>
      </c>
      <c r="I281" s="194">
        <f>IF(_1_5412845612146241046457891017456[[#This Row],[Type]]&gt;0,VLOOKUP(_1_5412845612146241046457891017456[[#This Row],[Type]],Main[[#All],[TYPE]:[UNIT]],'Unit Price'!G$1,FALSE),0)</f>
        <v>0</v>
      </c>
      <c r="J281" s="194">
        <f>IF(_1_5412845612146241046457891017456[[#This Row],[Type]]&gt;0,VLOOKUP(_1_5412845612146241046457891017456[[#This Row],[Type]],Main[[#All],[TYPE]:[UNIT]],'Unit Price'!H$1,FALSE),0)</f>
        <v>0</v>
      </c>
      <c r="K281" s="194">
        <f>IF(_1_5412845612146241046457891017456[[#This Row],[Discount selection]]&gt;0,VLOOKUP(_1_5412845612146241046457891017456[[#This Row],[Discount selection]],'Discount Structure'!$A$2:$B$30,2,"false"),0)</f>
        <v>1</v>
      </c>
      <c r="L281" s="194">
        <f>_1_5412845612146241046457891017456[[#This Row],[LIST $]]*_1_5412845612146241046457891017456[[#This Row],[DISCOUNT]]*_1_5412845612146241046457891017456[[#This Row],[DISCOUNT 2]]</f>
        <v>0</v>
      </c>
      <c r="M281" s="194">
        <f>IF(OR(_1_5412845612146241046457891017456[[#This Row],[UNIT]]&gt;0,_1_5412845612146241046457891017456[[#This Row],[UNIT]]&lt;0),_1_5412845612146241046457891017456[[#This Row],[UNIT]]*_1_5412845612146241046457891017456[[#This Row],[COST]],0)</f>
        <v>0</v>
      </c>
      <c r="N281" s="194">
        <f t="shared" si="4"/>
        <v>1.3</v>
      </c>
      <c r="O281" s="198">
        <f>_1_5412845612146241046457891017456[[#This Row],[TOTAL]]*_1_5412845612146241046457891017456[[#This Row],[MARGIN]]</f>
        <v>0</v>
      </c>
      <c r="R281" s="41"/>
    </row>
    <row r="282" spans="1:18">
      <c r="C282" s="168"/>
      <c r="D282" s="188"/>
      <c r="F282" s="168" t="s">
        <v>6202</v>
      </c>
      <c r="G282" s="193">
        <f>IF(_1_5412845612146241046457891017456[[#This Row],[Type]]&gt;0,VLOOKUP(_1_5412845612146241046457891017456[[#This Row],[Type]],Main[[#All],[TYPE]:[UNIT]],'Unit Price'!C$1,FALSE),0)</f>
        <v>0</v>
      </c>
      <c r="H282" s="197">
        <f>IF(_1_5412845612146241046457891017456[[#This Row],[Type]]&gt;0,VLOOKUP(_1_5412845612146241046457891017456[[#This Row],[Type]],Main[[#All],[TYPE]:[UNIT]],'Unit Price'!D$1,FALSE),0)</f>
        <v>0</v>
      </c>
      <c r="I282" s="194">
        <f>IF(_1_5412845612146241046457891017456[[#This Row],[Type]]&gt;0,VLOOKUP(_1_5412845612146241046457891017456[[#This Row],[Type]],Main[[#All],[TYPE]:[UNIT]],'Unit Price'!G$1,FALSE),0)</f>
        <v>0</v>
      </c>
      <c r="J282" s="194">
        <f>IF(_1_5412845612146241046457891017456[[#This Row],[Type]]&gt;0,VLOOKUP(_1_5412845612146241046457891017456[[#This Row],[Type]],Main[[#All],[TYPE]:[UNIT]],'Unit Price'!H$1,FALSE),0)</f>
        <v>0</v>
      </c>
      <c r="K282" s="194">
        <f>IF(_1_5412845612146241046457891017456[[#This Row],[Discount selection]]&gt;0,VLOOKUP(_1_5412845612146241046457891017456[[#This Row],[Discount selection]],'Discount Structure'!$A$2:$B$30,2,"false"),0)</f>
        <v>1</v>
      </c>
      <c r="L282" s="194">
        <f>_1_5412845612146241046457891017456[[#This Row],[LIST $]]*_1_5412845612146241046457891017456[[#This Row],[DISCOUNT]]*_1_5412845612146241046457891017456[[#This Row],[DISCOUNT 2]]</f>
        <v>0</v>
      </c>
      <c r="M282" s="194">
        <f>IF(OR(_1_5412845612146241046457891017456[[#This Row],[UNIT]]&gt;0,_1_5412845612146241046457891017456[[#This Row],[UNIT]]&lt;0),_1_5412845612146241046457891017456[[#This Row],[UNIT]]*_1_5412845612146241046457891017456[[#This Row],[COST]],0)</f>
        <v>0</v>
      </c>
      <c r="N282" s="194">
        <f t="shared" si="4"/>
        <v>1.3</v>
      </c>
      <c r="O282" s="198">
        <f>_1_5412845612146241046457891017456[[#This Row],[TOTAL]]*_1_5412845612146241046457891017456[[#This Row],[MARGIN]]</f>
        <v>0</v>
      </c>
      <c r="R282" s="41"/>
    </row>
    <row r="283" spans="1:18">
      <c r="A283" s="323"/>
      <c r="B283" s="323"/>
      <c r="C283" s="168"/>
      <c r="D283" s="188"/>
      <c r="F283" s="168" t="s">
        <v>6202</v>
      </c>
      <c r="G283" s="193">
        <f>IF(_1_5412845612146241046457891017456[[#This Row],[Type]]&gt;0,VLOOKUP(_1_5412845612146241046457891017456[[#This Row],[Type]],Main[[#All],[TYPE]:[UNIT]],'Unit Price'!C$1,FALSE),0)</f>
        <v>0</v>
      </c>
      <c r="H283" s="197">
        <f>IF(_1_5412845612146241046457891017456[[#This Row],[Type]]&gt;0,VLOOKUP(_1_5412845612146241046457891017456[[#This Row],[Type]],Main[[#All],[TYPE]:[UNIT]],'Unit Price'!D$1,FALSE),0)</f>
        <v>0</v>
      </c>
      <c r="I283" s="194">
        <f>IF(_1_5412845612146241046457891017456[[#This Row],[Type]]&gt;0,VLOOKUP(_1_5412845612146241046457891017456[[#This Row],[Type]],Main[[#All],[TYPE]:[UNIT]],'Unit Price'!G$1,FALSE),0)</f>
        <v>0</v>
      </c>
      <c r="J283" s="194">
        <f>IF(_1_5412845612146241046457891017456[[#This Row],[Type]]&gt;0,VLOOKUP(_1_5412845612146241046457891017456[[#This Row],[Type]],Main[[#All],[TYPE]:[UNIT]],'Unit Price'!H$1,FALSE),0)</f>
        <v>0</v>
      </c>
      <c r="K283" s="194">
        <f>IF(_1_5412845612146241046457891017456[[#This Row],[Discount selection]]&gt;0,VLOOKUP(_1_5412845612146241046457891017456[[#This Row],[Discount selection]],'Discount Structure'!$A$2:$B$30,2,"false"),0)</f>
        <v>1</v>
      </c>
      <c r="L283" s="194">
        <f>_1_5412845612146241046457891017456[[#This Row],[LIST $]]*_1_5412845612146241046457891017456[[#This Row],[DISCOUNT]]*_1_5412845612146241046457891017456[[#This Row],[DISCOUNT 2]]</f>
        <v>0</v>
      </c>
      <c r="M283" s="194">
        <f>IF(OR(_1_5412845612146241046457891017456[[#This Row],[UNIT]]&gt;0,_1_5412845612146241046457891017456[[#This Row],[UNIT]]&lt;0),_1_5412845612146241046457891017456[[#This Row],[UNIT]]*_1_5412845612146241046457891017456[[#This Row],[COST]],0)</f>
        <v>0</v>
      </c>
      <c r="N283" s="194">
        <f t="shared" si="4"/>
        <v>1.3</v>
      </c>
      <c r="O283" s="198">
        <f>_1_5412845612146241046457891017456[[#This Row],[TOTAL]]*_1_5412845612146241046457891017456[[#This Row],[MARGIN]]</f>
        <v>0</v>
      </c>
      <c r="R283" s="41"/>
    </row>
    <row r="284" spans="1:18">
      <c r="A284" s="312"/>
      <c r="B284" s="323"/>
      <c r="C284" s="168"/>
      <c r="D284" s="188"/>
      <c r="F284" s="168" t="s">
        <v>6202</v>
      </c>
      <c r="G284" s="193">
        <f>IF(_1_5412845612146241046457891017456[[#This Row],[Type]]&gt;0,VLOOKUP(_1_5412845612146241046457891017456[[#This Row],[Type]],Main[[#All],[TYPE]:[UNIT]],'Unit Price'!C$1,FALSE),0)</f>
        <v>0</v>
      </c>
      <c r="H284" s="197">
        <f>IF(_1_5412845612146241046457891017456[[#This Row],[Type]]&gt;0,VLOOKUP(_1_5412845612146241046457891017456[[#This Row],[Type]],Main[[#All],[TYPE]:[UNIT]],'Unit Price'!D$1,FALSE),0)</f>
        <v>0</v>
      </c>
      <c r="I284" s="194">
        <f>IF(_1_5412845612146241046457891017456[[#This Row],[Type]]&gt;0,VLOOKUP(_1_5412845612146241046457891017456[[#This Row],[Type]],Main[[#All],[TYPE]:[UNIT]],'Unit Price'!G$1,FALSE),0)</f>
        <v>0</v>
      </c>
      <c r="J284" s="194">
        <f>IF(_1_5412845612146241046457891017456[[#This Row],[Type]]&gt;0,VLOOKUP(_1_5412845612146241046457891017456[[#This Row],[Type]],Main[[#All],[TYPE]:[UNIT]],'Unit Price'!H$1,FALSE),0)</f>
        <v>0</v>
      </c>
      <c r="K284" s="194">
        <f>IF(_1_5412845612146241046457891017456[[#This Row],[Discount selection]]&gt;0,VLOOKUP(_1_5412845612146241046457891017456[[#This Row],[Discount selection]],'Discount Structure'!$A$2:$B$30,2,"false"),0)</f>
        <v>1</v>
      </c>
      <c r="L284" s="194">
        <f>_1_5412845612146241046457891017456[[#This Row],[LIST $]]*_1_5412845612146241046457891017456[[#This Row],[DISCOUNT]]*_1_5412845612146241046457891017456[[#This Row],[DISCOUNT 2]]</f>
        <v>0</v>
      </c>
      <c r="M284" s="194">
        <f>IF(OR(_1_5412845612146241046457891017456[[#This Row],[UNIT]]&gt;0,_1_5412845612146241046457891017456[[#This Row],[UNIT]]&lt;0),_1_5412845612146241046457891017456[[#This Row],[UNIT]]*_1_5412845612146241046457891017456[[#This Row],[COST]],0)</f>
        <v>0</v>
      </c>
      <c r="N284" s="194">
        <f t="shared" si="4"/>
        <v>1.3</v>
      </c>
      <c r="O284" s="198">
        <f>_1_5412845612146241046457891017456[[#This Row],[TOTAL]]*_1_5412845612146241046457891017456[[#This Row],[MARGIN]]</f>
        <v>0</v>
      </c>
      <c r="R284" s="41"/>
    </row>
    <row r="285" spans="1:18">
      <c r="A285" s="323"/>
      <c r="B285" s="323"/>
      <c r="C285" s="168"/>
      <c r="D285" s="188"/>
      <c r="F285" s="168" t="s">
        <v>6202</v>
      </c>
      <c r="G285" s="193">
        <f>IF(_1_5412845612146241046457891017456[[#This Row],[Type]]&gt;0,VLOOKUP(_1_5412845612146241046457891017456[[#This Row],[Type]],Main[[#All],[TYPE]:[UNIT]],'Unit Price'!C$1,FALSE),0)</f>
        <v>0</v>
      </c>
      <c r="H285" s="197">
        <f>IF(_1_5412845612146241046457891017456[[#This Row],[Type]]&gt;0,VLOOKUP(_1_5412845612146241046457891017456[[#This Row],[Type]],Main[[#All],[TYPE]:[UNIT]],'Unit Price'!D$1,FALSE),0)</f>
        <v>0</v>
      </c>
      <c r="I285" s="194">
        <f>IF(_1_5412845612146241046457891017456[[#This Row],[Type]]&gt;0,VLOOKUP(_1_5412845612146241046457891017456[[#This Row],[Type]],Main[[#All],[TYPE]:[UNIT]],'Unit Price'!G$1,FALSE),0)</f>
        <v>0</v>
      </c>
      <c r="J285" s="194">
        <f>IF(_1_5412845612146241046457891017456[[#This Row],[Type]]&gt;0,VLOOKUP(_1_5412845612146241046457891017456[[#This Row],[Type]],Main[[#All],[TYPE]:[UNIT]],'Unit Price'!H$1,FALSE),0)</f>
        <v>0</v>
      </c>
      <c r="K285" s="194">
        <f>IF(_1_5412845612146241046457891017456[[#This Row],[Discount selection]]&gt;0,VLOOKUP(_1_5412845612146241046457891017456[[#This Row],[Discount selection]],'Discount Structure'!$A$2:$B$30,2,"false"),0)</f>
        <v>1</v>
      </c>
      <c r="L285" s="194">
        <f>_1_5412845612146241046457891017456[[#This Row],[LIST $]]*_1_5412845612146241046457891017456[[#This Row],[DISCOUNT]]*_1_5412845612146241046457891017456[[#This Row],[DISCOUNT 2]]</f>
        <v>0</v>
      </c>
      <c r="M285" s="194">
        <f>IF(OR(_1_5412845612146241046457891017456[[#This Row],[UNIT]]&gt;0,_1_5412845612146241046457891017456[[#This Row],[UNIT]]&lt;0),_1_5412845612146241046457891017456[[#This Row],[UNIT]]*_1_5412845612146241046457891017456[[#This Row],[COST]],0)</f>
        <v>0</v>
      </c>
      <c r="N285" s="194">
        <f t="shared" si="4"/>
        <v>1.3</v>
      </c>
      <c r="O285" s="198">
        <f>_1_5412845612146241046457891017456[[#This Row],[TOTAL]]*_1_5412845612146241046457891017456[[#This Row],[MARGIN]]</f>
        <v>0</v>
      </c>
      <c r="R285" s="41"/>
    </row>
    <row r="286" spans="1:18">
      <c r="A286" s="353"/>
      <c r="B286" s="323"/>
      <c r="C286" s="353"/>
      <c r="D286" s="188"/>
      <c r="F286" s="168" t="s">
        <v>6202</v>
      </c>
      <c r="G286" s="193">
        <f>IF(_1_5412845612146241046457891017456[[#This Row],[Type]]&gt;0,VLOOKUP(_1_5412845612146241046457891017456[[#This Row],[Type]],Main[[#All],[TYPE]:[UNIT]],'Unit Price'!C$1,FALSE),0)</f>
        <v>0</v>
      </c>
      <c r="H286" s="197">
        <f>IF(_1_5412845612146241046457891017456[[#This Row],[Type]]&gt;0,VLOOKUP(_1_5412845612146241046457891017456[[#This Row],[Type]],Main[[#All],[TYPE]:[UNIT]],'Unit Price'!D$1,FALSE),0)</f>
        <v>0</v>
      </c>
      <c r="I286" s="194">
        <f>IF(_1_5412845612146241046457891017456[[#This Row],[Type]]&gt;0,VLOOKUP(_1_5412845612146241046457891017456[[#This Row],[Type]],Main[[#All],[TYPE]:[UNIT]],'Unit Price'!G$1,FALSE),0)</f>
        <v>0</v>
      </c>
      <c r="J286" s="194">
        <f>IF(_1_5412845612146241046457891017456[[#This Row],[Type]]&gt;0,VLOOKUP(_1_5412845612146241046457891017456[[#This Row],[Type]],Main[[#All],[TYPE]:[UNIT]],'Unit Price'!H$1,FALSE),0)</f>
        <v>0</v>
      </c>
      <c r="K286" s="194">
        <f>IF(_1_5412845612146241046457891017456[[#This Row],[Discount selection]]&gt;0,VLOOKUP(_1_5412845612146241046457891017456[[#This Row],[Discount selection]],'Discount Structure'!$A$2:$B$30,2,"false"),0)</f>
        <v>1</v>
      </c>
      <c r="L286" s="194">
        <f>_1_5412845612146241046457891017456[[#This Row],[LIST $]]*_1_5412845612146241046457891017456[[#This Row],[DISCOUNT]]*_1_5412845612146241046457891017456[[#This Row],[DISCOUNT 2]]</f>
        <v>0</v>
      </c>
      <c r="M286" s="194">
        <f>IF(OR(_1_5412845612146241046457891017456[[#This Row],[UNIT]]&gt;0,_1_5412845612146241046457891017456[[#This Row],[UNIT]]&lt;0),_1_5412845612146241046457891017456[[#This Row],[UNIT]]*_1_5412845612146241046457891017456[[#This Row],[COST]],0)</f>
        <v>0</v>
      </c>
      <c r="N286" s="194">
        <f t="shared" si="4"/>
        <v>1.3</v>
      </c>
      <c r="O286" s="198">
        <f>_1_5412845612146241046457891017456[[#This Row],[TOTAL]]*_1_5412845612146241046457891017456[[#This Row],[MARGIN]]</f>
        <v>0</v>
      </c>
      <c r="R286" s="41"/>
    </row>
    <row r="287" spans="1:18">
      <c r="D287" s="188"/>
      <c r="F287" s="168" t="s">
        <v>6202</v>
      </c>
      <c r="G287" s="205">
        <f>IF(_1_5412845612146241046457891017456[[#This Row],[Type]]&gt;0,VLOOKUP(_1_5412845612146241046457891017456[[#This Row],[Type]],Main[[#All],[TYPE]:[UNIT]],'Unit Price'!C$1,FALSE),0)</f>
        <v>0</v>
      </c>
      <c r="H287" s="197">
        <f>IF(_1_5412845612146241046457891017456[[#This Row],[Type]]&gt;0,VLOOKUP(_1_5412845612146241046457891017456[[#This Row],[Type]],Main[[#All],[TYPE]:[UNIT]],'Unit Price'!D$1,FALSE),0)</f>
        <v>0</v>
      </c>
      <c r="I287" s="194">
        <f>IF(_1_5412845612146241046457891017456[[#This Row],[Type]]&gt;0,VLOOKUP(_1_5412845612146241046457891017456[[#This Row],[Type]],Main[[#All],[TYPE]:[UNIT]],'Unit Price'!G$1,FALSE),0)</f>
        <v>0</v>
      </c>
      <c r="J287" s="194">
        <f>IF(_1_5412845612146241046457891017456[[#This Row],[Type]]&gt;0,VLOOKUP(_1_5412845612146241046457891017456[[#This Row],[Type]],Main[[#All],[TYPE]:[UNIT]],'Unit Price'!H$1,FALSE),0)</f>
        <v>0</v>
      </c>
      <c r="K287" s="194">
        <f>IF(_1_5412845612146241046457891017456[[#This Row],[Discount selection]]&gt;0,VLOOKUP(_1_5412845612146241046457891017456[[#This Row],[Discount selection]],'Discount Structure'!$A$2:$B$30,2,"false"),0)</f>
        <v>1</v>
      </c>
      <c r="L287" s="194">
        <f>_1_5412845612146241046457891017456[[#This Row],[LIST $]]*_1_5412845612146241046457891017456[[#This Row],[DISCOUNT]]*_1_5412845612146241046457891017456[[#This Row],[DISCOUNT 2]]</f>
        <v>0</v>
      </c>
      <c r="M287" s="194">
        <f>IF(OR(_1_5412845612146241046457891017456[[#This Row],[UNIT]]&gt;0,_1_5412845612146241046457891017456[[#This Row],[UNIT]]&lt;0),_1_5412845612146241046457891017456[[#This Row],[UNIT]]*_1_5412845612146241046457891017456[[#This Row],[COST]],0)</f>
        <v>0</v>
      </c>
      <c r="N287" s="194">
        <f t="shared" si="4"/>
        <v>1.3</v>
      </c>
      <c r="O287" s="198">
        <f>_1_5412845612146241046457891017456[[#This Row],[TOTAL]]*_1_5412845612146241046457891017456[[#This Row],[MARGIN]]</f>
        <v>0</v>
      </c>
      <c r="R287" s="41"/>
    </row>
    <row r="288" spans="1:18">
      <c r="D288" s="188"/>
      <c r="F288" s="168" t="s">
        <v>6202</v>
      </c>
      <c r="G288" s="193">
        <f>IF(_1_5412845612146241046457891017456[[#This Row],[Type]]&gt;0,VLOOKUP(_1_5412845612146241046457891017456[[#This Row],[Type]],Main[[#All],[TYPE]:[UNIT]],'Unit Price'!C$1,FALSE),0)</f>
        <v>0</v>
      </c>
      <c r="H288" s="197">
        <f>IF(_1_5412845612146241046457891017456[[#This Row],[Type]]&gt;0,VLOOKUP(_1_5412845612146241046457891017456[[#This Row],[Type]],Main[[#All],[TYPE]:[UNIT]],'Unit Price'!D$1,FALSE),0)</f>
        <v>0</v>
      </c>
      <c r="I288" s="194">
        <f>IF(_1_5412845612146241046457891017456[[#This Row],[Type]]&gt;0,VLOOKUP(_1_5412845612146241046457891017456[[#This Row],[Type]],Main[[#All],[TYPE]:[UNIT]],'Unit Price'!G$1,FALSE),0)</f>
        <v>0</v>
      </c>
      <c r="J288" s="194">
        <f>IF(_1_5412845612146241046457891017456[[#This Row],[Type]]&gt;0,VLOOKUP(_1_5412845612146241046457891017456[[#This Row],[Type]],Main[[#All],[TYPE]:[UNIT]],'Unit Price'!H$1,FALSE),0)</f>
        <v>0</v>
      </c>
      <c r="K288" s="194">
        <f>IF(_1_5412845612146241046457891017456[[#This Row],[Discount selection]]&gt;0,VLOOKUP(_1_5412845612146241046457891017456[[#This Row],[Discount selection]],'Discount Structure'!$A$2:$B$30,2,"false"),0)</f>
        <v>1</v>
      </c>
      <c r="L288" s="194">
        <f>_1_5412845612146241046457891017456[[#This Row],[LIST $]]*_1_5412845612146241046457891017456[[#This Row],[DISCOUNT]]*_1_5412845612146241046457891017456[[#This Row],[DISCOUNT 2]]</f>
        <v>0</v>
      </c>
      <c r="M288" s="194">
        <f>IF(OR(_1_5412845612146241046457891017456[[#This Row],[UNIT]]&gt;0,_1_5412845612146241046457891017456[[#This Row],[UNIT]]&lt;0),_1_5412845612146241046457891017456[[#This Row],[UNIT]]*_1_5412845612146241046457891017456[[#This Row],[COST]],0)</f>
        <v>0</v>
      </c>
      <c r="N288" s="194">
        <f t="shared" si="4"/>
        <v>1.3</v>
      </c>
      <c r="O288" s="198">
        <f>_1_5412845612146241046457891017456[[#This Row],[TOTAL]]*_1_5412845612146241046457891017456[[#This Row],[MARGIN]]</f>
        <v>0</v>
      </c>
      <c r="R288" s="41"/>
    </row>
    <row r="289" spans="1:18">
      <c r="A289" s="323"/>
      <c r="B289" s="323"/>
      <c r="C289" s="323"/>
      <c r="D289" s="188"/>
      <c r="F289" s="168" t="s">
        <v>6202</v>
      </c>
      <c r="G289" s="193">
        <f>IF(_1_5412845612146241046457891017456[[#This Row],[Type]]&gt;0,VLOOKUP(_1_5412845612146241046457891017456[[#This Row],[Type]],Main[[#All],[TYPE]:[UNIT]],'Unit Price'!C$1,FALSE),0)</f>
        <v>0</v>
      </c>
      <c r="H289" s="197">
        <f>IF(_1_5412845612146241046457891017456[[#This Row],[Type]]&gt;0,VLOOKUP(_1_5412845612146241046457891017456[[#This Row],[Type]],Main[[#All],[TYPE]:[UNIT]],'Unit Price'!D$1,FALSE),0)</f>
        <v>0</v>
      </c>
      <c r="I289" s="194">
        <f>IF(_1_5412845612146241046457891017456[[#This Row],[Type]]&gt;0,VLOOKUP(_1_5412845612146241046457891017456[[#This Row],[Type]],Main[[#All],[TYPE]:[UNIT]],'Unit Price'!G$1,FALSE),0)</f>
        <v>0</v>
      </c>
      <c r="J289" s="194">
        <f>IF(_1_5412845612146241046457891017456[[#This Row],[Type]]&gt;0,VLOOKUP(_1_5412845612146241046457891017456[[#This Row],[Type]],Main[[#All],[TYPE]:[UNIT]],'Unit Price'!H$1,FALSE),0)</f>
        <v>0</v>
      </c>
      <c r="K289" s="194">
        <f>IF(_1_5412845612146241046457891017456[[#This Row],[Discount selection]]&gt;0,VLOOKUP(_1_5412845612146241046457891017456[[#This Row],[Discount selection]],'Discount Structure'!$A$2:$B$30,2,"false"),0)</f>
        <v>1</v>
      </c>
      <c r="L289" s="194">
        <f>_1_5412845612146241046457891017456[[#This Row],[LIST $]]*_1_5412845612146241046457891017456[[#This Row],[DISCOUNT]]*_1_5412845612146241046457891017456[[#This Row],[DISCOUNT 2]]</f>
        <v>0</v>
      </c>
      <c r="M289" s="194">
        <f>IF(OR(_1_5412845612146241046457891017456[[#This Row],[UNIT]]&gt;0,_1_5412845612146241046457891017456[[#This Row],[UNIT]]&lt;0),_1_5412845612146241046457891017456[[#This Row],[UNIT]]*_1_5412845612146241046457891017456[[#This Row],[COST]],0)</f>
        <v>0</v>
      </c>
      <c r="N289" s="194">
        <f t="shared" si="4"/>
        <v>1.3</v>
      </c>
      <c r="O289" s="198">
        <f>_1_5412845612146241046457891017456[[#This Row],[TOTAL]]*_1_5412845612146241046457891017456[[#This Row],[MARGIN]]</f>
        <v>0</v>
      </c>
      <c r="R289" s="41"/>
    </row>
    <row r="290" spans="1:18">
      <c r="D290" s="188"/>
      <c r="F290" s="168" t="s">
        <v>6202</v>
      </c>
      <c r="G290" s="193">
        <f>IF(_1_5412845612146241046457891017456[[#This Row],[Type]]&gt;0,VLOOKUP(_1_5412845612146241046457891017456[[#This Row],[Type]],Main[[#All],[TYPE]:[UNIT]],'Unit Price'!C$1,FALSE),0)</f>
        <v>0</v>
      </c>
      <c r="H290" s="197">
        <f>IF(_1_5412845612146241046457891017456[[#This Row],[Type]]&gt;0,VLOOKUP(_1_5412845612146241046457891017456[[#This Row],[Type]],Main[[#All],[TYPE]:[UNIT]],'Unit Price'!D$1,FALSE),0)</f>
        <v>0</v>
      </c>
      <c r="I290" s="194">
        <f>IF(_1_5412845612146241046457891017456[[#This Row],[Type]]&gt;0,VLOOKUP(_1_5412845612146241046457891017456[[#This Row],[Type]],Main[[#All],[TYPE]:[UNIT]],'Unit Price'!G$1,FALSE),0)</f>
        <v>0</v>
      </c>
      <c r="J290" s="194">
        <f>IF(_1_5412845612146241046457891017456[[#This Row],[Type]]&gt;0,VLOOKUP(_1_5412845612146241046457891017456[[#This Row],[Type]],Main[[#All],[TYPE]:[UNIT]],'Unit Price'!H$1,FALSE),0)</f>
        <v>0</v>
      </c>
      <c r="K290" s="194">
        <f>IF(_1_5412845612146241046457891017456[[#This Row],[Discount selection]]&gt;0,VLOOKUP(_1_5412845612146241046457891017456[[#This Row],[Discount selection]],'Discount Structure'!$A$2:$B$30,2,"false"),0)</f>
        <v>1</v>
      </c>
      <c r="L290" s="194">
        <f>_1_5412845612146241046457891017456[[#This Row],[LIST $]]*_1_5412845612146241046457891017456[[#This Row],[DISCOUNT]]*_1_5412845612146241046457891017456[[#This Row],[DISCOUNT 2]]</f>
        <v>0</v>
      </c>
      <c r="M290" s="194">
        <f>IF(OR(_1_5412845612146241046457891017456[[#This Row],[UNIT]]&gt;0,_1_5412845612146241046457891017456[[#This Row],[UNIT]]&lt;0),_1_5412845612146241046457891017456[[#This Row],[UNIT]]*_1_5412845612146241046457891017456[[#This Row],[COST]],0)</f>
        <v>0</v>
      </c>
      <c r="N290" s="194">
        <f t="shared" si="4"/>
        <v>1.3</v>
      </c>
      <c r="O290" s="198">
        <f>_1_5412845612146241046457891017456[[#This Row],[TOTAL]]*_1_5412845612146241046457891017456[[#This Row],[MARGIN]]</f>
        <v>0</v>
      </c>
      <c r="R290" s="41"/>
    </row>
    <row r="291" spans="1:18">
      <c r="D291" s="188"/>
      <c r="F291" s="168" t="s">
        <v>6202</v>
      </c>
      <c r="G291" s="193">
        <f>IF(_1_5412845612146241046457891017456[[#This Row],[Type]]&gt;0,VLOOKUP(_1_5412845612146241046457891017456[[#This Row],[Type]],Main[[#All],[TYPE]:[UNIT]],'Unit Price'!C$1,FALSE),0)</f>
        <v>0</v>
      </c>
      <c r="H291" s="197">
        <f>IF(_1_5412845612146241046457891017456[[#This Row],[Type]]&gt;0,VLOOKUP(_1_5412845612146241046457891017456[[#This Row],[Type]],Main[[#All],[TYPE]:[UNIT]],'Unit Price'!D$1,FALSE),0)</f>
        <v>0</v>
      </c>
      <c r="I291" s="194">
        <f>IF(_1_5412845612146241046457891017456[[#This Row],[Type]]&gt;0,VLOOKUP(_1_5412845612146241046457891017456[[#This Row],[Type]],Main[[#All],[TYPE]:[UNIT]],'Unit Price'!G$1,FALSE),0)</f>
        <v>0</v>
      </c>
      <c r="J291" s="194">
        <f>IF(_1_5412845612146241046457891017456[[#This Row],[Type]]&gt;0,VLOOKUP(_1_5412845612146241046457891017456[[#This Row],[Type]],Main[[#All],[TYPE]:[UNIT]],'Unit Price'!H$1,FALSE),0)</f>
        <v>0</v>
      </c>
      <c r="K291" s="194">
        <f>IF(_1_5412845612146241046457891017456[[#This Row],[Discount selection]]&gt;0,VLOOKUP(_1_5412845612146241046457891017456[[#This Row],[Discount selection]],'Discount Structure'!$A$2:$B$30,2,"false"),0)</f>
        <v>1</v>
      </c>
      <c r="L291" s="194">
        <f>_1_5412845612146241046457891017456[[#This Row],[LIST $]]*_1_5412845612146241046457891017456[[#This Row],[DISCOUNT]]*_1_5412845612146241046457891017456[[#This Row],[DISCOUNT 2]]</f>
        <v>0</v>
      </c>
      <c r="M291" s="194">
        <f>IF(OR(_1_5412845612146241046457891017456[[#This Row],[UNIT]]&gt;0,_1_5412845612146241046457891017456[[#This Row],[UNIT]]&lt;0),_1_5412845612146241046457891017456[[#This Row],[UNIT]]*_1_5412845612146241046457891017456[[#This Row],[COST]],0)</f>
        <v>0</v>
      </c>
      <c r="N291" s="194">
        <f t="shared" si="4"/>
        <v>1.3</v>
      </c>
      <c r="O291" s="198">
        <f>_1_5412845612146241046457891017456[[#This Row],[TOTAL]]*_1_5412845612146241046457891017456[[#This Row],[MARGIN]]</f>
        <v>0</v>
      </c>
      <c r="R291" s="41"/>
    </row>
    <row r="292" spans="1:18">
      <c r="D292" s="188"/>
      <c r="F292" s="168" t="s">
        <v>6202</v>
      </c>
      <c r="G292" s="193">
        <f>IF(_1_5412845612146241046457891017456[[#This Row],[Type]]&gt;0,VLOOKUP(_1_5412845612146241046457891017456[[#This Row],[Type]],Main[[#All],[TYPE]:[UNIT]],'Unit Price'!C$1,FALSE),0)</f>
        <v>0</v>
      </c>
      <c r="H292" s="197">
        <f>IF(_1_5412845612146241046457891017456[[#This Row],[Type]]&gt;0,VLOOKUP(_1_5412845612146241046457891017456[[#This Row],[Type]],Main[[#All],[TYPE]:[UNIT]],'Unit Price'!D$1,FALSE),0)</f>
        <v>0</v>
      </c>
      <c r="I292" s="194">
        <f>IF(_1_5412845612146241046457891017456[[#This Row],[Type]]&gt;0,VLOOKUP(_1_5412845612146241046457891017456[[#This Row],[Type]],Main[[#All],[TYPE]:[UNIT]],'Unit Price'!G$1,FALSE),0)</f>
        <v>0</v>
      </c>
      <c r="J292" s="194">
        <f>IF(_1_5412845612146241046457891017456[[#This Row],[Type]]&gt;0,VLOOKUP(_1_5412845612146241046457891017456[[#This Row],[Type]],Main[[#All],[TYPE]:[UNIT]],'Unit Price'!H$1,FALSE),0)</f>
        <v>0</v>
      </c>
      <c r="K292" s="194">
        <f>IF(_1_5412845612146241046457891017456[[#This Row],[Discount selection]]&gt;0,VLOOKUP(_1_5412845612146241046457891017456[[#This Row],[Discount selection]],'Discount Structure'!$A$2:$B$30,2,"false"),0)</f>
        <v>1</v>
      </c>
      <c r="L292" s="194">
        <f>_1_5412845612146241046457891017456[[#This Row],[LIST $]]*_1_5412845612146241046457891017456[[#This Row],[DISCOUNT]]*_1_5412845612146241046457891017456[[#This Row],[DISCOUNT 2]]</f>
        <v>0</v>
      </c>
      <c r="M292" s="194">
        <f>IF(OR(_1_5412845612146241046457891017456[[#This Row],[UNIT]]&gt;0,_1_5412845612146241046457891017456[[#This Row],[UNIT]]&lt;0),_1_5412845612146241046457891017456[[#This Row],[UNIT]]*_1_5412845612146241046457891017456[[#This Row],[COST]],0)</f>
        <v>0</v>
      </c>
      <c r="N292" s="194">
        <f t="shared" si="4"/>
        <v>1.3</v>
      </c>
      <c r="O292" s="198">
        <f>_1_5412845612146241046457891017456[[#This Row],[TOTAL]]*_1_5412845612146241046457891017456[[#This Row],[MARGIN]]</f>
        <v>0</v>
      </c>
      <c r="R292" s="41"/>
    </row>
    <row r="293" spans="1:18">
      <c r="A293" s="168"/>
      <c r="D293" s="188"/>
      <c r="F293" s="168" t="s">
        <v>6202</v>
      </c>
      <c r="G293" s="193">
        <f>IF(_1_5412845612146241046457891017456[[#This Row],[Type]]&gt;0,VLOOKUP(_1_5412845612146241046457891017456[[#This Row],[Type]],Main[[#All],[TYPE]:[UNIT]],'Unit Price'!C$1,FALSE),0)</f>
        <v>0</v>
      </c>
      <c r="H293" s="197">
        <f>IF(_1_5412845612146241046457891017456[[#This Row],[Type]]&gt;0,VLOOKUP(_1_5412845612146241046457891017456[[#This Row],[Type]],Main[[#All],[TYPE]:[UNIT]],'Unit Price'!D$1,FALSE),0)</f>
        <v>0</v>
      </c>
      <c r="I293" s="194">
        <f>IF(_1_5412845612146241046457891017456[[#This Row],[Type]]&gt;0,VLOOKUP(_1_5412845612146241046457891017456[[#This Row],[Type]],Main[[#All],[TYPE]:[UNIT]],'Unit Price'!G$1,FALSE),0)</f>
        <v>0</v>
      </c>
      <c r="J293" s="194">
        <f>IF(_1_5412845612146241046457891017456[[#This Row],[Type]]&gt;0,VLOOKUP(_1_5412845612146241046457891017456[[#This Row],[Type]],Main[[#All],[TYPE]:[UNIT]],'Unit Price'!H$1,FALSE),0)</f>
        <v>0</v>
      </c>
      <c r="K293" s="194">
        <f>IF(_1_5412845612146241046457891017456[[#This Row],[Discount selection]]&gt;0,VLOOKUP(_1_5412845612146241046457891017456[[#This Row],[Discount selection]],'Discount Structure'!$A$2:$B$30,2,"false"),0)</f>
        <v>1</v>
      </c>
      <c r="L293" s="194">
        <f>_1_5412845612146241046457891017456[[#This Row],[LIST $]]*_1_5412845612146241046457891017456[[#This Row],[DISCOUNT]]*_1_5412845612146241046457891017456[[#This Row],[DISCOUNT 2]]</f>
        <v>0</v>
      </c>
      <c r="M293" s="194">
        <f>IF(OR(_1_5412845612146241046457891017456[[#This Row],[UNIT]]&gt;0,_1_5412845612146241046457891017456[[#This Row],[UNIT]]&lt;0),_1_5412845612146241046457891017456[[#This Row],[UNIT]]*_1_5412845612146241046457891017456[[#This Row],[COST]],0)</f>
        <v>0</v>
      </c>
      <c r="N293" s="194">
        <f t="shared" si="4"/>
        <v>1.3</v>
      </c>
      <c r="O293" s="198">
        <f>_1_5412845612146241046457891017456[[#This Row],[TOTAL]]*_1_5412845612146241046457891017456[[#This Row],[MARGIN]]</f>
        <v>0</v>
      </c>
      <c r="R293" s="41"/>
    </row>
    <row r="294" spans="1:18">
      <c r="A294" s="312"/>
      <c r="B294" s="319"/>
      <c r="C294" s="323"/>
      <c r="D294" s="188"/>
      <c r="F294" s="168" t="s">
        <v>6202</v>
      </c>
      <c r="G294" s="193">
        <f>IF(_1_5412845612146241046457891017456[[#This Row],[Type]]&gt;0,VLOOKUP(_1_5412845612146241046457891017456[[#This Row],[Type]],Main[[#All],[TYPE]:[UNIT]],'Unit Price'!C$1,FALSE),0)</f>
        <v>0</v>
      </c>
      <c r="H294" s="197">
        <f>IF(_1_5412845612146241046457891017456[[#This Row],[Type]]&gt;0,VLOOKUP(_1_5412845612146241046457891017456[[#This Row],[Type]],Main[[#All],[TYPE]:[UNIT]],'Unit Price'!D$1,FALSE),0)</f>
        <v>0</v>
      </c>
      <c r="I294" s="194">
        <f>IF(_1_5412845612146241046457891017456[[#This Row],[Type]]&gt;0,VLOOKUP(_1_5412845612146241046457891017456[[#This Row],[Type]],Main[[#All],[TYPE]:[UNIT]],'Unit Price'!G$1,FALSE),0)</f>
        <v>0</v>
      </c>
      <c r="J294" s="194">
        <f>IF(_1_5412845612146241046457891017456[[#This Row],[Type]]&gt;0,VLOOKUP(_1_5412845612146241046457891017456[[#This Row],[Type]],Main[[#All],[TYPE]:[UNIT]],'Unit Price'!H$1,FALSE),0)</f>
        <v>0</v>
      </c>
      <c r="K294" s="194">
        <f>IF(_1_5412845612146241046457891017456[[#This Row],[Discount selection]]&gt;0,VLOOKUP(_1_5412845612146241046457891017456[[#This Row],[Discount selection]],'Discount Structure'!$A$2:$B$30,2,"false"),0)</f>
        <v>1</v>
      </c>
      <c r="L294" s="194">
        <f>_1_5412845612146241046457891017456[[#This Row],[LIST $]]*_1_5412845612146241046457891017456[[#This Row],[DISCOUNT]]*_1_5412845612146241046457891017456[[#This Row],[DISCOUNT 2]]</f>
        <v>0</v>
      </c>
      <c r="M294" s="194">
        <f>IF(OR(_1_5412845612146241046457891017456[[#This Row],[UNIT]]&gt;0,_1_5412845612146241046457891017456[[#This Row],[UNIT]]&lt;0),_1_5412845612146241046457891017456[[#This Row],[UNIT]]*_1_5412845612146241046457891017456[[#This Row],[COST]],0)</f>
        <v>0</v>
      </c>
      <c r="N294" s="194">
        <f t="shared" si="4"/>
        <v>1.3</v>
      </c>
      <c r="O294" s="198">
        <f>_1_5412845612146241046457891017456[[#This Row],[TOTAL]]*_1_5412845612146241046457891017456[[#This Row],[MARGIN]]</f>
        <v>0</v>
      </c>
      <c r="R294" s="41"/>
    </row>
    <row r="295" spans="1:18">
      <c r="A295" s="323"/>
      <c r="B295" s="323"/>
      <c r="C295" s="323"/>
      <c r="D295" s="188"/>
      <c r="F295" s="168" t="s">
        <v>6202</v>
      </c>
      <c r="G295" s="193">
        <f>IF(_1_5412845612146241046457891017456[[#This Row],[Type]]&gt;0,VLOOKUP(_1_5412845612146241046457891017456[[#This Row],[Type]],Main[[#All],[TYPE]:[UNIT]],'Unit Price'!C$1,FALSE),0)</f>
        <v>0</v>
      </c>
      <c r="H295" s="197">
        <f>IF(_1_5412845612146241046457891017456[[#This Row],[Type]]&gt;0,VLOOKUP(_1_5412845612146241046457891017456[[#This Row],[Type]],Main[[#All],[TYPE]:[UNIT]],'Unit Price'!D$1,FALSE),0)</f>
        <v>0</v>
      </c>
      <c r="I295" s="194">
        <f>IF(_1_5412845612146241046457891017456[[#This Row],[Type]]&gt;0,VLOOKUP(_1_5412845612146241046457891017456[[#This Row],[Type]],Main[[#All],[TYPE]:[UNIT]],'Unit Price'!G$1,FALSE),0)</f>
        <v>0</v>
      </c>
      <c r="J295" s="194">
        <f>IF(_1_5412845612146241046457891017456[[#This Row],[Type]]&gt;0,VLOOKUP(_1_5412845612146241046457891017456[[#This Row],[Type]],Main[[#All],[TYPE]:[UNIT]],'Unit Price'!H$1,FALSE),0)</f>
        <v>0</v>
      </c>
      <c r="K295" s="194">
        <f>IF(_1_5412845612146241046457891017456[[#This Row],[Discount selection]]&gt;0,VLOOKUP(_1_5412845612146241046457891017456[[#This Row],[Discount selection]],'Discount Structure'!$A$2:$B$30,2,"false"),0)</f>
        <v>1</v>
      </c>
      <c r="L295" s="194">
        <f>_1_5412845612146241046457891017456[[#This Row],[LIST $]]*_1_5412845612146241046457891017456[[#This Row],[DISCOUNT]]*_1_5412845612146241046457891017456[[#This Row],[DISCOUNT 2]]</f>
        <v>0</v>
      </c>
      <c r="M295" s="194">
        <f>IF(OR(_1_5412845612146241046457891017456[[#This Row],[UNIT]]&gt;0,_1_5412845612146241046457891017456[[#This Row],[UNIT]]&lt;0),_1_5412845612146241046457891017456[[#This Row],[UNIT]]*_1_5412845612146241046457891017456[[#This Row],[COST]],0)</f>
        <v>0</v>
      </c>
      <c r="N295" s="194">
        <f t="shared" si="4"/>
        <v>1.3</v>
      </c>
      <c r="O295" s="198">
        <f>_1_5412845612146241046457891017456[[#This Row],[TOTAL]]*_1_5412845612146241046457891017456[[#This Row],[MARGIN]]</f>
        <v>0</v>
      </c>
      <c r="R295" s="41"/>
    </row>
    <row r="296" spans="1:18">
      <c r="A296" s="323"/>
      <c r="B296" s="323"/>
      <c r="C296" s="323"/>
      <c r="D296" s="188"/>
      <c r="F296" s="168" t="s">
        <v>6202</v>
      </c>
      <c r="G296" s="193">
        <f>IF(_1_5412845612146241046457891017456[[#This Row],[Type]]&gt;0,VLOOKUP(_1_5412845612146241046457891017456[[#This Row],[Type]],Main[[#All],[TYPE]:[UNIT]],'Unit Price'!C$1,FALSE),0)</f>
        <v>0</v>
      </c>
      <c r="H296" s="197">
        <f>IF(_1_5412845612146241046457891017456[[#This Row],[Type]]&gt;0,VLOOKUP(_1_5412845612146241046457891017456[[#This Row],[Type]],Main[[#All],[TYPE]:[UNIT]],'Unit Price'!D$1,FALSE),0)</f>
        <v>0</v>
      </c>
      <c r="I296" s="194">
        <f>IF(_1_5412845612146241046457891017456[[#This Row],[Type]]&gt;0,VLOOKUP(_1_5412845612146241046457891017456[[#This Row],[Type]],Main[[#All],[TYPE]:[UNIT]],'Unit Price'!G$1,FALSE),0)</f>
        <v>0</v>
      </c>
      <c r="J296" s="194">
        <f>IF(_1_5412845612146241046457891017456[[#This Row],[Type]]&gt;0,VLOOKUP(_1_5412845612146241046457891017456[[#This Row],[Type]],Main[[#All],[TYPE]:[UNIT]],'Unit Price'!H$1,FALSE),0)</f>
        <v>0</v>
      </c>
      <c r="K296" s="194">
        <f>IF(_1_5412845612146241046457891017456[[#This Row],[Discount selection]]&gt;0,VLOOKUP(_1_5412845612146241046457891017456[[#This Row],[Discount selection]],'Discount Structure'!$A$2:$B$30,2,"false"),0)</f>
        <v>1</v>
      </c>
      <c r="L296" s="194">
        <f>_1_5412845612146241046457891017456[[#This Row],[LIST $]]*_1_5412845612146241046457891017456[[#This Row],[DISCOUNT]]*_1_5412845612146241046457891017456[[#This Row],[DISCOUNT 2]]</f>
        <v>0</v>
      </c>
      <c r="M296" s="194">
        <f>IF(OR(_1_5412845612146241046457891017456[[#This Row],[UNIT]]&gt;0,_1_5412845612146241046457891017456[[#This Row],[UNIT]]&lt;0),_1_5412845612146241046457891017456[[#This Row],[UNIT]]*_1_5412845612146241046457891017456[[#This Row],[COST]],0)</f>
        <v>0</v>
      </c>
      <c r="N296" s="194">
        <f t="shared" si="4"/>
        <v>1.3</v>
      </c>
      <c r="O296" s="198">
        <f>_1_5412845612146241046457891017456[[#This Row],[TOTAL]]*_1_5412845612146241046457891017456[[#This Row],[MARGIN]]</f>
        <v>0</v>
      </c>
      <c r="R296" s="41"/>
    </row>
    <row r="297" spans="1:18">
      <c r="A297" s="323"/>
      <c r="B297" s="323"/>
      <c r="C297" s="323"/>
      <c r="D297" s="188"/>
      <c r="F297" s="168" t="s">
        <v>6202</v>
      </c>
      <c r="G297" s="193">
        <f>IF(_1_5412845612146241046457891017456[[#This Row],[Type]]&gt;0,VLOOKUP(_1_5412845612146241046457891017456[[#This Row],[Type]],Main[[#All],[TYPE]:[UNIT]],'Unit Price'!C$1,FALSE),0)</f>
        <v>0</v>
      </c>
      <c r="H297" s="197">
        <f>IF(_1_5412845612146241046457891017456[[#This Row],[Type]]&gt;0,VLOOKUP(_1_5412845612146241046457891017456[[#This Row],[Type]],Main[[#All],[TYPE]:[UNIT]],'Unit Price'!D$1,FALSE),0)</f>
        <v>0</v>
      </c>
      <c r="I297" s="194">
        <f>IF(_1_5412845612146241046457891017456[[#This Row],[Type]]&gt;0,VLOOKUP(_1_5412845612146241046457891017456[[#This Row],[Type]],Main[[#All],[TYPE]:[UNIT]],'Unit Price'!G$1,FALSE),0)</f>
        <v>0</v>
      </c>
      <c r="J297" s="194">
        <f>IF(_1_5412845612146241046457891017456[[#This Row],[Type]]&gt;0,VLOOKUP(_1_5412845612146241046457891017456[[#This Row],[Type]],Main[[#All],[TYPE]:[UNIT]],'Unit Price'!H$1,FALSE),0)</f>
        <v>0</v>
      </c>
      <c r="K297" s="194">
        <f>IF(_1_5412845612146241046457891017456[[#This Row],[Discount selection]]&gt;0,VLOOKUP(_1_5412845612146241046457891017456[[#This Row],[Discount selection]],'Discount Structure'!$A$2:$B$30,2,"false"),0)</f>
        <v>1</v>
      </c>
      <c r="L297" s="194">
        <f>_1_5412845612146241046457891017456[[#This Row],[LIST $]]*_1_5412845612146241046457891017456[[#This Row],[DISCOUNT]]*_1_5412845612146241046457891017456[[#This Row],[DISCOUNT 2]]</f>
        <v>0</v>
      </c>
      <c r="M297" s="194">
        <f>IF(OR(_1_5412845612146241046457891017456[[#This Row],[UNIT]]&gt;0,_1_5412845612146241046457891017456[[#This Row],[UNIT]]&lt;0),_1_5412845612146241046457891017456[[#This Row],[UNIT]]*_1_5412845612146241046457891017456[[#This Row],[COST]],0)</f>
        <v>0</v>
      </c>
      <c r="N297" s="194">
        <f t="shared" si="4"/>
        <v>1.3</v>
      </c>
      <c r="O297" s="198">
        <f>_1_5412845612146241046457891017456[[#This Row],[TOTAL]]*_1_5412845612146241046457891017456[[#This Row],[MARGIN]]</f>
        <v>0</v>
      </c>
      <c r="R297" s="41"/>
    </row>
    <row r="298" spans="1:18">
      <c r="D298" s="188"/>
      <c r="F298" s="168" t="s">
        <v>6202</v>
      </c>
      <c r="G298" s="205">
        <f>IF(_1_5412845612146241046457891017456[[#This Row],[Type]]&gt;0,VLOOKUP(_1_5412845612146241046457891017456[[#This Row],[Type]],Main[[#All],[TYPE]:[UNIT]],'Unit Price'!C$1,FALSE),0)</f>
        <v>0</v>
      </c>
      <c r="H298" s="197">
        <f>IF(_1_5412845612146241046457891017456[[#This Row],[Type]]&gt;0,VLOOKUP(_1_5412845612146241046457891017456[[#This Row],[Type]],Main[[#All],[TYPE]:[UNIT]],'Unit Price'!D$1,FALSE),0)</f>
        <v>0</v>
      </c>
      <c r="I298" s="194">
        <f>IF(_1_5412845612146241046457891017456[[#This Row],[Type]]&gt;0,VLOOKUP(_1_5412845612146241046457891017456[[#This Row],[Type]],Main[[#All],[TYPE]:[UNIT]],'Unit Price'!G$1,FALSE),0)</f>
        <v>0</v>
      </c>
      <c r="J298" s="194">
        <f>IF(_1_5412845612146241046457891017456[[#This Row],[Type]]&gt;0,VLOOKUP(_1_5412845612146241046457891017456[[#This Row],[Type]],Main[[#All],[TYPE]:[UNIT]],'Unit Price'!H$1,FALSE),0)</f>
        <v>0</v>
      </c>
      <c r="K298" s="194">
        <f>IF(_1_5412845612146241046457891017456[[#This Row],[Discount selection]]&gt;0,VLOOKUP(_1_5412845612146241046457891017456[[#This Row],[Discount selection]],'Discount Structure'!$A$2:$B$30,2,"false"),0)</f>
        <v>1</v>
      </c>
      <c r="L298" s="194">
        <f>_1_5412845612146241046457891017456[[#This Row],[LIST $]]*_1_5412845612146241046457891017456[[#This Row],[DISCOUNT]]*_1_5412845612146241046457891017456[[#This Row],[DISCOUNT 2]]</f>
        <v>0</v>
      </c>
      <c r="M298" s="194">
        <f>IF(OR(_1_5412845612146241046457891017456[[#This Row],[UNIT]]&gt;0,_1_5412845612146241046457891017456[[#This Row],[UNIT]]&lt;0),_1_5412845612146241046457891017456[[#This Row],[UNIT]]*_1_5412845612146241046457891017456[[#This Row],[COST]],0)</f>
        <v>0</v>
      </c>
      <c r="N298" s="194">
        <f t="shared" si="4"/>
        <v>1.3</v>
      </c>
      <c r="O298" s="198">
        <f>_1_5412845612146241046457891017456[[#This Row],[TOTAL]]*_1_5412845612146241046457891017456[[#This Row],[MARGIN]]</f>
        <v>0</v>
      </c>
      <c r="R298" s="41"/>
    </row>
    <row r="299" spans="1:18">
      <c r="D299" s="188"/>
      <c r="F299" s="168" t="s">
        <v>6202</v>
      </c>
      <c r="G299" s="193">
        <f>IF(_1_5412845612146241046457891017456[[#This Row],[Type]]&gt;0,VLOOKUP(_1_5412845612146241046457891017456[[#This Row],[Type]],Main[[#All],[TYPE]:[UNIT]],'Unit Price'!C$1,FALSE),0)</f>
        <v>0</v>
      </c>
      <c r="H299" s="197">
        <f>IF(_1_5412845612146241046457891017456[[#This Row],[Type]]&gt;0,VLOOKUP(_1_5412845612146241046457891017456[[#This Row],[Type]],Main[[#All],[TYPE]:[UNIT]],'Unit Price'!D$1,FALSE),0)</f>
        <v>0</v>
      </c>
      <c r="I299" s="194">
        <f>IF(_1_5412845612146241046457891017456[[#This Row],[Type]]&gt;0,VLOOKUP(_1_5412845612146241046457891017456[[#This Row],[Type]],Main[[#All],[TYPE]:[UNIT]],'Unit Price'!G$1,FALSE),0)</f>
        <v>0</v>
      </c>
      <c r="J299" s="194">
        <f>IF(_1_5412845612146241046457891017456[[#This Row],[Type]]&gt;0,VLOOKUP(_1_5412845612146241046457891017456[[#This Row],[Type]],Main[[#All],[TYPE]:[UNIT]],'Unit Price'!H$1,FALSE),0)</f>
        <v>0</v>
      </c>
      <c r="K299" s="194">
        <f>IF(_1_5412845612146241046457891017456[[#This Row],[Discount selection]]&gt;0,VLOOKUP(_1_5412845612146241046457891017456[[#This Row],[Discount selection]],'Discount Structure'!$A$2:$B$30,2,"false"),0)</f>
        <v>1</v>
      </c>
      <c r="L299" s="194">
        <f>_1_5412845612146241046457891017456[[#This Row],[LIST $]]*_1_5412845612146241046457891017456[[#This Row],[DISCOUNT]]*_1_5412845612146241046457891017456[[#This Row],[DISCOUNT 2]]</f>
        <v>0</v>
      </c>
      <c r="M299" s="194">
        <f>IF(OR(_1_5412845612146241046457891017456[[#This Row],[UNIT]]&gt;0,_1_5412845612146241046457891017456[[#This Row],[UNIT]]&lt;0),_1_5412845612146241046457891017456[[#This Row],[UNIT]]*_1_5412845612146241046457891017456[[#This Row],[COST]],0)</f>
        <v>0</v>
      </c>
      <c r="N299" s="194">
        <f t="shared" si="4"/>
        <v>1.3</v>
      </c>
      <c r="O299" s="198">
        <f>_1_5412845612146241046457891017456[[#This Row],[TOTAL]]*_1_5412845612146241046457891017456[[#This Row],[MARGIN]]</f>
        <v>0</v>
      </c>
      <c r="R299" s="41"/>
    </row>
    <row r="300" spans="1:18">
      <c r="A300" s="323"/>
      <c r="B300" s="323"/>
      <c r="C300" s="323"/>
      <c r="D300" s="188"/>
      <c r="F300" s="168" t="s">
        <v>6202</v>
      </c>
      <c r="G300" s="193">
        <f>IF(_1_5412845612146241046457891017456[[#This Row],[Type]]&gt;0,VLOOKUP(_1_5412845612146241046457891017456[[#This Row],[Type]],Main[[#All],[TYPE]:[UNIT]],'Unit Price'!C$1,FALSE),0)</f>
        <v>0</v>
      </c>
      <c r="H300" s="197">
        <f>IF(_1_5412845612146241046457891017456[[#This Row],[Type]]&gt;0,VLOOKUP(_1_5412845612146241046457891017456[[#This Row],[Type]],Main[[#All],[TYPE]:[UNIT]],'Unit Price'!D$1,FALSE),0)</f>
        <v>0</v>
      </c>
      <c r="I300" s="194">
        <f>IF(_1_5412845612146241046457891017456[[#This Row],[Type]]&gt;0,VLOOKUP(_1_5412845612146241046457891017456[[#This Row],[Type]],Main[[#All],[TYPE]:[UNIT]],'Unit Price'!G$1,FALSE),0)</f>
        <v>0</v>
      </c>
      <c r="J300" s="194">
        <f>IF(_1_5412845612146241046457891017456[[#This Row],[Type]]&gt;0,VLOOKUP(_1_5412845612146241046457891017456[[#This Row],[Type]],Main[[#All],[TYPE]:[UNIT]],'Unit Price'!H$1,FALSE),0)</f>
        <v>0</v>
      </c>
      <c r="K300" s="194">
        <f>IF(_1_5412845612146241046457891017456[[#This Row],[Discount selection]]&gt;0,VLOOKUP(_1_5412845612146241046457891017456[[#This Row],[Discount selection]],'Discount Structure'!$A$2:$B$30,2,"false"),0)</f>
        <v>1</v>
      </c>
      <c r="L300" s="194">
        <f>_1_5412845612146241046457891017456[[#This Row],[LIST $]]*_1_5412845612146241046457891017456[[#This Row],[DISCOUNT]]*_1_5412845612146241046457891017456[[#This Row],[DISCOUNT 2]]</f>
        <v>0</v>
      </c>
      <c r="M300" s="194">
        <f>IF(OR(_1_5412845612146241046457891017456[[#This Row],[UNIT]]&gt;0,_1_5412845612146241046457891017456[[#This Row],[UNIT]]&lt;0),_1_5412845612146241046457891017456[[#This Row],[UNIT]]*_1_5412845612146241046457891017456[[#This Row],[COST]],0)</f>
        <v>0</v>
      </c>
      <c r="N300" s="194">
        <f t="shared" si="4"/>
        <v>1.3</v>
      </c>
      <c r="O300" s="198">
        <f>_1_5412845612146241046457891017456[[#This Row],[TOTAL]]*_1_5412845612146241046457891017456[[#This Row],[MARGIN]]</f>
        <v>0</v>
      </c>
      <c r="R300" s="41"/>
    </row>
    <row r="301" spans="1:18">
      <c r="A301" s="323"/>
      <c r="B301" s="323"/>
      <c r="C301" s="323"/>
      <c r="D301" s="188"/>
      <c r="F301" s="168" t="s">
        <v>6202</v>
      </c>
      <c r="G301" s="193">
        <f>IF(_1_5412845612146241046457891017456[[#This Row],[Type]]&gt;0,VLOOKUP(_1_5412845612146241046457891017456[[#This Row],[Type]],Main[[#All],[TYPE]:[UNIT]],'Unit Price'!C$1,FALSE),0)</f>
        <v>0</v>
      </c>
      <c r="H301" s="197">
        <f>IF(_1_5412845612146241046457891017456[[#This Row],[Type]]&gt;0,VLOOKUP(_1_5412845612146241046457891017456[[#This Row],[Type]],Main[[#All],[TYPE]:[UNIT]],'Unit Price'!D$1,FALSE),0)</f>
        <v>0</v>
      </c>
      <c r="I301" s="194">
        <f>IF(_1_5412845612146241046457891017456[[#This Row],[Type]]&gt;0,VLOOKUP(_1_5412845612146241046457891017456[[#This Row],[Type]],Main[[#All],[TYPE]:[UNIT]],'Unit Price'!G$1,FALSE),0)</f>
        <v>0</v>
      </c>
      <c r="J301" s="194">
        <f>IF(_1_5412845612146241046457891017456[[#This Row],[Type]]&gt;0,VLOOKUP(_1_5412845612146241046457891017456[[#This Row],[Type]],Main[[#All],[TYPE]:[UNIT]],'Unit Price'!H$1,FALSE),0)</f>
        <v>0</v>
      </c>
      <c r="K301" s="194">
        <f>IF(_1_5412845612146241046457891017456[[#This Row],[Discount selection]]&gt;0,VLOOKUP(_1_5412845612146241046457891017456[[#This Row],[Discount selection]],'Discount Structure'!$A$2:$B$30,2,"false"),0)</f>
        <v>1</v>
      </c>
      <c r="L301" s="194">
        <f>_1_5412845612146241046457891017456[[#This Row],[LIST $]]*_1_5412845612146241046457891017456[[#This Row],[DISCOUNT]]*_1_5412845612146241046457891017456[[#This Row],[DISCOUNT 2]]</f>
        <v>0</v>
      </c>
      <c r="M301" s="194">
        <f>IF(OR(_1_5412845612146241046457891017456[[#This Row],[UNIT]]&gt;0,_1_5412845612146241046457891017456[[#This Row],[UNIT]]&lt;0),_1_5412845612146241046457891017456[[#This Row],[UNIT]]*_1_5412845612146241046457891017456[[#This Row],[COST]],0)</f>
        <v>0</v>
      </c>
      <c r="N301" s="194">
        <f t="shared" si="4"/>
        <v>1.3</v>
      </c>
      <c r="O301" s="198">
        <f>_1_5412845612146241046457891017456[[#This Row],[TOTAL]]*_1_5412845612146241046457891017456[[#This Row],[MARGIN]]</f>
        <v>0</v>
      </c>
      <c r="R301" s="41"/>
    </row>
    <row r="302" spans="1:18">
      <c r="A302" s="323"/>
      <c r="B302" s="323"/>
      <c r="C302" s="323"/>
      <c r="D302" s="188"/>
      <c r="F302" s="168" t="s">
        <v>6202</v>
      </c>
      <c r="G302" s="193">
        <f>IF(_1_5412845612146241046457891017456[[#This Row],[Type]]&gt;0,VLOOKUP(_1_5412845612146241046457891017456[[#This Row],[Type]],Main[[#All],[TYPE]:[UNIT]],'Unit Price'!C$1,FALSE),0)</f>
        <v>0</v>
      </c>
      <c r="H302" s="197">
        <f>IF(_1_5412845612146241046457891017456[[#This Row],[Type]]&gt;0,VLOOKUP(_1_5412845612146241046457891017456[[#This Row],[Type]],Main[[#All],[TYPE]:[UNIT]],'Unit Price'!D$1,FALSE),0)</f>
        <v>0</v>
      </c>
      <c r="I302" s="194">
        <f>IF(_1_5412845612146241046457891017456[[#This Row],[Type]]&gt;0,VLOOKUP(_1_5412845612146241046457891017456[[#This Row],[Type]],Main[[#All],[TYPE]:[UNIT]],'Unit Price'!G$1,FALSE),0)</f>
        <v>0</v>
      </c>
      <c r="J302" s="194">
        <f>IF(_1_5412845612146241046457891017456[[#This Row],[Type]]&gt;0,VLOOKUP(_1_5412845612146241046457891017456[[#This Row],[Type]],Main[[#All],[TYPE]:[UNIT]],'Unit Price'!H$1,FALSE),0)</f>
        <v>0</v>
      </c>
      <c r="K302" s="194">
        <f>IF(_1_5412845612146241046457891017456[[#This Row],[Discount selection]]&gt;0,VLOOKUP(_1_5412845612146241046457891017456[[#This Row],[Discount selection]],'Discount Structure'!$A$2:$B$30,2,"false"),0)</f>
        <v>1</v>
      </c>
      <c r="L302" s="194">
        <f>_1_5412845612146241046457891017456[[#This Row],[LIST $]]*_1_5412845612146241046457891017456[[#This Row],[DISCOUNT]]*_1_5412845612146241046457891017456[[#This Row],[DISCOUNT 2]]</f>
        <v>0</v>
      </c>
      <c r="M302" s="194">
        <f>IF(OR(_1_5412845612146241046457891017456[[#This Row],[UNIT]]&gt;0,_1_5412845612146241046457891017456[[#This Row],[UNIT]]&lt;0),_1_5412845612146241046457891017456[[#This Row],[UNIT]]*_1_5412845612146241046457891017456[[#This Row],[COST]],0)</f>
        <v>0</v>
      </c>
      <c r="N302" s="194">
        <f t="shared" si="4"/>
        <v>1.3</v>
      </c>
      <c r="O302" s="198">
        <f>_1_5412845612146241046457891017456[[#This Row],[TOTAL]]*_1_5412845612146241046457891017456[[#This Row],[MARGIN]]</f>
        <v>0</v>
      </c>
      <c r="R302" s="41"/>
    </row>
    <row r="303" spans="1:18">
      <c r="D303" s="188"/>
      <c r="F303" s="168" t="s">
        <v>6202</v>
      </c>
      <c r="G303" s="205">
        <f>IF(_1_5412845612146241046457891017456[[#This Row],[Type]]&gt;0,VLOOKUP(_1_5412845612146241046457891017456[[#This Row],[Type]],Main[[#All],[TYPE]:[UNIT]],'Unit Price'!C$1,FALSE),0)</f>
        <v>0</v>
      </c>
      <c r="H303" s="197">
        <f>IF(_1_5412845612146241046457891017456[[#This Row],[Type]]&gt;0,VLOOKUP(_1_5412845612146241046457891017456[[#This Row],[Type]],Main[[#All],[TYPE]:[UNIT]],'Unit Price'!D$1,FALSE),0)</f>
        <v>0</v>
      </c>
      <c r="I303" s="194">
        <f>IF(_1_5412845612146241046457891017456[[#This Row],[Type]]&gt;0,VLOOKUP(_1_5412845612146241046457891017456[[#This Row],[Type]],Main[[#All],[TYPE]:[UNIT]],'Unit Price'!G$1,FALSE),0)</f>
        <v>0</v>
      </c>
      <c r="J303" s="194">
        <f>IF(_1_5412845612146241046457891017456[[#This Row],[Type]]&gt;0,VLOOKUP(_1_5412845612146241046457891017456[[#This Row],[Type]],Main[[#All],[TYPE]:[UNIT]],'Unit Price'!H$1,FALSE),0)</f>
        <v>0</v>
      </c>
      <c r="K303" s="194">
        <f>IF(_1_5412845612146241046457891017456[[#This Row],[Discount selection]]&gt;0,VLOOKUP(_1_5412845612146241046457891017456[[#This Row],[Discount selection]],'Discount Structure'!$A$2:$B$30,2,"false"),0)</f>
        <v>1</v>
      </c>
      <c r="L303" s="194">
        <f>_1_5412845612146241046457891017456[[#This Row],[LIST $]]*_1_5412845612146241046457891017456[[#This Row],[DISCOUNT]]*_1_5412845612146241046457891017456[[#This Row],[DISCOUNT 2]]</f>
        <v>0</v>
      </c>
      <c r="M303" s="194">
        <f>IF(OR(_1_5412845612146241046457891017456[[#This Row],[UNIT]]&gt;0,_1_5412845612146241046457891017456[[#This Row],[UNIT]]&lt;0),_1_5412845612146241046457891017456[[#This Row],[UNIT]]*_1_5412845612146241046457891017456[[#This Row],[COST]],0)</f>
        <v>0</v>
      </c>
      <c r="N303" s="194">
        <f t="shared" si="4"/>
        <v>1.3</v>
      </c>
      <c r="O303" s="198">
        <f>_1_5412845612146241046457891017456[[#This Row],[TOTAL]]*_1_5412845612146241046457891017456[[#This Row],[MARGIN]]</f>
        <v>0</v>
      </c>
      <c r="R303" s="41"/>
    </row>
    <row r="304" spans="1:18">
      <c r="A304" s="326"/>
      <c r="D304" s="188"/>
      <c r="F304" s="168" t="s">
        <v>6202</v>
      </c>
      <c r="G304" s="193">
        <f>IF(_1_5412845612146241046457891017456[[#This Row],[Type]]&gt;0,VLOOKUP(_1_5412845612146241046457891017456[[#This Row],[Type]],Main[[#All],[TYPE]:[UNIT]],'Unit Price'!C$1,FALSE),0)</f>
        <v>0</v>
      </c>
      <c r="H304" s="197">
        <f>IF(_1_5412845612146241046457891017456[[#This Row],[Type]]&gt;0,VLOOKUP(_1_5412845612146241046457891017456[[#This Row],[Type]],Main[[#All],[TYPE]:[UNIT]],'Unit Price'!D$1,FALSE),0)</f>
        <v>0</v>
      </c>
      <c r="I304" s="194">
        <f>IF(_1_5412845612146241046457891017456[[#This Row],[Type]]&gt;0,VLOOKUP(_1_5412845612146241046457891017456[[#This Row],[Type]],Main[[#All],[TYPE]:[UNIT]],'Unit Price'!G$1,FALSE),0)</f>
        <v>0</v>
      </c>
      <c r="J304" s="194">
        <f>IF(_1_5412845612146241046457891017456[[#This Row],[Type]]&gt;0,VLOOKUP(_1_5412845612146241046457891017456[[#This Row],[Type]],Main[[#All],[TYPE]:[UNIT]],'Unit Price'!H$1,FALSE),0)</f>
        <v>0</v>
      </c>
      <c r="K304" s="194">
        <f>IF(_1_5412845612146241046457891017456[[#This Row],[Discount selection]]&gt;0,VLOOKUP(_1_5412845612146241046457891017456[[#This Row],[Discount selection]],'Discount Structure'!$A$2:$B$30,2,"false"),0)</f>
        <v>1</v>
      </c>
      <c r="L304" s="194">
        <f>_1_5412845612146241046457891017456[[#This Row],[LIST $]]*_1_5412845612146241046457891017456[[#This Row],[DISCOUNT]]*_1_5412845612146241046457891017456[[#This Row],[DISCOUNT 2]]</f>
        <v>0</v>
      </c>
      <c r="M304" s="194">
        <f>IF(OR(_1_5412845612146241046457891017456[[#This Row],[UNIT]]&gt;0,_1_5412845612146241046457891017456[[#This Row],[UNIT]]&lt;0),_1_5412845612146241046457891017456[[#This Row],[UNIT]]*_1_5412845612146241046457891017456[[#This Row],[COST]],0)</f>
        <v>0</v>
      </c>
      <c r="N304" s="194">
        <f t="shared" si="4"/>
        <v>1.3</v>
      </c>
      <c r="O304" s="198">
        <f>_1_5412845612146241046457891017456[[#This Row],[TOTAL]]*_1_5412845612146241046457891017456[[#This Row],[MARGIN]]</f>
        <v>0</v>
      </c>
      <c r="R304" s="41"/>
    </row>
    <row r="305" spans="1:18">
      <c r="D305" s="188"/>
      <c r="F305" s="168" t="s">
        <v>6202</v>
      </c>
      <c r="G305" s="193">
        <f>IF(_1_5412845612146241046457891017456[[#This Row],[Type]]&gt;0,VLOOKUP(_1_5412845612146241046457891017456[[#This Row],[Type]],Main[[#All],[TYPE]:[UNIT]],'Unit Price'!C$1,FALSE),0)</f>
        <v>0</v>
      </c>
      <c r="H305" s="197">
        <f>IF(_1_5412845612146241046457891017456[[#This Row],[Type]]&gt;0,VLOOKUP(_1_5412845612146241046457891017456[[#This Row],[Type]],Main[[#All],[TYPE]:[UNIT]],'Unit Price'!D$1,FALSE),0)</f>
        <v>0</v>
      </c>
      <c r="I305" s="194">
        <f>IF(_1_5412845612146241046457891017456[[#This Row],[Type]]&gt;0,VLOOKUP(_1_5412845612146241046457891017456[[#This Row],[Type]],Main[[#All],[TYPE]:[UNIT]],'Unit Price'!G$1,FALSE),0)</f>
        <v>0</v>
      </c>
      <c r="J305" s="194">
        <f>IF(_1_5412845612146241046457891017456[[#This Row],[Type]]&gt;0,VLOOKUP(_1_5412845612146241046457891017456[[#This Row],[Type]],Main[[#All],[TYPE]:[UNIT]],'Unit Price'!H$1,FALSE),0)</f>
        <v>0</v>
      </c>
      <c r="K305" s="194">
        <f>IF(_1_5412845612146241046457891017456[[#This Row],[Discount selection]]&gt;0,VLOOKUP(_1_5412845612146241046457891017456[[#This Row],[Discount selection]],'Discount Structure'!$A$2:$B$30,2,"false"),0)</f>
        <v>1</v>
      </c>
      <c r="L305" s="194">
        <f>_1_5412845612146241046457891017456[[#This Row],[LIST $]]*_1_5412845612146241046457891017456[[#This Row],[DISCOUNT]]*_1_5412845612146241046457891017456[[#This Row],[DISCOUNT 2]]</f>
        <v>0</v>
      </c>
      <c r="M305" s="194">
        <f>IF(OR(_1_5412845612146241046457891017456[[#This Row],[UNIT]]&gt;0,_1_5412845612146241046457891017456[[#This Row],[UNIT]]&lt;0),_1_5412845612146241046457891017456[[#This Row],[UNIT]]*_1_5412845612146241046457891017456[[#This Row],[COST]],0)</f>
        <v>0</v>
      </c>
      <c r="N305" s="194">
        <f t="shared" si="4"/>
        <v>1.3</v>
      </c>
      <c r="O305" s="198">
        <f>_1_5412845612146241046457891017456[[#This Row],[TOTAL]]*_1_5412845612146241046457891017456[[#This Row],[MARGIN]]</f>
        <v>0</v>
      </c>
      <c r="R305" s="41"/>
    </row>
    <row r="306" spans="1:18">
      <c r="A306" s="327"/>
      <c r="B306" s="327"/>
      <c r="C306" s="323"/>
      <c r="D306" s="188"/>
      <c r="F306" s="168" t="s">
        <v>6202</v>
      </c>
      <c r="G306" s="193">
        <f>IF(_1_5412845612146241046457891017456[[#This Row],[Type]]&gt;0,VLOOKUP(_1_5412845612146241046457891017456[[#This Row],[Type]],Main[[#All],[TYPE]:[UNIT]],'Unit Price'!C$1,FALSE),0)</f>
        <v>0</v>
      </c>
      <c r="H306" s="197">
        <f>IF(_1_5412845612146241046457891017456[[#This Row],[Type]]&gt;0,VLOOKUP(_1_5412845612146241046457891017456[[#This Row],[Type]],Main[[#All],[TYPE]:[UNIT]],'Unit Price'!D$1,FALSE),0)</f>
        <v>0</v>
      </c>
      <c r="I306" s="194">
        <f>IF(_1_5412845612146241046457891017456[[#This Row],[Type]]&gt;0,VLOOKUP(_1_5412845612146241046457891017456[[#This Row],[Type]],Main[[#All],[TYPE]:[UNIT]],'Unit Price'!G$1,FALSE),0)</f>
        <v>0</v>
      </c>
      <c r="J306" s="194">
        <f>IF(_1_5412845612146241046457891017456[[#This Row],[Type]]&gt;0,VLOOKUP(_1_5412845612146241046457891017456[[#This Row],[Type]],Main[[#All],[TYPE]:[UNIT]],'Unit Price'!H$1,FALSE),0)</f>
        <v>0</v>
      </c>
      <c r="K306" s="194">
        <f>IF(_1_5412845612146241046457891017456[[#This Row],[Discount selection]]&gt;0,VLOOKUP(_1_5412845612146241046457891017456[[#This Row],[Discount selection]],'Discount Structure'!$A$2:$B$30,2,"false"),0)</f>
        <v>1</v>
      </c>
      <c r="L306" s="194">
        <f>_1_5412845612146241046457891017456[[#This Row],[LIST $]]*_1_5412845612146241046457891017456[[#This Row],[DISCOUNT]]*_1_5412845612146241046457891017456[[#This Row],[DISCOUNT 2]]</f>
        <v>0</v>
      </c>
      <c r="M306" s="194">
        <f>IF(OR(_1_5412845612146241046457891017456[[#This Row],[UNIT]]&gt;0,_1_5412845612146241046457891017456[[#This Row],[UNIT]]&lt;0),_1_5412845612146241046457891017456[[#This Row],[UNIT]]*_1_5412845612146241046457891017456[[#This Row],[COST]],0)</f>
        <v>0</v>
      </c>
      <c r="N306" s="194">
        <f t="shared" si="4"/>
        <v>1.3</v>
      </c>
      <c r="O306" s="198">
        <f>_1_5412845612146241046457891017456[[#This Row],[TOTAL]]*_1_5412845612146241046457891017456[[#This Row],[MARGIN]]</f>
        <v>0</v>
      </c>
      <c r="R306" s="41"/>
    </row>
    <row r="307" spans="1:18">
      <c r="A307" s="310"/>
      <c r="B307" s="310"/>
      <c r="C307" s="323"/>
      <c r="D307" s="188"/>
      <c r="F307" s="168" t="s">
        <v>6202</v>
      </c>
      <c r="G307" s="193">
        <f>IF(_1_5412845612146241046457891017456[[#This Row],[Type]]&gt;0,VLOOKUP(_1_5412845612146241046457891017456[[#This Row],[Type]],Main[[#All],[TYPE]:[UNIT]],'Unit Price'!C$1,FALSE),0)</f>
        <v>0</v>
      </c>
      <c r="H307" s="197">
        <f>IF(_1_5412845612146241046457891017456[[#This Row],[Type]]&gt;0,VLOOKUP(_1_5412845612146241046457891017456[[#This Row],[Type]],Main[[#All],[TYPE]:[UNIT]],'Unit Price'!D$1,FALSE),0)</f>
        <v>0</v>
      </c>
      <c r="I307" s="194">
        <f>IF(_1_5412845612146241046457891017456[[#This Row],[Type]]&gt;0,VLOOKUP(_1_5412845612146241046457891017456[[#This Row],[Type]],Main[[#All],[TYPE]:[UNIT]],'Unit Price'!G$1,FALSE),0)</f>
        <v>0</v>
      </c>
      <c r="J307" s="194">
        <f>IF(_1_5412845612146241046457891017456[[#This Row],[Type]]&gt;0,VLOOKUP(_1_5412845612146241046457891017456[[#This Row],[Type]],Main[[#All],[TYPE]:[UNIT]],'Unit Price'!H$1,FALSE),0)</f>
        <v>0</v>
      </c>
      <c r="K307" s="194">
        <f>IF(_1_5412845612146241046457891017456[[#This Row],[Discount selection]]&gt;0,VLOOKUP(_1_5412845612146241046457891017456[[#This Row],[Discount selection]],'Discount Structure'!$A$2:$B$30,2,"false"),0)</f>
        <v>1</v>
      </c>
      <c r="L307" s="194">
        <f>_1_5412845612146241046457891017456[[#This Row],[LIST $]]*_1_5412845612146241046457891017456[[#This Row],[DISCOUNT]]*_1_5412845612146241046457891017456[[#This Row],[DISCOUNT 2]]</f>
        <v>0</v>
      </c>
      <c r="M307" s="194">
        <f>IF(OR(_1_5412845612146241046457891017456[[#This Row],[UNIT]]&gt;0,_1_5412845612146241046457891017456[[#This Row],[UNIT]]&lt;0),_1_5412845612146241046457891017456[[#This Row],[UNIT]]*_1_5412845612146241046457891017456[[#This Row],[COST]],0)</f>
        <v>0</v>
      </c>
      <c r="N307" s="194">
        <f t="shared" si="4"/>
        <v>1.3</v>
      </c>
      <c r="O307" s="198">
        <f>_1_5412845612146241046457891017456[[#This Row],[TOTAL]]*_1_5412845612146241046457891017456[[#This Row],[MARGIN]]</f>
        <v>0</v>
      </c>
      <c r="R307" s="41"/>
    </row>
    <row r="308" spans="1:18">
      <c r="A308" s="341"/>
      <c r="B308" s="323"/>
      <c r="C308" s="323"/>
      <c r="D308" s="188"/>
      <c r="F308" s="168" t="s">
        <v>6202</v>
      </c>
      <c r="G308" s="193">
        <f>IF(_1_5412845612146241046457891017456[[#This Row],[Type]]&gt;0,VLOOKUP(_1_5412845612146241046457891017456[[#This Row],[Type]],Main[[#All],[TYPE]:[UNIT]],'Unit Price'!C$1,FALSE),0)</f>
        <v>0</v>
      </c>
      <c r="H308" s="197">
        <f>IF(_1_5412845612146241046457891017456[[#This Row],[Type]]&gt;0,VLOOKUP(_1_5412845612146241046457891017456[[#This Row],[Type]],Main[[#All],[TYPE]:[UNIT]],'Unit Price'!D$1,FALSE),0)</f>
        <v>0</v>
      </c>
      <c r="I308" s="194">
        <f>IF(_1_5412845612146241046457891017456[[#This Row],[Type]]&gt;0,VLOOKUP(_1_5412845612146241046457891017456[[#This Row],[Type]],Main[[#All],[TYPE]:[UNIT]],'Unit Price'!G$1,FALSE),0)</f>
        <v>0</v>
      </c>
      <c r="J308" s="194">
        <f>IF(_1_5412845612146241046457891017456[[#This Row],[Type]]&gt;0,VLOOKUP(_1_5412845612146241046457891017456[[#This Row],[Type]],Main[[#All],[TYPE]:[UNIT]],'Unit Price'!H$1,FALSE),0)</f>
        <v>0</v>
      </c>
      <c r="K308" s="194">
        <f>IF(_1_5412845612146241046457891017456[[#This Row],[Discount selection]]&gt;0,VLOOKUP(_1_5412845612146241046457891017456[[#This Row],[Discount selection]],'Discount Structure'!$A$2:$B$30,2,"false"),0)</f>
        <v>1</v>
      </c>
      <c r="L308" s="194">
        <f>_1_5412845612146241046457891017456[[#This Row],[LIST $]]*_1_5412845612146241046457891017456[[#This Row],[DISCOUNT]]*_1_5412845612146241046457891017456[[#This Row],[DISCOUNT 2]]</f>
        <v>0</v>
      </c>
      <c r="M308" s="194">
        <f>IF(OR(_1_5412845612146241046457891017456[[#This Row],[UNIT]]&gt;0,_1_5412845612146241046457891017456[[#This Row],[UNIT]]&lt;0),_1_5412845612146241046457891017456[[#This Row],[UNIT]]*_1_5412845612146241046457891017456[[#This Row],[COST]],0)</f>
        <v>0</v>
      </c>
      <c r="N308" s="194">
        <f t="shared" si="4"/>
        <v>1.3</v>
      </c>
      <c r="O308" s="198">
        <f>_1_5412845612146241046457891017456[[#This Row],[TOTAL]]*_1_5412845612146241046457891017456[[#This Row],[MARGIN]]</f>
        <v>0</v>
      </c>
      <c r="R308" s="41"/>
    </row>
    <row r="309" spans="1:18">
      <c r="D309" s="188"/>
      <c r="F309" s="168" t="s">
        <v>6202</v>
      </c>
      <c r="G309" s="193">
        <f>IF(_1_5412845612146241046457891017456[[#This Row],[Type]]&gt;0,VLOOKUP(_1_5412845612146241046457891017456[[#This Row],[Type]],Main[[#All],[TYPE]:[UNIT]],'Unit Price'!C$1,FALSE),0)</f>
        <v>0</v>
      </c>
      <c r="H309" s="197">
        <f>IF(_1_5412845612146241046457891017456[[#This Row],[Type]]&gt;0,VLOOKUP(_1_5412845612146241046457891017456[[#This Row],[Type]],Main[[#All],[TYPE]:[UNIT]],'Unit Price'!D$1,FALSE),0)</f>
        <v>0</v>
      </c>
      <c r="I309" s="194">
        <f>IF(_1_5412845612146241046457891017456[[#This Row],[Type]]&gt;0,VLOOKUP(_1_5412845612146241046457891017456[[#This Row],[Type]],Main[[#All],[TYPE]:[UNIT]],'Unit Price'!G$1,FALSE),0)</f>
        <v>0</v>
      </c>
      <c r="J309" s="194">
        <f>IF(_1_5412845612146241046457891017456[[#This Row],[Type]]&gt;0,VLOOKUP(_1_5412845612146241046457891017456[[#This Row],[Type]],Main[[#All],[TYPE]:[UNIT]],'Unit Price'!H$1,FALSE),0)</f>
        <v>0</v>
      </c>
      <c r="K309" s="194">
        <f>IF(_1_5412845612146241046457891017456[[#This Row],[Discount selection]]&gt;0,VLOOKUP(_1_5412845612146241046457891017456[[#This Row],[Discount selection]],'Discount Structure'!$A$2:$B$30,2,"false"),0)</f>
        <v>1</v>
      </c>
      <c r="L309" s="194">
        <f>_1_5412845612146241046457891017456[[#This Row],[LIST $]]*_1_5412845612146241046457891017456[[#This Row],[DISCOUNT]]*_1_5412845612146241046457891017456[[#This Row],[DISCOUNT 2]]</f>
        <v>0</v>
      </c>
      <c r="M309" s="194">
        <f>IF(OR(_1_5412845612146241046457891017456[[#This Row],[UNIT]]&gt;0,_1_5412845612146241046457891017456[[#This Row],[UNIT]]&lt;0),_1_5412845612146241046457891017456[[#This Row],[UNIT]]*_1_5412845612146241046457891017456[[#This Row],[COST]],0)</f>
        <v>0</v>
      </c>
      <c r="N309" s="194">
        <f t="shared" si="4"/>
        <v>1.3</v>
      </c>
      <c r="O309" s="198">
        <f>_1_5412845612146241046457891017456[[#This Row],[TOTAL]]*_1_5412845612146241046457891017456[[#This Row],[MARGIN]]</f>
        <v>0</v>
      </c>
      <c r="R309" s="41"/>
    </row>
    <row r="310" spans="1:18">
      <c r="A310" s="326"/>
      <c r="D310" s="188"/>
      <c r="F310" s="168" t="s">
        <v>6202</v>
      </c>
      <c r="G310" s="193">
        <f>IF(_1_5412845612146241046457891017456[[#This Row],[Type]]&gt;0,VLOOKUP(_1_5412845612146241046457891017456[[#This Row],[Type]],Main[[#All],[TYPE]:[UNIT]],'Unit Price'!C$1,FALSE),0)</f>
        <v>0</v>
      </c>
      <c r="H310" s="197">
        <f>IF(_1_5412845612146241046457891017456[[#This Row],[Type]]&gt;0,VLOOKUP(_1_5412845612146241046457891017456[[#This Row],[Type]],Main[[#All],[TYPE]:[UNIT]],'Unit Price'!D$1,FALSE),0)</f>
        <v>0</v>
      </c>
      <c r="I310" s="194">
        <f>IF(_1_5412845612146241046457891017456[[#This Row],[Type]]&gt;0,VLOOKUP(_1_5412845612146241046457891017456[[#This Row],[Type]],Main[[#All],[TYPE]:[UNIT]],'Unit Price'!G$1,FALSE),0)</f>
        <v>0</v>
      </c>
      <c r="J310" s="194">
        <f>IF(_1_5412845612146241046457891017456[[#This Row],[Type]]&gt;0,VLOOKUP(_1_5412845612146241046457891017456[[#This Row],[Type]],Main[[#All],[TYPE]:[UNIT]],'Unit Price'!H$1,FALSE),0)</f>
        <v>0</v>
      </c>
      <c r="K310" s="194">
        <f>IF(_1_5412845612146241046457891017456[[#This Row],[Discount selection]]&gt;0,VLOOKUP(_1_5412845612146241046457891017456[[#This Row],[Discount selection]],'Discount Structure'!$A$2:$B$30,2,"false"),0)</f>
        <v>1</v>
      </c>
      <c r="L310" s="194">
        <f>_1_5412845612146241046457891017456[[#This Row],[LIST $]]*_1_5412845612146241046457891017456[[#This Row],[DISCOUNT]]*_1_5412845612146241046457891017456[[#This Row],[DISCOUNT 2]]</f>
        <v>0</v>
      </c>
      <c r="M310" s="194">
        <f>IF(OR(_1_5412845612146241046457891017456[[#This Row],[UNIT]]&gt;0,_1_5412845612146241046457891017456[[#This Row],[UNIT]]&lt;0),_1_5412845612146241046457891017456[[#This Row],[UNIT]]*_1_5412845612146241046457891017456[[#This Row],[COST]],0)</f>
        <v>0</v>
      </c>
      <c r="N310" s="194">
        <f t="shared" si="4"/>
        <v>1.3</v>
      </c>
      <c r="O310" s="198">
        <f>_1_5412845612146241046457891017456[[#This Row],[TOTAL]]*_1_5412845612146241046457891017456[[#This Row],[MARGIN]]</f>
        <v>0</v>
      </c>
      <c r="R310" s="41"/>
    </row>
    <row r="311" spans="1:18">
      <c r="D311" s="188"/>
      <c r="F311" s="168" t="s">
        <v>6202</v>
      </c>
      <c r="G311" s="193">
        <f>IF(_1_5412845612146241046457891017456[[#This Row],[Type]]&gt;0,VLOOKUP(_1_5412845612146241046457891017456[[#This Row],[Type]],Main[[#All],[TYPE]:[UNIT]],'Unit Price'!C$1,FALSE),0)</f>
        <v>0</v>
      </c>
      <c r="H311" s="197">
        <f>IF(_1_5412845612146241046457891017456[[#This Row],[Type]]&gt;0,VLOOKUP(_1_5412845612146241046457891017456[[#This Row],[Type]],Main[[#All],[TYPE]:[UNIT]],'Unit Price'!D$1,FALSE),0)</f>
        <v>0</v>
      </c>
      <c r="I311" s="194">
        <f>IF(_1_5412845612146241046457891017456[[#This Row],[Type]]&gt;0,VLOOKUP(_1_5412845612146241046457891017456[[#This Row],[Type]],Main[[#All],[TYPE]:[UNIT]],'Unit Price'!G$1,FALSE),0)</f>
        <v>0</v>
      </c>
      <c r="J311" s="194">
        <f>IF(_1_5412845612146241046457891017456[[#This Row],[Type]]&gt;0,VLOOKUP(_1_5412845612146241046457891017456[[#This Row],[Type]],Main[[#All],[TYPE]:[UNIT]],'Unit Price'!H$1,FALSE),0)</f>
        <v>0</v>
      </c>
      <c r="K311" s="194">
        <f>IF(_1_5412845612146241046457891017456[[#This Row],[Discount selection]]&gt;0,VLOOKUP(_1_5412845612146241046457891017456[[#This Row],[Discount selection]],'Discount Structure'!$A$2:$B$30,2,"false"),0)</f>
        <v>1</v>
      </c>
      <c r="L311" s="194">
        <f>_1_5412845612146241046457891017456[[#This Row],[LIST $]]*_1_5412845612146241046457891017456[[#This Row],[DISCOUNT]]*_1_5412845612146241046457891017456[[#This Row],[DISCOUNT 2]]</f>
        <v>0</v>
      </c>
      <c r="M311" s="194">
        <f>IF(OR(_1_5412845612146241046457891017456[[#This Row],[UNIT]]&gt;0,_1_5412845612146241046457891017456[[#This Row],[UNIT]]&lt;0),_1_5412845612146241046457891017456[[#This Row],[UNIT]]*_1_5412845612146241046457891017456[[#This Row],[COST]],0)</f>
        <v>0</v>
      </c>
      <c r="N311" s="194">
        <f t="shared" si="4"/>
        <v>1.3</v>
      </c>
      <c r="O311" s="198">
        <f>_1_5412845612146241046457891017456[[#This Row],[TOTAL]]*_1_5412845612146241046457891017456[[#This Row],[MARGIN]]</f>
        <v>0</v>
      </c>
      <c r="R311" s="41"/>
    </row>
    <row r="312" spans="1:18">
      <c r="A312" s="323"/>
      <c r="B312" s="323"/>
      <c r="C312" s="323"/>
      <c r="D312" s="188"/>
      <c r="F312" s="168" t="s">
        <v>6202</v>
      </c>
      <c r="G312" s="193">
        <f>IF(_1_5412845612146241046457891017456[[#This Row],[Type]]&gt;0,VLOOKUP(_1_5412845612146241046457891017456[[#This Row],[Type]],Main[[#All],[TYPE]:[UNIT]],'Unit Price'!C$1,FALSE),0)</f>
        <v>0</v>
      </c>
      <c r="H312" s="197">
        <f>IF(_1_5412845612146241046457891017456[[#This Row],[Type]]&gt;0,VLOOKUP(_1_5412845612146241046457891017456[[#This Row],[Type]],Main[[#All],[TYPE]:[UNIT]],'Unit Price'!D$1,FALSE),0)</f>
        <v>0</v>
      </c>
      <c r="I312" s="194">
        <f>IF(_1_5412845612146241046457891017456[[#This Row],[Type]]&gt;0,VLOOKUP(_1_5412845612146241046457891017456[[#This Row],[Type]],Main[[#All],[TYPE]:[UNIT]],'Unit Price'!G$1,FALSE),0)</f>
        <v>0</v>
      </c>
      <c r="J312" s="194">
        <f>IF(_1_5412845612146241046457891017456[[#This Row],[Type]]&gt;0,VLOOKUP(_1_5412845612146241046457891017456[[#This Row],[Type]],Main[[#All],[TYPE]:[UNIT]],'Unit Price'!H$1,FALSE),0)</f>
        <v>0</v>
      </c>
      <c r="K312" s="194">
        <f>IF(_1_5412845612146241046457891017456[[#This Row],[Discount selection]]&gt;0,VLOOKUP(_1_5412845612146241046457891017456[[#This Row],[Discount selection]],'Discount Structure'!$A$2:$B$30,2,"false"),0)</f>
        <v>1</v>
      </c>
      <c r="L312" s="194">
        <f>_1_5412845612146241046457891017456[[#This Row],[LIST $]]*_1_5412845612146241046457891017456[[#This Row],[DISCOUNT]]*_1_5412845612146241046457891017456[[#This Row],[DISCOUNT 2]]</f>
        <v>0</v>
      </c>
      <c r="M312" s="194">
        <f>IF(OR(_1_5412845612146241046457891017456[[#This Row],[UNIT]]&gt;0,_1_5412845612146241046457891017456[[#This Row],[UNIT]]&lt;0),_1_5412845612146241046457891017456[[#This Row],[UNIT]]*_1_5412845612146241046457891017456[[#This Row],[COST]],0)</f>
        <v>0</v>
      </c>
      <c r="N312" s="194">
        <f t="shared" si="4"/>
        <v>1.3</v>
      </c>
      <c r="O312" s="198">
        <f>_1_5412845612146241046457891017456[[#This Row],[TOTAL]]*_1_5412845612146241046457891017456[[#This Row],[MARGIN]]</f>
        <v>0</v>
      </c>
      <c r="R312" s="41"/>
    </row>
    <row r="313" spans="1:18">
      <c r="A313" s="323"/>
      <c r="B313" s="323"/>
      <c r="C313" s="328"/>
      <c r="D313" s="188"/>
      <c r="F313" s="168" t="s">
        <v>6202</v>
      </c>
      <c r="G313" s="193">
        <f>IF(_1_5412845612146241046457891017456[[#This Row],[Type]]&gt;0,VLOOKUP(_1_5412845612146241046457891017456[[#This Row],[Type]],Main[[#All],[TYPE]:[UNIT]],'Unit Price'!C$1,FALSE),0)</f>
        <v>0</v>
      </c>
      <c r="H313" s="197">
        <f>IF(_1_5412845612146241046457891017456[[#This Row],[Type]]&gt;0,VLOOKUP(_1_5412845612146241046457891017456[[#This Row],[Type]],Main[[#All],[TYPE]:[UNIT]],'Unit Price'!D$1,FALSE),0)</f>
        <v>0</v>
      </c>
      <c r="I313" s="194">
        <f>IF(_1_5412845612146241046457891017456[[#This Row],[Type]]&gt;0,VLOOKUP(_1_5412845612146241046457891017456[[#This Row],[Type]],Main[[#All],[TYPE]:[UNIT]],'Unit Price'!G$1,FALSE),0)</f>
        <v>0</v>
      </c>
      <c r="J313" s="194">
        <f>IF(_1_5412845612146241046457891017456[[#This Row],[Type]]&gt;0,VLOOKUP(_1_5412845612146241046457891017456[[#This Row],[Type]],Main[[#All],[TYPE]:[UNIT]],'Unit Price'!H$1,FALSE),0)</f>
        <v>0</v>
      </c>
      <c r="K313" s="194">
        <f>IF(_1_5412845612146241046457891017456[[#This Row],[Discount selection]]&gt;0,VLOOKUP(_1_5412845612146241046457891017456[[#This Row],[Discount selection]],'Discount Structure'!$A$2:$B$30,2,"false"),0)</f>
        <v>1</v>
      </c>
      <c r="L313" s="194">
        <f>_1_5412845612146241046457891017456[[#This Row],[LIST $]]*_1_5412845612146241046457891017456[[#This Row],[DISCOUNT]]*_1_5412845612146241046457891017456[[#This Row],[DISCOUNT 2]]</f>
        <v>0</v>
      </c>
      <c r="M313" s="194">
        <f>IF(OR(_1_5412845612146241046457891017456[[#This Row],[UNIT]]&gt;0,_1_5412845612146241046457891017456[[#This Row],[UNIT]]&lt;0),_1_5412845612146241046457891017456[[#This Row],[UNIT]]*_1_5412845612146241046457891017456[[#This Row],[COST]],0)</f>
        <v>0</v>
      </c>
      <c r="N313" s="194">
        <f t="shared" si="4"/>
        <v>1.3</v>
      </c>
      <c r="O313" s="198">
        <f>_1_5412845612146241046457891017456[[#This Row],[TOTAL]]*_1_5412845612146241046457891017456[[#This Row],[MARGIN]]</f>
        <v>0</v>
      </c>
      <c r="R313" s="41"/>
    </row>
    <row r="314" spans="1:18">
      <c r="A314" s="323"/>
      <c r="B314" s="323"/>
      <c r="C314" s="328"/>
      <c r="D314" s="188"/>
      <c r="F314" s="168" t="s">
        <v>6202</v>
      </c>
      <c r="G314" s="205">
        <f>IF(_1_5412845612146241046457891017456[[#This Row],[Type]]&gt;0,VLOOKUP(_1_5412845612146241046457891017456[[#This Row],[Type]],Main[[#All],[TYPE]:[UNIT]],'Unit Price'!C$1,FALSE),0)</f>
        <v>0</v>
      </c>
      <c r="H314" s="197">
        <f>IF(_1_5412845612146241046457891017456[[#This Row],[Type]]&gt;0,VLOOKUP(_1_5412845612146241046457891017456[[#This Row],[Type]],Main[[#All],[TYPE]:[UNIT]],'Unit Price'!D$1,FALSE),0)</f>
        <v>0</v>
      </c>
      <c r="I314" s="194">
        <f>IF(_1_5412845612146241046457891017456[[#This Row],[Type]]&gt;0,VLOOKUP(_1_5412845612146241046457891017456[[#This Row],[Type]],Main[[#All],[TYPE]:[UNIT]],'Unit Price'!G$1,FALSE),0)</f>
        <v>0</v>
      </c>
      <c r="J314" s="194">
        <f>IF(_1_5412845612146241046457891017456[[#This Row],[Type]]&gt;0,VLOOKUP(_1_5412845612146241046457891017456[[#This Row],[Type]],Main[[#All],[TYPE]:[UNIT]],'Unit Price'!H$1,FALSE),0)</f>
        <v>0</v>
      </c>
      <c r="K314" s="194">
        <f>IF(_1_5412845612146241046457891017456[[#This Row],[Discount selection]]&gt;0,VLOOKUP(_1_5412845612146241046457891017456[[#This Row],[Discount selection]],'Discount Structure'!$A$2:$B$30,2,"false"),0)</f>
        <v>1</v>
      </c>
      <c r="L314" s="194">
        <f>_1_5412845612146241046457891017456[[#This Row],[LIST $]]*_1_5412845612146241046457891017456[[#This Row],[DISCOUNT]]*_1_5412845612146241046457891017456[[#This Row],[DISCOUNT 2]]</f>
        <v>0</v>
      </c>
      <c r="M314" s="194">
        <f>IF(OR(_1_5412845612146241046457891017456[[#This Row],[UNIT]]&gt;0,_1_5412845612146241046457891017456[[#This Row],[UNIT]]&lt;0),_1_5412845612146241046457891017456[[#This Row],[UNIT]]*_1_5412845612146241046457891017456[[#This Row],[COST]],0)</f>
        <v>0</v>
      </c>
      <c r="N314" s="194">
        <f t="shared" si="4"/>
        <v>1.3</v>
      </c>
      <c r="O314" s="198">
        <f>_1_5412845612146241046457891017456[[#This Row],[TOTAL]]*_1_5412845612146241046457891017456[[#This Row],[MARGIN]]</f>
        <v>0</v>
      </c>
      <c r="R314" s="41"/>
    </row>
    <row r="315" spans="1:18">
      <c r="D315" s="188"/>
      <c r="F315" s="168" t="s">
        <v>6202</v>
      </c>
      <c r="G315" s="193">
        <f>IF(_1_5412845612146241046457891017456[[#This Row],[Type]]&gt;0,VLOOKUP(_1_5412845612146241046457891017456[[#This Row],[Type]],Main[[#All],[TYPE]:[UNIT]],'Unit Price'!C$1,FALSE),0)</f>
        <v>0</v>
      </c>
      <c r="H315" s="197">
        <f>IF(_1_5412845612146241046457891017456[[#This Row],[Type]]&gt;0,VLOOKUP(_1_5412845612146241046457891017456[[#This Row],[Type]],Main[[#All],[TYPE]:[UNIT]],'Unit Price'!D$1,FALSE),0)</f>
        <v>0</v>
      </c>
      <c r="I315" s="194">
        <f>IF(_1_5412845612146241046457891017456[[#This Row],[Type]]&gt;0,VLOOKUP(_1_5412845612146241046457891017456[[#This Row],[Type]],Main[[#All],[TYPE]:[UNIT]],'Unit Price'!G$1,FALSE),0)</f>
        <v>0</v>
      </c>
      <c r="J315" s="194">
        <f>IF(_1_5412845612146241046457891017456[[#This Row],[Type]]&gt;0,VLOOKUP(_1_5412845612146241046457891017456[[#This Row],[Type]],Main[[#All],[TYPE]:[UNIT]],'Unit Price'!H$1,FALSE),0)</f>
        <v>0</v>
      </c>
      <c r="K315" s="194">
        <f>IF(_1_5412845612146241046457891017456[[#This Row],[Discount selection]]&gt;0,VLOOKUP(_1_5412845612146241046457891017456[[#This Row],[Discount selection]],'Discount Structure'!$A$2:$B$30,2,"false"),0)</f>
        <v>1</v>
      </c>
      <c r="L315" s="194">
        <f>_1_5412845612146241046457891017456[[#This Row],[LIST $]]*_1_5412845612146241046457891017456[[#This Row],[DISCOUNT]]*_1_5412845612146241046457891017456[[#This Row],[DISCOUNT 2]]</f>
        <v>0</v>
      </c>
      <c r="M315" s="194">
        <f>IF(OR(_1_5412845612146241046457891017456[[#This Row],[UNIT]]&gt;0,_1_5412845612146241046457891017456[[#This Row],[UNIT]]&lt;0),_1_5412845612146241046457891017456[[#This Row],[UNIT]]*_1_5412845612146241046457891017456[[#This Row],[COST]],0)</f>
        <v>0</v>
      </c>
      <c r="N315" s="194">
        <f t="shared" si="4"/>
        <v>1.3</v>
      </c>
      <c r="O315" s="198">
        <f>_1_5412845612146241046457891017456[[#This Row],[TOTAL]]*_1_5412845612146241046457891017456[[#This Row],[MARGIN]]</f>
        <v>0</v>
      </c>
      <c r="R315" s="41"/>
    </row>
    <row r="316" spans="1:18">
      <c r="A316" s="328"/>
      <c r="B316" s="323"/>
      <c r="C316" s="326"/>
      <c r="D316" s="188"/>
      <c r="F316" s="168" t="s">
        <v>6202</v>
      </c>
      <c r="G316" s="193">
        <f>IF(_1_5412845612146241046457891017456[[#This Row],[Type]]&gt;0,VLOOKUP(_1_5412845612146241046457891017456[[#This Row],[Type]],Main[[#All],[TYPE]:[UNIT]],'Unit Price'!C$1,FALSE),0)</f>
        <v>0</v>
      </c>
      <c r="H316" s="197">
        <f>IF(_1_5412845612146241046457891017456[[#This Row],[Type]]&gt;0,VLOOKUP(_1_5412845612146241046457891017456[[#This Row],[Type]],Main[[#All],[TYPE]:[UNIT]],'Unit Price'!D$1,FALSE),0)</f>
        <v>0</v>
      </c>
      <c r="I316" s="194">
        <f>IF(_1_5412845612146241046457891017456[[#This Row],[Type]]&gt;0,VLOOKUP(_1_5412845612146241046457891017456[[#This Row],[Type]],Main[[#All],[TYPE]:[UNIT]],'Unit Price'!G$1,FALSE),0)</f>
        <v>0</v>
      </c>
      <c r="J316" s="194">
        <f>IF(_1_5412845612146241046457891017456[[#This Row],[Type]]&gt;0,VLOOKUP(_1_5412845612146241046457891017456[[#This Row],[Type]],Main[[#All],[TYPE]:[UNIT]],'Unit Price'!H$1,FALSE),0)</f>
        <v>0</v>
      </c>
      <c r="K316" s="194">
        <f>IF(_1_5412845612146241046457891017456[[#This Row],[Discount selection]]&gt;0,VLOOKUP(_1_5412845612146241046457891017456[[#This Row],[Discount selection]],'Discount Structure'!$A$2:$B$30,2,"false"),0)</f>
        <v>1</v>
      </c>
      <c r="L316" s="194">
        <f>_1_5412845612146241046457891017456[[#This Row],[LIST $]]*_1_5412845612146241046457891017456[[#This Row],[DISCOUNT]]*_1_5412845612146241046457891017456[[#This Row],[DISCOUNT 2]]</f>
        <v>0</v>
      </c>
      <c r="M316" s="194">
        <f>IF(OR(_1_5412845612146241046457891017456[[#This Row],[UNIT]]&gt;0,_1_5412845612146241046457891017456[[#This Row],[UNIT]]&lt;0),_1_5412845612146241046457891017456[[#This Row],[UNIT]]*_1_5412845612146241046457891017456[[#This Row],[COST]],0)</f>
        <v>0</v>
      </c>
      <c r="N316" s="194">
        <f t="shared" si="4"/>
        <v>1.3</v>
      </c>
      <c r="O316" s="198">
        <f>_1_5412845612146241046457891017456[[#This Row],[TOTAL]]*_1_5412845612146241046457891017456[[#This Row],[MARGIN]]</f>
        <v>0</v>
      </c>
      <c r="R316" s="41"/>
    </row>
    <row r="317" spans="1:18">
      <c r="C317" s="328"/>
      <c r="D317" s="188"/>
      <c r="F317" s="168" t="s">
        <v>6202</v>
      </c>
      <c r="G317" s="193">
        <f>IF(_1_5412845612146241046457891017456[[#This Row],[Type]]&gt;0,VLOOKUP(_1_5412845612146241046457891017456[[#This Row],[Type]],Main[[#All],[TYPE]:[UNIT]],'Unit Price'!C$1,FALSE),0)</f>
        <v>0</v>
      </c>
      <c r="H317" s="197">
        <f>IF(_1_5412845612146241046457891017456[[#This Row],[Type]]&gt;0,VLOOKUP(_1_5412845612146241046457891017456[[#This Row],[Type]],Main[[#All],[TYPE]:[UNIT]],'Unit Price'!D$1,FALSE),0)</f>
        <v>0</v>
      </c>
      <c r="I317" s="194">
        <f>IF(_1_5412845612146241046457891017456[[#This Row],[Type]]&gt;0,VLOOKUP(_1_5412845612146241046457891017456[[#This Row],[Type]],Main[[#All],[TYPE]:[UNIT]],'Unit Price'!G$1,FALSE),0)</f>
        <v>0</v>
      </c>
      <c r="J317" s="194">
        <f>IF(_1_5412845612146241046457891017456[[#This Row],[Type]]&gt;0,VLOOKUP(_1_5412845612146241046457891017456[[#This Row],[Type]],Main[[#All],[TYPE]:[UNIT]],'Unit Price'!H$1,FALSE),0)</f>
        <v>0</v>
      </c>
      <c r="K317" s="194">
        <f>IF(_1_5412845612146241046457891017456[[#This Row],[Discount selection]]&gt;0,VLOOKUP(_1_5412845612146241046457891017456[[#This Row],[Discount selection]],'Discount Structure'!$A$2:$B$30,2,"false"),0)</f>
        <v>1</v>
      </c>
      <c r="L317" s="194">
        <f>_1_5412845612146241046457891017456[[#This Row],[LIST $]]*_1_5412845612146241046457891017456[[#This Row],[DISCOUNT]]*_1_5412845612146241046457891017456[[#This Row],[DISCOUNT 2]]</f>
        <v>0</v>
      </c>
      <c r="M317" s="194">
        <f>IF(OR(_1_5412845612146241046457891017456[[#This Row],[UNIT]]&gt;0,_1_5412845612146241046457891017456[[#This Row],[UNIT]]&lt;0),_1_5412845612146241046457891017456[[#This Row],[UNIT]]*_1_5412845612146241046457891017456[[#This Row],[COST]],0)</f>
        <v>0</v>
      </c>
      <c r="N317" s="194">
        <f t="shared" si="4"/>
        <v>1.3</v>
      </c>
      <c r="O317" s="198">
        <f>_1_5412845612146241046457891017456[[#This Row],[TOTAL]]*_1_5412845612146241046457891017456[[#This Row],[MARGIN]]</f>
        <v>0</v>
      </c>
      <c r="R317" s="41"/>
    </row>
    <row r="318" spans="1:18">
      <c r="D318" s="188"/>
      <c r="F318" s="168" t="s">
        <v>6202</v>
      </c>
      <c r="G318" s="193">
        <f>IF(_1_5412845612146241046457891017456[[#This Row],[Type]]&gt;0,VLOOKUP(_1_5412845612146241046457891017456[[#This Row],[Type]],Main[[#All],[TYPE]:[UNIT]],'Unit Price'!C$1,FALSE),0)</f>
        <v>0</v>
      </c>
      <c r="H318" s="197">
        <f>IF(_1_5412845612146241046457891017456[[#This Row],[Type]]&gt;0,VLOOKUP(_1_5412845612146241046457891017456[[#This Row],[Type]],Main[[#All],[TYPE]:[UNIT]],'Unit Price'!D$1,FALSE),0)</f>
        <v>0</v>
      </c>
      <c r="I318" s="194">
        <f>IF(_1_5412845612146241046457891017456[[#This Row],[Type]]&gt;0,VLOOKUP(_1_5412845612146241046457891017456[[#This Row],[Type]],Main[[#All],[TYPE]:[UNIT]],'Unit Price'!G$1,FALSE),0)</f>
        <v>0</v>
      </c>
      <c r="J318" s="194">
        <f>IF(_1_5412845612146241046457891017456[[#This Row],[Type]]&gt;0,VLOOKUP(_1_5412845612146241046457891017456[[#This Row],[Type]],Main[[#All],[TYPE]:[UNIT]],'Unit Price'!H$1,FALSE),0)</f>
        <v>0</v>
      </c>
      <c r="K318" s="194">
        <f>IF(_1_5412845612146241046457891017456[[#This Row],[Discount selection]]&gt;0,VLOOKUP(_1_5412845612146241046457891017456[[#This Row],[Discount selection]],'Discount Structure'!$A$2:$B$30,2,"false"),0)</f>
        <v>1</v>
      </c>
      <c r="L318" s="194">
        <f>_1_5412845612146241046457891017456[[#This Row],[LIST $]]*_1_5412845612146241046457891017456[[#This Row],[DISCOUNT]]*_1_5412845612146241046457891017456[[#This Row],[DISCOUNT 2]]</f>
        <v>0</v>
      </c>
      <c r="M318" s="194">
        <f>IF(OR(_1_5412845612146241046457891017456[[#This Row],[UNIT]]&gt;0,_1_5412845612146241046457891017456[[#This Row],[UNIT]]&lt;0),_1_5412845612146241046457891017456[[#This Row],[UNIT]]*_1_5412845612146241046457891017456[[#This Row],[COST]],0)</f>
        <v>0</v>
      </c>
      <c r="N318" s="194">
        <f t="shared" si="4"/>
        <v>1.3</v>
      </c>
      <c r="O318" s="198">
        <f>_1_5412845612146241046457891017456[[#This Row],[TOTAL]]*_1_5412845612146241046457891017456[[#This Row],[MARGIN]]</f>
        <v>0</v>
      </c>
      <c r="R318" s="41"/>
    </row>
    <row r="319" spans="1:18">
      <c r="A319" s="353"/>
      <c r="D319" s="188"/>
      <c r="F319" s="168" t="s">
        <v>6202</v>
      </c>
      <c r="G319" s="193">
        <f>IF(_1_5412845612146241046457891017456[[#This Row],[Type]]&gt;0,VLOOKUP(_1_5412845612146241046457891017456[[#This Row],[Type]],Main[[#All],[TYPE]:[UNIT]],'Unit Price'!C$1,FALSE),0)</f>
        <v>0</v>
      </c>
      <c r="H319" s="197">
        <f>IF(_1_5412845612146241046457891017456[[#This Row],[Type]]&gt;0,VLOOKUP(_1_5412845612146241046457891017456[[#This Row],[Type]],Main[[#All],[TYPE]:[UNIT]],'Unit Price'!D$1,FALSE),0)</f>
        <v>0</v>
      </c>
      <c r="I319" s="194">
        <f>IF(_1_5412845612146241046457891017456[[#This Row],[Type]]&gt;0,VLOOKUP(_1_5412845612146241046457891017456[[#This Row],[Type]],Main[[#All],[TYPE]:[UNIT]],'Unit Price'!G$1,FALSE),0)</f>
        <v>0</v>
      </c>
      <c r="J319" s="194">
        <f>IF(_1_5412845612146241046457891017456[[#This Row],[Type]]&gt;0,VLOOKUP(_1_5412845612146241046457891017456[[#This Row],[Type]],Main[[#All],[TYPE]:[UNIT]],'Unit Price'!H$1,FALSE),0)</f>
        <v>0</v>
      </c>
      <c r="K319" s="194">
        <f>IF(_1_5412845612146241046457891017456[[#This Row],[Discount selection]]&gt;0,VLOOKUP(_1_5412845612146241046457891017456[[#This Row],[Discount selection]],'Discount Structure'!$A$2:$B$30,2,"false"),0)</f>
        <v>1</v>
      </c>
      <c r="L319" s="194">
        <f>_1_5412845612146241046457891017456[[#This Row],[LIST $]]*_1_5412845612146241046457891017456[[#This Row],[DISCOUNT]]*_1_5412845612146241046457891017456[[#This Row],[DISCOUNT 2]]</f>
        <v>0</v>
      </c>
      <c r="M319" s="194">
        <f>IF(OR(_1_5412845612146241046457891017456[[#This Row],[UNIT]]&gt;0,_1_5412845612146241046457891017456[[#This Row],[UNIT]]&lt;0),_1_5412845612146241046457891017456[[#This Row],[UNIT]]*_1_5412845612146241046457891017456[[#This Row],[COST]],0)</f>
        <v>0</v>
      </c>
      <c r="N319" s="194">
        <f t="shared" si="4"/>
        <v>1.3</v>
      </c>
      <c r="O319" s="198">
        <f>_1_5412845612146241046457891017456[[#This Row],[TOTAL]]*_1_5412845612146241046457891017456[[#This Row],[MARGIN]]</f>
        <v>0</v>
      </c>
      <c r="R319" s="41"/>
    </row>
    <row r="320" spans="1:18">
      <c r="B320" s="326"/>
      <c r="C320" s="326"/>
      <c r="D320" s="188"/>
      <c r="F320" s="168" t="s">
        <v>6202</v>
      </c>
      <c r="G320" s="193">
        <f>IF(_1_5412845612146241046457891017456[[#This Row],[Type]]&gt;0,VLOOKUP(_1_5412845612146241046457891017456[[#This Row],[Type]],Main[[#All],[TYPE]:[UNIT]],'Unit Price'!C$1,FALSE),0)</f>
        <v>0</v>
      </c>
      <c r="H320" s="197">
        <f>IF(_1_5412845612146241046457891017456[[#This Row],[Type]]&gt;0,VLOOKUP(_1_5412845612146241046457891017456[[#This Row],[Type]],Main[[#All],[TYPE]:[UNIT]],'Unit Price'!D$1,FALSE),0)</f>
        <v>0</v>
      </c>
      <c r="I320" s="194">
        <f>IF(_1_5412845612146241046457891017456[[#This Row],[Type]]&gt;0,VLOOKUP(_1_5412845612146241046457891017456[[#This Row],[Type]],Main[[#All],[TYPE]:[UNIT]],'Unit Price'!G$1,FALSE),0)</f>
        <v>0</v>
      </c>
      <c r="J320" s="194">
        <f>IF(_1_5412845612146241046457891017456[[#This Row],[Type]]&gt;0,VLOOKUP(_1_5412845612146241046457891017456[[#This Row],[Type]],Main[[#All],[TYPE]:[UNIT]],'Unit Price'!H$1,FALSE),0)</f>
        <v>0</v>
      </c>
      <c r="K320" s="194">
        <f>IF(_1_5412845612146241046457891017456[[#This Row],[Discount selection]]&gt;0,VLOOKUP(_1_5412845612146241046457891017456[[#This Row],[Discount selection]],'Discount Structure'!$A$2:$B$30,2,"false"),0)</f>
        <v>1</v>
      </c>
      <c r="L320" s="194">
        <f>_1_5412845612146241046457891017456[[#This Row],[LIST $]]*_1_5412845612146241046457891017456[[#This Row],[DISCOUNT]]*_1_5412845612146241046457891017456[[#This Row],[DISCOUNT 2]]</f>
        <v>0</v>
      </c>
      <c r="M320" s="194">
        <f>IF(OR(_1_5412845612146241046457891017456[[#This Row],[UNIT]]&gt;0,_1_5412845612146241046457891017456[[#This Row],[UNIT]]&lt;0),_1_5412845612146241046457891017456[[#This Row],[UNIT]]*_1_5412845612146241046457891017456[[#This Row],[COST]],0)</f>
        <v>0</v>
      </c>
      <c r="N320" s="194">
        <f t="shared" si="4"/>
        <v>1.3</v>
      </c>
      <c r="O320" s="198">
        <f>_1_5412845612146241046457891017456[[#This Row],[TOTAL]]*_1_5412845612146241046457891017456[[#This Row],[MARGIN]]</f>
        <v>0</v>
      </c>
      <c r="R320" s="41"/>
    </row>
    <row r="321" spans="1:18">
      <c r="A321" s="168"/>
      <c r="B321" s="168"/>
      <c r="C321" s="168"/>
      <c r="D321" s="188"/>
      <c r="F321" s="168" t="s">
        <v>6202</v>
      </c>
      <c r="G321" s="193">
        <f>IF(_1_5412845612146241046457891017456[[#This Row],[Type]]&gt;0,VLOOKUP(_1_5412845612146241046457891017456[[#This Row],[Type]],Main[[#All],[TYPE]:[UNIT]],'Unit Price'!C$1,FALSE),0)</f>
        <v>0</v>
      </c>
      <c r="H321" s="197">
        <f>IF(_1_5412845612146241046457891017456[[#This Row],[Type]]&gt;0,VLOOKUP(_1_5412845612146241046457891017456[[#This Row],[Type]],Main[[#All],[TYPE]:[UNIT]],'Unit Price'!D$1,FALSE),0)</f>
        <v>0</v>
      </c>
      <c r="I321" s="194">
        <f>IF(_1_5412845612146241046457891017456[[#This Row],[Type]]&gt;0,VLOOKUP(_1_5412845612146241046457891017456[[#This Row],[Type]],Main[[#All],[TYPE]:[UNIT]],'Unit Price'!G$1,FALSE),0)</f>
        <v>0</v>
      </c>
      <c r="J321" s="194">
        <f>IF(_1_5412845612146241046457891017456[[#This Row],[Type]]&gt;0,VLOOKUP(_1_5412845612146241046457891017456[[#This Row],[Type]],Main[[#All],[TYPE]:[UNIT]],'Unit Price'!H$1,FALSE),0)</f>
        <v>0</v>
      </c>
      <c r="K321" s="194">
        <f>IF(_1_5412845612146241046457891017456[[#This Row],[Discount selection]]&gt;0,VLOOKUP(_1_5412845612146241046457891017456[[#This Row],[Discount selection]],'Discount Structure'!$A$2:$B$30,2,"false"),0)</f>
        <v>1</v>
      </c>
      <c r="L321" s="194">
        <f>_1_5412845612146241046457891017456[[#This Row],[LIST $]]*_1_5412845612146241046457891017456[[#This Row],[DISCOUNT]]*_1_5412845612146241046457891017456[[#This Row],[DISCOUNT 2]]</f>
        <v>0</v>
      </c>
      <c r="M321" s="194">
        <f>IF(OR(_1_5412845612146241046457891017456[[#This Row],[UNIT]]&gt;0,_1_5412845612146241046457891017456[[#This Row],[UNIT]]&lt;0),_1_5412845612146241046457891017456[[#This Row],[UNIT]]*_1_5412845612146241046457891017456[[#This Row],[COST]],0)</f>
        <v>0</v>
      </c>
      <c r="N321" s="194">
        <f t="shared" si="4"/>
        <v>1.3</v>
      </c>
      <c r="O321" s="198">
        <f>_1_5412845612146241046457891017456[[#This Row],[TOTAL]]*_1_5412845612146241046457891017456[[#This Row],[MARGIN]]</f>
        <v>0</v>
      </c>
      <c r="R321" s="41"/>
    </row>
    <row r="322" spans="1:18">
      <c r="A322" s="327"/>
      <c r="B322" s="326"/>
      <c r="C322" s="326"/>
      <c r="D322" s="188"/>
      <c r="F322" s="168" t="s">
        <v>6202</v>
      </c>
      <c r="G322" s="193">
        <f>IF(_1_5412845612146241046457891017456[[#This Row],[Type]]&gt;0,VLOOKUP(_1_5412845612146241046457891017456[[#This Row],[Type]],Main[[#All],[TYPE]:[UNIT]],'Unit Price'!C$1,FALSE),0)</f>
        <v>0</v>
      </c>
      <c r="H322" s="197">
        <f>IF(_1_5412845612146241046457891017456[[#This Row],[Type]]&gt;0,VLOOKUP(_1_5412845612146241046457891017456[[#This Row],[Type]],Main[[#All],[TYPE]:[UNIT]],'Unit Price'!D$1,FALSE),0)</f>
        <v>0</v>
      </c>
      <c r="I322" s="194">
        <f>IF(_1_5412845612146241046457891017456[[#This Row],[Type]]&gt;0,VLOOKUP(_1_5412845612146241046457891017456[[#This Row],[Type]],Main[[#All],[TYPE]:[UNIT]],'Unit Price'!G$1,FALSE),0)</f>
        <v>0</v>
      </c>
      <c r="J322" s="194">
        <f>IF(_1_5412845612146241046457891017456[[#This Row],[Type]]&gt;0,VLOOKUP(_1_5412845612146241046457891017456[[#This Row],[Type]],Main[[#All],[TYPE]:[UNIT]],'Unit Price'!H$1,FALSE),0)</f>
        <v>0</v>
      </c>
      <c r="K322" s="194">
        <f>IF(_1_5412845612146241046457891017456[[#This Row],[Discount selection]]&gt;0,VLOOKUP(_1_5412845612146241046457891017456[[#This Row],[Discount selection]],'Discount Structure'!$A$2:$B$30,2,"false"),0)</f>
        <v>1</v>
      </c>
      <c r="L322" s="194">
        <f>_1_5412845612146241046457891017456[[#This Row],[LIST $]]*_1_5412845612146241046457891017456[[#This Row],[DISCOUNT]]*_1_5412845612146241046457891017456[[#This Row],[DISCOUNT 2]]</f>
        <v>0</v>
      </c>
      <c r="M322" s="194">
        <f>IF(OR(_1_5412845612146241046457891017456[[#This Row],[UNIT]]&gt;0,_1_5412845612146241046457891017456[[#This Row],[UNIT]]&lt;0),_1_5412845612146241046457891017456[[#This Row],[UNIT]]*_1_5412845612146241046457891017456[[#This Row],[COST]],0)</f>
        <v>0</v>
      </c>
      <c r="N322" s="194">
        <f t="shared" si="4"/>
        <v>1.3</v>
      </c>
      <c r="O322" s="198">
        <f>_1_5412845612146241046457891017456[[#This Row],[TOTAL]]*_1_5412845612146241046457891017456[[#This Row],[MARGIN]]</f>
        <v>0</v>
      </c>
      <c r="R322" s="41"/>
    </row>
    <row r="323" spans="1:18">
      <c r="A323" s="326"/>
      <c r="B323" s="353"/>
      <c r="C323" s="323"/>
      <c r="D323" s="188"/>
      <c r="F323" s="168" t="s">
        <v>6202</v>
      </c>
      <c r="G323" s="193">
        <f>IF(_1_5412845612146241046457891017456[[#This Row],[Type]]&gt;0,VLOOKUP(_1_5412845612146241046457891017456[[#This Row],[Type]],Main[[#All],[TYPE]:[UNIT]],'Unit Price'!C$1,FALSE),0)</f>
        <v>0</v>
      </c>
      <c r="H323" s="197">
        <f>IF(_1_5412845612146241046457891017456[[#This Row],[Type]]&gt;0,VLOOKUP(_1_5412845612146241046457891017456[[#This Row],[Type]],Main[[#All],[TYPE]:[UNIT]],'Unit Price'!D$1,FALSE),0)</f>
        <v>0</v>
      </c>
      <c r="I323" s="194">
        <f>IF(_1_5412845612146241046457891017456[[#This Row],[Type]]&gt;0,VLOOKUP(_1_5412845612146241046457891017456[[#This Row],[Type]],Main[[#All],[TYPE]:[UNIT]],'Unit Price'!G$1,FALSE),0)</f>
        <v>0</v>
      </c>
      <c r="J323" s="194">
        <f>IF(_1_5412845612146241046457891017456[[#This Row],[Type]]&gt;0,VLOOKUP(_1_5412845612146241046457891017456[[#This Row],[Type]],Main[[#All],[TYPE]:[UNIT]],'Unit Price'!H$1,FALSE),0)</f>
        <v>0</v>
      </c>
      <c r="K323" s="194">
        <f>IF(_1_5412845612146241046457891017456[[#This Row],[Discount selection]]&gt;0,VLOOKUP(_1_5412845612146241046457891017456[[#This Row],[Discount selection]],'Discount Structure'!$A$2:$B$30,2,"false"),0)</f>
        <v>1</v>
      </c>
      <c r="L323" s="194">
        <f>_1_5412845612146241046457891017456[[#This Row],[LIST $]]*_1_5412845612146241046457891017456[[#This Row],[DISCOUNT]]*_1_5412845612146241046457891017456[[#This Row],[DISCOUNT 2]]</f>
        <v>0</v>
      </c>
      <c r="M323" s="194">
        <f>IF(OR(_1_5412845612146241046457891017456[[#This Row],[UNIT]]&gt;0,_1_5412845612146241046457891017456[[#This Row],[UNIT]]&lt;0),_1_5412845612146241046457891017456[[#This Row],[UNIT]]*_1_5412845612146241046457891017456[[#This Row],[COST]],0)</f>
        <v>0</v>
      </c>
      <c r="N323" s="194">
        <f t="shared" si="4"/>
        <v>1.3</v>
      </c>
      <c r="O323" s="198">
        <f>_1_5412845612146241046457891017456[[#This Row],[TOTAL]]*_1_5412845612146241046457891017456[[#This Row],[MARGIN]]</f>
        <v>0</v>
      </c>
      <c r="R323" s="41"/>
    </row>
    <row r="324" spans="1:18">
      <c r="C324" s="353"/>
      <c r="D324" s="188"/>
      <c r="F324" s="168" t="s">
        <v>6202</v>
      </c>
      <c r="G324" s="205">
        <f>IF(_1_5412845612146241046457891017456[[#This Row],[Type]]&gt;0,VLOOKUP(_1_5412845612146241046457891017456[[#This Row],[Type]],Main[[#All],[TYPE]:[UNIT]],'Unit Price'!C$1,FALSE),0)</f>
        <v>0</v>
      </c>
      <c r="H324" s="197">
        <f>IF(_1_5412845612146241046457891017456[[#This Row],[Type]]&gt;0,VLOOKUP(_1_5412845612146241046457891017456[[#This Row],[Type]],Main[[#All],[TYPE]:[UNIT]],'Unit Price'!D$1,FALSE),0)</f>
        <v>0</v>
      </c>
      <c r="I324" s="194">
        <f>IF(_1_5412845612146241046457891017456[[#This Row],[Type]]&gt;0,VLOOKUP(_1_5412845612146241046457891017456[[#This Row],[Type]],Main[[#All],[TYPE]:[UNIT]],'Unit Price'!G$1,FALSE),0)</f>
        <v>0</v>
      </c>
      <c r="J324" s="194">
        <f>IF(_1_5412845612146241046457891017456[[#This Row],[Type]]&gt;0,VLOOKUP(_1_5412845612146241046457891017456[[#This Row],[Type]],Main[[#All],[TYPE]:[UNIT]],'Unit Price'!H$1,FALSE),0)</f>
        <v>0</v>
      </c>
      <c r="K324" s="194">
        <f>IF(_1_5412845612146241046457891017456[[#This Row],[Discount selection]]&gt;0,VLOOKUP(_1_5412845612146241046457891017456[[#This Row],[Discount selection]],'Discount Structure'!$A$2:$B$30,2,"false"),0)</f>
        <v>1</v>
      </c>
      <c r="L324" s="194">
        <f>_1_5412845612146241046457891017456[[#This Row],[LIST $]]*_1_5412845612146241046457891017456[[#This Row],[DISCOUNT]]*_1_5412845612146241046457891017456[[#This Row],[DISCOUNT 2]]</f>
        <v>0</v>
      </c>
      <c r="M324" s="194">
        <f>IF(OR(_1_5412845612146241046457891017456[[#This Row],[UNIT]]&gt;0,_1_5412845612146241046457891017456[[#This Row],[UNIT]]&lt;0),_1_5412845612146241046457891017456[[#This Row],[UNIT]]*_1_5412845612146241046457891017456[[#This Row],[COST]],0)</f>
        <v>0</v>
      </c>
      <c r="N324" s="194">
        <f t="shared" si="4"/>
        <v>1.3</v>
      </c>
      <c r="O324" s="198">
        <f>_1_5412845612146241046457891017456[[#This Row],[TOTAL]]*_1_5412845612146241046457891017456[[#This Row],[MARGIN]]</f>
        <v>0</v>
      </c>
      <c r="R324" s="41"/>
    </row>
    <row r="325" spans="1:18">
      <c r="D325" s="188"/>
      <c r="F325" s="168" t="s">
        <v>6202</v>
      </c>
      <c r="G325" s="193">
        <f>IF(_1_5412845612146241046457891017456[[#This Row],[Type]]&gt;0,VLOOKUP(_1_5412845612146241046457891017456[[#This Row],[Type]],Main[[#All],[TYPE]:[UNIT]],'Unit Price'!C$1,FALSE),0)</f>
        <v>0</v>
      </c>
      <c r="H325" s="197">
        <f>IF(_1_5412845612146241046457891017456[[#This Row],[Type]]&gt;0,VLOOKUP(_1_5412845612146241046457891017456[[#This Row],[Type]],Main[[#All],[TYPE]:[UNIT]],'Unit Price'!D$1,FALSE),0)</f>
        <v>0</v>
      </c>
      <c r="I325" s="194">
        <f>IF(_1_5412845612146241046457891017456[[#This Row],[Type]]&gt;0,VLOOKUP(_1_5412845612146241046457891017456[[#This Row],[Type]],Main[[#All],[TYPE]:[UNIT]],'Unit Price'!G$1,FALSE),0)</f>
        <v>0</v>
      </c>
      <c r="J325" s="194">
        <f>IF(_1_5412845612146241046457891017456[[#This Row],[Type]]&gt;0,VLOOKUP(_1_5412845612146241046457891017456[[#This Row],[Type]],Main[[#All],[TYPE]:[UNIT]],'Unit Price'!H$1,FALSE),0)</f>
        <v>0</v>
      </c>
      <c r="K325" s="194">
        <f>IF(_1_5412845612146241046457891017456[[#This Row],[Discount selection]]&gt;0,VLOOKUP(_1_5412845612146241046457891017456[[#This Row],[Discount selection]],'Discount Structure'!$A$2:$B$30,2,"false"),0)</f>
        <v>1</v>
      </c>
      <c r="L325" s="194">
        <f>_1_5412845612146241046457891017456[[#This Row],[LIST $]]*_1_5412845612146241046457891017456[[#This Row],[DISCOUNT]]*_1_5412845612146241046457891017456[[#This Row],[DISCOUNT 2]]</f>
        <v>0</v>
      </c>
      <c r="M325" s="194">
        <f>IF(OR(_1_5412845612146241046457891017456[[#This Row],[UNIT]]&gt;0,_1_5412845612146241046457891017456[[#This Row],[UNIT]]&lt;0),_1_5412845612146241046457891017456[[#This Row],[UNIT]]*_1_5412845612146241046457891017456[[#This Row],[COST]],0)</f>
        <v>0</v>
      </c>
      <c r="N325" s="194">
        <f t="shared" si="4"/>
        <v>1.3</v>
      </c>
      <c r="O325" s="198">
        <f>_1_5412845612146241046457891017456[[#This Row],[TOTAL]]*_1_5412845612146241046457891017456[[#This Row],[MARGIN]]</f>
        <v>0</v>
      </c>
      <c r="R325" s="41"/>
    </row>
    <row r="326" spans="1:18">
      <c r="A326" s="323"/>
      <c r="C326" s="353"/>
      <c r="D326" s="188"/>
      <c r="F326" s="168" t="s">
        <v>6202</v>
      </c>
      <c r="G326" s="193">
        <f>IF(_1_5412845612146241046457891017456[[#This Row],[Type]]&gt;0,VLOOKUP(_1_5412845612146241046457891017456[[#This Row],[Type]],Main[[#All],[TYPE]:[UNIT]],'Unit Price'!C$1,FALSE),0)</f>
        <v>0</v>
      </c>
      <c r="H326" s="197">
        <f>IF(_1_5412845612146241046457891017456[[#This Row],[Type]]&gt;0,VLOOKUP(_1_5412845612146241046457891017456[[#This Row],[Type]],Main[[#All],[TYPE]:[UNIT]],'Unit Price'!D$1,FALSE),0)</f>
        <v>0</v>
      </c>
      <c r="I326" s="194">
        <f>IF(_1_5412845612146241046457891017456[[#This Row],[Type]]&gt;0,VLOOKUP(_1_5412845612146241046457891017456[[#This Row],[Type]],Main[[#All],[TYPE]:[UNIT]],'Unit Price'!G$1,FALSE),0)</f>
        <v>0</v>
      </c>
      <c r="J326" s="194">
        <f>IF(_1_5412845612146241046457891017456[[#This Row],[Type]]&gt;0,VLOOKUP(_1_5412845612146241046457891017456[[#This Row],[Type]],Main[[#All],[TYPE]:[UNIT]],'Unit Price'!H$1,FALSE),0)</f>
        <v>0</v>
      </c>
      <c r="K326" s="194">
        <f>IF(_1_5412845612146241046457891017456[[#This Row],[Discount selection]]&gt;0,VLOOKUP(_1_5412845612146241046457891017456[[#This Row],[Discount selection]],'Discount Structure'!$A$2:$B$30,2,"false"),0)</f>
        <v>1</v>
      </c>
      <c r="L326" s="194">
        <f>_1_5412845612146241046457891017456[[#This Row],[LIST $]]*_1_5412845612146241046457891017456[[#This Row],[DISCOUNT]]*_1_5412845612146241046457891017456[[#This Row],[DISCOUNT 2]]</f>
        <v>0</v>
      </c>
      <c r="M326" s="194">
        <f>IF(OR(_1_5412845612146241046457891017456[[#This Row],[UNIT]]&gt;0,_1_5412845612146241046457891017456[[#This Row],[UNIT]]&lt;0),_1_5412845612146241046457891017456[[#This Row],[UNIT]]*_1_5412845612146241046457891017456[[#This Row],[COST]],0)</f>
        <v>0</v>
      </c>
      <c r="N326" s="194">
        <f t="shared" si="4"/>
        <v>1.3</v>
      </c>
      <c r="O326" s="198">
        <f>_1_5412845612146241046457891017456[[#This Row],[TOTAL]]*_1_5412845612146241046457891017456[[#This Row],[MARGIN]]</f>
        <v>0</v>
      </c>
      <c r="R326" s="41"/>
    </row>
    <row r="327" spans="1:18">
      <c r="B327" s="353"/>
      <c r="D327" s="188"/>
      <c r="F327" s="168" t="s">
        <v>6202</v>
      </c>
      <c r="G327" s="193">
        <f>IF(_1_5412845612146241046457891017456[[#This Row],[Type]]&gt;0,VLOOKUP(_1_5412845612146241046457891017456[[#This Row],[Type]],Main[[#All],[TYPE]:[UNIT]],'Unit Price'!C$1,FALSE),0)</f>
        <v>0</v>
      </c>
      <c r="H327" s="197">
        <f>IF(_1_5412845612146241046457891017456[[#This Row],[Type]]&gt;0,VLOOKUP(_1_5412845612146241046457891017456[[#This Row],[Type]],Main[[#All],[TYPE]:[UNIT]],'Unit Price'!D$1,FALSE),0)</f>
        <v>0</v>
      </c>
      <c r="I327" s="194">
        <f>IF(_1_5412845612146241046457891017456[[#This Row],[Type]]&gt;0,VLOOKUP(_1_5412845612146241046457891017456[[#This Row],[Type]],Main[[#All],[TYPE]:[UNIT]],'Unit Price'!G$1,FALSE),0)</f>
        <v>0</v>
      </c>
      <c r="J327" s="194">
        <f>IF(_1_5412845612146241046457891017456[[#This Row],[Type]]&gt;0,VLOOKUP(_1_5412845612146241046457891017456[[#This Row],[Type]],Main[[#All],[TYPE]:[UNIT]],'Unit Price'!H$1,FALSE),0)</f>
        <v>0</v>
      </c>
      <c r="K327" s="194">
        <f>IF(_1_5412845612146241046457891017456[[#This Row],[Discount selection]]&gt;0,VLOOKUP(_1_5412845612146241046457891017456[[#This Row],[Discount selection]],'Discount Structure'!$A$2:$B$30,2,"false"),0)</f>
        <v>1</v>
      </c>
      <c r="L327" s="194">
        <f>_1_5412845612146241046457891017456[[#This Row],[LIST $]]*_1_5412845612146241046457891017456[[#This Row],[DISCOUNT]]*_1_5412845612146241046457891017456[[#This Row],[DISCOUNT 2]]</f>
        <v>0</v>
      </c>
      <c r="M327" s="194">
        <f>IF(OR(_1_5412845612146241046457891017456[[#This Row],[UNIT]]&gt;0,_1_5412845612146241046457891017456[[#This Row],[UNIT]]&lt;0),_1_5412845612146241046457891017456[[#This Row],[UNIT]]*_1_5412845612146241046457891017456[[#This Row],[COST]],0)</f>
        <v>0</v>
      </c>
      <c r="N327" s="194">
        <f t="shared" si="4"/>
        <v>1.3</v>
      </c>
      <c r="O327" s="198">
        <f>_1_5412845612146241046457891017456[[#This Row],[TOTAL]]*_1_5412845612146241046457891017456[[#This Row],[MARGIN]]</f>
        <v>0</v>
      </c>
      <c r="R327" s="41"/>
    </row>
    <row r="328" spans="1:18">
      <c r="A328" s="323"/>
      <c r="C328" s="323"/>
      <c r="D328" s="188"/>
      <c r="F328" s="168" t="s">
        <v>6202</v>
      </c>
      <c r="G328" s="193">
        <f>IF(_1_5412845612146241046457891017456[[#This Row],[Type]]&gt;0,VLOOKUP(_1_5412845612146241046457891017456[[#This Row],[Type]],Main[[#All],[TYPE]:[UNIT]],'Unit Price'!C$1,FALSE),0)</f>
        <v>0</v>
      </c>
      <c r="H328" s="197">
        <f>IF(_1_5412845612146241046457891017456[[#This Row],[Type]]&gt;0,VLOOKUP(_1_5412845612146241046457891017456[[#This Row],[Type]],Main[[#All],[TYPE]:[UNIT]],'Unit Price'!D$1,FALSE),0)</f>
        <v>0</v>
      </c>
      <c r="I328" s="194">
        <f>IF(_1_5412845612146241046457891017456[[#This Row],[Type]]&gt;0,VLOOKUP(_1_5412845612146241046457891017456[[#This Row],[Type]],Main[[#All],[TYPE]:[UNIT]],'Unit Price'!G$1,FALSE),0)</f>
        <v>0</v>
      </c>
      <c r="J328" s="194">
        <f>IF(_1_5412845612146241046457891017456[[#This Row],[Type]]&gt;0,VLOOKUP(_1_5412845612146241046457891017456[[#This Row],[Type]],Main[[#All],[TYPE]:[UNIT]],'Unit Price'!H$1,FALSE),0)</f>
        <v>0</v>
      </c>
      <c r="K328" s="194">
        <f>IF(_1_5412845612146241046457891017456[[#This Row],[Discount selection]]&gt;0,VLOOKUP(_1_5412845612146241046457891017456[[#This Row],[Discount selection]],'Discount Structure'!$A$2:$B$30,2,"false"),0)</f>
        <v>1</v>
      </c>
      <c r="L328" s="194">
        <f>_1_5412845612146241046457891017456[[#This Row],[LIST $]]*_1_5412845612146241046457891017456[[#This Row],[DISCOUNT]]*_1_5412845612146241046457891017456[[#This Row],[DISCOUNT 2]]</f>
        <v>0</v>
      </c>
      <c r="M328" s="194">
        <f>IF(OR(_1_5412845612146241046457891017456[[#This Row],[UNIT]]&gt;0,_1_5412845612146241046457891017456[[#This Row],[UNIT]]&lt;0),_1_5412845612146241046457891017456[[#This Row],[UNIT]]*_1_5412845612146241046457891017456[[#This Row],[COST]],0)</f>
        <v>0</v>
      </c>
      <c r="N328" s="194">
        <f t="shared" si="4"/>
        <v>1.3</v>
      </c>
      <c r="O328" s="198">
        <f>_1_5412845612146241046457891017456[[#This Row],[TOTAL]]*_1_5412845612146241046457891017456[[#This Row],[MARGIN]]</f>
        <v>0</v>
      </c>
      <c r="R328" s="41"/>
    </row>
    <row r="329" spans="1:18">
      <c r="A329" s="323"/>
      <c r="B329" s="323"/>
      <c r="C329" s="323"/>
      <c r="D329" s="188"/>
      <c r="F329" s="168" t="s">
        <v>6202</v>
      </c>
      <c r="G329" s="193">
        <f>IF(_1_5412845612146241046457891017456[[#This Row],[Type]]&gt;0,VLOOKUP(_1_5412845612146241046457891017456[[#This Row],[Type]],Main[[#All],[TYPE]:[UNIT]],'Unit Price'!C$1,FALSE),0)</f>
        <v>0</v>
      </c>
      <c r="H329" s="197">
        <f>IF(_1_5412845612146241046457891017456[[#This Row],[Type]]&gt;0,VLOOKUP(_1_5412845612146241046457891017456[[#This Row],[Type]],Main[[#All],[TYPE]:[UNIT]],'Unit Price'!D$1,FALSE),0)</f>
        <v>0</v>
      </c>
      <c r="I329" s="194">
        <f>IF(_1_5412845612146241046457891017456[[#This Row],[Type]]&gt;0,VLOOKUP(_1_5412845612146241046457891017456[[#This Row],[Type]],Main[[#All],[TYPE]:[UNIT]],'Unit Price'!G$1,FALSE),0)</f>
        <v>0</v>
      </c>
      <c r="J329" s="194">
        <f>IF(_1_5412845612146241046457891017456[[#This Row],[Type]]&gt;0,VLOOKUP(_1_5412845612146241046457891017456[[#This Row],[Type]],Main[[#All],[TYPE]:[UNIT]],'Unit Price'!H$1,FALSE),0)</f>
        <v>0</v>
      </c>
      <c r="K329" s="194">
        <f>IF(_1_5412845612146241046457891017456[[#This Row],[Discount selection]]&gt;0,VLOOKUP(_1_5412845612146241046457891017456[[#This Row],[Discount selection]],'Discount Structure'!$A$2:$B$30,2,"false"),0)</f>
        <v>1</v>
      </c>
      <c r="L329" s="194">
        <f>_1_5412845612146241046457891017456[[#This Row],[LIST $]]*_1_5412845612146241046457891017456[[#This Row],[DISCOUNT]]*_1_5412845612146241046457891017456[[#This Row],[DISCOUNT 2]]</f>
        <v>0</v>
      </c>
      <c r="M329" s="194">
        <f>IF(OR(_1_5412845612146241046457891017456[[#This Row],[UNIT]]&gt;0,_1_5412845612146241046457891017456[[#This Row],[UNIT]]&lt;0),_1_5412845612146241046457891017456[[#This Row],[UNIT]]*_1_5412845612146241046457891017456[[#This Row],[COST]],0)</f>
        <v>0</v>
      </c>
      <c r="N329" s="194">
        <f t="shared" si="4"/>
        <v>1.3</v>
      </c>
      <c r="O329" s="198">
        <f>_1_5412845612146241046457891017456[[#This Row],[TOTAL]]*_1_5412845612146241046457891017456[[#This Row],[MARGIN]]</f>
        <v>0</v>
      </c>
      <c r="R329" s="41"/>
    </row>
    <row r="330" spans="1:18">
      <c r="A330" s="168"/>
      <c r="D330" s="188"/>
      <c r="F330" s="168" t="s">
        <v>6202</v>
      </c>
      <c r="G330" s="205">
        <f>IF(_1_5412845612146241046457891017456[[#This Row],[Type]]&gt;0,VLOOKUP(_1_5412845612146241046457891017456[[#This Row],[Type]],Main[[#All],[TYPE]:[UNIT]],'Unit Price'!C$1,FALSE),0)</f>
        <v>0</v>
      </c>
      <c r="H330" s="197">
        <f>IF(_1_5412845612146241046457891017456[[#This Row],[Type]]&gt;0,VLOOKUP(_1_5412845612146241046457891017456[[#This Row],[Type]],Main[[#All],[TYPE]:[UNIT]],'Unit Price'!D$1,FALSE),0)</f>
        <v>0</v>
      </c>
      <c r="I330" s="194">
        <f>IF(_1_5412845612146241046457891017456[[#This Row],[Type]]&gt;0,VLOOKUP(_1_5412845612146241046457891017456[[#This Row],[Type]],Main[[#All],[TYPE]:[UNIT]],'Unit Price'!G$1,FALSE),0)</f>
        <v>0</v>
      </c>
      <c r="J330" s="194">
        <f>IF(_1_5412845612146241046457891017456[[#This Row],[Type]]&gt;0,VLOOKUP(_1_5412845612146241046457891017456[[#This Row],[Type]],Main[[#All],[TYPE]:[UNIT]],'Unit Price'!H$1,FALSE),0)</f>
        <v>0</v>
      </c>
      <c r="K330" s="194">
        <f>IF(_1_5412845612146241046457891017456[[#This Row],[Discount selection]]&gt;0,VLOOKUP(_1_5412845612146241046457891017456[[#This Row],[Discount selection]],'Discount Structure'!$A$2:$B$30,2,"false"),0)</f>
        <v>1</v>
      </c>
      <c r="L330" s="194">
        <f>_1_5412845612146241046457891017456[[#This Row],[LIST $]]*_1_5412845612146241046457891017456[[#This Row],[DISCOUNT]]*_1_5412845612146241046457891017456[[#This Row],[DISCOUNT 2]]</f>
        <v>0</v>
      </c>
      <c r="M330" s="194">
        <f>IF(OR(_1_5412845612146241046457891017456[[#This Row],[UNIT]]&gt;0,_1_5412845612146241046457891017456[[#This Row],[UNIT]]&lt;0),_1_5412845612146241046457891017456[[#This Row],[UNIT]]*_1_5412845612146241046457891017456[[#This Row],[COST]],0)</f>
        <v>0</v>
      </c>
      <c r="N330" s="194">
        <f t="shared" ref="N330:N393" si="5">$N$7</f>
        <v>1.3</v>
      </c>
      <c r="O330" s="198">
        <f>_1_5412845612146241046457891017456[[#This Row],[TOTAL]]*_1_5412845612146241046457891017456[[#This Row],[MARGIN]]</f>
        <v>0</v>
      </c>
      <c r="R330" s="41"/>
    </row>
    <row r="331" spans="1:18">
      <c r="D331" s="188"/>
      <c r="F331" s="168" t="s">
        <v>6202</v>
      </c>
      <c r="G331" s="193">
        <f>IF(_1_5412845612146241046457891017456[[#This Row],[Type]]&gt;0,VLOOKUP(_1_5412845612146241046457891017456[[#This Row],[Type]],Main[[#All],[TYPE]:[UNIT]],'Unit Price'!C$1,FALSE),0)</f>
        <v>0</v>
      </c>
      <c r="H331" s="197">
        <f>IF(_1_5412845612146241046457891017456[[#This Row],[Type]]&gt;0,VLOOKUP(_1_5412845612146241046457891017456[[#This Row],[Type]],Main[[#All],[TYPE]:[UNIT]],'Unit Price'!D$1,FALSE),0)</f>
        <v>0</v>
      </c>
      <c r="I331" s="194">
        <f>IF(_1_5412845612146241046457891017456[[#This Row],[Type]]&gt;0,VLOOKUP(_1_5412845612146241046457891017456[[#This Row],[Type]],Main[[#All],[TYPE]:[UNIT]],'Unit Price'!G$1,FALSE),0)</f>
        <v>0</v>
      </c>
      <c r="J331" s="194">
        <f>IF(_1_5412845612146241046457891017456[[#This Row],[Type]]&gt;0,VLOOKUP(_1_5412845612146241046457891017456[[#This Row],[Type]],Main[[#All],[TYPE]:[UNIT]],'Unit Price'!H$1,FALSE),0)</f>
        <v>0</v>
      </c>
      <c r="K331" s="194">
        <f>IF(_1_5412845612146241046457891017456[[#This Row],[Discount selection]]&gt;0,VLOOKUP(_1_5412845612146241046457891017456[[#This Row],[Discount selection]],'Discount Structure'!$A$2:$B$30,2,"false"),0)</f>
        <v>1</v>
      </c>
      <c r="L331" s="194">
        <f>_1_5412845612146241046457891017456[[#This Row],[LIST $]]*_1_5412845612146241046457891017456[[#This Row],[DISCOUNT]]*_1_5412845612146241046457891017456[[#This Row],[DISCOUNT 2]]</f>
        <v>0</v>
      </c>
      <c r="M331" s="194">
        <f>IF(OR(_1_5412845612146241046457891017456[[#This Row],[UNIT]]&gt;0,_1_5412845612146241046457891017456[[#This Row],[UNIT]]&lt;0),_1_5412845612146241046457891017456[[#This Row],[UNIT]]*_1_5412845612146241046457891017456[[#This Row],[COST]],0)</f>
        <v>0</v>
      </c>
      <c r="N331" s="194">
        <f t="shared" si="5"/>
        <v>1.3</v>
      </c>
      <c r="O331" s="198">
        <f>_1_5412845612146241046457891017456[[#This Row],[TOTAL]]*_1_5412845612146241046457891017456[[#This Row],[MARGIN]]</f>
        <v>0</v>
      </c>
      <c r="R331" s="41"/>
    </row>
    <row r="332" spans="1:18">
      <c r="A332" s="168"/>
      <c r="B332" s="168"/>
      <c r="C332" s="168"/>
      <c r="D332" s="188"/>
      <c r="F332" s="168" t="s">
        <v>6202</v>
      </c>
      <c r="G332" s="193">
        <f>IF(_1_5412845612146241046457891017456[[#This Row],[Type]]&gt;0,VLOOKUP(_1_5412845612146241046457891017456[[#This Row],[Type]],Main[[#All],[TYPE]:[UNIT]],'Unit Price'!C$1,FALSE),0)</f>
        <v>0</v>
      </c>
      <c r="H332" s="197">
        <f>IF(_1_5412845612146241046457891017456[[#This Row],[Type]]&gt;0,VLOOKUP(_1_5412845612146241046457891017456[[#This Row],[Type]],Main[[#All],[TYPE]:[UNIT]],'Unit Price'!D$1,FALSE),0)</f>
        <v>0</v>
      </c>
      <c r="I332" s="194">
        <f>IF(_1_5412845612146241046457891017456[[#This Row],[Type]]&gt;0,VLOOKUP(_1_5412845612146241046457891017456[[#This Row],[Type]],Main[[#All],[TYPE]:[UNIT]],'Unit Price'!G$1,FALSE),0)</f>
        <v>0</v>
      </c>
      <c r="J332" s="194">
        <f>IF(_1_5412845612146241046457891017456[[#This Row],[Type]]&gt;0,VLOOKUP(_1_5412845612146241046457891017456[[#This Row],[Type]],Main[[#All],[TYPE]:[UNIT]],'Unit Price'!H$1,FALSE),0)</f>
        <v>0</v>
      </c>
      <c r="K332" s="194">
        <f>IF(_1_5412845612146241046457891017456[[#This Row],[Discount selection]]&gt;0,VLOOKUP(_1_5412845612146241046457891017456[[#This Row],[Discount selection]],'Discount Structure'!$A$2:$B$30,2,"false"),0)</f>
        <v>1</v>
      </c>
      <c r="L332" s="194">
        <f>_1_5412845612146241046457891017456[[#This Row],[LIST $]]*_1_5412845612146241046457891017456[[#This Row],[DISCOUNT]]*_1_5412845612146241046457891017456[[#This Row],[DISCOUNT 2]]</f>
        <v>0</v>
      </c>
      <c r="M332" s="194">
        <f>IF(OR(_1_5412845612146241046457891017456[[#This Row],[UNIT]]&gt;0,_1_5412845612146241046457891017456[[#This Row],[UNIT]]&lt;0),_1_5412845612146241046457891017456[[#This Row],[UNIT]]*_1_5412845612146241046457891017456[[#This Row],[COST]],0)</f>
        <v>0</v>
      </c>
      <c r="N332" s="194">
        <f t="shared" si="5"/>
        <v>1.3</v>
      </c>
      <c r="O332" s="198">
        <f>_1_5412845612146241046457891017456[[#This Row],[TOTAL]]*_1_5412845612146241046457891017456[[#This Row],[MARGIN]]</f>
        <v>0</v>
      </c>
      <c r="R332" s="41"/>
    </row>
    <row r="333" spans="1:18">
      <c r="A333" s="323"/>
      <c r="B333" s="323"/>
      <c r="C333" s="323"/>
      <c r="D333" s="188"/>
      <c r="F333" s="168" t="s">
        <v>6202</v>
      </c>
      <c r="G333" s="193">
        <f>IF(_1_5412845612146241046457891017456[[#This Row],[Type]]&gt;0,VLOOKUP(_1_5412845612146241046457891017456[[#This Row],[Type]],Main[[#All],[TYPE]:[UNIT]],'Unit Price'!C$1,FALSE),0)</f>
        <v>0</v>
      </c>
      <c r="H333" s="197">
        <f>IF(_1_5412845612146241046457891017456[[#This Row],[Type]]&gt;0,VLOOKUP(_1_5412845612146241046457891017456[[#This Row],[Type]],Main[[#All],[TYPE]:[UNIT]],'Unit Price'!D$1,FALSE),0)</f>
        <v>0</v>
      </c>
      <c r="I333" s="194">
        <f>IF(_1_5412845612146241046457891017456[[#This Row],[Type]]&gt;0,VLOOKUP(_1_5412845612146241046457891017456[[#This Row],[Type]],Main[[#All],[TYPE]:[UNIT]],'Unit Price'!G$1,FALSE),0)</f>
        <v>0</v>
      </c>
      <c r="J333" s="194">
        <f>IF(_1_5412845612146241046457891017456[[#This Row],[Type]]&gt;0,VLOOKUP(_1_5412845612146241046457891017456[[#This Row],[Type]],Main[[#All],[TYPE]:[UNIT]],'Unit Price'!H$1,FALSE),0)</f>
        <v>0</v>
      </c>
      <c r="K333" s="194">
        <f>IF(_1_5412845612146241046457891017456[[#This Row],[Discount selection]]&gt;0,VLOOKUP(_1_5412845612146241046457891017456[[#This Row],[Discount selection]],'Discount Structure'!$A$2:$B$30,2,"false"),0)</f>
        <v>1</v>
      </c>
      <c r="L333" s="194">
        <f>_1_5412845612146241046457891017456[[#This Row],[LIST $]]*_1_5412845612146241046457891017456[[#This Row],[DISCOUNT]]*_1_5412845612146241046457891017456[[#This Row],[DISCOUNT 2]]</f>
        <v>0</v>
      </c>
      <c r="M333" s="194">
        <f>IF(OR(_1_5412845612146241046457891017456[[#This Row],[UNIT]]&gt;0,_1_5412845612146241046457891017456[[#This Row],[UNIT]]&lt;0),_1_5412845612146241046457891017456[[#This Row],[UNIT]]*_1_5412845612146241046457891017456[[#This Row],[COST]],0)</f>
        <v>0</v>
      </c>
      <c r="N333" s="194">
        <f t="shared" si="5"/>
        <v>1.3</v>
      </c>
      <c r="O333" s="198">
        <f>_1_5412845612146241046457891017456[[#This Row],[TOTAL]]*_1_5412845612146241046457891017456[[#This Row],[MARGIN]]</f>
        <v>0</v>
      </c>
      <c r="R333" s="41"/>
    </row>
    <row r="334" spans="1:18">
      <c r="A334" s="323"/>
      <c r="B334" s="323"/>
      <c r="C334" s="323"/>
      <c r="D334" s="188"/>
      <c r="F334" s="168" t="s">
        <v>6202</v>
      </c>
      <c r="G334" s="193">
        <f>IF(_1_5412845612146241046457891017456[[#This Row],[Type]]&gt;0,VLOOKUP(_1_5412845612146241046457891017456[[#This Row],[Type]],Main[[#All],[TYPE]:[UNIT]],'Unit Price'!C$1,FALSE),0)</f>
        <v>0</v>
      </c>
      <c r="H334" s="197">
        <f>IF(_1_5412845612146241046457891017456[[#This Row],[Type]]&gt;0,VLOOKUP(_1_5412845612146241046457891017456[[#This Row],[Type]],Main[[#All],[TYPE]:[UNIT]],'Unit Price'!D$1,FALSE),0)</f>
        <v>0</v>
      </c>
      <c r="I334" s="194">
        <f>IF(_1_5412845612146241046457891017456[[#This Row],[Type]]&gt;0,VLOOKUP(_1_5412845612146241046457891017456[[#This Row],[Type]],Main[[#All],[TYPE]:[UNIT]],'Unit Price'!G$1,FALSE),0)</f>
        <v>0</v>
      </c>
      <c r="J334" s="194">
        <f>IF(_1_5412845612146241046457891017456[[#This Row],[Type]]&gt;0,VLOOKUP(_1_5412845612146241046457891017456[[#This Row],[Type]],Main[[#All],[TYPE]:[UNIT]],'Unit Price'!H$1,FALSE),0)</f>
        <v>0</v>
      </c>
      <c r="K334" s="194">
        <f>IF(_1_5412845612146241046457891017456[[#This Row],[Discount selection]]&gt;0,VLOOKUP(_1_5412845612146241046457891017456[[#This Row],[Discount selection]],'Discount Structure'!$A$2:$B$30,2,"false"),0)</f>
        <v>1</v>
      </c>
      <c r="L334" s="194">
        <f>_1_5412845612146241046457891017456[[#This Row],[LIST $]]*_1_5412845612146241046457891017456[[#This Row],[DISCOUNT]]*_1_5412845612146241046457891017456[[#This Row],[DISCOUNT 2]]</f>
        <v>0</v>
      </c>
      <c r="M334" s="194">
        <f>IF(OR(_1_5412845612146241046457891017456[[#This Row],[UNIT]]&gt;0,_1_5412845612146241046457891017456[[#This Row],[UNIT]]&lt;0),_1_5412845612146241046457891017456[[#This Row],[UNIT]]*_1_5412845612146241046457891017456[[#This Row],[COST]],0)</f>
        <v>0</v>
      </c>
      <c r="N334" s="194">
        <f t="shared" si="5"/>
        <v>1.3</v>
      </c>
      <c r="O334" s="198">
        <f>_1_5412845612146241046457891017456[[#This Row],[TOTAL]]*_1_5412845612146241046457891017456[[#This Row],[MARGIN]]</f>
        <v>0</v>
      </c>
      <c r="R334" s="41"/>
    </row>
    <row r="335" spans="1:18">
      <c r="D335" s="188"/>
      <c r="F335" s="168" t="s">
        <v>6202</v>
      </c>
      <c r="G335" s="205">
        <f>IF(_1_5412845612146241046457891017456[[#This Row],[Type]]&gt;0,VLOOKUP(_1_5412845612146241046457891017456[[#This Row],[Type]],Main[[#All],[TYPE]:[UNIT]],'Unit Price'!C$1,FALSE),0)</f>
        <v>0</v>
      </c>
      <c r="H335" s="197">
        <f>IF(_1_5412845612146241046457891017456[[#This Row],[Type]]&gt;0,VLOOKUP(_1_5412845612146241046457891017456[[#This Row],[Type]],Main[[#All],[TYPE]:[UNIT]],'Unit Price'!D$1,FALSE),0)</f>
        <v>0</v>
      </c>
      <c r="I335" s="194">
        <f>IF(_1_5412845612146241046457891017456[[#This Row],[Type]]&gt;0,VLOOKUP(_1_5412845612146241046457891017456[[#This Row],[Type]],Main[[#All],[TYPE]:[UNIT]],'Unit Price'!G$1,FALSE),0)</f>
        <v>0</v>
      </c>
      <c r="J335" s="194">
        <f>IF(_1_5412845612146241046457891017456[[#This Row],[Type]]&gt;0,VLOOKUP(_1_5412845612146241046457891017456[[#This Row],[Type]],Main[[#All],[TYPE]:[UNIT]],'Unit Price'!H$1,FALSE),0)</f>
        <v>0</v>
      </c>
      <c r="K335" s="194">
        <f>IF(_1_5412845612146241046457891017456[[#This Row],[Discount selection]]&gt;0,VLOOKUP(_1_5412845612146241046457891017456[[#This Row],[Discount selection]],'Discount Structure'!$A$2:$B$30,2,"false"),0)</f>
        <v>1</v>
      </c>
      <c r="L335" s="194">
        <f>_1_5412845612146241046457891017456[[#This Row],[LIST $]]*_1_5412845612146241046457891017456[[#This Row],[DISCOUNT]]*_1_5412845612146241046457891017456[[#This Row],[DISCOUNT 2]]</f>
        <v>0</v>
      </c>
      <c r="M335" s="194">
        <f>IF(OR(_1_5412845612146241046457891017456[[#This Row],[UNIT]]&gt;0,_1_5412845612146241046457891017456[[#This Row],[UNIT]]&lt;0),_1_5412845612146241046457891017456[[#This Row],[UNIT]]*_1_5412845612146241046457891017456[[#This Row],[COST]],0)</f>
        <v>0</v>
      </c>
      <c r="N335" s="194">
        <f t="shared" si="5"/>
        <v>1.3</v>
      </c>
      <c r="O335" s="198">
        <f>_1_5412845612146241046457891017456[[#This Row],[TOTAL]]*_1_5412845612146241046457891017456[[#This Row],[MARGIN]]</f>
        <v>0</v>
      </c>
      <c r="R335" s="41"/>
    </row>
    <row r="336" spans="1:18">
      <c r="D336" s="188"/>
      <c r="F336" s="168" t="s">
        <v>6202</v>
      </c>
      <c r="G336" s="193">
        <f>IF(_1_5412845612146241046457891017456[[#This Row],[Type]]&gt;0,VLOOKUP(_1_5412845612146241046457891017456[[#This Row],[Type]],Main[[#All],[TYPE]:[UNIT]],'Unit Price'!C$1,FALSE),0)</f>
        <v>0</v>
      </c>
      <c r="H336" s="197">
        <f>IF(_1_5412845612146241046457891017456[[#This Row],[Type]]&gt;0,VLOOKUP(_1_5412845612146241046457891017456[[#This Row],[Type]],Main[[#All],[TYPE]:[UNIT]],'Unit Price'!D$1,FALSE),0)</f>
        <v>0</v>
      </c>
      <c r="I336" s="194">
        <f>IF(_1_5412845612146241046457891017456[[#This Row],[Type]]&gt;0,VLOOKUP(_1_5412845612146241046457891017456[[#This Row],[Type]],Main[[#All],[TYPE]:[UNIT]],'Unit Price'!G$1,FALSE),0)</f>
        <v>0</v>
      </c>
      <c r="J336" s="194">
        <f>IF(_1_5412845612146241046457891017456[[#This Row],[Type]]&gt;0,VLOOKUP(_1_5412845612146241046457891017456[[#This Row],[Type]],Main[[#All],[TYPE]:[UNIT]],'Unit Price'!H$1,FALSE),0)</f>
        <v>0</v>
      </c>
      <c r="K336" s="194">
        <f>IF(_1_5412845612146241046457891017456[[#This Row],[Discount selection]]&gt;0,VLOOKUP(_1_5412845612146241046457891017456[[#This Row],[Discount selection]],'Discount Structure'!$A$2:$B$30,2,"false"),0)</f>
        <v>1</v>
      </c>
      <c r="L336" s="194">
        <f>_1_5412845612146241046457891017456[[#This Row],[LIST $]]*_1_5412845612146241046457891017456[[#This Row],[DISCOUNT]]*_1_5412845612146241046457891017456[[#This Row],[DISCOUNT 2]]</f>
        <v>0</v>
      </c>
      <c r="M336" s="194">
        <f>IF(OR(_1_5412845612146241046457891017456[[#This Row],[UNIT]]&gt;0,_1_5412845612146241046457891017456[[#This Row],[UNIT]]&lt;0),_1_5412845612146241046457891017456[[#This Row],[UNIT]]*_1_5412845612146241046457891017456[[#This Row],[COST]],0)</f>
        <v>0</v>
      </c>
      <c r="N336" s="194">
        <f t="shared" si="5"/>
        <v>1.3</v>
      </c>
      <c r="O336" s="198">
        <f>_1_5412845612146241046457891017456[[#This Row],[TOTAL]]*_1_5412845612146241046457891017456[[#This Row],[MARGIN]]</f>
        <v>0</v>
      </c>
      <c r="R336" s="41"/>
    </row>
    <row r="337" spans="1:18">
      <c r="D337" s="188"/>
      <c r="F337" s="168" t="s">
        <v>6202</v>
      </c>
      <c r="G337" s="193">
        <f>IF(_1_5412845612146241046457891017456[[#This Row],[Type]]&gt;0,VLOOKUP(_1_5412845612146241046457891017456[[#This Row],[Type]],Main[[#All],[TYPE]:[UNIT]],'Unit Price'!C$1,FALSE),0)</f>
        <v>0</v>
      </c>
      <c r="H337" s="197">
        <f>IF(_1_5412845612146241046457891017456[[#This Row],[Type]]&gt;0,VLOOKUP(_1_5412845612146241046457891017456[[#This Row],[Type]],Main[[#All],[TYPE]:[UNIT]],'Unit Price'!D$1,FALSE),0)</f>
        <v>0</v>
      </c>
      <c r="I337" s="194">
        <f>IF(_1_5412845612146241046457891017456[[#This Row],[Type]]&gt;0,VLOOKUP(_1_5412845612146241046457891017456[[#This Row],[Type]],Main[[#All],[TYPE]:[UNIT]],'Unit Price'!G$1,FALSE),0)</f>
        <v>0</v>
      </c>
      <c r="J337" s="194">
        <f>IF(_1_5412845612146241046457891017456[[#This Row],[Type]]&gt;0,VLOOKUP(_1_5412845612146241046457891017456[[#This Row],[Type]],Main[[#All],[TYPE]:[UNIT]],'Unit Price'!H$1,FALSE),0)</f>
        <v>0</v>
      </c>
      <c r="K337" s="194">
        <f>IF(_1_5412845612146241046457891017456[[#This Row],[Discount selection]]&gt;0,VLOOKUP(_1_5412845612146241046457891017456[[#This Row],[Discount selection]],'Discount Structure'!$A$2:$B$30,2,"false"),0)</f>
        <v>1</v>
      </c>
      <c r="L337" s="194">
        <f>_1_5412845612146241046457891017456[[#This Row],[LIST $]]*_1_5412845612146241046457891017456[[#This Row],[DISCOUNT]]*_1_5412845612146241046457891017456[[#This Row],[DISCOUNT 2]]</f>
        <v>0</v>
      </c>
      <c r="M337" s="194">
        <f>IF(OR(_1_5412845612146241046457891017456[[#This Row],[UNIT]]&gt;0,_1_5412845612146241046457891017456[[#This Row],[UNIT]]&lt;0),_1_5412845612146241046457891017456[[#This Row],[UNIT]]*_1_5412845612146241046457891017456[[#This Row],[COST]],0)</f>
        <v>0</v>
      </c>
      <c r="N337" s="194">
        <f t="shared" si="5"/>
        <v>1.3</v>
      </c>
      <c r="O337" s="198">
        <f>_1_5412845612146241046457891017456[[#This Row],[TOTAL]]*_1_5412845612146241046457891017456[[#This Row],[MARGIN]]</f>
        <v>0</v>
      </c>
      <c r="R337" s="41"/>
    </row>
    <row r="338" spans="1:18">
      <c r="A338" s="327"/>
      <c r="B338" s="327"/>
      <c r="D338" s="188"/>
      <c r="F338" s="168" t="s">
        <v>6202</v>
      </c>
      <c r="G338" s="193">
        <f>IF(_1_5412845612146241046457891017456[[#This Row],[Type]]&gt;0,VLOOKUP(_1_5412845612146241046457891017456[[#This Row],[Type]],Main[[#All],[TYPE]:[UNIT]],'Unit Price'!C$1,FALSE),0)</f>
        <v>0</v>
      </c>
      <c r="H338" s="197">
        <f>IF(_1_5412845612146241046457891017456[[#This Row],[Type]]&gt;0,VLOOKUP(_1_5412845612146241046457891017456[[#This Row],[Type]],Main[[#All],[TYPE]:[UNIT]],'Unit Price'!D$1,FALSE),0)</f>
        <v>0</v>
      </c>
      <c r="I338" s="194">
        <f>IF(_1_5412845612146241046457891017456[[#This Row],[Type]]&gt;0,VLOOKUP(_1_5412845612146241046457891017456[[#This Row],[Type]],Main[[#All],[TYPE]:[UNIT]],'Unit Price'!G$1,FALSE),0)</f>
        <v>0</v>
      </c>
      <c r="J338" s="194">
        <f>IF(_1_5412845612146241046457891017456[[#This Row],[Type]]&gt;0,VLOOKUP(_1_5412845612146241046457891017456[[#This Row],[Type]],Main[[#All],[TYPE]:[UNIT]],'Unit Price'!H$1,FALSE),0)</f>
        <v>0</v>
      </c>
      <c r="K338" s="194">
        <f>IF(_1_5412845612146241046457891017456[[#This Row],[Discount selection]]&gt;0,VLOOKUP(_1_5412845612146241046457891017456[[#This Row],[Discount selection]],'Discount Structure'!$A$2:$B$30,2,"false"),0)</f>
        <v>1</v>
      </c>
      <c r="L338" s="194">
        <f>_1_5412845612146241046457891017456[[#This Row],[LIST $]]*_1_5412845612146241046457891017456[[#This Row],[DISCOUNT]]*_1_5412845612146241046457891017456[[#This Row],[DISCOUNT 2]]</f>
        <v>0</v>
      </c>
      <c r="M338" s="194">
        <f>IF(OR(_1_5412845612146241046457891017456[[#This Row],[UNIT]]&gt;0,_1_5412845612146241046457891017456[[#This Row],[UNIT]]&lt;0),_1_5412845612146241046457891017456[[#This Row],[UNIT]]*_1_5412845612146241046457891017456[[#This Row],[COST]],0)</f>
        <v>0</v>
      </c>
      <c r="N338" s="194">
        <f t="shared" si="5"/>
        <v>1.3</v>
      </c>
      <c r="O338" s="198">
        <f>_1_5412845612146241046457891017456[[#This Row],[TOTAL]]*_1_5412845612146241046457891017456[[#This Row],[MARGIN]]</f>
        <v>0</v>
      </c>
      <c r="R338" s="41"/>
    </row>
    <row r="339" spans="1:18">
      <c r="D339" s="188"/>
      <c r="F339" s="168" t="s">
        <v>6202</v>
      </c>
      <c r="G339" s="193">
        <f>IF(_1_5412845612146241046457891017456[[#This Row],[Type]]&gt;0,VLOOKUP(_1_5412845612146241046457891017456[[#This Row],[Type]],Main[[#All],[TYPE]:[UNIT]],'Unit Price'!C$1,FALSE),0)</f>
        <v>0</v>
      </c>
      <c r="H339" s="197">
        <f>IF(_1_5412845612146241046457891017456[[#This Row],[Type]]&gt;0,VLOOKUP(_1_5412845612146241046457891017456[[#This Row],[Type]],Main[[#All],[TYPE]:[UNIT]],'Unit Price'!D$1,FALSE),0)</f>
        <v>0</v>
      </c>
      <c r="I339" s="194">
        <f>IF(_1_5412845612146241046457891017456[[#This Row],[Type]]&gt;0,VLOOKUP(_1_5412845612146241046457891017456[[#This Row],[Type]],Main[[#All],[TYPE]:[UNIT]],'Unit Price'!G$1,FALSE),0)</f>
        <v>0</v>
      </c>
      <c r="J339" s="194">
        <f>IF(_1_5412845612146241046457891017456[[#This Row],[Type]]&gt;0,VLOOKUP(_1_5412845612146241046457891017456[[#This Row],[Type]],Main[[#All],[TYPE]:[UNIT]],'Unit Price'!H$1,FALSE),0)</f>
        <v>0</v>
      </c>
      <c r="K339" s="194">
        <f>IF(_1_5412845612146241046457891017456[[#This Row],[Discount selection]]&gt;0,VLOOKUP(_1_5412845612146241046457891017456[[#This Row],[Discount selection]],'Discount Structure'!$A$2:$B$30,2,"false"),0)</f>
        <v>1</v>
      </c>
      <c r="L339" s="194">
        <f>_1_5412845612146241046457891017456[[#This Row],[LIST $]]*_1_5412845612146241046457891017456[[#This Row],[DISCOUNT]]*_1_5412845612146241046457891017456[[#This Row],[DISCOUNT 2]]</f>
        <v>0</v>
      </c>
      <c r="M339" s="194">
        <f>IF(OR(_1_5412845612146241046457891017456[[#This Row],[UNIT]]&gt;0,_1_5412845612146241046457891017456[[#This Row],[UNIT]]&lt;0),_1_5412845612146241046457891017456[[#This Row],[UNIT]]*_1_5412845612146241046457891017456[[#This Row],[COST]],0)</f>
        <v>0</v>
      </c>
      <c r="N339" s="194">
        <f t="shared" si="5"/>
        <v>1.3</v>
      </c>
      <c r="O339" s="198">
        <f>_1_5412845612146241046457891017456[[#This Row],[TOTAL]]*_1_5412845612146241046457891017456[[#This Row],[MARGIN]]</f>
        <v>0</v>
      </c>
      <c r="R339" s="41"/>
    </row>
    <row r="340" spans="1:18">
      <c r="D340" s="188"/>
      <c r="F340" s="168" t="s">
        <v>6202</v>
      </c>
      <c r="G340" s="193">
        <f>IF(_1_5412845612146241046457891017456[[#This Row],[Type]]&gt;0,VLOOKUP(_1_5412845612146241046457891017456[[#This Row],[Type]],Main[[#All],[TYPE]:[UNIT]],'Unit Price'!C$1,FALSE),0)</f>
        <v>0</v>
      </c>
      <c r="H340" s="197">
        <f>IF(_1_5412845612146241046457891017456[[#This Row],[Type]]&gt;0,VLOOKUP(_1_5412845612146241046457891017456[[#This Row],[Type]],Main[[#All],[TYPE]:[UNIT]],'Unit Price'!D$1,FALSE),0)</f>
        <v>0</v>
      </c>
      <c r="I340" s="194">
        <f>IF(_1_5412845612146241046457891017456[[#This Row],[Type]]&gt;0,VLOOKUP(_1_5412845612146241046457891017456[[#This Row],[Type]],Main[[#All],[TYPE]:[UNIT]],'Unit Price'!G$1,FALSE),0)</f>
        <v>0</v>
      </c>
      <c r="J340" s="194">
        <f>IF(_1_5412845612146241046457891017456[[#This Row],[Type]]&gt;0,VLOOKUP(_1_5412845612146241046457891017456[[#This Row],[Type]],Main[[#All],[TYPE]:[UNIT]],'Unit Price'!H$1,FALSE),0)</f>
        <v>0</v>
      </c>
      <c r="K340" s="194">
        <f>IF(_1_5412845612146241046457891017456[[#This Row],[Discount selection]]&gt;0,VLOOKUP(_1_5412845612146241046457891017456[[#This Row],[Discount selection]],'Discount Structure'!$A$2:$B$30,2,"false"),0)</f>
        <v>1</v>
      </c>
      <c r="L340" s="194">
        <f>_1_5412845612146241046457891017456[[#This Row],[LIST $]]*_1_5412845612146241046457891017456[[#This Row],[DISCOUNT]]*_1_5412845612146241046457891017456[[#This Row],[DISCOUNT 2]]</f>
        <v>0</v>
      </c>
      <c r="M340" s="194">
        <f>IF(OR(_1_5412845612146241046457891017456[[#This Row],[UNIT]]&gt;0,_1_5412845612146241046457891017456[[#This Row],[UNIT]]&lt;0),_1_5412845612146241046457891017456[[#This Row],[UNIT]]*_1_5412845612146241046457891017456[[#This Row],[COST]],0)</f>
        <v>0</v>
      </c>
      <c r="N340" s="194">
        <f t="shared" si="5"/>
        <v>1.3</v>
      </c>
      <c r="O340" s="198">
        <f>_1_5412845612146241046457891017456[[#This Row],[TOTAL]]*_1_5412845612146241046457891017456[[#This Row],[MARGIN]]</f>
        <v>0</v>
      </c>
      <c r="R340" s="41"/>
    </row>
    <row r="341" spans="1:18">
      <c r="D341" s="188"/>
      <c r="F341" s="168" t="s">
        <v>6202</v>
      </c>
      <c r="G341" s="193">
        <f>IF(_1_5412845612146241046457891017456[[#This Row],[Type]]&gt;0,VLOOKUP(_1_5412845612146241046457891017456[[#This Row],[Type]],Main[[#All],[TYPE]:[UNIT]],'Unit Price'!C$1,FALSE),0)</f>
        <v>0</v>
      </c>
      <c r="H341" s="197">
        <f>IF(_1_5412845612146241046457891017456[[#This Row],[Type]]&gt;0,VLOOKUP(_1_5412845612146241046457891017456[[#This Row],[Type]],Main[[#All],[TYPE]:[UNIT]],'Unit Price'!D$1,FALSE),0)</f>
        <v>0</v>
      </c>
      <c r="I341" s="194">
        <f>IF(_1_5412845612146241046457891017456[[#This Row],[Type]]&gt;0,VLOOKUP(_1_5412845612146241046457891017456[[#This Row],[Type]],Main[[#All],[TYPE]:[UNIT]],'Unit Price'!G$1,FALSE),0)</f>
        <v>0</v>
      </c>
      <c r="J341" s="194">
        <f>IF(_1_5412845612146241046457891017456[[#This Row],[Type]]&gt;0,VLOOKUP(_1_5412845612146241046457891017456[[#This Row],[Type]],Main[[#All],[TYPE]:[UNIT]],'Unit Price'!H$1,FALSE),0)</f>
        <v>0</v>
      </c>
      <c r="K341" s="194">
        <f>IF(_1_5412845612146241046457891017456[[#This Row],[Discount selection]]&gt;0,VLOOKUP(_1_5412845612146241046457891017456[[#This Row],[Discount selection]],'Discount Structure'!$A$2:$B$30,2,"false"),0)</f>
        <v>1</v>
      </c>
      <c r="L341" s="194">
        <f>_1_5412845612146241046457891017456[[#This Row],[LIST $]]*_1_5412845612146241046457891017456[[#This Row],[DISCOUNT]]*_1_5412845612146241046457891017456[[#This Row],[DISCOUNT 2]]</f>
        <v>0</v>
      </c>
      <c r="M341" s="194">
        <f>IF(OR(_1_5412845612146241046457891017456[[#This Row],[UNIT]]&gt;0,_1_5412845612146241046457891017456[[#This Row],[UNIT]]&lt;0),_1_5412845612146241046457891017456[[#This Row],[UNIT]]*_1_5412845612146241046457891017456[[#This Row],[COST]],0)</f>
        <v>0</v>
      </c>
      <c r="N341" s="194">
        <f t="shared" si="5"/>
        <v>1.3</v>
      </c>
      <c r="O341" s="198">
        <f>_1_5412845612146241046457891017456[[#This Row],[TOTAL]]*_1_5412845612146241046457891017456[[#This Row],[MARGIN]]</f>
        <v>0</v>
      </c>
      <c r="R341" s="41"/>
    </row>
    <row r="342" spans="1:18">
      <c r="D342" s="188"/>
      <c r="F342" s="168" t="s">
        <v>6202</v>
      </c>
      <c r="G342" s="193">
        <f>IF(_1_5412845612146241046457891017456[[#This Row],[Type]]&gt;0,VLOOKUP(_1_5412845612146241046457891017456[[#This Row],[Type]],Main[[#All],[TYPE]:[UNIT]],'Unit Price'!C$1,FALSE),0)</f>
        <v>0</v>
      </c>
      <c r="H342" s="197">
        <f>IF(_1_5412845612146241046457891017456[[#This Row],[Type]]&gt;0,VLOOKUP(_1_5412845612146241046457891017456[[#This Row],[Type]],Main[[#All],[TYPE]:[UNIT]],'Unit Price'!D$1,FALSE),0)</f>
        <v>0</v>
      </c>
      <c r="I342" s="194">
        <f>IF(_1_5412845612146241046457891017456[[#This Row],[Type]]&gt;0,VLOOKUP(_1_5412845612146241046457891017456[[#This Row],[Type]],Main[[#All],[TYPE]:[UNIT]],'Unit Price'!G$1,FALSE),0)</f>
        <v>0</v>
      </c>
      <c r="J342" s="194">
        <f>IF(_1_5412845612146241046457891017456[[#This Row],[Type]]&gt;0,VLOOKUP(_1_5412845612146241046457891017456[[#This Row],[Type]],Main[[#All],[TYPE]:[UNIT]],'Unit Price'!H$1,FALSE),0)</f>
        <v>0</v>
      </c>
      <c r="K342" s="194">
        <f>IF(_1_5412845612146241046457891017456[[#This Row],[Discount selection]]&gt;0,VLOOKUP(_1_5412845612146241046457891017456[[#This Row],[Discount selection]],'Discount Structure'!$A$2:$B$30,2,"false"),0)</f>
        <v>1</v>
      </c>
      <c r="L342" s="194">
        <f>_1_5412845612146241046457891017456[[#This Row],[LIST $]]*_1_5412845612146241046457891017456[[#This Row],[DISCOUNT]]*_1_5412845612146241046457891017456[[#This Row],[DISCOUNT 2]]</f>
        <v>0</v>
      </c>
      <c r="M342" s="194">
        <f>IF(OR(_1_5412845612146241046457891017456[[#This Row],[UNIT]]&gt;0,_1_5412845612146241046457891017456[[#This Row],[UNIT]]&lt;0),_1_5412845612146241046457891017456[[#This Row],[UNIT]]*_1_5412845612146241046457891017456[[#This Row],[COST]],0)</f>
        <v>0</v>
      </c>
      <c r="N342" s="194">
        <f t="shared" si="5"/>
        <v>1.3</v>
      </c>
      <c r="O342" s="198">
        <f>_1_5412845612146241046457891017456[[#This Row],[TOTAL]]*_1_5412845612146241046457891017456[[#This Row],[MARGIN]]</f>
        <v>0</v>
      </c>
      <c r="R342" s="41"/>
    </row>
    <row r="343" spans="1:18">
      <c r="D343" s="188"/>
      <c r="F343" s="168" t="s">
        <v>6202</v>
      </c>
      <c r="G343" s="193">
        <f>IF(_1_5412845612146241046457891017456[[#This Row],[Type]]&gt;0,VLOOKUP(_1_5412845612146241046457891017456[[#This Row],[Type]],Main[[#All],[TYPE]:[UNIT]],'Unit Price'!C$1,FALSE),0)</f>
        <v>0</v>
      </c>
      <c r="H343" s="197">
        <f>IF(_1_5412845612146241046457891017456[[#This Row],[Type]]&gt;0,VLOOKUP(_1_5412845612146241046457891017456[[#This Row],[Type]],Main[[#All],[TYPE]:[UNIT]],'Unit Price'!D$1,FALSE),0)</f>
        <v>0</v>
      </c>
      <c r="I343" s="194">
        <f>IF(_1_5412845612146241046457891017456[[#This Row],[Type]]&gt;0,VLOOKUP(_1_5412845612146241046457891017456[[#This Row],[Type]],Main[[#All],[TYPE]:[UNIT]],'Unit Price'!G$1,FALSE),0)</f>
        <v>0</v>
      </c>
      <c r="J343" s="194">
        <f>IF(_1_5412845612146241046457891017456[[#This Row],[Type]]&gt;0,VLOOKUP(_1_5412845612146241046457891017456[[#This Row],[Type]],Main[[#All],[TYPE]:[UNIT]],'Unit Price'!H$1,FALSE),0)</f>
        <v>0</v>
      </c>
      <c r="K343" s="194">
        <f>IF(_1_5412845612146241046457891017456[[#This Row],[Discount selection]]&gt;0,VLOOKUP(_1_5412845612146241046457891017456[[#This Row],[Discount selection]],'Discount Structure'!$A$2:$B$30,2,"false"),0)</f>
        <v>1</v>
      </c>
      <c r="L343" s="194">
        <f>_1_5412845612146241046457891017456[[#This Row],[LIST $]]*_1_5412845612146241046457891017456[[#This Row],[DISCOUNT]]*_1_5412845612146241046457891017456[[#This Row],[DISCOUNT 2]]</f>
        <v>0</v>
      </c>
      <c r="M343" s="194">
        <f>IF(OR(_1_5412845612146241046457891017456[[#This Row],[UNIT]]&gt;0,_1_5412845612146241046457891017456[[#This Row],[UNIT]]&lt;0),_1_5412845612146241046457891017456[[#This Row],[UNIT]]*_1_5412845612146241046457891017456[[#This Row],[COST]],0)</f>
        <v>0</v>
      </c>
      <c r="N343" s="194">
        <f t="shared" si="5"/>
        <v>1.3</v>
      </c>
      <c r="O343" s="198">
        <f>_1_5412845612146241046457891017456[[#This Row],[TOTAL]]*_1_5412845612146241046457891017456[[#This Row],[MARGIN]]</f>
        <v>0</v>
      </c>
      <c r="R343" s="41"/>
    </row>
    <row r="344" spans="1:18">
      <c r="A344" s="168"/>
      <c r="D344" s="188"/>
      <c r="F344" s="168" t="s">
        <v>6202</v>
      </c>
      <c r="G344" s="193">
        <f>IF(_1_5412845612146241046457891017456[[#This Row],[Type]]&gt;0,VLOOKUP(_1_5412845612146241046457891017456[[#This Row],[Type]],Main[[#All],[TYPE]:[UNIT]],'Unit Price'!C$1,FALSE),0)</f>
        <v>0</v>
      </c>
      <c r="H344" s="197">
        <f>IF(_1_5412845612146241046457891017456[[#This Row],[Type]]&gt;0,VLOOKUP(_1_5412845612146241046457891017456[[#This Row],[Type]],Main[[#All],[TYPE]:[UNIT]],'Unit Price'!D$1,FALSE),0)</f>
        <v>0</v>
      </c>
      <c r="I344" s="194">
        <f>IF(_1_5412845612146241046457891017456[[#This Row],[Type]]&gt;0,VLOOKUP(_1_5412845612146241046457891017456[[#This Row],[Type]],Main[[#All],[TYPE]:[UNIT]],'Unit Price'!G$1,FALSE),0)</f>
        <v>0</v>
      </c>
      <c r="J344" s="194">
        <f>IF(_1_5412845612146241046457891017456[[#This Row],[Type]]&gt;0,VLOOKUP(_1_5412845612146241046457891017456[[#This Row],[Type]],Main[[#All],[TYPE]:[UNIT]],'Unit Price'!H$1,FALSE),0)</f>
        <v>0</v>
      </c>
      <c r="K344" s="194">
        <f>IF(_1_5412845612146241046457891017456[[#This Row],[Discount selection]]&gt;0,VLOOKUP(_1_5412845612146241046457891017456[[#This Row],[Discount selection]],'Discount Structure'!$A$2:$B$30,2,"false"),0)</f>
        <v>1</v>
      </c>
      <c r="L344" s="194">
        <f>_1_5412845612146241046457891017456[[#This Row],[LIST $]]*_1_5412845612146241046457891017456[[#This Row],[DISCOUNT]]*_1_5412845612146241046457891017456[[#This Row],[DISCOUNT 2]]</f>
        <v>0</v>
      </c>
      <c r="M344" s="194">
        <f>IF(OR(_1_5412845612146241046457891017456[[#This Row],[UNIT]]&gt;0,_1_5412845612146241046457891017456[[#This Row],[UNIT]]&lt;0),_1_5412845612146241046457891017456[[#This Row],[UNIT]]*_1_5412845612146241046457891017456[[#This Row],[COST]],0)</f>
        <v>0</v>
      </c>
      <c r="N344" s="194">
        <f t="shared" si="5"/>
        <v>1.3</v>
      </c>
      <c r="O344" s="198">
        <f>_1_5412845612146241046457891017456[[#This Row],[TOTAL]]*_1_5412845612146241046457891017456[[#This Row],[MARGIN]]</f>
        <v>0</v>
      </c>
      <c r="R344" s="41"/>
    </row>
    <row r="345" spans="1:18">
      <c r="D345" s="188"/>
      <c r="F345" s="168" t="s">
        <v>6202</v>
      </c>
      <c r="G345" s="193">
        <f>IF(_1_5412845612146241046457891017456[[#This Row],[Type]]&gt;0,VLOOKUP(_1_5412845612146241046457891017456[[#This Row],[Type]],Main[[#All],[TYPE]:[UNIT]],'Unit Price'!C$1,FALSE),0)</f>
        <v>0</v>
      </c>
      <c r="H345" s="197">
        <f>IF(_1_5412845612146241046457891017456[[#This Row],[Type]]&gt;0,VLOOKUP(_1_5412845612146241046457891017456[[#This Row],[Type]],Main[[#All],[TYPE]:[UNIT]],'Unit Price'!D$1,FALSE),0)</f>
        <v>0</v>
      </c>
      <c r="I345" s="194">
        <f>IF(_1_5412845612146241046457891017456[[#This Row],[Type]]&gt;0,VLOOKUP(_1_5412845612146241046457891017456[[#This Row],[Type]],Main[[#All],[TYPE]:[UNIT]],'Unit Price'!G$1,FALSE),0)</f>
        <v>0</v>
      </c>
      <c r="J345" s="194">
        <f>IF(_1_5412845612146241046457891017456[[#This Row],[Type]]&gt;0,VLOOKUP(_1_5412845612146241046457891017456[[#This Row],[Type]],Main[[#All],[TYPE]:[UNIT]],'Unit Price'!H$1,FALSE),0)</f>
        <v>0</v>
      </c>
      <c r="K345" s="194">
        <f>IF(_1_5412845612146241046457891017456[[#This Row],[Discount selection]]&gt;0,VLOOKUP(_1_5412845612146241046457891017456[[#This Row],[Discount selection]],'Discount Structure'!$A$2:$B$30,2,"false"),0)</f>
        <v>1</v>
      </c>
      <c r="L345" s="194">
        <f>_1_5412845612146241046457891017456[[#This Row],[LIST $]]*_1_5412845612146241046457891017456[[#This Row],[DISCOUNT]]*_1_5412845612146241046457891017456[[#This Row],[DISCOUNT 2]]</f>
        <v>0</v>
      </c>
      <c r="M345" s="194">
        <f>IF(OR(_1_5412845612146241046457891017456[[#This Row],[UNIT]]&gt;0,_1_5412845612146241046457891017456[[#This Row],[UNIT]]&lt;0),_1_5412845612146241046457891017456[[#This Row],[UNIT]]*_1_5412845612146241046457891017456[[#This Row],[COST]],0)</f>
        <v>0</v>
      </c>
      <c r="N345" s="194">
        <f t="shared" si="5"/>
        <v>1.3</v>
      </c>
      <c r="O345" s="198">
        <f>_1_5412845612146241046457891017456[[#This Row],[TOTAL]]*_1_5412845612146241046457891017456[[#This Row],[MARGIN]]</f>
        <v>0</v>
      </c>
      <c r="R345" s="41"/>
    </row>
    <row r="346" spans="1:18">
      <c r="A346" s="168"/>
      <c r="B346" s="168"/>
      <c r="C346" s="168"/>
      <c r="D346" s="188"/>
      <c r="F346" s="168" t="s">
        <v>6202</v>
      </c>
      <c r="G346" s="193">
        <f>IF(_1_5412845612146241046457891017456[[#This Row],[Type]]&gt;0,VLOOKUP(_1_5412845612146241046457891017456[[#This Row],[Type]],Main[[#All],[TYPE]:[UNIT]],'Unit Price'!C$1,FALSE),0)</f>
        <v>0</v>
      </c>
      <c r="H346" s="197">
        <f>IF(_1_5412845612146241046457891017456[[#This Row],[Type]]&gt;0,VLOOKUP(_1_5412845612146241046457891017456[[#This Row],[Type]],Main[[#All],[TYPE]:[UNIT]],'Unit Price'!D$1,FALSE),0)</f>
        <v>0</v>
      </c>
      <c r="I346" s="194">
        <f>IF(_1_5412845612146241046457891017456[[#This Row],[Type]]&gt;0,VLOOKUP(_1_5412845612146241046457891017456[[#This Row],[Type]],Main[[#All],[TYPE]:[UNIT]],'Unit Price'!G$1,FALSE),0)</f>
        <v>0</v>
      </c>
      <c r="J346" s="194">
        <f>IF(_1_5412845612146241046457891017456[[#This Row],[Type]]&gt;0,VLOOKUP(_1_5412845612146241046457891017456[[#This Row],[Type]],Main[[#All],[TYPE]:[UNIT]],'Unit Price'!H$1,FALSE),0)</f>
        <v>0</v>
      </c>
      <c r="K346" s="194">
        <f>IF(_1_5412845612146241046457891017456[[#This Row],[Discount selection]]&gt;0,VLOOKUP(_1_5412845612146241046457891017456[[#This Row],[Discount selection]],'Discount Structure'!$A$2:$B$30,2,"false"),0)</f>
        <v>1</v>
      </c>
      <c r="L346" s="194">
        <f>_1_5412845612146241046457891017456[[#This Row],[LIST $]]*_1_5412845612146241046457891017456[[#This Row],[DISCOUNT]]*_1_5412845612146241046457891017456[[#This Row],[DISCOUNT 2]]</f>
        <v>0</v>
      </c>
      <c r="M346" s="194">
        <f>IF(OR(_1_5412845612146241046457891017456[[#This Row],[UNIT]]&gt;0,_1_5412845612146241046457891017456[[#This Row],[UNIT]]&lt;0),_1_5412845612146241046457891017456[[#This Row],[UNIT]]*_1_5412845612146241046457891017456[[#This Row],[COST]],0)</f>
        <v>0</v>
      </c>
      <c r="N346" s="194">
        <f t="shared" si="5"/>
        <v>1.3</v>
      </c>
      <c r="O346" s="198">
        <f>_1_5412845612146241046457891017456[[#This Row],[TOTAL]]*_1_5412845612146241046457891017456[[#This Row],[MARGIN]]</f>
        <v>0</v>
      </c>
      <c r="R346" s="41"/>
    </row>
    <row r="347" spans="1:18">
      <c r="A347" s="323"/>
      <c r="B347" s="323"/>
      <c r="C347" s="323"/>
      <c r="D347" s="188"/>
      <c r="F347" s="168" t="s">
        <v>6202</v>
      </c>
      <c r="G347" s="193">
        <f>IF(_1_5412845612146241046457891017456[[#This Row],[Type]]&gt;0,VLOOKUP(_1_5412845612146241046457891017456[[#This Row],[Type]],Main[[#All],[TYPE]:[UNIT]],'Unit Price'!C$1,FALSE),0)</f>
        <v>0</v>
      </c>
      <c r="H347" s="197">
        <f>IF(_1_5412845612146241046457891017456[[#This Row],[Type]]&gt;0,VLOOKUP(_1_5412845612146241046457891017456[[#This Row],[Type]],Main[[#All],[TYPE]:[UNIT]],'Unit Price'!D$1,FALSE),0)</f>
        <v>0</v>
      </c>
      <c r="I347" s="194">
        <f>IF(_1_5412845612146241046457891017456[[#This Row],[Type]]&gt;0,VLOOKUP(_1_5412845612146241046457891017456[[#This Row],[Type]],Main[[#All],[TYPE]:[UNIT]],'Unit Price'!G$1,FALSE),0)</f>
        <v>0</v>
      </c>
      <c r="J347" s="194">
        <f>IF(_1_5412845612146241046457891017456[[#This Row],[Type]]&gt;0,VLOOKUP(_1_5412845612146241046457891017456[[#This Row],[Type]],Main[[#All],[TYPE]:[UNIT]],'Unit Price'!H$1,FALSE),0)</f>
        <v>0</v>
      </c>
      <c r="K347" s="194">
        <f>IF(_1_5412845612146241046457891017456[[#This Row],[Discount selection]]&gt;0,VLOOKUP(_1_5412845612146241046457891017456[[#This Row],[Discount selection]],'Discount Structure'!$A$2:$B$30,2,"false"),0)</f>
        <v>1</v>
      </c>
      <c r="L347" s="194">
        <f>_1_5412845612146241046457891017456[[#This Row],[LIST $]]*_1_5412845612146241046457891017456[[#This Row],[DISCOUNT]]*_1_5412845612146241046457891017456[[#This Row],[DISCOUNT 2]]</f>
        <v>0</v>
      </c>
      <c r="M347" s="194">
        <f>IF(OR(_1_5412845612146241046457891017456[[#This Row],[UNIT]]&gt;0,_1_5412845612146241046457891017456[[#This Row],[UNIT]]&lt;0),_1_5412845612146241046457891017456[[#This Row],[UNIT]]*_1_5412845612146241046457891017456[[#This Row],[COST]],0)</f>
        <v>0</v>
      </c>
      <c r="N347" s="194">
        <f t="shared" si="5"/>
        <v>1.3</v>
      </c>
      <c r="O347" s="198">
        <f>_1_5412845612146241046457891017456[[#This Row],[TOTAL]]*_1_5412845612146241046457891017456[[#This Row],[MARGIN]]</f>
        <v>0</v>
      </c>
      <c r="R347" s="41"/>
    </row>
    <row r="348" spans="1:18">
      <c r="A348" s="323"/>
      <c r="B348" s="353"/>
      <c r="C348" s="323"/>
      <c r="D348" s="188"/>
      <c r="F348" s="168" t="s">
        <v>6202</v>
      </c>
      <c r="G348" s="193">
        <f>IF(_1_5412845612146241046457891017456[[#This Row],[Type]]&gt;0,VLOOKUP(_1_5412845612146241046457891017456[[#This Row],[Type]],Main[[#All],[TYPE]:[UNIT]],'Unit Price'!C$1,FALSE),0)</f>
        <v>0</v>
      </c>
      <c r="H348" s="197">
        <f>IF(_1_5412845612146241046457891017456[[#This Row],[Type]]&gt;0,VLOOKUP(_1_5412845612146241046457891017456[[#This Row],[Type]],Main[[#All],[TYPE]:[UNIT]],'Unit Price'!D$1,FALSE),0)</f>
        <v>0</v>
      </c>
      <c r="I348" s="194">
        <f>IF(_1_5412845612146241046457891017456[[#This Row],[Type]]&gt;0,VLOOKUP(_1_5412845612146241046457891017456[[#This Row],[Type]],Main[[#All],[TYPE]:[UNIT]],'Unit Price'!G$1,FALSE),0)</f>
        <v>0</v>
      </c>
      <c r="J348" s="194">
        <f>IF(_1_5412845612146241046457891017456[[#This Row],[Type]]&gt;0,VLOOKUP(_1_5412845612146241046457891017456[[#This Row],[Type]],Main[[#All],[TYPE]:[UNIT]],'Unit Price'!H$1,FALSE),0)</f>
        <v>0</v>
      </c>
      <c r="K348" s="194">
        <f>IF(_1_5412845612146241046457891017456[[#This Row],[Discount selection]]&gt;0,VLOOKUP(_1_5412845612146241046457891017456[[#This Row],[Discount selection]],'Discount Structure'!$A$2:$B$30,2,"false"),0)</f>
        <v>1</v>
      </c>
      <c r="L348" s="194">
        <f>_1_5412845612146241046457891017456[[#This Row],[LIST $]]*_1_5412845612146241046457891017456[[#This Row],[DISCOUNT]]*_1_5412845612146241046457891017456[[#This Row],[DISCOUNT 2]]</f>
        <v>0</v>
      </c>
      <c r="M348" s="194">
        <f>IF(OR(_1_5412845612146241046457891017456[[#This Row],[UNIT]]&gt;0,_1_5412845612146241046457891017456[[#This Row],[UNIT]]&lt;0),_1_5412845612146241046457891017456[[#This Row],[UNIT]]*_1_5412845612146241046457891017456[[#This Row],[COST]],0)</f>
        <v>0</v>
      </c>
      <c r="N348" s="194">
        <f t="shared" si="5"/>
        <v>1.3</v>
      </c>
      <c r="O348" s="198">
        <f>_1_5412845612146241046457891017456[[#This Row],[TOTAL]]*_1_5412845612146241046457891017456[[#This Row],[MARGIN]]</f>
        <v>0</v>
      </c>
      <c r="R348" s="41"/>
    </row>
    <row r="349" spans="1:18">
      <c r="D349" s="188"/>
      <c r="F349" s="168" t="s">
        <v>6202</v>
      </c>
      <c r="G349" s="193">
        <f>IF(_1_5412845612146241046457891017456[[#This Row],[Type]]&gt;0,VLOOKUP(_1_5412845612146241046457891017456[[#This Row],[Type]],Main[[#All],[TYPE]:[UNIT]],'Unit Price'!C$1,FALSE),0)</f>
        <v>0</v>
      </c>
      <c r="H349" s="197">
        <f>IF(_1_5412845612146241046457891017456[[#This Row],[Type]]&gt;0,VLOOKUP(_1_5412845612146241046457891017456[[#This Row],[Type]],Main[[#All],[TYPE]:[UNIT]],'Unit Price'!D$1,FALSE),0)</f>
        <v>0</v>
      </c>
      <c r="I349" s="194">
        <f>IF(_1_5412845612146241046457891017456[[#This Row],[Type]]&gt;0,VLOOKUP(_1_5412845612146241046457891017456[[#This Row],[Type]],Main[[#All],[TYPE]:[UNIT]],'Unit Price'!G$1,FALSE),0)</f>
        <v>0</v>
      </c>
      <c r="J349" s="194">
        <f>IF(_1_5412845612146241046457891017456[[#This Row],[Type]]&gt;0,VLOOKUP(_1_5412845612146241046457891017456[[#This Row],[Type]],Main[[#All],[TYPE]:[UNIT]],'Unit Price'!H$1,FALSE),0)</f>
        <v>0</v>
      </c>
      <c r="K349" s="194">
        <f>IF(_1_5412845612146241046457891017456[[#This Row],[Discount selection]]&gt;0,VLOOKUP(_1_5412845612146241046457891017456[[#This Row],[Discount selection]],'Discount Structure'!$A$2:$B$30,2,"false"),0)</f>
        <v>1</v>
      </c>
      <c r="L349" s="194">
        <f>_1_5412845612146241046457891017456[[#This Row],[LIST $]]*_1_5412845612146241046457891017456[[#This Row],[DISCOUNT]]*_1_5412845612146241046457891017456[[#This Row],[DISCOUNT 2]]</f>
        <v>0</v>
      </c>
      <c r="M349" s="194">
        <f>IF(OR(_1_5412845612146241046457891017456[[#This Row],[UNIT]]&gt;0,_1_5412845612146241046457891017456[[#This Row],[UNIT]]&lt;0),_1_5412845612146241046457891017456[[#This Row],[UNIT]]*_1_5412845612146241046457891017456[[#This Row],[COST]],0)</f>
        <v>0</v>
      </c>
      <c r="N349" s="194">
        <f t="shared" si="5"/>
        <v>1.3</v>
      </c>
      <c r="O349" s="198">
        <f>_1_5412845612146241046457891017456[[#This Row],[TOTAL]]*_1_5412845612146241046457891017456[[#This Row],[MARGIN]]</f>
        <v>0</v>
      </c>
      <c r="R349" s="41"/>
    </row>
    <row r="350" spans="1:18">
      <c r="D350" s="188"/>
      <c r="F350" s="168" t="s">
        <v>6202</v>
      </c>
      <c r="G350" s="193">
        <f>IF(_1_5412845612146241046457891017456[[#This Row],[Type]]&gt;0,VLOOKUP(_1_5412845612146241046457891017456[[#This Row],[Type]],Main[[#All],[TYPE]:[UNIT]],'Unit Price'!C$1,FALSE),0)</f>
        <v>0</v>
      </c>
      <c r="H350" s="197">
        <f>IF(_1_5412845612146241046457891017456[[#This Row],[Type]]&gt;0,VLOOKUP(_1_5412845612146241046457891017456[[#This Row],[Type]],Main[[#All],[TYPE]:[UNIT]],'Unit Price'!D$1,FALSE),0)</f>
        <v>0</v>
      </c>
      <c r="I350" s="194">
        <f>IF(_1_5412845612146241046457891017456[[#This Row],[Type]]&gt;0,VLOOKUP(_1_5412845612146241046457891017456[[#This Row],[Type]],Main[[#All],[TYPE]:[UNIT]],'Unit Price'!G$1,FALSE),0)</f>
        <v>0</v>
      </c>
      <c r="J350" s="194">
        <f>IF(_1_5412845612146241046457891017456[[#This Row],[Type]]&gt;0,VLOOKUP(_1_5412845612146241046457891017456[[#This Row],[Type]],Main[[#All],[TYPE]:[UNIT]],'Unit Price'!H$1,FALSE),0)</f>
        <v>0</v>
      </c>
      <c r="K350" s="194">
        <f>IF(_1_5412845612146241046457891017456[[#This Row],[Discount selection]]&gt;0,VLOOKUP(_1_5412845612146241046457891017456[[#This Row],[Discount selection]],'Discount Structure'!$A$2:$B$30,2,"false"),0)</f>
        <v>1</v>
      </c>
      <c r="L350" s="194">
        <f>_1_5412845612146241046457891017456[[#This Row],[LIST $]]*_1_5412845612146241046457891017456[[#This Row],[DISCOUNT]]*_1_5412845612146241046457891017456[[#This Row],[DISCOUNT 2]]</f>
        <v>0</v>
      </c>
      <c r="M350" s="194">
        <f>IF(OR(_1_5412845612146241046457891017456[[#This Row],[UNIT]]&gt;0,_1_5412845612146241046457891017456[[#This Row],[UNIT]]&lt;0),_1_5412845612146241046457891017456[[#This Row],[UNIT]]*_1_5412845612146241046457891017456[[#This Row],[COST]],0)</f>
        <v>0</v>
      </c>
      <c r="N350" s="194">
        <f t="shared" si="5"/>
        <v>1.3</v>
      </c>
      <c r="O350" s="198">
        <f>_1_5412845612146241046457891017456[[#This Row],[TOTAL]]*_1_5412845612146241046457891017456[[#This Row],[MARGIN]]</f>
        <v>0</v>
      </c>
      <c r="R350" s="41"/>
    </row>
    <row r="351" spans="1:18">
      <c r="A351" s="168"/>
      <c r="D351" s="188"/>
      <c r="F351" s="168" t="s">
        <v>6202</v>
      </c>
      <c r="G351" s="193">
        <f>IF(_1_5412845612146241046457891017456[[#This Row],[Type]]&gt;0,VLOOKUP(_1_5412845612146241046457891017456[[#This Row],[Type]],Main[[#All],[TYPE]:[UNIT]],'Unit Price'!C$1,FALSE),0)</f>
        <v>0</v>
      </c>
      <c r="H351" s="197">
        <f>IF(_1_5412845612146241046457891017456[[#This Row],[Type]]&gt;0,VLOOKUP(_1_5412845612146241046457891017456[[#This Row],[Type]],Main[[#All],[TYPE]:[UNIT]],'Unit Price'!D$1,FALSE),0)</f>
        <v>0</v>
      </c>
      <c r="I351" s="194">
        <f>IF(_1_5412845612146241046457891017456[[#This Row],[Type]]&gt;0,VLOOKUP(_1_5412845612146241046457891017456[[#This Row],[Type]],Main[[#All],[TYPE]:[UNIT]],'Unit Price'!G$1,FALSE),0)</f>
        <v>0</v>
      </c>
      <c r="J351" s="194">
        <f>IF(_1_5412845612146241046457891017456[[#This Row],[Type]]&gt;0,VLOOKUP(_1_5412845612146241046457891017456[[#This Row],[Type]],Main[[#All],[TYPE]:[UNIT]],'Unit Price'!H$1,FALSE),0)</f>
        <v>0</v>
      </c>
      <c r="K351" s="194">
        <f>IF(_1_5412845612146241046457891017456[[#This Row],[Discount selection]]&gt;0,VLOOKUP(_1_5412845612146241046457891017456[[#This Row],[Discount selection]],'Discount Structure'!$A$2:$B$30,2,"false"),0)</f>
        <v>1</v>
      </c>
      <c r="L351" s="194">
        <f>_1_5412845612146241046457891017456[[#This Row],[LIST $]]*_1_5412845612146241046457891017456[[#This Row],[DISCOUNT]]*_1_5412845612146241046457891017456[[#This Row],[DISCOUNT 2]]</f>
        <v>0</v>
      </c>
      <c r="M351" s="194">
        <f>IF(OR(_1_5412845612146241046457891017456[[#This Row],[UNIT]]&gt;0,_1_5412845612146241046457891017456[[#This Row],[UNIT]]&lt;0),_1_5412845612146241046457891017456[[#This Row],[UNIT]]*_1_5412845612146241046457891017456[[#This Row],[COST]],0)</f>
        <v>0</v>
      </c>
      <c r="N351" s="194">
        <f t="shared" si="5"/>
        <v>1.3</v>
      </c>
      <c r="O351" s="198">
        <f>_1_5412845612146241046457891017456[[#This Row],[TOTAL]]*_1_5412845612146241046457891017456[[#This Row],[MARGIN]]</f>
        <v>0</v>
      </c>
      <c r="R351" s="41"/>
    </row>
    <row r="352" spans="1:18">
      <c r="D352" s="188"/>
      <c r="F352" s="168" t="s">
        <v>6202</v>
      </c>
      <c r="G352" s="193">
        <f>IF(_1_5412845612146241046457891017456[[#This Row],[Type]]&gt;0,VLOOKUP(_1_5412845612146241046457891017456[[#This Row],[Type]],Main[[#All],[TYPE]:[UNIT]],'Unit Price'!C$1,FALSE),0)</f>
        <v>0</v>
      </c>
      <c r="H352" s="197">
        <f>IF(_1_5412845612146241046457891017456[[#This Row],[Type]]&gt;0,VLOOKUP(_1_5412845612146241046457891017456[[#This Row],[Type]],Main[[#All],[TYPE]:[UNIT]],'Unit Price'!D$1,FALSE),0)</f>
        <v>0</v>
      </c>
      <c r="I352" s="194">
        <f>IF(_1_5412845612146241046457891017456[[#This Row],[Type]]&gt;0,VLOOKUP(_1_5412845612146241046457891017456[[#This Row],[Type]],Main[[#All],[TYPE]:[UNIT]],'Unit Price'!G$1,FALSE),0)</f>
        <v>0</v>
      </c>
      <c r="J352" s="194">
        <f>IF(_1_5412845612146241046457891017456[[#This Row],[Type]]&gt;0,VLOOKUP(_1_5412845612146241046457891017456[[#This Row],[Type]],Main[[#All],[TYPE]:[UNIT]],'Unit Price'!H$1,FALSE),0)</f>
        <v>0</v>
      </c>
      <c r="K352" s="194">
        <f>IF(_1_5412845612146241046457891017456[[#This Row],[Discount selection]]&gt;0,VLOOKUP(_1_5412845612146241046457891017456[[#This Row],[Discount selection]],'Discount Structure'!$A$2:$B$30,2,"false"),0)</f>
        <v>1</v>
      </c>
      <c r="L352" s="194">
        <f>_1_5412845612146241046457891017456[[#This Row],[LIST $]]*_1_5412845612146241046457891017456[[#This Row],[DISCOUNT]]*_1_5412845612146241046457891017456[[#This Row],[DISCOUNT 2]]</f>
        <v>0</v>
      </c>
      <c r="M352" s="194">
        <f>IF(OR(_1_5412845612146241046457891017456[[#This Row],[UNIT]]&gt;0,_1_5412845612146241046457891017456[[#This Row],[UNIT]]&lt;0),_1_5412845612146241046457891017456[[#This Row],[UNIT]]*_1_5412845612146241046457891017456[[#This Row],[COST]],0)</f>
        <v>0</v>
      </c>
      <c r="N352" s="194">
        <f t="shared" si="5"/>
        <v>1.3</v>
      </c>
      <c r="O352" s="198">
        <f>_1_5412845612146241046457891017456[[#This Row],[TOTAL]]*_1_5412845612146241046457891017456[[#This Row],[MARGIN]]</f>
        <v>0</v>
      </c>
      <c r="R352" s="41"/>
    </row>
    <row r="353" spans="1:18">
      <c r="A353" s="168"/>
      <c r="B353" s="168"/>
      <c r="C353" s="168"/>
      <c r="D353" s="188"/>
      <c r="F353" s="168" t="s">
        <v>6202</v>
      </c>
      <c r="G353" s="193">
        <f>IF(_1_5412845612146241046457891017456[[#This Row],[Type]]&gt;0,VLOOKUP(_1_5412845612146241046457891017456[[#This Row],[Type]],Main[[#All],[TYPE]:[UNIT]],'Unit Price'!C$1,FALSE),0)</f>
        <v>0</v>
      </c>
      <c r="H353" s="197">
        <f>IF(_1_5412845612146241046457891017456[[#This Row],[Type]]&gt;0,VLOOKUP(_1_5412845612146241046457891017456[[#This Row],[Type]],Main[[#All],[TYPE]:[UNIT]],'Unit Price'!D$1,FALSE),0)</f>
        <v>0</v>
      </c>
      <c r="I353" s="194">
        <f>IF(_1_5412845612146241046457891017456[[#This Row],[Type]]&gt;0,VLOOKUP(_1_5412845612146241046457891017456[[#This Row],[Type]],Main[[#All],[TYPE]:[UNIT]],'Unit Price'!G$1,FALSE),0)</f>
        <v>0</v>
      </c>
      <c r="J353" s="194">
        <f>IF(_1_5412845612146241046457891017456[[#This Row],[Type]]&gt;0,VLOOKUP(_1_5412845612146241046457891017456[[#This Row],[Type]],Main[[#All],[TYPE]:[UNIT]],'Unit Price'!H$1,FALSE),0)</f>
        <v>0</v>
      </c>
      <c r="K353" s="194">
        <f>IF(_1_5412845612146241046457891017456[[#This Row],[Discount selection]]&gt;0,VLOOKUP(_1_5412845612146241046457891017456[[#This Row],[Discount selection]],'Discount Structure'!$A$2:$B$30,2,"false"),0)</f>
        <v>1</v>
      </c>
      <c r="L353" s="194">
        <f>_1_5412845612146241046457891017456[[#This Row],[LIST $]]*_1_5412845612146241046457891017456[[#This Row],[DISCOUNT]]*_1_5412845612146241046457891017456[[#This Row],[DISCOUNT 2]]</f>
        <v>0</v>
      </c>
      <c r="M353" s="194">
        <f>IF(OR(_1_5412845612146241046457891017456[[#This Row],[UNIT]]&gt;0,_1_5412845612146241046457891017456[[#This Row],[UNIT]]&lt;0),_1_5412845612146241046457891017456[[#This Row],[UNIT]]*_1_5412845612146241046457891017456[[#This Row],[COST]],0)</f>
        <v>0</v>
      </c>
      <c r="N353" s="194">
        <f t="shared" si="5"/>
        <v>1.3</v>
      </c>
      <c r="O353" s="198">
        <f>_1_5412845612146241046457891017456[[#This Row],[TOTAL]]*_1_5412845612146241046457891017456[[#This Row],[MARGIN]]</f>
        <v>0</v>
      </c>
      <c r="R353" s="41"/>
    </row>
    <row r="354" spans="1:18">
      <c r="A354" s="323"/>
      <c r="B354" s="323"/>
      <c r="C354" s="323"/>
      <c r="D354" s="188"/>
      <c r="F354" s="168" t="s">
        <v>6202</v>
      </c>
      <c r="G354" s="193">
        <f>IF(_1_5412845612146241046457891017456[[#This Row],[Type]]&gt;0,VLOOKUP(_1_5412845612146241046457891017456[[#This Row],[Type]],Main[[#All],[TYPE]:[UNIT]],'Unit Price'!C$1,FALSE),0)</f>
        <v>0</v>
      </c>
      <c r="H354" s="197">
        <f>IF(_1_5412845612146241046457891017456[[#This Row],[Type]]&gt;0,VLOOKUP(_1_5412845612146241046457891017456[[#This Row],[Type]],Main[[#All],[TYPE]:[UNIT]],'Unit Price'!D$1,FALSE),0)</f>
        <v>0</v>
      </c>
      <c r="I354" s="194">
        <f>IF(_1_5412845612146241046457891017456[[#This Row],[Type]]&gt;0,VLOOKUP(_1_5412845612146241046457891017456[[#This Row],[Type]],Main[[#All],[TYPE]:[UNIT]],'Unit Price'!G$1,FALSE),0)</f>
        <v>0</v>
      </c>
      <c r="J354" s="194">
        <f>IF(_1_5412845612146241046457891017456[[#This Row],[Type]]&gt;0,VLOOKUP(_1_5412845612146241046457891017456[[#This Row],[Type]],Main[[#All],[TYPE]:[UNIT]],'Unit Price'!H$1,FALSE),0)</f>
        <v>0</v>
      </c>
      <c r="K354" s="194">
        <f>IF(_1_5412845612146241046457891017456[[#This Row],[Discount selection]]&gt;0,VLOOKUP(_1_5412845612146241046457891017456[[#This Row],[Discount selection]],'Discount Structure'!$A$2:$B$30,2,"false"),0)</f>
        <v>1</v>
      </c>
      <c r="L354" s="194">
        <f>_1_5412845612146241046457891017456[[#This Row],[LIST $]]*_1_5412845612146241046457891017456[[#This Row],[DISCOUNT]]*_1_5412845612146241046457891017456[[#This Row],[DISCOUNT 2]]</f>
        <v>0</v>
      </c>
      <c r="M354" s="194">
        <f>IF(OR(_1_5412845612146241046457891017456[[#This Row],[UNIT]]&gt;0,_1_5412845612146241046457891017456[[#This Row],[UNIT]]&lt;0),_1_5412845612146241046457891017456[[#This Row],[UNIT]]*_1_5412845612146241046457891017456[[#This Row],[COST]],0)</f>
        <v>0</v>
      </c>
      <c r="N354" s="194">
        <f t="shared" si="5"/>
        <v>1.3</v>
      </c>
      <c r="O354" s="198">
        <f>_1_5412845612146241046457891017456[[#This Row],[TOTAL]]*_1_5412845612146241046457891017456[[#This Row],[MARGIN]]</f>
        <v>0</v>
      </c>
      <c r="R354" s="41"/>
    </row>
    <row r="355" spans="1:18">
      <c r="A355" s="323"/>
      <c r="B355" s="353"/>
      <c r="C355" s="323"/>
      <c r="D355" s="188"/>
      <c r="F355" s="168" t="s">
        <v>6202</v>
      </c>
      <c r="G355" s="193">
        <f>IF(_1_5412845612146241046457891017456[[#This Row],[Type]]&gt;0,VLOOKUP(_1_5412845612146241046457891017456[[#This Row],[Type]],Main[[#All],[TYPE]:[UNIT]],'Unit Price'!C$1,FALSE),0)</f>
        <v>0</v>
      </c>
      <c r="H355" s="197">
        <f>IF(_1_5412845612146241046457891017456[[#This Row],[Type]]&gt;0,VLOOKUP(_1_5412845612146241046457891017456[[#This Row],[Type]],Main[[#All],[TYPE]:[UNIT]],'Unit Price'!D$1,FALSE),0)</f>
        <v>0</v>
      </c>
      <c r="I355" s="194">
        <f>IF(_1_5412845612146241046457891017456[[#This Row],[Type]]&gt;0,VLOOKUP(_1_5412845612146241046457891017456[[#This Row],[Type]],Main[[#All],[TYPE]:[UNIT]],'Unit Price'!G$1,FALSE),0)</f>
        <v>0</v>
      </c>
      <c r="J355" s="194">
        <f>IF(_1_5412845612146241046457891017456[[#This Row],[Type]]&gt;0,VLOOKUP(_1_5412845612146241046457891017456[[#This Row],[Type]],Main[[#All],[TYPE]:[UNIT]],'Unit Price'!H$1,FALSE),0)</f>
        <v>0</v>
      </c>
      <c r="K355" s="194">
        <f>IF(_1_5412845612146241046457891017456[[#This Row],[Discount selection]]&gt;0,VLOOKUP(_1_5412845612146241046457891017456[[#This Row],[Discount selection]],'Discount Structure'!$A$2:$B$30,2,"false"),0)</f>
        <v>1</v>
      </c>
      <c r="L355" s="194">
        <f>_1_5412845612146241046457891017456[[#This Row],[LIST $]]*_1_5412845612146241046457891017456[[#This Row],[DISCOUNT]]*_1_5412845612146241046457891017456[[#This Row],[DISCOUNT 2]]</f>
        <v>0</v>
      </c>
      <c r="M355" s="194">
        <f>IF(OR(_1_5412845612146241046457891017456[[#This Row],[UNIT]]&gt;0,_1_5412845612146241046457891017456[[#This Row],[UNIT]]&lt;0),_1_5412845612146241046457891017456[[#This Row],[UNIT]]*_1_5412845612146241046457891017456[[#This Row],[COST]],0)</f>
        <v>0</v>
      </c>
      <c r="N355" s="194">
        <f t="shared" si="5"/>
        <v>1.3</v>
      </c>
      <c r="O355" s="198">
        <f>_1_5412845612146241046457891017456[[#This Row],[TOTAL]]*_1_5412845612146241046457891017456[[#This Row],[MARGIN]]</f>
        <v>0</v>
      </c>
      <c r="R355" s="41"/>
    </row>
    <row r="356" spans="1:18">
      <c r="D356" s="188"/>
      <c r="F356" s="168" t="s">
        <v>6202</v>
      </c>
      <c r="G356" s="193">
        <f>IF(_1_5412845612146241046457891017456[[#This Row],[Type]]&gt;0,VLOOKUP(_1_5412845612146241046457891017456[[#This Row],[Type]],Main[[#All],[TYPE]:[UNIT]],'Unit Price'!C$1,FALSE),0)</f>
        <v>0</v>
      </c>
      <c r="H356" s="197">
        <f>IF(_1_5412845612146241046457891017456[[#This Row],[Type]]&gt;0,VLOOKUP(_1_5412845612146241046457891017456[[#This Row],[Type]],Main[[#All],[TYPE]:[UNIT]],'Unit Price'!D$1,FALSE),0)</f>
        <v>0</v>
      </c>
      <c r="I356" s="194">
        <f>IF(_1_5412845612146241046457891017456[[#This Row],[Type]]&gt;0,VLOOKUP(_1_5412845612146241046457891017456[[#This Row],[Type]],Main[[#All],[TYPE]:[UNIT]],'Unit Price'!G$1,FALSE),0)</f>
        <v>0</v>
      </c>
      <c r="J356" s="194">
        <f>IF(_1_5412845612146241046457891017456[[#This Row],[Type]]&gt;0,VLOOKUP(_1_5412845612146241046457891017456[[#This Row],[Type]],Main[[#All],[TYPE]:[UNIT]],'Unit Price'!H$1,FALSE),0)</f>
        <v>0</v>
      </c>
      <c r="K356" s="194">
        <f>IF(_1_5412845612146241046457891017456[[#This Row],[Discount selection]]&gt;0,VLOOKUP(_1_5412845612146241046457891017456[[#This Row],[Discount selection]],'Discount Structure'!$A$2:$B$30,2,"false"),0)</f>
        <v>1</v>
      </c>
      <c r="L356" s="194">
        <f>_1_5412845612146241046457891017456[[#This Row],[LIST $]]*_1_5412845612146241046457891017456[[#This Row],[DISCOUNT]]*_1_5412845612146241046457891017456[[#This Row],[DISCOUNT 2]]</f>
        <v>0</v>
      </c>
      <c r="M356" s="194">
        <f>IF(OR(_1_5412845612146241046457891017456[[#This Row],[UNIT]]&gt;0,_1_5412845612146241046457891017456[[#This Row],[UNIT]]&lt;0),_1_5412845612146241046457891017456[[#This Row],[UNIT]]*_1_5412845612146241046457891017456[[#This Row],[COST]],0)</f>
        <v>0</v>
      </c>
      <c r="N356" s="194">
        <f t="shared" si="5"/>
        <v>1.3</v>
      </c>
      <c r="O356" s="198">
        <f>_1_5412845612146241046457891017456[[#This Row],[TOTAL]]*_1_5412845612146241046457891017456[[#This Row],[MARGIN]]</f>
        <v>0</v>
      </c>
      <c r="R356" s="41"/>
    </row>
    <row r="357" spans="1:18">
      <c r="D357" s="188"/>
      <c r="F357" s="168" t="s">
        <v>6202</v>
      </c>
      <c r="G357" s="193">
        <f>IF(_1_5412845612146241046457891017456[[#This Row],[Type]]&gt;0,VLOOKUP(_1_5412845612146241046457891017456[[#This Row],[Type]],Main[[#All],[TYPE]:[UNIT]],'Unit Price'!C$1,FALSE),0)</f>
        <v>0</v>
      </c>
      <c r="H357" s="197">
        <f>IF(_1_5412845612146241046457891017456[[#This Row],[Type]]&gt;0,VLOOKUP(_1_5412845612146241046457891017456[[#This Row],[Type]],Main[[#All],[TYPE]:[UNIT]],'Unit Price'!D$1,FALSE),0)</f>
        <v>0</v>
      </c>
      <c r="I357" s="194">
        <f>IF(_1_5412845612146241046457891017456[[#This Row],[Type]]&gt;0,VLOOKUP(_1_5412845612146241046457891017456[[#This Row],[Type]],Main[[#All],[TYPE]:[UNIT]],'Unit Price'!G$1,FALSE),0)</f>
        <v>0</v>
      </c>
      <c r="J357" s="194">
        <f>IF(_1_5412845612146241046457891017456[[#This Row],[Type]]&gt;0,VLOOKUP(_1_5412845612146241046457891017456[[#This Row],[Type]],Main[[#All],[TYPE]:[UNIT]],'Unit Price'!H$1,FALSE),0)</f>
        <v>0</v>
      </c>
      <c r="K357" s="194">
        <f>IF(_1_5412845612146241046457891017456[[#This Row],[Discount selection]]&gt;0,VLOOKUP(_1_5412845612146241046457891017456[[#This Row],[Discount selection]],'Discount Structure'!$A$2:$B$30,2,"false"),0)</f>
        <v>1</v>
      </c>
      <c r="L357" s="194">
        <f>_1_5412845612146241046457891017456[[#This Row],[LIST $]]*_1_5412845612146241046457891017456[[#This Row],[DISCOUNT]]*_1_5412845612146241046457891017456[[#This Row],[DISCOUNT 2]]</f>
        <v>0</v>
      </c>
      <c r="M357" s="194">
        <f>IF(OR(_1_5412845612146241046457891017456[[#This Row],[UNIT]]&gt;0,_1_5412845612146241046457891017456[[#This Row],[UNIT]]&lt;0),_1_5412845612146241046457891017456[[#This Row],[UNIT]]*_1_5412845612146241046457891017456[[#This Row],[COST]],0)</f>
        <v>0</v>
      </c>
      <c r="N357" s="194">
        <f t="shared" si="5"/>
        <v>1.3</v>
      </c>
      <c r="O357" s="198">
        <f>_1_5412845612146241046457891017456[[#This Row],[TOTAL]]*_1_5412845612146241046457891017456[[#This Row],[MARGIN]]</f>
        <v>0</v>
      </c>
      <c r="R357" s="41"/>
    </row>
    <row r="358" spans="1:18">
      <c r="A358" s="168"/>
      <c r="D358" s="188"/>
      <c r="F358" s="168" t="s">
        <v>6202</v>
      </c>
      <c r="G358" s="193">
        <f>IF(_1_5412845612146241046457891017456[[#This Row],[Type]]&gt;0,VLOOKUP(_1_5412845612146241046457891017456[[#This Row],[Type]],Main[[#All],[TYPE]:[UNIT]],'Unit Price'!C$1,FALSE),0)</f>
        <v>0</v>
      </c>
      <c r="H358" s="197">
        <f>IF(_1_5412845612146241046457891017456[[#This Row],[Type]]&gt;0,VLOOKUP(_1_5412845612146241046457891017456[[#This Row],[Type]],Main[[#All],[TYPE]:[UNIT]],'Unit Price'!D$1,FALSE),0)</f>
        <v>0</v>
      </c>
      <c r="I358" s="194">
        <f>IF(_1_5412845612146241046457891017456[[#This Row],[Type]]&gt;0,VLOOKUP(_1_5412845612146241046457891017456[[#This Row],[Type]],Main[[#All],[TYPE]:[UNIT]],'Unit Price'!G$1,FALSE),0)</f>
        <v>0</v>
      </c>
      <c r="J358" s="194">
        <f>IF(_1_5412845612146241046457891017456[[#This Row],[Type]]&gt;0,VLOOKUP(_1_5412845612146241046457891017456[[#This Row],[Type]],Main[[#All],[TYPE]:[UNIT]],'Unit Price'!H$1,FALSE),0)</f>
        <v>0</v>
      </c>
      <c r="K358" s="194">
        <f>IF(_1_5412845612146241046457891017456[[#This Row],[Discount selection]]&gt;0,VLOOKUP(_1_5412845612146241046457891017456[[#This Row],[Discount selection]],'Discount Structure'!$A$2:$B$30,2,"false"),0)</f>
        <v>1</v>
      </c>
      <c r="L358" s="194">
        <f>_1_5412845612146241046457891017456[[#This Row],[LIST $]]*_1_5412845612146241046457891017456[[#This Row],[DISCOUNT]]*_1_5412845612146241046457891017456[[#This Row],[DISCOUNT 2]]</f>
        <v>0</v>
      </c>
      <c r="M358" s="194">
        <f>IF(OR(_1_5412845612146241046457891017456[[#This Row],[UNIT]]&gt;0,_1_5412845612146241046457891017456[[#This Row],[UNIT]]&lt;0),_1_5412845612146241046457891017456[[#This Row],[UNIT]]*_1_5412845612146241046457891017456[[#This Row],[COST]],0)</f>
        <v>0</v>
      </c>
      <c r="N358" s="194">
        <f t="shared" si="5"/>
        <v>1.3</v>
      </c>
      <c r="O358" s="198">
        <f>_1_5412845612146241046457891017456[[#This Row],[TOTAL]]*_1_5412845612146241046457891017456[[#This Row],[MARGIN]]</f>
        <v>0</v>
      </c>
      <c r="R358" s="41"/>
    </row>
    <row r="359" spans="1:18">
      <c r="D359" s="188"/>
      <c r="F359" s="168" t="s">
        <v>6202</v>
      </c>
      <c r="G359" s="193">
        <f>IF(_1_5412845612146241046457891017456[[#This Row],[Type]]&gt;0,VLOOKUP(_1_5412845612146241046457891017456[[#This Row],[Type]],Main[[#All],[TYPE]:[UNIT]],'Unit Price'!C$1,FALSE),0)</f>
        <v>0</v>
      </c>
      <c r="H359" s="197">
        <f>IF(_1_5412845612146241046457891017456[[#This Row],[Type]]&gt;0,VLOOKUP(_1_5412845612146241046457891017456[[#This Row],[Type]],Main[[#All],[TYPE]:[UNIT]],'Unit Price'!D$1,FALSE),0)</f>
        <v>0</v>
      </c>
      <c r="I359" s="194">
        <f>IF(_1_5412845612146241046457891017456[[#This Row],[Type]]&gt;0,VLOOKUP(_1_5412845612146241046457891017456[[#This Row],[Type]],Main[[#All],[TYPE]:[UNIT]],'Unit Price'!G$1,FALSE),0)</f>
        <v>0</v>
      </c>
      <c r="J359" s="194">
        <f>IF(_1_5412845612146241046457891017456[[#This Row],[Type]]&gt;0,VLOOKUP(_1_5412845612146241046457891017456[[#This Row],[Type]],Main[[#All],[TYPE]:[UNIT]],'Unit Price'!H$1,FALSE),0)</f>
        <v>0</v>
      </c>
      <c r="K359" s="194">
        <f>IF(_1_5412845612146241046457891017456[[#This Row],[Discount selection]]&gt;0,VLOOKUP(_1_5412845612146241046457891017456[[#This Row],[Discount selection]],'Discount Structure'!$A$2:$B$30,2,"false"),0)</f>
        <v>1</v>
      </c>
      <c r="L359" s="194">
        <f>_1_5412845612146241046457891017456[[#This Row],[LIST $]]*_1_5412845612146241046457891017456[[#This Row],[DISCOUNT]]*_1_5412845612146241046457891017456[[#This Row],[DISCOUNT 2]]</f>
        <v>0</v>
      </c>
      <c r="M359" s="194">
        <f>IF(OR(_1_5412845612146241046457891017456[[#This Row],[UNIT]]&gt;0,_1_5412845612146241046457891017456[[#This Row],[UNIT]]&lt;0),_1_5412845612146241046457891017456[[#This Row],[UNIT]]*_1_5412845612146241046457891017456[[#This Row],[COST]],0)</f>
        <v>0</v>
      </c>
      <c r="N359" s="194">
        <f t="shared" si="5"/>
        <v>1.3</v>
      </c>
      <c r="O359" s="198">
        <f>_1_5412845612146241046457891017456[[#This Row],[TOTAL]]*_1_5412845612146241046457891017456[[#This Row],[MARGIN]]</f>
        <v>0</v>
      </c>
      <c r="R359" s="41"/>
    </row>
    <row r="360" spans="1:18">
      <c r="A360" s="168"/>
      <c r="B360" s="168"/>
      <c r="C360" s="168"/>
      <c r="D360" s="188"/>
      <c r="F360" s="168" t="s">
        <v>6202</v>
      </c>
      <c r="G360" s="193">
        <f>IF(_1_5412845612146241046457891017456[[#This Row],[Type]]&gt;0,VLOOKUP(_1_5412845612146241046457891017456[[#This Row],[Type]],Main[[#All],[TYPE]:[UNIT]],'Unit Price'!C$1,FALSE),0)</f>
        <v>0</v>
      </c>
      <c r="H360" s="197">
        <f>IF(_1_5412845612146241046457891017456[[#This Row],[Type]]&gt;0,VLOOKUP(_1_5412845612146241046457891017456[[#This Row],[Type]],Main[[#All],[TYPE]:[UNIT]],'Unit Price'!D$1,FALSE),0)</f>
        <v>0</v>
      </c>
      <c r="I360" s="194">
        <f>IF(_1_5412845612146241046457891017456[[#This Row],[Type]]&gt;0,VLOOKUP(_1_5412845612146241046457891017456[[#This Row],[Type]],Main[[#All],[TYPE]:[UNIT]],'Unit Price'!G$1,FALSE),0)</f>
        <v>0</v>
      </c>
      <c r="J360" s="194">
        <f>IF(_1_5412845612146241046457891017456[[#This Row],[Type]]&gt;0,VLOOKUP(_1_5412845612146241046457891017456[[#This Row],[Type]],Main[[#All],[TYPE]:[UNIT]],'Unit Price'!H$1,FALSE),0)</f>
        <v>0</v>
      </c>
      <c r="K360" s="194">
        <f>IF(_1_5412845612146241046457891017456[[#This Row],[Discount selection]]&gt;0,VLOOKUP(_1_5412845612146241046457891017456[[#This Row],[Discount selection]],'Discount Structure'!$A$2:$B$30,2,"false"),0)</f>
        <v>1</v>
      </c>
      <c r="L360" s="194">
        <f>_1_5412845612146241046457891017456[[#This Row],[LIST $]]*_1_5412845612146241046457891017456[[#This Row],[DISCOUNT]]*_1_5412845612146241046457891017456[[#This Row],[DISCOUNT 2]]</f>
        <v>0</v>
      </c>
      <c r="M360" s="194">
        <f>IF(OR(_1_5412845612146241046457891017456[[#This Row],[UNIT]]&gt;0,_1_5412845612146241046457891017456[[#This Row],[UNIT]]&lt;0),_1_5412845612146241046457891017456[[#This Row],[UNIT]]*_1_5412845612146241046457891017456[[#This Row],[COST]],0)</f>
        <v>0</v>
      </c>
      <c r="N360" s="194">
        <f t="shared" si="5"/>
        <v>1.3</v>
      </c>
      <c r="O360" s="198">
        <f>_1_5412845612146241046457891017456[[#This Row],[TOTAL]]*_1_5412845612146241046457891017456[[#This Row],[MARGIN]]</f>
        <v>0</v>
      </c>
      <c r="R360" s="41"/>
    </row>
    <row r="361" spans="1:18">
      <c r="A361" s="323"/>
      <c r="B361" s="323"/>
      <c r="C361" s="323"/>
      <c r="D361" s="188"/>
      <c r="F361" s="168" t="s">
        <v>6202</v>
      </c>
      <c r="G361" s="193">
        <f>IF(_1_5412845612146241046457891017456[[#This Row],[Type]]&gt;0,VLOOKUP(_1_5412845612146241046457891017456[[#This Row],[Type]],Main[[#All],[TYPE]:[UNIT]],'Unit Price'!C$1,FALSE),0)</f>
        <v>0</v>
      </c>
      <c r="H361" s="197">
        <f>IF(_1_5412845612146241046457891017456[[#This Row],[Type]]&gt;0,VLOOKUP(_1_5412845612146241046457891017456[[#This Row],[Type]],Main[[#All],[TYPE]:[UNIT]],'Unit Price'!D$1,FALSE),0)</f>
        <v>0</v>
      </c>
      <c r="I361" s="194">
        <f>IF(_1_5412845612146241046457891017456[[#This Row],[Type]]&gt;0,VLOOKUP(_1_5412845612146241046457891017456[[#This Row],[Type]],Main[[#All],[TYPE]:[UNIT]],'Unit Price'!G$1,FALSE),0)</f>
        <v>0</v>
      </c>
      <c r="J361" s="194">
        <f>IF(_1_5412845612146241046457891017456[[#This Row],[Type]]&gt;0,VLOOKUP(_1_5412845612146241046457891017456[[#This Row],[Type]],Main[[#All],[TYPE]:[UNIT]],'Unit Price'!H$1,FALSE),0)</f>
        <v>0</v>
      </c>
      <c r="K361" s="194">
        <f>IF(_1_5412845612146241046457891017456[[#This Row],[Discount selection]]&gt;0,VLOOKUP(_1_5412845612146241046457891017456[[#This Row],[Discount selection]],'Discount Structure'!$A$2:$B$30,2,"false"),0)</f>
        <v>1</v>
      </c>
      <c r="L361" s="194">
        <f>_1_5412845612146241046457891017456[[#This Row],[LIST $]]*_1_5412845612146241046457891017456[[#This Row],[DISCOUNT]]*_1_5412845612146241046457891017456[[#This Row],[DISCOUNT 2]]</f>
        <v>0</v>
      </c>
      <c r="M361" s="194">
        <f>IF(OR(_1_5412845612146241046457891017456[[#This Row],[UNIT]]&gt;0,_1_5412845612146241046457891017456[[#This Row],[UNIT]]&lt;0),_1_5412845612146241046457891017456[[#This Row],[UNIT]]*_1_5412845612146241046457891017456[[#This Row],[COST]],0)</f>
        <v>0</v>
      </c>
      <c r="N361" s="194">
        <f t="shared" si="5"/>
        <v>1.3</v>
      </c>
      <c r="O361" s="198">
        <f>_1_5412845612146241046457891017456[[#This Row],[TOTAL]]*_1_5412845612146241046457891017456[[#This Row],[MARGIN]]</f>
        <v>0</v>
      </c>
      <c r="R361" s="41"/>
    </row>
    <row r="362" spans="1:18">
      <c r="A362" s="323"/>
      <c r="B362" s="353"/>
      <c r="C362" s="323"/>
      <c r="D362" s="188"/>
      <c r="F362" s="168" t="s">
        <v>6202</v>
      </c>
      <c r="G362" s="193">
        <f>IF(_1_5412845612146241046457891017456[[#This Row],[Type]]&gt;0,VLOOKUP(_1_5412845612146241046457891017456[[#This Row],[Type]],Main[[#All],[TYPE]:[UNIT]],'Unit Price'!C$1,FALSE),0)</f>
        <v>0</v>
      </c>
      <c r="H362" s="197">
        <f>IF(_1_5412845612146241046457891017456[[#This Row],[Type]]&gt;0,VLOOKUP(_1_5412845612146241046457891017456[[#This Row],[Type]],Main[[#All],[TYPE]:[UNIT]],'Unit Price'!D$1,FALSE),0)</f>
        <v>0</v>
      </c>
      <c r="I362" s="194">
        <f>IF(_1_5412845612146241046457891017456[[#This Row],[Type]]&gt;0,VLOOKUP(_1_5412845612146241046457891017456[[#This Row],[Type]],Main[[#All],[TYPE]:[UNIT]],'Unit Price'!G$1,FALSE),0)</f>
        <v>0</v>
      </c>
      <c r="J362" s="194">
        <f>IF(_1_5412845612146241046457891017456[[#This Row],[Type]]&gt;0,VLOOKUP(_1_5412845612146241046457891017456[[#This Row],[Type]],Main[[#All],[TYPE]:[UNIT]],'Unit Price'!H$1,FALSE),0)</f>
        <v>0</v>
      </c>
      <c r="K362" s="194">
        <f>IF(_1_5412845612146241046457891017456[[#This Row],[Discount selection]]&gt;0,VLOOKUP(_1_5412845612146241046457891017456[[#This Row],[Discount selection]],'Discount Structure'!$A$2:$B$30,2,"false"),0)</f>
        <v>1</v>
      </c>
      <c r="L362" s="194">
        <f>_1_5412845612146241046457891017456[[#This Row],[LIST $]]*_1_5412845612146241046457891017456[[#This Row],[DISCOUNT]]*_1_5412845612146241046457891017456[[#This Row],[DISCOUNT 2]]</f>
        <v>0</v>
      </c>
      <c r="M362" s="194">
        <f>IF(OR(_1_5412845612146241046457891017456[[#This Row],[UNIT]]&gt;0,_1_5412845612146241046457891017456[[#This Row],[UNIT]]&lt;0),_1_5412845612146241046457891017456[[#This Row],[UNIT]]*_1_5412845612146241046457891017456[[#This Row],[COST]],0)</f>
        <v>0</v>
      </c>
      <c r="N362" s="194">
        <f t="shared" si="5"/>
        <v>1.3</v>
      </c>
      <c r="O362" s="198">
        <f>_1_5412845612146241046457891017456[[#This Row],[TOTAL]]*_1_5412845612146241046457891017456[[#This Row],[MARGIN]]</f>
        <v>0</v>
      </c>
      <c r="R362" s="41"/>
    </row>
    <row r="363" spans="1:18">
      <c r="D363" s="188"/>
      <c r="F363" s="168" t="s">
        <v>6202</v>
      </c>
      <c r="G363" s="193">
        <f>IF(_1_5412845612146241046457891017456[[#This Row],[Type]]&gt;0,VLOOKUP(_1_5412845612146241046457891017456[[#This Row],[Type]],Main[[#All],[TYPE]:[UNIT]],'Unit Price'!C$1,FALSE),0)</f>
        <v>0</v>
      </c>
      <c r="H363" s="197">
        <f>IF(_1_5412845612146241046457891017456[[#This Row],[Type]]&gt;0,VLOOKUP(_1_5412845612146241046457891017456[[#This Row],[Type]],Main[[#All],[TYPE]:[UNIT]],'Unit Price'!D$1,FALSE),0)</f>
        <v>0</v>
      </c>
      <c r="I363" s="194">
        <f>IF(_1_5412845612146241046457891017456[[#This Row],[Type]]&gt;0,VLOOKUP(_1_5412845612146241046457891017456[[#This Row],[Type]],Main[[#All],[TYPE]:[UNIT]],'Unit Price'!G$1,FALSE),0)</f>
        <v>0</v>
      </c>
      <c r="J363" s="194">
        <f>IF(_1_5412845612146241046457891017456[[#This Row],[Type]]&gt;0,VLOOKUP(_1_5412845612146241046457891017456[[#This Row],[Type]],Main[[#All],[TYPE]:[UNIT]],'Unit Price'!H$1,FALSE),0)</f>
        <v>0</v>
      </c>
      <c r="K363" s="194">
        <f>IF(_1_5412845612146241046457891017456[[#This Row],[Discount selection]]&gt;0,VLOOKUP(_1_5412845612146241046457891017456[[#This Row],[Discount selection]],'Discount Structure'!$A$2:$B$30,2,"false"),0)</f>
        <v>1</v>
      </c>
      <c r="L363" s="194">
        <f>_1_5412845612146241046457891017456[[#This Row],[LIST $]]*_1_5412845612146241046457891017456[[#This Row],[DISCOUNT]]*_1_5412845612146241046457891017456[[#This Row],[DISCOUNT 2]]</f>
        <v>0</v>
      </c>
      <c r="M363" s="194">
        <f>IF(OR(_1_5412845612146241046457891017456[[#This Row],[UNIT]]&gt;0,_1_5412845612146241046457891017456[[#This Row],[UNIT]]&lt;0),_1_5412845612146241046457891017456[[#This Row],[UNIT]]*_1_5412845612146241046457891017456[[#This Row],[COST]],0)</f>
        <v>0</v>
      </c>
      <c r="N363" s="194">
        <f t="shared" si="5"/>
        <v>1.3</v>
      </c>
      <c r="O363" s="198">
        <f>_1_5412845612146241046457891017456[[#This Row],[TOTAL]]*_1_5412845612146241046457891017456[[#This Row],[MARGIN]]</f>
        <v>0</v>
      </c>
      <c r="R363" s="41"/>
    </row>
    <row r="364" spans="1:18">
      <c r="D364" s="188"/>
      <c r="F364" s="168" t="s">
        <v>6202</v>
      </c>
      <c r="G364" s="193">
        <f>IF(_1_5412845612146241046457891017456[[#This Row],[Type]]&gt;0,VLOOKUP(_1_5412845612146241046457891017456[[#This Row],[Type]],Main[[#All],[TYPE]:[UNIT]],'Unit Price'!C$1,FALSE),0)</f>
        <v>0</v>
      </c>
      <c r="H364" s="197">
        <f>IF(_1_5412845612146241046457891017456[[#This Row],[Type]]&gt;0,VLOOKUP(_1_5412845612146241046457891017456[[#This Row],[Type]],Main[[#All],[TYPE]:[UNIT]],'Unit Price'!D$1,FALSE),0)</f>
        <v>0</v>
      </c>
      <c r="I364" s="194">
        <f>IF(_1_5412845612146241046457891017456[[#This Row],[Type]]&gt;0,VLOOKUP(_1_5412845612146241046457891017456[[#This Row],[Type]],Main[[#All],[TYPE]:[UNIT]],'Unit Price'!G$1,FALSE),0)</f>
        <v>0</v>
      </c>
      <c r="J364" s="194">
        <f>IF(_1_5412845612146241046457891017456[[#This Row],[Type]]&gt;0,VLOOKUP(_1_5412845612146241046457891017456[[#This Row],[Type]],Main[[#All],[TYPE]:[UNIT]],'Unit Price'!H$1,FALSE),0)</f>
        <v>0</v>
      </c>
      <c r="K364" s="194">
        <f>IF(_1_5412845612146241046457891017456[[#This Row],[Discount selection]]&gt;0,VLOOKUP(_1_5412845612146241046457891017456[[#This Row],[Discount selection]],'Discount Structure'!$A$2:$B$30,2,"false"),0)</f>
        <v>1</v>
      </c>
      <c r="L364" s="194">
        <f>_1_5412845612146241046457891017456[[#This Row],[LIST $]]*_1_5412845612146241046457891017456[[#This Row],[DISCOUNT]]*_1_5412845612146241046457891017456[[#This Row],[DISCOUNT 2]]</f>
        <v>0</v>
      </c>
      <c r="M364" s="194">
        <f>IF(OR(_1_5412845612146241046457891017456[[#This Row],[UNIT]]&gt;0,_1_5412845612146241046457891017456[[#This Row],[UNIT]]&lt;0),_1_5412845612146241046457891017456[[#This Row],[UNIT]]*_1_5412845612146241046457891017456[[#This Row],[COST]],0)</f>
        <v>0</v>
      </c>
      <c r="N364" s="194">
        <f t="shared" si="5"/>
        <v>1.3</v>
      </c>
      <c r="O364" s="198">
        <f>_1_5412845612146241046457891017456[[#This Row],[TOTAL]]*_1_5412845612146241046457891017456[[#This Row],[MARGIN]]</f>
        <v>0</v>
      </c>
      <c r="R364" s="41"/>
    </row>
    <row r="365" spans="1:18">
      <c r="A365" s="168"/>
      <c r="D365" s="188"/>
      <c r="F365" s="168" t="s">
        <v>6202</v>
      </c>
      <c r="G365" s="193">
        <f>IF(_1_5412845612146241046457891017456[[#This Row],[Type]]&gt;0,VLOOKUP(_1_5412845612146241046457891017456[[#This Row],[Type]],Main[[#All],[TYPE]:[UNIT]],'Unit Price'!C$1,FALSE),0)</f>
        <v>0</v>
      </c>
      <c r="H365" s="197">
        <f>IF(_1_5412845612146241046457891017456[[#This Row],[Type]]&gt;0,VLOOKUP(_1_5412845612146241046457891017456[[#This Row],[Type]],Main[[#All],[TYPE]:[UNIT]],'Unit Price'!D$1,FALSE),0)</f>
        <v>0</v>
      </c>
      <c r="I365" s="194">
        <f>IF(_1_5412845612146241046457891017456[[#This Row],[Type]]&gt;0,VLOOKUP(_1_5412845612146241046457891017456[[#This Row],[Type]],Main[[#All],[TYPE]:[UNIT]],'Unit Price'!G$1,FALSE),0)</f>
        <v>0</v>
      </c>
      <c r="J365" s="194">
        <f>IF(_1_5412845612146241046457891017456[[#This Row],[Type]]&gt;0,VLOOKUP(_1_5412845612146241046457891017456[[#This Row],[Type]],Main[[#All],[TYPE]:[UNIT]],'Unit Price'!H$1,FALSE),0)</f>
        <v>0</v>
      </c>
      <c r="K365" s="194">
        <f>IF(_1_5412845612146241046457891017456[[#This Row],[Discount selection]]&gt;0,VLOOKUP(_1_5412845612146241046457891017456[[#This Row],[Discount selection]],'Discount Structure'!$A$2:$B$30,2,"false"),0)</f>
        <v>1</v>
      </c>
      <c r="L365" s="194">
        <f>_1_5412845612146241046457891017456[[#This Row],[LIST $]]*_1_5412845612146241046457891017456[[#This Row],[DISCOUNT]]*_1_5412845612146241046457891017456[[#This Row],[DISCOUNT 2]]</f>
        <v>0</v>
      </c>
      <c r="M365" s="194">
        <f>IF(OR(_1_5412845612146241046457891017456[[#This Row],[UNIT]]&gt;0,_1_5412845612146241046457891017456[[#This Row],[UNIT]]&lt;0),_1_5412845612146241046457891017456[[#This Row],[UNIT]]*_1_5412845612146241046457891017456[[#This Row],[COST]],0)</f>
        <v>0</v>
      </c>
      <c r="N365" s="194">
        <f t="shared" si="5"/>
        <v>1.3</v>
      </c>
      <c r="O365" s="198">
        <f>_1_5412845612146241046457891017456[[#This Row],[TOTAL]]*_1_5412845612146241046457891017456[[#This Row],[MARGIN]]</f>
        <v>0</v>
      </c>
      <c r="R365" s="41"/>
    </row>
    <row r="366" spans="1:18">
      <c r="D366" s="188"/>
      <c r="F366" s="168" t="s">
        <v>6202</v>
      </c>
      <c r="G366" s="193">
        <f>IF(_1_5412845612146241046457891017456[[#This Row],[Type]]&gt;0,VLOOKUP(_1_5412845612146241046457891017456[[#This Row],[Type]],Main[[#All],[TYPE]:[UNIT]],'Unit Price'!C$1,FALSE),0)</f>
        <v>0</v>
      </c>
      <c r="H366" s="197">
        <f>IF(_1_5412845612146241046457891017456[[#This Row],[Type]]&gt;0,VLOOKUP(_1_5412845612146241046457891017456[[#This Row],[Type]],Main[[#All],[TYPE]:[UNIT]],'Unit Price'!D$1,FALSE),0)</f>
        <v>0</v>
      </c>
      <c r="I366" s="194">
        <f>IF(_1_5412845612146241046457891017456[[#This Row],[Type]]&gt;0,VLOOKUP(_1_5412845612146241046457891017456[[#This Row],[Type]],Main[[#All],[TYPE]:[UNIT]],'Unit Price'!G$1,FALSE),0)</f>
        <v>0</v>
      </c>
      <c r="J366" s="194">
        <f>IF(_1_5412845612146241046457891017456[[#This Row],[Type]]&gt;0,VLOOKUP(_1_5412845612146241046457891017456[[#This Row],[Type]],Main[[#All],[TYPE]:[UNIT]],'Unit Price'!H$1,FALSE),0)</f>
        <v>0</v>
      </c>
      <c r="K366" s="194">
        <f>IF(_1_5412845612146241046457891017456[[#This Row],[Discount selection]]&gt;0,VLOOKUP(_1_5412845612146241046457891017456[[#This Row],[Discount selection]],'Discount Structure'!$A$2:$B$30,2,"false"),0)</f>
        <v>1</v>
      </c>
      <c r="L366" s="194">
        <f>_1_5412845612146241046457891017456[[#This Row],[LIST $]]*_1_5412845612146241046457891017456[[#This Row],[DISCOUNT]]*_1_5412845612146241046457891017456[[#This Row],[DISCOUNT 2]]</f>
        <v>0</v>
      </c>
      <c r="M366" s="194">
        <f>IF(OR(_1_5412845612146241046457891017456[[#This Row],[UNIT]]&gt;0,_1_5412845612146241046457891017456[[#This Row],[UNIT]]&lt;0),_1_5412845612146241046457891017456[[#This Row],[UNIT]]*_1_5412845612146241046457891017456[[#This Row],[COST]],0)</f>
        <v>0</v>
      </c>
      <c r="N366" s="194">
        <f t="shared" si="5"/>
        <v>1.3</v>
      </c>
      <c r="O366" s="198">
        <f>_1_5412845612146241046457891017456[[#This Row],[TOTAL]]*_1_5412845612146241046457891017456[[#This Row],[MARGIN]]</f>
        <v>0</v>
      </c>
      <c r="R366" s="41"/>
    </row>
    <row r="367" spans="1:18">
      <c r="A367" s="168"/>
      <c r="B367" s="168"/>
      <c r="C367" s="168"/>
      <c r="D367" s="188"/>
      <c r="F367" s="168" t="s">
        <v>6202</v>
      </c>
      <c r="G367" s="193">
        <f>IF(_1_5412845612146241046457891017456[[#This Row],[Type]]&gt;0,VLOOKUP(_1_5412845612146241046457891017456[[#This Row],[Type]],Main[[#All],[TYPE]:[UNIT]],'Unit Price'!C$1,FALSE),0)</f>
        <v>0</v>
      </c>
      <c r="H367" s="197">
        <f>IF(_1_5412845612146241046457891017456[[#This Row],[Type]]&gt;0,VLOOKUP(_1_5412845612146241046457891017456[[#This Row],[Type]],Main[[#All],[TYPE]:[UNIT]],'Unit Price'!D$1,FALSE),0)</f>
        <v>0</v>
      </c>
      <c r="I367" s="194">
        <f>IF(_1_5412845612146241046457891017456[[#This Row],[Type]]&gt;0,VLOOKUP(_1_5412845612146241046457891017456[[#This Row],[Type]],Main[[#All],[TYPE]:[UNIT]],'Unit Price'!G$1,FALSE),0)</f>
        <v>0</v>
      </c>
      <c r="J367" s="194">
        <f>IF(_1_5412845612146241046457891017456[[#This Row],[Type]]&gt;0,VLOOKUP(_1_5412845612146241046457891017456[[#This Row],[Type]],Main[[#All],[TYPE]:[UNIT]],'Unit Price'!H$1,FALSE),0)</f>
        <v>0</v>
      </c>
      <c r="K367" s="194">
        <f>IF(_1_5412845612146241046457891017456[[#This Row],[Discount selection]]&gt;0,VLOOKUP(_1_5412845612146241046457891017456[[#This Row],[Discount selection]],'Discount Structure'!$A$2:$B$30,2,"false"),0)</f>
        <v>1</v>
      </c>
      <c r="L367" s="194">
        <f>_1_5412845612146241046457891017456[[#This Row],[LIST $]]*_1_5412845612146241046457891017456[[#This Row],[DISCOUNT]]*_1_5412845612146241046457891017456[[#This Row],[DISCOUNT 2]]</f>
        <v>0</v>
      </c>
      <c r="M367" s="194">
        <f>IF(OR(_1_5412845612146241046457891017456[[#This Row],[UNIT]]&gt;0,_1_5412845612146241046457891017456[[#This Row],[UNIT]]&lt;0),_1_5412845612146241046457891017456[[#This Row],[UNIT]]*_1_5412845612146241046457891017456[[#This Row],[COST]],0)</f>
        <v>0</v>
      </c>
      <c r="N367" s="194">
        <f t="shared" si="5"/>
        <v>1.3</v>
      </c>
      <c r="O367" s="198">
        <f>_1_5412845612146241046457891017456[[#This Row],[TOTAL]]*_1_5412845612146241046457891017456[[#This Row],[MARGIN]]</f>
        <v>0</v>
      </c>
      <c r="R367" s="41"/>
    </row>
    <row r="368" spans="1:18">
      <c r="A368" s="323"/>
      <c r="B368" s="323"/>
      <c r="C368" s="323"/>
      <c r="D368" s="188"/>
      <c r="F368" s="168" t="s">
        <v>6202</v>
      </c>
      <c r="G368" s="193">
        <f>IF(_1_5412845612146241046457891017456[[#This Row],[Type]]&gt;0,VLOOKUP(_1_5412845612146241046457891017456[[#This Row],[Type]],Main[[#All],[TYPE]:[UNIT]],'Unit Price'!C$1,FALSE),0)</f>
        <v>0</v>
      </c>
      <c r="H368" s="197">
        <f>IF(_1_5412845612146241046457891017456[[#This Row],[Type]]&gt;0,VLOOKUP(_1_5412845612146241046457891017456[[#This Row],[Type]],Main[[#All],[TYPE]:[UNIT]],'Unit Price'!D$1,FALSE),0)</f>
        <v>0</v>
      </c>
      <c r="I368" s="194">
        <f>IF(_1_5412845612146241046457891017456[[#This Row],[Type]]&gt;0,VLOOKUP(_1_5412845612146241046457891017456[[#This Row],[Type]],Main[[#All],[TYPE]:[UNIT]],'Unit Price'!G$1,FALSE),0)</f>
        <v>0</v>
      </c>
      <c r="J368" s="194">
        <f>IF(_1_5412845612146241046457891017456[[#This Row],[Type]]&gt;0,VLOOKUP(_1_5412845612146241046457891017456[[#This Row],[Type]],Main[[#All],[TYPE]:[UNIT]],'Unit Price'!H$1,FALSE),0)</f>
        <v>0</v>
      </c>
      <c r="K368" s="194">
        <f>IF(_1_5412845612146241046457891017456[[#This Row],[Discount selection]]&gt;0,VLOOKUP(_1_5412845612146241046457891017456[[#This Row],[Discount selection]],'Discount Structure'!$A$2:$B$30,2,"false"),0)</f>
        <v>1</v>
      </c>
      <c r="L368" s="194">
        <f>_1_5412845612146241046457891017456[[#This Row],[LIST $]]*_1_5412845612146241046457891017456[[#This Row],[DISCOUNT]]*_1_5412845612146241046457891017456[[#This Row],[DISCOUNT 2]]</f>
        <v>0</v>
      </c>
      <c r="M368" s="194">
        <f>IF(OR(_1_5412845612146241046457891017456[[#This Row],[UNIT]]&gt;0,_1_5412845612146241046457891017456[[#This Row],[UNIT]]&lt;0),_1_5412845612146241046457891017456[[#This Row],[UNIT]]*_1_5412845612146241046457891017456[[#This Row],[COST]],0)</f>
        <v>0</v>
      </c>
      <c r="N368" s="194">
        <f t="shared" si="5"/>
        <v>1.3</v>
      </c>
      <c r="O368" s="198">
        <f>_1_5412845612146241046457891017456[[#This Row],[TOTAL]]*_1_5412845612146241046457891017456[[#This Row],[MARGIN]]</f>
        <v>0</v>
      </c>
      <c r="R368" s="41"/>
    </row>
    <row r="369" spans="1:18">
      <c r="A369" s="323"/>
      <c r="B369" s="353"/>
      <c r="C369" s="323"/>
      <c r="D369" s="188"/>
      <c r="F369" s="168" t="s">
        <v>6202</v>
      </c>
      <c r="G369" s="193">
        <f>IF(_1_5412845612146241046457891017456[[#This Row],[Type]]&gt;0,VLOOKUP(_1_5412845612146241046457891017456[[#This Row],[Type]],Main[[#All],[TYPE]:[UNIT]],'Unit Price'!C$1,FALSE),0)</f>
        <v>0</v>
      </c>
      <c r="H369" s="197">
        <f>IF(_1_5412845612146241046457891017456[[#This Row],[Type]]&gt;0,VLOOKUP(_1_5412845612146241046457891017456[[#This Row],[Type]],Main[[#All],[TYPE]:[UNIT]],'Unit Price'!D$1,FALSE),0)</f>
        <v>0</v>
      </c>
      <c r="I369" s="194">
        <f>IF(_1_5412845612146241046457891017456[[#This Row],[Type]]&gt;0,VLOOKUP(_1_5412845612146241046457891017456[[#This Row],[Type]],Main[[#All],[TYPE]:[UNIT]],'Unit Price'!G$1,FALSE),0)</f>
        <v>0</v>
      </c>
      <c r="J369" s="194">
        <f>IF(_1_5412845612146241046457891017456[[#This Row],[Type]]&gt;0,VLOOKUP(_1_5412845612146241046457891017456[[#This Row],[Type]],Main[[#All],[TYPE]:[UNIT]],'Unit Price'!H$1,FALSE),0)</f>
        <v>0</v>
      </c>
      <c r="K369" s="194">
        <f>IF(_1_5412845612146241046457891017456[[#This Row],[Discount selection]]&gt;0,VLOOKUP(_1_5412845612146241046457891017456[[#This Row],[Discount selection]],'Discount Structure'!$A$2:$B$30,2,"false"),0)</f>
        <v>1</v>
      </c>
      <c r="L369" s="194">
        <f>_1_5412845612146241046457891017456[[#This Row],[LIST $]]*_1_5412845612146241046457891017456[[#This Row],[DISCOUNT]]*_1_5412845612146241046457891017456[[#This Row],[DISCOUNT 2]]</f>
        <v>0</v>
      </c>
      <c r="M369" s="194">
        <f>IF(OR(_1_5412845612146241046457891017456[[#This Row],[UNIT]]&gt;0,_1_5412845612146241046457891017456[[#This Row],[UNIT]]&lt;0),_1_5412845612146241046457891017456[[#This Row],[UNIT]]*_1_5412845612146241046457891017456[[#This Row],[COST]],0)</f>
        <v>0</v>
      </c>
      <c r="N369" s="194">
        <f t="shared" si="5"/>
        <v>1.3</v>
      </c>
      <c r="O369" s="198">
        <f>_1_5412845612146241046457891017456[[#This Row],[TOTAL]]*_1_5412845612146241046457891017456[[#This Row],[MARGIN]]</f>
        <v>0</v>
      </c>
      <c r="R369" s="41"/>
    </row>
    <row r="370" spans="1:18">
      <c r="D370" s="188"/>
      <c r="F370" s="168" t="s">
        <v>6202</v>
      </c>
      <c r="G370" s="193">
        <f>IF(_1_5412845612146241046457891017456[[#This Row],[Type]]&gt;0,VLOOKUP(_1_5412845612146241046457891017456[[#This Row],[Type]],Main[[#All],[TYPE]:[UNIT]],'Unit Price'!C$1,FALSE),0)</f>
        <v>0</v>
      </c>
      <c r="H370" s="197">
        <f>IF(_1_5412845612146241046457891017456[[#This Row],[Type]]&gt;0,VLOOKUP(_1_5412845612146241046457891017456[[#This Row],[Type]],Main[[#All],[TYPE]:[UNIT]],'Unit Price'!D$1,FALSE),0)</f>
        <v>0</v>
      </c>
      <c r="I370" s="194">
        <f>IF(_1_5412845612146241046457891017456[[#This Row],[Type]]&gt;0,VLOOKUP(_1_5412845612146241046457891017456[[#This Row],[Type]],Main[[#All],[TYPE]:[UNIT]],'Unit Price'!G$1,FALSE),0)</f>
        <v>0</v>
      </c>
      <c r="J370" s="194">
        <f>IF(_1_5412845612146241046457891017456[[#This Row],[Type]]&gt;0,VLOOKUP(_1_5412845612146241046457891017456[[#This Row],[Type]],Main[[#All],[TYPE]:[UNIT]],'Unit Price'!H$1,FALSE),0)</f>
        <v>0</v>
      </c>
      <c r="K370" s="194">
        <f>IF(_1_5412845612146241046457891017456[[#This Row],[Discount selection]]&gt;0,VLOOKUP(_1_5412845612146241046457891017456[[#This Row],[Discount selection]],'Discount Structure'!$A$2:$B$30,2,"false"),0)</f>
        <v>1</v>
      </c>
      <c r="L370" s="194">
        <f>_1_5412845612146241046457891017456[[#This Row],[LIST $]]*_1_5412845612146241046457891017456[[#This Row],[DISCOUNT]]*_1_5412845612146241046457891017456[[#This Row],[DISCOUNT 2]]</f>
        <v>0</v>
      </c>
      <c r="M370" s="194">
        <f>IF(OR(_1_5412845612146241046457891017456[[#This Row],[UNIT]]&gt;0,_1_5412845612146241046457891017456[[#This Row],[UNIT]]&lt;0),_1_5412845612146241046457891017456[[#This Row],[UNIT]]*_1_5412845612146241046457891017456[[#This Row],[COST]],0)</f>
        <v>0</v>
      </c>
      <c r="N370" s="194">
        <f t="shared" si="5"/>
        <v>1.3</v>
      </c>
      <c r="O370" s="198">
        <f>_1_5412845612146241046457891017456[[#This Row],[TOTAL]]*_1_5412845612146241046457891017456[[#This Row],[MARGIN]]</f>
        <v>0</v>
      </c>
      <c r="R370" s="41"/>
    </row>
    <row r="371" spans="1:18">
      <c r="D371" s="188"/>
      <c r="F371" s="168" t="s">
        <v>6202</v>
      </c>
      <c r="G371" s="193">
        <f>IF(_1_5412845612146241046457891017456[[#This Row],[Type]]&gt;0,VLOOKUP(_1_5412845612146241046457891017456[[#This Row],[Type]],Main[[#All],[TYPE]:[UNIT]],'Unit Price'!C$1,FALSE),0)</f>
        <v>0</v>
      </c>
      <c r="H371" s="197">
        <f>IF(_1_5412845612146241046457891017456[[#This Row],[Type]]&gt;0,VLOOKUP(_1_5412845612146241046457891017456[[#This Row],[Type]],Main[[#All],[TYPE]:[UNIT]],'Unit Price'!D$1,FALSE),0)</f>
        <v>0</v>
      </c>
      <c r="I371" s="194">
        <f>IF(_1_5412845612146241046457891017456[[#This Row],[Type]]&gt;0,VLOOKUP(_1_5412845612146241046457891017456[[#This Row],[Type]],Main[[#All],[TYPE]:[UNIT]],'Unit Price'!G$1,FALSE),0)</f>
        <v>0</v>
      </c>
      <c r="J371" s="194">
        <f>IF(_1_5412845612146241046457891017456[[#This Row],[Type]]&gt;0,VLOOKUP(_1_5412845612146241046457891017456[[#This Row],[Type]],Main[[#All],[TYPE]:[UNIT]],'Unit Price'!H$1,FALSE),0)</f>
        <v>0</v>
      </c>
      <c r="K371" s="194">
        <f>IF(_1_5412845612146241046457891017456[[#This Row],[Discount selection]]&gt;0,VLOOKUP(_1_5412845612146241046457891017456[[#This Row],[Discount selection]],'Discount Structure'!$A$2:$B$30,2,"false"),0)</f>
        <v>1</v>
      </c>
      <c r="L371" s="194">
        <f>_1_5412845612146241046457891017456[[#This Row],[LIST $]]*_1_5412845612146241046457891017456[[#This Row],[DISCOUNT]]*_1_5412845612146241046457891017456[[#This Row],[DISCOUNT 2]]</f>
        <v>0</v>
      </c>
      <c r="M371" s="194">
        <f>IF(OR(_1_5412845612146241046457891017456[[#This Row],[UNIT]]&gt;0,_1_5412845612146241046457891017456[[#This Row],[UNIT]]&lt;0),_1_5412845612146241046457891017456[[#This Row],[UNIT]]*_1_5412845612146241046457891017456[[#This Row],[COST]],0)</f>
        <v>0</v>
      </c>
      <c r="N371" s="194">
        <f t="shared" si="5"/>
        <v>1.3</v>
      </c>
      <c r="O371" s="198">
        <f>_1_5412845612146241046457891017456[[#This Row],[TOTAL]]*_1_5412845612146241046457891017456[[#This Row],[MARGIN]]</f>
        <v>0</v>
      </c>
      <c r="R371" s="41"/>
    </row>
    <row r="372" spans="1:18">
      <c r="D372" s="188"/>
      <c r="F372" s="168" t="s">
        <v>6202</v>
      </c>
      <c r="G372" s="192">
        <f>IF(_1_5412845612146241046457891017456[[#This Row],[Type]]&gt;0,VLOOKUP(_1_5412845612146241046457891017456[[#This Row],[Type]],Main[[#All],[TYPE]:[UNIT]],'Unit Price'!C$1,FALSE),0)</f>
        <v>0</v>
      </c>
      <c r="H372" s="197">
        <f>IF(_1_5412845612146241046457891017456[[#This Row],[Type]]&gt;0,VLOOKUP(_1_5412845612146241046457891017456[[#This Row],[Type]],Main[[#All],[TYPE]:[UNIT]],'Unit Price'!D$1,FALSE),0)</f>
        <v>0</v>
      </c>
      <c r="I372" s="194">
        <f>IF(_1_5412845612146241046457891017456[[#This Row],[Type]]&gt;0,VLOOKUP(_1_5412845612146241046457891017456[[#This Row],[Type]],Main[[#All],[TYPE]:[UNIT]],'Unit Price'!G$1,FALSE),0)</f>
        <v>0</v>
      </c>
      <c r="J372" s="194">
        <f>IF(_1_5412845612146241046457891017456[[#This Row],[Type]]&gt;0,VLOOKUP(_1_5412845612146241046457891017456[[#This Row],[Type]],Main[[#All],[TYPE]:[UNIT]],'Unit Price'!H$1,FALSE),0)</f>
        <v>0</v>
      </c>
      <c r="K372" s="194">
        <f>IF(_1_5412845612146241046457891017456[[#This Row],[Discount selection]]&gt;0,VLOOKUP(_1_5412845612146241046457891017456[[#This Row],[Discount selection]],'Discount Structure'!$A$2:$B$30,2,"false"),0)</f>
        <v>1</v>
      </c>
      <c r="L372" s="194">
        <f>_1_5412845612146241046457891017456[[#This Row],[LIST $]]*_1_5412845612146241046457891017456[[#This Row],[DISCOUNT]]*_1_5412845612146241046457891017456[[#This Row],[DISCOUNT 2]]</f>
        <v>0</v>
      </c>
      <c r="M372" s="194">
        <f>IF(OR(_1_5412845612146241046457891017456[[#This Row],[UNIT]]&gt;0,_1_5412845612146241046457891017456[[#This Row],[UNIT]]&lt;0),_1_5412845612146241046457891017456[[#This Row],[UNIT]]*_1_5412845612146241046457891017456[[#This Row],[COST]],0)</f>
        <v>0</v>
      </c>
      <c r="N372" s="194">
        <f t="shared" si="5"/>
        <v>1.3</v>
      </c>
      <c r="O372" s="198">
        <f>_1_5412845612146241046457891017456[[#This Row],[TOTAL]]*_1_5412845612146241046457891017456[[#This Row],[MARGIN]]</f>
        <v>0</v>
      </c>
      <c r="R372" s="41"/>
    </row>
    <row r="373" spans="1:18">
      <c r="A373" s="327"/>
      <c r="B373" s="327"/>
      <c r="D373" s="188"/>
      <c r="F373" s="168" t="s">
        <v>6202</v>
      </c>
      <c r="G373" s="192">
        <f>IF(_1_5412845612146241046457891017456[[#This Row],[Type]]&gt;0,VLOOKUP(_1_5412845612146241046457891017456[[#This Row],[Type]],Main[[#All],[TYPE]:[UNIT]],'Unit Price'!C$1,FALSE),0)</f>
        <v>0</v>
      </c>
      <c r="H373" s="197">
        <f>IF(_1_5412845612146241046457891017456[[#This Row],[Type]]&gt;0,VLOOKUP(_1_5412845612146241046457891017456[[#This Row],[Type]],Main[[#All],[TYPE]:[UNIT]],'Unit Price'!D$1,FALSE),0)</f>
        <v>0</v>
      </c>
      <c r="I373" s="194">
        <f>IF(_1_5412845612146241046457891017456[[#This Row],[Type]]&gt;0,VLOOKUP(_1_5412845612146241046457891017456[[#This Row],[Type]],Main[[#All],[TYPE]:[UNIT]],'Unit Price'!G$1,FALSE),0)</f>
        <v>0</v>
      </c>
      <c r="J373" s="194">
        <f>IF(_1_5412845612146241046457891017456[[#This Row],[Type]]&gt;0,VLOOKUP(_1_5412845612146241046457891017456[[#This Row],[Type]],Main[[#All],[TYPE]:[UNIT]],'Unit Price'!H$1,FALSE),0)</f>
        <v>0</v>
      </c>
      <c r="K373" s="194">
        <f>IF(_1_5412845612146241046457891017456[[#This Row],[Discount selection]]&gt;0,VLOOKUP(_1_5412845612146241046457891017456[[#This Row],[Discount selection]],'Discount Structure'!$A$2:$B$30,2,"false"),0)</f>
        <v>1</v>
      </c>
      <c r="L373" s="194">
        <f>_1_5412845612146241046457891017456[[#This Row],[LIST $]]*_1_5412845612146241046457891017456[[#This Row],[DISCOUNT]]*_1_5412845612146241046457891017456[[#This Row],[DISCOUNT 2]]</f>
        <v>0</v>
      </c>
      <c r="M373" s="194">
        <f>IF(OR(_1_5412845612146241046457891017456[[#This Row],[UNIT]]&gt;0,_1_5412845612146241046457891017456[[#This Row],[UNIT]]&lt;0),_1_5412845612146241046457891017456[[#This Row],[UNIT]]*_1_5412845612146241046457891017456[[#This Row],[COST]],0)</f>
        <v>0</v>
      </c>
      <c r="N373" s="194">
        <f t="shared" si="5"/>
        <v>1.3</v>
      </c>
      <c r="O373" s="198">
        <f>_1_5412845612146241046457891017456[[#This Row],[TOTAL]]*_1_5412845612146241046457891017456[[#This Row],[MARGIN]]</f>
        <v>0</v>
      </c>
      <c r="R373" s="41"/>
    </row>
    <row r="374" spans="1:18">
      <c r="D374" s="188"/>
      <c r="F374" s="168" t="s">
        <v>6202</v>
      </c>
      <c r="G374" s="193">
        <f>IF(_1_5412845612146241046457891017456[[#This Row],[Type]]&gt;0,VLOOKUP(_1_5412845612146241046457891017456[[#This Row],[Type]],Main[[#All],[TYPE]:[UNIT]],'Unit Price'!C$1,FALSE),0)</f>
        <v>0</v>
      </c>
      <c r="H374" s="197">
        <f>IF(_1_5412845612146241046457891017456[[#This Row],[Type]]&gt;0,VLOOKUP(_1_5412845612146241046457891017456[[#This Row],[Type]],Main[[#All],[TYPE]:[UNIT]],'Unit Price'!D$1,FALSE),0)</f>
        <v>0</v>
      </c>
      <c r="I374" s="194">
        <f>IF(_1_5412845612146241046457891017456[[#This Row],[Type]]&gt;0,VLOOKUP(_1_5412845612146241046457891017456[[#This Row],[Type]],Main[[#All],[TYPE]:[UNIT]],'Unit Price'!G$1,FALSE),0)</f>
        <v>0</v>
      </c>
      <c r="J374" s="194">
        <f>IF(_1_5412845612146241046457891017456[[#This Row],[Type]]&gt;0,VLOOKUP(_1_5412845612146241046457891017456[[#This Row],[Type]],Main[[#All],[TYPE]:[UNIT]],'Unit Price'!H$1,FALSE),0)</f>
        <v>0</v>
      </c>
      <c r="K374" s="194">
        <f>IF(_1_5412845612146241046457891017456[[#This Row],[Discount selection]]&gt;0,VLOOKUP(_1_5412845612146241046457891017456[[#This Row],[Discount selection]],'Discount Structure'!$A$2:$B$30,2,"false"),0)</f>
        <v>1</v>
      </c>
      <c r="L374" s="194">
        <f>_1_5412845612146241046457891017456[[#This Row],[LIST $]]*_1_5412845612146241046457891017456[[#This Row],[DISCOUNT]]*_1_5412845612146241046457891017456[[#This Row],[DISCOUNT 2]]</f>
        <v>0</v>
      </c>
      <c r="M374" s="194">
        <f>IF(OR(_1_5412845612146241046457891017456[[#This Row],[UNIT]]&gt;0,_1_5412845612146241046457891017456[[#This Row],[UNIT]]&lt;0),_1_5412845612146241046457891017456[[#This Row],[UNIT]]*_1_5412845612146241046457891017456[[#This Row],[COST]],0)</f>
        <v>0</v>
      </c>
      <c r="N374" s="194">
        <f t="shared" si="5"/>
        <v>1.3</v>
      </c>
      <c r="O374" s="198">
        <f>_1_5412845612146241046457891017456[[#This Row],[TOTAL]]*_1_5412845612146241046457891017456[[#This Row],[MARGIN]]</f>
        <v>0</v>
      </c>
      <c r="R374" s="41"/>
    </row>
    <row r="375" spans="1:18">
      <c r="D375" s="188"/>
      <c r="F375" s="168" t="s">
        <v>6202</v>
      </c>
      <c r="G375" s="193">
        <f>IF(_1_5412845612146241046457891017456[[#This Row],[Type]]&gt;0,VLOOKUP(_1_5412845612146241046457891017456[[#This Row],[Type]],Main[[#All],[TYPE]:[UNIT]],'Unit Price'!C$1,FALSE),0)</f>
        <v>0</v>
      </c>
      <c r="H375" s="197">
        <f>IF(_1_5412845612146241046457891017456[[#This Row],[Type]]&gt;0,VLOOKUP(_1_5412845612146241046457891017456[[#This Row],[Type]],Main[[#All],[TYPE]:[UNIT]],'Unit Price'!D$1,FALSE),0)</f>
        <v>0</v>
      </c>
      <c r="I375" s="194">
        <f>IF(_1_5412845612146241046457891017456[[#This Row],[Type]]&gt;0,VLOOKUP(_1_5412845612146241046457891017456[[#This Row],[Type]],Main[[#All],[TYPE]:[UNIT]],'Unit Price'!G$1,FALSE),0)</f>
        <v>0</v>
      </c>
      <c r="J375" s="194">
        <f>IF(_1_5412845612146241046457891017456[[#This Row],[Type]]&gt;0,VLOOKUP(_1_5412845612146241046457891017456[[#This Row],[Type]],Main[[#All],[TYPE]:[UNIT]],'Unit Price'!H$1,FALSE),0)</f>
        <v>0</v>
      </c>
      <c r="K375" s="194">
        <f>IF(_1_5412845612146241046457891017456[[#This Row],[Discount selection]]&gt;0,VLOOKUP(_1_5412845612146241046457891017456[[#This Row],[Discount selection]],'Discount Structure'!$A$2:$B$30,2,"false"),0)</f>
        <v>1</v>
      </c>
      <c r="L375" s="194">
        <f>_1_5412845612146241046457891017456[[#This Row],[LIST $]]*_1_5412845612146241046457891017456[[#This Row],[DISCOUNT]]*_1_5412845612146241046457891017456[[#This Row],[DISCOUNT 2]]</f>
        <v>0</v>
      </c>
      <c r="M375" s="194">
        <f>IF(OR(_1_5412845612146241046457891017456[[#This Row],[UNIT]]&gt;0,_1_5412845612146241046457891017456[[#This Row],[UNIT]]&lt;0),_1_5412845612146241046457891017456[[#This Row],[UNIT]]*_1_5412845612146241046457891017456[[#This Row],[COST]],0)</f>
        <v>0</v>
      </c>
      <c r="N375" s="194">
        <f t="shared" si="5"/>
        <v>1.3</v>
      </c>
      <c r="O375" s="198">
        <f>_1_5412845612146241046457891017456[[#This Row],[TOTAL]]*_1_5412845612146241046457891017456[[#This Row],[MARGIN]]</f>
        <v>0</v>
      </c>
      <c r="R375" s="41"/>
    </row>
    <row r="376" spans="1:18">
      <c r="D376" s="188"/>
      <c r="F376" s="168" t="s">
        <v>6202</v>
      </c>
      <c r="G376" s="193">
        <f>IF(_1_5412845612146241046457891017456[[#This Row],[Type]]&gt;0,VLOOKUP(_1_5412845612146241046457891017456[[#This Row],[Type]],Main[[#All],[TYPE]:[UNIT]],'Unit Price'!C$1,FALSE),0)</f>
        <v>0</v>
      </c>
      <c r="H376" s="197">
        <f>IF(_1_5412845612146241046457891017456[[#This Row],[Type]]&gt;0,VLOOKUP(_1_5412845612146241046457891017456[[#This Row],[Type]],Main[[#All],[TYPE]:[UNIT]],'Unit Price'!D$1,FALSE),0)</f>
        <v>0</v>
      </c>
      <c r="I376" s="194">
        <f>IF(_1_5412845612146241046457891017456[[#This Row],[Type]]&gt;0,VLOOKUP(_1_5412845612146241046457891017456[[#This Row],[Type]],Main[[#All],[TYPE]:[UNIT]],'Unit Price'!G$1,FALSE),0)</f>
        <v>0</v>
      </c>
      <c r="J376" s="194">
        <f>IF(_1_5412845612146241046457891017456[[#This Row],[Type]]&gt;0,VLOOKUP(_1_5412845612146241046457891017456[[#This Row],[Type]],Main[[#All],[TYPE]:[UNIT]],'Unit Price'!H$1,FALSE),0)</f>
        <v>0</v>
      </c>
      <c r="K376" s="194">
        <f>IF(_1_5412845612146241046457891017456[[#This Row],[Discount selection]]&gt;0,VLOOKUP(_1_5412845612146241046457891017456[[#This Row],[Discount selection]],'Discount Structure'!$A$2:$B$30,2,"false"),0)</f>
        <v>1</v>
      </c>
      <c r="L376" s="194">
        <f>_1_5412845612146241046457891017456[[#This Row],[LIST $]]*_1_5412845612146241046457891017456[[#This Row],[DISCOUNT]]*_1_5412845612146241046457891017456[[#This Row],[DISCOUNT 2]]</f>
        <v>0</v>
      </c>
      <c r="M376" s="194">
        <f>IF(OR(_1_5412845612146241046457891017456[[#This Row],[UNIT]]&gt;0,_1_5412845612146241046457891017456[[#This Row],[UNIT]]&lt;0),_1_5412845612146241046457891017456[[#This Row],[UNIT]]*_1_5412845612146241046457891017456[[#This Row],[COST]],0)</f>
        <v>0</v>
      </c>
      <c r="N376" s="194">
        <f t="shared" si="5"/>
        <v>1.3</v>
      </c>
      <c r="O376" s="198">
        <f>_1_5412845612146241046457891017456[[#This Row],[TOTAL]]*_1_5412845612146241046457891017456[[#This Row],[MARGIN]]</f>
        <v>0</v>
      </c>
      <c r="R376" s="41"/>
    </row>
    <row r="377" spans="1:18">
      <c r="D377" s="188"/>
      <c r="F377" s="168" t="s">
        <v>6202</v>
      </c>
      <c r="G377" s="192">
        <f>IF(_1_5412845612146241046457891017456[[#This Row],[Type]]&gt;0,VLOOKUP(_1_5412845612146241046457891017456[[#This Row],[Type]],Main[[#All],[TYPE]:[UNIT]],'Unit Price'!C$1,FALSE),0)</f>
        <v>0</v>
      </c>
      <c r="H377" s="197">
        <f>IF(_1_5412845612146241046457891017456[[#This Row],[Type]]&gt;0,VLOOKUP(_1_5412845612146241046457891017456[[#This Row],[Type]],Main[[#All],[TYPE]:[UNIT]],'Unit Price'!D$1,FALSE),0)</f>
        <v>0</v>
      </c>
      <c r="I377" s="194">
        <f>IF(_1_5412845612146241046457891017456[[#This Row],[Type]]&gt;0,VLOOKUP(_1_5412845612146241046457891017456[[#This Row],[Type]],Main[[#All],[TYPE]:[UNIT]],'Unit Price'!G$1,FALSE),0)</f>
        <v>0</v>
      </c>
      <c r="J377" s="194">
        <f>IF(_1_5412845612146241046457891017456[[#This Row],[Type]]&gt;0,VLOOKUP(_1_5412845612146241046457891017456[[#This Row],[Type]],Main[[#All],[TYPE]:[UNIT]],'Unit Price'!H$1,FALSE),0)</f>
        <v>0</v>
      </c>
      <c r="K377" s="194">
        <f>IF(_1_5412845612146241046457891017456[[#This Row],[Discount selection]]&gt;0,VLOOKUP(_1_5412845612146241046457891017456[[#This Row],[Discount selection]],'Discount Structure'!$A$2:$B$30,2,"false"),0)</f>
        <v>1</v>
      </c>
      <c r="L377" s="194">
        <f>_1_5412845612146241046457891017456[[#This Row],[LIST $]]*_1_5412845612146241046457891017456[[#This Row],[DISCOUNT]]*_1_5412845612146241046457891017456[[#This Row],[DISCOUNT 2]]</f>
        <v>0</v>
      </c>
      <c r="M377" s="194">
        <f>IF(OR(_1_5412845612146241046457891017456[[#This Row],[UNIT]]&gt;0,_1_5412845612146241046457891017456[[#This Row],[UNIT]]&lt;0),_1_5412845612146241046457891017456[[#This Row],[UNIT]]*_1_5412845612146241046457891017456[[#This Row],[COST]],0)</f>
        <v>0</v>
      </c>
      <c r="N377" s="194">
        <f t="shared" si="5"/>
        <v>1.3</v>
      </c>
      <c r="O377" s="198">
        <f>_1_5412845612146241046457891017456[[#This Row],[TOTAL]]*_1_5412845612146241046457891017456[[#This Row],[MARGIN]]</f>
        <v>0</v>
      </c>
      <c r="R377" s="41"/>
    </row>
    <row r="378" spans="1:18">
      <c r="D378" s="188"/>
      <c r="F378" s="168" t="s">
        <v>6202</v>
      </c>
      <c r="G378" s="193">
        <f>IF(_1_5412845612146241046457891017456[[#This Row],[Type]]&gt;0,VLOOKUP(_1_5412845612146241046457891017456[[#This Row],[Type]],Main[[#All],[TYPE]:[UNIT]],'Unit Price'!C$1,FALSE),0)</f>
        <v>0</v>
      </c>
      <c r="H378" s="197">
        <f>IF(_1_5412845612146241046457891017456[[#This Row],[Type]]&gt;0,VLOOKUP(_1_5412845612146241046457891017456[[#This Row],[Type]],Main[[#All],[TYPE]:[UNIT]],'Unit Price'!D$1,FALSE),0)</f>
        <v>0</v>
      </c>
      <c r="I378" s="194">
        <f>IF(_1_5412845612146241046457891017456[[#This Row],[Type]]&gt;0,VLOOKUP(_1_5412845612146241046457891017456[[#This Row],[Type]],Main[[#All],[TYPE]:[UNIT]],'Unit Price'!G$1,FALSE),0)</f>
        <v>0</v>
      </c>
      <c r="J378" s="194">
        <f>IF(_1_5412845612146241046457891017456[[#This Row],[Type]]&gt;0,VLOOKUP(_1_5412845612146241046457891017456[[#This Row],[Type]],Main[[#All],[TYPE]:[UNIT]],'Unit Price'!H$1,FALSE),0)</f>
        <v>0</v>
      </c>
      <c r="K378" s="194">
        <f>IF(_1_5412845612146241046457891017456[[#This Row],[Discount selection]]&gt;0,VLOOKUP(_1_5412845612146241046457891017456[[#This Row],[Discount selection]],'Discount Structure'!$A$2:$B$30,2,"false"),0)</f>
        <v>1</v>
      </c>
      <c r="L378" s="194">
        <f>_1_5412845612146241046457891017456[[#This Row],[LIST $]]*_1_5412845612146241046457891017456[[#This Row],[DISCOUNT]]*_1_5412845612146241046457891017456[[#This Row],[DISCOUNT 2]]</f>
        <v>0</v>
      </c>
      <c r="M378" s="194">
        <f>IF(OR(_1_5412845612146241046457891017456[[#This Row],[UNIT]]&gt;0,_1_5412845612146241046457891017456[[#This Row],[UNIT]]&lt;0),_1_5412845612146241046457891017456[[#This Row],[UNIT]]*_1_5412845612146241046457891017456[[#This Row],[COST]],0)</f>
        <v>0</v>
      </c>
      <c r="N378" s="194">
        <f t="shared" si="5"/>
        <v>1.3</v>
      </c>
      <c r="O378" s="198">
        <f>_1_5412845612146241046457891017456[[#This Row],[TOTAL]]*_1_5412845612146241046457891017456[[#This Row],[MARGIN]]</f>
        <v>0</v>
      </c>
      <c r="R378" s="41"/>
    </row>
    <row r="379" spans="1:18">
      <c r="D379" s="188"/>
      <c r="F379" s="168" t="s">
        <v>6202</v>
      </c>
      <c r="G379" s="193">
        <f>IF(_1_5412845612146241046457891017456[[#This Row],[Type]]&gt;0,VLOOKUP(_1_5412845612146241046457891017456[[#This Row],[Type]],Main[[#All],[TYPE]:[UNIT]],'Unit Price'!C$1,FALSE),0)</f>
        <v>0</v>
      </c>
      <c r="H379" s="197">
        <f>IF(_1_5412845612146241046457891017456[[#This Row],[Type]]&gt;0,VLOOKUP(_1_5412845612146241046457891017456[[#This Row],[Type]],Main[[#All],[TYPE]:[UNIT]],'Unit Price'!D$1,FALSE),0)</f>
        <v>0</v>
      </c>
      <c r="I379" s="194">
        <f>IF(_1_5412845612146241046457891017456[[#This Row],[Type]]&gt;0,VLOOKUP(_1_5412845612146241046457891017456[[#This Row],[Type]],Main[[#All],[TYPE]:[UNIT]],'Unit Price'!G$1,FALSE),0)</f>
        <v>0</v>
      </c>
      <c r="J379" s="194">
        <f>IF(_1_5412845612146241046457891017456[[#This Row],[Type]]&gt;0,VLOOKUP(_1_5412845612146241046457891017456[[#This Row],[Type]],Main[[#All],[TYPE]:[UNIT]],'Unit Price'!H$1,FALSE),0)</f>
        <v>0</v>
      </c>
      <c r="K379" s="194">
        <f>IF(_1_5412845612146241046457891017456[[#This Row],[Discount selection]]&gt;0,VLOOKUP(_1_5412845612146241046457891017456[[#This Row],[Discount selection]],'Discount Structure'!$A$2:$B$30,2,"false"),0)</f>
        <v>1</v>
      </c>
      <c r="L379" s="194">
        <f>_1_5412845612146241046457891017456[[#This Row],[LIST $]]*_1_5412845612146241046457891017456[[#This Row],[DISCOUNT]]*_1_5412845612146241046457891017456[[#This Row],[DISCOUNT 2]]</f>
        <v>0</v>
      </c>
      <c r="M379" s="194">
        <f>IF(OR(_1_5412845612146241046457891017456[[#This Row],[UNIT]]&gt;0,_1_5412845612146241046457891017456[[#This Row],[UNIT]]&lt;0),_1_5412845612146241046457891017456[[#This Row],[UNIT]]*_1_5412845612146241046457891017456[[#This Row],[COST]],0)</f>
        <v>0</v>
      </c>
      <c r="N379" s="194">
        <f t="shared" si="5"/>
        <v>1.3</v>
      </c>
      <c r="O379" s="198">
        <f>_1_5412845612146241046457891017456[[#This Row],[TOTAL]]*_1_5412845612146241046457891017456[[#This Row],[MARGIN]]</f>
        <v>0</v>
      </c>
      <c r="R379" s="41"/>
    </row>
    <row r="380" spans="1:18">
      <c r="A380" s="327"/>
      <c r="B380" s="327"/>
      <c r="D380" s="188"/>
      <c r="F380" s="168" t="s">
        <v>6202</v>
      </c>
      <c r="G380" s="193">
        <f>IF(_1_5412845612146241046457891017456[[#This Row],[Type]]&gt;0,VLOOKUP(_1_5412845612146241046457891017456[[#This Row],[Type]],Main[[#All],[TYPE]:[UNIT]],'Unit Price'!C$1,FALSE),0)</f>
        <v>0</v>
      </c>
      <c r="H380" s="197">
        <f>IF(_1_5412845612146241046457891017456[[#This Row],[Type]]&gt;0,VLOOKUP(_1_5412845612146241046457891017456[[#This Row],[Type]],Main[[#All],[TYPE]:[UNIT]],'Unit Price'!D$1,FALSE),0)</f>
        <v>0</v>
      </c>
      <c r="I380" s="194">
        <f>IF(_1_5412845612146241046457891017456[[#This Row],[Type]]&gt;0,VLOOKUP(_1_5412845612146241046457891017456[[#This Row],[Type]],Main[[#All],[TYPE]:[UNIT]],'Unit Price'!G$1,FALSE),0)</f>
        <v>0</v>
      </c>
      <c r="J380" s="194">
        <f>IF(_1_5412845612146241046457891017456[[#This Row],[Type]]&gt;0,VLOOKUP(_1_5412845612146241046457891017456[[#This Row],[Type]],Main[[#All],[TYPE]:[UNIT]],'Unit Price'!H$1,FALSE),0)</f>
        <v>0</v>
      </c>
      <c r="K380" s="194">
        <f>IF(_1_5412845612146241046457891017456[[#This Row],[Discount selection]]&gt;0,VLOOKUP(_1_5412845612146241046457891017456[[#This Row],[Discount selection]],'Discount Structure'!$A$2:$B$30,2,"false"),0)</f>
        <v>1</v>
      </c>
      <c r="L380" s="194">
        <f>_1_5412845612146241046457891017456[[#This Row],[LIST $]]*_1_5412845612146241046457891017456[[#This Row],[DISCOUNT]]*_1_5412845612146241046457891017456[[#This Row],[DISCOUNT 2]]</f>
        <v>0</v>
      </c>
      <c r="M380" s="194">
        <f>IF(OR(_1_5412845612146241046457891017456[[#This Row],[UNIT]]&gt;0,_1_5412845612146241046457891017456[[#This Row],[UNIT]]&lt;0),_1_5412845612146241046457891017456[[#This Row],[UNIT]]*_1_5412845612146241046457891017456[[#This Row],[COST]],0)</f>
        <v>0</v>
      </c>
      <c r="N380" s="194">
        <f t="shared" si="5"/>
        <v>1.3</v>
      </c>
      <c r="O380" s="198">
        <f>_1_5412845612146241046457891017456[[#This Row],[TOTAL]]*_1_5412845612146241046457891017456[[#This Row],[MARGIN]]</f>
        <v>0</v>
      </c>
      <c r="R380" s="41"/>
    </row>
    <row r="381" spans="1:18">
      <c r="D381" s="188"/>
      <c r="F381" s="168" t="s">
        <v>6202</v>
      </c>
      <c r="G381" s="193">
        <f>IF(_1_5412845612146241046457891017456[[#This Row],[Type]]&gt;0,VLOOKUP(_1_5412845612146241046457891017456[[#This Row],[Type]],Main[[#All],[TYPE]:[UNIT]],'Unit Price'!C$1,FALSE),0)</f>
        <v>0</v>
      </c>
      <c r="H381" s="197">
        <f>IF(_1_5412845612146241046457891017456[[#This Row],[Type]]&gt;0,VLOOKUP(_1_5412845612146241046457891017456[[#This Row],[Type]],Main[[#All],[TYPE]:[UNIT]],'Unit Price'!D$1,FALSE),0)</f>
        <v>0</v>
      </c>
      <c r="I381" s="194">
        <f>IF(_1_5412845612146241046457891017456[[#This Row],[Type]]&gt;0,VLOOKUP(_1_5412845612146241046457891017456[[#This Row],[Type]],Main[[#All],[TYPE]:[UNIT]],'Unit Price'!G$1,FALSE),0)</f>
        <v>0</v>
      </c>
      <c r="J381" s="194">
        <f>IF(_1_5412845612146241046457891017456[[#This Row],[Type]]&gt;0,VLOOKUP(_1_5412845612146241046457891017456[[#This Row],[Type]],Main[[#All],[TYPE]:[UNIT]],'Unit Price'!H$1,FALSE),0)</f>
        <v>0</v>
      </c>
      <c r="K381" s="194">
        <f>IF(_1_5412845612146241046457891017456[[#This Row],[Discount selection]]&gt;0,VLOOKUP(_1_5412845612146241046457891017456[[#This Row],[Discount selection]],'Discount Structure'!$A$2:$B$30,2,"false"),0)</f>
        <v>1</v>
      </c>
      <c r="L381" s="194">
        <f>_1_5412845612146241046457891017456[[#This Row],[LIST $]]*_1_5412845612146241046457891017456[[#This Row],[DISCOUNT]]*_1_5412845612146241046457891017456[[#This Row],[DISCOUNT 2]]</f>
        <v>0</v>
      </c>
      <c r="M381" s="194">
        <f>IF(OR(_1_5412845612146241046457891017456[[#This Row],[UNIT]]&gt;0,_1_5412845612146241046457891017456[[#This Row],[UNIT]]&lt;0),_1_5412845612146241046457891017456[[#This Row],[UNIT]]*_1_5412845612146241046457891017456[[#This Row],[COST]],0)</f>
        <v>0</v>
      </c>
      <c r="N381" s="194">
        <f t="shared" si="5"/>
        <v>1.3</v>
      </c>
      <c r="O381" s="198">
        <f>_1_5412845612146241046457891017456[[#This Row],[TOTAL]]*_1_5412845612146241046457891017456[[#This Row],[MARGIN]]</f>
        <v>0</v>
      </c>
      <c r="R381" s="41"/>
    </row>
    <row r="382" spans="1:18">
      <c r="D382" s="188"/>
      <c r="F382" s="168" t="s">
        <v>6202</v>
      </c>
      <c r="G382" s="192">
        <f>IF(_1_5412845612146241046457891017456[[#This Row],[Type]]&gt;0,VLOOKUP(_1_5412845612146241046457891017456[[#This Row],[Type]],Main[[#All],[TYPE]:[UNIT]],'Unit Price'!C$1,FALSE),0)</f>
        <v>0</v>
      </c>
      <c r="H382" s="197">
        <f>IF(_1_5412845612146241046457891017456[[#This Row],[Type]]&gt;0,VLOOKUP(_1_5412845612146241046457891017456[[#This Row],[Type]],Main[[#All],[TYPE]:[UNIT]],'Unit Price'!D$1,FALSE),0)</f>
        <v>0</v>
      </c>
      <c r="I382" s="194">
        <f>IF(_1_5412845612146241046457891017456[[#This Row],[Type]]&gt;0,VLOOKUP(_1_5412845612146241046457891017456[[#This Row],[Type]],Main[[#All],[TYPE]:[UNIT]],'Unit Price'!G$1,FALSE),0)</f>
        <v>0</v>
      </c>
      <c r="J382" s="194">
        <f>IF(_1_5412845612146241046457891017456[[#This Row],[Type]]&gt;0,VLOOKUP(_1_5412845612146241046457891017456[[#This Row],[Type]],Main[[#All],[TYPE]:[UNIT]],'Unit Price'!H$1,FALSE),0)</f>
        <v>0</v>
      </c>
      <c r="K382" s="194">
        <f>IF(_1_5412845612146241046457891017456[[#This Row],[Discount selection]]&gt;0,VLOOKUP(_1_5412845612146241046457891017456[[#This Row],[Discount selection]],'Discount Structure'!$A$2:$B$30,2,"false"),0)</f>
        <v>1</v>
      </c>
      <c r="L382" s="194">
        <f>_1_5412845612146241046457891017456[[#This Row],[LIST $]]*_1_5412845612146241046457891017456[[#This Row],[DISCOUNT]]*_1_5412845612146241046457891017456[[#This Row],[DISCOUNT 2]]</f>
        <v>0</v>
      </c>
      <c r="M382" s="194">
        <f>IF(OR(_1_5412845612146241046457891017456[[#This Row],[UNIT]]&gt;0,_1_5412845612146241046457891017456[[#This Row],[UNIT]]&lt;0),_1_5412845612146241046457891017456[[#This Row],[UNIT]]*_1_5412845612146241046457891017456[[#This Row],[COST]],0)</f>
        <v>0</v>
      </c>
      <c r="N382" s="194">
        <f t="shared" si="5"/>
        <v>1.3</v>
      </c>
      <c r="O382" s="198">
        <f>_1_5412845612146241046457891017456[[#This Row],[TOTAL]]*_1_5412845612146241046457891017456[[#This Row],[MARGIN]]</f>
        <v>0</v>
      </c>
      <c r="R382" s="41"/>
    </row>
    <row r="383" spans="1:18">
      <c r="D383" s="188"/>
      <c r="F383" s="168" t="s">
        <v>6202</v>
      </c>
      <c r="G383" s="193">
        <f>IF(_1_5412845612146241046457891017456[[#This Row],[Type]]&gt;0,VLOOKUP(_1_5412845612146241046457891017456[[#This Row],[Type]],Main[[#All],[TYPE]:[UNIT]],'Unit Price'!C$1,FALSE),0)</f>
        <v>0</v>
      </c>
      <c r="H383" s="197">
        <f>IF(_1_5412845612146241046457891017456[[#This Row],[Type]]&gt;0,VLOOKUP(_1_5412845612146241046457891017456[[#This Row],[Type]],Main[[#All],[TYPE]:[UNIT]],'Unit Price'!D$1,FALSE),0)</f>
        <v>0</v>
      </c>
      <c r="I383" s="194">
        <f>IF(_1_5412845612146241046457891017456[[#This Row],[Type]]&gt;0,VLOOKUP(_1_5412845612146241046457891017456[[#This Row],[Type]],Main[[#All],[TYPE]:[UNIT]],'Unit Price'!G$1,FALSE),0)</f>
        <v>0</v>
      </c>
      <c r="J383" s="194">
        <f>IF(_1_5412845612146241046457891017456[[#This Row],[Type]]&gt;0,VLOOKUP(_1_5412845612146241046457891017456[[#This Row],[Type]],Main[[#All],[TYPE]:[UNIT]],'Unit Price'!H$1,FALSE),0)</f>
        <v>0</v>
      </c>
      <c r="K383" s="194">
        <f>IF(_1_5412845612146241046457891017456[[#This Row],[Discount selection]]&gt;0,VLOOKUP(_1_5412845612146241046457891017456[[#This Row],[Discount selection]],'Discount Structure'!$A$2:$B$30,2,"false"),0)</f>
        <v>1</v>
      </c>
      <c r="L383" s="194">
        <f>_1_5412845612146241046457891017456[[#This Row],[LIST $]]*_1_5412845612146241046457891017456[[#This Row],[DISCOUNT]]*_1_5412845612146241046457891017456[[#This Row],[DISCOUNT 2]]</f>
        <v>0</v>
      </c>
      <c r="M383" s="194">
        <f>IF(OR(_1_5412845612146241046457891017456[[#This Row],[UNIT]]&gt;0,_1_5412845612146241046457891017456[[#This Row],[UNIT]]&lt;0),_1_5412845612146241046457891017456[[#This Row],[UNIT]]*_1_5412845612146241046457891017456[[#This Row],[COST]],0)</f>
        <v>0</v>
      </c>
      <c r="N383" s="194">
        <f t="shared" si="5"/>
        <v>1.3</v>
      </c>
      <c r="O383" s="198">
        <f>_1_5412845612146241046457891017456[[#This Row],[TOTAL]]*_1_5412845612146241046457891017456[[#This Row],[MARGIN]]</f>
        <v>0</v>
      </c>
      <c r="R383" s="41"/>
    </row>
    <row r="384" spans="1:18">
      <c r="D384" s="188"/>
      <c r="F384" s="168" t="s">
        <v>6202</v>
      </c>
      <c r="G384" s="193">
        <f>IF(_1_5412845612146241046457891017456[[#This Row],[Type]]&gt;0,VLOOKUP(_1_5412845612146241046457891017456[[#This Row],[Type]],Main[[#All],[TYPE]:[UNIT]],'Unit Price'!C$1,FALSE),0)</f>
        <v>0</v>
      </c>
      <c r="H384" s="197">
        <f>IF(_1_5412845612146241046457891017456[[#This Row],[Type]]&gt;0,VLOOKUP(_1_5412845612146241046457891017456[[#This Row],[Type]],Main[[#All],[TYPE]:[UNIT]],'Unit Price'!D$1,FALSE),0)</f>
        <v>0</v>
      </c>
      <c r="I384" s="194">
        <f>IF(_1_5412845612146241046457891017456[[#This Row],[Type]]&gt;0,VLOOKUP(_1_5412845612146241046457891017456[[#This Row],[Type]],Main[[#All],[TYPE]:[UNIT]],'Unit Price'!G$1,FALSE),0)</f>
        <v>0</v>
      </c>
      <c r="J384" s="194">
        <f>IF(_1_5412845612146241046457891017456[[#This Row],[Type]]&gt;0,VLOOKUP(_1_5412845612146241046457891017456[[#This Row],[Type]],Main[[#All],[TYPE]:[UNIT]],'Unit Price'!H$1,FALSE),0)</f>
        <v>0</v>
      </c>
      <c r="K384" s="194">
        <f>IF(_1_5412845612146241046457891017456[[#This Row],[Discount selection]]&gt;0,VLOOKUP(_1_5412845612146241046457891017456[[#This Row],[Discount selection]],'Discount Structure'!$A$2:$B$30,2,"false"),0)</f>
        <v>1</v>
      </c>
      <c r="L384" s="194">
        <f>_1_5412845612146241046457891017456[[#This Row],[LIST $]]*_1_5412845612146241046457891017456[[#This Row],[DISCOUNT]]*_1_5412845612146241046457891017456[[#This Row],[DISCOUNT 2]]</f>
        <v>0</v>
      </c>
      <c r="M384" s="194">
        <f>IF(OR(_1_5412845612146241046457891017456[[#This Row],[UNIT]]&gt;0,_1_5412845612146241046457891017456[[#This Row],[UNIT]]&lt;0),_1_5412845612146241046457891017456[[#This Row],[UNIT]]*_1_5412845612146241046457891017456[[#This Row],[COST]],0)</f>
        <v>0</v>
      </c>
      <c r="N384" s="194">
        <f t="shared" si="5"/>
        <v>1.3</v>
      </c>
      <c r="O384" s="198">
        <f>_1_5412845612146241046457891017456[[#This Row],[TOTAL]]*_1_5412845612146241046457891017456[[#This Row],[MARGIN]]</f>
        <v>0</v>
      </c>
      <c r="R384" s="41"/>
    </row>
    <row r="385" spans="1:18">
      <c r="D385" s="188"/>
      <c r="F385" s="168" t="s">
        <v>6202</v>
      </c>
      <c r="G385" s="193">
        <f>IF(_1_5412845612146241046457891017456[[#This Row],[Type]]&gt;0,VLOOKUP(_1_5412845612146241046457891017456[[#This Row],[Type]],Main[[#All],[TYPE]:[UNIT]],'Unit Price'!C$1,FALSE),0)</f>
        <v>0</v>
      </c>
      <c r="H385" s="197">
        <f>IF(_1_5412845612146241046457891017456[[#This Row],[Type]]&gt;0,VLOOKUP(_1_5412845612146241046457891017456[[#This Row],[Type]],Main[[#All],[TYPE]:[UNIT]],'Unit Price'!D$1,FALSE),0)</f>
        <v>0</v>
      </c>
      <c r="I385" s="194">
        <f>IF(_1_5412845612146241046457891017456[[#This Row],[Type]]&gt;0,VLOOKUP(_1_5412845612146241046457891017456[[#This Row],[Type]],Main[[#All],[TYPE]:[UNIT]],'Unit Price'!G$1,FALSE),0)</f>
        <v>0</v>
      </c>
      <c r="J385" s="194">
        <f>IF(_1_5412845612146241046457891017456[[#This Row],[Type]]&gt;0,VLOOKUP(_1_5412845612146241046457891017456[[#This Row],[Type]],Main[[#All],[TYPE]:[UNIT]],'Unit Price'!H$1,FALSE),0)</f>
        <v>0</v>
      </c>
      <c r="K385" s="194">
        <f>IF(_1_5412845612146241046457891017456[[#This Row],[Discount selection]]&gt;0,VLOOKUP(_1_5412845612146241046457891017456[[#This Row],[Discount selection]],'Discount Structure'!$A$2:$B$30,2,"false"),0)</f>
        <v>1</v>
      </c>
      <c r="L385" s="194">
        <f>_1_5412845612146241046457891017456[[#This Row],[LIST $]]*_1_5412845612146241046457891017456[[#This Row],[DISCOUNT]]*_1_5412845612146241046457891017456[[#This Row],[DISCOUNT 2]]</f>
        <v>0</v>
      </c>
      <c r="M385" s="194">
        <f>IF(OR(_1_5412845612146241046457891017456[[#This Row],[UNIT]]&gt;0,_1_5412845612146241046457891017456[[#This Row],[UNIT]]&lt;0),_1_5412845612146241046457891017456[[#This Row],[UNIT]]*_1_5412845612146241046457891017456[[#This Row],[COST]],0)</f>
        <v>0</v>
      </c>
      <c r="N385" s="194">
        <f t="shared" si="5"/>
        <v>1.3</v>
      </c>
      <c r="O385" s="198">
        <f>_1_5412845612146241046457891017456[[#This Row],[TOTAL]]*_1_5412845612146241046457891017456[[#This Row],[MARGIN]]</f>
        <v>0</v>
      </c>
      <c r="R385" s="41"/>
    </row>
    <row r="386" spans="1:18">
      <c r="D386" s="188"/>
      <c r="F386" s="168" t="s">
        <v>6202</v>
      </c>
      <c r="G386" s="193">
        <f>IF(_1_5412845612146241046457891017456[[#This Row],[Type]]&gt;0,VLOOKUP(_1_5412845612146241046457891017456[[#This Row],[Type]],Main[[#All],[TYPE]:[UNIT]],'Unit Price'!C$1,FALSE),0)</f>
        <v>0</v>
      </c>
      <c r="H386" s="197">
        <f>IF(_1_5412845612146241046457891017456[[#This Row],[Type]]&gt;0,VLOOKUP(_1_5412845612146241046457891017456[[#This Row],[Type]],Main[[#All],[TYPE]:[UNIT]],'Unit Price'!D$1,FALSE),0)</f>
        <v>0</v>
      </c>
      <c r="I386" s="194">
        <f>IF(_1_5412845612146241046457891017456[[#This Row],[Type]]&gt;0,VLOOKUP(_1_5412845612146241046457891017456[[#This Row],[Type]],Main[[#All],[TYPE]:[UNIT]],'Unit Price'!G$1,FALSE),0)</f>
        <v>0</v>
      </c>
      <c r="J386" s="194">
        <f>IF(_1_5412845612146241046457891017456[[#This Row],[Type]]&gt;0,VLOOKUP(_1_5412845612146241046457891017456[[#This Row],[Type]],Main[[#All],[TYPE]:[UNIT]],'Unit Price'!H$1,FALSE),0)</f>
        <v>0</v>
      </c>
      <c r="K386" s="194">
        <f>IF(_1_5412845612146241046457891017456[[#This Row],[Discount selection]]&gt;0,VLOOKUP(_1_5412845612146241046457891017456[[#This Row],[Discount selection]],'Discount Structure'!$A$2:$B$30,2,"false"),0)</f>
        <v>1</v>
      </c>
      <c r="L386" s="194">
        <f>_1_5412845612146241046457891017456[[#This Row],[LIST $]]*_1_5412845612146241046457891017456[[#This Row],[DISCOUNT]]*_1_5412845612146241046457891017456[[#This Row],[DISCOUNT 2]]</f>
        <v>0</v>
      </c>
      <c r="M386" s="194">
        <f>IF(OR(_1_5412845612146241046457891017456[[#This Row],[UNIT]]&gt;0,_1_5412845612146241046457891017456[[#This Row],[UNIT]]&lt;0),_1_5412845612146241046457891017456[[#This Row],[UNIT]]*_1_5412845612146241046457891017456[[#This Row],[COST]],0)</f>
        <v>0</v>
      </c>
      <c r="N386" s="194">
        <f t="shared" si="5"/>
        <v>1.3</v>
      </c>
      <c r="O386" s="198">
        <f>_1_5412845612146241046457891017456[[#This Row],[TOTAL]]*_1_5412845612146241046457891017456[[#This Row],[MARGIN]]</f>
        <v>0</v>
      </c>
      <c r="R386" s="41"/>
    </row>
    <row r="387" spans="1:18">
      <c r="D387" s="188"/>
      <c r="F387" s="168" t="s">
        <v>6202</v>
      </c>
      <c r="G387" s="192">
        <f>IF(_1_5412845612146241046457891017456[[#This Row],[Type]]&gt;0,VLOOKUP(_1_5412845612146241046457891017456[[#This Row],[Type]],Main[[#All],[TYPE]:[UNIT]],'Unit Price'!C$1,FALSE),0)</f>
        <v>0</v>
      </c>
      <c r="H387" s="197">
        <f>IF(_1_5412845612146241046457891017456[[#This Row],[Type]]&gt;0,VLOOKUP(_1_5412845612146241046457891017456[[#This Row],[Type]],Main[[#All],[TYPE]:[UNIT]],'Unit Price'!D$1,FALSE),0)</f>
        <v>0</v>
      </c>
      <c r="I387" s="194">
        <f>IF(_1_5412845612146241046457891017456[[#This Row],[Type]]&gt;0,VLOOKUP(_1_5412845612146241046457891017456[[#This Row],[Type]],Main[[#All],[TYPE]:[UNIT]],'Unit Price'!G$1,FALSE),0)</f>
        <v>0</v>
      </c>
      <c r="J387" s="194">
        <f>IF(_1_5412845612146241046457891017456[[#This Row],[Type]]&gt;0,VLOOKUP(_1_5412845612146241046457891017456[[#This Row],[Type]],Main[[#All],[TYPE]:[UNIT]],'Unit Price'!H$1,FALSE),0)</f>
        <v>0</v>
      </c>
      <c r="K387" s="194">
        <f>IF(_1_5412845612146241046457891017456[[#This Row],[Discount selection]]&gt;0,VLOOKUP(_1_5412845612146241046457891017456[[#This Row],[Discount selection]],'Discount Structure'!$A$2:$B$30,2,"false"),0)</f>
        <v>1</v>
      </c>
      <c r="L387" s="194">
        <f>_1_5412845612146241046457891017456[[#This Row],[LIST $]]*_1_5412845612146241046457891017456[[#This Row],[DISCOUNT]]*_1_5412845612146241046457891017456[[#This Row],[DISCOUNT 2]]</f>
        <v>0</v>
      </c>
      <c r="M387" s="194">
        <f>IF(OR(_1_5412845612146241046457891017456[[#This Row],[UNIT]]&gt;0,_1_5412845612146241046457891017456[[#This Row],[UNIT]]&lt;0),_1_5412845612146241046457891017456[[#This Row],[UNIT]]*_1_5412845612146241046457891017456[[#This Row],[COST]],0)</f>
        <v>0</v>
      </c>
      <c r="N387" s="194">
        <f t="shared" si="5"/>
        <v>1.3</v>
      </c>
      <c r="O387" s="198">
        <f>_1_5412845612146241046457891017456[[#This Row],[TOTAL]]*_1_5412845612146241046457891017456[[#This Row],[MARGIN]]</f>
        <v>0</v>
      </c>
      <c r="R387" s="41"/>
    </row>
    <row r="388" spans="1:18">
      <c r="D388" s="188"/>
      <c r="F388" s="168" t="s">
        <v>6202</v>
      </c>
      <c r="G388" s="193">
        <f>IF(_1_5412845612146241046457891017456[[#This Row],[Type]]&gt;0,VLOOKUP(_1_5412845612146241046457891017456[[#This Row],[Type]],Main[[#All],[TYPE]:[UNIT]],'Unit Price'!C$1,FALSE),0)</f>
        <v>0</v>
      </c>
      <c r="H388" s="197">
        <f>IF(_1_5412845612146241046457891017456[[#This Row],[Type]]&gt;0,VLOOKUP(_1_5412845612146241046457891017456[[#This Row],[Type]],Main[[#All],[TYPE]:[UNIT]],'Unit Price'!D$1,FALSE),0)</f>
        <v>0</v>
      </c>
      <c r="I388" s="194">
        <f>IF(_1_5412845612146241046457891017456[[#This Row],[Type]]&gt;0,VLOOKUP(_1_5412845612146241046457891017456[[#This Row],[Type]],Main[[#All],[TYPE]:[UNIT]],'Unit Price'!G$1,FALSE),0)</f>
        <v>0</v>
      </c>
      <c r="J388" s="194">
        <f>IF(_1_5412845612146241046457891017456[[#This Row],[Type]]&gt;0,VLOOKUP(_1_5412845612146241046457891017456[[#This Row],[Type]],Main[[#All],[TYPE]:[UNIT]],'Unit Price'!H$1,FALSE),0)</f>
        <v>0</v>
      </c>
      <c r="K388" s="194">
        <f>IF(_1_5412845612146241046457891017456[[#This Row],[Discount selection]]&gt;0,VLOOKUP(_1_5412845612146241046457891017456[[#This Row],[Discount selection]],'Discount Structure'!$A$2:$B$30,2,"false"),0)</f>
        <v>1</v>
      </c>
      <c r="L388" s="194">
        <f>_1_5412845612146241046457891017456[[#This Row],[LIST $]]*_1_5412845612146241046457891017456[[#This Row],[DISCOUNT]]*_1_5412845612146241046457891017456[[#This Row],[DISCOUNT 2]]</f>
        <v>0</v>
      </c>
      <c r="M388" s="194">
        <f>IF(OR(_1_5412845612146241046457891017456[[#This Row],[UNIT]]&gt;0,_1_5412845612146241046457891017456[[#This Row],[UNIT]]&lt;0),_1_5412845612146241046457891017456[[#This Row],[UNIT]]*_1_5412845612146241046457891017456[[#This Row],[COST]],0)</f>
        <v>0</v>
      </c>
      <c r="N388" s="194">
        <f t="shared" si="5"/>
        <v>1.3</v>
      </c>
      <c r="O388" s="198">
        <f>_1_5412845612146241046457891017456[[#This Row],[TOTAL]]*_1_5412845612146241046457891017456[[#This Row],[MARGIN]]</f>
        <v>0</v>
      </c>
      <c r="R388" s="41"/>
    </row>
    <row r="389" spans="1:18">
      <c r="D389" s="188"/>
      <c r="F389" s="168" t="s">
        <v>6202</v>
      </c>
      <c r="G389" s="193">
        <f>IF(_1_5412845612146241046457891017456[[#This Row],[Type]]&gt;0,VLOOKUP(_1_5412845612146241046457891017456[[#This Row],[Type]],Main[[#All],[TYPE]:[UNIT]],'Unit Price'!C$1,FALSE),0)</f>
        <v>0</v>
      </c>
      <c r="H389" s="197">
        <f>IF(_1_5412845612146241046457891017456[[#This Row],[Type]]&gt;0,VLOOKUP(_1_5412845612146241046457891017456[[#This Row],[Type]],Main[[#All],[TYPE]:[UNIT]],'Unit Price'!D$1,FALSE),0)</f>
        <v>0</v>
      </c>
      <c r="I389" s="194">
        <f>IF(_1_5412845612146241046457891017456[[#This Row],[Type]]&gt;0,VLOOKUP(_1_5412845612146241046457891017456[[#This Row],[Type]],Main[[#All],[TYPE]:[UNIT]],'Unit Price'!G$1,FALSE),0)</f>
        <v>0</v>
      </c>
      <c r="J389" s="194">
        <f>IF(_1_5412845612146241046457891017456[[#This Row],[Type]]&gt;0,VLOOKUP(_1_5412845612146241046457891017456[[#This Row],[Type]],Main[[#All],[TYPE]:[UNIT]],'Unit Price'!H$1,FALSE),0)</f>
        <v>0</v>
      </c>
      <c r="K389" s="194">
        <f>IF(_1_5412845612146241046457891017456[[#This Row],[Discount selection]]&gt;0,VLOOKUP(_1_5412845612146241046457891017456[[#This Row],[Discount selection]],'Discount Structure'!$A$2:$B$30,2,"false"),0)</f>
        <v>1</v>
      </c>
      <c r="L389" s="194">
        <f>_1_5412845612146241046457891017456[[#This Row],[LIST $]]*_1_5412845612146241046457891017456[[#This Row],[DISCOUNT]]*_1_5412845612146241046457891017456[[#This Row],[DISCOUNT 2]]</f>
        <v>0</v>
      </c>
      <c r="M389" s="194">
        <f>IF(OR(_1_5412845612146241046457891017456[[#This Row],[UNIT]]&gt;0,_1_5412845612146241046457891017456[[#This Row],[UNIT]]&lt;0),_1_5412845612146241046457891017456[[#This Row],[UNIT]]*_1_5412845612146241046457891017456[[#This Row],[COST]],0)</f>
        <v>0</v>
      </c>
      <c r="N389" s="194">
        <f t="shared" si="5"/>
        <v>1.3</v>
      </c>
      <c r="O389" s="198">
        <f>_1_5412845612146241046457891017456[[#This Row],[TOTAL]]*_1_5412845612146241046457891017456[[#This Row],[MARGIN]]</f>
        <v>0</v>
      </c>
      <c r="R389" s="41"/>
    </row>
    <row r="390" spans="1:18">
      <c r="D390" s="188"/>
      <c r="F390" s="168" t="s">
        <v>6202</v>
      </c>
      <c r="G390" s="193">
        <f>IF(_1_5412845612146241046457891017456[[#This Row],[Type]]&gt;0,VLOOKUP(_1_5412845612146241046457891017456[[#This Row],[Type]],Main[[#All],[TYPE]:[UNIT]],'Unit Price'!C$1,FALSE),0)</f>
        <v>0</v>
      </c>
      <c r="H390" s="197">
        <f>IF(_1_5412845612146241046457891017456[[#This Row],[Type]]&gt;0,VLOOKUP(_1_5412845612146241046457891017456[[#This Row],[Type]],Main[[#All],[TYPE]:[UNIT]],'Unit Price'!D$1,FALSE),0)</f>
        <v>0</v>
      </c>
      <c r="I390" s="194">
        <f>IF(_1_5412845612146241046457891017456[[#This Row],[Type]]&gt;0,VLOOKUP(_1_5412845612146241046457891017456[[#This Row],[Type]],Main[[#All],[TYPE]:[UNIT]],'Unit Price'!G$1,FALSE),0)</f>
        <v>0</v>
      </c>
      <c r="J390" s="194">
        <f>IF(_1_5412845612146241046457891017456[[#This Row],[Type]]&gt;0,VLOOKUP(_1_5412845612146241046457891017456[[#This Row],[Type]],Main[[#All],[TYPE]:[UNIT]],'Unit Price'!H$1,FALSE),0)</f>
        <v>0</v>
      </c>
      <c r="K390" s="194">
        <f>IF(_1_5412845612146241046457891017456[[#This Row],[Discount selection]]&gt;0,VLOOKUP(_1_5412845612146241046457891017456[[#This Row],[Discount selection]],'Discount Structure'!$A$2:$B$30,2,"false"),0)</f>
        <v>1</v>
      </c>
      <c r="L390" s="194">
        <f>_1_5412845612146241046457891017456[[#This Row],[LIST $]]*_1_5412845612146241046457891017456[[#This Row],[DISCOUNT]]*_1_5412845612146241046457891017456[[#This Row],[DISCOUNT 2]]</f>
        <v>0</v>
      </c>
      <c r="M390" s="194">
        <f>IF(OR(_1_5412845612146241046457891017456[[#This Row],[UNIT]]&gt;0,_1_5412845612146241046457891017456[[#This Row],[UNIT]]&lt;0),_1_5412845612146241046457891017456[[#This Row],[UNIT]]*_1_5412845612146241046457891017456[[#This Row],[COST]],0)</f>
        <v>0</v>
      </c>
      <c r="N390" s="194">
        <f t="shared" si="5"/>
        <v>1.3</v>
      </c>
      <c r="O390" s="198">
        <f>_1_5412845612146241046457891017456[[#This Row],[TOTAL]]*_1_5412845612146241046457891017456[[#This Row],[MARGIN]]</f>
        <v>0</v>
      </c>
      <c r="R390" s="41"/>
    </row>
    <row r="391" spans="1:18">
      <c r="D391" s="188"/>
      <c r="F391" s="168" t="s">
        <v>6202</v>
      </c>
      <c r="G391" s="193">
        <f>IF(_1_5412845612146241046457891017456[[#This Row],[Type]]&gt;0,VLOOKUP(_1_5412845612146241046457891017456[[#This Row],[Type]],Main[[#All],[TYPE]:[UNIT]],'Unit Price'!C$1,FALSE),0)</f>
        <v>0</v>
      </c>
      <c r="H391" s="197">
        <f>IF(_1_5412845612146241046457891017456[[#This Row],[Type]]&gt;0,VLOOKUP(_1_5412845612146241046457891017456[[#This Row],[Type]],Main[[#All],[TYPE]:[UNIT]],'Unit Price'!D$1,FALSE),0)</f>
        <v>0</v>
      </c>
      <c r="I391" s="194">
        <f>IF(_1_5412845612146241046457891017456[[#This Row],[Type]]&gt;0,VLOOKUP(_1_5412845612146241046457891017456[[#This Row],[Type]],Main[[#All],[TYPE]:[UNIT]],'Unit Price'!G$1,FALSE),0)</f>
        <v>0</v>
      </c>
      <c r="J391" s="194">
        <f>IF(_1_5412845612146241046457891017456[[#This Row],[Type]]&gt;0,VLOOKUP(_1_5412845612146241046457891017456[[#This Row],[Type]],Main[[#All],[TYPE]:[UNIT]],'Unit Price'!H$1,FALSE),0)</f>
        <v>0</v>
      </c>
      <c r="K391" s="194">
        <f>IF(_1_5412845612146241046457891017456[[#This Row],[Discount selection]]&gt;0,VLOOKUP(_1_5412845612146241046457891017456[[#This Row],[Discount selection]],'Discount Structure'!$A$2:$B$30,2,"false"),0)</f>
        <v>1</v>
      </c>
      <c r="L391" s="194">
        <f>_1_5412845612146241046457891017456[[#This Row],[LIST $]]*_1_5412845612146241046457891017456[[#This Row],[DISCOUNT]]*_1_5412845612146241046457891017456[[#This Row],[DISCOUNT 2]]</f>
        <v>0</v>
      </c>
      <c r="M391" s="194">
        <f>IF(OR(_1_5412845612146241046457891017456[[#This Row],[UNIT]]&gt;0,_1_5412845612146241046457891017456[[#This Row],[UNIT]]&lt;0),_1_5412845612146241046457891017456[[#This Row],[UNIT]]*_1_5412845612146241046457891017456[[#This Row],[COST]],0)</f>
        <v>0</v>
      </c>
      <c r="N391" s="194">
        <f t="shared" si="5"/>
        <v>1.3</v>
      </c>
      <c r="O391" s="198">
        <f>_1_5412845612146241046457891017456[[#This Row],[TOTAL]]*_1_5412845612146241046457891017456[[#This Row],[MARGIN]]</f>
        <v>0</v>
      </c>
      <c r="R391" s="41"/>
    </row>
    <row r="392" spans="1:18">
      <c r="D392" s="188"/>
      <c r="F392" s="168" t="s">
        <v>6202</v>
      </c>
      <c r="G392" s="192">
        <f>IF(_1_5412845612146241046457891017456[[#This Row],[Type]]&gt;0,VLOOKUP(_1_5412845612146241046457891017456[[#This Row],[Type]],Main[[#All],[TYPE]:[UNIT]],'Unit Price'!C$1,FALSE),0)</f>
        <v>0</v>
      </c>
      <c r="H392" s="197">
        <f>IF(_1_5412845612146241046457891017456[[#This Row],[Type]]&gt;0,VLOOKUP(_1_5412845612146241046457891017456[[#This Row],[Type]],Main[[#All],[TYPE]:[UNIT]],'Unit Price'!D$1,FALSE),0)</f>
        <v>0</v>
      </c>
      <c r="I392" s="194">
        <f>IF(_1_5412845612146241046457891017456[[#This Row],[Type]]&gt;0,VLOOKUP(_1_5412845612146241046457891017456[[#This Row],[Type]],Main[[#All],[TYPE]:[UNIT]],'Unit Price'!G$1,FALSE),0)</f>
        <v>0</v>
      </c>
      <c r="J392" s="194">
        <f>IF(_1_5412845612146241046457891017456[[#This Row],[Type]]&gt;0,VLOOKUP(_1_5412845612146241046457891017456[[#This Row],[Type]],Main[[#All],[TYPE]:[UNIT]],'Unit Price'!H$1,FALSE),0)</f>
        <v>0</v>
      </c>
      <c r="K392" s="194">
        <f>IF(_1_5412845612146241046457891017456[[#This Row],[Discount selection]]&gt;0,VLOOKUP(_1_5412845612146241046457891017456[[#This Row],[Discount selection]],'Discount Structure'!$A$2:$B$30,2,"false"),0)</f>
        <v>1</v>
      </c>
      <c r="L392" s="194">
        <f>_1_5412845612146241046457891017456[[#This Row],[LIST $]]*_1_5412845612146241046457891017456[[#This Row],[DISCOUNT]]*_1_5412845612146241046457891017456[[#This Row],[DISCOUNT 2]]</f>
        <v>0</v>
      </c>
      <c r="M392" s="194">
        <f>IF(OR(_1_5412845612146241046457891017456[[#This Row],[UNIT]]&gt;0,_1_5412845612146241046457891017456[[#This Row],[UNIT]]&lt;0),_1_5412845612146241046457891017456[[#This Row],[UNIT]]*_1_5412845612146241046457891017456[[#This Row],[COST]],0)</f>
        <v>0</v>
      </c>
      <c r="N392" s="194">
        <f t="shared" si="5"/>
        <v>1.3</v>
      </c>
      <c r="O392" s="198">
        <f>_1_5412845612146241046457891017456[[#This Row],[TOTAL]]*_1_5412845612146241046457891017456[[#This Row],[MARGIN]]</f>
        <v>0</v>
      </c>
      <c r="R392" s="41"/>
    </row>
    <row r="393" spans="1:18">
      <c r="D393" s="188"/>
      <c r="F393" s="168" t="s">
        <v>6202</v>
      </c>
      <c r="G393" s="193">
        <f>IF(_1_5412845612146241046457891017456[[#This Row],[Type]]&gt;0,VLOOKUP(_1_5412845612146241046457891017456[[#This Row],[Type]],Main[[#All],[TYPE]:[UNIT]],'Unit Price'!C$1,FALSE),0)</f>
        <v>0</v>
      </c>
      <c r="H393" s="197">
        <f>IF(_1_5412845612146241046457891017456[[#This Row],[Type]]&gt;0,VLOOKUP(_1_5412845612146241046457891017456[[#This Row],[Type]],Main[[#All],[TYPE]:[UNIT]],'Unit Price'!D$1,FALSE),0)</f>
        <v>0</v>
      </c>
      <c r="I393" s="194">
        <f>IF(_1_5412845612146241046457891017456[[#This Row],[Type]]&gt;0,VLOOKUP(_1_5412845612146241046457891017456[[#This Row],[Type]],Main[[#All],[TYPE]:[UNIT]],'Unit Price'!G$1,FALSE),0)</f>
        <v>0</v>
      </c>
      <c r="J393" s="194">
        <f>IF(_1_5412845612146241046457891017456[[#This Row],[Type]]&gt;0,VLOOKUP(_1_5412845612146241046457891017456[[#This Row],[Type]],Main[[#All],[TYPE]:[UNIT]],'Unit Price'!H$1,FALSE),0)</f>
        <v>0</v>
      </c>
      <c r="K393" s="194">
        <f>IF(_1_5412845612146241046457891017456[[#This Row],[Discount selection]]&gt;0,VLOOKUP(_1_5412845612146241046457891017456[[#This Row],[Discount selection]],'Discount Structure'!$A$2:$B$30,2,"false"),0)</f>
        <v>1</v>
      </c>
      <c r="L393" s="194">
        <f>_1_5412845612146241046457891017456[[#This Row],[LIST $]]*_1_5412845612146241046457891017456[[#This Row],[DISCOUNT]]*_1_5412845612146241046457891017456[[#This Row],[DISCOUNT 2]]</f>
        <v>0</v>
      </c>
      <c r="M393" s="194">
        <f>IF(OR(_1_5412845612146241046457891017456[[#This Row],[UNIT]]&gt;0,_1_5412845612146241046457891017456[[#This Row],[UNIT]]&lt;0),_1_5412845612146241046457891017456[[#This Row],[UNIT]]*_1_5412845612146241046457891017456[[#This Row],[COST]],0)</f>
        <v>0</v>
      </c>
      <c r="N393" s="194">
        <f t="shared" si="5"/>
        <v>1.3</v>
      </c>
      <c r="O393" s="198">
        <f>_1_5412845612146241046457891017456[[#This Row],[TOTAL]]*_1_5412845612146241046457891017456[[#This Row],[MARGIN]]</f>
        <v>0</v>
      </c>
      <c r="R393" s="41"/>
    </row>
    <row r="394" spans="1:18">
      <c r="A394" s="327"/>
      <c r="B394" s="327"/>
      <c r="D394" s="188"/>
      <c r="F394" s="168" t="s">
        <v>6202</v>
      </c>
      <c r="G394" s="193">
        <f>IF(_1_5412845612146241046457891017456[[#This Row],[Type]]&gt;0,VLOOKUP(_1_5412845612146241046457891017456[[#This Row],[Type]],Main[[#All],[TYPE]:[UNIT]],'Unit Price'!C$1,FALSE),0)</f>
        <v>0</v>
      </c>
      <c r="H394" s="197">
        <f>IF(_1_5412845612146241046457891017456[[#This Row],[Type]]&gt;0,VLOOKUP(_1_5412845612146241046457891017456[[#This Row],[Type]],Main[[#All],[TYPE]:[UNIT]],'Unit Price'!D$1,FALSE),0)</f>
        <v>0</v>
      </c>
      <c r="I394" s="194">
        <f>IF(_1_5412845612146241046457891017456[[#This Row],[Type]]&gt;0,VLOOKUP(_1_5412845612146241046457891017456[[#This Row],[Type]],Main[[#All],[TYPE]:[UNIT]],'Unit Price'!G$1,FALSE),0)</f>
        <v>0</v>
      </c>
      <c r="J394" s="194">
        <f>IF(_1_5412845612146241046457891017456[[#This Row],[Type]]&gt;0,VLOOKUP(_1_5412845612146241046457891017456[[#This Row],[Type]],Main[[#All],[TYPE]:[UNIT]],'Unit Price'!H$1,FALSE),0)</f>
        <v>0</v>
      </c>
      <c r="K394" s="194">
        <f>IF(_1_5412845612146241046457891017456[[#This Row],[Discount selection]]&gt;0,VLOOKUP(_1_5412845612146241046457891017456[[#This Row],[Discount selection]],'Discount Structure'!$A$2:$B$30,2,"false"),0)</f>
        <v>1</v>
      </c>
      <c r="L394" s="194">
        <f>_1_5412845612146241046457891017456[[#This Row],[LIST $]]*_1_5412845612146241046457891017456[[#This Row],[DISCOUNT]]*_1_5412845612146241046457891017456[[#This Row],[DISCOUNT 2]]</f>
        <v>0</v>
      </c>
      <c r="M394" s="194">
        <f>IF(OR(_1_5412845612146241046457891017456[[#This Row],[UNIT]]&gt;0,_1_5412845612146241046457891017456[[#This Row],[UNIT]]&lt;0),_1_5412845612146241046457891017456[[#This Row],[UNIT]]*_1_5412845612146241046457891017456[[#This Row],[COST]],0)</f>
        <v>0</v>
      </c>
      <c r="N394" s="194">
        <f t="shared" ref="N394:N457" si="6">$N$7</f>
        <v>1.3</v>
      </c>
      <c r="O394" s="198">
        <f>_1_5412845612146241046457891017456[[#This Row],[TOTAL]]*_1_5412845612146241046457891017456[[#This Row],[MARGIN]]</f>
        <v>0</v>
      </c>
      <c r="R394" s="41"/>
    </row>
    <row r="395" spans="1:18">
      <c r="D395" s="188"/>
      <c r="F395" s="168" t="s">
        <v>6202</v>
      </c>
      <c r="G395" s="193">
        <f>IF(_1_5412845612146241046457891017456[[#This Row],[Type]]&gt;0,VLOOKUP(_1_5412845612146241046457891017456[[#This Row],[Type]],Main[[#All],[TYPE]:[UNIT]],'Unit Price'!C$1,FALSE),0)</f>
        <v>0</v>
      </c>
      <c r="H395" s="197">
        <f>IF(_1_5412845612146241046457891017456[[#This Row],[Type]]&gt;0,VLOOKUP(_1_5412845612146241046457891017456[[#This Row],[Type]],Main[[#All],[TYPE]:[UNIT]],'Unit Price'!D$1,FALSE),0)</f>
        <v>0</v>
      </c>
      <c r="I395" s="194">
        <f>IF(_1_5412845612146241046457891017456[[#This Row],[Type]]&gt;0,VLOOKUP(_1_5412845612146241046457891017456[[#This Row],[Type]],Main[[#All],[TYPE]:[UNIT]],'Unit Price'!G$1,FALSE),0)</f>
        <v>0</v>
      </c>
      <c r="J395" s="194">
        <f>IF(_1_5412845612146241046457891017456[[#This Row],[Type]]&gt;0,VLOOKUP(_1_5412845612146241046457891017456[[#This Row],[Type]],Main[[#All],[TYPE]:[UNIT]],'Unit Price'!H$1,FALSE),0)</f>
        <v>0</v>
      </c>
      <c r="K395" s="194">
        <f>IF(_1_5412845612146241046457891017456[[#This Row],[Discount selection]]&gt;0,VLOOKUP(_1_5412845612146241046457891017456[[#This Row],[Discount selection]],'Discount Structure'!$A$2:$B$30,2,"false"),0)</f>
        <v>1</v>
      </c>
      <c r="L395" s="194">
        <f>_1_5412845612146241046457891017456[[#This Row],[LIST $]]*_1_5412845612146241046457891017456[[#This Row],[DISCOUNT]]*_1_5412845612146241046457891017456[[#This Row],[DISCOUNT 2]]</f>
        <v>0</v>
      </c>
      <c r="M395" s="194">
        <f>IF(OR(_1_5412845612146241046457891017456[[#This Row],[UNIT]]&gt;0,_1_5412845612146241046457891017456[[#This Row],[UNIT]]&lt;0),_1_5412845612146241046457891017456[[#This Row],[UNIT]]*_1_5412845612146241046457891017456[[#This Row],[COST]],0)</f>
        <v>0</v>
      </c>
      <c r="N395" s="194">
        <f t="shared" si="6"/>
        <v>1.3</v>
      </c>
      <c r="O395" s="198">
        <f>_1_5412845612146241046457891017456[[#This Row],[TOTAL]]*_1_5412845612146241046457891017456[[#This Row],[MARGIN]]</f>
        <v>0</v>
      </c>
      <c r="R395" s="41"/>
    </row>
    <row r="396" spans="1:18">
      <c r="D396" s="188"/>
      <c r="F396" s="168" t="s">
        <v>6202</v>
      </c>
      <c r="G396" s="193">
        <f>IF(_1_5412845612146241046457891017456[[#This Row],[Type]]&gt;0,VLOOKUP(_1_5412845612146241046457891017456[[#This Row],[Type]],Main[[#All],[TYPE]:[UNIT]],'Unit Price'!C$1,FALSE),0)</f>
        <v>0</v>
      </c>
      <c r="H396" s="197">
        <f>IF(_1_5412845612146241046457891017456[[#This Row],[Type]]&gt;0,VLOOKUP(_1_5412845612146241046457891017456[[#This Row],[Type]],Main[[#All],[TYPE]:[UNIT]],'Unit Price'!D$1,FALSE),0)</f>
        <v>0</v>
      </c>
      <c r="I396" s="194">
        <f>IF(_1_5412845612146241046457891017456[[#This Row],[Type]]&gt;0,VLOOKUP(_1_5412845612146241046457891017456[[#This Row],[Type]],Main[[#All],[TYPE]:[UNIT]],'Unit Price'!G$1,FALSE),0)</f>
        <v>0</v>
      </c>
      <c r="J396" s="194">
        <f>IF(_1_5412845612146241046457891017456[[#This Row],[Type]]&gt;0,VLOOKUP(_1_5412845612146241046457891017456[[#This Row],[Type]],Main[[#All],[TYPE]:[UNIT]],'Unit Price'!H$1,FALSE),0)</f>
        <v>0</v>
      </c>
      <c r="K396" s="194">
        <f>IF(_1_5412845612146241046457891017456[[#This Row],[Discount selection]]&gt;0,VLOOKUP(_1_5412845612146241046457891017456[[#This Row],[Discount selection]],'Discount Structure'!$A$2:$B$30,2,"false"),0)</f>
        <v>1</v>
      </c>
      <c r="L396" s="194">
        <f>_1_5412845612146241046457891017456[[#This Row],[LIST $]]*_1_5412845612146241046457891017456[[#This Row],[DISCOUNT]]*_1_5412845612146241046457891017456[[#This Row],[DISCOUNT 2]]</f>
        <v>0</v>
      </c>
      <c r="M396" s="194">
        <f>IF(OR(_1_5412845612146241046457891017456[[#This Row],[UNIT]]&gt;0,_1_5412845612146241046457891017456[[#This Row],[UNIT]]&lt;0),_1_5412845612146241046457891017456[[#This Row],[UNIT]]*_1_5412845612146241046457891017456[[#This Row],[COST]],0)</f>
        <v>0</v>
      </c>
      <c r="N396" s="194">
        <f t="shared" si="6"/>
        <v>1.3</v>
      </c>
      <c r="O396" s="198">
        <f>_1_5412845612146241046457891017456[[#This Row],[TOTAL]]*_1_5412845612146241046457891017456[[#This Row],[MARGIN]]</f>
        <v>0</v>
      </c>
      <c r="R396" s="41"/>
    </row>
    <row r="397" spans="1:18">
      <c r="D397" s="188"/>
      <c r="F397" s="168" t="s">
        <v>6202</v>
      </c>
      <c r="G397" s="192">
        <f>IF(_1_5412845612146241046457891017456[[#This Row],[Type]]&gt;0,VLOOKUP(_1_5412845612146241046457891017456[[#This Row],[Type]],Main[[#All],[TYPE]:[UNIT]],'Unit Price'!C$1,FALSE),0)</f>
        <v>0</v>
      </c>
      <c r="H397" s="197">
        <f>IF(_1_5412845612146241046457891017456[[#This Row],[Type]]&gt;0,VLOOKUP(_1_5412845612146241046457891017456[[#This Row],[Type]],Main[[#All],[TYPE]:[UNIT]],'Unit Price'!D$1,FALSE),0)</f>
        <v>0</v>
      </c>
      <c r="I397" s="194">
        <f>IF(_1_5412845612146241046457891017456[[#This Row],[Type]]&gt;0,VLOOKUP(_1_5412845612146241046457891017456[[#This Row],[Type]],Main[[#All],[TYPE]:[UNIT]],'Unit Price'!G$1,FALSE),0)</f>
        <v>0</v>
      </c>
      <c r="J397" s="194">
        <f>IF(_1_5412845612146241046457891017456[[#This Row],[Type]]&gt;0,VLOOKUP(_1_5412845612146241046457891017456[[#This Row],[Type]],Main[[#All],[TYPE]:[UNIT]],'Unit Price'!H$1,FALSE),0)</f>
        <v>0</v>
      </c>
      <c r="K397" s="194">
        <f>IF(_1_5412845612146241046457891017456[[#This Row],[Discount selection]]&gt;0,VLOOKUP(_1_5412845612146241046457891017456[[#This Row],[Discount selection]],'Discount Structure'!$A$2:$B$30,2,"false"),0)</f>
        <v>1</v>
      </c>
      <c r="L397" s="194">
        <f>_1_5412845612146241046457891017456[[#This Row],[LIST $]]*_1_5412845612146241046457891017456[[#This Row],[DISCOUNT]]*_1_5412845612146241046457891017456[[#This Row],[DISCOUNT 2]]</f>
        <v>0</v>
      </c>
      <c r="M397" s="194">
        <f>IF(OR(_1_5412845612146241046457891017456[[#This Row],[UNIT]]&gt;0,_1_5412845612146241046457891017456[[#This Row],[UNIT]]&lt;0),_1_5412845612146241046457891017456[[#This Row],[UNIT]]*_1_5412845612146241046457891017456[[#This Row],[COST]],0)</f>
        <v>0</v>
      </c>
      <c r="N397" s="194">
        <f t="shared" si="6"/>
        <v>1.3</v>
      </c>
      <c r="O397" s="198">
        <f>_1_5412845612146241046457891017456[[#This Row],[TOTAL]]*_1_5412845612146241046457891017456[[#This Row],[MARGIN]]</f>
        <v>0</v>
      </c>
      <c r="R397" s="41"/>
    </row>
    <row r="398" spans="1:18">
      <c r="D398" s="188"/>
      <c r="F398" s="168" t="s">
        <v>6202</v>
      </c>
      <c r="G398" s="193">
        <f>IF(_1_5412845612146241046457891017456[[#This Row],[Type]]&gt;0,VLOOKUP(_1_5412845612146241046457891017456[[#This Row],[Type]],Main[[#All],[TYPE]:[UNIT]],'Unit Price'!C$1,FALSE),0)</f>
        <v>0</v>
      </c>
      <c r="H398" s="197">
        <f>IF(_1_5412845612146241046457891017456[[#This Row],[Type]]&gt;0,VLOOKUP(_1_5412845612146241046457891017456[[#This Row],[Type]],Main[[#All],[TYPE]:[UNIT]],'Unit Price'!D$1,FALSE),0)</f>
        <v>0</v>
      </c>
      <c r="I398" s="194">
        <f>IF(_1_5412845612146241046457891017456[[#This Row],[Type]]&gt;0,VLOOKUP(_1_5412845612146241046457891017456[[#This Row],[Type]],Main[[#All],[TYPE]:[UNIT]],'Unit Price'!G$1,FALSE),0)</f>
        <v>0</v>
      </c>
      <c r="J398" s="194">
        <f>IF(_1_5412845612146241046457891017456[[#This Row],[Type]]&gt;0,VLOOKUP(_1_5412845612146241046457891017456[[#This Row],[Type]],Main[[#All],[TYPE]:[UNIT]],'Unit Price'!H$1,FALSE),0)</f>
        <v>0</v>
      </c>
      <c r="K398" s="194">
        <f>IF(_1_5412845612146241046457891017456[[#This Row],[Discount selection]]&gt;0,VLOOKUP(_1_5412845612146241046457891017456[[#This Row],[Discount selection]],'Discount Structure'!$A$2:$B$30,2,"false"),0)</f>
        <v>1</v>
      </c>
      <c r="L398" s="194">
        <f>_1_5412845612146241046457891017456[[#This Row],[LIST $]]*_1_5412845612146241046457891017456[[#This Row],[DISCOUNT]]*_1_5412845612146241046457891017456[[#This Row],[DISCOUNT 2]]</f>
        <v>0</v>
      </c>
      <c r="M398" s="194">
        <f>IF(OR(_1_5412845612146241046457891017456[[#This Row],[UNIT]]&gt;0,_1_5412845612146241046457891017456[[#This Row],[UNIT]]&lt;0),_1_5412845612146241046457891017456[[#This Row],[UNIT]]*_1_5412845612146241046457891017456[[#This Row],[COST]],0)</f>
        <v>0</v>
      </c>
      <c r="N398" s="194">
        <f t="shared" si="6"/>
        <v>1.3</v>
      </c>
      <c r="O398" s="198">
        <f>_1_5412845612146241046457891017456[[#This Row],[TOTAL]]*_1_5412845612146241046457891017456[[#This Row],[MARGIN]]</f>
        <v>0</v>
      </c>
      <c r="R398" s="41"/>
    </row>
    <row r="399" spans="1:18">
      <c r="D399" s="188"/>
      <c r="F399" s="168" t="s">
        <v>6202</v>
      </c>
      <c r="G399" s="193">
        <f>IF(_1_5412845612146241046457891017456[[#This Row],[Type]]&gt;0,VLOOKUP(_1_5412845612146241046457891017456[[#This Row],[Type]],Main[[#All],[TYPE]:[UNIT]],'Unit Price'!C$1,FALSE),0)</f>
        <v>0</v>
      </c>
      <c r="H399" s="197">
        <f>IF(_1_5412845612146241046457891017456[[#This Row],[Type]]&gt;0,VLOOKUP(_1_5412845612146241046457891017456[[#This Row],[Type]],Main[[#All],[TYPE]:[UNIT]],'Unit Price'!D$1,FALSE),0)</f>
        <v>0</v>
      </c>
      <c r="I399" s="194">
        <f>IF(_1_5412845612146241046457891017456[[#This Row],[Type]]&gt;0,VLOOKUP(_1_5412845612146241046457891017456[[#This Row],[Type]],Main[[#All],[TYPE]:[UNIT]],'Unit Price'!G$1,FALSE),0)</f>
        <v>0</v>
      </c>
      <c r="J399" s="194">
        <f>IF(_1_5412845612146241046457891017456[[#This Row],[Type]]&gt;0,VLOOKUP(_1_5412845612146241046457891017456[[#This Row],[Type]],Main[[#All],[TYPE]:[UNIT]],'Unit Price'!H$1,FALSE),0)</f>
        <v>0</v>
      </c>
      <c r="K399" s="194">
        <f>IF(_1_5412845612146241046457891017456[[#This Row],[Discount selection]]&gt;0,VLOOKUP(_1_5412845612146241046457891017456[[#This Row],[Discount selection]],'Discount Structure'!$A$2:$B$30,2,"false"),0)</f>
        <v>1</v>
      </c>
      <c r="L399" s="194">
        <f>_1_5412845612146241046457891017456[[#This Row],[LIST $]]*_1_5412845612146241046457891017456[[#This Row],[DISCOUNT]]*_1_5412845612146241046457891017456[[#This Row],[DISCOUNT 2]]</f>
        <v>0</v>
      </c>
      <c r="M399" s="194">
        <f>IF(OR(_1_5412845612146241046457891017456[[#This Row],[UNIT]]&gt;0,_1_5412845612146241046457891017456[[#This Row],[UNIT]]&lt;0),_1_5412845612146241046457891017456[[#This Row],[UNIT]]*_1_5412845612146241046457891017456[[#This Row],[COST]],0)</f>
        <v>0</v>
      </c>
      <c r="N399" s="194">
        <f t="shared" si="6"/>
        <v>1.3</v>
      </c>
      <c r="O399" s="198">
        <f>_1_5412845612146241046457891017456[[#This Row],[TOTAL]]*_1_5412845612146241046457891017456[[#This Row],[MARGIN]]</f>
        <v>0</v>
      </c>
      <c r="R399" s="41"/>
    </row>
    <row r="400" spans="1:18">
      <c r="D400" s="188"/>
      <c r="F400" s="168" t="s">
        <v>6202</v>
      </c>
      <c r="G400" s="193">
        <f>IF(_1_5412845612146241046457891017456[[#This Row],[Type]]&gt;0,VLOOKUP(_1_5412845612146241046457891017456[[#This Row],[Type]],Main[[#All],[TYPE]:[UNIT]],'Unit Price'!C$1,FALSE),0)</f>
        <v>0</v>
      </c>
      <c r="H400" s="197">
        <f>IF(_1_5412845612146241046457891017456[[#This Row],[Type]]&gt;0,VLOOKUP(_1_5412845612146241046457891017456[[#This Row],[Type]],Main[[#All],[TYPE]:[UNIT]],'Unit Price'!D$1,FALSE),0)</f>
        <v>0</v>
      </c>
      <c r="I400" s="194">
        <f>IF(_1_5412845612146241046457891017456[[#This Row],[Type]]&gt;0,VLOOKUP(_1_5412845612146241046457891017456[[#This Row],[Type]],Main[[#All],[TYPE]:[UNIT]],'Unit Price'!G$1,FALSE),0)</f>
        <v>0</v>
      </c>
      <c r="J400" s="194">
        <f>IF(_1_5412845612146241046457891017456[[#This Row],[Type]]&gt;0,VLOOKUP(_1_5412845612146241046457891017456[[#This Row],[Type]],Main[[#All],[TYPE]:[UNIT]],'Unit Price'!H$1,FALSE),0)</f>
        <v>0</v>
      </c>
      <c r="K400" s="194">
        <f>IF(_1_5412845612146241046457891017456[[#This Row],[Discount selection]]&gt;0,VLOOKUP(_1_5412845612146241046457891017456[[#This Row],[Discount selection]],'Discount Structure'!$A$2:$B$30,2,"false"),0)</f>
        <v>1</v>
      </c>
      <c r="L400" s="194">
        <f>_1_5412845612146241046457891017456[[#This Row],[LIST $]]*_1_5412845612146241046457891017456[[#This Row],[DISCOUNT]]*_1_5412845612146241046457891017456[[#This Row],[DISCOUNT 2]]</f>
        <v>0</v>
      </c>
      <c r="M400" s="194">
        <f>IF(OR(_1_5412845612146241046457891017456[[#This Row],[UNIT]]&gt;0,_1_5412845612146241046457891017456[[#This Row],[UNIT]]&lt;0),_1_5412845612146241046457891017456[[#This Row],[UNIT]]*_1_5412845612146241046457891017456[[#This Row],[COST]],0)</f>
        <v>0</v>
      </c>
      <c r="N400" s="194">
        <f t="shared" si="6"/>
        <v>1.3</v>
      </c>
      <c r="O400" s="198">
        <f>_1_5412845612146241046457891017456[[#This Row],[TOTAL]]*_1_5412845612146241046457891017456[[#This Row],[MARGIN]]</f>
        <v>0</v>
      </c>
      <c r="R400" s="41"/>
    </row>
    <row r="401" spans="1:18">
      <c r="D401" s="188"/>
      <c r="F401" s="168" t="s">
        <v>6202</v>
      </c>
      <c r="G401" s="193">
        <f>IF(_1_5412845612146241046457891017456[[#This Row],[Type]]&gt;0,VLOOKUP(_1_5412845612146241046457891017456[[#This Row],[Type]],Main[[#All],[TYPE]:[UNIT]],'Unit Price'!C$1,FALSE),0)</f>
        <v>0</v>
      </c>
      <c r="H401" s="197">
        <f>IF(_1_5412845612146241046457891017456[[#This Row],[Type]]&gt;0,VLOOKUP(_1_5412845612146241046457891017456[[#This Row],[Type]],Main[[#All],[TYPE]:[UNIT]],'Unit Price'!D$1,FALSE),0)</f>
        <v>0</v>
      </c>
      <c r="I401" s="194">
        <f>IF(_1_5412845612146241046457891017456[[#This Row],[Type]]&gt;0,VLOOKUP(_1_5412845612146241046457891017456[[#This Row],[Type]],Main[[#All],[TYPE]:[UNIT]],'Unit Price'!G$1,FALSE),0)</f>
        <v>0</v>
      </c>
      <c r="J401" s="194">
        <f>IF(_1_5412845612146241046457891017456[[#This Row],[Type]]&gt;0,VLOOKUP(_1_5412845612146241046457891017456[[#This Row],[Type]],Main[[#All],[TYPE]:[UNIT]],'Unit Price'!H$1,FALSE),0)</f>
        <v>0</v>
      </c>
      <c r="K401" s="194">
        <f>IF(_1_5412845612146241046457891017456[[#This Row],[Discount selection]]&gt;0,VLOOKUP(_1_5412845612146241046457891017456[[#This Row],[Discount selection]],'Discount Structure'!$A$2:$B$30,2,"false"),0)</f>
        <v>1</v>
      </c>
      <c r="L401" s="194">
        <f>_1_5412845612146241046457891017456[[#This Row],[LIST $]]*_1_5412845612146241046457891017456[[#This Row],[DISCOUNT]]*_1_5412845612146241046457891017456[[#This Row],[DISCOUNT 2]]</f>
        <v>0</v>
      </c>
      <c r="M401" s="194">
        <f>IF(OR(_1_5412845612146241046457891017456[[#This Row],[UNIT]]&gt;0,_1_5412845612146241046457891017456[[#This Row],[UNIT]]&lt;0),_1_5412845612146241046457891017456[[#This Row],[UNIT]]*_1_5412845612146241046457891017456[[#This Row],[COST]],0)</f>
        <v>0</v>
      </c>
      <c r="N401" s="194">
        <f t="shared" si="6"/>
        <v>1.3</v>
      </c>
      <c r="O401" s="198">
        <f>_1_5412845612146241046457891017456[[#This Row],[TOTAL]]*_1_5412845612146241046457891017456[[#This Row],[MARGIN]]</f>
        <v>0</v>
      </c>
      <c r="R401" s="41"/>
    </row>
    <row r="402" spans="1:18">
      <c r="D402" s="188"/>
      <c r="F402" s="168" t="s">
        <v>6202</v>
      </c>
      <c r="G402" s="192">
        <f>IF(_1_5412845612146241046457891017456[[#This Row],[Type]]&gt;0,VLOOKUP(_1_5412845612146241046457891017456[[#This Row],[Type]],Main[[#All],[TYPE]:[UNIT]],'Unit Price'!C$1,FALSE),0)</f>
        <v>0</v>
      </c>
      <c r="H402" s="197">
        <f>IF(_1_5412845612146241046457891017456[[#This Row],[Type]]&gt;0,VLOOKUP(_1_5412845612146241046457891017456[[#This Row],[Type]],Main[[#All],[TYPE]:[UNIT]],'Unit Price'!D$1,FALSE),0)</f>
        <v>0</v>
      </c>
      <c r="I402" s="194">
        <f>IF(_1_5412845612146241046457891017456[[#This Row],[Type]]&gt;0,VLOOKUP(_1_5412845612146241046457891017456[[#This Row],[Type]],Main[[#All],[TYPE]:[UNIT]],'Unit Price'!G$1,FALSE),0)</f>
        <v>0</v>
      </c>
      <c r="J402" s="194">
        <f>IF(_1_5412845612146241046457891017456[[#This Row],[Type]]&gt;0,VLOOKUP(_1_5412845612146241046457891017456[[#This Row],[Type]],Main[[#All],[TYPE]:[UNIT]],'Unit Price'!H$1,FALSE),0)</f>
        <v>0</v>
      </c>
      <c r="K402" s="194">
        <f>IF(_1_5412845612146241046457891017456[[#This Row],[Discount selection]]&gt;0,VLOOKUP(_1_5412845612146241046457891017456[[#This Row],[Discount selection]],'Discount Structure'!$A$2:$B$30,2,"false"),0)</f>
        <v>1</v>
      </c>
      <c r="L402" s="194">
        <f>_1_5412845612146241046457891017456[[#This Row],[LIST $]]*_1_5412845612146241046457891017456[[#This Row],[DISCOUNT]]*_1_5412845612146241046457891017456[[#This Row],[DISCOUNT 2]]</f>
        <v>0</v>
      </c>
      <c r="M402" s="194">
        <f>IF(OR(_1_5412845612146241046457891017456[[#This Row],[UNIT]]&gt;0,_1_5412845612146241046457891017456[[#This Row],[UNIT]]&lt;0),_1_5412845612146241046457891017456[[#This Row],[UNIT]]*_1_5412845612146241046457891017456[[#This Row],[COST]],0)</f>
        <v>0</v>
      </c>
      <c r="N402" s="194">
        <f t="shared" si="6"/>
        <v>1.3</v>
      </c>
      <c r="O402" s="198">
        <f>_1_5412845612146241046457891017456[[#This Row],[TOTAL]]*_1_5412845612146241046457891017456[[#This Row],[MARGIN]]</f>
        <v>0</v>
      </c>
      <c r="R402" s="41"/>
    </row>
    <row r="403" spans="1:18">
      <c r="D403" s="188"/>
      <c r="F403" s="168" t="s">
        <v>6202</v>
      </c>
      <c r="G403" s="193">
        <f>IF(_1_5412845612146241046457891017456[[#This Row],[Type]]&gt;0,VLOOKUP(_1_5412845612146241046457891017456[[#This Row],[Type]],Main[[#All],[TYPE]:[UNIT]],'Unit Price'!C$1,FALSE),0)</f>
        <v>0</v>
      </c>
      <c r="H403" s="197">
        <f>IF(_1_5412845612146241046457891017456[[#This Row],[Type]]&gt;0,VLOOKUP(_1_5412845612146241046457891017456[[#This Row],[Type]],Main[[#All],[TYPE]:[UNIT]],'Unit Price'!D$1,FALSE),0)</f>
        <v>0</v>
      </c>
      <c r="I403" s="194">
        <f>IF(_1_5412845612146241046457891017456[[#This Row],[Type]]&gt;0,VLOOKUP(_1_5412845612146241046457891017456[[#This Row],[Type]],Main[[#All],[TYPE]:[UNIT]],'Unit Price'!G$1,FALSE),0)</f>
        <v>0</v>
      </c>
      <c r="J403" s="194">
        <f>IF(_1_5412845612146241046457891017456[[#This Row],[Type]]&gt;0,VLOOKUP(_1_5412845612146241046457891017456[[#This Row],[Type]],Main[[#All],[TYPE]:[UNIT]],'Unit Price'!H$1,FALSE),0)</f>
        <v>0</v>
      </c>
      <c r="K403" s="194">
        <f>IF(_1_5412845612146241046457891017456[[#This Row],[Discount selection]]&gt;0,VLOOKUP(_1_5412845612146241046457891017456[[#This Row],[Discount selection]],'Discount Structure'!$A$2:$B$30,2,"false"),0)</f>
        <v>1</v>
      </c>
      <c r="L403" s="194">
        <f>_1_5412845612146241046457891017456[[#This Row],[LIST $]]*_1_5412845612146241046457891017456[[#This Row],[DISCOUNT]]*_1_5412845612146241046457891017456[[#This Row],[DISCOUNT 2]]</f>
        <v>0</v>
      </c>
      <c r="M403" s="194">
        <f>IF(OR(_1_5412845612146241046457891017456[[#This Row],[UNIT]]&gt;0,_1_5412845612146241046457891017456[[#This Row],[UNIT]]&lt;0),_1_5412845612146241046457891017456[[#This Row],[UNIT]]*_1_5412845612146241046457891017456[[#This Row],[COST]],0)</f>
        <v>0</v>
      </c>
      <c r="N403" s="194">
        <f t="shared" si="6"/>
        <v>1.3</v>
      </c>
      <c r="O403" s="198">
        <f>_1_5412845612146241046457891017456[[#This Row],[TOTAL]]*_1_5412845612146241046457891017456[[#This Row],[MARGIN]]</f>
        <v>0</v>
      </c>
      <c r="R403" s="41"/>
    </row>
    <row r="404" spans="1:18">
      <c r="D404" s="188"/>
      <c r="F404" s="168" t="s">
        <v>6202</v>
      </c>
      <c r="G404" s="193">
        <f>IF(_1_5412845612146241046457891017456[[#This Row],[Type]]&gt;0,VLOOKUP(_1_5412845612146241046457891017456[[#This Row],[Type]],Main[[#All],[TYPE]:[UNIT]],'Unit Price'!C$1,FALSE),0)</f>
        <v>0</v>
      </c>
      <c r="H404" s="197">
        <f>IF(_1_5412845612146241046457891017456[[#This Row],[Type]]&gt;0,VLOOKUP(_1_5412845612146241046457891017456[[#This Row],[Type]],Main[[#All],[TYPE]:[UNIT]],'Unit Price'!D$1,FALSE),0)</f>
        <v>0</v>
      </c>
      <c r="I404" s="194">
        <f>IF(_1_5412845612146241046457891017456[[#This Row],[Type]]&gt;0,VLOOKUP(_1_5412845612146241046457891017456[[#This Row],[Type]],Main[[#All],[TYPE]:[UNIT]],'Unit Price'!G$1,FALSE),0)</f>
        <v>0</v>
      </c>
      <c r="J404" s="194">
        <f>IF(_1_5412845612146241046457891017456[[#This Row],[Type]]&gt;0,VLOOKUP(_1_5412845612146241046457891017456[[#This Row],[Type]],Main[[#All],[TYPE]:[UNIT]],'Unit Price'!H$1,FALSE),0)</f>
        <v>0</v>
      </c>
      <c r="K404" s="194">
        <f>IF(_1_5412845612146241046457891017456[[#This Row],[Discount selection]]&gt;0,VLOOKUP(_1_5412845612146241046457891017456[[#This Row],[Discount selection]],'Discount Structure'!$A$2:$B$30,2,"false"),0)</f>
        <v>1</v>
      </c>
      <c r="L404" s="194">
        <f>_1_5412845612146241046457891017456[[#This Row],[LIST $]]*_1_5412845612146241046457891017456[[#This Row],[DISCOUNT]]*_1_5412845612146241046457891017456[[#This Row],[DISCOUNT 2]]</f>
        <v>0</v>
      </c>
      <c r="M404" s="194">
        <f>IF(OR(_1_5412845612146241046457891017456[[#This Row],[UNIT]]&gt;0,_1_5412845612146241046457891017456[[#This Row],[UNIT]]&lt;0),_1_5412845612146241046457891017456[[#This Row],[UNIT]]*_1_5412845612146241046457891017456[[#This Row],[COST]],0)</f>
        <v>0</v>
      </c>
      <c r="N404" s="194">
        <f t="shared" si="6"/>
        <v>1.3</v>
      </c>
      <c r="O404" s="198">
        <f>_1_5412845612146241046457891017456[[#This Row],[TOTAL]]*_1_5412845612146241046457891017456[[#This Row],[MARGIN]]</f>
        <v>0</v>
      </c>
      <c r="R404" s="41"/>
    </row>
    <row r="405" spans="1:18">
      <c r="D405" s="188"/>
      <c r="F405" s="168" t="s">
        <v>6202</v>
      </c>
      <c r="G405" s="193">
        <f>IF(_1_5412845612146241046457891017456[[#This Row],[Type]]&gt;0,VLOOKUP(_1_5412845612146241046457891017456[[#This Row],[Type]],Main[[#All],[TYPE]:[UNIT]],'Unit Price'!C$1,FALSE),0)</f>
        <v>0</v>
      </c>
      <c r="H405" s="197">
        <f>IF(_1_5412845612146241046457891017456[[#This Row],[Type]]&gt;0,VLOOKUP(_1_5412845612146241046457891017456[[#This Row],[Type]],Main[[#All],[TYPE]:[UNIT]],'Unit Price'!D$1,FALSE),0)</f>
        <v>0</v>
      </c>
      <c r="I405" s="194">
        <f>IF(_1_5412845612146241046457891017456[[#This Row],[Type]]&gt;0,VLOOKUP(_1_5412845612146241046457891017456[[#This Row],[Type]],Main[[#All],[TYPE]:[UNIT]],'Unit Price'!G$1,FALSE),0)</f>
        <v>0</v>
      </c>
      <c r="J405" s="194">
        <f>IF(_1_5412845612146241046457891017456[[#This Row],[Type]]&gt;0,VLOOKUP(_1_5412845612146241046457891017456[[#This Row],[Type]],Main[[#All],[TYPE]:[UNIT]],'Unit Price'!H$1,FALSE),0)</f>
        <v>0</v>
      </c>
      <c r="K405" s="194">
        <f>IF(_1_5412845612146241046457891017456[[#This Row],[Discount selection]]&gt;0,VLOOKUP(_1_5412845612146241046457891017456[[#This Row],[Discount selection]],'Discount Structure'!$A$2:$B$30,2,"false"),0)</f>
        <v>1</v>
      </c>
      <c r="L405" s="194">
        <f>_1_5412845612146241046457891017456[[#This Row],[LIST $]]*_1_5412845612146241046457891017456[[#This Row],[DISCOUNT]]*_1_5412845612146241046457891017456[[#This Row],[DISCOUNT 2]]</f>
        <v>0</v>
      </c>
      <c r="M405" s="194">
        <f>IF(OR(_1_5412845612146241046457891017456[[#This Row],[UNIT]]&gt;0,_1_5412845612146241046457891017456[[#This Row],[UNIT]]&lt;0),_1_5412845612146241046457891017456[[#This Row],[UNIT]]*_1_5412845612146241046457891017456[[#This Row],[COST]],0)</f>
        <v>0</v>
      </c>
      <c r="N405" s="194">
        <f t="shared" si="6"/>
        <v>1.3</v>
      </c>
      <c r="O405" s="198">
        <f>_1_5412845612146241046457891017456[[#This Row],[TOTAL]]*_1_5412845612146241046457891017456[[#This Row],[MARGIN]]</f>
        <v>0</v>
      </c>
      <c r="R405" s="41"/>
    </row>
    <row r="406" spans="1:18">
      <c r="D406" s="188"/>
      <c r="F406" s="168" t="s">
        <v>6202</v>
      </c>
      <c r="G406" s="193">
        <f>IF(_1_5412845612146241046457891017456[[#This Row],[Type]]&gt;0,VLOOKUP(_1_5412845612146241046457891017456[[#This Row],[Type]],Main[[#All],[TYPE]:[UNIT]],'Unit Price'!C$1,FALSE),0)</f>
        <v>0</v>
      </c>
      <c r="H406" s="197">
        <f>IF(_1_5412845612146241046457891017456[[#This Row],[Type]]&gt;0,VLOOKUP(_1_5412845612146241046457891017456[[#This Row],[Type]],Main[[#All],[TYPE]:[UNIT]],'Unit Price'!D$1,FALSE),0)</f>
        <v>0</v>
      </c>
      <c r="I406" s="194">
        <f>IF(_1_5412845612146241046457891017456[[#This Row],[Type]]&gt;0,VLOOKUP(_1_5412845612146241046457891017456[[#This Row],[Type]],Main[[#All],[TYPE]:[UNIT]],'Unit Price'!G$1,FALSE),0)</f>
        <v>0</v>
      </c>
      <c r="J406" s="194">
        <f>IF(_1_5412845612146241046457891017456[[#This Row],[Type]]&gt;0,VLOOKUP(_1_5412845612146241046457891017456[[#This Row],[Type]],Main[[#All],[TYPE]:[UNIT]],'Unit Price'!H$1,FALSE),0)</f>
        <v>0</v>
      </c>
      <c r="K406" s="194">
        <f>IF(_1_5412845612146241046457891017456[[#This Row],[Discount selection]]&gt;0,VLOOKUP(_1_5412845612146241046457891017456[[#This Row],[Discount selection]],'Discount Structure'!$A$2:$B$30,2,"false"),0)</f>
        <v>1</v>
      </c>
      <c r="L406" s="194">
        <f>_1_5412845612146241046457891017456[[#This Row],[LIST $]]*_1_5412845612146241046457891017456[[#This Row],[DISCOUNT]]*_1_5412845612146241046457891017456[[#This Row],[DISCOUNT 2]]</f>
        <v>0</v>
      </c>
      <c r="M406" s="194">
        <f>IF(OR(_1_5412845612146241046457891017456[[#This Row],[UNIT]]&gt;0,_1_5412845612146241046457891017456[[#This Row],[UNIT]]&lt;0),_1_5412845612146241046457891017456[[#This Row],[UNIT]]*_1_5412845612146241046457891017456[[#This Row],[COST]],0)</f>
        <v>0</v>
      </c>
      <c r="N406" s="194">
        <f t="shared" si="6"/>
        <v>1.3</v>
      </c>
      <c r="O406" s="198">
        <f>_1_5412845612146241046457891017456[[#This Row],[TOTAL]]*_1_5412845612146241046457891017456[[#This Row],[MARGIN]]</f>
        <v>0</v>
      </c>
      <c r="R406" s="41"/>
    </row>
    <row r="407" spans="1:18">
      <c r="D407" s="188"/>
      <c r="F407" s="168" t="s">
        <v>6202</v>
      </c>
      <c r="G407" s="192">
        <f>IF(_1_5412845612146241046457891017456[[#This Row],[Type]]&gt;0,VLOOKUP(_1_5412845612146241046457891017456[[#This Row],[Type]],Main[[#All],[TYPE]:[UNIT]],'Unit Price'!C$1,FALSE),0)</f>
        <v>0</v>
      </c>
      <c r="H407" s="197">
        <f>IF(_1_5412845612146241046457891017456[[#This Row],[Type]]&gt;0,VLOOKUP(_1_5412845612146241046457891017456[[#This Row],[Type]],Main[[#All],[TYPE]:[UNIT]],'Unit Price'!D$1,FALSE),0)</f>
        <v>0</v>
      </c>
      <c r="I407" s="194">
        <f>IF(_1_5412845612146241046457891017456[[#This Row],[Type]]&gt;0,VLOOKUP(_1_5412845612146241046457891017456[[#This Row],[Type]],Main[[#All],[TYPE]:[UNIT]],'Unit Price'!G$1,FALSE),0)</f>
        <v>0</v>
      </c>
      <c r="J407" s="194">
        <f>IF(_1_5412845612146241046457891017456[[#This Row],[Type]]&gt;0,VLOOKUP(_1_5412845612146241046457891017456[[#This Row],[Type]],Main[[#All],[TYPE]:[UNIT]],'Unit Price'!H$1,FALSE),0)</f>
        <v>0</v>
      </c>
      <c r="K407" s="194">
        <f>IF(_1_5412845612146241046457891017456[[#This Row],[Discount selection]]&gt;0,VLOOKUP(_1_5412845612146241046457891017456[[#This Row],[Discount selection]],'Discount Structure'!$A$2:$B$30,2,"false"),0)</f>
        <v>1</v>
      </c>
      <c r="L407" s="194">
        <f>_1_5412845612146241046457891017456[[#This Row],[LIST $]]*_1_5412845612146241046457891017456[[#This Row],[DISCOUNT]]*_1_5412845612146241046457891017456[[#This Row],[DISCOUNT 2]]</f>
        <v>0</v>
      </c>
      <c r="M407" s="194">
        <f>IF(OR(_1_5412845612146241046457891017456[[#This Row],[UNIT]]&gt;0,_1_5412845612146241046457891017456[[#This Row],[UNIT]]&lt;0),_1_5412845612146241046457891017456[[#This Row],[UNIT]]*_1_5412845612146241046457891017456[[#This Row],[COST]],0)</f>
        <v>0</v>
      </c>
      <c r="N407" s="194">
        <f t="shared" si="6"/>
        <v>1.3</v>
      </c>
      <c r="O407" s="198">
        <f>_1_5412845612146241046457891017456[[#This Row],[TOTAL]]*_1_5412845612146241046457891017456[[#This Row],[MARGIN]]</f>
        <v>0</v>
      </c>
      <c r="R407" s="41"/>
    </row>
    <row r="408" spans="1:18">
      <c r="D408" s="188"/>
      <c r="F408" s="168" t="s">
        <v>6202</v>
      </c>
      <c r="G408" s="193">
        <f>IF(_1_5412845612146241046457891017456[[#This Row],[Type]]&gt;0,VLOOKUP(_1_5412845612146241046457891017456[[#This Row],[Type]],Main[[#All],[TYPE]:[UNIT]],'Unit Price'!C$1,FALSE),0)</f>
        <v>0</v>
      </c>
      <c r="H408" s="197">
        <f>IF(_1_5412845612146241046457891017456[[#This Row],[Type]]&gt;0,VLOOKUP(_1_5412845612146241046457891017456[[#This Row],[Type]],Main[[#All],[TYPE]:[UNIT]],'Unit Price'!D$1,FALSE),0)</f>
        <v>0</v>
      </c>
      <c r="I408" s="194">
        <f>IF(_1_5412845612146241046457891017456[[#This Row],[Type]]&gt;0,VLOOKUP(_1_5412845612146241046457891017456[[#This Row],[Type]],Main[[#All],[TYPE]:[UNIT]],'Unit Price'!G$1,FALSE),0)</f>
        <v>0</v>
      </c>
      <c r="J408" s="194">
        <f>IF(_1_5412845612146241046457891017456[[#This Row],[Type]]&gt;0,VLOOKUP(_1_5412845612146241046457891017456[[#This Row],[Type]],Main[[#All],[TYPE]:[UNIT]],'Unit Price'!H$1,FALSE),0)</f>
        <v>0</v>
      </c>
      <c r="K408" s="194">
        <f>IF(_1_5412845612146241046457891017456[[#This Row],[Discount selection]]&gt;0,VLOOKUP(_1_5412845612146241046457891017456[[#This Row],[Discount selection]],'Discount Structure'!$A$2:$B$30,2,"false"),0)</f>
        <v>1</v>
      </c>
      <c r="L408" s="194">
        <f>_1_5412845612146241046457891017456[[#This Row],[LIST $]]*_1_5412845612146241046457891017456[[#This Row],[DISCOUNT]]*_1_5412845612146241046457891017456[[#This Row],[DISCOUNT 2]]</f>
        <v>0</v>
      </c>
      <c r="M408" s="194">
        <f>IF(OR(_1_5412845612146241046457891017456[[#This Row],[UNIT]]&gt;0,_1_5412845612146241046457891017456[[#This Row],[UNIT]]&lt;0),_1_5412845612146241046457891017456[[#This Row],[UNIT]]*_1_5412845612146241046457891017456[[#This Row],[COST]],0)</f>
        <v>0</v>
      </c>
      <c r="N408" s="194">
        <f t="shared" si="6"/>
        <v>1.3</v>
      </c>
      <c r="O408" s="198">
        <f>_1_5412845612146241046457891017456[[#This Row],[TOTAL]]*_1_5412845612146241046457891017456[[#This Row],[MARGIN]]</f>
        <v>0</v>
      </c>
      <c r="R408" s="41"/>
    </row>
    <row r="409" spans="1:18">
      <c r="A409" s="168"/>
      <c r="D409" s="188"/>
      <c r="F409" s="168" t="s">
        <v>6202</v>
      </c>
      <c r="G409" s="193">
        <f>IF(_1_5412845612146241046457891017456[[#This Row],[Type]]&gt;0,VLOOKUP(_1_5412845612146241046457891017456[[#This Row],[Type]],Main[[#All],[TYPE]:[UNIT]],'Unit Price'!C$1,FALSE),0)</f>
        <v>0</v>
      </c>
      <c r="H409" s="197">
        <f>IF(_1_5412845612146241046457891017456[[#This Row],[Type]]&gt;0,VLOOKUP(_1_5412845612146241046457891017456[[#This Row],[Type]],Main[[#All],[TYPE]:[UNIT]],'Unit Price'!D$1,FALSE),0)</f>
        <v>0</v>
      </c>
      <c r="I409" s="194">
        <f>IF(_1_5412845612146241046457891017456[[#This Row],[Type]]&gt;0,VLOOKUP(_1_5412845612146241046457891017456[[#This Row],[Type]],Main[[#All],[TYPE]:[UNIT]],'Unit Price'!G$1,FALSE),0)</f>
        <v>0</v>
      </c>
      <c r="J409" s="194">
        <f>IF(_1_5412845612146241046457891017456[[#This Row],[Type]]&gt;0,VLOOKUP(_1_5412845612146241046457891017456[[#This Row],[Type]],Main[[#All],[TYPE]:[UNIT]],'Unit Price'!H$1,FALSE),0)</f>
        <v>0</v>
      </c>
      <c r="K409" s="194">
        <f>IF(_1_5412845612146241046457891017456[[#This Row],[Discount selection]]&gt;0,VLOOKUP(_1_5412845612146241046457891017456[[#This Row],[Discount selection]],'Discount Structure'!$A$2:$B$30,2,"false"),0)</f>
        <v>1</v>
      </c>
      <c r="L409" s="194">
        <f>_1_5412845612146241046457891017456[[#This Row],[LIST $]]*_1_5412845612146241046457891017456[[#This Row],[DISCOUNT]]*_1_5412845612146241046457891017456[[#This Row],[DISCOUNT 2]]</f>
        <v>0</v>
      </c>
      <c r="M409" s="194">
        <f>IF(OR(_1_5412845612146241046457891017456[[#This Row],[UNIT]]&gt;0,_1_5412845612146241046457891017456[[#This Row],[UNIT]]&lt;0),_1_5412845612146241046457891017456[[#This Row],[UNIT]]*_1_5412845612146241046457891017456[[#This Row],[COST]],0)</f>
        <v>0</v>
      </c>
      <c r="N409" s="194">
        <f t="shared" si="6"/>
        <v>1.3</v>
      </c>
      <c r="O409" s="198">
        <f>_1_5412845612146241046457891017456[[#This Row],[TOTAL]]*_1_5412845612146241046457891017456[[#This Row],[MARGIN]]</f>
        <v>0</v>
      </c>
      <c r="R409" s="41"/>
    </row>
    <row r="410" spans="1:18">
      <c r="D410" s="188"/>
      <c r="F410" s="168" t="s">
        <v>6202</v>
      </c>
      <c r="G410" s="193">
        <f>IF(_1_5412845612146241046457891017456[[#This Row],[Type]]&gt;0,VLOOKUP(_1_5412845612146241046457891017456[[#This Row],[Type]],Main[[#All],[TYPE]:[UNIT]],'Unit Price'!C$1,FALSE),0)</f>
        <v>0</v>
      </c>
      <c r="H410" s="197">
        <f>IF(_1_5412845612146241046457891017456[[#This Row],[Type]]&gt;0,VLOOKUP(_1_5412845612146241046457891017456[[#This Row],[Type]],Main[[#All],[TYPE]:[UNIT]],'Unit Price'!D$1,FALSE),0)</f>
        <v>0</v>
      </c>
      <c r="I410" s="194">
        <f>IF(_1_5412845612146241046457891017456[[#This Row],[Type]]&gt;0,VLOOKUP(_1_5412845612146241046457891017456[[#This Row],[Type]],Main[[#All],[TYPE]:[UNIT]],'Unit Price'!G$1,FALSE),0)</f>
        <v>0</v>
      </c>
      <c r="J410" s="194">
        <f>IF(_1_5412845612146241046457891017456[[#This Row],[Type]]&gt;0,VLOOKUP(_1_5412845612146241046457891017456[[#This Row],[Type]],Main[[#All],[TYPE]:[UNIT]],'Unit Price'!H$1,FALSE),0)</f>
        <v>0</v>
      </c>
      <c r="K410" s="194">
        <f>IF(_1_5412845612146241046457891017456[[#This Row],[Discount selection]]&gt;0,VLOOKUP(_1_5412845612146241046457891017456[[#This Row],[Discount selection]],'Discount Structure'!$A$2:$B$30,2,"false"),0)</f>
        <v>1</v>
      </c>
      <c r="L410" s="194">
        <f>_1_5412845612146241046457891017456[[#This Row],[LIST $]]*_1_5412845612146241046457891017456[[#This Row],[DISCOUNT]]*_1_5412845612146241046457891017456[[#This Row],[DISCOUNT 2]]</f>
        <v>0</v>
      </c>
      <c r="M410" s="194">
        <f>IF(OR(_1_5412845612146241046457891017456[[#This Row],[UNIT]]&gt;0,_1_5412845612146241046457891017456[[#This Row],[UNIT]]&lt;0),_1_5412845612146241046457891017456[[#This Row],[UNIT]]*_1_5412845612146241046457891017456[[#This Row],[COST]],0)</f>
        <v>0</v>
      </c>
      <c r="N410" s="194">
        <f t="shared" si="6"/>
        <v>1.3</v>
      </c>
      <c r="O410" s="198">
        <f>_1_5412845612146241046457891017456[[#This Row],[TOTAL]]*_1_5412845612146241046457891017456[[#This Row],[MARGIN]]</f>
        <v>0</v>
      </c>
      <c r="R410" s="41"/>
    </row>
    <row r="411" spans="1:18">
      <c r="D411" s="188"/>
      <c r="F411" s="168" t="s">
        <v>6202</v>
      </c>
      <c r="G411" s="193">
        <f>IF(_1_5412845612146241046457891017456[[#This Row],[Type]]&gt;0,VLOOKUP(_1_5412845612146241046457891017456[[#This Row],[Type]],Main[[#All],[TYPE]:[UNIT]],'Unit Price'!C$1,FALSE),0)</f>
        <v>0</v>
      </c>
      <c r="H411" s="197">
        <f>IF(_1_5412845612146241046457891017456[[#This Row],[Type]]&gt;0,VLOOKUP(_1_5412845612146241046457891017456[[#This Row],[Type]],Main[[#All],[TYPE]:[UNIT]],'Unit Price'!D$1,FALSE),0)</f>
        <v>0</v>
      </c>
      <c r="I411" s="194">
        <f>IF(_1_5412845612146241046457891017456[[#This Row],[Type]]&gt;0,VLOOKUP(_1_5412845612146241046457891017456[[#This Row],[Type]],Main[[#All],[TYPE]:[UNIT]],'Unit Price'!G$1,FALSE),0)</f>
        <v>0</v>
      </c>
      <c r="J411" s="194">
        <f>IF(_1_5412845612146241046457891017456[[#This Row],[Type]]&gt;0,VLOOKUP(_1_5412845612146241046457891017456[[#This Row],[Type]],Main[[#All],[TYPE]:[UNIT]],'Unit Price'!H$1,FALSE),0)</f>
        <v>0</v>
      </c>
      <c r="K411" s="194">
        <f>IF(_1_5412845612146241046457891017456[[#This Row],[Discount selection]]&gt;0,VLOOKUP(_1_5412845612146241046457891017456[[#This Row],[Discount selection]],'Discount Structure'!$A$2:$B$30,2,"false"),0)</f>
        <v>1</v>
      </c>
      <c r="L411" s="194">
        <f>_1_5412845612146241046457891017456[[#This Row],[LIST $]]*_1_5412845612146241046457891017456[[#This Row],[DISCOUNT]]*_1_5412845612146241046457891017456[[#This Row],[DISCOUNT 2]]</f>
        <v>0</v>
      </c>
      <c r="M411" s="194">
        <f>IF(OR(_1_5412845612146241046457891017456[[#This Row],[UNIT]]&gt;0,_1_5412845612146241046457891017456[[#This Row],[UNIT]]&lt;0),_1_5412845612146241046457891017456[[#This Row],[UNIT]]*_1_5412845612146241046457891017456[[#This Row],[COST]],0)</f>
        <v>0</v>
      </c>
      <c r="N411" s="194">
        <f t="shared" si="6"/>
        <v>1.3</v>
      </c>
      <c r="O411" s="198">
        <f>_1_5412845612146241046457891017456[[#This Row],[TOTAL]]*_1_5412845612146241046457891017456[[#This Row],[MARGIN]]</f>
        <v>0</v>
      </c>
      <c r="R411" s="41"/>
    </row>
    <row r="412" spans="1:18">
      <c r="D412" s="188"/>
      <c r="F412" s="168" t="s">
        <v>6202</v>
      </c>
      <c r="G412" s="192">
        <f>IF(_1_5412845612146241046457891017456[[#This Row],[Type]]&gt;0,VLOOKUP(_1_5412845612146241046457891017456[[#This Row],[Type]],Main[[#All],[TYPE]:[UNIT]],'Unit Price'!C$1,FALSE),0)</f>
        <v>0</v>
      </c>
      <c r="H412" s="197">
        <f>IF(_1_5412845612146241046457891017456[[#This Row],[Type]]&gt;0,VLOOKUP(_1_5412845612146241046457891017456[[#This Row],[Type]],Main[[#All],[TYPE]:[UNIT]],'Unit Price'!D$1,FALSE),0)</f>
        <v>0</v>
      </c>
      <c r="I412" s="194">
        <f>IF(_1_5412845612146241046457891017456[[#This Row],[Type]]&gt;0,VLOOKUP(_1_5412845612146241046457891017456[[#This Row],[Type]],Main[[#All],[TYPE]:[UNIT]],'Unit Price'!G$1,FALSE),0)</f>
        <v>0</v>
      </c>
      <c r="J412" s="194">
        <f>IF(_1_5412845612146241046457891017456[[#This Row],[Type]]&gt;0,VLOOKUP(_1_5412845612146241046457891017456[[#This Row],[Type]],Main[[#All],[TYPE]:[UNIT]],'Unit Price'!H$1,FALSE),0)</f>
        <v>0</v>
      </c>
      <c r="K412" s="194">
        <f>IF(_1_5412845612146241046457891017456[[#This Row],[Discount selection]]&gt;0,VLOOKUP(_1_5412845612146241046457891017456[[#This Row],[Discount selection]],'Discount Structure'!$A$2:$B$30,2,"false"),0)</f>
        <v>1</v>
      </c>
      <c r="L412" s="194">
        <f>_1_5412845612146241046457891017456[[#This Row],[LIST $]]*_1_5412845612146241046457891017456[[#This Row],[DISCOUNT]]*_1_5412845612146241046457891017456[[#This Row],[DISCOUNT 2]]</f>
        <v>0</v>
      </c>
      <c r="M412" s="194">
        <f>IF(OR(_1_5412845612146241046457891017456[[#This Row],[UNIT]]&gt;0,_1_5412845612146241046457891017456[[#This Row],[UNIT]]&lt;0),_1_5412845612146241046457891017456[[#This Row],[UNIT]]*_1_5412845612146241046457891017456[[#This Row],[COST]],0)</f>
        <v>0</v>
      </c>
      <c r="N412" s="194">
        <f t="shared" si="6"/>
        <v>1.3</v>
      </c>
      <c r="O412" s="198">
        <f>_1_5412845612146241046457891017456[[#This Row],[TOTAL]]*_1_5412845612146241046457891017456[[#This Row],[MARGIN]]</f>
        <v>0</v>
      </c>
      <c r="R412" s="41"/>
    </row>
    <row r="413" spans="1:18">
      <c r="D413" s="188"/>
      <c r="F413" s="168" t="s">
        <v>6202</v>
      </c>
      <c r="G413" s="193">
        <f>IF(_1_5412845612146241046457891017456[[#This Row],[Type]]&gt;0,VLOOKUP(_1_5412845612146241046457891017456[[#This Row],[Type]],Main[[#All],[TYPE]:[UNIT]],'Unit Price'!C$1,FALSE),0)</f>
        <v>0</v>
      </c>
      <c r="H413" s="197">
        <f>IF(_1_5412845612146241046457891017456[[#This Row],[Type]]&gt;0,VLOOKUP(_1_5412845612146241046457891017456[[#This Row],[Type]],Main[[#All],[TYPE]:[UNIT]],'Unit Price'!D$1,FALSE),0)</f>
        <v>0</v>
      </c>
      <c r="I413" s="194">
        <f>IF(_1_5412845612146241046457891017456[[#This Row],[Type]]&gt;0,VLOOKUP(_1_5412845612146241046457891017456[[#This Row],[Type]],Main[[#All],[TYPE]:[UNIT]],'Unit Price'!G$1,FALSE),0)</f>
        <v>0</v>
      </c>
      <c r="J413" s="194">
        <f>IF(_1_5412845612146241046457891017456[[#This Row],[Type]]&gt;0,VLOOKUP(_1_5412845612146241046457891017456[[#This Row],[Type]],Main[[#All],[TYPE]:[UNIT]],'Unit Price'!H$1,FALSE),0)</f>
        <v>0</v>
      </c>
      <c r="K413" s="194">
        <f>IF(_1_5412845612146241046457891017456[[#This Row],[Discount selection]]&gt;0,VLOOKUP(_1_5412845612146241046457891017456[[#This Row],[Discount selection]],'Discount Structure'!$A$2:$B$30,2,"false"),0)</f>
        <v>1</v>
      </c>
      <c r="L413" s="194">
        <f>_1_5412845612146241046457891017456[[#This Row],[LIST $]]*_1_5412845612146241046457891017456[[#This Row],[DISCOUNT]]*_1_5412845612146241046457891017456[[#This Row],[DISCOUNT 2]]</f>
        <v>0</v>
      </c>
      <c r="M413" s="194">
        <f>IF(OR(_1_5412845612146241046457891017456[[#This Row],[UNIT]]&gt;0,_1_5412845612146241046457891017456[[#This Row],[UNIT]]&lt;0),_1_5412845612146241046457891017456[[#This Row],[UNIT]]*_1_5412845612146241046457891017456[[#This Row],[COST]],0)</f>
        <v>0</v>
      </c>
      <c r="N413" s="194">
        <f t="shared" si="6"/>
        <v>1.3</v>
      </c>
      <c r="O413" s="198">
        <f>_1_5412845612146241046457891017456[[#This Row],[TOTAL]]*_1_5412845612146241046457891017456[[#This Row],[MARGIN]]</f>
        <v>0</v>
      </c>
      <c r="R413" s="41"/>
    </row>
    <row r="414" spans="1:18">
      <c r="D414" s="188"/>
      <c r="F414" s="168" t="s">
        <v>6202</v>
      </c>
      <c r="G414" s="193">
        <f>IF(_1_5412845612146241046457891017456[[#This Row],[Type]]&gt;0,VLOOKUP(_1_5412845612146241046457891017456[[#This Row],[Type]],Main[[#All],[TYPE]:[UNIT]],'Unit Price'!C$1,FALSE),0)</f>
        <v>0</v>
      </c>
      <c r="H414" s="197">
        <f>IF(_1_5412845612146241046457891017456[[#This Row],[Type]]&gt;0,VLOOKUP(_1_5412845612146241046457891017456[[#This Row],[Type]],Main[[#All],[TYPE]:[UNIT]],'Unit Price'!D$1,FALSE),0)</f>
        <v>0</v>
      </c>
      <c r="I414" s="194">
        <f>IF(_1_5412845612146241046457891017456[[#This Row],[Type]]&gt;0,VLOOKUP(_1_5412845612146241046457891017456[[#This Row],[Type]],Main[[#All],[TYPE]:[UNIT]],'Unit Price'!G$1,FALSE),0)</f>
        <v>0</v>
      </c>
      <c r="J414" s="194">
        <f>IF(_1_5412845612146241046457891017456[[#This Row],[Type]]&gt;0,VLOOKUP(_1_5412845612146241046457891017456[[#This Row],[Type]],Main[[#All],[TYPE]:[UNIT]],'Unit Price'!H$1,FALSE),0)</f>
        <v>0</v>
      </c>
      <c r="K414" s="194">
        <f>IF(_1_5412845612146241046457891017456[[#This Row],[Discount selection]]&gt;0,VLOOKUP(_1_5412845612146241046457891017456[[#This Row],[Discount selection]],'Discount Structure'!$A$2:$B$30,2,"false"),0)</f>
        <v>1</v>
      </c>
      <c r="L414" s="194">
        <f>_1_5412845612146241046457891017456[[#This Row],[LIST $]]*_1_5412845612146241046457891017456[[#This Row],[DISCOUNT]]*_1_5412845612146241046457891017456[[#This Row],[DISCOUNT 2]]</f>
        <v>0</v>
      </c>
      <c r="M414" s="194">
        <f>IF(OR(_1_5412845612146241046457891017456[[#This Row],[UNIT]]&gt;0,_1_5412845612146241046457891017456[[#This Row],[UNIT]]&lt;0),_1_5412845612146241046457891017456[[#This Row],[UNIT]]*_1_5412845612146241046457891017456[[#This Row],[COST]],0)</f>
        <v>0</v>
      </c>
      <c r="N414" s="194">
        <f t="shared" si="6"/>
        <v>1.3</v>
      </c>
      <c r="O414" s="198">
        <f>_1_5412845612146241046457891017456[[#This Row],[TOTAL]]*_1_5412845612146241046457891017456[[#This Row],[MARGIN]]</f>
        <v>0</v>
      </c>
      <c r="R414" s="41"/>
    </row>
    <row r="415" spans="1:18">
      <c r="D415" s="188"/>
      <c r="F415" s="168" t="s">
        <v>6202</v>
      </c>
      <c r="G415" s="193">
        <f>IF(_1_5412845612146241046457891017456[[#This Row],[Type]]&gt;0,VLOOKUP(_1_5412845612146241046457891017456[[#This Row],[Type]],Main[[#All],[TYPE]:[UNIT]],'Unit Price'!C$1,FALSE),0)</f>
        <v>0</v>
      </c>
      <c r="H415" s="197">
        <f>IF(_1_5412845612146241046457891017456[[#This Row],[Type]]&gt;0,VLOOKUP(_1_5412845612146241046457891017456[[#This Row],[Type]],Main[[#All],[TYPE]:[UNIT]],'Unit Price'!D$1,FALSE),0)</f>
        <v>0</v>
      </c>
      <c r="I415" s="194">
        <f>IF(_1_5412845612146241046457891017456[[#This Row],[Type]]&gt;0,VLOOKUP(_1_5412845612146241046457891017456[[#This Row],[Type]],Main[[#All],[TYPE]:[UNIT]],'Unit Price'!G$1,FALSE),0)</f>
        <v>0</v>
      </c>
      <c r="J415" s="194">
        <f>IF(_1_5412845612146241046457891017456[[#This Row],[Type]]&gt;0,VLOOKUP(_1_5412845612146241046457891017456[[#This Row],[Type]],Main[[#All],[TYPE]:[UNIT]],'Unit Price'!H$1,FALSE),0)</f>
        <v>0</v>
      </c>
      <c r="K415" s="194">
        <f>IF(_1_5412845612146241046457891017456[[#This Row],[Discount selection]]&gt;0,VLOOKUP(_1_5412845612146241046457891017456[[#This Row],[Discount selection]],'Discount Structure'!$A$2:$B$30,2,"false"),0)</f>
        <v>1</v>
      </c>
      <c r="L415" s="194">
        <f>_1_5412845612146241046457891017456[[#This Row],[LIST $]]*_1_5412845612146241046457891017456[[#This Row],[DISCOUNT]]*_1_5412845612146241046457891017456[[#This Row],[DISCOUNT 2]]</f>
        <v>0</v>
      </c>
      <c r="M415" s="194">
        <f>IF(OR(_1_5412845612146241046457891017456[[#This Row],[UNIT]]&gt;0,_1_5412845612146241046457891017456[[#This Row],[UNIT]]&lt;0),_1_5412845612146241046457891017456[[#This Row],[UNIT]]*_1_5412845612146241046457891017456[[#This Row],[COST]],0)</f>
        <v>0</v>
      </c>
      <c r="N415" s="194">
        <f t="shared" si="6"/>
        <v>1.3</v>
      </c>
      <c r="O415" s="198">
        <f>_1_5412845612146241046457891017456[[#This Row],[TOTAL]]*_1_5412845612146241046457891017456[[#This Row],[MARGIN]]</f>
        <v>0</v>
      </c>
      <c r="R415" s="41"/>
    </row>
    <row r="416" spans="1:18">
      <c r="D416" s="188"/>
      <c r="F416" s="168" t="s">
        <v>6202</v>
      </c>
      <c r="G416" s="193">
        <f>IF(_1_5412845612146241046457891017456[[#This Row],[Type]]&gt;0,VLOOKUP(_1_5412845612146241046457891017456[[#This Row],[Type]],Main[[#All],[TYPE]:[UNIT]],'Unit Price'!C$1,FALSE),0)</f>
        <v>0</v>
      </c>
      <c r="H416" s="197">
        <f>IF(_1_5412845612146241046457891017456[[#This Row],[Type]]&gt;0,VLOOKUP(_1_5412845612146241046457891017456[[#This Row],[Type]],Main[[#All],[TYPE]:[UNIT]],'Unit Price'!D$1,FALSE),0)</f>
        <v>0</v>
      </c>
      <c r="I416" s="194">
        <f>IF(_1_5412845612146241046457891017456[[#This Row],[Type]]&gt;0,VLOOKUP(_1_5412845612146241046457891017456[[#This Row],[Type]],Main[[#All],[TYPE]:[UNIT]],'Unit Price'!G$1,FALSE),0)</f>
        <v>0</v>
      </c>
      <c r="J416" s="194">
        <f>IF(_1_5412845612146241046457891017456[[#This Row],[Type]]&gt;0,VLOOKUP(_1_5412845612146241046457891017456[[#This Row],[Type]],Main[[#All],[TYPE]:[UNIT]],'Unit Price'!H$1,FALSE),0)</f>
        <v>0</v>
      </c>
      <c r="K416" s="194">
        <f>IF(_1_5412845612146241046457891017456[[#This Row],[Discount selection]]&gt;0,VLOOKUP(_1_5412845612146241046457891017456[[#This Row],[Discount selection]],'Discount Structure'!$A$2:$B$30,2,"false"),0)</f>
        <v>1</v>
      </c>
      <c r="L416" s="194">
        <f>_1_5412845612146241046457891017456[[#This Row],[LIST $]]*_1_5412845612146241046457891017456[[#This Row],[DISCOUNT]]*_1_5412845612146241046457891017456[[#This Row],[DISCOUNT 2]]</f>
        <v>0</v>
      </c>
      <c r="M416" s="194">
        <f>IF(OR(_1_5412845612146241046457891017456[[#This Row],[UNIT]]&gt;0,_1_5412845612146241046457891017456[[#This Row],[UNIT]]&lt;0),_1_5412845612146241046457891017456[[#This Row],[UNIT]]*_1_5412845612146241046457891017456[[#This Row],[COST]],0)</f>
        <v>0</v>
      </c>
      <c r="N416" s="194">
        <f t="shared" si="6"/>
        <v>1.3</v>
      </c>
      <c r="O416" s="198">
        <f>_1_5412845612146241046457891017456[[#This Row],[TOTAL]]*_1_5412845612146241046457891017456[[#This Row],[MARGIN]]</f>
        <v>0</v>
      </c>
      <c r="R416" s="41"/>
    </row>
    <row r="417" spans="1:18">
      <c r="D417" s="188"/>
      <c r="F417" s="168" t="s">
        <v>6202</v>
      </c>
      <c r="G417" s="192">
        <f>IF(_1_5412845612146241046457891017456[[#This Row],[Type]]&gt;0,VLOOKUP(_1_5412845612146241046457891017456[[#This Row],[Type]],Main[[#All],[TYPE]:[UNIT]],'Unit Price'!C$1,FALSE),0)</f>
        <v>0</v>
      </c>
      <c r="H417" s="197">
        <f>IF(_1_5412845612146241046457891017456[[#This Row],[Type]]&gt;0,VLOOKUP(_1_5412845612146241046457891017456[[#This Row],[Type]],Main[[#All],[TYPE]:[UNIT]],'Unit Price'!D$1,FALSE),0)</f>
        <v>0</v>
      </c>
      <c r="I417" s="194">
        <f>IF(_1_5412845612146241046457891017456[[#This Row],[Type]]&gt;0,VLOOKUP(_1_5412845612146241046457891017456[[#This Row],[Type]],Main[[#All],[TYPE]:[UNIT]],'Unit Price'!G$1,FALSE),0)</f>
        <v>0</v>
      </c>
      <c r="J417" s="194">
        <f>IF(_1_5412845612146241046457891017456[[#This Row],[Type]]&gt;0,VLOOKUP(_1_5412845612146241046457891017456[[#This Row],[Type]],Main[[#All],[TYPE]:[UNIT]],'Unit Price'!H$1,FALSE),0)</f>
        <v>0</v>
      </c>
      <c r="K417" s="194">
        <f>IF(_1_5412845612146241046457891017456[[#This Row],[Discount selection]]&gt;0,VLOOKUP(_1_5412845612146241046457891017456[[#This Row],[Discount selection]],'Discount Structure'!$A$2:$B$30,2,"false"),0)</f>
        <v>1</v>
      </c>
      <c r="L417" s="194">
        <f>_1_5412845612146241046457891017456[[#This Row],[LIST $]]*_1_5412845612146241046457891017456[[#This Row],[DISCOUNT]]*_1_5412845612146241046457891017456[[#This Row],[DISCOUNT 2]]</f>
        <v>0</v>
      </c>
      <c r="M417" s="194">
        <f>IF(OR(_1_5412845612146241046457891017456[[#This Row],[UNIT]]&gt;0,_1_5412845612146241046457891017456[[#This Row],[UNIT]]&lt;0),_1_5412845612146241046457891017456[[#This Row],[UNIT]]*_1_5412845612146241046457891017456[[#This Row],[COST]],0)</f>
        <v>0</v>
      </c>
      <c r="N417" s="194">
        <f t="shared" si="6"/>
        <v>1.3</v>
      </c>
      <c r="O417" s="198">
        <f>_1_5412845612146241046457891017456[[#This Row],[TOTAL]]*_1_5412845612146241046457891017456[[#This Row],[MARGIN]]</f>
        <v>0</v>
      </c>
      <c r="R417" s="41"/>
    </row>
    <row r="418" spans="1:18">
      <c r="D418" s="188"/>
      <c r="F418" s="168" t="s">
        <v>6202</v>
      </c>
      <c r="G418" s="193">
        <f>IF(_1_5412845612146241046457891017456[[#This Row],[Type]]&gt;0,VLOOKUP(_1_5412845612146241046457891017456[[#This Row],[Type]],Main[[#All],[TYPE]:[UNIT]],'Unit Price'!C$1,FALSE),0)</f>
        <v>0</v>
      </c>
      <c r="H418" s="197">
        <f>IF(_1_5412845612146241046457891017456[[#This Row],[Type]]&gt;0,VLOOKUP(_1_5412845612146241046457891017456[[#This Row],[Type]],Main[[#All],[TYPE]:[UNIT]],'Unit Price'!D$1,FALSE),0)</f>
        <v>0</v>
      </c>
      <c r="I418" s="194">
        <f>IF(_1_5412845612146241046457891017456[[#This Row],[Type]]&gt;0,VLOOKUP(_1_5412845612146241046457891017456[[#This Row],[Type]],Main[[#All],[TYPE]:[UNIT]],'Unit Price'!G$1,FALSE),0)</f>
        <v>0</v>
      </c>
      <c r="J418" s="194">
        <f>IF(_1_5412845612146241046457891017456[[#This Row],[Type]]&gt;0,VLOOKUP(_1_5412845612146241046457891017456[[#This Row],[Type]],Main[[#All],[TYPE]:[UNIT]],'Unit Price'!H$1,FALSE),0)</f>
        <v>0</v>
      </c>
      <c r="K418" s="194">
        <f>IF(_1_5412845612146241046457891017456[[#This Row],[Discount selection]]&gt;0,VLOOKUP(_1_5412845612146241046457891017456[[#This Row],[Discount selection]],'Discount Structure'!$A$2:$B$30,2,"false"),0)</f>
        <v>1</v>
      </c>
      <c r="L418" s="194">
        <f>_1_5412845612146241046457891017456[[#This Row],[LIST $]]*_1_5412845612146241046457891017456[[#This Row],[DISCOUNT]]*_1_5412845612146241046457891017456[[#This Row],[DISCOUNT 2]]</f>
        <v>0</v>
      </c>
      <c r="M418" s="194">
        <f>IF(OR(_1_5412845612146241046457891017456[[#This Row],[UNIT]]&gt;0,_1_5412845612146241046457891017456[[#This Row],[UNIT]]&lt;0),_1_5412845612146241046457891017456[[#This Row],[UNIT]]*_1_5412845612146241046457891017456[[#This Row],[COST]],0)</f>
        <v>0</v>
      </c>
      <c r="N418" s="194">
        <f t="shared" si="6"/>
        <v>1.3</v>
      </c>
      <c r="O418" s="198">
        <f>_1_5412845612146241046457891017456[[#This Row],[TOTAL]]*_1_5412845612146241046457891017456[[#This Row],[MARGIN]]</f>
        <v>0</v>
      </c>
      <c r="R418" s="41"/>
    </row>
    <row r="419" spans="1:18">
      <c r="D419" s="188"/>
      <c r="F419" s="168" t="s">
        <v>6202</v>
      </c>
      <c r="G419" s="193">
        <f>IF(_1_5412845612146241046457891017456[[#This Row],[Type]]&gt;0,VLOOKUP(_1_5412845612146241046457891017456[[#This Row],[Type]],Main[[#All],[TYPE]:[UNIT]],'Unit Price'!C$1,FALSE),0)</f>
        <v>0</v>
      </c>
      <c r="H419" s="197">
        <f>IF(_1_5412845612146241046457891017456[[#This Row],[Type]]&gt;0,VLOOKUP(_1_5412845612146241046457891017456[[#This Row],[Type]],Main[[#All],[TYPE]:[UNIT]],'Unit Price'!D$1,FALSE),0)</f>
        <v>0</v>
      </c>
      <c r="I419" s="194">
        <f>IF(_1_5412845612146241046457891017456[[#This Row],[Type]]&gt;0,VLOOKUP(_1_5412845612146241046457891017456[[#This Row],[Type]],Main[[#All],[TYPE]:[UNIT]],'Unit Price'!G$1,FALSE),0)</f>
        <v>0</v>
      </c>
      <c r="J419" s="194">
        <f>IF(_1_5412845612146241046457891017456[[#This Row],[Type]]&gt;0,VLOOKUP(_1_5412845612146241046457891017456[[#This Row],[Type]],Main[[#All],[TYPE]:[UNIT]],'Unit Price'!H$1,FALSE),0)</f>
        <v>0</v>
      </c>
      <c r="K419" s="194">
        <f>IF(_1_5412845612146241046457891017456[[#This Row],[Discount selection]]&gt;0,VLOOKUP(_1_5412845612146241046457891017456[[#This Row],[Discount selection]],'Discount Structure'!$A$2:$B$30,2,"false"),0)</f>
        <v>1</v>
      </c>
      <c r="L419" s="194">
        <f>_1_5412845612146241046457891017456[[#This Row],[LIST $]]*_1_5412845612146241046457891017456[[#This Row],[DISCOUNT]]*_1_5412845612146241046457891017456[[#This Row],[DISCOUNT 2]]</f>
        <v>0</v>
      </c>
      <c r="M419" s="194">
        <f>IF(OR(_1_5412845612146241046457891017456[[#This Row],[UNIT]]&gt;0,_1_5412845612146241046457891017456[[#This Row],[UNIT]]&lt;0),_1_5412845612146241046457891017456[[#This Row],[UNIT]]*_1_5412845612146241046457891017456[[#This Row],[COST]],0)</f>
        <v>0</v>
      </c>
      <c r="N419" s="194">
        <f t="shared" si="6"/>
        <v>1.3</v>
      </c>
      <c r="O419" s="198">
        <f>_1_5412845612146241046457891017456[[#This Row],[TOTAL]]*_1_5412845612146241046457891017456[[#This Row],[MARGIN]]</f>
        <v>0</v>
      </c>
      <c r="R419" s="41"/>
    </row>
    <row r="420" spans="1:18">
      <c r="D420" s="188"/>
      <c r="F420" s="168" t="s">
        <v>6202</v>
      </c>
      <c r="G420" s="193">
        <f>IF(_1_5412845612146241046457891017456[[#This Row],[Type]]&gt;0,VLOOKUP(_1_5412845612146241046457891017456[[#This Row],[Type]],Main[[#All],[TYPE]:[UNIT]],'Unit Price'!C$1,FALSE),0)</f>
        <v>0</v>
      </c>
      <c r="H420" s="197">
        <f>IF(_1_5412845612146241046457891017456[[#This Row],[Type]]&gt;0,VLOOKUP(_1_5412845612146241046457891017456[[#This Row],[Type]],Main[[#All],[TYPE]:[UNIT]],'Unit Price'!D$1,FALSE),0)</f>
        <v>0</v>
      </c>
      <c r="I420" s="194">
        <f>IF(_1_5412845612146241046457891017456[[#This Row],[Type]]&gt;0,VLOOKUP(_1_5412845612146241046457891017456[[#This Row],[Type]],Main[[#All],[TYPE]:[UNIT]],'Unit Price'!G$1,FALSE),0)</f>
        <v>0</v>
      </c>
      <c r="J420" s="194">
        <f>IF(_1_5412845612146241046457891017456[[#This Row],[Type]]&gt;0,VLOOKUP(_1_5412845612146241046457891017456[[#This Row],[Type]],Main[[#All],[TYPE]:[UNIT]],'Unit Price'!H$1,FALSE),0)</f>
        <v>0</v>
      </c>
      <c r="K420" s="194">
        <f>IF(_1_5412845612146241046457891017456[[#This Row],[Discount selection]]&gt;0,VLOOKUP(_1_5412845612146241046457891017456[[#This Row],[Discount selection]],'Discount Structure'!$A$2:$B$30,2,"false"),0)</f>
        <v>1</v>
      </c>
      <c r="L420" s="194">
        <f>_1_5412845612146241046457891017456[[#This Row],[LIST $]]*_1_5412845612146241046457891017456[[#This Row],[DISCOUNT]]*_1_5412845612146241046457891017456[[#This Row],[DISCOUNT 2]]</f>
        <v>0</v>
      </c>
      <c r="M420" s="194">
        <f>IF(OR(_1_5412845612146241046457891017456[[#This Row],[UNIT]]&gt;0,_1_5412845612146241046457891017456[[#This Row],[UNIT]]&lt;0),_1_5412845612146241046457891017456[[#This Row],[UNIT]]*_1_5412845612146241046457891017456[[#This Row],[COST]],0)</f>
        <v>0</v>
      </c>
      <c r="N420" s="194">
        <f t="shared" si="6"/>
        <v>1.3</v>
      </c>
      <c r="O420" s="198">
        <f>_1_5412845612146241046457891017456[[#This Row],[TOTAL]]*_1_5412845612146241046457891017456[[#This Row],[MARGIN]]</f>
        <v>0</v>
      </c>
      <c r="R420" s="41"/>
    </row>
    <row r="421" spans="1:18">
      <c r="D421" s="188"/>
      <c r="F421" s="168" t="s">
        <v>6202</v>
      </c>
      <c r="G421" s="193">
        <f>IF(_1_5412845612146241046457891017456[[#This Row],[Type]]&gt;0,VLOOKUP(_1_5412845612146241046457891017456[[#This Row],[Type]],Main[[#All],[TYPE]:[UNIT]],'Unit Price'!C$1,FALSE),0)</f>
        <v>0</v>
      </c>
      <c r="H421" s="197">
        <f>IF(_1_5412845612146241046457891017456[[#This Row],[Type]]&gt;0,VLOOKUP(_1_5412845612146241046457891017456[[#This Row],[Type]],Main[[#All],[TYPE]:[UNIT]],'Unit Price'!D$1,FALSE),0)</f>
        <v>0</v>
      </c>
      <c r="I421" s="194">
        <f>IF(_1_5412845612146241046457891017456[[#This Row],[Type]]&gt;0,VLOOKUP(_1_5412845612146241046457891017456[[#This Row],[Type]],Main[[#All],[TYPE]:[UNIT]],'Unit Price'!G$1,FALSE),0)</f>
        <v>0</v>
      </c>
      <c r="J421" s="194">
        <f>IF(_1_5412845612146241046457891017456[[#This Row],[Type]]&gt;0,VLOOKUP(_1_5412845612146241046457891017456[[#This Row],[Type]],Main[[#All],[TYPE]:[UNIT]],'Unit Price'!H$1,FALSE),0)</f>
        <v>0</v>
      </c>
      <c r="K421" s="194">
        <f>IF(_1_5412845612146241046457891017456[[#This Row],[Discount selection]]&gt;0,VLOOKUP(_1_5412845612146241046457891017456[[#This Row],[Discount selection]],'Discount Structure'!$A$2:$B$30,2,"false"),0)</f>
        <v>1</v>
      </c>
      <c r="L421" s="194">
        <f>_1_5412845612146241046457891017456[[#This Row],[LIST $]]*_1_5412845612146241046457891017456[[#This Row],[DISCOUNT]]*_1_5412845612146241046457891017456[[#This Row],[DISCOUNT 2]]</f>
        <v>0</v>
      </c>
      <c r="M421" s="194">
        <f>IF(OR(_1_5412845612146241046457891017456[[#This Row],[UNIT]]&gt;0,_1_5412845612146241046457891017456[[#This Row],[UNIT]]&lt;0),_1_5412845612146241046457891017456[[#This Row],[UNIT]]*_1_5412845612146241046457891017456[[#This Row],[COST]],0)</f>
        <v>0</v>
      </c>
      <c r="N421" s="194">
        <f t="shared" si="6"/>
        <v>1.3</v>
      </c>
      <c r="O421" s="198">
        <f>_1_5412845612146241046457891017456[[#This Row],[TOTAL]]*_1_5412845612146241046457891017456[[#This Row],[MARGIN]]</f>
        <v>0</v>
      </c>
      <c r="R421" s="41"/>
    </row>
    <row r="422" spans="1:18">
      <c r="D422" s="188"/>
      <c r="F422" s="168" t="s">
        <v>6202</v>
      </c>
      <c r="G422" s="192">
        <f>IF(_1_5412845612146241046457891017456[[#This Row],[Type]]&gt;0,VLOOKUP(_1_5412845612146241046457891017456[[#This Row],[Type]],Main[[#All],[TYPE]:[UNIT]],'Unit Price'!C$1,FALSE),0)</f>
        <v>0</v>
      </c>
      <c r="H422" s="197">
        <f>IF(_1_5412845612146241046457891017456[[#This Row],[Type]]&gt;0,VLOOKUP(_1_5412845612146241046457891017456[[#This Row],[Type]],Main[[#All],[TYPE]:[UNIT]],'Unit Price'!D$1,FALSE),0)</f>
        <v>0</v>
      </c>
      <c r="I422" s="194">
        <f>IF(_1_5412845612146241046457891017456[[#This Row],[Type]]&gt;0,VLOOKUP(_1_5412845612146241046457891017456[[#This Row],[Type]],Main[[#All],[TYPE]:[UNIT]],'Unit Price'!G$1,FALSE),0)</f>
        <v>0</v>
      </c>
      <c r="J422" s="194">
        <f>IF(_1_5412845612146241046457891017456[[#This Row],[Type]]&gt;0,VLOOKUP(_1_5412845612146241046457891017456[[#This Row],[Type]],Main[[#All],[TYPE]:[UNIT]],'Unit Price'!H$1,FALSE),0)</f>
        <v>0</v>
      </c>
      <c r="K422" s="194">
        <f>IF(_1_5412845612146241046457891017456[[#This Row],[Discount selection]]&gt;0,VLOOKUP(_1_5412845612146241046457891017456[[#This Row],[Discount selection]],'Discount Structure'!$A$2:$B$30,2,"false"),0)</f>
        <v>1</v>
      </c>
      <c r="L422" s="194">
        <f>_1_5412845612146241046457891017456[[#This Row],[LIST $]]*_1_5412845612146241046457891017456[[#This Row],[DISCOUNT]]*_1_5412845612146241046457891017456[[#This Row],[DISCOUNT 2]]</f>
        <v>0</v>
      </c>
      <c r="M422" s="194">
        <f>IF(OR(_1_5412845612146241046457891017456[[#This Row],[UNIT]]&gt;0,_1_5412845612146241046457891017456[[#This Row],[UNIT]]&lt;0),_1_5412845612146241046457891017456[[#This Row],[UNIT]]*_1_5412845612146241046457891017456[[#This Row],[COST]],0)</f>
        <v>0</v>
      </c>
      <c r="N422" s="194">
        <f t="shared" si="6"/>
        <v>1.3</v>
      </c>
      <c r="O422" s="198">
        <f>_1_5412845612146241046457891017456[[#This Row],[TOTAL]]*_1_5412845612146241046457891017456[[#This Row],[MARGIN]]</f>
        <v>0</v>
      </c>
      <c r="R422" s="41"/>
    </row>
    <row r="423" spans="1:18">
      <c r="D423" s="188"/>
      <c r="F423" s="168" t="s">
        <v>6202</v>
      </c>
      <c r="G423" s="193">
        <f>IF(_1_5412845612146241046457891017456[[#This Row],[Type]]&gt;0,VLOOKUP(_1_5412845612146241046457891017456[[#This Row],[Type]],Main[[#All],[TYPE]:[UNIT]],'Unit Price'!C$1,FALSE),0)</f>
        <v>0</v>
      </c>
      <c r="H423" s="197">
        <f>IF(_1_5412845612146241046457891017456[[#This Row],[Type]]&gt;0,VLOOKUP(_1_5412845612146241046457891017456[[#This Row],[Type]],Main[[#All],[TYPE]:[UNIT]],'Unit Price'!D$1,FALSE),0)</f>
        <v>0</v>
      </c>
      <c r="I423" s="194">
        <f>IF(_1_5412845612146241046457891017456[[#This Row],[Type]]&gt;0,VLOOKUP(_1_5412845612146241046457891017456[[#This Row],[Type]],Main[[#All],[TYPE]:[UNIT]],'Unit Price'!G$1,FALSE),0)</f>
        <v>0</v>
      </c>
      <c r="J423" s="194">
        <f>IF(_1_5412845612146241046457891017456[[#This Row],[Type]]&gt;0,VLOOKUP(_1_5412845612146241046457891017456[[#This Row],[Type]],Main[[#All],[TYPE]:[UNIT]],'Unit Price'!H$1,FALSE),0)</f>
        <v>0</v>
      </c>
      <c r="K423" s="194">
        <f>IF(_1_5412845612146241046457891017456[[#This Row],[Discount selection]]&gt;0,VLOOKUP(_1_5412845612146241046457891017456[[#This Row],[Discount selection]],'Discount Structure'!$A$2:$B$30,2,"false"),0)</f>
        <v>1</v>
      </c>
      <c r="L423" s="194">
        <f>_1_5412845612146241046457891017456[[#This Row],[LIST $]]*_1_5412845612146241046457891017456[[#This Row],[DISCOUNT]]*_1_5412845612146241046457891017456[[#This Row],[DISCOUNT 2]]</f>
        <v>0</v>
      </c>
      <c r="M423" s="194">
        <f>IF(OR(_1_5412845612146241046457891017456[[#This Row],[UNIT]]&gt;0,_1_5412845612146241046457891017456[[#This Row],[UNIT]]&lt;0),_1_5412845612146241046457891017456[[#This Row],[UNIT]]*_1_5412845612146241046457891017456[[#This Row],[COST]],0)</f>
        <v>0</v>
      </c>
      <c r="N423" s="194">
        <f t="shared" si="6"/>
        <v>1.3</v>
      </c>
      <c r="O423" s="198">
        <f>_1_5412845612146241046457891017456[[#This Row],[TOTAL]]*_1_5412845612146241046457891017456[[#This Row],[MARGIN]]</f>
        <v>0</v>
      </c>
      <c r="R423" s="41"/>
    </row>
    <row r="424" spans="1:18">
      <c r="A424" s="168"/>
      <c r="D424" s="188"/>
      <c r="F424" s="168" t="s">
        <v>6202</v>
      </c>
      <c r="G424" s="193">
        <f>IF(_1_5412845612146241046457891017456[[#This Row],[Type]]&gt;0,VLOOKUP(_1_5412845612146241046457891017456[[#This Row],[Type]],Main[[#All],[TYPE]:[UNIT]],'Unit Price'!C$1,FALSE),0)</f>
        <v>0</v>
      </c>
      <c r="H424" s="197">
        <f>IF(_1_5412845612146241046457891017456[[#This Row],[Type]]&gt;0,VLOOKUP(_1_5412845612146241046457891017456[[#This Row],[Type]],Main[[#All],[TYPE]:[UNIT]],'Unit Price'!D$1,FALSE),0)</f>
        <v>0</v>
      </c>
      <c r="I424" s="194">
        <f>IF(_1_5412845612146241046457891017456[[#This Row],[Type]]&gt;0,VLOOKUP(_1_5412845612146241046457891017456[[#This Row],[Type]],Main[[#All],[TYPE]:[UNIT]],'Unit Price'!G$1,FALSE),0)</f>
        <v>0</v>
      </c>
      <c r="J424" s="194">
        <f>IF(_1_5412845612146241046457891017456[[#This Row],[Type]]&gt;0,VLOOKUP(_1_5412845612146241046457891017456[[#This Row],[Type]],Main[[#All],[TYPE]:[UNIT]],'Unit Price'!H$1,FALSE),0)</f>
        <v>0</v>
      </c>
      <c r="K424" s="194">
        <f>IF(_1_5412845612146241046457891017456[[#This Row],[Discount selection]]&gt;0,VLOOKUP(_1_5412845612146241046457891017456[[#This Row],[Discount selection]],'Discount Structure'!$A$2:$B$30,2,"false"),0)</f>
        <v>1</v>
      </c>
      <c r="L424" s="194">
        <f>_1_5412845612146241046457891017456[[#This Row],[LIST $]]*_1_5412845612146241046457891017456[[#This Row],[DISCOUNT]]*_1_5412845612146241046457891017456[[#This Row],[DISCOUNT 2]]</f>
        <v>0</v>
      </c>
      <c r="M424" s="194">
        <f>IF(OR(_1_5412845612146241046457891017456[[#This Row],[UNIT]]&gt;0,_1_5412845612146241046457891017456[[#This Row],[UNIT]]&lt;0),_1_5412845612146241046457891017456[[#This Row],[UNIT]]*_1_5412845612146241046457891017456[[#This Row],[COST]],0)</f>
        <v>0</v>
      </c>
      <c r="N424" s="194">
        <f t="shared" si="6"/>
        <v>1.3</v>
      </c>
      <c r="O424" s="198">
        <f>_1_5412845612146241046457891017456[[#This Row],[TOTAL]]*_1_5412845612146241046457891017456[[#This Row],[MARGIN]]</f>
        <v>0</v>
      </c>
      <c r="R424" s="41"/>
    </row>
    <row r="425" spans="1:18">
      <c r="D425" s="188"/>
      <c r="F425" s="168" t="s">
        <v>6202</v>
      </c>
      <c r="G425" s="193">
        <f>IF(_1_5412845612146241046457891017456[[#This Row],[Type]]&gt;0,VLOOKUP(_1_5412845612146241046457891017456[[#This Row],[Type]],Main[[#All],[TYPE]:[UNIT]],'Unit Price'!C$1,FALSE),0)</f>
        <v>0</v>
      </c>
      <c r="H425" s="197">
        <f>IF(_1_5412845612146241046457891017456[[#This Row],[Type]]&gt;0,VLOOKUP(_1_5412845612146241046457891017456[[#This Row],[Type]],Main[[#All],[TYPE]:[UNIT]],'Unit Price'!D$1,FALSE),0)</f>
        <v>0</v>
      </c>
      <c r="I425" s="194">
        <f>IF(_1_5412845612146241046457891017456[[#This Row],[Type]]&gt;0,VLOOKUP(_1_5412845612146241046457891017456[[#This Row],[Type]],Main[[#All],[TYPE]:[UNIT]],'Unit Price'!G$1,FALSE),0)</f>
        <v>0</v>
      </c>
      <c r="J425" s="194">
        <f>IF(_1_5412845612146241046457891017456[[#This Row],[Type]]&gt;0,VLOOKUP(_1_5412845612146241046457891017456[[#This Row],[Type]],Main[[#All],[TYPE]:[UNIT]],'Unit Price'!H$1,FALSE),0)</f>
        <v>0</v>
      </c>
      <c r="K425" s="194">
        <f>IF(_1_5412845612146241046457891017456[[#This Row],[Discount selection]]&gt;0,VLOOKUP(_1_5412845612146241046457891017456[[#This Row],[Discount selection]],'Discount Structure'!$A$2:$B$30,2,"false"),0)</f>
        <v>1</v>
      </c>
      <c r="L425" s="194">
        <f>_1_5412845612146241046457891017456[[#This Row],[LIST $]]*_1_5412845612146241046457891017456[[#This Row],[DISCOUNT]]*_1_5412845612146241046457891017456[[#This Row],[DISCOUNT 2]]</f>
        <v>0</v>
      </c>
      <c r="M425" s="194">
        <f>IF(OR(_1_5412845612146241046457891017456[[#This Row],[UNIT]]&gt;0,_1_5412845612146241046457891017456[[#This Row],[UNIT]]&lt;0),_1_5412845612146241046457891017456[[#This Row],[UNIT]]*_1_5412845612146241046457891017456[[#This Row],[COST]],0)</f>
        <v>0</v>
      </c>
      <c r="N425" s="194">
        <f t="shared" si="6"/>
        <v>1.3</v>
      </c>
      <c r="O425" s="198">
        <f>_1_5412845612146241046457891017456[[#This Row],[TOTAL]]*_1_5412845612146241046457891017456[[#This Row],[MARGIN]]</f>
        <v>0</v>
      </c>
      <c r="R425" s="41"/>
    </row>
    <row r="426" spans="1:18">
      <c r="D426" s="188"/>
      <c r="F426" s="168" t="s">
        <v>6202</v>
      </c>
      <c r="G426" s="193">
        <f>IF(_1_5412845612146241046457891017456[[#This Row],[Type]]&gt;0,VLOOKUP(_1_5412845612146241046457891017456[[#This Row],[Type]],Main[[#All],[TYPE]:[UNIT]],'Unit Price'!C$1,FALSE),0)</f>
        <v>0</v>
      </c>
      <c r="H426" s="197">
        <f>IF(_1_5412845612146241046457891017456[[#This Row],[Type]]&gt;0,VLOOKUP(_1_5412845612146241046457891017456[[#This Row],[Type]],Main[[#All],[TYPE]:[UNIT]],'Unit Price'!D$1,FALSE),0)</f>
        <v>0</v>
      </c>
      <c r="I426" s="194">
        <f>IF(_1_5412845612146241046457891017456[[#This Row],[Type]]&gt;0,VLOOKUP(_1_5412845612146241046457891017456[[#This Row],[Type]],Main[[#All],[TYPE]:[UNIT]],'Unit Price'!G$1,FALSE),0)</f>
        <v>0</v>
      </c>
      <c r="J426" s="194">
        <f>IF(_1_5412845612146241046457891017456[[#This Row],[Type]]&gt;0,VLOOKUP(_1_5412845612146241046457891017456[[#This Row],[Type]],Main[[#All],[TYPE]:[UNIT]],'Unit Price'!H$1,FALSE),0)</f>
        <v>0</v>
      </c>
      <c r="K426" s="194">
        <f>IF(_1_5412845612146241046457891017456[[#This Row],[Discount selection]]&gt;0,VLOOKUP(_1_5412845612146241046457891017456[[#This Row],[Discount selection]],'Discount Structure'!$A$2:$B$30,2,"false"),0)</f>
        <v>1</v>
      </c>
      <c r="L426" s="194">
        <f>_1_5412845612146241046457891017456[[#This Row],[LIST $]]*_1_5412845612146241046457891017456[[#This Row],[DISCOUNT]]*_1_5412845612146241046457891017456[[#This Row],[DISCOUNT 2]]</f>
        <v>0</v>
      </c>
      <c r="M426" s="194">
        <f>IF(OR(_1_5412845612146241046457891017456[[#This Row],[UNIT]]&gt;0,_1_5412845612146241046457891017456[[#This Row],[UNIT]]&lt;0),_1_5412845612146241046457891017456[[#This Row],[UNIT]]*_1_5412845612146241046457891017456[[#This Row],[COST]],0)</f>
        <v>0</v>
      </c>
      <c r="N426" s="194">
        <f t="shared" si="6"/>
        <v>1.3</v>
      </c>
      <c r="O426" s="198">
        <f>_1_5412845612146241046457891017456[[#This Row],[TOTAL]]*_1_5412845612146241046457891017456[[#This Row],[MARGIN]]</f>
        <v>0</v>
      </c>
      <c r="R426" s="41"/>
    </row>
    <row r="427" spans="1:18">
      <c r="D427" s="188"/>
      <c r="F427" s="168" t="s">
        <v>6202</v>
      </c>
      <c r="G427" s="192">
        <f>IF(_1_5412845612146241046457891017456[[#This Row],[Type]]&gt;0,VLOOKUP(_1_5412845612146241046457891017456[[#This Row],[Type]],Main[[#All],[TYPE]:[UNIT]],'Unit Price'!C$1,FALSE),0)</f>
        <v>0</v>
      </c>
      <c r="H427" s="197">
        <f>IF(_1_5412845612146241046457891017456[[#This Row],[Type]]&gt;0,VLOOKUP(_1_5412845612146241046457891017456[[#This Row],[Type]],Main[[#All],[TYPE]:[UNIT]],'Unit Price'!D$1,FALSE),0)</f>
        <v>0</v>
      </c>
      <c r="I427" s="194">
        <f>IF(_1_5412845612146241046457891017456[[#This Row],[Type]]&gt;0,VLOOKUP(_1_5412845612146241046457891017456[[#This Row],[Type]],Main[[#All],[TYPE]:[UNIT]],'Unit Price'!G$1,FALSE),0)</f>
        <v>0</v>
      </c>
      <c r="J427" s="194">
        <f>IF(_1_5412845612146241046457891017456[[#This Row],[Type]]&gt;0,VLOOKUP(_1_5412845612146241046457891017456[[#This Row],[Type]],Main[[#All],[TYPE]:[UNIT]],'Unit Price'!H$1,FALSE),0)</f>
        <v>0</v>
      </c>
      <c r="K427" s="194">
        <f>IF(_1_5412845612146241046457891017456[[#This Row],[Discount selection]]&gt;0,VLOOKUP(_1_5412845612146241046457891017456[[#This Row],[Discount selection]],'Discount Structure'!$A$2:$B$30,2,"false"),0)</f>
        <v>1</v>
      </c>
      <c r="L427" s="194">
        <f>_1_5412845612146241046457891017456[[#This Row],[LIST $]]*_1_5412845612146241046457891017456[[#This Row],[DISCOUNT]]*_1_5412845612146241046457891017456[[#This Row],[DISCOUNT 2]]</f>
        <v>0</v>
      </c>
      <c r="M427" s="194">
        <f>IF(OR(_1_5412845612146241046457891017456[[#This Row],[UNIT]]&gt;0,_1_5412845612146241046457891017456[[#This Row],[UNIT]]&lt;0),_1_5412845612146241046457891017456[[#This Row],[UNIT]]*_1_5412845612146241046457891017456[[#This Row],[COST]],0)</f>
        <v>0</v>
      </c>
      <c r="N427" s="194">
        <f t="shared" si="6"/>
        <v>1.3</v>
      </c>
      <c r="O427" s="198">
        <f>_1_5412845612146241046457891017456[[#This Row],[TOTAL]]*_1_5412845612146241046457891017456[[#This Row],[MARGIN]]</f>
        <v>0</v>
      </c>
      <c r="R427" s="41"/>
    </row>
    <row r="428" spans="1:18">
      <c r="D428" s="188"/>
      <c r="F428" s="168" t="s">
        <v>6202</v>
      </c>
      <c r="G428" s="193">
        <f>IF(_1_5412845612146241046457891017456[[#This Row],[Type]]&gt;0,VLOOKUP(_1_5412845612146241046457891017456[[#This Row],[Type]],Main[[#All],[TYPE]:[UNIT]],'Unit Price'!C$1,FALSE),0)</f>
        <v>0</v>
      </c>
      <c r="H428" s="197">
        <f>IF(_1_5412845612146241046457891017456[[#This Row],[Type]]&gt;0,VLOOKUP(_1_5412845612146241046457891017456[[#This Row],[Type]],Main[[#All],[TYPE]:[UNIT]],'Unit Price'!D$1,FALSE),0)</f>
        <v>0</v>
      </c>
      <c r="I428" s="194">
        <f>IF(_1_5412845612146241046457891017456[[#This Row],[Type]]&gt;0,VLOOKUP(_1_5412845612146241046457891017456[[#This Row],[Type]],Main[[#All],[TYPE]:[UNIT]],'Unit Price'!G$1,FALSE),0)</f>
        <v>0</v>
      </c>
      <c r="J428" s="194">
        <f>IF(_1_5412845612146241046457891017456[[#This Row],[Type]]&gt;0,VLOOKUP(_1_5412845612146241046457891017456[[#This Row],[Type]],Main[[#All],[TYPE]:[UNIT]],'Unit Price'!H$1,FALSE),0)</f>
        <v>0</v>
      </c>
      <c r="K428" s="194">
        <f>IF(_1_5412845612146241046457891017456[[#This Row],[Discount selection]]&gt;0,VLOOKUP(_1_5412845612146241046457891017456[[#This Row],[Discount selection]],'Discount Structure'!$A$2:$B$30,2,"false"),0)</f>
        <v>1</v>
      </c>
      <c r="L428" s="194">
        <f>_1_5412845612146241046457891017456[[#This Row],[LIST $]]*_1_5412845612146241046457891017456[[#This Row],[DISCOUNT]]*_1_5412845612146241046457891017456[[#This Row],[DISCOUNT 2]]</f>
        <v>0</v>
      </c>
      <c r="M428" s="194">
        <f>IF(OR(_1_5412845612146241046457891017456[[#This Row],[UNIT]]&gt;0,_1_5412845612146241046457891017456[[#This Row],[UNIT]]&lt;0),_1_5412845612146241046457891017456[[#This Row],[UNIT]]*_1_5412845612146241046457891017456[[#This Row],[COST]],0)</f>
        <v>0</v>
      </c>
      <c r="N428" s="194">
        <f t="shared" si="6"/>
        <v>1.3</v>
      </c>
      <c r="O428" s="198">
        <f>_1_5412845612146241046457891017456[[#This Row],[TOTAL]]*_1_5412845612146241046457891017456[[#This Row],[MARGIN]]</f>
        <v>0</v>
      </c>
      <c r="R428" s="41"/>
    </row>
    <row r="429" spans="1:18">
      <c r="D429" s="188"/>
      <c r="F429" s="168" t="s">
        <v>6202</v>
      </c>
      <c r="G429" s="193">
        <f>IF(_1_5412845612146241046457891017456[[#This Row],[Type]]&gt;0,VLOOKUP(_1_5412845612146241046457891017456[[#This Row],[Type]],Main[[#All],[TYPE]:[UNIT]],'Unit Price'!C$1,FALSE),0)</f>
        <v>0</v>
      </c>
      <c r="H429" s="197">
        <f>IF(_1_5412845612146241046457891017456[[#This Row],[Type]]&gt;0,VLOOKUP(_1_5412845612146241046457891017456[[#This Row],[Type]],Main[[#All],[TYPE]:[UNIT]],'Unit Price'!D$1,FALSE),0)</f>
        <v>0</v>
      </c>
      <c r="I429" s="194">
        <f>IF(_1_5412845612146241046457891017456[[#This Row],[Type]]&gt;0,VLOOKUP(_1_5412845612146241046457891017456[[#This Row],[Type]],Main[[#All],[TYPE]:[UNIT]],'Unit Price'!G$1,FALSE),0)</f>
        <v>0</v>
      </c>
      <c r="J429" s="194">
        <f>IF(_1_5412845612146241046457891017456[[#This Row],[Type]]&gt;0,VLOOKUP(_1_5412845612146241046457891017456[[#This Row],[Type]],Main[[#All],[TYPE]:[UNIT]],'Unit Price'!H$1,FALSE),0)</f>
        <v>0</v>
      </c>
      <c r="K429" s="194">
        <f>IF(_1_5412845612146241046457891017456[[#This Row],[Discount selection]]&gt;0,VLOOKUP(_1_5412845612146241046457891017456[[#This Row],[Discount selection]],'Discount Structure'!$A$2:$B$30,2,"false"),0)</f>
        <v>1</v>
      </c>
      <c r="L429" s="194">
        <f>_1_5412845612146241046457891017456[[#This Row],[LIST $]]*_1_5412845612146241046457891017456[[#This Row],[DISCOUNT]]*_1_5412845612146241046457891017456[[#This Row],[DISCOUNT 2]]</f>
        <v>0</v>
      </c>
      <c r="M429" s="194">
        <f>IF(OR(_1_5412845612146241046457891017456[[#This Row],[UNIT]]&gt;0,_1_5412845612146241046457891017456[[#This Row],[UNIT]]&lt;0),_1_5412845612146241046457891017456[[#This Row],[UNIT]]*_1_5412845612146241046457891017456[[#This Row],[COST]],0)</f>
        <v>0</v>
      </c>
      <c r="N429" s="194">
        <f t="shared" si="6"/>
        <v>1.3</v>
      </c>
      <c r="O429" s="198">
        <f>_1_5412845612146241046457891017456[[#This Row],[TOTAL]]*_1_5412845612146241046457891017456[[#This Row],[MARGIN]]</f>
        <v>0</v>
      </c>
      <c r="R429" s="41"/>
    </row>
    <row r="430" spans="1:18">
      <c r="D430" s="188"/>
      <c r="F430" s="168" t="s">
        <v>6202</v>
      </c>
      <c r="G430" s="193">
        <f>IF(_1_5412845612146241046457891017456[[#This Row],[Type]]&gt;0,VLOOKUP(_1_5412845612146241046457891017456[[#This Row],[Type]],Main[[#All],[TYPE]:[UNIT]],'Unit Price'!C$1,FALSE),0)</f>
        <v>0</v>
      </c>
      <c r="H430" s="197">
        <f>IF(_1_5412845612146241046457891017456[[#This Row],[Type]]&gt;0,VLOOKUP(_1_5412845612146241046457891017456[[#This Row],[Type]],Main[[#All],[TYPE]:[UNIT]],'Unit Price'!D$1,FALSE),0)</f>
        <v>0</v>
      </c>
      <c r="I430" s="194">
        <f>IF(_1_5412845612146241046457891017456[[#This Row],[Type]]&gt;0,VLOOKUP(_1_5412845612146241046457891017456[[#This Row],[Type]],Main[[#All],[TYPE]:[UNIT]],'Unit Price'!G$1,FALSE),0)</f>
        <v>0</v>
      </c>
      <c r="J430" s="194">
        <f>IF(_1_5412845612146241046457891017456[[#This Row],[Type]]&gt;0,VLOOKUP(_1_5412845612146241046457891017456[[#This Row],[Type]],Main[[#All],[TYPE]:[UNIT]],'Unit Price'!H$1,FALSE),0)</f>
        <v>0</v>
      </c>
      <c r="K430" s="194">
        <f>IF(_1_5412845612146241046457891017456[[#This Row],[Discount selection]]&gt;0,VLOOKUP(_1_5412845612146241046457891017456[[#This Row],[Discount selection]],'Discount Structure'!$A$2:$B$30,2,"false"),0)</f>
        <v>1</v>
      </c>
      <c r="L430" s="194">
        <f>_1_5412845612146241046457891017456[[#This Row],[LIST $]]*_1_5412845612146241046457891017456[[#This Row],[DISCOUNT]]*_1_5412845612146241046457891017456[[#This Row],[DISCOUNT 2]]</f>
        <v>0</v>
      </c>
      <c r="M430" s="194">
        <f>IF(OR(_1_5412845612146241046457891017456[[#This Row],[UNIT]]&gt;0,_1_5412845612146241046457891017456[[#This Row],[UNIT]]&lt;0),_1_5412845612146241046457891017456[[#This Row],[UNIT]]*_1_5412845612146241046457891017456[[#This Row],[COST]],0)</f>
        <v>0</v>
      </c>
      <c r="N430" s="194">
        <f t="shared" si="6"/>
        <v>1.3</v>
      </c>
      <c r="O430" s="198">
        <f>_1_5412845612146241046457891017456[[#This Row],[TOTAL]]*_1_5412845612146241046457891017456[[#This Row],[MARGIN]]</f>
        <v>0</v>
      </c>
      <c r="R430" s="41"/>
    </row>
    <row r="431" spans="1:18">
      <c r="D431" s="188"/>
      <c r="F431" s="168" t="s">
        <v>6202</v>
      </c>
      <c r="G431" s="193">
        <f>IF(_1_5412845612146241046457891017456[[#This Row],[Type]]&gt;0,VLOOKUP(_1_5412845612146241046457891017456[[#This Row],[Type]],Main[[#All],[TYPE]:[UNIT]],'Unit Price'!C$1,FALSE),0)</f>
        <v>0</v>
      </c>
      <c r="H431" s="197">
        <f>IF(_1_5412845612146241046457891017456[[#This Row],[Type]]&gt;0,VLOOKUP(_1_5412845612146241046457891017456[[#This Row],[Type]],Main[[#All],[TYPE]:[UNIT]],'Unit Price'!D$1,FALSE),0)</f>
        <v>0</v>
      </c>
      <c r="I431" s="194">
        <f>IF(_1_5412845612146241046457891017456[[#This Row],[Type]]&gt;0,VLOOKUP(_1_5412845612146241046457891017456[[#This Row],[Type]],Main[[#All],[TYPE]:[UNIT]],'Unit Price'!G$1,FALSE),0)</f>
        <v>0</v>
      </c>
      <c r="J431" s="194">
        <f>IF(_1_5412845612146241046457891017456[[#This Row],[Type]]&gt;0,VLOOKUP(_1_5412845612146241046457891017456[[#This Row],[Type]],Main[[#All],[TYPE]:[UNIT]],'Unit Price'!H$1,FALSE),0)</f>
        <v>0</v>
      </c>
      <c r="K431" s="194">
        <f>IF(_1_5412845612146241046457891017456[[#This Row],[Discount selection]]&gt;0,VLOOKUP(_1_5412845612146241046457891017456[[#This Row],[Discount selection]],'Discount Structure'!$A$2:$B$30,2,"false"),0)</f>
        <v>1</v>
      </c>
      <c r="L431" s="194">
        <f>_1_5412845612146241046457891017456[[#This Row],[LIST $]]*_1_5412845612146241046457891017456[[#This Row],[DISCOUNT]]*_1_5412845612146241046457891017456[[#This Row],[DISCOUNT 2]]</f>
        <v>0</v>
      </c>
      <c r="M431" s="194">
        <f>IF(OR(_1_5412845612146241046457891017456[[#This Row],[UNIT]]&gt;0,_1_5412845612146241046457891017456[[#This Row],[UNIT]]&lt;0),_1_5412845612146241046457891017456[[#This Row],[UNIT]]*_1_5412845612146241046457891017456[[#This Row],[COST]],0)</f>
        <v>0</v>
      </c>
      <c r="N431" s="194">
        <f t="shared" si="6"/>
        <v>1.3</v>
      </c>
      <c r="O431" s="198">
        <f>_1_5412845612146241046457891017456[[#This Row],[TOTAL]]*_1_5412845612146241046457891017456[[#This Row],[MARGIN]]</f>
        <v>0</v>
      </c>
      <c r="R431" s="41"/>
    </row>
    <row r="432" spans="1:18">
      <c r="D432" s="188"/>
      <c r="F432" s="168" t="s">
        <v>6202</v>
      </c>
      <c r="G432" s="192">
        <f>IF(_1_5412845612146241046457891017456[[#This Row],[Type]]&gt;0,VLOOKUP(_1_5412845612146241046457891017456[[#This Row],[Type]],Main[[#All],[TYPE]:[UNIT]],'Unit Price'!C$1,FALSE),0)</f>
        <v>0</v>
      </c>
      <c r="H432" s="197">
        <f>IF(_1_5412845612146241046457891017456[[#This Row],[Type]]&gt;0,VLOOKUP(_1_5412845612146241046457891017456[[#This Row],[Type]],Main[[#All],[TYPE]:[UNIT]],'Unit Price'!D$1,FALSE),0)</f>
        <v>0</v>
      </c>
      <c r="I432" s="194">
        <f>IF(_1_5412845612146241046457891017456[[#This Row],[Type]]&gt;0,VLOOKUP(_1_5412845612146241046457891017456[[#This Row],[Type]],Main[[#All],[TYPE]:[UNIT]],'Unit Price'!G$1,FALSE),0)</f>
        <v>0</v>
      </c>
      <c r="J432" s="194">
        <f>IF(_1_5412845612146241046457891017456[[#This Row],[Type]]&gt;0,VLOOKUP(_1_5412845612146241046457891017456[[#This Row],[Type]],Main[[#All],[TYPE]:[UNIT]],'Unit Price'!H$1,FALSE),0)</f>
        <v>0</v>
      </c>
      <c r="K432" s="194">
        <f>IF(_1_5412845612146241046457891017456[[#This Row],[Discount selection]]&gt;0,VLOOKUP(_1_5412845612146241046457891017456[[#This Row],[Discount selection]],'Discount Structure'!$A$2:$B$30,2,"false"),0)</f>
        <v>1</v>
      </c>
      <c r="L432" s="194">
        <f>_1_5412845612146241046457891017456[[#This Row],[LIST $]]*_1_5412845612146241046457891017456[[#This Row],[DISCOUNT]]*_1_5412845612146241046457891017456[[#This Row],[DISCOUNT 2]]</f>
        <v>0</v>
      </c>
      <c r="M432" s="194">
        <f>IF(OR(_1_5412845612146241046457891017456[[#This Row],[UNIT]]&gt;0,_1_5412845612146241046457891017456[[#This Row],[UNIT]]&lt;0),_1_5412845612146241046457891017456[[#This Row],[UNIT]]*_1_5412845612146241046457891017456[[#This Row],[COST]],0)</f>
        <v>0</v>
      </c>
      <c r="N432" s="194">
        <f t="shared" si="6"/>
        <v>1.3</v>
      </c>
      <c r="O432" s="198">
        <f>_1_5412845612146241046457891017456[[#This Row],[TOTAL]]*_1_5412845612146241046457891017456[[#This Row],[MARGIN]]</f>
        <v>0</v>
      </c>
      <c r="R432" s="41"/>
    </row>
    <row r="433" spans="1:18">
      <c r="D433" s="188"/>
      <c r="F433" s="168" t="s">
        <v>6202</v>
      </c>
      <c r="G433" s="193">
        <f>IF(_1_5412845612146241046457891017456[[#This Row],[Type]]&gt;0,VLOOKUP(_1_5412845612146241046457891017456[[#This Row],[Type]],Main[[#All],[TYPE]:[UNIT]],'Unit Price'!C$1,FALSE),0)</f>
        <v>0</v>
      </c>
      <c r="H433" s="197">
        <f>IF(_1_5412845612146241046457891017456[[#This Row],[Type]]&gt;0,VLOOKUP(_1_5412845612146241046457891017456[[#This Row],[Type]],Main[[#All],[TYPE]:[UNIT]],'Unit Price'!D$1,FALSE),0)</f>
        <v>0</v>
      </c>
      <c r="I433" s="194">
        <f>IF(_1_5412845612146241046457891017456[[#This Row],[Type]]&gt;0,VLOOKUP(_1_5412845612146241046457891017456[[#This Row],[Type]],Main[[#All],[TYPE]:[UNIT]],'Unit Price'!G$1,FALSE),0)</f>
        <v>0</v>
      </c>
      <c r="J433" s="194">
        <f>IF(_1_5412845612146241046457891017456[[#This Row],[Type]]&gt;0,VLOOKUP(_1_5412845612146241046457891017456[[#This Row],[Type]],Main[[#All],[TYPE]:[UNIT]],'Unit Price'!H$1,FALSE),0)</f>
        <v>0</v>
      </c>
      <c r="K433" s="194">
        <f>IF(_1_5412845612146241046457891017456[[#This Row],[Discount selection]]&gt;0,VLOOKUP(_1_5412845612146241046457891017456[[#This Row],[Discount selection]],'Discount Structure'!$A$2:$B$30,2,"false"),0)</f>
        <v>1</v>
      </c>
      <c r="L433" s="194">
        <f>_1_5412845612146241046457891017456[[#This Row],[LIST $]]*_1_5412845612146241046457891017456[[#This Row],[DISCOUNT]]*_1_5412845612146241046457891017456[[#This Row],[DISCOUNT 2]]</f>
        <v>0</v>
      </c>
      <c r="M433" s="194">
        <f>IF(OR(_1_5412845612146241046457891017456[[#This Row],[UNIT]]&gt;0,_1_5412845612146241046457891017456[[#This Row],[UNIT]]&lt;0),_1_5412845612146241046457891017456[[#This Row],[UNIT]]*_1_5412845612146241046457891017456[[#This Row],[COST]],0)</f>
        <v>0</v>
      </c>
      <c r="N433" s="194">
        <f t="shared" si="6"/>
        <v>1.3</v>
      </c>
      <c r="O433" s="198">
        <f>_1_5412845612146241046457891017456[[#This Row],[TOTAL]]*_1_5412845612146241046457891017456[[#This Row],[MARGIN]]</f>
        <v>0</v>
      </c>
      <c r="R433" s="41"/>
    </row>
    <row r="434" spans="1:18">
      <c r="D434" s="188"/>
      <c r="F434" s="168" t="s">
        <v>6202</v>
      </c>
      <c r="G434" s="193">
        <f>IF(_1_5412845612146241046457891017456[[#This Row],[Type]]&gt;0,VLOOKUP(_1_5412845612146241046457891017456[[#This Row],[Type]],Main[[#All],[TYPE]:[UNIT]],'Unit Price'!C$1,FALSE),0)</f>
        <v>0</v>
      </c>
      <c r="H434" s="197">
        <f>IF(_1_5412845612146241046457891017456[[#This Row],[Type]]&gt;0,VLOOKUP(_1_5412845612146241046457891017456[[#This Row],[Type]],Main[[#All],[TYPE]:[UNIT]],'Unit Price'!D$1,FALSE),0)</f>
        <v>0</v>
      </c>
      <c r="I434" s="194">
        <f>IF(_1_5412845612146241046457891017456[[#This Row],[Type]]&gt;0,VLOOKUP(_1_5412845612146241046457891017456[[#This Row],[Type]],Main[[#All],[TYPE]:[UNIT]],'Unit Price'!G$1,FALSE),0)</f>
        <v>0</v>
      </c>
      <c r="J434" s="194">
        <f>IF(_1_5412845612146241046457891017456[[#This Row],[Type]]&gt;0,VLOOKUP(_1_5412845612146241046457891017456[[#This Row],[Type]],Main[[#All],[TYPE]:[UNIT]],'Unit Price'!H$1,FALSE),0)</f>
        <v>0</v>
      </c>
      <c r="K434" s="194">
        <f>IF(_1_5412845612146241046457891017456[[#This Row],[Discount selection]]&gt;0,VLOOKUP(_1_5412845612146241046457891017456[[#This Row],[Discount selection]],'Discount Structure'!$A$2:$B$30,2,"false"),0)</f>
        <v>1</v>
      </c>
      <c r="L434" s="194">
        <f>_1_5412845612146241046457891017456[[#This Row],[LIST $]]*_1_5412845612146241046457891017456[[#This Row],[DISCOUNT]]*_1_5412845612146241046457891017456[[#This Row],[DISCOUNT 2]]</f>
        <v>0</v>
      </c>
      <c r="M434" s="194">
        <f>IF(OR(_1_5412845612146241046457891017456[[#This Row],[UNIT]]&gt;0,_1_5412845612146241046457891017456[[#This Row],[UNIT]]&lt;0),_1_5412845612146241046457891017456[[#This Row],[UNIT]]*_1_5412845612146241046457891017456[[#This Row],[COST]],0)</f>
        <v>0</v>
      </c>
      <c r="N434" s="194">
        <f t="shared" si="6"/>
        <v>1.3</v>
      </c>
      <c r="O434" s="198">
        <f>_1_5412845612146241046457891017456[[#This Row],[TOTAL]]*_1_5412845612146241046457891017456[[#This Row],[MARGIN]]</f>
        <v>0</v>
      </c>
      <c r="R434" s="41"/>
    </row>
    <row r="435" spans="1:18">
      <c r="D435" s="188"/>
      <c r="F435" s="168" t="s">
        <v>6202</v>
      </c>
      <c r="G435" s="193">
        <f>IF(_1_5412845612146241046457891017456[[#This Row],[Type]]&gt;0,VLOOKUP(_1_5412845612146241046457891017456[[#This Row],[Type]],Main[[#All],[TYPE]:[UNIT]],'Unit Price'!C$1,FALSE),0)</f>
        <v>0</v>
      </c>
      <c r="H435" s="197">
        <f>IF(_1_5412845612146241046457891017456[[#This Row],[Type]]&gt;0,VLOOKUP(_1_5412845612146241046457891017456[[#This Row],[Type]],Main[[#All],[TYPE]:[UNIT]],'Unit Price'!D$1,FALSE),0)</f>
        <v>0</v>
      </c>
      <c r="I435" s="194">
        <f>IF(_1_5412845612146241046457891017456[[#This Row],[Type]]&gt;0,VLOOKUP(_1_5412845612146241046457891017456[[#This Row],[Type]],Main[[#All],[TYPE]:[UNIT]],'Unit Price'!G$1,FALSE),0)</f>
        <v>0</v>
      </c>
      <c r="J435" s="194">
        <f>IF(_1_5412845612146241046457891017456[[#This Row],[Type]]&gt;0,VLOOKUP(_1_5412845612146241046457891017456[[#This Row],[Type]],Main[[#All],[TYPE]:[UNIT]],'Unit Price'!H$1,FALSE),0)</f>
        <v>0</v>
      </c>
      <c r="K435" s="194">
        <f>IF(_1_5412845612146241046457891017456[[#This Row],[Discount selection]]&gt;0,VLOOKUP(_1_5412845612146241046457891017456[[#This Row],[Discount selection]],'Discount Structure'!$A$2:$B$30,2,"false"),0)</f>
        <v>1</v>
      </c>
      <c r="L435" s="194">
        <f>_1_5412845612146241046457891017456[[#This Row],[LIST $]]*_1_5412845612146241046457891017456[[#This Row],[DISCOUNT]]*_1_5412845612146241046457891017456[[#This Row],[DISCOUNT 2]]</f>
        <v>0</v>
      </c>
      <c r="M435" s="194">
        <f>IF(OR(_1_5412845612146241046457891017456[[#This Row],[UNIT]]&gt;0,_1_5412845612146241046457891017456[[#This Row],[UNIT]]&lt;0),_1_5412845612146241046457891017456[[#This Row],[UNIT]]*_1_5412845612146241046457891017456[[#This Row],[COST]],0)</f>
        <v>0</v>
      </c>
      <c r="N435" s="194">
        <f t="shared" si="6"/>
        <v>1.3</v>
      </c>
      <c r="O435" s="198">
        <f>_1_5412845612146241046457891017456[[#This Row],[TOTAL]]*_1_5412845612146241046457891017456[[#This Row],[MARGIN]]</f>
        <v>0</v>
      </c>
      <c r="R435" s="41"/>
    </row>
    <row r="436" spans="1:18">
      <c r="A436" s="168"/>
      <c r="D436" s="188"/>
      <c r="F436" s="168" t="s">
        <v>6202</v>
      </c>
      <c r="G436" s="193">
        <f>IF(_1_5412845612146241046457891017456[[#This Row],[Type]]&gt;0,VLOOKUP(_1_5412845612146241046457891017456[[#This Row],[Type]],Main[[#All],[TYPE]:[UNIT]],'Unit Price'!C$1,FALSE),0)</f>
        <v>0</v>
      </c>
      <c r="H436" s="197">
        <f>IF(_1_5412845612146241046457891017456[[#This Row],[Type]]&gt;0,VLOOKUP(_1_5412845612146241046457891017456[[#This Row],[Type]],Main[[#All],[TYPE]:[UNIT]],'Unit Price'!D$1,FALSE),0)</f>
        <v>0</v>
      </c>
      <c r="I436" s="194">
        <f>IF(_1_5412845612146241046457891017456[[#This Row],[Type]]&gt;0,VLOOKUP(_1_5412845612146241046457891017456[[#This Row],[Type]],Main[[#All],[TYPE]:[UNIT]],'Unit Price'!G$1,FALSE),0)</f>
        <v>0</v>
      </c>
      <c r="J436" s="194">
        <f>IF(_1_5412845612146241046457891017456[[#This Row],[Type]]&gt;0,VLOOKUP(_1_5412845612146241046457891017456[[#This Row],[Type]],Main[[#All],[TYPE]:[UNIT]],'Unit Price'!H$1,FALSE),0)</f>
        <v>0</v>
      </c>
      <c r="K436" s="194">
        <f>IF(_1_5412845612146241046457891017456[[#This Row],[Discount selection]]&gt;0,VLOOKUP(_1_5412845612146241046457891017456[[#This Row],[Discount selection]],'Discount Structure'!$A$2:$B$30,2,"false"),0)</f>
        <v>1</v>
      </c>
      <c r="L436" s="194">
        <f>_1_5412845612146241046457891017456[[#This Row],[LIST $]]*_1_5412845612146241046457891017456[[#This Row],[DISCOUNT]]*_1_5412845612146241046457891017456[[#This Row],[DISCOUNT 2]]</f>
        <v>0</v>
      </c>
      <c r="M436" s="194">
        <f>IF(OR(_1_5412845612146241046457891017456[[#This Row],[UNIT]]&gt;0,_1_5412845612146241046457891017456[[#This Row],[UNIT]]&lt;0),_1_5412845612146241046457891017456[[#This Row],[UNIT]]*_1_5412845612146241046457891017456[[#This Row],[COST]],0)</f>
        <v>0</v>
      </c>
      <c r="N436" s="194">
        <f t="shared" si="6"/>
        <v>1.3</v>
      </c>
      <c r="O436" s="198">
        <f>_1_5412845612146241046457891017456[[#This Row],[TOTAL]]*_1_5412845612146241046457891017456[[#This Row],[MARGIN]]</f>
        <v>0</v>
      </c>
      <c r="R436" s="41"/>
    </row>
    <row r="437" spans="1:18">
      <c r="B437" s="168"/>
      <c r="D437" s="188"/>
      <c r="F437" s="168" t="s">
        <v>6202</v>
      </c>
      <c r="G437" s="192">
        <f>IF(_1_5412845612146241046457891017456[[#This Row],[Type]]&gt;0,VLOOKUP(_1_5412845612146241046457891017456[[#This Row],[Type]],Main[[#All],[TYPE]:[UNIT]],'Unit Price'!C$1,FALSE),0)</f>
        <v>0</v>
      </c>
      <c r="H437" s="197">
        <f>IF(_1_5412845612146241046457891017456[[#This Row],[Type]]&gt;0,VLOOKUP(_1_5412845612146241046457891017456[[#This Row],[Type]],Main[[#All],[TYPE]:[UNIT]],'Unit Price'!D$1,FALSE),0)</f>
        <v>0</v>
      </c>
      <c r="I437" s="194">
        <f>IF(_1_5412845612146241046457891017456[[#This Row],[Type]]&gt;0,VLOOKUP(_1_5412845612146241046457891017456[[#This Row],[Type]],Main[[#All],[TYPE]:[UNIT]],'Unit Price'!G$1,FALSE),0)</f>
        <v>0</v>
      </c>
      <c r="J437" s="194">
        <f>IF(_1_5412845612146241046457891017456[[#This Row],[Type]]&gt;0,VLOOKUP(_1_5412845612146241046457891017456[[#This Row],[Type]],Main[[#All],[TYPE]:[UNIT]],'Unit Price'!H$1,FALSE),0)</f>
        <v>0</v>
      </c>
      <c r="K437" s="194">
        <f>IF(_1_5412845612146241046457891017456[[#This Row],[Discount selection]]&gt;0,VLOOKUP(_1_5412845612146241046457891017456[[#This Row],[Discount selection]],'Discount Structure'!$A$2:$B$30,2,"false"),0)</f>
        <v>1</v>
      </c>
      <c r="L437" s="194">
        <f>_1_5412845612146241046457891017456[[#This Row],[LIST $]]*_1_5412845612146241046457891017456[[#This Row],[DISCOUNT]]*_1_5412845612146241046457891017456[[#This Row],[DISCOUNT 2]]</f>
        <v>0</v>
      </c>
      <c r="M437" s="194">
        <f>IF(OR(_1_5412845612146241046457891017456[[#This Row],[UNIT]]&gt;0,_1_5412845612146241046457891017456[[#This Row],[UNIT]]&lt;0),_1_5412845612146241046457891017456[[#This Row],[UNIT]]*_1_5412845612146241046457891017456[[#This Row],[COST]],0)</f>
        <v>0</v>
      </c>
      <c r="N437" s="194">
        <f t="shared" si="6"/>
        <v>1.3</v>
      </c>
      <c r="O437" s="198">
        <f>_1_5412845612146241046457891017456[[#This Row],[TOTAL]]*_1_5412845612146241046457891017456[[#This Row],[MARGIN]]</f>
        <v>0</v>
      </c>
      <c r="R437" s="41"/>
    </row>
    <row r="438" spans="1:18">
      <c r="D438" s="188"/>
      <c r="F438" s="168" t="s">
        <v>6202</v>
      </c>
      <c r="G438" s="193">
        <f>IF(_1_5412845612146241046457891017456[[#This Row],[Type]]&gt;0,VLOOKUP(_1_5412845612146241046457891017456[[#This Row],[Type]],Main[[#All],[TYPE]:[UNIT]],'Unit Price'!C$1,FALSE),0)</f>
        <v>0</v>
      </c>
      <c r="H438" s="197">
        <f>IF(_1_5412845612146241046457891017456[[#This Row],[Type]]&gt;0,VLOOKUP(_1_5412845612146241046457891017456[[#This Row],[Type]],Main[[#All],[TYPE]:[UNIT]],'Unit Price'!D$1,FALSE),0)</f>
        <v>0</v>
      </c>
      <c r="I438" s="194">
        <f>IF(_1_5412845612146241046457891017456[[#This Row],[Type]]&gt;0,VLOOKUP(_1_5412845612146241046457891017456[[#This Row],[Type]],Main[[#All],[TYPE]:[UNIT]],'Unit Price'!G$1,FALSE),0)</f>
        <v>0</v>
      </c>
      <c r="J438" s="194">
        <f>IF(_1_5412845612146241046457891017456[[#This Row],[Type]]&gt;0,VLOOKUP(_1_5412845612146241046457891017456[[#This Row],[Type]],Main[[#All],[TYPE]:[UNIT]],'Unit Price'!H$1,FALSE),0)</f>
        <v>0</v>
      </c>
      <c r="K438" s="194">
        <f>IF(_1_5412845612146241046457891017456[[#This Row],[Discount selection]]&gt;0,VLOOKUP(_1_5412845612146241046457891017456[[#This Row],[Discount selection]],'Discount Structure'!$A$2:$B$30,2,"false"),0)</f>
        <v>1</v>
      </c>
      <c r="L438" s="194">
        <f>_1_5412845612146241046457891017456[[#This Row],[LIST $]]*_1_5412845612146241046457891017456[[#This Row],[DISCOUNT]]*_1_5412845612146241046457891017456[[#This Row],[DISCOUNT 2]]</f>
        <v>0</v>
      </c>
      <c r="M438" s="194">
        <f>IF(OR(_1_5412845612146241046457891017456[[#This Row],[UNIT]]&gt;0,_1_5412845612146241046457891017456[[#This Row],[UNIT]]&lt;0),_1_5412845612146241046457891017456[[#This Row],[UNIT]]*_1_5412845612146241046457891017456[[#This Row],[COST]],0)</f>
        <v>0</v>
      </c>
      <c r="N438" s="194">
        <f t="shared" si="6"/>
        <v>1.3</v>
      </c>
      <c r="O438" s="198">
        <f>_1_5412845612146241046457891017456[[#This Row],[TOTAL]]*_1_5412845612146241046457891017456[[#This Row],[MARGIN]]</f>
        <v>0</v>
      </c>
      <c r="R438" s="41"/>
    </row>
    <row r="439" spans="1:18">
      <c r="D439" s="188"/>
      <c r="F439" s="168" t="s">
        <v>6202</v>
      </c>
      <c r="G439" s="193">
        <f>IF(_1_5412845612146241046457891017456[[#This Row],[Type]]&gt;0,VLOOKUP(_1_5412845612146241046457891017456[[#This Row],[Type]],Main[[#All],[TYPE]:[UNIT]],'Unit Price'!C$1,FALSE),0)</f>
        <v>0</v>
      </c>
      <c r="H439" s="197">
        <f>IF(_1_5412845612146241046457891017456[[#This Row],[Type]]&gt;0,VLOOKUP(_1_5412845612146241046457891017456[[#This Row],[Type]],Main[[#All],[TYPE]:[UNIT]],'Unit Price'!D$1,FALSE),0)</f>
        <v>0</v>
      </c>
      <c r="I439" s="194">
        <f>IF(_1_5412845612146241046457891017456[[#This Row],[Type]]&gt;0,VLOOKUP(_1_5412845612146241046457891017456[[#This Row],[Type]],Main[[#All],[TYPE]:[UNIT]],'Unit Price'!G$1,FALSE),0)</f>
        <v>0</v>
      </c>
      <c r="J439" s="194">
        <f>IF(_1_5412845612146241046457891017456[[#This Row],[Type]]&gt;0,VLOOKUP(_1_5412845612146241046457891017456[[#This Row],[Type]],Main[[#All],[TYPE]:[UNIT]],'Unit Price'!H$1,FALSE),0)</f>
        <v>0</v>
      </c>
      <c r="K439" s="194">
        <f>IF(_1_5412845612146241046457891017456[[#This Row],[Discount selection]]&gt;0,VLOOKUP(_1_5412845612146241046457891017456[[#This Row],[Discount selection]],'Discount Structure'!$A$2:$B$30,2,"false"),0)</f>
        <v>1</v>
      </c>
      <c r="L439" s="194">
        <f>_1_5412845612146241046457891017456[[#This Row],[LIST $]]*_1_5412845612146241046457891017456[[#This Row],[DISCOUNT]]*_1_5412845612146241046457891017456[[#This Row],[DISCOUNT 2]]</f>
        <v>0</v>
      </c>
      <c r="M439" s="194">
        <f>IF(OR(_1_5412845612146241046457891017456[[#This Row],[UNIT]]&gt;0,_1_5412845612146241046457891017456[[#This Row],[UNIT]]&lt;0),_1_5412845612146241046457891017456[[#This Row],[UNIT]]*_1_5412845612146241046457891017456[[#This Row],[COST]],0)</f>
        <v>0</v>
      </c>
      <c r="N439" s="194">
        <f t="shared" si="6"/>
        <v>1.3</v>
      </c>
      <c r="O439" s="198">
        <f>_1_5412845612146241046457891017456[[#This Row],[TOTAL]]*_1_5412845612146241046457891017456[[#This Row],[MARGIN]]</f>
        <v>0</v>
      </c>
      <c r="R439" s="41"/>
    </row>
    <row r="440" spans="1:18">
      <c r="A440" s="168"/>
      <c r="D440" s="188"/>
      <c r="F440" s="168" t="s">
        <v>6202</v>
      </c>
      <c r="G440" s="193">
        <f>IF(_1_5412845612146241046457891017456[[#This Row],[Type]]&gt;0,VLOOKUP(_1_5412845612146241046457891017456[[#This Row],[Type]],Main[[#All],[TYPE]:[UNIT]],'Unit Price'!C$1,FALSE),0)</f>
        <v>0</v>
      </c>
      <c r="H440" s="197">
        <f>IF(_1_5412845612146241046457891017456[[#This Row],[Type]]&gt;0,VLOOKUP(_1_5412845612146241046457891017456[[#This Row],[Type]],Main[[#All],[TYPE]:[UNIT]],'Unit Price'!D$1,FALSE),0)</f>
        <v>0</v>
      </c>
      <c r="I440" s="194">
        <f>IF(_1_5412845612146241046457891017456[[#This Row],[Type]]&gt;0,VLOOKUP(_1_5412845612146241046457891017456[[#This Row],[Type]],Main[[#All],[TYPE]:[UNIT]],'Unit Price'!G$1,FALSE),0)</f>
        <v>0</v>
      </c>
      <c r="J440" s="194">
        <f>IF(_1_5412845612146241046457891017456[[#This Row],[Type]]&gt;0,VLOOKUP(_1_5412845612146241046457891017456[[#This Row],[Type]],Main[[#All],[TYPE]:[UNIT]],'Unit Price'!H$1,FALSE),0)</f>
        <v>0</v>
      </c>
      <c r="K440" s="194">
        <f>IF(_1_5412845612146241046457891017456[[#This Row],[Discount selection]]&gt;0,VLOOKUP(_1_5412845612146241046457891017456[[#This Row],[Discount selection]],'Discount Structure'!$A$2:$B$30,2,"false"),0)</f>
        <v>1</v>
      </c>
      <c r="L440" s="194">
        <f>_1_5412845612146241046457891017456[[#This Row],[LIST $]]*_1_5412845612146241046457891017456[[#This Row],[DISCOUNT]]*_1_5412845612146241046457891017456[[#This Row],[DISCOUNT 2]]</f>
        <v>0</v>
      </c>
      <c r="M440" s="194">
        <f>IF(OR(_1_5412845612146241046457891017456[[#This Row],[UNIT]]&gt;0,_1_5412845612146241046457891017456[[#This Row],[UNIT]]&lt;0),_1_5412845612146241046457891017456[[#This Row],[UNIT]]*_1_5412845612146241046457891017456[[#This Row],[COST]],0)</f>
        <v>0</v>
      </c>
      <c r="N440" s="194">
        <f t="shared" si="6"/>
        <v>1.3</v>
      </c>
      <c r="O440" s="198">
        <f>_1_5412845612146241046457891017456[[#This Row],[TOTAL]]*_1_5412845612146241046457891017456[[#This Row],[MARGIN]]</f>
        <v>0</v>
      </c>
      <c r="R440" s="41"/>
    </row>
    <row r="441" spans="1:18">
      <c r="D441" s="188"/>
      <c r="F441" s="168" t="s">
        <v>6202</v>
      </c>
      <c r="G441" s="193">
        <f>IF(_1_5412845612146241046457891017456[[#This Row],[Type]]&gt;0,VLOOKUP(_1_5412845612146241046457891017456[[#This Row],[Type]],Main[[#All],[TYPE]:[UNIT]],'Unit Price'!C$1,FALSE),0)</f>
        <v>0</v>
      </c>
      <c r="H441" s="197">
        <f>IF(_1_5412845612146241046457891017456[[#This Row],[Type]]&gt;0,VLOOKUP(_1_5412845612146241046457891017456[[#This Row],[Type]],Main[[#All],[TYPE]:[UNIT]],'Unit Price'!D$1,FALSE),0)</f>
        <v>0</v>
      </c>
      <c r="I441" s="194">
        <f>IF(_1_5412845612146241046457891017456[[#This Row],[Type]]&gt;0,VLOOKUP(_1_5412845612146241046457891017456[[#This Row],[Type]],Main[[#All],[TYPE]:[UNIT]],'Unit Price'!G$1,FALSE),0)</f>
        <v>0</v>
      </c>
      <c r="J441" s="194">
        <f>IF(_1_5412845612146241046457891017456[[#This Row],[Type]]&gt;0,VLOOKUP(_1_5412845612146241046457891017456[[#This Row],[Type]],Main[[#All],[TYPE]:[UNIT]],'Unit Price'!H$1,FALSE),0)</f>
        <v>0</v>
      </c>
      <c r="K441" s="194">
        <f>IF(_1_5412845612146241046457891017456[[#This Row],[Discount selection]]&gt;0,VLOOKUP(_1_5412845612146241046457891017456[[#This Row],[Discount selection]],'Discount Structure'!$A$2:$B$30,2,"false"),0)</f>
        <v>1</v>
      </c>
      <c r="L441" s="194">
        <f>_1_5412845612146241046457891017456[[#This Row],[LIST $]]*_1_5412845612146241046457891017456[[#This Row],[DISCOUNT]]*_1_5412845612146241046457891017456[[#This Row],[DISCOUNT 2]]</f>
        <v>0</v>
      </c>
      <c r="M441" s="194">
        <f>IF(OR(_1_5412845612146241046457891017456[[#This Row],[UNIT]]&gt;0,_1_5412845612146241046457891017456[[#This Row],[UNIT]]&lt;0),_1_5412845612146241046457891017456[[#This Row],[UNIT]]*_1_5412845612146241046457891017456[[#This Row],[COST]],0)</f>
        <v>0</v>
      </c>
      <c r="N441" s="194">
        <f t="shared" si="6"/>
        <v>1.3</v>
      </c>
      <c r="O441" s="198">
        <f>_1_5412845612146241046457891017456[[#This Row],[TOTAL]]*_1_5412845612146241046457891017456[[#This Row],[MARGIN]]</f>
        <v>0</v>
      </c>
      <c r="R441" s="41"/>
    </row>
    <row r="442" spans="1:18">
      <c r="D442" s="188"/>
      <c r="F442" s="168" t="s">
        <v>6202</v>
      </c>
      <c r="G442" s="192">
        <f>IF(_1_5412845612146241046457891017456[[#This Row],[Type]]&gt;0,VLOOKUP(_1_5412845612146241046457891017456[[#This Row],[Type]],Main[[#All],[TYPE]:[UNIT]],'Unit Price'!C$1,FALSE),0)</f>
        <v>0</v>
      </c>
      <c r="H442" s="197">
        <f>IF(_1_5412845612146241046457891017456[[#This Row],[Type]]&gt;0,VLOOKUP(_1_5412845612146241046457891017456[[#This Row],[Type]],Main[[#All],[TYPE]:[UNIT]],'Unit Price'!D$1,FALSE),0)</f>
        <v>0</v>
      </c>
      <c r="I442" s="194">
        <f>IF(_1_5412845612146241046457891017456[[#This Row],[Type]]&gt;0,VLOOKUP(_1_5412845612146241046457891017456[[#This Row],[Type]],Main[[#All],[TYPE]:[UNIT]],'Unit Price'!G$1,FALSE),0)</f>
        <v>0</v>
      </c>
      <c r="J442" s="194">
        <f>IF(_1_5412845612146241046457891017456[[#This Row],[Type]]&gt;0,VLOOKUP(_1_5412845612146241046457891017456[[#This Row],[Type]],Main[[#All],[TYPE]:[UNIT]],'Unit Price'!H$1,FALSE),0)</f>
        <v>0</v>
      </c>
      <c r="K442" s="194">
        <f>IF(_1_5412845612146241046457891017456[[#This Row],[Discount selection]]&gt;0,VLOOKUP(_1_5412845612146241046457891017456[[#This Row],[Discount selection]],'Discount Structure'!$A$2:$B$30,2,"false"),0)</f>
        <v>1</v>
      </c>
      <c r="L442" s="194">
        <f>_1_5412845612146241046457891017456[[#This Row],[LIST $]]*_1_5412845612146241046457891017456[[#This Row],[DISCOUNT]]*_1_5412845612146241046457891017456[[#This Row],[DISCOUNT 2]]</f>
        <v>0</v>
      </c>
      <c r="M442" s="194">
        <f>IF(OR(_1_5412845612146241046457891017456[[#This Row],[UNIT]]&gt;0,_1_5412845612146241046457891017456[[#This Row],[UNIT]]&lt;0),_1_5412845612146241046457891017456[[#This Row],[UNIT]]*_1_5412845612146241046457891017456[[#This Row],[COST]],0)</f>
        <v>0</v>
      </c>
      <c r="N442" s="194">
        <f t="shared" si="6"/>
        <v>1.3</v>
      </c>
      <c r="O442" s="198">
        <f>_1_5412845612146241046457891017456[[#This Row],[TOTAL]]*_1_5412845612146241046457891017456[[#This Row],[MARGIN]]</f>
        <v>0</v>
      </c>
      <c r="R442" s="41"/>
    </row>
    <row r="443" spans="1:18">
      <c r="D443" s="188"/>
      <c r="F443" s="168" t="s">
        <v>6202</v>
      </c>
      <c r="G443" s="193">
        <f>IF(_1_5412845612146241046457891017456[[#This Row],[Type]]&gt;0,VLOOKUP(_1_5412845612146241046457891017456[[#This Row],[Type]],Main[[#All],[TYPE]:[UNIT]],'Unit Price'!C$1,FALSE),0)</f>
        <v>0</v>
      </c>
      <c r="H443" s="197">
        <f>IF(_1_5412845612146241046457891017456[[#This Row],[Type]]&gt;0,VLOOKUP(_1_5412845612146241046457891017456[[#This Row],[Type]],Main[[#All],[TYPE]:[UNIT]],'Unit Price'!D$1,FALSE),0)</f>
        <v>0</v>
      </c>
      <c r="I443" s="194">
        <f>IF(_1_5412845612146241046457891017456[[#This Row],[Type]]&gt;0,VLOOKUP(_1_5412845612146241046457891017456[[#This Row],[Type]],Main[[#All],[TYPE]:[UNIT]],'Unit Price'!G$1,FALSE),0)</f>
        <v>0</v>
      </c>
      <c r="J443" s="194">
        <f>IF(_1_5412845612146241046457891017456[[#This Row],[Type]]&gt;0,VLOOKUP(_1_5412845612146241046457891017456[[#This Row],[Type]],Main[[#All],[TYPE]:[UNIT]],'Unit Price'!H$1,FALSE),0)</f>
        <v>0</v>
      </c>
      <c r="K443" s="194">
        <f>IF(_1_5412845612146241046457891017456[[#This Row],[Discount selection]]&gt;0,VLOOKUP(_1_5412845612146241046457891017456[[#This Row],[Discount selection]],'Discount Structure'!$A$2:$B$30,2,"false"),0)</f>
        <v>1</v>
      </c>
      <c r="L443" s="194">
        <f>_1_5412845612146241046457891017456[[#This Row],[LIST $]]*_1_5412845612146241046457891017456[[#This Row],[DISCOUNT]]*_1_5412845612146241046457891017456[[#This Row],[DISCOUNT 2]]</f>
        <v>0</v>
      </c>
      <c r="M443" s="194">
        <f>IF(OR(_1_5412845612146241046457891017456[[#This Row],[UNIT]]&gt;0,_1_5412845612146241046457891017456[[#This Row],[UNIT]]&lt;0),_1_5412845612146241046457891017456[[#This Row],[UNIT]]*_1_5412845612146241046457891017456[[#This Row],[COST]],0)</f>
        <v>0</v>
      </c>
      <c r="N443" s="194">
        <f t="shared" si="6"/>
        <v>1.3</v>
      </c>
      <c r="O443" s="198">
        <f>_1_5412845612146241046457891017456[[#This Row],[TOTAL]]*_1_5412845612146241046457891017456[[#This Row],[MARGIN]]</f>
        <v>0</v>
      </c>
      <c r="R443" s="41"/>
    </row>
    <row r="444" spans="1:18">
      <c r="D444" s="188"/>
      <c r="F444" s="168" t="s">
        <v>6202</v>
      </c>
      <c r="G444" s="193">
        <f>IF(_1_5412845612146241046457891017456[[#This Row],[Type]]&gt;0,VLOOKUP(_1_5412845612146241046457891017456[[#This Row],[Type]],Main[[#All],[TYPE]:[UNIT]],'Unit Price'!C$1,FALSE),0)</f>
        <v>0</v>
      </c>
      <c r="H444" s="197">
        <f>IF(_1_5412845612146241046457891017456[[#This Row],[Type]]&gt;0,VLOOKUP(_1_5412845612146241046457891017456[[#This Row],[Type]],Main[[#All],[TYPE]:[UNIT]],'Unit Price'!D$1,FALSE),0)</f>
        <v>0</v>
      </c>
      <c r="I444" s="194">
        <f>IF(_1_5412845612146241046457891017456[[#This Row],[Type]]&gt;0,VLOOKUP(_1_5412845612146241046457891017456[[#This Row],[Type]],Main[[#All],[TYPE]:[UNIT]],'Unit Price'!G$1,FALSE),0)</f>
        <v>0</v>
      </c>
      <c r="J444" s="194">
        <f>IF(_1_5412845612146241046457891017456[[#This Row],[Type]]&gt;0,VLOOKUP(_1_5412845612146241046457891017456[[#This Row],[Type]],Main[[#All],[TYPE]:[UNIT]],'Unit Price'!H$1,FALSE),0)</f>
        <v>0</v>
      </c>
      <c r="K444" s="194">
        <f>IF(_1_5412845612146241046457891017456[[#This Row],[Discount selection]]&gt;0,VLOOKUP(_1_5412845612146241046457891017456[[#This Row],[Discount selection]],'Discount Structure'!$A$2:$B$30,2,"false"),0)</f>
        <v>1</v>
      </c>
      <c r="L444" s="194">
        <f>_1_5412845612146241046457891017456[[#This Row],[LIST $]]*_1_5412845612146241046457891017456[[#This Row],[DISCOUNT]]*_1_5412845612146241046457891017456[[#This Row],[DISCOUNT 2]]</f>
        <v>0</v>
      </c>
      <c r="M444" s="194">
        <f>IF(OR(_1_5412845612146241046457891017456[[#This Row],[UNIT]]&gt;0,_1_5412845612146241046457891017456[[#This Row],[UNIT]]&lt;0),_1_5412845612146241046457891017456[[#This Row],[UNIT]]*_1_5412845612146241046457891017456[[#This Row],[COST]],0)</f>
        <v>0</v>
      </c>
      <c r="N444" s="194">
        <f t="shared" si="6"/>
        <v>1.3</v>
      </c>
      <c r="O444" s="198">
        <f>_1_5412845612146241046457891017456[[#This Row],[TOTAL]]*_1_5412845612146241046457891017456[[#This Row],[MARGIN]]</f>
        <v>0</v>
      </c>
      <c r="R444" s="41"/>
    </row>
    <row r="445" spans="1:18">
      <c r="D445" s="188"/>
      <c r="F445" s="168" t="s">
        <v>6202</v>
      </c>
      <c r="G445" s="193">
        <f>IF(_1_5412845612146241046457891017456[[#This Row],[Type]]&gt;0,VLOOKUP(_1_5412845612146241046457891017456[[#This Row],[Type]],Main[[#All],[TYPE]:[UNIT]],'Unit Price'!C$1,FALSE),0)</f>
        <v>0</v>
      </c>
      <c r="H445" s="197">
        <f>IF(_1_5412845612146241046457891017456[[#This Row],[Type]]&gt;0,VLOOKUP(_1_5412845612146241046457891017456[[#This Row],[Type]],Main[[#All],[TYPE]:[UNIT]],'Unit Price'!D$1,FALSE),0)</f>
        <v>0</v>
      </c>
      <c r="I445" s="194">
        <f>IF(_1_5412845612146241046457891017456[[#This Row],[Type]]&gt;0,VLOOKUP(_1_5412845612146241046457891017456[[#This Row],[Type]],Main[[#All],[TYPE]:[UNIT]],'Unit Price'!G$1,FALSE),0)</f>
        <v>0</v>
      </c>
      <c r="J445" s="194">
        <f>IF(_1_5412845612146241046457891017456[[#This Row],[Type]]&gt;0,VLOOKUP(_1_5412845612146241046457891017456[[#This Row],[Type]],Main[[#All],[TYPE]:[UNIT]],'Unit Price'!H$1,FALSE),0)</f>
        <v>0</v>
      </c>
      <c r="K445" s="194">
        <f>IF(_1_5412845612146241046457891017456[[#This Row],[Discount selection]]&gt;0,VLOOKUP(_1_5412845612146241046457891017456[[#This Row],[Discount selection]],'Discount Structure'!$A$2:$B$30,2,"false"),0)</f>
        <v>1</v>
      </c>
      <c r="L445" s="194">
        <f>_1_5412845612146241046457891017456[[#This Row],[LIST $]]*_1_5412845612146241046457891017456[[#This Row],[DISCOUNT]]*_1_5412845612146241046457891017456[[#This Row],[DISCOUNT 2]]</f>
        <v>0</v>
      </c>
      <c r="M445" s="194">
        <f>IF(OR(_1_5412845612146241046457891017456[[#This Row],[UNIT]]&gt;0,_1_5412845612146241046457891017456[[#This Row],[UNIT]]&lt;0),_1_5412845612146241046457891017456[[#This Row],[UNIT]]*_1_5412845612146241046457891017456[[#This Row],[COST]],0)</f>
        <v>0</v>
      </c>
      <c r="N445" s="194">
        <f t="shared" si="6"/>
        <v>1.3</v>
      </c>
      <c r="O445" s="198">
        <f>_1_5412845612146241046457891017456[[#This Row],[TOTAL]]*_1_5412845612146241046457891017456[[#This Row],[MARGIN]]</f>
        <v>0</v>
      </c>
      <c r="R445" s="41"/>
    </row>
    <row r="446" spans="1:18">
      <c r="D446" s="188"/>
      <c r="F446" s="168" t="s">
        <v>6202</v>
      </c>
      <c r="G446" s="193">
        <f>IF(_1_5412845612146241046457891017456[[#This Row],[Type]]&gt;0,VLOOKUP(_1_5412845612146241046457891017456[[#This Row],[Type]],Main[[#All],[TYPE]:[UNIT]],'Unit Price'!C$1,FALSE),0)</f>
        <v>0</v>
      </c>
      <c r="H446" s="197">
        <f>IF(_1_5412845612146241046457891017456[[#This Row],[Type]]&gt;0,VLOOKUP(_1_5412845612146241046457891017456[[#This Row],[Type]],Main[[#All],[TYPE]:[UNIT]],'Unit Price'!D$1,FALSE),0)</f>
        <v>0</v>
      </c>
      <c r="I446" s="194">
        <f>IF(_1_5412845612146241046457891017456[[#This Row],[Type]]&gt;0,VLOOKUP(_1_5412845612146241046457891017456[[#This Row],[Type]],Main[[#All],[TYPE]:[UNIT]],'Unit Price'!G$1,FALSE),0)</f>
        <v>0</v>
      </c>
      <c r="J446" s="194">
        <f>IF(_1_5412845612146241046457891017456[[#This Row],[Type]]&gt;0,VLOOKUP(_1_5412845612146241046457891017456[[#This Row],[Type]],Main[[#All],[TYPE]:[UNIT]],'Unit Price'!H$1,FALSE),0)</f>
        <v>0</v>
      </c>
      <c r="K446" s="194">
        <f>IF(_1_5412845612146241046457891017456[[#This Row],[Discount selection]]&gt;0,VLOOKUP(_1_5412845612146241046457891017456[[#This Row],[Discount selection]],'Discount Structure'!$A$2:$B$30,2,"false"),0)</f>
        <v>1</v>
      </c>
      <c r="L446" s="194">
        <f>_1_5412845612146241046457891017456[[#This Row],[LIST $]]*_1_5412845612146241046457891017456[[#This Row],[DISCOUNT]]*_1_5412845612146241046457891017456[[#This Row],[DISCOUNT 2]]</f>
        <v>0</v>
      </c>
      <c r="M446" s="194">
        <f>IF(OR(_1_5412845612146241046457891017456[[#This Row],[UNIT]]&gt;0,_1_5412845612146241046457891017456[[#This Row],[UNIT]]&lt;0),_1_5412845612146241046457891017456[[#This Row],[UNIT]]*_1_5412845612146241046457891017456[[#This Row],[COST]],0)</f>
        <v>0</v>
      </c>
      <c r="N446" s="194">
        <f t="shared" si="6"/>
        <v>1.3</v>
      </c>
      <c r="O446" s="198">
        <f>_1_5412845612146241046457891017456[[#This Row],[TOTAL]]*_1_5412845612146241046457891017456[[#This Row],[MARGIN]]</f>
        <v>0</v>
      </c>
      <c r="R446" s="41"/>
    </row>
    <row r="447" spans="1:18">
      <c r="B447" s="168"/>
      <c r="D447" s="188"/>
      <c r="F447" s="168" t="s">
        <v>6202</v>
      </c>
      <c r="G447" s="192">
        <f>IF(_1_5412845612146241046457891017456[[#This Row],[Type]]&gt;0,VLOOKUP(_1_5412845612146241046457891017456[[#This Row],[Type]],Main[[#All],[TYPE]:[UNIT]],'Unit Price'!C$1,FALSE),0)</f>
        <v>0</v>
      </c>
      <c r="H447" s="197">
        <f>IF(_1_5412845612146241046457891017456[[#This Row],[Type]]&gt;0,VLOOKUP(_1_5412845612146241046457891017456[[#This Row],[Type]],Main[[#All],[TYPE]:[UNIT]],'Unit Price'!D$1,FALSE),0)</f>
        <v>0</v>
      </c>
      <c r="I447" s="194">
        <f>IF(_1_5412845612146241046457891017456[[#This Row],[Type]]&gt;0,VLOOKUP(_1_5412845612146241046457891017456[[#This Row],[Type]],Main[[#All],[TYPE]:[UNIT]],'Unit Price'!G$1,FALSE),0)</f>
        <v>0</v>
      </c>
      <c r="J447" s="194">
        <f>IF(_1_5412845612146241046457891017456[[#This Row],[Type]]&gt;0,VLOOKUP(_1_5412845612146241046457891017456[[#This Row],[Type]],Main[[#All],[TYPE]:[UNIT]],'Unit Price'!H$1,FALSE),0)</f>
        <v>0</v>
      </c>
      <c r="K447" s="194">
        <f>IF(_1_5412845612146241046457891017456[[#This Row],[Discount selection]]&gt;0,VLOOKUP(_1_5412845612146241046457891017456[[#This Row],[Discount selection]],'Discount Structure'!$A$2:$B$30,2,"false"),0)</f>
        <v>1</v>
      </c>
      <c r="L447" s="194">
        <f>_1_5412845612146241046457891017456[[#This Row],[LIST $]]*_1_5412845612146241046457891017456[[#This Row],[DISCOUNT]]*_1_5412845612146241046457891017456[[#This Row],[DISCOUNT 2]]</f>
        <v>0</v>
      </c>
      <c r="M447" s="194">
        <f>IF(OR(_1_5412845612146241046457891017456[[#This Row],[UNIT]]&gt;0,_1_5412845612146241046457891017456[[#This Row],[UNIT]]&lt;0),_1_5412845612146241046457891017456[[#This Row],[UNIT]]*_1_5412845612146241046457891017456[[#This Row],[COST]],0)</f>
        <v>0</v>
      </c>
      <c r="N447" s="194">
        <f t="shared" si="6"/>
        <v>1.3</v>
      </c>
      <c r="O447" s="198">
        <f>_1_5412845612146241046457891017456[[#This Row],[TOTAL]]*_1_5412845612146241046457891017456[[#This Row],[MARGIN]]</f>
        <v>0</v>
      </c>
      <c r="R447" s="41"/>
    </row>
    <row r="448" spans="1:18">
      <c r="D448" s="188"/>
      <c r="F448" s="168" t="s">
        <v>6202</v>
      </c>
      <c r="G448" s="193">
        <f>IF(_1_5412845612146241046457891017456[[#This Row],[Type]]&gt;0,VLOOKUP(_1_5412845612146241046457891017456[[#This Row],[Type]],Main[[#All],[TYPE]:[UNIT]],'Unit Price'!C$1,FALSE),0)</f>
        <v>0</v>
      </c>
      <c r="H448" s="197">
        <f>IF(_1_5412845612146241046457891017456[[#This Row],[Type]]&gt;0,VLOOKUP(_1_5412845612146241046457891017456[[#This Row],[Type]],Main[[#All],[TYPE]:[UNIT]],'Unit Price'!D$1,FALSE),0)</f>
        <v>0</v>
      </c>
      <c r="I448" s="194">
        <f>IF(_1_5412845612146241046457891017456[[#This Row],[Type]]&gt;0,VLOOKUP(_1_5412845612146241046457891017456[[#This Row],[Type]],Main[[#All],[TYPE]:[UNIT]],'Unit Price'!G$1,FALSE),0)</f>
        <v>0</v>
      </c>
      <c r="J448" s="194">
        <f>IF(_1_5412845612146241046457891017456[[#This Row],[Type]]&gt;0,VLOOKUP(_1_5412845612146241046457891017456[[#This Row],[Type]],Main[[#All],[TYPE]:[UNIT]],'Unit Price'!H$1,FALSE),0)</f>
        <v>0</v>
      </c>
      <c r="K448" s="194">
        <f>IF(_1_5412845612146241046457891017456[[#This Row],[Discount selection]]&gt;0,VLOOKUP(_1_5412845612146241046457891017456[[#This Row],[Discount selection]],'Discount Structure'!$A$2:$B$30,2,"false"),0)</f>
        <v>1</v>
      </c>
      <c r="L448" s="194">
        <f>_1_5412845612146241046457891017456[[#This Row],[LIST $]]*_1_5412845612146241046457891017456[[#This Row],[DISCOUNT]]*_1_5412845612146241046457891017456[[#This Row],[DISCOUNT 2]]</f>
        <v>0</v>
      </c>
      <c r="M448" s="194">
        <f>IF(OR(_1_5412845612146241046457891017456[[#This Row],[UNIT]]&gt;0,_1_5412845612146241046457891017456[[#This Row],[UNIT]]&lt;0),_1_5412845612146241046457891017456[[#This Row],[UNIT]]*_1_5412845612146241046457891017456[[#This Row],[COST]],0)</f>
        <v>0</v>
      </c>
      <c r="N448" s="194">
        <f t="shared" si="6"/>
        <v>1.3</v>
      </c>
      <c r="O448" s="198">
        <f>_1_5412845612146241046457891017456[[#This Row],[TOTAL]]*_1_5412845612146241046457891017456[[#This Row],[MARGIN]]</f>
        <v>0</v>
      </c>
      <c r="R448" s="41"/>
    </row>
    <row r="449" spans="1:18">
      <c r="B449" s="168"/>
      <c r="D449" s="188"/>
      <c r="F449" s="168" t="s">
        <v>6202</v>
      </c>
      <c r="G449" s="193">
        <f>IF(_1_5412845612146241046457891017456[[#This Row],[Type]]&gt;0,VLOOKUP(_1_5412845612146241046457891017456[[#This Row],[Type]],Main[[#All],[TYPE]:[UNIT]],'Unit Price'!C$1,FALSE),0)</f>
        <v>0</v>
      </c>
      <c r="H449" s="197">
        <f>IF(_1_5412845612146241046457891017456[[#This Row],[Type]]&gt;0,VLOOKUP(_1_5412845612146241046457891017456[[#This Row],[Type]],Main[[#All],[TYPE]:[UNIT]],'Unit Price'!D$1,FALSE),0)</f>
        <v>0</v>
      </c>
      <c r="I449" s="194">
        <f>IF(_1_5412845612146241046457891017456[[#This Row],[Type]]&gt;0,VLOOKUP(_1_5412845612146241046457891017456[[#This Row],[Type]],Main[[#All],[TYPE]:[UNIT]],'Unit Price'!G$1,FALSE),0)</f>
        <v>0</v>
      </c>
      <c r="J449" s="194">
        <f>IF(_1_5412845612146241046457891017456[[#This Row],[Type]]&gt;0,VLOOKUP(_1_5412845612146241046457891017456[[#This Row],[Type]],Main[[#All],[TYPE]:[UNIT]],'Unit Price'!H$1,FALSE),0)</f>
        <v>0</v>
      </c>
      <c r="K449" s="194">
        <f>IF(_1_5412845612146241046457891017456[[#This Row],[Discount selection]]&gt;0,VLOOKUP(_1_5412845612146241046457891017456[[#This Row],[Discount selection]],'Discount Structure'!$A$2:$B$30,2,"false"),0)</f>
        <v>1</v>
      </c>
      <c r="L449" s="194">
        <f>_1_5412845612146241046457891017456[[#This Row],[LIST $]]*_1_5412845612146241046457891017456[[#This Row],[DISCOUNT]]*_1_5412845612146241046457891017456[[#This Row],[DISCOUNT 2]]</f>
        <v>0</v>
      </c>
      <c r="M449" s="194">
        <f>IF(OR(_1_5412845612146241046457891017456[[#This Row],[UNIT]]&gt;0,_1_5412845612146241046457891017456[[#This Row],[UNIT]]&lt;0),_1_5412845612146241046457891017456[[#This Row],[UNIT]]*_1_5412845612146241046457891017456[[#This Row],[COST]],0)</f>
        <v>0</v>
      </c>
      <c r="N449" s="194">
        <f t="shared" si="6"/>
        <v>1.3</v>
      </c>
      <c r="O449" s="198">
        <f>_1_5412845612146241046457891017456[[#This Row],[TOTAL]]*_1_5412845612146241046457891017456[[#This Row],[MARGIN]]</f>
        <v>0</v>
      </c>
      <c r="R449" s="41"/>
    </row>
    <row r="450" spans="1:18">
      <c r="D450" s="188"/>
      <c r="F450" s="168" t="s">
        <v>6202</v>
      </c>
      <c r="G450" s="193">
        <f>IF(_1_5412845612146241046457891017456[[#This Row],[Type]]&gt;0,VLOOKUP(_1_5412845612146241046457891017456[[#This Row],[Type]],Main[[#All],[TYPE]:[UNIT]],'Unit Price'!C$1,FALSE),0)</f>
        <v>0</v>
      </c>
      <c r="H450" s="197">
        <f>IF(_1_5412845612146241046457891017456[[#This Row],[Type]]&gt;0,VLOOKUP(_1_5412845612146241046457891017456[[#This Row],[Type]],Main[[#All],[TYPE]:[UNIT]],'Unit Price'!D$1,FALSE),0)</f>
        <v>0</v>
      </c>
      <c r="I450" s="194">
        <f>IF(_1_5412845612146241046457891017456[[#This Row],[Type]]&gt;0,VLOOKUP(_1_5412845612146241046457891017456[[#This Row],[Type]],Main[[#All],[TYPE]:[UNIT]],'Unit Price'!G$1,FALSE),0)</f>
        <v>0</v>
      </c>
      <c r="J450" s="194">
        <f>IF(_1_5412845612146241046457891017456[[#This Row],[Type]]&gt;0,VLOOKUP(_1_5412845612146241046457891017456[[#This Row],[Type]],Main[[#All],[TYPE]:[UNIT]],'Unit Price'!H$1,FALSE),0)</f>
        <v>0</v>
      </c>
      <c r="K450" s="194">
        <f>IF(_1_5412845612146241046457891017456[[#This Row],[Discount selection]]&gt;0,VLOOKUP(_1_5412845612146241046457891017456[[#This Row],[Discount selection]],'Discount Structure'!$A$2:$B$30,2,"false"),0)</f>
        <v>1</v>
      </c>
      <c r="L450" s="194">
        <f>_1_5412845612146241046457891017456[[#This Row],[LIST $]]*_1_5412845612146241046457891017456[[#This Row],[DISCOUNT]]*_1_5412845612146241046457891017456[[#This Row],[DISCOUNT 2]]</f>
        <v>0</v>
      </c>
      <c r="M450" s="194">
        <f>IF(OR(_1_5412845612146241046457891017456[[#This Row],[UNIT]]&gt;0,_1_5412845612146241046457891017456[[#This Row],[UNIT]]&lt;0),_1_5412845612146241046457891017456[[#This Row],[UNIT]]*_1_5412845612146241046457891017456[[#This Row],[COST]],0)</f>
        <v>0</v>
      </c>
      <c r="N450" s="194">
        <f t="shared" si="6"/>
        <v>1.3</v>
      </c>
      <c r="O450" s="198">
        <f>_1_5412845612146241046457891017456[[#This Row],[TOTAL]]*_1_5412845612146241046457891017456[[#This Row],[MARGIN]]</f>
        <v>0</v>
      </c>
      <c r="R450" s="41"/>
    </row>
    <row r="451" spans="1:18">
      <c r="D451" s="188"/>
      <c r="F451" s="168" t="s">
        <v>6202</v>
      </c>
      <c r="G451" s="193">
        <f>IF(_1_5412845612146241046457891017456[[#This Row],[Type]]&gt;0,VLOOKUP(_1_5412845612146241046457891017456[[#This Row],[Type]],Main[[#All],[TYPE]:[UNIT]],'Unit Price'!C$1,FALSE),0)</f>
        <v>0</v>
      </c>
      <c r="H451" s="197">
        <f>IF(_1_5412845612146241046457891017456[[#This Row],[Type]]&gt;0,VLOOKUP(_1_5412845612146241046457891017456[[#This Row],[Type]],Main[[#All],[TYPE]:[UNIT]],'Unit Price'!D$1,FALSE),0)</f>
        <v>0</v>
      </c>
      <c r="I451" s="194">
        <f>IF(_1_5412845612146241046457891017456[[#This Row],[Type]]&gt;0,VLOOKUP(_1_5412845612146241046457891017456[[#This Row],[Type]],Main[[#All],[TYPE]:[UNIT]],'Unit Price'!G$1,FALSE),0)</f>
        <v>0</v>
      </c>
      <c r="J451" s="194">
        <f>IF(_1_5412845612146241046457891017456[[#This Row],[Type]]&gt;0,VLOOKUP(_1_5412845612146241046457891017456[[#This Row],[Type]],Main[[#All],[TYPE]:[UNIT]],'Unit Price'!H$1,FALSE),0)</f>
        <v>0</v>
      </c>
      <c r="K451" s="194">
        <f>IF(_1_5412845612146241046457891017456[[#This Row],[Discount selection]]&gt;0,VLOOKUP(_1_5412845612146241046457891017456[[#This Row],[Discount selection]],'Discount Structure'!$A$2:$B$30,2,"false"),0)</f>
        <v>1</v>
      </c>
      <c r="L451" s="194">
        <f>_1_5412845612146241046457891017456[[#This Row],[LIST $]]*_1_5412845612146241046457891017456[[#This Row],[DISCOUNT]]*_1_5412845612146241046457891017456[[#This Row],[DISCOUNT 2]]</f>
        <v>0</v>
      </c>
      <c r="M451" s="194">
        <f>IF(OR(_1_5412845612146241046457891017456[[#This Row],[UNIT]]&gt;0,_1_5412845612146241046457891017456[[#This Row],[UNIT]]&lt;0),_1_5412845612146241046457891017456[[#This Row],[UNIT]]*_1_5412845612146241046457891017456[[#This Row],[COST]],0)</f>
        <v>0</v>
      </c>
      <c r="N451" s="194">
        <f t="shared" si="6"/>
        <v>1.3</v>
      </c>
      <c r="O451" s="198">
        <f>_1_5412845612146241046457891017456[[#This Row],[TOTAL]]*_1_5412845612146241046457891017456[[#This Row],[MARGIN]]</f>
        <v>0</v>
      </c>
      <c r="R451" s="41"/>
    </row>
    <row r="452" spans="1:18">
      <c r="D452" s="188"/>
      <c r="F452" s="168" t="s">
        <v>6202</v>
      </c>
      <c r="G452" s="193">
        <f>IF(_1_5412845612146241046457891017456[[#This Row],[Type]]&gt;0,VLOOKUP(_1_5412845612146241046457891017456[[#This Row],[Type]],Main[[#All],[TYPE]:[UNIT]],'Unit Price'!C$1,FALSE),0)</f>
        <v>0</v>
      </c>
      <c r="H452" s="197">
        <f>IF(_1_5412845612146241046457891017456[[#This Row],[Type]]&gt;0,VLOOKUP(_1_5412845612146241046457891017456[[#This Row],[Type]],Main[[#All],[TYPE]:[UNIT]],'Unit Price'!D$1,FALSE),0)</f>
        <v>0</v>
      </c>
      <c r="I452" s="194">
        <f>IF(_1_5412845612146241046457891017456[[#This Row],[Type]]&gt;0,VLOOKUP(_1_5412845612146241046457891017456[[#This Row],[Type]],Main[[#All],[TYPE]:[UNIT]],'Unit Price'!G$1,FALSE),0)</f>
        <v>0</v>
      </c>
      <c r="J452" s="194">
        <f>IF(_1_5412845612146241046457891017456[[#This Row],[Type]]&gt;0,VLOOKUP(_1_5412845612146241046457891017456[[#This Row],[Type]],Main[[#All],[TYPE]:[UNIT]],'Unit Price'!H$1,FALSE),0)</f>
        <v>0</v>
      </c>
      <c r="K452" s="194">
        <f>IF(_1_5412845612146241046457891017456[[#This Row],[Discount selection]]&gt;0,VLOOKUP(_1_5412845612146241046457891017456[[#This Row],[Discount selection]],'Discount Structure'!$A$2:$B$30,2,"false"),0)</f>
        <v>1</v>
      </c>
      <c r="L452" s="194">
        <f>_1_5412845612146241046457891017456[[#This Row],[LIST $]]*_1_5412845612146241046457891017456[[#This Row],[DISCOUNT]]*_1_5412845612146241046457891017456[[#This Row],[DISCOUNT 2]]</f>
        <v>0</v>
      </c>
      <c r="M452" s="194">
        <f>IF(OR(_1_5412845612146241046457891017456[[#This Row],[UNIT]]&gt;0,_1_5412845612146241046457891017456[[#This Row],[UNIT]]&lt;0),_1_5412845612146241046457891017456[[#This Row],[UNIT]]*_1_5412845612146241046457891017456[[#This Row],[COST]],0)</f>
        <v>0</v>
      </c>
      <c r="N452" s="194">
        <f t="shared" si="6"/>
        <v>1.3</v>
      </c>
      <c r="O452" s="198">
        <f>_1_5412845612146241046457891017456[[#This Row],[TOTAL]]*_1_5412845612146241046457891017456[[#This Row],[MARGIN]]</f>
        <v>0</v>
      </c>
      <c r="R452" s="41"/>
    </row>
    <row r="453" spans="1:18">
      <c r="D453" s="188"/>
      <c r="F453" s="168" t="s">
        <v>6202</v>
      </c>
      <c r="G453" s="193">
        <f>IF(_1_5412845612146241046457891017456[[#This Row],[Type]]&gt;0,VLOOKUP(_1_5412845612146241046457891017456[[#This Row],[Type]],Main[[#All],[TYPE]:[UNIT]],'Unit Price'!C$1,FALSE),0)</f>
        <v>0</v>
      </c>
      <c r="H453" s="197">
        <f>IF(_1_5412845612146241046457891017456[[#This Row],[Type]]&gt;0,VLOOKUP(_1_5412845612146241046457891017456[[#This Row],[Type]],Main[[#All],[TYPE]:[UNIT]],'Unit Price'!D$1,FALSE),0)</f>
        <v>0</v>
      </c>
      <c r="I453" s="194">
        <f>IF(_1_5412845612146241046457891017456[[#This Row],[Type]]&gt;0,VLOOKUP(_1_5412845612146241046457891017456[[#This Row],[Type]],Main[[#All],[TYPE]:[UNIT]],'Unit Price'!G$1,FALSE),0)</f>
        <v>0</v>
      </c>
      <c r="J453" s="194">
        <f>IF(_1_5412845612146241046457891017456[[#This Row],[Type]]&gt;0,VLOOKUP(_1_5412845612146241046457891017456[[#This Row],[Type]],Main[[#All],[TYPE]:[UNIT]],'Unit Price'!H$1,FALSE),0)</f>
        <v>0</v>
      </c>
      <c r="K453" s="194">
        <f>IF(_1_5412845612146241046457891017456[[#This Row],[Discount selection]]&gt;0,VLOOKUP(_1_5412845612146241046457891017456[[#This Row],[Discount selection]],'Discount Structure'!$A$2:$B$30,2,"false"),0)</f>
        <v>1</v>
      </c>
      <c r="L453" s="194">
        <f>_1_5412845612146241046457891017456[[#This Row],[LIST $]]*_1_5412845612146241046457891017456[[#This Row],[DISCOUNT]]*_1_5412845612146241046457891017456[[#This Row],[DISCOUNT 2]]</f>
        <v>0</v>
      </c>
      <c r="M453" s="194">
        <f>IF(OR(_1_5412845612146241046457891017456[[#This Row],[UNIT]]&gt;0,_1_5412845612146241046457891017456[[#This Row],[UNIT]]&lt;0),_1_5412845612146241046457891017456[[#This Row],[UNIT]]*_1_5412845612146241046457891017456[[#This Row],[COST]],0)</f>
        <v>0</v>
      </c>
      <c r="N453" s="194">
        <f t="shared" si="6"/>
        <v>1.3</v>
      </c>
      <c r="O453" s="198">
        <f>_1_5412845612146241046457891017456[[#This Row],[TOTAL]]*_1_5412845612146241046457891017456[[#This Row],[MARGIN]]</f>
        <v>0</v>
      </c>
      <c r="R453" s="41"/>
    </row>
    <row r="454" spans="1:18">
      <c r="D454" s="188"/>
      <c r="F454" s="168" t="s">
        <v>6202</v>
      </c>
      <c r="G454" s="193">
        <f>IF(_1_5412845612146241046457891017456[[#This Row],[Type]]&gt;0,VLOOKUP(_1_5412845612146241046457891017456[[#This Row],[Type]],Main[[#All],[TYPE]:[UNIT]],'Unit Price'!C$1,FALSE),0)</f>
        <v>0</v>
      </c>
      <c r="H454" s="197">
        <f>IF(_1_5412845612146241046457891017456[[#This Row],[Type]]&gt;0,VLOOKUP(_1_5412845612146241046457891017456[[#This Row],[Type]],Main[[#All],[TYPE]:[UNIT]],'Unit Price'!D$1,FALSE),0)</f>
        <v>0</v>
      </c>
      <c r="I454" s="194">
        <f>IF(_1_5412845612146241046457891017456[[#This Row],[Type]]&gt;0,VLOOKUP(_1_5412845612146241046457891017456[[#This Row],[Type]],Main[[#All],[TYPE]:[UNIT]],'Unit Price'!G$1,FALSE),0)</f>
        <v>0</v>
      </c>
      <c r="J454" s="194">
        <f>IF(_1_5412845612146241046457891017456[[#This Row],[Type]]&gt;0,VLOOKUP(_1_5412845612146241046457891017456[[#This Row],[Type]],Main[[#All],[TYPE]:[UNIT]],'Unit Price'!H$1,FALSE),0)</f>
        <v>0</v>
      </c>
      <c r="K454" s="194">
        <f>IF(_1_5412845612146241046457891017456[[#This Row],[Discount selection]]&gt;0,VLOOKUP(_1_5412845612146241046457891017456[[#This Row],[Discount selection]],'Discount Structure'!$A$2:$B$30,2,"false"),0)</f>
        <v>1</v>
      </c>
      <c r="L454" s="194">
        <f>_1_5412845612146241046457891017456[[#This Row],[LIST $]]*_1_5412845612146241046457891017456[[#This Row],[DISCOUNT]]*_1_5412845612146241046457891017456[[#This Row],[DISCOUNT 2]]</f>
        <v>0</v>
      </c>
      <c r="M454" s="194">
        <f>IF(OR(_1_5412845612146241046457891017456[[#This Row],[UNIT]]&gt;0,_1_5412845612146241046457891017456[[#This Row],[UNIT]]&lt;0),_1_5412845612146241046457891017456[[#This Row],[UNIT]]*_1_5412845612146241046457891017456[[#This Row],[COST]],0)</f>
        <v>0</v>
      </c>
      <c r="N454" s="194">
        <f t="shared" si="6"/>
        <v>1.3</v>
      </c>
      <c r="O454" s="198">
        <f>_1_5412845612146241046457891017456[[#This Row],[TOTAL]]*_1_5412845612146241046457891017456[[#This Row],[MARGIN]]</f>
        <v>0</v>
      </c>
      <c r="R454" s="41"/>
    </row>
    <row r="455" spans="1:18">
      <c r="D455" s="188"/>
      <c r="F455" s="168" t="s">
        <v>6202</v>
      </c>
      <c r="G455" s="193">
        <f>IF(_1_5412845612146241046457891017456[[#This Row],[Type]]&gt;0,VLOOKUP(_1_5412845612146241046457891017456[[#This Row],[Type]],Main[[#All],[TYPE]:[UNIT]],'Unit Price'!C$1,FALSE),0)</f>
        <v>0</v>
      </c>
      <c r="H455" s="197">
        <f>IF(_1_5412845612146241046457891017456[[#This Row],[Type]]&gt;0,VLOOKUP(_1_5412845612146241046457891017456[[#This Row],[Type]],Main[[#All],[TYPE]:[UNIT]],'Unit Price'!D$1,FALSE),0)</f>
        <v>0</v>
      </c>
      <c r="I455" s="194">
        <f>IF(_1_5412845612146241046457891017456[[#This Row],[Type]]&gt;0,VLOOKUP(_1_5412845612146241046457891017456[[#This Row],[Type]],Main[[#All],[TYPE]:[UNIT]],'Unit Price'!G$1,FALSE),0)</f>
        <v>0</v>
      </c>
      <c r="J455" s="194">
        <f>IF(_1_5412845612146241046457891017456[[#This Row],[Type]]&gt;0,VLOOKUP(_1_5412845612146241046457891017456[[#This Row],[Type]],Main[[#All],[TYPE]:[UNIT]],'Unit Price'!H$1,FALSE),0)</f>
        <v>0</v>
      </c>
      <c r="K455" s="194">
        <f>IF(_1_5412845612146241046457891017456[[#This Row],[Discount selection]]&gt;0,VLOOKUP(_1_5412845612146241046457891017456[[#This Row],[Discount selection]],'Discount Structure'!$A$2:$B$30,2,"false"),0)</f>
        <v>1</v>
      </c>
      <c r="L455" s="194">
        <f>_1_5412845612146241046457891017456[[#This Row],[LIST $]]*_1_5412845612146241046457891017456[[#This Row],[DISCOUNT]]*_1_5412845612146241046457891017456[[#This Row],[DISCOUNT 2]]</f>
        <v>0</v>
      </c>
      <c r="M455" s="194">
        <f>IF(OR(_1_5412845612146241046457891017456[[#This Row],[UNIT]]&gt;0,_1_5412845612146241046457891017456[[#This Row],[UNIT]]&lt;0),_1_5412845612146241046457891017456[[#This Row],[UNIT]]*_1_5412845612146241046457891017456[[#This Row],[COST]],0)</f>
        <v>0</v>
      </c>
      <c r="N455" s="194">
        <f t="shared" si="6"/>
        <v>1.3</v>
      </c>
      <c r="O455" s="198">
        <f>_1_5412845612146241046457891017456[[#This Row],[TOTAL]]*_1_5412845612146241046457891017456[[#This Row],[MARGIN]]</f>
        <v>0</v>
      </c>
      <c r="R455" s="41"/>
    </row>
    <row r="456" spans="1:18">
      <c r="A456" s="168"/>
      <c r="D456" s="188"/>
      <c r="F456" s="168" t="s">
        <v>6202</v>
      </c>
      <c r="G456" s="193">
        <f>IF(_1_5412845612146241046457891017456[[#This Row],[Type]]&gt;0,VLOOKUP(_1_5412845612146241046457891017456[[#This Row],[Type]],Main[[#All],[TYPE]:[UNIT]],'Unit Price'!C$1,FALSE),0)</f>
        <v>0</v>
      </c>
      <c r="H456" s="197">
        <f>IF(_1_5412845612146241046457891017456[[#This Row],[Type]]&gt;0,VLOOKUP(_1_5412845612146241046457891017456[[#This Row],[Type]],Main[[#All],[TYPE]:[UNIT]],'Unit Price'!D$1,FALSE),0)</f>
        <v>0</v>
      </c>
      <c r="I456" s="194">
        <f>IF(_1_5412845612146241046457891017456[[#This Row],[Type]]&gt;0,VLOOKUP(_1_5412845612146241046457891017456[[#This Row],[Type]],Main[[#All],[TYPE]:[UNIT]],'Unit Price'!G$1,FALSE),0)</f>
        <v>0</v>
      </c>
      <c r="J456" s="194">
        <f>IF(_1_5412845612146241046457891017456[[#This Row],[Type]]&gt;0,VLOOKUP(_1_5412845612146241046457891017456[[#This Row],[Type]],Main[[#All],[TYPE]:[UNIT]],'Unit Price'!H$1,FALSE),0)</f>
        <v>0</v>
      </c>
      <c r="K456" s="194">
        <f>IF(_1_5412845612146241046457891017456[[#This Row],[Discount selection]]&gt;0,VLOOKUP(_1_5412845612146241046457891017456[[#This Row],[Discount selection]],'Discount Structure'!$A$2:$B$30,2,"false"),0)</f>
        <v>1</v>
      </c>
      <c r="L456" s="194">
        <f>_1_5412845612146241046457891017456[[#This Row],[LIST $]]*_1_5412845612146241046457891017456[[#This Row],[DISCOUNT]]*_1_5412845612146241046457891017456[[#This Row],[DISCOUNT 2]]</f>
        <v>0</v>
      </c>
      <c r="M456" s="194">
        <f>IF(OR(_1_5412845612146241046457891017456[[#This Row],[UNIT]]&gt;0,_1_5412845612146241046457891017456[[#This Row],[UNIT]]&lt;0),_1_5412845612146241046457891017456[[#This Row],[UNIT]]*_1_5412845612146241046457891017456[[#This Row],[COST]],0)</f>
        <v>0</v>
      </c>
      <c r="N456" s="194">
        <f t="shared" si="6"/>
        <v>1.3</v>
      </c>
      <c r="O456" s="198">
        <f>_1_5412845612146241046457891017456[[#This Row],[TOTAL]]*_1_5412845612146241046457891017456[[#This Row],[MARGIN]]</f>
        <v>0</v>
      </c>
      <c r="R456" s="41"/>
    </row>
    <row r="457" spans="1:18">
      <c r="D457" s="188"/>
      <c r="F457" s="168" t="s">
        <v>6202</v>
      </c>
      <c r="G457" s="192">
        <f>IF(_1_5412845612146241046457891017456[[#This Row],[Type]]&gt;0,VLOOKUP(_1_5412845612146241046457891017456[[#This Row],[Type]],Main[[#All],[TYPE]:[UNIT]],'Unit Price'!C$1,FALSE),0)</f>
        <v>0</v>
      </c>
      <c r="H457" s="197">
        <f>IF(_1_5412845612146241046457891017456[[#This Row],[Type]]&gt;0,VLOOKUP(_1_5412845612146241046457891017456[[#This Row],[Type]],Main[[#All],[TYPE]:[UNIT]],'Unit Price'!D$1,FALSE),0)</f>
        <v>0</v>
      </c>
      <c r="I457" s="194">
        <f>IF(_1_5412845612146241046457891017456[[#This Row],[Type]]&gt;0,VLOOKUP(_1_5412845612146241046457891017456[[#This Row],[Type]],Main[[#All],[TYPE]:[UNIT]],'Unit Price'!G$1,FALSE),0)</f>
        <v>0</v>
      </c>
      <c r="J457" s="194">
        <f>IF(_1_5412845612146241046457891017456[[#This Row],[Type]]&gt;0,VLOOKUP(_1_5412845612146241046457891017456[[#This Row],[Type]],Main[[#All],[TYPE]:[UNIT]],'Unit Price'!H$1,FALSE),0)</f>
        <v>0</v>
      </c>
      <c r="K457" s="194">
        <f>IF(_1_5412845612146241046457891017456[[#This Row],[Discount selection]]&gt;0,VLOOKUP(_1_5412845612146241046457891017456[[#This Row],[Discount selection]],'Discount Structure'!$A$2:$B$30,2,"false"),0)</f>
        <v>1</v>
      </c>
      <c r="L457" s="194">
        <f>_1_5412845612146241046457891017456[[#This Row],[LIST $]]*_1_5412845612146241046457891017456[[#This Row],[DISCOUNT]]*_1_5412845612146241046457891017456[[#This Row],[DISCOUNT 2]]</f>
        <v>0</v>
      </c>
      <c r="M457" s="194">
        <f>IF(OR(_1_5412845612146241046457891017456[[#This Row],[UNIT]]&gt;0,_1_5412845612146241046457891017456[[#This Row],[UNIT]]&lt;0),_1_5412845612146241046457891017456[[#This Row],[UNIT]]*_1_5412845612146241046457891017456[[#This Row],[COST]],0)</f>
        <v>0</v>
      </c>
      <c r="N457" s="194">
        <f t="shared" si="6"/>
        <v>1.3</v>
      </c>
      <c r="O457" s="198">
        <f>_1_5412845612146241046457891017456[[#This Row],[TOTAL]]*_1_5412845612146241046457891017456[[#This Row],[MARGIN]]</f>
        <v>0</v>
      </c>
      <c r="R457" s="41"/>
    </row>
    <row r="458" spans="1:18">
      <c r="D458" s="188"/>
      <c r="F458" s="168" t="s">
        <v>6202</v>
      </c>
      <c r="G458" s="193">
        <f>IF(_1_5412845612146241046457891017456[[#This Row],[Type]]&gt;0,VLOOKUP(_1_5412845612146241046457891017456[[#This Row],[Type]],Main[[#All],[TYPE]:[UNIT]],'Unit Price'!C$1,FALSE),0)</f>
        <v>0</v>
      </c>
      <c r="H458" s="197">
        <f>IF(_1_5412845612146241046457891017456[[#This Row],[Type]]&gt;0,VLOOKUP(_1_5412845612146241046457891017456[[#This Row],[Type]],Main[[#All],[TYPE]:[UNIT]],'Unit Price'!D$1,FALSE),0)</f>
        <v>0</v>
      </c>
      <c r="I458" s="194">
        <f>IF(_1_5412845612146241046457891017456[[#This Row],[Type]]&gt;0,VLOOKUP(_1_5412845612146241046457891017456[[#This Row],[Type]],Main[[#All],[TYPE]:[UNIT]],'Unit Price'!G$1,FALSE),0)</f>
        <v>0</v>
      </c>
      <c r="J458" s="194">
        <f>IF(_1_5412845612146241046457891017456[[#This Row],[Type]]&gt;0,VLOOKUP(_1_5412845612146241046457891017456[[#This Row],[Type]],Main[[#All],[TYPE]:[UNIT]],'Unit Price'!H$1,FALSE),0)</f>
        <v>0</v>
      </c>
      <c r="K458" s="194">
        <f>IF(_1_5412845612146241046457891017456[[#This Row],[Discount selection]]&gt;0,VLOOKUP(_1_5412845612146241046457891017456[[#This Row],[Discount selection]],'Discount Structure'!$A$2:$B$30,2,"false"),0)</f>
        <v>1</v>
      </c>
      <c r="L458" s="194">
        <f>_1_5412845612146241046457891017456[[#This Row],[LIST $]]*_1_5412845612146241046457891017456[[#This Row],[DISCOUNT]]*_1_5412845612146241046457891017456[[#This Row],[DISCOUNT 2]]</f>
        <v>0</v>
      </c>
      <c r="M458" s="194">
        <f>IF(OR(_1_5412845612146241046457891017456[[#This Row],[UNIT]]&gt;0,_1_5412845612146241046457891017456[[#This Row],[UNIT]]&lt;0),_1_5412845612146241046457891017456[[#This Row],[UNIT]]*_1_5412845612146241046457891017456[[#This Row],[COST]],0)</f>
        <v>0</v>
      </c>
      <c r="N458" s="194">
        <f t="shared" ref="N458:N521" si="7">$N$7</f>
        <v>1.3</v>
      </c>
      <c r="O458" s="198">
        <f>_1_5412845612146241046457891017456[[#This Row],[TOTAL]]*_1_5412845612146241046457891017456[[#This Row],[MARGIN]]</f>
        <v>0</v>
      </c>
      <c r="R458" s="41"/>
    </row>
    <row r="459" spans="1:18">
      <c r="D459" s="188"/>
      <c r="F459" s="168" t="s">
        <v>6202</v>
      </c>
      <c r="G459" s="193">
        <f>IF(_1_5412845612146241046457891017456[[#This Row],[Type]]&gt;0,VLOOKUP(_1_5412845612146241046457891017456[[#This Row],[Type]],Main[[#All],[TYPE]:[UNIT]],'Unit Price'!C$1,FALSE),0)</f>
        <v>0</v>
      </c>
      <c r="H459" s="197">
        <f>IF(_1_5412845612146241046457891017456[[#This Row],[Type]]&gt;0,VLOOKUP(_1_5412845612146241046457891017456[[#This Row],[Type]],Main[[#All],[TYPE]:[UNIT]],'Unit Price'!D$1,FALSE),0)</f>
        <v>0</v>
      </c>
      <c r="I459" s="194">
        <f>IF(_1_5412845612146241046457891017456[[#This Row],[Type]]&gt;0,VLOOKUP(_1_5412845612146241046457891017456[[#This Row],[Type]],Main[[#All],[TYPE]:[UNIT]],'Unit Price'!G$1,FALSE),0)</f>
        <v>0</v>
      </c>
      <c r="J459" s="194">
        <f>IF(_1_5412845612146241046457891017456[[#This Row],[Type]]&gt;0,VLOOKUP(_1_5412845612146241046457891017456[[#This Row],[Type]],Main[[#All],[TYPE]:[UNIT]],'Unit Price'!H$1,FALSE),0)</f>
        <v>0</v>
      </c>
      <c r="K459" s="194">
        <f>IF(_1_5412845612146241046457891017456[[#This Row],[Discount selection]]&gt;0,VLOOKUP(_1_5412845612146241046457891017456[[#This Row],[Discount selection]],'Discount Structure'!$A$2:$B$30,2,"false"),0)</f>
        <v>1</v>
      </c>
      <c r="L459" s="194">
        <f>_1_5412845612146241046457891017456[[#This Row],[LIST $]]*_1_5412845612146241046457891017456[[#This Row],[DISCOUNT]]*_1_5412845612146241046457891017456[[#This Row],[DISCOUNT 2]]</f>
        <v>0</v>
      </c>
      <c r="M459" s="194">
        <f>IF(OR(_1_5412845612146241046457891017456[[#This Row],[UNIT]]&gt;0,_1_5412845612146241046457891017456[[#This Row],[UNIT]]&lt;0),_1_5412845612146241046457891017456[[#This Row],[UNIT]]*_1_5412845612146241046457891017456[[#This Row],[COST]],0)</f>
        <v>0</v>
      </c>
      <c r="N459" s="194">
        <f t="shared" si="7"/>
        <v>1.3</v>
      </c>
      <c r="O459" s="198">
        <f>_1_5412845612146241046457891017456[[#This Row],[TOTAL]]*_1_5412845612146241046457891017456[[#This Row],[MARGIN]]</f>
        <v>0</v>
      </c>
      <c r="R459" s="41"/>
    </row>
    <row r="460" spans="1:18">
      <c r="D460" s="188"/>
      <c r="F460" s="168" t="s">
        <v>6202</v>
      </c>
      <c r="G460" s="193">
        <f>IF(_1_5412845612146241046457891017456[[#This Row],[Type]]&gt;0,VLOOKUP(_1_5412845612146241046457891017456[[#This Row],[Type]],Main[[#All],[TYPE]:[UNIT]],'Unit Price'!C$1,FALSE),0)</f>
        <v>0</v>
      </c>
      <c r="H460" s="197">
        <f>IF(_1_5412845612146241046457891017456[[#This Row],[Type]]&gt;0,VLOOKUP(_1_5412845612146241046457891017456[[#This Row],[Type]],Main[[#All],[TYPE]:[UNIT]],'Unit Price'!D$1,FALSE),0)</f>
        <v>0</v>
      </c>
      <c r="I460" s="194">
        <f>IF(_1_5412845612146241046457891017456[[#This Row],[Type]]&gt;0,VLOOKUP(_1_5412845612146241046457891017456[[#This Row],[Type]],Main[[#All],[TYPE]:[UNIT]],'Unit Price'!G$1,FALSE),0)</f>
        <v>0</v>
      </c>
      <c r="J460" s="194">
        <f>IF(_1_5412845612146241046457891017456[[#This Row],[Type]]&gt;0,VLOOKUP(_1_5412845612146241046457891017456[[#This Row],[Type]],Main[[#All],[TYPE]:[UNIT]],'Unit Price'!H$1,FALSE),0)</f>
        <v>0</v>
      </c>
      <c r="K460" s="194">
        <f>IF(_1_5412845612146241046457891017456[[#This Row],[Discount selection]]&gt;0,VLOOKUP(_1_5412845612146241046457891017456[[#This Row],[Discount selection]],'Discount Structure'!$A$2:$B$30,2,"false"),0)</f>
        <v>1</v>
      </c>
      <c r="L460" s="194">
        <f>_1_5412845612146241046457891017456[[#This Row],[LIST $]]*_1_5412845612146241046457891017456[[#This Row],[DISCOUNT]]*_1_5412845612146241046457891017456[[#This Row],[DISCOUNT 2]]</f>
        <v>0</v>
      </c>
      <c r="M460" s="194">
        <f>IF(OR(_1_5412845612146241046457891017456[[#This Row],[UNIT]]&gt;0,_1_5412845612146241046457891017456[[#This Row],[UNIT]]&lt;0),_1_5412845612146241046457891017456[[#This Row],[UNIT]]*_1_5412845612146241046457891017456[[#This Row],[COST]],0)</f>
        <v>0</v>
      </c>
      <c r="N460" s="194">
        <f t="shared" si="7"/>
        <v>1.3</v>
      </c>
      <c r="O460" s="198">
        <f>_1_5412845612146241046457891017456[[#This Row],[TOTAL]]*_1_5412845612146241046457891017456[[#This Row],[MARGIN]]</f>
        <v>0</v>
      </c>
      <c r="R460" s="41"/>
    </row>
    <row r="461" spans="1:18">
      <c r="D461" s="188"/>
      <c r="F461" s="168" t="s">
        <v>6202</v>
      </c>
      <c r="G461" s="193">
        <f>IF(_1_5412845612146241046457891017456[[#This Row],[Type]]&gt;0,VLOOKUP(_1_5412845612146241046457891017456[[#This Row],[Type]],Main[[#All],[TYPE]:[UNIT]],'Unit Price'!C$1,FALSE),0)</f>
        <v>0</v>
      </c>
      <c r="H461" s="197">
        <f>IF(_1_5412845612146241046457891017456[[#This Row],[Type]]&gt;0,VLOOKUP(_1_5412845612146241046457891017456[[#This Row],[Type]],Main[[#All],[TYPE]:[UNIT]],'Unit Price'!D$1,FALSE),0)</f>
        <v>0</v>
      </c>
      <c r="I461" s="194">
        <f>IF(_1_5412845612146241046457891017456[[#This Row],[Type]]&gt;0,VLOOKUP(_1_5412845612146241046457891017456[[#This Row],[Type]],Main[[#All],[TYPE]:[UNIT]],'Unit Price'!G$1,FALSE),0)</f>
        <v>0</v>
      </c>
      <c r="J461" s="194">
        <f>IF(_1_5412845612146241046457891017456[[#This Row],[Type]]&gt;0,VLOOKUP(_1_5412845612146241046457891017456[[#This Row],[Type]],Main[[#All],[TYPE]:[UNIT]],'Unit Price'!H$1,FALSE),0)</f>
        <v>0</v>
      </c>
      <c r="K461" s="194">
        <f>IF(_1_5412845612146241046457891017456[[#This Row],[Discount selection]]&gt;0,VLOOKUP(_1_5412845612146241046457891017456[[#This Row],[Discount selection]],'Discount Structure'!$A$2:$B$30,2,"false"),0)</f>
        <v>1</v>
      </c>
      <c r="L461" s="194">
        <f>_1_5412845612146241046457891017456[[#This Row],[LIST $]]*_1_5412845612146241046457891017456[[#This Row],[DISCOUNT]]*_1_5412845612146241046457891017456[[#This Row],[DISCOUNT 2]]</f>
        <v>0</v>
      </c>
      <c r="M461" s="194">
        <f>IF(OR(_1_5412845612146241046457891017456[[#This Row],[UNIT]]&gt;0,_1_5412845612146241046457891017456[[#This Row],[UNIT]]&lt;0),_1_5412845612146241046457891017456[[#This Row],[UNIT]]*_1_5412845612146241046457891017456[[#This Row],[COST]],0)</f>
        <v>0</v>
      </c>
      <c r="N461" s="194">
        <f t="shared" si="7"/>
        <v>1.3</v>
      </c>
      <c r="O461" s="198">
        <f>_1_5412845612146241046457891017456[[#This Row],[TOTAL]]*_1_5412845612146241046457891017456[[#This Row],[MARGIN]]</f>
        <v>0</v>
      </c>
      <c r="R461" s="41"/>
    </row>
    <row r="462" spans="1:18">
      <c r="D462" s="188"/>
      <c r="F462" s="168" t="s">
        <v>6202</v>
      </c>
      <c r="G462" s="192">
        <f>IF(_1_5412845612146241046457891017456[[#This Row],[Type]]&gt;0,VLOOKUP(_1_5412845612146241046457891017456[[#This Row],[Type]],Main[[#All],[TYPE]:[UNIT]],'Unit Price'!C$1,FALSE),0)</f>
        <v>0</v>
      </c>
      <c r="H462" s="197">
        <f>IF(_1_5412845612146241046457891017456[[#This Row],[Type]]&gt;0,VLOOKUP(_1_5412845612146241046457891017456[[#This Row],[Type]],Main[[#All],[TYPE]:[UNIT]],'Unit Price'!D$1,FALSE),0)</f>
        <v>0</v>
      </c>
      <c r="I462" s="194">
        <f>IF(_1_5412845612146241046457891017456[[#This Row],[Type]]&gt;0,VLOOKUP(_1_5412845612146241046457891017456[[#This Row],[Type]],Main[[#All],[TYPE]:[UNIT]],'Unit Price'!G$1,FALSE),0)</f>
        <v>0</v>
      </c>
      <c r="J462" s="194">
        <f>IF(_1_5412845612146241046457891017456[[#This Row],[Type]]&gt;0,VLOOKUP(_1_5412845612146241046457891017456[[#This Row],[Type]],Main[[#All],[TYPE]:[UNIT]],'Unit Price'!H$1,FALSE),0)</f>
        <v>0</v>
      </c>
      <c r="K462" s="194">
        <f>IF(_1_5412845612146241046457891017456[[#This Row],[Discount selection]]&gt;0,VLOOKUP(_1_5412845612146241046457891017456[[#This Row],[Discount selection]],'Discount Structure'!$A$2:$B$30,2,"false"),0)</f>
        <v>1</v>
      </c>
      <c r="L462" s="194">
        <f>_1_5412845612146241046457891017456[[#This Row],[LIST $]]*_1_5412845612146241046457891017456[[#This Row],[DISCOUNT]]*_1_5412845612146241046457891017456[[#This Row],[DISCOUNT 2]]</f>
        <v>0</v>
      </c>
      <c r="M462" s="194">
        <f>IF(OR(_1_5412845612146241046457891017456[[#This Row],[UNIT]]&gt;0,_1_5412845612146241046457891017456[[#This Row],[UNIT]]&lt;0),_1_5412845612146241046457891017456[[#This Row],[UNIT]]*_1_5412845612146241046457891017456[[#This Row],[COST]],0)</f>
        <v>0</v>
      </c>
      <c r="N462" s="194">
        <f t="shared" si="7"/>
        <v>1.3</v>
      </c>
      <c r="O462" s="198">
        <f>_1_5412845612146241046457891017456[[#This Row],[TOTAL]]*_1_5412845612146241046457891017456[[#This Row],[MARGIN]]</f>
        <v>0</v>
      </c>
      <c r="R462" s="41"/>
    </row>
    <row r="463" spans="1:18">
      <c r="D463" s="188"/>
      <c r="F463" s="168" t="s">
        <v>6202</v>
      </c>
      <c r="G463" s="193">
        <f>IF(_1_5412845612146241046457891017456[[#This Row],[Type]]&gt;0,VLOOKUP(_1_5412845612146241046457891017456[[#This Row],[Type]],Main[[#All],[TYPE]:[UNIT]],'Unit Price'!C$1,FALSE),0)</f>
        <v>0</v>
      </c>
      <c r="H463" s="197">
        <f>IF(_1_5412845612146241046457891017456[[#This Row],[Type]]&gt;0,VLOOKUP(_1_5412845612146241046457891017456[[#This Row],[Type]],Main[[#All],[TYPE]:[UNIT]],'Unit Price'!D$1,FALSE),0)</f>
        <v>0</v>
      </c>
      <c r="I463" s="194">
        <f>IF(_1_5412845612146241046457891017456[[#This Row],[Type]]&gt;0,VLOOKUP(_1_5412845612146241046457891017456[[#This Row],[Type]],Main[[#All],[TYPE]:[UNIT]],'Unit Price'!G$1,FALSE),0)</f>
        <v>0</v>
      </c>
      <c r="J463" s="194">
        <f>IF(_1_5412845612146241046457891017456[[#This Row],[Type]]&gt;0,VLOOKUP(_1_5412845612146241046457891017456[[#This Row],[Type]],Main[[#All],[TYPE]:[UNIT]],'Unit Price'!H$1,FALSE),0)</f>
        <v>0</v>
      </c>
      <c r="K463" s="194">
        <f>IF(_1_5412845612146241046457891017456[[#This Row],[Discount selection]]&gt;0,VLOOKUP(_1_5412845612146241046457891017456[[#This Row],[Discount selection]],'Discount Structure'!$A$2:$B$30,2,"false"),0)</f>
        <v>1</v>
      </c>
      <c r="L463" s="194">
        <f>_1_5412845612146241046457891017456[[#This Row],[LIST $]]*_1_5412845612146241046457891017456[[#This Row],[DISCOUNT]]*_1_5412845612146241046457891017456[[#This Row],[DISCOUNT 2]]</f>
        <v>0</v>
      </c>
      <c r="M463" s="194">
        <f>IF(OR(_1_5412845612146241046457891017456[[#This Row],[UNIT]]&gt;0,_1_5412845612146241046457891017456[[#This Row],[UNIT]]&lt;0),_1_5412845612146241046457891017456[[#This Row],[UNIT]]*_1_5412845612146241046457891017456[[#This Row],[COST]],0)</f>
        <v>0</v>
      </c>
      <c r="N463" s="194">
        <f t="shared" si="7"/>
        <v>1.3</v>
      </c>
      <c r="O463" s="198">
        <f>_1_5412845612146241046457891017456[[#This Row],[TOTAL]]*_1_5412845612146241046457891017456[[#This Row],[MARGIN]]</f>
        <v>0</v>
      </c>
      <c r="R463" s="41"/>
    </row>
    <row r="464" spans="1:18">
      <c r="D464" s="188"/>
      <c r="F464" s="168" t="s">
        <v>6202</v>
      </c>
      <c r="G464" s="193">
        <f>IF(_1_5412845612146241046457891017456[[#This Row],[Type]]&gt;0,VLOOKUP(_1_5412845612146241046457891017456[[#This Row],[Type]],Main[[#All],[TYPE]:[UNIT]],'Unit Price'!C$1,FALSE),0)</f>
        <v>0</v>
      </c>
      <c r="H464" s="197">
        <f>IF(_1_5412845612146241046457891017456[[#This Row],[Type]]&gt;0,VLOOKUP(_1_5412845612146241046457891017456[[#This Row],[Type]],Main[[#All],[TYPE]:[UNIT]],'Unit Price'!D$1,FALSE),0)</f>
        <v>0</v>
      </c>
      <c r="I464" s="194">
        <f>IF(_1_5412845612146241046457891017456[[#This Row],[Type]]&gt;0,VLOOKUP(_1_5412845612146241046457891017456[[#This Row],[Type]],Main[[#All],[TYPE]:[UNIT]],'Unit Price'!G$1,FALSE),0)</f>
        <v>0</v>
      </c>
      <c r="J464" s="194">
        <f>IF(_1_5412845612146241046457891017456[[#This Row],[Type]]&gt;0,VLOOKUP(_1_5412845612146241046457891017456[[#This Row],[Type]],Main[[#All],[TYPE]:[UNIT]],'Unit Price'!H$1,FALSE),0)</f>
        <v>0</v>
      </c>
      <c r="K464" s="194">
        <f>IF(_1_5412845612146241046457891017456[[#This Row],[Discount selection]]&gt;0,VLOOKUP(_1_5412845612146241046457891017456[[#This Row],[Discount selection]],'Discount Structure'!$A$2:$B$30,2,"false"),0)</f>
        <v>1</v>
      </c>
      <c r="L464" s="194">
        <f>_1_5412845612146241046457891017456[[#This Row],[LIST $]]*_1_5412845612146241046457891017456[[#This Row],[DISCOUNT]]*_1_5412845612146241046457891017456[[#This Row],[DISCOUNT 2]]</f>
        <v>0</v>
      </c>
      <c r="M464" s="194">
        <f>IF(OR(_1_5412845612146241046457891017456[[#This Row],[UNIT]]&gt;0,_1_5412845612146241046457891017456[[#This Row],[UNIT]]&lt;0),_1_5412845612146241046457891017456[[#This Row],[UNIT]]*_1_5412845612146241046457891017456[[#This Row],[COST]],0)</f>
        <v>0</v>
      </c>
      <c r="N464" s="194">
        <f t="shared" si="7"/>
        <v>1.3</v>
      </c>
      <c r="O464" s="198">
        <f>_1_5412845612146241046457891017456[[#This Row],[TOTAL]]*_1_5412845612146241046457891017456[[#This Row],[MARGIN]]</f>
        <v>0</v>
      </c>
      <c r="R464" s="41"/>
    </row>
    <row r="465" spans="1:18">
      <c r="D465" s="188"/>
      <c r="F465" s="168" t="s">
        <v>6202</v>
      </c>
      <c r="G465" s="193">
        <f>IF(_1_5412845612146241046457891017456[[#This Row],[Type]]&gt;0,VLOOKUP(_1_5412845612146241046457891017456[[#This Row],[Type]],Main[[#All],[TYPE]:[UNIT]],'Unit Price'!C$1,FALSE),0)</f>
        <v>0</v>
      </c>
      <c r="H465" s="197">
        <f>IF(_1_5412845612146241046457891017456[[#This Row],[Type]]&gt;0,VLOOKUP(_1_5412845612146241046457891017456[[#This Row],[Type]],Main[[#All],[TYPE]:[UNIT]],'Unit Price'!D$1,FALSE),0)</f>
        <v>0</v>
      </c>
      <c r="I465" s="194">
        <f>IF(_1_5412845612146241046457891017456[[#This Row],[Type]]&gt;0,VLOOKUP(_1_5412845612146241046457891017456[[#This Row],[Type]],Main[[#All],[TYPE]:[UNIT]],'Unit Price'!G$1,FALSE),0)</f>
        <v>0</v>
      </c>
      <c r="J465" s="194">
        <f>IF(_1_5412845612146241046457891017456[[#This Row],[Type]]&gt;0,VLOOKUP(_1_5412845612146241046457891017456[[#This Row],[Type]],Main[[#All],[TYPE]:[UNIT]],'Unit Price'!H$1,FALSE),0)</f>
        <v>0</v>
      </c>
      <c r="K465" s="194">
        <f>IF(_1_5412845612146241046457891017456[[#This Row],[Discount selection]]&gt;0,VLOOKUP(_1_5412845612146241046457891017456[[#This Row],[Discount selection]],'Discount Structure'!$A$2:$B$30,2,"false"),0)</f>
        <v>1</v>
      </c>
      <c r="L465" s="194">
        <f>_1_5412845612146241046457891017456[[#This Row],[LIST $]]*_1_5412845612146241046457891017456[[#This Row],[DISCOUNT]]*_1_5412845612146241046457891017456[[#This Row],[DISCOUNT 2]]</f>
        <v>0</v>
      </c>
      <c r="M465" s="194">
        <f>IF(OR(_1_5412845612146241046457891017456[[#This Row],[UNIT]]&gt;0,_1_5412845612146241046457891017456[[#This Row],[UNIT]]&lt;0),_1_5412845612146241046457891017456[[#This Row],[UNIT]]*_1_5412845612146241046457891017456[[#This Row],[COST]],0)</f>
        <v>0</v>
      </c>
      <c r="N465" s="194">
        <f t="shared" si="7"/>
        <v>1.3</v>
      </c>
      <c r="O465" s="198">
        <f>_1_5412845612146241046457891017456[[#This Row],[TOTAL]]*_1_5412845612146241046457891017456[[#This Row],[MARGIN]]</f>
        <v>0</v>
      </c>
      <c r="R465" s="41"/>
    </row>
    <row r="466" spans="1:18">
      <c r="A466" s="168"/>
      <c r="D466" s="188"/>
      <c r="F466" s="168" t="s">
        <v>6202</v>
      </c>
      <c r="G466" s="193">
        <f>IF(_1_5412845612146241046457891017456[[#This Row],[Type]]&gt;0,VLOOKUP(_1_5412845612146241046457891017456[[#This Row],[Type]],Main[[#All],[TYPE]:[UNIT]],'Unit Price'!C$1,FALSE),0)</f>
        <v>0</v>
      </c>
      <c r="H466" s="197">
        <f>IF(_1_5412845612146241046457891017456[[#This Row],[Type]]&gt;0,VLOOKUP(_1_5412845612146241046457891017456[[#This Row],[Type]],Main[[#All],[TYPE]:[UNIT]],'Unit Price'!D$1,FALSE),0)</f>
        <v>0</v>
      </c>
      <c r="I466" s="194">
        <f>IF(_1_5412845612146241046457891017456[[#This Row],[Type]]&gt;0,VLOOKUP(_1_5412845612146241046457891017456[[#This Row],[Type]],Main[[#All],[TYPE]:[UNIT]],'Unit Price'!G$1,FALSE),0)</f>
        <v>0</v>
      </c>
      <c r="J466" s="194">
        <f>IF(_1_5412845612146241046457891017456[[#This Row],[Type]]&gt;0,VLOOKUP(_1_5412845612146241046457891017456[[#This Row],[Type]],Main[[#All],[TYPE]:[UNIT]],'Unit Price'!H$1,FALSE),0)</f>
        <v>0</v>
      </c>
      <c r="K466" s="194">
        <f>IF(_1_5412845612146241046457891017456[[#This Row],[Discount selection]]&gt;0,VLOOKUP(_1_5412845612146241046457891017456[[#This Row],[Discount selection]],'Discount Structure'!$A$2:$B$30,2,"false"),0)</f>
        <v>1</v>
      </c>
      <c r="L466" s="194">
        <f>_1_5412845612146241046457891017456[[#This Row],[LIST $]]*_1_5412845612146241046457891017456[[#This Row],[DISCOUNT]]*_1_5412845612146241046457891017456[[#This Row],[DISCOUNT 2]]</f>
        <v>0</v>
      </c>
      <c r="M466" s="194">
        <f>IF(OR(_1_5412845612146241046457891017456[[#This Row],[UNIT]]&gt;0,_1_5412845612146241046457891017456[[#This Row],[UNIT]]&lt;0),_1_5412845612146241046457891017456[[#This Row],[UNIT]]*_1_5412845612146241046457891017456[[#This Row],[COST]],0)</f>
        <v>0</v>
      </c>
      <c r="N466" s="194">
        <f t="shared" si="7"/>
        <v>1.3</v>
      </c>
      <c r="O466" s="198">
        <f>_1_5412845612146241046457891017456[[#This Row],[TOTAL]]*_1_5412845612146241046457891017456[[#This Row],[MARGIN]]</f>
        <v>0</v>
      </c>
      <c r="R466" s="41"/>
    </row>
    <row r="467" spans="1:18">
      <c r="D467" s="188"/>
      <c r="F467" s="168" t="s">
        <v>6202</v>
      </c>
      <c r="G467" s="193">
        <f>IF(_1_5412845612146241046457891017456[[#This Row],[Type]]&gt;0,VLOOKUP(_1_5412845612146241046457891017456[[#This Row],[Type]],Main[[#All],[TYPE]:[UNIT]],'Unit Price'!C$1,FALSE),0)</f>
        <v>0</v>
      </c>
      <c r="H467" s="197">
        <f>IF(_1_5412845612146241046457891017456[[#This Row],[Type]]&gt;0,VLOOKUP(_1_5412845612146241046457891017456[[#This Row],[Type]],Main[[#All],[TYPE]:[UNIT]],'Unit Price'!D$1,FALSE),0)</f>
        <v>0</v>
      </c>
      <c r="I467" s="194">
        <f>IF(_1_5412845612146241046457891017456[[#This Row],[Type]]&gt;0,VLOOKUP(_1_5412845612146241046457891017456[[#This Row],[Type]],Main[[#All],[TYPE]:[UNIT]],'Unit Price'!G$1,FALSE),0)</f>
        <v>0</v>
      </c>
      <c r="J467" s="194">
        <f>IF(_1_5412845612146241046457891017456[[#This Row],[Type]]&gt;0,VLOOKUP(_1_5412845612146241046457891017456[[#This Row],[Type]],Main[[#All],[TYPE]:[UNIT]],'Unit Price'!H$1,FALSE),0)</f>
        <v>0</v>
      </c>
      <c r="K467" s="194">
        <f>IF(_1_5412845612146241046457891017456[[#This Row],[Discount selection]]&gt;0,VLOOKUP(_1_5412845612146241046457891017456[[#This Row],[Discount selection]],'Discount Structure'!$A$2:$B$30,2,"false"),0)</f>
        <v>1</v>
      </c>
      <c r="L467" s="194">
        <f>_1_5412845612146241046457891017456[[#This Row],[LIST $]]*_1_5412845612146241046457891017456[[#This Row],[DISCOUNT]]*_1_5412845612146241046457891017456[[#This Row],[DISCOUNT 2]]</f>
        <v>0</v>
      </c>
      <c r="M467" s="194">
        <f>IF(OR(_1_5412845612146241046457891017456[[#This Row],[UNIT]]&gt;0,_1_5412845612146241046457891017456[[#This Row],[UNIT]]&lt;0),_1_5412845612146241046457891017456[[#This Row],[UNIT]]*_1_5412845612146241046457891017456[[#This Row],[COST]],0)</f>
        <v>0</v>
      </c>
      <c r="N467" s="194">
        <f t="shared" si="7"/>
        <v>1.3</v>
      </c>
      <c r="O467" s="198">
        <f>_1_5412845612146241046457891017456[[#This Row],[TOTAL]]*_1_5412845612146241046457891017456[[#This Row],[MARGIN]]</f>
        <v>0</v>
      </c>
      <c r="R467" s="41"/>
    </row>
    <row r="468" spans="1:18">
      <c r="D468" s="188"/>
      <c r="F468" s="168" t="s">
        <v>6202</v>
      </c>
      <c r="G468" s="193">
        <f>IF(_1_5412845612146241046457891017456[[#This Row],[Type]]&gt;0,VLOOKUP(_1_5412845612146241046457891017456[[#This Row],[Type]],Main[[#All],[TYPE]:[UNIT]],'Unit Price'!C$1,FALSE),0)</f>
        <v>0</v>
      </c>
      <c r="H468" s="197">
        <f>IF(_1_5412845612146241046457891017456[[#This Row],[Type]]&gt;0,VLOOKUP(_1_5412845612146241046457891017456[[#This Row],[Type]],Main[[#All],[TYPE]:[UNIT]],'Unit Price'!D$1,FALSE),0)</f>
        <v>0</v>
      </c>
      <c r="I468" s="194">
        <f>IF(_1_5412845612146241046457891017456[[#This Row],[Type]]&gt;0,VLOOKUP(_1_5412845612146241046457891017456[[#This Row],[Type]],Main[[#All],[TYPE]:[UNIT]],'Unit Price'!G$1,FALSE),0)</f>
        <v>0</v>
      </c>
      <c r="J468" s="194">
        <f>IF(_1_5412845612146241046457891017456[[#This Row],[Type]]&gt;0,VLOOKUP(_1_5412845612146241046457891017456[[#This Row],[Type]],Main[[#All],[TYPE]:[UNIT]],'Unit Price'!H$1,FALSE),0)</f>
        <v>0</v>
      </c>
      <c r="K468" s="194">
        <f>IF(_1_5412845612146241046457891017456[[#This Row],[Discount selection]]&gt;0,VLOOKUP(_1_5412845612146241046457891017456[[#This Row],[Discount selection]],'Discount Structure'!$A$2:$B$30,2,"false"),0)</f>
        <v>1</v>
      </c>
      <c r="L468" s="194">
        <f>_1_5412845612146241046457891017456[[#This Row],[LIST $]]*_1_5412845612146241046457891017456[[#This Row],[DISCOUNT]]*_1_5412845612146241046457891017456[[#This Row],[DISCOUNT 2]]</f>
        <v>0</v>
      </c>
      <c r="M468" s="194">
        <f>IF(OR(_1_5412845612146241046457891017456[[#This Row],[UNIT]]&gt;0,_1_5412845612146241046457891017456[[#This Row],[UNIT]]&lt;0),_1_5412845612146241046457891017456[[#This Row],[UNIT]]*_1_5412845612146241046457891017456[[#This Row],[COST]],0)</f>
        <v>0</v>
      </c>
      <c r="N468" s="194">
        <f t="shared" si="7"/>
        <v>1.3</v>
      </c>
      <c r="O468" s="198">
        <f>_1_5412845612146241046457891017456[[#This Row],[TOTAL]]*_1_5412845612146241046457891017456[[#This Row],[MARGIN]]</f>
        <v>0</v>
      </c>
      <c r="R468" s="41"/>
    </row>
    <row r="469" spans="1:18">
      <c r="B469" s="168"/>
      <c r="D469" s="188"/>
      <c r="F469" s="168" t="s">
        <v>6202</v>
      </c>
      <c r="G469" s="193">
        <f>IF(_1_5412845612146241046457891017456[[#This Row],[Type]]&gt;0,VLOOKUP(_1_5412845612146241046457891017456[[#This Row],[Type]],Main[[#All],[TYPE]:[UNIT]],'Unit Price'!C$1,FALSE),0)</f>
        <v>0</v>
      </c>
      <c r="H469" s="197">
        <f>IF(_1_5412845612146241046457891017456[[#This Row],[Type]]&gt;0,VLOOKUP(_1_5412845612146241046457891017456[[#This Row],[Type]],Main[[#All],[TYPE]:[UNIT]],'Unit Price'!D$1,FALSE),0)</f>
        <v>0</v>
      </c>
      <c r="I469" s="194">
        <f>IF(_1_5412845612146241046457891017456[[#This Row],[Type]]&gt;0,VLOOKUP(_1_5412845612146241046457891017456[[#This Row],[Type]],Main[[#All],[TYPE]:[UNIT]],'Unit Price'!G$1,FALSE),0)</f>
        <v>0</v>
      </c>
      <c r="J469" s="194">
        <f>IF(_1_5412845612146241046457891017456[[#This Row],[Type]]&gt;0,VLOOKUP(_1_5412845612146241046457891017456[[#This Row],[Type]],Main[[#All],[TYPE]:[UNIT]],'Unit Price'!H$1,FALSE),0)</f>
        <v>0</v>
      </c>
      <c r="K469" s="194">
        <f>IF(_1_5412845612146241046457891017456[[#This Row],[Discount selection]]&gt;0,VLOOKUP(_1_5412845612146241046457891017456[[#This Row],[Discount selection]],'Discount Structure'!$A$2:$B$30,2,"false"),0)</f>
        <v>1</v>
      </c>
      <c r="L469" s="194">
        <f>_1_5412845612146241046457891017456[[#This Row],[LIST $]]*_1_5412845612146241046457891017456[[#This Row],[DISCOUNT]]*_1_5412845612146241046457891017456[[#This Row],[DISCOUNT 2]]</f>
        <v>0</v>
      </c>
      <c r="M469" s="194">
        <f>IF(OR(_1_5412845612146241046457891017456[[#This Row],[UNIT]]&gt;0,_1_5412845612146241046457891017456[[#This Row],[UNIT]]&lt;0),_1_5412845612146241046457891017456[[#This Row],[UNIT]]*_1_5412845612146241046457891017456[[#This Row],[COST]],0)</f>
        <v>0</v>
      </c>
      <c r="N469" s="194">
        <f t="shared" si="7"/>
        <v>1.3</v>
      </c>
      <c r="O469" s="198">
        <f>_1_5412845612146241046457891017456[[#This Row],[TOTAL]]*_1_5412845612146241046457891017456[[#This Row],[MARGIN]]</f>
        <v>0</v>
      </c>
      <c r="R469" s="41"/>
    </row>
    <row r="470" spans="1:18">
      <c r="A470" s="168"/>
      <c r="D470" s="188"/>
      <c r="F470" s="168" t="s">
        <v>6202</v>
      </c>
      <c r="G470" s="193">
        <f>IF(_1_5412845612146241046457891017456[[#This Row],[Type]]&gt;0,VLOOKUP(_1_5412845612146241046457891017456[[#This Row],[Type]],Main[[#All],[TYPE]:[UNIT]],'Unit Price'!C$1,FALSE),0)</f>
        <v>0</v>
      </c>
      <c r="H470" s="197">
        <f>IF(_1_5412845612146241046457891017456[[#This Row],[Type]]&gt;0,VLOOKUP(_1_5412845612146241046457891017456[[#This Row],[Type]],Main[[#All],[TYPE]:[UNIT]],'Unit Price'!D$1,FALSE),0)</f>
        <v>0</v>
      </c>
      <c r="I470" s="194">
        <f>IF(_1_5412845612146241046457891017456[[#This Row],[Type]]&gt;0,VLOOKUP(_1_5412845612146241046457891017456[[#This Row],[Type]],Main[[#All],[TYPE]:[UNIT]],'Unit Price'!G$1,FALSE),0)</f>
        <v>0</v>
      </c>
      <c r="J470" s="194">
        <f>IF(_1_5412845612146241046457891017456[[#This Row],[Type]]&gt;0,VLOOKUP(_1_5412845612146241046457891017456[[#This Row],[Type]],Main[[#All],[TYPE]:[UNIT]],'Unit Price'!H$1,FALSE),0)</f>
        <v>0</v>
      </c>
      <c r="K470" s="194">
        <f>IF(_1_5412845612146241046457891017456[[#This Row],[Discount selection]]&gt;0,VLOOKUP(_1_5412845612146241046457891017456[[#This Row],[Discount selection]],'Discount Structure'!$A$2:$B$30,2,"false"),0)</f>
        <v>1</v>
      </c>
      <c r="L470" s="194">
        <f>_1_5412845612146241046457891017456[[#This Row],[LIST $]]*_1_5412845612146241046457891017456[[#This Row],[DISCOUNT]]*_1_5412845612146241046457891017456[[#This Row],[DISCOUNT 2]]</f>
        <v>0</v>
      </c>
      <c r="M470" s="194">
        <f>IF(OR(_1_5412845612146241046457891017456[[#This Row],[UNIT]]&gt;0,_1_5412845612146241046457891017456[[#This Row],[UNIT]]&lt;0),_1_5412845612146241046457891017456[[#This Row],[UNIT]]*_1_5412845612146241046457891017456[[#This Row],[COST]],0)</f>
        <v>0</v>
      </c>
      <c r="N470" s="194">
        <f t="shared" si="7"/>
        <v>1.3</v>
      </c>
      <c r="O470" s="198">
        <f>_1_5412845612146241046457891017456[[#This Row],[TOTAL]]*_1_5412845612146241046457891017456[[#This Row],[MARGIN]]</f>
        <v>0</v>
      </c>
      <c r="R470" s="41"/>
    </row>
    <row r="471" spans="1:18">
      <c r="D471" s="188"/>
      <c r="F471" s="168" t="s">
        <v>6202</v>
      </c>
      <c r="G471" s="193">
        <f>IF(_1_5412845612146241046457891017456[[#This Row],[Type]]&gt;0,VLOOKUP(_1_5412845612146241046457891017456[[#This Row],[Type]],Main[[#All],[TYPE]:[UNIT]],'Unit Price'!C$1,FALSE),0)</f>
        <v>0</v>
      </c>
      <c r="H471" s="197">
        <f>IF(_1_5412845612146241046457891017456[[#This Row],[Type]]&gt;0,VLOOKUP(_1_5412845612146241046457891017456[[#This Row],[Type]],Main[[#All],[TYPE]:[UNIT]],'Unit Price'!D$1,FALSE),0)</f>
        <v>0</v>
      </c>
      <c r="I471" s="194">
        <f>IF(_1_5412845612146241046457891017456[[#This Row],[Type]]&gt;0,VLOOKUP(_1_5412845612146241046457891017456[[#This Row],[Type]],Main[[#All],[TYPE]:[UNIT]],'Unit Price'!G$1,FALSE),0)</f>
        <v>0</v>
      </c>
      <c r="J471" s="194">
        <f>IF(_1_5412845612146241046457891017456[[#This Row],[Type]]&gt;0,VLOOKUP(_1_5412845612146241046457891017456[[#This Row],[Type]],Main[[#All],[TYPE]:[UNIT]],'Unit Price'!H$1,FALSE),0)</f>
        <v>0</v>
      </c>
      <c r="K471" s="194">
        <f>IF(_1_5412845612146241046457891017456[[#This Row],[Discount selection]]&gt;0,VLOOKUP(_1_5412845612146241046457891017456[[#This Row],[Discount selection]],'Discount Structure'!$A$2:$B$30,2,"false"),0)</f>
        <v>1</v>
      </c>
      <c r="L471" s="194">
        <f>_1_5412845612146241046457891017456[[#This Row],[LIST $]]*_1_5412845612146241046457891017456[[#This Row],[DISCOUNT]]*_1_5412845612146241046457891017456[[#This Row],[DISCOUNT 2]]</f>
        <v>0</v>
      </c>
      <c r="M471" s="194">
        <f>IF(OR(_1_5412845612146241046457891017456[[#This Row],[UNIT]]&gt;0,_1_5412845612146241046457891017456[[#This Row],[UNIT]]&lt;0),_1_5412845612146241046457891017456[[#This Row],[UNIT]]*_1_5412845612146241046457891017456[[#This Row],[COST]],0)</f>
        <v>0</v>
      </c>
      <c r="N471" s="194">
        <f t="shared" si="7"/>
        <v>1.3</v>
      </c>
      <c r="O471" s="198">
        <f>_1_5412845612146241046457891017456[[#This Row],[TOTAL]]*_1_5412845612146241046457891017456[[#This Row],[MARGIN]]</f>
        <v>0</v>
      </c>
      <c r="R471" s="41"/>
    </row>
    <row r="472" spans="1:18">
      <c r="A472" s="168"/>
      <c r="D472" s="188"/>
      <c r="F472" s="168" t="s">
        <v>6202</v>
      </c>
      <c r="G472" s="193">
        <f>IF(_1_5412845612146241046457891017456[[#This Row],[Type]]&gt;0,VLOOKUP(_1_5412845612146241046457891017456[[#This Row],[Type]],Main[[#All],[TYPE]:[UNIT]],'Unit Price'!C$1,FALSE),0)</f>
        <v>0</v>
      </c>
      <c r="H472" s="197">
        <f>IF(_1_5412845612146241046457891017456[[#This Row],[Type]]&gt;0,VLOOKUP(_1_5412845612146241046457891017456[[#This Row],[Type]],Main[[#All],[TYPE]:[UNIT]],'Unit Price'!D$1,FALSE),0)</f>
        <v>0</v>
      </c>
      <c r="I472" s="194">
        <f>IF(_1_5412845612146241046457891017456[[#This Row],[Type]]&gt;0,VLOOKUP(_1_5412845612146241046457891017456[[#This Row],[Type]],Main[[#All],[TYPE]:[UNIT]],'Unit Price'!G$1,FALSE),0)</f>
        <v>0</v>
      </c>
      <c r="J472" s="194">
        <f>IF(_1_5412845612146241046457891017456[[#This Row],[Type]]&gt;0,VLOOKUP(_1_5412845612146241046457891017456[[#This Row],[Type]],Main[[#All],[TYPE]:[UNIT]],'Unit Price'!H$1,FALSE),0)</f>
        <v>0</v>
      </c>
      <c r="K472" s="194">
        <f>IF(_1_5412845612146241046457891017456[[#This Row],[Discount selection]]&gt;0,VLOOKUP(_1_5412845612146241046457891017456[[#This Row],[Discount selection]],'Discount Structure'!$A$2:$B$30,2,"false"),0)</f>
        <v>1</v>
      </c>
      <c r="L472" s="194">
        <f>_1_5412845612146241046457891017456[[#This Row],[LIST $]]*_1_5412845612146241046457891017456[[#This Row],[DISCOUNT]]*_1_5412845612146241046457891017456[[#This Row],[DISCOUNT 2]]</f>
        <v>0</v>
      </c>
      <c r="M472" s="194">
        <f>IF(OR(_1_5412845612146241046457891017456[[#This Row],[UNIT]]&gt;0,_1_5412845612146241046457891017456[[#This Row],[UNIT]]&lt;0),_1_5412845612146241046457891017456[[#This Row],[UNIT]]*_1_5412845612146241046457891017456[[#This Row],[COST]],0)</f>
        <v>0</v>
      </c>
      <c r="N472" s="194">
        <f t="shared" si="7"/>
        <v>1.3</v>
      </c>
      <c r="O472" s="198">
        <f>_1_5412845612146241046457891017456[[#This Row],[TOTAL]]*_1_5412845612146241046457891017456[[#This Row],[MARGIN]]</f>
        <v>0</v>
      </c>
      <c r="R472" s="41"/>
    </row>
    <row r="473" spans="1:18">
      <c r="D473" s="188"/>
      <c r="F473" s="168" t="s">
        <v>6202</v>
      </c>
      <c r="G473" s="193">
        <f>IF(_1_5412845612146241046457891017456[[#This Row],[Type]]&gt;0,VLOOKUP(_1_5412845612146241046457891017456[[#This Row],[Type]],Main[[#All],[TYPE]:[UNIT]],'Unit Price'!C$1,FALSE),0)</f>
        <v>0</v>
      </c>
      <c r="H473" s="197">
        <f>IF(_1_5412845612146241046457891017456[[#This Row],[Type]]&gt;0,VLOOKUP(_1_5412845612146241046457891017456[[#This Row],[Type]],Main[[#All],[TYPE]:[UNIT]],'Unit Price'!D$1,FALSE),0)</f>
        <v>0</v>
      </c>
      <c r="I473" s="194">
        <f>IF(_1_5412845612146241046457891017456[[#This Row],[Type]]&gt;0,VLOOKUP(_1_5412845612146241046457891017456[[#This Row],[Type]],Main[[#All],[TYPE]:[UNIT]],'Unit Price'!G$1,FALSE),0)</f>
        <v>0</v>
      </c>
      <c r="J473" s="194">
        <f>IF(_1_5412845612146241046457891017456[[#This Row],[Type]]&gt;0,VLOOKUP(_1_5412845612146241046457891017456[[#This Row],[Type]],Main[[#All],[TYPE]:[UNIT]],'Unit Price'!H$1,FALSE),0)</f>
        <v>0</v>
      </c>
      <c r="K473" s="194">
        <f>IF(_1_5412845612146241046457891017456[[#This Row],[Discount selection]]&gt;0,VLOOKUP(_1_5412845612146241046457891017456[[#This Row],[Discount selection]],'Discount Structure'!$A$2:$B$30,2,"false"),0)</f>
        <v>1</v>
      </c>
      <c r="L473" s="194">
        <f>_1_5412845612146241046457891017456[[#This Row],[LIST $]]*_1_5412845612146241046457891017456[[#This Row],[DISCOUNT]]*_1_5412845612146241046457891017456[[#This Row],[DISCOUNT 2]]</f>
        <v>0</v>
      </c>
      <c r="M473" s="194">
        <f>IF(OR(_1_5412845612146241046457891017456[[#This Row],[UNIT]]&gt;0,_1_5412845612146241046457891017456[[#This Row],[UNIT]]&lt;0),_1_5412845612146241046457891017456[[#This Row],[UNIT]]*_1_5412845612146241046457891017456[[#This Row],[COST]],0)</f>
        <v>0</v>
      </c>
      <c r="N473" s="194">
        <f t="shared" si="7"/>
        <v>1.3</v>
      </c>
      <c r="O473" s="198">
        <f>_1_5412845612146241046457891017456[[#This Row],[TOTAL]]*_1_5412845612146241046457891017456[[#This Row],[MARGIN]]</f>
        <v>0</v>
      </c>
      <c r="R473" s="41"/>
    </row>
    <row r="474" spans="1:18">
      <c r="D474" s="188"/>
      <c r="F474" s="168" t="s">
        <v>6202</v>
      </c>
      <c r="G474" s="193">
        <f>IF(_1_5412845612146241046457891017456[[#This Row],[Type]]&gt;0,VLOOKUP(_1_5412845612146241046457891017456[[#This Row],[Type]],Main[[#All],[TYPE]:[UNIT]],'Unit Price'!C$1,FALSE),0)</f>
        <v>0</v>
      </c>
      <c r="H474" s="197">
        <f>IF(_1_5412845612146241046457891017456[[#This Row],[Type]]&gt;0,VLOOKUP(_1_5412845612146241046457891017456[[#This Row],[Type]],Main[[#All],[TYPE]:[UNIT]],'Unit Price'!D$1,FALSE),0)</f>
        <v>0</v>
      </c>
      <c r="I474" s="194">
        <f>IF(_1_5412845612146241046457891017456[[#This Row],[Type]]&gt;0,VLOOKUP(_1_5412845612146241046457891017456[[#This Row],[Type]],Main[[#All],[TYPE]:[UNIT]],'Unit Price'!G$1,FALSE),0)</f>
        <v>0</v>
      </c>
      <c r="J474" s="194">
        <f>IF(_1_5412845612146241046457891017456[[#This Row],[Type]]&gt;0,VLOOKUP(_1_5412845612146241046457891017456[[#This Row],[Type]],Main[[#All],[TYPE]:[UNIT]],'Unit Price'!H$1,FALSE),0)</f>
        <v>0</v>
      </c>
      <c r="K474" s="194">
        <f>IF(_1_5412845612146241046457891017456[[#This Row],[Discount selection]]&gt;0,VLOOKUP(_1_5412845612146241046457891017456[[#This Row],[Discount selection]],'Discount Structure'!$A$2:$B$30,2,"false"),0)</f>
        <v>1</v>
      </c>
      <c r="L474" s="194">
        <f>_1_5412845612146241046457891017456[[#This Row],[LIST $]]*_1_5412845612146241046457891017456[[#This Row],[DISCOUNT]]*_1_5412845612146241046457891017456[[#This Row],[DISCOUNT 2]]</f>
        <v>0</v>
      </c>
      <c r="M474" s="194">
        <f>IF(OR(_1_5412845612146241046457891017456[[#This Row],[UNIT]]&gt;0,_1_5412845612146241046457891017456[[#This Row],[UNIT]]&lt;0),_1_5412845612146241046457891017456[[#This Row],[UNIT]]*_1_5412845612146241046457891017456[[#This Row],[COST]],0)</f>
        <v>0</v>
      </c>
      <c r="N474" s="194">
        <f t="shared" si="7"/>
        <v>1.3</v>
      </c>
      <c r="O474" s="198">
        <f>_1_5412845612146241046457891017456[[#This Row],[TOTAL]]*_1_5412845612146241046457891017456[[#This Row],[MARGIN]]</f>
        <v>0</v>
      </c>
      <c r="R474" s="41"/>
    </row>
    <row r="475" spans="1:18">
      <c r="D475" s="188"/>
      <c r="F475" s="168" t="s">
        <v>6202</v>
      </c>
      <c r="G475" s="193">
        <f>IF(_1_5412845612146241046457891017456[[#This Row],[Type]]&gt;0,VLOOKUP(_1_5412845612146241046457891017456[[#This Row],[Type]],Main[[#All],[TYPE]:[UNIT]],'Unit Price'!C$1,FALSE),0)</f>
        <v>0</v>
      </c>
      <c r="H475" s="197">
        <f>IF(_1_5412845612146241046457891017456[[#This Row],[Type]]&gt;0,VLOOKUP(_1_5412845612146241046457891017456[[#This Row],[Type]],Main[[#All],[TYPE]:[UNIT]],'Unit Price'!D$1,FALSE),0)</f>
        <v>0</v>
      </c>
      <c r="I475" s="194">
        <f>IF(_1_5412845612146241046457891017456[[#This Row],[Type]]&gt;0,VLOOKUP(_1_5412845612146241046457891017456[[#This Row],[Type]],Main[[#All],[TYPE]:[UNIT]],'Unit Price'!G$1,FALSE),0)</f>
        <v>0</v>
      </c>
      <c r="J475" s="194">
        <f>IF(_1_5412845612146241046457891017456[[#This Row],[Type]]&gt;0,VLOOKUP(_1_5412845612146241046457891017456[[#This Row],[Type]],Main[[#All],[TYPE]:[UNIT]],'Unit Price'!H$1,FALSE),0)</f>
        <v>0</v>
      </c>
      <c r="K475" s="194">
        <f>IF(_1_5412845612146241046457891017456[[#This Row],[Discount selection]]&gt;0,VLOOKUP(_1_5412845612146241046457891017456[[#This Row],[Discount selection]],'Discount Structure'!$A$2:$B$30,2,"false"),0)</f>
        <v>1</v>
      </c>
      <c r="L475" s="194">
        <f>_1_5412845612146241046457891017456[[#This Row],[LIST $]]*_1_5412845612146241046457891017456[[#This Row],[DISCOUNT]]*_1_5412845612146241046457891017456[[#This Row],[DISCOUNT 2]]</f>
        <v>0</v>
      </c>
      <c r="M475" s="194">
        <f>IF(OR(_1_5412845612146241046457891017456[[#This Row],[UNIT]]&gt;0,_1_5412845612146241046457891017456[[#This Row],[UNIT]]&lt;0),_1_5412845612146241046457891017456[[#This Row],[UNIT]]*_1_5412845612146241046457891017456[[#This Row],[COST]],0)</f>
        <v>0</v>
      </c>
      <c r="N475" s="194">
        <f t="shared" si="7"/>
        <v>1.3</v>
      </c>
      <c r="O475" s="198">
        <f>_1_5412845612146241046457891017456[[#This Row],[TOTAL]]*_1_5412845612146241046457891017456[[#This Row],[MARGIN]]</f>
        <v>0</v>
      </c>
      <c r="R475" s="41"/>
    </row>
    <row r="476" spans="1:18">
      <c r="D476" s="188"/>
      <c r="F476" s="168" t="s">
        <v>6202</v>
      </c>
      <c r="G476" s="192">
        <f>IF(_1_5412845612146241046457891017456[[#This Row],[Type]]&gt;0,VLOOKUP(_1_5412845612146241046457891017456[[#This Row],[Type]],Main[[#All],[TYPE]:[UNIT]],'Unit Price'!C$1,FALSE),0)</f>
        <v>0</v>
      </c>
      <c r="H476" s="197">
        <f>IF(_1_5412845612146241046457891017456[[#This Row],[Type]]&gt;0,VLOOKUP(_1_5412845612146241046457891017456[[#This Row],[Type]],Main[[#All],[TYPE]:[UNIT]],'Unit Price'!D$1,FALSE),0)</f>
        <v>0</v>
      </c>
      <c r="I476" s="194">
        <f>IF(_1_5412845612146241046457891017456[[#This Row],[Type]]&gt;0,VLOOKUP(_1_5412845612146241046457891017456[[#This Row],[Type]],Main[[#All],[TYPE]:[UNIT]],'Unit Price'!G$1,FALSE),0)</f>
        <v>0</v>
      </c>
      <c r="J476" s="194">
        <f>IF(_1_5412845612146241046457891017456[[#This Row],[Type]]&gt;0,VLOOKUP(_1_5412845612146241046457891017456[[#This Row],[Type]],Main[[#All],[TYPE]:[UNIT]],'Unit Price'!H$1,FALSE),0)</f>
        <v>0</v>
      </c>
      <c r="K476" s="194">
        <f>IF(_1_5412845612146241046457891017456[[#This Row],[Discount selection]]&gt;0,VLOOKUP(_1_5412845612146241046457891017456[[#This Row],[Discount selection]],'Discount Structure'!$A$2:$B$30,2,"false"),0)</f>
        <v>1</v>
      </c>
      <c r="L476" s="194">
        <f>_1_5412845612146241046457891017456[[#This Row],[LIST $]]*_1_5412845612146241046457891017456[[#This Row],[DISCOUNT]]*_1_5412845612146241046457891017456[[#This Row],[DISCOUNT 2]]</f>
        <v>0</v>
      </c>
      <c r="M476" s="194">
        <f>IF(OR(_1_5412845612146241046457891017456[[#This Row],[UNIT]]&gt;0,_1_5412845612146241046457891017456[[#This Row],[UNIT]]&lt;0),_1_5412845612146241046457891017456[[#This Row],[UNIT]]*_1_5412845612146241046457891017456[[#This Row],[COST]],0)</f>
        <v>0</v>
      </c>
      <c r="N476" s="194">
        <f t="shared" si="7"/>
        <v>1.3</v>
      </c>
      <c r="O476" s="198">
        <f>_1_5412845612146241046457891017456[[#This Row],[TOTAL]]*_1_5412845612146241046457891017456[[#This Row],[MARGIN]]</f>
        <v>0</v>
      </c>
      <c r="R476" s="41"/>
    </row>
    <row r="477" spans="1:18">
      <c r="D477" s="188"/>
      <c r="F477" s="168" t="s">
        <v>6202</v>
      </c>
      <c r="G477" s="193">
        <f>IF(_1_5412845612146241046457891017456[[#This Row],[Type]]&gt;0,VLOOKUP(_1_5412845612146241046457891017456[[#This Row],[Type]],Main[[#All],[TYPE]:[UNIT]],'Unit Price'!C$1,FALSE),0)</f>
        <v>0</v>
      </c>
      <c r="H477" s="197">
        <f>IF(_1_5412845612146241046457891017456[[#This Row],[Type]]&gt;0,VLOOKUP(_1_5412845612146241046457891017456[[#This Row],[Type]],Main[[#All],[TYPE]:[UNIT]],'Unit Price'!D$1,FALSE),0)</f>
        <v>0</v>
      </c>
      <c r="I477" s="194">
        <f>IF(_1_5412845612146241046457891017456[[#This Row],[Type]]&gt;0,VLOOKUP(_1_5412845612146241046457891017456[[#This Row],[Type]],Main[[#All],[TYPE]:[UNIT]],'Unit Price'!G$1,FALSE),0)</f>
        <v>0</v>
      </c>
      <c r="J477" s="194">
        <f>IF(_1_5412845612146241046457891017456[[#This Row],[Type]]&gt;0,VLOOKUP(_1_5412845612146241046457891017456[[#This Row],[Type]],Main[[#All],[TYPE]:[UNIT]],'Unit Price'!H$1,FALSE),0)</f>
        <v>0</v>
      </c>
      <c r="K477" s="194">
        <f>IF(_1_5412845612146241046457891017456[[#This Row],[Discount selection]]&gt;0,VLOOKUP(_1_5412845612146241046457891017456[[#This Row],[Discount selection]],'Discount Structure'!$A$2:$B$30,2,"false"),0)</f>
        <v>1</v>
      </c>
      <c r="L477" s="194">
        <f>_1_5412845612146241046457891017456[[#This Row],[LIST $]]*_1_5412845612146241046457891017456[[#This Row],[DISCOUNT]]*_1_5412845612146241046457891017456[[#This Row],[DISCOUNT 2]]</f>
        <v>0</v>
      </c>
      <c r="M477" s="194">
        <f>IF(OR(_1_5412845612146241046457891017456[[#This Row],[UNIT]]&gt;0,_1_5412845612146241046457891017456[[#This Row],[UNIT]]&lt;0),_1_5412845612146241046457891017456[[#This Row],[UNIT]]*_1_5412845612146241046457891017456[[#This Row],[COST]],0)</f>
        <v>0</v>
      </c>
      <c r="N477" s="194">
        <f t="shared" si="7"/>
        <v>1.3</v>
      </c>
      <c r="O477" s="198">
        <f>_1_5412845612146241046457891017456[[#This Row],[TOTAL]]*_1_5412845612146241046457891017456[[#This Row],[MARGIN]]</f>
        <v>0</v>
      </c>
      <c r="R477" s="41"/>
    </row>
    <row r="478" spans="1:18">
      <c r="A478" s="168"/>
      <c r="D478" s="188"/>
      <c r="F478" s="168" t="s">
        <v>6202</v>
      </c>
      <c r="G478" s="192">
        <f>IF(_1_5412845612146241046457891017456[[#This Row],[Type]]&gt;0,VLOOKUP(_1_5412845612146241046457891017456[[#This Row],[Type]],Main[[#All],[TYPE]:[UNIT]],'Unit Price'!C$1,FALSE),0)</f>
        <v>0</v>
      </c>
      <c r="H478" s="197">
        <f>IF(_1_5412845612146241046457891017456[[#This Row],[Type]]&gt;0,VLOOKUP(_1_5412845612146241046457891017456[[#This Row],[Type]],Main[[#All],[TYPE]:[UNIT]],'Unit Price'!D$1,FALSE),0)</f>
        <v>0</v>
      </c>
      <c r="I478" s="194">
        <f>IF(_1_5412845612146241046457891017456[[#This Row],[Type]]&gt;0,VLOOKUP(_1_5412845612146241046457891017456[[#This Row],[Type]],Main[[#All],[TYPE]:[UNIT]],'Unit Price'!G$1,FALSE),0)</f>
        <v>0</v>
      </c>
      <c r="J478" s="194">
        <f>IF(_1_5412845612146241046457891017456[[#This Row],[Type]]&gt;0,VLOOKUP(_1_5412845612146241046457891017456[[#This Row],[Type]],Main[[#All],[TYPE]:[UNIT]],'Unit Price'!H$1,FALSE),0)</f>
        <v>0</v>
      </c>
      <c r="K478" s="194">
        <f>IF(_1_5412845612146241046457891017456[[#This Row],[Discount selection]]&gt;0,VLOOKUP(_1_5412845612146241046457891017456[[#This Row],[Discount selection]],'Discount Structure'!$A$2:$B$30,2,"false"),0)</f>
        <v>1</v>
      </c>
      <c r="L478" s="194">
        <f>_1_5412845612146241046457891017456[[#This Row],[LIST $]]*_1_5412845612146241046457891017456[[#This Row],[DISCOUNT]]*_1_5412845612146241046457891017456[[#This Row],[DISCOUNT 2]]</f>
        <v>0</v>
      </c>
      <c r="M478" s="194">
        <f>IF(OR(_1_5412845612146241046457891017456[[#This Row],[UNIT]]&gt;0,_1_5412845612146241046457891017456[[#This Row],[UNIT]]&lt;0),_1_5412845612146241046457891017456[[#This Row],[UNIT]]*_1_5412845612146241046457891017456[[#This Row],[COST]],0)</f>
        <v>0</v>
      </c>
      <c r="N478" s="194">
        <f t="shared" si="7"/>
        <v>1.3</v>
      </c>
      <c r="O478" s="198">
        <f>_1_5412845612146241046457891017456[[#This Row],[TOTAL]]*_1_5412845612146241046457891017456[[#This Row],[MARGIN]]</f>
        <v>0</v>
      </c>
      <c r="R478" s="41"/>
    </row>
    <row r="479" spans="1:18">
      <c r="D479" s="188"/>
      <c r="F479" s="168" t="s">
        <v>6202</v>
      </c>
      <c r="G479" s="193">
        <f>IF(_1_5412845612146241046457891017456[[#This Row],[Type]]&gt;0,VLOOKUP(_1_5412845612146241046457891017456[[#This Row],[Type]],Main[[#All],[TYPE]:[UNIT]],'Unit Price'!C$1,FALSE),0)</f>
        <v>0</v>
      </c>
      <c r="H479" s="197">
        <f>IF(_1_5412845612146241046457891017456[[#This Row],[Type]]&gt;0,VLOOKUP(_1_5412845612146241046457891017456[[#This Row],[Type]],Main[[#All],[TYPE]:[UNIT]],'Unit Price'!D$1,FALSE),0)</f>
        <v>0</v>
      </c>
      <c r="I479" s="194">
        <f>IF(_1_5412845612146241046457891017456[[#This Row],[Type]]&gt;0,VLOOKUP(_1_5412845612146241046457891017456[[#This Row],[Type]],Main[[#All],[TYPE]:[UNIT]],'Unit Price'!G$1,FALSE),0)</f>
        <v>0</v>
      </c>
      <c r="J479" s="194">
        <f>IF(_1_5412845612146241046457891017456[[#This Row],[Type]]&gt;0,VLOOKUP(_1_5412845612146241046457891017456[[#This Row],[Type]],Main[[#All],[TYPE]:[UNIT]],'Unit Price'!H$1,FALSE),0)</f>
        <v>0</v>
      </c>
      <c r="K479" s="194">
        <f>IF(_1_5412845612146241046457891017456[[#This Row],[Discount selection]]&gt;0,VLOOKUP(_1_5412845612146241046457891017456[[#This Row],[Discount selection]],'Discount Structure'!$A$2:$B$30,2,"false"),0)</f>
        <v>1</v>
      </c>
      <c r="L479" s="194">
        <f>_1_5412845612146241046457891017456[[#This Row],[LIST $]]*_1_5412845612146241046457891017456[[#This Row],[DISCOUNT]]*_1_5412845612146241046457891017456[[#This Row],[DISCOUNT 2]]</f>
        <v>0</v>
      </c>
      <c r="M479" s="194">
        <f>IF(OR(_1_5412845612146241046457891017456[[#This Row],[UNIT]]&gt;0,_1_5412845612146241046457891017456[[#This Row],[UNIT]]&lt;0),_1_5412845612146241046457891017456[[#This Row],[UNIT]]*_1_5412845612146241046457891017456[[#This Row],[COST]],0)</f>
        <v>0</v>
      </c>
      <c r="N479" s="194">
        <f t="shared" si="7"/>
        <v>1.3</v>
      </c>
      <c r="O479" s="198">
        <f>_1_5412845612146241046457891017456[[#This Row],[TOTAL]]*_1_5412845612146241046457891017456[[#This Row],[MARGIN]]</f>
        <v>0</v>
      </c>
      <c r="R479" s="41"/>
    </row>
    <row r="480" spans="1:18">
      <c r="D480" s="188"/>
      <c r="F480" s="168" t="s">
        <v>6202</v>
      </c>
      <c r="G480" s="193">
        <f>IF(_1_5412845612146241046457891017456[[#This Row],[Type]]&gt;0,VLOOKUP(_1_5412845612146241046457891017456[[#This Row],[Type]],Main[[#All],[TYPE]:[UNIT]],'Unit Price'!C$1,FALSE),0)</f>
        <v>0</v>
      </c>
      <c r="H480" s="197">
        <f>IF(_1_5412845612146241046457891017456[[#This Row],[Type]]&gt;0,VLOOKUP(_1_5412845612146241046457891017456[[#This Row],[Type]],Main[[#All],[TYPE]:[UNIT]],'Unit Price'!D$1,FALSE),0)</f>
        <v>0</v>
      </c>
      <c r="I480" s="194">
        <f>IF(_1_5412845612146241046457891017456[[#This Row],[Type]]&gt;0,VLOOKUP(_1_5412845612146241046457891017456[[#This Row],[Type]],Main[[#All],[TYPE]:[UNIT]],'Unit Price'!G$1,FALSE),0)</f>
        <v>0</v>
      </c>
      <c r="J480" s="194">
        <f>IF(_1_5412845612146241046457891017456[[#This Row],[Type]]&gt;0,VLOOKUP(_1_5412845612146241046457891017456[[#This Row],[Type]],Main[[#All],[TYPE]:[UNIT]],'Unit Price'!H$1,FALSE),0)</f>
        <v>0</v>
      </c>
      <c r="K480" s="194">
        <f>IF(_1_5412845612146241046457891017456[[#This Row],[Discount selection]]&gt;0,VLOOKUP(_1_5412845612146241046457891017456[[#This Row],[Discount selection]],'Discount Structure'!$A$2:$B$30,2,"false"),0)</f>
        <v>1</v>
      </c>
      <c r="L480" s="194">
        <f>_1_5412845612146241046457891017456[[#This Row],[LIST $]]*_1_5412845612146241046457891017456[[#This Row],[DISCOUNT]]*_1_5412845612146241046457891017456[[#This Row],[DISCOUNT 2]]</f>
        <v>0</v>
      </c>
      <c r="M480" s="194">
        <f>IF(OR(_1_5412845612146241046457891017456[[#This Row],[UNIT]]&gt;0,_1_5412845612146241046457891017456[[#This Row],[UNIT]]&lt;0),_1_5412845612146241046457891017456[[#This Row],[UNIT]]*_1_5412845612146241046457891017456[[#This Row],[COST]],0)</f>
        <v>0</v>
      </c>
      <c r="N480" s="194">
        <f t="shared" si="7"/>
        <v>1.3</v>
      </c>
      <c r="O480" s="198">
        <f>_1_5412845612146241046457891017456[[#This Row],[TOTAL]]*_1_5412845612146241046457891017456[[#This Row],[MARGIN]]</f>
        <v>0</v>
      </c>
      <c r="R480" s="41"/>
    </row>
    <row r="481" spans="1:18">
      <c r="D481" s="188"/>
      <c r="F481" s="168" t="s">
        <v>6202</v>
      </c>
      <c r="G481" s="193">
        <f>IF(_1_5412845612146241046457891017456[[#This Row],[Type]]&gt;0,VLOOKUP(_1_5412845612146241046457891017456[[#This Row],[Type]],Main[[#All],[TYPE]:[UNIT]],'Unit Price'!C$1,FALSE),0)</f>
        <v>0</v>
      </c>
      <c r="H481" s="197">
        <f>IF(_1_5412845612146241046457891017456[[#This Row],[Type]]&gt;0,VLOOKUP(_1_5412845612146241046457891017456[[#This Row],[Type]],Main[[#All],[TYPE]:[UNIT]],'Unit Price'!D$1,FALSE),0)</f>
        <v>0</v>
      </c>
      <c r="I481" s="194">
        <f>IF(_1_5412845612146241046457891017456[[#This Row],[Type]]&gt;0,VLOOKUP(_1_5412845612146241046457891017456[[#This Row],[Type]],Main[[#All],[TYPE]:[UNIT]],'Unit Price'!G$1,FALSE),0)</f>
        <v>0</v>
      </c>
      <c r="J481" s="194">
        <f>IF(_1_5412845612146241046457891017456[[#This Row],[Type]]&gt;0,VLOOKUP(_1_5412845612146241046457891017456[[#This Row],[Type]],Main[[#All],[TYPE]:[UNIT]],'Unit Price'!H$1,FALSE),0)</f>
        <v>0</v>
      </c>
      <c r="K481" s="194">
        <f>IF(_1_5412845612146241046457891017456[[#This Row],[Discount selection]]&gt;0,VLOOKUP(_1_5412845612146241046457891017456[[#This Row],[Discount selection]],'Discount Structure'!$A$2:$B$30,2,"false"),0)</f>
        <v>1</v>
      </c>
      <c r="L481" s="194">
        <f>_1_5412845612146241046457891017456[[#This Row],[LIST $]]*_1_5412845612146241046457891017456[[#This Row],[DISCOUNT]]*_1_5412845612146241046457891017456[[#This Row],[DISCOUNT 2]]</f>
        <v>0</v>
      </c>
      <c r="M481" s="194">
        <f>IF(OR(_1_5412845612146241046457891017456[[#This Row],[UNIT]]&gt;0,_1_5412845612146241046457891017456[[#This Row],[UNIT]]&lt;0),_1_5412845612146241046457891017456[[#This Row],[UNIT]]*_1_5412845612146241046457891017456[[#This Row],[COST]],0)</f>
        <v>0</v>
      </c>
      <c r="N481" s="194">
        <f t="shared" si="7"/>
        <v>1.3</v>
      </c>
      <c r="O481" s="198">
        <f>_1_5412845612146241046457891017456[[#This Row],[TOTAL]]*_1_5412845612146241046457891017456[[#This Row],[MARGIN]]</f>
        <v>0</v>
      </c>
      <c r="R481" s="41"/>
    </row>
    <row r="482" spans="1:18">
      <c r="D482" s="188"/>
      <c r="F482" s="168" t="s">
        <v>6202</v>
      </c>
      <c r="G482" s="193">
        <f>IF(_1_5412845612146241046457891017456[[#This Row],[Type]]&gt;0,VLOOKUP(_1_5412845612146241046457891017456[[#This Row],[Type]],Main[[#All],[TYPE]:[UNIT]],'Unit Price'!C$1,FALSE),0)</f>
        <v>0</v>
      </c>
      <c r="H482" s="197">
        <f>IF(_1_5412845612146241046457891017456[[#This Row],[Type]]&gt;0,VLOOKUP(_1_5412845612146241046457891017456[[#This Row],[Type]],Main[[#All],[TYPE]:[UNIT]],'Unit Price'!D$1,FALSE),0)</f>
        <v>0</v>
      </c>
      <c r="I482" s="194">
        <f>IF(_1_5412845612146241046457891017456[[#This Row],[Type]]&gt;0,VLOOKUP(_1_5412845612146241046457891017456[[#This Row],[Type]],Main[[#All],[TYPE]:[UNIT]],'Unit Price'!G$1,FALSE),0)</f>
        <v>0</v>
      </c>
      <c r="J482" s="194">
        <f>IF(_1_5412845612146241046457891017456[[#This Row],[Type]]&gt;0,VLOOKUP(_1_5412845612146241046457891017456[[#This Row],[Type]],Main[[#All],[TYPE]:[UNIT]],'Unit Price'!H$1,FALSE),0)</f>
        <v>0</v>
      </c>
      <c r="K482" s="194">
        <f>IF(_1_5412845612146241046457891017456[[#This Row],[Discount selection]]&gt;0,VLOOKUP(_1_5412845612146241046457891017456[[#This Row],[Discount selection]],'Discount Structure'!$A$2:$B$30,2,"false"),0)</f>
        <v>1</v>
      </c>
      <c r="L482" s="194">
        <f>_1_5412845612146241046457891017456[[#This Row],[LIST $]]*_1_5412845612146241046457891017456[[#This Row],[DISCOUNT]]*_1_5412845612146241046457891017456[[#This Row],[DISCOUNT 2]]</f>
        <v>0</v>
      </c>
      <c r="M482" s="194">
        <f>IF(OR(_1_5412845612146241046457891017456[[#This Row],[UNIT]]&gt;0,_1_5412845612146241046457891017456[[#This Row],[UNIT]]&lt;0),_1_5412845612146241046457891017456[[#This Row],[UNIT]]*_1_5412845612146241046457891017456[[#This Row],[COST]],0)</f>
        <v>0</v>
      </c>
      <c r="N482" s="194">
        <f t="shared" si="7"/>
        <v>1.3</v>
      </c>
      <c r="O482" s="198">
        <f>_1_5412845612146241046457891017456[[#This Row],[TOTAL]]*_1_5412845612146241046457891017456[[#This Row],[MARGIN]]</f>
        <v>0</v>
      </c>
      <c r="R482" s="41"/>
    </row>
    <row r="483" spans="1:18">
      <c r="D483" s="188"/>
      <c r="F483" s="168" t="s">
        <v>6202</v>
      </c>
      <c r="G483" s="193">
        <f>IF(_1_5412845612146241046457891017456[[#This Row],[Type]]&gt;0,VLOOKUP(_1_5412845612146241046457891017456[[#This Row],[Type]],Main[[#All],[TYPE]:[UNIT]],'Unit Price'!C$1,FALSE),0)</f>
        <v>0</v>
      </c>
      <c r="H483" s="197">
        <f>IF(_1_5412845612146241046457891017456[[#This Row],[Type]]&gt;0,VLOOKUP(_1_5412845612146241046457891017456[[#This Row],[Type]],Main[[#All],[TYPE]:[UNIT]],'Unit Price'!D$1,FALSE),0)</f>
        <v>0</v>
      </c>
      <c r="I483" s="194">
        <f>IF(_1_5412845612146241046457891017456[[#This Row],[Type]]&gt;0,VLOOKUP(_1_5412845612146241046457891017456[[#This Row],[Type]],Main[[#All],[TYPE]:[UNIT]],'Unit Price'!G$1,FALSE),0)</f>
        <v>0</v>
      </c>
      <c r="J483" s="194">
        <f>IF(_1_5412845612146241046457891017456[[#This Row],[Type]]&gt;0,VLOOKUP(_1_5412845612146241046457891017456[[#This Row],[Type]],Main[[#All],[TYPE]:[UNIT]],'Unit Price'!H$1,FALSE),0)</f>
        <v>0</v>
      </c>
      <c r="K483" s="194">
        <f>IF(_1_5412845612146241046457891017456[[#This Row],[Discount selection]]&gt;0,VLOOKUP(_1_5412845612146241046457891017456[[#This Row],[Discount selection]],'Discount Structure'!$A$2:$B$30,2,"false"),0)</f>
        <v>1</v>
      </c>
      <c r="L483" s="194">
        <f>_1_5412845612146241046457891017456[[#This Row],[LIST $]]*_1_5412845612146241046457891017456[[#This Row],[DISCOUNT]]*_1_5412845612146241046457891017456[[#This Row],[DISCOUNT 2]]</f>
        <v>0</v>
      </c>
      <c r="M483" s="194">
        <f>IF(OR(_1_5412845612146241046457891017456[[#This Row],[UNIT]]&gt;0,_1_5412845612146241046457891017456[[#This Row],[UNIT]]&lt;0),_1_5412845612146241046457891017456[[#This Row],[UNIT]]*_1_5412845612146241046457891017456[[#This Row],[COST]],0)</f>
        <v>0</v>
      </c>
      <c r="N483" s="194">
        <f t="shared" si="7"/>
        <v>1.3</v>
      </c>
      <c r="O483" s="198">
        <f>_1_5412845612146241046457891017456[[#This Row],[TOTAL]]*_1_5412845612146241046457891017456[[#This Row],[MARGIN]]</f>
        <v>0</v>
      </c>
      <c r="R483" s="41"/>
    </row>
    <row r="484" spans="1:18">
      <c r="D484" s="188"/>
      <c r="F484" s="168" t="s">
        <v>6202</v>
      </c>
      <c r="G484" s="193">
        <f>IF(_1_5412845612146241046457891017456[[#This Row],[Type]]&gt;0,VLOOKUP(_1_5412845612146241046457891017456[[#This Row],[Type]],Main[[#All],[TYPE]:[UNIT]],'Unit Price'!C$1,FALSE),0)</f>
        <v>0</v>
      </c>
      <c r="H484" s="197">
        <f>IF(_1_5412845612146241046457891017456[[#This Row],[Type]]&gt;0,VLOOKUP(_1_5412845612146241046457891017456[[#This Row],[Type]],Main[[#All],[TYPE]:[UNIT]],'Unit Price'!D$1,FALSE),0)</f>
        <v>0</v>
      </c>
      <c r="I484" s="194">
        <f>IF(_1_5412845612146241046457891017456[[#This Row],[Type]]&gt;0,VLOOKUP(_1_5412845612146241046457891017456[[#This Row],[Type]],Main[[#All],[TYPE]:[UNIT]],'Unit Price'!G$1,FALSE),0)</f>
        <v>0</v>
      </c>
      <c r="J484" s="194">
        <f>IF(_1_5412845612146241046457891017456[[#This Row],[Type]]&gt;0,VLOOKUP(_1_5412845612146241046457891017456[[#This Row],[Type]],Main[[#All],[TYPE]:[UNIT]],'Unit Price'!H$1,FALSE),0)</f>
        <v>0</v>
      </c>
      <c r="K484" s="194">
        <f>IF(_1_5412845612146241046457891017456[[#This Row],[Discount selection]]&gt;0,VLOOKUP(_1_5412845612146241046457891017456[[#This Row],[Discount selection]],'Discount Structure'!$A$2:$B$30,2,"false"),0)</f>
        <v>1</v>
      </c>
      <c r="L484" s="194">
        <f>_1_5412845612146241046457891017456[[#This Row],[LIST $]]*_1_5412845612146241046457891017456[[#This Row],[DISCOUNT]]*_1_5412845612146241046457891017456[[#This Row],[DISCOUNT 2]]</f>
        <v>0</v>
      </c>
      <c r="M484" s="194">
        <f>IF(OR(_1_5412845612146241046457891017456[[#This Row],[UNIT]]&gt;0,_1_5412845612146241046457891017456[[#This Row],[UNIT]]&lt;0),_1_5412845612146241046457891017456[[#This Row],[UNIT]]*_1_5412845612146241046457891017456[[#This Row],[COST]],0)</f>
        <v>0</v>
      </c>
      <c r="N484" s="194">
        <f t="shared" si="7"/>
        <v>1.3</v>
      </c>
      <c r="O484" s="198">
        <f>_1_5412845612146241046457891017456[[#This Row],[TOTAL]]*_1_5412845612146241046457891017456[[#This Row],[MARGIN]]</f>
        <v>0</v>
      </c>
      <c r="R484" s="41"/>
    </row>
    <row r="485" spans="1:18">
      <c r="D485" s="188"/>
      <c r="F485" s="168" t="s">
        <v>6202</v>
      </c>
      <c r="G485" s="193">
        <f>IF(_1_5412845612146241046457891017456[[#This Row],[Type]]&gt;0,VLOOKUP(_1_5412845612146241046457891017456[[#This Row],[Type]],Main[[#All],[TYPE]:[UNIT]],'Unit Price'!C$1,FALSE),0)</f>
        <v>0</v>
      </c>
      <c r="H485" s="197">
        <f>IF(_1_5412845612146241046457891017456[[#This Row],[Type]]&gt;0,VLOOKUP(_1_5412845612146241046457891017456[[#This Row],[Type]],Main[[#All],[TYPE]:[UNIT]],'Unit Price'!D$1,FALSE),0)</f>
        <v>0</v>
      </c>
      <c r="I485" s="194">
        <f>IF(_1_5412845612146241046457891017456[[#This Row],[Type]]&gt;0,VLOOKUP(_1_5412845612146241046457891017456[[#This Row],[Type]],Main[[#All],[TYPE]:[UNIT]],'Unit Price'!G$1,FALSE),0)</f>
        <v>0</v>
      </c>
      <c r="J485" s="194">
        <f>IF(_1_5412845612146241046457891017456[[#This Row],[Type]]&gt;0,VLOOKUP(_1_5412845612146241046457891017456[[#This Row],[Type]],Main[[#All],[TYPE]:[UNIT]],'Unit Price'!H$1,FALSE),0)</f>
        <v>0</v>
      </c>
      <c r="K485" s="194">
        <f>IF(_1_5412845612146241046457891017456[[#This Row],[Discount selection]]&gt;0,VLOOKUP(_1_5412845612146241046457891017456[[#This Row],[Discount selection]],'Discount Structure'!$A$2:$B$30,2,"false"),0)</f>
        <v>1</v>
      </c>
      <c r="L485" s="194">
        <f>_1_5412845612146241046457891017456[[#This Row],[LIST $]]*_1_5412845612146241046457891017456[[#This Row],[DISCOUNT]]*_1_5412845612146241046457891017456[[#This Row],[DISCOUNT 2]]</f>
        <v>0</v>
      </c>
      <c r="M485" s="194">
        <f>IF(OR(_1_5412845612146241046457891017456[[#This Row],[UNIT]]&gt;0,_1_5412845612146241046457891017456[[#This Row],[UNIT]]&lt;0),_1_5412845612146241046457891017456[[#This Row],[UNIT]]*_1_5412845612146241046457891017456[[#This Row],[COST]],0)</f>
        <v>0</v>
      </c>
      <c r="N485" s="194">
        <f t="shared" si="7"/>
        <v>1.3</v>
      </c>
      <c r="O485" s="198">
        <f>_1_5412845612146241046457891017456[[#This Row],[TOTAL]]*_1_5412845612146241046457891017456[[#This Row],[MARGIN]]</f>
        <v>0</v>
      </c>
      <c r="R485" s="41"/>
    </row>
    <row r="486" spans="1:18">
      <c r="D486" s="188"/>
      <c r="F486" s="168" t="s">
        <v>6202</v>
      </c>
      <c r="G486" s="193">
        <f>IF(_1_5412845612146241046457891017456[[#This Row],[Type]]&gt;0,VLOOKUP(_1_5412845612146241046457891017456[[#This Row],[Type]],Main[[#All],[TYPE]:[UNIT]],'Unit Price'!C$1,FALSE),0)</f>
        <v>0</v>
      </c>
      <c r="H486" s="197">
        <f>IF(_1_5412845612146241046457891017456[[#This Row],[Type]]&gt;0,VLOOKUP(_1_5412845612146241046457891017456[[#This Row],[Type]],Main[[#All],[TYPE]:[UNIT]],'Unit Price'!D$1,FALSE),0)</f>
        <v>0</v>
      </c>
      <c r="I486" s="194">
        <f>IF(_1_5412845612146241046457891017456[[#This Row],[Type]]&gt;0,VLOOKUP(_1_5412845612146241046457891017456[[#This Row],[Type]],Main[[#All],[TYPE]:[UNIT]],'Unit Price'!G$1,FALSE),0)</f>
        <v>0</v>
      </c>
      <c r="J486" s="194">
        <f>IF(_1_5412845612146241046457891017456[[#This Row],[Type]]&gt;0,VLOOKUP(_1_5412845612146241046457891017456[[#This Row],[Type]],Main[[#All],[TYPE]:[UNIT]],'Unit Price'!H$1,FALSE),0)</f>
        <v>0</v>
      </c>
      <c r="K486" s="194">
        <f>IF(_1_5412845612146241046457891017456[[#This Row],[Discount selection]]&gt;0,VLOOKUP(_1_5412845612146241046457891017456[[#This Row],[Discount selection]],'Discount Structure'!$A$2:$B$30,2,"false"),0)</f>
        <v>1</v>
      </c>
      <c r="L486" s="194">
        <f>_1_5412845612146241046457891017456[[#This Row],[LIST $]]*_1_5412845612146241046457891017456[[#This Row],[DISCOUNT]]*_1_5412845612146241046457891017456[[#This Row],[DISCOUNT 2]]</f>
        <v>0</v>
      </c>
      <c r="M486" s="194">
        <f>IF(OR(_1_5412845612146241046457891017456[[#This Row],[UNIT]]&gt;0,_1_5412845612146241046457891017456[[#This Row],[UNIT]]&lt;0),_1_5412845612146241046457891017456[[#This Row],[UNIT]]*_1_5412845612146241046457891017456[[#This Row],[COST]],0)</f>
        <v>0</v>
      </c>
      <c r="N486" s="194">
        <f t="shared" si="7"/>
        <v>1.3</v>
      </c>
      <c r="O486" s="198">
        <f>_1_5412845612146241046457891017456[[#This Row],[TOTAL]]*_1_5412845612146241046457891017456[[#This Row],[MARGIN]]</f>
        <v>0</v>
      </c>
      <c r="R486" s="41"/>
    </row>
    <row r="487" spans="1:18">
      <c r="D487" s="188"/>
      <c r="F487" s="168" t="s">
        <v>6202</v>
      </c>
      <c r="G487" s="193">
        <f>IF(_1_5412845612146241046457891017456[[#This Row],[Type]]&gt;0,VLOOKUP(_1_5412845612146241046457891017456[[#This Row],[Type]],Main[[#All],[TYPE]:[UNIT]],'Unit Price'!C$1,FALSE),0)</f>
        <v>0</v>
      </c>
      <c r="H487" s="197">
        <f>IF(_1_5412845612146241046457891017456[[#This Row],[Type]]&gt;0,VLOOKUP(_1_5412845612146241046457891017456[[#This Row],[Type]],Main[[#All],[TYPE]:[UNIT]],'Unit Price'!D$1,FALSE),0)</f>
        <v>0</v>
      </c>
      <c r="I487" s="194">
        <f>IF(_1_5412845612146241046457891017456[[#This Row],[Type]]&gt;0,VLOOKUP(_1_5412845612146241046457891017456[[#This Row],[Type]],Main[[#All],[TYPE]:[UNIT]],'Unit Price'!G$1,FALSE),0)</f>
        <v>0</v>
      </c>
      <c r="J487" s="194">
        <f>IF(_1_5412845612146241046457891017456[[#This Row],[Type]]&gt;0,VLOOKUP(_1_5412845612146241046457891017456[[#This Row],[Type]],Main[[#All],[TYPE]:[UNIT]],'Unit Price'!H$1,FALSE),0)</f>
        <v>0</v>
      </c>
      <c r="K487" s="194">
        <f>IF(_1_5412845612146241046457891017456[[#This Row],[Discount selection]]&gt;0,VLOOKUP(_1_5412845612146241046457891017456[[#This Row],[Discount selection]],'Discount Structure'!$A$2:$B$30,2,"false"),0)</f>
        <v>1</v>
      </c>
      <c r="L487" s="194">
        <f>_1_5412845612146241046457891017456[[#This Row],[LIST $]]*_1_5412845612146241046457891017456[[#This Row],[DISCOUNT]]*_1_5412845612146241046457891017456[[#This Row],[DISCOUNT 2]]</f>
        <v>0</v>
      </c>
      <c r="M487" s="194">
        <f>IF(OR(_1_5412845612146241046457891017456[[#This Row],[UNIT]]&gt;0,_1_5412845612146241046457891017456[[#This Row],[UNIT]]&lt;0),_1_5412845612146241046457891017456[[#This Row],[UNIT]]*_1_5412845612146241046457891017456[[#This Row],[COST]],0)</f>
        <v>0</v>
      </c>
      <c r="N487" s="194">
        <f t="shared" si="7"/>
        <v>1.3</v>
      </c>
      <c r="O487" s="198">
        <f>_1_5412845612146241046457891017456[[#This Row],[TOTAL]]*_1_5412845612146241046457891017456[[#This Row],[MARGIN]]</f>
        <v>0</v>
      </c>
      <c r="R487" s="41"/>
    </row>
    <row r="488" spans="1:18">
      <c r="A488" s="168"/>
      <c r="D488" s="188"/>
      <c r="F488" s="168" t="s">
        <v>6202</v>
      </c>
      <c r="G488" s="193">
        <f>IF(_1_5412845612146241046457891017456[[#This Row],[Type]]&gt;0,VLOOKUP(_1_5412845612146241046457891017456[[#This Row],[Type]],Main[[#All],[TYPE]:[UNIT]],'Unit Price'!C$1,FALSE),0)</f>
        <v>0</v>
      </c>
      <c r="H488" s="197">
        <f>IF(_1_5412845612146241046457891017456[[#This Row],[Type]]&gt;0,VLOOKUP(_1_5412845612146241046457891017456[[#This Row],[Type]],Main[[#All],[TYPE]:[UNIT]],'Unit Price'!D$1,FALSE),0)</f>
        <v>0</v>
      </c>
      <c r="I488" s="194">
        <f>IF(_1_5412845612146241046457891017456[[#This Row],[Type]]&gt;0,VLOOKUP(_1_5412845612146241046457891017456[[#This Row],[Type]],Main[[#All],[TYPE]:[UNIT]],'Unit Price'!G$1,FALSE),0)</f>
        <v>0</v>
      </c>
      <c r="J488" s="194">
        <f>IF(_1_5412845612146241046457891017456[[#This Row],[Type]]&gt;0,VLOOKUP(_1_5412845612146241046457891017456[[#This Row],[Type]],Main[[#All],[TYPE]:[UNIT]],'Unit Price'!H$1,FALSE),0)</f>
        <v>0</v>
      </c>
      <c r="K488" s="194">
        <f>IF(_1_5412845612146241046457891017456[[#This Row],[Discount selection]]&gt;0,VLOOKUP(_1_5412845612146241046457891017456[[#This Row],[Discount selection]],'Discount Structure'!$A$2:$B$30,2,"false"),0)</f>
        <v>1</v>
      </c>
      <c r="L488" s="194">
        <f>_1_5412845612146241046457891017456[[#This Row],[LIST $]]*_1_5412845612146241046457891017456[[#This Row],[DISCOUNT]]*_1_5412845612146241046457891017456[[#This Row],[DISCOUNT 2]]</f>
        <v>0</v>
      </c>
      <c r="M488" s="194">
        <f>IF(OR(_1_5412845612146241046457891017456[[#This Row],[UNIT]]&gt;0,_1_5412845612146241046457891017456[[#This Row],[UNIT]]&lt;0),_1_5412845612146241046457891017456[[#This Row],[UNIT]]*_1_5412845612146241046457891017456[[#This Row],[COST]],0)</f>
        <v>0</v>
      </c>
      <c r="N488" s="194">
        <f t="shared" si="7"/>
        <v>1.3</v>
      </c>
      <c r="O488" s="198">
        <f>_1_5412845612146241046457891017456[[#This Row],[TOTAL]]*_1_5412845612146241046457891017456[[#This Row],[MARGIN]]</f>
        <v>0</v>
      </c>
      <c r="R488" s="41"/>
    </row>
    <row r="489" spans="1:18">
      <c r="B489" s="168"/>
      <c r="D489" s="188"/>
      <c r="F489" s="168" t="s">
        <v>6202</v>
      </c>
      <c r="G489" s="193">
        <f>IF(_1_5412845612146241046457891017456[[#This Row],[Type]]&gt;0,VLOOKUP(_1_5412845612146241046457891017456[[#This Row],[Type]],Main[[#All],[TYPE]:[UNIT]],'Unit Price'!C$1,FALSE),0)</f>
        <v>0</v>
      </c>
      <c r="H489" s="197">
        <f>IF(_1_5412845612146241046457891017456[[#This Row],[Type]]&gt;0,VLOOKUP(_1_5412845612146241046457891017456[[#This Row],[Type]],Main[[#All],[TYPE]:[UNIT]],'Unit Price'!D$1,FALSE),0)</f>
        <v>0</v>
      </c>
      <c r="I489" s="194">
        <f>IF(_1_5412845612146241046457891017456[[#This Row],[Type]]&gt;0,VLOOKUP(_1_5412845612146241046457891017456[[#This Row],[Type]],Main[[#All],[TYPE]:[UNIT]],'Unit Price'!G$1,FALSE),0)</f>
        <v>0</v>
      </c>
      <c r="J489" s="194">
        <f>IF(_1_5412845612146241046457891017456[[#This Row],[Type]]&gt;0,VLOOKUP(_1_5412845612146241046457891017456[[#This Row],[Type]],Main[[#All],[TYPE]:[UNIT]],'Unit Price'!H$1,FALSE),0)</f>
        <v>0</v>
      </c>
      <c r="K489" s="194">
        <f>IF(_1_5412845612146241046457891017456[[#This Row],[Discount selection]]&gt;0,VLOOKUP(_1_5412845612146241046457891017456[[#This Row],[Discount selection]],'Discount Structure'!$A$2:$B$30,2,"false"),0)</f>
        <v>1</v>
      </c>
      <c r="L489" s="194">
        <f>_1_5412845612146241046457891017456[[#This Row],[LIST $]]*_1_5412845612146241046457891017456[[#This Row],[DISCOUNT]]*_1_5412845612146241046457891017456[[#This Row],[DISCOUNT 2]]</f>
        <v>0</v>
      </c>
      <c r="M489" s="194">
        <f>IF(OR(_1_5412845612146241046457891017456[[#This Row],[UNIT]]&gt;0,_1_5412845612146241046457891017456[[#This Row],[UNIT]]&lt;0),_1_5412845612146241046457891017456[[#This Row],[UNIT]]*_1_5412845612146241046457891017456[[#This Row],[COST]],0)</f>
        <v>0</v>
      </c>
      <c r="N489" s="194">
        <f t="shared" si="7"/>
        <v>1.3</v>
      </c>
      <c r="O489" s="198">
        <f>_1_5412845612146241046457891017456[[#This Row],[TOTAL]]*_1_5412845612146241046457891017456[[#This Row],[MARGIN]]</f>
        <v>0</v>
      </c>
      <c r="R489" s="41"/>
    </row>
    <row r="490" spans="1:18">
      <c r="D490" s="188"/>
      <c r="F490" s="168" t="s">
        <v>6202</v>
      </c>
      <c r="G490" s="193">
        <f>IF(_1_5412845612146241046457891017456[[#This Row],[Type]]&gt;0,VLOOKUP(_1_5412845612146241046457891017456[[#This Row],[Type]],Main[[#All],[TYPE]:[UNIT]],'Unit Price'!C$1,FALSE),0)</f>
        <v>0</v>
      </c>
      <c r="H490" s="197">
        <f>IF(_1_5412845612146241046457891017456[[#This Row],[Type]]&gt;0,VLOOKUP(_1_5412845612146241046457891017456[[#This Row],[Type]],Main[[#All],[TYPE]:[UNIT]],'Unit Price'!D$1,FALSE),0)</f>
        <v>0</v>
      </c>
      <c r="I490" s="194">
        <f>IF(_1_5412845612146241046457891017456[[#This Row],[Type]]&gt;0,VLOOKUP(_1_5412845612146241046457891017456[[#This Row],[Type]],Main[[#All],[TYPE]:[UNIT]],'Unit Price'!G$1,FALSE),0)</f>
        <v>0</v>
      </c>
      <c r="J490" s="194">
        <f>IF(_1_5412845612146241046457891017456[[#This Row],[Type]]&gt;0,VLOOKUP(_1_5412845612146241046457891017456[[#This Row],[Type]],Main[[#All],[TYPE]:[UNIT]],'Unit Price'!H$1,FALSE),0)</f>
        <v>0</v>
      </c>
      <c r="K490" s="194">
        <f>IF(_1_5412845612146241046457891017456[[#This Row],[Discount selection]]&gt;0,VLOOKUP(_1_5412845612146241046457891017456[[#This Row],[Discount selection]],'Discount Structure'!$A$2:$B$30,2,"false"),0)</f>
        <v>1</v>
      </c>
      <c r="L490" s="194">
        <f>_1_5412845612146241046457891017456[[#This Row],[LIST $]]*_1_5412845612146241046457891017456[[#This Row],[DISCOUNT]]*_1_5412845612146241046457891017456[[#This Row],[DISCOUNT 2]]</f>
        <v>0</v>
      </c>
      <c r="M490" s="194">
        <f>IF(OR(_1_5412845612146241046457891017456[[#This Row],[UNIT]]&gt;0,_1_5412845612146241046457891017456[[#This Row],[UNIT]]&lt;0),_1_5412845612146241046457891017456[[#This Row],[UNIT]]*_1_5412845612146241046457891017456[[#This Row],[COST]],0)</f>
        <v>0</v>
      </c>
      <c r="N490" s="194">
        <f t="shared" si="7"/>
        <v>1.3</v>
      </c>
      <c r="O490" s="198">
        <f>_1_5412845612146241046457891017456[[#This Row],[TOTAL]]*_1_5412845612146241046457891017456[[#This Row],[MARGIN]]</f>
        <v>0</v>
      </c>
      <c r="R490" s="41"/>
    </row>
    <row r="491" spans="1:18">
      <c r="D491" s="188"/>
      <c r="F491" s="168" t="s">
        <v>6202</v>
      </c>
      <c r="G491" s="193">
        <f>IF(_1_5412845612146241046457891017456[[#This Row],[Type]]&gt;0,VLOOKUP(_1_5412845612146241046457891017456[[#This Row],[Type]],Main[[#All],[TYPE]:[UNIT]],'Unit Price'!C$1,FALSE),0)</f>
        <v>0</v>
      </c>
      <c r="H491" s="197">
        <f>IF(_1_5412845612146241046457891017456[[#This Row],[Type]]&gt;0,VLOOKUP(_1_5412845612146241046457891017456[[#This Row],[Type]],Main[[#All],[TYPE]:[UNIT]],'Unit Price'!D$1,FALSE),0)</f>
        <v>0</v>
      </c>
      <c r="I491" s="194">
        <f>IF(_1_5412845612146241046457891017456[[#This Row],[Type]]&gt;0,VLOOKUP(_1_5412845612146241046457891017456[[#This Row],[Type]],Main[[#All],[TYPE]:[UNIT]],'Unit Price'!G$1,FALSE),0)</f>
        <v>0</v>
      </c>
      <c r="J491" s="194">
        <f>IF(_1_5412845612146241046457891017456[[#This Row],[Type]]&gt;0,VLOOKUP(_1_5412845612146241046457891017456[[#This Row],[Type]],Main[[#All],[TYPE]:[UNIT]],'Unit Price'!H$1,FALSE),0)</f>
        <v>0</v>
      </c>
      <c r="K491" s="194">
        <f>IF(_1_5412845612146241046457891017456[[#This Row],[Discount selection]]&gt;0,VLOOKUP(_1_5412845612146241046457891017456[[#This Row],[Discount selection]],'Discount Structure'!$A$2:$B$30,2,"false"),0)</f>
        <v>1</v>
      </c>
      <c r="L491" s="194">
        <f>_1_5412845612146241046457891017456[[#This Row],[LIST $]]*_1_5412845612146241046457891017456[[#This Row],[DISCOUNT]]*_1_5412845612146241046457891017456[[#This Row],[DISCOUNT 2]]</f>
        <v>0</v>
      </c>
      <c r="M491" s="194">
        <f>IF(OR(_1_5412845612146241046457891017456[[#This Row],[UNIT]]&gt;0,_1_5412845612146241046457891017456[[#This Row],[UNIT]]&lt;0),_1_5412845612146241046457891017456[[#This Row],[UNIT]]*_1_5412845612146241046457891017456[[#This Row],[COST]],0)</f>
        <v>0</v>
      </c>
      <c r="N491" s="194">
        <f t="shared" si="7"/>
        <v>1.3</v>
      </c>
      <c r="O491" s="198">
        <f>_1_5412845612146241046457891017456[[#This Row],[TOTAL]]*_1_5412845612146241046457891017456[[#This Row],[MARGIN]]</f>
        <v>0</v>
      </c>
      <c r="R491" s="41"/>
    </row>
    <row r="492" spans="1:18">
      <c r="D492" s="188"/>
      <c r="F492" s="168" t="s">
        <v>6202</v>
      </c>
      <c r="G492" s="193">
        <f>IF(_1_5412845612146241046457891017456[[#This Row],[Type]]&gt;0,VLOOKUP(_1_5412845612146241046457891017456[[#This Row],[Type]],Main[[#All],[TYPE]:[UNIT]],'Unit Price'!C$1,FALSE),0)</f>
        <v>0</v>
      </c>
      <c r="H492" s="197">
        <f>IF(_1_5412845612146241046457891017456[[#This Row],[Type]]&gt;0,VLOOKUP(_1_5412845612146241046457891017456[[#This Row],[Type]],Main[[#All],[TYPE]:[UNIT]],'Unit Price'!D$1,FALSE),0)</f>
        <v>0</v>
      </c>
      <c r="I492" s="194">
        <f>IF(_1_5412845612146241046457891017456[[#This Row],[Type]]&gt;0,VLOOKUP(_1_5412845612146241046457891017456[[#This Row],[Type]],Main[[#All],[TYPE]:[UNIT]],'Unit Price'!G$1,FALSE),0)</f>
        <v>0</v>
      </c>
      <c r="J492" s="194">
        <f>IF(_1_5412845612146241046457891017456[[#This Row],[Type]]&gt;0,VLOOKUP(_1_5412845612146241046457891017456[[#This Row],[Type]],Main[[#All],[TYPE]:[UNIT]],'Unit Price'!H$1,FALSE),0)</f>
        <v>0</v>
      </c>
      <c r="K492" s="194">
        <f>IF(_1_5412845612146241046457891017456[[#This Row],[Discount selection]]&gt;0,VLOOKUP(_1_5412845612146241046457891017456[[#This Row],[Discount selection]],'Discount Structure'!$A$2:$B$30,2,"false"),0)</f>
        <v>1</v>
      </c>
      <c r="L492" s="194">
        <f>_1_5412845612146241046457891017456[[#This Row],[LIST $]]*_1_5412845612146241046457891017456[[#This Row],[DISCOUNT]]*_1_5412845612146241046457891017456[[#This Row],[DISCOUNT 2]]</f>
        <v>0</v>
      </c>
      <c r="M492" s="194">
        <f>IF(OR(_1_5412845612146241046457891017456[[#This Row],[UNIT]]&gt;0,_1_5412845612146241046457891017456[[#This Row],[UNIT]]&lt;0),_1_5412845612146241046457891017456[[#This Row],[UNIT]]*_1_5412845612146241046457891017456[[#This Row],[COST]],0)</f>
        <v>0</v>
      </c>
      <c r="N492" s="194">
        <f t="shared" si="7"/>
        <v>1.3</v>
      </c>
      <c r="O492" s="198">
        <f>_1_5412845612146241046457891017456[[#This Row],[TOTAL]]*_1_5412845612146241046457891017456[[#This Row],[MARGIN]]</f>
        <v>0</v>
      </c>
      <c r="R492" s="41"/>
    </row>
    <row r="493" spans="1:18">
      <c r="D493" s="188"/>
      <c r="F493" s="168" t="s">
        <v>6202</v>
      </c>
      <c r="G493" s="193">
        <f>IF(_1_5412845612146241046457891017456[[#This Row],[Type]]&gt;0,VLOOKUP(_1_5412845612146241046457891017456[[#This Row],[Type]],Main[[#All],[TYPE]:[UNIT]],'Unit Price'!C$1,FALSE),0)</f>
        <v>0</v>
      </c>
      <c r="H493" s="197">
        <f>IF(_1_5412845612146241046457891017456[[#This Row],[Type]]&gt;0,VLOOKUP(_1_5412845612146241046457891017456[[#This Row],[Type]],Main[[#All],[TYPE]:[UNIT]],'Unit Price'!D$1,FALSE),0)</f>
        <v>0</v>
      </c>
      <c r="I493" s="194">
        <f>IF(_1_5412845612146241046457891017456[[#This Row],[Type]]&gt;0,VLOOKUP(_1_5412845612146241046457891017456[[#This Row],[Type]],Main[[#All],[TYPE]:[UNIT]],'Unit Price'!G$1,FALSE),0)</f>
        <v>0</v>
      </c>
      <c r="J493" s="194">
        <f>IF(_1_5412845612146241046457891017456[[#This Row],[Type]]&gt;0,VLOOKUP(_1_5412845612146241046457891017456[[#This Row],[Type]],Main[[#All],[TYPE]:[UNIT]],'Unit Price'!H$1,FALSE),0)</f>
        <v>0</v>
      </c>
      <c r="K493" s="194">
        <f>IF(_1_5412845612146241046457891017456[[#This Row],[Discount selection]]&gt;0,VLOOKUP(_1_5412845612146241046457891017456[[#This Row],[Discount selection]],'Discount Structure'!$A$2:$B$30,2,"false"),0)</f>
        <v>1</v>
      </c>
      <c r="L493" s="194">
        <f>_1_5412845612146241046457891017456[[#This Row],[LIST $]]*_1_5412845612146241046457891017456[[#This Row],[DISCOUNT]]*_1_5412845612146241046457891017456[[#This Row],[DISCOUNT 2]]</f>
        <v>0</v>
      </c>
      <c r="M493" s="194">
        <f>IF(OR(_1_5412845612146241046457891017456[[#This Row],[UNIT]]&gt;0,_1_5412845612146241046457891017456[[#This Row],[UNIT]]&lt;0),_1_5412845612146241046457891017456[[#This Row],[UNIT]]*_1_5412845612146241046457891017456[[#This Row],[COST]],0)</f>
        <v>0</v>
      </c>
      <c r="N493" s="194">
        <f t="shared" si="7"/>
        <v>1.3</v>
      </c>
      <c r="O493" s="198">
        <f>_1_5412845612146241046457891017456[[#This Row],[TOTAL]]*_1_5412845612146241046457891017456[[#This Row],[MARGIN]]</f>
        <v>0</v>
      </c>
      <c r="R493" s="41"/>
    </row>
    <row r="494" spans="1:18">
      <c r="D494" s="188"/>
      <c r="F494" s="168" t="s">
        <v>6202</v>
      </c>
      <c r="G494" s="193">
        <f>IF(_1_5412845612146241046457891017456[[#This Row],[Type]]&gt;0,VLOOKUP(_1_5412845612146241046457891017456[[#This Row],[Type]],Main[[#All],[TYPE]:[UNIT]],'Unit Price'!C$1,FALSE),0)</f>
        <v>0</v>
      </c>
      <c r="H494" s="197">
        <f>IF(_1_5412845612146241046457891017456[[#This Row],[Type]]&gt;0,VLOOKUP(_1_5412845612146241046457891017456[[#This Row],[Type]],Main[[#All],[TYPE]:[UNIT]],'Unit Price'!D$1,FALSE),0)</f>
        <v>0</v>
      </c>
      <c r="I494" s="194">
        <f>IF(_1_5412845612146241046457891017456[[#This Row],[Type]]&gt;0,VLOOKUP(_1_5412845612146241046457891017456[[#This Row],[Type]],Main[[#All],[TYPE]:[UNIT]],'Unit Price'!G$1,FALSE),0)</f>
        <v>0</v>
      </c>
      <c r="J494" s="194">
        <f>IF(_1_5412845612146241046457891017456[[#This Row],[Type]]&gt;0,VLOOKUP(_1_5412845612146241046457891017456[[#This Row],[Type]],Main[[#All],[TYPE]:[UNIT]],'Unit Price'!H$1,FALSE),0)</f>
        <v>0</v>
      </c>
      <c r="K494" s="194">
        <f>IF(_1_5412845612146241046457891017456[[#This Row],[Discount selection]]&gt;0,VLOOKUP(_1_5412845612146241046457891017456[[#This Row],[Discount selection]],'Discount Structure'!$A$2:$B$30,2,"false"),0)</f>
        <v>1</v>
      </c>
      <c r="L494" s="194">
        <f>_1_5412845612146241046457891017456[[#This Row],[LIST $]]*_1_5412845612146241046457891017456[[#This Row],[DISCOUNT]]*_1_5412845612146241046457891017456[[#This Row],[DISCOUNT 2]]</f>
        <v>0</v>
      </c>
      <c r="M494" s="194">
        <f>IF(OR(_1_5412845612146241046457891017456[[#This Row],[UNIT]]&gt;0,_1_5412845612146241046457891017456[[#This Row],[UNIT]]&lt;0),_1_5412845612146241046457891017456[[#This Row],[UNIT]]*_1_5412845612146241046457891017456[[#This Row],[COST]],0)</f>
        <v>0</v>
      </c>
      <c r="N494" s="194">
        <f t="shared" si="7"/>
        <v>1.3</v>
      </c>
      <c r="O494" s="198">
        <f>_1_5412845612146241046457891017456[[#This Row],[TOTAL]]*_1_5412845612146241046457891017456[[#This Row],[MARGIN]]</f>
        <v>0</v>
      </c>
      <c r="R494" s="41"/>
    </row>
    <row r="495" spans="1:18">
      <c r="D495" s="188"/>
      <c r="F495" s="168" t="s">
        <v>6202</v>
      </c>
      <c r="G495" s="193">
        <f>IF(_1_5412845612146241046457891017456[[#This Row],[Type]]&gt;0,VLOOKUP(_1_5412845612146241046457891017456[[#This Row],[Type]],Main[[#All],[TYPE]:[UNIT]],'Unit Price'!C$1,FALSE),0)</f>
        <v>0</v>
      </c>
      <c r="H495" s="197">
        <f>IF(_1_5412845612146241046457891017456[[#This Row],[Type]]&gt;0,VLOOKUP(_1_5412845612146241046457891017456[[#This Row],[Type]],Main[[#All],[TYPE]:[UNIT]],'Unit Price'!D$1,FALSE),0)</f>
        <v>0</v>
      </c>
      <c r="I495" s="194">
        <f>IF(_1_5412845612146241046457891017456[[#This Row],[Type]]&gt;0,VLOOKUP(_1_5412845612146241046457891017456[[#This Row],[Type]],Main[[#All],[TYPE]:[UNIT]],'Unit Price'!G$1,FALSE),0)</f>
        <v>0</v>
      </c>
      <c r="J495" s="194">
        <f>IF(_1_5412845612146241046457891017456[[#This Row],[Type]]&gt;0,VLOOKUP(_1_5412845612146241046457891017456[[#This Row],[Type]],Main[[#All],[TYPE]:[UNIT]],'Unit Price'!H$1,FALSE),0)</f>
        <v>0</v>
      </c>
      <c r="K495" s="194">
        <f>IF(_1_5412845612146241046457891017456[[#This Row],[Discount selection]]&gt;0,VLOOKUP(_1_5412845612146241046457891017456[[#This Row],[Discount selection]],'Discount Structure'!$A$2:$B$30,2,"false"),0)</f>
        <v>1</v>
      </c>
      <c r="L495" s="194">
        <f>_1_5412845612146241046457891017456[[#This Row],[LIST $]]*_1_5412845612146241046457891017456[[#This Row],[DISCOUNT]]*_1_5412845612146241046457891017456[[#This Row],[DISCOUNT 2]]</f>
        <v>0</v>
      </c>
      <c r="M495" s="194">
        <f>IF(OR(_1_5412845612146241046457891017456[[#This Row],[UNIT]]&gt;0,_1_5412845612146241046457891017456[[#This Row],[UNIT]]&lt;0),_1_5412845612146241046457891017456[[#This Row],[UNIT]]*_1_5412845612146241046457891017456[[#This Row],[COST]],0)</f>
        <v>0</v>
      </c>
      <c r="N495" s="194">
        <f t="shared" si="7"/>
        <v>1.3</v>
      </c>
      <c r="O495" s="198">
        <f>_1_5412845612146241046457891017456[[#This Row],[TOTAL]]*_1_5412845612146241046457891017456[[#This Row],[MARGIN]]</f>
        <v>0</v>
      </c>
      <c r="R495" s="41"/>
    </row>
    <row r="496" spans="1:18">
      <c r="D496" s="188"/>
      <c r="F496" s="168" t="s">
        <v>6202</v>
      </c>
      <c r="G496" s="193">
        <f>IF(_1_5412845612146241046457891017456[[#This Row],[Type]]&gt;0,VLOOKUP(_1_5412845612146241046457891017456[[#This Row],[Type]],Main[[#All],[TYPE]:[UNIT]],'Unit Price'!C$1,FALSE),0)</f>
        <v>0</v>
      </c>
      <c r="H496" s="197">
        <f>IF(_1_5412845612146241046457891017456[[#This Row],[Type]]&gt;0,VLOOKUP(_1_5412845612146241046457891017456[[#This Row],[Type]],Main[[#All],[TYPE]:[UNIT]],'Unit Price'!D$1,FALSE),0)</f>
        <v>0</v>
      </c>
      <c r="I496" s="194">
        <f>IF(_1_5412845612146241046457891017456[[#This Row],[Type]]&gt;0,VLOOKUP(_1_5412845612146241046457891017456[[#This Row],[Type]],Main[[#All],[TYPE]:[UNIT]],'Unit Price'!G$1,FALSE),0)</f>
        <v>0</v>
      </c>
      <c r="J496" s="194">
        <f>IF(_1_5412845612146241046457891017456[[#This Row],[Type]]&gt;0,VLOOKUP(_1_5412845612146241046457891017456[[#This Row],[Type]],Main[[#All],[TYPE]:[UNIT]],'Unit Price'!H$1,FALSE),0)</f>
        <v>0</v>
      </c>
      <c r="K496" s="194">
        <f>IF(_1_5412845612146241046457891017456[[#This Row],[Discount selection]]&gt;0,VLOOKUP(_1_5412845612146241046457891017456[[#This Row],[Discount selection]],'Discount Structure'!$A$2:$B$30,2,"false"),0)</f>
        <v>1</v>
      </c>
      <c r="L496" s="194">
        <f>_1_5412845612146241046457891017456[[#This Row],[LIST $]]*_1_5412845612146241046457891017456[[#This Row],[DISCOUNT]]*_1_5412845612146241046457891017456[[#This Row],[DISCOUNT 2]]</f>
        <v>0</v>
      </c>
      <c r="M496" s="194">
        <f>IF(OR(_1_5412845612146241046457891017456[[#This Row],[UNIT]]&gt;0,_1_5412845612146241046457891017456[[#This Row],[UNIT]]&lt;0),_1_5412845612146241046457891017456[[#This Row],[UNIT]]*_1_5412845612146241046457891017456[[#This Row],[COST]],0)</f>
        <v>0</v>
      </c>
      <c r="N496" s="194">
        <f t="shared" si="7"/>
        <v>1.3</v>
      </c>
      <c r="O496" s="198">
        <f>_1_5412845612146241046457891017456[[#This Row],[TOTAL]]*_1_5412845612146241046457891017456[[#This Row],[MARGIN]]</f>
        <v>0</v>
      </c>
      <c r="R496" s="41"/>
    </row>
    <row r="497" spans="1:18">
      <c r="D497" s="188"/>
      <c r="F497" s="168" t="s">
        <v>6202</v>
      </c>
      <c r="G497" s="193">
        <f>IF(_1_5412845612146241046457891017456[[#This Row],[Type]]&gt;0,VLOOKUP(_1_5412845612146241046457891017456[[#This Row],[Type]],Main[[#All],[TYPE]:[UNIT]],'Unit Price'!C$1,FALSE),0)</f>
        <v>0</v>
      </c>
      <c r="H497" s="197">
        <f>IF(_1_5412845612146241046457891017456[[#This Row],[Type]]&gt;0,VLOOKUP(_1_5412845612146241046457891017456[[#This Row],[Type]],Main[[#All],[TYPE]:[UNIT]],'Unit Price'!D$1,FALSE),0)</f>
        <v>0</v>
      </c>
      <c r="I497" s="194">
        <f>IF(_1_5412845612146241046457891017456[[#This Row],[Type]]&gt;0,VLOOKUP(_1_5412845612146241046457891017456[[#This Row],[Type]],Main[[#All],[TYPE]:[UNIT]],'Unit Price'!G$1,FALSE),0)</f>
        <v>0</v>
      </c>
      <c r="J497" s="194">
        <f>IF(_1_5412845612146241046457891017456[[#This Row],[Type]]&gt;0,VLOOKUP(_1_5412845612146241046457891017456[[#This Row],[Type]],Main[[#All],[TYPE]:[UNIT]],'Unit Price'!H$1,FALSE),0)</f>
        <v>0</v>
      </c>
      <c r="K497" s="194">
        <f>IF(_1_5412845612146241046457891017456[[#This Row],[Discount selection]]&gt;0,VLOOKUP(_1_5412845612146241046457891017456[[#This Row],[Discount selection]],'Discount Structure'!$A$2:$B$30,2,"false"),0)</f>
        <v>1</v>
      </c>
      <c r="L497" s="194">
        <f>_1_5412845612146241046457891017456[[#This Row],[LIST $]]*_1_5412845612146241046457891017456[[#This Row],[DISCOUNT]]*_1_5412845612146241046457891017456[[#This Row],[DISCOUNT 2]]</f>
        <v>0</v>
      </c>
      <c r="M497" s="194">
        <f>IF(OR(_1_5412845612146241046457891017456[[#This Row],[UNIT]]&gt;0,_1_5412845612146241046457891017456[[#This Row],[UNIT]]&lt;0),_1_5412845612146241046457891017456[[#This Row],[UNIT]]*_1_5412845612146241046457891017456[[#This Row],[COST]],0)</f>
        <v>0</v>
      </c>
      <c r="N497" s="194">
        <f t="shared" si="7"/>
        <v>1.3</v>
      </c>
      <c r="O497" s="198">
        <f>_1_5412845612146241046457891017456[[#This Row],[TOTAL]]*_1_5412845612146241046457891017456[[#This Row],[MARGIN]]</f>
        <v>0</v>
      </c>
      <c r="R497" s="41"/>
    </row>
    <row r="498" spans="1:18">
      <c r="D498" s="188"/>
      <c r="F498" s="168" t="s">
        <v>6202</v>
      </c>
      <c r="G498" s="193">
        <f>IF(_1_5412845612146241046457891017456[[#This Row],[Type]]&gt;0,VLOOKUP(_1_5412845612146241046457891017456[[#This Row],[Type]],Main[[#All],[TYPE]:[UNIT]],'Unit Price'!C$1,FALSE),0)</f>
        <v>0</v>
      </c>
      <c r="H498" s="197">
        <f>IF(_1_5412845612146241046457891017456[[#This Row],[Type]]&gt;0,VLOOKUP(_1_5412845612146241046457891017456[[#This Row],[Type]],Main[[#All],[TYPE]:[UNIT]],'Unit Price'!D$1,FALSE),0)</f>
        <v>0</v>
      </c>
      <c r="I498" s="194">
        <f>IF(_1_5412845612146241046457891017456[[#This Row],[Type]]&gt;0,VLOOKUP(_1_5412845612146241046457891017456[[#This Row],[Type]],Main[[#All],[TYPE]:[UNIT]],'Unit Price'!G$1,FALSE),0)</f>
        <v>0</v>
      </c>
      <c r="J498" s="194">
        <f>IF(_1_5412845612146241046457891017456[[#This Row],[Type]]&gt;0,VLOOKUP(_1_5412845612146241046457891017456[[#This Row],[Type]],Main[[#All],[TYPE]:[UNIT]],'Unit Price'!H$1,FALSE),0)</f>
        <v>0</v>
      </c>
      <c r="K498" s="194">
        <f>IF(_1_5412845612146241046457891017456[[#This Row],[Discount selection]]&gt;0,VLOOKUP(_1_5412845612146241046457891017456[[#This Row],[Discount selection]],'Discount Structure'!$A$2:$B$30,2,"false"),0)</f>
        <v>1</v>
      </c>
      <c r="L498" s="194">
        <f>_1_5412845612146241046457891017456[[#This Row],[LIST $]]*_1_5412845612146241046457891017456[[#This Row],[DISCOUNT]]*_1_5412845612146241046457891017456[[#This Row],[DISCOUNT 2]]</f>
        <v>0</v>
      </c>
      <c r="M498" s="194">
        <f>IF(OR(_1_5412845612146241046457891017456[[#This Row],[UNIT]]&gt;0,_1_5412845612146241046457891017456[[#This Row],[UNIT]]&lt;0),_1_5412845612146241046457891017456[[#This Row],[UNIT]]*_1_5412845612146241046457891017456[[#This Row],[COST]],0)</f>
        <v>0</v>
      </c>
      <c r="N498" s="194">
        <f t="shared" si="7"/>
        <v>1.3</v>
      </c>
      <c r="O498" s="198">
        <f>_1_5412845612146241046457891017456[[#This Row],[TOTAL]]*_1_5412845612146241046457891017456[[#This Row],[MARGIN]]</f>
        <v>0</v>
      </c>
      <c r="R498" s="41"/>
    </row>
    <row r="499" spans="1:18">
      <c r="A499" s="168"/>
      <c r="D499" s="188"/>
      <c r="F499" s="168" t="s">
        <v>6202</v>
      </c>
      <c r="G499" s="193">
        <f>IF(_1_5412845612146241046457891017456[[#This Row],[Type]]&gt;0,VLOOKUP(_1_5412845612146241046457891017456[[#This Row],[Type]],Main[[#All],[TYPE]:[UNIT]],'Unit Price'!C$1,FALSE),0)</f>
        <v>0</v>
      </c>
      <c r="H499" s="197">
        <f>IF(_1_5412845612146241046457891017456[[#This Row],[Type]]&gt;0,VLOOKUP(_1_5412845612146241046457891017456[[#This Row],[Type]],Main[[#All],[TYPE]:[UNIT]],'Unit Price'!D$1,FALSE),0)</f>
        <v>0</v>
      </c>
      <c r="I499" s="194">
        <f>IF(_1_5412845612146241046457891017456[[#This Row],[Type]]&gt;0,VLOOKUP(_1_5412845612146241046457891017456[[#This Row],[Type]],Main[[#All],[TYPE]:[UNIT]],'Unit Price'!G$1,FALSE),0)</f>
        <v>0</v>
      </c>
      <c r="J499" s="194">
        <f>IF(_1_5412845612146241046457891017456[[#This Row],[Type]]&gt;0,VLOOKUP(_1_5412845612146241046457891017456[[#This Row],[Type]],Main[[#All],[TYPE]:[UNIT]],'Unit Price'!H$1,FALSE),0)</f>
        <v>0</v>
      </c>
      <c r="K499" s="194">
        <f>IF(_1_5412845612146241046457891017456[[#This Row],[Discount selection]]&gt;0,VLOOKUP(_1_5412845612146241046457891017456[[#This Row],[Discount selection]],'Discount Structure'!$A$2:$B$30,2,"false"),0)</f>
        <v>1</v>
      </c>
      <c r="L499" s="194">
        <f>_1_5412845612146241046457891017456[[#This Row],[LIST $]]*_1_5412845612146241046457891017456[[#This Row],[DISCOUNT]]*_1_5412845612146241046457891017456[[#This Row],[DISCOUNT 2]]</f>
        <v>0</v>
      </c>
      <c r="M499" s="194">
        <f>IF(OR(_1_5412845612146241046457891017456[[#This Row],[UNIT]]&gt;0,_1_5412845612146241046457891017456[[#This Row],[UNIT]]&lt;0),_1_5412845612146241046457891017456[[#This Row],[UNIT]]*_1_5412845612146241046457891017456[[#This Row],[COST]],0)</f>
        <v>0</v>
      </c>
      <c r="N499" s="194">
        <f t="shared" si="7"/>
        <v>1.3</v>
      </c>
      <c r="O499" s="198">
        <f>_1_5412845612146241046457891017456[[#This Row],[TOTAL]]*_1_5412845612146241046457891017456[[#This Row],[MARGIN]]</f>
        <v>0</v>
      </c>
      <c r="R499" s="41"/>
    </row>
    <row r="500" spans="1:18">
      <c r="D500" s="188"/>
      <c r="F500" s="168" t="s">
        <v>6202</v>
      </c>
      <c r="G500" s="193">
        <f>IF(_1_5412845612146241046457891017456[[#This Row],[Type]]&gt;0,VLOOKUP(_1_5412845612146241046457891017456[[#This Row],[Type]],Main[[#All],[TYPE]:[UNIT]],'Unit Price'!C$1,FALSE),0)</f>
        <v>0</v>
      </c>
      <c r="H500" s="197">
        <f>IF(_1_5412845612146241046457891017456[[#This Row],[Type]]&gt;0,VLOOKUP(_1_5412845612146241046457891017456[[#This Row],[Type]],Main[[#All],[TYPE]:[UNIT]],'Unit Price'!D$1,FALSE),0)</f>
        <v>0</v>
      </c>
      <c r="I500" s="194">
        <f>IF(_1_5412845612146241046457891017456[[#This Row],[Type]]&gt;0,VLOOKUP(_1_5412845612146241046457891017456[[#This Row],[Type]],Main[[#All],[TYPE]:[UNIT]],'Unit Price'!G$1,FALSE),0)</f>
        <v>0</v>
      </c>
      <c r="J500" s="194">
        <f>IF(_1_5412845612146241046457891017456[[#This Row],[Type]]&gt;0,VLOOKUP(_1_5412845612146241046457891017456[[#This Row],[Type]],Main[[#All],[TYPE]:[UNIT]],'Unit Price'!H$1,FALSE),0)</f>
        <v>0</v>
      </c>
      <c r="K500" s="194">
        <f>IF(_1_5412845612146241046457891017456[[#This Row],[Discount selection]]&gt;0,VLOOKUP(_1_5412845612146241046457891017456[[#This Row],[Discount selection]],'Discount Structure'!$A$2:$B$30,2,"false"),0)</f>
        <v>1</v>
      </c>
      <c r="L500" s="194">
        <f>_1_5412845612146241046457891017456[[#This Row],[LIST $]]*_1_5412845612146241046457891017456[[#This Row],[DISCOUNT]]*_1_5412845612146241046457891017456[[#This Row],[DISCOUNT 2]]</f>
        <v>0</v>
      </c>
      <c r="M500" s="194">
        <f>IF(OR(_1_5412845612146241046457891017456[[#This Row],[UNIT]]&gt;0,_1_5412845612146241046457891017456[[#This Row],[UNIT]]&lt;0),_1_5412845612146241046457891017456[[#This Row],[UNIT]]*_1_5412845612146241046457891017456[[#This Row],[COST]],0)</f>
        <v>0</v>
      </c>
      <c r="N500" s="194">
        <f t="shared" si="7"/>
        <v>1.3</v>
      </c>
      <c r="O500" s="198">
        <f>_1_5412845612146241046457891017456[[#This Row],[TOTAL]]*_1_5412845612146241046457891017456[[#This Row],[MARGIN]]</f>
        <v>0</v>
      </c>
      <c r="R500" s="41"/>
    </row>
    <row r="501" spans="1:18">
      <c r="D501" s="188"/>
      <c r="F501" s="168" t="s">
        <v>6202</v>
      </c>
      <c r="G501" s="193">
        <f>IF(_1_5412845612146241046457891017456[[#This Row],[Type]]&gt;0,VLOOKUP(_1_5412845612146241046457891017456[[#This Row],[Type]],Main[[#All],[TYPE]:[UNIT]],'Unit Price'!C$1,FALSE),0)</f>
        <v>0</v>
      </c>
      <c r="H501" s="197">
        <f>IF(_1_5412845612146241046457891017456[[#This Row],[Type]]&gt;0,VLOOKUP(_1_5412845612146241046457891017456[[#This Row],[Type]],Main[[#All],[TYPE]:[UNIT]],'Unit Price'!D$1,FALSE),0)</f>
        <v>0</v>
      </c>
      <c r="I501" s="194">
        <f>IF(_1_5412845612146241046457891017456[[#This Row],[Type]]&gt;0,VLOOKUP(_1_5412845612146241046457891017456[[#This Row],[Type]],Main[[#All],[TYPE]:[UNIT]],'Unit Price'!G$1,FALSE),0)</f>
        <v>0</v>
      </c>
      <c r="J501" s="194">
        <f>IF(_1_5412845612146241046457891017456[[#This Row],[Type]]&gt;0,VLOOKUP(_1_5412845612146241046457891017456[[#This Row],[Type]],Main[[#All],[TYPE]:[UNIT]],'Unit Price'!H$1,FALSE),0)</f>
        <v>0</v>
      </c>
      <c r="K501" s="194">
        <f>IF(_1_5412845612146241046457891017456[[#This Row],[Discount selection]]&gt;0,VLOOKUP(_1_5412845612146241046457891017456[[#This Row],[Discount selection]],'Discount Structure'!$A$2:$B$30,2,"false"),0)</f>
        <v>1</v>
      </c>
      <c r="L501" s="194">
        <f>_1_5412845612146241046457891017456[[#This Row],[LIST $]]*_1_5412845612146241046457891017456[[#This Row],[DISCOUNT]]*_1_5412845612146241046457891017456[[#This Row],[DISCOUNT 2]]</f>
        <v>0</v>
      </c>
      <c r="M501" s="194">
        <f>IF(OR(_1_5412845612146241046457891017456[[#This Row],[UNIT]]&gt;0,_1_5412845612146241046457891017456[[#This Row],[UNIT]]&lt;0),_1_5412845612146241046457891017456[[#This Row],[UNIT]]*_1_5412845612146241046457891017456[[#This Row],[COST]],0)</f>
        <v>0</v>
      </c>
      <c r="N501" s="194">
        <f t="shared" si="7"/>
        <v>1.3</v>
      </c>
      <c r="O501" s="198">
        <f>_1_5412845612146241046457891017456[[#This Row],[TOTAL]]*_1_5412845612146241046457891017456[[#This Row],[MARGIN]]</f>
        <v>0</v>
      </c>
      <c r="R501" s="41"/>
    </row>
    <row r="502" spans="1:18">
      <c r="D502" s="188"/>
      <c r="F502" s="168" t="s">
        <v>6202</v>
      </c>
      <c r="G502" s="193">
        <f>IF(_1_5412845612146241046457891017456[[#This Row],[Type]]&gt;0,VLOOKUP(_1_5412845612146241046457891017456[[#This Row],[Type]],Main[[#All],[TYPE]:[UNIT]],'Unit Price'!C$1,FALSE),0)</f>
        <v>0</v>
      </c>
      <c r="H502" s="197">
        <f>IF(_1_5412845612146241046457891017456[[#This Row],[Type]]&gt;0,VLOOKUP(_1_5412845612146241046457891017456[[#This Row],[Type]],Main[[#All],[TYPE]:[UNIT]],'Unit Price'!D$1,FALSE),0)</f>
        <v>0</v>
      </c>
      <c r="I502" s="194">
        <f>IF(_1_5412845612146241046457891017456[[#This Row],[Type]]&gt;0,VLOOKUP(_1_5412845612146241046457891017456[[#This Row],[Type]],Main[[#All],[TYPE]:[UNIT]],'Unit Price'!G$1,FALSE),0)</f>
        <v>0</v>
      </c>
      <c r="J502" s="194">
        <f>IF(_1_5412845612146241046457891017456[[#This Row],[Type]]&gt;0,VLOOKUP(_1_5412845612146241046457891017456[[#This Row],[Type]],Main[[#All],[TYPE]:[UNIT]],'Unit Price'!H$1,FALSE),0)</f>
        <v>0</v>
      </c>
      <c r="K502" s="194">
        <f>IF(_1_5412845612146241046457891017456[[#This Row],[Discount selection]]&gt;0,VLOOKUP(_1_5412845612146241046457891017456[[#This Row],[Discount selection]],'Discount Structure'!$A$2:$B$30,2,"false"),0)</f>
        <v>1</v>
      </c>
      <c r="L502" s="194">
        <f>_1_5412845612146241046457891017456[[#This Row],[LIST $]]*_1_5412845612146241046457891017456[[#This Row],[DISCOUNT]]*_1_5412845612146241046457891017456[[#This Row],[DISCOUNT 2]]</f>
        <v>0</v>
      </c>
      <c r="M502" s="194">
        <f>IF(OR(_1_5412845612146241046457891017456[[#This Row],[UNIT]]&gt;0,_1_5412845612146241046457891017456[[#This Row],[UNIT]]&lt;0),_1_5412845612146241046457891017456[[#This Row],[UNIT]]*_1_5412845612146241046457891017456[[#This Row],[COST]],0)</f>
        <v>0</v>
      </c>
      <c r="N502" s="194">
        <f t="shared" si="7"/>
        <v>1.3</v>
      </c>
      <c r="O502" s="198">
        <f>_1_5412845612146241046457891017456[[#This Row],[TOTAL]]*_1_5412845612146241046457891017456[[#This Row],[MARGIN]]</f>
        <v>0</v>
      </c>
      <c r="R502" s="41"/>
    </row>
    <row r="503" spans="1:18">
      <c r="D503" s="188"/>
      <c r="F503" s="168" t="s">
        <v>6202</v>
      </c>
      <c r="G503" s="193">
        <f>IF(_1_5412845612146241046457891017456[[#This Row],[Type]]&gt;0,VLOOKUP(_1_5412845612146241046457891017456[[#This Row],[Type]],Main[[#All],[TYPE]:[UNIT]],'Unit Price'!C$1,FALSE),0)</f>
        <v>0</v>
      </c>
      <c r="H503" s="197">
        <f>IF(_1_5412845612146241046457891017456[[#This Row],[Type]]&gt;0,VLOOKUP(_1_5412845612146241046457891017456[[#This Row],[Type]],Main[[#All],[TYPE]:[UNIT]],'Unit Price'!D$1,FALSE),0)</f>
        <v>0</v>
      </c>
      <c r="I503" s="194">
        <f>IF(_1_5412845612146241046457891017456[[#This Row],[Type]]&gt;0,VLOOKUP(_1_5412845612146241046457891017456[[#This Row],[Type]],Main[[#All],[TYPE]:[UNIT]],'Unit Price'!G$1,FALSE),0)</f>
        <v>0</v>
      </c>
      <c r="J503" s="194">
        <f>IF(_1_5412845612146241046457891017456[[#This Row],[Type]]&gt;0,VLOOKUP(_1_5412845612146241046457891017456[[#This Row],[Type]],Main[[#All],[TYPE]:[UNIT]],'Unit Price'!H$1,FALSE),0)</f>
        <v>0</v>
      </c>
      <c r="K503" s="194">
        <f>IF(_1_5412845612146241046457891017456[[#This Row],[Discount selection]]&gt;0,VLOOKUP(_1_5412845612146241046457891017456[[#This Row],[Discount selection]],'Discount Structure'!$A$2:$B$30,2,"false"),0)</f>
        <v>1</v>
      </c>
      <c r="L503" s="194">
        <f>_1_5412845612146241046457891017456[[#This Row],[LIST $]]*_1_5412845612146241046457891017456[[#This Row],[DISCOUNT]]*_1_5412845612146241046457891017456[[#This Row],[DISCOUNT 2]]</f>
        <v>0</v>
      </c>
      <c r="M503" s="194">
        <f>IF(OR(_1_5412845612146241046457891017456[[#This Row],[UNIT]]&gt;0,_1_5412845612146241046457891017456[[#This Row],[UNIT]]&lt;0),_1_5412845612146241046457891017456[[#This Row],[UNIT]]*_1_5412845612146241046457891017456[[#This Row],[COST]],0)</f>
        <v>0</v>
      </c>
      <c r="N503" s="194">
        <f t="shared" si="7"/>
        <v>1.3</v>
      </c>
      <c r="O503" s="198">
        <f>_1_5412845612146241046457891017456[[#This Row],[TOTAL]]*_1_5412845612146241046457891017456[[#This Row],[MARGIN]]</f>
        <v>0</v>
      </c>
      <c r="R503" s="41"/>
    </row>
    <row r="504" spans="1:18">
      <c r="D504" s="188"/>
      <c r="F504" s="168" t="s">
        <v>6202</v>
      </c>
      <c r="G504" s="193">
        <f>IF(_1_5412845612146241046457891017456[[#This Row],[Type]]&gt;0,VLOOKUP(_1_5412845612146241046457891017456[[#This Row],[Type]],Main[[#All],[TYPE]:[UNIT]],'Unit Price'!C$1,FALSE),0)</f>
        <v>0</v>
      </c>
      <c r="H504" s="197">
        <f>IF(_1_5412845612146241046457891017456[[#This Row],[Type]]&gt;0,VLOOKUP(_1_5412845612146241046457891017456[[#This Row],[Type]],Main[[#All],[TYPE]:[UNIT]],'Unit Price'!D$1,FALSE),0)</f>
        <v>0</v>
      </c>
      <c r="I504" s="194">
        <f>IF(_1_5412845612146241046457891017456[[#This Row],[Type]]&gt;0,VLOOKUP(_1_5412845612146241046457891017456[[#This Row],[Type]],Main[[#All],[TYPE]:[UNIT]],'Unit Price'!G$1,FALSE),0)</f>
        <v>0</v>
      </c>
      <c r="J504" s="194">
        <f>IF(_1_5412845612146241046457891017456[[#This Row],[Type]]&gt;0,VLOOKUP(_1_5412845612146241046457891017456[[#This Row],[Type]],Main[[#All],[TYPE]:[UNIT]],'Unit Price'!H$1,FALSE),0)</f>
        <v>0</v>
      </c>
      <c r="K504" s="194">
        <f>IF(_1_5412845612146241046457891017456[[#This Row],[Discount selection]]&gt;0,VLOOKUP(_1_5412845612146241046457891017456[[#This Row],[Discount selection]],'Discount Structure'!$A$2:$B$30,2,"false"),0)</f>
        <v>1</v>
      </c>
      <c r="L504" s="194">
        <f>_1_5412845612146241046457891017456[[#This Row],[LIST $]]*_1_5412845612146241046457891017456[[#This Row],[DISCOUNT]]*_1_5412845612146241046457891017456[[#This Row],[DISCOUNT 2]]</f>
        <v>0</v>
      </c>
      <c r="M504" s="194">
        <f>IF(OR(_1_5412845612146241046457891017456[[#This Row],[UNIT]]&gt;0,_1_5412845612146241046457891017456[[#This Row],[UNIT]]&lt;0),_1_5412845612146241046457891017456[[#This Row],[UNIT]]*_1_5412845612146241046457891017456[[#This Row],[COST]],0)</f>
        <v>0</v>
      </c>
      <c r="N504" s="194">
        <f t="shared" si="7"/>
        <v>1.3</v>
      </c>
      <c r="O504" s="198">
        <f>_1_5412845612146241046457891017456[[#This Row],[TOTAL]]*_1_5412845612146241046457891017456[[#This Row],[MARGIN]]</f>
        <v>0</v>
      </c>
      <c r="R504" s="41"/>
    </row>
    <row r="505" spans="1:18">
      <c r="D505" s="188"/>
      <c r="F505" s="168" t="s">
        <v>6202</v>
      </c>
      <c r="G505" s="193">
        <f>IF(_1_5412845612146241046457891017456[[#This Row],[Type]]&gt;0,VLOOKUP(_1_5412845612146241046457891017456[[#This Row],[Type]],Main[[#All],[TYPE]:[UNIT]],'Unit Price'!C$1,FALSE),0)</f>
        <v>0</v>
      </c>
      <c r="H505" s="197">
        <f>IF(_1_5412845612146241046457891017456[[#This Row],[Type]]&gt;0,VLOOKUP(_1_5412845612146241046457891017456[[#This Row],[Type]],Main[[#All],[TYPE]:[UNIT]],'Unit Price'!D$1,FALSE),0)</f>
        <v>0</v>
      </c>
      <c r="I505" s="194">
        <f>IF(_1_5412845612146241046457891017456[[#This Row],[Type]]&gt;0,VLOOKUP(_1_5412845612146241046457891017456[[#This Row],[Type]],Main[[#All],[TYPE]:[UNIT]],'Unit Price'!G$1,FALSE),0)</f>
        <v>0</v>
      </c>
      <c r="J505" s="194">
        <f>IF(_1_5412845612146241046457891017456[[#This Row],[Type]]&gt;0,VLOOKUP(_1_5412845612146241046457891017456[[#This Row],[Type]],Main[[#All],[TYPE]:[UNIT]],'Unit Price'!H$1,FALSE),0)</f>
        <v>0</v>
      </c>
      <c r="K505" s="194">
        <f>IF(_1_5412845612146241046457891017456[[#This Row],[Discount selection]]&gt;0,VLOOKUP(_1_5412845612146241046457891017456[[#This Row],[Discount selection]],'Discount Structure'!$A$2:$B$30,2,"false"),0)</f>
        <v>1</v>
      </c>
      <c r="L505" s="194">
        <f>_1_5412845612146241046457891017456[[#This Row],[LIST $]]*_1_5412845612146241046457891017456[[#This Row],[DISCOUNT]]*_1_5412845612146241046457891017456[[#This Row],[DISCOUNT 2]]</f>
        <v>0</v>
      </c>
      <c r="M505" s="194">
        <f>IF(OR(_1_5412845612146241046457891017456[[#This Row],[UNIT]]&gt;0,_1_5412845612146241046457891017456[[#This Row],[UNIT]]&lt;0),_1_5412845612146241046457891017456[[#This Row],[UNIT]]*_1_5412845612146241046457891017456[[#This Row],[COST]],0)</f>
        <v>0</v>
      </c>
      <c r="N505" s="194">
        <f t="shared" si="7"/>
        <v>1.3</v>
      </c>
      <c r="O505" s="198">
        <f>_1_5412845612146241046457891017456[[#This Row],[TOTAL]]*_1_5412845612146241046457891017456[[#This Row],[MARGIN]]</f>
        <v>0</v>
      </c>
      <c r="R505" s="41"/>
    </row>
    <row r="506" spans="1:18">
      <c r="A506" s="168"/>
      <c r="D506" s="188"/>
      <c r="F506" s="168" t="s">
        <v>6202</v>
      </c>
      <c r="G506" s="193">
        <f>IF(_1_5412845612146241046457891017456[[#This Row],[Type]]&gt;0,VLOOKUP(_1_5412845612146241046457891017456[[#This Row],[Type]],Main[[#All],[TYPE]:[UNIT]],'Unit Price'!C$1,FALSE),0)</f>
        <v>0</v>
      </c>
      <c r="H506" s="197">
        <f>IF(_1_5412845612146241046457891017456[[#This Row],[Type]]&gt;0,VLOOKUP(_1_5412845612146241046457891017456[[#This Row],[Type]],Main[[#All],[TYPE]:[UNIT]],'Unit Price'!D$1,FALSE),0)</f>
        <v>0</v>
      </c>
      <c r="I506" s="194">
        <f>IF(_1_5412845612146241046457891017456[[#This Row],[Type]]&gt;0,VLOOKUP(_1_5412845612146241046457891017456[[#This Row],[Type]],Main[[#All],[TYPE]:[UNIT]],'Unit Price'!G$1,FALSE),0)</f>
        <v>0</v>
      </c>
      <c r="J506" s="194">
        <f>IF(_1_5412845612146241046457891017456[[#This Row],[Type]]&gt;0,VLOOKUP(_1_5412845612146241046457891017456[[#This Row],[Type]],Main[[#All],[TYPE]:[UNIT]],'Unit Price'!H$1,FALSE),0)</f>
        <v>0</v>
      </c>
      <c r="K506" s="194">
        <f>IF(_1_5412845612146241046457891017456[[#This Row],[Discount selection]]&gt;0,VLOOKUP(_1_5412845612146241046457891017456[[#This Row],[Discount selection]],'Discount Structure'!$A$2:$B$30,2,"false"),0)</f>
        <v>1</v>
      </c>
      <c r="L506" s="194">
        <f>_1_5412845612146241046457891017456[[#This Row],[LIST $]]*_1_5412845612146241046457891017456[[#This Row],[DISCOUNT]]*_1_5412845612146241046457891017456[[#This Row],[DISCOUNT 2]]</f>
        <v>0</v>
      </c>
      <c r="M506" s="194">
        <f>IF(OR(_1_5412845612146241046457891017456[[#This Row],[UNIT]]&gt;0,_1_5412845612146241046457891017456[[#This Row],[UNIT]]&lt;0),_1_5412845612146241046457891017456[[#This Row],[UNIT]]*_1_5412845612146241046457891017456[[#This Row],[COST]],0)</f>
        <v>0</v>
      </c>
      <c r="N506" s="194">
        <f t="shared" si="7"/>
        <v>1.3</v>
      </c>
      <c r="O506" s="198">
        <f>_1_5412845612146241046457891017456[[#This Row],[TOTAL]]*_1_5412845612146241046457891017456[[#This Row],[MARGIN]]</f>
        <v>0</v>
      </c>
      <c r="R506" s="41"/>
    </row>
    <row r="507" spans="1:18">
      <c r="D507" s="188"/>
      <c r="F507" s="168" t="s">
        <v>6202</v>
      </c>
      <c r="G507" s="193">
        <f>IF(_1_5412845612146241046457891017456[[#This Row],[Type]]&gt;0,VLOOKUP(_1_5412845612146241046457891017456[[#This Row],[Type]],Main[[#All],[TYPE]:[UNIT]],'Unit Price'!C$1,FALSE),0)</f>
        <v>0</v>
      </c>
      <c r="H507" s="197">
        <f>IF(_1_5412845612146241046457891017456[[#This Row],[Type]]&gt;0,VLOOKUP(_1_5412845612146241046457891017456[[#This Row],[Type]],Main[[#All],[TYPE]:[UNIT]],'Unit Price'!D$1,FALSE),0)</f>
        <v>0</v>
      </c>
      <c r="I507" s="194">
        <f>IF(_1_5412845612146241046457891017456[[#This Row],[Type]]&gt;0,VLOOKUP(_1_5412845612146241046457891017456[[#This Row],[Type]],Main[[#All],[TYPE]:[UNIT]],'Unit Price'!G$1,FALSE),0)</f>
        <v>0</v>
      </c>
      <c r="J507" s="194">
        <f>IF(_1_5412845612146241046457891017456[[#This Row],[Type]]&gt;0,VLOOKUP(_1_5412845612146241046457891017456[[#This Row],[Type]],Main[[#All],[TYPE]:[UNIT]],'Unit Price'!H$1,FALSE),0)</f>
        <v>0</v>
      </c>
      <c r="K507" s="194">
        <f>IF(_1_5412845612146241046457891017456[[#This Row],[Discount selection]]&gt;0,VLOOKUP(_1_5412845612146241046457891017456[[#This Row],[Discount selection]],'Discount Structure'!$A$2:$B$30,2,"false"),0)</f>
        <v>1</v>
      </c>
      <c r="L507" s="194">
        <f>_1_5412845612146241046457891017456[[#This Row],[LIST $]]*_1_5412845612146241046457891017456[[#This Row],[DISCOUNT]]*_1_5412845612146241046457891017456[[#This Row],[DISCOUNT 2]]</f>
        <v>0</v>
      </c>
      <c r="M507" s="194">
        <f>IF(OR(_1_5412845612146241046457891017456[[#This Row],[UNIT]]&gt;0,_1_5412845612146241046457891017456[[#This Row],[UNIT]]&lt;0),_1_5412845612146241046457891017456[[#This Row],[UNIT]]*_1_5412845612146241046457891017456[[#This Row],[COST]],0)</f>
        <v>0</v>
      </c>
      <c r="N507" s="194">
        <f t="shared" si="7"/>
        <v>1.3</v>
      </c>
      <c r="O507" s="198">
        <f>_1_5412845612146241046457891017456[[#This Row],[TOTAL]]*_1_5412845612146241046457891017456[[#This Row],[MARGIN]]</f>
        <v>0</v>
      </c>
      <c r="R507" s="41"/>
    </row>
    <row r="508" spans="1:18">
      <c r="D508" s="188"/>
      <c r="F508" s="168" t="s">
        <v>6202</v>
      </c>
      <c r="G508" s="193">
        <f>IF(_1_5412845612146241046457891017456[[#This Row],[Type]]&gt;0,VLOOKUP(_1_5412845612146241046457891017456[[#This Row],[Type]],Main[[#All],[TYPE]:[UNIT]],'Unit Price'!C$1,FALSE),0)</f>
        <v>0</v>
      </c>
      <c r="H508" s="197">
        <f>IF(_1_5412845612146241046457891017456[[#This Row],[Type]]&gt;0,VLOOKUP(_1_5412845612146241046457891017456[[#This Row],[Type]],Main[[#All],[TYPE]:[UNIT]],'Unit Price'!D$1,FALSE),0)</f>
        <v>0</v>
      </c>
      <c r="I508" s="194">
        <f>IF(_1_5412845612146241046457891017456[[#This Row],[Type]]&gt;0,VLOOKUP(_1_5412845612146241046457891017456[[#This Row],[Type]],Main[[#All],[TYPE]:[UNIT]],'Unit Price'!G$1,FALSE),0)</f>
        <v>0</v>
      </c>
      <c r="J508" s="194">
        <f>IF(_1_5412845612146241046457891017456[[#This Row],[Type]]&gt;0,VLOOKUP(_1_5412845612146241046457891017456[[#This Row],[Type]],Main[[#All],[TYPE]:[UNIT]],'Unit Price'!H$1,FALSE),0)</f>
        <v>0</v>
      </c>
      <c r="K508" s="194">
        <f>IF(_1_5412845612146241046457891017456[[#This Row],[Discount selection]]&gt;0,VLOOKUP(_1_5412845612146241046457891017456[[#This Row],[Discount selection]],'Discount Structure'!$A$2:$B$30,2,"false"),0)</f>
        <v>1</v>
      </c>
      <c r="L508" s="194">
        <f>_1_5412845612146241046457891017456[[#This Row],[LIST $]]*_1_5412845612146241046457891017456[[#This Row],[DISCOUNT]]*_1_5412845612146241046457891017456[[#This Row],[DISCOUNT 2]]</f>
        <v>0</v>
      </c>
      <c r="M508" s="194">
        <f>IF(OR(_1_5412845612146241046457891017456[[#This Row],[UNIT]]&gt;0,_1_5412845612146241046457891017456[[#This Row],[UNIT]]&lt;0),_1_5412845612146241046457891017456[[#This Row],[UNIT]]*_1_5412845612146241046457891017456[[#This Row],[COST]],0)</f>
        <v>0</v>
      </c>
      <c r="N508" s="194">
        <f t="shared" si="7"/>
        <v>1.3</v>
      </c>
      <c r="O508" s="198">
        <f>_1_5412845612146241046457891017456[[#This Row],[TOTAL]]*_1_5412845612146241046457891017456[[#This Row],[MARGIN]]</f>
        <v>0</v>
      </c>
      <c r="R508" s="41"/>
    </row>
    <row r="509" spans="1:18">
      <c r="D509" s="188"/>
      <c r="F509" s="168" t="s">
        <v>6202</v>
      </c>
      <c r="G509" s="193">
        <f>IF(_1_5412845612146241046457891017456[[#This Row],[Type]]&gt;0,VLOOKUP(_1_5412845612146241046457891017456[[#This Row],[Type]],Main[[#All],[TYPE]:[UNIT]],'Unit Price'!C$1,FALSE),0)</f>
        <v>0</v>
      </c>
      <c r="H509" s="197">
        <f>IF(_1_5412845612146241046457891017456[[#This Row],[Type]]&gt;0,VLOOKUP(_1_5412845612146241046457891017456[[#This Row],[Type]],Main[[#All],[TYPE]:[UNIT]],'Unit Price'!D$1,FALSE),0)</f>
        <v>0</v>
      </c>
      <c r="I509" s="194">
        <f>IF(_1_5412845612146241046457891017456[[#This Row],[Type]]&gt;0,VLOOKUP(_1_5412845612146241046457891017456[[#This Row],[Type]],Main[[#All],[TYPE]:[UNIT]],'Unit Price'!G$1,FALSE),0)</f>
        <v>0</v>
      </c>
      <c r="J509" s="194">
        <f>IF(_1_5412845612146241046457891017456[[#This Row],[Type]]&gt;0,VLOOKUP(_1_5412845612146241046457891017456[[#This Row],[Type]],Main[[#All],[TYPE]:[UNIT]],'Unit Price'!H$1,FALSE),0)</f>
        <v>0</v>
      </c>
      <c r="K509" s="194">
        <f>IF(_1_5412845612146241046457891017456[[#This Row],[Discount selection]]&gt;0,VLOOKUP(_1_5412845612146241046457891017456[[#This Row],[Discount selection]],'Discount Structure'!$A$2:$B$30,2,"false"),0)</f>
        <v>1</v>
      </c>
      <c r="L509" s="194">
        <f>_1_5412845612146241046457891017456[[#This Row],[LIST $]]*_1_5412845612146241046457891017456[[#This Row],[DISCOUNT]]*_1_5412845612146241046457891017456[[#This Row],[DISCOUNT 2]]</f>
        <v>0</v>
      </c>
      <c r="M509" s="194">
        <f>IF(OR(_1_5412845612146241046457891017456[[#This Row],[UNIT]]&gt;0,_1_5412845612146241046457891017456[[#This Row],[UNIT]]&lt;0),_1_5412845612146241046457891017456[[#This Row],[UNIT]]*_1_5412845612146241046457891017456[[#This Row],[COST]],0)</f>
        <v>0</v>
      </c>
      <c r="N509" s="194">
        <f t="shared" si="7"/>
        <v>1.3</v>
      </c>
      <c r="O509" s="198">
        <f>_1_5412845612146241046457891017456[[#This Row],[TOTAL]]*_1_5412845612146241046457891017456[[#This Row],[MARGIN]]</f>
        <v>0</v>
      </c>
      <c r="R509" s="41"/>
    </row>
    <row r="510" spans="1:18">
      <c r="D510" s="188"/>
      <c r="F510" s="168" t="s">
        <v>6202</v>
      </c>
      <c r="G510" s="193">
        <f>IF(_1_5412845612146241046457891017456[[#This Row],[Type]]&gt;0,VLOOKUP(_1_5412845612146241046457891017456[[#This Row],[Type]],Main[[#All],[TYPE]:[UNIT]],'Unit Price'!C$1,FALSE),0)</f>
        <v>0</v>
      </c>
      <c r="H510" s="197">
        <f>IF(_1_5412845612146241046457891017456[[#This Row],[Type]]&gt;0,VLOOKUP(_1_5412845612146241046457891017456[[#This Row],[Type]],Main[[#All],[TYPE]:[UNIT]],'Unit Price'!D$1,FALSE),0)</f>
        <v>0</v>
      </c>
      <c r="I510" s="194">
        <f>IF(_1_5412845612146241046457891017456[[#This Row],[Type]]&gt;0,VLOOKUP(_1_5412845612146241046457891017456[[#This Row],[Type]],Main[[#All],[TYPE]:[UNIT]],'Unit Price'!G$1,FALSE),0)</f>
        <v>0</v>
      </c>
      <c r="J510" s="194">
        <f>IF(_1_5412845612146241046457891017456[[#This Row],[Type]]&gt;0,VLOOKUP(_1_5412845612146241046457891017456[[#This Row],[Type]],Main[[#All],[TYPE]:[UNIT]],'Unit Price'!H$1,FALSE),0)</f>
        <v>0</v>
      </c>
      <c r="K510" s="194">
        <f>IF(_1_5412845612146241046457891017456[[#This Row],[Discount selection]]&gt;0,VLOOKUP(_1_5412845612146241046457891017456[[#This Row],[Discount selection]],'Discount Structure'!$A$2:$B$30,2,"false"),0)</f>
        <v>1</v>
      </c>
      <c r="L510" s="194">
        <f>_1_5412845612146241046457891017456[[#This Row],[LIST $]]*_1_5412845612146241046457891017456[[#This Row],[DISCOUNT]]*_1_5412845612146241046457891017456[[#This Row],[DISCOUNT 2]]</f>
        <v>0</v>
      </c>
      <c r="M510" s="194">
        <f>IF(OR(_1_5412845612146241046457891017456[[#This Row],[UNIT]]&gt;0,_1_5412845612146241046457891017456[[#This Row],[UNIT]]&lt;0),_1_5412845612146241046457891017456[[#This Row],[UNIT]]*_1_5412845612146241046457891017456[[#This Row],[COST]],0)</f>
        <v>0</v>
      </c>
      <c r="N510" s="194">
        <f t="shared" si="7"/>
        <v>1.3</v>
      </c>
      <c r="O510" s="198">
        <f>_1_5412845612146241046457891017456[[#This Row],[TOTAL]]*_1_5412845612146241046457891017456[[#This Row],[MARGIN]]</f>
        <v>0</v>
      </c>
      <c r="R510" s="41"/>
    </row>
    <row r="511" spans="1:18">
      <c r="D511" s="188"/>
      <c r="F511" s="168" t="s">
        <v>6202</v>
      </c>
      <c r="G511" s="193">
        <f>IF(_1_5412845612146241046457891017456[[#This Row],[Type]]&gt;0,VLOOKUP(_1_5412845612146241046457891017456[[#This Row],[Type]],Main[[#All],[TYPE]:[UNIT]],'Unit Price'!C$1,FALSE),0)</f>
        <v>0</v>
      </c>
      <c r="H511" s="197">
        <f>IF(_1_5412845612146241046457891017456[[#This Row],[Type]]&gt;0,VLOOKUP(_1_5412845612146241046457891017456[[#This Row],[Type]],Main[[#All],[TYPE]:[UNIT]],'Unit Price'!D$1,FALSE),0)</f>
        <v>0</v>
      </c>
      <c r="I511" s="194">
        <f>IF(_1_5412845612146241046457891017456[[#This Row],[Type]]&gt;0,VLOOKUP(_1_5412845612146241046457891017456[[#This Row],[Type]],Main[[#All],[TYPE]:[UNIT]],'Unit Price'!G$1,FALSE),0)</f>
        <v>0</v>
      </c>
      <c r="J511" s="194">
        <f>IF(_1_5412845612146241046457891017456[[#This Row],[Type]]&gt;0,VLOOKUP(_1_5412845612146241046457891017456[[#This Row],[Type]],Main[[#All],[TYPE]:[UNIT]],'Unit Price'!H$1,FALSE),0)</f>
        <v>0</v>
      </c>
      <c r="K511" s="194">
        <f>IF(_1_5412845612146241046457891017456[[#This Row],[Discount selection]]&gt;0,VLOOKUP(_1_5412845612146241046457891017456[[#This Row],[Discount selection]],'Discount Structure'!$A$2:$B$30,2,"false"),0)</f>
        <v>1</v>
      </c>
      <c r="L511" s="194">
        <f>_1_5412845612146241046457891017456[[#This Row],[LIST $]]*_1_5412845612146241046457891017456[[#This Row],[DISCOUNT]]*_1_5412845612146241046457891017456[[#This Row],[DISCOUNT 2]]</f>
        <v>0</v>
      </c>
      <c r="M511" s="194">
        <f>IF(OR(_1_5412845612146241046457891017456[[#This Row],[UNIT]]&gt;0,_1_5412845612146241046457891017456[[#This Row],[UNIT]]&lt;0),_1_5412845612146241046457891017456[[#This Row],[UNIT]]*_1_5412845612146241046457891017456[[#This Row],[COST]],0)</f>
        <v>0</v>
      </c>
      <c r="N511" s="194">
        <f t="shared" si="7"/>
        <v>1.3</v>
      </c>
      <c r="O511" s="198">
        <f>_1_5412845612146241046457891017456[[#This Row],[TOTAL]]*_1_5412845612146241046457891017456[[#This Row],[MARGIN]]</f>
        <v>0</v>
      </c>
      <c r="R511" s="41"/>
    </row>
    <row r="512" spans="1:18">
      <c r="A512" s="168"/>
      <c r="D512" s="188"/>
      <c r="F512" s="168" t="s">
        <v>6202</v>
      </c>
      <c r="G512" s="193">
        <f>IF(_1_5412845612146241046457891017456[[#This Row],[Type]]&gt;0,VLOOKUP(_1_5412845612146241046457891017456[[#This Row],[Type]],Main[[#All],[TYPE]:[UNIT]],'Unit Price'!C$1,FALSE),0)</f>
        <v>0</v>
      </c>
      <c r="H512" s="197">
        <f>IF(_1_5412845612146241046457891017456[[#This Row],[Type]]&gt;0,VLOOKUP(_1_5412845612146241046457891017456[[#This Row],[Type]],Main[[#All],[TYPE]:[UNIT]],'Unit Price'!D$1,FALSE),0)</f>
        <v>0</v>
      </c>
      <c r="I512" s="194">
        <f>IF(_1_5412845612146241046457891017456[[#This Row],[Type]]&gt;0,VLOOKUP(_1_5412845612146241046457891017456[[#This Row],[Type]],Main[[#All],[TYPE]:[UNIT]],'Unit Price'!G$1,FALSE),0)</f>
        <v>0</v>
      </c>
      <c r="J512" s="194">
        <f>IF(_1_5412845612146241046457891017456[[#This Row],[Type]]&gt;0,VLOOKUP(_1_5412845612146241046457891017456[[#This Row],[Type]],Main[[#All],[TYPE]:[UNIT]],'Unit Price'!H$1,FALSE),0)</f>
        <v>0</v>
      </c>
      <c r="K512" s="194">
        <f>IF(_1_5412845612146241046457891017456[[#This Row],[Discount selection]]&gt;0,VLOOKUP(_1_5412845612146241046457891017456[[#This Row],[Discount selection]],'Discount Structure'!$A$2:$B$30,2,"false"),0)</f>
        <v>1</v>
      </c>
      <c r="L512" s="194">
        <f>_1_5412845612146241046457891017456[[#This Row],[LIST $]]*_1_5412845612146241046457891017456[[#This Row],[DISCOUNT]]*_1_5412845612146241046457891017456[[#This Row],[DISCOUNT 2]]</f>
        <v>0</v>
      </c>
      <c r="M512" s="194">
        <f>IF(OR(_1_5412845612146241046457891017456[[#This Row],[UNIT]]&gt;0,_1_5412845612146241046457891017456[[#This Row],[UNIT]]&lt;0),_1_5412845612146241046457891017456[[#This Row],[UNIT]]*_1_5412845612146241046457891017456[[#This Row],[COST]],0)</f>
        <v>0</v>
      </c>
      <c r="N512" s="194">
        <f t="shared" si="7"/>
        <v>1.3</v>
      </c>
      <c r="O512" s="198">
        <f>_1_5412845612146241046457891017456[[#This Row],[TOTAL]]*_1_5412845612146241046457891017456[[#This Row],[MARGIN]]</f>
        <v>0</v>
      </c>
      <c r="R512" s="41"/>
    </row>
    <row r="513" spans="1:18">
      <c r="A513" s="168"/>
      <c r="D513" s="188"/>
      <c r="F513" s="168" t="s">
        <v>6202</v>
      </c>
      <c r="G513" s="193">
        <f>IF(_1_5412845612146241046457891017456[[#This Row],[Type]]&gt;0,VLOOKUP(_1_5412845612146241046457891017456[[#This Row],[Type]],Main[[#All],[TYPE]:[UNIT]],'Unit Price'!C$1,FALSE),0)</f>
        <v>0</v>
      </c>
      <c r="H513" s="197">
        <f>IF(_1_5412845612146241046457891017456[[#This Row],[Type]]&gt;0,VLOOKUP(_1_5412845612146241046457891017456[[#This Row],[Type]],Main[[#All],[TYPE]:[UNIT]],'Unit Price'!D$1,FALSE),0)</f>
        <v>0</v>
      </c>
      <c r="I513" s="194">
        <f>IF(_1_5412845612146241046457891017456[[#This Row],[Type]]&gt;0,VLOOKUP(_1_5412845612146241046457891017456[[#This Row],[Type]],Main[[#All],[TYPE]:[UNIT]],'Unit Price'!G$1,FALSE),0)</f>
        <v>0</v>
      </c>
      <c r="J513" s="194">
        <f>IF(_1_5412845612146241046457891017456[[#This Row],[Type]]&gt;0,VLOOKUP(_1_5412845612146241046457891017456[[#This Row],[Type]],Main[[#All],[TYPE]:[UNIT]],'Unit Price'!H$1,FALSE),0)</f>
        <v>0</v>
      </c>
      <c r="K513" s="194">
        <f>IF(_1_5412845612146241046457891017456[[#This Row],[Discount selection]]&gt;0,VLOOKUP(_1_5412845612146241046457891017456[[#This Row],[Discount selection]],'Discount Structure'!$A$2:$B$30,2,"false"),0)</f>
        <v>1</v>
      </c>
      <c r="L513" s="194">
        <f>_1_5412845612146241046457891017456[[#This Row],[LIST $]]*_1_5412845612146241046457891017456[[#This Row],[DISCOUNT]]*_1_5412845612146241046457891017456[[#This Row],[DISCOUNT 2]]</f>
        <v>0</v>
      </c>
      <c r="M513" s="194">
        <f>IF(OR(_1_5412845612146241046457891017456[[#This Row],[UNIT]]&gt;0,_1_5412845612146241046457891017456[[#This Row],[UNIT]]&lt;0),_1_5412845612146241046457891017456[[#This Row],[UNIT]]*_1_5412845612146241046457891017456[[#This Row],[COST]],0)</f>
        <v>0</v>
      </c>
      <c r="N513" s="194">
        <f t="shared" si="7"/>
        <v>1.3</v>
      </c>
      <c r="O513" s="198">
        <f>_1_5412845612146241046457891017456[[#This Row],[TOTAL]]*_1_5412845612146241046457891017456[[#This Row],[MARGIN]]</f>
        <v>0</v>
      </c>
      <c r="R513" s="41"/>
    </row>
    <row r="514" spans="1:18">
      <c r="A514" s="168"/>
      <c r="D514" s="188"/>
      <c r="F514" s="168" t="s">
        <v>6202</v>
      </c>
      <c r="G514" s="193">
        <f>IF(_1_5412845612146241046457891017456[[#This Row],[Type]]&gt;0,VLOOKUP(_1_5412845612146241046457891017456[[#This Row],[Type]],Main[[#All],[TYPE]:[UNIT]],'Unit Price'!C$1,FALSE),0)</f>
        <v>0</v>
      </c>
      <c r="H514" s="197">
        <f>IF(_1_5412845612146241046457891017456[[#This Row],[Type]]&gt;0,VLOOKUP(_1_5412845612146241046457891017456[[#This Row],[Type]],Main[[#All],[TYPE]:[UNIT]],'Unit Price'!D$1,FALSE),0)</f>
        <v>0</v>
      </c>
      <c r="I514" s="194">
        <f>IF(_1_5412845612146241046457891017456[[#This Row],[Type]]&gt;0,VLOOKUP(_1_5412845612146241046457891017456[[#This Row],[Type]],Main[[#All],[TYPE]:[UNIT]],'Unit Price'!G$1,FALSE),0)</f>
        <v>0</v>
      </c>
      <c r="J514" s="194">
        <f>IF(_1_5412845612146241046457891017456[[#This Row],[Type]]&gt;0,VLOOKUP(_1_5412845612146241046457891017456[[#This Row],[Type]],Main[[#All],[TYPE]:[UNIT]],'Unit Price'!H$1,FALSE),0)</f>
        <v>0</v>
      </c>
      <c r="K514" s="194">
        <f>IF(_1_5412845612146241046457891017456[[#This Row],[Discount selection]]&gt;0,VLOOKUP(_1_5412845612146241046457891017456[[#This Row],[Discount selection]],'Discount Structure'!$A$2:$B$30,2,"false"),0)</f>
        <v>1</v>
      </c>
      <c r="L514" s="194">
        <f>_1_5412845612146241046457891017456[[#This Row],[LIST $]]*_1_5412845612146241046457891017456[[#This Row],[DISCOUNT]]*_1_5412845612146241046457891017456[[#This Row],[DISCOUNT 2]]</f>
        <v>0</v>
      </c>
      <c r="M514" s="194">
        <f>IF(OR(_1_5412845612146241046457891017456[[#This Row],[UNIT]]&gt;0,_1_5412845612146241046457891017456[[#This Row],[UNIT]]&lt;0),_1_5412845612146241046457891017456[[#This Row],[UNIT]]*_1_5412845612146241046457891017456[[#This Row],[COST]],0)</f>
        <v>0</v>
      </c>
      <c r="N514" s="194">
        <f t="shared" si="7"/>
        <v>1.3</v>
      </c>
      <c r="O514" s="198">
        <f>_1_5412845612146241046457891017456[[#This Row],[TOTAL]]*_1_5412845612146241046457891017456[[#This Row],[MARGIN]]</f>
        <v>0</v>
      </c>
      <c r="R514" s="41"/>
    </row>
    <row r="515" spans="1:18">
      <c r="B515" s="168"/>
      <c r="C515" s="168"/>
      <c r="D515" s="188"/>
      <c r="F515" s="168" t="s">
        <v>6202</v>
      </c>
      <c r="G515" s="193">
        <f>IF(_1_5412845612146241046457891017456[[#This Row],[Type]]&gt;0,VLOOKUP(_1_5412845612146241046457891017456[[#This Row],[Type]],Main[[#All],[TYPE]:[UNIT]],'Unit Price'!C$1,FALSE),0)</f>
        <v>0</v>
      </c>
      <c r="H515" s="197">
        <f>IF(_1_5412845612146241046457891017456[[#This Row],[Type]]&gt;0,VLOOKUP(_1_5412845612146241046457891017456[[#This Row],[Type]],Main[[#All],[TYPE]:[UNIT]],'Unit Price'!D$1,FALSE),0)</f>
        <v>0</v>
      </c>
      <c r="I515" s="194">
        <f>IF(_1_5412845612146241046457891017456[[#This Row],[Type]]&gt;0,VLOOKUP(_1_5412845612146241046457891017456[[#This Row],[Type]],Main[[#All],[TYPE]:[UNIT]],'Unit Price'!G$1,FALSE),0)</f>
        <v>0</v>
      </c>
      <c r="J515" s="194">
        <f>IF(_1_5412845612146241046457891017456[[#This Row],[Type]]&gt;0,VLOOKUP(_1_5412845612146241046457891017456[[#This Row],[Type]],Main[[#All],[TYPE]:[UNIT]],'Unit Price'!H$1,FALSE),0)</f>
        <v>0</v>
      </c>
      <c r="K515" s="194">
        <f>IF(_1_5412845612146241046457891017456[[#This Row],[Discount selection]]&gt;0,VLOOKUP(_1_5412845612146241046457891017456[[#This Row],[Discount selection]],'Discount Structure'!$A$2:$B$30,2,"false"),0)</f>
        <v>1</v>
      </c>
      <c r="L515" s="194">
        <f>_1_5412845612146241046457891017456[[#This Row],[LIST $]]*_1_5412845612146241046457891017456[[#This Row],[DISCOUNT]]*_1_5412845612146241046457891017456[[#This Row],[DISCOUNT 2]]</f>
        <v>0</v>
      </c>
      <c r="M515" s="194">
        <f>IF(OR(_1_5412845612146241046457891017456[[#This Row],[UNIT]]&gt;0,_1_5412845612146241046457891017456[[#This Row],[UNIT]]&lt;0),_1_5412845612146241046457891017456[[#This Row],[UNIT]]*_1_5412845612146241046457891017456[[#This Row],[COST]],0)</f>
        <v>0</v>
      </c>
      <c r="N515" s="194">
        <f t="shared" si="7"/>
        <v>1.3</v>
      </c>
      <c r="O515" s="198">
        <f>_1_5412845612146241046457891017456[[#This Row],[TOTAL]]*_1_5412845612146241046457891017456[[#This Row],[MARGIN]]</f>
        <v>0</v>
      </c>
      <c r="R515" s="41"/>
    </row>
    <row r="516" spans="1:18">
      <c r="D516" s="188"/>
      <c r="F516" s="168" t="s">
        <v>6202</v>
      </c>
      <c r="G516" s="193">
        <f>IF(_1_5412845612146241046457891017456[[#This Row],[Type]]&gt;0,VLOOKUP(_1_5412845612146241046457891017456[[#This Row],[Type]],Main[[#All],[TYPE]:[UNIT]],'Unit Price'!C$1,FALSE),0)</f>
        <v>0</v>
      </c>
      <c r="H516" s="197">
        <f>IF(_1_5412845612146241046457891017456[[#This Row],[Type]]&gt;0,VLOOKUP(_1_5412845612146241046457891017456[[#This Row],[Type]],Main[[#All],[TYPE]:[UNIT]],'Unit Price'!D$1,FALSE),0)</f>
        <v>0</v>
      </c>
      <c r="I516" s="194">
        <f>IF(_1_5412845612146241046457891017456[[#This Row],[Type]]&gt;0,VLOOKUP(_1_5412845612146241046457891017456[[#This Row],[Type]],Main[[#All],[TYPE]:[UNIT]],'Unit Price'!G$1,FALSE),0)</f>
        <v>0</v>
      </c>
      <c r="J516" s="194">
        <f>IF(_1_5412845612146241046457891017456[[#This Row],[Type]]&gt;0,VLOOKUP(_1_5412845612146241046457891017456[[#This Row],[Type]],Main[[#All],[TYPE]:[UNIT]],'Unit Price'!H$1,FALSE),0)</f>
        <v>0</v>
      </c>
      <c r="K516" s="194">
        <f>IF(_1_5412845612146241046457891017456[[#This Row],[Discount selection]]&gt;0,VLOOKUP(_1_5412845612146241046457891017456[[#This Row],[Discount selection]],'Discount Structure'!$A$2:$B$30,2,"false"),0)</f>
        <v>1</v>
      </c>
      <c r="L516" s="194">
        <f>_1_5412845612146241046457891017456[[#This Row],[LIST $]]*_1_5412845612146241046457891017456[[#This Row],[DISCOUNT]]*_1_5412845612146241046457891017456[[#This Row],[DISCOUNT 2]]</f>
        <v>0</v>
      </c>
      <c r="M516" s="194">
        <f>IF(OR(_1_5412845612146241046457891017456[[#This Row],[UNIT]]&gt;0,_1_5412845612146241046457891017456[[#This Row],[UNIT]]&lt;0),_1_5412845612146241046457891017456[[#This Row],[UNIT]]*_1_5412845612146241046457891017456[[#This Row],[COST]],0)</f>
        <v>0</v>
      </c>
      <c r="N516" s="194">
        <f t="shared" si="7"/>
        <v>1.3</v>
      </c>
      <c r="O516" s="198">
        <f>_1_5412845612146241046457891017456[[#This Row],[TOTAL]]*_1_5412845612146241046457891017456[[#This Row],[MARGIN]]</f>
        <v>0</v>
      </c>
      <c r="R516" s="41"/>
    </row>
    <row r="517" spans="1:18">
      <c r="D517" s="188"/>
      <c r="F517" s="168" t="s">
        <v>6202</v>
      </c>
      <c r="G517" s="193">
        <f>IF(_1_5412845612146241046457891017456[[#This Row],[Type]]&gt;0,VLOOKUP(_1_5412845612146241046457891017456[[#This Row],[Type]],Main[[#All],[TYPE]:[UNIT]],'Unit Price'!C$1,FALSE),0)</f>
        <v>0</v>
      </c>
      <c r="H517" s="197">
        <f>IF(_1_5412845612146241046457891017456[[#This Row],[Type]]&gt;0,VLOOKUP(_1_5412845612146241046457891017456[[#This Row],[Type]],Main[[#All],[TYPE]:[UNIT]],'Unit Price'!D$1,FALSE),0)</f>
        <v>0</v>
      </c>
      <c r="I517" s="194">
        <f>IF(_1_5412845612146241046457891017456[[#This Row],[Type]]&gt;0,VLOOKUP(_1_5412845612146241046457891017456[[#This Row],[Type]],Main[[#All],[TYPE]:[UNIT]],'Unit Price'!G$1,FALSE),0)</f>
        <v>0</v>
      </c>
      <c r="J517" s="194">
        <f>IF(_1_5412845612146241046457891017456[[#This Row],[Type]]&gt;0,VLOOKUP(_1_5412845612146241046457891017456[[#This Row],[Type]],Main[[#All],[TYPE]:[UNIT]],'Unit Price'!H$1,FALSE),0)</f>
        <v>0</v>
      </c>
      <c r="K517" s="194">
        <f>IF(_1_5412845612146241046457891017456[[#This Row],[Discount selection]]&gt;0,VLOOKUP(_1_5412845612146241046457891017456[[#This Row],[Discount selection]],'Discount Structure'!$A$2:$B$30,2,"false"),0)</f>
        <v>1</v>
      </c>
      <c r="L517" s="194">
        <f>_1_5412845612146241046457891017456[[#This Row],[LIST $]]*_1_5412845612146241046457891017456[[#This Row],[DISCOUNT]]*_1_5412845612146241046457891017456[[#This Row],[DISCOUNT 2]]</f>
        <v>0</v>
      </c>
      <c r="M517" s="194">
        <f>IF(OR(_1_5412845612146241046457891017456[[#This Row],[UNIT]]&gt;0,_1_5412845612146241046457891017456[[#This Row],[UNIT]]&lt;0),_1_5412845612146241046457891017456[[#This Row],[UNIT]]*_1_5412845612146241046457891017456[[#This Row],[COST]],0)</f>
        <v>0</v>
      </c>
      <c r="N517" s="194">
        <f t="shared" si="7"/>
        <v>1.3</v>
      </c>
      <c r="O517" s="198">
        <f>_1_5412845612146241046457891017456[[#This Row],[TOTAL]]*_1_5412845612146241046457891017456[[#This Row],[MARGIN]]</f>
        <v>0</v>
      </c>
      <c r="R517" s="41"/>
    </row>
    <row r="518" spans="1:18">
      <c r="D518" s="188"/>
      <c r="F518" s="168" t="s">
        <v>6202</v>
      </c>
      <c r="G518" s="193">
        <f>IF(_1_5412845612146241046457891017456[[#This Row],[Type]]&gt;0,VLOOKUP(_1_5412845612146241046457891017456[[#This Row],[Type]],Main[[#All],[TYPE]:[UNIT]],'Unit Price'!C$1,FALSE),0)</f>
        <v>0</v>
      </c>
      <c r="H518" s="197">
        <f>IF(_1_5412845612146241046457891017456[[#This Row],[Type]]&gt;0,VLOOKUP(_1_5412845612146241046457891017456[[#This Row],[Type]],Main[[#All],[TYPE]:[UNIT]],'Unit Price'!D$1,FALSE),0)</f>
        <v>0</v>
      </c>
      <c r="I518" s="194">
        <f>IF(_1_5412845612146241046457891017456[[#This Row],[Type]]&gt;0,VLOOKUP(_1_5412845612146241046457891017456[[#This Row],[Type]],Main[[#All],[TYPE]:[UNIT]],'Unit Price'!G$1,FALSE),0)</f>
        <v>0</v>
      </c>
      <c r="J518" s="194">
        <f>IF(_1_5412845612146241046457891017456[[#This Row],[Type]]&gt;0,VLOOKUP(_1_5412845612146241046457891017456[[#This Row],[Type]],Main[[#All],[TYPE]:[UNIT]],'Unit Price'!H$1,FALSE),0)</f>
        <v>0</v>
      </c>
      <c r="K518" s="194">
        <f>IF(_1_5412845612146241046457891017456[[#This Row],[Discount selection]]&gt;0,VLOOKUP(_1_5412845612146241046457891017456[[#This Row],[Discount selection]],'Discount Structure'!$A$2:$B$30,2,"false"),0)</f>
        <v>1</v>
      </c>
      <c r="L518" s="194">
        <f>_1_5412845612146241046457891017456[[#This Row],[LIST $]]*_1_5412845612146241046457891017456[[#This Row],[DISCOUNT]]*_1_5412845612146241046457891017456[[#This Row],[DISCOUNT 2]]</f>
        <v>0</v>
      </c>
      <c r="M518" s="194">
        <f>IF(OR(_1_5412845612146241046457891017456[[#This Row],[UNIT]]&gt;0,_1_5412845612146241046457891017456[[#This Row],[UNIT]]&lt;0),_1_5412845612146241046457891017456[[#This Row],[UNIT]]*_1_5412845612146241046457891017456[[#This Row],[COST]],0)</f>
        <v>0</v>
      </c>
      <c r="N518" s="194">
        <f t="shared" si="7"/>
        <v>1.3</v>
      </c>
      <c r="O518" s="198">
        <f>_1_5412845612146241046457891017456[[#This Row],[TOTAL]]*_1_5412845612146241046457891017456[[#This Row],[MARGIN]]</f>
        <v>0</v>
      </c>
      <c r="R518" s="41"/>
    </row>
    <row r="519" spans="1:18">
      <c r="D519" s="188"/>
      <c r="F519" s="168" t="s">
        <v>6202</v>
      </c>
      <c r="G519" s="193">
        <f>IF(_1_5412845612146241046457891017456[[#This Row],[Type]]&gt;0,VLOOKUP(_1_5412845612146241046457891017456[[#This Row],[Type]],Main[[#All],[TYPE]:[UNIT]],'Unit Price'!C$1,FALSE),0)</f>
        <v>0</v>
      </c>
      <c r="H519" s="197">
        <f>IF(_1_5412845612146241046457891017456[[#This Row],[Type]]&gt;0,VLOOKUP(_1_5412845612146241046457891017456[[#This Row],[Type]],Main[[#All],[TYPE]:[UNIT]],'Unit Price'!D$1,FALSE),0)</f>
        <v>0</v>
      </c>
      <c r="I519" s="194">
        <f>IF(_1_5412845612146241046457891017456[[#This Row],[Type]]&gt;0,VLOOKUP(_1_5412845612146241046457891017456[[#This Row],[Type]],Main[[#All],[TYPE]:[UNIT]],'Unit Price'!G$1,FALSE),0)</f>
        <v>0</v>
      </c>
      <c r="J519" s="194">
        <f>IF(_1_5412845612146241046457891017456[[#This Row],[Type]]&gt;0,VLOOKUP(_1_5412845612146241046457891017456[[#This Row],[Type]],Main[[#All],[TYPE]:[UNIT]],'Unit Price'!H$1,FALSE),0)</f>
        <v>0</v>
      </c>
      <c r="K519" s="194">
        <f>IF(_1_5412845612146241046457891017456[[#This Row],[Discount selection]]&gt;0,VLOOKUP(_1_5412845612146241046457891017456[[#This Row],[Discount selection]],'Discount Structure'!$A$2:$B$30,2,"false"),0)</f>
        <v>1</v>
      </c>
      <c r="L519" s="194">
        <f>_1_5412845612146241046457891017456[[#This Row],[LIST $]]*_1_5412845612146241046457891017456[[#This Row],[DISCOUNT]]*_1_5412845612146241046457891017456[[#This Row],[DISCOUNT 2]]</f>
        <v>0</v>
      </c>
      <c r="M519" s="194">
        <f>IF(OR(_1_5412845612146241046457891017456[[#This Row],[UNIT]]&gt;0,_1_5412845612146241046457891017456[[#This Row],[UNIT]]&lt;0),_1_5412845612146241046457891017456[[#This Row],[UNIT]]*_1_5412845612146241046457891017456[[#This Row],[COST]],0)</f>
        <v>0</v>
      </c>
      <c r="N519" s="194">
        <f t="shared" si="7"/>
        <v>1.3</v>
      </c>
      <c r="O519" s="198">
        <f>_1_5412845612146241046457891017456[[#This Row],[TOTAL]]*_1_5412845612146241046457891017456[[#This Row],[MARGIN]]</f>
        <v>0</v>
      </c>
      <c r="R519" s="41"/>
    </row>
    <row r="520" spans="1:18">
      <c r="D520" s="188"/>
      <c r="F520" s="168" t="s">
        <v>6202</v>
      </c>
      <c r="G520" s="193">
        <f>IF(_1_5412845612146241046457891017456[[#This Row],[Type]]&gt;0,VLOOKUP(_1_5412845612146241046457891017456[[#This Row],[Type]],Main[[#All],[TYPE]:[UNIT]],'Unit Price'!C$1,FALSE),0)</f>
        <v>0</v>
      </c>
      <c r="H520" s="197">
        <f>IF(_1_5412845612146241046457891017456[[#This Row],[Type]]&gt;0,VLOOKUP(_1_5412845612146241046457891017456[[#This Row],[Type]],Main[[#All],[TYPE]:[UNIT]],'Unit Price'!D$1,FALSE),0)</f>
        <v>0</v>
      </c>
      <c r="I520" s="194">
        <f>IF(_1_5412845612146241046457891017456[[#This Row],[Type]]&gt;0,VLOOKUP(_1_5412845612146241046457891017456[[#This Row],[Type]],Main[[#All],[TYPE]:[UNIT]],'Unit Price'!G$1,FALSE),0)</f>
        <v>0</v>
      </c>
      <c r="J520" s="194">
        <f>IF(_1_5412845612146241046457891017456[[#This Row],[Type]]&gt;0,VLOOKUP(_1_5412845612146241046457891017456[[#This Row],[Type]],Main[[#All],[TYPE]:[UNIT]],'Unit Price'!H$1,FALSE),0)</f>
        <v>0</v>
      </c>
      <c r="K520" s="194">
        <f>IF(_1_5412845612146241046457891017456[[#This Row],[Discount selection]]&gt;0,VLOOKUP(_1_5412845612146241046457891017456[[#This Row],[Discount selection]],'Discount Structure'!$A$2:$B$30,2,"false"),0)</f>
        <v>1</v>
      </c>
      <c r="L520" s="194">
        <f>_1_5412845612146241046457891017456[[#This Row],[LIST $]]*_1_5412845612146241046457891017456[[#This Row],[DISCOUNT]]*_1_5412845612146241046457891017456[[#This Row],[DISCOUNT 2]]</f>
        <v>0</v>
      </c>
      <c r="M520" s="194">
        <f>IF(OR(_1_5412845612146241046457891017456[[#This Row],[UNIT]]&gt;0,_1_5412845612146241046457891017456[[#This Row],[UNIT]]&lt;0),_1_5412845612146241046457891017456[[#This Row],[UNIT]]*_1_5412845612146241046457891017456[[#This Row],[COST]],0)</f>
        <v>0</v>
      </c>
      <c r="N520" s="194">
        <f t="shared" si="7"/>
        <v>1.3</v>
      </c>
      <c r="O520" s="198">
        <f>_1_5412845612146241046457891017456[[#This Row],[TOTAL]]*_1_5412845612146241046457891017456[[#This Row],[MARGIN]]</f>
        <v>0</v>
      </c>
      <c r="R520" s="41"/>
    </row>
    <row r="521" spans="1:18">
      <c r="D521" s="188"/>
      <c r="F521" s="168" t="s">
        <v>6202</v>
      </c>
      <c r="G521" s="193">
        <f>IF(_1_5412845612146241046457891017456[[#This Row],[Type]]&gt;0,VLOOKUP(_1_5412845612146241046457891017456[[#This Row],[Type]],Main[[#All],[TYPE]:[UNIT]],'Unit Price'!C$1,FALSE),0)</f>
        <v>0</v>
      </c>
      <c r="H521" s="197">
        <f>IF(_1_5412845612146241046457891017456[[#This Row],[Type]]&gt;0,VLOOKUP(_1_5412845612146241046457891017456[[#This Row],[Type]],Main[[#All],[TYPE]:[UNIT]],'Unit Price'!D$1,FALSE),0)</f>
        <v>0</v>
      </c>
      <c r="I521" s="194">
        <f>IF(_1_5412845612146241046457891017456[[#This Row],[Type]]&gt;0,VLOOKUP(_1_5412845612146241046457891017456[[#This Row],[Type]],Main[[#All],[TYPE]:[UNIT]],'Unit Price'!G$1,FALSE),0)</f>
        <v>0</v>
      </c>
      <c r="J521" s="194">
        <f>IF(_1_5412845612146241046457891017456[[#This Row],[Type]]&gt;0,VLOOKUP(_1_5412845612146241046457891017456[[#This Row],[Type]],Main[[#All],[TYPE]:[UNIT]],'Unit Price'!H$1,FALSE),0)</f>
        <v>0</v>
      </c>
      <c r="K521" s="194">
        <f>IF(_1_5412845612146241046457891017456[[#This Row],[Discount selection]]&gt;0,VLOOKUP(_1_5412845612146241046457891017456[[#This Row],[Discount selection]],'Discount Structure'!$A$2:$B$30,2,"false"),0)</f>
        <v>1</v>
      </c>
      <c r="L521" s="194">
        <f>_1_5412845612146241046457891017456[[#This Row],[LIST $]]*_1_5412845612146241046457891017456[[#This Row],[DISCOUNT]]*_1_5412845612146241046457891017456[[#This Row],[DISCOUNT 2]]</f>
        <v>0</v>
      </c>
      <c r="M521" s="194">
        <f>IF(OR(_1_5412845612146241046457891017456[[#This Row],[UNIT]]&gt;0,_1_5412845612146241046457891017456[[#This Row],[UNIT]]&lt;0),_1_5412845612146241046457891017456[[#This Row],[UNIT]]*_1_5412845612146241046457891017456[[#This Row],[COST]],0)</f>
        <v>0</v>
      </c>
      <c r="N521" s="194">
        <f t="shared" si="7"/>
        <v>1.3</v>
      </c>
      <c r="O521" s="198">
        <f>_1_5412845612146241046457891017456[[#This Row],[TOTAL]]*_1_5412845612146241046457891017456[[#This Row],[MARGIN]]</f>
        <v>0</v>
      </c>
      <c r="R521" s="41"/>
    </row>
    <row r="522" spans="1:18">
      <c r="A522" s="168"/>
      <c r="D522" s="188"/>
      <c r="F522" s="168" t="s">
        <v>6202</v>
      </c>
      <c r="G522" s="193">
        <f>IF(_1_5412845612146241046457891017456[[#This Row],[Type]]&gt;0,VLOOKUP(_1_5412845612146241046457891017456[[#This Row],[Type]],Main[[#All],[TYPE]:[UNIT]],'Unit Price'!C$1,FALSE),0)</f>
        <v>0</v>
      </c>
      <c r="H522" s="197">
        <f>IF(_1_5412845612146241046457891017456[[#This Row],[Type]]&gt;0,VLOOKUP(_1_5412845612146241046457891017456[[#This Row],[Type]],Main[[#All],[TYPE]:[UNIT]],'Unit Price'!D$1,FALSE),0)</f>
        <v>0</v>
      </c>
      <c r="I522" s="194">
        <f>IF(_1_5412845612146241046457891017456[[#This Row],[Type]]&gt;0,VLOOKUP(_1_5412845612146241046457891017456[[#This Row],[Type]],Main[[#All],[TYPE]:[UNIT]],'Unit Price'!G$1,FALSE),0)</f>
        <v>0</v>
      </c>
      <c r="J522" s="194">
        <f>IF(_1_5412845612146241046457891017456[[#This Row],[Type]]&gt;0,VLOOKUP(_1_5412845612146241046457891017456[[#This Row],[Type]],Main[[#All],[TYPE]:[UNIT]],'Unit Price'!H$1,FALSE),0)</f>
        <v>0</v>
      </c>
      <c r="K522" s="194">
        <f>IF(_1_5412845612146241046457891017456[[#This Row],[Discount selection]]&gt;0,VLOOKUP(_1_5412845612146241046457891017456[[#This Row],[Discount selection]],'Discount Structure'!$A$2:$B$30,2,"false"),0)</f>
        <v>1</v>
      </c>
      <c r="L522" s="194">
        <f>_1_5412845612146241046457891017456[[#This Row],[LIST $]]*_1_5412845612146241046457891017456[[#This Row],[DISCOUNT]]*_1_5412845612146241046457891017456[[#This Row],[DISCOUNT 2]]</f>
        <v>0</v>
      </c>
      <c r="M522" s="194">
        <f>IF(OR(_1_5412845612146241046457891017456[[#This Row],[UNIT]]&gt;0,_1_5412845612146241046457891017456[[#This Row],[UNIT]]&lt;0),_1_5412845612146241046457891017456[[#This Row],[UNIT]]*_1_5412845612146241046457891017456[[#This Row],[COST]],0)</f>
        <v>0</v>
      </c>
      <c r="N522" s="194">
        <f t="shared" ref="N522:N585" si="8">$N$7</f>
        <v>1.3</v>
      </c>
      <c r="O522" s="198">
        <f>_1_5412845612146241046457891017456[[#This Row],[TOTAL]]*_1_5412845612146241046457891017456[[#This Row],[MARGIN]]</f>
        <v>0</v>
      </c>
      <c r="R522" s="41"/>
    </row>
    <row r="523" spans="1:18">
      <c r="D523" s="188"/>
      <c r="F523" s="168" t="s">
        <v>6202</v>
      </c>
      <c r="G523" s="193">
        <f>IF(_1_5412845612146241046457891017456[[#This Row],[Type]]&gt;0,VLOOKUP(_1_5412845612146241046457891017456[[#This Row],[Type]],Main[[#All],[TYPE]:[UNIT]],'Unit Price'!C$1,FALSE),0)</f>
        <v>0</v>
      </c>
      <c r="H523" s="197">
        <f>IF(_1_5412845612146241046457891017456[[#This Row],[Type]]&gt;0,VLOOKUP(_1_5412845612146241046457891017456[[#This Row],[Type]],Main[[#All],[TYPE]:[UNIT]],'Unit Price'!D$1,FALSE),0)</f>
        <v>0</v>
      </c>
      <c r="I523" s="194">
        <f>IF(_1_5412845612146241046457891017456[[#This Row],[Type]]&gt;0,VLOOKUP(_1_5412845612146241046457891017456[[#This Row],[Type]],Main[[#All],[TYPE]:[UNIT]],'Unit Price'!G$1,FALSE),0)</f>
        <v>0</v>
      </c>
      <c r="J523" s="194">
        <f>IF(_1_5412845612146241046457891017456[[#This Row],[Type]]&gt;0,VLOOKUP(_1_5412845612146241046457891017456[[#This Row],[Type]],Main[[#All],[TYPE]:[UNIT]],'Unit Price'!H$1,FALSE),0)</f>
        <v>0</v>
      </c>
      <c r="K523" s="194">
        <f>IF(_1_5412845612146241046457891017456[[#This Row],[Discount selection]]&gt;0,VLOOKUP(_1_5412845612146241046457891017456[[#This Row],[Discount selection]],'Discount Structure'!$A$2:$B$30,2,"false"),0)</f>
        <v>1</v>
      </c>
      <c r="L523" s="194">
        <f>_1_5412845612146241046457891017456[[#This Row],[LIST $]]*_1_5412845612146241046457891017456[[#This Row],[DISCOUNT]]*_1_5412845612146241046457891017456[[#This Row],[DISCOUNT 2]]</f>
        <v>0</v>
      </c>
      <c r="M523" s="194">
        <f>IF(OR(_1_5412845612146241046457891017456[[#This Row],[UNIT]]&gt;0,_1_5412845612146241046457891017456[[#This Row],[UNIT]]&lt;0),_1_5412845612146241046457891017456[[#This Row],[UNIT]]*_1_5412845612146241046457891017456[[#This Row],[COST]],0)</f>
        <v>0</v>
      </c>
      <c r="N523" s="194">
        <f t="shared" si="8"/>
        <v>1.3</v>
      </c>
      <c r="O523" s="198">
        <f>_1_5412845612146241046457891017456[[#This Row],[TOTAL]]*_1_5412845612146241046457891017456[[#This Row],[MARGIN]]</f>
        <v>0</v>
      </c>
      <c r="R523" s="41"/>
    </row>
    <row r="524" spans="1:18">
      <c r="D524" s="188"/>
      <c r="F524" s="168" t="s">
        <v>6202</v>
      </c>
      <c r="G524" s="193">
        <f>IF(_1_5412845612146241046457891017456[[#This Row],[Type]]&gt;0,VLOOKUP(_1_5412845612146241046457891017456[[#This Row],[Type]],Main[[#All],[TYPE]:[UNIT]],'Unit Price'!C$1,FALSE),0)</f>
        <v>0</v>
      </c>
      <c r="H524" s="197">
        <f>IF(_1_5412845612146241046457891017456[[#This Row],[Type]]&gt;0,VLOOKUP(_1_5412845612146241046457891017456[[#This Row],[Type]],Main[[#All],[TYPE]:[UNIT]],'Unit Price'!D$1,FALSE),0)</f>
        <v>0</v>
      </c>
      <c r="I524" s="194">
        <f>IF(_1_5412845612146241046457891017456[[#This Row],[Type]]&gt;0,VLOOKUP(_1_5412845612146241046457891017456[[#This Row],[Type]],Main[[#All],[TYPE]:[UNIT]],'Unit Price'!G$1,FALSE),0)</f>
        <v>0</v>
      </c>
      <c r="J524" s="194">
        <f>IF(_1_5412845612146241046457891017456[[#This Row],[Type]]&gt;0,VLOOKUP(_1_5412845612146241046457891017456[[#This Row],[Type]],Main[[#All],[TYPE]:[UNIT]],'Unit Price'!H$1,FALSE),0)</f>
        <v>0</v>
      </c>
      <c r="K524" s="194">
        <f>IF(_1_5412845612146241046457891017456[[#This Row],[Discount selection]]&gt;0,VLOOKUP(_1_5412845612146241046457891017456[[#This Row],[Discount selection]],'Discount Structure'!$A$2:$B$30,2,"false"),0)</f>
        <v>1</v>
      </c>
      <c r="L524" s="194">
        <f>_1_5412845612146241046457891017456[[#This Row],[LIST $]]*_1_5412845612146241046457891017456[[#This Row],[DISCOUNT]]*_1_5412845612146241046457891017456[[#This Row],[DISCOUNT 2]]</f>
        <v>0</v>
      </c>
      <c r="M524" s="194">
        <f>IF(OR(_1_5412845612146241046457891017456[[#This Row],[UNIT]]&gt;0,_1_5412845612146241046457891017456[[#This Row],[UNIT]]&lt;0),_1_5412845612146241046457891017456[[#This Row],[UNIT]]*_1_5412845612146241046457891017456[[#This Row],[COST]],0)</f>
        <v>0</v>
      </c>
      <c r="N524" s="194">
        <f t="shared" si="8"/>
        <v>1.3</v>
      </c>
      <c r="O524" s="198">
        <f>_1_5412845612146241046457891017456[[#This Row],[TOTAL]]*_1_5412845612146241046457891017456[[#This Row],[MARGIN]]</f>
        <v>0</v>
      </c>
      <c r="R524" s="41"/>
    </row>
    <row r="525" spans="1:18">
      <c r="D525" s="188"/>
      <c r="F525" s="168" t="s">
        <v>6202</v>
      </c>
      <c r="G525" s="193">
        <f>IF(_1_5412845612146241046457891017456[[#This Row],[Type]]&gt;0,VLOOKUP(_1_5412845612146241046457891017456[[#This Row],[Type]],Main[[#All],[TYPE]:[UNIT]],'Unit Price'!C$1,FALSE),0)</f>
        <v>0</v>
      </c>
      <c r="H525" s="197">
        <f>IF(_1_5412845612146241046457891017456[[#This Row],[Type]]&gt;0,VLOOKUP(_1_5412845612146241046457891017456[[#This Row],[Type]],Main[[#All],[TYPE]:[UNIT]],'Unit Price'!D$1,FALSE),0)</f>
        <v>0</v>
      </c>
      <c r="I525" s="194">
        <f>IF(_1_5412845612146241046457891017456[[#This Row],[Type]]&gt;0,VLOOKUP(_1_5412845612146241046457891017456[[#This Row],[Type]],Main[[#All],[TYPE]:[UNIT]],'Unit Price'!G$1,FALSE),0)</f>
        <v>0</v>
      </c>
      <c r="J525" s="194">
        <f>IF(_1_5412845612146241046457891017456[[#This Row],[Type]]&gt;0,VLOOKUP(_1_5412845612146241046457891017456[[#This Row],[Type]],Main[[#All],[TYPE]:[UNIT]],'Unit Price'!H$1,FALSE),0)</f>
        <v>0</v>
      </c>
      <c r="K525" s="194">
        <f>IF(_1_5412845612146241046457891017456[[#This Row],[Discount selection]]&gt;0,VLOOKUP(_1_5412845612146241046457891017456[[#This Row],[Discount selection]],'Discount Structure'!$A$2:$B$30,2,"false"),0)</f>
        <v>1</v>
      </c>
      <c r="L525" s="194">
        <f>_1_5412845612146241046457891017456[[#This Row],[LIST $]]*_1_5412845612146241046457891017456[[#This Row],[DISCOUNT]]*_1_5412845612146241046457891017456[[#This Row],[DISCOUNT 2]]</f>
        <v>0</v>
      </c>
      <c r="M525" s="194">
        <f>IF(OR(_1_5412845612146241046457891017456[[#This Row],[UNIT]]&gt;0,_1_5412845612146241046457891017456[[#This Row],[UNIT]]&lt;0),_1_5412845612146241046457891017456[[#This Row],[UNIT]]*_1_5412845612146241046457891017456[[#This Row],[COST]],0)</f>
        <v>0</v>
      </c>
      <c r="N525" s="194">
        <f t="shared" si="8"/>
        <v>1.3</v>
      </c>
      <c r="O525" s="198">
        <f>_1_5412845612146241046457891017456[[#This Row],[TOTAL]]*_1_5412845612146241046457891017456[[#This Row],[MARGIN]]</f>
        <v>0</v>
      </c>
      <c r="R525" s="41"/>
    </row>
    <row r="526" spans="1:18">
      <c r="D526" s="188"/>
      <c r="F526" s="168" t="s">
        <v>6202</v>
      </c>
      <c r="G526" s="193">
        <f>IF(_1_5412845612146241046457891017456[[#This Row],[Type]]&gt;0,VLOOKUP(_1_5412845612146241046457891017456[[#This Row],[Type]],Main[[#All],[TYPE]:[UNIT]],'Unit Price'!C$1,FALSE),0)</f>
        <v>0</v>
      </c>
      <c r="H526" s="197">
        <f>IF(_1_5412845612146241046457891017456[[#This Row],[Type]]&gt;0,VLOOKUP(_1_5412845612146241046457891017456[[#This Row],[Type]],Main[[#All],[TYPE]:[UNIT]],'Unit Price'!D$1,FALSE),0)</f>
        <v>0</v>
      </c>
      <c r="I526" s="194">
        <f>IF(_1_5412845612146241046457891017456[[#This Row],[Type]]&gt;0,VLOOKUP(_1_5412845612146241046457891017456[[#This Row],[Type]],Main[[#All],[TYPE]:[UNIT]],'Unit Price'!G$1,FALSE),0)</f>
        <v>0</v>
      </c>
      <c r="J526" s="194">
        <f>IF(_1_5412845612146241046457891017456[[#This Row],[Type]]&gt;0,VLOOKUP(_1_5412845612146241046457891017456[[#This Row],[Type]],Main[[#All],[TYPE]:[UNIT]],'Unit Price'!H$1,FALSE),0)</f>
        <v>0</v>
      </c>
      <c r="K526" s="194">
        <f>IF(_1_5412845612146241046457891017456[[#This Row],[Discount selection]]&gt;0,VLOOKUP(_1_5412845612146241046457891017456[[#This Row],[Discount selection]],'Discount Structure'!$A$2:$B$30,2,"false"),0)</f>
        <v>1</v>
      </c>
      <c r="L526" s="194">
        <f>_1_5412845612146241046457891017456[[#This Row],[LIST $]]*_1_5412845612146241046457891017456[[#This Row],[DISCOUNT]]*_1_5412845612146241046457891017456[[#This Row],[DISCOUNT 2]]</f>
        <v>0</v>
      </c>
      <c r="M526" s="194">
        <f>IF(OR(_1_5412845612146241046457891017456[[#This Row],[UNIT]]&gt;0,_1_5412845612146241046457891017456[[#This Row],[UNIT]]&lt;0),_1_5412845612146241046457891017456[[#This Row],[UNIT]]*_1_5412845612146241046457891017456[[#This Row],[COST]],0)</f>
        <v>0</v>
      </c>
      <c r="N526" s="194">
        <f t="shared" si="8"/>
        <v>1.3</v>
      </c>
      <c r="O526" s="198">
        <f>_1_5412845612146241046457891017456[[#This Row],[TOTAL]]*_1_5412845612146241046457891017456[[#This Row],[MARGIN]]</f>
        <v>0</v>
      </c>
      <c r="R526" s="41"/>
    </row>
    <row r="527" spans="1:18">
      <c r="D527" s="188"/>
      <c r="F527" s="168" t="s">
        <v>6202</v>
      </c>
      <c r="G527" s="193">
        <f>IF(_1_5412845612146241046457891017456[[#This Row],[Type]]&gt;0,VLOOKUP(_1_5412845612146241046457891017456[[#This Row],[Type]],Main[[#All],[TYPE]:[UNIT]],'Unit Price'!C$1,FALSE),0)</f>
        <v>0</v>
      </c>
      <c r="H527" s="197">
        <f>IF(_1_5412845612146241046457891017456[[#This Row],[Type]]&gt;0,VLOOKUP(_1_5412845612146241046457891017456[[#This Row],[Type]],Main[[#All],[TYPE]:[UNIT]],'Unit Price'!D$1,FALSE),0)</f>
        <v>0</v>
      </c>
      <c r="I527" s="194">
        <f>IF(_1_5412845612146241046457891017456[[#This Row],[Type]]&gt;0,VLOOKUP(_1_5412845612146241046457891017456[[#This Row],[Type]],Main[[#All],[TYPE]:[UNIT]],'Unit Price'!G$1,FALSE),0)</f>
        <v>0</v>
      </c>
      <c r="J527" s="194">
        <f>IF(_1_5412845612146241046457891017456[[#This Row],[Type]]&gt;0,VLOOKUP(_1_5412845612146241046457891017456[[#This Row],[Type]],Main[[#All],[TYPE]:[UNIT]],'Unit Price'!H$1,FALSE),0)</f>
        <v>0</v>
      </c>
      <c r="K527" s="194">
        <f>IF(_1_5412845612146241046457891017456[[#This Row],[Discount selection]]&gt;0,VLOOKUP(_1_5412845612146241046457891017456[[#This Row],[Discount selection]],'Discount Structure'!$A$2:$B$30,2,"false"),0)</f>
        <v>1</v>
      </c>
      <c r="L527" s="194">
        <f>_1_5412845612146241046457891017456[[#This Row],[LIST $]]*_1_5412845612146241046457891017456[[#This Row],[DISCOUNT]]*_1_5412845612146241046457891017456[[#This Row],[DISCOUNT 2]]</f>
        <v>0</v>
      </c>
      <c r="M527" s="194">
        <f>IF(OR(_1_5412845612146241046457891017456[[#This Row],[UNIT]]&gt;0,_1_5412845612146241046457891017456[[#This Row],[UNIT]]&lt;0),_1_5412845612146241046457891017456[[#This Row],[UNIT]]*_1_5412845612146241046457891017456[[#This Row],[COST]],0)</f>
        <v>0</v>
      </c>
      <c r="N527" s="194">
        <f t="shared" si="8"/>
        <v>1.3</v>
      </c>
      <c r="O527" s="198">
        <f>_1_5412845612146241046457891017456[[#This Row],[TOTAL]]*_1_5412845612146241046457891017456[[#This Row],[MARGIN]]</f>
        <v>0</v>
      </c>
      <c r="R527" s="41"/>
    </row>
    <row r="528" spans="1:18">
      <c r="D528" s="188"/>
      <c r="F528" s="168" t="s">
        <v>6202</v>
      </c>
      <c r="G528" s="193">
        <f>IF(_1_5412845612146241046457891017456[[#This Row],[Type]]&gt;0,VLOOKUP(_1_5412845612146241046457891017456[[#This Row],[Type]],Main[[#All],[TYPE]:[UNIT]],'Unit Price'!C$1,FALSE),0)</f>
        <v>0</v>
      </c>
      <c r="H528" s="197">
        <f>IF(_1_5412845612146241046457891017456[[#This Row],[Type]]&gt;0,VLOOKUP(_1_5412845612146241046457891017456[[#This Row],[Type]],Main[[#All],[TYPE]:[UNIT]],'Unit Price'!D$1,FALSE),0)</f>
        <v>0</v>
      </c>
      <c r="I528" s="194">
        <f>IF(_1_5412845612146241046457891017456[[#This Row],[Type]]&gt;0,VLOOKUP(_1_5412845612146241046457891017456[[#This Row],[Type]],Main[[#All],[TYPE]:[UNIT]],'Unit Price'!G$1,FALSE),0)</f>
        <v>0</v>
      </c>
      <c r="J528" s="194">
        <f>IF(_1_5412845612146241046457891017456[[#This Row],[Type]]&gt;0,VLOOKUP(_1_5412845612146241046457891017456[[#This Row],[Type]],Main[[#All],[TYPE]:[UNIT]],'Unit Price'!H$1,FALSE),0)</f>
        <v>0</v>
      </c>
      <c r="K528" s="194">
        <f>IF(_1_5412845612146241046457891017456[[#This Row],[Discount selection]]&gt;0,VLOOKUP(_1_5412845612146241046457891017456[[#This Row],[Discount selection]],'Discount Structure'!$A$2:$B$30,2,"false"),0)</f>
        <v>1</v>
      </c>
      <c r="L528" s="194">
        <f>_1_5412845612146241046457891017456[[#This Row],[LIST $]]*_1_5412845612146241046457891017456[[#This Row],[DISCOUNT]]*_1_5412845612146241046457891017456[[#This Row],[DISCOUNT 2]]</f>
        <v>0</v>
      </c>
      <c r="M528" s="194">
        <f>IF(OR(_1_5412845612146241046457891017456[[#This Row],[UNIT]]&gt;0,_1_5412845612146241046457891017456[[#This Row],[UNIT]]&lt;0),_1_5412845612146241046457891017456[[#This Row],[UNIT]]*_1_5412845612146241046457891017456[[#This Row],[COST]],0)</f>
        <v>0</v>
      </c>
      <c r="N528" s="194">
        <f t="shared" si="8"/>
        <v>1.3</v>
      </c>
      <c r="O528" s="198">
        <f>_1_5412845612146241046457891017456[[#This Row],[TOTAL]]*_1_5412845612146241046457891017456[[#This Row],[MARGIN]]</f>
        <v>0</v>
      </c>
      <c r="R528" s="41"/>
    </row>
    <row r="529" spans="1:18">
      <c r="D529" s="188"/>
      <c r="F529" s="168" t="s">
        <v>6202</v>
      </c>
      <c r="G529" s="193">
        <f>IF(_1_5412845612146241046457891017456[[#This Row],[Type]]&gt;0,VLOOKUP(_1_5412845612146241046457891017456[[#This Row],[Type]],Main[[#All],[TYPE]:[UNIT]],'Unit Price'!C$1,FALSE),0)</f>
        <v>0</v>
      </c>
      <c r="H529" s="197">
        <f>IF(_1_5412845612146241046457891017456[[#This Row],[Type]]&gt;0,VLOOKUP(_1_5412845612146241046457891017456[[#This Row],[Type]],Main[[#All],[TYPE]:[UNIT]],'Unit Price'!D$1,FALSE),0)</f>
        <v>0</v>
      </c>
      <c r="I529" s="194">
        <f>IF(_1_5412845612146241046457891017456[[#This Row],[Type]]&gt;0,VLOOKUP(_1_5412845612146241046457891017456[[#This Row],[Type]],Main[[#All],[TYPE]:[UNIT]],'Unit Price'!G$1,FALSE),0)</f>
        <v>0</v>
      </c>
      <c r="J529" s="194">
        <f>IF(_1_5412845612146241046457891017456[[#This Row],[Type]]&gt;0,VLOOKUP(_1_5412845612146241046457891017456[[#This Row],[Type]],Main[[#All],[TYPE]:[UNIT]],'Unit Price'!H$1,FALSE),0)</f>
        <v>0</v>
      </c>
      <c r="K529" s="194">
        <f>IF(_1_5412845612146241046457891017456[[#This Row],[Discount selection]]&gt;0,VLOOKUP(_1_5412845612146241046457891017456[[#This Row],[Discount selection]],'Discount Structure'!$A$2:$B$30,2,"false"),0)</f>
        <v>1</v>
      </c>
      <c r="L529" s="194">
        <f>_1_5412845612146241046457891017456[[#This Row],[LIST $]]*_1_5412845612146241046457891017456[[#This Row],[DISCOUNT]]*_1_5412845612146241046457891017456[[#This Row],[DISCOUNT 2]]</f>
        <v>0</v>
      </c>
      <c r="M529" s="194">
        <f>IF(OR(_1_5412845612146241046457891017456[[#This Row],[UNIT]]&gt;0,_1_5412845612146241046457891017456[[#This Row],[UNIT]]&lt;0),_1_5412845612146241046457891017456[[#This Row],[UNIT]]*_1_5412845612146241046457891017456[[#This Row],[COST]],0)</f>
        <v>0</v>
      </c>
      <c r="N529" s="194">
        <f t="shared" si="8"/>
        <v>1.3</v>
      </c>
      <c r="O529" s="198">
        <f>_1_5412845612146241046457891017456[[#This Row],[TOTAL]]*_1_5412845612146241046457891017456[[#This Row],[MARGIN]]</f>
        <v>0</v>
      </c>
      <c r="R529" s="41"/>
    </row>
    <row r="530" spans="1:18">
      <c r="D530" s="188"/>
      <c r="F530" s="168" t="s">
        <v>6202</v>
      </c>
      <c r="G530" s="193">
        <f>IF(_1_5412845612146241046457891017456[[#This Row],[Type]]&gt;0,VLOOKUP(_1_5412845612146241046457891017456[[#This Row],[Type]],Main[[#All],[TYPE]:[UNIT]],'Unit Price'!C$1,FALSE),0)</f>
        <v>0</v>
      </c>
      <c r="H530" s="197">
        <f>IF(_1_5412845612146241046457891017456[[#This Row],[Type]]&gt;0,VLOOKUP(_1_5412845612146241046457891017456[[#This Row],[Type]],Main[[#All],[TYPE]:[UNIT]],'Unit Price'!D$1,FALSE),0)</f>
        <v>0</v>
      </c>
      <c r="I530" s="194">
        <f>IF(_1_5412845612146241046457891017456[[#This Row],[Type]]&gt;0,VLOOKUP(_1_5412845612146241046457891017456[[#This Row],[Type]],Main[[#All],[TYPE]:[UNIT]],'Unit Price'!G$1,FALSE),0)</f>
        <v>0</v>
      </c>
      <c r="J530" s="194">
        <f>IF(_1_5412845612146241046457891017456[[#This Row],[Type]]&gt;0,VLOOKUP(_1_5412845612146241046457891017456[[#This Row],[Type]],Main[[#All],[TYPE]:[UNIT]],'Unit Price'!H$1,FALSE),0)</f>
        <v>0</v>
      </c>
      <c r="K530" s="194">
        <f>IF(_1_5412845612146241046457891017456[[#This Row],[Discount selection]]&gt;0,VLOOKUP(_1_5412845612146241046457891017456[[#This Row],[Discount selection]],'Discount Structure'!$A$2:$B$30,2,"false"),0)</f>
        <v>1</v>
      </c>
      <c r="L530" s="194">
        <f>_1_5412845612146241046457891017456[[#This Row],[LIST $]]*_1_5412845612146241046457891017456[[#This Row],[DISCOUNT]]*_1_5412845612146241046457891017456[[#This Row],[DISCOUNT 2]]</f>
        <v>0</v>
      </c>
      <c r="M530" s="194">
        <f>IF(OR(_1_5412845612146241046457891017456[[#This Row],[UNIT]]&gt;0,_1_5412845612146241046457891017456[[#This Row],[UNIT]]&lt;0),_1_5412845612146241046457891017456[[#This Row],[UNIT]]*_1_5412845612146241046457891017456[[#This Row],[COST]],0)</f>
        <v>0</v>
      </c>
      <c r="N530" s="194">
        <f t="shared" si="8"/>
        <v>1.3</v>
      </c>
      <c r="O530" s="198">
        <f>_1_5412845612146241046457891017456[[#This Row],[TOTAL]]*_1_5412845612146241046457891017456[[#This Row],[MARGIN]]</f>
        <v>0</v>
      </c>
      <c r="R530" s="41"/>
    </row>
    <row r="531" spans="1:18">
      <c r="A531" s="168"/>
      <c r="D531" s="188"/>
      <c r="F531" s="168" t="s">
        <v>6202</v>
      </c>
      <c r="G531" s="193">
        <f>IF(_1_5412845612146241046457891017456[[#This Row],[Type]]&gt;0,VLOOKUP(_1_5412845612146241046457891017456[[#This Row],[Type]],Main[[#All],[TYPE]:[UNIT]],'Unit Price'!C$1,FALSE),0)</f>
        <v>0</v>
      </c>
      <c r="H531" s="197">
        <f>IF(_1_5412845612146241046457891017456[[#This Row],[Type]]&gt;0,VLOOKUP(_1_5412845612146241046457891017456[[#This Row],[Type]],Main[[#All],[TYPE]:[UNIT]],'Unit Price'!D$1,FALSE),0)</f>
        <v>0</v>
      </c>
      <c r="I531" s="194">
        <f>IF(_1_5412845612146241046457891017456[[#This Row],[Type]]&gt;0,VLOOKUP(_1_5412845612146241046457891017456[[#This Row],[Type]],Main[[#All],[TYPE]:[UNIT]],'Unit Price'!G$1,FALSE),0)</f>
        <v>0</v>
      </c>
      <c r="J531" s="194">
        <f>IF(_1_5412845612146241046457891017456[[#This Row],[Type]]&gt;0,VLOOKUP(_1_5412845612146241046457891017456[[#This Row],[Type]],Main[[#All],[TYPE]:[UNIT]],'Unit Price'!H$1,FALSE),0)</f>
        <v>0</v>
      </c>
      <c r="K531" s="194">
        <f>IF(_1_5412845612146241046457891017456[[#This Row],[Discount selection]]&gt;0,VLOOKUP(_1_5412845612146241046457891017456[[#This Row],[Discount selection]],'Discount Structure'!$A$2:$B$30,2,"false"),0)</f>
        <v>1</v>
      </c>
      <c r="L531" s="194">
        <f>_1_5412845612146241046457891017456[[#This Row],[LIST $]]*_1_5412845612146241046457891017456[[#This Row],[DISCOUNT]]*_1_5412845612146241046457891017456[[#This Row],[DISCOUNT 2]]</f>
        <v>0</v>
      </c>
      <c r="M531" s="194">
        <f>IF(OR(_1_5412845612146241046457891017456[[#This Row],[UNIT]]&gt;0,_1_5412845612146241046457891017456[[#This Row],[UNIT]]&lt;0),_1_5412845612146241046457891017456[[#This Row],[UNIT]]*_1_5412845612146241046457891017456[[#This Row],[COST]],0)</f>
        <v>0</v>
      </c>
      <c r="N531" s="194">
        <f t="shared" si="8"/>
        <v>1.3</v>
      </c>
      <c r="O531" s="198">
        <f>_1_5412845612146241046457891017456[[#This Row],[TOTAL]]*_1_5412845612146241046457891017456[[#This Row],[MARGIN]]</f>
        <v>0</v>
      </c>
      <c r="R531" s="41"/>
    </row>
    <row r="532" spans="1:18">
      <c r="D532" s="188"/>
      <c r="F532" s="168" t="s">
        <v>6202</v>
      </c>
      <c r="G532" s="193">
        <f>IF(_1_5412845612146241046457891017456[[#This Row],[Type]]&gt;0,VLOOKUP(_1_5412845612146241046457891017456[[#This Row],[Type]],Main[[#All],[TYPE]:[UNIT]],'Unit Price'!C$1,FALSE),0)</f>
        <v>0</v>
      </c>
      <c r="H532" s="197">
        <f>IF(_1_5412845612146241046457891017456[[#This Row],[Type]]&gt;0,VLOOKUP(_1_5412845612146241046457891017456[[#This Row],[Type]],Main[[#All],[TYPE]:[UNIT]],'Unit Price'!D$1,FALSE),0)</f>
        <v>0</v>
      </c>
      <c r="I532" s="194">
        <f>IF(_1_5412845612146241046457891017456[[#This Row],[Type]]&gt;0,VLOOKUP(_1_5412845612146241046457891017456[[#This Row],[Type]],Main[[#All],[TYPE]:[UNIT]],'Unit Price'!G$1,FALSE),0)</f>
        <v>0</v>
      </c>
      <c r="J532" s="194">
        <f>IF(_1_5412845612146241046457891017456[[#This Row],[Type]]&gt;0,VLOOKUP(_1_5412845612146241046457891017456[[#This Row],[Type]],Main[[#All],[TYPE]:[UNIT]],'Unit Price'!H$1,FALSE),0)</f>
        <v>0</v>
      </c>
      <c r="K532" s="194">
        <f>IF(_1_5412845612146241046457891017456[[#This Row],[Discount selection]]&gt;0,VLOOKUP(_1_5412845612146241046457891017456[[#This Row],[Discount selection]],'Discount Structure'!$A$2:$B$30,2,"false"),0)</f>
        <v>1</v>
      </c>
      <c r="L532" s="194">
        <f>_1_5412845612146241046457891017456[[#This Row],[LIST $]]*_1_5412845612146241046457891017456[[#This Row],[DISCOUNT]]*_1_5412845612146241046457891017456[[#This Row],[DISCOUNT 2]]</f>
        <v>0</v>
      </c>
      <c r="M532" s="194">
        <f>IF(OR(_1_5412845612146241046457891017456[[#This Row],[UNIT]]&gt;0,_1_5412845612146241046457891017456[[#This Row],[UNIT]]&lt;0),_1_5412845612146241046457891017456[[#This Row],[UNIT]]*_1_5412845612146241046457891017456[[#This Row],[COST]],0)</f>
        <v>0</v>
      </c>
      <c r="N532" s="194">
        <f t="shared" si="8"/>
        <v>1.3</v>
      </c>
      <c r="O532" s="198">
        <f>_1_5412845612146241046457891017456[[#This Row],[TOTAL]]*_1_5412845612146241046457891017456[[#This Row],[MARGIN]]</f>
        <v>0</v>
      </c>
      <c r="R532" s="41"/>
    </row>
    <row r="533" spans="1:18">
      <c r="D533" s="188"/>
      <c r="F533" s="168" t="s">
        <v>6202</v>
      </c>
      <c r="G533" s="193">
        <f>IF(_1_5412845612146241046457891017456[[#This Row],[Type]]&gt;0,VLOOKUP(_1_5412845612146241046457891017456[[#This Row],[Type]],Main[[#All],[TYPE]:[UNIT]],'Unit Price'!C$1,FALSE),0)</f>
        <v>0</v>
      </c>
      <c r="H533" s="197">
        <f>IF(_1_5412845612146241046457891017456[[#This Row],[Type]]&gt;0,VLOOKUP(_1_5412845612146241046457891017456[[#This Row],[Type]],Main[[#All],[TYPE]:[UNIT]],'Unit Price'!D$1,FALSE),0)</f>
        <v>0</v>
      </c>
      <c r="I533" s="194">
        <f>IF(_1_5412845612146241046457891017456[[#This Row],[Type]]&gt;0,VLOOKUP(_1_5412845612146241046457891017456[[#This Row],[Type]],Main[[#All],[TYPE]:[UNIT]],'Unit Price'!G$1,FALSE),0)</f>
        <v>0</v>
      </c>
      <c r="J533" s="194">
        <f>IF(_1_5412845612146241046457891017456[[#This Row],[Type]]&gt;0,VLOOKUP(_1_5412845612146241046457891017456[[#This Row],[Type]],Main[[#All],[TYPE]:[UNIT]],'Unit Price'!H$1,FALSE),0)</f>
        <v>0</v>
      </c>
      <c r="K533" s="194">
        <f>IF(_1_5412845612146241046457891017456[[#This Row],[Discount selection]]&gt;0,VLOOKUP(_1_5412845612146241046457891017456[[#This Row],[Discount selection]],'Discount Structure'!$A$2:$B$30,2,"false"),0)</f>
        <v>1</v>
      </c>
      <c r="L533" s="194">
        <f>_1_5412845612146241046457891017456[[#This Row],[LIST $]]*_1_5412845612146241046457891017456[[#This Row],[DISCOUNT]]*_1_5412845612146241046457891017456[[#This Row],[DISCOUNT 2]]</f>
        <v>0</v>
      </c>
      <c r="M533" s="194">
        <f>IF(OR(_1_5412845612146241046457891017456[[#This Row],[UNIT]]&gt;0,_1_5412845612146241046457891017456[[#This Row],[UNIT]]&lt;0),_1_5412845612146241046457891017456[[#This Row],[UNIT]]*_1_5412845612146241046457891017456[[#This Row],[COST]],0)</f>
        <v>0</v>
      </c>
      <c r="N533" s="194">
        <f t="shared" si="8"/>
        <v>1.3</v>
      </c>
      <c r="O533" s="198">
        <f>_1_5412845612146241046457891017456[[#This Row],[TOTAL]]*_1_5412845612146241046457891017456[[#This Row],[MARGIN]]</f>
        <v>0</v>
      </c>
      <c r="R533" s="41"/>
    </row>
    <row r="534" spans="1:18">
      <c r="D534" s="188"/>
      <c r="F534" s="168" t="s">
        <v>6202</v>
      </c>
      <c r="G534" s="193">
        <f>IF(_1_5412845612146241046457891017456[[#This Row],[Type]]&gt;0,VLOOKUP(_1_5412845612146241046457891017456[[#This Row],[Type]],Main[[#All],[TYPE]:[UNIT]],'Unit Price'!C$1,FALSE),0)</f>
        <v>0</v>
      </c>
      <c r="H534" s="197">
        <f>IF(_1_5412845612146241046457891017456[[#This Row],[Type]]&gt;0,VLOOKUP(_1_5412845612146241046457891017456[[#This Row],[Type]],Main[[#All],[TYPE]:[UNIT]],'Unit Price'!D$1,FALSE),0)</f>
        <v>0</v>
      </c>
      <c r="I534" s="194">
        <f>IF(_1_5412845612146241046457891017456[[#This Row],[Type]]&gt;0,VLOOKUP(_1_5412845612146241046457891017456[[#This Row],[Type]],Main[[#All],[TYPE]:[UNIT]],'Unit Price'!G$1,FALSE),0)</f>
        <v>0</v>
      </c>
      <c r="J534" s="194">
        <f>IF(_1_5412845612146241046457891017456[[#This Row],[Type]]&gt;0,VLOOKUP(_1_5412845612146241046457891017456[[#This Row],[Type]],Main[[#All],[TYPE]:[UNIT]],'Unit Price'!H$1,FALSE),0)</f>
        <v>0</v>
      </c>
      <c r="K534" s="194">
        <f>IF(_1_5412845612146241046457891017456[[#This Row],[Discount selection]]&gt;0,VLOOKUP(_1_5412845612146241046457891017456[[#This Row],[Discount selection]],'Discount Structure'!$A$2:$B$30,2,"false"),0)</f>
        <v>1</v>
      </c>
      <c r="L534" s="194">
        <f>_1_5412845612146241046457891017456[[#This Row],[LIST $]]*_1_5412845612146241046457891017456[[#This Row],[DISCOUNT]]*_1_5412845612146241046457891017456[[#This Row],[DISCOUNT 2]]</f>
        <v>0</v>
      </c>
      <c r="M534" s="194">
        <f>IF(OR(_1_5412845612146241046457891017456[[#This Row],[UNIT]]&gt;0,_1_5412845612146241046457891017456[[#This Row],[UNIT]]&lt;0),_1_5412845612146241046457891017456[[#This Row],[UNIT]]*_1_5412845612146241046457891017456[[#This Row],[COST]],0)</f>
        <v>0</v>
      </c>
      <c r="N534" s="194">
        <f t="shared" si="8"/>
        <v>1.3</v>
      </c>
      <c r="O534" s="198">
        <f>_1_5412845612146241046457891017456[[#This Row],[TOTAL]]*_1_5412845612146241046457891017456[[#This Row],[MARGIN]]</f>
        <v>0</v>
      </c>
      <c r="R534" s="41"/>
    </row>
    <row r="535" spans="1:18">
      <c r="A535" s="168"/>
      <c r="D535" s="188"/>
      <c r="F535" s="168" t="s">
        <v>6202</v>
      </c>
      <c r="G535" s="193">
        <f>IF(_1_5412845612146241046457891017456[[#This Row],[Type]]&gt;0,VLOOKUP(_1_5412845612146241046457891017456[[#This Row],[Type]],Main[[#All],[TYPE]:[UNIT]],'Unit Price'!C$1,FALSE),0)</f>
        <v>0</v>
      </c>
      <c r="H535" s="197">
        <f>IF(_1_5412845612146241046457891017456[[#This Row],[Type]]&gt;0,VLOOKUP(_1_5412845612146241046457891017456[[#This Row],[Type]],Main[[#All],[TYPE]:[UNIT]],'Unit Price'!D$1,FALSE),0)</f>
        <v>0</v>
      </c>
      <c r="I535" s="194">
        <f>IF(_1_5412845612146241046457891017456[[#This Row],[Type]]&gt;0,VLOOKUP(_1_5412845612146241046457891017456[[#This Row],[Type]],Main[[#All],[TYPE]:[UNIT]],'Unit Price'!G$1,FALSE),0)</f>
        <v>0</v>
      </c>
      <c r="J535" s="194">
        <f>IF(_1_5412845612146241046457891017456[[#This Row],[Type]]&gt;0,VLOOKUP(_1_5412845612146241046457891017456[[#This Row],[Type]],Main[[#All],[TYPE]:[UNIT]],'Unit Price'!H$1,FALSE),0)</f>
        <v>0</v>
      </c>
      <c r="K535" s="194">
        <f>IF(_1_5412845612146241046457891017456[[#This Row],[Discount selection]]&gt;0,VLOOKUP(_1_5412845612146241046457891017456[[#This Row],[Discount selection]],'Discount Structure'!$A$2:$B$30,2,"false"),0)</f>
        <v>1</v>
      </c>
      <c r="L535" s="194">
        <f>_1_5412845612146241046457891017456[[#This Row],[LIST $]]*_1_5412845612146241046457891017456[[#This Row],[DISCOUNT]]*_1_5412845612146241046457891017456[[#This Row],[DISCOUNT 2]]</f>
        <v>0</v>
      </c>
      <c r="M535" s="194">
        <f>IF(OR(_1_5412845612146241046457891017456[[#This Row],[UNIT]]&gt;0,_1_5412845612146241046457891017456[[#This Row],[UNIT]]&lt;0),_1_5412845612146241046457891017456[[#This Row],[UNIT]]*_1_5412845612146241046457891017456[[#This Row],[COST]],0)</f>
        <v>0</v>
      </c>
      <c r="N535" s="194">
        <f t="shared" si="8"/>
        <v>1.3</v>
      </c>
      <c r="O535" s="198">
        <f>_1_5412845612146241046457891017456[[#This Row],[TOTAL]]*_1_5412845612146241046457891017456[[#This Row],[MARGIN]]</f>
        <v>0</v>
      </c>
      <c r="R535" s="41"/>
    </row>
    <row r="536" spans="1:18">
      <c r="D536" s="188"/>
      <c r="F536" s="168" t="s">
        <v>6202</v>
      </c>
      <c r="G536" s="193">
        <f>IF(_1_5412845612146241046457891017456[[#This Row],[Type]]&gt;0,VLOOKUP(_1_5412845612146241046457891017456[[#This Row],[Type]],Main[[#All],[TYPE]:[UNIT]],'Unit Price'!C$1,FALSE),0)</f>
        <v>0</v>
      </c>
      <c r="H536" s="197">
        <f>IF(_1_5412845612146241046457891017456[[#This Row],[Type]]&gt;0,VLOOKUP(_1_5412845612146241046457891017456[[#This Row],[Type]],Main[[#All],[TYPE]:[UNIT]],'Unit Price'!D$1,FALSE),0)</f>
        <v>0</v>
      </c>
      <c r="I536" s="194">
        <f>IF(_1_5412845612146241046457891017456[[#This Row],[Type]]&gt;0,VLOOKUP(_1_5412845612146241046457891017456[[#This Row],[Type]],Main[[#All],[TYPE]:[UNIT]],'Unit Price'!G$1,FALSE),0)</f>
        <v>0</v>
      </c>
      <c r="J536" s="194">
        <f>IF(_1_5412845612146241046457891017456[[#This Row],[Type]]&gt;0,VLOOKUP(_1_5412845612146241046457891017456[[#This Row],[Type]],Main[[#All],[TYPE]:[UNIT]],'Unit Price'!H$1,FALSE),0)</f>
        <v>0</v>
      </c>
      <c r="K536" s="194">
        <f>IF(_1_5412845612146241046457891017456[[#This Row],[Discount selection]]&gt;0,VLOOKUP(_1_5412845612146241046457891017456[[#This Row],[Discount selection]],'Discount Structure'!$A$2:$B$30,2,"false"),0)</f>
        <v>1</v>
      </c>
      <c r="L536" s="194">
        <f>_1_5412845612146241046457891017456[[#This Row],[LIST $]]*_1_5412845612146241046457891017456[[#This Row],[DISCOUNT]]*_1_5412845612146241046457891017456[[#This Row],[DISCOUNT 2]]</f>
        <v>0</v>
      </c>
      <c r="M536" s="194">
        <f>IF(OR(_1_5412845612146241046457891017456[[#This Row],[UNIT]]&gt;0,_1_5412845612146241046457891017456[[#This Row],[UNIT]]&lt;0),_1_5412845612146241046457891017456[[#This Row],[UNIT]]*_1_5412845612146241046457891017456[[#This Row],[COST]],0)</f>
        <v>0</v>
      </c>
      <c r="N536" s="194">
        <f t="shared" si="8"/>
        <v>1.3</v>
      </c>
      <c r="O536" s="198">
        <f>_1_5412845612146241046457891017456[[#This Row],[TOTAL]]*_1_5412845612146241046457891017456[[#This Row],[MARGIN]]</f>
        <v>0</v>
      </c>
      <c r="R536" s="41"/>
    </row>
    <row r="537" spans="1:18">
      <c r="D537" s="188"/>
      <c r="F537" s="168" t="s">
        <v>6202</v>
      </c>
      <c r="G537" s="193">
        <f>IF(_1_5412845612146241046457891017456[[#This Row],[Type]]&gt;0,VLOOKUP(_1_5412845612146241046457891017456[[#This Row],[Type]],Main[[#All],[TYPE]:[UNIT]],'Unit Price'!C$1,FALSE),0)</f>
        <v>0</v>
      </c>
      <c r="H537" s="197">
        <f>IF(_1_5412845612146241046457891017456[[#This Row],[Type]]&gt;0,VLOOKUP(_1_5412845612146241046457891017456[[#This Row],[Type]],Main[[#All],[TYPE]:[UNIT]],'Unit Price'!D$1,FALSE),0)</f>
        <v>0</v>
      </c>
      <c r="I537" s="194">
        <f>IF(_1_5412845612146241046457891017456[[#This Row],[Type]]&gt;0,VLOOKUP(_1_5412845612146241046457891017456[[#This Row],[Type]],Main[[#All],[TYPE]:[UNIT]],'Unit Price'!G$1,FALSE),0)</f>
        <v>0</v>
      </c>
      <c r="J537" s="194">
        <f>IF(_1_5412845612146241046457891017456[[#This Row],[Type]]&gt;0,VLOOKUP(_1_5412845612146241046457891017456[[#This Row],[Type]],Main[[#All],[TYPE]:[UNIT]],'Unit Price'!H$1,FALSE),0)</f>
        <v>0</v>
      </c>
      <c r="K537" s="194">
        <f>IF(_1_5412845612146241046457891017456[[#This Row],[Discount selection]]&gt;0,VLOOKUP(_1_5412845612146241046457891017456[[#This Row],[Discount selection]],'Discount Structure'!$A$2:$B$30,2,"false"),0)</f>
        <v>1</v>
      </c>
      <c r="L537" s="194">
        <f>_1_5412845612146241046457891017456[[#This Row],[LIST $]]*_1_5412845612146241046457891017456[[#This Row],[DISCOUNT]]*_1_5412845612146241046457891017456[[#This Row],[DISCOUNT 2]]</f>
        <v>0</v>
      </c>
      <c r="M537" s="194">
        <f>IF(OR(_1_5412845612146241046457891017456[[#This Row],[UNIT]]&gt;0,_1_5412845612146241046457891017456[[#This Row],[UNIT]]&lt;0),_1_5412845612146241046457891017456[[#This Row],[UNIT]]*_1_5412845612146241046457891017456[[#This Row],[COST]],0)</f>
        <v>0</v>
      </c>
      <c r="N537" s="194">
        <f t="shared" si="8"/>
        <v>1.3</v>
      </c>
      <c r="O537" s="198">
        <f>_1_5412845612146241046457891017456[[#This Row],[TOTAL]]*_1_5412845612146241046457891017456[[#This Row],[MARGIN]]</f>
        <v>0</v>
      </c>
      <c r="R537" s="41"/>
    </row>
    <row r="538" spans="1:18">
      <c r="A538" s="168"/>
      <c r="D538" s="188"/>
      <c r="F538" s="168" t="s">
        <v>6202</v>
      </c>
      <c r="G538" s="193">
        <f>IF(_1_5412845612146241046457891017456[[#This Row],[Type]]&gt;0,VLOOKUP(_1_5412845612146241046457891017456[[#This Row],[Type]],Main[[#All],[TYPE]:[UNIT]],'Unit Price'!C$1,FALSE),0)</f>
        <v>0</v>
      </c>
      <c r="H538" s="197">
        <f>IF(_1_5412845612146241046457891017456[[#This Row],[Type]]&gt;0,VLOOKUP(_1_5412845612146241046457891017456[[#This Row],[Type]],Main[[#All],[TYPE]:[UNIT]],'Unit Price'!D$1,FALSE),0)</f>
        <v>0</v>
      </c>
      <c r="I538" s="194">
        <f>IF(_1_5412845612146241046457891017456[[#This Row],[Type]]&gt;0,VLOOKUP(_1_5412845612146241046457891017456[[#This Row],[Type]],Main[[#All],[TYPE]:[UNIT]],'Unit Price'!G$1,FALSE),0)</f>
        <v>0</v>
      </c>
      <c r="J538" s="194">
        <f>IF(_1_5412845612146241046457891017456[[#This Row],[Type]]&gt;0,VLOOKUP(_1_5412845612146241046457891017456[[#This Row],[Type]],Main[[#All],[TYPE]:[UNIT]],'Unit Price'!H$1,FALSE),0)</f>
        <v>0</v>
      </c>
      <c r="K538" s="194">
        <f>IF(_1_5412845612146241046457891017456[[#This Row],[Discount selection]]&gt;0,VLOOKUP(_1_5412845612146241046457891017456[[#This Row],[Discount selection]],'Discount Structure'!$A$2:$B$30,2,"false"),0)</f>
        <v>1</v>
      </c>
      <c r="L538" s="194">
        <f>_1_5412845612146241046457891017456[[#This Row],[LIST $]]*_1_5412845612146241046457891017456[[#This Row],[DISCOUNT]]*_1_5412845612146241046457891017456[[#This Row],[DISCOUNT 2]]</f>
        <v>0</v>
      </c>
      <c r="M538" s="194">
        <f>IF(OR(_1_5412845612146241046457891017456[[#This Row],[UNIT]]&gt;0,_1_5412845612146241046457891017456[[#This Row],[UNIT]]&lt;0),_1_5412845612146241046457891017456[[#This Row],[UNIT]]*_1_5412845612146241046457891017456[[#This Row],[COST]],0)</f>
        <v>0</v>
      </c>
      <c r="N538" s="194">
        <f t="shared" si="8"/>
        <v>1.3</v>
      </c>
      <c r="O538" s="198">
        <f>_1_5412845612146241046457891017456[[#This Row],[TOTAL]]*_1_5412845612146241046457891017456[[#This Row],[MARGIN]]</f>
        <v>0</v>
      </c>
      <c r="R538" s="41"/>
    </row>
    <row r="539" spans="1:18">
      <c r="D539" s="188"/>
      <c r="F539" s="168" t="s">
        <v>6202</v>
      </c>
      <c r="G539" s="193">
        <f>IF(_1_5412845612146241046457891017456[[#This Row],[Type]]&gt;0,VLOOKUP(_1_5412845612146241046457891017456[[#This Row],[Type]],Main[[#All],[TYPE]:[UNIT]],'Unit Price'!C$1,FALSE),0)</f>
        <v>0</v>
      </c>
      <c r="H539" s="197">
        <f>IF(_1_5412845612146241046457891017456[[#This Row],[Type]]&gt;0,VLOOKUP(_1_5412845612146241046457891017456[[#This Row],[Type]],Main[[#All],[TYPE]:[UNIT]],'Unit Price'!D$1,FALSE),0)</f>
        <v>0</v>
      </c>
      <c r="I539" s="194">
        <f>IF(_1_5412845612146241046457891017456[[#This Row],[Type]]&gt;0,VLOOKUP(_1_5412845612146241046457891017456[[#This Row],[Type]],Main[[#All],[TYPE]:[UNIT]],'Unit Price'!G$1,FALSE),0)</f>
        <v>0</v>
      </c>
      <c r="J539" s="194">
        <f>IF(_1_5412845612146241046457891017456[[#This Row],[Type]]&gt;0,VLOOKUP(_1_5412845612146241046457891017456[[#This Row],[Type]],Main[[#All],[TYPE]:[UNIT]],'Unit Price'!H$1,FALSE),0)</f>
        <v>0</v>
      </c>
      <c r="K539" s="194">
        <f>IF(_1_5412845612146241046457891017456[[#This Row],[Discount selection]]&gt;0,VLOOKUP(_1_5412845612146241046457891017456[[#This Row],[Discount selection]],'Discount Structure'!$A$2:$B$30,2,"false"),0)</f>
        <v>1</v>
      </c>
      <c r="L539" s="194">
        <f>_1_5412845612146241046457891017456[[#This Row],[LIST $]]*_1_5412845612146241046457891017456[[#This Row],[DISCOUNT]]*_1_5412845612146241046457891017456[[#This Row],[DISCOUNT 2]]</f>
        <v>0</v>
      </c>
      <c r="M539" s="194">
        <f>IF(OR(_1_5412845612146241046457891017456[[#This Row],[UNIT]]&gt;0,_1_5412845612146241046457891017456[[#This Row],[UNIT]]&lt;0),_1_5412845612146241046457891017456[[#This Row],[UNIT]]*_1_5412845612146241046457891017456[[#This Row],[COST]],0)</f>
        <v>0</v>
      </c>
      <c r="N539" s="194">
        <f t="shared" si="8"/>
        <v>1.3</v>
      </c>
      <c r="O539" s="198">
        <f>_1_5412845612146241046457891017456[[#This Row],[TOTAL]]*_1_5412845612146241046457891017456[[#This Row],[MARGIN]]</f>
        <v>0</v>
      </c>
      <c r="R539" s="41"/>
    </row>
    <row r="540" spans="1:18">
      <c r="D540" s="188"/>
      <c r="F540" s="168" t="s">
        <v>6202</v>
      </c>
      <c r="G540" s="193">
        <f>IF(_1_5412845612146241046457891017456[[#This Row],[Type]]&gt;0,VLOOKUP(_1_5412845612146241046457891017456[[#This Row],[Type]],Main[[#All],[TYPE]:[UNIT]],'Unit Price'!C$1,FALSE),0)</f>
        <v>0</v>
      </c>
      <c r="H540" s="197">
        <f>IF(_1_5412845612146241046457891017456[[#This Row],[Type]]&gt;0,VLOOKUP(_1_5412845612146241046457891017456[[#This Row],[Type]],Main[[#All],[TYPE]:[UNIT]],'Unit Price'!D$1,FALSE),0)</f>
        <v>0</v>
      </c>
      <c r="I540" s="194">
        <f>IF(_1_5412845612146241046457891017456[[#This Row],[Type]]&gt;0,VLOOKUP(_1_5412845612146241046457891017456[[#This Row],[Type]],Main[[#All],[TYPE]:[UNIT]],'Unit Price'!G$1,FALSE),0)</f>
        <v>0</v>
      </c>
      <c r="J540" s="194">
        <f>IF(_1_5412845612146241046457891017456[[#This Row],[Type]]&gt;0,VLOOKUP(_1_5412845612146241046457891017456[[#This Row],[Type]],Main[[#All],[TYPE]:[UNIT]],'Unit Price'!H$1,FALSE),0)</f>
        <v>0</v>
      </c>
      <c r="K540" s="194">
        <f>IF(_1_5412845612146241046457891017456[[#This Row],[Discount selection]]&gt;0,VLOOKUP(_1_5412845612146241046457891017456[[#This Row],[Discount selection]],'Discount Structure'!$A$2:$B$30,2,"false"),0)</f>
        <v>1</v>
      </c>
      <c r="L540" s="194">
        <f>_1_5412845612146241046457891017456[[#This Row],[LIST $]]*_1_5412845612146241046457891017456[[#This Row],[DISCOUNT]]*_1_5412845612146241046457891017456[[#This Row],[DISCOUNT 2]]</f>
        <v>0</v>
      </c>
      <c r="M540" s="194">
        <f>IF(OR(_1_5412845612146241046457891017456[[#This Row],[UNIT]]&gt;0,_1_5412845612146241046457891017456[[#This Row],[UNIT]]&lt;0),_1_5412845612146241046457891017456[[#This Row],[UNIT]]*_1_5412845612146241046457891017456[[#This Row],[COST]],0)</f>
        <v>0</v>
      </c>
      <c r="N540" s="194">
        <f t="shared" si="8"/>
        <v>1.3</v>
      </c>
      <c r="O540" s="198">
        <f>_1_5412845612146241046457891017456[[#This Row],[TOTAL]]*_1_5412845612146241046457891017456[[#This Row],[MARGIN]]</f>
        <v>0</v>
      </c>
      <c r="R540" s="41"/>
    </row>
    <row r="541" spans="1:18">
      <c r="D541" s="188"/>
      <c r="F541" s="168" t="s">
        <v>6202</v>
      </c>
      <c r="G541" s="193">
        <f>IF(_1_5412845612146241046457891017456[[#This Row],[Type]]&gt;0,VLOOKUP(_1_5412845612146241046457891017456[[#This Row],[Type]],Main[[#All],[TYPE]:[UNIT]],'Unit Price'!C$1,FALSE),0)</f>
        <v>0</v>
      </c>
      <c r="H541" s="197">
        <f>IF(_1_5412845612146241046457891017456[[#This Row],[Type]]&gt;0,VLOOKUP(_1_5412845612146241046457891017456[[#This Row],[Type]],Main[[#All],[TYPE]:[UNIT]],'Unit Price'!D$1,FALSE),0)</f>
        <v>0</v>
      </c>
      <c r="I541" s="194">
        <f>IF(_1_5412845612146241046457891017456[[#This Row],[Type]]&gt;0,VLOOKUP(_1_5412845612146241046457891017456[[#This Row],[Type]],Main[[#All],[TYPE]:[UNIT]],'Unit Price'!G$1,FALSE),0)</f>
        <v>0</v>
      </c>
      <c r="J541" s="194">
        <f>IF(_1_5412845612146241046457891017456[[#This Row],[Type]]&gt;0,VLOOKUP(_1_5412845612146241046457891017456[[#This Row],[Type]],Main[[#All],[TYPE]:[UNIT]],'Unit Price'!H$1,FALSE),0)</f>
        <v>0</v>
      </c>
      <c r="K541" s="194">
        <f>IF(_1_5412845612146241046457891017456[[#This Row],[Discount selection]]&gt;0,VLOOKUP(_1_5412845612146241046457891017456[[#This Row],[Discount selection]],'Discount Structure'!$A$2:$B$30,2,"false"),0)</f>
        <v>1</v>
      </c>
      <c r="L541" s="194">
        <f>_1_5412845612146241046457891017456[[#This Row],[LIST $]]*_1_5412845612146241046457891017456[[#This Row],[DISCOUNT]]*_1_5412845612146241046457891017456[[#This Row],[DISCOUNT 2]]</f>
        <v>0</v>
      </c>
      <c r="M541" s="194">
        <f>IF(OR(_1_5412845612146241046457891017456[[#This Row],[UNIT]]&gt;0,_1_5412845612146241046457891017456[[#This Row],[UNIT]]&lt;0),_1_5412845612146241046457891017456[[#This Row],[UNIT]]*_1_5412845612146241046457891017456[[#This Row],[COST]],0)</f>
        <v>0</v>
      </c>
      <c r="N541" s="194">
        <f t="shared" si="8"/>
        <v>1.3</v>
      </c>
      <c r="O541" s="198">
        <f>_1_5412845612146241046457891017456[[#This Row],[TOTAL]]*_1_5412845612146241046457891017456[[#This Row],[MARGIN]]</f>
        <v>0</v>
      </c>
      <c r="R541" s="41"/>
    </row>
    <row r="542" spans="1:18">
      <c r="D542" s="188"/>
      <c r="F542" s="168" t="s">
        <v>6202</v>
      </c>
      <c r="G542" s="193">
        <f>IF(_1_5412845612146241046457891017456[[#This Row],[Type]]&gt;0,VLOOKUP(_1_5412845612146241046457891017456[[#This Row],[Type]],Main[[#All],[TYPE]:[UNIT]],'Unit Price'!C$1,FALSE),0)</f>
        <v>0</v>
      </c>
      <c r="H542" s="197">
        <f>IF(_1_5412845612146241046457891017456[[#This Row],[Type]]&gt;0,VLOOKUP(_1_5412845612146241046457891017456[[#This Row],[Type]],Main[[#All],[TYPE]:[UNIT]],'Unit Price'!D$1,FALSE),0)</f>
        <v>0</v>
      </c>
      <c r="I542" s="194">
        <f>IF(_1_5412845612146241046457891017456[[#This Row],[Type]]&gt;0,VLOOKUP(_1_5412845612146241046457891017456[[#This Row],[Type]],Main[[#All],[TYPE]:[UNIT]],'Unit Price'!G$1,FALSE),0)</f>
        <v>0</v>
      </c>
      <c r="J542" s="194">
        <f>IF(_1_5412845612146241046457891017456[[#This Row],[Type]]&gt;0,VLOOKUP(_1_5412845612146241046457891017456[[#This Row],[Type]],Main[[#All],[TYPE]:[UNIT]],'Unit Price'!H$1,FALSE),0)</f>
        <v>0</v>
      </c>
      <c r="K542" s="194">
        <f>IF(_1_5412845612146241046457891017456[[#This Row],[Discount selection]]&gt;0,VLOOKUP(_1_5412845612146241046457891017456[[#This Row],[Discount selection]],'Discount Structure'!$A$2:$B$30,2,"false"),0)</f>
        <v>1</v>
      </c>
      <c r="L542" s="194">
        <f>_1_5412845612146241046457891017456[[#This Row],[LIST $]]*_1_5412845612146241046457891017456[[#This Row],[DISCOUNT]]*_1_5412845612146241046457891017456[[#This Row],[DISCOUNT 2]]</f>
        <v>0</v>
      </c>
      <c r="M542" s="194">
        <f>IF(OR(_1_5412845612146241046457891017456[[#This Row],[UNIT]]&gt;0,_1_5412845612146241046457891017456[[#This Row],[UNIT]]&lt;0),_1_5412845612146241046457891017456[[#This Row],[UNIT]]*_1_5412845612146241046457891017456[[#This Row],[COST]],0)</f>
        <v>0</v>
      </c>
      <c r="N542" s="194">
        <f t="shared" si="8"/>
        <v>1.3</v>
      </c>
      <c r="O542" s="198">
        <f>_1_5412845612146241046457891017456[[#This Row],[TOTAL]]*_1_5412845612146241046457891017456[[#This Row],[MARGIN]]</f>
        <v>0</v>
      </c>
      <c r="R542" s="41"/>
    </row>
    <row r="543" spans="1:18">
      <c r="A543" s="168"/>
      <c r="D543" s="188"/>
      <c r="F543" s="168" t="s">
        <v>6202</v>
      </c>
      <c r="G543" s="193">
        <f>IF(_1_5412845612146241046457891017456[[#This Row],[Type]]&gt;0,VLOOKUP(_1_5412845612146241046457891017456[[#This Row],[Type]],Main[[#All],[TYPE]:[UNIT]],'Unit Price'!C$1,FALSE),0)</f>
        <v>0</v>
      </c>
      <c r="H543" s="197">
        <f>IF(_1_5412845612146241046457891017456[[#This Row],[Type]]&gt;0,VLOOKUP(_1_5412845612146241046457891017456[[#This Row],[Type]],Main[[#All],[TYPE]:[UNIT]],'Unit Price'!D$1,FALSE),0)</f>
        <v>0</v>
      </c>
      <c r="I543" s="194">
        <f>IF(_1_5412845612146241046457891017456[[#This Row],[Type]]&gt;0,VLOOKUP(_1_5412845612146241046457891017456[[#This Row],[Type]],Main[[#All],[TYPE]:[UNIT]],'Unit Price'!G$1,FALSE),0)</f>
        <v>0</v>
      </c>
      <c r="J543" s="194">
        <f>IF(_1_5412845612146241046457891017456[[#This Row],[Type]]&gt;0,VLOOKUP(_1_5412845612146241046457891017456[[#This Row],[Type]],Main[[#All],[TYPE]:[UNIT]],'Unit Price'!H$1,FALSE),0)</f>
        <v>0</v>
      </c>
      <c r="K543" s="194">
        <f>IF(_1_5412845612146241046457891017456[[#This Row],[Discount selection]]&gt;0,VLOOKUP(_1_5412845612146241046457891017456[[#This Row],[Discount selection]],'Discount Structure'!$A$2:$B$30,2,"false"),0)</f>
        <v>1</v>
      </c>
      <c r="L543" s="194">
        <f>_1_5412845612146241046457891017456[[#This Row],[LIST $]]*_1_5412845612146241046457891017456[[#This Row],[DISCOUNT]]*_1_5412845612146241046457891017456[[#This Row],[DISCOUNT 2]]</f>
        <v>0</v>
      </c>
      <c r="M543" s="194">
        <f>IF(OR(_1_5412845612146241046457891017456[[#This Row],[UNIT]]&gt;0,_1_5412845612146241046457891017456[[#This Row],[UNIT]]&lt;0),_1_5412845612146241046457891017456[[#This Row],[UNIT]]*_1_5412845612146241046457891017456[[#This Row],[COST]],0)</f>
        <v>0</v>
      </c>
      <c r="N543" s="194">
        <f t="shared" si="8"/>
        <v>1.3</v>
      </c>
      <c r="O543" s="198">
        <f>_1_5412845612146241046457891017456[[#This Row],[TOTAL]]*_1_5412845612146241046457891017456[[#This Row],[MARGIN]]</f>
        <v>0</v>
      </c>
      <c r="R543" s="41"/>
    </row>
    <row r="544" spans="1:18">
      <c r="D544" s="188"/>
      <c r="F544" s="168" t="s">
        <v>6202</v>
      </c>
      <c r="G544" s="193">
        <f>IF(_1_5412845612146241046457891017456[[#This Row],[Type]]&gt;0,VLOOKUP(_1_5412845612146241046457891017456[[#This Row],[Type]],Main[[#All],[TYPE]:[UNIT]],'Unit Price'!C$1,FALSE),0)</f>
        <v>0</v>
      </c>
      <c r="H544" s="197">
        <f>IF(_1_5412845612146241046457891017456[[#This Row],[Type]]&gt;0,VLOOKUP(_1_5412845612146241046457891017456[[#This Row],[Type]],Main[[#All],[TYPE]:[UNIT]],'Unit Price'!D$1,FALSE),0)</f>
        <v>0</v>
      </c>
      <c r="I544" s="194">
        <f>IF(_1_5412845612146241046457891017456[[#This Row],[Type]]&gt;0,VLOOKUP(_1_5412845612146241046457891017456[[#This Row],[Type]],Main[[#All],[TYPE]:[UNIT]],'Unit Price'!G$1,FALSE),0)</f>
        <v>0</v>
      </c>
      <c r="J544" s="194">
        <f>IF(_1_5412845612146241046457891017456[[#This Row],[Type]]&gt;0,VLOOKUP(_1_5412845612146241046457891017456[[#This Row],[Type]],Main[[#All],[TYPE]:[UNIT]],'Unit Price'!H$1,FALSE),0)</f>
        <v>0</v>
      </c>
      <c r="K544" s="194">
        <f>IF(_1_5412845612146241046457891017456[[#This Row],[Discount selection]]&gt;0,VLOOKUP(_1_5412845612146241046457891017456[[#This Row],[Discount selection]],'Discount Structure'!$A$2:$B$30,2,"false"),0)</f>
        <v>1</v>
      </c>
      <c r="L544" s="194">
        <f>_1_5412845612146241046457891017456[[#This Row],[LIST $]]*_1_5412845612146241046457891017456[[#This Row],[DISCOUNT]]*_1_5412845612146241046457891017456[[#This Row],[DISCOUNT 2]]</f>
        <v>0</v>
      </c>
      <c r="M544" s="194">
        <f>IF(OR(_1_5412845612146241046457891017456[[#This Row],[UNIT]]&gt;0,_1_5412845612146241046457891017456[[#This Row],[UNIT]]&lt;0),_1_5412845612146241046457891017456[[#This Row],[UNIT]]*_1_5412845612146241046457891017456[[#This Row],[COST]],0)</f>
        <v>0</v>
      </c>
      <c r="N544" s="194">
        <f t="shared" si="8"/>
        <v>1.3</v>
      </c>
      <c r="O544" s="198">
        <f>_1_5412845612146241046457891017456[[#This Row],[TOTAL]]*_1_5412845612146241046457891017456[[#This Row],[MARGIN]]</f>
        <v>0</v>
      </c>
      <c r="R544" s="41"/>
    </row>
    <row r="545" spans="1:18">
      <c r="D545" s="188"/>
      <c r="F545" s="168" t="s">
        <v>6202</v>
      </c>
      <c r="G545" s="193">
        <f>IF(_1_5412845612146241046457891017456[[#This Row],[Type]]&gt;0,VLOOKUP(_1_5412845612146241046457891017456[[#This Row],[Type]],Main[[#All],[TYPE]:[UNIT]],'Unit Price'!C$1,FALSE),0)</f>
        <v>0</v>
      </c>
      <c r="H545" s="197">
        <f>IF(_1_5412845612146241046457891017456[[#This Row],[Type]]&gt;0,VLOOKUP(_1_5412845612146241046457891017456[[#This Row],[Type]],Main[[#All],[TYPE]:[UNIT]],'Unit Price'!D$1,FALSE),0)</f>
        <v>0</v>
      </c>
      <c r="I545" s="194">
        <f>IF(_1_5412845612146241046457891017456[[#This Row],[Type]]&gt;0,VLOOKUP(_1_5412845612146241046457891017456[[#This Row],[Type]],Main[[#All],[TYPE]:[UNIT]],'Unit Price'!G$1,FALSE),0)</f>
        <v>0</v>
      </c>
      <c r="J545" s="194">
        <f>IF(_1_5412845612146241046457891017456[[#This Row],[Type]]&gt;0,VLOOKUP(_1_5412845612146241046457891017456[[#This Row],[Type]],Main[[#All],[TYPE]:[UNIT]],'Unit Price'!H$1,FALSE),0)</f>
        <v>0</v>
      </c>
      <c r="K545" s="194">
        <f>IF(_1_5412845612146241046457891017456[[#This Row],[Discount selection]]&gt;0,VLOOKUP(_1_5412845612146241046457891017456[[#This Row],[Discount selection]],'Discount Structure'!$A$2:$B$30,2,"false"),0)</f>
        <v>1</v>
      </c>
      <c r="L545" s="194">
        <f>_1_5412845612146241046457891017456[[#This Row],[LIST $]]*_1_5412845612146241046457891017456[[#This Row],[DISCOUNT]]*_1_5412845612146241046457891017456[[#This Row],[DISCOUNT 2]]</f>
        <v>0</v>
      </c>
      <c r="M545" s="194">
        <f>IF(OR(_1_5412845612146241046457891017456[[#This Row],[UNIT]]&gt;0,_1_5412845612146241046457891017456[[#This Row],[UNIT]]&lt;0),_1_5412845612146241046457891017456[[#This Row],[UNIT]]*_1_5412845612146241046457891017456[[#This Row],[COST]],0)</f>
        <v>0</v>
      </c>
      <c r="N545" s="194">
        <f t="shared" si="8"/>
        <v>1.3</v>
      </c>
      <c r="O545" s="198">
        <f>_1_5412845612146241046457891017456[[#This Row],[TOTAL]]*_1_5412845612146241046457891017456[[#This Row],[MARGIN]]</f>
        <v>0</v>
      </c>
      <c r="R545" s="41"/>
    </row>
    <row r="546" spans="1:18">
      <c r="D546" s="188"/>
      <c r="F546" s="168" t="s">
        <v>6202</v>
      </c>
      <c r="G546" s="193">
        <f>IF(_1_5412845612146241046457891017456[[#This Row],[Type]]&gt;0,VLOOKUP(_1_5412845612146241046457891017456[[#This Row],[Type]],Main[[#All],[TYPE]:[UNIT]],'Unit Price'!C$1,FALSE),0)</f>
        <v>0</v>
      </c>
      <c r="H546" s="197">
        <f>IF(_1_5412845612146241046457891017456[[#This Row],[Type]]&gt;0,VLOOKUP(_1_5412845612146241046457891017456[[#This Row],[Type]],Main[[#All],[TYPE]:[UNIT]],'Unit Price'!D$1,FALSE),0)</f>
        <v>0</v>
      </c>
      <c r="I546" s="194">
        <f>IF(_1_5412845612146241046457891017456[[#This Row],[Type]]&gt;0,VLOOKUP(_1_5412845612146241046457891017456[[#This Row],[Type]],Main[[#All],[TYPE]:[UNIT]],'Unit Price'!G$1,FALSE),0)</f>
        <v>0</v>
      </c>
      <c r="J546" s="194">
        <f>IF(_1_5412845612146241046457891017456[[#This Row],[Type]]&gt;0,VLOOKUP(_1_5412845612146241046457891017456[[#This Row],[Type]],Main[[#All],[TYPE]:[UNIT]],'Unit Price'!H$1,FALSE),0)</f>
        <v>0</v>
      </c>
      <c r="K546" s="194">
        <f>IF(_1_5412845612146241046457891017456[[#This Row],[Discount selection]]&gt;0,VLOOKUP(_1_5412845612146241046457891017456[[#This Row],[Discount selection]],'Discount Structure'!$A$2:$B$30,2,"false"),0)</f>
        <v>1</v>
      </c>
      <c r="L546" s="194">
        <f>_1_5412845612146241046457891017456[[#This Row],[LIST $]]*_1_5412845612146241046457891017456[[#This Row],[DISCOUNT]]*_1_5412845612146241046457891017456[[#This Row],[DISCOUNT 2]]</f>
        <v>0</v>
      </c>
      <c r="M546" s="194">
        <f>IF(OR(_1_5412845612146241046457891017456[[#This Row],[UNIT]]&gt;0,_1_5412845612146241046457891017456[[#This Row],[UNIT]]&lt;0),_1_5412845612146241046457891017456[[#This Row],[UNIT]]*_1_5412845612146241046457891017456[[#This Row],[COST]],0)</f>
        <v>0</v>
      </c>
      <c r="N546" s="194">
        <f t="shared" si="8"/>
        <v>1.3</v>
      </c>
      <c r="O546" s="198">
        <f>_1_5412845612146241046457891017456[[#This Row],[TOTAL]]*_1_5412845612146241046457891017456[[#This Row],[MARGIN]]</f>
        <v>0</v>
      </c>
      <c r="R546" s="41"/>
    </row>
    <row r="547" spans="1:18">
      <c r="D547" s="188"/>
      <c r="F547" s="168" t="s">
        <v>6202</v>
      </c>
      <c r="G547" s="193">
        <f>IF(_1_5412845612146241046457891017456[[#This Row],[Type]]&gt;0,VLOOKUP(_1_5412845612146241046457891017456[[#This Row],[Type]],Main[[#All],[TYPE]:[UNIT]],'Unit Price'!C$1,FALSE),0)</f>
        <v>0</v>
      </c>
      <c r="H547" s="197">
        <f>IF(_1_5412845612146241046457891017456[[#This Row],[Type]]&gt;0,VLOOKUP(_1_5412845612146241046457891017456[[#This Row],[Type]],Main[[#All],[TYPE]:[UNIT]],'Unit Price'!D$1,FALSE),0)</f>
        <v>0</v>
      </c>
      <c r="I547" s="194">
        <f>IF(_1_5412845612146241046457891017456[[#This Row],[Type]]&gt;0,VLOOKUP(_1_5412845612146241046457891017456[[#This Row],[Type]],Main[[#All],[TYPE]:[UNIT]],'Unit Price'!G$1,FALSE),0)</f>
        <v>0</v>
      </c>
      <c r="J547" s="194">
        <f>IF(_1_5412845612146241046457891017456[[#This Row],[Type]]&gt;0,VLOOKUP(_1_5412845612146241046457891017456[[#This Row],[Type]],Main[[#All],[TYPE]:[UNIT]],'Unit Price'!H$1,FALSE),0)</f>
        <v>0</v>
      </c>
      <c r="K547" s="194">
        <f>IF(_1_5412845612146241046457891017456[[#This Row],[Discount selection]]&gt;0,VLOOKUP(_1_5412845612146241046457891017456[[#This Row],[Discount selection]],'Discount Structure'!$A$2:$B$30,2,"false"),0)</f>
        <v>1</v>
      </c>
      <c r="L547" s="194">
        <f>_1_5412845612146241046457891017456[[#This Row],[LIST $]]*_1_5412845612146241046457891017456[[#This Row],[DISCOUNT]]*_1_5412845612146241046457891017456[[#This Row],[DISCOUNT 2]]</f>
        <v>0</v>
      </c>
      <c r="M547" s="194">
        <f>IF(OR(_1_5412845612146241046457891017456[[#This Row],[UNIT]]&gt;0,_1_5412845612146241046457891017456[[#This Row],[UNIT]]&lt;0),_1_5412845612146241046457891017456[[#This Row],[UNIT]]*_1_5412845612146241046457891017456[[#This Row],[COST]],0)</f>
        <v>0</v>
      </c>
      <c r="N547" s="194">
        <f t="shared" si="8"/>
        <v>1.3</v>
      </c>
      <c r="O547" s="198">
        <f>_1_5412845612146241046457891017456[[#This Row],[TOTAL]]*_1_5412845612146241046457891017456[[#This Row],[MARGIN]]</f>
        <v>0</v>
      </c>
      <c r="R547" s="41"/>
    </row>
    <row r="548" spans="1:18">
      <c r="D548" s="188"/>
      <c r="F548" s="168" t="s">
        <v>6202</v>
      </c>
      <c r="G548" s="193">
        <f>IF(_1_5412845612146241046457891017456[[#This Row],[Type]]&gt;0,VLOOKUP(_1_5412845612146241046457891017456[[#This Row],[Type]],Main[[#All],[TYPE]:[UNIT]],'Unit Price'!C$1,FALSE),0)</f>
        <v>0</v>
      </c>
      <c r="H548" s="197">
        <f>IF(_1_5412845612146241046457891017456[[#This Row],[Type]]&gt;0,VLOOKUP(_1_5412845612146241046457891017456[[#This Row],[Type]],Main[[#All],[TYPE]:[UNIT]],'Unit Price'!D$1,FALSE),0)</f>
        <v>0</v>
      </c>
      <c r="I548" s="194">
        <f>IF(_1_5412845612146241046457891017456[[#This Row],[Type]]&gt;0,VLOOKUP(_1_5412845612146241046457891017456[[#This Row],[Type]],Main[[#All],[TYPE]:[UNIT]],'Unit Price'!G$1,FALSE),0)</f>
        <v>0</v>
      </c>
      <c r="J548" s="194">
        <f>IF(_1_5412845612146241046457891017456[[#This Row],[Type]]&gt;0,VLOOKUP(_1_5412845612146241046457891017456[[#This Row],[Type]],Main[[#All],[TYPE]:[UNIT]],'Unit Price'!H$1,FALSE),0)</f>
        <v>0</v>
      </c>
      <c r="K548" s="194">
        <f>IF(_1_5412845612146241046457891017456[[#This Row],[Discount selection]]&gt;0,VLOOKUP(_1_5412845612146241046457891017456[[#This Row],[Discount selection]],'Discount Structure'!$A$2:$B$30,2,"false"),0)</f>
        <v>1</v>
      </c>
      <c r="L548" s="194">
        <f>_1_5412845612146241046457891017456[[#This Row],[LIST $]]*_1_5412845612146241046457891017456[[#This Row],[DISCOUNT]]*_1_5412845612146241046457891017456[[#This Row],[DISCOUNT 2]]</f>
        <v>0</v>
      </c>
      <c r="M548" s="194">
        <f>IF(OR(_1_5412845612146241046457891017456[[#This Row],[UNIT]]&gt;0,_1_5412845612146241046457891017456[[#This Row],[UNIT]]&lt;0),_1_5412845612146241046457891017456[[#This Row],[UNIT]]*_1_5412845612146241046457891017456[[#This Row],[COST]],0)</f>
        <v>0</v>
      </c>
      <c r="N548" s="194">
        <f t="shared" si="8"/>
        <v>1.3</v>
      </c>
      <c r="O548" s="198">
        <f>_1_5412845612146241046457891017456[[#This Row],[TOTAL]]*_1_5412845612146241046457891017456[[#This Row],[MARGIN]]</f>
        <v>0</v>
      </c>
      <c r="R548" s="41"/>
    </row>
    <row r="549" spans="1:18">
      <c r="A549" s="168"/>
      <c r="B549" s="168"/>
      <c r="D549" s="188"/>
      <c r="F549" s="168" t="s">
        <v>6202</v>
      </c>
      <c r="G549" s="193">
        <f>IF(_1_5412845612146241046457891017456[[#This Row],[Type]]&gt;0,VLOOKUP(_1_5412845612146241046457891017456[[#This Row],[Type]],Main[[#All],[TYPE]:[UNIT]],'Unit Price'!C$1,FALSE),0)</f>
        <v>0</v>
      </c>
      <c r="H549" s="197">
        <f>IF(_1_5412845612146241046457891017456[[#This Row],[Type]]&gt;0,VLOOKUP(_1_5412845612146241046457891017456[[#This Row],[Type]],Main[[#All],[TYPE]:[UNIT]],'Unit Price'!D$1,FALSE),0)</f>
        <v>0</v>
      </c>
      <c r="I549" s="194">
        <f>IF(_1_5412845612146241046457891017456[[#This Row],[Type]]&gt;0,VLOOKUP(_1_5412845612146241046457891017456[[#This Row],[Type]],Main[[#All],[TYPE]:[UNIT]],'Unit Price'!G$1,FALSE),0)</f>
        <v>0</v>
      </c>
      <c r="J549" s="194">
        <f>IF(_1_5412845612146241046457891017456[[#This Row],[Type]]&gt;0,VLOOKUP(_1_5412845612146241046457891017456[[#This Row],[Type]],Main[[#All],[TYPE]:[UNIT]],'Unit Price'!H$1,FALSE),0)</f>
        <v>0</v>
      </c>
      <c r="K549" s="194">
        <f>IF(_1_5412845612146241046457891017456[[#This Row],[Discount selection]]&gt;0,VLOOKUP(_1_5412845612146241046457891017456[[#This Row],[Discount selection]],'Discount Structure'!$A$2:$B$30,2,"false"),0)</f>
        <v>1</v>
      </c>
      <c r="L549" s="194">
        <f>_1_5412845612146241046457891017456[[#This Row],[LIST $]]*_1_5412845612146241046457891017456[[#This Row],[DISCOUNT]]*_1_5412845612146241046457891017456[[#This Row],[DISCOUNT 2]]</f>
        <v>0</v>
      </c>
      <c r="M549" s="194">
        <f>IF(OR(_1_5412845612146241046457891017456[[#This Row],[UNIT]]&gt;0,_1_5412845612146241046457891017456[[#This Row],[UNIT]]&lt;0),_1_5412845612146241046457891017456[[#This Row],[UNIT]]*_1_5412845612146241046457891017456[[#This Row],[COST]],0)</f>
        <v>0</v>
      </c>
      <c r="N549" s="194">
        <f t="shared" si="8"/>
        <v>1.3</v>
      </c>
      <c r="O549" s="198">
        <f>_1_5412845612146241046457891017456[[#This Row],[TOTAL]]*_1_5412845612146241046457891017456[[#This Row],[MARGIN]]</f>
        <v>0</v>
      </c>
      <c r="R549" s="41"/>
    </row>
    <row r="550" spans="1:18">
      <c r="D550" s="188"/>
      <c r="F550" s="168" t="s">
        <v>6202</v>
      </c>
      <c r="G550" s="193">
        <f>IF(_1_5412845612146241046457891017456[[#This Row],[Type]]&gt;0,VLOOKUP(_1_5412845612146241046457891017456[[#This Row],[Type]],Main[[#All],[TYPE]:[UNIT]],'Unit Price'!C$1,FALSE),0)</f>
        <v>0</v>
      </c>
      <c r="H550" s="197">
        <f>IF(_1_5412845612146241046457891017456[[#This Row],[Type]]&gt;0,VLOOKUP(_1_5412845612146241046457891017456[[#This Row],[Type]],Main[[#All],[TYPE]:[UNIT]],'Unit Price'!D$1,FALSE),0)</f>
        <v>0</v>
      </c>
      <c r="I550" s="194">
        <f>IF(_1_5412845612146241046457891017456[[#This Row],[Type]]&gt;0,VLOOKUP(_1_5412845612146241046457891017456[[#This Row],[Type]],Main[[#All],[TYPE]:[UNIT]],'Unit Price'!G$1,FALSE),0)</f>
        <v>0</v>
      </c>
      <c r="J550" s="194">
        <f>IF(_1_5412845612146241046457891017456[[#This Row],[Type]]&gt;0,VLOOKUP(_1_5412845612146241046457891017456[[#This Row],[Type]],Main[[#All],[TYPE]:[UNIT]],'Unit Price'!H$1,FALSE),0)</f>
        <v>0</v>
      </c>
      <c r="K550" s="194">
        <f>IF(_1_5412845612146241046457891017456[[#This Row],[Discount selection]]&gt;0,VLOOKUP(_1_5412845612146241046457891017456[[#This Row],[Discount selection]],'Discount Structure'!$A$2:$B$30,2,"false"),0)</f>
        <v>1</v>
      </c>
      <c r="L550" s="194">
        <f>_1_5412845612146241046457891017456[[#This Row],[LIST $]]*_1_5412845612146241046457891017456[[#This Row],[DISCOUNT]]*_1_5412845612146241046457891017456[[#This Row],[DISCOUNT 2]]</f>
        <v>0</v>
      </c>
      <c r="M550" s="194">
        <f>IF(OR(_1_5412845612146241046457891017456[[#This Row],[UNIT]]&gt;0,_1_5412845612146241046457891017456[[#This Row],[UNIT]]&lt;0),_1_5412845612146241046457891017456[[#This Row],[UNIT]]*_1_5412845612146241046457891017456[[#This Row],[COST]],0)</f>
        <v>0</v>
      </c>
      <c r="N550" s="194">
        <f t="shared" si="8"/>
        <v>1.3</v>
      </c>
      <c r="O550" s="198">
        <f>_1_5412845612146241046457891017456[[#This Row],[TOTAL]]*_1_5412845612146241046457891017456[[#This Row],[MARGIN]]</f>
        <v>0</v>
      </c>
      <c r="R550" s="41"/>
    </row>
    <row r="551" spans="1:18">
      <c r="D551" s="188"/>
      <c r="F551" s="168" t="s">
        <v>6202</v>
      </c>
      <c r="G551" s="193">
        <f>IF(_1_5412845612146241046457891017456[[#This Row],[Type]]&gt;0,VLOOKUP(_1_5412845612146241046457891017456[[#This Row],[Type]],Main[[#All],[TYPE]:[UNIT]],'Unit Price'!C$1,FALSE),0)</f>
        <v>0</v>
      </c>
      <c r="H551" s="197">
        <f>IF(_1_5412845612146241046457891017456[[#This Row],[Type]]&gt;0,VLOOKUP(_1_5412845612146241046457891017456[[#This Row],[Type]],Main[[#All],[TYPE]:[UNIT]],'Unit Price'!D$1,FALSE),0)</f>
        <v>0</v>
      </c>
      <c r="I551" s="194">
        <f>IF(_1_5412845612146241046457891017456[[#This Row],[Type]]&gt;0,VLOOKUP(_1_5412845612146241046457891017456[[#This Row],[Type]],Main[[#All],[TYPE]:[UNIT]],'Unit Price'!G$1,FALSE),0)</f>
        <v>0</v>
      </c>
      <c r="J551" s="194">
        <f>IF(_1_5412845612146241046457891017456[[#This Row],[Type]]&gt;0,VLOOKUP(_1_5412845612146241046457891017456[[#This Row],[Type]],Main[[#All],[TYPE]:[UNIT]],'Unit Price'!H$1,FALSE),0)</f>
        <v>0</v>
      </c>
      <c r="K551" s="194">
        <f>IF(_1_5412845612146241046457891017456[[#This Row],[Discount selection]]&gt;0,VLOOKUP(_1_5412845612146241046457891017456[[#This Row],[Discount selection]],'Discount Structure'!$A$2:$B$30,2,"false"),0)</f>
        <v>1</v>
      </c>
      <c r="L551" s="194">
        <f>_1_5412845612146241046457891017456[[#This Row],[LIST $]]*_1_5412845612146241046457891017456[[#This Row],[DISCOUNT]]*_1_5412845612146241046457891017456[[#This Row],[DISCOUNT 2]]</f>
        <v>0</v>
      </c>
      <c r="M551" s="194">
        <f>IF(OR(_1_5412845612146241046457891017456[[#This Row],[UNIT]]&gt;0,_1_5412845612146241046457891017456[[#This Row],[UNIT]]&lt;0),_1_5412845612146241046457891017456[[#This Row],[UNIT]]*_1_5412845612146241046457891017456[[#This Row],[COST]],0)</f>
        <v>0</v>
      </c>
      <c r="N551" s="194">
        <f t="shared" si="8"/>
        <v>1.3</v>
      </c>
      <c r="O551" s="198">
        <f>_1_5412845612146241046457891017456[[#This Row],[TOTAL]]*_1_5412845612146241046457891017456[[#This Row],[MARGIN]]</f>
        <v>0</v>
      </c>
      <c r="R551" s="41"/>
    </row>
    <row r="552" spans="1:18">
      <c r="A552" s="168"/>
      <c r="D552" s="188"/>
      <c r="F552" s="168" t="s">
        <v>6202</v>
      </c>
      <c r="G552" s="193">
        <f>IF(_1_5412845612146241046457891017456[[#This Row],[Type]]&gt;0,VLOOKUP(_1_5412845612146241046457891017456[[#This Row],[Type]],Main[[#All],[TYPE]:[UNIT]],'Unit Price'!C$1,FALSE),0)</f>
        <v>0</v>
      </c>
      <c r="H552" s="197">
        <f>IF(_1_5412845612146241046457891017456[[#This Row],[Type]]&gt;0,VLOOKUP(_1_5412845612146241046457891017456[[#This Row],[Type]],Main[[#All],[TYPE]:[UNIT]],'Unit Price'!D$1,FALSE),0)</f>
        <v>0</v>
      </c>
      <c r="I552" s="194">
        <f>IF(_1_5412845612146241046457891017456[[#This Row],[Type]]&gt;0,VLOOKUP(_1_5412845612146241046457891017456[[#This Row],[Type]],Main[[#All],[TYPE]:[UNIT]],'Unit Price'!G$1,FALSE),0)</f>
        <v>0</v>
      </c>
      <c r="J552" s="194">
        <f>IF(_1_5412845612146241046457891017456[[#This Row],[Type]]&gt;0,VLOOKUP(_1_5412845612146241046457891017456[[#This Row],[Type]],Main[[#All],[TYPE]:[UNIT]],'Unit Price'!H$1,FALSE),0)</f>
        <v>0</v>
      </c>
      <c r="K552" s="194">
        <f>IF(_1_5412845612146241046457891017456[[#This Row],[Discount selection]]&gt;0,VLOOKUP(_1_5412845612146241046457891017456[[#This Row],[Discount selection]],'Discount Structure'!$A$2:$B$30,2,"false"),0)</f>
        <v>1</v>
      </c>
      <c r="L552" s="194">
        <f>_1_5412845612146241046457891017456[[#This Row],[LIST $]]*_1_5412845612146241046457891017456[[#This Row],[DISCOUNT]]*_1_5412845612146241046457891017456[[#This Row],[DISCOUNT 2]]</f>
        <v>0</v>
      </c>
      <c r="M552" s="194">
        <f>IF(OR(_1_5412845612146241046457891017456[[#This Row],[UNIT]]&gt;0,_1_5412845612146241046457891017456[[#This Row],[UNIT]]&lt;0),_1_5412845612146241046457891017456[[#This Row],[UNIT]]*_1_5412845612146241046457891017456[[#This Row],[COST]],0)</f>
        <v>0</v>
      </c>
      <c r="N552" s="194">
        <f t="shared" si="8"/>
        <v>1.3</v>
      </c>
      <c r="O552" s="198">
        <f>_1_5412845612146241046457891017456[[#This Row],[TOTAL]]*_1_5412845612146241046457891017456[[#This Row],[MARGIN]]</f>
        <v>0</v>
      </c>
      <c r="R552" s="41"/>
    </row>
    <row r="553" spans="1:18">
      <c r="D553" s="188"/>
      <c r="F553" s="168" t="s">
        <v>6202</v>
      </c>
      <c r="G553" s="193">
        <f>IF(_1_5412845612146241046457891017456[[#This Row],[Type]]&gt;0,VLOOKUP(_1_5412845612146241046457891017456[[#This Row],[Type]],Main[[#All],[TYPE]:[UNIT]],'Unit Price'!C$1,FALSE),0)</f>
        <v>0</v>
      </c>
      <c r="H553" s="197">
        <f>IF(_1_5412845612146241046457891017456[[#This Row],[Type]]&gt;0,VLOOKUP(_1_5412845612146241046457891017456[[#This Row],[Type]],Main[[#All],[TYPE]:[UNIT]],'Unit Price'!D$1,FALSE),0)</f>
        <v>0</v>
      </c>
      <c r="I553" s="194">
        <f>IF(_1_5412845612146241046457891017456[[#This Row],[Type]]&gt;0,VLOOKUP(_1_5412845612146241046457891017456[[#This Row],[Type]],Main[[#All],[TYPE]:[UNIT]],'Unit Price'!G$1,FALSE),0)</f>
        <v>0</v>
      </c>
      <c r="J553" s="194">
        <f>IF(_1_5412845612146241046457891017456[[#This Row],[Type]]&gt;0,VLOOKUP(_1_5412845612146241046457891017456[[#This Row],[Type]],Main[[#All],[TYPE]:[UNIT]],'Unit Price'!H$1,FALSE),0)</f>
        <v>0</v>
      </c>
      <c r="K553" s="194">
        <f>IF(_1_5412845612146241046457891017456[[#This Row],[Discount selection]]&gt;0,VLOOKUP(_1_5412845612146241046457891017456[[#This Row],[Discount selection]],'Discount Structure'!$A$2:$B$30,2,"false"),0)</f>
        <v>1</v>
      </c>
      <c r="L553" s="194">
        <f>_1_5412845612146241046457891017456[[#This Row],[LIST $]]*_1_5412845612146241046457891017456[[#This Row],[DISCOUNT]]*_1_5412845612146241046457891017456[[#This Row],[DISCOUNT 2]]</f>
        <v>0</v>
      </c>
      <c r="M553" s="194">
        <f>IF(OR(_1_5412845612146241046457891017456[[#This Row],[UNIT]]&gt;0,_1_5412845612146241046457891017456[[#This Row],[UNIT]]&lt;0),_1_5412845612146241046457891017456[[#This Row],[UNIT]]*_1_5412845612146241046457891017456[[#This Row],[COST]],0)</f>
        <v>0</v>
      </c>
      <c r="N553" s="194">
        <f t="shared" si="8"/>
        <v>1.3</v>
      </c>
      <c r="O553" s="198">
        <f>_1_5412845612146241046457891017456[[#This Row],[TOTAL]]*_1_5412845612146241046457891017456[[#This Row],[MARGIN]]</f>
        <v>0</v>
      </c>
      <c r="R553" s="41"/>
    </row>
    <row r="554" spans="1:18">
      <c r="D554" s="188"/>
      <c r="F554" s="168" t="s">
        <v>6202</v>
      </c>
      <c r="G554" s="193">
        <f>IF(_1_5412845612146241046457891017456[[#This Row],[Type]]&gt;0,VLOOKUP(_1_5412845612146241046457891017456[[#This Row],[Type]],Main[[#All],[TYPE]:[UNIT]],'Unit Price'!C$1,FALSE),0)</f>
        <v>0</v>
      </c>
      <c r="H554" s="197">
        <f>IF(_1_5412845612146241046457891017456[[#This Row],[Type]]&gt;0,VLOOKUP(_1_5412845612146241046457891017456[[#This Row],[Type]],Main[[#All],[TYPE]:[UNIT]],'Unit Price'!D$1,FALSE),0)</f>
        <v>0</v>
      </c>
      <c r="I554" s="194">
        <f>IF(_1_5412845612146241046457891017456[[#This Row],[Type]]&gt;0,VLOOKUP(_1_5412845612146241046457891017456[[#This Row],[Type]],Main[[#All],[TYPE]:[UNIT]],'Unit Price'!G$1,FALSE),0)</f>
        <v>0</v>
      </c>
      <c r="J554" s="194">
        <f>IF(_1_5412845612146241046457891017456[[#This Row],[Type]]&gt;0,VLOOKUP(_1_5412845612146241046457891017456[[#This Row],[Type]],Main[[#All],[TYPE]:[UNIT]],'Unit Price'!H$1,FALSE),0)</f>
        <v>0</v>
      </c>
      <c r="K554" s="194">
        <f>IF(_1_5412845612146241046457891017456[[#This Row],[Discount selection]]&gt;0,VLOOKUP(_1_5412845612146241046457891017456[[#This Row],[Discount selection]],'Discount Structure'!$A$2:$B$30,2,"false"),0)</f>
        <v>1</v>
      </c>
      <c r="L554" s="194">
        <f>_1_5412845612146241046457891017456[[#This Row],[LIST $]]*_1_5412845612146241046457891017456[[#This Row],[DISCOUNT]]*_1_5412845612146241046457891017456[[#This Row],[DISCOUNT 2]]</f>
        <v>0</v>
      </c>
      <c r="M554" s="194">
        <f>IF(OR(_1_5412845612146241046457891017456[[#This Row],[UNIT]]&gt;0,_1_5412845612146241046457891017456[[#This Row],[UNIT]]&lt;0),_1_5412845612146241046457891017456[[#This Row],[UNIT]]*_1_5412845612146241046457891017456[[#This Row],[COST]],0)</f>
        <v>0</v>
      </c>
      <c r="N554" s="194">
        <f t="shared" si="8"/>
        <v>1.3</v>
      </c>
      <c r="O554" s="198">
        <f>_1_5412845612146241046457891017456[[#This Row],[TOTAL]]*_1_5412845612146241046457891017456[[#This Row],[MARGIN]]</f>
        <v>0</v>
      </c>
      <c r="R554" s="41"/>
    </row>
    <row r="555" spans="1:18">
      <c r="D555" s="188"/>
      <c r="F555" s="168" t="s">
        <v>6202</v>
      </c>
      <c r="G555" s="193">
        <f>IF(_1_5412845612146241046457891017456[[#This Row],[Type]]&gt;0,VLOOKUP(_1_5412845612146241046457891017456[[#This Row],[Type]],Main[[#All],[TYPE]:[UNIT]],'Unit Price'!C$1,FALSE),0)</f>
        <v>0</v>
      </c>
      <c r="H555" s="197">
        <f>IF(_1_5412845612146241046457891017456[[#This Row],[Type]]&gt;0,VLOOKUP(_1_5412845612146241046457891017456[[#This Row],[Type]],Main[[#All],[TYPE]:[UNIT]],'Unit Price'!D$1,FALSE),0)</f>
        <v>0</v>
      </c>
      <c r="I555" s="194">
        <f>IF(_1_5412845612146241046457891017456[[#This Row],[Type]]&gt;0,VLOOKUP(_1_5412845612146241046457891017456[[#This Row],[Type]],Main[[#All],[TYPE]:[UNIT]],'Unit Price'!G$1,FALSE),0)</f>
        <v>0</v>
      </c>
      <c r="J555" s="194">
        <f>IF(_1_5412845612146241046457891017456[[#This Row],[Type]]&gt;0,VLOOKUP(_1_5412845612146241046457891017456[[#This Row],[Type]],Main[[#All],[TYPE]:[UNIT]],'Unit Price'!H$1,FALSE),0)</f>
        <v>0</v>
      </c>
      <c r="K555" s="194">
        <f>IF(_1_5412845612146241046457891017456[[#This Row],[Discount selection]]&gt;0,VLOOKUP(_1_5412845612146241046457891017456[[#This Row],[Discount selection]],'Discount Structure'!$A$2:$B$30,2,"false"),0)</f>
        <v>1</v>
      </c>
      <c r="L555" s="194">
        <f>_1_5412845612146241046457891017456[[#This Row],[LIST $]]*_1_5412845612146241046457891017456[[#This Row],[DISCOUNT]]*_1_5412845612146241046457891017456[[#This Row],[DISCOUNT 2]]</f>
        <v>0</v>
      </c>
      <c r="M555" s="194">
        <f>IF(OR(_1_5412845612146241046457891017456[[#This Row],[UNIT]]&gt;0,_1_5412845612146241046457891017456[[#This Row],[UNIT]]&lt;0),_1_5412845612146241046457891017456[[#This Row],[UNIT]]*_1_5412845612146241046457891017456[[#This Row],[COST]],0)</f>
        <v>0</v>
      </c>
      <c r="N555" s="194">
        <f t="shared" si="8"/>
        <v>1.3</v>
      </c>
      <c r="O555" s="198">
        <f>_1_5412845612146241046457891017456[[#This Row],[TOTAL]]*_1_5412845612146241046457891017456[[#This Row],[MARGIN]]</f>
        <v>0</v>
      </c>
      <c r="R555" s="41"/>
    </row>
    <row r="556" spans="1:18">
      <c r="D556" s="188"/>
      <c r="F556" s="168" t="s">
        <v>6202</v>
      </c>
      <c r="G556" s="193">
        <f>IF(_1_5412845612146241046457891017456[[#This Row],[Type]]&gt;0,VLOOKUP(_1_5412845612146241046457891017456[[#This Row],[Type]],Main[[#All],[TYPE]:[UNIT]],'Unit Price'!C$1,FALSE),0)</f>
        <v>0</v>
      </c>
      <c r="H556" s="197">
        <f>IF(_1_5412845612146241046457891017456[[#This Row],[Type]]&gt;0,VLOOKUP(_1_5412845612146241046457891017456[[#This Row],[Type]],Main[[#All],[TYPE]:[UNIT]],'Unit Price'!D$1,FALSE),0)</f>
        <v>0</v>
      </c>
      <c r="I556" s="194">
        <f>IF(_1_5412845612146241046457891017456[[#This Row],[Type]]&gt;0,VLOOKUP(_1_5412845612146241046457891017456[[#This Row],[Type]],Main[[#All],[TYPE]:[UNIT]],'Unit Price'!G$1,FALSE),0)</f>
        <v>0</v>
      </c>
      <c r="J556" s="194">
        <f>IF(_1_5412845612146241046457891017456[[#This Row],[Type]]&gt;0,VLOOKUP(_1_5412845612146241046457891017456[[#This Row],[Type]],Main[[#All],[TYPE]:[UNIT]],'Unit Price'!H$1,FALSE),0)</f>
        <v>0</v>
      </c>
      <c r="K556" s="194">
        <f>IF(_1_5412845612146241046457891017456[[#This Row],[Discount selection]]&gt;0,VLOOKUP(_1_5412845612146241046457891017456[[#This Row],[Discount selection]],'Discount Structure'!$A$2:$B$30,2,"false"),0)</f>
        <v>1</v>
      </c>
      <c r="L556" s="194">
        <f>_1_5412845612146241046457891017456[[#This Row],[LIST $]]*_1_5412845612146241046457891017456[[#This Row],[DISCOUNT]]*_1_5412845612146241046457891017456[[#This Row],[DISCOUNT 2]]</f>
        <v>0</v>
      </c>
      <c r="M556" s="194">
        <f>IF(OR(_1_5412845612146241046457891017456[[#This Row],[UNIT]]&gt;0,_1_5412845612146241046457891017456[[#This Row],[UNIT]]&lt;0),_1_5412845612146241046457891017456[[#This Row],[UNIT]]*_1_5412845612146241046457891017456[[#This Row],[COST]],0)</f>
        <v>0</v>
      </c>
      <c r="N556" s="194">
        <f t="shared" si="8"/>
        <v>1.3</v>
      </c>
      <c r="O556" s="198">
        <f>_1_5412845612146241046457891017456[[#This Row],[TOTAL]]*_1_5412845612146241046457891017456[[#This Row],[MARGIN]]</f>
        <v>0</v>
      </c>
      <c r="R556" s="41"/>
    </row>
    <row r="557" spans="1:18">
      <c r="D557" s="188"/>
      <c r="F557" s="168" t="s">
        <v>6202</v>
      </c>
      <c r="G557" s="193">
        <f>IF(_1_5412845612146241046457891017456[[#This Row],[Type]]&gt;0,VLOOKUP(_1_5412845612146241046457891017456[[#This Row],[Type]],Main[[#All],[TYPE]:[UNIT]],'Unit Price'!C$1,FALSE),0)</f>
        <v>0</v>
      </c>
      <c r="H557" s="197">
        <f>IF(_1_5412845612146241046457891017456[[#This Row],[Type]]&gt;0,VLOOKUP(_1_5412845612146241046457891017456[[#This Row],[Type]],Main[[#All],[TYPE]:[UNIT]],'Unit Price'!D$1,FALSE),0)</f>
        <v>0</v>
      </c>
      <c r="I557" s="194">
        <f>IF(_1_5412845612146241046457891017456[[#This Row],[Type]]&gt;0,VLOOKUP(_1_5412845612146241046457891017456[[#This Row],[Type]],Main[[#All],[TYPE]:[UNIT]],'Unit Price'!G$1,FALSE),0)</f>
        <v>0</v>
      </c>
      <c r="J557" s="194">
        <f>IF(_1_5412845612146241046457891017456[[#This Row],[Type]]&gt;0,VLOOKUP(_1_5412845612146241046457891017456[[#This Row],[Type]],Main[[#All],[TYPE]:[UNIT]],'Unit Price'!H$1,FALSE),0)</f>
        <v>0</v>
      </c>
      <c r="K557" s="194">
        <f>IF(_1_5412845612146241046457891017456[[#This Row],[Discount selection]]&gt;0,VLOOKUP(_1_5412845612146241046457891017456[[#This Row],[Discount selection]],'Discount Structure'!$A$2:$B$30,2,"false"),0)</f>
        <v>1</v>
      </c>
      <c r="L557" s="194">
        <f>_1_5412845612146241046457891017456[[#This Row],[LIST $]]*_1_5412845612146241046457891017456[[#This Row],[DISCOUNT]]*_1_5412845612146241046457891017456[[#This Row],[DISCOUNT 2]]</f>
        <v>0</v>
      </c>
      <c r="M557" s="194">
        <f>IF(OR(_1_5412845612146241046457891017456[[#This Row],[UNIT]]&gt;0,_1_5412845612146241046457891017456[[#This Row],[UNIT]]&lt;0),_1_5412845612146241046457891017456[[#This Row],[UNIT]]*_1_5412845612146241046457891017456[[#This Row],[COST]],0)</f>
        <v>0</v>
      </c>
      <c r="N557" s="194">
        <f t="shared" si="8"/>
        <v>1.3</v>
      </c>
      <c r="O557" s="198">
        <f>_1_5412845612146241046457891017456[[#This Row],[TOTAL]]*_1_5412845612146241046457891017456[[#This Row],[MARGIN]]</f>
        <v>0</v>
      </c>
      <c r="R557" s="41"/>
    </row>
    <row r="558" spans="1:18">
      <c r="D558" s="188"/>
      <c r="F558" s="168" t="s">
        <v>6202</v>
      </c>
      <c r="G558" s="193">
        <f>IF(_1_5412845612146241046457891017456[[#This Row],[Type]]&gt;0,VLOOKUP(_1_5412845612146241046457891017456[[#This Row],[Type]],Main[[#All],[TYPE]:[UNIT]],'Unit Price'!C$1,FALSE),0)</f>
        <v>0</v>
      </c>
      <c r="H558" s="197">
        <f>IF(_1_5412845612146241046457891017456[[#This Row],[Type]]&gt;0,VLOOKUP(_1_5412845612146241046457891017456[[#This Row],[Type]],Main[[#All],[TYPE]:[UNIT]],'Unit Price'!D$1,FALSE),0)</f>
        <v>0</v>
      </c>
      <c r="I558" s="194">
        <f>IF(_1_5412845612146241046457891017456[[#This Row],[Type]]&gt;0,VLOOKUP(_1_5412845612146241046457891017456[[#This Row],[Type]],Main[[#All],[TYPE]:[UNIT]],'Unit Price'!G$1,FALSE),0)</f>
        <v>0</v>
      </c>
      <c r="J558" s="194">
        <f>IF(_1_5412845612146241046457891017456[[#This Row],[Type]]&gt;0,VLOOKUP(_1_5412845612146241046457891017456[[#This Row],[Type]],Main[[#All],[TYPE]:[UNIT]],'Unit Price'!H$1,FALSE),0)</f>
        <v>0</v>
      </c>
      <c r="K558" s="194">
        <f>IF(_1_5412845612146241046457891017456[[#This Row],[Discount selection]]&gt;0,VLOOKUP(_1_5412845612146241046457891017456[[#This Row],[Discount selection]],'Discount Structure'!$A$2:$B$30,2,"false"),0)</f>
        <v>1</v>
      </c>
      <c r="L558" s="194">
        <f>_1_5412845612146241046457891017456[[#This Row],[LIST $]]*_1_5412845612146241046457891017456[[#This Row],[DISCOUNT]]*_1_5412845612146241046457891017456[[#This Row],[DISCOUNT 2]]</f>
        <v>0</v>
      </c>
      <c r="M558" s="194">
        <f>IF(OR(_1_5412845612146241046457891017456[[#This Row],[UNIT]]&gt;0,_1_5412845612146241046457891017456[[#This Row],[UNIT]]&lt;0),_1_5412845612146241046457891017456[[#This Row],[UNIT]]*_1_5412845612146241046457891017456[[#This Row],[COST]],0)</f>
        <v>0</v>
      </c>
      <c r="N558" s="194">
        <f t="shared" si="8"/>
        <v>1.3</v>
      </c>
      <c r="O558" s="198">
        <f>_1_5412845612146241046457891017456[[#This Row],[TOTAL]]*_1_5412845612146241046457891017456[[#This Row],[MARGIN]]</f>
        <v>0</v>
      </c>
      <c r="R558" s="41"/>
    </row>
    <row r="559" spans="1:18">
      <c r="D559" s="188"/>
      <c r="F559" s="168" t="s">
        <v>6202</v>
      </c>
      <c r="G559" s="193">
        <f>IF(_1_5412845612146241046457891017456[[#This Row],[Type]]&gt;0,VLOOKUP(_1_5412845612146241046457891017456[[#This Row],[Type]],Main[[#All],[TYPE]:[UNIT]],'Unit Price'!C$1,FALSE),0)</f>
        <v>0</v>
      </c>
      <c r="H559" s="197">
        <f>IF(_1_5412845612146241046457891017456[[#This Row],[Type]]&gt;0,VLOOKUP(_1_5412845612146241046457891017456[[#This Row],[Type]],Main[[#All],[TYPE]:[UNIT]],'Unit Price'!D$1,FALSE),0)</f>
        <v>0</v>
      </c>
      <c r="I559" s="194">
        <f>IF(_1_5412845612146241046457891017456[[#This Row],[Type]]&gt;0,VLOOKUP(_1_5412845612146241046457891017456[[#This Row],[Type]],Main[[#All],[TYPE]:[UNIT]],'Unit Price'!G$1,FALSE),0)</f>
        <v>0</v>
      </c>
      <c r="J559" s="194">
        <f>IF(_1_5412845612146241046457891017456[[#This Row],[Type]]&gt;0,VLOOKUP(_1_5412845612146241046457891017456[[#This Row],[Type]],Main[[#All],[TYPE]:[UNIT]],'Unit Price'!H$1,FALSE),0)</f>
        <v>0</v>
      </c>
      <c r="K559" s="194">
        <f>IF(_1_5412845612146241046457891017456[[#This Row],[Discount selection]]&gt;0,VLOOKUP(_1_5412845612146241046457891017456[[#This Row],[Discount selection]],'Discount Structure'!$A$2:$B$30,2,"false"),0)</f>
        <v>1</v>
      </c>
      <c r="L559" s="194">
        <f>_1_5412845612146241046457891017456[[#This Row],[LIST $]]*_1_5412845612146241046457891017456[[#This Row],[DISCOUNT]]*_1_5412845612146241046457891017456[[#This Row],[DISCOUNT 2]]</f>
        <v>0</v>
      </c>
      <c r="M559" s="194">
        <f>IF(OR(_1_5412845612146241046457891017456[[#This Row],[UNIT]]&gt;0,_1_5412845612146241046457891017456[[#This Row],[UNIT]]&lt;0),_1_5412845612146241046457891017456[[#This Row],[UNIT]]*_1_5412845612146241046457891017456[[#This Row],[COST]],0)</f>
        <v>0</v>
      </c>
      <c r="N559" s="194">
        <f t="shared" si="8"/>
        <v>1.3</v>
      </c>
      <c r="O559" s="198">
        <f>_1_5412845612146241046457891017456[[#This Row],[TOTAL]]*_1_5412845612146241046457891017456[[#This Row],[MARGIN]]</f>
        <v>0</v>
      </c>
      <c r="R559" s="41"/>
    </row>
    <row r="560" spans="1:18">
      <c r="A560" s="168"/>
      <c r="D560" s="188"/>
      <c r="F560" s="168" t="s">
        <v>6202</v>
      </c>
      <c r="G560" s="193">
        <f>IF(_1_5412845612146241046457891017456[[#This Row],[Type]]&gt;0,VLOOKUP(_1_5412845612146241046457891017456[[#This Row],[Type]],Main[[#All],[TYPE]:[UNIT]],'Unit Price'!C$1,FALSE),0)</f>
        <v>0</v>
      </c>
      <c r="H560" s="197">
        <f>IF(_1_5412845612146241046457891017456[[#This Row],[Type]]&gt;0,VLOOKUP(_1_5412845612146241046457891017456[[#This Row],[Type]],Main[[#All],[TYPE]:[UNIT]],'Unit Price'!D$1,FALSE),0)</f>
        <v>0</v>
      </c>
      <c r="I560" s="194">
        <f>IF(_1_5412845612146241046457891017456[[#This Row],[Type]]&gt;0,VLOOKUP(_1_5412845612146241046457891017456[[#This Row],[Type]],Main[[#All],[TYPE]:[UNIT]],'Unit Price'!G$1,FALSE),0)</f>
        <v>0</v>
      </c>
      <c r="J560" s="194">
        <f>IF(_1_5412845612146241046457891017456[[#This Row],[Type]]&gt;0,VLOOKUP(_1_5412845612146241046457891017456[[#This Row],[Type]],Main[[#All],[TYPE]:[UNIT]],'Unit Price'!H$1,FALSE),0)</f>
        <v>0</v>
      </c>
      <c r="K560" s="194">
        <f>IF(_1_5412845612146241046457891017456[[#This Row],[Discount selection]]&gt;0,VLOOKUP(_1_5412845612146241046457891017456[[#This Row],[Discount selection]],'Discount Structure'!$A$2:$B$30,2,"false"),0)</f>
        <v>1</v>
      </c>
      <c r="L560" s="194">
        <f>_1_5412845612146241046457891017456[[#This Row],[LIST $]]*_1_5412845612146241046457891017456[[#This Row],[DISCOUNT]]*_1_5412845612146241046457891017456[[#This Row],[DISCOUNT 2]]</f>
        <v>0</v>
      </c>
      <c r="M560" s="194">
        <f>IF(OR(_1_5412845612146241046457891017456[[#This Row],[UNIT]]&gt;0,_1_5412845612146241046457891017456[[#This Row],[UNIT]]&lt;0),_1_5412845612146241046457891017456[[#This Row],[UNIT]]*_1_5412845612146241046457891017456[[#This Row],[COST]],0)</f>
        <v>0</v>
      </c>
      <c r="N560" s="194">
        <f t="shared" si="8"/>
        <v>1.3</v>
      </c>
      <c r="O560" s="198">
        <f>_1_5412845612146241046457891017456[[#This Row],[TOTAL]]*_1_5412845612146241046457891017456[[#This Row],[MARGIN]]</f>
        <v>0</v>
      </c>
      <c r="R560" s="41"/>
    </row>
    <row r="561" spans="1:18">
      <c r="D561" s="188"/>
      <c r="F561" s="168" t="s">
        <v>6202</v>
      </c>
      <c r="G561" s="193">
        <f>IF(_1_5412845612146241046457891017456[[#This Row],[Type]]&gt;0,VLOOKUP(_1_5412845612146241046457891017456[[#This Row],[Type]],Main[[#All],[TYPE]:[UNIT]],'Unit Price'!C$1,FALSE),0)</f>
        <v>0</v>
      </c>
      <c r="H561" s="197">
        <f>IF(_1_5412845612146241046457891017456[[#This Row],[Type]]&gt;0,VLOOKUP(_1_5412845612146241046457891017456[[#This Row],[Type]],Main[[#All],[TYPE]:[UNIT]],'Unit Price'!D$1,FALSE),0)</f>
        <v>0</v>
      </c>
      <c r="I561" s="194">
        <f>IF(_1_5412845612146241046457891017456[[#This Row],[Type]]&gt;0,VLOOKUP(_1_5412845612146241046457891017456[[#This Row],[Type]],Main[[#All],[TYPE]:[UNIT]],'Unit Price'!G$1,FALSE),0)</f>
        <v>0</v>
      </c>
      <c r="J561" s="194">
        <f>IF(_1_5412845612146241046457891017456[[#This Row],[Type]]&gt;0,VLOOKUP(_1_5412845612146241046457891017456[[#This Row],[Type]],Main[[#All],[TYPE]:[UNIT]],'Unit Price'!H$1,FALSE),0)</f>
        <v>0</v>
      </c>
      <c r="K561" s="194">
        <f>IF(_1_5412845612146241046457891017456[[#This Row],[Discount selection]]&gt;0,VLOOKUP(_1_5412845612146241046457891017456[[#This Row],[Discount selection]],'Discount Structure'!$A$2:$B$30,2,"false"),0)</f>
        <v>1</v>
      </c>
      <c r="L561" s="194">
        <f>_1_5412845612146241046457891017456[[#This Row],[LIST $]]*_1_5412845612146241046457891017456[[#This Row],[DISCOUNT]]*_1_5412845612146241046457891017456[[#This Row],[DISCOUNT 2]]</f>
        <v>0</v>
      </c>
      <c r="M561" s="194">
        <f>IF(OR(_1_5412845612146241046457891017456[[#This Row],[UNIT]]&gt;0,_1_5412845612146241046457891017456[[#This Row],[UNIT]]&lt;0),_1_5412845612146241046457891017456[[#This Row],[UNIT]]*_1_5412845612146241046457891017456[[#This Row],[COST]],0)</f>
        <v>0</v>
      </c>
      <c r="N561" s="194">
        <f t="shared" si="8"/>
        <v>1.3</v>
      </c>
      <c r="O561" s="198">
        <f>_1_5412845612146241046457891017456[[#This Row],[TOTAL]]*_1_5412845612146241046457891017456[[#This Row],[MARGIN]]</f>
        <v>0</v>
      </c>
      <c r="R561" s="41"/>
    </row>
    <row r="562" spans="1:18">
      <c r="D562" s="188"/>
      <c r="F562" s="168" t="s">
        <v>6202</v>
      </c>
      <c r="G562" s="193">
        <f>IF(_1_5412845612146241046457891017456[[#This Row],[Type]]&gt;0,VLOOKUP(_1_5412845612146241046457891017456[[#This Row],[Type]],Main[[#All],[TYPE]:[UNIT]],'Unit Price'!C$1,FALSE),0)</f>
        <v>0</v>
      </c>
      <c r="H562" s="197">
        <f>IF(_1_5412845612146241046457891017456[[#This Row],[Type]]&gt;0,VLOOKUP(_1_5412845612146241046457891017456[[#This Row],[Type]],Main[[#All],[TYPE]:[UNIT]],'Unit Price'!D$1,FALSE),0)</f>
        <v>0</v>
      </c>
      <c r="I562" s="194">
        <f>IF(_1_5412845612146241046457891017456[[#This Row],[Type]]&gt;0,VLOOKUP(_1_5412845612146241046457891017456[[#This Row],[Type]],Main[[#All],[TYPE]:[UNIT]],'Unit Price'!G$1,FALSE),0)</f>
        <v>0</v>
      </c>
      <c r="J562" s="194">
        <f>IF(_1_5412845612146241046457891017456[[#This Row],[Type]]&gt;0,VLOOKUP(_1_5412845612146241046457891017456[[#This Row],[Type]],Main[[#All],[TYPE]:[UNIT]],'Unit Price'!H$1,FALSE),0)</f>
        <v>0</v>
      </c>
      <c r="K562" s="194">
        <f>IF(_1_5412845612146241046457891017456[[#This Row],[Discount selection]]&gt;0,VLOOKUP(_1_5412845612146241046457891017456[[#This Row],[Discount selection]],'Discount Structure'!$A$2:$B$30,2,"false"),0)</f>
        <v>1</v>
      </c>
      <c r="L562" s="194">
        <f>_1_5412845612146241046457891017456[[#This Row],[LIST $]]*_1_5412845612146241046457891017456[[#This Row],[DISCOUNT]]*_1_5412845612146241046457891017456[[#This Row],[DISCOUNT 2]]</f>
        <v>0</v>
      </c>
      <c r="M562" s="194">
        <f>IF(OR(_1_5412845612146241046457891017456[[#This Row],[UNIT]]&gt;0,_1_5412845612146241046457891017456[[#This Row],[UNIT]]&lt;0),_1_5412845612146241046457891017456[[#This Row],[UNIT]]*_1_5412845612146241046457891017456[[#This Row],[COST]],0)</f>
        <v>0</v>
      </c>
      <c r="N562" s="194">
        <f t="shared" si="8"/>
        <v>1.3</v>
      </c>
      <c r="O562" s="198">
        <f>_1_5412845612146241046457891017456[[#This Row],[TOTAL]]*_1_5412845612146241046457891017456[[#This Row],[MARGIN]]</f>
        <v>0</v>
      </c>
      <c r="R562" s="41"/>
    </row>
    <row r="563" spans="1:18">
      <c r="A563" s="168"/>
      <c r="D563" s="188"/>
      <c r="F563" s="168" t="s">
        <v>6202</v>
      </c>
      <c r="G563" s="193">
        <f>IF(_1_5412845612146241046457891017456[[#This Row],[Type]]&gt;0,VLOOKUP(_1_5412845612146241046457891017456[[#This Row],[Type]],Main[[#All],[TYPE]:[UNIT]],'Unit Price'!C$1,FALSE),0)</f>
        <v>0</v>
      </c>
      <c r="H563" s="197">
        <f>IF(_1_5412845612146241046457891017456[[#This Row],[Type]]&gt;0,VLOOKUP(_1_5412845612146241046457891017456[[#This Row],[Type]],Main[[#All],[TYPE]:[UNIT]],'Unit Price'!D$1,FALSE),0)</f>
        <v>0</v>
      </c>
      <c r="I563" s="194">
        <f>IF(_1_5412845612146241046457891017456[[#This Row],[Type]]&gt;0,VLOOKUP(_1_5412845612146241046457891017456[[#This Row],[Type]],Main[[#All],[TYPE]:[UNIT]],'Unit Price'!G$1,FALSE),0)</f>
        <v>0</v>
      </c>
      <c r="J563" s="194">
        <f>IF(_1_5412845612146241046457891017456[[#This Row],[Type]]&gt;0,VLOOKUP(_1_5412845612146241046457891017456[[#This Row],[Type]],Main[[#All],[TYPE]:[UNIT]],'Unit Price'!H$1,FALSE),0)</f>
        <v>0</v>
      </c>
      <c r="K563" s="194">
        <f>IF(_1_5412845612146241046457891017456[[#This Row],[Discount selection]]&gt;0,VLOOKUP(_1_5412845612146241046457891017456[[#This Row],[Discount selection]],'Discount Structure'!$A$2:$B$30,2,"false"),0)</f>
        <v>1</v>
      </c>
      <c r="L563" s="194">
        <f>_1_5412845612146241046457891017456[[#This Row],[LIST $]]*_1_5412845612146241046457891017456[[#This Row],[DISCOUNT]]*_1_5412845612146241046457891017456[[#This Row],[DISCOUNT 2]]</f>
        <v>0</v>
      </c>
      <c r="M563" s="194">
        <f>IF(OR(_1_5412845612146241046457891017456[[#This Row],[UNIT]]&gt;0,_1_5412845612146241046457891017456[[#This Row],[UNIT]]&lt;0),_1_5412845612146241046457891017456[[#This Row],[UNIT]]*_1_5412845612146241046457891017456[[#This Row],[COST]],0)</f>
        <v>0</v>
      </c>
      <c r="N563" s="194">
        <f t="shared" si="8"/>
        <v>1.3</v>
      </c>
      <c r="O563" s="198">
        <f>_1_5412845612146241046457891017456[[#This Row],[TOTAL]]*_1_5412845612146241046457891017456[[#This Row],[MARGIN]]</f>
        <v>0</v>
      </c>
      <c r="R563" s="41"/>
    </row>
    <row r="564" spans="1:18">
      <c r="D564" s="188"/>
      <c r="F564" s="168" t="s">
        <v>6202</v>
      </c>
      <c r="G564" s="193">
        <f>IF(_1_5412845612146241046457891017456[[#This Row],[Type]]&gt;0,VLOOKUP(_1_5412845612146241046457891017456[[#This Row],[Type]],Main[[#All],[TYPE]:[UNIT]],'Unit Price'!C$1,FALSE),0)</f>
        <v>0</v>
      </c>
      <c r="H564" s="197">
        <f>IF(_1_5412845612146241046457891017456[[#This Row],[Type]]&gt;0,VLOOKUP(_1_5412845612146241046457891017456[[#This Row],[Type]],Main[[#All],[TYPE]:[UNIT]],'Unit Price'!D$1,FALSE),0)</f>
        <v>0</v>
      </c>
      <c r="I564" s="194">
        <f>IF(_1_5412845612146241046457891017456[[#This Row],[Type]]&gt;0,VLOOKUP(_1_5412845612146241046457891017456[[#This Row],[Type]],Main[[#All],[TYPE]:[UNIT]],'Unit Price'!G$1,FALSE),0)</f>
        <v>0</v>
      </c>
      <c r="J564" s="194">
        <f>IF(_1_5412845612146241046457891017456[[#This Row],[Type]]&gt;0,VLOOKUP(_1_5412845612146241046457891017456[[#This Row],[Type]],Main[[#All],[TYPE]:[UNIT]],'Unit Price'!H$1,FALSE),0)</f>
        <v>0</v>
      </c>
      <c r="K564" s="194">
        <f>IF(_1_5412845612146241046457891017456[[#This Row],[Discount selection]]&gt;0,VLOOKUP(_1_5412845612146241046457891017456[[#This Row],[Discount selection]],'Discount Structure'!$A$2:$B$30,2,"false"),0)</f>
        <v>1</v>
      </c>
      <c r="L564" s="194">
        <f>_1_5412845612146241046457891017456[[#This Row],[LIST $]]*_1_5412845612146241046457891017456[[#This Row],[DISCOUNT]]*_1_5412845612146241046457891017456[[#This Row],[DISCOUNT 2]]</f>
        <v>0</v>
      </c>
      <c r="M564" s="194">
        <f>IF(OR(_1_5412845612146241046457891017456[[#This Row],[UNIT]]&gt;0,_1_5412845612146241046457891017456[[#This Row],[UNIT]]&lt;0),_1_5412845612146241046457891017456[[#This Row],[UNIT]]*_1_5412845612146241046457891017456[[#This Row],[COST]],0)</f>
        <v>0</v>
      </c>
      <c r="N564" s="194">
        <f t="shared" si="8"/>
        <v>1.3</v>
      </c>
      <c r="O564" s="198">
        <f>_1_5412845612146241046457891017456[[#This Row],[TOTAL]]*_1_5412845612146241046457891017456[[#This Row],[MARGIN]]</f>
        <v>0</v>
      </c>
      <c r="R564" s="41"/>
    </row>
    <row r="565" spans="1:18">
      <c r="D565" s="188"/>
      <c r="F565" s="168" t="s">
        <v>6202</v>
      </c>
      <c r="G565" s="193">
        <f>IF(_1_5412845612146241046457891017456[[#This Row],[Type]]&gt;0,VLOOKUP(_1_5412845612146241046457891017456[[#This Row],[Type]],Main[[#All],[TYPE]:[UNIT]],'Unit Price'!C$1,FALSE),0)</f>
        <v>0</v>
      </c>
      <c r="H565" s="197">
        <f>IF(_1_5412845612146241046457891017456[[#This Row],[Type]]&gt;0,VLOOKUP(_1_5412845612146241046457891017456[[#This Row],[Type]],Main[[#All],[TYPE]:[UNIT]],'Unit Price'!D$1,FALSE),0)</f>
        <v>0</v>
      </c>
      <c r="I565" s="194">
        <f>IF(_1_5412845612146241046457891017456[[#This Row],[Type]]&gt;0,VLOOKUP(_1_5412845612146241046457891017456[[#This Row],[Type]],Main[[#All],[TYPE]:[UNIT]],'Unit Price'!G$1,FALSE),0)</f>
        <v>0</v>
      </c>
      <c r="J565" s="194">
        <f>IF(_1_5412845612146241046457891017456[[#This Row],[Type]]&gt;0,VLOOKUP(_1_5412845612146241046457891017456[[#This Row],[Type]],Main[[#All],[TYPE]:[UNIT]],'Unit Price'!H$1,FALSE),0)</f>
        <v>0</v>
      </c>
      <c r="K565" s="194">
        <f>IF(_1_5412845612146241046457891017456[[#This Row],[Discount selection]]&gt;0,VLOOKUP(_1_5412845612146241046457891017456[[#This Row],[Discount selection]],'Discount Structure'!$A$2:$B$30,2,"false"),0)</f>
        <v>1</v>
      </c>
      <c r="L565" s="194">
        <f>_1_5412845612146241046457891017456[[#This Row],[LIST $]]*_1_5412845612146241046457891017456[[#This Row],[DISCOUNT]]*_1_5412845612146241046457891017456[[#This Row],[DISCOUNT 2]]</f>
        <v>0</v>
      </c>
      <c r="M565" s="194">
        <f>IF(OR(_1_5412845612146241046457891017456[[#This Row],[UNIT]]&gt;0,_1_5412845612146241046457891017456[[#This Row],[UNIT]]&lt;0),_1_5412845612146241046457891017456[[#This Row],[UNIT]]*_1_5412845612146241046457891017456[[#This Row],[COST]],0)</f>
        <v>0</v>
      </c>
      <c r="N565" s="194">
        <f t="shared" si="8"/>
        <v>1.3</v>
      </c>
      <c r="O565" s="198">
        <f>_1_5412845612146241046457891017456[[#This Row],[TOTAL]]*_1_5412845612146241046457891017456[[#This Row],[MARGIN]]</f>
        <v>0</v>
      </c>
      <c r="R565" s="41"/>
    </row>
    <row r="566" spans="1:18">
      <c r="A566" s="168"/>
      <c r="D566" s="188"/>
      <c r="F566" s="168" t="s">
        <v>6202</v>
      </c>
      <c r="G566" s="193">
        <f>IF(_1_5412845612146241046457891017456[[#This Row],[Type]]&gt;0,VLOOKUP(_1_5412845612146241046457891017456[[#This Row],[Type]],Main[[#All],[TYPE]:[UNIT]],'Unit Price'!C$1,FALSE),0)</f>
        <v>0</v>
      </c>
      <c r="H566" s="197">
        <f>IF(_1_5412845612146241046457891017456[[#This Row],[Type]]&gt;0,VLOOKUP(_1_5412845612146241046457891017456[[#This Row],[Type]],Main[[#All],[TYPE]:[UNIT]],'Unit Price'!D$1,FALSE),0)</f>
        <v>0</v>
      </c>
      <c r="I566" s="194">
        <f>IF(_1_5412845612146241046457891017456[[#This Row],[Type]]&gt;0,VLOOKUP(_1_5412845612146241046457891017456[[#This Row],[Type]],Main[[#All],[TYPE]:[UNIT]],'Unit Price'!G$1,FALSE),0)</f>
        <v>0</v>
      </c>
      <c r="J566" s="194">
        <f>IF(_1_5412845612146241046457891017456[[#This Row],[Type]]&gt;0,VLOOKUP(_1_5412845612146241046457891017456[[#This Row],[Type]],Main[[#All],[TYPE]:[UNIT]],'Unit Price'!H$1,FALSE),0)</f>
        <v>0</v>
      </c>
      <c r="K566" s="194">
        <f>IF(_1_5412845612146241046457891017456[[#This Row],[Discount selection]]&gt;0,VLOOKUP(_1_5412845612146241046457891017456[[#This Row],[Discount selection]],'Discount Structure'!$A$2:$B$30,2,"false"),0)</f>
        <v>1</v>
      </c>
      <c r="L566" s="194">
        <f>_1_5412845612146241046457891017456[[#This Row],[LIST $]]*_1_5412845612146241046457891017456[[#This Row],[DISCOUNT]]*_1_5412845612146241046457891017456[[#This Row],[DISCOUNT 2]]</f>
        <v>0</v>
      </c>
      <c r="M566" s="194">
        <f>IF(OR(_1_5412845612146241046457891017456[[#This Row],[UNIT]]&gt;0,_1_5412845612146241046457891017456[[#This Row],[UNIT]]&lt;0),_1_5412845612146241046457891017456[[#This Row],[UNIT]]*_1_5412845612146241046457891017456[[#This Row],[COST]],0)</f>
        <v>0</v>
      </c>
      <c r="N566" s="194">
        <f t="shared" si="8"/>
        <v>1.3</v>
      </c>
      <c r="O566" s="198">
        <f>_1_5412845612146241046457891017456[[#This Row],[TOTAL]]*_1_5412845612146241046457891017456[[#This Row],[MARGIN]]</f>
        <v>0</v>
      </c>
      <c r="R566" s="41"/>
    </row>
    <row r="567" spans="1:18">
      <c r="D567" s="188"/>
      <c r="F567" s="168" t="s">
        <v>6202</v>
      </c>
      <c r="G567" s="193">
        <f>IF(_1_5412845612146241046457891017456[[#This Row],[Type]]&gt;0,VLOOKUP(_1_5412845612146241046457891017456[[#This Row],[Type]],Main[[#All],[TYPE]:[UNIT]],'Unit Price'!C$1,FALSE),0)</f>
        <v>0</v>
      </c>
      <c r="H567" s="197">
        <f>IF(_1_5412845612146241046457891017456[[#This Row],[Type]]&gt;0,VLOOKUP(_1_5412845612146241046457891017456[[#This Row],[Type]],Main[[#All],[TYPE]:[UNIT]],'Unit Price'!D$1,FALSE),0)</f>
        <v>0</v>
      </c>
      <c r="I567" s="194">
        <f>IF(_1_5412845612146241046457891017456[[#This Row],[Type]]&gt;0,VLOOKUP(_1_5412845612146241046457891017456[[#This Row],[Type]],Main[[#All],[TYPE]:[UNIT]],'Unit Price'!G$1,FALSE),0)</f>
        <v>0</v>
      </c>
      <c r="J567" s="194">
        <f>IF(_1_5412845612146241046457891017456[[#This Row],[Type]]&gt;0,VLOOKUP(_1_5412845612146241046457891017456[[#This Row],[Type]],Main[[#All],[TYPE]:[UNIT]],'Unit Price'!H$1,FALSE),0)</f>
        <v>0</v>
      </c>
      <c r="K567" s="194">
        <f>IF(_1_5412845612146241046457891017456[[#This Row],[Discount selection]]&gt;0,VLOOKUP(_1_5412845612146241046457891017456[[#This Row],[Discount selection]],'Discount Structure'!$A$2:$B$30,2,"false"),0)</f>
        <v>1</v>
      </c>
      <c r="L567" s="194">
        <f>_1_5412845612146241046457891017456[[#This Row],[LIST $]]*_1_5412845612146241046457891017456[[#This Row],[DISCOUNT]]*_1_5412845612146241046457891017456[[#This Row],[DISCOUNT 2]]</f>
        <v>0</v>
      </c>
      <c r="M567" s="194">
        <f>IF(OR(_1_5412845612146241046457891017456[[#This Row],[UNIT]]&gt;0,_1_5412845612146241046457891017456[[#This Row],[UNIT]]&lt;0),_1_5412845612146241046457891017456[[#This Row],[UNIT]]*_1_5412845612146241046457891017456[[#This Row],[COST]],0)</f>
        <v>0</v>
      </c>
      <c r="N567" s="194">
        <f t="shared" si="8"/>
        <v>1.3</v>
      </c>
      <c r="O567" s="198">
        <f>_1_5412845612146241046457891017456[[#This Row],[TOTAL]]*_1_5412845612146241046457891017456[[#This Row],[MARGIN]]</f>
        <v>0</v>
      </c>
      <c r="R567" s="41"/>
    </row>
    <row r="568" spans="1:18">
      <c r="D568" s="188"/>
      <c r="F568" s="168" t="s">
        <v>6202</v>
      </c>
      <c r="G568" s="193">
        <f>IF(_1_5412845612146241046457891017456[[#This Row],[Type]]&gt;0,VLOOKUP(_1_5412845612146241046457891017456[[#This Row],[Type]],Main[[#All],[TYPE]:[UNIT]],'Unit Price'!C$1,FALSE),0)</f>
        <v>0</v>
      </c>
      <c r="H568" s="197">
        <f>IF(_1_5412845612146241046457891017456[[#This Row],[Type]]&gt;0,VLOOKUP(_1_5412845612146241046457891017456[[#This Row],[Type]],Main[[#All],[TYPE]:[UNIT]],'Unit Price'!D$1,FALSE),0)</f>
        <v>0</v>
      </c>
      <c r="I568" s="194">
        <f>IF(_1_5412845612146241046457891017456[[#This Row],[Type]]&gt;0,VLOOKUP(_1_5412845612146241046457891017456[[#This Row],[Type]],Main[[#All],[TYPE]:[UNIT]],'Unit Price'!G$1,FALSE),0)</f>
        <v>0</v>
      </c>
      <c r="J568" s="194">
        <f>IF(_1_5412845612146241046457891017456[[#This Row],[Type]]&gt;0,VLOOKUP(_1_5412845612146241046457891017456[[#This Row],[Type]],Main[[#All],[TYPE]:[UNIT]],'Unit Price'!H$1,FALSE),0)</f>
        <v>0</v>
      </c>
      <c r="K568" s="194">
        <f>IF(_1_5412845612146241046457891017456[[#This Row],[Discount selection]]&gt;0,VLOOKUP(_1_5412845612146241046457891017456[[#This Row],[Discount selection]],'Discount Structure'!$A$2:$B$30,2,"false"),0)</f>
        <v>1</v>
      </c>
      <c r="L568" s="194">
        <f>_1_5412845612146241046457891017456[[#This Row],[LIST $]]*_1_5412845612146241046457891017456[[#This Row],[DISCOUNT]]*_1_5412845612146241046457891017456[[#This Row],[DISCOUNT 2]]</f>
        <v>0</v>
      </c>
      <c r="M568" s="194">
        <f>IF(OR(_1_5412845612146241046457891017456[[#This Row],[UNIT]]&gt;0,_1_5412845612146241046457891017456[[#This Row],[UNIT]]&lt;0),_1_5412845612146241046457891017456[[#This Row],[UNIT]]*_1_5412845612146241046457891017456[[#This Row],[COST]],0)</f>
        <v>0</v>
      </c>
      <c r="N568" s="194">
        <f t="shared" si="8"/>
        <v>1.3</v>
      </c>
      <c r="O568" s="198">
        <f>_1_5412845612146241046457891017456[[#This Row],[TOTAL]]*_1_5412845612146241046457891017456[[#This Row],[MARGIN]]</f>
        <v>0</v>
      </c>
      <c r="R568" s="41"/>
    </row>
    <row r="569" spans="1:18">
      <c r="D569" s="188"/>
      <c r="F569" s="168" t="s">
        <v>6202</v>
      </c>
      <c r="G569" s="193">
        <f>IF(_1_5412845612146241046457891017456[[#This Row],[Type]]&gt;0,VLOOKUP(_1_5412845612146241046457891017456[[#This Row],[Type]],Main[[#All],[TYPE]:[UNIT]],'Unit Price'!C$1,FALSE),0)</f>
        <v>0</v>
      </c>
      <c r="H569" s="197">
        <f>IF(_1_5412845612146241046457891017456[[#This Row],[Type]]&gt;0,VLOOKUP(_1_5412845612146241046457891017456[[#This Row],[Type]],Main[[#All],[TYPE]:[UNIT]],'Unit Price'!D$1,FALSE),0)</f>
        <v>0</v>
      </c>
      <c r="I569" s="194">
        <f>IF(_1_5412845612146241046457891017456[[#This Row],[Type]]&gt;0,VLOOKUP(_1_5412845612146241046457891017456[[#This Row],[Type]],Main[[#All],[TYPE]:[UNIT]],'Unit Price'!G$1,FALSE),0)</f>
        <v>0</v>
      </c>
      <c r="J569" s="194">
        <f>IF(_1_5412845612146241046457891017456[[#This Row],[Type]]&gt;0,VLOOKUP(_1_5412845612146241046457891017456[[#This Row],[Type]],Main[[#All],[TYPE]:[UNIT]],'Unit Price'!H$1,FALSE),0)</f>
        <v>0</v>
      </c>
      <c r="K569" s="194">
        <f>IF(_1_5412845612146241046457891017456[[#This Row],[Discount selection]]&gt;0,VLOOKUP(_1_5412845612146241046457891017456[[#This Row],[Discount selection]],'Discount Structure'!$A$2:$B$30,2,"false"),0)</f>
        <v>1</v>
      </c>
      <c r="L569" s="194">
        <f>_1_5412845612146241046457891017456[[#This Row],[LIST $]]*_1_5412845612146241046457891017456[[#This Row],[DISCOUNT]]*_1_5412845612146241046457891017456[[#This Row],[DISCOUNT 2]]</f>
        <v>0</v>
      </c>
      <c r="M569" s="194">
        <f>IF(OR(_1_5412845612146241046457891017456[[#This Row],[UNIT]]&gt;0,_1_5412845612146241046457891017456[[#This Row],[UNIT]]&lt;0),_1_5412845612146241046457891017456[[#This Row],[UNIT]]*_1_5412845612146241046457891017456[[#This Row],[COST]],0)</f>
        <v>0</v>
      </c>
      <c r="N569" s="194">
        <f t="shared" si="8"/>
        <v>1.3</v>
      </c>
      <c r="O569" s="198">
        <f>_1_5412845612146241046457891017456[[#This Row],[TOTAL]]*_1_5412845612146241046457891017456[[#This Row],[MARGIN]]</f>
        <v>0</v>
      </c>
      <c r="R569" s="41"/>
    </row>
    <row r="570" spans="1:18">
      <c r="D570" s="188"/>
      <c r="F570" s="168" t="s">
        <v>6202</v>
      </c>
      <c r="G570" s="193">
        <f>IF(_1_5412845612146241046457891017456[[#This Row],[Type]]&gt;0,VLOOKUP(_1_5412845612146241046457891017456[[#This Row],[Type]],Main[[#All],[TYPE]:[UNIT]],'Unit Price'!C$1,FALSE),0)</f>
        <v>0</v>
      </c>
      <c r="H570" s="197">
        <f>IF(_1_5412845612146241046457891017456[[#This Row],[Type]]&gt;0,VLOOKUP(_1_5412845612146241046457891017456[[#This Row],[Type]],Main[[#All],[TYPE]:[UNIT]],'Unit Price'!D$1,FALSE),0)</f>
        <v>0</v>
      </c>
      <c r="I570" s="194">
        <f>IF(_1_5412845612146241046457891017456[[#This Row],[Type]]&gt;0,VLOOKUP(_1_5412845612146241046457891017456[[#This Row],[Type]],Main[[#All],[TYPE]:[UNIT]],'Unit Price'!G$1,FALSE),0)</f>
        <v>0</v>
      </c>
      <c r="J570" s="194">
        <f>IF(_1_5412845612146241046457891017456[[#This Row],[Type]]&gt;0,VLOOKUP(_1_5412845612146241046457891017456[[#This Row],[Type]],Main[[#All],[TYPE]:[UNIT]],'Unit Price'!H$1,FALSE),0)</f>
        <v>0</v>
      </c>
      <c r="K570" s="194">
        <f>IF(_1_5412845612146241046457891017456[[#This Row],[Discount selection]]&gt;0,VLOOKUP(_1_5412845612146241046457891017456[[#This Row],[Discount selection]],'Discount Structure'!$A$2:$B$30,2,"false"),0)</f>
        <v>1</v>
      </c>
      <c r="L570" s="194">
        <f>_1_5412845612146241046457891017456[[#This Row],[LIST $]]*_1_5412845612146241046457891017456[[#This Row],[DISCOUNT]]*_1_5412845612146241046457891017456[[#This Row],[DISCOUNT 2]]</f>
        <v>0</v>
      </c>
      <c r="M570" s="194">
        <f>IF(OR(_1_5412845612146241046457891017456[[#This Row],[UNIT]]&gt;0,_1_5412845612146241046457891017456[[#This Row],[UNIT]]&lt;0),_1_5412845612146241046457891017456[[#This Row],[UNIT]]*_1_5412845612146241046457891017456[[#This Row],[COST]],0)</f>
        <v>0</v>
      </c>
      <c r="N570" s="194">
        <f t="shared" si="8"/>
        <v>1.3</v>
      </c>
      <c r="O570" s="198">
        <f>_1_5412845612146241046457891017456[[#This Row],[TOTAL]]*_1_5412845612146241046457891017456[[#This Row],[MARGIN]]</f>
        <v>0</v>
      </c>
      <c r="R570" s="41"/>
    </row>
    <row r="571" spans="1:18">
      <c r="D571" s="188"/>
      <c r="F571" s="168" t="s">
        <v>6202</v>
      </c>
      <c r="G571" s="193">
        <f>IF(_1_5412845612146241046457891017456[[#This Row],[Type]]&gt;0,VLOOKUP(_1_5412845612146241046457891017456[[#This Row],[Type]],Main[[#All],[TYPE]:[UNIT]],'Unit Price'!C$1,FALSE),0)</f>
        <v>0</v>
      </c>
      <c r="H571" s="197">
        <f>IF(_1_5412845612146241046457891017456[[#This Row],[Type]]&gt;0,VLOOKUP(_1_5412845612146241046457891017456[[#This Row],[Type]],Main[[#All],[TYPE]:[UNIT]],'Unit Price'!D$1,FALSE),0)</f>
        <v>0</v>
      </c>
      <c r="I571" s="194">
        <f>IF(_1_5412845612146241046457891017456[[#This Row],[Type]]&gt;0,VLOOKUP(_1_5412845612146241046457891017456[[#This Row],[Type]],Main[[#All],[TYPE]:[UNIT]],'Unit Price'!G$1,FALSE),0)</f>
        <v>0</v>
      </c>
      <c r="J571" s="194">
        <f>IF(_1_5412845612146241046457891017456[[#This Row],[Type]]&gt;0,VLOOKUP(_1_5412845612146241046457891017456[[#This Row],[Type]],Main[[#All],[TYPE]:[UNIT]],'Unit Price'!H$1,FALSE),0)</f>
        <v>0</v>
      </c>
      <c r="K571" s="194">
        <f>IF(_1_5412845612146241046457891017456[[#This Row],[Discount selection]]&gt;0,VLOOKUP(_1_5412845612146241046457891017456[[#This Row],[Discount selection]],'Discount Structure'!$A$2:$B$30,2,"false"),0)</f>
        <v>1</v>
      </c>
      <c r="L571" s="194">
        <f>_1_5412845612146241046457891017456[[#This Row],[LIST $]]*_1_5412845612146241046457891017456[[#This Row],[DISCOUNT]]*_1_5412845612146241046457891017456[[#This Row],[DISCOUNT 2]]</f>
        <v>0</v>
      </c>
      <c r="M571" s="194">
        <f>IF(OR(_1_5412845612146241046457891017456[[#This Row],[UNIT]]&gt;0,_1_5412845612146241046457891017456[[#This Row],[UNIT]]&lt;0),_1_5412845612146241046457891017456[[#This Row],[UNIT]]*_1_5412845612146241046457891017456[[#This Row],[COST]],0)</f>
        <v>0</v>
      </c>
      <c r="N571" s="194">
        <f t="shared" si="8"/>
        <v>1.3</v>
      </c>
      <c r="O571" s="198">
        <f>_1_5412845612146241046457891017456[[#This Row],[TOTAL]]*_1_5412845612146241046457891017456[[#This Row],[MARGIN]]</f>
        <v>0</v>
      </c>
      <c r="R571" s="41"/>
    </row>
    <row r="572" spans="1:18">
      <c r="D572" s="188"/>
      <c r="F572" s="168" t="s">
        <v>6202</v>
      </c>
      <c r="G572" s="193">
        <f>IF(_1_5412845612146241046457891017456[[#This Row],[Type]]&gt;0,VLOOKUP(_1_5412845612146241046457891017456[[#This Row],[Type]],Main[[#All],[TYPE]:[UNIT]],'Unit Price'!C$1,FALSE),0)</f>
        <v>0</v>
      </c>
      <c r="H572" s="197">
        <f>IF(_1_5412845612146241046457891017456[[#This Row],[Type]]&gt;0,VLOOKUP(_1_5412845612146241046457891017456[[#This Row],[Type]],Main[[#All],[TYPE]:[UNIT]],'Unit Price'!D$1,FALSE),0)</f>
        <v>0</v>
      </c>
      <c r="I572" s="194">
        <f>IF(_1_5412845612146241046457891017456[[#This Row],[Type]]&gt;0,VLOOKUP(_1_5412845612146241046457891017456[[#This Row],[Type]],Main[[#All],[TYPE]:[UNIT]],'Unit Price'!G$1,FALSE),0)</f>
        <v>0</v>
      </c>
      <c r="J572" s="194">
        <f>IF(_1_5412845612146241046457891017456[[#This Row],[Type]]&gt;0,VLOOKUP(_1_5412845612146241046457891017456[[#This Row],[Type]],Main[[#All],[TYPE]:[UNIT]],'Unit Price'!H$1,FALSE),0)</f>
        <v>0</v>
      </c>
      <c r="K572" s="194">
        <f>IF(_1_5412845612146241046457891017456[[#This Row],[Discount selection]]&gt;0,VLOOKUP(_1_5412845612146241046457891017456[[#This Row],[Discount selection]],'Discount Structure'!$A$2:$B$30,2,"false"),0)</f>
        <v>1</v>
      </c>
      <c r="L572" s="194">
        <f>_1_5412845612146241046457891017456[[#This Row],[LIST $]]*_1_5412845612146241046457891017456[[#This Row],[DISCOUNT]]*_1_5412845612146241046457891017456[[#This Row],[DISCOUNT 2]]</f>
        <v>0</v>
      </c>
      <c r="M572" s="194">
        <f>IF(OR(_1_5412845612146241046457891017456[[#This Row],[UNIT]]&gt;0,_1_5412845612146241046457891017456[[#This Row],[UNIT]]&lt;0),_1_5412845612146241046457891017456[[#This Row],[UNIT]]*_1_5412845612146241046457891017456[[#This Row],[COST]],0)</f>
        <v>0</v>
      </c>
      <c r="N572" s="194">
        <f t="shared" si="8"/>
        <v>1.3</v>
      </c>
      <c r="O572" s="198">
        <f>_1_5412845612146241046457891017456[[#This Row],[TOTAL]]*_1_5412845612146241046457891017456[[#This Row],[MARGIN]]</f>
        <v>0</v>
      </c>
      <c r="R572" s="41"/>
    </row>
    <row r="573" spans="1:18">
      <c r="D573" s="188"/>
      <c r="F573" s="168" t="s">
        <v>6202</v>
      </c>
      <c r="G573" s="193">
        <f>IF(_1_5412845612146241046457891017456[[#This Row],[Type]]&gt;0,VLOOKUP(_1_5412845612146241046457891017456[[#This Row],[Type]],Main[[#All],[TYPE]:[UNIT]],'Unit Price'!C$1,FALSE),0)</f>
        <v>0</v>
      </c>
      <c r="H573" s="197">
        <f>IF(_1_5412845612146241046457891017456[[#This Row],[Type]]&gt;0,VLOOKUP(_1_5412845612146241046457891017456[[#This Row],[Type]],Main[[#All],[TYPE]:[UNIT]],'Unit Price'!D$1,FALSE),0)</f>
        <v>0</v>
      </c>
      <c r="I573" s="194">
        <f>IF(_1_5412845612146241046457891017456[[#This Row],[Type]]&gt;0,VLOOKUP(_1_5412845612146241046457891017456[[#This Row],[Type]],Main[[#All],[TYPE]:[UNIT]],'Unit Price'!G$1,FALSE),0)</f>
        <v>0</v>
      </c>
      <c r="J573" s="194">
        <f>IF(_1_5412845612146241046457891017456[[#This Row],[Type]]&gt;0,VLOOKUP(_1_5412845612146241046457891017456[[#This Row],[Type]],Main[[#All],[TYPE]:[UNIT]],'Unit Price'!H$1,FALSE),0)</f>
        <v>0</v>
      </c>
      <c r="K573" s="194">
        <f>IF(_1_5412845612146241046457891017456[[#This Row],[Discount selection]]&gt;0,VLOOKUP(_1_5412845612146241046457891017456[[#This Row],[Discount selection]],'Discount Structure'!$A$2:$B$30,2,"false"),0)</f>
        <v>1</v>
      </c>
      <c r="L573" s="194">
        <f>_1_5412845612146241046457891017456[[#This Row],[LIST $]]*_1_5412845612146241046457891017456[[#This Row],[DISCOUNT]]*_1_5412845612146241046457891017456[[#This Row],[DISCOUNT 2]]</f>
        <v>0</v>
      </c>
      <c r="M573" s="194">
        <f>IF(OR(_1_5412845612146241046457891017456[[#This Row],[UNIT]]&gt;0,_1_5412845612146241046457891017456[[#This Row],[UNIT]]&lt;0),_1_5412845612146241046457891017456[[#This Row],[UNIT]]*_1_5412845612146241046457891017456[[#This Row],[COST]],0)</f>
        <v>0</v>
      </c>
      <c r="N573" s="194">
        <f t="shared" si="8"/>
        <v>1.3</v>
      </c>
      <c r="O573" s="198">
        <f>_1_5412845612146241046457891017456[[#This Row],[TOTAL]]*_1_5412845612146241046457891017456[[#This Row],[MARGIN]]</f>
        <v>0</v>
      </c>
      <c r="R573" s="41"/>
    </row>
    <row r="574" spans="1:18">
      <c r="A574" s="168"/>
      <c r="D574" s="188"/>
      <c r="F574" s="168" t="s">
        <v>6202</v>
      </c>
      <c r="G574" s="193">
        <f>IF(_1_5412845612146241046457891017456[[#This Row],[Type]]&gt;0,VLOOKUP(_1_5412845612146241046457891017456[[#This Row],[Type]],Main[[#All],[TYPE]:[UNIT]],'Unit Price'!C$1,FALSE),0)</f>
        <v>0</v>
      </c>
      <c r="H574" s="197">
        <f>IF(_1_5412845612146241046457891017456[[#This Row],[Type]]&gt;0,VLOOKUP(_1_5412845612146241046457891017456[[#This Row],[Type]],Main[[#All],[TYPE]:[UNIT]],'Unit Price'!D$1,FALSE),0)</f>
        <v>0</v>
      </c>
      <c r="I574" s="194">
        <f>IF(_1_5412845612146241046457891017456[[#This Row],[Type]]&gt;0,VLOOKUP(_1_5412845612146241046457891017456[[#This Row],[Type]],Main[[#All],[TYPE]:[UNIT]],'Unit Price'!G$1,FALSE),0)</f>
        <v>0</v>
      </c>
      <c r="J574" s="194">
        <f>IF(_1_5412845612146241046457891017456[[#This Row],[Type]]&gt;0,VLOOKUP(_1_5412845612146241046457891017456[[#This Row],[Type]],Main[[#All],[TYPE]:[UNIT]],'Unit Price'!H$1,FALSE),0)</f>
        <v>0</v>
      </c>
      <c r="K574" s="194">
        <f>IF(_1_5412845612146241046457891017456[[#This Row],[Discount selection]]&gt;0,VLOOKUP(_1_5412845612146241046457891017456[[#This Row],[Discount selection]],'Discount Structure'!$A$2:$B$30,2,"false"),0)</f>
        <v>1</v>
      </c>
      <c r="L574" s="194">
        <f>_1_5412845612146241046457891017456[[#This Row],[LIST $]]*_1_5412845612146241046457891017456[[#This Row],[DISCOUNT]]*_1_5412845612146241046457891017456[[#This Row],[DISCOUNT 2]]</f>
        <v>0</v>
      </c>
      <c r="M574" s="194">
        <f>IF(OR(_1_5412845612146241046457891017456[[#This Row],[UNIT]]&gt;0,_1_5412845612146241046457891017456[[#This Row],[UNIT]]&lt;0),_1_5412845612146241046457891017456[[#This Row],[UNIT]]*_1_5412845612146241046457891017456[[#This Row],[COST]],0)</f>
        <v>0</v>
      </c>
      <c r="N574" s="194">
        <f t="shared" si="8"/>
        <v>1.3</v>
      </c>
      <c r="O574" s="198">
        <f>_1_5412845612146241046457891017456[[#This Row],[TOTAL]]*_1_5412845612146241046457891017456[[#This Row],[MARGIN]]</f>
        <v>0</v>
      </c>
      <c r="R574" s="41"/>
    </row>
    <row r="575" spans="1:18">
      <c r="B575" s="168"/>
      <c r="C575" s="168"/>
      <c r="D575" s="188"/>
      <c r="F575" s="168" t="s">
        <v>6202</v>
      </c>
      <c r="G575" s="193">
        <f>IF(_1_5412845612146241046457891017456[[#This Row],[Type]]&gt;0,VLOOKUP(_1_5412845612146241046457891017456[[#This Row],[Type]],Main[[#All],[TYPE]:[UNIT]],'Unit Price'!C$1,FALSE),0)</f>
        <v>0</v>
      </c>
      <c r="H575" s="197">
        <f>IF(_1_5412845612146241046457891017456[[#This Row],[Type]]&gt;0,VLOOKUP(_1_5412845612146241046457891017456[[#This Row],[Type]],Main[[#All],[TYPE]:[UNIT]],'Unit Price'!D$1,FALSE),0)</f>
        <v>0</v>
      </c>
      <c r="I575" s="194">
        <f>IF(_1_5412845612146241046457891017456[[#This Row],[Type]]&gt;0,VLOOKUP(_1_5412845612146241046457891017456[[#This Row],[Type]],Main[[#All],[TYPE]:[UNIT]],'Unit Price'!G$1,FALSE),0)</f>
        <v>0</v>
      </c>
      <c r="J575" s="194">
        <f>IF(_1_5412845612146241046457891017456[[#This Row],[Type]]&gt;0,VLOOKUP(_1_5412845612146241046457891017456[[#This Row],[Type]],Main[[#All],[TYPE]:[UNIT]],'Unit Price'!H$1,FALSE),0)</f>
        <v>0</v>
      </c>
      <c r="K575" s="194">
        <f>IF(_1_5412845612146241046457891017456[[#This Row],[Discount selection]]&gt;0,VLOOKUP(_1_5412845612146241046457891017456[[#This Row],[Discount selection]],'Discount Structure'!$A$2:$B$30,2,"false"),0)</f>
        <v>1</v>
      </c>
      <c r="L575" s="194">
        <f>_1_5412845612146241046457891017456[[#This Row],[LIST $]]*_1_5412845612146241046457891017456[[#This Row],[DISCOUNT]]*_1_5412845612146241046457891017456[[#This Row],[DISCOUNT 2]]</f>
        <v>0</v>
      </c>
      <c r="M575" s="194">
        <f>IF(OR(_1_5412845612146241046457891017456[[#This Row],[UNIT]]&gt;0,_1_5412845612146241046457891017456[[#This Row],[UNIT]]&lt;0),_1_5412845612146241046457891017456[[#This Row],[UNIT]]*_1_5412845612146241046457891017456[[#This Row],[COST]],0)</f>
        <v>0</v>
      </c>
      <c r="N575" s="194">
        <f t="shared" si="8"/>
        <v>1.3</v>
      </c>
      <c r="O575" s="198">
        <f>_1_5412845612146241046457891017456[[#This Row],[TOTAL]]*_1_5412845612146241046457891017456[[#This Row],[MARGIN]]</f>
        <v>0</v>
      </c>
      <c r="R575" s="41"/>
    </row>
    <row r="576" spans="1:18">
      <c r="D576" s="188"/>
      <c r="F576" s="168" t="s">
        <v>6202</v>
      </c>
      <c r="G576" s="193">
        <f>IF(_1_5412845612146241046457891017456[[#This Row],[Type]]&gt;0,VLOOKUP(_1_5412845612146241046457891017456[[#This Row],[Type]],Main[[#All],[TYPE]:[UNIT]],'Unit Price'!C$1,FALSE),0)</f>
        <v>0</v>
      </c>
      <c r="H576" s="197">
        <f>IF(_1_5412845612146241046457891017456[[#This Row],[Type]]&gt;0,VLOOKUP(_1_5412845612146241046457891017456[[#This Row],[Type]],Main[[#All],[TYPE]:[UNIT]],'Unit Price'!D$1,FALSE),0)</f>
        <v>0</v>
      </c>
      <c r="I576" s="194">
        <f>IF(_1_5412845612146241046457891017456[[#This Row],[Type]]&gt;0,VLOOKUP(_1_5412845612146241046457891017456[[#This Row],[Type]],Main[[#All],[TYPE]:[UNIT]],'Unit Price'!G$1,FALSE),0)</f>
        <v>0</v>
      </c>
      <c r="J576" s="194">
        <f>IF(_1_5412845612146241046457891017456[[#This Row],[Type]]&gt;0,VLOOKUP(_1_5412845612146241046457891017456[[#This Row],[Type]],Main[[#All],[TYPE]:[UNIT]],'Unit Price'!H$1,FALSE),0)</f>
        <v>0</v>
      </c>
      <c r="K576" s="194">
        <f>IF(_1_5412845612146241046457891017456[[#This Row],[Discount selection]]&gt;0,VLOOKUP(_1_5412845612146241046457891017456[[#This Row],[Discount selection]],'Discount Structure'!$A$2:$B$30,2,"false"),0)</f>
        <v>1</v>
      </c>
      <c r="L576" s="194">
        <f>_1_5412845612146241046457891017456[[#This Row],[LIST $]]*_1_5412845612146241046457891017456[[#This Row],[DISCOUNT]]*_1_5412845612146241046457891017456[[#This Row],[DISCOUNT 2]]</f>
        <v>0</v>
      </c>
      <c r="M576" s="194">
        <f>IF(OR(_1_5412845612146241046457891017456[[#This Row],[UNIT]]&gt;0,_1_5412845612146241046457891017456[[#This Row],[UNIT]]&lt;0),_1_5412845612146241046457891017456[[#This Row],[UNIT]]*_1_5412845612146241046457891017456[[#This Row],[COST]],0)</f>
        <v>0</v>
      </c>
      <c r="N576" s="194">
        <f t="shared" si="8"/>
        <v>1.3</v>
      </c>
      <c r="O576" s="198">
        <f>_1_5412845612146241046457891017456[[#This Row],[TOTAL]]*_1_5412845612146241046457891017456[[#This Row],[MARGIN]]</f>
        <v>0</v>
      </c>
      <c r="R576" s="41"/>
    </row>
    <row r="577" spans="1:18">
      <c r="D577" s="188"/>
      <c r="F577" s="168" t="s">
        <v>6202</v>
      </c>
      <c r="G577" s="193">
        <f>IF(_1_5412845612146241046457891017456[[#This Row],[Type]]&gt;0,VLOOKUP(_1_5412845612146241046457891017456[[#This Row],[Type]],Main[[#All],[TYPE]:[UNIT]],'Unit Price'!C$1,FALSE),0)</f>
        <v>0</v>
      </c>
      <c r="H577" s="197">
        <f>IF(_1_5412845612146241046457891017456[[#This Row],[Type]]&gt;0,VLOOKUP(_1_5412845612146241046457891017456[[#This Row],[Type]],Main[[#All],[TYPE]:[UNIT]],'Unit Price'!D$1,FALSE),0)</f>
        <v>0</v>
      </c>
      <c r="I577" s="194">
        <f>IF(_1_5412845612146241046457891017456[[#This Row],[Type]]&gt;0,VLOOKUP(_1_5412845612146241046457891017456[[#This Row],[Type]],Main[[#All],[TYPE]:[UNIT]],'Unit Price'!G$1,FALSE),0)</f>
        <v>0</v>
      </c>
      <c r="J577" s="194">
        <f>IF(_1_5412845612146241046457891017456[[#This Row],[Type]]&gt;0,VLOOKUP(_1_5412845612146241046457891017456[[#This Row],[Type]],Main[[#All],[TYPE]:[UNIT]],'Unit Price'!H$1,FALSE),0)</f>
        <v>0</v>
      </c>
      <c r="K577" s="194">
        <f>IF(_1_5412845612146241046457891017456[[#This Row],[Discount selection]]&gt;0,VLOOKUP(_1_5412845612146241046457891017456[[#This Row],[Discount selection]],'Discount Structure'!$A$2:$B$30,2,"false"),0)</f>
        <v>1</v>
      </c>
      <c r="L577" s="194">
        <f>_1_5412845612146241046457891017456[[#This Row],[LIST $]]*_1_5412845612146241046457891017456[[#This Row],[DISCOUNT]]*_1_5412845612146241046457891017456[[#This Row],[DISCOUNT 2]]</f>
        <v>0</v>
      </c>
      <c r="M577" s="194">
        <f>IF(OR(_1_5412845612146241046457891017456[[#This Row],[UNIT]]&gt;0,_1_5412845612146241046457891017456[[#This Row],[UNIT]]&lt;0),_1_5412845612146241046457891017456[[#This Row],[UNIT]]*_1_5412845612146241046457891017456[[#This Row],[COST]],0)</f>
        <v>0</v>
      </c>
      <c r="N577" s="194">
        <f t="shared" si="8"/>
        <v>1.3</v>
      </c>
      <c r="O577" s="198">
        <f>_1_5412845612146241046457891017456[[#This Row],[TOTAL]]*_1_5412845612146241046457891017456[[#This Row],[MARGIN]]</f>
        <v>0</v>
      </c>
      <c r="R577" s="41"/>
    </row>
    <row r="578" spans="1:18">
      <c r="D578" s="188"/>
      <c r="F578" s="168" t="s">
        <v>6202</v>
      </c>
      <c r="G578" s="193">
        <f>IF(_1_5412845612146241046457891017456[[#This Row],[Type]]&gt;0,VLOOKUP(_1_5412845612146241046457891017456[[#This Row],[Type]],Main[[#All],[TYPE]:[UNIT]],'Unit Price'!C$1,FALSE),0)</f>
        <v>0</v>
      </c>
      <c r="H578" s="197">
        <f>IF(_1_5412845612146241046457891017456[[#This Row],[Type]]&gt;0,VLOOKUP(_1_5412845612146241046457891017456[[#This Row],[Type]],Main[[#All],[TYPE]:[UNIT]],'Unit Price'!D$1,FALSE),0)</f>
        <v>0</v>
      </c>
      <c r="I578" s="194">
        <f>IF(_1_5412845612146241046457891017456[[#This Row],[Type]]&gt;0,VLOOKUP(_1_5412845612146241046457891017456[[#This Row],[Type]],Main[[#All],[TYPE]:[UNIT]],'Unit Price'!G$1,FALSE),0)</f>
        <v>0</v>
      </c>
      <c r="J578" s="194">
        <f>IF(_1_5412845612146241046457891017456[[#This Row],[Type]]&gt;0,VLOOKUP(_1_5412845612146241046457891017456[[#This Row],[Type]],Main[[#All],[TYPE]:[UNIT]],'Unit Price'!H$1,FALSE),0)</f>
        <v>0</v>
      </c>
      <c r="K578" s="194">
        <f>IF(_1_5412845612146241046457891017456[[#This Row],[Discount selection]]&gt;0,VLOOKUP(_1_5412845612146241046457891017456[[#This Row],[Discount selection]],'Discount Structure'!$A$2:$B$30,2,"false"),0)</f>
        <v>1</v>
      </c>
      <c r="L578" s="194">
        <f>_1_5412845612146241046457891017456[[#This Row],[LIST $]]*_1_5412845612146241046457891017456[[#This Row],[DISCOUNT]]*_1_5412845612146241046457891017456[[#This Row],[DISCOUNT 2]]</f>
        <v>0</v>
      </c>
      <c r="M578" s="194">
        <f>IF(OR(_1_5412845612146241046457891017456[[#This Row],[UNIT]]&gt;0,_1_5412845612146241046457891017456[[#This Row],[UNIT]]&lt;0),_1_5412845612146241046457891017456[[#This Row],[UNIT]]*_1_5412845612146241046457891017456[[#This Row],[COST]],0)</f>
        <v>0</v>
      </c>
      <c r="N578" s="194">
        <f t="shared" si="8"/>
        <v>1.3</v>
      </c>
      <c r="O578" s="198">
        <f>_1_5412845612146241046457891017456[[#This Row],[TOTAL]]*_1_5412845612146241046457891017456[[#This Row],[MARGIN]]</f>
        <v>0</v>
      </c>
      <c r="R578" s="41"/>
    </row>
    <row r="579" spans="1:18">
      <c r="D579" s="188"/>
      <c r="F579" s="168" t="s">
        <v>6202</v>
      </c>
      <c r="G579" s="193">
        <f>IF(_1_5412845612146241046457891017456[[#This Row],[Type]]&gt;0,VLOOKUP(_1_5412845612146241046457891017456[[#This Row],[Type]],Main[[#All],[TYPE]:[UNIT]],'Unit Price'!C$1,FALSE),0)</f>
        <v>0</v>
      </c>
      <c r="H579" s="197">
        <f>IF(_1_5412845612146241046457891017456[[#This Row],[Type]]&gt;0,VLOOKUP(_1_5412845612146241046457891017456[[#This Row],[Type]],Main[[#All],[TYPE]:[UNIT]],'Unit Price'!D$1,FALSE),0)</f>
        <v>0</v>
      </c>
      <c r="I579" s="194">
        <f>IF(_1_5412845612146241046457891017456[[#This Row],[Type]]&gt;0,VLOOKUP(_1_5412845612146241046457891017456[[#This Row],[Type]],Main[[#All],[TYPE]:[UNIT]],'Unit Price'!G$1,FALSE),0)</f>
        <v>0</v>
      </c>
      <c r="J579" s="194">
        <f>IF(_1_5412845612146241046457891017456[[#This Row],[Type]]&gt;0,VLOOKUP(_1_5412845612146241046457891017456[[#This Row],[Type]],Main[[#All],[TYPE]:[UNIT]],'Unit Price'!H$1,FALSE),0)</f>
        <v>0</v>
      </c>
      <c r="K579" s="194">
        <f>IF(_1_5412845612146241046457891017456[[#This Row],[Discount selection]]&gt;0,VLOOKUP(_1_5412845612146241046457891017456[[#This Row],[Discount selection]],'Discount Structure'!$A$2:$B$30,2,"false"),0)</f>
        <v>1</v>
      </c>
      <c r="L579" s="194">
        <f>_1_5412845612146241046457891017456[[#This Row],[LIST $]]*_1_5412845612146241046457891017456[[#This Row],[DISCOUNT]]*_1_5412845612146241046457891017456[[#This Row],[DISCOUNT 2]]</f>
        <v>0</v>
      </c>
      <c r="M579" s="194">
        <f>IF(OR(_1_5412845612146241046457891017456[[#This Row],[UNIT]]&gt;0,_1_5412845612146241046457891017456[[#This Row],[UNIT]]&lt;0),_1_5412845612146241046457891017456[[#This Row],[UNIT]]*_1_5412845612146241046457891017456[[#This Row],[COST]],0)</f>
        <v>0</v>
      </c>
      <c r="N579" s="194">
        <f t="shared" si="8"/>
        <v>1.3</v>
      </c>
      <c r="O579" s="198">
        <f>_1_5412845612146241046457891017456[[#This Row],[TOTAL]]*_1_5412845612146241046457891017456[[#This Row],[MARGIN]]</f>
        <v>0</v>
      </c>
      <c r="R579" s="41"/>
    </row>
    <row r="580" spans="1:18">
      <c r="D580" s="188"/>
      <c r="F580" s="168" t="s">
        <v>6202</v>
      </c>
      <c r="G580" s="193">
        <f>IF(_1_5412845612146241046457891017456[[#This Row],[Type]]&gt;0,VLOOKUP(_1_5412845612146241046457891017456[[#This Row],[Type]],Main[[#All],[TYPE]:[UNIT]],'Unit Price'!C$1,FALSE),0)</f>
        <v>0</v>
      </c>
      <c r="H580" s="197">
        <f>IF(_1_5412845612146241046457891017456[[#This Row],[Type]]&gt;0,VLOOKUP(_1_5412845612146241046457891017456[[#This Row],[Type]],Main[[#All],[TYPE]:[UNIT]],'Unit Price'!D$1,FALSE),0)</f>
        <v>0</v>
      </c>
      <c r="I580" s="194">
        <f>IF(_1_5412845612146241046457891017456[[#This Row],[Type]]&gt;0,VLOOKUP(_1_5412845612146241046457891017456[[#This Row],[Type]],Main[[#All],[TYPE]:[UNIT]],'Unit Price'!G$1,FALSE),0)</f>
        <v>0</v>
      </c>
      <c r="J580" s="194">
        <f>IF(_1_5412845612146241046457891017456[[#This Row],[Type]]&gt;0,VLOOKUP(_1_5412845612146241046457891017456[[#This Row],[Type]],Main[[#All],[TYPE]:[UNIT]],'Unit Price'!H$1,FALSE),0)</f>
        <v>0</v>
      </c>
      <c r="K580" s="194">
        <f>IF(_1_5412845612146241046457891017456[[#This Row],[Discount selection]]&gt;0,VLOOKUP(_1_5412845612146241046457891017456[[#This Row],[Discount selection]],'Discount Structure'!$A$2:$B$30,2,"false"),0)</f>
        <v>1</v>
      </c>
      <c r="L580" s="194">
        <f>_1_5412845612146241046457891017456[[#This Row],[LIST $]]*_1_5412845612146241046457891017456[[#This Row],[DISCOUNT]]*_1_5412845612146241046457891017456[[#This Row],[DISCOUNT 2]]</f>
        <v>0</v>
      </c>
      <c r="M580" s="194">
        <f>IF(OR(_1_5412845612146241046457891017456[[#This Row],[UNIT]]&gt;0,_1_5412845612146241046457891017456[[#This Row],[UNIT]]&lt;0),_1_5412845612146241046457891017456[[#This Row],[UNIT]]*_1_5412845612146241046457891017456[[#This Row],[COST]],0)</f>
        <v>0</v>
      </c>
      <c r="N580" s="194">
        <f t="shared" si="8"/>
        <v>1.3</v>
      </c>
      <c r="O580" s="198">
        <f>_1_5412845612146241046457891017456[[#This Row],[TOTAL]]*_1_5412845612146241046457891017456[[#This Row],[MARGIN]]</f>
        <v>0</v>
      </c>
      <c r="R580" s="41"/>
    </row>
    <row r="581" spans="1:18">
      <c r="A581" s="168"/>
      <c r="D581" s="188"/>
      <c r="F581" s="168" t="s">
        <v>6202</v>
      </c>
      <c r="G581" s="193">
        <f>IF(_1_5412845612146241046457891017456[[#This Row],[Type]]&gt;0,VLOOKUP(_1_5412845612146241046457891017456[[#This Row],[Type]],Main[[#All],[TYPE]:[UNIT]],'Unit Price'!C$1,FALSE),0)</f>
        <v>0</v>
      </c>
      <c r="H581" s="197">
        <f>IF(_1_5412845612146241046457891017456[[#This Row],[Type]]&gt;0,VLOOKUP(_1_5412845612146241046457891017456[[#This Row],[Type]],Main[[#All],[TYPE]:[UNIT]],'Unit Price'!D$1,FALSE),0)</f>
        <v>0</v>
      </c>
      <c r="I581" s="194">
        <f>IF(_1_5412845612146241046457891017456[[#This Row],[Type]]&gt;0,VLOOKUP(_1_5412845612146241046457891017456[[#This Row],[Type]],Main[[#All],[TYPE]:[UNIT]],'Unit Price'!G$1,FALSE),0)</f>
        <v>0</v>
      </c>
      <c r="J581" s="194">
        <f>IF(_1_5412845612146241046457891017456[[#This Row],[Type]]&gt;0,VLOOKUP(_1_5412845612146241046457891017456[[#This Row],[Type]],Main[[#All],[TYPE]:[UNIT]],'Unit Price'!H$1,FALSE),0)</f>
        <v>0</v>
      </c>
      <c r="K581" s="194">
        <f>IF(_1_5412845612146241046457891017456[[#This Row],[Discount selection]]&gt;0,VLOOKUP(_1_5412845612146241046457891017456[[#This Row],[Discount selection]],'Discount Structure'!$A$2:$B$30,2,"false"),0)</f>
        <v>1</v>
      </c>
      <c r="L581" s="194">
        <f>_1_5412845612146241046457891017456[[#This Row],[LIST $]]*_1_5412845612146241046457891017456[[#This Row],[DISCOUNT]]*_1_5412845612146241046457891017456[[#This Row],[DISCOUNT 2]]</f>
        <v>0</v>
      </c>
      <c r="M581" s="194">
        <f>IF(OR(_1_5412845612146241046457891017456[[#This Row],[UNIT]]&gt;0,_1_5412845612146241046457891017456[[#This Row],[UNIT]]&lt;0),_1_5412845612146241046457891017456[[#This Row],[UNIT]]*_1_5412845612146241046457891017456[[#This Row],[COST]],0)</f>
        <v>0</v>
      </c>
      <c r="N581" s="194">
        <f t="shared" si="8"/>
        <v>1.3</v>
      </c>
      <c r="O581" s="198">
        <f>_1_5412845612146241046457891017456[[#This Row],[TOTAL]]*_1_5412845612146241046457891017456[[#This Row],[MARGIN]]</f>
        <v>0</v>
      </c>
      <c r="R581" s="41"/>
    </row>
    <row r="582" spans="1:18">
      <c r="D582" s="188"/>
      <c r="F582" s="168" t="s">
        <v>6202</v>
      </c>
      <c r="G582" s="193">
        <f>IF(_1_5412845612146241046457891017456[[#This Row],[Type]]&gt;0,VLOOKUP(_1_5412845612146241046457891017456[[#This Row],[Type]],Main[[#All],[TYPE]:[UNIT]],'Unit Price'!C$1,FALSE),0)</f>
        <v>0</v>
      </c>
      <c r="H582" s="197">
        <f>IF(_1_5412845612146241046457891017456[[#This Row],[Type]]&gt;0,VLOOKUP(_1_5412845612146241046457891017456[[#This Row],[Type]],Main[[#All],[TYPE]:[UNIT]],'Unit Price'!D$1,FALSE),0)</f>
        <v>0</v>
      </c>
      <c r="I582" s="194">
        <f>IF(_1_5412845612146241046457891017456[[#This Row],[Type]]&gt;0,VLOOKUP(_1_5412845612146241046457891017456[[#This Row],[Type]],Main[[#All],[TYPE]:[UNIT]],'Unit Price'!G$1,FALSE),0)</f>
        <v>0</v>
      </c>
      <c r="J582" s="194">
        <f>IF(_1_5412845612146241046457891017456[[#This Row],[Type]]&gt;0,VLOOKUP(_1_5412845612146241046457891017456[[#This Row],[Type]],Main[[#All],[TYPE]:[UNIT]],'Unit Price'!H$1,FALSE),0)</f>
        <v>0</v>
      </c>
      <c r="K582" s="194">
        <f>IF(_1_5412845612146241046457891017456[[#This Row],[Discount selection]]&gt;0,VLOOKUP(_1_5412845612146241046457891017456[[#This Row],[Discount selection]],'Discount Structure'!$A$2:$B$30,2,"false"),0)</f>
        <v>1</v>
      </c>
      <c r="L582" s="194">
        <f>_1_5412845612146241046457891017456[[#This Row],[LIST $]]*_1_5412845612146241046457891017456[[#This Row],[DISCOUNT]]*_1_5412845612146241046457891017456[[#This Row],[DISCOUNT 2]]</f>
        <v>0</v>
      </c>
      <c r="M582" s="194">
        <f>IF(OR(_1_5412845612146241046457891017456[[#This Row],[UNIT]]&gt;0,_1_5412845612146241046457891017456[[#This Row],[UNIT]]&lt;0),_1_5412845612146241046457891017456[[#This Row],[UNIT]]*_1_5412845612146241046457891017456[[#This Row],[COST]],0)</f>
        <v>0</v>
      </c>
      <c r="N582" s="194">
        <f t="shared" si="8"/>
        <v>1.3</v>
      </c>
      <c r="O582" s="198">
        <f>_1_5412845612146241046457891017456[[#This Row],[TOTAL]]*_1_5412845612146241046457891017456[[#This Row],[MARGIN]]</f>
        <v>0</v>
      </c>
      <c r="R582" s="41"/>
    </row>
    <row r="583" spans="1:18">
      <c r="D583" s="188"/>
      <c r="F583" s="168" t="s">
        <v>6202</v>
      </c>
      <c r="G583" s="193">
        <f>IF(_1_5412845612146241046457891017456[[#This Row],[Type]]&gt;0,VLOOKUP(_1_5412845612146241046457891017456[[#This Row],[Type]],Main[[#All],[TYPE]:[UNIT]],'Unit Price'!C$1,FALSE),0)</f>
        <v>0</v>
      </c>
      <c r="H583" s="197">
        <f>IF(_1_5412845612146241046457891017456[[#This Row],[Type]]&gt;0,VLOOKUP(_1_5412845612146241046457891017456[[#This Row],[Type]],Main[[#All],[TYPE]:[UNIT]],'Unit Price'!D$1,FALSE),0)</f>
        <v>0</v>
      </c>
      <c r="I583" s="194">
        <f>IF(_1_5412845612146241046457891017456[[#This Row],[Type]]&gt;0,VLOOKUP(_1_5412845612146241046457891017456[[#This Row],[Type]],Main[[#All],[TYPE]:[UNIT]],'Unit Price'!G$1,FALSE),0)</f>
        <v>0</v>
      </c>
      <c r="J583" s="194">
        <f>IF(_1_5412845612146241046457891017456[[#This Row],[Type]]&gt;0,VLOOKUP(_1_5412845612146241046457891017456[[#This Row],[Type]],Main[[#All],[TYPE]:[UNIT]],'Unit Price'!H$1,FALSE),0)</f>
        <v>0</v>
      </c>
      <c r="K583" s="194">
        <f>IF(_1_5412845612146241046457891017456[[#This Row],[Discount selection]]&gt;0,VLOOKUP(_1_5412845612146241046457891017456[[#This Row],[Discount selection]],'Discount Structure'!$A$2:$B$30,2,"false"),0)</f>
        <v>1</v>
      </c>
      <c r="L583" s="194">
        <f>_1_5412845612146241046457891017456[[#This Row],[LIST $]]*_1_5412845612146241046457891017456[[#This Row],[DISCOUNT]]*_1_5412845612146241046457891017456[[#This Row],[DISCOUNT 2]]</f>
        <v>0</v>
      </c>
      <c r="M583" s="194">
        <f>IF(OR(_1_5412845612146241046457891017456[[#This Row],[UNIT]]&gt;0,_1_5412845612146241046457891017456[[#This Row],[UNIT]]&lt;0),_1_5412845612146241046457891017456[[#This Row],[UNIT]]*_1_5412845612146241046457891017456[[#This Row],[COST]],0)</f>
        <v>0</v>
      </c>
      <c r="N583" s="194">
        <f t="shared" si="8"/>
        <v>1.3</v>
      </c>
      <c r="O583" s="198">
        <f>_1_5412845612146241046457891017456[[#This Row],[TOTAL]]*_1_5412845612146241046457891017456[[#This Row],[MARGIN]]</f>
        <v>0</v>
      </c>
      <c r="R583" s="41"/>
    </row>
    <row r="584" spans="1:18">
      <c r="D584" s="188"/>
      <c r="F584" s="168" t="s">
        <v>6202</v>
      </c>
      <c r="G584" s="193">
        <f>IF(_1_5412845612146241046457891017456[[#This Row],[Type]]&gt;0,VLOOKUP(_1_5412845612146241046457891017456[[#This Row],[Type]],Main[[#All],[TYPE]:[UNIT]],'Unit Price'!C$1,FALSE),0)</f>
        <v>0</v>
      </c>
      <c r="H584" s="197">
        <f>IF(_1_5412845612146241046457891017456[[#This Row],[Type]]&gt;0,VLOOKUP(_1_5412845612146241046457891017456[[#This Row],[Type]],Main[[#All],[TYPE]:[UNIT]],'Unit Price'!D$1,FALSE),0)</f>
        <v>0</v>
      </c>
      <c r="I584" s="194">
        <f>IF(_1_5412845612146241046457891017456[[#This Row],[Type]]&gt;0,VLOOKUP(_1_5412845612146241046457891017456[[#This Row],[Type]],Main[[#All],[TYPE]:[UNIT]],'Unit Price'!G$1,FALSE),0)</f>
        <v>0</v>
      </c>
      <c r="J584" s="194">
        <f>IF(_1_5412845612146241046457891017456[[#This Row],[Type]]&gt;0,VLOOKUP(_1_5412845612146241046457891017456[[#This Row],[Type]],Main[[#All],[TYPE]:[UNIT]],'Unit Price'!H$1,FALSE),0)</f>
        <v>0</v>
      </c>
      <c r="K584" s="194">
        <f>IF(_1_5412845612146241046457891017456[[#This Row],[Discount selection]]&gt;0,VLOOKUP(_1_5412845612146241046457891017456[[#This Row],[Discount selection]],'Discount Structure'!$A$2:$B$30,2,"false"),0)</f>
        <v>1</v>
      </c>
      <c r="L584" s="194">
        <f>_1_5412845612146241046457891017456[[#This Row],[LIST $]]*_1_5412845612146241046457891017456[[#This Row],[DISCOUNT]]*_1_5412845612146241046457891017456[[#This Row],[DISCOUNT 2]]</f>
        <v>0</v>
      </c>
      <c r="M584" s="194">
        <f>IF(OR(_1_5412845612146241046457891017456[[#This Row],[UNIT]]&gt;0,_1_5412845612146241046457891017456[[#This Row],[UNIT]]&lt;0),_1_5412845612146241046457891017456[[#This Row],[UNIT]]*_1_5412845612146241046457891017456[[#This Row],[COST]],0)</f>
        <v>0</v>
      </c>
      <c r="N584" s="194">
        <f t="shared" si="8"/>
        <v>1.3</v>
      </c>
      <c r="O584" s="198">
        <f>_1_5412845612146241046457891017456[[#This Row],[TOTAL]]*_1_5412845612146241046457891017456[[#This Row],[MARGIN]]</f>
        <v>0</v>
      </c>
      <c r="R584" s="41"/>
    </row>
    <row r="585" spans="1:18">
      <c r="D585" s="188"/>
      <c r="F585" s="168" t="s">
        <v>6202</v>
      </c>
      <c r="G585" s="193">
        <f>IF(_1_5412845612146241046457891017456[[#This Row],[Type]]&gt;0,VLOOKUP(_1_5412845612146241046457891017456[[#This Row],[Type]],Main[[#All],[TYPE]:[UNIT]],'Unit Price'!C$1,FALSE),0)</f>
        <v>0</v>
      </c>
      <c r="H585" s="197">
        <f>IF(_1_5412845612146241046457891017456[[#This Row],[Type]]&gt;0,VLOOKUP(_1_5412845612146241046457891017456[[#This Row],[Type]],Main[[#All],[TYPE]:[UNIT]],'Unit Price'!D$1,FALSE),0)</f>
        <v>0</v>
      </c>
      <c r="I585" s="194">
        <f>IF(_1_5412845612146241046457891017456[[#This Row],[Type]]&gt;0,VLOOKUP(_1_5412845612146241046457891017456[[#This Row],[Type]],Main[[#All],[TYPE]:[UNIT]],'Unit Price'!G$1,FALSE),0)</f>
        <v>0</v>
      </c>
      <c r="J585" s="194">
        <f>IF(_1_5412845612146241046457891017456[[#This Row],[Type]]&gt;0,VLOOKUP(_1_5412845612146241046457891017456[[#This Row],[Type]],Main[[#All],[TYPE]:[UNIT]],'Unit Price'!H$1,FALSE),0)</f>
        <v>0</v>
      </c>
      <c r="K585" s="194">
        <f>IF(_1_5412845612146241046457891017456[[#This Row],[Discount selection]]&gt;0,VLOOKUP(_1_5412845612146241046457891017456[[#This Row],[Discount selection]],'Discount Structure'!$A$2:$B$30,2,"false"),0)</f>
        <v>1</v>
      </c>
      <c r="L585" s="194">
        <f>_1_5412845612146241046457891017456[[#This Row],[LIST $]]*_1_5412845612146241046457891017456[[#This Row],[DISCOUNT]]*_1_5412845612146241046457891017456[[#This Row],[DISCOUNT 2]]</f>
        <v>0</v>
      </c>
      <c r="M585" s="194">
        <f>IF(OR(_1_5412845612146241046457891017456[[#This Row],[UNIT]]&gt;0,_1_5412845612146241046457891017456[[#This Row],[UNIT]]&lt;0),_1_5412845612146241046457891017456[[#This Row],[UNIT]]*_1_5412845612146241046457891017456[[#This Row],[COST]],0)</f>
        <v>0</v>
      </c>
      <c r="N585" s="194">
        <f t="shared" si="8"/>
        <v>1.3</v>
      </c>
      <c r="O585" s="198">
        <f>_1_5412845612146241046457891017456[[#This Row],[TOTAL]]*_1_5412845612146241046457891017456[[#This Row],[MARGIN]]</f>
        <v>0</v>
      </c>
      <c r="R585" s="41"/>
    </row>
    <row r="586" spans="1:18">
      <c r="D586" s="188"/>
      <c r="F586" s="168" t="s">
        <v>6202</v>
      </c>
      <c r="G586" s="193">
        <f>IF(_1_5412845612146241046457891017456[[#This Row],[Type]]&gt;0,VLOOKUP(_1_5412845612146241046457891017456[[#This Row],[Type]],Main[[#All],[TYPE]:[UNIT]],'Unit Price'!C$1,FALSE),0)</f>
        <v>0</v>
      </c>
      <c r="H586" s="197">
        <f>IF(_1_5412845612146241046457891017456[[#This Row],[Type]]&gt;0,VLOOKUP(_1_5412845612146241046457891017456[[#This Row],[Type]],Main[[#All],[TYPE]:[UNIT]],'Unit Price'!D$1,FALSE),0)</f>
        <v>0</v>
      </c>
      <c r="I586" s="194">
        <f>IF(_1_5412845612146241046457891017456[[#This Row],[Type]]&gt;0,VLOOKUP(_1_5412845612146241046457891017456[[#This Row],[Type]],Main[[#All],[TYPE]:[UNIT]],'Unit Price'!G$1,FALSE),0)</f>
        <v>0</v>
      </c>
      <c r="J586" s="194">
        <f>IF(_1_5412845612146241046457891017456[[#This Row],[Type]]&gt;0,VLOOKUP(_1_5412845612146241046457891017456[[#This Row],[Type]],Main[[#All],[TYPE]:[UNIT]],'Unit Price'!H$1,FALSE),0)</f>
        <v>0</v>
      </c>
      <c r="K586" s="194">
        <f>IF(_1_5412845612146241046457891017456[[#This Row],[Discount selection]]&gt;0,VLOOKUP(_1_5412845612146241046457891017456[[#This Row],[Discount selection]],'Discount Structure'!$A$2:$B$30,2,"false"),0)</f>
        <v>1</v>
      </c>
      <c r="L586" s="194">
        <f>_1_5412845612146241046457891017456[[#This Row],[LIST $]]*_1_5412845612146241046457891017456[[#This Row],[DISCOUNT]]*_1_5412845612146241046457891017456[[#This Row],[DISCOUNT 2]]</f>
        <v>0</v>
      </c>
      <c r="M586" s="194">
        <f>IF(OR(_1_5412845612146241046457891017456[[#This Row],[UNIT]]&gt;0,_1_5412845612146241046457891017456[[#This Row],[UNIT]]&lt;0),_1_5412845612146241046457891017456[[#This Row],[UNIT]]*_1_5412845612146241046457891017456[[#This Row],[COST]],0)</f>
        <v>0</v>
      </c>
      <c r="N586" s="194">
        <f t="shared" ref="N586:N649" si="9">$N$7</f>
        <v>1.3</v>
      </c>
      <c r="O586" s="198">
        <f>_1_5412845612146241046457891017456[[#This Row],[TOTAL]]*_1_5412845612146241046457891017456[[#This Row],[MARGIN]]</f>
        <v>0</v>
      </c>
      <c r="R586" s="41"/>
    </row>
    <row r="587" spans="1:18">
      <c r="D587" s="188"/>
      <c r="F587" s="168" t="s">
        <v>6202</v>
      </c>
      <c r="G587" s="193">
        <f>IF(_1_5412845612146241046457891017456[[#This Row],[Type]]&gt;0,VLOOKUP(_1_5412845612146241046457891017456[[#This Row],[Type]],Main[[#All],[TYPE]:[UNIT]],'Unit Price'!C$1,FALSE),0)</f>
        <v>0</v>
      </c>
      <c r="H587" s="197">
        <f>IF(_1_5412845612146241046457891017456[[#This Row],[Type]]&gt;0,VLOOKUP(_1_5412845612146241046457891017456[[#This Row],[Type]],Main[[#All],[TYPE]:[UNIT]],'Unit Price'!D$1,FALSE),0)</f>
        <v>0</v>
      </c>
      <c r="I587" s="194">
        <f>IF(_1_5412845612146241046457891017456[[#This Row],[Type]]&gt;0,VLOOKUP(_1_5412845612146241046457891017456[[#This Row],[Type]],Main[[#All],[TYPE]:[UNIT]],'Unit Price'!G$1,FALSE),0)</f>
        <v>0</v>
      </c>
      <c r="J587" s="194">
        <f>IF(_1_5412845612146241046457891017456[[#This Row],[Type]]&gt;0,VLOOKUP(_1_5412845612146241046457891017456[[#This Row],[Type]],Main[[#All],[TYPE]:[UNIT]],'Unit Price'!H$1,FALSE),0)</f>
        <v>0</v>
      </c>
      <c r="K587" s="194">
        <f>IF(_1_5412845612146241046457891017456[[#This Row],[Discount selection]]&gt;0,VLOOKUP(_1_5412845612146241046457891017456[[#This Row],[Discount selection]],'Discount Structure'!$A$2:$B$30,2,"false"),0)</f>
        <v>1</v>
      </c>
      <c r="L587" s="194">
        <f>_1_5412845612146241046457891017456[[#This Row],[LIST $]]*_1_5412845612146241046457891017456[[#This Row],[DISCOUNT]]*_1_5412845612146241046457891017456[[#This Row],[DISCOUNT 2]]</f>
        <v>0</v>
      </c>
      <c r="M587" s="194">
        <f>IF(OR(_1_5412845612146241046457891017456[[#This Row],[UNIT]]&gt;0,_1_5412845612146241046457891017456[[#This Row],[UNIT]]&lt;0),_1_5412845612146241046457891017456[[#This Row],[UNIT]]*_1_5412845612146241046457891017456[[#This Row],[COST]],0)</f>
        <v>0</v>
      </c>
      <c r="N587" s="194">
        <f t="shared" si="9"/>
        <v>1.3</v>
      </c>
      <c r="O587" s="198">
        <f>_1_5412845612146241046457891017456[[#This Row],[TOTAL]]*_1_5412845612146241046457891017456[[#This Row],[MARGIN]]</f>
        <v>0</v>
      </c>
      <c r="R587" s="41"/>
    </row>
    <row r="588" spans="1:18">
      <c r="D588" s="188"/>
      <c r="F588" s="168" t="s">
        <v>6202</v>
      </c>
      <c r="G588" s="193">
        <f>IF(_1_5412845612146241046457891017456[[#This Row],[Type]]&gt;0,VLOOKUP(_1_5412845612146241046457891017456[[#This Row],[Type]],Main[[#All],[TYPE]:[UNIT]],'Unit Price'!C$1,FALSE),0)</f>
        <v>0</v>
      </c>
      <c r="H588" s="197">
        <f>IF(_1_5412845612146241046457891017456[[#This Row],[Type]]&gt;0,VLOOKUP(_1_5412845612146241046457891017456[[#This Row],[Type]],Main[[#All],[TYPE]:[UNIT]],'Unit Price'!D$1,FALSE),0)</f>
        <v>0</v>
      </c>
      <c r="I588" s="194">
        <f>IF(_1_5412845612146241046457891017456[[#This Row],[Type]]&gt;0,VLOOKUP(_1_5412845612146241046457891017456[[#This Row],[Type]],Main[[#All],[TYPE]:[UNIT]],'Unit Price'!G$1,FALSE),0)</f>
        <v>0</v>
      </c>
      <c r="J588" s="194">
        <f>IF(_1_5412845612146241046457891017456[[#This Row],[Type]]&gt;0,VLOOKUP(_1_5412845612146241046457891017456[[#This Row],[Type]],Main[[#All],[TYPE]:[UNIT]],'Unit Price'!H$1,FALSE),0)</f>
        <v>0</v>
      </c>
      <c r="K588" s="194">
        <f>IF(_1_5412845612146241046457891017456[[#This Row],[Discount selection]]&gt;0,VLOOKUP(_1_5412845612146241046457891017456[[#This Row],[Discount selection]],'Discount Structure'!$A$2:$B$30,2,"false"),0)</f>
        <v>1</v>
      </c>
      <c r="L588" s="194">
        <f>_1_5412845612146241046457891017456[[#This Row],[LIST $]]*_1_5412845612146241046457891017456[[#This Row],[DISCOUNT]]*_1_5412845612146241046457891017456[[#This Row],[DISCOUNT 2]]</f>
        <v>0</v>
      </c>
      <c r="M588" s="194">
        <f>IF(OR(_1_5412845612146241046457891017456[[#This Row],[UNIT]]&gt;0,_1_5412845612146241046457891017456[[#This Row],[UNIT]]&lt;0),_1_5412845612146241046457891017456[[#This Row],[UNIT]]*_1_5412845612146241046457891017456[[#This Row],[COST]],0)</f>
        <v>0</v>
      </c>
      <c r="N588" s="194">
        <f t="shared" si="9"/>
        <v>1.3</v>
      </c>
      <c r="O588" s="198">
        <f>_1_5412845612146241046457891017456[[#This Row],[TOTAL]]*_1_5412845612146241046457891017456[[#This Row],[MARGIN]]</f>
        <v>0</v>
      </c>
      <c r="R588" s="41"/>
    </row>
    <row r="589" spans="1:18">
      <c r="D589" s="188"/>
      <c r="F589" s="168" t="s">
        <v>6202</v>
      </c>
      <c r="G589" s="193">
        <f>IF(_1_5412845612146241046457891017456[[#This Row],[Type]]&gt;0,VLOOKUP(_1_5412845612146241046457891017456[[#This Row],[Type]],Main[[#All],[TYPE]:[UNIT]],'Unit Price'!C$1,FALSE),0)</f>
        <v>0</v>
      </c>
      <c r="H589" s="197">
        <f>IF(_1_5412845612146241046457891017456[[#This Row],[Type]]&gt;0,VLOOKUP(_1_5412845612146241046457891017456[[#This Row],[Type]],Main[[#All],[TYPE]:[UNIT]],'Unit Price'!D$1,FALSE),0)</f>
        <v>0</v>
      </c>
      <c r="I589" s="194">
        <f>IF(_1_5412845612146241046457891017456[[#This Row],[Type]]&gt;0,VLOOKUP(_1_5412845612146241046457891017456[[#This Row],[Type]],Main[[#All],[TYPE]:[UNIT]],'Unit Price'!G$1,FALSE),0)</f>
        <v>0</v>
      </c>
      <c r="J589" s="194">
        <f>IF(_1_5412845612146241046457891017456[[#This Row],[Type]]&gt;0,VLOOKUP(_1_5412845612146241046457891017456[[#This Row],[Type]],Main[[#All],[TYPE]:[UNIT]],'Unit Price'!H$1,FALSE),0)</f>
        <v>0</v>
      </c>
      <c r="K589" s="194">
        <f>IF(_1_5412845612146241046457891017456[[#This Row],[Discount selection]]&gt;0,VLOOKUP(_1_5412845612146241046457891017456[[#This Row],[Discount selection]],'Discount Structure'!$A$2:$B$30,2,"false"),0)</f>
        <v>1</v>
      </c>
      <c r="L589" s="194">
        <f>_1_5412845612146241046457891017456[[#This Row],[LIST $]]*_1_5412845612146241046457891017456[[#This Row],[DISCOUNT]]*_1_5412845612146241046457891017456[[#This Row],[DISCOUNT 2]]</f>
        <v>0</v>
      </c>
      <c r="M589" s="194">
        <f>IF(OR(_1_5412845612146241046457891017456[[#This Row],[UNIT]]&gt;0,_1_5412845612146241046457891017456[[#This Row],[UNIT]]&lt;0),_1_5412845612146241046457891017456[[#This Row],[UNIT]]*_1_5412845612146241046457891017456[[#This Row],[COST]],0)</f>
        <v>0</v>
      </c>
      <c r="N589" s="194">
        <f t="shared" si="9"/>
        <v>1.3</v>
      </c>
      <c r="O589" s="198">
        <f>_1_5412845612146241046457891017456[[#This Row],[TOTAL]]*_1_5412845612146241046457891017456[[#This Row],[MARGIN]]</f>
        <v>0</v>
      </c>
      <c r="R589" s="41"/>
    </row>
    <row r="590" spans="1:18">
      <c r="D590" s="188"/>
      <c r="F590" s="168" t="s">
        <v>6202</v>
      </c>
      <c r="G590" s="193">
        <f>IF(_1_5412845612146241046457891017456[[#This Row],[Type]]&gt;0,VLOOKUP(_1_5412845612146241046457891017456[[#This Row],[Type]],Main[[#All],[TYPE]:[UNIT]],'Unit Price'!C$1,FALSE),0)</f>
        <v>0</v>
      </c>
      <c r="H590" s="197">
        <f>IF(_1_5412845612146241046457891017456[[#This Row],[Type]]&gt;0,VLOOKUP(_1_5412845612146241046457891017456[[#This Row],[Type]],Main[[#All],[TYPE]:[UNIT]],'Unit Price'!D$1,FALSE),0)</f>
        <v>0</v>
      </c>
      <c r="I590" s="194">
        <f>IF(_1_5412845612146241046457891017456[[#This Row],[Type]]&gt;0,VLOOKUP(_1_5412845612146241046457891017456[[#This Row],[Type]],Main[[#All],[TYPE]:[UNIT]],'Unit Price'!G$1,FALSE),0)</f>
        <v>0</v>
      </c>
      <c r="J590" s="194">
        <f>IF(_1_5412845612146241046457891017456[[#This Row],[Type]]&gt;0,VLOOKUP(_1_5412845612146241046457891017456[[#This Row],[Type]],Main[[#All],[TYPE]:[UNIT]],'Unit Price'!H$1,FALSE),0)</f>
        <v>0</v>
      </c>
      <c r="K590" s="194">
        <f>IF(_1_5412845612146241046457891017456[[#This Row],[Discount selection]]&gt;0,VLOOKUP(_1_5412845612146241046457891017456[[#This Row],[Discount selection]],'Discount Structure'!$A$2:$B$30,2,"false"),0)</f>
        <v>1</v>
      </c>
      <c r="L590" s="194">
        <f>_1_5412845612146241046457891017456[[#This Row],[LIST $]]*_1_5412845612146241046457891017456[[#This Row],[DISCOUNT]]*_1_5412845612146241046457891017456[[#This Row],[DISCOUNT 2]]</f>
        <v>0</v>
      </c>
      <c r="M590" s="194">
        <f>IF(OR(_1_5412845612146241046457891017456[[#This Row],[UNIT]]&gt;0,_1_5412845612146241046457891017456[[#This Row],[UNIT]]&lt;0),_1_5412845612146241046457891017456[[#This Row],[UNIT]]*_1_5412845612146241046457891017456[[#This Row],[COST]],0)</f>
        <v>0</v>
      </c>
      <c r="N590" s="194">
        <f t="shared" si="9"/>
        <v>1.3</v>
      </c>
      <c r="O590" s="198">
        <f>_1_5412845612146241046457891017456[[#This Row],[TOTAL]]*_1_5412845612146241046457891017456[[#This Row],[MARGIN]]</f>
        <v>0</v>
      </c>
      <c r="R590" s="41"/>
    </row>
    <row r="591" spans="1:18">
      <c r="D591" s="188"/>
      <c r="F591" s="168" t="s">
        <v>6202</v>
      </c>
      <c r="G591" s="193">
        <f>IF(_1_5412845612146241046457891017456[[#This Row],[Type]]&gt;0,VLOOKUP(_1_5412845612146241046457891017456[[#This Row],[Type]],Main[[#All],[TYPE]:[UNIT]],'Unit Price'!C$1,FALSE),0)</f>
        <v>0</v>
      </c>
      <c r="H591" s="197">
        <f>IF(_1_5412845612146241046457891017456[[#This Row],[Type]]&gt;0,VLOOKUP(_1_5412845612146241046457891017456[[#This Row],[Type]],Main[[#All],[TYPE]:[UNIT]],'Unit Price'!D$1,FALSE),0)</f>
        <v>0</v>
      </c>
      <c r="I591" s="194">
        <f>IF(_1_5412845612146241046457891017456[[#This Row],[Type]]&gt;0,VLOOKUP(_1_5412845612146241046457891017456[[#This Row],[Type]],Main[[#All],[TYPE]:[UNIT]],'Unit Price'!G$1,FALSE),0)</f>
        <v>0</v>
      </c>
      <c r="J591" s="194">
        <f>IF(_1_5412845612146241046457891017456[[#This Row],[Type]]&gt;0,VLOOKUP(_1_5412845612146241046457891017456[[#This Row],[Type]],Main[[#All],[TYPE]:[UNIT]],'Unit Price'!H$1,FALSE),0)</f>
        <v>0</v>
      </c>
      <c r="K591" s="194">
        <f>IF(_1_5412845612146241046457891017456[[#This Row],[Discount selection]]&gt;0,VLOOKUP(_1_5412845612146241046457891017456[[#This Row],[Discount selection]],'Discount Structure'!$A$2:$B$30,2,"false"),0)</f>
        <v>1</v>
      </c>
      <c r="L591" s="194">
        <f>_1_5412845612146241046457891017456[[#This Row],[LIST $]]*_1_5412845612146241046457891017456[[#This Row],[DISCOUNT]]*_1_5412845612146241046457891017456[[#This Row],[DISCOUNT 2]]</f>
        <v>0</v>
      </c>
      <c r="M591" s="194">
        <f>IF(OR(_1_5412845612146241046457891017456[[#This Row],[UNIT]]&gt;0,_1_5412845612146241046457891017456[[#This Row],[UNIT]]&lt;0),_1_5412845612146241046457891017456[[#This Row],[UNIT]]*_1_5412845612146241046457891017456[[#This Row],[COST]],0)</f>
        <v>0</v>
      </c>
      <c r="N591" s="194">
        <f t="shared" si="9"/>
        <v>1.3</v>
      </c>
      <c r="O591" s="198">
        <f>_1_5412845612146241046457891017456[[#This Row],[TOTAL]]*_1_5412845612146241046457891017456[[#This Row],[MARGIN]]</f>
        <v>0</v>
      </c>
      <c r="R591" s="41"/>
    </row>
    <row r="592" spans="1:18">
      <c r="D592" s="188"/>
      <c r="F592" s="168" t="s">
        <v>6202</v>
      </c>
      <c r="G592" s="193">
        <f>IF(_1_5412845612146241046457891017456[[#This Row],[Type]]&gt;0,VLOOKUP(_1_5412845612146241046457891017456[[#This Row],[Type]],Main[[#All],[TYPE]:[UNIT]],'Unit Price'!C$1,FALSE),0)</f>
        <v>0</v>
      </c>
      <c r="H592" s="197">
        <f>IF(_1_5412845612146241046457891017456[[#This Row],[Type]]&gt;0,VLOOKUP(_1_5412845612146241046457891017456[[#This Row],[Type]],Main[[#All],[TYPE]:[UNIT]],'Unit Price'!D$1,FALSE),0)</f>
        <v>0</v>
      </c>
      <c r="I592" s="194">
        <f>IF(_1_5412845612146241046457891017456[[#This Row],[Type]]&gt;0,VLOOKUP(_1_5412845612146241046457891017456[[#This Row],[Type]],Main[[#All],[TYPE]:[UNIT]],'Unit Price'!G$1,FALSE),0)</f>
        <v>0</v>
      </c>
      <c r="J592" s="194">
        <f>IF(_1_5412845612146241046457891017456[[#This Row],[Type]]&gt;0,VLOOKUP(_1_5412845612146241046457891017456[[#This Row],[Type]],Main[[#All],[TYPE]:[UNIT]],'Unit Price'!H$1,FALSE),0)</f>
        <v>0</v>
      </c>
      <c r="K592" s="194">
        <f>IF(_1_5412845612146241046457891017456[[#This Row],[Discount selection]]&gt;0,VLOOKUP(_1_5412845612146241046457891017456[[#This Row],[Discount selection]],'Discount Structure'!$A$2:$B$30,2,"false"),0)</f>
        <v>1</v>
      </c>
      <c r="L592" s="194">
        <f>_1_5412845612146241046457891017456[[#This Row],[LIST $]]*_1_5412845612146241046457891017456[[#This Row],[DISCOUNT]]*_1_5412845612146241046457891017456[[#This Row],[DISCOUNT 2]]</f>
        <v>0</v>
      </c>
      <c r="M592" s="194">
        <f>IF(OR(_1_5412845612146241046457891017456[[#This Row],[UNIT]]&gt;0,_1_5412845612146241046457891017456[[#This Row],[UNIT]]&lt;0),_1_5412845612146241046457891017456[[#This Row],[UNIT]]*_1_5412845612146241046457891017456[[#This Row],[COST]],0)</f>
        <v>0</v>
      </c>
      <c r="N592" s="194">
        <f t="shared" si="9"/>
        <v>1.3</v>
      </c>
      <c r="O592" s="198">
        <f>_1_5412845612146241046457891017456[[#This Row],[TOTAL]]*_1_5412845612146241046457891017456[[#This Row],[MARGIN]]</f>
        <v>0</v>
      </c>
      <c r="R592" s="41"/>
    </row>
    <row r="593" spans="4:18">
      <c r="D593" s="188"/>
      <c r="F593" s="168" t="s">
        <v>6202</v>
      </c>
      <c r="G593" s="193">
        <f>IF(_1_5412845612146241046457891017456[[#This Row],[Type]]&gt;0,VLOOKUP(_1_5412845612146241046457891017456[[#This Row],[Type]],Main[[#All],[TYPE]:[UNIT]],'Unit Price'!C$1,FALSE),0)</f>
        <v>0</v>
      </c>
      <c r="H593" s="197">
        <f>IF(_1_5412845612146241046457891017456[[#This Row],[Type]]&gt;0,VLOOKUP(_1_5412845612146241046457891017456[[#This Row],[Type]],Main[[#All],[TYPE]:[UNIT]],'Unit Price'!D$1,FALSE),0)</f>
        <v>0</v>
      </c>
      <c r="I593" s="194">
        <f>IF(_1_5412845612146241046457891017456[[#This Row],[Type]]&gt;0,VLOOKUP(_1_5412845612146241046457891017456[[#This Row],[Type]],Main[[#All],[TYPE]:[UNIT]],'Unit Price'!G$1,FALSE),0)</f>
        <v>0</v>
      </c>
      <c r="J593" s="194">
        <f>IF(_1_5412845612146241046457891017456[[#This Row],[Type]]&gt;0,VLOOKUP(_1_5412845612146241046457891017456[[#This Row],[Type]],Main[[#All],[TYPE]:[UNIT]],'Unit Price'!H$1,FALSE),0)</f>
        <v>0</v>
      </c>
      <c r="K593" s="194">
        <f>IF(_1_5412845612146241046457891017456[[#This Row],[Discount selection]]&gt;0,VLOOKUP(_1_5412845612146241046457891017456[[#This Row],[Discount selection]],'Discount Structure'!$A$2:$B$30,2,"false"),0)</f>
        <v>1</v>
      </c>
      <c r="L593" s="194">
        <f>_1_5412845612146241046457891017456[[#This Row],[LIST $]]*_1_5412845612146241046457891017456[[#This Row],[DISCOUNT]]*_1_5412845612146241046457891017456[[#This Row],[DISCOUNT 2]]</f>
        <v>0</v>
      </c>
      <c r="M593" s="194">
        <f>IF(OR(_1_5412845612146241046457891017456[[#This Row],[UNIT]]&gt;0,_1_5412845612146241046457891017456[[#This Row],[UNIT]]&lt;0),_1_5412845612146241046457891017456[[#This Row],[UNIT]]*_1_5412845612146241046457891017456[[#This Row],[COST]],0)</f>
        <v>0</v>
      </c>
      <c r="N593" s="194">
        <f t="shared" si="9"/>
        <v>1.3</v>
      </c>
      <c r="O593" s="198">
        <f>_1_5412845612146241046457891017456[[#This Row],[TOTAL]]*_1_5412845612146241046457891017456[[#This Row],[MARGIN]]</f>
        <v>0</v>
      </c>
      <c r="R593" s="41"/>
    </row>
    <row r="594" spans="4:18">
      <c r="D594" s="188"/>
      <c r="F594" s="168" t="s">
        <v>6202</v>
      </c>
      <c r="G594" s="193">
        <f>IF(_1_5412845612146241046457891017456[[#This Row],[Type]]&gt;0,VLOOKUP(_1_5412845612146241046457891017456[[#This Row],[Type]],Main[[#All],[TYPE]:[UNIT]],'Unit Price'!C$1,FALSE),0)</f>
        <v>0</v>
      </c>
      <c r="H594" s="197">
        <f>IF(_1_5412845612146241046457891017456[[#This Row],[Type]]&gt;0,VLOOKUP(_1_5412845612146241046457891017456[[#This Row],[Type]],Main[[#All],[TYPE]:[UNIT]],'Unit Price'!D$1,FALSE),0)</f>
        <v>0</v>
      </c>
      <c r="I594" s="194">
        <f>IF(_1_5412845612146241046457891017456[[#This Row],[Type]]&gt;0,VLOOKUP(_1_5412845612146241046457891017456[[#This Row],[Type]],Main[[#All],[TYPE]:[UNIT]],'Unit Price'!G$1,FALSE),0)</f>
        <v>0</v>
      </c>
      <c r="J594" s="194">
        <f>IF(_1_5412845612146241046457891017456[[#This Row],[Type]]&gt;0,VLOOKUP(_1_5412845612146241046457891017456[[#This Row],[Type]],Main[[#All],[TYPE]:[UNIT]],'Unit Price'!H$1,FALSE),0)</f>
        <v>0</v>
      </c>
      <c r="K594" s="194">
        <f>IF(_1_5412845612146241046457891017456[[#This Row],[Discount selection]]&gt;0,VLOOKUP(_1_5412845612146241046457891017456[[#This Row],[Discount selection]],'Discount Structure'!$A$2:$B$30,2,"false"),0)</f>
        <v>1</v>
      </c>
      <c r="L594" s="194">
        <f>_1_5412845612146241046457891017456[[#This Row],[LIST $]]*_1_5412845612146241046457891017456[[#This Row],[DISCOUNT]]*_1_5412845612146241046457891017456[[#This Row],[DISCOUNT 2]]</f>
        <v>0</v>
      </c>
      <c r="M594" s="194">
        <f>IF(OR(_1_5412845612146241046457891017456[[#This Row],[UNIT]]&gt;0,_1_5412845612146241046457891017456[[#This Row],[UNIT]]&lt;0),_1_5412845612146241046457891017456[[#This Row],[UNIT]]*_1_5412845612146241046457891017456[[#This Row],[COST]],0)</f>
        <v>0</v>
      </c>
      <c r="N594" s="194">
        <f t="shared" si="9"/>
        <v>1.3</v>
      </c>
      <c r="O594" s="198">
        <f>_1_5412845612146241046457891017456[[#This Row],[TOTAL]]*_1_5412845612146241046457891017456[[#This Row],[MARGIN]]</f>
        <v>0</v>
      </c>
      <c r="R594" s="41"/>
    </row>
    <row r="595" spans="4:18">
      <c r="D595" s="188"/>
      <c r="F595" s="168" t="s">
        <v>6202</v>
      </c>
      <c r="G595" s="193">
        <f>IF(_1_5412845612146241046457891017456[[#This Row],[Type]]&gt;0,VLOOKUP(_1_5412845612146241046457891017456[[#This Row],[Type]],Main[[#All],[TYPE]:[UNIT]],'Unit Price'!C$1,FALSE),0)</f>
        <v>0</v>
      </c>
      <c r="H595" s="197">
        <f>IF(_1_5412845612146241046457891017456[[#This Row],[Type]]&gt;0,VLOOKUP(_1_5412845612146241046457891017456[[#This Row],[Type]],Main[[#All],[TYPE]:[UNIT]],'Unit Price'!D$1,FALSE),0)</f>
        <v>0</v>
      </c>
      <c r="I595" s="194">
        <f>IF(_1_5412845612146241046457891017456[[#This Row],[Type]]&gt;0,VLOOKUP(_1_5412845612146241046457891017456[[#This Row],[Type]],Main[[#All],[TYPE]:[UNIT]],'Unit Price'!G$1,FALSE),0)</f>
        <v>0</v>
      </c>
      <c r="J595" s="194">
        <f>IF(_1_5412845612146241046457891017456[[#This Row],[Type]]&gt;0,VLOOKUP(_1_5412845612146241046457891017456[[#This Row],[Type]],Main[[#All],[TYPE]:[UNIT]],'Unit Price'!H$1,FALSE),0)</f>
        <v>0</v>
      </c>
      <c r="K595" s="194">
        <f>IF(_1_5412845612146241046457891017456[[#This Row],[Discount selection]]&gt;0,VLOOKUP(_1_5412845612146241046457891017456[[#This Row],[Discount selection]],'Discount Structure'!$A$2:$B$30,2,"false"),0)</f>
        <v>1</v>
      </c>
      <c r="L595" s="194">
        <f>_1_5412845612146241046457891017456[[#This Row],[LIST $]]*_1_5412845612146241046457891017456[[#This Row],[DISCOUNT]]*_1_5412845612146241046457891017456[[#This Row],[DISCOUNT 2]]</f>
        <v>0</v>
      </c>
      <c r="M595" s="194">
        <f>IF(OR(_1_5412845612146241046457891017456[[#This Row],[UNIT]]&gt;0,_1_5412845612146241046457891017456[[#This Row],[UNIT]]&lt;0),_1_5412845612146241046457891017456[[#This Row],[UNIT]]*_1_5412845612146241046457891017456[[#This Row],[COST]],0)</f>
        <v>0</v>
      </c>
      <c r="N595" s="194">
        <f t="shared" si="9"/>
        <v>1.3</v>
      </c>
      <c r="O595" s="198">
        <f>_1_5412845612146241046457891017456[[#This Row],[TOTAL]]*_1_5412845612146241046457891017456[[#This Row],[MARGIN]]</f>
        <v>0</v>
      </c>
      <c r="R595" s="41"/>
    </row>
    <row r="596" spans="4:18">
      <c r="D596" s="188"/>
      <c r="F596" s="168" t="s">
        <v>6202</v>
      </c>
      <c r="G596" s="193">
        <f>IF(_1_5412845612146241046457891017456[[#This Row],[Type]]&gt;0,VLOOKUP(_1_5412845612146241046457891017456[[#This Row],[Type]],Main[[#All],[TYPE]:[UNIT]],'Unit Price'!C$1,FALSE),0)</f>
        <v>0</v>
      </c>
      <c r="H596" s="197">
        <f>IF(_1_5412845612146241046457891017456[[#This Row],[Type]]&gt;0,VLOOKUP(_1_5412845612146241046457891017456[[#This Row],[Type]],Main[[#All],[TYPE]:[UNIT]],'Unit Price'!D$1,FALSE),0)</f>
        <v>0</v>
      </c>
      <c r="I596" s="194">
        <f>IF(_1_5412845612146241046457891017456[[#This Row],[Type]]&gt;0,VLOOKUP(_1_5412845612146241046457891017456[[#This Row],[Type]],Main[[#All],[TYPE]:[UNIT]],'Unit Price'!G$1,FALSE),0)</f>
        <v>0</v>
      </c>
      <c r="J596" s="194">
        <f>IF(_1_5412845612146241046457891017456[[#This Row],[Type]]&gt;0,VLOOKUP(_1_5412845612146241046457891017456[[#This Row],[Type]],Main[[#All],[TYPE]:[UNIT]],'Unit Price'!H$1,FALSE),0)</f>
        <v>0</v>
      </c>
      <c r="K596" s="194">
        <f>IF(_1_5412845612146241046457891017456[[#This Row],[Discount selection]]&gt;0,VLOOKUP(_1_5412845612146241046457891017456[[#This Row],[Discount selection]],'Discount Structure'!$A$2:$B$30,2,"false"),0)</f>
        <v>1</v>
      </c>
      <c r="L596" s="194">
        <f>_1_5412845612146241046457891017456[[#This Row],[LIST $]]*_1_5412845612146241046457891017456[[#This Row],[DISCOUNT]]*_1_5412845612146241046457891017456[[#This Row],[DISCOUNT 2]]</f>
        <v>0</v>
      </c>
      <c r="M596" s="194">
        <f>IF(OR(_1_5412845612146241046457891017456[[#This Row],[UNIT]]&gt;0,_1_5412845612146241046457891017456[[#This Row],[UNIT]]&lt;0),_1_5412845612146241046457891017456[[#This Row],[UNIT]]*_1_5412845612146241046457891017456[[#This Row],[COST]],0)</f>
        <v>0</v>
      </c>
      <c r="N596" s="194">
        <f t="shared" si="9"/>
        <v>1.3</v>
      </c>
      <c r="O596" s="198">
        <f>_1_5412845612146241046457891017456[[#This Row],[TOTAL]]*_1_5412845612146241046457891017456[[#This Row],[MARGIN]]</f>
        <v>0</v>
      </c>
      <c r="R596" s="41"/>
    </row>
    <row r="597" spans="4:18">
      <c r="D597" s="188"/>
      <c r="F597" s="168" t="s">
        <v>6202</v>
      </c>
      <c r="G597" s="193">
        <f>IF(_1_5412845612146241046457891017456[[#This Row],[Type]]&gt;0,VLOOKUP(_1_5412845612146241046457891017456[[#This Row],[Type]],Main[[#All],[TYPE]:[UNIT]],'Unit Price'!C$1,FALSE),0)</f>
        <v>0</v>
      </c>
      <c r="H597" s="197">
        <f>IF(_1_5412845612146241046457891017456[[#This Row],[Type]]&gt;0,VLOOKUP(_1_5412845612146241046457891017456[[#This Row],[Type]],Main[[#All],[TYPE]:[UNIT]],'Unit Price'!D$1,FALSE),0)</f>
        <v>0</v>
      </c>
      <c r="I597" s="194">
        <f>IF(_1_5412845612146241046457891017456[[#This Row],[Type]]&gt;0,VLOOKUP(_1_5412845612146241046457891017456[[#This Row],[Type]],Main[[#All],[TYPE]:[UNIT]],'Unit Price'!G$1,FALSE),0)</f>
        <v>0</v>
      </c>
      <c r="J597" s="194">
        <f>IF(_1_5412845612146241046457891017456[[#This Row],[Type]]&gt;0,VLOOKUP(_1_5412845612146241046457891017456[[#This Row],[Type]],Main[[#All],[TYPE]:[UNIT]],'Unit Price'!H$1,FALSE),0)</f>
        <v>0</v>
      </c>
      <c r="K597" s="194">
        <f>IF(_1_5412845612146241046457891017456[[#This Row],[Discount selection]]&gt;0,VLOOKUP(_1_5412845612146241046457891017456[[#This Row],[Discount selection]],'Discount Structure'!$A$2:$B$30,2,"false"),0)</f>
        <v>1</v>
      </c>
      <c r="L597" s="194">
        <f>_1_5412845612146241046457891017456[[#This Row],[LIST $]]*_1_5412845612146241046457891017456[[#This Row],[DISCOUNT]]*_1_5412845612146241046457891017456[[#This Row],[DISCOUNT 2]]</f>
        <v>0</v>
      </c>
      <c r="M597" s="194">
        <f>IF(OR(_1_5412845612146241046457891017456[[#This Row],[UNIT]]&gt;0,_1_5412845612146241046457891017456[[#This Row],[UNIT]]&lt;0),_1_5412845612146241046457891017456[[#This Row],[UNIT]]*_1_5412845612146241046457891017456[[#This Row],[COST]],0)</f>
        <v>0</v>
      </c>
      <c r="N597" s="194">
        <f t="shared" si="9"/>
        <v>1.3</v>
      </c>
      <c r="O597" s="198">
        <f>_1_5412845612146241046457891017456[[#This Row],[TOTAL]]*_1_5412845612146241046457891017456[[#This Row],[MARGIN]]</f>
        <v>0</v>
      </c>
      <c r="R597" s="41"/>
    </row>
    <row r="598" spans="4:18">
      <c r="D598" s="188"/>
      <c r="F598" s="168" t="s">
        <v>6202</v>
      </c>
      <c r="G598" s="193">
        <f>IF(_1_5412845612146241046457891017456[[#This Row],[Type]]&gt;0,VLOOKUP(_1_5412845612146241046457891017456[[#This Row],[Type]],Main[[#All],[TYPE]:[UNIT]],'Unit Price'!C$1,FALSE),0)</f>
        <v>0</v>
      </c>
      <c r="H598" s="197">
        <f>IF(_1_5412845612146241046457891017456[[#This Row],[Type]]&gt;0,VLOOKUP(_1_5412845612146241046457891017456[[#This Row],[Type]],Main[[#All],[TYPE]:[UNIT]],'Unit Price'!D$1,FALSE),0)</f>
        <v>0</v>
      </c>
      <c r="I598" s="194">
        <f>IF(_1_5412845612146241046457891017456[[#This Row],[Type]]&gt;0,VLOOKUP(_1_5412845612146241046457891017456[[#This Row],[Type]],Main[[#All],[TYPE]:[UNIT]],'Unit Price'!G$1,FALSE),0)</f>
        <v>0</v>
      </c>
      <c r="J598" s="194">
        <f>IF(_1_5412845612146241046457891017456[[#This Row],[Type]]&gt;0,VLOOKUP(_1_5412845612146241046457891017456[[#This Row],[Type]],Main[[#All],[TYPE]:[UNIT]],'Unit Price'!H$1,FALSE),0)</f>
        <v>0</v>
      </c>
      <c r="K598" s="194">
        <f>IF(_1_5412845612146241046457891017456[[#This Row],[Discount selection]]&gt;0,VLOOKUP(_1_5412845612146241046457891017456[[#This Row],[Discount selection]],'Discount Structure'!$A$2:$B$30,2,"false"),0)</f>
        <v>1</v>
      </c>
      <c r="L598" s="194">
        <f>_1_5412845612146241046457891017456[[#This Row],[LIST $]]*_1_5412845612146241046457891017456[[#This Row],[DISCOUNT]]*_1_5412845612146241046457891017456[[#This Row],[DISCOUNT 2]]</f>
        <v>0</v>
      </c>
      <c r="M598" s="194">
        <f>IF(OR(_1_5412845612146241046457891017456[[#This Row],[UNIT]]&gt;0,_1_5412845612146241046457891017456[[#This Row],[UNIT]]&lt;0),_1_5412845612146241046457891017456[[#This Row],[UNIT]]*_1_5412845612146241046457891017456[[#This Row],[COST]],0)</f>
        <v>0</v>
      </c>
      <c r="N598" s="194">
        <f t="shared" si="9"/>
        <v>1.3</v>
      </c>
      <c r="O598" s="198">
        <f>_1_5412845612146241046457891017456[[#This Row],[TOTAL]]*_1_5412845612146241046457891017456[[#This Row],[MARGIN]]</f>
        <v>0</v>
      </c>
      <c r="R598" s="41"/>
    </row>
    <row r="599" spans="4:18">
      <c r="D599" s="188"/>
      <c r="F599" s="168" t="s">
        <v>6202</v>
      </c>
      <c r="G599" s="193">
        <f>IF(_1_5412845612146241046457891017456[[#This Row],[Type]]&gt;0,VLOOKUP(_1_5412845612146241046457891017456[[#This Row],[Type]],Main[[#All],[TYPE]:[UNIT]],'Unit Price'!C$1,FALSE),0)</f>
        <v>0</v>
      </c>
      <c r="H599" s="197">
        <f>IF(_1_5412845612146241046457891017456[[#This Row],[Type]]&gt;0,VLOOKUP(_1_5412845612146241046457891017456[[#This Row],[Type]],Main[[#All],[TYPE]:[UNIT]],'Unit Price'!D$1,FALSE),0)</f>
        <v>0</v>
      </c>
      <c r="I599" s="194">
        <f>IF(_1_5412845612146241046457891017456[[#This Row],[Type]]&gt;0,VLOOKUP(_1_5412845612146241046457891017456[[#This Row],[Type]],Main[[#All],[TYPE]:[UNIT]],'Unit Price'!G$1,FALSE),0)</f>
        <v>0</v>
      </c>
      <c r="J599" s="194">
        <f>IF(_1_5412845612146241046457891017456[[#This Row],[Type]]&gt;0,VLOOKUP(_1_5412845612146241046457891017456[[#This Row],[Type]],Main[[#All],[TYPE]:[UNIT]],'Unit Price'!H$1,FALSE),0)</f>
        <v>0</v>
      </c>
      <c r="K599" s="194">
        <f>IF(_1_5412845612146241046457891017456[[#This Row],[Discount selection]]&gt;0,VLOOKUP(_1_5412845612146241046457891017456[[#This Row],[Discount selection]],'Discount Structure'!$A$2:$B$30,2,"false"),0)</f>
        <v>1</v>
      </c>
      <c r="L599" s="194">
        <f>_1_5412845612146241046457891017456[[#This Row],[LIST $]]*_1_5412845612146241046457891017456[[#This Row],[DISCOUNT]]*_1_5412845612146241046457891017456[[#This Row],[DISCOUNT 2]]</f>
        <v>0</v>
      </c>
      <c r="M599" s="194">
        <f>IF(OR(_1_5412845612146241046457891017456[[#This Row],[UNIT]]&gt;0,_1_5412845612146241046457891017456[[#This Row],[UNIT]]&lt;0),_1_5412845612146241046457891017456[[#This Row],[UNIT]]*_1_5412845612146241046457891017456[[#This Row],[COST]],0)</f>
        <v>0</v>
      </c>
      <c r="N599" s="194">
        <f t="shared" si="9"/>
        <v>1.3</v>
      </c>
      <c r="O599" s="198">
        <f>_1_5412845612146241046457891017456[[#This Row],[TOTAL]]*_1_5412845612146241046457891017456[[#This Row],[MARGIN]]</f>
        <v>0</v>
      </c>
      <c r="R599" s="41"/>
    </row>
    <row r="600" spans="4:18">
      <c r="D600" s="188"/>
      <c r="F600" s="168" t="s">
        <v>6202</v>
      </c>
      <c r="G600" s="193">
        <f>IF(_1_5412845612146241046457891017456[[#This Row],[Type]]&gt;0,VLOOKUP(_1_5412845612146241046457891017456[[#This Row],[Type]],Main[[#All],[TYPE]:[UNIT]],'Unit Price'!C$1,FALSE),0)</f>
        <v>0</v>
      </c>
      <c r="H600" s="197">
        <f>IF(_1_5412845612146241046457891017456[[#This Row],[Type]]&gt;0,VLOOKUP(_1_5412845612146241046457891017456[[#This Row],[Type]],Main[[#All],[TYPE]:[UNIT]],'Unit Price'!D$1,FALSE),0)</f>
        <v>0</v>
      </c>
      <c r="I600" s="194">
        <f>IF(_1_5412845612146241046457891017456[[#This Row],[Type]]&gt;0,VLOOKUP(_1_5412845612146241046457891017456[[#This Row],[Type]],Main[[#All],[TYPE]:[UNIT]],'Unit Price'!G$1,FALSE),0)</f>
        <v>0</v>
      </c>
      <c r="J600" s="194">
        <f>IF(_1_5412845612146241046457891017456[[#This Row],[Type]]&gt;0,VLOOKUP(_1_5412845612146241046457891017456[[#This Row],[Type]],Main[[#All],[TYPE]:[UNIT]],'Unit Price'!H$1,FALSE),0)</f>
        <v>0</v>
      </c>
      <c r="K600" s="194">
        <f>IF(_1_5412845612146241046457891017456[[#This Row],[Discount selection]]&gt;0,VLOOKUP(_1_5412845612146241046457891017456[[#This Row],[Discount selection]],'Discount Structure'!$A$2:$B$30,2,"false"),0)</f>
        <v>1</v>
      </c>
      <c r="L600" s="194">
        <f>_1_5412845612146241046457891017456[[#This Row],[LIST $]]*_1_5412845612146241046457891017456[[#This Row],[DISCOUNT]]*_1_5412845612146241046457891017456[[#This Row],[DISCOUNT 2]]</f>
        <v>0</v>
      </c>
      <c r="M600" s="194">
        <f>IF(OR(_1_5412845612146241046457891017456[[#This Row],[UNIT]]&gt;0,_1_5412845612146241046457891017456[[#This Row],[UNIT]]&lt;0),_1_5412845612146241046457891017456[[#This Row],[UNIT]]*_1_5412845612146241046457891017456[[#This Row],[COST]],0)</f>
        <v>0</v>
      </c>
      <c r="N600" s="194">
        <f t="shared" si="9"/>
        <v>1.3</v>
      </c>
      <c r="O600" s="198">
        <f>_1_5412845612146241046457891017456[[#This Row],[TOTAL]]*_1_5412845612146241046457891017456[[#This Row],[MARGIN]]</f>
        <v>0</v>
      </c>
      <c r="R600" s="41"/>
    </row>
    <row r="601" spans="4:18">
      <c r="D601" s="188"/>
      <c r="F601" s="168" t="s">
        <v>6202</v>
      </c>
      <c r="G601" s="193">
        <f>IF(_1_5412845612146241046457891017456[[#This Row],[Type]]&gt;0,VLOOKUP(_1_5412845612146241046457891017456[[#This Row],[Type]],Main[[#All],[TYPE]:[UNIT]],'Unit Price'!C$1,FALSE),0)</f>
        <v>0</v>
      </c>
      <c r="H601" s="197">
        <f>IF(_1_5412845612146241046457891017456[[#This Row],[Type]]&gt;0,VLOOKUP(_1_5412845612146241046457891017456[[#This Row],[Type]],Main[[#All],[TYPE]:[UNIT]],'Unit Price'!D$1,FALSE),0)</f>
        <v>0</v>
      </c>
      <c r="I601" s="194">
        <f>IF(_1_5412845612146241046457891017456[[#This Row],[Type]]&gt;0,VLOOKUP(_1_5412845612146241046457891017456[[#This Row],[Type]],Main[[#All],[TYPE]:[UNIT]],'Unit Price'!G$1,FALSE),0)</f>
        <v>0</v>
      </c>
      <c r="J601" s="194">
        <f>IF(_1_5412845612146241046457891017456[[#This Row],[Type]]&gt;0,VLOOKUP(_1_5412845612146241046457891017456[[#This Row],[Type]],Main[[#All],[TYPE]:[UNIT]],'Unit Price'!H$1,FALSE),0)</f>
        <v>0</v>
      </c>
      <c r="K601" s="194">
        <f>IF(_1_5412845612146241046457891017456[[#This Row],[Discount selection]]&gt;0,VLOOKUP(_1_5412845612146241046457891017456[[#This Row],[Discount selection]],'Discount Structure'!$A$2:$B$30,2,"false"),0)</f>
        <v>1</v>
      </c>
      <c r="L601" s="194">
        <f>_1_5412845612146241046457891017456[[#This Row],[LIST $]]*_1_5412845612146241046457891017456[[#This Row],[DISCOUNT]]*_1_5412845612146241046457891017456[[#This Row],[DISCOUNT 2]]</f>
        <v>0</v>
      </c>
      <c r="M601" s="194">
        <f>IF(OR(_1_5412845612146241046457891017456[[#This Row],[UNIT]]&gt;0,_1_5412845612146241046457891017456[[#This Row],[UNIT]]&lt;0),_1_5412845612146241046457891017456[[#This Row],[UNIT]]*_1_5412845612146241046457891017456[[#This Row],[COST]],0)</f>
        <v>0</v>
      </c>
      <c r="N601" s="194">
        <f t="shared" si="9"/>
        <v>1.3</v>
      </c>
      <c r="O601" s="198">
        <f>_1_5412845612146241046457891017456[[#This Row],[TOTAL]]*_1_5412845612146241046457891017456[[#This Row],[MARGIN]]</f>
        <v>0</v>
      </c>
      <c r="R601" s="41"/>
    </row>
    <row r="602" spans="4:18">
      <c r="D602" s="188"/>
      <c r="F602" s="168" t="s">
        <v>6202</v>
      </c>
      <c r="G602" s="193">
        <f>IF(_1_5412845612146241046457891017456[[#This Row],[Type]]&gt;0,VLOOKUP(_1_5412845612146241046457891017456[[#This Row],[Type]],Main[[#All],[TYPE]:[UNIT]],'Unit Price'!C$1,FALSE),0)</f>
        <v>0</v>
      </c>
      <c r="H602" s="197">
        <f>IF(_1_5412845612146241046457891017456[[#This Row],[Type]]&gt;0,VLOOKUP(_1_5412845612146241046457891017456[[#This Row],[Type]],Main[[#All],[TYPE]:[UNIT]],'Unit Price'!D$1,FALSE),0)</f>
        <v>0</v>
      </c>
      <c r="I602" s="194">
        <f>IF(_1_5412845612146241046457891017456[[#This Row],[Type]]&gt;0,VLOOKUP(_1_5412845612146241046457891017456[[#This Row],[Type]],Main[[#All],[TYPE]:[UNIT]],'Unit Price'!G$1,FALSE),0)</f>
        <v>0</v>
      </c>
      <c r="J602" s="194">
        <f>IF(_1_5412845612146241046457891017456[[#This Row],[Type]]&gt;0,VLOOKUP(_1_5412845612146241046457891017456[[#This Row],[Type]],Main[[#All],[TYPE]:[UNIT]],'Unit Price'!H$1,FALSE),0)</f>
        <v>0</v>
      </c>
      <c r="K602" s="194">
        <f>IF(_1_5412845612146241046457891017456[[#This Row],[Discount selection]]&gt;0,VLOOKUP(_1_5412845612146241046457891017456[[#This Row],[Discount selection]],'Discount Structure'!$A$2:$B$30,2,"false"),0)</f>
        <v>1</v>
      </c>
      <c r="L602" s="194">
        <f>_1_5412845612146241046457891017456[[#This Row],[LIST $]]*_1_5412845612146241046457891017456[[#This Row],[DISCOUNT]]*_1_5412845612146241046457891017456[[#This Row],[DISCOUNT 2]]</f>
        <v>0</v>
      </c>
      <c r="M602" s="194">
        <f>IF(OR(_1_5412845612146241046457891017456[[#This Row],[UNIT]]&gt;0,_1_5412845612146241046457891017456[[#This Row],[UNIT]]&lt;0),_1_5412845612146241046457891017456[[#This Row],[UNIT]]*_1_5412845612146241046457891017456[[#This Row],[COST]],0)</f>
        <v>0</v>
      </c>
      <c r="N602" s="194">
        <f t="shared" si="9"/>
        <v>1.3</v>
      </c>
      <c r="O602" s="198">
        <f>_1_5412845612146241046457891017456[[#This Row],[TOTAL]]*_1_5412845612146241046457891017456[[#This Row],[MARGIN]]</f>
        <v>0</v>
      </c>
      <c r="R602" s="41"/>
    </row>
    <row r="603" spans="4:18">
      <c r="D603" s="188"/>
      <c r="F603" s="168" t="s">
        <v>6202</v>
      </c>
      <c r="G603" s="193">
        <f>IF(_1_5412845612146241046457891017456[[#This Row],[Type]]&gt;0,VLOOKUP(_1_5412845612146241046457891017456[[#This Row],[Type]],Main[[#All],[TYPE]:[UNIT]],'Unit Price'!C$1,FALSE),0)</f>
        <v>0</v>
      </c>
      <c r="H603" s="197">
        <f>IF(_1_5412845612146241046457891017456[[#This Row],[Type]]&gt;0,VLOOKUP(_1_5412845612146241046457891017456[[#This Row],[Type]],Main[[#All],[TYPE]:[UNIT]],'Unit Price'!D$1,FALSE),0)</f>
        <v>0</v>
      </c>
      <c r="I603" s="194">
        <f>IF(_1_5412845612146241046457891017456[[#This Row],[Type]]&gt;0,VLOOKUP(_1_5412845612146241046457891017456[[#This Row],[Type]],Main[[#All],[TYPE]:[UNIT]],'Unit Price'!G$1,FALSE),0)</f>
        <v>0</v>
      </c>
      <c r="J603" s="194">
        <f>IF(_1_5412845612146241046457891017456[[#This Row],[Type]]&gt;0,VLOOKUP(_1_5412845612146241046457891017456[[#This Row],[Type]],Main[[#All],[TYPE]:[UNIT]],'Unit Price'!H$1,FALSE),0)</f>
        <v>0</v>
      </c>
      <c r="K603" s="194">
        <f>IF(_1_5412845612146241046457891017456[[#This Row],[Discount selection]]&gt;0,VLOOKUP(_1_5412845612146241046457891017456[[#This Row],[Discount selection]],'Discount Structure'!$A$2:$B$30,2,"false"),0)</f>
        <v>1</v>
      </c>
      <c r="L603" s="194">
        <f>_1_5412845612146241046457891017456[[#This Row],[LIST $]]*_1_5412845612146241046457891017456[[#This Row],[DISCOUNT]]*_1_5412845612146241046457891017456[[#This Row],[DISCOUNT 2]]</f>
        <v>0</v>
      </c>
      <c r="M603" s="194">
        <f>IF(OR(_1_5412845612146241046457891017456[[#This Row],[UNIT]]&gt;0,_1_5412845612146241046457891017456[[#This Row],[UNIT]]&lt;0),_1_5412845612146241046457891017456[[#This Row],[UNIT]]*_1_5412845612146241046457891017456[[#This Row],[COST]],0)</f>
        <v>0</v>
      </c>
      <c r="N603" s="194">
        <f t="shared" si="9"/>
        <v>1.3</v>
      </c>
      <c r="O603" s="198">
        <f>_1_5412845612146241046457891017456[[#This Row],[TOTAL]]*_1_5412845612146241046457891017456[[#This Row],[MARGIN]]</f>
        <v>0</v>
      </c>
      <c r="R603" s="41"/>
    </row>
    <row r="604" spans="4:18">
      <c r="D604" s="188"/>
      <c r="F604" s="168" t="s">
        <v>6202</v>
      </c>
      <c r="G604" s="193">
        <f>IF(_1_5412845612146241046457891017456[[#This Row],[Type]]&gt;0,VLOOKUP(_1_5412845612146241046457891017456[[#This Row],[Type]],Main[[#All],[TYPE]:[UNIT]],'Unit Price'!C$1,FALSE),0)</f>
        <v>0</v>
      </c>
      <c r="H604" s="197">
        <f>IF(_1_5412845612146241046457891017456[[#This Row],[Type]]&gt;0,VLOOKUP(_1_5412845612146241046457891017456[[#This Row],[Type]],Main[[#All],[TYPE]:[UNIT]],'Unit Price'!D$1,FALSE),0)</f>
        <v>0</v>
      </c>
      <c r="I604" s="194">
        <f>IF(_1_5412845612146241046457891017456[[#This Row],[Type]]&gt;0,VLOOKUP(_1_5412845612146241046457891017456[[#This Row],[Type]],Main[[#All],[TYPE]:[UNIT]],'Unit Price'!G$1,FALSE),0)</f>
        <v>0</v>
      </c>
      <c r="J604" s="194">
        <f>IF(_1_5412845612146241046457891017456[[#This Row],[Type]]&gt;0,VLOOKUP(_1_5412845612146241046457891017456[[#This Row],[Type]],Main[[#All],[TYPE]:[UNIT]],'Unit Price'!H$1,FALSE),0)</f>
        <v>0</v>
      </c>
      <c r="K604" s="194">
        <f>IF(_1_5412845612146241046457891017456[[#This Row],[Discount selection]]&gt;0,VLOOKUP(_1_5412845612146241046457891017456[[#This Row],[Discount selection]],'Discount Structure'!$A$2:$B$30,2,"false"),0)</f>
        <v>1</v>
      </c>
      <c r="L604" s="194">
        <f>_1_5412845612146241046457891017456[[#This Row],[LIST $]]*_1_5412845612146241046457891017456[[#This Row],[DISCOUNT]]*_1_5412845612146241046457891017456[[#This Row],[DISCOUNT 2]]</f>
        <v>0</v>
      </c>
      <c r="M604" s="194">
        <f>IF(OR(_1_5412845612146241046457891017456[[#This Row],[UNIT]]&gt;0,_1_5412845612146241046457891017456[[#This Row],[UNIT]]&lt;0),_1_5412845612146241046457891017456[[#This Row],[UNIT]]*_1_5412845612146241046457891017456[[#This Row],[COST]],0)</f>
        <v>0</v>
      </c>
      <c r="N604" s="194">
        <f t="shared" si="9"/>
        <v>1.3</v>
      </c>
      <c r="O604" s="198">
        <f>_1_5412845612146241046457891017456[[#This Row],[TOTAL]]*_1_5412845612146241046457891017456[[#This Row],[MARGIN]]</f>
        <v>0</v>
      </c>
      <c r="R604" s="41"/>
    </row>
    <row r="605" spans="4:18">
      <c r="D605" s="188"/>
      <c r="F605" s="168" t="s">
        <v>6202</v>
      </c>
      <c r="G605" s="193">
        <f>IF(_1_5412845612146241046457891017456[[#This Row],[Type]]&gt;0,VLOOKUP(_1_5412845612146241046457891017456[[#This Row],[Type]],Main[[#All],[TYPE]:[UNIT]],'Unit Price'!C$1,FALSE),0)</f>
        <v>0</v>
      </c>
      <c r="H605" s="197">
        <f>IF(_1_5412845612146241046457891017456[[#This Row],[Type]]&gt;0,VLOOKUP(_1_5412845612146241046457891017456[[#This Row],[Type]],Main[[#All],[TYPE]:[UNIT]],'Unit Price'!D$1,FALSE),0)</f>
        <v>0</v>
      </c>
      <c r="I605" s="194">
        <f>IF(_1_5412845612146241046457891017456[[#This Row],[Type]]&gt;0,VLOOKUP(_1_5412845612146241046457891017456[[#This Row],[Type]],Main[[#All],[TYPE]:[UNIT]],'Unit Price'!G$1,FALSE),0)</f>
        <v>0</v>
      </c>
      <c r="J605" s="194">
        <f>IF(_1_5412845612146241046457891017456[[#This Row],[Type]]&gt;0,VLOOKUP(_1_5412845612146241046457891017456[[#This Row],[Type]],Main[[#All],[TYPE]:[UNIT]],'Unit Price'!H$1,FALSE),0)</f>
        <v>0</v>
      </c>
      <c r="K605" s="194">
        <f>IF(_1_5412845612146241046457891017456[[#This Row],[Discount selection]]&gt;0,VLOOKUP(_1_5412845612146241046457891017456[[#This Row],[Discount selection]],'Discount Structure'!$A$2:$B$30,2,"false"),0)</f>
        <v>1</v>
      </c>
      <c r="L605" s="194">
        <f>_1_5412845612146241046457891017456[[#This Row],[LIST $]]*_1_5412845612146241046457891017456[[#This Row],[DISCOUNT]]*_1_5412845612146241046457891017456[[#This Row],[DISCOUNT 2]]</f>
        <v>0</v>
      </c>
      <c r="M605" s="194">
        <f>IF(OR(_1_5412845612146241046457891017456[[#This Row],[UNIT]]&gt;0,_1_5412845612146241046457891017456[[#This Row],[UNIT]]&lt;0),_1_5412845612146241046457891017456[[#This Row],[UNIT]]*_1_5412845612146241046457891017456[[#This Row],[COST]],0)</f>
        <v>0</v>
      </c>
      <c r="N605" s="194">
        <f t="shared" si="9"/>
        <v>1.3</v>
      </c>
      <c r="O605" s="198">
        <f>_1_5412845612146241046457891017456[[#This Row],[TOTAL]]*_1_5412845612146241046457891017456[[#This Row],[MARGIN]]</f>
        <v>0</v>
      </c>
      <c r="R605" s="41"/>
    </row>
    <row r="606" spans="4:18">
      <c r="D606" s="188"/>
      <c r="F606" s="168" t="s">
        <v>6202</v>
      </c>
      <c r="G606" s="193">
        <f>IF(_1_5412845612146241046457891017456[[#This Row],[Type]]&gt;0,VLOOKUP(_1_5412845612146241046457891017456[[#This Row],[Type]],Main[[#All],[TYPE]:[UNIT]],'Unit Price'!C$1,FALSE),0)</f>
        <v>0</v>
      </c>
      <c r="H606" s="197">
        <f>IF(_1_5412845612146241046457891017456[[#This Row],[Type]]&gt;0,VLOOKUP(_1_5412845612146241046457891017456[[#This Row],[Type]],Main[[#All],[TYPE]:[UNIT]],'Unit Price'!D$1,FALSE),0)</f>
        <v>0</v>
      </c>
      <c r="I606" s="194">
        <f>IF(_1_5412845612146241046457891017456[[#This Row],[Type]]&gt;0,VLOOKUP(_1_5412845612146241046457891017456[[#This Row],[Type]],Main[[#All],[TYPE]:[UNIT]],'Unit Price'!G$1,FALSE),0)</f>
        <v>0</v>
      </c>
      <c r="J606" s="194">
        <f>IF(_1_5412845612146241046457891017456[[#This Row],[Type]]&gt;0,VLOOKUP(_1_5412845612146241046457891017456[[#This Row],[Type]],Main[[#All],[TYPE]:[UNIT]],'Unit Price'!H$1,FALSE),0)</f>
        <v>0</v>
      </c>
      <c r="K606" s="194">
        <f>IF(_1_5412845612146241046457891017456[[#This Row],[Discount selection]]&gt;0,VLOOKUP(_1_5412845612146241046457891017456[[#This Row],[Discount selection]],'Discount Structure'!$A$2:$B$30,2,"false"),0)</f>
        <v>1</v>
      </c>
      <c r="L606" s="194">
        <f>_1_5412845612146241046457891017456[[#This Row],[LIST $]]*_1_5412845612146241046457891017456[[#This Row],[DISCOUNT]]*_1_5412845612146241046457891017456[[#This Row],[DISCOUNT 2]]</f>
        <v>0</v>
      </c>
      <c r="M606" s="194">
        <f>IF(OR(_1_5412845612146241046457891017456[[#This Row],[UNIT]]&gt;0,_1_5412845612146241046457891017456[[#This Row],[UNIT]]&lt;0),_1_5412845612146241046457891017456[[#This Row],[UNIT]]*_1_5412845612146241046457891017456[[#This Row],[COST]],0)</f>
        <v>0</v>
      </c>
      <c r="N606" s="194">
        <f t="shared" si="9"/>
        <v>1.3</v>
      </c>
      <c r="O606" s="198">
        <f>_1_5412845612146241046457891017456[[#This Row],[TOTAL]]*_1_5412845612146241046457891017456[[#This Row],[MARGIN]]</f>
        <v>0</v>
      </c>
      <c r="R606" s="41"/>
    </row>
    <row r="607" spans="4:18">
      <c r="D607" s="188"/>
      <c r="F607" s="168" t="s">
        <v>6202</v>
      </c>
      <c r="G607" s="193">
        <f>IF(_1_5412845612146241046457891017456[[#This Row],[Type]]&gt;0,VLOOKUP(_1_5412845612146241046457891017456[[#This Row],[Type]],Main[[#All],[TYPE]:[UNIT]],'Unit Price'!C$1,FALSE),0)</f>
        <v>0</v>
      </c>
      <c r="H607" s="197">
        <f>IF(_1_5412845612146241046457891017456[[#This Row],[Type]]&gt;0,VLOOKUP(_1_5412845612146241046457891017456[[#This Row],[Type]],Main[[#All],[TYPE]:[UNIT]],'Unit Price'!D$1,FALSE),0)</f>
        <v>0</v>
      </c>
      <c r="I607" s="194">
        <f>IF(_1_5412845612146241046457891017456[[#This Row],[Type]]&gt;0,VLOOKUP(_1_5412845612146241046457891017456[[#This Row],[Type]],Main[[#All],[TYPE]:[UNIT]],'Unit Price'!G$1,FALSE),0)</f>
        <v>0</v>
      </c>
      <c r="J607" s="194">
        <f>IF(_1_5412845612146241046457891017456[[#This Row],[Type]]&gt;0,VLOOKUP(_1_5412845612146241046457891017456[[#This Row],[Type]],Main[[#All],[TYPE]:[UNIT]],'Unit Price'!H$1,FALSE),0)</f>
        <v>0</v>
      </c>
      <c r="K607" s="194">
        <f>IF(_1_5412845612146241046457891017456[[#This Row],[Discount selection]]&gt;0,VLOOKUP(_1_5412845612146241046457891017456[[#This Row],[Discount selection]],'Discount Structure'!$A$2:$B$30,2,"false"),0)</f>
        <v>1</v>
      </c>
      <c r="L607" s="194">
        <f>_1_5412845612146241046457891017456[[#This Row],[LIST $]]*_1_5412845612146241046457891017456[[#This Row],[DISCOUNT]]*_1_5412845612146241046457891017456[[#This Row],[DISCOUNT 2]]</f>
        <v>0</v>
      </c>
      <c r="M607" s="194">
        <f>IF(OR(_1_5412845612146241046457891017456[[#This Row],[UNIT]]&gt;0,_1_5412845612146241046457891017456[[#This Row],[UNIT]]&lt;0),_1_5412845612146241046457891017456[[#This Row],[UNIT]]*_1_5412845612146241046457891017456[[#This Row],[COST]],0)</f>
        <v>0</v>
      </c>
      <c r="N607" s="194">
        <f t="shared" si="9"/>
        <v>1.3</v>
      </c>
      <c r="O607" s="198">
        <f>_1_5412845612146241046457891017456[[#This Row],[TOTAL]]*_1_5412845612146241046457891017456[[#This Row],[MARGIN]]</f>
        <v>0</v>
      </c>
      <c r="R607" s="41"/>
    </row>
    <row r="608" spans="4:18">
      <c r="D608" s="188"/>
      <c r="F608" s="168" t="s">
        <v>6202</v>
      </c>
      <c r="G608" s="193">
        <f>IF(_1_5412845612146241046457891017456[[#This Row],[Type]]&gt;0,VLOOKUP(_1_5412845612146241046457891017456[[#This Row],[Type]],Main[[#All],[TYPE]:[UNIT]],'Unit Price'!C$1,FALSE),0)</f>
        <v>0</v>
      </c>
      <c r="H608" s="197">
        <f>IF(_1_5412845612146241046457891017456[[#This Row],[Type]]&gt;0,VLOOKUP(_1_5412845612146241046457891017456[[#This Row],[Type]],Main[[#All],[TYPE]:[UNIT]],'Unit Price'!D$1,FALSE),0)</f>
        <v>0</v>
      </c>
      <c r="I608" s="194">
        <f>IF(_1_5412845612146241046457891017456[[#This Row],[Type]]&gt;0,VLOOKUP(_1_5412845612146241046457891017456[[#This Row],[Type]],Main[[#All],[TYPE]:[UNIT]],'Unit Price'!G$1,FALSE),0)</f>
        <v>0</v>
      </c>
      <c r="J608" s="194">
        <f>IF(_1_5412845612146241046457891017456[[#This Row],[Type]]&gt;0,VLOOKUP(_1_5412845612146241046457891017456[[#This Row],[Type]],Main[[#All],[TYPE]:[UNIT]],'Unit Price'!H$1,FALSE),0)</f>
        <v>0</v>
      </c>
      <c r="K608" s="194">
        <f>IF(_1_5412845612146241046457891017456[[#This Row],[Discount selection]]&gt;0,VLOOKUP(_1_5412845612146241046457891017456[[#This Row],[Discount selection]],'Discount Structure'!$A$2:$B$30,2,"false"),0)</f>
        <v>1</v>
      </c>
      <c r="L608" s="194">
        <f>_1_5412845612146241046457891017456[[#This Row],[LIST $]]*_1_5412845612146241046457891017456[[#This Row],[DISCOUNT]]*_1_5412845612146241046457891017456[[#This Row],[DISCOUNT 2]]</f>
        <v>0</v>
      </c>
      <c r="M608" s="194">
        <f>IF(OR(_1_5412845612146241046457891017456[[#This Row],[UNIT]]&gt;0,_1_5412845612146241046457891017456[[#This Row],[UNIT]]&lt;0),_1_5412845612146241046457891017456[[#This Row],[UNIT]]*_1_5412845612146241046457891017456[[#This Row],[COST]],0)</f>
        <v>0</v>
      </c>
      <c r="N608" s="194">
        <f t="shared" si="9"/>
        <v>1.3</v>
      </c>
      <c r="O608" s="198">
        <f>_1_5412845612146241046457891017456[[#This Row],[TOTAL]]*_1_5412845612146241046457891017456[[#This Row],[MARGIN]]</f>
        <v>0</v>
      </c>
      <c r="R608" s="41"/>
    </row>
    <row r="609" spans="4:18">
      <c r="D609" s="188"/>
      <c r="F609" s="168" t="s">
        <v>6202</v>
      </c>
      <c r="G609" s="193">
        <f>IF(_1_5412845612146241046457891017456[[#This Row],[Type]]&gt;0,VLOOKUP(_1_5412845612146241046457891017456[[#This Row],[Type]],Main[[#All],[TYPE]:[UNIT]],'Unit Price'!C$1,FALSE),0)</f>
        <v>0</v>
      </c>
      <c r="H609" s="197">
        <f>IF(_1_5412845612146241046457891017456[[#This Row],[Type]]&gt;0,VLOOKUP(_1_5412845612146241046457891017456[[#This Row],[Type]],Main[[#All],[TYPE]:[UNIT]],'Unit Price'!D$1,FALSE),0)</f>
        <v>0</v>
      </c>
      <c r="I609" s="194">
        <f>IF(_1_5412845612146241046457891017456[[#This Row],[Type]]&gt;0,VLOOKUP(_1_5412845612146241046457891017456[[#This Row],[Type]],Main[[#All],[TYPE]:[UNIT]],'Unit Price'!G$1,FALSE),0)</f>
        <v>0</v>
      </c>
      <c r="J609" s="194">
        <f>IF(_1_5412845612146241046457891017456[[#This Row],[Type]]&gt;0,VLOOKUP(_1_5412845612146241046457891017456[[#This Row],[Type]],Main[[#All],[TYPE]:[UNIT]],'Unit Price'!H$1,FALSE),0)</f>
        <v>0</v>
      </c>
      <c r="K609" s="194">
        <f>IF(_1_5412845612146241046457891017456[[#This Row],[Discount selection]]&gt;0,VLOOKUP(_1_5412845612146241046457891017456[[#This Row],[Discount selection]],'Discount Structure'!$A$2:$B$30,2,"false"),0)</f>
        <v>1</v>
      </c>
      <c r="L609" s="194">
        <f>_1_5412845612146241046457891017456[[#This Row],[LIST $]]*_1_5412845612146241046457891017456[[#This Row],[DISCOUNT]]*_1_5412845612146241046457891017456[[#This Row],[DISCOUNT 2]]</f>
        <v>0</v>
      </c>
      <c r="M609" s="194">
        <f>IF(OR(_1_5412845612146241046457891017456[[#This Row],[UNIT]]&gt;0,_1_5412845612146241046457891017456[[#This Row],[UNIT]]&lt;0),_1_5412845612146241046457891017456[[#This Row],[UNIT]]*_1_5412845612146241046457891017456[[#This Row],[COST]],0)</f>
        <v>0</v>
      </c>
      <c r="N609" s="194">
        <f t="shared" si="9"/>
        <v>1.3</v>
      </c>
      <c r="O609" s="198">
        <f>_1_5412845612146241046457891017456[[#This Row],[TOTAL]]*_1_5412845612146241046457891017456[[#This Row],[MARGIN]]</f>
        <v>0</v>
      </c>
      <c r="R609" s="41"/>
    </row>
    <row r="610" spans="4:18">
      <c r="D610" s="188"/>
      <c r="F610" s="168" t="s">
        <v>6202</v>
      </c>
      <c r="G610" s="193">
        <f>IF(_1_5412845612146241046457891017456[[#This Row],[Type]]&gt;0,VLOOKUP(_1_5412845612146241046457891017456[[#This Row],[Type]],Main[[#All],[TYPE]:[UNIT]],'Unit Price'!C$1,FALSE),0)</f>
        <v>0</v>
      </c>
      <c r="H610" s="197">
        <f>IF(_1_5412845612146241046457891017456[[#This Row],[Type]]&gt;0,VLOOKUP(_1_5412845612146241046457891017456[[#This Row],[Type]],Main[[#All],[TYPE]:[UNIT]],'Unit Price'!D$1,FALSE),0)</f>
        <v>0</v>
      </c>
      <c r="I610" s="194">
        <f>IF(_1_5412845612146241046457891017456[[#This Row],[Type]]&gt;0,VLOOKUP(_1_5412845612146241046457891017456[[#This Row],[Type]],Main[[#All],[TYPE]:[UNIT]],'Unit Price'!G$1,FALSE),0)</f>
        <v>0</v>
      </c>
      <c r="J610" s="194">
        <f>IF(_1_5412845612146241046457891017456[[#This Row],[Type]]&gt;0,VLOOKUP(_1_5412845612146241046457891017456[[#This Row],[Type]],Main[[#All],[TYPE]:[UNIT]],'Unit Price'!H$1,FALSE),0)</f>
        <v>0</v>
      </c>
      <c r="K610" s="194">
        <f>IF(_1_5412845612146241046457891017456[[#This Row],[Discount selection]]&gt;0,VLOOKUP(_1_5412845612146241046457891017456[[#This Row],[Discount selection]],'Discount Structure'!$A$2:$B$30,2,"false"),0)</f>
        <v>1</v>
      </c>
      <c r="L610" s="194">
        <f>_1_5412845612146241046457891017456[[#This Row],[LIST $]]*_1_5412845612146241046457891017456[[#This Row],[DISCOUNT]]*_1_5412845612146241046457891017456[[#This Row],[DISCOUNT 2]]</f>
        <v>0</v>
      </c>
      <c r="M610" s="194">
        <f>IF(OR(_1_5412845612146241046457891017456[[#This Row],[UNIT]]&gt;0,_1_5412845612146241046457891017456[[#This Row],[UNIT]]&lt;0),_1_5412845612146241046457891017456[[#This Row],[UNIT]]*_1_5412845612146241046457891017456[[#This Row],[COST]],0)</f>
        <v>0</v>
      </c>
      <c r="N610" s="194">
        <f t="shared" si="9"/>
        <v>1.3</v>
      </c>
      <c r="O610" s="198">
        <f>_1_5412845612146241046457891017456[[#This Row],[TOTAL]]*_1_5412845612146241046457891017456[[#This Row],[MARGIN]]</f>
        <v>0</v>
      </c>
      <c r="R610" s="41"/>
    </row>
    <row r="611" spans="4:18">
      <c r="D611" s="188"/>
      <c r="F611" s="168" t="s">
        <v>6202</v>
      </c>
      <c r="G611" s="193">
        <f>IF(_1_5412845612146241046457891017456[[#This Row],[Type]]&gt;0,VLOOKUP(_1_5412845612146241046457891017456[[#This Row],[Type]],Main[[#All],[TYPE]:[UNIT]],'Unit Price'!C$1,FALSE),0)</f>
        <v>0</v>
      </c>
      <c r="H611" s="197">
        <f>IF(_1_5412845612146241046457891017456[[#This Row],[Type]]&gt;0,VLOOKUP(_1_5412845612146241046457891017456[[#This Row],[Type]],Main[[#All],[TYPE]:[UNIT]],'Unit Price'!D$1,FALSE),0)</f>
        <v>0</v>
      </c>
      <c r="I611" s="194">
        <f>IF(_1_5412845612146241046457891017456[[#This Row],[Type]]&gt;0,VLOOKUP(_1_5412845612146241046457891017456[[#This Row],[Type]],Main[[#All],[TYPE]:[UNIT]],'Unit Price'!G$1,FALSE),0)</f>
        <v>0</v>
      </c>
      <c r="J611" s="194">
        <f>IF(_1_5412845612146241046457891017456[[#This Row],[Type]]&gt;0,VLOOKUP(_1_5412845612146241046457891017456[[#This Row],[Type]],Main[[#All],[TYPE]:[UNIT]],'Unit Price'!H$1,FALSE),0)</f>
        <v>0</v>
      </c>
      <c r="K611" s="194">
        <f>IF(_1_5412845612146241046457891017456[[#This Row],[Discount selection]]&gt;0,VLOOKUP(_1_5412845612146241046457891017456[[#This Row],[Discount selection]],'Discount Structure'!$A$2:$B$30,2,"false"),0)</f>
        <v>1</v>
      </c>
      <c r="L611" s="194">
        <f>_1_5412845612146241046457891017456[[#This Row],[LIST $]]*_1_5412845612146241046457891017456[[#This Row],[DISCOUNT]]*_1_5412845612146241046457891017456[[#This Row],[DISCOUNT 2]]</f>
        <v>0</v>
      </c>
      <c r="M611" s="194">
        <f>IF(OR(_1_5412845612146241046457891017456[[#This Row],[UNIT]]&gt;0,_1_5412845612146241046457891017456[[#This Row],[UNIT]]&lt;0),_1_5412845612146241046457891017456[[#This Row],[UNIT]]*_1_5412845612146241046457891017456[[#This Row],[COST]],0)</f>
        <v>0</v>
      </c>
      <c r="N611" s="194">
        <f t="shared" si="9"/>
        <v>1.3</v>
      </c>
      <c r="O611" s="198">
        <f>_1_5412845612146241046457891017456[[#This Row],[TOTAL]]*_1_5412845612146241046457891017456[[#This Row],[MARGIN]]</f>
        <v>0</v>
      </c>
      <c r="R611" s="41"/>
    </row>
    <row r="612" spans="4:18">
      <c r="D612" s="188"/>
      <c r="F612" s="168" t="s">
        <v>6202</v>
      </c>
      <c r="G612" s="193">
        <f>IF(_1_5412845612146241046457891017456[[#This Row],[Type]]&gt;0,VLOOKUP(_1_5412845612146241046457891017456[[#This Row],[Type]],Main[[#All],[TYPE]:[UNIT]],'Unit Price'!C$1,FALSE),0)</f>
        <v>0</v>
      </c>
      <c r="H612" s="197">
        <f>IF(_1_5412845612146241046457891017456[[#This Row],[Type]]&gt;0,VLOOKUP(_1_5412845612146241046457891017456[[#This Row],[Type]],Main[[#All],[TYPE]:[UNIT]],'Unit Price'!D$1,FALSE),0)</f>
        <v>0</v>
      </c>
      <c r="I612" s="194">
        <f>IF(_1_5412845612146241046457891017456[[#This Row],[Type]]&gt;0,VLOOKUP(_1_5412845612146241046457891017456[[#This Row],[Type]],Main[[#All],[TYPE]:[UNIT]],'Unit Price'!G$1,FALSE),0)</f>
        <v>0</v>
      </c>
      <c r="J612" s="194">
        <f>IF(_1_5412845612146241046457891017456[[#This Row],[Type]]&gt;0,VLOOKUP(_1_5412845612146241046457891017456[[#This Row],[Type]],Main[[#All],[TYPE]:[UNIT]],'Unit Price'!H$1,FALSE),0)</f>
        <v>0</v>
      </c>
      <c r="K612" s="194">
        <f>IF(_1_5412845612146241046457891017456[[#This Row],[Discount selection]]&gt;0,VLOOKUP(_1_5412845612146241046457891017456[[#This Row],[Discount selection]],'Discount Structure'!$A$2:$B$30,2,"false"),0)</f>
        <v>1</v>
      </c>
      <c r="L612" s="194">
        <f>_1_5412845612146241046457891017456[[#This Row],[LIST $]]*_1_5412845612146241046457891017456[[#This Row],[DISCOUNT]]*_1_5412845612146241046457891017456[[#This Row],[DISCOUNT 2]]</f>
        <v>0</v>
      </c>
      <c r="M612" s="194">
        <f>IF(OR(_1_5412845612146241046457891017456[[#This Row],[UNIT]]&gt;0,_1_5412845612146241046457891017456[[#This Row],[UNIT]]&lt;0),_1_5412845612146241046457891017456[[#This Row],[UNIT]]*_1_5412845612146241046457891017456[[#This Row],[COST]],0)</f>
        <v>0</v>
      </c>
      <c r="N612" s="194">
        <f t="shared" si="9"/>
        <v>1.3</v>
      </c>
      <c r="O612" s="198">
        <f>_1_5412845612146241046457891017456[[#This Row],[TOTAL]]*_1_5412845612146241046457891017456[[#This Row],[MARGIN]]</f>
        <v>0</v>
      </c>
      <c r="R612" s="41"/>
    </row>
    <row r="613" spans="4:18">
      <c r="D613" s="188"/>
      <c r="F613" s="168" t="s">
        <v>6202</v>
      </c>
      <c r="G613" s="193">
        <f>IF(_1_5412845612146241046457891017456[[#This Row],[Type]]&gt;0,VLOOKUP(_1_5412845612146241046457891017456[[#This Row],[Type]],Main[[#All],[TYPE]:[UNIT]],'Unit Price'!C$1,FALSE),0)</f>
        <v>0</v>
      </c>
      <c r="H613" s="197">
        <f>IF(_1_5412845612146241046457891017456[[#This Row],[Type]]&gt;0,VLOOKUP(_1_5412845612146241046457891017456[[#This Row],[Type]],Main[[#All],[TYPE]:[UNIT]],'Unit Price'!D$1,FALSE),0)</f>
        <v>0</v>
      </c>
      <c r="I613" s="194">
        <f>IF(_1_5412845612146241046457891017456[[#This Row],[Type]]&gt;0,VLOOKUP(_1_5412845612146241046457891017456[[#This Row],[Type]],Main[[#All],[TYPE]:[UNIT]],'Unit Price'!G$1,FALSE),0)</f>
        <v>0</v>
      </c>
      <c r="J613" s="194">
        <f>IF(_1_5412845612146241046457891017456[[#This Row],[Type]]&gt;0,VLOOKUP(_1_5412845612146241046457891017456[[#This Row],[Type]],Main[[#All],[TYPE]:[UNIT]],'Unit Price'!H$1,FALSE),0)</f>
        <v>0</v>
      </c>
      <c r="K613" s="194">
        <f>IF(_1_5412845612146241046457891017456[[#This Row],[Discount selection]]&gt;0,VLOOKUP(_1_5412845612146241046457891017456[[#This Row],[Discount selection]],'Discount Structure'!$A$2:$B$30,2,"false"),0)</f>
        <v>1</v>
      </c>
      <c r="L613" s="194">
        <f>_1_5412845612146241046457891017456[[#This Row],[LIST $]]*_1_5412845612146241046457891017456[[#This Row],[DISCOUNT]]*_1_5412845612146241046457891017456[[#This Row],[DISCOUNT 2]]</f>
        <v>0</v>
      </c>
      <c r="M613" s="194">
        <f>IF(OR(_1_5412845612146241046457891017456[[#This Row],[UNIT]]&gt;0,_1_5412845612146241046457891017456[[#This Row],[UNIT]]&lt;0),_1_5412845612146241046457891017456[[#This Row],[UNIT]]*_1_5412845612146241046457891017456[[#This Row],[COST]],0)</f>
        <v>0</v>
      </c>
      <c r="N613" s="194">
        <f t="shared" si="9"/>
        <v>1.3</v>
      </c>
      <c r="O613" s="198">
        <f>_1_5412845612146241046457891017456[[#This Row],[TOTAL]]*_1_5412845612146241046457891017456[[#This Row],[MARGIN]]</f>
        <v>0</v>
      </c>
      <c r="R613" s="41"/>
    </row>
    <row r="614" spans="4:18">
      <c r="D614" s="188"/>
      <c r="F614" s="168" t="s">
        <v>6202</v>
      </c>
      <c r="G614" s="193">
        <f>IF(_1_5412845612146241046457891017456[[#This Row],[Type]]&gt;0,VLOOKUP(_1_5412845612146241046457891017456[[#This Row],[Type]],Main[[#All],[TYPE]:[UNIT]],'Unit Price'!C$1,FALSE),0)</f>
        <v>0</v>
      </c>
      <c r="H614" s="197">
        <f>IF(_1_5412845612146241046457891017456[[#This Row],[Type]]&gt;0,VLOOKUP(_1_5412845612146241046457891017456[[#This Row],[Type]],Main[[#All],[TYPE]:[UNIT]],'Unit Price'!D$1,FALSE),0)</f>
        <v>0</v>
      </c>
      <c r="I614" s="194">
        <f>IF(_1_5412845612146241046457891017456[[#This Row],[Type]]&gt;0,VLOOKUP(_1_5412845612146241046457891017456[[#This Row],[Type]],Main[[#All],[TYPE]:[UNIT]],'Unit Price'!G$1,FALSE),0)</f>
        <v>0</v>
      </c>
      <c r="J614" s="194">
        <f>IF(_1_5412845612146241046457891017456[[#This Row],[Type]]&gt;0,VLOOKUP(_1_5412845612146241046457891017456[[#This Row],[Type]],Main[[#All],[TYPE]:[UNIT]],'Unit Price'!H$1,FALSE),0)</f>
        <v>0</v>
      </c>
      <c r="K614" s="194">
        <f>IF(_1_5412845612146241046457891017456[[#This Row],[Discount selection]]&gt;0,VLOOKUP(_1_5412845612146241046457891017456[[#This Row],[Discount selection]],'Discount Structure'!$A$2:$B$30,2,"false"),0)</f>
        <v>1</v>
      </c>
      <c r="L614" s="194">
        <f>_1_5412845612146241046457891017456[[#This Row],[LIST $]]*_1_5412845612146241046457891017456[[#This Row],[DISCOUNT]]*_1_5412845612146241046457891017456[[#This Row],[DISCOUNT 2]]</f>
        <v>0</v>
      </c>
      <c r="M614" s="194">
        <f>IF(OR(_1_5412845612146241046457891017456[[#This Row],[UNIT]]&gt;0,_1_5412845612146241046457891017456[[#This Row],[UNIT]]&lt;0),_1_5412845612146241046457891017456[[#This Row],[UNIT]]*_1_5412845612146241046457891017456[[#This Row],[COST]],0)</f>
        <v>0</v>
      </c>
      <c r="N614" s="194">
        <f t="shared" si="9"/>
        <v>1.3</v>
      </c>
      <c r="O614" s="198">
        <f>_1_5412845612146241046457891017456[[#This Row],[TOTAL]]*_1_5412845612146241046457891017456[[#This Row],[MARGIN]]</f>
        <v>0</v>
      </c>
      <c r="R614" s="41"/>
    </row>
    <row r="615" spans="4:18">
      <c r="D615" s="188"/>
      <c r="F615" s="168" t="s">
        <v>6202</v>
      </c>
      <c r="G615" s="193">
        <f>IF(_1_5412845612146241046457891017456[[#This Row],[Type]]&gt;0,VLOOKUP(_1_5412845612146241046457891017456[[#This Row],[Type]],Main[[#All],[TYPE]:[UNIT]],'Unit Price'!C$1,FALSE),0)</f>
        <v>0</v>
      </c>
      <c r="H615" s="197">
        <f>IF(_1_5412845612146241046457891017456[[#This Row],[Type]]&gt;0,VLOOKUP(_1_5412845612146241046457891017456[[#This Row],[Type]],Main[[#All],[TYPE]:[UNIT]],'Unit Price'!D$1,FALSE),0)</f>
        <v>0</v>
      </c>
      <c r="I615" s="194">
        <f>IF(_1_5412845612146241046457891017456[[#This Row],[Type]]&gt;0,VLOOKUP(_1_5412845612146241046457891017456[[#This Row],[Type]],Main[[#All],[TYPE]:[UNIT]],'Unit Price'!G$1,FALSE),0)</f>
        <v>0</v>
      </c>
      <c r="J615" s="194">
        <f>IF(_1_5412845612146241046457891017456[[#This Row],[Type]]&gt;0,VLOOKUP(_1_5412845612146241046457891017456[[#This Row],[Type]],Main[[#All],[TYPE]:[UNIT]],'Unit Price'!H$1,FALSE),0)</f>
        <v>0</v>
      </c>
      <c r="K615" s="194">
        <f>IF(_1_5412845612146241046457891017456[[#This Row],[Discount selection]]&gt;0,VLOOKUP(_1_5412845612146241046457891017456[[#This Row],[Discount selection]],'Discount Structure'!$A$2:$B$30,2,"false"),0)</f>
        <v>1</v>
      </c>
      <c r="L615" s="194">
        <f>_1_5412845612146241046457891017456[[#This Row],[LIST $]]*_1_5412845612146241046457891017456[[#This Row],[DISCOUNT]]*_1_5412845612146241046457891017456[[#This Row],[DISCOUNT 2]]</f>
        <v>0</v>
      </c>
      <c r="M615" s="194">
        <f>IF(OR(_1_5412845612146241046457891017456[[#This Row],[UNIT]]&gt;0,_1_5412845612146241046457891017456[[#This Row],[UNIT]]&lt;0),_1_5412845612146241046457891017456[[#This Row],[UNIT]]*_1_5412845612146241046457891017456[[#This Row],[COST]],0)</f>
        <v>0</v>
      </c>
      <c r="N615" s="194">
        <f t="shared" si="9"/>
        <v>1.3</v>
      </c>
      <c r="O615" s="198">
        <f>_1_5412845612146241046457891017456[[#This Row],[TOTAL]]*_1_5412845612146241046457891017456[[#This Row],[MARGIN]]</f>
        <v>0</v>
      </c>
      <c r="R615" s="41"/>
    </row>
    <row r="616" spans="4:18">
      <c r="D616" s="188"/>
      <c r="F616" s="168" t="s">
        <v>6202</v>
      </c>
      <c r="G616" s="193">
        <f>IF(_1_5412845612146241046457891017456[[#This Row],[Type]]&gt;0,VLOOKUP(_1_5412845612146241046457891017456[[#This Row],[Type]],Main[[#All],[TYPE]:[UNIT]],'Unit Price'!C$1,FALSE),0)</f>
        <v>0</v>
      </c>
      <c r="H616" s="197">
        <f>IF(_1_5412845612146241046457891017456[[#This Row],[Type]]&gt;0,VLOOKUP(_1_5412845612146241046457891017456[[#This Row],[Type]],Main[[#All],[TYPE]:[UNIT]],'Unit Price'!D$1,FALSE),0)</f>
        <v>0</v>
      </c>
      <c r="I616" s="194">
        <f>IF(_1_5412845612146241046457891017456[[#This Row],[Type]]&gt;0,VLOOKUP(_1_5412845612146241046457891017456[[#This Row],[Type]],Main[[#All],[TYPE]:[UNIT]],'Unit Price'!G$1,FALSE),0)</f>
        <v>0</v>
      </c>
      <c r="J616" s="194">
        <f>IF(_1_5412845612146241046457891017456[[#This Row],[Type]]&gt;0,VLOOKUP(_1_5412845612146241046457891017456[[#This Row],[Type]],Main[[#All],[TYPE]:[UNIT]],'Unit Price'!H$1,FALSE),0)</f>
        <v>0</v>
      </c>
      <c r="K616" s="194">
        <f>IF(_1_5412845612146241046457891017456[[#This Row],[Discount selection]]&gt;0,VLOOKUP(_1_5412845612146241046457891017456[[#This Row],[Discount selection]],'Discount Structure'!$A$2:$B$30,2,"false"),0)</f>
        <v>1</v>
      </c>
      <c r="L616" s="194">
        <f>_1_5412845612146241046457891017456[[#This Row],[LIST $]]*_1_5412845612146241046457891017456[[#This Row],[DISCOUNT]]*_1_5412845612146241046457891017456[[#This Row],[DISCOUNT 2]]</f>
        <v>0</v>
      </c>
      <c r="M616" s="194">
        <f>IF(OR(_1_5412845612146241046457891017456[[#This Row],[UNIT]]&gt;0,_1_5412845612146241046457891017456[[#This Row],[UNIT]]&lt;0),_1_5412845612146241046457891017456[[#This Row],[UNIT]]*_1_5412845612146241046457891017456[[#This Row],[COST]],0)</f>
        <v>0</v>
      </c>
      <c r="N616" s="194">
        <f t="shared" si="9"/>
        <v>1.3</v>
      </c>
      <c r="O616" s="198">
        <f>_1_5412845612146241046457891017456[[#This Row],[TOTAL]]*_1_5412845612146241046457891017456[[#This Row],[MARGIN]]</f>
        <v>0</v>
      </c>
      <c r="R616" s="41"/>
    </row>
    <row r="617" spans="4:18">
      <c r="D617" s="188"/>
      <c r="F617" s="168" t="s">
        <v>6202</v>
      </c>
      <c r="G617" s="193">
        <f>IF(_1_5412845612146241046457891017456[[#This Row],[Type]]&gt;0,VLOOKUP(_1_5412845612146241046457891017456[[#This Row],[Type]],Main[[#All],[TYPE]:[UNIT]],'Unit Price'!C$1,FALSE),0)</f>
        <v>0</v>
      </c>
      <c r="H617" s="197">
        <f>IF(_1_5412845612146241046457891017456[[#This Row],[Type]]&gt;0,VLOOKUP(_1_5412845612146241046457891017456[[#This Row],[Type]],Main[[#All],[TYPE]:[UNIT]],'Unit Price'!D$1,FALSE),0)</f>
        <v>0</v>
      </c>
      <c r="I617" s="194">
        <f>IF(_1_5412845612146241046457891017456[[#This Row],[Type]]&gt;0,VLOOKUP(_1_5412845612146241046457891017456[[#This Row],[Type]],Main[[#All],[TYPE]:[UNIT]],'Unit Price'!G$1,FALSE),0)</f>
        <v>0</v>
      </c>
      <c r="J617" s="194">
        <f>IF(_1_5412845612146241046457891017456[[#This Row],[Type]]&gt;0,VLOOKUP(_1_5412845612146241046457891017456[[#This Row],[Type]],Main[[#All],[TYPE]:[UNIT]],'Unit Price'!H$1,FALSE),0)</f>
        <v>0</v>
      </c>
      <c r="K617" s="194">
        <f>IF(_1_5412845612146241046457891017456[[#This Row],[Discount selection]]&gt;0,VLOOKUP(_1_5412845612146241046457891017456[[#This Row],[Discount selection]],'Discount Structure'!$A$2:$B$30,2,"false"),0)</f>
        <v>1</v>
      </c>
      <c r="L617" s="194">
        <f>_1_5412845612146241046457891017456[[#This Row],[LIST $]]*_1_5412845612146241046457891017456[[#This Row],[DISCOUNT]]*_1_5412845612146241046457891017456[[#This Row],[DISCOUNT 2]]</f>
        <v>0</v>
      </c>
      <c r="M617" s="194">
        <f>IF(OR(_1_5412845612146241046457891017456[[#This Row],[UNIT]]&gt;0,_1_5412845612146241046457891017456[[#This Row],[UNIT]]&lt;0),_1_5412845612146241046457891017456[[#This Row],[UNIT]]*_1_5412845612146241046457891017456[[#This Row],[COST]],0)</f>
        <v>0</v>
      </c>
      <c r="N617" s="194">
        <f t="shared" si="9"/>
        <v>1.3</v>
      </c>
      <c r="O617" s="198">
        <f>_1_5412845612146241046457891017456[[#This Row],[TOTAL]]*_1_5412845612146241046457891017456[[#This Row],[MARGIN]]</f>
        <v>0</v>
      </c>
      <c r="R617" s="41"/>
    </row>
    <row r="618" spans="4:18">
      <c r="D618" s="188"/>
      <c r="F618" s="168" t="s">
        <v>6202</v>
      </c>
      <c r="G618" s="193">
        <f>IF(_1_5412845612146241046457891017456[[#This Row],[Type]]&gt;0,VLOOKUP(_1_5412845612146241046457891017456[[#This Row],[Type]],Main[[#All],[TYPE]:[UNIT]],'Unit Price'!C$1,FALSE),0)</f>
        <v>0</v>
      </c>
      <c r="H618" s="197">
        <f>IF(_1_5412845612146241046457891017456[[#This Row],[Type]]&gt;0,VLOOKUP(_1_5412845612146241046457891017456[[#This Row],[Type]],Main[[#All],[TYPE]:[UNIT]],'Unit Price'!D$1,FALSE),0)</f>
        <v>0</v>
      </c>
      <c r="I618" s="194">
        <f>IF(_1_5412845612146241046457891017456[[#This Row],[Type]]&gt;0,VLOOKUP(_1_5412845612146241046457891017456[[#This Row],[Type]],Main[[#All],[TYPE]:[UNIT]],'Unit Price'!G$1,FALSE),0)</f>
        <v>0</v>
      </c>
      <c r="J618" s="194">
        <f>IF(_1_5412845612146241046457891017456[[#This Row],[Type]]&gt;0,VLOOKUP(_1_5412845612146241046457891017456[[#This Row],[Type]],Main[[#All],[TYPE]:[UNIT]],'Unit Price'!H$1,FALSE),0)</f>
        <v>0</v>
      </c>
      <c r="K618" s="194">
        <f>IF(_1_5412845612146241046457891017456[[#This Row],[Discount selection]]&gt;0,VLOOKUP(_1_5412845612146241046457891017456[[#This Row],[Discount selection]],'Discount Structure'!$A$2:$B$30,2,"false"),0)</f>
        <v>1</v>
      </c>
      <c r="L618" s="194">
        <f>_1_5412845612146241046457891017456[[#This Row],[LIST $]]*_1_5412845612146241046457891017456[[#This Row],[DISCOUNT]]*_1_5412845612146241046457891017456[[#This Row],[DISCOUNT 2]]</f>
        <v>0</v>
      </c>
      <c r="M618" s="194">
        <f>IF(OR(_1_5412845612146241046457891017456[[#This Row],[UNIT]]&gt;0,_1_5412845612146241046457891017456[[#This Row],[UNIT]]&lt;0),_1_5412845612146241046457891017456[[#This Row],[UNIT]]*_1_5412845612146241046457891017456[[#This Row],[COST]],0)</f>
        <v>0</v>
      </c>
      <c r="N618" s="194">
        <f t="shared" si="9"/>
        <v>1.3</v>
      </c>
      <c r="O618" s="198">
        <f>_1_5412845612146241046457891017456[[#This Row],[TOTAL]]*_1_5412845612146241046457891017456[[#This Row],[MARGIN]]</f>
        <v>0</v>
      </c>
      <c r="R618" s="41"/>
    </row>
    <row r="619" spans="4:18">
      <c r="D619" s="188"/>
      <c r="F619" s="168" t="s">
        <v>6202</v>
      </c>
      <c r="G619" s="193">
        <f>IF(_1_5412845612146241046457891017456[[#This Row],[Type]]&gt;0,VLOOKUP(_1_5412845612146241046457891017456[[#This Row],[Type]],Main[[#All],[TYPE]:[UNIT]],'Unit Price'!C$1,FALSE),0)</f>
        <v>0</v>
      </c>
      <c r="H619" s="197">
        <f>IF(_1_5412845612146241046457891017456[[#This Row],[Type]]&gt;0,VLOOKUP(_1_5412845612146241046457891017456[[#This Row],[Type]],Main[[#All],[TYPE]:[UNIT]],'Unit Price'!D$1,FALSE),0)</f>
        <v>0</v>
      </c>
      <c r="I619" s="194">
        <f>IF(_1_5412845612146241046457891017456[[#This Row],[Type]]&gt;0,VLOOKUP(_1_5412845612146241046457891017456[[#This Row],[Type]],Main[[#All],[TYPE]:[UNIT]],'Unit Price'!G$1,FALSE),0)</f>
        <v>0</v>
      </c>
      <c r="J619" s="194">
        <f>IF(_1_5412845612146241046457891017456[[#This Row],[Type]]&gt;0,VLOOKUP(_1_5412845612146241046457891017456[[#This Row],[Type]],Main[[#All],[TYPE]:[UNIT]],'Unit Price'!H$1,FALSE),0)</f>
        <v>0</v>
      </c>
      <c r="K619" s="194">
        <f>IF(_1_5412845612146241046457891017456[[#This Row],[Discount selection]]&gt;0,VLOOKUP(_1_5412845612146241046457891017456[[#This Row],[Discount selection]],'Discount Structure'!$A$2:$B$30,2,"false"),0)</f>
        <v>1</v>
      </c>
      <c r="L619" s="194">
        <f>_1_5412845612146241046457891017456[[#This Row],[LIST $]]*_1_5412845612146241046457891017456[[#This Row],[DISCOUNT]]*_1_5412845612146241046457891017456[[#This Row],[DISCOUNT 2]]</f>
        <v>0</v>
      </c>
      <c r="M619" s="194">
        <f>IF(OR(_1_5412845612146241046457891017456[[#This Row],[UNIT]]&gt;0,_1_5412845612146241046457891017456[[#This Row],[UNIT]]&lt;0),_1_5412845612146241046457891017456[[#This Row],[UNIT]]*_1_5412845612146241046457891017456[[#This Row],[COST]],0)</f>
        <v>0</v>
      </c>
      <c r="N619" s="194">
        <f t="shared" si="9"/>
        <v>1.3</v>
      </c>
      <c r="O619" s="198">
        <f>_1_5412845612146241046457891017456[[#This Row],[TOTAL]]*_1_5412845612146241046457891017456[[#This Row],[MARGIN]]</f>
        <v>0</v>
      </c>
      <c r="R619" s="41"/>
    </row>
    <row r="620" spans="4:18">
      <c r="D620" s="188"/>
      <c r="F620" s="168" t="s">
        <v>6202</v>
      </c>
      <c r="G620" s="193">
        <f>IF(_1_5412845612146241046457891017456[[#This Row],[Type]]&gt;0,VLOOKUP(_1_5412845612146241046457891017456[[#This Row],[Type]],Main[[#All],[TYPE]:[UNIT]],'Unit Price'!C$1,FALSE),0)</f>
        <v>0</v>
      </c>
      <c r="H620" s="197">
        <f>IF(_1_5412845612146241046457891017456[[#This Row],[Type]]&gt;0,VLOOKUP(_1_5412845612146241046457891017456[[#This Row],[Type]],Main[[#All],[TYPE]:[UNIT]],'Unit Price'!D$1,FALSE),0)</f>
        <v>0</v>
      </c>
      <c r="I620" s="194">
        <f>IF(_1_5412845612146241046457891017456[[#This Row],[Type]]&gt;0,VLOOKUP(_1_5412845612146241046457891017456[[#This Row],[Type]],Main[[#All],[TYPE]:[UNIT]],'Unit Price'!G$1,FALSE),0)</f>
        <v>0</v>
      </c>
      <c r="J620" s="194">
        <f>IF(_1_5412845612146241046457891017456[[#This Row],[Type]]&gt;0,VLOOKUP(_1_5412845612146241046457891017456[[#This Row],[Type]],Main[[#All],[TYPE]:[UNIT]],'Unit Price'!H$1,FALSE),0)</f>
        <v>0</v>
      </c>
      <c r="K620" s="194">
        <f>IF(_1_5412845612146241046457891017456[[#This Row],[Discount selection]]&gt;0,VLOOKUP(_1_5412845612146241046457891017456[[#This Row],[Discount selection]],'Discount Structure'!$A$2:$B$30,2,"false"),0)</f>
        <v>1</v>
      </c>
      <c r="L620" s="194">
        <f>_1_5412845612146241046457891017456[[#This Row],[LIST $]]*_1_5412845612146241046457891017456[[#This Row],[DISCOUNT]]*_1_5412845612146241046457891017456[[#This Row],[DISCOUNT 2]]</f>
        <v>0</v>
      </c>
      <c r="M620" s="194">
        <f>IF(OR(_1_5412845612146241046457891017456[[#This Row],[UNIT]]&gt;0,_1_5412845612146241046457891017456[[#This Row],[UNIT]]&lt;0),_1_5412845612146241046457891017456[[#This Row],[UNIT]]*_1_5412845612146241046457891017456[[#This Row],[COST]],0)</f>
        <v>0</v>
      </c>
      <c r="N620" s="194">
        <f t="shared" si="9"/>
        <v>1.3</v>
      </c>
      <c r="O620" s="198">
        <f>_1_5412845612146241046457891017456[[#This Row],[TOTAL]]*_1_5412845612146241046457891017456[[#This Row],[MARGIN]]</f>
        <v>0</v>
      </c>
      <c r="R620" s="41"/>
    </row>
    <row r="621" spans="4:18">
      <c r="D621" s="188"/>
      <c r="F621" s="168" t="s">
        <v>6202</v>
      </c>
      <c r="G621" s="193">
        <f>IF(_1_5412845612146241046457891017456[[#This Row],[Type]]&gt;0,VLOOKUP(_1_5412845612146241046457891017456[[#This Row],[Type]],Main[[#All],[TYPE]:[UNIT]],'Unit Price'!C$1,FALSE),0)</f>
        <v>0</v>
      </c>
      <c r="H621" s="197">
        <f>IF(_1_5412845612146241046457891017456[[#This Row],[Type]]&gt;0,VLOOKUP(_1_5412845612146241046457891017456[[#This Row],[Type]],Main[[#All],[TYPE]:[UNIT]],'Unit Price'!D$1,FALSE),0)</f>
        <v>0</v>
      </c>
      <c r="I621" s="194">
        <f>IF(_1_5412845612146241046457891017456[[#This Row],[Type]]&gt;0,VLOOKUP(_1_5412845612146241046457891017456[[#This Row],[Type]],Main[[#All],[TYPE]:[UNIT]],'Unit Price'!G$1,FALSE),0)</f>
        <v>0</v>
      </c>
      <c r="J621" s="194">
        <f>IF(_1_5412845612146241046457891017456[[#This Row],[Type]]&gt;0,VLOOKUP(_1_5412845612146241046457891017456[[#This Row],[Type]],Main[[#All],[TYPE]:[UNIT]],'Unit Price'!H$1,FALSE),0)</f>
        <v>0</v>
      </c>
      <c r="K621" s="194">
        <f>IF(_1_5412845612146241046457891017456[[#This Row],[Discount selection]]&gt;0,VLOOKUP(_1_5412845612146241046457891017456[[#This Row],[Discount selection]],'Discount Structure'!$A$2:$B$30,2,"false"),0)</f>
        <v>1</v>
      </c>
      <c r="L621" s="194">
        <f>_1_5412845612146241046457891017456[[#This Row],[LIST $]]*_1_5412845612146241046457891017456[[#This Row],[DISCOUNT]]*_1_5412845612146241046457891017456[[#This Row],[DISCOUNT 2]]</f>
        <v>0</v>
      </c>
      <c r="M621" s="194">
        <f>IF(OR(_1_5412845612146241046457891017456[[#This Row],[UNIT]]&gt;0,_1_5412845612146241046457891017456[[#This Row],[UNIT]]&lt;0),_1_5412845612146241046457891017456[[#This Row],[UNIT]]*_1_5412845612146241046457891017456[[#This Row],[COST]],0)</f>
        <v>0</v>
      </c>
      <c r="N621" s="194">
        <f t="shared" si="9"/>
        <v>1.3</v>
      </c>
      <c r="O621" s="198">
        <f>_1_5412845612146241046457891017456[[#This Row],[TOTAL]]*_1_5412845612146241046457891017456[[#This Row],[MARGIN]]</f>
        <v>0</v>
      </c>
      <c r="R621" s="41"/>
    </row>
    <row r="622" spans="4:18">
      <c r="D622" s="188"/>
      <c r="F622" s="168" t="s">
        <v>6202</v>
      </c>
      <c r="G622" s="193">
        <f>IF(_1_5412845612146241046457891017456[[#This Row],[Type]]&gt;0,VLOOKUP(_1_5412845612146241046457891017456[[#This Row],[Type]],Main[[#All],[TYPE]:[UNIT]],'Unit Price'!C$1,FALSE),0)</f>
        <v>0</v>
      </c>
      <c r="H622" s="197">
        <f>IF(_1_5412845612146241046457891017456[[#This Row],[Type]]&gt;0,VLOOKUP(_1_5412845612146241046457891017456[[#This Row],[Type]],Main[[#All],[TYPE]:[UNIT]],'Unit Price'!D$1,FALSE),0)</f>
        <v>0</v>
      </c>
      <c r="I622" s="194">
        <f>IF(_1_5412845612146241046457891017456[[#This Row],[Type]]&gt;0,VLOOKUP(_1_5412845612146241046457891017456[[#This Row],[Type]],Main[[#All],[TYPE]:[UNIT]],'Unit Price'!G$1,FALSE),0)</f>
        <v>0</v>
      </c>
      <c r="J622" s="194">
        <f>IF(_1_5412845612146241046457891017456[[#This Row],[Type]]&gt;0,VLOOKUP(_1_5412845612146241046457891017456[[#This Row],[Type]],Main[[#All],[TYPE]:[UNIT]],'Unit Price'!H$1,FALSE),0)</f>
        <v>0</v>
      </c>
      <c r="K622" s="194">
        <f>IF(_1_5412845612146241046457891017456[[#This Row],[Discount selection]]&gt;0,VLOOKUP(_1_5412845612146241046457891017456[[#This Row],[Discount selection]],'Discount Structure'!$A$2:$B$30,2,"false"),0)</f>
        <v>1</v>
      </c>
      <c r="L622" s="194">
        <f>_1_5412845612146241046457891017456[[#This Row],[LIST $]]*_1_5412845612146241046457891017456[[#This Row],[DISCOUNT]]*_1_5412845612146241046457891017456[[#This Row],[DISCOUNT 2]]</f>
        <v>0</v>
      </c>
      <c r="M622" s="194">
        <f>IF(OR(_1_5412845612146241046457891017456[[#This Row],[UNIT]]&gt;0,_1_5412845612146241046457891017456[[#This Row],[UNIT]]&lt;0),_1_5412845612146241046457891017456[[#This Row],[UNIT]]*_1_5412845612146241046457891017456[[#This Row],[COST]],0)</f>
        <v>0</v>
      </c>
      <c r="N622" s="194">
        <f t="shared" si="9"/>
        <v>1.3</v>
      </c>
      <c r="O622" s="198">
        <f>_1_5412845612146241046457891017456[[#This Row],[TOTAL]]*_1_5412845612146241046457891017456[[#This Row],[MARGIN]]</f>
        <v>0</v>
      </c>
      <c r="R622" s="41"/>
    </row>
    <row r="623" spans="4:18">
      <c r="D623" s="188"/>
      <c r="F623" s="168" t="s">
        <v>6202</v>
      </c>
      <c r="G623" s="193">
        <f>IF(_1_5412845612146241046457891017456[[#This Row],[Type]]&gt;0,VLOOKUP(_1_5412845612146241046457891017456[[#This Row],[Type]],Main[[#All],[TYPE]:[UNIT]],'Unit Price'!C$1,FALSE),0)</f>
        <v>0</v>
      </c>
      <c r="H623" s="197">
        <f>IF(_1_5412845612146241046457891017456[[#This Row],[Type]]&gt;0,VLOOKUP(_1_5412845612146241046457891017456[[#This Row],[Type]],Main[[#All],[TYPE]:[UNIT]],'Unit Price'!D$1,FALSE),0)</f>
        <v>0</v>
      </c>
      <c r="I623" s="194">
        <f>IF(_1_5412845612146241046457891017456[[#This Row],[Type]]&gt;0,VLOOKUP(_1_5412845612146241046457891017456[[#This Row],[Type]],Main[[#All],[TYPE]:[UNIT]],'Unit Price'!G$1,FALSE),0)</f>
        <v>0</v>
      </c>
      <c r="J623" s="194">
        <f>IF(_1_5412845612146241046457891017456[[#This Row],[Type]]&gt;0,VLOOKUP(_1_5412845612146241046457891017456[[#This Row],[Type]],Main[[#All],[TYPE]:[UNIT]],'Unit Price'!H$1,FALSE),0)</f>
        <v>0</v>
      </c>
      <c r="K623" s="194">
        <f>IF(_1_5412845612146241046457891017456[[#This Row],[Discount selection]]&gt;0,VLOOKUP(_1_5412845612146241046457891017456[[#This Row],[Discount selection]],'Discount Structure'!$A$2:$B$30,2,"false"),0)</f>
        <v>1</v>
      </c>
      <c r="L623" s="194">
        <f>_1_5412845612146241046457891017456[[#This Row],[LIST $]]*_1_5412845612146241046457891017456[[#This Row],[DISCOUNT]]*_1_5412845612146241046457891017456[[#This Row],[DISCOUNT 2]]</f>
        <v>0</v>
      </c>
      <c r="M623" s="194">
        <f>IF(OR(_1_5412845612146241046457891017456[[#This Row],[UNIT]]&gt;0,_1_5412845612146241046457891017456[[#This Row],[UNIT]]&lt;0),_1_5412845612146241046457891017456[[#This Row],[UNIT]]*_1_5412845612146241046457891017456[[#This Row],[COST]],0)</f>
        <v>0</v>
      </c>
      <c r="N623" s="194">
        <f t="shared" si="9"/>
        <v>1.3</v>
      </c>
      <c r="O623" s="198">
        <f>_1_5412845612146241046457891017456[[#This Row],[TOTAL]]*_1_5412845612146241046457891017456[[#This Row],[MARGIN]]</f>
        <v>0</v>
      </c>
      <c r="R623" s="41"/>
    </row>
    <row r="624" spans="4:18">
      <c r="D624" s="188"/>
      <c r="F624" s="168" t="s">
        <v>6202</v>
      </c>
      <c r="G624" s="193">
        <f>IF(_1_5412845612146241046457891017456[[#This Row],[Type]]&gt;0,VLOOKUP(_1_5412845612146241046457891017456[[#This Row],[Type]],Main[[#All],[TYPE]:[UNIT]],'Unit Price'!C$1,FALSE),0)</f>
        <v>0</v>
      </c>
      <c r="H624" s="197">
        <f>IF(_1_5412845612146241046457891017456[[#This Row],[Type]]&gt;0,VLOOKUP(_1_5412845612146241046457891017456[[#This Row],[Type]],Main[[#All],[TYPE]:[UNIT]],'Unit Price'!D$1,FALSE),0)</f>
        <v>0</v>
      </c>
      <c r="I624" s="194">
        <f>IF(_1_5412845612146241046457891017456[[#This Row],[Type]]&gt;0,VLOOKUP(_1_5412845612146241046457891017456[[#This Row],[Type]],Main[[#All],[TYPE]:[UNIT]],'Unit Price'!G$1,FALSE),0)</f>
        <v>0</v>
      </c>
      <c r="J624" s="194">
        <f>IF(_1_5412845612146241046457891017456[[#This Row],[Type]]&gt;0,VLOOKUP(_1_5412845612146241046457891017456[[#This Row],[Type]],Main[[#All],[TYPE]:[UNIT]],'Unit Price'!H$1,FALSE),0)</f>
        <v>0</v>
      </c>
      <c r="K624" s="194">
        <f>IF(_1_5412845612146241046457891017456[[#This Row],[Discount selection]]&gt;0,VLOOKUP(_1_5412845612146241046457891017456[[#This Row],[Discount selection]],'Discount Structure'!$A$2:$B$30,2,"false"),0)</f>
        <v>1</v>
      </c>
      <c r="L624" s="194">
        <f>_1_5412845612146241046457891017456[[#This Row],[LIST $]]*_1_5412845612146241046457891017456[[#This Row],[DISCOUNT]]*_1_5412845612146241046457891017456[[#This Row],[DISCOUNT 2]]</f>
        <v>0</v>
      </c>
      <c r="M624" s="194">
        <f>IF(OR(_1_5412845612146241046457891017456[[#This Row],[UNIT]]&gt;0,_1_5412845612146241046457891017456[[#This Row],[UNIT]]&lt;0),_1_5412845612146241046457891017456[[#This Row],[UNIT]]*_1_5412845612146241046457891017456[[#This Row],[COST]],0)</f>
        <v>0</v>
      </c>
      <c r="N624" s="194">
        <f t="shared" si="9"/>
        <v>1.3</v>
      </c>
      <c r="O624" s="198">
        <f>_1_5412845612146241046457891017456[[#This Row],[TOTAL]]*_1_5412845612146241046457891017456[[#This Row],[MARGIN]]</f>
        <v>0</v>
      </c>
      <c r="R624" s="41"/>
    </row>
    <row r="625" spans="4:18">
      <c r="D625" s="188"/>
      <c r="F625" s="168" t="s">
        <v>6202</v>
      </c>
      <c r="G625" s="193">
        <f>IF(_1_5412845612146241046457891017456[[#This Row],[Type]]&gt;0,VLOOKUP(_1_5412845612146241046457891017456[[#This Row],[Type]],Main[[#All],[TYPE]:[UNIT]],'Unit Price'!C$1,FALSE),0)</f>
        <v>0</v>
      </c>
      <c r="H625" s="197">
        <f>IF(_1_5412845612146241046457891017456[[#This Row],[Type]]&gt;0,VLOOKUP(_1_5412845612146241046457891017456[[#This Row],[Type]],Main[[#All],[TYPE]:[UNIT]],'Unit Price'!D$1,FALSE),0)</f>
        <v>0</v>
      </c>
      <c r="I625" s="194">
        <f>IF(_1_5412845612146241046457891017456[[#This Row],[Type]]&gt;0,VLOOKUP(_1_5412845612146241046457891017456[[#This Row],[Type]],Main[[#All],[TYPE]:[UNIT]],'Unit Price'!G$1,FALSE),0)</f>
        <v>0</v>
      </c>
      <c r="J625" s="194">
        <f>IF(_1_5412845612146241046457891017456[[#This Row],[Type]]&gt;0,VLOOKUP(_1_5412845612146241046457891017456[[#This Row],[Type]],Main[[#All],[TYPE]:[UNIT]],'Unit Price'!H$1,FALSE),0)</f>
        <v>0</v>
      </c>
      <c r="K625" s="194">
        <f>IF(_1_5412845612146241046457891017456[[#This Row],[Discount selection]]&gt;0,VLOOKUP(_1_5412845612146241046457891017456[[#This Row],[Discount selection]],'Discount Structure'!$A$2:$B$30,2,"false"),0)</f>
        <v>1</v>
      </c>
      <c r="L625" s="194">
        <f>_1_5412845612146241046457891017456[[#This Row],[LIST $]]*_1_5412845612146241046457891017456[[#This Row],[DISCOUNT]]*_1_5412845612146241046457891017456[[#This Row],[DISCOUNT 2]]</f>
        <v>0</v>
      </c>
      <c r="M625" s="194">
        <f>IF(OR(_1_5412845612146241046457891017456[[#This Row],[UNIT]]&gt;0,_1_5412845612146241046457891017456[[#This Row],[UNIT]]&lt;0),_1_5412845612146241046457891017456[[#This Row],[UNIT]]*_1_5412845612146241046457891017456[[#This Row],[COST]],0)</f>
        <v>0</v>
      </c>
      <c r="N625" s="194">
        <f t="shared" si="9"/>
        <v>1.3</v>
      </c>
      <c r="O625" s="198">
        <f>_1_5412845612146241046457891017456[[#This Row],[TOTAL]]*_1_5412845612146241046457891017456[[#This Row],[MARGIN]]</f>
        <v>0</v>
      </c>
      <c r="R625" s="41"/>
    </row>
    <row r="626" spans="4:18">
      <c r="D626" s="188"/>
      <c r="F626" s="168" t="s">
        <v>6202</v>
      </c>
      <c r="G626" s="193">
        <f>IF(_1_5412845612146241046457891017456[[#This Row],[Type]]&gt;0,VLOOKUP(_1_5412845612146241046457891017456[[#This Row],[Type]],Main[[#All],[TYPE]:[UNIT]],'Unit Price'!C$1,FALSE),0)</f>
        <v>0</v>
      </c>
      <c r="H626" s="197">
        <f>IF(_1_5412845612146241046457891017456[[#This Row],[Type]]&gt;0,VLOOKUP(_1_5412845612146241046457891017456[[#This Row],[Type]],Main[[#All],[TYPE]:[UNIT]],'Unit Price'!D$1,FALSE),0)</f>
        <v>0</v>
      </c>
      <c r="I626" s="194">
        <f>IF(_1_5412845612146241046457891017456[[#This Row],[Type]]&gt;0,VLOOKUP(_1_5412845612146241046457891017456[[#This Row],[Type]],Main[[#All],[TYPE]:[UNIT]],'Unit Price'!G$1,FALSE),0)</f>
        <v>0</v>
      </c>
      <c r="J626" s="194">
        <f>IF(_1_5412845612146241046457891017456[[#This Row],[Type]]&gt;0,VLOOKUP(_1_5412845612146241046457891017456[[#This Row],[Type]],Main[[#All],[TYPE]:[UNIT]],'Unit Price'!H$1,FALSE),0)</f>
        <v>0</v>
      </c>
      <c r="K626" s="194">
        <f>IF(_1_5412845612146241046457891017456[[#This Row],[Discount selection]]&gt;0,VLOOKUP(_1_5412845612146241046457891017456[[#This Row],[Discount selection]],'Discount Structure'!$A$2:$B$30,2,"false"),0)</f>
        <v>1</v>
      </c>
      <c r="L626" s="194">
        <f>_1_5412845612146241046457891017456[[#This Row],[LIST $]]*_1_5412845612146241046457891017456[[#This Row],[DISCOUNT]]*_1_5412845612146241046457891017456[[#This Row],[DISCOUNT 2]]</f>
        <v>0</v>
      </c>
      <c r="M626" s="194">
        <f>IF(OR(_1_5412845612146241046457891017456[[#This Row],[UNIT]]&gt;0,_1_5412845612146241046457891017456[[#This Row],[UNIT]]&lt;0),_1_5412845612146241046457891017456[[#This Row],[UNIT]]*_1_5412845612146241046457891017456[[#This Row],[COST]],0)</f>
        <v>0</v>
      </c>
      <c r="N626" s="194">
        <f t="shared" si="9"/>
        <v>1.3</v>
      </c>
      <c r="O626" s="198">
        <f>_1_5412845612146241046457891017456[[#This Row],[TOTAL]]*_1_5412845612146241046457891017456[[#This Row],[MARGIN]]</f>
        <v>0</v>
      </c>
      <c r="R626" s="41"/>
    </row>
    <row r="627" spans="4:18">
      <c r="D627" s="188"/>
      <c r="F627" s="168" t="s">
        <v>6202</v>
      </c>
      <c r="G627" s="193">
        <f>IF(_1_5412845612146241046457891017456[[#This Row],[Type]]&gt;0,VLOOKUP(_1_5412845612146241046457891017456[[#This Row],[Type]],Main[[#All],[TYPE]:[UNIT]],'Unit Price'!C$1,FALSE),0)</f>
        <v>0</v>
      </c>
      <c r="H627" s="197">
        <f>IF(_1_5412845612146241046457891017456[[#This Row],[Type]]&gt;0,VLOOKUP(_1_5412845612146241046457891017456[[#This Row],[Type]],Main[[#All],[TYPE]:[UNIT]],'Unit Price'!D$1,FALSE),0)</f>
        <v>0</v>
      </c>
      <c r="I627" s="194">
        <f>IF(_1_5412845612146241046457891017456[[#This Row],[Type]]&gt;0,VLOOKUP(_1_5412845612146241046457891017456[[#This Row],[Type]],Main[[#All],[TYPE]:[UNIT]],'Unit Price'!G$1,FALSE),0)</f>
        <v>0</v>
      </c>
      <c r="J627" s="194">
        <f>IF(_1_5412845612146241046457891017456[[#This Row],[Type]]&gt;0,VLOOKUP(_1_5412845612146241046457891017456[[#This Row],[Type]],Main[[#All],[TYPE]:[UNIT]],'Unit Price'!H$1,FALSE),0)</f>
        <v>0</v>
      </c>
      <c r="K627" s="194">
        <f>IF(_1_5412845612146241046457891017456[[#This Row],[Discount selection]]&gt;0,VLOOKUP(_1_5412845612146241046457891017456[[#This Row],[Discount selection]],'Discount Structure'!$A$2:$B$30,2,"false"),0)</f>
        <v>1</v>
      </c>
      <c r="L627" s="194">
        <f>_1_5412845612146241046457891017456[[#This Row],[LIST $]]*_1_5412845612146241046457891017456[[#This Row],[DISCOUNT]]*_1_5412845612146241046457891017456[[#This Row],[DISCOUNT 2]]</f>
        <v>0</v>
      </c>
      <c r="M627" s="194">
        <f>IF(OR(_1_5412845612146241046457891017456[[#This Row],[UNIT]]&gt;0,_1_5412845612146241046457891017456[[#This Row],[UNIT]]&lt;0),_1_5412845612146241046457891017456[[#This Row],[UNIT]]*_1_5412845612146241046457891017456[[#This Row],[COST]],0)</f>
        <v>0</v>
      </c>
      <c r="N627" s="194">
        <f t="shared" si="9"/>
        <v>1.3</v>
      </c>
      <c r="O627" s="198">
        <f>_1_5412845612146241046457891017456[[#This Row],[TOTAL]]*_1_5412845612146241046457891017456[[#This Row],[MARGIN]]</f>
        <v>0</v>
      </c>
      <c r="R627" s="41"/>
    </row>
    <row r="628" spans="4:18">
      <c r="D628" s="188"/>
      <c r="F628" s="168" t="s">
        <v>6202</v>
      </c>
      <c r="G628" s="193">
        <f>IF(_1_5412845612146241046457891017456[[#This Row],[Type]]&gt;0,VLOOKUP(_1_5412845612146241046457891017456[[#This Row],[Type]],Main[[#All],[TYPE]:[UNIT]],'Unit Price'!C$1,FALSE),0)</f>
        <v>0</v>
      </c>
      <c r="H628" s="197">
        <f>IF(_1_5412845612146241046457891017456[[#This Row],[Type]]&gt;0,VLOOKUP(_1_5412845612146241046457891017456[[#This Row],[Type]],Main[[#All],[TYPE]:[UNIT]],'Unit Price'!D$1,FALSE),0)</f>
        <v>0</v>
      </c>
      <c r="I628" s="194">
        <f>IF(_1_5412845612146241046457891017456[[#This Row],[Type]]&gt;0,VLOOKUP(_1_5412845612146241046457891017456[[#This Row],[Type]],Main[[#All],[TYPE]:[UNIT]],'Unit Price'!G$1,FALSE),0)</f>
        <v>0</v>
      </c>
      <c r="J628" s="194">
        <f>IF(_1_5412845612146241046457891017456[[#This Row],[Type]]&gt;0,VLOOKUP(_1_5412845612146241046457891017456[[#This Row],[Type]],Main[[#All],[TYPE]:[UNIT]],'Unit Price'!H$1,FALSE),0)</f>
        <v>0</v>
      </c>
      <c r="K628" s="194">
        <f>IF(_1_5412845612146241046457891017456[[#This Row],[Discount selection]]&gt;0,VLOOKUP(_1_5412845612146241046457891017456[[#This Row],[Discount selection]],'Discount Structure'!$A$2:$B$30,2,"false"),0)</f>
        <v>1</v>
      </c>
      <c r="L628" s="194">
        <f>_1_5412845612146241046457891017456[[#This Row],[LIST $]]*_1_5412845612146241046457891017456[[#This Row],[DISCOUNT]]*_1_5412845612146241046457891017456[[#This Row],[DISCOUNT 2]]</f>
        <v>0</v>
      </c>
      <c r="M628" s="194">
        <f>IF(OR(_1_5412845612146241046457891017456[[#This Row],[UNIT]]&gt;0,_1_5412845612146241046457891017456[[#This Row],[UNIT]]&lt;0),_1_5412845612146241046457891017456[[#This Row],[UNIT]]*_1_5412845612146241046457891017456[[#This Row],[COST]],0)</f>
        <v>0</v>
      </c>
      <c r="N628" s="194">
        <f t="shared" si="9"/>
        <v>1.3</v>
      </c>
      <c r="O628" s="198">
        <f>_1_5412845612146241046457891017456[[#This Row],[TOTAL]]*_1_5412845612146241046457891017456[[#This Row],[MARGIN]]</f>
        <v>0</v>
      </c>
      <c r="R628" s="41"/>
    </row>
    <row r="629" spans="4:18">
      <c r="D629" s="188"/>
      <c r="F629" s="168" t="s">
        <v>6202</v>
      </c>
      <c r="G629" s="193">
        <f>IF(_1_5412845612146241046457891017456[[#This Row],[Type]]&gt;0,VLOOKUP(_1_5412845612146241046457891017456[[#This Row],[Type]],Main[[#All],[TYPE]:[UNIT]],'Unit Price'!C$1,FALSE),0)</f>
        <v>0</v>
      </c>
      <c r="H629" s="197">
        <f>IF(_1_5412845612146241046457891017456[[#This Row],[Type]]&gt;0,VLOOKUP(_1_5412845612146241046457891017456[[#This Row],[Type]],Main[[#All],[TYPE]:[UNIT]],'Unit Price'!D$1,FALSE),0)</f>
        <v>0</v>
      </c>
      <c r="I629" s="194">
        <f>IF(_1_5412845612146241046457891017456[[#This Row],[Type]]&gt;0,VLOOKUP(_1_5412845612146241046457891017456[[#This Row],[Type]],Main[[#All],[TYPE]:[UNIT]],'Unit Price'!G$1,FALSE),0)</f>
        <v>0</v>
      </c>
      <c r="J629" s="194">
        <f>IF(_1_5412845612146241046457891017456[[#This Row],[Type]]&gt;0,VLOOKUP(_1_5412845612146241046457891017456[[#This Row],[Type]],Main[[#All],[TYPE]:[UNIT]],'Unit Price'!H$1,FALSE),0)</f>
        <v>0</v>
      </c>
      <c r="K629" s="194">
        <f>IF(_1_5412845612146241046457891017456[[#This Row],[Discount selection]]&gt;0,VLOOKUP(_1_5412845612146241046457891017456[[#This Row],[Discount selection]],'Discount Structure'!$A$2:$B$30,2,"false"),0)</f>
        <v>1</v>
      </c>
      <c r="L629" s="194">
        <f>_1_5412845612146241046457891017456[[#This Row],[LIST $]]*_1_5412845612146241046457891017456[[#This Row],[DISCOUNT]]*_1_5412845612146241046457891017456[[#This Row],[DISCOUNT 2]]</f>
        <v>0</v>
      </c>
      <c r="M629" s="194">
        <f>IF(OR(_1_5412845612146241046457891017456[[#This Row],[UNIT]]&gt;0,_1_5412845612146241046457891017456[[#This Row],[UNIT]]&lt;0),_1_5412845612146241046457891017456[[#This Row],[UNIT]]*_1_5412845612146241046457891017456[[#This Row],[COST]],0)</f>
        <v>0</v>
      </c>
      <c r="N629" s="194">
        <f t="shared" si="9"/>
        <v>1.3</v>
      </c>
      <c r="O629" s="198">
        <f>_1_5412845612146241046457891017456[[#This Row],[TOTAL]]*_1_5412845612146241046457891017456[[#This Row],[MARGIN]]</f>
        <v>0</v>
      </c>
      <c r="R629" s="41"/>
    </row>
    <row r="630" spans="4:18">
      <c r="D630" s="188"/>
      <c r="F630" s="168" t="s">
        <v>6202</v>
      </c>
      <c r="G630" s="193">
        <f>IF(_1_5412845612146241046457891017456[[#This Row],[Type]]&gt;0,VLOOKUP(_1_5412845612146241046457891017456[[#This Row],[Type]],Main[[#All],[TYPE]:[UNIT]],'Unit Price'!C$1,FALSE),0)</f>
        <v>0</v>
      </c>
      <c r="H630" s="197">
        <f>IF(_1_5412845612146241046457891017456[[#This Row],[Type]]&gt;0,VLOOKUP(_1_5412845612146241046457891017456[[#This Row],[Type]],Main[[#All],[TYPE]:[UNIT]],'Unit Price'!D$1,FALSE),0)</f>
        <v>0</v>
      </c>
      <c r="I630" s="194">
        <f>IF(_1_5412845612146241046457891017456[[#This Row],[Type]]&gt;0,VLOOKUP(_1_5412845612146241046457891017456[[#This Row],[Type]],Main[[#All],[TYPE]:[UNIT]],'Unit Price'!G$1,FALSE),0)</f>
        <v>0</v>
      </c>
      <c r="J630" s="194">
        <f>IF(_1_5412845612146241046457891017456[[#This Row],[Type]]&gt;0,VLOOKUP(_1_5412845612146241046457891017456[[#This Row],[Type]],Main[[#All],[TYPE]:[UNIT]],'Unit Price'!H$1,FALSE),0)</f>
        <v>0</v>
      </c>
      <c r="K630" s="194">
        <f>IF(_1_5412845612146241046457891017456[[#This Row],[Discount selection]]&gt;0,VLOOKUP(_1_5412845612146241046457891017456[[#This Row],[Discount selection]],'Discount Structure'!$A$2:$B$30,2,"false"),0)</f>
        <v>1</v>
      </c>
      <c r="L630" s="194">
        <f>_1_5412845612146241046457891017456[[#This Row],[LIST $]]*_1_5412845612146241046457891017456[[#This Row],[DISCOUNT]]*_1_5412845612146241046457891017456[[#This Row],[DISCOUNT 2]]</f>
        <v>0</v>
      </c>
      <c r="M630" s="194">
        <f>IF(OR(_1_5412845612146241046457891017456[[#This Row],[UNIT]]&gt;0,_1_5412845612146241046457891017456[[#This Row],[UNIT]]&lt;0),_1_5412845612146241046457891017456[[#This Row],[UNIT]]*_1_5412845612146241046457891017456[[#This Row],[COST]],0)</f>
        <v>0</v>
      </c>
      <c r="N630" s="194">
        <f t="shared" si="9"/>
        <v>1.3</v>
      </c>
      <c r="O630" s="198">
        <f>_1_5412845612146241046457891017456[[#This Row],[TOTAL]]*_1_5412845612146241046457891017456[[#This Row],[MARGIN]]</f>
        <v>0</v>
      </c>
      <c r="R630" s="41"/>
    </row>
    <row r="631" spans="4:18">
      <c r="D631" s="188"/>
      <c r="F631" s="168" t="s">
        <v>6202</v>
      </c>
      <c r="G631" s="193">
        <f>IF(_1_5412845612146241046457891017456[[#This Row],[Type]]&gt;0,VLOOKUP(_1_5412845612146241046457891017456[[#This Row],[Type]],Main[[#All],[TYPE]:[UNIT]],'Unit Price'!C$1,FALSE),0)</f>
        <v>0</v>
      </c>
      <c r="H631" s="197">
        <f>IF(_1_5412845612146241046457891017456[[#This Row],[Type]]&gt;0,VLOOKUP(_1_5412845612146241046457891017456[[#This Row],[Type]],Main[[#All],[TYPE]:[UNIT]],'Unit Price'!D$1,FALSE),0)</f>
        <v>0</v>
      </c>
      <c r="I631" s="194">
        <f>IF(_1_5412845612146241046457891017456[[#This Row],[Type]]&gt;0,VLOOKUP(_1_5412845612146241046457891017456[[#This Row],[Type]],Main[[#All],[TYPE]:[UNIT]],'Unit Price'!G$1,FALSE),0)</f>
        <v>0</v>
      </c>
      <c r="J631" s="194">
        <f>IF(_1_5412845612146241046457891017456[[#This Row],[Type]]&gt;0,VLOOKUP(_1_5412845612146241046457891017456[[#This Row],[Type]],Main[[#All],[TYPE]:[UNIT]],'Unit Price'!H$1,FALSE),0)</f>
        <v>0</v>
      </c>
      <c r="K631" s="194">
        <f>IF(_1_5412845612146241046457891017456[[#This Row],[Discount selection]]&gt;0,VLOOKUP(_1_5412845612146241046457891017456[[#This Row],[Discount selection]],'Discount Structure'!$A$2:$B$30,2,"false"),0)</f>
        <v>1</v>
      </c>
      <c r="L631" s="194">
        <f>_1_5412845612146241046457891017456[[#This Row],[LIST $]]*_1_5412845612146241046457891017456[[#This Row],[DISCOUNT]]*_1_5412845612146241046457891017456[[#This Row],[DISCOUNT 2]]</f>
        <v>0</v>
      </c>
      <c r="M631" s="194">
        <f>IF(OR(_1_5412845612146241046457891017456[[#This Row],[UNIT]]&gt;0,_1_5412845612146241046457891017456[[#This Row],[UNIT]]&lt;0),_1_5412845612146241046457891017456[[#This Row],[UNIT]]*_1_5412845612146241046457891017456[[#This Row],[COST]],0)</f>
        <v>0</v>
      </c>
      <c r="N631" s="194">
        <f t="shared" si="9"/>
        <v>1.3</v>
      </c>
      <c r="O631" s="198">
        <f>_1_5412845612146241046457891017456[[#This Row],[TOTAL]]*_1_5412845612146241046457891017456[[#This Row],[MARGIN]]</f>
        <v>0</v>
      </c>
      <c r="R631" s="41"/>
    </row>
    <row r="632" spans="4:18">
      <c r="D632" s="188"/>
      <c r="F632" s="168" t="s">
        <v>6202</v>
      </c>
      <c r="G632" s="193">
        <f>IF(_1_5412845612146241046457891017456[[#This Row],[Type]]&gt;0,VLOOKUP(_1_5412845612146241046457891017456[[#This Row],[Type]],Main[[#All],[TYPE]:[UNIT]],'Unit Price'!C$1,FALSE),0)</f>
        <v>0</v>
      </c>
      <c r="H632" s="197">
        <f>IF(_1_5412845612146241046457891017456[[#This Row],[Type]]&gt;0,VLOOKUP(_1_5412845612146241046457891017456[[#This Row],[Type]],Main[[#All],[TYPE]:[UNIT]],'Unit Price'!D$1,FALSE),0)</f>
        <v>0</v>
      </c>
      <c r="I632" s="194">
        <f>IF(_1_5412845612146241046457891017456[[#This Row],[Type]]&gt;0,VLOOKUP(_1_5412845612146241046457891017456[[#This Row],[Type]],Main[[#All],[TYPE]:[UNIT]],'Unit Price'!G$1,FALSE),0)</f>
        <v>0</v>
      </c>
      <c r="J632" s="194">
        <f>IF(_1_5412845612146241046457891017456[[#This Row],[Type]]&gt;0,VLOOKUP(_1_5412845612146241046457891017456[[#This Row],[Type]],Main[[#All],[TYPE]:[UNIT]],'Unit Price'!H$1,FALSE),0)</f>
        <v>0</v>
      </c>
      <c r="K632" s="194">
        <f>IF(_1_5412845612146241046457891017456[[#This Row],[Discount selection]]&gt;0,VLOOKUP(_1_5412845612146241046457891017456[[#This Row],[Discount selection]],'Discount Structure'!$A$2:$B$30,2,"false"),0)</f>
        <v>1</v>
      </c>
      <c r="L632" s="194">
        <f>_1_5412845612146241046457891017456[[#This Row],[LIST $]]*_1_5412845612146241046457891017456[[#This Row],[DISCOUNT]]*_1_5412845612146241046457891017456[[#This Row],[DISCOUNT 2]]</f>
        <v>0</v>
      </c>
      <c r="M632" s="194">
        <f>IF(OR(_1_5412845612146241046457891017456[[#This Row],[UNIT]]&gt;0,_1_5412845612146241046457891017456[[#This Row],[UNIT]]&lt;0),_1_5412845612146241046457891017456[[#This Row],[UNIT]]*_1_5412845612146241046457891017456[[#This Row],[COST]],0)</f>
        <v>0</v>
      </c>
      <c r="N632" s="194">
        <f t="shared" si="9"/>
        <v>1.3</v>
      </c>
      <c r="O632" s="198">
        <f>_1_5412845612146241046457891017456[[#This Row],[TOTAL]]*_1_5412845612146241046457891017456[[#This Row],[MARGIN]]</f>
        <v>0</v>
      </c>
      <c r="R632" s="41"/>
    </row>
    <row r="633" spans="4:18">
      <c r="D633" s="188"/>
      <c r="F633" s="168" t="s">
        <v>6202</v>
      </c>
      <c r="G633" s="193">
        <f>IF(_1_5412845612146241046457891017456[[#This Row],[Type]]&gt;0,VLOOKUP(_1_5412845612146241046457891017456[[#This Row],[Type]],Main[[#All],[TYPE]:[UNIT]],'Unit Price'!C$1,FALSE),0)</f>
        <v>0</v>
      </c>
      <c r="H633" s="197">
        <f>IF(_1_5412845612146241046457891017456[[#This Row],[Type]]&gt;0,VLOOKUP(_1_5412845612146241046457891017456[[#This Row],[Type]],Main[[#All],[TYPE]:[UNIT]],'Unit Price'!D$1,FALSE),0)</f>
        <v>0</v>
      </c>
      <c r="I633" s="194">
        <f>IF(_1_5412845612146241046457891017456[[#This Row],[Type]]&gt;0,VLOOKUP(_1_5412845612146241046457891017456[[#This Row],[Type]],Main[[#All],[TYPE]:[UNIT]],'Unit Price'!G$1,FALSE),0)</f>
        <v>0</v>
      </c>
      <c r="J633" s="194">
        <f>IF(_1_5412845612146241046457891017456[[#This Row],[Type]]&gt;0,VLOOKUP(_1_5412845612146241046457891017456[[#This Row],[Type]],Main[[#All],[TYPE]:[UNIT]],'Unit Price'!H$1,FALSE),0)</f>
        <v>0</v>
      </c>
      <c r="K633" s="194">
        <f>IF(_1_5412845612146241046457891017456[[#This Row],[Discount selection]]&gt;0,VLOOKUP(_1_5412845612146241046457891017456[[#This Row],[Discount selection]],'Discount Structure'!$A$2:$B$30,2,"false"),0)</f>
        <v>1</v>
      </c>
      <c r="L633" s="194">
        <f>_1_5412845612146241046457891017456[[#This Row],[LIST $]]*_1_5412845612146241046457891017456[[#This Row],[DISCOUNT]]*_1_5412845612146241046457891017456[[#This Row],[DISCOUNT 2]]</f>
        <v>0</v>
      </c>
      <c r="M633" s="194">
        <f>IF(OR(_1_5412845612146241046457891017456[[#This Row],[UNIT]]&gt;0,_1_5412845612146241046457891017456[[#This Row],[UNIT]]&lt;0),_1_5412845612146241046457891017456[[#This Row],[UNIT]]*_1_5412845612146241046457891017456[[#This Row],[COST]],0)</f>
        <v>0</v>
      </c>
      <c r="N633" s="194">
        <f t="shared" si="9"/>
        <v>1.3</v>
      </c>
      <c r="O633" s="198">
        <f>_1_5412845612146241046457891017456[[#This Row],[TOTAL]]*_1_5412845612146241046457891017456[[#This Row],[MARGIN]]</f>
        <v>0</v>
      </c>
      <c r="R633" s="41"/>
    </row>
    <row r="634" spans="4:18">
      <c r="D634" s="188"/>
      <c r="F634" s="168" t="s">
        <v>6202</v>
      </c>
      <c r="G634" s="193">
        <f>IF(_1_5412845612146241046457891017456[[#This Row],[Type]]&gt;0,VLOOKUP(_1_5412845612146241046457891017456[[#This Row],[Type]],Main[[#All],[TYPE]:[UNIT]],'Unit Price'!C$1,FALSE),0)</f>
        <v>0</v>
      </c>
      <c r="H634" s="197">
        <f>IF(_1_5412845612146241046457891017456[[#This Row],[Type]]&gt;0,VLOOKUP(_1_5412845612146241046457891017456[[#This Row],[Type]],Main[[#All],[TYPE]:[UNIT]],'Unit Price'!D$1,FALSE),0)</f>
        <v>0</v>
      </c>
      <c r="I634" s="194">
        <f>IF(_1_5412845612146241046457891017456[[#This Row],[Type]]&gt;0,VLOOKUP(_1_5412845612146241046457891017456[[#This Row],[Type]],Main[[#All],[TYPE]:[UNIT]],'Unit Price'!G$1,FALSE),0)</f>
        <v>0</v>
      </c>
      <c r="J634" s="194">
        <f>IF(_1_5412845612146241046457891017456[[#This Row],[Type]]&gt;0,VLOOKUP(_1_5412845612146241046457891017456[[#This Row],[Type]],Main[[#All],[TYPE]:[UNIT]],'Unit Price'!H$1,FALSE),0)</f>
        <v>0</v>
      </c>
      <c r="K634" s="194">
        <f>IF(_1_5412845612146241046457891017456[[#This Row],[Discount selection]]&gt;0,VLOOKUP(_1_5412845612146241046457891017456[[#This Row],[Discount selection]],'Discount Structure'!$A$2:$B$30,2,"false"),0)</f>
        <v>1</v>
      </c>
      <c r="L634" s="194">
        <f>_1_5412845612146241046457891017456[[#This Row],[LIST $]]*_1_5412845612146241046457891017456[[#This Row],[DISCOUNT]]*_1_5412845612146241046457891017456[[#This Row],[DISCOUNT 2]]</f>
        <v>0</v>
      </c>
      <c r="M634" s="194">
        <f>IF(OR(_1_5412845612146241046457891017456[[#This Row],[UNIT]]&gt;0,_1_5412845612146241046457891017456[[#This Row],[UNIT]]&lt;0),_1_5412845612146241046457891017456[[#This Row],[UNIT]]*_1_5412845612146241046457891017456[[#This Row],[COST]],0)</f>
        <v>0</v>
      </c>
      <c r="N634" s="194">
        <f t="shared" si="9"/>
        <v>1.3</v>
      </c>
      <c r="O634" s="198">
        <f>_1_5412845612146241046457891017456[[#This Row],[TOTAL]]*_1_5412845612146241046457891017456[[#This Row],[MARGIN]]</f>
        <v>0</v>
      </c>
      <c r="R634" s="41"/>
    </row>
    <row r="635" spans="4:18">
      <c r="D635" s="188"/>
      <c r="F635" s="168" t="s">
        <v>6202</v>
      </c>
      <c r="G635" s="193">
        <f>IF(_1_5412845612146241046457891017456[[#This Row],[Type]]&gt;0,VLOOKUP(_1_5412845612146241046457891017456[[#This Row],[Type]],Main[[#All],[TYPE]:[UNIT]],'Unit Price'!C$1,FALSE),0)</f>
        <v>0</v>
      </c>
      <c r="H635" s="197">
        <f>IF(_1_5412845612146241046457891017456[[#This Row],[Type]]&gt;0,VLOOKUP(_1_5412845612146241046457891017456[[#This Row],[Type]],Main[[#All],[TYPE]:[UNIT]],'Unit Price'!D$1,FALSE),0)</f>
        <v>0</v>
      </c>
      <c r="I635" s="194">
        <f>IF(_1_5412845612146241046457891017456[[#This Row],[Type]]&gt;0,VLOOKUP(_1_5412845612146241046457891017456[[#This Row],[Type]],Main[[#All],[TYPE]:[UNIT]],'Unit Price'!G$1,FALSE),0)</f>
        <v>0</v>
      </c>
      <c r="J635" s="194">
        <f>IF(_1_5412845612146241046457891017456[[#This Row],[Type]]&gt;0,VLOOKUP(_1_5412845612146241046457891017456[[#This Row],[Type]],Main[[#All],[TYPE]:[UNIT]],'Unit Price'!H$1,FALSE),0)</f>
        <v>0</v>
      </c>
      <c r="K635" s="194">
        <f>IF(_1_5412845612146241046457891017456[[#This Row],[Discount selection]]&gt;0,VLOOKUP(_1_5412845612146241046457891017456[[#This Row],[Discount selection]],'Discount Structure'!$A$2:$B$30,2,"false"),0)</f>
        <v>1</v>
      </c>
      <c r="L635" s="194">
        <f>_1_5412845612146241046457891017456[[#This Row],[LIST $]]*_1_5412845612146241046457891017456[[#This Row],[DISCOUNT]]*_1_5412845612146241046457891017456[[#This Row],[DISCOUNT 2]]</f>
        <v>0</v>
      </c>
      <c r="M635" s="194">
        <f>IF(OR(_1_5412845612146241046457891017456[[#This Row],[UNIT]]&gt;0,_1_5412845612146241046457891017456[[#This Row],[UNIT]]&lt;0),_1_5412845612146241046457891017456[[#This Row],[UNIT]]*_1_5412845612146241046457891017456[[#This Row],[COST]],0)</f>
        <v>0</v>
      </c>
      <c r="N635" s="194">
        <f t="shared" si="9"/>
        <v>1.3</v>
      </c>
      <c r="O635" s="198">
        <f>_1_5412845612146241046457891017456[[#This Row],[TOTAL]]*_1_5412845612146241046457891017456[[#This Row],[MARGIN]]</f>
        <v>0</v>
      </c>
      <c r="R635" s="41"/>
    </row>
    <row r="636" spans="4:18">
      <c r="D636" s="188"/>
      <c r="F636" s="168" t="s">
        <v>6202</v>
      </c>
      <c r="G636" s="193">
        <f>IF(_1_5412845612146241046457891017456[[#This Row],[Type]]&gt;0,VLOOKUP(_1_5412845612146241046457891017456[[#This Row],[Type]],Main[[#All],[TYPE]:[UNIT]],'Unit Price'!C$1,FALSE),0)</f>
        <v>0</v>
      </c>
      <c r="H636" s="197">
        <f>IF(_1_5412845612146241046457891017456[[#This Row],[Type]]&gt;0,VLOOKUP(_1_5412845612146241046457891017456[[#This Row],[Type]],Main[[#All],[TYPE]:[UNIT]],'Unit Price'!D$1,FALSE),0)</f>
        <v>0</v>
      </c>
      <c r="I636" s="194">
        <f>IF(_1_5412845612146241046457891017456[[#This Row],[Type]]&gt;0,VLOOKUP(_1_5412845612146241046457891017456[[#This Row],[Type]],Main[[#All],[TYPE]:[UNIT]],'Unit Price'!G$1,FALSE),0)</f>
        <v>0</v>
      </c>
      <c r="J636" s="194">
        <f>IF(_1_5412845612146241046457891017456[[#This Row],[Type]]&gt;0,VLOOKUP(_1_5412845612146241046457891017456[[#This Row],[Type]],Main[[#All],[TYPE]:[UNIT]],'Unit Price'!H$1,FALSE),0)</f>
        <v>0</v>
      </c>
      <c r="K636" s="194">
        <f>IF(_1_5412845612146241046457891017456[[#This Row],[Discount selection]]&gt;0,VLOOKUP(_1_5412845612146241046457891017456[[#This Row],[Discount selection]],'Discount Structure'!$A$2:$B$30,2,"false"),0)</f>
        <v>1</v>
      </c>
      <c r="L636" s="194">
        <f>_1_5412845612146241046457891017456[[#This Row],[LIST $]]*_1_5412845612146241046457891017456[[#This Row],[DISCOUNT]]*_1_5412845612146241046457891017456[[#This Row],[DISCOUNT 2]]</f>
        <v>0</v>
      </c>
      <c r="M636" s="194">
        <f>IF(OR(_1_5412845612146241046457891017456[[#This Row],[UNIT]]&gt;0,_1_5412845612146241046457891017456[[#This Row],[UNIT]]&lt;0),_1_5412845612146241046457891017456[[#This Row],[UNIT]]*_1_5412845612146241046457891017456[[#This Row],[COST]],0)</f>
        <v>0</v>
      </c>
      <c r="N636" s="194">
        <f t="shared" si="9"/>
        <v>1.3</v>
      </c>
      <c r="O636" s="198">
        <f>_1_5412845612146241046457891017456[[#This Row],[TOTAL]]*_1_5412845612146241046457891017456[[#This Row],[MARGIN]]</f>
        <v>0</v>
      </c>
      <c r="R636" s="41"/>
    </row>
    <row r="637" spans="4:18">
      <c r="D637" s="188"/>
      <c r="F637" s="168" t="s">
        <v>6202</v>
      </c>
      <c r="G637" s="193">
        <f>IF(_1_5412845612146241046457891017456[[#This Row],[Type]]&gt;0,VLOOKUP(_1_5412845612146241046457891017456[[#This Row],[Type]],Main[[#All],[TYPE]:[UNIT]],'Unit Price'!C$1,FALSE),0)</f>
        <v>0</v>
      </c>
      <c r="H637" s="197">
        <f>IF(_1_5412845612146241046457891017456[[#This Row],[Type]]&gt;0,VLOOKUP(_1_5412845612146241046457891017456[[#This Row],[Type]],Main[[#All],[TYPE]:[UNIT]],'Unit Price'!D$1,FALSE),0)</f>
        <v>0</v>
      </c>
      <c r="I637" s="194">
        <f>IF(_1_5412845612146241046457891017456[[#This Row],[Type]]&gt;0,VLOOKUP(_1_5412845612146241046457891017456[[#This Row],[Type]],Main[[#All],[TYPE]:[UNIT]],'Unit Price'!G$1,FALSE),0)</f>
        <v>0</v>
      </c>
      <c r="J637" s="194">
        <f>IF(_1_5412845612146241046457891017456[[#This Row],[Type]]&gt;0,VLOOKUP(_1_5412845612146241046457891017456[[#This Row],[Type]],Main[[#All],[TYPE]:[UNIT]],'Unit Price'!H$1,FALSE),0)</f>
        <v>0</v>
      </c>
      <c r="K637" s="194">
        <f>IF(_1_5412845612146241046457891017456[[#This Row],[Discount selection]]&gt;0,VLOOKUP(_1_5412845612146241046457891017456[[#This Row],[Discount selection]],'Discount Structure'!$A$2:$B$30,2,"false"),0)</f>
        <v>1</v>
      </c>
      <c r="L637" s="194">
        <f>_1_5412845612146241046457891017456[[#This Row],[LIST $]]*_1_5412845612146241046457891017456[[#This Row],[DISCOUNT]]*_1_5412845612146241046457891017456[[#This Row],[DISCOUNT 2]]</f>
        <v>0</v>
      </c>
      <c r="M637" s="194">
        <f>IF(OR(_1_5412845612146241046457891017456[[#This Row],[UNIT]]&gt;0,_1_5412845612146241046457891017456[[#This Row],[UNIT]]&lt;0),_1_5412845612146241046457891017456[[#This Row],[UNIT]]*_1_5412845612146241046457891017456[[#This Row],[COST]],0)</f>
        <v>0</v>
      </c>
      <c r="N637" s="194">
        <f t="shared" si="9"/>
        <v>1.3</v>
      </c>
      <c r="O637" s="198">
        <f>_1_5412845612146241046457891017456[[#This Row],[TOTAL]]*_1_5412845612146241046457891017456[[#This Row],[MARGIN]]</f>
        <v>0</v>
      </c>
      <c r="R637" s="41"/>
    </row>
    <row r="638" spans="4:18">
      <c r="D638" s="188"/>
      <c r="F638" s="168" t="s">
        <v>6202</v>
      </c>
      <c r="G638" s="193">
        <f>IF(_1_5412845612146241046457891017456[[#This Row],[Type]]&gt;0,VLOOKUP(_1_5412845612146241046457891017456[[#This Row],[Type]],Main[[#All],[TYPE]:[UNIT]],'Unit Price'!C$1,FALSE),0)</f>
        <v>0</v>
      </c>
      <c r="H638" s="197">
        <f>IF(_1_5412845612146241046457891017456[[#This Row],[Type]]&gt;0,VLOOKUP(_1_5412845612146241046457891017456[[#This Row],[Type]],Main[[#All],[TYPE]:[UNIT]],'Unit Price'!D$1,FALSE),0)</f>
        <v>0</v>
      </c>
      <c r="I638" s="194">
        <f>IF(_1_5412845612146241046457891017456[[#This Row],[Type]]&gt;0,VLOOKUP(_1_5412845612146241046457891017456[[#This Row],[Type]],Main[[#All],[TYPE]:[UNIT]],'Unit Price'!G$1,FALSE),0)</f>
        <v>0</v>
      </c>
      <c r="J638" s="194">
        <f>IF(_1_5412845612146241046457891017456[[#This Row],[Type]]&gt;0,VLOOKUP(_1_5412845612146241046457891017456[[#This Row],[Type]],Main[[#All],[TYPE]:[UNIT]],'Unit Price'!H$1,FALSE),0)</f>
        <v>0</v>
      </c>
      <c r="K638" s="194">
        <f>IF(_1_5412845612146241046457891017456[[#This Row],[Discount selection]]&gt;0,VLOOKUP(_1_5412845612146241046457891017456[[#This Row],[Discount selection]],'Discount Structure'!$A$2:$B$30,2,"false"),0)</f>
        <v>1</v>
      </c>
      <c r="L638" s="194">
        <f>_1_5412845612146241046457891017456[[#This Row],[LIST $]]*_1_5412845612146241046457891017456[[#This Row],[DISCOUNT]]*_1_5412845612146241046457891017456[[#This Row],[DISCOUNT 2]]</f>
        <v>0</v>
      </c>
      <c r="M638" s="194">
        <f>IF(OR(_1_5412845612146241046457891017456[[#This Row],[UNIT]]&gt;0,_1_5412845612146241046457891017456[[#This Row],[UNIT]]&lt;0),_1_5412845612146241046457891017456[[#This Row],[UNIT]]*_1_5412845612146241046457891017456[[#This Row],[COST]],0)</f>
        <v>0</v>
      </c>
      <c r="N638" s="194">
        <f t="shared" si="9"/>
        <v>1.3</v>
      </c>
      <c r="O638" s="198">
        <f>_1_5412845612146241046457891017456[[#This Row],[TOTAL]]*_1_5412845612146241046457891017456[[#This Row],[MARGIN]]</f>
        <v>0</v>
      </c>
      <c r="R638" s="41"/>
    </row>
    <row r="639" spans="4:18">
      <c r="D639" s="188"/>
      <c r="F639" s="168" t="s">
        <v>6202</v>
      </c>
      <c r="G639" s="193">
        <f>IF(_1_5412845612146241046457891017456[[#This Row],[Type]]&gt;0,VLOOKUP(_1_5412845612146241046457891017456[[#This Row],[Type]],Main[[#All],[TYPE]:[UNIT]],'Unit Price'!C$1,FALSE),0)</f>
        <v>0</v>
      </c>
      <c r="H639" s="197">
        <f>IF(_1_5412845612146241046457891017456[[#This Row],[Type]]&gt;0,VLOOKUP(_1_5412845612146241046457891017456[[#This Row],[Type]],Main[[#All],[TYPE]:[UNIT]],'Unit Price'!D$1,FALSE),0)</f>
        <v>0</v>
      </c>
      <c r="I639" s="194">
        <f>IF(_1_5412845612146241046457891017456[[#This Row],[Type]]&gt;0,VLOOKUP(_1_5412845612146241046457891017456[[#This Row],[Type]],Main[[#All],[TYPE]:[UNIT]],'Unit Price'!G$1,FALSE),0)</f>
        <v>0</v>
      </c>
      <c r="J639" s="194">
        <f>IF(_1_5412845612146241046457891017456[[#This Row],[Type]]&gt;0,VLOOKUP(_1_5412845612146241046457891017456[[#This Row],[Type]],Main[[#All],[TYPE]:[UNIT]],'Unit Price'!H$1,FALSE),0)</f>
        <v>0</v>
      </c>
      <c r="K639" s="194">
        <f>IF(_1_5412845612146241046457891017456[[#This Row],[Discount selection]]&gt;0,VLOOKUP(_1_5412845612146241046457891017456[[#This Row],[Discount selection]],'Discount Structure'!$A$2:$B$30,2,"false"),0)</f>
        <v>1</v>
      </c>
      <c r="L639" s="194">
        <f>_1_5412845612146241046457891017456[[#This Row],[LIST $]]*_1_5412845612146241046457891017456[[#This Row],[DISCOUNT]]*_1_5412845612146241046457891017456[[#This Row],[DISCOUNT 2]]</f>
        <v>0</v>
      </c>
      <c r="M639" s="194">
        <f>IF(OR(_1_5412845612146241046457891017456[[#This Row],[UNIT]]&gt;0,_1_5412845612146241046457891017456[[#This Row],[UNIT]]&lt;0),_1_5412845612146241046457891017456[[#This Row],[UNIT]]*_1_5412845612146241046457891017456[[#This Row],[COST]],0)</f>
        <v>0</v>
      </c>
      <c r="N639" s="194">
        <f t="shared" si="9"/>
        <v>1.3</v>
      </c>
      <c r="O639" s="198">
        <f>_1_5412845612146241046457891017456[[#This Row],[TOTAL]]*_1_5412845612146241046457891017456[[#This Row],[MARGIN]]</f>
        <v>0</v>
      </c>
      <c r="R639" s="41"/>
    </row>
    <row r="640" spans="4:18">
      <c r="D640" s="188"/>
      <c r="F640" s="168" t="s">
        <v>6202</v>
      </c>
      <c r="G640" s="193">
        <f>IF(_1_5412845612146241046457891017456[[#This Row],[Type]]&gt;0,VLOOKUP(_1_5412845612146241046457891017456[[#This Row],[Type]],Main[[#All],[TYPE]:[UNIT]],'Unit Price'!C$1,FALSE),0)</f>
        <v>0</v>
      </c>
      <c r="H640" s="197">
        <f>IF(_1_5412845612146241046457891017456[[#This Row],[Type]]&gt;0,VLOOKUP(_1_5412845612146241046457891017456[[#This Row],[Type]],Main[[#All],[TYPE]:[UNIT]],'Unit Price'!D$1,FALSE),0)</f>
        <v>0</v>
      </c>
      <c r="I640" s="194">
        <f>IF(_1_5412845612146241046457891017456[[#This Row],[Type]]&gt;0,VLOOKUP(_1_5412845612146241046457891017456[[#This Row],[Type]],Main[[#All],[TYPE]:[UNIT]],'Unit Price'!G$1,FALSE),0)</f>
        <v>0</v>
      </c>
      <c r="J640" s="194">
        <f>IF(_1_5412845612146241046457891017456[[#This Row],[Type]]&gt;0,VLOOKUP(_1_5412845612146241046457891017456[[#This Row],[Type]],Main[[#All],[TYPE]:[UNIT]],'Unit Price'!H$1,FALSE),0)</f>
        <v>0</v>
      </c>
      <c r="K640" s="194">
        <f>IF(_1_5412845612146241046457891017456[[#This Row],[Discount selection]]&gt;0,VLOOKUP(_1_5412845612146241046457891017456[[#This Row],[Discount selection]],'Discount Structure'!$A$2:$B$30,2,"false"),0)</f>
        <v>1</v>
      </c>
      <c r="L640" s="194">
        <f>_1_5412845612146241046457891017456[[#This Row],[LIST $]]*_1_5412845612146241046457891017456[[#This Row],[DISCOUNT]]*_1_5412845612146241046457891017456[[#This Row],[DISCOUNT 2]]</f>
        <v>0</v>
      </c>
      <c r="M640" s="194">
        <f>IF(OR(_1_5412845612146241046457891017456[[#This Row],[UNIT]]&gt;0,_1_5412845612146241046457891017456[[#This Row],[UNIT]]&lt;0),_1_5412845612146241046457891017456[[#This Row],[UNIT]]*_1_5412845612146241046457891017456[[#This Row],[COST]],0)</f>
        <v>0</v>
      </c>
      <c r="N640" s="194">
        <f t="shared" si="9"/>
        <v>1.3</v>
      </c>
      <c r="O640" s="198">
        <f>_1_5412845612146241046457891017456[[#This Row],[TOTAL]]*_1_5412845612146241046457891017456[[#This Row],[MARGIN]]</f>
        <v>0</v>
      </c>
      <c r="R640" s="41"/>
    </row>
    <row r="641" spans="4:18">
      <c r="D641" s="188"/>
      <c r="F641" s="168" t="s">
        <v>6202</v>
      </c>
      <c r="G641" s="193">
        <f>IF(_1_5412845612146241046457891017456[[#This Row],[Type]]&gt;0,VLOOKUP(_1_5412845612146241046457891017456[[#This Row],[Type]],Main[[#All],[TYPE]:[UNIT]],'Unit Price'!C$1,FALSE),0)</f>
        <v>0</v>
      </c>
      <c r="H641" s="197">
        <f>IF(_1_5412845612146241046457891017456[[#This Row],[Type]]&gt;0,VLOOKUP(_1_5412845612146241046457891017456[[#This Row],[Type]],Main[[#All],[TYPE]:[UNIT]],'Unit Price'!D$1,FALSE),0)</f>
        <v>0</v>
      </c>
      <c r="I641" s="194">
        <f>IF(_1_5412845612146241046457891017456[[#This Row],[Type]]&gt;0,VLOOKUP(_1_5412845612146241046457891017456[[#This Row],[Type]],Main[[#All],[TYPE]:[UNIT]],'Unit Price'!G$1,FALSE),0)</f>
        <v>0</v>
      </c>
      <c r="J641" s="194">
        <f>IF(_1_5412845612146241046457891017456[[#This Row],[Type]]&gt;0,VLOOKUP(_1_5412845612146241046457891017456[[#This Row],[Type]],Main[[#All],[TYPE]:[UNIT]],'Unit Price'!H$1,FALSE),0)</f>
        <v>0</v>
      </c>
      <c r="K641" s="194">
        <f>IF(_1_5412845612146241046457891017456[[#This Row],[Discount selection]]&gt;0,VLOOKUP(_1_5412845612146241046457891017456[[#This Row],[Discount selection]],'Discount Structure'!$A$2:$B$30,2,"false"),0)</f>
        <v>1</v>
      </c>
      <c r="L641" s="194">
        <f>_1_5412845612146241046457891017456[[#This Row],[LIST $]]*_1_5412845612146241046457891017456[[#This Row],[DISCOUNT]]*_1_5412845612146241046457891017456[[#This Row],[DISCOUNT 2]]</f>
        <v>0</v>
      </c>
      <c r="M641" s="194">
        <f>IF(OR(_1_5412845612146241046457891017456[[#This Row],[UNIT]]&gt;0,_1_5412845612146241046457891017456[[#This Row],[UNIT]]&lt;0),_1_5412845612146241046457891017456[[#This Row],[UNIT]]*_1_5412845612146241046457891017456[[#This Row],[COST]],0)</f>
        <v>0</v>
      </c>
      <c r="N641" s="194">
        <f t="shared" si="9"/>
        <v>1.3</v>
      </c>
      <c r="O641" s="198">
        <f>_1_5412845612146241046457891017456[[#This Row],[TOTAL]]*_1_5412845612146241046457891017456[[#This Row],[MARGIN]]</f>
        <v>0</v>
      </c>
      <c r="R641" s="41"/>
    </row>
    <row r="642" spans="4:18">
      <c r="D642" s="188"/>
      <c r="F642" s="168" t="s">
        <v>6202</v>
      </c>
      <c r="G642" s="193">
        <f>IF(_1_5412845612146241046457891017456[[#This Row],[Type]]&gt;0,VLOOKUP(_1_5412845612146241046457891017456[[#This Row],[Type]],Main[[#All],[TYPE]:[UNIT]],'Unit Price'!C$1,FALSE),0)</f>
        <v>0</v>
      </c>
      <c r="H642" s="197">
        <f>IF(_1_5412845612146241046457891017456[[#This Row],[Type]]&gt;0,VLOOKUP(_1_5412845612146241046457891017456[[#This Row],[Type]],Main[[#All],[TYPE]:[UNIT]],'Unit Price'!D$1,FALSE),0)</f>
        <v>0</v>
      </c>
      <c r="I642" s="194">
        <f>IF(_1_5412845612146241046457891017456[[#This Row],[Type]]&gt;0,VLOOKUP(_1_5412845612146241046457891017456[[#This Row],[Type]],Main[[#All],[TYPE]:[UNIT]],'Unit Price'!G$1,FALSE),0)</f>
        <v>0</v>
      </c>
      <c r="J642" s="194">
        <f>IF(_1_5412845612146241046457891017456[[#This Row],[Type]]&gt;0,VLOOKUP(_1_5412845612146241046457891017456[[#This Row],[Type]],Main[[#All],[TYPE]:[UNIT]],'Unit Price'!H$1,FALSE),0)</f>
        <v>0</v>
      </c>
      <c r="K642" s="194">
        <f>IF(_1_5412845612146241046457891017456[[#This Row],[Discount selection]]&gt;0,VLOOKUP(_1_5412845612146241046457891017456[[#This Row],[Discount selection]],'Discount Structure'!$A$2:$B$30,2,"false"),0)</f>
        <v>1</v>
      </c>
      <c r="L642" s="194">
        <f>_1_5412845612146241046457891017456[[#This Row],[LIST $]]*_1_5412845612146241046457891017456[[#This Row],[DISCOUNT]]*_1_5412845612146241046457891017456[[#This Row],[DISCOUNT 2]]</f>
        <v>0</v>
      </c>
      <c r="M642" s="194">
        <f>IF(OR(_1_5412845612146241046457891017456[[#This Row],[UNIT]]&gt;0,_1_5412845612146241046457891017456[[#This Row],[UNIT]]&lt;0),_1_5412845612146241046457891017456[[#This Row],[UNIT]]*_1_5412845612146241046457891017456[[#This Row],[COST]],0)</f>
        <v>0</v>
      </c>
      <c r="N642" s="194">
        <f t="shared" si="9"/>
        <v>1.3</v>
      </c>
      <c r="O642" s="198">
        <f>_1_5412845612146241046457891017456[[#This Row],[TOTAL]]*_1_5412845612146241046457891017456[[#This Row],[MARGIN]]</f>
        <v>0</v>
      </c>
      <c r="R642" s="41"/>
    </row>
    <row r="643" spans="4:18">
      <c r="D643" s="188"/>
      <c r="F643" s="168" t="s">
        <v>6202</v>
      </c>
      <c r="G643" s="193">
        <f>IF(_1_5412845612146241046457891017456[[#This Row],[Type]]&gt;0,VLOOKUP(_1_5412845612146241046457891017456[[#This Row],[Type]],Main[[#All],[TYPE]:[UNIT]],'Unit Price'!C$1,FALSE),0)</f>
        <v>0</v>
      </c>
      <c r="H643" s="197">
        <f>IF(_1_5412845612146241046457891017456[[#This Row],[Type]]&gt;0,VLOOKUP(_1_5412845612146241046457891017456[[#This Row],[Type]],Main[[#All],[TYPE]:[UNIT]],'Unit Price'!D$1,FALSE),0)</f>
        <v>0</v>
      </c>
      <c r="I643" s="194">
        <f>IF(_1_5412845612146241046457891017456[[#This Row],[Type]]&gt;0,VLOOKUP(_1_5412845612146241046457891017456[[#This Row],[Type]],Main[[#All],[TYPE]:[UNIT]],'Unit Price'!G$1,FALSE),0)</f>
        <v>0</v>
      </c>
      <c r="J643" s="194">
        <f>IF(_1_5412845612146241046457891017456[[#This Row],[Type]]&gt;0,VLOOKUP(_1_5412845612146241046457891017456[[#This Row],[Type]],Main[[#All],[TYPE]:[UNIT]],'Unit Price'!H$1,FALSE),0)</f>
        <v>0</v>
      </c>
      <c r="K643" s="194">
        <f>IF(_1_5412845612146241046457891017456[[#This Row],[Discount selection]]&gt;0,VLOOKUP(_1_5412845612146241046457891017456[[#This Row],[Discount selection]],'Discount Structure'!$A$2:$B$30,2,"false"),0)</f>
        <v>1</v>
      </c>
      <c r="L643" s="194">
        <f>_1_5412845612146241046457891017456[[#This Row],[LIST $]]*_1_5412845612146241046457891017456[[#This Row],[DISCOUNT]]*_1_5412845612146241046457891017456[[#This Row],[DISCOUNT 2]]</f>
        <v>0</v>
      </c>
      <c r="M643" s="194">
        <f>IF(OR(_1_5412845612146241046457891017456[[#This Row],[UNIT]]&gt;0,_1_5412845612146241046457891017456[[#This Row],[UNIT]]&lt;0),_1_5412845612146241046457891017456[[#This Row],[UNIT]]*_1_5412845612146241046457891017456[[#This Row],[COST]],0)</f>
        <v>0</v>
      </c>
      <c r="N643" s="194">
        <f t="shared" si="9"/>
        <v>1.3</v>
      </c>
      <c r="O643" s="198">
        <f>_1_5412845612146241046457891017456[[#This Row],[TOTAL]]*_1_5412845612146241046457891017456[[#This Row],[MARGIN]]</f>
        <v>0</v>
      </c>
      <c r="R643" s="41"/>
    </row>
    <row r="644" spans="4:18">
      <c r="D644" s="188"/>
      <c r="F644" s="168" t="s">
        <v>6202</v>
      </c>
      <c r="G644" s="193">
        <f>IF(_1_5412845612146241046457891017456[[#This Row],[Type]]&gt;0,VLOOKUP(_1_5412845612146241046457891017456[[#This Row],[Type]],Main[[#All],[TYPE]:[UNIT]],'Unit Price'!C$1,FALSE),0)</f>
        <v>0</v>
      </c>
      <c r="H644" s="197">
        <f>IF(_1_5412845612146241046457891017456[[#This Row],[Type]]&gt;0,VLOOKUP(_1_5412845612146241046457891017456[[#This Row],[Type]],Main[[#All],[TYPE]:[UNIT]],'Unit Price'!D$1,FALSE),0)</f>
        <v>0</v>
      </c>
      <c r="I644" s="194">
        <f>IF(_1_5412845612146241046457891017456[[#This Row],[Type]]&gt;0,VLOOKUP(_1_5412845612146241046457891017456[[#This Row],[Type]],Main[[#All],[TYPE]:[UNIT]],'Unit Price'!G$1,FALSE),0)</f>
        <v>0</v>
      </c>
      <c r="J644" s="194">
        <f>IF(_1_5412845612146241046457891017456[[#This Row],[Type]]&gt;0,VLOOKUP(_1_5412845612146241046457891017456[[#This Row],[Type]],Main[[#All],[TYPE]:[UNIT]],'Unit Price'!H$1,FALSE),0)</f>
        <v>0</v>
      </c>
      <c r="K644" s="194">
        <f>IF(_1_5412845612146241046457891017456[[#This Row],[Discount selection]]&gt;0,VLOOKUP(_1_5412845612146241046457891017456[[#This Row],[Discount selection]],'Discount Structure'!$A$2:$B$30,2,"false"),0)</f>
        <v>1</v>
      </c>
      <c r="L644" s="194">
        <f>_1_5412845612146241046457891017456[[#This Row],[LIST $]]*_1_5412845612146241046457891017456[[#This Row],[DISCOUNT]]*_1_5412845612146241046457891017456[[#This Row],[DISCOUNT 2]]</f>
        <v>0</v>
      </c>
      <c r="M644" s="194">
        <f>IF(OR(_1_5412845612146241046457891017456[[#This Row],[UNIT]]&gt;0,_1_5412845612146241046457891017456[[#This Row],[UNIT]]&lt;0),_1_5412845612146241046457891017456[[#This Row],[UNIT]]*_1_5412845612146241046457891017456[[#This Row],[COST]],0)</f>
        <v>0</v>
      </c>
      <c r="N644" s="194">
        <f t="shared" si="9"/>
        <v>1.3</v>
      </c>
      <c r="O644" s="198">
        <f>_1_5412845612146241046457891017456[[#This Row],[TOTAL]]*_1_5412845612146241046457891017456[[#This Row],[MARGIN]]</f>
        <v>0</v>
      </c>
      <c r="R644" s="41"/>
    </row>
    <row r="645" spans="4:18">
      <c r="D645" s="188"/>
      <c r="F645" s="168" t="s">
        <v>6202</v>
      </c>
      <c r="G645" s="193">
        <f>IF(_1_5412845612146241046457891017456[[#This Row],[Type]]&gt;0,VLOOKUP(_1_5412845612146241046457891017456[[#This Row],[Type]],Main[[#All],[TYPE]:[UNIT]],'Unit Price'!C$1,FALSE),0)</f>
        <v>0</v>
      </c>
      <c r="H645" s="197">
        <f>IF(_1_5412845612146241046457891017456[[#This Row],[Type]]&gt;0,VLOOKUP(_1_5412845612146241046457891017456[[#This Row],[Type]],Main[[#All],[TYPE]:[UNIT]],'Unit Price'!D$1,FALSE),0)</f>
        <v>0</v>
      </c>
      <c r="I645" s="194">
        <f>IF(_1_5412845612146241046457891017456[[#This Row],[Type]]&gt;0,VLOOKUP(_1_5412845612146241046457891017456[[#This Row],[Type]],Main[[#All],[TYPE]:[UNIT]],'Unit Price'!G$1,FALSE),0)</f>
        <v>0</v>
      </c>
      <c r="J645" s="194">
        <f>IF(_1_5412845612146241046457891017456[[#This Row],[Type]]&gt;0,VLOOKUP(_1_5412845612146241046457891017456[[#This Row],[Type]],Main[[#All],[TYPE]:[UNIT]],'Unit Price'!H$1,FALSE),0)</f>
        <v>0</v>
      </c>
      <c r="K645" s="194">
        <f>IF(_1_5412845612146241046457891017456[[#This Row],[Discount selection]]&gt;0,VLOOKUP(_1_5412845612146241046457891017456[[#This Row],[Discount selection]],'Discount Structure'!$A$2:$B$30,2,"false"),0)</f>
        <v>1</v>
      </c>
      <c r="L645" s="194">
        <f>_1_5412845612146241046457891017456[[#This Row],[LIST $]]*_1_5412845612146241046457891017456[[#This Row],[DISCOUNT]]*_1_5412845612146241046457891017456[[#This Row],[DISCOUNT 2]]</f>
        <v>0</v>
      </c>
      <c r="M645" s="194">
        <f>IF(OR(_1_5412845612146241046457891017456[[#This Row],[UNIT]]&gt;0,_1_5412845612146241046457891017456[[#This Row],[UNIT]]&lt;0),_1_5412845612146241046457891017456[[#This Row],[UNIT]]*_1_5412845612146241046457891017456[[#This Row],[COST]],0)</f>
        <v>0</v>
      </c>
      <c r="N645" s="194">
        <f t="shared" si="9"/>
        <v>1.3</v>
      </c>
      <c r="O645" s="198">
        <f>_1_5412845612146241046457891017456[[#This Row],[TOTAL]]*_1_5412845612146241046457891017456[[#This Row],[MARGIN]]</f>
        <v>0</v>
      </c>
      <c r="R645" s="41"/>
    </row>
    <row r="646" spans="4:18">
      <c r="D646" s="188"/>
      <c r="F646" s="168" t="s">
        <v>6202</v>
      </c>
      <c r="G646" s="193">
        <f>IF(_1_5412845612146241046457891017456[[#This Row],[Type]]&gt;0,VLOOKUP(_1_5412845612146241046457891017456[[#This Row],[Type]],Main[[#All],[TYPE]:[UNIT]],'Unit Price'!C$1,FALSE),0)</f>
        <v>0</v>
      </c>
      <c r="H646" s="197">
        <f>IF(_1_5412845612146241046457891017456[[#This Row],[Type]]&gt;0,VLOOKUP(_1_5412845612146241046457891017456[[#This Row],[Type]],Main[[#All],[TYPE]:[UNIT]],'Unit Price'!D$1,FALSE),0)</f>
        <v>0</v>
      </c>
      <c r="I646" s="194">
        <f>IF(_1_5412845612146241046457891017456[[#This Row],[Type]]&gt;0,VLOOKUP(_1_5412845612146241046457891017456[[#This Row],[Type]],Main[[#All],[TYPE]:[UNIT]],'Unit Price'!G$1,FALSE),0)</f>
        <v>0</v>
      </c>
      <c r="J646" s="194">
        <f>IF(_1_5412845612146241046457891017456[[#This Row],[Type]]&gt;0,VLOOKUP(_1_5412845612146241046457891017456[[#This Row],[Type]],Main[[#All],[TYPE]:[UNIT]],'Unit Price'!H$1,FALSE),0)</f>
        <v>0</v>
      </c>
      <c r="K646" s="194">
        <f>IF(_1_5412845612146241046457891017456[[#This Row],[Discount selection]]&gt;0,VLOOKUP(_1_5412845612146241046457891017456[[#This Row],[Discount selection]],'Discount Structure'!$A$2:$B$30,2,"false"),0)</f>
        <v>1</v>
      </c>
      <c r="L646" s="194">
        <f>_1_5412845612146241046457891017456[[#This Row],[LIST $]]*_1_5412845612146241046457891017456[[#This Row],[DISCOUNT]]*_1_5412845612146241046457891017456[[#This Row],[DISCOUNT 2]]</f>
        <v>0</v>
      </c>
      <c r="M646" s="194">
        <f>IF(OR(_1_5412845612146241046457891017456[[#This Row],[UNIT]]&gt;0,_1_5412845612146241046457891017456[[#This Row],[UNIT]]&lt;0),_1_5412845612146241046457891017456[[#This Row],[UNIT]]*_1_5412845612146241046457891017456[[#This Row],[COST]],0)</f>
        <v>0</v>
      </c>
      <c r="N646" s="194">
        <f t="shared" si="9"/>
        <v>1.3</v>
      </c>
      <c r="O646" s="198">
        <f>_1_5412845612146241046457891017456[[#This Row],[TOTAL]]*_1_5412845612146241046457891017456[[#This Row],[MARGIN]]</f>
        <v>0</v>
      </c>
      <c r="R646" s="41"/>
    </row>
    <row r="647" spans="4:18">
      <c r="D647" s="188"/>
      <c r="F647" s="168" t="s">
        <v>6202</v>
      </c>
      <c r="G647" s="193">
        <f>IF(_1_5412845612146241046457891017456[[#This Row],[Type]]&gt;0,VLOOKUP(_1_5412845612146241046457891017456[[#This Row],[Type]],Main[[#All],[TYPE]:[UNIT]],'Unit Price'!C$1,FALSE),0)</f>
        <v>0</v>
      </c>
      <c r="H647" s="197">
        <f>IF(_1_5412845612146241046457891017456[[#This Row],[Type]]&gt;0,VLOOKUP(_1_5412845612146241046457891017456[[#This Row],[Type]],Main[[#All],[TYPE]:[UNIT]],'Unit Price'!D$1,FALSE),0)</f>
        <v>0</v>
      </c>
      <c r="I647" s="194">
        <f>IF(_1_5412845612146241046457891017456[[#This Row],[Type]]&gt;0,VLOOKUP(_1_5412845612146241046457891017456[[#This Row],[Type]],Main[[#All],[TYPE]:[UNIT]],'Unit Price'!G$1,FALSE),0)</f>
        <v>0</v>
      </c>
      <c r="J647" s="194">
        <f>IF(_1_5412845612146241046457891017456[[#This Row],[Type]]&gt;0,VLOOKUP(_1_5412845612146241046457891017456[[#This Row],[Type]],Main[[#All],[TYPE]:[UNIT]],'Unit Price'!H$1,FALSE),0)</f>
        <v>0</v>
      </c>
      <c r="K647" s="194">
        <f>IF(_1_5412845612146241046457891017456[[#This Row],[Discount selection]]&gt;0,VLOOKUP(_1_5412845612146241046457891017456[[#This Row],[Discount selection]],'Discount Structure'!$A$2:$B$30,2,"false"),0)</f>
        <v>1</v>
      </c>
      <c r="L647" s="194">
        <f>_1_5412845612146241046457891017456[[#This Row],[LIST $]]*_1_5412845612146241046457891017456[[#This Row],[DISCOUNT]]*_1_5412845612146241046457891017456[[#This Row],[DISCOUNT 2]]</f>
        <v>0</v>
      </c>
      <c r="M647" s="194">
        <f>IF(OR(_1_5412845612146241046457891017456[[#This Row],[UNIT]]&gt;0,_1_5412845612146241046457891017456[[#This Row],[UNIT]]&lt;0),_1_5412845612146241046457891017456[[#This Row],[UNIT]]*_1_5412845612146241046457891017456[[#This Row],[COST]],0)</f>
        <v>0</v>
      </c>
      <c r="N647" s="194">
        <f t="shared" si="9"/>
        <v>1.3</v>
      </c>
      <c r="O647" s="198">
        <f>_1_5412845612146241046457891017456[[#This Row],[TOTAL]]*_1_5412845612146241046457891017456[[#This Row],[MARGIN]]</f>
        <v>0</v>
      </c>
      <c r="R647" s="41"/>
    </row>
    <row r="648" spans="4:18">
      <c r="D648" s="188"/>
      <c r="F648" s="168" t="s">
        <v>6202</v>
      </c>
      <c r="G648" s="193">
        <f>IF(_1_5412845612146241046457891017456[[#This Row],[Type]]&gt;0,VLOOKUP(_1_5412845612146241046457891017456[[#This Row],[Type]],Main[[#All],[TYPE]:[UNIT]],'Unit Price'!C$1,FALSE),0)</f>
        <v>0</v>
      </c>
      <c r="H648" s="197">
        <f>IF(_1_5412845612146241046457891017456[[#This Row],[Type]]&gt;0,VLOOKUP(_1_5412845612146241046457891017456[[#This Row],[Type]],Main[[#All],[TYPE]:[UNIT]],'Unit Price'!D$1,FALSE),0)</f>
        <v>0</v>
      </c>
      <c r="I648" s="194">
        <f>IF(_1_5412845612146241046457891017456[[#This Row],[Type]]&gt;0,VLOOKUP(_1_5412845612146241046457891017456[[#This Row],[Type]],Main[[#All],[TYPE]:[UNIT]],'Unit Price'!G$1,FALSE),0)</f>
        <v>0</v>
      </c>
      <c r="J648" s="194">
        <f>IF(_1_5412845612146241046457891017456[[#This Row],[Type]]&gt;0,VLOOKUP(_1_5412845612146241046457891017456[[#This Row],[Type]],Main[[#All],[TYPE]:[UNIT]],'Unit Price'!H$1,FALSE),0)</f>
        <v>0</v>
      </c>
      <c r="K648" s="194">
        <f>IF(_1_5412845612146241046457891017456[[#This Row],[Discount selection]]&gt;0,VLOOKUP(_1_5412845612146241046457891017456[[#This Row],[Discount selection]],'Discount Structure'!$A$2:$B$30,2,"false"),0)</f>
        <v>1</v>
      </c>
      <c r="L648" s="194">
        <f>_1_5412845612146241046457891017456[[#This Row],[LIST $]]*_1_5412845612146241046457891017456[[#This Row],[DISCOUNT]]*_1_5412845612146241046457891017456[[#This Row],[DISCOUNT 2]]</f>
        <v>0</v>
      </c>
      <c r="M648" s="194">
        <f>IF(OR(_1_5412845612146241046457891017456[[#This Row],[UNIT]]&gt;0,_1_5412845612146241046457891017456[[#This Row],[UNIT]]&lt;0),_1_5412845612146241046457891017456[[#This Row],[UNIT]]*_1_5412845612146241046457891017456[[#This Row],[COST]],0)</f>
        <v>0</v>
      </c>
      <c r="N648" s="194">
        <f t="shared" si="9"/>
        <v>1.3</v>
      </c>
      <c r="O648" s="198">
        <f>_1_5412845612146241046457891017456[[#This Row],[TOTAL]]*_1_5412845612146241046457891017456[[#This Row],[MARGIN]]</f>
        <v>0</v>
      </c>
      <c r="R648" s="41"/>
    </row>
    <row r="649" spans="4:18">
      <c r="D649" s="188"/>
      <c r="F649" s="168" t="s">
        <v>6202</v>
      </c>
      <c r="G649" s="193">
        <f>IF(_1_5412845612146241046457891017456[[#This Row],[Type]]&gt;0,VLOOKUP(_1_5412845612146241046457891017456[[#This Row],[Type]],Main[[#All],[TYPE]:[UNIT]],'Unit Price'!C$1,FALSE),0)</f>
        <v>0</v>
      </c>
      <c r="H649" s="197">
        <f>IF(_1_5412845612146241046457891017456[[#This Row],[Type]]&gt;0,VLOOKUP(_1_5412845612146241046457891017456[[#This Row],[Type]],Main[[#All],[TYPE]:[UNIT]],'Unit Price'!D$1,FALSE),0)</f>
        <v>0</v>
      </c>
      <c r="I649" s="194">
        <f>IF(_1_5412845612146241046457891017456[[#This Row],[Type]]&gt;0,VLOOKUP(_1_5412845612146241046457891017456[[#This Row],[Type]],Main[[#All],[TYPE]:[UNIT]],'Unit Price'!G$1,FALSE),0)</f>
        <v>0</v>
      </c>
      <c r="J649" s="194">
        <f>IF(_1_5412845612146241046457891017456[[#This Row],[Type]]&gt;0,VLOOKUP(_1_5412845612146241046457891017456[[#This Row],[Type]],Main[[#All],[TYPE]:[UNIT]],'Unit Price'!H$1,FALSE),0)</f>
        <v>0</v>
      </c>
      <c r="K649" s="194">
        <f>IF(_1_5412845612146241046457891017456[[#This Row],[Discount selection]]&gt;0,VLOOKUP(_1_5412845612146241046457891017456[[#This Row],[Discount selection]],'Discount Structure'!$A$2:$B$30,2,"false"),0)</f>
        <v>1</v>
      </c>
      <c r="L649" s="194">
        <f>_1_5412845612146241046457891017456[[#This Row],[LIST $]]*_1_5412845612146241046457891017456[[#This Row],[DISCOUNT]]*_1_5412845612146241046457891017456[[#This Row],[DISCOUNT 2]]</f>
        <v>0</v>
      </c>
      <c r="M649" s="194">
        <f>IF(OR(_1_5412845612146241046457891017456[[#This Row],[UNIT]]&gt;0,_1_5412845612146241046457891017456[[#This Row],[UNIT]]&lt;0),_1_5412845612146241046457891017456[[#This Row],[UNIT]]*_1_5412845612146241046457891017456[[#This Row],[COST]],0)</f>
        <v>0</v>
      </c>
      <c r="N649" s="194">
        <f t="shared" si="9"/>
        <v>1.3</v>
      </c>
      <c r="O649" s="198">
        <f>_1_5412845612146241046457891017456[[#This Row],[TOTAL]]*_1_5412845612146241046457891017456[[#This Row],[MARGIN]]</f>
        <v>0</v>
      </c>
      <c r="R649" s="41"/>
    </row>
    <row r="650" spans="4:18">
      <c r="D650" s="188"/>
      <c r="F650" s="168" t="s">
        <v>6202</v>
      </c>
      <c r="G650" s="193">
        <f>IF(_1_5412845612146241046457891017456[[#This Row],[Type]]&gt;0,VLOOKUP(_1_5412845612146241046457891017456[[#This Row],[Type]],Main[[#All],[TYPE]:[UNIT]],'Unit Price'!C$1,FALSE),0)</f>
        <v>0</v>
      </c>
      <c r="H650" s="197">
        <f>IF(_1_5412845612146241046457891017456[[#This Row],[Type]]&gt;0,VLOOKUP(_1_5412845612146241046457891017456[[#This Row],[Type]],Main[[#All],[TYPE]:[UNIT]],'Unit Price'!D$1,FALSE),0)</f>
        <v>0</v>
      </c>
      <c r="I650" s="194">
        <f>IF(_1_5412845612146241046457891017456[[#This Row],[Type]]&gt;0,VLOOKUP(_1_5412845612146241046457891017456[[#This Row],[Type]],Main[[#All],[TYPE]:[UNIT]],'Unit Price'!G$1,FALSE),0)</f>
        <v>0</v>
      </c>
      <c r="J650" s="194">
        <f>IF(_1_5412845612146241046457891017456[[#This Row],[Type]]&gt;0,VLOOKUP(_1_5412845612146241046457891017456[[#This Row],[Type]],Main[[#All],[TYPE]:[UNIT]],'Unit Price'!H$1,FALSE),0)</f>
        <v>0</v>
      </c>
      <c r="K650" s="194">
        <f>IF(_1_5412845612146241046457891017456[[#This Row],[Discount selection]]&gt;0,VLOOKUP(_1_5412845612146241046457891017456[[#This Row],[Discount selection]],'Discount Structure'!$A$2:$B$30,2,"false"),0)</f>
        <v>1</v>
      </c>
      <c r="L650" s="194">
        <f>_1_5412845612146241046457891017456[[#This Row],[LIST $]]*_1_5412845612146241046457891017456[[#This Row],[DISCOUNT]]*_1_5412845612146241046457891017456[[#This Row],[DISCOUNT 2]]</f>
        <v>0</v>
      </c>
      <c r="M650" s="194">
        <f>IF(OR(_1_5412845612146241046457891017456[[#This Row],[UNIT]]&gt;0,_1_5412845612146241046457891017456[[#This Row],[UNIT]]&lt;0),_1_5412845612146241046457891017456[[#This Row],[UNIT]]*_1_5412845612146241046457891017456[[#This Row],[COST]],0)</f>
        <v>0</v>
      </c>
      <c r="N650" s="194">
        <f t="shared" ref="N650:N713" si="10">$N$7</f>
        <v>1.3</v>
      </c>
      <c r="O650" s="198">
        <f>_1_5412845612146241046457891017456[[#This Row],[TOTAL]]*_1_5412845612146241046457891017456[[#This Row],[MARGIN]]</f>
        <v>0</v>
      </c>
      <c r="R650" s="41"/>
    </row>
    <row r="651" spans="4:18">
      <c r="D651" s="188"/>
      <c r="F651" s="168" t="s">
        <v>6202</v>
      </c>
      <c r="G651" s="193">
        <f>IF(_1_5412845612146241046457891017456[[#This Row],[Type]]&gt;0,VLOOKUP(_1_5412845612146241046457891017456[[#This Row],[Type]],Main[[#All],[TYPE]:[UNIT]],'Unit Price'!C$1,FALSE),0)</f>
        <v>0</v>
      </c>
      <c r="H651" s="197">
        <f>IF(_1_5412845612146241046457891017456[[#This Row],[Type]]&gt;0,VLOOKUP(_1_5412845612146241046457891017456[[#This Row],[Type]],Main[[#All],[TYPE]:[UNIT]],'Unit Price'!D$1,FALSE),0)</f>
        <v>0</v>
      </c>
      <c r="I651" s="194">
        <f>IF(_1_5412845612146241046457891017456[[#This Row],[Type]]&gt;0,VLOOKUP(_1_5412845612146241046457891017456[[#This Row],[Type]],Main[[#All],[TYPE]:[UNIT]],'Unit Price'!G$1,FALSE),0)</f>
        <v>0</v>
      </c>
      <c r="J651" s="194">
        <f>IF(_1_5412845612146241046457891017456[[#This Row],[Type]]&gt;0,VLOOKUP(_1_5412845612146241046457891017456[[#This Row],[Type]],Main[[#All],[TYPE]:[UNIT]],'Unit Price'!H$1,FALSE),0)</f>
        <v>0</v>
      </c>
      <c r="K651" s="194">
        <f>IF(_1_5412845612146241046457891017456[[#This Row],[Discount selection]]&gt;0,VLOOKUP(_1_5412845612146241046457891017456[[#This Row],[Discount selection]],'Discount Structure'!$A$2:$B$30,2,"false"),0)</f>
        <v>1</v>
      </c>
      <c r="L651" s="194">
        <f>_1_5412845612146241046457891017456[[#This Row],[LIST $]]*_1_5412845612146241046457891017456[[#This Row],[DISCOUNT]]*_1_5412845612146241046457891017456[[#This Row],[DISCOUNT 2]]</f>
        <v>0</v>
      </c>
      <c r="M651" s="194">
        <f>IF(OR(_1_5412845612146241046457891017456[[#This Row],[UNIT]]&gt;0,_1_5412845612146241046457891017456[[#This Row],[UNIT]]&lt;0),_1_5412845612146241046457891017456[[#This Row],[UNIT]]*_1_5412845612146241046457891017456[[#This Row],[COST]],0)</f>
        <v>0</v>
      </c>
      <c r="N651" s="194">
        <f t="shared" si="10"/>
        <v>1.3</v>
      </c>
      <c r="O651" s="198">
        <f>_1_5412845612146241046457891017456[[#This Row],[TOTAL]]*_1_5412845612146241046457891017456[[#This Row],[MARGIN]]</f>
        <v>0</v>
      </c>
      <c r="R651" s="41"/>
    </row>
    <row r="652" spans="4:18">
      <c r="D652" s="188"/>
      <c r="F652" s="168" t="s">
        <v>6202</v>
      </c>
      <c r="G652" s="193">
        <f>IF(_1_5412845612146241046457891017456[[#This Row],[Type]]&gt;0,VLOOKUP(_1_5412845612146241046457891017456[[#This Row],[Type]],Main[[#All],[TYPE]:[UNIT]],'Unit Price'!C$1,FALSE),0)</f>
        <v>0</v>
      </c>
      <c r="H652" s="197">
        <f>IF(_1_5412845612146241046457891017456[[#This Row],[Type]]&gt;0,VLOOKUP(_1_5412845612146241046457891017456[[#This Row],[Type]],Main[[#All],[TYPE]:[UNIT]],'Unit Price'!D$1,FALSE),0)</f>
        <v>0</v>
      </c>
      <c r="I652" s="194">
        <f>IF(_1_5412845612146241046457891017456[[#This Row],[Type]]&gt;0,VLOOKUP(_1_5412845612146241046457891017456[[#This Row],[Type]],Main[[#All],[TYPE]:[UNIT]],'Unit Price'!G$1,FALSE),0)</f>
        <v>0</v>
      </c>
      <c r="J652" s="194">
        <f>IF(_1_5412845612146241046457891017456[[#This Row],[Type]]&gt;0,VLOOKUP(_1_5412845612146241046457891017456[[#This Row],[Type]],Main[[#All],[TYPE]:[UNIT]],'Unit Price'!H$1,FALSE),0)</f>
        <v>0</v>
      </c>
      <c r="K652" s="194">
        <f>IF(_1_5412845612146241046457891017456[[#This Row],[Discount selection]]&gt;0,VLOOKUP(_1_5412845612146241046457891017456[[#This Row],[Discount selection]],'Discount Structure'!$A$2:$B$30,2,"false"),0)</f>
        <v>1</v>
      </c>
      <c r="L652" s="194">
        <f>_1_5412845612146241046457891017456[[#This Row],[LIST $]]*_1_5412845612146241046457891017456[[#This Row],[DISCOUNT]]*_1_5412845612146241046457891017456[[#This Row],[DISCOUNT 2]]</f>
        <v>0</v>
      </c>
      <c r="M652" s="194">
        <f>IF(OR(_1_5412845612146241046457891017456[[#This Row],[UNIT]]&gt;0,_1_5412845612146241046457891017456[[#This Row],[UNIT]]&lt;0),_1_5412845612146241046457891017456[[#This Row],[UNIT]]*_1_5412845612146241046457891017456[[#This Row],[COST]],0)</f>
        <v>0</v>
      </c>
      <c r="N652" s="194">
        <f t="shared" si="10"/>
        <v>1.3</v>
      </c>
      <c r="O652" s="198">
        <f>_1_5412845612146241046457891017456[[#This Row],[TOTAL]]*_1_5412845612146241046457891017456[[#This Row],[MARGIN]]</f>
        <v>0</v>
      </c>
      <c r="R652" s="41"/>
    </row>
    <row r="653" spans="4:18">
      <c r="D653" s="188"/>
      <c r="F653" s="168" t="s">
        <v>6202</v>
      </c>
      <c r="G653" s="193">
        <f>IF(_1_5412845612146241046457891017456[[#This Row],[Type]]&gt;0,VLOOKUP(_1_5412845612146241046457891017456[[#This Row],[Type]],Main[[#All],[TYPE]:[UNIT]],'Unit Price'!C$1,FALSE),0)</f>
        <v>0</v>
      </c>
      <c r="H653" s="197">
        <f>IF(_1_5412845612146241046457891017456[[#This Row],[Type]]&gt;0,VLOOKUP(_1_5412845612146241046457891017456[[#This Row],[Type]],Main[[#All],[TYPE]:[UNIT]],'Unit Price'!D$1,FALSE),0)</f>
        <v>0</v>
      </c>
      <c r="I653" s="194">
        <f>IF(_1_5412845612146241046457891017456[[#This Row],[Type]]&gt;0,VLOOKUP(_1_5412845612146241046457891017456[[#This Row],[Type]],Main[[#All],[TYPE]:[UNIT]],'Unit Price'!G$1,FALSE),0)</f>
        <v>0</v>
      </c>
      <c r="J653" s="194">
        <f>IF(_1_5412845612146241046457891017456[[#This Row],[Type]]&gt;0,VLOOKUP(_1_5412845612146241046457891017456[[#This Row],[Type]],Main[[#All],[TYPE]:[UNIT]],'Unit Price'!H$1,FALSE),0)</f>
        <v>0</v>
      </c>
      <c r="K653" s="194">
        <f>IF(_1_5412845612146241046457891017456[[#This Row],[Discount selection]]&gt;0,VLOOKUP(_1_5412845612146241046457891017456[[#This Row],[Discount selection]],'Discount Structure'!$A$2:$B$30,2,"false"),0)</f>
        <v>1</v>
      </c>
      <c r="L653" s="194">
        <f>_1_5412845612146241046457891017456[[#This Row],[LIST $]]*_1_5412845612146241046457891017456[[#This Row],[DISCOUNT]]*_1_5412845612146241046457891017456[[#This Row],[DISCOUNT 2]]</f>
        <v>0</v>
      </c>
      <c r="M653" s="194">
        <f>IF(OR(_1_5412845612146241046457891017456[[#This Row],[UNIT]]&gt;0,_1_5412845612146241046457891017456[[#This Row],[UNIT]]&lt;0),_1_5412845612146241046457891017456[[#This Row],[UNIT]]*_1_5412845612146241046457891017456[[#This Row],[COST]],0)</f>
        <v>0</v>
      </c>
      <c r="N653" s="194">
        <f t="shared" si="10"/>
        <v>1.3</v>
      </c>
      <c r="O653" s="198">
        <f>_1_5412845612146241046457891017456[[#This Row],[TOTAL]]*_1_5412845612146241046457891017456[[#This Row],[MARGIN]]</f>
        <v>0</v>
      </c>
      <c r="R653" s="41"/>
    </row>
    <row r="654" spans="4:18">
      <c r="D654" s="188"/>
      <c r="F654" s="168" t="s">
        <v>6202</v>
      </c>
      <c r="G654" s="193">
        <f>IF(_1_5412845612146241046457891017456[[#This Row],[Type]]&gt;0,VLOOKUP(_1_5412845612146241046457891017456[[#This Row],[Type]],Main[[#All],[TYPE]:[UNIT]],'Unit Price'!C$1,FALSE),0)</f>
        <v>0</v>
      </c>
      <c r="H654" s="197">
        <f>IF(_1_5412845612146241046457891017456[[#This Row],[Type]]&gt;0,VLOOKUP(_1_5412845612146241046457891017456[[#This Row],[Type]],Main[[#All],[TYPE]:[UNIT]],'Unit Price'!D$1,FALSE),0)</f>
        <v>0</v>
      </c>
      <c r="I654" s="194">
        <f>IF(_1_5412845612146241046457891017456[[#This Row],[Type]]&gt;0,VLOOKUP(_1_5412845612146241046457891017456[[#This Row],[Type]],Main[[#All],[TYPE]:[UNIT]],'Unit Price'!G$1,FALSE),0)</f>
        <v>0</v>
      </c>
      <c r="J654" s="194">
        <f>IF(_1_5412845612146241046457891017456[[#This Row],[Type]]&gt;0,VLOOKUP(_1_5412845612146241046457891017456[[#This Row],[Type]],Main[[#All],[TYPE]:[UNIT]],'Unit Price'!H$1,FALSE),0)</f>
        <v>0</v>
      </c>
      <c r="K654" s="194">
        <f>IF(_1_5412845612146241046457891017456[[#This Row],[Discount selection]]&gt;0,VLOOKUP(_1_5412845612146241046457891017456[[#This Row],[Discount selection]],'Discount Structure'!$A$2:$B$30,2,"false"),0)</f>
        <v>1</v>
      </c>
      <c r="L654" s="194">
        <f>_1_5412845612146241046457891017456[[#This Row],[LIST $]]*_1_5412845612146241046457891017456[[#This Row],[DISCOUNT]]*_1_5412845612146241046457891017456[[#This Row],[DISCOUNT 2]]</f>
        <v>0</v>
      </c>
      <c r="M654" s="194">
        <f>IF(OR(_1_5412845612146241046457891017456[[#This Row],[UNIT]]&gt;0,_1_5412845612146241046457891017456[[#This Row],[UNIT]]&lt;0),_1_5412845612146241046457891017456[[#This Row],[UNIT]]*_1_5412845612146241046457891017456[[#This Row],[COST]],0)</f>
        <v>0</v>
      </c>
      <c r="N654" s="194">
        <f t="shared" si="10"/>
        <v>1.3</v>
      </c>
      <c r="O654" s="198">
        <f>_1_5412845612146241046457891017456[[#This Row],[TOTAL]]*_1_5412845612146241046457891017456[[#This Row],[MARGIN]]</f>
        <v>0</v>
      </c>
      <c r="R654" s="41"/>
    </row>
    <row r="655" spans="4:18">
      <c r="D655" s="188"/>
      <c r="F655" s="168" t="s">
        <v>6202</v>
      </c>
      <c r="G655" s="193">
        <f>IF(_1_5412845612146241046457891017456[[#This Row],[Type]]&gt;0,VLOOKUP(_1_5412845612146241046457891017456[[#This Row],[Type]],Main[[#All],[TYPE]:[UNIT]],'Unit Price'!C$1,FALSE),0)</f>
        <v>0</v>
      </c>
      <c r="H655" s="197">
        <f>IF(_1_5412845612146241046457891017456[[#This Row],[Type]]&gt;0,VLOOKUP(_1_5412845612146241046457891017456[[#This Row],[Type]],Main[[#All],[TYPE]:[UNIT]],'Unit Price'!D$1,FALSE),0)</f>
        <v>0</v>
      </c>
      <c r="I655" s="194">
        <f>IF(_1_5412845612146241046457891017456[[#This Row],[Type]]&gt;0,VLOOKUP(_1_5412845612146241046457891017456[[#This Row],[Type]],Main[[#All],[TYPE]:[UNIT]],'Unit Price'!G$1,FALSE),0)</f>
        <v>0</v>
      </c>
      <c r="J655" s="194">
        <f>IF(_1_5412845612146241046457891017456[[#This Row],[Type]]&gt;0,VLOOKUP(_1_5412845612146241046457891017456[[#This Row],[Type]],Main[[#All],[TYPE]:[UNIT]],'Unit Price'!H$1,FALSE),0)</f>
        <v>0</v>
      </c>
      <c r="K655" s="194">
        <f>IF(_1_5412845612146241046457891017456[[#This Row],[Discount selection]]&gt;0,VLOOKUP(_1_5412845612146241046457891017456[[#This Row],[Discount selection]],'Discount Structure'!$A$2:$B$30,2,"false"),0)</f>
        <v>1</v>
      </c>
      <c r="L655" s="194">
        <f>_1_5412845612146241046457891017456[[#This Row],[LIST $]]*_1_5412845612146241046457891017456[[#This Row],[DISCOUNT]]*_1_5412845612146241046457891017456[[#This Row],[DISCOUNT 2]]</f>
        <v>0</v>
      </c>
      <c r="M655" s="194">
        <f>IF(OR(_1_5412845612146241046457891017456[[#This Row],[UNIT]]&gt;0,_1_5412845612146241046457891017456[[#This Row],[UNIT]]&lt;0),_1_5412845612146241046457891017456[[#This Row],[UNIT]]*_1_5412845612146241046457891017456[[#This Row],[COST]],0)</f>
        <v>0</v>
      </c>
      <c r="N655" s="194">
        <f t="shared" si="10"/>
        <v>1.3</v>
      </c>
      <c r="O655" s="198">
        <f>_1_5412845612146241046457891017456[[#This Row],[TOTAL]]*_1_5412845612146241046457891017456[[#This Row],[MARGIN]]</f>
        <v>0</v>
      </c>
      <c r="R655" s="41"/>
    </row>
    <row r="656" spans="4:18">
      <c r="D656" s="188"/>
      <c r="F656" s="168" t="s">
        <v>6202</v>
      </c>
      <c r="G656" s="193">
        <f>IF(_1_5412845612146241046457891017456[[#This Row],[Type]]&gt;0,VLOOKUP(_1_5412845612146241046457891017456[[#This Row],[Type]],Main[[#All],[TYPE]:[UNIT]],'Unit Price'!C$1,FALSE),0)</f>
        <v>0</v>
      </c>
      <c r="H656" s="197">
        <f>IF(_1_5412845612146241046457891017456[[#This Row],[Type]]&gt;0,VLOOKUP(_1_5412845612146241046457891017456[[#This Row],[Type]],Main[[#All],[TYPE]:[UNIT]],'Unit Price'!D$1,FALSE),0)</f>
        <v>0</v>
      </c>
      <c r="I656" s="194">
        <f>IF(_1_5412845612146241046457891017456[[#This Row],[Type]]&gt;0,VLOOKUP(_1_5412845612146241046457891017456[[#This Row],[Type]],Main[[#All],[TYPE]:[UNIT]],'Unit Price'!G$1,FALSE),0)</f>
        <v>0</v>
      </c>
      <c r="J656" s="194">
        <f>IF(_1_5412845612146241046457891017456[[#This Row],[Type]]&gt;0,VLOOKUP(_1_5412845612146241046457891017456[[#This Row],[Type]],Main[[#All],[TYPE]:[UNIT]],'Unit Price'!H$1,FALSE),0)</f>
        <v>0</v>
      </c>
      <c r="K656" s="194">
        <f>IF(_1_5412845612146241046457891017456[[#This Row],[Discount selection]]&gt;0,VLOOKUP(_1_5412845612146241046457891017456[[#This Row],[Discount selection]],'Discount Structure'!$A$2:$B$30,2,"false"),0)</f>
        <v>1</v>
      </c>
      <c r="L656" s="194">
        <f>_1_5412845612146241046457891017456[[#This Row],[LIST $]]*_1_5412845612146241046457891017456[[#This Row],[DISCOUNT]]*_1_5412845612146241046457891017456[[#This Row],[DISCOUNT 2]]</f>
        <v>0</v>
      </c>
      <c r="M656" s="194">
        <f>IF(OR(_1_5412845612146241046457891017456[[#This Row],[UNIT]]&gt;0,_1_5412845612146241046457891017456[[#This Row],[UNIT]]&lt;0),_1_5412845612146241046457891017456[[#This Row],[UNIT]]*_1_5412845612146241046457891017456[[#This Row],[COST]],0)</f>
        <v>0</v>
      </c>
      <c r="N656" s="194">
        <f t="shared" si="10"/>
        <v>1.3</v>
      </c>
      <c r="O656" s="198">
        <f>_1_5412845612146241046457891017456[[#This Row],[TOTAL]]*_1_5412845612146241046457891017456[[#This Row],[MARGIN]]</f>
        <v>0</v>
      </c>
      <c r="R656" s="41"/>
    </row>
    <row r="657" spans="4:18">
      <c r="D657" s="188"/>
      <c r="F657" s="168" t="s">
        <v>6202</v>
      </c>
      <c r="G657" s="193">
        <f>IF(_1_5412845612146241046457891017456[[#This Row],[Type]]&gt;0,VLOOKUP(_1_5412845612146241046457891017456[[#This Row],[Type]],Main[[#All],[TYPE]:[UNIT]],'Unit Price'!C$1,FALSE),0)</f>
        <v>0</v>
      </c>
      <c r="H657" s="197">
        <f>IF(_1_5412845612146241046457891017456[[#This Row],[Type]]&gt;0,VLOOKUP(_1_5412845612146241046457891017456[[#This Row],[Type]],Main[[#All],[TYPE]:[UNIT]],'Unit Price'!D$1,FALSE),0)</f>
        <v>0</v>
      </c>
      <c r="I657" s="194">
        <f>IF(_1_5412845612146241046457891017456[[#This Row],[Type]]&gt;0,VLOOKUP(_1_5412845612146241046457891017456[[#This Row],[Type]],Main[[#All],[TYPE]:[UNIT]],'Unit Price'!G$1,FALSE),0)</f>
        <v>0</v>
      </c>
      <c r="J657" s="194">
        <f>IF(_1_5412845612146241046457891017456[[#This Row],[Type]]&gt;0,VLOOKUP(_1_5412845612146241046457891017456[[#This Row],[Type]],Main[[#All],[TYPE]:[UNIT]],'Unit Price'!H$1,FALSE),0)</f>
        <v>0</v>
      </c>
      <c r="K657" s="194">
        <f>IF(_1_5412845612146241046457891017456[[#This Row],[Discount selection]]&gt;0,VLOOKUP(_1_5412845612146241046457891017456[[#This Row],[Discount selection]],'Discount Structure'!$A$2:$B$30,2,"false"),0)</f>
        <v>1</v>
      </c>
      <c r="L657" s="194">
        <f>_1_5412845612146241046457891017456[[#This Row],[LIST $]]*_1_5412845612146241046457891017456[[#This Row],[DISCOUNT]]*_1_5412845612146241046457891017456[[#This Row],[DISCOUNT 2]]</f>
        <v>0</v>
      </c>
      <c r="M657" s="194">
        <f>IF(OR(_1_5412845612146241046457891017456[[#This Row],[UNIT]]&gt;0,_1_5412845612146241046457891017456[[#This Row],[UNIT]]&lt;0),_1_5412845612146241046457891017456[[#This Row],[UNIT]]*_1_5412845612146241046457891017456[[#This Row],[COST]],0)</f>
        <v>0</v>
      </c>
      <c r="N657" s="194">
        <f t="shared" si="10"/>
        <v>1.3</v>
      </c>
      <c r="O657" s="198">
        <f>_1_5412845612146241046457891017456[[#This Row],[TOTAL]]*_1_5412845612146241046457891017456[[#This Row],[MARGIN]]</f>
        <v>0</v>
      </c>
      <c r="R657" s="41"/>
    </row>
    <row r="658" spans="4:18">
      <c r="D658" s="188"/>
      <c r="F658" s="168" t="s">
        <v>6202</v>
      </c>
      <c r="G658" s="193">
        <f>IF(_1_5412845612146241046457891017456[[#This Row],[Type]]&gt;0,VLOOKUP(_1_5412845612146241046457891017456[[#This Row],[Type]],Main[[#All],[TYPE]:[UNIT]],'Unit Price'!C$1,FALSE),0)</f>
        <v>0</v>
      </c>
      <c r="H658" s="197">
        <f>IF(_1_5412845612146241046457891017456[[#This Row],[Type]]&gt;0,VLOOKUP(_1_5412845612146241046457891017456[[#This Row],[Type]],Main[[#All],[TYPE]:[UNIT]],'Unit Price'!D$1,FALSE),0)</f>
        <v>0</v>
      </c>
      <c r="I658" s="194">
        <f>IF(_1_5412845612146241046457891017456[[#This Row],[Type]]&gt;0,VLOOKUP(_1_5412845612146241046457891017456[[#This Row],[Type]],Main[[#All],[TYPE]:[UNIT]],'Unit Price'!G$1,FALSE),0)</f>
        <v>0</v>
      </c>
      <c r="J658" s="194">
        <f>IF(_1_5412845612146241046457891017456[[#This Row],[Type]]&gt;0,VLOOKUP(_1_5412845612146241046457891017456[[#This Row],[Type]],Main[[#All],[TYPE]:[UNIT]],'Unit Price'!H$1,FALSE),0)</f>
        <v>0</v>
      </c>
      <c r="K658" s="194">
        <f>IF(_1_5412845612146241046457891017456[[#This Row],[Discount selection]]&gt;0,VLOOKUP(_1_5412845612146241046457891017456[[#This Row],[Discount selection]],'Discount Structure'!$A$2:$B$30,2,"false"),0)</f>
        <v>1</v>
      </c>
      <c r="L658" s="194">
        <f>_1_5412845612146241046457891017456[[#This Row],[LIST $]]*_1_5412845612146241046457891017456[[#This Row],[DISCOUNT]]*_1_5412845612146241046457891017456[[#This Row],[DISCOUNT 2]]</f>
        <v>0</v>
      </c>
      <c r="M658" s="194">
        <f>IF(OR(_1_5412845612146241046457891017456[[#This Row],[UNIT]]&gt;0,_1_5412845612146241046457891017456[[#This Row],[UNIT]]&lt;0),_1_5412845612146241046457891017456[[#This Row],[UNIT]]*_1_5412845612146241046457891017456[[#This Row],[COST]],0)</f>
        <v>0</v>
      </c>
      <c r="N658" s="194">
        <f t="shared" si="10"/>
        <v>1.3</v>
      </c>
      <c r="O658" s="198">
        <f>_1_5412845612146241046457891017456[[#This Row],[TOTAL]]*_1_5412845612146241046457891017456[[#This Row],[MARGIN]]</f>
        <v>0</v>
      </c>
      <c r="R658" s="41"/>
    </row>
    <row r="659" spans="4:18">
      <c r="D659" s="188"/>
      <c r="F659" s="168" t="s">
        <v>6202</v>
      </c>
      <c r="G659" s="193">
        <f>IF(_1_5412845612146241046457891017456[[#This Row],[Type]]&gt;0,VLOOKUP(_1_5412845612146241046457891017456[[#This Row],[Type]],Main[[#All],[TYPE]:[UNIT]],'Unit Price'!C$1,FALSE),0)</f>
        <v>0</v>
      </c>
      <c r="H659" s="197">
        <f>IF(_1_5412845612146241046457891017456[[#This Row],[Type]]&gt;0,VLOOKUP(_1_5412845612146241046457891017456[[#This Row],[Type]],Main[[#All],[TYPE]:[UNIT]],'Unit Price'!D$1,FALSE),0)</f>
        <v>0</v>
      </c>
      <c r="I659" s="194">
        <f>IF(_1_5412845612146241046457891017456[[#This Row],[Type]]&gt;0,VLOOKUP(_1_5412845612146241046457891017456[[#This Row],[Type]],Main[[#All],[TYPE]:[UNIT]],'Unit Price'!G$1,FALSE),0)</f>
        <v>0</v>
      </c>
      <c r="J659" s="194">
        <f>IF(_1_5412845612146241046457891017456[[#This Row],[Type]]&gt;0,VLOOKUP(_1_5412845612146241046457891017456[[#This Row],[Type]],Main[[#All],[TYPE]:[UNIT]],'Unit Price'!H$1,FALSE),0)</f>
        <v>0</v>
      </c>
      <c r="K659" s="194">
        <f>IF(_1_5412845612146241046457891017456[[#This Row],[Discount selection]]&gt;0,VLOOKUP(_1_5412845612146241046457891017456[[#This Row],[Discount selection]],'Discount Structure'!$A$2:$B$30,2,"false"),0)</f>
        <v>1</v>
      </c>
      <c r="L659" s="194">
        <f>_1_5412845612146241046457891017456[[#This Row],[LIST $]]*_1_5412845612146241046457891017456[[#This Row],[DISCOUNT]]*_1_5412845612146241046457891017456[[#This Row],[DISCOUNT 2]]</f>
        <v>0</v>
      </c>
      <c r="M659" s="194">
        <f>IF(OR(_1_5412845612146241046457891017456[[#This Row],[UNIT]]&gt;0,_1_5412845612146241046457891017456[[#This Row],[UNIT]]&lt;0),_1_5412845612146241046457891017456[[#This Row],[UNIT]]*_1_5412845612146241046457891017456[[#This Row],[COST]],0)</f>
        <v>0</v>
      </c>
      <c r="N659" s="194">
        <f t="shared" si="10"/>
        <v>1.3</v>
      </c>
      <c r="O659" s="198">
        <f>_1_5412845612146241046457891017456[[#This Row],[TOTAL]]*_1_5412845612146241046457891017456[[#This Row],[MARGIN]]</f>
        <v>0</v>
      </c>
      <c r="R659" s="41"/>
    </row>
    <row r="660" spans="4:18">
      <c r="D660" s="188"/>
      <c r="F660" s="168" t="s">
        <v>6202</v>
      </c>
      <c r="G660" s="193">
        <f>IF(_1_5412845612146241046457891017456[[#This Row],[Type]]&gt;0,VLOOKUP(_1_5412845612146241046457891017456[[#This Row],[Type]],Main[[#All],[TYPE]:[UNIT]],'Unit Price'!C$1,FALSE),0)</f>
        <v>0</v>
      </c>
      <c r="H660" s="197">
        <f>IF(_1_5412845612146241046457891017456[[#This Row],[Type]]&gt;0,VLOOKUP(_1_5412845612146241046457891017456[[#This Row],[Type]],Main[[#All],[TYPE]:[UNIT]],'Unit Price'!D$1,FALSE),0)</f>
        <v>0</v>
      </c>
      <c r="I660" s="194">
        <f>IF(_1_5412845612146241046457891017456[[#This Row],[Type]]&gt;0,VLOOKUP(_1_5412845612146241046457891017456[[#This Row],[Type]],Main[[#All],[TYPE]:[UNIT]],'Unit Price'!G$1,FALSE),0)</f>
        <v>0</v>
      </c>
      <c r="J660" s="194">
        <f>IF(_1_5412845612146241046457891017456[[#This Row],[Type]]&gt;0,VLOOKUP(_1_5412845612146241046457891017456[[#This Row],[Type]],Main[[#All],[TYPE]:[UNIT]],'Unit Price'!H$1,FALSE),0)</f>
        <v>0</v>
      </c>
      <c r="K660" s="194">
        <f>IF(_1_5412845612146241046457891017456[[#This Row],[Discount selection]]&gt;0,VLOOKUP(_1_5412845612146241046457891017456[[#This Row],[Discount selection]],'Discount Structure'!$A$2:$B$30,2,"false"),0)</f>
        <v>1</v>
      </c>
      <c r="L660" s="194">
        <f>_1_5412845612146241046457891017456[[#This Row],[LIST $]]*_1_5412845612146241046457891017456[[#This Row],[DISCOUNT]]*_1_5412845612146241046457891017456[[#This Row],[DISCOUNT 2]]</f>
        <v>0</v>
      </c>
      <c r="M660" s="194">
        <f>IF(OR(_1_5412845612146241046457891017456[[#This Row],[UNIT]]&gt;0,_1_5412845612146241046457891017456[[#This Row],[UNIT]]&lt;0),_1_5412845612146241046457891017456[[#This Row],[UNIT]]*_1_5412845612146241046457891017456[[#This Row],[COST]],0)</f>
        <v>0</v>
      </c>
      <c r="N660" s="194">
        <f t="shared" si="10"/>
        <v>1.3</v>
      </c>
      <c r="O660" s="198">
        <f>_1_5412845612146241046457891017456[[#This Row],[TOTAL]]*_1_5412845612146241046457891017456[[#This Row],[MARGIN]]</f>
        <v>0</v>
      </c>
      <c r="R660" s="41"/>
    </row>
    <row r="661" spans="4:18">
      <c r="D661" s="188"/>
      <c r="F661" s="168" t="s">
        <v>6202</v>
      </c>
      <c r="G661" s="193">
        <f>IF(_1_5412845612146241046457891017456[[#This Row],[Type]]&gt;0,VLOOKUP(_1_5412845612146241046457891017456[[#This Row],[Type]],Main[[#All],[TYPE]:[UNIT]],'Unit Price'!C$1,FALSE),0)</f>
        <v>0</v>
      </c>
      <c r="H661" s="197">
        <f>IF(_1_5412845612146241046457891017456[[#This Row],[Type]]&gt;0,VLOOKUP(_1_5412845612146241046457891017456[[#This Row],[Type]],Main[[#All],[TYPE]:[UNIT]],'Unit Price'!D$1,FALSE),0)</f>
        <v>0</v>
      </c>
      <c r="I661" s="194">
        <f>IF(_1_5412845612146241046457891017456[[#This Row],[Type]]&gt;0,VLOOKUP(_1_5412845612146241046457891017456[[#This Row],[Type]],Main[[#All],[TYPE]:[UNIT]],'Unit Price'!G$1,FALSE),0)</f>
        <v>0</v>
      </c>
      <c r="J661" s="194">
        <f>IF(_1_5412845612146241046457891017456[[#This Row],[Type]]&gt;0,VLOOKUP(_1_5412845612146241046457891017456[[#This Row],[Type]],Main[[#All],[TYPE]:[UNIT]],'Unit Price'!H$1,FALSE),0)</f>
        <v>0</v>
      </c>
      <c r="K661" s="194">
        <f>IF(_1_5412845612146241046457891017456[[#This Row],[Discount selection]]&gt;0,VLOOKUP(_1_5412845612146241046457891017456[[#This Row],[Discount selection]],'Discount Structure'!$A$2:$B$30,2,"false"),0)</f>
        <v>1</v>
      </c>
      <c r="L661" s="194">
        <f>_1_5412845612146241046457891017456[[#This Row],[LIST $]]*_1_5412845612146241046457891017456[[#This Row],[DISCOUNT]]*_1_5412845612146241046457891017456[[#This Row],[DISCOUNT 2]]</f>
        <v>0</v>
      </c>
      <c r="M661" s="194">
        <f>IF(OR(_1_5412845612146241046457891017456[[#This Row],[UNIT]]&gt;0,_1_5412845612146241046457891017456[[#This Row],[UNIT]]&lt;0),_1_5412845612146241046457891017456[[#This Row],[UNIT]]*_1_5412845612146241046457891017456[[#This Row],[COST]],0)</f>
        <v>0</v>
      </c>
      <c r="N661" s="194">
        <f t="shared" si="10"/>
        <v>1.3</v>
      </c>
      <c r="O661" s="198">
        <f>_1_5412845612146241046457891017456[[#This Row],[TOTAL]]*_1_5412845612146241046457891017456[[#This Row],[MARGIN]]</f>
        <v>0</v>
      </c>
      <c r="R661" s="41"/>
    </row>
    <row r="662" spans="4:18">
      <c r="D662" s="188"/>
      <c r="F662" s="168" t="s">
        <v>6202</v>
      </c>
      <c r="G662" s="193">
        <f>IF(_1_5412845612146241046457891017456[[#This Row],[Type]]&gt;0,VLOOKUP(_1_5412845612146241046457891017456[[#This Row],[Type]],Main[[#All],[TYPE]:[UNIT]],'Unit Price'!C$1,FALSE),0)</f>
        <v>0</v>
      </c>
      <c r="H662" s="197">
        <f>IF(_1_5412845612146241046457891017456[[#This Row],[Type]]&gt;0,VLOOKUP(_1_5412845612146241046457891017456[[#This Row],[Type]],Main[[#All],[TYPE]:[UNIT]],'Unit Price'!D$1,FALSE),0)</f>
        <v>0</v>
      </c>
      <c r="I662" s="194">
        <f>IF(_1_5412845612146241046457891017456[[#This Row],[Type]]&gt;0,VLOOKUP(_1_5412845612146241046457891017456[[#This Row],[Type]],Main[[#All],[TYPE]:[UNIT]],'Unit Price'!G$1,FALSE),0)</f>
        <v>0</v>
      </c>
      <c r="J662" s="194">
        <f>IF(_1_5412845612146241046457891017456[[#This Row],[Type]]&gt;0,VLOOKUP(_1_5412845612146241046457891017456[[#This Row],[Type]],Main[[#All],[TYPE]:[UNIT]],'Unit Price'!H$1,FALSE),0)</f>
        <v>0</v>
      </c>
      <c r="K662" s="194">
        <f>IF(_1_5412845612146241046457891017456[[#This Row],[Discount selection]]&gt;0,VLOOKUP(_1_5412845612146241046457891017456[[#This Row],[Discount selection]],'Discount Structure'!$A$2:$B$30,2,"false"),0)</f>
        <v>1</v>
      </c>
      <c r="L662" s="194">
        <f>_1_5412845612146241046457891017456[[#This Row],[LIST $]]*_1_5412845612146241046457891017456[[#This Row],[DISCOUNT]]*_1_5412845612146241046457891017456[[#This Row],[DISCOUNT 2]]</f>
        <v>0</v>
      </c>
      <c r="M662" s="194">
        <f>IF(OR(_1_5412845612146241046457891017456[[#This Row],[UNIT]]&gt;0,_1_5412845612146241046457891017456[[#This Row],[UNIT]]&lt;0),_1_5412845612146241046457891017456[[#This Row],[UNIT]]*_1_5412845612146241046457891017456[[#This Row],[COST]],0)</f>
        <v>0</v>
      </c>
      <c r="N662" s="194">
        <f t="shared" si="10"/>
        <v>1.3</v>
      </c>
      <c r="O662" s="198">
        <f>_1_5412845612146241046457891017456[[#This Row],[TOTAL]]*_1_5412845612146241046457891017456[[#This Row],[MARGIN]]</f>
        <v>0</v>
      </c>
      <c r="R662" s="41"/>
    </row>
    <row r="663" spans="4:18">
      <c r="D663" s="188"/>
      <c r="F663" s="168" t="s">
        <v>6202</v>
      </c>
      <c r="G663" s="193">
        <f>IF(_1_5412845612146241046457891017456[[#This Row],[Type]]&gt;0,VLOOKUP(_1_5412845612146241046457891017456[[#This Row],[Type]],Main[[#All],[TYPE]:[UNIT]],'Unit Price'!C$1,FALSE),0)</f>
        <v>0</v>
      </c>
      <c r="H663" s="197">
        <f>IF(_1_5412845612146241046457891017456[[#This Row],[Type]]&gt;0,VLOOKUP(_1_5412845612146241046457891017456[[#This Row],[Type]],Main[[#All],[TYPE]:[UNIT]],'Unit Price'!D$1,FALSE),0)</f>
        <v>0</v>
      </c>
      <c r="I663" s="194">
        <f>IF(_1_5412845612146241046457891017456[[#This Row],[Type]]&gt;0,VLOOKUP(_1_5412845612146241046457891017456[[#This Row],[Type]],Main[[#All],[TYPE]:[UNIT]],'Unit Price'!G$1,FALSE),0)</f>
        <v>0</v>
      </c>
      <c r="J663" s="194">
        <f>IF(_1_5412845612146241046457891017456[[#This Row],[Type]]&gt;0,VLOOKUP(_1_5412845612146241046457891017456[[#This Row],[Type]],Main[[#All],[TYPE]:[UNIT]],'Unit Price'!H$1,FALSE),0)</f>
        <v>0</v>
      </c>
      <c r="K663" s="194">
        <f>IF(_1_5412845612146241046457891017456[[#This Row],[Discount selection]]&gt;0,VLOOKUP(_1_5412845612146241046457891017456[[#This Row],[Discount selection]],'Discount Structure'!$A$2:$B$30,2,"false"),0)</f>
        <v>1</v>
      </c>
      <c r="L663" s="194">
        <f>_1_5412845612146241046457891017456[[#This Row],[LIST $]]*_1_5412845612146241046457891017456[[#This Row],[DISCOUNT]]*_1_5412845612146241046457891017456[[#This Row],[DISCOUNT 2]]</f>
        <v>0</v>
      </c>
      <c r="M663" s="194">
        <f>IF(OR(_1_5412845612146241046457891017456[[#This Row],[UNIT]]&gt;0,_1_5412845612146241046457891017456[[#This Row],[UNIT]]&lt;0),_1_5412845612146241046457891017456[[#This Row],[UNIT]]*_1_5412845612146241046457891017456[[#This Row],[COST]],0)</f>
        <v>0</v>
      </c>
      <c r="N663" s="194">
        <f t="shared" si="10"/>
        <v>1.3</v>
      </c>
      <c r="O663" s="198">
        <f>_1_5412845612146241046457891017456[[#This Row],[TOTAL]]*_1_5412845612146241046457891017456[[#This Row],[MARGIN]]</f>
        <v>0</v>
      </c>
      <c r="R663" s="41"/>
    </row>
    <row r="664" spans="4:18">
      <c r="D664" s="188"/>
      <c r="F664" s="168" t="s">
        <v>6202</v>
      </c>
      <c r="G664" s="193">
        <f>IF(_1_5412845612146241046457891017456[[#This Row],[Type]]&gt;0,VLOOKUP(_1_5412845612146241046457891017456[[#This Row],[Type]],Main[[#All],[TYPE]:[UNIT]],'Unit Price'!C$1,FALSE),0)</f>
        <v>0</v>
      </c>
      <c r="H664" s="197">
        <f>IF(_1_5412845612146241046457891017456[[#This Row],[Type]]&gt;0,VLOOKUP(_1_5412845612146241046457891017456[[#This Row],[Type]],Main[[#All],[TYPE]:[UNIT]],'Unit Price'!D$1,FALSE),0)</f>
        <v>0</v>
      </c>
      <c r="I664" s="194">
        <f>IF(_1_5412845612146241046457891017456[[#This Row],[Type]]&gt;0,VLOOKUP(_1_5412845612146241046457891017456[[#This Row],[Type]],Main[[#All],[TYPE]:[UNIT]],'Unit Price'!G$1,FALSE),0)</f>
        <v>0</v>
      </c>
      <c r="J664" s="194">
        <f>IF(_1_5412845612146241046457891017456[[#This Row],[Type]]&gt;0,VLOOKUP(_1_5412845612146241046457891017456[[#This Row],[Type]],Main[[#All],[TYPE]:[UNIT]],'Unit Price'!H$1,FALSE),0)</f>
        <v>0</v>
      </c>
      <c r="K664" s="194">
        <f>IF(_1_5412845612146241046457891017456[[#This Row],[Discount selection]]&gt;0,VLOOKUP(_1_5412845612146241046457891017456[[#This Row],[Discount selection]],'Discount Structure'!$A$2:$B$30,2,"false"),0)</f>
        <v>1</v>
      </c>
      <c r="L664" s="194">
        <f>_1_5412845612146241046457891017456[[#This Row],[LIST $]]*_1_5412845612146241046457891017456[[#This Row],[DISCOUNT]]*_1_5412845612146241046457891017456[[#This Row],[DISCOUNT 2]]</f>
        <v>0</v>
      </c>
      <c r="M664" s="194">
        <f>IF(OR(_1_5412845612146241046457891017456[[#This Row],[UNIT]]&gt;0,_1_5412845612146241046457891017456[[#This Row],[UNIT]]&lt;0),_1_5412845612146241046457891017456[[#This Row],[UNIT]]*_1_5412845612146241046457891017456[[#This Row],[COST]],0)</f>
        <v>0</v>
      </c>
      <c r="N664" s="194">
        <f t="shared" si="10"/>
        <v>1.3</v>
      </c>
      <c r="O664" s="198">
        <f>_1_5412845612146241046457891017456[[#This Row],[TOTAL]]*_1_5412845612146241046457891017456[[#This Row],[MARGIN]]</f>
        <v>0</v>
      </c>
      <c r="R664" s="41"/>
    </row>
    <row r="665" spans="4:18">
      <c r="D665" s="188"/>
      <c r="F665" s="168" t="s">
        <v>6202</v>
      </c>
      <c r="G665" s="193">
        <f>IF(_1_5412845612146241046457891017456[[#This Row],[Type]]&gt;0,VLOOKUP(_1_5412845612146241046457891017456[[#This Row],[Type]],Main[[#All],[TYPE]:[UNIT]],'Unit Price'!C$1,FALSE),0)</f>
        <v>0</v>
      </c>
      <c r="H665" s="197">
        <f>IF(_1_5412845612146241046457891017456[[#This Row],[Type]]&gt;0,VLOOKUP(_1_5412845612146241046457891017456[[#This Row],[Type]],Main[[#All],[TYPE]:[UNIT]],'Unit Price'!D$1,FALSE),0)</f>
        <v>0</v>
      </c>
      <c r="I665" s="194">
        <f>IF(_1_5412845612146241046457891017456[[#This Row],[Type]]&gt;0,VLOOKUP(_1_5412845612146241046457891017456[[#This Row],[Type]],Main[[#All],[TYPE]:[UNIT]],'Unit Price'!G$1,FALSE),0)</f>
        <v>0</v>
      </c>
      <c r="J665" s="194">
        <f>IF(_1_5412845612146241046457891017456[[#This Row],[Type]]&gt;0,VLOOKUP(_1_5412845612146241046457891017456[[#This Row],[Type]],Main[[#All],[TYPE]:[UNIT]],'Unit Price'!H$1,FALSE),0)</f>
        <v>0</v>
      </c>
      <c r="K665" s="194">
        <f>IF(_1_5412845612146241046457891017456[[#This Row],[Discount selection]]&gt;0,VLOOKUP(_1_5412845612146241046457891017456[[#This Row],[Discount selection]],'Discount Structure'!$A$2:$B$30,2,"false"),0)</f>
        <v>1</v>
      </c>
      <c r="L665" s="194">
        <f>_1_5412845612146241046457891017456[[#This Row],[LIST $]]*_1_5412845612146241046457891017456[[#This Row],[DISCOUNT]]*_1_5412845612146241046457891017456[[#This Row],[DISCOUNT 2]]</f>
        <v>0</v>
      </c>
      <c r="M665" s="194">
        <f>IF(OR(_1_5412845612146241046457891017456[[#This Row],[UNIT]]&gt;0,_1_5412845612146241046457891017456[[#This Row],[UNIT]]&lt;0),_1_5412845612146241046457891017456[[#This Row],[UNIT]]*_1_5412845612146241046457891017456[[#This Row],[COST]],0)</f>
        <v>0</v>
      </c>
      <c r="N665" s="194">
        <f t="shared" si="10"/>
        <v>1.3</v>
      </c>
      <c r="O665" s="198">
        <f>_1_5412845612146241046457891017456[[#This Row],[TOTAL]]*_1_5412845612146241046457891017456[[#This Row],[MARGIN]]</f>
        <v>0</v>
      </c>
      <c r="R665" s="41"/>
    </row>
    <row r="666" spans="4:18">
      <c r="D666" s="188"/>
      <c r="F666" s="168" t="s">
        <v>6202</v>
      </c>
      <c r="G666" s="193">
        <f>IF(_1_5412845612146241046457891017456[[#This Row],[Type]]&gt;0,VLOOKUP(_1_5412845612146241046457891017456[[#This Row],[Type]],Main[[#All],[TYPE]:[UNIT]],'Unit Price'!C$1,FALSE),0)</f>
        <v>0</v>
      </c>
      <c r="H666" s="197">
        <f>IF(_1_5412845612146241046457891017456[[#This Row],[Type]]&gt;0,VLOOKUP(_1_5412845612146241046457891017456[[#This Row],[Type]],Main[[#All],[TYPE]:[UNIT]],'Unit Price'!D$1,FALSE),0)</f>
        <v>0</v>
      </c>
      <c r="I666" s="194">
        <f>IF(_1_5412845612146241046457891017456[[#This Row],[Type]]&gt;0,VLOOKUP(_1_5412845612146241046457891017456[[#This Row],[Type]],Main[[#All],[TYPE]:[UNIT]],'Unit Price'!G$1,FALSE),0)</f>
        <v>0</v>
      </c>
      <c r="J666" s="194">
        <f>IF(_1_5412845612146241046457891017456[[#This Row],[Type]]&gt;0,VLOOKUP(_1_5412845612146241046457891017456[[#This Row],[Type]],Main[[#All],[TYPE]:[UNIT]],'Unit Price'!H$1,FALSE),0)</f>
        <v>0</v>
      </c>
      <c r="K666" s="194">
        <f>IF(_1_5412845612146241046457891017456[[#This Row],[Discount selection]]&gt;0,VLOOKUP(_1_5412845612146241046457891017456[[#This Row],[Discount selection]],'Discount Structure'!$A$2:$B$30,2,"false"),0)</f>
        <v>1</v>
      </c>
      <c r="L666" s="194">
        <f>_1_5412845612146241046457891017456[[#This Row],[LIST $]]*_1_5412845612146241046457891017456[[#This Row],[DISCOUNT]]*_1_5412845612146241046457891017456[[#This Row],[DISCOUNT 2]]</f>
        <v>0</v>
      </c>
      <c r="M666" s="194">
        <f>IF(OR(_1_5412845612146241046457891017456[[#This Row],[UNIT]]&gt;0,_1_5412845612146241046457891017456[[#This Row],[UNIT]]&lt;0),_1_5412845612146241046457891017456[[#This Row],[UNIT]]*_1_5412845612146241046457891017456[[#This Row],[COST]],0)</f>
        <v>0</v>
      </c>
      <c r="N666" s="194">
        <f t="shared" si="10"/>
        <v>1.3</v>
      </c>
      <c r="O666" s="198">
        <f>_1_5412845612146241046457891017456[[#This Row],[TOTAL]]*_1_5412845612146241046457891017456[[#This Row],[MARGIN]]</f>
        <v>0</v>
      </c>
      <c r="R666" s="41"/>
    </row>
    <row r="667" spans="4:18">
      <c r="D667" s="188"/>
      <c r="F667" s="168" t="s">
        <v>6202</v>
      </c>
      <c r="G667" s="193">
        <f>IF(_1_5412845612146241046457891017456[[#This Row],[Type]]&gt;0,VLOOKUP(_1_5412845612146241046457891017456[[#This Row],[Type]],Main[[#All],[TYPE]:[UNIT]],'Unit Price'!C$1,FALSE),0)</f>
        <v>0</v>
      </c>
      <c r="H667" s="197">
        <f>IF(_1_5412845612146241046457891017456[[#This Row],[Type]]&gt;0,VLOOKUP(_1_5412845612146241046457891017456[[#This Row],[Type]],Main[[#All],[TYPE]:[UNIT]],'Unit Price'!D$1,FALSE),0)</f>
        <v>0</v>
      </c>
      <c r="I667" s="194">
        <f>IF(_1_5412845612146241046457891017456[[#This Row],[Type]]&gt;0,VLOOKUP(_1_5412845612146241046457891017456[[#This Row],[Type]],Main[[#All],[TYPE]:[UNIT]],'Unit Price'!G$1,FALSE),0)</f>
        <v>0</v>
      </c>
      <c r="J667" s="194">
        <f>IF(_1_5412845612146241046457891017456[[#This Row],[Type]]&gt;0,VLOOKUP(_1_5412845612146241046457891017456[[#This Row],[Type]],Main[[#All],[TYPE]:[UNIT]],'Unit Price'!H$1,FALSE),0)</f>
        <v>0</v>
      </c>
      <c r="K667" s="194">
        <f>IF(_1_5412845612146241046457891017456[[#This Row],[Discount selection]]&gt;0,VLOOKUP(_1_5412845612146241046457891017456[[#This Row],[Discount selection]],'Discount Structure'!$A$2:$B$30,2,"false"),0)</f>
        <v>1</v>
      </c>
      <c r="L667" s="194">
        <f>_1_5412845612146241046457891017456[[#This Row],[LIST $]]*_1_5412845612146241046457891017456[[#This Row],[DISCOUNT]]*_1_5412845612146241046457891017456[[#This Row],[DISCOUNT 2]]</f>
        <v>0</v>
      </c>
      <c r="M667" s="194">
        <f>IF(OR(_1_5412845612146241046457891017456[[#This Row],[UNIT]]&gt;0,_1_5412845612146241046457891017456[[#This Row],[UNIT]]&lt;0),_1_5412845612146241046457891017456[[#This Row],[UNIT]]*_1_5412845612146241046457891017456[[#This Row],[COST]],0)</f>
        <v>0</v>
      </c>
      <c r="N667" s="194">
        <f t="shared" si="10"/>
        <v>1.3</v>
      </c>
      <c r="O667" s="198">
        <f>_1_5412845612146241046457891017456[[#This Row],[TOTAL]]*_1_5412845612146241046457891017456[[#This Row],[MARGIN]]</f>
        <v>0</v>
      </c>
      <c r="R667" s="41"/>
    </row>
    <row r="668" spans="4:18">
      <c r="D668" s="188"/>
      <c r="F668" s="168" t="s">
        <v>6202</v>
      </c>
      <c r="G668" s="193">
        <f>IF(_1_5412845612146241046457891017456[[#This Row],[Type]]&gt;0,VLOOKUP(_1_5412845612146241046457891017456[[#This Row],[Type]],Main[[#All],[TYPE]:[UNIT]],'Unit Price'!C$1,FALSE),0)</f>
        <v>0</v>
      </c>
      <c r="H668" s="197">
        <f>IF(_1_5412845612146241046457891017456[[#This Row],[Type]]&gt;0,VLOOKUP(_1_5412845612146241046457891017456[[#This Row],[Type]],Main[[#All],[TYPE]:[UNIT]],'Unit Price'!D$1,FALSE),0)</f>
        <v>0</v>
      </c>
      <c r="I668" s="194">
        <f>IF(_1_5412845612146241046457891017456[[#This Row],[Type]]&gt;0,VLOOKUP(_1_5412845612146241046457891017456[[#This Row],[Type]],Main[[#All],[TYPE]:[UNIT]],'Unit Price'!G$1,FALSE),0)</f>
        <v>0</v>
      </c>
      <c r="J668" s="194">
        <f>IF(_1_5412845612146241046457891017456[[#This Row],[Type]]&gt;0,VLOOKUP(_1_5412845612146241046457891017456[[#This Row],[Type]],Main[[#All],[TYPE]:[UNIT]],'Unit Price'!H$1,FALSE),0)</f>
        <v>0</v>
      </c>
      <c r="K668" s="194">
        <f>IF(_1_5412845612146241046457891017456[[#This Row],[Discount selection]]&gt;0,VLOOKUP(_1_5412845612146241046457891017456[[#This Row],[Discount selection]],'Discount Structure'!$A$2:$B$30,2,"false"),0)</f>
        <v>1</v>
      </c>
      <c r="L668" s="194">
        <f>_1_5412845612146241046457891017456[[#This Row],[LIST $]]*_1_5412845612146241046457891017456[[#This Row],[DISCOUNT]]*_1_5412845612146241046457891017456[[#This Row],[DISCOUNT 2]]</f>
        <v>0</v>
      </c>
      <c r="M668" s="194">
        <f>IF(OR(_1_5412845612146241046457891017456[[#This Row],[UNIT]]&gt;0,_1_5412845612146241046457891017456[[#This Row],[UNIT]]&lt;0),_1_5412845612146241046457891017456[[#This Row],[UNIT]]*_1_5412845612146241046457891017456[[#This Row],[COST]],0)</f>
        <v>0</v>
      </c>
      <c r="N668" s="194">
        <f t="shared" si="10"/>
        <v>1.3</v>
      </c>
      <c r="O668" s="198">
        <f>_1_5412845612146241046457891017456[[#This Row],[TOTAL]]*_1_5412845612146241046457891017456[[#This Row],[MARGIN]]</f>
        <v>0</v>
      </c>
      <c r="R668" s="41"/>
    </row>
    <row r="669" spans="4:18">
      <c r="D669" s="188"/>
      <c r="F669" s="168" t="s">
        <v>6202</v>
      </c>
      <c r="G669" s="193">
        <f>IF(_1_5412845612146241046457891017456[[#This Row],[Type]]&gt;0,VLOOKUP(_1_5412845612146241046457891017456[[#This Row],[Type]],Main[[#All],[TYPE]:[UNIT]],'Unit Price'!C$1,FALSE),0)</f>
        <v>0</v>
      </c>
      <c r="H669" s="197">
        <f>IF(_1_5412845612146241046457891017456[[#This Row],[Type]]&gt;0,VLOOKUP(_1_5412845612146241046457891017456[[#This Row],[Type]],Main[[#All],[TYPE]:[UNIT]],'Unit Price'!D$1,FALSE),0)</f>
        <v>0</v>
      </c>
      <c r="I669" s="194">
        <f>IF(_1_5412845612146241046457891017456[[#This Row],[Type]]&gt;0,VLOOKUP(_1_5412845612146241046457891017456[[#This Row],[Type]],Main[[#All],[TYPE]:[UNIT]],'Unit Price'!G$1,FALSE),0)</f>
        <v>0</v>
      </c>
      <c r="J669" s="194">
        <f>IF(_1_5412845612146241046457891017456[[#This Row],[Type]]&gt;0,VLOOKUP(_1_5412845612146241046457891017456[[#This Row],[Type]],Main[[#All],[TYPE]:[UNIT]],'Unit Price'!H$1,FALSE),0)</f>
        <v>0</v>
      </c>
      <c r="K669" s="194">
        <f>IF(_1_5412845612146241046457891017456[[#This Row],[Discount selection]]&gt;0,VLOOKUP(_1_5412845612146241046457891017456[[#This Row],[Discount selection]],'Discount Structure'!$A$2:$B$30,2,"false"),0)</f>
        <v>1</v>
      </c>
      <c r="L669" s="194">
        <f>_1_5412845612146241046457891017456[[#This Row],[LIST $]]*_1_5412845612146241046457891017456[[#This Row],[DISCOUNT]]*_1_5412845612146241046457891017456[[#This Row],[DISCOUNT 2]]</f>
        <v>0</v>
      </c>
      <c r="M669" s="194">
        <f>IF(OR(_1_5412845612146241046457891017456[[#This Row],[UNIT]]&gt;0,_1_5412845612146241046457891017456[[#This Row],[UNIT]]&lt;0),_1_5412845612146241046457891017456[[#This Row],[UNIT]]*_1_5412845612146241046457891017456[[#This Row],[COST]],0)</f>
        <v>0</v>
      </c>
      <c r="N669" s="194">
        <f t="shared" si="10"/>
        <v>1.3</v>
      </c>
      <c r="O669" s="198">
        <f>_1_5412845612146241046457891017456[[#This Row],[TOTAL]]*_1_5412845612146241046457891017456[[#This Row],[MARGIN]]</f>
        <v>0</v>
      </c>
      <c r="R669" s="41"/>
    </row>
    <row r="670" spans="4:18">
      <c r="D670" s="188"/>
      <c r="F670" s="168" t="s">
        <v>6202</v>
      </c>
      <c r="G670" s="193">
        <f>IF(_1_5412845612146241046457891017456[[#This Row],[Type]]&gt;0,VLOOKUP(_1_5412845612146241046457891017456[[#This Row],[Type]],Main[[#All],[TYPE]:[UNIT]],'Unit Price'!C$1,FALSE),0)</f>
        <v>0</v>
      </c>
      <c r="H670" s="197">
        <f>IF(_1_5412845612146241046457891017456[[#This Row],[Type]]&gt;0,VLOOKUP(_1_5412845612146241046457891017456[[#This Row],[Type]],Main[[#All],[TYPE]:[UNIT]],'Unit Price'!D$1,FALSE),0)</f>
        <v>0</v>
      </c>
      <c r="I670" s="194">
        <f>IF(_1_5412845612146241046457891017456[[#This Row],[Type]]&gt;0,VLOOKUP(_1_5412845612146241046457891017456[[#This Row],[Type]],Main[[#All],[TYPE]:[UNIT]],'Unit Price'!G$1,FALSE),0)</f>
        <v>0</v>
      </c>
      <c r="J670" s="194">
        <f>IF(_1_5412845612146241046457891017456[[#This Row],[Type]]&gt;0,VLOOKUP(_1_5412845612146241046457891017456[[#This Row],[Type]],Main[[#All],[TYPE]:[UNIT]],'Unit Price'!H$1,FALSE),0)</f>
        <v>0</v>
      </c>
      <c r="K670" s="194">
        <f>IF(_1_5412845612146241046457891017456[[#This Row],[Discount selection]]&gt;0,VLOOKUP(_1_5412845612146241046457891017456[[#This Row],[Discount selection]],'Discount Structure'!$A$2:$B$30,2,"false"),0)</f>
        <v>1</v>
      </c>
      <c r="L670" s="194">
        <f>_1_5412845612146241046457891017456[[#This Row],[LIST $]]*_1_5412845612146241046457891017456[[#This Row],[DISCOUNT]]*_1_5412845612146241046457891017456[[#This Row],[DISCOUNT 2]]</f>
        <v>0</v>
      </c>
      <c r="M670" s="194">
        <f>IF(OR(_1_5412845612146241046457891017456[[#This Row],[UNIT]]&gt;0,_1_5412845612146241046457891017456[[#This Row],[UNIT]]&lt;0),_1_5412845612146241046457891017456[[#This Row],[UNIT]]*_1_5412845612146241046457891017456[[#This Row],[COST]],0)</f>
        <v>0</v>
      </c>
      <c r="N670" s="194">
        <f t="shared" si="10"/>
        <v>1.3</v>
      </c>
      <c r="O670" s="198">
        <f>_1_5412845612146241046457891017456[[#This Row],[TOTAL]]*_1_5412845612146241046457891017456[[#This Row],[MARGIN]]</f>
        <v>0</v>
      </c>
      <c r="R670" s="41"/>
    </row>
    <row r="671" spans="4:18">
      <c r="D671" s="188"/>
      <c r="F671" s="168" t="s">
        <v>6202</v>
      </c>
      <c r="G671" s="193">
        <f>IF(_1_5412845612146241046457891017456[[#This Row],[Type]]&gt;0,VLOOKUP(_1_5412845612146241046457891017456[[#This Row],[Type]],Main[[#All],[TYPE]:[UNIT]],'Unit Price'!C$1,FALSE),0)</f>
        <v>0</v>
      </c>
      <c r="H671" s="197">
        <f>IF(_1_5412845612146241046457891017456[[#This Row],[Type]]&gt;0,VLOOKUP(_1_5412845612146241046457891017456[[#This Row],[Type]],Main[[#All],[TYPE]:[UNIT]],'Unit Price'!D$1,FALSE),0)</f>
        <v>0</v>
      </c>
      <c r="I671" s="194">
        <f>IF(_1_5412845612146241046457891017456[[#This Row],[Type]]&gt;0,VLOOKUP(_1_5412845612146241046457891017456[[#This Row],[Type]],Main[[#All],[TYPE]:[UNIT]],'Unit Price'!G$1,FALSE),0)</f>
        <v>0</v>
      </c>
      <c r="J671" s="194">
        <f>IF(_1_5412845612146241046457891017456[[#This Row],[Type]]&gt;0,VLOOKUP(_1_5412845612146241046457891017456[[#This Row],[Type]],Main[[#All],[TYPE]:[UNIT]],'Unit Price'!H$1,FALSE),0)</f>
        <v>0</v>
      </c>
      <c r="K671" s="194">
        <f>IF(_1_5412845612146241046457891017456[[#This Row],[Discount selection]]&gt;0,VLOOKUP(_1_5412845612146241046457891017456[[#This Row],[Discount selection]],'Discount Structure'!$A$2:$B$30,2,"false"),0)</f>
        <v>1</v>
      </c>
      <c r="L671" s="194">
        <f>_1_5412845612146241046457891017456[[#This Row],[LIST $]]*_1_5412845612146241046457891017456[[#This Row],[DISCOUNT]]*_1_5412845612146241046457891017456[[#This Row],[DISCOUNT 2]]</f>
        <v>0</v>
      </c>
      <c r="M671" s="194">
        <f>IF(OR(_1_5412845612146241046457891017456[[#This Row],[UNIT]]&gt;0,_1_5412845612146241046457891017456[[#This Row],[UNIT]]&lt;0),_1_5412845612146241046457891017456[[#This Row],[UNIT]]*_1_5412845612146241046457891017456[[#This Row],[COST]],0)</f>
        <v>0</v>
      </c>
      <c r="N671" s="194">
        <f t="shared" si="10"/>
        <v>1.3</v>
      </c>
      <c r="O671" s="198">
        <f>_1_5412845612146241046457891017456[[#This Row],[TOTAL]]*_1_5412845612146241046457891017456[[#This Row],[MARGIN]]</f>
        <v>0</v>
      </c>
      <c r="R671" s="41"/>
    </row>
    <row r="672" spans="4:18">
      <c r="D672" s="188"/>
      <c r="F672" s="168" t="s">
        <v>6202</v>
      </c>
      <c r="G672" s="193">
        <f>IF(_1_5412845612146241046457891017456[[#This Row],[Type]]&gt;0,VLOOKUP(_1_5412845612146241046457891017456[[#This Row],[Type]],Main[[#All],[TYPE]:[UNIT]],'Unit Price'!C$1,FALSE),0)</f>
        <v>0</v>
      </c>
      <c r="H672" s="197">
        <f>IF(_1_5412845612146241046457891017456[[#This Row],[Type]]&gt;0,VLOOKUP(_1_5412845612146241046457891017456[[#This Row],[Type]],Main[[#All],[TYPE]:[UNIT]],'Unit Price'!D$1,FALSE),0)</f>
        <v>0</v>
      </c>
      <c r="I672" s="194">
        <f>IF(_1_5412845612146241046457891017456[[#This Row],[Type]]&gt;0,VLOOKUP(_1_5412845612146241046457891017456[[#This Row],[Type]],Main[[#All],[TYPE]:[UNIT]],'Unit Price'!G$1,FALSE),0)</f>
        <v>0</v>
      </c>
      <c r="J672" s="194">
        <f>IF(_1_5412845612146241046457891017456[[#This Row],[Type]]&gt;0,VLOOKUP(_1_5412845612146241046457891017456[[#This Row],[Type]],Main[[#All],[TYPE]:[UNIT]],'Unit Price'!H$1,FALSE),0)</f>
        <v>0</v>
      </c>
      <c r="K672" s="194">
        <f>IF(_1_5412845612146241046457891017456[[#This Row],[Discount selection]]&gt;0,VLOOKUP(_1_5412845612146241046457891017456[[#This Row],[Discount selection]],'Discount Structure'!$A$2:$B$30,2,"false"),0)</f>
        <v>1</v>
      </c>
      <c r="L672" s="194">
        <f>_1_5412845612146241046457891017456[[#This Row],[LIST $]]*_1_5412845612146241046457891017456[[#This Row],[DISCOUNT]]*_1_5412845612146241046457891017456[[#This Row],[DISCOUNT 2]]</f>
        <v>0</v>
      </c>
      <c r="M672" s="194">
        <f>IF(OR(_1_5412845612146241046457891017456[[#This Row],[UNIT]]&gt;0,_1_5412845612146241046457891017456[[#This Row],[UNIT]]&lt;0),_1_5412845612146241046457891017456[[#This Row],[UNIT]]*_1_5412845612146241046457891017456[[#This Row],[COST]],0)</f>
        <v>0</v>
      </c>
      <c r="N672" s="194">
        <f t="shared" si="10"/>
        <v>1.3</v>
      </c>
      <c r="O672" s="198">
        <f>_1_5412845612146241046457891017456[[#This Row],[TOTAL]]*_1_5412845612146241046457891017456[[#This Row],[MARGIN]]</f>
        <v>0</v>
      </c>
      <c r="R672" s="41"/>
    </row>
    <row r="673" spans="4:18">
      <c r="D673" s="188"/>
      <c r="F673" s="168" t="s">
        <v>6202</v>
      </c>
      <c r="G673" s="193">
        <f>IF(_1_5412845612146241046457891017456[[#This Row],[Type]]&gt;0,VLOOKUP(_1_5412845612146241046457891017456[[#This Row],[Type]],Main[[#All],[TYPE]:[UNIT]],'Unit Price'!C$1,FALSE),0)</f>
        <v>0</v>
      </c>
      <c r="H673" s="197">
        <f>IF(_1_5412845612146241046457891017456[[#This Row],[Type]]&gt;0,VLOOKUP(_1_5412845612146241046457891017456[[#This Row],[Type]],Main[[#All],[TYPE]:[UNIT]],'Unit Price'!D$1,FALSE),0)</f>
        <v>0</v>
      </c>
      <c r="I673" s="194">
        <f>IF(_1_5412845612146241046457891017456[[#This Row],[Type]]&gt;0,VLOOKUP(_1_5412845612146241046457891017456[[#This Row],[Type]],Main[[#All],[TYPE]:[UNIT]],'Unit Price'!G$1,FALSE),0)</f>
        <v>0</v>
      </c>
      <c r="J673" s="194">
        <f>IF(_1_5412845612146241046457891017456[[#This Row],[Type]]&gt;0,VLOOKUP(_1_5412845612146241046457891017456[[#This Row],[Type]],Main[[#All],[TYPE]:[UNIT]],'Unit Price'!H$1,FALSE),0)</f>
        <v>0</v>
      </c>
      <c r="K673" s="194">
        <f>IF(_1_5412845612146241046457891017456[[#This Row],[Discount selection]]&gt;0,VLOOKUP(_1_5412845612146241046457891017456[[#This Row],[Discount selection]],'Discount Structure'!$A$2:$B$30,2,"false"),0)</f>
        <v>1</v>
      </c>
      <c r="L673" s="194">
        <f>_1_5412845612146241046457891017456[[#This Row],[LIST $]]*_1_5412845612146241046457891017456[[#This Row],[DISCOUNT]]*_1_5412845612146241046457891017456[[#This Row],[DISCOUNT 2]]</f>
        <v>0</v>
      </c>
      <c r="M673" s="194">
        <f>IF(OR(_1_5412845612146241046457891017456[[#This Row],[UNIT]]&gt;0,_1_5412845612146241046457891017456[[#This Row],[UNIT]]&lt;0),_1_5412845612146241046457891017456[[#This Row],[UNIT]]*_1_5412845612146241046457891017456[[#This Row],[COST]],0)</f>
        <v>0</v>
      </c>
      <c r="N673" s="194">
        <f t="shared" si="10"/>
        <v>1.3</v>
      </c>
      <c r="O673" s="198">
        <f>_1_5412845612146241046457891017456[[#This Row],[TOTAL]]*_1_5412845612146241046457891017456[[#This Row],[MARGIN]]</f>
        <v>0</v>
      </c>
      <c r="R673" s="41"/>
    </row>
    <row r="674" spans="4:18">
      <c r="D674" s="188"/>
      <c r="F674" s="168" t="s">
        <v>6202</v>
      </c>
      <c r="G674" s="193">
        <f>IF(_1_5412845612146241046457891017456[[#This Row],[Type]]&gt;0,VLOOKUP(_1_5412845612146241046457891017456[[#This Row],[Type]],Main[[#All],[TYPE]:[UNIT]],'Unit Price'!C$1,FALSE),0)</f>
        <v>0</v>
      </c>
      <c r="H674" s="197">
        <f>IF(_1_5412845612146241046457891017456[[#This Row],[Type]]&gt;0,VLOOKUP(_1_5412845612146241046457891017456[[#This Row],[Type]],Main[[#All],[TYPE]:[UNIT]],'Unit Price'!D$1,FALSE),0)</f>
        <v>0</v>
      </c>
      <c r="I674" s="194">
        <f>IF(_1_5412845612146241046457891017456[[#This Row],[Type]]&gt;0,VLOOKUP(_1_5412845612146241046457891017456[[#This Row],[Type]],Main[[#All],[TYPE]:[UNIT]],'Unit Price'!G$1,FALSE),0)</f>
        <v>0</v>
      </c>
      <c r="J674" s="194">
        <f>IF(_1_5412845612146241046457891017456[[#This Row],[Type]]&gt;0,VLOOKUP(_1_5412845612146241046457891017456[[#This Row],[Type]],Main[[#All],[TYPE]:[UNIT]],'Unit Price'!H$1,FALSE),0)</f>
        <v>0</v>
      </c>
      <c r="K674" s="194">
        <f>IF(_1_5412845612146241046457891017456[[#This Row],[Discount selection]]&gt;0,VLOOKUP(_1_5412845612146241046457891017456[[#This Row],[Discount selection]],'Discount Structure'!$A$2:$B$30,2,"false"),0)</f>
        <v>1</v>
      </c>
      <c r="L674" s="194">
        <f>_1_5412845612146241046457891017456[[#This Row],[LIST $]]*_1_5412845612146241046457891017456[[#This Row],[DISCOUNT]]*_1_5412845612146241046457891017456[[#This Row],[DISCOUNT 2]]</f>
        <v>0</v>
      </c>
      <c r="M674" s="194">
        <f>IF(OR(_1_5412845612146241046457891017456[[#This Row],[UNIT]]&gt;0,_1_5412845612146241046457891017456[[#This Row],[UNIT]]&lt;0),_1_5412845612146241046457891017456[[#This Row],[UNIT]]*_1_5412845612146241046457891017456[[#This Row],[COST]],0)</f>
        <v>0</v>
      </c>
      <c r="N674" s="194">
        <f t="shared" si="10"/>
        <v>1.3</v>
      </c>
      <c r="O674" s="198">
        <f>_1_5412845612146241046457891017456[[#This Row],[TOTAL]]*_1_5412845612146241046457891017456[[#This Row],[MARGIN]]</f>
        <v>0</v>
      </c>
      <c r="R674" s="41"/>
    </row>
    <row r="675" spans="4:18">
      <c r="D675" s="188"/>
      <c r="F675" s="168" t="s">
        <v>6202</v>
      </c>
      <c r="G675" s="193">
        <f>IF(_1_5412845612146241046457891017456[[#This Row],[Type]]&gt;0,VLOOKUP(_1_5412845612146241046457891017456[[#This Row],[Type]],Main[[#All],[TYPE]:[UNIT]],'Unit Price'!C$1,FALSE),0)</f>
        <v>0</v>
      </c>
      <c r="H675" s="197">
        <f>IF(_1_5412845612146241046457891017456[[#This Row],[Type]]&gt;0,VLOOKUP(_1_5412845612146241046457891017456[[#This Row],[Type]],Main[[#All],[TYPE]:[UNIT]],'Unit Price'!D$1,FALSE),0)</f>
        <v>0</v>
      </c>
      <c r="I675" s="194">
        <f>IF(_1_5412845612146241046457891017456[[#This Row],[Type]]&gt;0,VLOOKUP(_1_5412845612146241046457891017456[[#This Row],[Type]],Main[[#All],[TYPE]:[UNIT]],'Unit Price'!G$1,FALSE),0)</f>
        <v>0</v>
      </c>
      <c r="J675" s="194">
        <f>IF(_1_5412845612146241046457891017456[[#This Row],[Type]]&gt;0,VLOOKUP(_1_5412845612146241046457891017456[[#This Row],[Type]],Main[[#All],[TYPE]:[UNIT]],'Unit Price'!H$1,FALSE),0)</f>
        <v>0</v>
      </c>
      <c r="K675" s="194">
        <f>IF(_1_5412845612146241046457891017456[[#This Row],[Discount selection]]&gt;0,VLOOKUP(_1_5412845612146241046457891017456[[#This Row],[Discount selection]],'Discount Structure'!$A$2:$B$30,2,"false"),0)</f>
        <v>1</v>
      </c>
      <c r="L675" s="194">
        <f>_1_5412845612146241046457891017456[[#This Row],[LIST $]]*_1_5412845612146241046457891017456[[#This Row],[DISCOUNT]]*_1_5412845612146241046457891017456[[#This Row],[DISCOUNT 2]]</f>
        <v>0</v>
      </c>
      <c r="M675" s="194">
        <f>IF(OR(_1_5412845612146241046457891017456[[#This Row],[UNIT]]&gt;0,_1_5412845612146241046457891017456[[#This Row],[UNIT]]&lt;0),_1_5412845612146241046457891017456[[#This Row],[UNIT]]*_1_5412845612146241046457891017456[[#This Row],[COST]],0)</f>
        <v>0</v>
      </c>
      <c r="N675" s="194">
        <f t="shared" si="10"/>
        <v>1.3</v>
      </c>
      <c r="O675" s="198">
        <f>_1_5412845612146241046457891017456[[#This Row],[TOTAL]]*_1_5412845612146241046457891017456[[#This Row],[MARGIN]]</f>
        <v>0</v>
      </c>
      <c r="R675" s="41"/>
    </row>
    <row r="676" spans="4:18">
      <c r="D676" s="188"/>
      <c r="F676" s="168" t="s">
        <v>6202</v>
      </c>
      <c r="G676" s="193">
        <f>IF(_1_5412845612146241046457891017456[[#This Row],[Type]]&gt;0,VLOOKUP(_1_5412845612146241046457891017456[[#This Row],[Type]],Main[[#All],[TYPE]:[UNIT]],'Unit Price'!C$1,FALSE),0)</f>
        <v>0</v>
      </c>
      <c r="H676" s="197">
        <f>IF(_1_5412845612146241046457891017456[[#This Row],[Type]]&gt;0,VLOOKUP(_1_5412845612146241046457891017456[[#This Row],[Type]],Main[[#All],[TYPE]:[UNIT]],'Unit Price'!D$1,FALSE),0)</f>
        <v>0</v>
      </c>
      <c r="I676" s="194">
        <f>IF(_1_5412845612146241046457891017456[[#This Row],[Type]]&gt;0,VLOOKUP(_1_5412845612146241046457891017456[[#This Row],[Type]],Main[[#All],[TYPE]:[UNIT]],'Unit Price'!G$1,FALSE),0)</f>
        <v>0</v>
      </c>
      <c r="J676" s="194">
        <f>IF(_1_5412845612146241046457891017456[[#This Row],[Type]]&gt;0,VLOOKUP(_1_5412845612146241046457891017456[[#This Row],[Type]],Main[[#All],[TYPE]:[UNIT]],'Unit Price'!H$1,FALSE),0)</f>
        <v>0</v>
      </c>
      <c r="K676" s="194">
        <f>IF(_1_5412845612146241046457891017456[[#This Row],[Discount selection]]&gt;0,VLOOKUP(_1_5412845612146241046457891017456[[#This Row],[Discount selection]],'Discount Structure'!$A$2:$B$30,2,"false"),0)</f>
        <v>1</v>
      </c>
      <c r="L676" s="194">
        <f>_1_5412845612146241046457891017456[[#This Row],[LIST $]]*_1_5412845612146241046457891017456[[#This Row],[DISCOUNT]]*_1_5412845612146241046457891017456[[#This Row],[DISCOUNT 2]]</f>
        <v>0</v>
      </c>
      <c r="M676" s="194">
        <f>IF(OR(_1_5412845612146241046457891017456[[#This Row],[UNIT]]&gt;0,_1_5412845612146241046457891017456[[#This Row],[UNIT]]&lt;0),_1_5412845612146241046457891017456[[#This Row],[UNIT]]*_1_5412845612146241046457891017456[[#This Row],[COST]],0)</f>
        <v>0</v>
      </c>
      <c r="N676" s="194">
        <f t="shared" si="10"/>
        <v>1.3</v>
      </c>
      <c r="O676" s="198">
        <f>_1_5412845612146241046457891017456[[#This Row],[TOTAL]]*_1_5412845612146241046457891017456[[#This Row],[MARGIN]]</f>
        <v>0</v>
      </c>
      <c r="R676" s="41"/>
    </row>
    <row r="677" spans="4:18">
      <c r="D677" s="188"/>
      <c r="F677" s="168" t="s">
        <v>6202</v>
      </c>
      <c r="G677" s="193">
        <f>IF(_1_5412845612146241046457891017456[[#This Row],[Type]]&gt;0,VLOOKUP(_1_5412845612146241046457891017456[[#This Row],[Type]],Main[[#All],[TYPE]:[UNIT]],'Unit Price'!C$1,FALSE),0)</f>
        <v>0</v>
      </c>
      <c r="H677" s="197">
        <f>IF(_1_5412845612146241046457891017456[[#This Row],[Type]]&gt;0,VLOOKUP(_1_5412845612146241046457891017456[[#This Row],[Type]],Main[[#All],[TYPE]:[UNIT]],'Unit Price'!D$1,FALSE),0)</f>
        <v>0</v>
      </c>
      <c r="I677" s="194">
        <f>IF(_1_5412845612146241046457891017456[[#This Row],[Type]]&gt;0,VLOOKUP(_1_5412845612146241046457891017456[[#This Row],[Type]],Main[[#All],[TYPE]:[UNIT]],'Unit Price'!G$1,FALSE),0)</f>
        <v>0</v>
      </c>
      <c r="J677" s="194">
        <f>IF(_1_5412845612146241046457891017456[[#This Row],[Type]]&gt;0,VLOOKUP(_1_5412845612146241046457891017456[[#This Row],[Type]],Main[[#All],[TYPE]:[UNIT]],'Unit Price'!H$1,FALSE),0)</f>
        <v>0</v>
      </c>
      <c r="K677" s="194">
        <f>IF(_1_5412845612146241046457891017456[[#This Row],[Discount selection]]&gt;0,VLOOKUP(_1_5412845612146241046457891017456[[#This Row],[Discount selection]],'Discount Structure'!$A$2:$B$30,2,"false"),0)</f>
        <v>1</v>
      </c>
      <c r="L677" s="194">
        <f>_1_5412845612146241046457891017456[[#This Row],[LIST $]]*_1_5412845612146241046457891017456[[#This Row],[DISCOUNT]]*_1_5412845612146241046457891017456[[#This Row],[DISCOUNT 2]]</f>
        <v>0</v>
      </c>
      <c r="M677" s="194">
        <f>IF(OR(_1_5412845612146241046457891017456[[#This Row],[UNIT]]&gt;0,_1_5412845612146241046457891017456[[#This Row],[UNIT]]&lt;0),_1_5412845612146241046457891017456[[#This Row],[UNIT]]*_1_5412845612146241046457891017456[[#This Row],[COST]],0)</f>
        <v>0</v>
      </c>
      <c r="N677" s="194">
        <f t="shared" si="10"/>
        <v>1.3</v>
      </c>
      <c r="O677" s="198">
        <f>_1_5412845612146241046457891017456[[#This Row],[TOTAL]]*_1_5412845612146241046457891017456[[#This Row],[MARGIN]]</f>
        <v>0</v>
      </c>
      <c r="R677" s="41"/>
    </row>
    <row r="678" spans="4:18">
      <c r="D678" s="188"/>
      <c r="F678" s="168" t="s">
        <v>6202</v>
      </c>
      <c r="G678" s="193">
        <f>IF(_1_5412845612146241046457891017456[[#This Row],[Type]]&gt;0,VLOOKUP(_1_5412845612146241046457891017456[[#This Row],[Type]],Main[[#All],[TYPE]:[UNIT]],'Unit Price'!C$1,FALSE),0)</f>
        <v>0</v>
      </c>
      <c r="H678" s="197">
        <f>IF(_1_5412845612146241046457891017456[[#This Row],[Type]]&gt;0,VLOOKUP(_1_5412845612146241046457891017456[[#This Row],[Type]],Main[[#All],[TYPE]:[UNIT]],'Unit Price'!D$1,FALSE),0)</f>
        <v>0</v>
      </c>
      <c r="I678" s="194">
        <f>IF(_1_5412845612146241046457891017456[[#This Row],[Type]]&gt;0,VLOOKUP(_1_5412845612146241046457891017456[[#This Row],[Type]],Main[[#All],[TYPE]:[UNIT]],'Unit Price'!G$1,FALSE),0)</f>
        <v>0</v>
      </c>
      <c r="J678" s="194">
        <f>IF(_1_5412845612146241046457891017456[[#This Row],[Type]]&gt;0,VLOOKUP(_1_5412845612146241046457891017456[[#This Row],[Type]],Main[[#All],[TYPE]:[UNIT]],'Unit Price'!H$1,FALSE),0)</f>
        <v>0</v>
      </c>
      <c r="K678" s="194">
        <f>IF(_1_5412845612146241046457891017456[[#This Row],[Discount selection]]&gt;0,VLOOKUP(_1_5412845612146241046457891017456[[#This Row],[Discount selection]],'Discount Structure'!$A$2:$B$30,2,"false"),0)</f>
        <v>1</v>
      </c>
      <c r="L678" s="194">
        <f>_1_5412845612146241046457891017456[[#This Row],[LIST $]]*_1_5412845612146241046457891017456[[#This Row],[DISCOUNT]]*_1_5412845612146241046457891017456[[#This Row],[DISCOUNT 2]]</f>
        <v>0</v>
      </c>
      <c r="M678" s="194">
        <f>IF(OR(_1_5412845612146241046457891017456[[#This Row],[UNIT]]&gt;0,_1_5412845612146241046457891017456[[#This Row],[UNIT]]&lt;0),_1_5412845612146241046457891017456[[#This Row],[UNIT]]*_1_5412845612146241046457891017456[[#This Row],[COST]],0)</f>
        <v>0</v>
      </c>
      <c r="N678" s="194">
        <f t="shared" si="10"/>
        <v>1.3</v>
      </c>
      <c r="O678" s="198">
        <f>_1_5412845612146241046457891017456[[#This Row],[TOTAL]]*_1_5412845612146241046457891017456[[#This Row],[MARGIN]]</f>
        <v>0</v>
      </c>
      <c r="R678" s="41"/>
    </row>
    <row r="679" spans="4:18">
      <c r="D679" s="188"/>
      <c r="F679" s="168" t="s">
        <v>6202</v>
      </c>
      <c r="G679" s="193">
        <f>IF(_1_5412845612146241046457891017456[[#This Row],[Type]]&gt;0,VLOOKUP(_1_5412845612146241046457891017456[[#This Row],[Type]],Main[[#All],[TYPE]:[UNIT]],'Unit Price'!C$1,FALSE),0)</f>
        <v>0</v>
      </c>
      <c r="H679" s="197">
        <f>IF(_1_5412845612146241046457891017456[[#This Row],[Type]]&gt;0,VLOOKUP(_1_5412845612146241046457891017456[[#This Row],[Type]],Main[[#All],[TYPE]:[UNIT]],'Unit Price'!D$1,FALSE),0)</f>
        <v>0</v>
      </c>
      <c r="I679" s="194">
        <f>IF(_1_5412845612146241046457891017456[[#This Row],[Type]]&gt;0,VLOOKUP(_1_5412845612146241046457891017456[[#This Row],[Type]],Main[[#All],[TYPE]:[UNIT]],'Unit Price'!G$1,FALSE),0)</f>
        <v>0</v>
      </c>
      <c r="J679" s="194">
        <f>IF(_1_5412845612146241046457891017456[[#This Row],[Type]]&gt;0,VLOOKUP(_1_5412845612146241046457891017456[[#This Row],[Type]],Main[[#All],[TYPE]:[UNIT]],'Unit Price'!H$1,FALSE),0)</f>
        <v>0</v>
      </c>
      <c r="K679" s="194">
        <f>IF(_1_5412845612146241046457891017456[[#This Row],[Discount selection]]&gt;0,VLOOKUP(_1_5412845612146241046457891017456[[#This Row],[Discount selection]],'Discount Structure'!$A$2:$B$30,2,"false"),0)</f>
        <v>1</v>
      </c>
      <c r="L679" s="194">
        <f>_1_5412845612146241046457891017456[[#This Row],[LIST $]]*_1_5412845612146241046457891017456[[#This Row],[DISCOUNT]]*_1_5412845612146241046457891017456[[#This Row],[DISCOUNT 2]]</f>
        <v>0</v>
      </c>
      <c r="M679" s="194">
        <f>IF(OR(_1_5412845612146241046457891017456[[#This Row],[UNIT]]&gt;0,_1_5412845612146241046457891017456[[#This Row],[UNIT]]&lt;0),_1_5412845612146241046457891017456[[#This Row],[UNIT]]*_1_5412845612146241046457891017456[[#This Row],[COST]],0)</f>
        <v>0</v>
      </c>
      <c r="N679" s="194">
        <f t="shared" si="10"/>
        <v>1.3</v>
      </c>
      <c r="O679" s="198">
        <f>_1_5412845612146241046457891017456[[#This Row],[TOTAL]]*_1_5412845612146241046457891017456[[#This Row],[MARGIN]]</f>
        <v>0</v>
      </c>
      <c r="R679" s="41"/>
    </row>
    <row r="680" spans="4:18">
      <c r="D680" s="188"/>
      <c r="F680" s="168" t="s">
        <v>6202</v>
      </c>
      <c r="G680" s="193">
        <f>IF(_1_5412845612146241046457891017456[[#This Row],[Type]]&gt;0,VLOOKUP(_1_5412845612146241046457891017456[[#This Row],[Type]],Main[[#All],[TYPE]:[UNIT]],'Unit Price'!C$1,FALSE),0)</f>
        <v>0</v>
      </c>
      <c r="H680" s="197">
        <f>IF(_1_5412845612146241046457891017456[[#This Row],[Type]]&gt;0,VLOOKUP(_1_5412845612146241046457891017456[[#This Row],[Type]],Main[[#All],[TYPE]:[UNIT]],'Unit Price'!D$1,FALSE),0)</f>
        <v>0</v>
      </c>
      <c r="I680" s="194">
        <f>IF(_1_5412845612146241046457891017456[[#This Row],[Type]]&gt;0,VLOOKUP(_1_5412845612146241046457891017456[[#This Row],[Type]],Main[[#All],[TYPE]:[UNIT]],'Unit Price'!G$1,FALSE),0)</f>
        <v>0</v>
      </c>
      <c r="J680" s="194">
        <f>IF(_1_5412845612146241046457891017456[[#This Row],[Type]]&gt;0,VLOOKUP(_1_5412845612146241046457891017456[[#This Row],[Type]],Main[[#All],[TYPE]:[UNIT]],'Unit Price'!H$1,FALSE),0)</f>
        <v>0</v>
      </c>
      <c r="K680" s="194">
        <f>IF(_1_5412845612146241046457891017456[[#This Row],[Discount selection]]&gt;0,VLOOKUP(_1_5412845612146241046457891017456[[#This Row],[Discount selection]],'Discount Structure'!$A$2:$B$30,2,"false"),0)</f>
        <v>1</v>
      </c>
      <c r="L680" s="194">
        <f>_1_5412845612146241046457891017456[[#This Row],[LIST $]]*_1_5412845612146241046457891017456[[#This Row],[DISCOUNT]]*_1_5412845612146241046457891017456[[#This Row],[DISCOUNT 2]]</f>
        <v>0</v>
      </c>
      <c r="M680" s="194">
        <f>IF(OR(_1_5412845612146241046457891017456[[#This Row],[UNIT]]&gt;0,_1_5412845612146241046457891017456[[#This Row],[UNIT]]&lt;0),_1_5412845612146241046457891017456[[#This Row],[UNIT]]*_1_5412845612146241046457891017456[[#This Row],[COST]],0)</f>
        <v>0</v>
      </c>
      <c r="N680" s="194">
        <f t="shared" si="10"/>
        <v>1.3</v>
      </c>
      <c r="O680" s="198">
        <f>_1_5412845612146241046457891017456[[#This Row],[TOTAL]]*_1_5412845612146241046457891017456[[#This Row],[MARGIN]]</f>
        <v>0</v>
      </c>
      <c r="R680" s="41"/>
    </row>
    <row r="681" spans="4:18">
      <c r="D681" s="188"/>
      <c r="F681" s="168" t="s">
        <v>6202</v>
      </c>
      <c r="G681" s="193">
        <f>IF(_1_5412845612146241046457891017456[[#This Row],[Type]]&gt;0,VLOOKUP(_1_5412845612146241046457891017456[[#This Row],[Type]],Main[[#All],[TYPE]:[UNIT]],'Unit Price'!C$1,FALSE),0)</f>
        <v>0</v>
      </c>
      <c r="H681" s="197">
        <f>IF(_1_5412845612146241046457891017456[[#This Row],[Type]]&gt;0,VLOOKUP(_1_5412845612146241046457891017456[[#This Row],[Type]],Main[[#All],[TYPE]:[UNIT]],'Unit Price'!D$1,FALSE),0)</f>
        <v>0</v>
      </c>
      <c r="I681" s="194">
        <f>IF(_1_5412845612146241046457891017456[[#This Row],[Type]]&gt;0,VLOOKUP(_1_5412845612146241046457891017456[[#This Row],[Type]],Main[[#All],[TYPE]:[UNIT]],'Unit Price'!G$1,FALSE),0)</f>
        <v>0</v>
      </c>
      <c r="J681" s="194">
        <f>IF(_1_5412845612146241046457891017456[[#This Row],[Type]]&gt;0,VLOOKUP(_1_5412845612146241046457891017456[[#This Row],[Type]],Main[[#All],[TYPE]:[UNIT]],'Unit Price'!H$1,FALSE),0)</f>
        <v>0</v>
      </c>
      <c r="K681" s="194">
        <f>IF(_1_5412845612146241046457891017456[[#This Row],[Discount selection]]&gt;0,VLOOKUP(_1_5412845612146241046457891017456[[#This Row],[Discount selection]],'Discount Structure'!$A$2:$B$30,2,"false"),0)</f>
        <v>1</v>
      </c>
      <c r="L681" s="194">
        <f>_1_5412845612146241046457891017456[[#This Row],[LIST $]]*_1_5412845612146241046457891017456[[#This Row],[DISCOUNT]]*_1_5412845612146241046457891017456[[#This Row],[DISCOUNT 2]]</f>
        <v>0</v>
      </c>
      <c r="M681" s="194">
        <f>IF(OR(_1_5412845612146241046457891017456[[#This Row],[UNIT]]&gt;0,_1_5412845612146241046457891017456[[#This Row],[UNIT]]&lt;0),_1_5412845612146241046457891017456[[#This Row],[UNIT]]*_1_5412845612146241046457891017456[[#This Row],[COST]],0)</f>
        <v>0</v>
      </c>
      <c r="N681" s="194">
        <f t="shared" si="10"/>
        <v>1.3</v>
      </c>
      <c r="O681" s="198">
        <f>_1_5412845612146241046457891017456[[#This Row],[TOTAL]]*_1_5412845612146241046457891017456[[#This Row],[MARGIN]]</f>
        <v>0</v>
      </c>
      <c r="R681" s="41"/>
    </row>
    <row r="682" spans="4:18">
      <c r="D682" s="188"/>
      <c r="F682" s="168" t="s">
        <v>6202</v>
      </c>
      <c r="G682" s="193">
        <f>IF(_1_5412845612146241046457891017456[[#This Row],[Type]]&gt;0,VLOOKUP(_1_5412845612146241046457891017456[[#This Row],[Type]],Main[[#All],[TYPE]:[UNIT]],'Unit Price'!C$1,FALSE),0)</f>
        <v>0</v>
      </c>
      <c r="H682" s="197">
        <f>IF(_1_5412845612146241046457891017456[[#This Row],[Type]]&gt;0,VLOOKUP(_1_5412845612146241046457891017456[[#This Row],[Type]],Main[[#All],[TYPE]:[UNIT]],'Unit Price'!D$1,FALSE),0)</f>
        <v>0</v>
      </c>
      <c r="I682" s="194">
        <f>IF(_1_5412845612146241046457891017456[[#This Row],[Type]]&gt;0,VLOOKUP(_1_5412845612146241046457891017456[[#This Row],[Type]],Main[[#All],[TYPE]:[UNIT]],'Unit Price'!G$1,FALSE),0)</f>
        <v>0</v>
      </c>
      <c r="J682" s="194">
        <f>IF(_1_5412845612146241046457891017456[[#This Row],[Type]]&gt;0,VLOOKUP(_1_5412845612146241046457891017456[[#This Row],[Type]],Main[[#All],[TYPE]:[UNIT]],'Unit Price'!H$1,FALSE),0)</f>
        <v>0</v>
      </c>
      <c r="K682" s="194">
        <f>IF(_1_5412845612146241046457891017456[[#This Row],[Discount selection]]&gt;0,VLOOKUP(_1_5412845612146241046457891017456[[#This Row],[Discount selection]],'Discount Structure'!$A$2:$B$30,2,"false"),0)</f>
        <v>1</v>
      </c>
      <c r="L682" s="194">
        <f>_1_5412845612146241046457891017456[[#This Row],[LIST $]]*_1_5412845612146241046457891017456[[#This Row],[DISCOUNT]]*_1_5412845612146241046457891017456[[#This Row],[DISCOUNT 2]]</f>
        <v>0</v>
      </c>
      <c r="M682" s="194">
        <f>IF(OR(_1_5412845612146241046457891017456[[#This Row],[UNIT]]&gt;0,_1_5412845612146241046457891017456[[#This Row],[UNIT]]&lt;0),_1_5412845612146241046457891017456[[#This Row],[UNIT]]*_1_5412845612146241046457891017456[[#This Row],[COST]],0)</f>
        <v>0</v>
      </c>
      <c r="N682" s="194">
        <f t="shared" si="10"/>
        <v>1.3</v>
      </c>
      <c r="O682" s="198">
        <f>_1_5412845612146241046457891017456[[#This Row],[TOTAL]]*_1_5412845612146241046457891017456[[#This Row],[MARGIN]]</f>
        <v>0</v>
      </c>
      <c r="R682" s="41"/>
    </row>
    <row r="683" spans="4:18">
      <c r="D683" s="188"/>
      <c r="F683" s="168" t="s">
        <v>6202</v>
      </c>
      <c r="G683" s="193">
        <f>IF(_1_5412845612146241046457891017456[[#This Row],[Type]]&gt;0,VLOOKUP(_1_5412845612146241046457891017456[[#This Row],[Type]],Main[[#All],[TYPE]:[UNIT]],'Unit Price'!C$1,FALSE),0)</f>
        <v>0</v>
      </c>
      <c r="H683" s="197">
        <f>IF(_1_5412845612146241046457891017456[[#This Row],[Type]]&gt;0,VLOOKUP(_1_5412845612146241046457891017456[[#This Row],[Type]],Main[[#All],[TYPE]:[UNIT]],'Unit Price'!D$1,FALSE),0)</f>
        <v>0</v>
      </c>
      <c r="I683" s="194">
        <f>IF(_1_5412845612146241046457891017456[[#This Row],[Type]]&gt;0,VLOOKUP(_1_5412845612146241046457891017456[[#This Row],[Type]],Main[[#All],[TYPE]:[UNIT]],'Unit Price'!G$1,FALSE),0)</f>
        <v>0</v>
      </c>
      <c r="J683" s="194">
        <f>IF(_1_5412845612146241046457891017456[[#This Row],[Type]]&gt;0,VLOOKUP(_1_5412845612146241046457891017456[[#This Row],[Type]],Main[[#All],[TYPE]:[UNIT]],'Unit Price'!H$1,FALSE),0)</f>
        <v>0</v>
      </c>
      <c r="K683" s="194">
        <f>IF(_1_5412845612146241046457891017456[[#This Row],[Discount selection]]&gt;0,VLOOKUP(_1_5412845612146241046457891017456[[#This Row],[Discount selection]],'Discount Structure'!$A$2:$B$30,2,"false"),0)</f>
        <v>1</v>
      </c>
      <c r="L683" s="194">
        <f>_1_5412845612146241046457891017456[[#This Row],[LIST $]]*_1_5412845612146241046457891017456[[#This Row],[DISCOUNT]]*_1_5412845612146241046457891017456[[#This Row],[DISCOUNT 2]]</f>
        <v>0</v>
      </c>
      <c r="M683" s="194">
        <f>IF(OR(_1_5412845612146241046457891017456[[#This Row],[UNIT]]&gt;0,_1_5412845612146241046457891017456[[#This Row],[UNIT]]&lt;0),_1_5412845612146241046457891017456[[#This Row],[UNIT]]*_1_5412845612146241046457891017456[[#This Row],[COST]],0)</f>
        <v>0</v>
      </c>
      <c r="N683" s="194">
        <f t="shared" si="10"/>
        <v>1.3</v>
      </c>
      <c r="O683" s="198">
        <f>_1_5412845612146241046457891017456[[#This Row],[TOTAL]]*_1_5412845612146241046457891017456[[#This Row],[MARGIN]]</f>
        <v>0</v>
      </c>
      <c r="R683" s="41"/>
    </row>
    <row r="684" spans="4:18">
      <c r="D684" s="188"/>
      <c r="F684" s="168" t="s">
        <v>6202</v>
      </c>
      <c r="G684" s="193">
        <f>IF(_1_5412845612146241046457891017456[[#This Row],[Type]]&gt;0,VLOOKUP(_1_5412845612146241046457891017456[[#This Row],[Type]],Main[[#All],[TYPE]:[UNIT]],'Unit Price'!C$1,FALSE),0)</f>
        <v>0</v>
      </c>
      <c r="H684" s="197">
        <f>IF(_1_5412845612146241046457891017456[[#This Row],[Type]]&gt;0,VLOOKUP(_1_5412845612146241046457891017456[[#This Row],[Type]],Main[[#All],[TYPE]:[UNIT]],'Unit Price'!D$1,FALSE),0)</f>
        <v>0</v>
      </c>
      <c r="I684" s="194">
        <f>IF(_1_5412845612146241046457891017456[[#This Row],[Type]]&gt;0,VLOOKUP(_1_5412845612146241046457891017456[[#This Row],[Type]],Main[[#All],[TYPE]:[UNIT]],'Unit Price'!G$1,FALSE),0)</f>
        <v>0</v>
      </c>
      <c r="J684" s="194">
        <f>IF(_1_5412845612146241046457891017456[[#This Row],[Type]]&gt;0,VLOOKUP(_1_5412845612146241046457891017456[[#This Row],[Type]],Main[[#All],[TYPE]:[UNIT]],'Unit Price'!H$1,FALSE),0)</f>
        <v>0</v>
      </c>
      <c r="K684" s="194">
        <f>IF(_1_5412845612146241046457891017456[[#This Row],[Discount selection]]&gt;0,VLOOKUP(_1_5412845612146241046457891017456[[#This Row],[Discount selection]],'Discount Structure'!$A$2:$B$30,2,"false"),0)</f>
        <v>1</v>
      </c>
      <c r="L684" s="194">
        <f>_1_5412845612146241046457891017456[[#This Row],[LIST $]]*_1_5412845612146241046457891017456[[#This Row],[DISCOUNT]]*_1_5412845612146241046457891017456[[#This Row],[DISCOUNT 2]]</f>
        <v>0</v>
      </c>
      <c r="M684" s="194">
        <f>IF(OR(_1_5412845612146241046457891017456[[#This Row],[UNIT]]&gt;0,_1_5412845612146241046457891017456[[#This Row],[UNIT]]&lt;0),_1_5412845612146241046457891017456[[#This Row],[UNIT]]*_1_5412845612146241046457891017456[[#This Row],[COST]],0)</f>
        <v>0</v>
      </c>
      <c r="N684" s="194">
        <f t="shared" si="10"/>
        <v>1.3</v>
      </c>
      <c r="O684" s="198">
        <f>_1_5412845612146241046457891017456[[#This Row],[TOTAL]]*_1_5412845612146241046457891017456[[#This Row],[MARGIN]]</f>
        <v>0</v>
      </c>
      <c r="R684" s="41"/>
    </row>
    <row r="685" spans="4:18">
      <c r="D685" s="188"/>
      <c r="F685" s="168" t="s">
        <v>6202</v>
      </c>
      <c r="G685" s="193">
        <f>IF(_1_5412845612146241046457891017456[[#This Row],[Type]]&gt;0,VLOOKUP(_1_5412845612146241046457891017456[[#This Row],[Type]],Main[[#All],[TYPE]:[UNIT]],'Unit Price'!C$1,FALSE),0)</f>
        <v>0</v>
      </c>
      <c r="H685" s="197">
        <f>IF(_1_5412845612146241046457891017456[[#This Row],[Type]]&gt;0,VLOOKUP(_1_5412845612146241046457891017456[[#This Row],[Type]],Main[[#All],[TYPE]:[UNIT]],'Unit Price'!D$1,FALSE),0)</f>
        <v>0</v>
      </c>
      <c r="I685" s="194">
        <f>IF(_1_5412845612146241046457891017456[[#This Row],[Type]]&gt;0,VLOOKUP(_1_5412845612146241046457891017456[[#This Row],[Type]],Main[[#All],[TYPE]:[UNIT]],'Unit Price'!G$1,FALSE),0)</f>
        <v>0</v>
      </c>
      <c r="J685" s="194">
        <f>IF(_1_5412845612146241046457891017456[[#This Row],[Type]]&gt;0,VLOOKUP(_1_5412845612146241046457891017456[[#This Row],[Type]],Main[[#All],[TYPE]:[UNIT]],'Unit Price'!H$1,FALSE),0)</f>
        <v>0</v>
      </c>
      <c r="K685" s="194">
        <f>IF(_1_5412845612146241046457891017456[[#This Row],[Discount selection]]&gt;0,VLOOKUP(_1_5412845612146241046457891017456[[#This Row],[Discount selection]],'Discount Structure'!$A$2:$B$30,2,"false"),0)</f>
        <v>1</v>
      </c>
      <c r="L685" s="194">
        <f>_1_5412845612146241046457891017456[[#This Row],[LIST $]]*_1_5412845612146241046457891017456[[#This Row],[DISCOUNT]]*_1_5412845612146241046457891017456[[#This Row],[DISCOUNT 2]]</f>
        <v>0</v>
      </c>
      <c r="M685" s="194">
        <f>IF(OR(_1_5412845612146241046457891017456[[#This Row],[UNIT]]&gt;0,_1_5412845612146241046457891017456[[#This Row],[UNIT]]&lt;0),_1_5412845612146241046457891017456[[#This Row],[UNIT]]*_1_5412845612146241046457891017456[[#This Row],[COST]],0)</f>
        <v>0</v>
      </c>
      <c r="N685" s="194">
        <f t="shared" si="10"/>
        <v>1.3</v>
      </c>
      <c r="O685" s="198">
        <f>_1_5412845612146241046457891017456[[#This Row],[TOTAL]]*_1_5412845612146241046457891017456[[#This Row],[MARGIN]]</f>
        <v>0</v>
      </c>
      <c r="R685" s="41"/>
    </row>
    <row r="686" spans="4:18">
      <c r="D686" s="188"/>
      <c r="F686" s="168" t="s">
        <v>6202</v>
      </c>
      <c r="G686" s="193">
        <f>IF(_1_5412845612146241046457891017456[[#This Row],[Type]]&gt;0,VLOOKUP(_1_5412845612146241046457891017456[[#This Row],[Type]],Main[[#All],[TYPE]:[UNIT]],'Unit Price'!C$1,FALSE),0)</f>
        <v>0</v>
      </c>
      <c r="H686" s="197">
        <f>IF(_1_5412845612146241046457891017456[[#This Row],[Type]]&gt;0,VLOOKUP(_1_5412845612146241046457891017456[[#This Row],[Type]],Main[[#All],[TYPE]:[UNIT]],'Unit Price'!D$1,FALSE),0)</f>
        <v>0</v>
      </c>
      <c r="I686" s="194">
        <f>IF(_1_5412845612146241046457891017456[[#This Row],[Type]]&gt;0,VLOOKUP(_1_5412845612146241046457891017456[[#This Row],[Type]],Main[[#All],[TYPE]:[UNIT]],'Unit Price'!G$1,FALSE),0)</f>
        <v>0</v>
      </c>
      <c r="J686" s="194">
        <f>IF(_1_5412845612146241046457891017456[[#This Row],[Type]]&gt;0,VLOOKUP(_1_5412845612146241046457891017456[[#This Row],[Type]],Main[[#All],[TYPE]:[UNIT]],'Unit Price'!H$1,FALSE),0)</f>
        <v>0</v>
      </c>
      <c r="K686" s="194">
        <f>IF(_1_5412845612146241046457891017456[[#This Row],[Discount selection]]&gt;0,VLOOKUP(_1_5412845612146241046457891017456[[#This Row],[Discount selection]],'Discount Structure'!$A$2:$B$30,2,"false"),0)</f>
        <v>1</v>
      </c>
      <c r="L686" s="194">
        <f>_1_5412845612146241046457891017456[[#This Row],[LIST $]]*_1_5412845612146241046457891017456[[#This Row],[DISCOUNT]]*_1_5412845612146241046457891017456[[#This Row],[DISCOUNT 2]]</f>
        <v>0</v>
      </c>
      <c r="M686" s="194">
        <f>IF(OR(_1_5412845612146241046457891017456[[#This Row],[UNIT]]&gt;0,_1_5412845612146241046457891017456[[#This Row],[UNIT]]&lt;0),_1_5412845612146241046457891017456[[#This Row],[UNIT]]*_1_5412845612146241046457891017456[[#This Row],[COST]],0)</f>
        <v>0</v>
      </c>
      <c r="N686" s="194">
        <f t="shared" si="10"/>
        <v>1.3</v>
      </c>
      <c r="O686" s="198">
        <f>_1_5412845612146241046457891017456[[#This Row],[TOTAL]]*_1_5412845612146241046457891017456[[#This Row],[MARGIN]]</f>
        <v>0</v>
      </c>
      <c r="R686" s="41"/>
    </row>
    <row r="687" spans="4:18">
      <c r="D687" s="188"/>
      <c r="F687" s="168" t="s">
        <v>6202</v>
      </c>
      <c r="G687" s="193">
        <f>IF(_1_5412845612146241046457891017456[[#This Row],[Type]]&gt;0,VLOOKUP(_1_5412845612146241046457891017456[[#This Row],[Type]],Main[[#All],[TYPE]:[UNIT]],'Unit Price'!C$1,FALSE),0)</f>
        <v>0</v>
      </c>
      <c r="H687" s="197">
        <f>IF(_1_5412845612146241046457891017456[[#This Row],[Type]]&gt;0,VLOOKUP(_1_5412845612146241046457891017456[[#This Row],[Type]],Main[[#All],[TYPE]:[UNIT]],'Unit Price'!D$1,FALSE),0)</f>
        <v>0</v>
      </c>
      <c r="I687" s="194">
        <f>IF(_1_5412845612146241046457891017456[[#This Row],[Type]]&gt;0,VLOOKUP(_1_5412845612146241046457891017456[[#This Row],[Type]],Main[[#All],[TYPE]:[UNIT]],'Unit Price'!G$1,FALSE),0)</f>
        <v>0</v>
      </c>
      <c r="J687" s="194">
        <f>IF(_1_5412845612146241046457891017456[[#This Row],[Type]]&gt;0,VLOOKUP(_1_5412845612146241046457891017456[[#This Row],[Type]],Main[[#All],[TYPE]:[UNIT]],'Unit Price'!H$1,FALSE),0)</f>
        <v>0</v>
      </c>
      <c r="K687" s="194">
        <f>IF(_1_5412845612146241046457891017456[[#This Row],[Discount selection]]&gt;0,VLOOKUP(_1_5412845612146241046457891017456[[#This Row],[Discount selection]],'Discount Structure'!$A$2:$B$30,2,"false"),0)</f>
        <v>1</v>
      </c>
      <c r="L687" s="194">
        <f>_1_5412845612146241046457891017456[[#This Row],[LIST $]]*_1_5412845612146241046457891017456[[#This Row],[DISCOUNT]]*_1_5412845612146241046457891017456[[#This Row],[DISCOUNT 2]]</f>
        <v>0</v>
      </c>
      <c r="M687" s="194">
        <f>IF(OR(_1_5412845612146241046457891017456[[#This Row],[UNIT]]&gt;0,_1_5412845612146241046457891017456[[#This Row],[UNIT]]&lt;0),_1_5412845612146241046457891017456[[#This Row],[UNIT]]*_1_5412845612146241046457891017456[[#This Row],[COST]],0)</f>
        <v>0</v>
      </c>
      <c r="N687" s="194">
        <f t="shared" si="10"/>
        <v>1.3</v>
      </c>
      <c r="O687" s="198">
        <f>_1_5412845612146241046457891017456[[#This Row],[TOTAL]]*_1_5412845612146241046457891017456[[#This Row],[MARGIN]]</f>
        <v>0</v>
      </c>
      <c r="R687" s="41"/>
    </row>
    <row r="688" spans="4:18">
      <c r="D688" s="188"/>
      <c r="F688" s="168" t="s">
        <v>6202</v>
      </c>
      <c r="G688" s="193">
        <f>IF(_1_5412845612146241046457891017456[[#This Row],[Type]]&gt;0,VLOOKUP(_1_5412845612146241046457891017456[[#This Row],[Type]],Main[[#All],[TYPE]:[UNIT]],'Unit Price'!C$1,FALSE),0)</f>
        <v>0</v>
      </c>
      <c r="H688" s="197">
        <f>IF(_1_5412845612146241046457891017456[[#This Row],[Type]]&gt;0,VLOOKUP(_1_5412845612146241046457891017456[[#This Row],[Type]],Main[[#All],[TYPE]:[UNIT]],'Unit Price'!D$1,FALSE),0)</f>
        <v>0</v>
      </c>
      <c r="I688" s="194">
        <f>IF(_1_5412845612146241046457891017456[[#This Row],[Type]]&gt;0,VLOOKUP(_1_5412845612146241046457891017456[[#This Row],[Type]],Main[[#All],[TYPE]:[UNIT]],'Unit Price'!G$1,FALSE),0)</f>
        <v>0</v>
      </c>
      <c r="J688" s="194">
        <f>IF(_1_5412845612146241046457891017456[[#This Row],[Type]]&gt;0,VLOOKUP(_1_5412845612146241046457891017456[[#This Row],[Type]],Main[[#All],[TYPE]:[UNIT]],'Unit Price'!H$1,FALSE),0)</f>
        <v>0</v>
      </c>
      <c r="K688" s="194">
        <f>IF(_1_5412845612146241046457891017456[[#This Row],[Discount selection]]&gt;0,VLOOKUP(_1_5412845612146241046457891017456[[#This Row],[Discount selection]],'Discount Structure'!$A$2:$B$30,2,"false"),0)</f>
        <v>1</v>
      </c>
      <c r="L688" s="194">
        <f>_1_5412845612146241046457891017456[[#This Row],[LIST $]]*_1_5412845612146241046457891017456[[#This Row],[DISCOUNT]]*_1_5412845612146241046457891017456[[#This Row],[DISCOUNT 2]]</f>
        <v>0</v>
      </c>
      <c r="M688" s="194">
        <f>IF(OR(_1_5412845612146241046457891017456[[#This Row],[UNIT]]&gt;0,_1_5412845612146241046457891017456[[#This Row],[UNIT]]&lt;0),_1_5412845612146241046457891017456[[#This Row],[UNIT]]*_1_5412845612146241046457891017456[[#This Row],[COST]],0)</f>
        <v>0</v>
      </c>
      <c r="N688" s="194">
        <f t="shared" si="10"/>
        <v>1.3</v>
      </c>
      <c r="O688" s="198">
        <f>_1_5412845612146241046457891017456[[#This Row],[TOTAL]]*_1_5412845612146241046457891017456[[#This Row],[MARGIN]]</f>
        <v>0</v>
      </c>
      <c r="R688" s="41"/>
    </row>
    <row r="689" spans="4:18">
      <c r="D689" s="188"/>
      <c r="F689" s="168" t="s">
        <v>6202</v>
      </c>
      <c r="G689" s="193">
        <f>IF(_1_5412845612146241046457891017456[[#This Row],[Type]]&gt;0,VLOOKUP(_1_5412845612146241046457891017456[[#This Row],[Type]],Main[[#All],[TYPE]:[UNIT]],'Unit Price'!C$1,FALSE),0)</f>
        <v>0</v>
      </c>
      <c r="H689" s="197">
        <f>IF(_1_5412845612146241046457891017456[[#This Row],[Type]]&gt;0,VLOOKUP(_1_5412845612146241046457891017456[[#This Row],[Type]],Main[[#All],[TYPE]:[UNIT]],'Unit Price'!D$1,FALSE),0)</f>
        <v>0</v>
      </c>
      <c r="I689" s="194">
        <f>IF(_1_5412845612146241046457891017456[[#This Row],[Type]]&gt;0,VLOOKUP(_1_5412845612146241046457891017456[[#This Row],[Type]],Main[[#All],[TYPE]:[UNIT]],'Unit Price'!G$1,FALSE),0)</f>
        <v>0</v>
      </c>
      <c r="J689" s="194">
        <f>IF(_1_5412845612146241046457891017456[[#This Row],[Type]]&gt;0,VLOOKUP(_1_5412845612146241046457891017456[[#This Row],[Type]],Main[[#All],[TYPE]:[UNIT]],'Unit Price'!H$1,FALSE),0)</f>
        <v>0</v>
      </c>
      <c r="K689" s="194">
        <f>IF(_1_5412845612146241046457891017456[[#This Row],[Discount selection]]&gt;0,VLOOKUP(_1_5412845612146241046457891017456[[#This Row],[Discount selection]],'Discount Structure'!$A$2:$B$30,2,"false"),0)</f>
        <v>1</v>
      </c>
      <c r="L689" s="194">
        <f>_1_5412845612146241046457891017456[[#This Row],[LIST $]]*_1_5412845612146241046457891017456[[#This Row],[DISCOUNT]]*_1_5412845612146241046457891017456[[#This Row],[DISCOUNT 2]]</f>
        <v>0</v>
      </c>
      <c r="M689" s="194">
        <f>IF(OR(_1_5412845612146241046457891017456[[#This Row],[UNIT]]&gt;0,_1_5412845612146241046457891017456[[#This Row],[UNIT]]&lt;0),_1_5412845612146241046457891017456[[#This Row],[UNIT]]*_1_5412845612146241046457891017456[[#This Row],[COST]],0)</f>
        <v>0</v>
      </c>
      <c r="N689" s="194">
        <f t="shared" si="10"/>
        <v>1.3</v>
      </c>
      <c r="O689" s="198">
        <f>_1_5412845612146241046457891017456[[#This Row],[TOTAL]]*_1_5412845612146241046457891017456[[#This Row],[MARGIN]]</f>
        <v>0</v>
      </c>
      <c r="R689" s="41"/>
    </row>
    <row r="690" spans="4:18">
      <c r="D690" s="188"/>
      <c r="F690" s="168" t="s">
        <v>6202</v>
      </c>
      <c r="G690" s="193">
        <f>IF(_1_5412845612146241046457891017456[[#This Row],[Type]]&gt;0,VLOOKUP(_1_5412845612146241046457891017456[[#This Row],[Type]],Main[[#All],[TYPE]:[UNIT]],'Unit Price'!C$1,FALSE),0)</f>
        <v>0</v>
      </c>
      <c r="H690" s="197">
        <f>IF(_1_5412845612146241046457891017456[[#This Row],[Type]]&gt;0,VLOOKUP(_1_5412845612146241046457891017456[[#This Row],[Type]],Main[[#All],[TYPE]:[UNIT]],'Unit Price'!D$1,FALSE),0)</f>
        <v>0</v>
      </c>
      <c r="I690" s="194">
        <f>IF(_1_5412845612146241046457891017456[[#This Row],[Type]]&gt;0,VLOOKUP(_1_5412845612146241046457891017456[[#This Row],[Type]],Main[[#All],[TYPE]:[UNIT]],'Unit Price'!G$1,FALSE),0)</f>
        <v>0</v>
      </c>
      <c r="J690" s="194">
        <f>IF(_1_5412845612146241046457891017456[[#This Row],[Type]]&gt;0,VLOOKUP(_1_5412845612146241046457891017456[[#This Row],[Type]],Main[[#All],[TYPE]:[UNIT]],'Unit Price'!H$1,FALSE),0)</f>
        <v>0</v>
      </c>
      <c r="K690" s="194">
        <f>IF(_1_5412845612146241046457891017456[[#This Row],[Discount selection]]&gt;0,VLOOKUP(_1_5412845612146241046457891017456[[#This Row],[Discount selection]],'Discount Structure'!$A$2:$B$30,2,"false"),0)</f>
        <v>1</v>
      </c>
      <c r="L690" s="194">
        <f>_1_5412845612146241046457891017456[[#This Row],[LIST $]]*_1_5412845612146241046457891017456[[#This Row],[DISCOUNT]]*_1_5412845612146241046457891017456[[#This Row],[DISCOUNT 2]]</f>
        <v>0</v>
      </c>
      <c r="M690" s="194">
        <f>IF(OR(_1_5412845612146241046457891017456[[#This Row],[UNIT]]&gt;0,_1_5412845612146241046457891017456[[#This Row],[UNIT]]&lt;0),_1_5412845612146241046457891017456[[#This Row],[UNIT]]*_1_5412845612146241046457891017456[[#This Row],[COST]],0)</f>
        <v>0</v>
      </c>
      <c r="N690" s="194">
        <f t="shared" si="10"/>
        <v>1.3</v>
      </c>
      <c r="O690" s="198">
        <f>_1_5412845612146241046457891017456[[#This Row],[TOTAL]]*_1_5412845612146241046457891017456[[#This Row],[MARGIN]]</f>
        <v>0</v>
      </c>
      <c r="R690" s="41"/>
    </row>
    <row r="691" spans="4:18">
      <c r="D691" s="188"/>
      <c r="F691" s="168" t="s">
        <v>6202</v>
      </c>
      <c r="G691" s="193">
        <f>IF(_1_5412845612146241046457891017456[[#This Row],[Type]]&gt;0,VLOOKUP(_1_5412845612146241046457891017456[[#This Row],[Type]],Main[[#All],[TYPE]:[UNIT]],'Unit Price'!C$1,FALSE),0)</f>
        <v>0</v>
      </c>
      <c r="H691" s="197">
        <f>IF(_1_5412845612146241046457891017456[[#This Row],[Type]]&gt;0,VLOOKUP(_1_5412845612146241046457891017456[[#This Row],[Type]],Main[[#All],[TYPE]:[UNIT]],'Unit Price'!D$1,FALSE),0)</f>
        <v>0</v>
      </c>
      <c r="I691" s="194">
        <f>IF(_1_5412845612146241046457891017456[[#This Row],[Type]]&gt;0,VLOOKUP(_1_5412845612146241046457891017456[[#This Row],[Type]],Main[[#All],[TYPE]:[UNIT]],'Unit Price'!G$1,FALSE),0)</f>
        <v>0</v>
      </c>
      <c r="J691" s="194">
        <f>IF(_1_5412845612146241046457891017456[[#This Row],[Type]]&gt;0,VLOOKUP(_1_5412845612146241046457891017456[[#This Row],[Type]],Main[[#All],[TYPE]:[UNIT]],'Unit Price'!H$1,FALSE),0)</f>
        <v>0</v>
      </c>
      <c r="K691" s="194">
        <f>IF(_1_5412845612146241046457891017456[[#This Row],[Discount selection]]&gt;0,VLOOKUP(_1_5412845612146241046457891017456[[#This Row],[Discount selection]],'Discount Structure'!$A$2:$B$30,2,"false"),0)</f>
        <v>1</v>
      </c>
      <c r="L691" s="194">
        <f>_1_5412845612146241046457891017456[[#This Row],[LIST $]]*_1_5412845612146241046457891017456[[#This Row],[DISCOUNT]]*_1_5412845612146241046457891017456[[#This Row],[DISCOUNT 2]]</f>
        <v>0</v>
      </c>
      <c r="M691" s="194">
        <f>IF(OR(_1_5412845612146241046457891017456[[#This Row],[UNIT]]&gt;0,_1_5412845612146241046457891017456[[#This Row],[UNIT]]&lt;0),_1_5412845612146241046457891017456[[#This Row],[UNIT]]*_1_5412845612146241046457891017456[[#This Row],[COST]],0)</f>
        <v>0</v>
      </c>
      <c r="N691" s="194">
        <f t="shared" si="10"/>
        <v>1.3</v>
      </c>
      <c r="O691" s="198">
        <f>_1_5412845612146241046457891017456[[#This Row],[TOTAL]]*_1_5412845612146241046457891017456[[#This Row],[MARGIN]]</f>
        <v>0</v>
      </c>
      <c r="R691" s="41"/>
    </row>
    <row r="692" spans="4:18">
      <c r="D692" s="188"/>
      <c r="F692" s="168" t="s">
        <v>6202</v>
      </c>
      <c r="G692" s="193">
        <f>IF(_1_5412845612146241046457891017456[[#This Row],[Type]]&gt;0,VLOOKUP(_1_5412845612146241046457891017456[[#This Row],[Type]],Main[[#All],[TYPE]:[UNIT]],'Unit Price'!C$1,FALSE),0)</f>
        <v>0</v>
      </c>
      <c r="H692" s="197">
        <f>IF(_1_5412845612146241046457891017456[[#This Row],[Type]]&gt;0,VLOOKUP(_1_5412845612146241046457891017456[[#This Row],[Type]],Main[[#All],[TYPE]:[UNIT]],'Unit Price'!D$1,FALSE),0)</f>
        <v>0</v>
      </c>
      <c r="I692" s="194">
        <f>IF(_1_5412845612146241046457891017456[[#This Row],[Type]]&gt;0,VLOOKUP(_1_5412845612146241046457891017456[[#This Row],[Type]],Main[[#All],[TYPE]:[UNIT]],'Unit Price'!G$1,FALSE),0)</f>
        <v>0</v>
      </c>
      <c r="J692" s="194">
        <f>IF(_1_5412845612146241046457891017456[[#This Row],[Type]]&gt;0,VLOOKUP(_1_5412845612146241046457891017456[[#This Row],[Type]],Main[[#All],[TYPE]:[UNIT]],'Unit Price'!H$1,FALSE),0)</f>
        <v>0</v>
      </c>
      <c r="K692" s="194">
        <f>IF(_1_5412845612146241046457891017456[[#This Row],[Discount selection]]&gt;0,VLOOKUP(_1_5412845612146241046457891017456[[#This Row],[Discount selection]],'Discount Structure'!$A$2:$B$30,2,"false"),0)</f>
        <v>1</v>
      </c>
      <c r="L692" s="194">
        <f>_1_5412845612146241046457891017456[[#This Row],[LIST $]]*_1_5412845612146241046457891017456[[#This Row],[DISCOUNT]]*_1_5412845612146241046457891017456[[#This Row],[DISCOUNT 2]]</f>
        <v>0</v>
      </c>
      <c r="M692" s="194">
        <f>IF(OR(_1_5412845612146241046457891017456[[#This Row],[UNIT]]&gt;0,_1_5412845612146241046457891017456[[#This Row],[UNIT]]&lt;0),_1_5412845612146241046457891017456[[#This Row],[UNIT]]*_1_5412845612146241046457891017456[[#This Row],[COST]],0)</f>
        <v>0</v>
      </c>
      <c r="N692" s="194">
        <f t="shared" si="10"/>
        <v>1.3</v>
      </c>
      <c r="O692" s="198">
        <f>_1_5412845612146241046457891017456[[#This Row],[TOTAL]]*_1_5412845612146241046457891017456[[#This Row],[MARGIN]]</f>
        <v>0</v>
      </c>
      <c r="R692" s="41"/>
    </row>
    <row r="693" spans="4:18">
      <c r="D693" s="188"/>
      <c r="F693" s="168" t="s">
        <v>6202</v>
      </c>
      <c r="G693" s="193">
        <f>IF(_1_5412845612146241046457891017456[[#This Row],[Type]]&gt;0,VLOOKUP(_1_5412845612146241046457891017456[[#This Row],[Type]],Main[[#All],[TYPE]:[UNIT]],'Unit Price'!C$1,FALSE),0)</f>
        <v>0</v>
      </c>
      <c r="H693" s="197">
        <f>IF(_1_5412845612146241046457891017456[[#This Row],[Type]]&gt;0,VLOOKUP(_1_5412845612146241046457891017456[[#This Row],[Type]],Main[[#All],[TYPE]:[UNIT]],'Unit Price'!D$1,FALSE),0)</f>
        <v>0</v>
      </c>
      <c r="I693" s="194">
        <f>IF(_1_5412845612146241046457891017456[[#This Row],[Type]]&gt;0,VLOOKUP(_1_5412845612146241046457891017456[[#This Row],[Type]],Main[[#All],[TYPE]:[UNIT]],'Unit Price'!G$1,FALSE),0)</f>
        <v>0</v>
      </c>
      <c r="J693" s="194">
        <f>IF(_1_5412845612146241046457891017456[[#This Row],[Type]]&gt;0,VLOOKUP(_1_5412845612146241046457891017456[[#This Row],[Type]],Main[[#All],[TYPE]:[UNIT]],'Unit Price'!H$1,FALSE),0)</f>
        <v>0</v>
      </c>
      <c r="K693" s="194">
        <f>IF(_1_5412845612146241046457891017456[[#This Row],[Discount selection]]&gt;0,VLOOKUP(_1_5412845612146241046457891017456[[#This Row],[Discount selection]],'Discount Structure'!$A$2:$B$30,2,"false"),0)</f>
        <v>1</v>
      </c>
      <c r="L693" s="194">
        <f>_1_5412845612146241046457891017456[[#This Row],[LIST $]]*_1_5412845612146241046457891017456[[#This Row],[DISCOUNT]]*_1_5412845612146241046457891017456[[#This Row],[DISCOUNT 2]]</f>
        <v>0</v>
      </c>
      <c r="M693" s="194">
        <f>IF(OR(_1_5412845612146241046457891017456[[#This Row],[UNIT]]&gt;0,_1_5412845612146241046457891017456[[#This Row],[UNIT]]&lt;0),_1_5412845612146241046457891017456[[#This Row],[UNIT]]*_1_5412845612146241046457891017456[[#This Row],[COST]],0)</f>
        <v>0</v>
      </c>
      <c r="N693" s="194">
        <f t="shared" si="10"/>
        <v>1.3</v>
      </c>
      <c r="O693" s="198">
        <f>_1_5412845612146241046457891017456[[#This Row],[TOTAL]]*_1_5412845612146241046457891017456[[#This Row],[MARGIN]]</f>
        <v>0</v>
      </c>
      <c r="R693" s="41"/>
    </row>
    <row r="694" spans="4:18">
      <c r="D694" s="188"/>
      <c r="F694" s="168" t="s">
        <v>6202</v>
      </c>
      <c r="G694" s="193">
        <f>IF(_1_5412845612146241046457891017456[[#This Row],[Type]]&gt;0,VLOOKUP(_1_5412845612146241046457891017456[[#This Row],[Type]],Main[[#All],[TYPE]:[UNIT]],'Unit Price'!C$1,FALSE),0)</f>
        <v>0</v>
      </c>
      <c r="H694" s="197">
        <f>IF(_1_5412845612146241046457891017456[[#This Row],[Type]]&gt;0,VLOOKUP(_1_5412845612146241046457891017456[[#This Row],[Type]],Main[[#All],[TYPE]:[UNIT]],'Unit Price'!D$1,FALSE),0)</f>
        <v>0</v>
      </c>
      <c r="I694" s="194">
        <f>IF(_1_5412845612146241046457891017456[[#This Row],[Type]]&gt;0,VLOOKUP(_1_5412845612146241046457891017456[[#This Row],[Type]],Main[[#All],[TYPE]:[UNIT]],'Unit Price'!G$1,FALSE),0)</f>
        <v>0</v>
      </c>
      <c r="J694" s="194">
        <f>IF(_1_5412845612146241046457891017456[[#This Row],[Type]]&gt;0,VLOOKUP(_1_5412845612146241046457891017456[[#This Row],[Type]],Main[[#All],[TYPE]:[UNIT]],'Unit Price'!H$1,FALSE),0)</f>
        <v>0</v>
      </c>
      <c r="K694" s="194">
        <f>IF(_1_5412845612146241046457891017456[[#This Row],[Discount selection]]&gt;0,VLOOKUP(_1_5412845612146241046457891017456[[#This Row],[Discount selection]],'Discount Structure'!$A$2:$B$30,2,"false"),0)</f>
        <v>1</v>
      </c>
      <c r="L694" s="194">
        <f>_1_5412845612146241046457891017456[[#This Row],[LIST $]]*_1_5412845612146241046457891017456[[#This Row],[DISCOUNT]]*_1_5412845612146241046457891017456[[#This Row],[DISCOUNT 2]]</f>
        <v>0</v>
      </c>
      <c r="M694" s="194">
        <f>IF(OR(_1_5412845612146241046457891017456[[#This Row],[UNIT]]&gt;0,_1_5412845612146241046457891017456[[#This Row],[UNIT]]&lt;0),_1_5412845612146241046457891017456[[#This Row],[UNIT]]*_1_5412845612146241046457891017456[[#This Row],[COST]],0)</f>
        <v>0</v>
      </c>
      <c r="N694" s="194">
        <f t="shared" si="10"/>
        <v>1.3</v>
      </c>
      <c r="O694" s="198">
        <f>_1_5412845612146241046457891017456[[#This Row],[TOTAL]]*_1_5412845612146241046457891017456[[#This Row],[MARGIN]]</f>
        <v>0</v>
      </c>
      <c r="R694" s="41"/>
    </row>
    <row r="695" spans="4:18">
      <c r="D695" s="188"/>
      <c r="F695" s="168" t="s">
        <v>6202</v>
      </c>
      <c r="G695" s="193">
        <f>IF(_1_5412845612146241046457891017456[[#This Row],[Type]]&gt;0,VLOOKUP(_1_5412845612146241046457891017456[[#This Row],[Type]],Main[[#All],[TYPE]:[UNIT]],'Unit Price'!C$1,FALSE),0)</f>
        <v>0</v>
      </c>
      <c r="H695" s="197">
        <f>IF(_1_5412845612146241046457891017456[[#This Row],[Type]]&gt;0,VLOOKUP(_1_5412845612146241046457891017456[[#This Row],[Type]],Main[[#All],[TYPE]:[UNIT]],'Unit Price'!D$1,FALSE),0)</f>
        <v>0</v>
      </c>
      <c r="I695" s="194">
        <f>IF(_1_5412845612146241046457891017456[[#This Row],[Type]]&gt;0,VLOOKUP(_1_5412845612146241046457891017456[[#This Row],[Type]],Main[[#All],[TYPE]:[UNIT]],'Unit Price'!G$1,FALSE),0)</f>
        <v>0</v>
      </c>
      <c r="J695" s="194">
        <f>IF(_1_5412845612146241046457891017456[[#This Row],[Type]]&gt;0,VLOOKUP(_1_5412845612146241046457891017456[[#This Row],[Type]],Main[[#All],[TYPE]:[UNIT]],'Unit Price'!H$1,FALSE),0)</f>
        <v>0</v>
      </c>
      <c r="K695" s="194">
        <f>IF(_1_5412845612146241046457891017456[[#This Row],[Discount selection]]&gt;0,VLOOKUP(_1_5412845612146241046457891017456[[#This Row],[Discount selection]],'Discount Structure'!$A$2:$B$30,2,"false"),0)</f>
        <v>1</v>
      </c>
      <c r="L695" s="194">
        <f>_1_5412845612146241046457891017456[[#This Row],[LIST $]]*_1_5412845612146241046457891017456[[#This Row],[DISCOUNT]]*_1_5412845612146241046457891017456[[#This Row],[DISCOUNT 2]]</f>
        <v>0</v>
      </c>
      <c r="M695" s="194">
        <f>IF(OR(_1_5412845612146241046457891017456[[#This Row],[UNIT]]&gt;0,_1_5412845612146241046457891017456[[#This Row],[UNIT]]&lt;0),_1_5412845612146241046457891017456[[#This Row],[UNIT]]*_1_5412845612146241046457891017456[[#This Row],[COST]],0)</f>
        <v>0</v>
      </c>
      <c r="N695" s="194">
        <f t="shared" si="10"/>
        <v>1.3</v>
      </c>
      <c r="O695" s="198">
        <f>_1_5412845612146241046457891017456[[#This Row],[TOTAL]]*_1_5412845612146241046457891017456[[#This Row],[MARGIN]]</f>
        <v>0</v>
      </c>
      <c r="R695" s="41"/>
    </row>
    <row r="696" spans="4:18">
      <c r="D696" s="188"/>
      <c r="F696" s="168" t="s">
        <v>6202</v>
      </c>
      <c r="G696" s="193">
        <f>IF(_1_5412845612146241046457891017456[[#This Row],[Type]]&gt;0,VLOOKUP(_1_5412845612146241046457891017456[[#This Row],[Type]],Main[[#All],[TYPE]:[UNIT]],'Unit Price'!C$1,FALSE),0)</f>
        <v>0</v>
      </c>
      <c r="H696" s="197">
        <f>IF(_1_5412845612146241046457891017456[[#This Row],[Type]]&gt;0,VLOOKUP(_1_5412845612146241046457891017456[[#This Row],[Type]],Main[[#All],[TYPE]:[UNIT]],'Unit Price'!D$1,FALSE),0)</f>
        <v>0</v>
      </c>
      <c r="I696" s="194">
        <f>IF(_1_5412845612146241046457891017456[[#This Row],[Type]]&gt;0,VLOOKUP(_1_5412845612146241046457891017456[[#This Row],[Type]],Main[[#All],[TYPE]:[UNIT]],'Unit Price'!G$1,FALSE),0)</f>
        <v>0</v>
      </c>
      <c r="J696" s="194">
        <f>IF(_1_5412845612146241046457891017456[[#This Row],[Type]]&gt;0,VLOOKUP(_1_5412845612146241046457891017456[[#This Row],[Type]],Main[[#All],[TYPE]:[UNIT]],'Unit Price'!H$1,FALSE),0)</f>
        <v>0</v>
      </c>
      <c r="K696" s="194">
        <f>IF(_1_5412845612146241046457891017456[[#This Row],[Discount selection]]&gt;0,VLOOKUP(_1_5412845612146241046457891017456[[#This Row],[Discount selection]],'Discount Structure'!$A$2:$B$30,2,"false"),0)</f>
        <v>1</v>
      </c>
      <c r="L696" s="194">
        <f>_1_5412845612146241046457891017456[[#This Row],[LIST $]]*_1_5412845612146241046457891017456[[#This Row],[DISCOUNT]]*_1_5412845612146241046457891017456[[#This Row],[DISCOUNT 2]]</f>
        <v>0</v>
      </c>
      <c r="M696" s="194">
        <f>IF(OR(_1_5412845612146241046457891017456[[#This Row],[UNIT]]&gt;0,_1_5412845612146241046457891017456[[#This Row],[UNIT]]&lt;0),_1_5412845612146241046457891017456[[#This Row],[UNIT]]*_1_5412845612146241046457891017456[[#This Row],[COST]],0)</f>
        <v>0</v>
      </c>
      <c r="N696" s="194">
        <f t="shared" si="10"/>
        <v>1.3</v>
      </c>
      <c r="O696" s="198">
        <f>_1_5412845612146241046457891017456[[#This Row],[TOTAL]]*_1_5412845612146241046457891017456[[#This Row],[MARGIN]]</f>
        <v>0</v>
      </c>
      <c r="R696" s="41"/>
    </row>
    <row r="697" spans="4:18">
      <c r="D697" s="188"/>
      <c r="F697" s="168" t="s">
        <v>6202</v>
      </c>
      <c r="G697" s="193">
        <f>IF(_1_5412845612146241046457891017456[[#This Row],[Type]]&gt;0,VLOOKUP(_1_5412845612146241046457891017456[[#This Row],[Type]],Main[[#All],[TYPE]:[UNIT]],'Unit Price'!C$1,FALSE),0)</f>
        <v>0</v>
      </c>
      <c r="H697" s="197">
        <f>IF(_1_5412845612146241046457891017456[[#This Row],[Type]]&gt;0,VLOOKUP(_1_5412845612146241046457891017456[[#This Row],[Type]],Main[[#All],[TYPE]:[UNIT]],'Unit Price'!D$1,FALSE),0)</f>
        <v>0</v>
      </c>
      <c r="I697" s="194">
        <f>IF(_1_5412845612146241046457891017456[[#This Row],[Type]]&gt;0,VLOOKUP(_1_5412845612146241046457891017456[[#This Row],[Type]],Main[[#All],[TYPE]:[UNIT]],'Unit Price'!G$1,FALSE),0)</f>
        <v>0</v>
      </c>
      <c r="J697" s="194">
        <f>IF(_1_5412845612146241046457891017456[[#This Row],[Type]]&gt;0,VLOOKUP(_1_5412845612146241046457891017456[[#This Row],[Type]],Main[[#All],[TYPE]:[UNIT]],'Unit Price'!H$1,FALSE),0)</f>
        <v>0</v>
      </c>
      <c r="K697" s="194">
        <f>IF(_1_5412845612146241046457891017456[[#This Row],[Discount selection]]&gt;0,VLOOKUP(_1_5412845612146241046457891017456[[#This Row],[Discount selection]],'Discount Structure'!$A$2:$B$30,2,"false"),0)</f>
        <v>1</v>
      </c>
      <c r="L697" s="194">
        <f>_1_5412845612146241046457891017456[[#This Row],[LIST $]]*_1_5412845612146241046457891017456[[#This Row],[DISCOUNT]]*_1_5412845612146241046457891017456[[#This Row],[DISCOUNT 2]]</f>
        <v>0</v>
      </c>
      <c r="M697" s="194">
        <f>IF(OR(_1_5412845612146241046457891017456[[#This Row],[UNIT]]&gt;0,_1_5412845612146241046457891017456[[#This Row],[UNIT]]&lt;0),_1_5412845612146241046457891017456[[#This Row],[UNIT]]*_1_5412845612146241046457891017456[[#This Row],[COST]],0)</f>
        <v>0</v>
      </c>
      <c r="N697" s="194">
        <f t="shared" si="10"/>
        <v>1.3</v>
      </c>
      <c r="O697" s="198">
        <f>_1_5412845612146241046457891017456[[#This Row],[TOTAL]]*_1_5412845612146241046457891017456[[#This Row],[MARGIN]]</f>
        <v>0</v>
      </c>
      <c r="R697" s="41"/>
    </row>
    <row r="698" spans="4:18">
      <c r="D698" s="188"/>
      <c r="F698" s="168" t="s">
        <v>6202</v>
      </c>
      <c r="G698" s="193">
        <f>IF(_1_5412845612146241046457891017456[[#This Row],[Type]]&gt;0,VLOOKUP(_1_5412845612146241046457891017456[[#This Row],[Type]],Main[[#All],[TYPE]:[UNIT]],'Unit Price'!C$1,FALSE),0)</f>
        <v>0</v>
      </c>
      <c r="H698" s="197">
        <f>IF(_1_5412845612146241046457891017456[[#This Row],[Type]]&gt;0,VLOOKUP(_1_5412845612146241046457891017456[[#This Row],[Type]],Main[[#All],[TYPE]:[UNIT]],'Unit Price'!D$1,FALSE),0)</f>
        <v>0</v>
      </c>
      <c r="I698" s="194">
        <f>IF(_1_5412845612146241046457891017456[[#This Row],[Type]]&gt;0,VLOOKUP(_1_5412845612146241046457891017456[[#This Row],[Type]],Main[[#All],[TYPE]:[UNIT]],'Unit Price'!G$1,FALSE),0)</f>
        <v>0</v>
      </c>
      <c r="J698" s="194">
        <f>IF(_1_5412845612146241046457891017456[[#This Row],[Type]]&gt;0,VLOOKUP(_1_5412845612146241046457891017456[[#This Row],[Type]],Main[[#All],[TYPE]:[UNIT]],'Unit Price'!H$1,FALSE),0)</f>
        <v>0</v>
      </c>
      <c r="K698" s="194">
        <f>IF(_1_5412845612146241046457891017456[[#This Row],[Discount selection]]&gt;0,VLOOKUP(_1_5412845612146241046457891017456[[#This Row],[Discount selection]],'Discount Structure'!$A$2:$B$30,2,"false"),0)</f>
        <v>1</v>
      </c>
      <c r="L698" s="194">
        <f>_1_5412845612146241046457891017456[[#This Row],[LIST $]]*_1_5412845612146241046457891017456[[#This Row],[DISCOUNT]]*_1_5412845612146241046457891017456[[#This Row],[DISCOUNT 2]]</f>
        <v>0</v>
      </c>
      <c r="M698" s="194">
        <f>IF(OR(_1_5412845612146241046457891017456[[#This Row],[UNIT]]&gt;0,_1_5412845612146241046457891017456[[#This Row],[UNIT]]&lt;0),_1_5412845612146241046457891017456[[#This Row],[UNIT]]*_1_5412845612146241046457891017456[[#This Row],[COST]],0)</f>
        <v>0</v>
      </c>
      <c r="N698" s="194">
        <f t="shared" si="10"/>
        <v>1.3</v>
      </c>
      <c r="O698" s="198">
        <f>_1_5412845612146241046457891017456[[#This Row],[TOTAL]]*_1_5412845612146241046457891017456[[#This Row],[MARGIN]]</f>
        <v>0</v>
      </c>
      <c r="R698" s="41"/>
    </row>
    <row r="699" spans="4:18">
      <c r="D699" s="188"/>
      <c r="F699" s="168" t="s">
        <v>6202</v>
      </c>
      <c r="G699" s="193">
        <f>IF(_1_5412845612146241046457891017456[[#This Row],[Type]]&gt;0,VLOOKUP(_1_5412845612146241046457891017456[[#This Row],[Type]],Main[[#All],[TYPE]:[UNIT]],'Unit Price'!C$1,FALSE),0)</f>
        <v>0</v>
      </c>
      <c r="H699" s="197">
        <f>IF(_1_5412845612146241046457891017456[[#This Row],[Type]]&gt;0,VLOOKUP(_1_5412845612146241046457891017456[[#This Row],[Type]],Main[[#All],[TYPE]:[UNIT]],'Unit Price'!D$1,FALSE),0)</f>
        <v>0</v>
      </c>
      <c r="I699" s="194">
        <f>IF(_1_5412845612146241046457891017456[[#This Row],[Type]]&gt;0,VLOOKUP(_1_5412845612146241046457891017456[[#This Row],[Type]],Main[[#All],[TYPE]:[UNIT]],'Unit Price'!G$1,FALSE),0)</f>
        <v>0</v>
      </c>
      <c r="J699" s="194">
        <f>IF(_1_5412845612146241046457891017456[[#This Row],[Type]]&gt;0,VLOOKUP(_1_5412845612146241046457891017456[[#This Row],[Type]],Main[[#All],[TYPE]:[UNIT]],'Unit Price'!H$1,FALSE),0)</f>
        <v>0</v>
      </c>
      <c r="K699" s="194">
        <f>IF(_1_5412845612146241046457891017456[[#This Row],[Discount selection]]&gt;0,VLOOKUP(_1_5412845612146241046457891017456[[#This Row],[Discount selection]],'Discount Structure'!$A$2:$B$30,2,"false"),0)</f>
        <v>1</v>
      </c>
      <c r="L699" s="194">
        <f>_1_5412845612146241046457891017456[[#This Row],[LIST $]]*_1_5412845612146241046457891017456[[#This Row],[DISCOUNT]]*_1_5412845612146241046457891017456[[#This Row],[DISCOUNT 2]]</f>
        <v>0</v>
      </c>
      <c r="M699" s="194">
        <f>IF(OR(_1_5412845612146241046457891017456[[#This Row],[UNIT]]&gt;0,_1_5412845612146241046457891017456[[#This Row],[UNIT]]&lt;0),_1_5412845612146241046457891017456[[#This Row],[UNIT]]*_1_5412845612146241046457891017456[[#This Row],[COST]],0)</f>
        <v>0</v>
      </c>
      <c r="N699" s="194">
        <f t="shared" si="10"/>
        <v>1.3</v>
      </c>
      <c r="O699" s="198">
        <f>_1_5412845612146241046457891017456[[#This Row],[TOTAL]]*_1_5412845612146241046457891017456[[#This Row],[MARGIN]]</f>
        <v>0</v>
      </c>
      <c r="R699" s="41"/>
    </row>
    <row r="700" spans="4:18">
      <c r="D700" s="188"/>
      <c r="F700" s="168" t="s">
        <v>6202</v>
      </c>
      <c r="G700" s="193">
        <f>IF(_1_5412845612146241046457891017456[[#This Row],[Type]]&gt;0,VLOOKUP(_1_5412845612146241046457891017456[[#This Row],[Type]],Main[[#All],[TYPE]:[UNIT]],'Unit Price'!C$1,FALSE),0)</f>
        <v>0</v>
      </c>
      <c r="H700" s="197">
        <f>IF(_1_5412845612146241046457891017456[[#This Row],[Type]]&gt;0,VLOOKUP(_1_5412845612146241046457891017456[[#This Row],[Type]],Main[[#All],[TYPE]:[UNIT]],'Unit Price'!D$1,FALSE),0)</f>
        <v>0</v>
      </c>
      <c r="I700" s="194">
        <f>IF(_1_5412845612146241046457891017456[[#This Row],[Type]]&gt;0,VLOOKUP(_1_5412845612146241046457891017456[[#This Row],[Type]],Main[[#All],[TYPE]:[UNIT]],'Unit Price'!G$1,FALSE),0)</f>
        <v>0</v>
      </c>
      <c r="J700" s="194">
        <f>IF(_1_5412845612146241046457891017456[[#This Row],[Type]]&gt;0,VLOOKUP(_1_5412845612146241046457891017456[[#This Row],[Type]],Main[[#All],[TYPE]:[UNIT]],'Unit Price'!H$1,FALSE),0)</f>
        <v>0</v>
      </c>
      <c r="K700" s="194">
        <f>IF(_1_5412845612146241046457891017456[[#This Row],[Discount selection]]&gt;0,VLOOKUP(_1_5412845612146241046457891017456[[#This Row],[Discount selection]],'Discount Structure'!$A$2:$B$30,2,"false"),0)</f>
        <v>1</v>
      </c>
      <c r="L700" s="194">
        <f>_1_5412845612146241046457891017456[[#This Row],[LIST $]]*_1_5412845612146241046457891017456[[#This Row],[DISCOUNT]]*_1_5412845612146241046457891017456[[#This Row],[DISCOUNT 2]]</f>
        <v>0</v>
      </c>
      <c r="M700" s="194">
        <f>IF(OR(_1_5412845612146241046457891017456[[#This Row],[UNIT]]&gt;0,_1_5412845612146241046457891017456[[#This Row],[UNIT]]&lt;0),_1_5412845612146241046457891017456[[#This Row],[UNIT]]*_1_5412845612146241046457891017456[[#This Row],[COST]],0)</f>
        <v>0</v>
      </c>
      <c r="N700" s="194">
        <f t="shared" si="10"/>
        <v>1.3</v>
      </c>
      <c r="O700" s="198">
        <f>_1_5412845612146241046457891017456[[#This Row],[TOTAL]]*_1_5412845612146241046457891017456[[#This Row],[MARGIN]]</f>
        <v>0</v>
      </c>
      <c r="R700" s="41"/>
    </row>
    <row r="701" spans="4:18">
      <c r="D701" s="188"/>
      <c r="F701" s="168" t="s">
        <v>6202</v>
      </c>
      <c r="G701" s="193">
        <f>IF(_1_5412845612146241046457891017456[[#This Row],[Type]]&gt;0,VLOOKUP(_1_5412845612146241046457891017456[[#This Row],[Type]],Main[[#All],[TYPE]:[UNIT]],'Unit Price'!C$1,FALSE),0)</f>
        <v>0</v>
      </c>
      <c r="H701" s="197">
        <f>IF(_1_5412845612146241046457891017456[[#This Row],[Type]]&gt;0,VLOOKUP(_1_5412845612146241046457891017456[[#This Row],[Type]],Main[[#All],[TYPE]:[UNIT]],'Unit Price'!D$1,FALSE),0)</f>
        <v>0</v>
      </c>
      <c r="I701" s="194">
        <f>IF(_1_5412845612146241046457891017456[[#This Row],[Type]]&gt;0,VLOOKUP(_1_5412845612146241046457891017456[[#This Row],[Type]],Main[[#All],[TYPE]:[UNIT]],'Unit Price'!G$1,FALSE),0)</f>
        <v>0</v>
      </c>
      <c r="J701" s="194">
        <f>IF(_1_5412845612146241046457891017456[[#This Row],[Type]]&gt;0,VLOOKUP(_1_5412845612146241046457891017456[[#This Row],[Type]],Main[[#All],[TYPE]:[UNIT]],'Unit Price'!H$1,FALSE),0)</f>
        <v>0</v>
      </c>
      <c r="K701" s="194">
        <f>IF(_1_5412845612146241046457891017456[[#This Row],[Discount selection]]&gt;0,VLOOKUP(_1_5412845612146241046457891017456[[#This Row],[Discount selection]],'Discount Structure'!$A$2:$B$30,2,"false"),0)</f>
        <v>1</v>
      </c>
      <c r="L701" s="194">
        <f>_1_5412845612146241046457891017456[[#This Row],[LIST $]]*_1_5412845612146241046457891017456[[#This Row],[DISCOUNT]]*_1_5412845612146241046457891017456[[#This Row],[DISCOUNT 2]]</f>
        <v>0</v>
      </c>
      <c r="M701" s="194">
        <f>IF(OR(_1_5412845612146241046457891017456[[#This Row],[UNIT]]&gt;0,_1_5412845612146241046457891017456[[#This Row],[UNIT]]&lt;0),_1_5412845612146241046457891017456[[#This Row],[UNIT]]*_1_5412845612146241046457891017456[[#This Row],[COST]],0)</f>
        <v>0</v>
      </c>
      <c r="N701" s="194">
        <f t="shared" si="10"/>
        <v>1.3</v>
      </c>
      <c r="O701" s="198">
        <f>_1_5412845612146241046457891017456[[#This Row],[TOTAL]]*_1_5412845612146241046457891017456[[#This Row],[MARGIN]]</f>
        <v>0</v>
      </c>
      <c r="R701" s="41"/>
    </row>
    <row r="702" spans="4:18">
      <c r="D702" s="188"/>
      <c r="F702" s="168" t="s">
        <v>6202</v>
      </c>
      <c r="G702" s="193">
        <f>IF(_1_5412845612146241046457891017456[[#This Row],[Type]]&gt;0,VLOOKUP(_1_5412845612146241046457891017456[[#This Row],[Type]],Main[[#All],[TYPE]:[UNIT]],'Unit Price'!C$1,FALSE),0)</f>
        <v>0</v>
      </c>
      <c r="H702" s="197">
        <f>IF(_1_5412845612146241046457891017456[[#This Row],[Type]]&gt;0,VLOOKUP(_1_5412845612146241046457891017456[[#This Row],[Type]],Main[[#All],[TYPE]:[UNIT]],'Unit Price'!D$1,FALSE),0)</f>
        <v>0</v>
      </c>
      <c r="I702" s="194">
        <f>IF(_1_5412845612146241046457891017456[[#This Row],[Type]]&gt;0,VLOOKUP(_1_5412845612146241046457891017456[[#This Row],[Type]],Main[[#All],[TYPE]:[UNIT]],'Unit Price'!G$1,FALSE),0)</f>
        <v>0</v>
      </c>
      <c r="J702" s="194">
        <f>IF(_1_5412845612146241046457891017456[[#This Row],[Type]]&gt;0,VLOOKUP(_1_5412845612146241046457891017456[[#This Row],[Type]],Main[[#All],[TYPE]:[UNIT]],'Unit Price'!H$1,FALSE),0)</f>
        <v>0</v>
      </c>
      <c r="K702" s="194">
        <f>IF(_1_5412845612146241046457891017456[[#This Row],[Discount selection]]&gt;0,VLOOKUP(_1_5412845612146241046457891017456[[#This Row],[Discount selection]],'Discount Structure'!$A$2:$B$30,2,"false"),0)</f>
        <v>1</v>
      </c>
      <c r="L702" s="194">
        <f>_1_5412845612146241046457891017456[[#This Row],[LIST $]]*_1_5412845612146241046457891017456[[#This Row],[DISCOUNT]]*_1_5412845612146241046457891017456[[#This Row],[DISCOUNT 2]]</f>
        <v>0</v>
      </c>
      <c r="M702" s="194">
        <f>IF(OR(_1_5412845612146241046457891017456[[#This Row],[UNIT]]&gt;0,_1_5412845612146241046457891017456[[#This Row],[UNIT]]&lt;0),_1_5412845612146241046457891017456[[#This Row],[UNIT]]*_1_5412845612146241046457891017456[[#This Row],[COST]],0)</f>
        <v>0</v>
      </c>
      <c r="N702" s="194">
        <f t="shared" si="10"/>
        <v>1.3</v>
      </c>
      <c r="O702" s="198">
        <f>_1_5412845612146241046457891017456[[#This Row],[TOTAL]]*_1_5412845612146241046457891017456[[#This Row],[MARGIN]]</f>
        <v>0</v>
      </c>
      <c r="R702" s="41"/>
    </row>
    <row r="703" spans="4:18">
      <c r="D703" s="188"/>
      <c r="F703" s="168" t="s">
        <v>6202</v>
      </c>
      <c r="G703" s="193">
        <f>IF(_1_5412845612146241046457891017456[[#This Row],[Type]]&gt;0,VLOOKUP(_1_5412845612146241046457891017456[[#This Row],[Type]],Main[[#All],[TYPE]:[UNIT]],'Unit Price'!C$1,FALSE),0)</f>
        <v>0</v>
      </c>
      <c r="H703" s="197">
        <f>IF(_1_5412845612146241046457891017456[[#This Row],[Type]]&gt;0,VLOOKUP(_1_5412845612146241046457891017456[[#This Row],[Type]],Main[[#All],[TYPE]:[UNIT]],'Unit Price'!D$1,FALSE),0)</f>
        <v>0</v>
      </c>
      <c r="I703" s="194">
        <f>IF(_1_5412845612146241046457891017456[[#This Row],[Type]]&gt;0,VLOOKUP(_1_5412845612146241046457891017456[[#This Row],[Type]],Main[[#All],[TYPE]:[UNIT]],'Unit Price'!G$1,FALSE),0)</f>
        <v>0</v>
      </c>
      <c r="J703" s="194">
        <f>IF(_1_5412845612146241046457891017456[[#This Row],[Type]]&gt;0,VLOOKUP(_1_5412845612146241046457891017456[[#This Row],[Type]],Main[[#All],[TYPE]:[UNIT]],'Unit Price'!H$1,FALSE),0)</f>
        <v>0</v>
      </c>
      <c r="K703" s="194">
        <f>IF(_1_5412845612146241046457891017456[[#This Row],[Discount selection]]&gt;0,VLOOKUP(_1_5412845612146241046457891017456[[#This Row],[Discount selection]],'Discount Structure'!$A$2:$B$30,2,"false"),0)</f>
        <v>1</v>
      </c>
      <c r="L703" s="194">
        <f>_1_5412845612146241046457891017456[[#This Row],[LIST $]]*_1_5412845612146241046457891017456[[#This Row],[DISCOUNT]]*_1_5412845612146241046457891017456[[#This Row],[DISCOUNT 2]]</f>
        <v>0</v>
      </c>
      <c r="M703" s="194">
        <f>IF(OR(_1_5412845612146241046457891017456[[#This Row],[UNIT]]&gt;0,_1_5412845612146241046457891017456[[#This Row],[UNIT]]&lt;0),_1_5412845612146241046457891017456[[#This Row],[UNIT]]*_1_5412845612146241046457891017456[[#This Row],[COST]],0)</f>
        <v>0</v>
      </c>
      <c r="N703" s="194">
        <f t="shared" si="10"/>
        <v>1.3</v>
      </c>
      <c r="O703" s="198">
        <f>_1_5412845612146241046457891017456[[#This Row],[TOTAL]]*_1_5412845612146241046457891017456[[#This Row],[MARGIN]]</f>
        <v>0</v>
      </c>
      <c r="R703" s="41"/>
    </row>
    <row r="704" spans="4:18">
      <c r="D704" s="188"/>
      <c r="F704" s="168" t="s">
        <v>6202</v>
      </c>
      <c r="G704" s="193">
        <f>IF(_1_5412845612146241046457891017456[[#This Row],[Type]]&gt;0,VLOOKUP(_1_5412845612146241046457891017456[[#This Row],[Type]],Main[[#All],[TYPE]:[UNIT]],'Unit Price'!C$1,FALSE),0)</f>
        <v>0</v>
      </c>
      <c r="H704" s="197">
        <f>IF(_1_5412845612146241046457891017456[[#This Row],[Type]]&gt;0,VLOOKUP(_1_5412845612146241046457891017456[[#This Row],[Type]],Main[[#All],[TYPE]:[UNIT]],'Unit Price'!D$1,FALSE),0)</f>
        <v>0</v>
      </c>
      <c r="I704" s="194">
        <f>IF(_1_5412845612146241046457891017456[[#This Row],[Type]]&gt;0,VLOOKUP(_1_5412845612146241046457891017456[[#This Row],[Type]],Main[[#All],[TYPE]:[UNIT]],'Unit Price'!G$1,FALSE),0)</f>
        <v>0</v>
      </c>
      <c r="J704" s="194">
        <f>IF(_1_5412845612146241046457891017456[[#This Row],[Type]]&gt;0,VLOOKUP(_1_5412845612146241046457891017456[[#This Row],[Type]],Main[[#All],[TYPE]:[UNIT]],'Unit Price'!H$1,FALSE),0)</f>
        <v>0</v>
      </c>
      <c r="K704" s="194">
        <f>IF(_1_5412845612146241046457891017456[[#This Row],[Discount selection]]&gt;0,VLOOKUP(_1_5412845612146241046457891017456[[#This Row],[Discount selection]],'Discount Structure'!$A$2:$B$30,2,"false"),0)</f>
        <v>1</v>
      </c>
      <c r="L704" s="194">
        <f>_1_5412845612146241046457891017456[[#This Row],[LIST $]]*_1_5412845612146241046457891017456[[#This Row],[DISCOUNT]]*_1_5412845612146241046457891017456[[#This Row],[DISCOUNT 2]]</f>
        <v>0</v>
      </c>
      <c r="M704" s="194">
        <f>IF(OR(_1_5412845612146241046457891017456[[#This Row],[UNIT]]&gt;0,_1_5412845612146241046457891017456[[#This Row],[UNIT]]&lt;0),_1_5412845612146241046457891017456[[#This Row],[UNIT]]*_1_5412845612146241046457891017456[[#This Row],[COST]],0)</f>
        <v>0</v>
      </c>
      <c r="N704" s="194">
        <f t="shared" si="10"/>
        <v>1.3</v>
      </c>
      <c r="O704" s="198">
        <f>_1_5412845612146241046457891017456[[#This Row],[TOTAL]]*_1_5412845612146241046457891017456[[#This Row],[MARGIN]]</f>
        <v>0</v>
      </c>
      <c r="R704" s="41"/>
    </row>
    <row r="705" spans="4:18">
      <c r="D705" s="188"/>
      <c r="F705" s="168" t="s">
        <v>6202</v>
      </c>
      <c r="G705" s="193">
        <f>IF(_1_5412845612146241046457891017456[[#This Row],[Type]]&gt;0,VLOOKUP(_1_5412845612146241046457891017456[[#This Row],[Type]],Main[[#All],[TYPE]:[UNIT]],'Unit Price'!C$1,FALSE),0)</f>
        <v>0</v>
      </c>
      <c r="H705" s="197">
        <f>IF(_1_5412845612146241046457891017456[[#This Row],[Type]]&gt;0,VLOOKUP(_1_5412845612146241046457891017456[[#This Row],[Type]],Main[[#All],[TYPE]:[UNIT]],'Unit Price'!D$1,FALSE),0)</f>
        <v>0</v>
      </c>
      <c r="I705" s="194">
        <f>IF(_1_5412845612146241046457891017456[[#This Row],[Type]]&gt;0,VLOOKUP(_1_5412845612146241046457891017456[[#This Row],[Type]],Main[[#All],[TYPE]:[UNIT]],'Unit Price'!G$1,FALSE),0)</f>
        <v>0</v>
      </c>
      <c r="J705" s="194">
        <f>IF(_1_5412845612146241046457891017456[[#This Row],[Type]]&gt;0,VLOOKUP(_1_5412845612146241046457891017456[[#This Row],[Type]],Main[[#All],[TYPE]:[UNIT]],'Unit Price'!H$1,FALSE),0)</f>
        <v>0</v>
      </c>
      <c r="K705" s="194">
        <f>IF(_1_5412845612146241046457891017456[[#This Row],[Discount selection]]&gt;0,VLOOKUP(_1_5412845612146241046457891017456[[#This Row],[Discount selection]],'Discount Structure'!$A$2:$B$30,2,"false"),0)</f>
        <v>1</v>
      </c>
      <c r="L705" s="194">
        <f>_1_5412845612146241046457891017456[[#This Row],[LIST $]]*_1_5412845612146241046457891017456[[#This Row],[DISCOUNT]]*_1_5412845612146241046457891017456[[#This Row],[DISCOUNT 2]]</f>
        <v>0</v>
      </c>
      <c r="M705" s="194">
        <f>IF(OR(_1_5412845612146241046457891017456[[#This Row],[UNIT]]&gt;0,_1_5412845612146241046457891017456[[#This Row],[UNIT]]&lt;0),_1_5412845612146241046457891017456[[#This Row],[UNIT]]*_1_5412845612146241046457891017456[[#This Row],[COST]],0)</f>
        <v>0</v>
      </c>
      <c r="N705" s="194">
        <f t="shared" si="10"/>
        <v>1.3</v>
      </c>
      <c r="O705" s="198">
        <f>_1_5412845612146241046457891017456[[#This Row],[TOTAL]]*_1_5412845612146241046457891017456[[#This Row],[MARGIN]]</f>
        <v>0</v>
      </c>
      <c r="R705" s="41"/>
    </row>
    <row r="706" spans="4:18">
      <c r="D706" s="188"/>
      <c r="F706" s="168" t="s">
        <v>6202</v>
      </c>
      <c r="G706" s="193">
        <f>IF(_1_5412845612146241046457891017456[[#This Row],[Type]]&gt;0,VLOOKUP(_1_5412845612146241046457891017456[[#This Row],[Type]],Main[[#All],[TYPE]:[UNIT]],'Unit Price'!C$1,FALSE),0)</f>
        <v>0</v>
      </c>
      <c r="H706" s="197">
        <f>IF(_1_5412845612146241046457891017456[[#This Row],[Type]]&gt;0,VLOOKUP(_1_5412845612146241046457891017456[[#This Row],[Type]],Main[[#All],[TYPE]:[UNIT]],'Unit Price'!D$1,FALSE),0)</f>
        <v>0</v>
      </c>
      <c r="I706" s="194">
        <f>IF(_1_5412845612146241046457891017456[[#This Row],[Type]]&gt;0,VLOOKUP(_1_5412845612146241046457891017456[[#This Row],[Type]],Main[[#All],[TYPE]:[UNIT]],'Unit Price'!G$1,FALSE),0)</f>
        <v>0</v>
      </c>
      <c r="J706" s="194">
        <f>IF(_1_5412845612146241046457891017456[[#This Row],[Type]]&gt;0,VLOOKUP(_1_5412845612146241046457891017456[[#This Row],[Type]],Main[[#All],[TYPE]:[UNIT]],'Unit Price'!H$1,FALSE),0)</f>
        <v>0</v>
      </c>
      <c r="K706" s="194">
        <f>IF(_1_5412845612146241046457891017456[[#This Row],[Discount selection]]&gt;0,VLOOKUP(_1_5412845612146241046457891017456[[#This Row],[Discount selection]],'Discount Structure'!$A$2:$B$30,2,"false"),0)</f>
        <v>1</v>
      </c>
      <c r="L706" s="194">
        <f>_1_5412845612146241046457891017456[[#This Row],[LIST $]]*_1_5412845612146241046457891017456[[#This Row],[DISCOUNT]]*_1_5412845612146241046457891017456[[#This Row],[DISCOUNT 2]]</f>
        <v>0</v>
      </c>
      <c r="M706" s="194">
        <f>IF(OR(_1_5412845612146241046457891017456[[#This Row],[UNIT]]&gt;0,_1_5412845612146241046457891017456[[#This Row],[UNIT]]&lt;0),_1_5412845612146241046457891017456[[#This Row],[UNIT]]*_1_5412845612146241046457891017456[[#This Row],[COST]],0)</f>
        <v>0</v>
      </c>
      <c r="N706" s="194">
        <f t="shared" si="10"/>
        <v>1.3</v>
      </c>
      <c r="O706" s="198">
        <f>_1_5412845612146241046457891017456[[#This Row],[TOTAL]]*_1_5412845612146241046457891017456[[#This Row],[MARGIN]]</f>
        <v>0</v>
      </c>
      <c r="R706" s="41"/>
    </row>
    <row r="707" spans="4:18">
      <c r="D707" s="188"/>
      <c r="F707" s="168" t="s">
        <v>6202</v>
      </c>
      <c r="G707" s="193">
        <f>IF(_1_5412845612146241046457891017456[[#This Row],[Type]]&gt;0,VLOOKUP(_1_5412845612146241046457891017456[[#This Row],[Type]],Main[[#All],[TYPE]:[UNIT]],'Unit Price'!C$1,FALSE),0)</f>
        <v>0</v>
      </c>
      <c r="H707" s="197">
        <f>IF(_1_5412845612146241046457891017456[[#This Row],[Type]]&gt;0,VLOOKUP(_1_5412845612146241046457891017456[[#This Row],[Type]],Main[[#All],[TYPE]:[UNIT]],'Unit Price'!D$1,FALSE),0)</f>
        <v>0</v>
      </c>
      <c r="I707" s="194">
        <f>IF(_1_5412845612146241046457891017456[[#This Row],[Type]]&gt;0,VLOOKUP(_1_5412845612146241046457891017456[[#This Row],[Type]],Main[[#All],[TYPE]:[UNIT]],'Unit Price'!G$1,FALSE),0)</f>
        <v>0</v>
      </c>
      <c r="J707" s="194">
        <f>IF(_1_5412845612146241046457891017456[[#This Row],[Type]]&gt;0,VLOOKUP(_1_5412845612146241046457891017456[[#This Row],[Type]],Main[[#All],[TYPE]:[UNIT]],'Unit Price'!H$1,FALSE),0)</f>
        <v>0</v>
      </c>
      <c r="K707" s="194">
        <f>IF(_1_5412845612146241046457891017456[[#This Row],[Discount selection]]&gt;0,VLOOKUP(_1_5412845612146241046457891017456[[#This Row],[Discount selection]],'Discount Structure'!$A$2:$B$30,2,"false"),0)</f>
        <v>1</v>
      </c>
      <c r="L707" s="194">
        <f>_1_5412845612146241046457891017456[[#This Row],[LIST $]]*_1_5412845612146241046457891017456[[#This Row],[DISCOUNT]]*_1_5412845612146241046457891017456[[#This Row],[DISCOUNT 2]]</f>
        <v>0</v>
      </c>
      <c r="M707" s="194">
        <f>IF(OR(_1_5412845612146241046457891017456[[#This Row],[UNIT]]&gt;0,_1_5412845612146241046457891017456[[#This Row],[UNIT]]&lt;0),_1_5412845612146241046457891017456[[#This Row],[UNIT]]*_1_5412845612146241046457891017456[[#This Row],[COST]],0)</f>
        <v>0</v>
      </c>
      <c r="N707" s="194">
        <f t="shared" si="10"/>
        <v>1.3</v>
      </c>
      <c r="O707" s="198">
        <f>_1_5412845612146241046457891017456[[#This Row],[TOTAL]]*_1_5412845612146241046457891017456[[#This Row],[MARGIN]]</f>
        <v>0</v>
      </c>
      <c r="R707" s="41"/>
    </row>
    <row r="708" spans="4:18">
      <c r="D708" s="188"/>
      <c r="F708" s="168" t="s">
        <v>6202</v>
      </c>
      <c r="G708" s="193">
        <f>IF(_1_5412845612146241046457891017456[[#This Row],[Type]]&gt;0,VLOOKUP(_1_5412845612146241046457891017456[[#This Row],[Type]],Main[[#All],[TYPE]:[UNIT]],'Unit Price'!C$1,FALSE),0)</f>
        <v>0</v>
      </c>
      <c r="H708" s="197">
        <f>IF(_1_5412845612146241046457891017456[[#This Row],[Type]]&gt;0,VLOOKUP(_1_5412845612146241046457891017456[[#This Row],[Type]],Main[[#All],[TYPE]:[UNIT]],'Unit Price'!D$1,FALSE),0)</f>
        <v>0</v>
      </c>
      <c r="I708" s="194">
        <f>IF(_1_5412845612146241046457891017456[[#This Row],[Type]]&gt;0,VLOOKUP(_1_5412845612146241046457891017456[[#This Row],[Type]],Main[[#All],[TYPE]:[UNIT]],'Unit Price'!G$1,FALSE),0)</f>
        <v>0</v>
      </c>
      <c r="J708" s="194">
        <f>IF(_1_5412845612146241046457891017456[[#This Row],[Type]]&gt;0,VLOOKUP(_1_5412845612146241046457891017456[[#This Row],[Type]],Main[[#All],[TYPE]:[UNIT]],'Unit Price'!H$1,FALSE),0)</f>
        <v>0</v>
      </c>
      <c r="K708" s="194">
        <f>IF(_1_5412845612146241046457891017456[[#This Row],[Discount selection]]&gt;0,VLOOKUP(_1_5412845612146241046457891017456[[#This Row],[Discount selection]],'Discount Structure'!$A$2:$B$30,2,"false"),0)</f>
        <v>1</v>
      </c>
      <c r="L708" s="194">
        <f>_1_5412845612146241046457891017456[[#This Row],[LIST $]]*_1_5412845612146241046457891017456[[#This Row],[DISCOUNT]]*_1_5412845612146241046457891017456[[#This Row],[DISCOUNT 2]]</f>
        <v>0</v>
      </c>
      <c r="M708" s="194">
        <f>IF(OR(_1_5412845612146241046457891017456[[#This Row],[UNIT]]&gt;0,_1_5412845612146241046457891017456[[#This Row],[UNIT]]&lt;0),_1_5412845612146241046457891017456[[#This Row],[UNIT]]*_1_5412845612146241046457891017456[[#This Row],[COST]],0)</f>
        <v>0</v>
      </c>
      <c r="N708" s="194">
        <f t="shared" si="10"/>
        <v>1.3</v>
      </c>
      <c r="O708" s="198">
        <f>_1_5412845612146241046457891017456[[#This Row],[TOTAL]]*_1_5412845612146241046457891017456[[#This Row],[MARGIN]]</f>
        <v>0</v>
      </c>
      <c r="R708" s="41"/>
    </row>
    <row r="709" spans="4:18">
      <c r="D709" s="188"/>
      <c r="F709" s="168" t="s">
        <v>6202</v>
      </c>
      <c r="G709" s="193">
        <f>IF(_1_5412845612146241046457891017456[[#This Row],[Type]]&gt;0,VLOOKUP(_1_5412845612146241046457891017456[[#This Row],[Type]],Main[[#All],[TYPE]:[UNIT]],'Unit Price'!C$1,FALSE),0)</f>
        <v>0</v>
      </c>
      <c r="H709" s="197">
        <f>IF(_1_5412845612146241046457891017456[[#This Row],[Type]]&gt;0,VLOOKUP(_1_5412845612146241046457891017456[[#This Row],[Type]],Main[[#All],[TYPE]:[UNIT]],'Unit Price'!D$1,FALSE),0)</f>
        <v>0</v>
      </c>
      <c r="I709" s="194">
        <f>IF(_1_5412845612146241046457891017456[[#This Row],[Type]]&gt;0,VLOOKUP(_1_5412845612146241046457891017456[[#This Row],[Type]],Main[[#All],[TYPE]:[UNIT]],'Unit Price'!G$1,FALSE),0)</f>
        <v>0</v>
      </c>
      <c r="J709" s="194">
        <f>IF(_1_5412845612146241046457891017456[[#This Row],[Type]]&gt;0,VLOOKUP(_1_5412845612146241046457891017456[[#This Row],[Type]],Main[[#All],[TYPE]:[UNIT]],'Unit Price'!H$1,FALSE),0)</f>
        <v>0</v>
      </c>
      <c r="K709" s="194">
        <f>IF(_1_5412845612146241046457891017456[[#This Row],[Discount selection]]&gt;0,VLOOKUP(_1_5412845612146241046457891017456[[#This Row],[Discount selection]],'Discount Structure'!$A$2:$B$30,2,"false"),0)</f>
        <v>1</v>
      </c>
      <c r="L709" s="194">
        <f>_1_5412845612146241046457891017456[[#This Row],[LIST $]]*_1_5412845612146241046457891017456[[#This Row],[DISCOUNT]]*_1_5412845612146241046457891017456[[#This Row],[DISCOUNT 2]]</f>
        <v>0</v>
      </c>
      <c r="M709" s="194">
        <f>IF(OR(_1_5412845612146241046457891017456[[#This Row],[UNIT]]&gt;0,_1_5412845612146241046457891017456[[#This Row],[UNIT]]&lt;0),_1_5412845612146241046457891017456[[#This Row],[UNIT]]*_1_5412845612146241046457891017456[[#This Row],[COST]],0)</f>
        <v>0</v>
      </c>
      <c r="N709" s="194">
        <f t="shared" si="10"/>
        <v>1.3</v>
      </c>
      <c r="O709" s="198">
        <f>_1_5412845612146241046457891017456[[#This Row],[TOTAL]]*_1_5412845612146241046457891017456[[#This Row],[MARGIN]]</f>
        <v>0</v>
      </c>
      <c r="R709" s="41"/>
    </row>
    <row r="710" spans="4:18">
      <c r="D710" s="188"/>
      <c r="F710" s="168" t="s">
        <v>6202</v>
      </c>
      <c r="G710" s="193">
        <f>IF(_1_5412845612146241046457891017456[[#This Row],[Type]]&gt;0,VLOOKUP(_1_5412845612146241046457891017456[[#This Row],[Type]],Main[[#All],[TYPE]:[UNIT]],'Unit Price'!C$1,FALSE),0)</f>
        <v>0</v>
      </c>
      <c r="H710" s="197">
        <f>IF(_1_5412845612146241046457891017456[[#This Row],[Type]]&gt;0,VLOOKUP(_1_5412845612146241046457891017456[[#This Row],[Type]],Main[[#All],[TYPE]:[UNIT]],'Unit Price'!D$1,FALSE),0)</f>
        <v>0</v>
      </c>
      <c r="I710" s="194">
        <f>IF(_1_5412845612146241046457891017456[[#This Row],[Type]]&gt;0,VLOOKUP(_1_5412845612146241046457891017456[[#This Row],[Type]],Main[[#All],[TYPE]:[UNIT]],'Unit Price'!G$1,FALSE),0)</f>
        <v>0</v>
      </c>
      <c r="J710" s="194">
        <f>IF(_1_5412845612146241046457891017456[[#This Row],[Type]]&gt;0,VLOOKUP(_1_5412845612146241046457891017456[[#This Row],[Type]],Main[[#All],[TYPE]:[UNIT]],'Unit Price'!H$1,FALSE),0)</f>
        <v>0</v>
      </c>
      <c r="K710" s="194">
        <f>IF(_1_5412845612146241046457891017456[[#This Row],[Discount selection]]&gt;0,VLOOKUP(_1_5412845612146241046457891017456[[#This Row],[Discount selection]],'Discount Structure'!$A$2:$B$30,2,"false"),0)</f>
        <v>1</v>
      </c>
      <c r="L710" s="194">
        <f>_1_5412845612146241046457891017456[[#This Row],[LIST $]]*_1_5412845612146241046457891017456[[#This Row],[DISCOUNT]]*_1_5412845612146241046457891017456[[#This Row],[DISCOUNT 2]]</f>
        <v>0</v>
      </c>
      <c r="M710" s="194">
        <f>IF(OR(_1_5412845612146241046457891017456[[#This Row],[UNIT]]&gt;0,_1_5412845612146241046457891017456[[#This Row],[UNIT]]&lt;0),_1_5412845612146241046457891017456[[#This Row],[UNIT]]*_1_5412845612146241046457891017456[[#This Row],[COST]],0)</f>
        <v>0</v>
      </c>
      <c r="N710" s="194">
        <f t="shared" si="10"/>
        <v>1.3</v>
      </c>
      <c r="O710" s="198">
        <f>_1_5412845612146241046457891017456[[#This Row],[TOTAL]]*_1_5412845612146241046457891017456[[#This Row],[MARGIN]]</f>
        <v>0</v>
      </c>
      <c r="R710" s="41"/>
    </row>
    <row r="711" spans="4:18">
      <c r="D711" s="188"/>
      <c r="F711" s="168" t="s">
        <v>6202</v>
      </c>
      <c r="G711" s="193">
        <f>IF(_1_5412845612146241046457891017456[[#This Row],[Type]]&gt;0,VLOOKUP(_1_5412845612146241046457891017456[[#This Row],[Type]],Main[[#All],[TYPE]:[UNIT]],'Unit Price'!C$1,FALSE),0)</f>
        <v>0</v>
      </c>
      <c r="H711" s="197">
        <f>IF(_1_5412845612146241046457891017456[[#This Row],[Type]]&gt;0,VLOOKUP(_1_5412845612146241046457891017456[[#This Row],[Type]],Main[[#All],[TYPE]:[UNIT]],'Unit Price'!D$1,FALSE),0)</f>
        <v>0</v>
      </c>
      <c r="I711" s="194">
        <f>IF(_1_5412845612146241046457891017456[[#This Row],[Type]]&gt;0,VLOOKUP(_1_5412845612146241046457891017456[[#This Row],[Type]],Main[[#All],[TYPE]:[UNIT]],'Unit Price'!G$1,FALSE),0)</f>
        <v>0</v>
      </c>
      <c r="J711" s="194">
        <f>IF(_1_5412845612146241046457891017456[[#This Row],[Type]]&gt;0,VLOOKUP(_1_5412845612146241046457891017456[[#This Row],[Type]],Main[[#All],[TYPE]:[UNIT]],'Unit Price'!H$1,FALSE),0)</f>
        <v>0</v>
      </c>
      <c r="K711" s="194">
        <f>IF(_1_5412845612146241046457891017456[[#This Row],[Discount selection]]&gt;0,VLOOKUP(_1_5412845612146241046457891017456[[#This Row],[Discount selection]],'Discount Structure'!$A$2:$B$30,2,"false"),0)</f>
        <v>1</v>
      </c>
      <c r="L711" s="194">
        <f>_1_5412845612146241046457891017456[[#This Row],[LIST $]]*_1_5412845612146241046457891017456[[#This Row],[DISCOUNT]]*_1_5412845612146241046457891017456[[#This Row],[DISCOUNT 2]]</f>
        <v>0</v>
      </c>
      <c r="M711" s="194">
        <f>IF(OR(_1_5412845612146241046457891017456[[#This Row],[UNIT]]&gt;0,_1_5412845612146241046457891017456[[#This Row],[UNIT]]&lt;0),_1_5412845612146241046457891017456[[#This Row],[UNIT]]*_1_5412845612146241046457891017456[[#This Row],[COST]],0)</f>
        <v>0</v>
      </c>
      <c r="N711" s="194">
        <f t="shared" si="10"/>
        <v>1.3</v>
      </c>
      <c r="O711" s="198">
        <f>_1_5412845612146241046457891017456[[#This Row],[TOTAL]]*_1_5412845612146241046457891017456[[#This Row],[MARGIN]]</f>
        <v>0</v>
      </c>
      <c r="R711" s="41"/>
    </row>
    <row r="712" spans="4:18">
      <c r="D712" s="188"/>
      <c r="F712" s="168" t="s">
        <v>6202</v>
      </c>
      <c r="G712" s="193">
        <f>IF(_1_5412845612146241046457891017456[[#This Row],[Type]]&gt;0,VLOOKUP(_1_5412845612146241046457891017456[[#This Row],[Type]],Main[[#All],[TYPE]:[UNIT]],'Unit Price'!C$1,FALSE),0)</f>
        <v>0</v>
      </c>
      <c r="H712" s="197">
        <f>IF(_1_5412845612146241046457891017456[[#This Row],[Type]]&gt;0,VLOOKUP(_1_5412845612146241046457891017456[[#This Row],[Type]],Main[[#All],[TYPE]:[UNIT]],'Unit Price'!D$1,FALSE),0)</f>
        <v>0</v>
      </c>
      <c r="I712" s="194">
        <f>IF(_1_5412845612146241046457891017456[[#This Row],[Type]]&gt;0,VLOOKUP(_1_5412845612146241046457891017456[[#This Row],[Type]],Main[[#All],[TYPE]:[UNIT]],'Unit Price'!G$1,FALSE),0)</f>
        <v>0</v>
      </c>
      <c r="J712" s="194">
        <f>IF(_1_5412845612146241046457891017456[[#This Row],[Type]]&gt;0,VLOOKUP(_1_5412845612146241046457891017456[[#This Row],[Type]],Main[[#All],[TYPE]:[UNIT]],'Unit Price'!H$1,FALSE),0)</f>
        <v>0</v>
      </c>
      <c r="K712" s="194">
        <f>IF(_1_5412845612146241046457891017456[[#This Row],[Discount selection]]&gt;0,VLOOKUP(_1_5412845612146241046457891017456[[#This Row],[Discount selection]],'Discount Structure'!$A$2:$B$30,2,"false"),0)</f>
        <v>1</v>
      </c>
      <c r="L712" s="194">
        <f>_1_5412845612146241046457891017456[[#This Row],[LIST $]]*_1_5412845612146241046457891017456[[#This Row],[DISCOUNT]]*_1_5412845612146241046457891017456[[#This Row],[DISCOUNT 2]]</f>
        <v>0</v>
      </c>
      <c r="M712" s="194">
        <f>IF(OR(_1_5412845612146241046457891017456[[#This Row],[UNIT]]&gt;0,_1_5412845612146241046457891017456[[#This Row],[UNIT]]&lt;0),_1_5412845612146241046457891017456[[#This Row],[UNIT]]*_1_5412845612146241046457891017456[[#This Row],[COST]],0)</f>
        <v>0</v>
      </c>
      <c r="N712" s="194">
        <f t="shared" si="10"/>
        <v>1.3</v>
      </c>
      <c r="O712" s="198">
        <f>_1_5412845612146241046457891017456[[#This Row],[TOTAL]]*_1_5412845612146241046457891017456[[#This Row],[MARGIN]]</f>
        <v>0</v>
      </c>
      <c r="R712" s="41"/>
    </row>
    <row r="713" spans="4:18">
      <c r="D713" s="188"/>
      <c r="F713" s="168" t="s">
        <v>6202</v>
      </c>
      <c r="G713" s="193">
        <f>IF(_1_5412845612146241046457891017456[[#This Row],[Type]]&gt;0,VLOOKUP(_1_5412845612146241046457891017456[[#This Row],[Type]],Main[[#All],[TYPE]:[UNIT]],'Unit Price'!C$1,FALSE),0)</f>
        <v>0</v>
      </c>
      <c r="H713" s="197">
        <f>IF(_1_5412845612146241046457891017456[[#This Row],[Type]]&gt;0,VLOOKUP(_1_5412845612146241046457891017456[[#This Row],[Type]],Main[[#All],[TYPE]:[UNIT]],'Unit Price'!D$1,FALSE),0)</f>
        <v>0</v>
      </c>
      <c r="I713" s="194">
        <f>IF(_1_5412845612146241046457891017456[[#This Row],[Type]]&gt;0,VLOOKUP(_1_5412845612146241046457891017456[[#This Row],[Type]],Main[[#All],[TYPE]:[UNIT]],'Unit Price'!G$1,FALSE),0)</f>
        <v>0</v>
      </c>
      <c r="J713" s="194">
        <f>IF(_1_5412845612146241046457891017456[[#This Row],[Type]]&gt;0,VLOOKUP(_1_5412845612146241046457891017456[[#This Row],[Type]],Main[[#All],[TYPE]:[UNIT]],'Unit Price'!H$1,FALSE),0)</f>
        <v>0</v>
      </c>
      <c r="K713" s="194">
        <f>IF(_1_5412845612146241046457891017456[[#This Row],[Discount selection]]&gt;0,VLOOKUP(_1_5412845612146241046457891017456[[#This Row],[Discount selection]],'Discount Structure'!$A$2:$B$30,2,"false"),0)</f>
        <v>1</v>
      </c>
      <c r="L713" s="194">
        <f>_1_5412845612146241046457891017456[[#This Row],[LIST $]]*_1_5412845612146241046457891017456[[#This Row],[DISCOUNT]]*_1_5412845612146241046457891017456[[#This Row],[DISCOUNT 2]]</f>
        <v>0</v>
      </c>
      <c r="M713" s="194">
        <f>IF(OR(_1_5412845612146241046457891017456[[#This Row],[UNIT]]&gt;0,_1_5412845612146241046457891017456[[#This Row],[UNIT]]&lt;0),_1_5412845612146241046457891017456[[#This Row],[UNIT]]*_1_5412845612146241046457891017456[[#This Row],[COST]],0)</f>
        <v>0</v>
      </c>
      <c r="N713" s="194">
        <f t="shared" si="10"/>
        <v>1.3</v>
      </c>
      <c r="O713" s="198">
        <f>_1_5412845612146241046457891017456[[#This Row],[TOTAL]]*_1_5412845612146241046457891017456[[#This Row],[MARGIN]]</f>
        <v>0</v>
      </c>
      <c r="R713" s="41"/>
    </row>
    <row r="714" spans="4:18">
      <c r="D714" s="188"/>
      <c r="F714" s="168" t="s">
        <v>6202</v>
      </c>
      <c r="G714" s="193">
        <f>IF(_1_5412845612146241046457891017456[[#This Row],[Type]]&gt;0,VLOOKUP(_1_5412845612146241046457891017456[[#This Row],[Type]],Main[[#All],[TYPE]:[UNIT]],'Unit Price'!C$1,FALSE),0)</f>
        <v>0</v>
      </c>
      <c r="H714" s="197">
        <f>IF(_1_5412845612146241046457891017456[[#This Row],[Type]]&gt;0,VLOOKUP(_1_5412845612146241046457891017456[[#This Row],[Type]],Main[[#All],[TYPE]:[UNIT]],'Unit Price'!D$1,FALSE),0)</f>
        <v>0</v>
      </c>
      <c r="I714" s="194">
        <f>IF(_1_5412845612146241046457891017456[[#This Row],[Type]]&gt;0,VLOOKUP(_1_5412845612146241046457891017456[[#This Row],[Type]],Main[[#All],[TYPE]:[UNIT]],'Unit Price'!G$1,FALSE),0)</f>
        <v>0</v>
      </c>
      <c r="J714" s="194">
        <f>IF(_1_5412845612146241046457891017456[[#This Row],[Type]]&gt;0,VLOOKUP(_1_5412845612146241046457891017456[[#This Row],[Type]],Main[[#All],[TYPE]:[UNIT]],'Unit Price'!H$1,FALSE),0)</f>
        <v>0</v>
      </c>
      <c r="K714" s="194">
        <f>IF(_1_5412845612146241046457891017456[[#This Row],[Discount selection]]&gt;0,VLOOKUP(_1_5412845612146241046457891017456[[#This Row],[Discount selection]],'Discount Structure'!$A$2:$B$30,2,"false"),0)</f>
        <v>1</v>
      </c>
      <c r="L714" s="194">
        <f>_1_5412845612146241046457891017456[[#This Row],[LIST $]]*_1_5412845612146241046457891017456[[#This Row],[DISCOUNT]]*_1_5412845612146241046457891017456[[#This Row],[DISCOUNT 2]]</f>
        <v>0</v>
      </c>
      <c r="M714" s="194">
        <f>IF(OR(_1_5412845612146241046457891017456[[#This Row],[UNIT]]&gt;0,_1_5412845612146241046457891017456[[#This Row],[UNIT]]&lt;0),_1_5412845612146241046457891017456[[#This Row],[UNIT]]*_1_5412845612146241046457891017456[[#This Row],[COST]],0)</f>
        <v>0</v>
      </c>
      <c r="N714" s="194">
        <f t="shared" ref="N714:N777" si="11">$N$7</f>
        <v>1.3</v>
      </c>
      <c r="O714" s="198">
        <f>_1_5412845612146241046457891017456[[#This Row],[TOTAL]]*_1_5412845612146241046457891017456[[#This Row],[MARGIN]]</f>
        <v>0</v>
      </c>
      <c r="R714" s="41"/>
    </row>
    <row r="715" spans="4:18">
      <c r="D715" s="188"/>
      <c r="F715" s="168" t="s">
        <v>6202</v>
      </c>
      <c r="G715" s="193">
        <f>IF(_1_5412845612146241046457891017456[[#This Row],[Type]]&gt;0,VLOOKUP(_1_5412845612146241046457891017456[[#This Row],[Type]],Main[[#All],[TYPE]:[UNIT]],'Unit Price'!C$1,FALSE),0)</f>
        <v>0</v>
      </c>
      <c r="H715" s="197">
        <f>IF(_1_5412845612146241046457891017456[[#This Row],[Type]]&gt;0,VLOOKUP(_1_5412845612146241046457891017456[[#This Row],[Type]],Main[[#All],[TYPE]:[UNIT]],'Unit Price'!D$1,FALSE),0)</f>
        <v>0</v>
      </c>
      <c r="I715" s="194">
        <f>IF(_1_5412845612146241046457891017456[[#This Row],[Type]]&gt;0,VLOOKUP(_1_5412845612146241046457891017456[[#This Row],[Type]],Main[[#All],[TYPE]:[UNIT]],'Unit Price'!G$1,FALSE),0)</f>
        <v>0</v>
      </c>
      <c r="J715" s="194">
        <f>IF(_1_5412845612146241046457891017456[[#This Row],[Type]]&gt;0,VLOOKUP(_1_5412845612146241046457891017456[[#This Row],[Type]],Main[[#All],[TYPE]:[UNIT]],'Unit Price'!H$1,FALSE),0)</f>
        <v>0</v>
      </c>
      <c r="K715" s="194">
        <f>IF(_1_5412845612146241046457891017456[[#This Row],[Discount selection]]&gt;0,VLOOKUP(_1_5412845612146241046457891017456[[#This Row],[Discount selection]],'Discount Structure'!$A$2:$B$30,2,"false"),0)</f>
        <v>1</v>
      </c>
      <c r="L715" s="194">
        <f>_1_5412845612146241046457891017456[[#This Row],[LIST $]]*_1_5412845612146241046457891017456[[#This Row],[DISCOUNT]]*_1_5412845612146241046457891017456[[#This Row],[DISCOUNT 2]]</f>
        <v>0</v>
      </c>
      <c r="M715" s="194">
        <f>IF(OR(_1_5412845612146241046457891017456[[#This Row],[UNIT]]&gt;0,_1_5412845612146241046457891017456[[#This Row],[UNIT]]&lt;0),_1_5412845612146241046457891017456[[#This Row],[UNIT]]*_1_5412845612146241046457891017456[[#This Row],[COST]],0)</f>
        <v>0</v>
      </c>
      <c r="N715" s="194">
        <f t="shared" si="11"/>
        <v>1.3</v>
      </c>
      <c r="O715" s="198">
        <f>_1_5412845612146241046457891017456[[#This Row],[TOTAL]]*_1_5412845612146241046457891017456[[#This Row],[MARGIN]]</f>
        <v>0</v>
      </c>
      <c r="R715" s="41"/>
    </row>
    <row r="716" spans="4:18">
      <c r="D716" s="188"/>
      <c r="F716" s="168" t="s">
        <v>6202</v>
      </c>
      <c r="G716" s="193">
        <f>IF(_1_5412845612146241046457891017456[[#This Row],[Type]]&gt;0,VLOOKUP(_1_5412845612146241046457891017456[[#This Row],[Type]],Main[[#All],[TYPE]:[UNIT]],'Unit Price'!C$1,FALSE),0)</f>
        <v>0</v>
      </c>
      <c r="H716" s="197">
        <f>IF(_1_5412845612146241046457891017456[[#This Row],[Type]]&gt;0,VLOOKUP(_1_5412845612146241046457891017456[[#This Row],[Type]],Main[[#All],[TYPE]:[UNIT]],'Unit Price'!D$1,FALSE),0)</f>
        <v>0</v>
      </c>
      <c r="I716" s="194">
        <f>IF(_1_5412845612146241046457891017456[[#This Row],[Type]]&gt;0,VLOOKUP(_1_5412845612146241046457891017456[[#This Row],[Type]],Main[[#All],[TYPE]:[UNIT]],'Unit Price'!G$1,FALSE),0)</f>
        <v>0</v>
      </c>
      <c r="J716" s="194">
        <f>IF(_1_5412845612146241046457891017456[[#This Row],[Type]]&gt;0,VLOOKUP(_1_5412845612146241046457891017456[[#This Row],[Type]],Main[[#All],[TYPE]:[UNIT]],'Unit Price'!H$1,FALSE),0)</f>
        <v>0</v>
      </c>
      <c r="K716" s="194">
        <f>IF(_1_5412845612146241046457891017456[[#This Row],[Discount selection]]&gt;0,VLOOKUP(_1_5412845612146241046457891017456[[#This Row],[Discount selection]],'Discount Structure'!$A$2:$B$30,2,"false"),0)</f>
        <v>1</v>
      </c>
      <c r="L716" s="194">
        <f>_1_5412845612146241046457891017456[[#This Row],[LIST $]]*_1_5412845612146241046457891017456[[#This Row],[DISCOUNT]]*_1_5412845612146241046457891017456[[#This Row],[DISCOUNT 2]]</f>
        <v>0</v>
      </c>
      <c r="M716" s="194">
        <f>IF(OR(_1_5412845612146241046457891017456[[#This Row],[UNIT]]&gt;0,_1_5412845612146241046457891017456[[#This Row],[UNIT]]&lt;0),_1_5412845612146241046457891017456[[#This Row],[UNIT]]*_1_5412845612146241046457891017456[[#This Row],[COST]],0)</f>
        <v>0</v>
      </c>
      <c r="N716" s="194">
        <f t="shared" si="11"/>
        <v>1.3</v>
      </c>
      <c r="O716" s="198">
        <f>_1_5412845612146241046457891017456[[#This Row],[TOTAL]]*_1_5412845612146241046457891017456[[#This Row],[MARGIN]]</f>
        <v>0</v>
      </c>
      <c r="R716" s="41"/>
    </row>
    <row r="717" spans="4:18">
      <c r="D717" s="188"/>
      <c r="F717" s="168" t="s">
        <v>6202</v>
      </c>
      <c r="G717" s="193">
        <f>IF(_1_5412845612146241046457891017456[[#This Row],[Type]]&gt;0,VLOOKUP(_1_5412845612146241046457891017456[[#This Row],[Type]],Main[[#All],[TYPE]:[UNIT]],'Unit Price'!C$1,FALSE),0)</f>
        <v>0</v>
      </c>
      <c r="H717" s="197">
        <f>IF(_1_5412845612146241046457891017456[[#This Row],[Type]]&gt;0,VLOOKUP(_1_5412845612146241046457891017456[[#This Row],[Type]],Main[[#All],[TYPE]:[UNIT]],'Unit Price'!D$1,FALSE),0)</f>
        <v>0</v>
      </c>
      <c r="I717" s="194">
        <f>IF(_1_5412845612146241046457891017456[[#This Row],[Type]]&gt;0,VLOOKUP(_1_5412845612146241046457891017456[[#This Row],[Type]],Main[[#All],[TYPE]:[UNIT]],'Unit Price'!G$1,FALSE),0)</f>
        <v>0</v>
      </c>
      <c r="J717" s="194">
        <f>IF(_1_5412845612146241046457891017456[[#This Row],[Type]]&gt;0,VLOOKUP(_1_5412845612146241046457891017456[[#This Row],[Type]],Main[[#All],[TYPE]:[UNIT]],'Unit Price'!H$1,FALSE),0)</f>
        <v>0</v>
      </c>
      <c r="K717" s="194">
        <f>IF(_1_5412845612146241046457891017456[[#This Row],[Discount selection]]&gt;0,VLOOKUP(_1_5412845612146241046457891017456[[#This Row],[Discount selection]],'Discount Structure'!$A$2:$B$30,2,"false"),0)</f>
        <v>1</v>
      </c>
      <c r="L717" s="194">
        <f>_1_5412845612146241046457891017456[[#This Row],[LIST $]]*_1_5412845612146241046457891017456[[#This Row],[DISCOUNT]]*_1_5412845612146241046457891017456[[#This Row],[DISCOUNT 2]]</f>
        <v>0</v>
      </c>
      <c r="M717" s="194">
        <f>IF(OR(_1_5412845612146241046457891017456[[#This Row],[UNIT]]&gt;0,_1_5412845612146241046457891017456[[#This Row],[UNIT]]&lt;0),_1_5412845612146241046457891017456[[#This Row],[UNIT]]*_1_5412845612146241046457891017456[[#This Row],[COST]],0)</f>
        <v>0</v>
      </c>
      <c r="N717" s="194">
        <f t="shared" si="11"/>
        <v>1.3</v>
      </c>
      <c r="O717" s="198">
        <f>_1_5412845612146241046457891017456[[#This Row],[TOTAL]]*_1_5412845612146241046457891017456[[#This Row],[MARGIN]]</f>
        <v>0</v>
      </c>
      <c r="R717" s="41"/>
    </row>
    <row r="718" spans="4:18">
      <c r="D718" s="188"/>
      <c r="F718" s="168" t="s">
        <v>6202</v>
      </c>
      <c r="G718" s="193">
        <f>IF(_1_5412845612146241046457891017456[[#This Row],[Type]]&gt;0,VLOOKUP(_1_5412845612146241046457891017456[[#This Row],[Type]],Main[[#All],[TYPE]:[UNIT]],'Unit Price'!C$1,FALSE),0)</f>
        <v>0</v>
      </c>
      <c r="H718" s="197">
        <f>IF(_1_5412845612146241046457891017456[[#This Row],[Type]]&gt;0,VLOOKUP(_1_5412845612146241046457891017456[[#This Row],[Type]],Main[[#All],[TYPE]:[UNIT]],'Unit Price'!D$1,FALSE),0)</f>
        <v>0</v>
      </c>
      <c r="I718" s="194">
        <f>IF(_1_5412845612146241046457891017456[[#This Row],[Type]]&gt;0,VLOOKUP(_1_5412845612146241046457891017456[[#This Row],[Type]],Main[[#All],[TYPE]:[UNIT]],'Unit Price'!G$1,FALSE),0)</f>
        <v>0</v>
      </c>
      <c r="J718" s="194">
        <f>IF(_1_5412845612146241046457891017456[[#This Row],[Type]]&gt;0,VLOOKUP(_1_5412845612146241046457891017456[[#This Row],[Type]],Main[[#All],[TYPE]:[UNIT]],'Unit Price'!H$1,FALSE),0)</f>
        <v>0</v>
      </c>
      <c r="K718" s="194">
        <f>IF(_1_5412845612146241046457891017456[[#This Row],[Discount selection]]&gt;0,VLOOKUP(_1_5412845612146241046457891017456[[#This Row],[Discount selection]],'Discount Structure'!$A$2:$B$30,2,"false"),0)</f>
        <v>1</v>
      </c>
      <c r="L718" s="194">
        <f>_1_5412845612146241046457891017456[[#This Row],[LIST $]]*_1_5412845612146241046457891017456[[#This Row],[DISCOUNT]]*_1_5412845612146241046457891017456[[#This Row],[DISCOUNT 2]]</f>
        <v>0</v>
      </c>
      <c r="M718" s="194">
        <f>IF(OR(_1_5412845612146241046457891017456[[#This Row],[UNIT]]&gt;0,_1_5412845612146241046457891017456[[#This Row],[UNIT]]&lt;0),_1_5412845612146241046457891017456[[#This Row],[UNIT]]*_1_5412845612146241046457891017456[[#This Row],[COST]],0)</f>
        <v>0</v>
      </c>
      <c r="N718" s="194">
        <f t="shared" si="11"/>
        <v>1.3</v>
      </c>
      <c r="O718" s="198">
        <f>_1_5412845612146241046457891017456[[#This Row],[TOTAL]]*_1_5412845612146241046457891017456[[#This Row],[MARGIN]]</f>
        <v>0</v>
      </c>
      <c r="R718" s="41"/>
    </row>
    <row r="719" spans="4:18">
      <c r="D719" s="188"/>
      <c r="F719" s="168" t="s">
        <v>6202</v>
      </c>
      <c r="G719" s="193">
        <f>IF(_1_5412845612146241046457891017456[[#This Row],[Type]]&gt;0,VLOOKUP(_1_5412845612146241046457891017456[[#This Row],[Type]],Main[[#All],[TYPE]:[UNIT]],'Unit Price'!C$1,FALSE),0)</f>
        <v>0</v>
      </c>
      <c r="H719" s="197">
        <f>IF(_1_5412845612146241046457891017456[[#This Row],[Type]]&gt;0,VLOOKUP(_1_5412845612146241046457891017456[[#This Row],[Type]],Main[[#All],[TYPE]:[UNIT]],'Unit Price'!D$1,FALSE),0)</f>
        <v>0</v>
      </c>
      <c r="I719" s="194">
        <f>IF(_1_5412845612146241046457891017456[[#This Row],[Type]]&gt;0,VLOOKUP(_1_5412845612146241046457891017456[[#This Row],[Type]],Main[[#All],[TYPE]:[UNIT]],'Unit Price'!G$1,FALSE),0)</f>
        <v>0</v>
      </c>
      <c r="J719" s="194">
        <f>IF(_1_5412845612146241046457891017456[[#This Row],[Type]]&gt;0,VLOOKUP(_1_5412845612146241046457891017456[[#This Row],[Type]],Main[[#All],[TYPE]:[UNIT]],'Unit Price'!H$1,FALSE),0)</f>
        <v>0</v>
      </c>
      <c r="K719" s="194">
        <f>IF(_1_5412845612146241046457891017456[[#This Row],[Discount selection]]&gt;0,VLOOKUP(_1_5412845612146241046457891017456[[#This Row],[Discount selection]],'Discount Structure'!$A$2:$B$30,2,"false"),0)</f>
        <v>1</v>
      </c>
      <c r="L719" s="194">
        <f>_1_5412845612146241046457891017456[[#This Row],[LIST $]]*_1_5412845612146241046457891017456[[#This Row],[DISCOUNT]]*_1_5412845612146241046457891017456[[#This Row],[DISCOUNT 2]]</f>
        <v>0</v>
      </c>
      <c r="M719" s="194">
        <f>IF(OR(_1_5412845612146241046457891017456[[#This Row],[UNIT]]&gt;0,_1_5412845612146241046457891017456[[#This Row],[UNIT]]&lt;0),_1_5412845612146241046457891017456[[#This Row],[UNIT]]*_1_5412845612146241046457891017456[[#This Row],[COST]],0)</f>
        <v>0</v>
      </c>
      <c r="N719" s="194">
        <f t="shared" si="11"/>
        <v>1.3</v>
      </c>
      <c r="O719" s="198">
        <f>_1_5412845612146241046457891017456[[#This Row],[TOTAL]]*_1_5412845612146241046457891017456[[#This Row],[MARGIN]]</f>
        <v>0</v>
      </c>
      <c r="R719" s="41"/>
    </row>
    <row r="720" spans="4:18">
      <c r="D720" s="188"/>
      <c r="F720" s="168" t="s">
        <v>6202</v>
      </c>
      <c r="G720" s="193">
        <f>IF(_1_5412845612146241046457891017456[[#This Row],[Type]]&gt;0,VLOOKUP(_1_5412845612146241046457891017456[[#This Row],[Type]],Main[[#All],[TYPE]:[UNIT]],'Unit Price'!C$1,FALSE),0)</f>
        <v>0</v>
      </c>
      <c r="H720" s="197">
        <f>IF(_1_5412845612146241046457891017456[[#This Row],[Type]]&gt;0,VLOOKUP(_1_5412845612146241046457891017456[[#This Row],[Type]],Main[[#All],[TYPE]:[UNIT]],'Unit Price'!D$1,FALSE),0)</f>
        <v>0</v>
      </c>
      <c r="I720" s="194">
        <f>IF(_1_5412845612146241046457891017456[[#This Row],[Type]]&gt;0,VLOOKUP(_1_5412845612146241046457891017456[[#This Row],[Type]],Main[[#All],[TYPE]:[UNIT]],'Unit Price'!G$1,FALSE),0)</f>
        <v>0</v>
      </c>
      <c r="J720" s="194">
        <f>IF(_1_5412845612146241046457891017456[[#This Row],[Type]]&gt;0,VLOOKUP(_1_5412845612146241046457891017456[[#This Row],[Type]],Main[[#All],[TYPE]:[UNIT]],'Unit Price'!H$1,FALSE),0)</f>
        <v>0</v>
      </c>
      <c r="K720" s="194">
        <f>IF(_1_5412845612146241046457891017456[[#This Row],[Discount selection]]&gt;0,VLOOKUP(_1_5412845612146241046457891017456[[#This Row],[Discount selection]],'Discount Structure'!$A$2:$B$30,2,"false"),0)</f>
        <v>1</v>
      </c>
      <c r="L720" s="194">
        <f>_1_5412845612146241046457891017456[[#This Row],[LIST $]]*_1_5412845612146241046457891017456[[#This Row],[DISCOUNT]]*_1_5412845612146241046457891017456[[#This Row],[DISCOUNT 2]]</f>
        <v>0</v>
      </c>
      <c r="M720" s="194">
        <f>IF(OR(_1_5412845612146241046457891017456[[#This Row],[UNIT]]&gt;0,_1_5412845612146241046457891017456[[#This Row],[UNIT]]&lt;0),_1_5412845612146241046457891017456[[#This Row],[UNIT]]*_1_5412845612146241046457891017456[[#This Row],[COST]],0)</f>
        <v>0</v>
      </c>
      <c r="N720" s="194">
        <f t="shared" si="11"/>
        <v>1.3</v>
      </c>
      <c r="O720" s="198">
        <f>_1_5412845612146241046457891017456[[#This Row],[TOTAL]]*_1_5412845612146241046457891017456[[#This Row],[MARGIN]]</f>
        <v>0</v>
      </c>
      <c r="R720" s="41"/>
    </row>
    <row r="721" spans="4:18">
      <c r="D721" s="188"/>
      <c r="F721" s="168" t="s">
        <v>6202</v>
      </c>
      <c r="G721" s="193">
        <f>IF(_1_5412845612146241046457891017456[[#This Row],[Type]]&gt;0,VLOOKUP(_1_5412845612146241046457891017456[[#This Row],[Type]],Main[[#All],[TYPE]:[UNIT]],'Unit Price'!C$1,FALSE),0)</f>
        <v>0</v>
      </c>
      <c r="H721" s="197">
        <f>IF(_1_5412845612146241046457891017456[[#This Row],[Type]]&gt;0,VLOOKUP(_1_5412845612146241046457891017456[[#This Row],[Type]],Main[[#All],[TYPE]:[UNIT]],'Unit Price'!D$1,FALSE),0)</f>
        <v>0</v>
      </c>
      <c r="I721" s="194">
        <f>IF(_1_5412845612146241046457891017456[[#This Row],[Type]]&gt;0,VLOOKUP(_1_5412845612146241046457891017456[[#This Row],[Type]],Main[[#All],[TYPE]:[UNIT]],'Unit Price'!G$1,FALSE),0)</f>
        <v>0</v>
      </c>
      <c r="J721" s="194">
        <f>IF(_1_5412845612146241046457891017456[[#This Row],[Type]]&gt;0,VLOOKUP(_1_5412845612146241046457891017456[[#This Row],[Type]],Main[[#All],[TYPE]:[UNIT]],'Unit Price'!H$1,FALSE),0)</f>
        <v>0</v>
      </c>
      <c r="K721" s="194">
        <f>IF(_1_5412845612146241046457891017456[[#This Row],[Discount selection]]&gt;0,VLOOKUP(_1_5412845612146241046457891017456[[#This Row],[Discount selection]],'Discount Structure'!$A$2:$B$30,2,"false"),0)</f>
        <v>1</v>
      </c>
      <c r="L721" s="194">
        <f>_1_5412845612146241046457891017456[[#This Row],[LIST $]]*_1_5412845612146241046457891017456[[#This Row],[DISCOUNT]]*_1_5412845612146241046457891017456[[#This Row],[DISCOUNT 2]]</f>
        <v>0</v>
      </c>
      <c r="M721" s="194">
        <f>IF(OR(_1_5412845612146241046457891017456[[#This Row],[UNIT]]&gt;0,_1_5412845612146241046457891017456[[#This Row],[UNIT]]&lt;0),_1_5412845612146241046457891017456[[#This Row],[UNIT]]*_1_5412845612146241046457891017456[[#This Row],[COST]],0)</f>
        <v>0</v>
      </c>
      <c r="N721" s="194">
        <f t="shared" si="11"/>
        <v>1.3</v>
      </c>
      <c r="O721" s="198">
        <f>_1_5412845612146241046457891017456[[#This Row],[TOTAL]]*_1_5412845612146241046457891017456[[#This Row],[MARGIN]]</f>
        <v>0</v>
      </c>
      <c r="R721" s="41"/>
    </row>
    <row r="722" spans="4:18">
      <c r="D722" s="188"/>
      <c r="F722" s="168" t="s">
        <v>6202</v>
      </c>
      <c r="G722" s="193">
        <f>IF(_1_5412845612146241046457891017456[[#This Row],[Type]]&gt;0,VLOOKUP(_1_5412845612146241046457891017456[[#This Row],[Type]],Main[[#All],[TYPE]:[UNIT]],'Unit Price'!C$1,FALSE),0)</f>
        <v>0</v>
      </c>
      <c r="H722" s="197">
        <f>IF(_1_5412845612146241046457891017456[[#This Row],[Type]]&gt;0,VLOOKUP(_1_5412845612146241046457891017456[[#This Row],[Type]],Main[[#All],[TYPE]:[UNIT]],'Unit Price'!D$1,FALSE),0)</f>
        <v>0</v>
      </c>
      <c r="I722" s="194">
        <f>IF(_1_5412845612146241046457891017456[[#This Row],[Type]]&gt;0,VLOOKUP(_1_5412845612146241046457891017456[[#This Row],[Type]],Main[[#All],[TYPE]:[UNIT]],'Unit Price'!G$1,FALSE),0)</f>
        <v>0</v>
      </c>
      <c r="J722" s="194">
        <f>IF(_1_5412845612146241046457891017456[[#This Row],[Type]]&gt;0,VLOOKUP(_1_5412845612146241046457891017456[[#This Row],[Type]],Main[[#All],[TYPE]:[UNIT]],'Unit Price'!H$1,FALSE),0)</f>
        <v>0</v>
      </c>
      <c r="K722" s="194">
        <f>IF(_1_5412845612146241046457891017456[[#This Row],[Discount selection]]&gt;0,VLOOKUP(_1_5412845612146241046457891017456[[#This Row],[Discount selection]],'Discount Structure'!$A$2:$B$30,2,"false"),0)</f>
        <v>1</v>
      </c>
      <c r="L722" s="194">
        <f>_1_5412845612146241046457891017456[[#This Row],[LIST $]]*_1_5412845612146241046457891017456[[#This Row],[DISCOUNT]]*_1_5412845612146241046457891017456[[#This Row],[DISCOUNT 2]]</f>
        <v>0</v>
      </c>
      <c r="M722" s="194">
        <f>IF(OR(_1_5412845612146241046457891017456[[#This Row],[UNIT]]&gt;0,_1_5412845612146241046457891017456[[#This Row],[UNIT]]&lt;0),_1_5412845612146241046457891017456[[#This Row],[UNIT]]*_1_5412845612146241046457891017456[[#This Row],[COST]],0)</f>
        <v>0</v>
      </c>
      <c r="N722" s="194">
        <f t="shared" si="11"/>
        <v>1.3</v>
      </c>
      <c r="O722" s="198">
        <f>_1_5412845612146241046457891017456[[#This Row],[TOTAL]]*_1_5412845612146241046457891017456[[#This Row],[MARGIN]]</f>
        <v>0</v>
      </c>
      <c r="R722" s="41"/>
    </row>
    <row r="723" spans="4:18">
      <c r="D723" s="188"/>
      <c r="F723" s="168" t="s">
        <v>6202</v>
      </c>
      <c r="G723" s="193">
        <f>IF(_1_5412845612146241046457891017456[[#This Row],[Type]]&gt;0,VLOOKUP(_1_5412845612146241046457891017456[[#This Row],[Type]],Main[[#All],[TYPE]:[UNIT]],'Unit Price'!C$1,FALSE),0)</f>
        <v>0</v>
      </c>
      <c r="H723" s="197">
        <f>IF(_1_5412845612146241046457891017456[[#This Row],[Type]]&gt;0,VLOOKUP(_1_5412845612146241046457891017456[[#This Row],[Type]],Main[[#All],[TYPE]:[UNIT]],'Unit Price'!D$1,FALSE),0)</f>
        <v>0</v>
      </c>
      <c r="I723" s="194">
        <f>IF(_1_5412845612146241046457891017456[[#This Row],[Type]]&gt;0,VLOOKUP(_1_5412845612146241046457891017456[[#This Row],[Type]],Main[[#All],[TYPE]:[UNIT]],'Unit Price'!G$1,FALSE),0)</f>
        <v>0</v>
      </c>
      <c r="J723" s="194">
        <f>IF(_1_5412845612146241046457891017456[[#This Row],[Type]]&gt;0,VLOOKUP(_1_5412845612146241046457891017456[[#This Row],[Type]],Main[[#All],[TYPE]:[UNIT]],'Unit Price'!H$1,FALSE),0)</f>
        <v>0</v>
      </c>
      <c r="K723" s="194">
        <f>IF(_1_5412845612146241046457891017456[[#This Row],[Discount selection]]&gt;0,VLOOKUP(_1_5412845612146241046457891017456[[#This Row],[Discount selection]],'Discount Structure'!$A$2:$B$30,2,"false"),0)</f>
        <v>1</v>
      </c>
      <c r="L723" s="194">
        <f>_1_5412845612146241046457891017456[[#This Row],[LIST $]]*_1_5412845612146241046457891017456[[#This Row],[DISCOUNT]]*_1_5412845612146241046457891017456[[#This Row],[DISCOUNT 2]]</f>
        <v>0</v>
      </c>
      <c r="M723" s="194">
        <f>IF(OR(_1_5412845612146241046457891017456[[#This Row],[UNIT]]&gt;0,_1_5412845612146241046457891017456[[#This Row],[UNIT]]&lt;0),_1_5412845612146241046457891017456[[#This Row],[UNIT]]*_1_5412845612146241046457891017456[[#This Row],[COST]],0)</f>
        <v>0</v>
      </c>
      <c r="N723" s="194">
        <f t="shared" si="11"/>
        <v>1.3</v>
      </c>
      <c r="O723" s="198">
        <f>_1_5412845612146241046457891017456[[#This Row],[TOTAL]]*_1_5412845612146241046457891017456[[#This Row],[MARGIN]]</f>
        <v>0</v>
      </c>
      <c r="R723" s="41"/>
    </row>
    <row r="724" spans="4:18">
      <c r="D724" s="188"/>
      <c r="F724" s="168" t="s">
        <v>6202</v>
      </c>
      <c r="G724" s="193">
        <f>IF(_1_5412845612146241046457891017456[[#This Row],[Type]]&gt;0,VLOOKUP(_1_5412845612146241046457891017456[[#This Row],[Type]],Main[[#All],[TYPE]:[UNIT]],'Unit Price'!C$1,FALSE),0)</f>
        <v>0</v>
      </c>
      <c r="H724" s="197">
        <f>IF(_1_5412845612146241046457891017456[[#This Row],[Type]]&gt;0,VLOOKUP(_1_5412845612146241046457891017456[[#This Row],[Type]],Main[[#All],[TYPE]:[UNIT]],'Unit Price'!D$1,FALSE),0)</f>
        <v>0</v>
      </c>
      <c r="I724" s="194">
        <f>IF(_1_5412845612146241046457891017456[[#This Row],[Type]]&gt;0,VLOOKUP(_1_5412845612146241046457891017456[[#This Row],[Type]],Main[[#All],[TYPE]:[UNIT]],'Unit Price'!G$1,FALSE),0)</f>
        <v>0</v>
      </c>
      <c r="J724" s="194">
        <f>IF(_1_5412845612146241046457891017456[[#This Row],[Type]]&gt;0,VLOOKUP(_1_5412845612146241046457891017456[[#This Row],[Type]],Main[[#All],[TYPE]:[UNIT]],'Unit Price'!H$1,FALSE),0)</f>
        <v>0</v>
      </c>
      <c r="K724" s="194">
        <f>IF(_1_5412845612146241046457891017456[[#This Row],[Discount selection]]&gt;0,VLOOKUP(_1_5412845612146241046457891017456[[#This Row],[Discount selection]],'Discount Structure'!$A$2:$B$30,2,"false"),0)</f>
        <v>1</v>
      </c>
      <c r="L724" s="194">
        <f>_1_5412845612146241046457891017456[[#This Row],[LIST $]]*_1_5412845612146241046457891017456[[#This Row],[DISCOUNT]]*_1_5412845612146241046457891017456[[#This Row],[DISCOUNT 2]]</f>
        <v>0</v>
      </c>
      <c r="M724" s="194">
        <f>IF(OR(_1_5412845612146241046457891017456[[#This Row],[UNIT]]&gt;0,_1_5412845612146241046457891017456[[#This Row],[UNIT]]&lt;0),_1_5412845612146241046457891017456[[#This Row],[UNIT]]*_1_5412845612146241046457891017456[[#This Row],[COST]],0)</f>
        <v>0</v>
      </c>
      <c r="N724" s="194">
        <f t="shared" si="11"/>
        <v>1.3</v>
      </c>
      <c r="O724" s="198">
        <f>_1_5412845612146241046457891017456[[#This Row],[TOTAL]]*_1_5412845612146241046457891017456[[#This Row],[MARGIN]]</f>
        <v>0</v>
      </c>
      <c r="R724" s="41"/>
    </row>
    <row r="725" spans="4:18">
      <c r="D725" s="188"/>
      <c r="F725" s="168" t="s">
        <v>6202</v>
      </c>
      <c r="G725" s="193">
        <f>IF(_1_5412845612146241046457891017456[[#This Row],[Type]]&gt;0,VLOOKUP(_1_5412845612146241046457891017456[[#This Row],[Type]],Main[[#All],[TYPE]:[UNIT]],'Unit Price'!C$1,FALSE),0)</f>
        <v>0</v>
      </c>
      <c r="H725" s="197">
        <f>IF(_1_5412845612146241046457891017456[[#This Row],[Type]]&gt;0,VLOOKUP(_1_5412845612146241046457891017456[[#This Row],[Type]],Main[[#All],[TYPE]:[UNIT]],'Unit Price'!D$1,FALSE),0)</f>
        <v>0</v>
      </c>
      <c r="I725" s="194">
        <f>IF(_1_5412845612146241046457891017456[[#This Row],[Type]]&gt;0,VLOOKUP(_1_5412845612146241046457891017456[[#This Row],[Type]],Main[[#All],[TYPE]:[UNIT]],'Unit Price'!G$1,FALSE),0)</f>
        <v>0</v>
      </c>
      <c r="J725" s="194">
        <f>IF(_1_5412845612146241046457891017456[[#This Row],[Type]]&gt;0,VLOOKUP(_1_5412845612146241046457891017456[[#This Row],[Type]],Main[[#All],[TYPE]:[UNIT]],'Unit Price'!H$1,FALSE),0)</f>
        <v>0</v>
      </c>
      <c r="K725" s="194">
        <f>IF(_1_5412845612146241046457891017456[[#This Row],[Discount selection]]&gt;0,VLOOKUP(_1_5412845612146241046457891017456[[#This Row],[Discount selection]],'Discount Structure'!$A$2:$B$30,2,"false"),0)</f>
        <v>1</v>
      </c>
      <c r="L725" s="194">
        <f>_1_5412845612146241046457891017456[[#This Row],[LIST $]]*_1_5412845612146241046457891017456[[#This Row],[DISCOUNT]]*_1_5412845612146241046457891017456[[#This Row],[DISCOUNT 2]]</f>
        <v>0</v>
      </c>
      <c r="M725" s="194">
        <f>IF(OR(_1_5412845612146241046457891017456[[#This Row],[UNIT]]&gt;0,_1_5412845612146241046457891017456[[#This Row],[UNIT]]&lt;0),_1_5412845612146241046457891017456[[#This Row],[UNIT]]*_1_5412845612146241046457891017456[[#This Row],[COST]],0)</f>
        <v>0</v>
      </c>
      <c r="N725" s="194">
        <f t="shared" si="11"/>
        <v>1.3</v>
      </c>
      <c r="O725" s="198">
        <f>_1_5412845612146241046457891017456[[#This Row],[TOTAL]]*_1_5412845612146241046457891017456[[#This Row],[MARGIN]]</f>
        <v>0</v>
      </c>
      <c r="R725" s="41"/>
    </row>
    <row r="726" spans="4:18">
      <c r="D726" s="188"/>
      <c r="F726" s="168" t="s">
        <v>6202</v>
      </c>
      <c r="G726" s="193">
        <f>IF(_1_5412845612146241046457891017456[[#This Row],[Type]]&gt;0,VLOOKUP(_1_5412845612146241046457891017456[[#This Row],[Type]],Main[[#All],[TYPE]:[UNIT]],'Unit Price'!C$1,FALSE),0)</f>
        <v>0</v>
      </c>
      <c r="H726" s="197">
        <f>IF(_1_5412845612146241046457891017456[[#This Row],[Type]]&gt;0,VLOOKUP(_1_5412845612146241046457891017456[[#This Row],[Type]],Main[[#All],[TYPE]:[UNIT]],'Unit Price'!D$1,FALSE),0)</f>
        <v>0</v>
      </c>
      <c r="I726" s="194">
        <f>IF(_1_5412845612146241046457891017456[[#This Row],[Type]]&gt;0,VLOOKUP(_1_5412845612146241046457891017456[[#This Row],[Type]],Main[[#All],[TYPE]:[UNIT]],'Unit Price'!G$1,FALSE),0)</f>
        <v>0</v>
      </c>
      <c r="J726" s="194">
        <f>IF(_1_5412845612146241046457891017456[[#This Row],[Type]]&gt;0,VLOOKUP(_1_5412845612146241046457891017456[[#This Row],[Type]],Main[[#All],[TYPE]:[UNIT]],'Unit Price'!H$1,FALSE),0)</f>
        <v>0</v>
      </c>
      <c r="K726" s="194">
        <f>IF(_1_5412845612146241046457891017456[[#This Row],[Discount selection]]&gt;0,VLOOKUP(_1_5412845612146241046457891017456[[#This Row],[Discount selection]],'Discount Structure'!$A$2:$B$30,2,"false"),0)</f>
        <v>1</v>
      </c>
      <c r="L726" s="194">
        <f>_1_5412845612146241046457891017456[[#This Row],[LIST $]]*_1_5412845612146241046457891017456[[#This Row],[DISCOUNT]]*_1_5412845612146241046457891017456[[#This Row],[DISCOUNT 2]]</f>
        <v>0</v>
      </c>
      <c r="M726" s="194">
        <f>IF(OR(_1_5412845612146241046457891017456[[#This Row],[UNIT]]&gt;0,_1_5412845612146241046457891017456[[#This Row],[UNIT]]&lt;0),_1_5412845612146241046457891017456[[#This Row],[UNIT]]*_1_5412845612146241046457891017456[[#This Row],[COST]],0)</f>
        <v>0</v>
      </c>
      <c r="N726" s="194">
        <f t="shared" si="11"/>
        <v>1.3</v>
      </c>
      <c r="O726" s="198">
        <f>_1_5412845612146241046457891017456[[#This Row],[TOTAL]]*_1_5412845612146241046457891017456[[#This Row],[MARGIN]]</f>
        <v>0</v>
      </c>
      <c r="R726" s="41"/>
    </row>
    <row r="727" spans="4:18">
      <c r="D727" s="188"/>
      <c r="F727" s="168" t="s">
        <v>6202</v>
      </c>
      <c r="G727" s="193">
        <f>IF(_1_5412845612146241046457891017456[[#This Row],[Type]]&gt;0,VLOOKUP(_1_5412845612146241046457891017456[[#This Row],[Type]],Main[[#All],[TYPE]:[UNIT]],'Unit Price'!C$1,FALSE),0)</f>
        <v>0</v>
      </c>
      <c r="H727" s="197">
        <f>IF(_1_5412845612146241046457891017456[[#This Row],[Type]]&gt;0,VLOOKUP(_1_5412845612146241046457891017456[[#This Row],[Type]],Main[[#All],[TYPE]:[UNIT]],'Unit Price'!D$1,FALSE),0)</f>
        <v>0</v>
      </c>
      <c r="I727" s="194">
        <f>IF(_1_5412845612146241046457891017456[[#This Row],[Type]]&gt;0,VLOOKUP(_1_5412845612146241046457891017456[[#This Row],[Type]],Main[[#All],[TYPE]:[UNIT]],'Unit Price'!G$1,FALSE),0)</f>
        <v>0</v>
      </c>
      <c r="J727" s="194">
        <f>IF(_1_5412845612146241046457891017456[[#This Row],[Type]]&gt;0,VLOOKUP(_1_5412845612146241046457891017456[[#This Row],[Type]],Main[[#All],[TYPE]:[UNIT]],'Unit Price'!H$1,FALSE),0)</f>
        <v>0</v>
      </c>
      <c r="K727" s="194">
        <f>IF(_1_5412845612146241046457891017456[[#This Row],[Discount selection]]&gt;0,VLOOKUP(_1_5412845612146241046457891017456[[#This Row],[Discount selection]],'Discount Structure'!$A$2:$B$30,2,"false"),0)</f>
        <v>1</v>
      </c>
      <c r="L727" s="194">
        <f>_1_5412845612146241046457891017456[[#This Row],[LIST $]]*_1_5412845612146241046457891017456[[#This Row],[DISCOUNT]]*_1_5412845612146241046457891017456[[#This Row],[DISCOUNT 2]]</f>
        <v>0</v>
      </c>
      <c r="M727" s="194">
        <f>IF(OR(_1_5412845612146241046457891017456[[#This Row],[UNIT]]&gt;0,_1_5412845612146241046457891017456[[#This Row],[UNIT]]&lt;0),_1_5412845612146241046457891017456[[#This Row],[UNIT]]*_1_5412845612146241046457891017456[[#This Row],[COST]],0)</f>
        <v>0</v>
      </c>
      <c r="N727" s="194">
        <f t="shared" si="11"/>
        <v>1.3</v>
      </c>
      <c r="O727" s="198">
        <f>_1_5412845612146241046457891017456[[#This Row],[TOTAL]]*_1_5412845612146241046457891017456[[#This Row],[MARGIN]]</f>
        <v>0</v>
      </c>
      <c r="R727" s="41"/>
    </row>
    <row r="728" spans="4:18">
      <c r="D728" s="188"/>
      <c r="F728" s="168" t="s">
        <v>6202</v>
      </c>
      <c r="G728" s="193">
        <f>IF(_1_5412845612146241046457891017456[[#This Row],[Type]]&gt;0,VLOOKUP(_1_5412845612146241046457891017456[[#This Row],[Type]],Main[[#All],[TYPE]:[UNIT]],'Unit Price'!C$1,FALSE),0)</f>
        <v>0</v>
      </c>
      <c r="H728" s="197">
        <f>IF(_1_5412845612146241046457891017456[[#This Row],[Type]]&gt;0,VLOOKUP(_1_5412845612146241046457891017456[[#This Row],[Type]],Main[[#All],[TYPE]:[UNIT]],'Unit Price'!D$1,FALSE),0)</f>
        <v>0</v>
      </c>
      <c r="I728" s="194">
        <f>IF(_1_5412845612146241046457891017456[[#This Row],[Type]]&gt;0,VLOOKUP(_1_5412845612146241046457891017456[[#This Row],[Type]],Main[[#All],[TYPE]:[UNIT]],'Unit Price'!G$1,FALSE),0)</f>
        <v>0</v>
      </c>
      <c r="J728" s="194">
        <f>IF(_1_5412845612146241046457891017456[[#This Row],[Type]]&gt;0,VLOOKUP(_1_5412845612146241046457891017456[[#This Row],[Type]],Main[[#All],[TYPE]:[UNIT]],'Unit Price'!H$1,FALSE),0)</f>
        <v>0</v>
      </c>
      <c r="K728" s="194">
        <f>IF(_1_5412845612146241046457891017456[[#This Row],[Discount selection]]&gt;0,VLOOKUP(_1_5412845612146241046457891017456[[#This Row],[Discount selection]],'Discount Structure'!$A$2:$B$30,2,"false"),0)</f>
        <v>1</v>
      </c>
      <c r="L728" s="194">
        <f>_1_5412845612146241046457891017456[[#This Row],[LIST $]]*_1_5412845612146241046457891017456[[#This Row],[DISCOUNT]]*_1_5412845612146241046457891017456[[#This Row],[DISCOUNT 2]]</f>
        <v>0</v>
      </c>
      <c r="M728" s="194">
        <f>IF(OR(_1_5412845612146241046457891017456[[#This Row],[UNIT]]&gt;0,_1_5412845612146241046457891017456[[#This Row],[UNIT]]&lt;0),_1_5412845612146241046457891017456[[#This Row],[UNIT]]*_1_5412845612146241046457891017456[[#This Row],[COST]],0)</f>
        <v>0</v>
      </c>
      <c r="N728" s="194">
        <f t="shared" si="11"/>
        <v>1.3</v>
      </c>
      <c r="O728" s="198">
        <f>_1_5412845612146241046457891017456[[#This Row],[TOTAL]]*_1_5412845612146241046457891017456[[#This Row],[MARGIN]]</f>
        <v>0</v>
      </c>
      <c r="R728" s="41"/>
    </row>
    <row r="729" spans="4:18">
      <c r="D729" s="188"/>
      <c r="F729" s="168" t="s">
        <v>6202</v>
      </c>
      <c r="G729" s="193">
        <f>IF(_1_5412845612146241046457891017456[[#This Row],[Type]]&gt;0,VLOOKUP(_1_5412845612146241046457891017456[[#This Row],[Type]],Main[[#All],[TYPE]:[UNIT]],'Unit Price'!C$1,FALSE),0)</f>
        <v>0</v>
      </c>
      <c r="H729" s="197">
        <f>IF(_1_5412845612146241046457891017456[[#This Row],[Type]]&gt;0,VLOOKUP(_1_5412845612146241046457891017456[[#This Row],[Type]],Main[[#All],[TYPE]:[UNIT]],'Unit Price'!D$1,FALSE),0)</f>
        <v>0</v>
      </c>
      <c r="I729" s="194">
        <f>IF(_1_5412845612146241046457891017456[[#This Row],[Type]]&gt;0,VLOOKUP(_1_5412845612146241046457891017456[[#This Row],[Type]],Main[[#All],[TYPE]:[UNIT]],'Unit Price'!G$1,FALSE),0)</f>
        <v>0</v>
      </c>
      <c r="J729" s="194">
        <f>IF(_1_5412845612146241046457891017456[[#This Row],[Type]]&gt;0,VLOOKUP(_1_5412845612146241046457891017456[[#This Row],[Type]],Main[[#All],[TYPE]:[UNIT]],'Unit Price'!H$1,FALSE),0)</f>
        <v>0</v>
      </c>
      <c r="K729" s="194">
        <f>IF(_1_5412845612146241046457891017456[[#This Row],[Discount selection]]&gt;0,VLOOKUP(_1_5412845612146241046457891017456[[#This Row],[Discount selection]],'Discount Structure'!$A$2:$B$30,2,"false"),0)</f>
        <v>1</v>
      </c>
      <c r="L729" s="194">
        <f>_1_5412845612146241046457891017456[[#This Row],[LIST $]]*_1_5412845612146241046457891017456[[#This Row],[DISCOUNT]]*_1_5412845612146241046457891017456[[#This Row],[DISCOUNT 2]]</f>
        <v>0</v>
      </c>
      <c r="M729" s="194">
        <f>IF(OR(_1_5412845612146241046457891017456[[#This Row],[UNIT]]&gt;0,_1_5412845612146241046457891017456[[#This Row],[UNIT]]&lt;0),_1_5412845612146241046457891017456[[#This Row],[UNIT]]*_1_5412845612146241046457891017456[[#This Row],[COST]],0)</f>
        <v>0</v>
      </c>
      <c r="N729" s="194">
        <f t="shared" si="11"/>
        <v>1.3</v>
      </c>
      <c r="O729" s="198">
        <f>_1_5412845612146241046457891017456[[#This Row],[TOTAL]]*_1_5412845612146241046457891017456[[#This Row],[MARGIN]]</f>
        <v>0</v>
      </c>
      <c r="R729" s="41"/>
    </row>
    <row r="730" spans="4:18">
      <c r="D730" s="188"/>
      <c r="F730" s="168" t="s">
        <v>6202</v>
      </c>
      <c r="G730" s="193">
        <f>IF(_1_5412845612146241046457891017456[[#This Row],[Type]]&gt;0,VLOOKUP(_1_5412845612146241046457891017456[[#This Row],[Type]],Main[[#All],[TYPE]:[UNIT]],'Unit Price'!C$1,FALSE),0)</f>
        <v>0</v>
      </c>
      <c r="H730" s="197">
        <f>IF(_1_5412845612146241046457891017456[[#This Row],[Type]]&gt;0,VLOOKUP(_1_5412845612146241046457891017456[[#This Row],[Type]],Main[[#All],[TYPE]:[UNIT]],'Unit Price'!D$1,FALSE),0)</f>
        <v>0</v>
      </c>
      <c r="I730" s="194">
        <f>IF(_1_5412845612146241046457891017456[[#This Row],[Type]]&gt;0,VLOOKUP(_1_5412845612146241046457891017456[[#This Row],[Type]],Main[[#All],[TYPE]:[UNIT]],'Unit Price'!G$1,FALSE),0)</f>
        <v>0</v>
      </c>
      <c r="J730" s="194">
        <f>IF(_1_5412845612146241046457891017456[[#This Row],[Type]]&gt;0,VLOOKUP(_1_5412845612146241046457891017456[[#This Row],[Type]],Main[[#All],[TYPE]:[UNIT]],'Unit Price'!H$1,FALSE),0)</f>
        <v>0</v>
      </c>
      <c r="K730" s="194">
        <f>IF(_1_5412845612146241046457891017456[[#This Row],[Discount selection]]&gt;0,VLOOKUP(_1_5412845612146241046457891017456[[#This Row],[Discount selection]],'Discount Structure'!$A$2:$B$30,2,"false"),0)</f>
        <v>1</v>
      </c>
      <c r="L730" s="194">
        <f>_1_5412845612146241046457891017456[[#This Row],[LIST $]]*_1_5412845612146241046457891017456[[#This Row],[DISCOUNT]]*_1_5412845612146241046457891017456[[#This Row],[DISCOUNT 2]]</f>
        <v>0</v>
      </c>
      <c r="M730" s="194">
        <f>IF(OR(_1_5412845612146241046457891017456[[#This Row],[UNIT]]&gt;0,_1_5412845612146241046457891017456[[#This Row],[UNIT]]&lt;0),_1_5412845612146241046457891017456[[#This Row],[UNIT]]*_1_5412845612146241046457891017456[[#This Row],[COST]],0)</f>
        <v>0</v>
      </c>
      <c r="N730" s="194">
        <f t="shared" si="11"/>
        <v>1.3</v>
      </c>
      <c r="O730" s="198">
        <f>_1_5412845612146241046457891017456[[#This Row],[TOTAL]]*_1_5412845612146241046457891017456[[#This Row],[MARGIN]]</f>
        <v>0</v>
      </c>
      <c r="R730" s="41"/>
    </row>
    <row r="731" spans="4:18">
      <c r="D731" s="188"/>
      <c r="F731" s="168" t="s">
        <v>6202</v>
      </c>
      <c r="G731" s="193">
        <f>IF(_1_5412845612146241046457891017456[[#This Row],[Type]]&gt;0,VLOOKUP(_1_5412845612146241046457891017456[[#This Row],[Type]],Main[[#All],[TYPE]:[UNIT]],'Unit Price'!C$1,FALSE),0)</f>
        <v>0</v>
      </c>
      <c r="H731" s="197">
        <f>IF(_1_5412845612146241046457891017456[[#This Row],[Type]]&gt;0,VLOOKUP(_1_5412845612146241046457891017456[[#This Row],[Type]],Main[[#All],[TYPE]:[UNIT]],'Unit Price'!D$1,FALSE),0)</f>
        <v>0</v>
      </c>
      <c r="I731" s="194">
        <f>IF(_1_5412845612146241046457891017456[[#This Row],[Type]]&gt;0,VLOOKUP(_1_5412845612146241046457891017456[[#This Row],[Type]],Main[[#All],[TYPE]:[UNIT]],'Unit Price'!G$1,FALSE),0)</f>
        <v>0</v>
      </c>
      <c r="J731" s="194">
        <f>IF(_1_5412845612146241046457891017456[[#This Row],[Type]]&gt;0,VLOOKUP(_1_5412845612146241046457891017456[[#This Row],[Type]],Main[[#All],[TYPE]:[UNIT]],'Unit Price'!H$1,FALSE),0)</f>
        <v>0</v>
      </c>
      <c r="K731" s="194">
        <f>IF(_1_5412845612146241046457891017456[[#This Row],[Discount selection]]&gt;0,VLOOKUP(_1_5412845612146241046457891017456[[#This Row],[Discount selection]],'Discount Structure'!$A$2:$B$30,2,"false"),0)</f>
        <v>1</v>
      </c>
      <c r="L731" s="194">
        <f>_1_5412845612146241046457891017456[[#This Row],[LIST $]]*_1_5412845612146241046457891017456[[#This Row],[DISCOUNT]]*_1_5412845612146241046457891017456[[#This Row],[DISCOUNT 2]]</f>
        <v>0</v>
      </c>
      <c r="M731" s="194">
        <f>IF(OR(_1_5412845612146241046457891017456[[#This Row],[UNIT]]&gt;0,_1_5412845612146241046457891017456[[#This Row],[UNIT]]&lt;0),_1_5412845612146241046457891017456[[#This Row],[UNIT]]*_1_5412845612146241046457891017456[[#This Row],[COST]],0)</f>
        <v>0</v>
      </c>
      <c r="N731" s="194">
        <f t="shared" si="11"/>
        <v>1.3</v>
      </c>
      <c r="O731" s="198">
        <f>_1_5412845612146241046457891017456[[#This Row],[TOTAL]]*_1_5412845612146241046457891017456[[#This Row],[MARGIN]]</f>
        <v>0</v>
      </c>
      <c r="R731" s="41"/>
    </row>
    <row r="732" spans="4:18">
      <c r="D732" s="188"/>
      <c r="F732" s="168" t="s">
        <v>6202</v>
      </c>
      <c r="G732" s="193">
        <f>IF(_1_5412845612146241046457891017456[[#This Row],[Type]]&gt;0,VLOOKUP(_1_5412845612146241046457891017456[[#This Row],[Type]],Main[[#All],[TYPE]:[UNIT]],'Unit Price'!C$1,FALSE),0)</f>
        <v>0</v>
      </c>
      <c r="H732" s="197">
        <f>IF(_1_5412845612146241046457891017456[[#This Row],[Type]]&gt;0,VLOOKUP(_1_5412845612146241046457891017456[[#This Row],[Type]],Main[[#All],[TYPE]:[UNIT]],'Unit Price'!D$1,FALSE),0)</f>
        <v>0</v>
      </c>
      <c r="I732" s="194">
        <f>IF(_1_5412845612146241046457891017456[[#This Row],[Type]]&gt;0,VLOOKUP(_1_5412845612146241046457891017456[[#This Row],[Type]],Main[[#All],[TYPE]:[UNIT]],'Unit Price'!G$1,FALSE),0)</f>
        <v>0</v>
      </c>
      <c r="J732" s="194">
        <f>IF(_1_5412845612146241046457891017456[[#This Row],[Type]]&gt;0,VLOOKUP(_1_5412845612146241046457891017456[[#This Row],[Type]],Main[[#All],[TYPE]:[UNIT]],'Unit Price'!H$1,FALSE),0)</f>
        <v>0</v>
      </c>
      <c r="K732" s="194">
        <f>IF(_1_5412845612146241046457891017456[[#This Row],[Discount selection]]&gt;0,VLOOKUP(_1_5412845612146241046457891017456[[#This Row],[Discount selection]],'Discount Structure'!$A$2:$B$30,2,"false"),0)</f>
        <v>1</v>
      </c>
      <c r="L732" s="194">
        <f>_1_5412845612146241046457891017456[[#This Row],[LIST $]]*_1_5412845612146241046457891017456[[#This Row],[DISCOUNT]]*_1_5412845612146241046457891017456[[#This Row],[DISCOUNT 2]]</f>
        <v>0</v>
      </c>
      <c r="M732" s="194">
        <f>IF(OR(_1_5412845612146241046457891017456[[#This Row],[UNIT]]&gt;0,_1_5412845612146241046457891017456[[#This Row],[UNIT]]&lt;0),_1_5412845612146241046457891017456[[#This Row],[UNIT]]*_1_5412845612146241046457891017456[[#This Row],[COST]],0)</f>
        <v>0</v>
      </c>
      <c r="N732" s="194">
        <f t="shared" si="11"/>
        <v>1.3</v>
      </c>
      <c r="O732" s="198">
        <f>_1_5412845612146241046457891017456[[#This Row],[TOTAL]]*_1_5412845612146241046457891017456[[#This Row],[MARGIN]]</f>
        <v>0</v>
      </c>
      <c r="R732" s="41"/>
    </row>
    <row r="733" spans="4:18">
      <c r="D733" s="188"/>
      <c r="F733" s="168" t="s">
        <v>6202</v>
      </c>
      <c r="G733" s="193">
        <f>IF(_1_5412845612146241046457891017456[[#This Row],[Type]]&gt;0,VLOOKUP(_1_5412845612146241046457891017456[[#This Row],[Type]],Main[[#All],[TYPE]:[UNIT]],'Unit Price'!C$1,FALSE),0)</f>
        <v>0</v>
      </c>
      <c r="H733" s="197">
        <f>IF(_1_5412845612146241046457891017456[[#This Row],[Type]]&gt;0,VLOOKUP(_1_5412845612146241046457891017456[[#This Row],[Type]],Main[[#All],[TYPE]:[UNIT]],'Unit Price'!D$1,FALSE),0)</f>
        <v>0</v>
      </c>
      <c r="I733" s="194">
        <f>IF(_1_5412845612146241046457891017456[[#This Row],[Type]]&gt;0,VLOOKUP(_1_5412845612146241046457891017456[[#This Row],[Type]],Main[[#All],[TYPE]:[UNIT]],'Unit Price'!G$1,FALSE),0)</f>
        <v>0</v>
      </c>
      <c r="J733" s="194">
        <f>IF(_1_5412845612146241046457891017456[[#This Row],[Type]]&gt;0,VLOOKUP(_1_5412845612146241046457891017456[[#This Row],[Type]],Main[[#All],[TYPE]:[UNIT]],'Unit Price'!H$1,FALSE),0)</f>
        <v>0</v>
      </c>
      <c r="K733" s="194">
        <f>IF(_1_5412845612146241046457891017456[[#This Row],[Discount selection]]&gt;0,VLOOKUP(_1_5412845612146241046457891017456[[#This Row],[Discount selection]],'Discount Structure'!$A$2:$B$30,2,"false"),0)</f>
        <v>1</v>
      </c>
      <c r="L733" s="194">
        <f>_1_5412845612146241046457891017456[[#This Row],[LIST $]]*_1_5412845612146241046457891017456[[#This Row],[DISCOUNT]]*_1_5412845612146241046457891017456[[#This Row],[DISCOUNT 2]]</f>
        <v>0</v>
      </c>
      <c r="M733" s="194">
        <f>IF(OR(_1_5412845612146241046457891017456[[#This Row],[UNIT]]&gt;0,_1_5412845612146241046457891017456[[#This Row],[UNIT]]&lt;0),_1_5412845612146241046457891017456[[#This Row],[UNIT]]*_1_5412845612146241046457891017456[[#This Row],[COST]],0)</f>
        <v>0</v>
      </c>
      <c r="N733" s="194">
        <f t="shared" si="11"/>
        <v>1.3</v>
      </c>
      <c r="O733" s="198">
        <f>_1_5412845612146241046457891017456[[#This Row],[TOTAL]]*_1_5412845612146241046457891017456[[#This Row],[MARGIN]]</f>
        <v>0</v>
      </c>
      <c r="R733" s="41"/>
    </row>
    <row r="734" spans="4:18">
      <c r="D734" s="188"/>
      <c r="F734" s="168" t="s">
        <v>6202</v>
      </c>
      <c r="G734" s="193">
        <f>IF(_1_5412845612146241046457891017456[[#This Row],[Type]]&gt;0,VLOOKUP(_1_5412845612146241046457891017456[[#This Row],[Type]],Main[[#All],[TYPE]:[UNIT]],'Unit Price'!C$1,FALSE),0)</f>
        <v>0</v>
      </c>
      <c r="H734" s="197">
        <f>IF(_1_5412845612146241046457891017456[[#This Row],[Type]]&gt;0,VLOOKUP(_1_5412845612146241046457891017456[[#This Row],[Type]],Main[[#All],[TYPE]:[UNIT]],'Unit Price'!D$1,FALSE),0)</f>
        <v>0</v>
      </c>
      <c r="I734" s="194">
        <f>IF(_1_5412845612146241046457891017456[[#This Row],[Type]]&gt;0,VLOOKUP(_1_5412845612146241046457891017456[[#This Row],[Type]],Main[[#All],[TYPE]:[UNIT]],'Unit Price'!G$1,FALSE),0)</f>
        <v>0</v>
      </c>
      <c r="J734" s="194">
        <f>IF(_1_5412845612146241046457891017456[[#This Row],[Type]]&gt;0,VLOOKUP(_1_5412845612146241046457891017456[[#This Row],[Type]],Main[[#All],[TYPE]:[UNIT]],'Unit Price'!H$1,FALSE),0)</f>
        <v>0</v>
      </c>
      <c r="K734" s="194">
        <f>IF(_1_5412845612146241046457891017456[[#This Row],[Discount selection]]&gt;0,VLOOKUP(_1_5412845612146241046457891017456[[#This Row],[Discount selection]],'Discount Structure'!$A$2:$B$30,2,"false"),0)</f>
        <v>1</v>
      </c>
      <c r="L734" s="194">
        <f>_1_5412845612146241046457891017456[[#This Row],[LIST $]]*_1_5412845612146241046457891017456[[#This Row],[DISCOUNT]]*_1_5412845612146241046457891017456[[#This Row],[DISCOUNT 2]]</f>
        <v>0</v>
      </c>
      <c r="M734" s="194">
        <f>IF(OR(_1_5412845612146241046457891017456[[#This Row],[UNIT]]&gt;0,_1_5412845612146241046457891017456[[#This Row],[UNIT]]&lt;0),_1_5412845612146241046457891017456[[#This Row],[UNIT]]*_1_5412845612146241046457891017456[[#This Row],[COST]],0)</f>
        <v>0</v>
      </c>
      <c r="N734" s="194">
        <f t="shared" si="11"/>
        <v>1.3</v>
      </c>
      <c r="O734" s="198">
        <f>_1_5412845612146241046457891017456[[#This Row],[TOTAL]]*_1_5412845612146241046457891017456[[#This Row],[MARGIN]]</f>
        <v>0</v>
      </c>
      <c r="R734" s="41"/>
    </row>
    <row r="735" spans="4:18">
      <c r="D735" s="188"/>
      <c r="F735" s="168" t="s">
        <v>6202</v>
      </c>
      <c r="G735" s="193">
        <f>IF(_1_5412845612146241046457891017456[[#This Row],[Type]]&gt;0,VLOOKUP(_1_5412845612146241046457891017456[[#This Row],[Type]],Main[[#All],[TYPE]:[UNIT]],'Unit Price'!C$1,FALSE),0)</f>
        <v>0</v>
      </c>
      <c r="H735" s="197">
        <f>IF(_1_5412845612146241046457891017456[[#This Row],[Type]]&gt;0,VLOOKUP(_1_5412845612146241046457891017456[[#This Row],[Type]],Main[[#All],[TYPE]:[UNIT]],'Unit Price'!D$1,FALSE),0)</f>
        <v>0</v>
      </c>
      <c r="I735" s="194">
        <f>IF(_1_5412845612146241046457891017456[[#This Row],[Type]]&gt;0,VLOOKUP(_1_5412845612146241046457891017456[[#This Row],[Type]],Main[[#All],[TYPE]:[UNIT]],'Unit Price'!G$1,FALSE),0)</f>
        <v>0</v>
      </c>
      <c r="J735" s="194">
        <f>IF(_1_5412845612146241046457891017456[[#This Row],[Type]]&gt;0,VLOOKUP(_1_5412845612146241046457891017456[[#This Row],[Type]],Main[[#All],[TYPE]:[UNIT]],'Unit Price'!H$1,FALSE),0)</f>
        <v>0</v>
      </c>
      <c r="K735" s="194">
        <f>IF(_1_5412845612146241046457891017456[[#This Row],[Discount selection]]&gt;0,VLOOKUP(_1_5412845612146241046457891017456[[#This Row],[Discount selection]],'Discount Structure'!$A$2:$B$30,2,"false"),0)</f>
        <v>1</v>
      </c>
      <c r="L735" s="194">
        <f>_1_5412845612146241046457891017456[[#This Row],[LIST $]]*_1_5412845612146241046457891017456[[#This Row],[DISCOUNT]]*_1_5412845612146241046457891017456[[#This Row],[DISCOUNT 2]]</f>
        <v>0</v>
      </c>
      <c r="M735" s="194">
        <f>IF(OR(_1_5412845612146241046457891017456[[#This Row],[UNIT]]&gt;0,_1_5412845612146241046457891017456[[#This Row],[UNIT]]&lt;0),_1_5412845612146241046457891017456[[#This Row],[UNIT]]*_1_5412845612146241046457891017456[[#This Row],[COST]],0)</f>
        <v>0</v>
      </c>
      <c r="N735" s="194">
        <f t="shared" si="11"/>
        <v>1.3</v>
      </c>
      <c r="O735" s="198">
        <f>_1_5412845612146241046457891017456[[#This Row],[TOTAL]]*_1_5412845612146241046457891017456[[#This Row],[MARGIN]]</f>
        <v>0</v>
      </c>
      <c r="R735" s="41"/>
    </row>
    <row r="736" spans="4:18">
      <c r="D736" s="188"/>
      <c r="F736" s="168" t="s">
        <v>6202</v>
      </c>
      <c r="G736" s="193">
        <f>IF(_1_5412845612146241046457891017456[[#This Row],[Type]]&gt;0,VLOOKUP(_1_5412845612146241046457891017456[[#This Row],[Type]],Main[[#All],[TYPE]:[UNIT]],'Unit Price'!C$1,FALSE),0)</f>
        <v>0</v>
      </c>
      <c r="H736" s="197">
        <f>IF(_1_5412845612146241046457891017456[[#This Row],[Type]]&gt;0,VLOOKUP(_1_5412845612146241046457891017456[[#This Row],[Type]],Main[[#All],[TYPE]:[UNIT]],'Unit Price'!D$1,FALSE),0)</f>
        <v>0</v>
      </c>
      <c r="I736" s="194">
        <f>IF(_1_5412845612146241046457891017456[[#This Row],[Type]]&gt;0,VLOOKUP(_1_5412845612146241046457891017456[[#This Row],[Type]],Main[[#All],[TYPE]:[UNIT]],'Unit Price'!G$1,FALSE),0)</f>
        <v>0</v>
      </c>
      <c r="J736" s="194">
        <f>IF(_1_5412845612146241046457891017456[[#This Row],[Type]]&gt;0,VLOOKUP(_1_5412845612146241046457891017456[[#This Row],[Type]],Main[[#All],[TYPE]:[UNIT]],'Unit Price'!H$1,FALSE),0)</f>
        <v>0</v>
      </c>
      <c r="K736" s="194">
        <f>IF(_1_5412845612146241046457891017456[[#This Row],[Discount selection]]&gt;0,VLOOKUP(_1_5412845612146241046457891017456[[#This Row],[Discount selection]],'Discount Structure'!$A$2:$B$30,2,"false"),0)</f>
        <v>1</v>
      </c>
      <c r="L736" s="194">
        <f>_1_5412845612146241046457891017456[[#This Row],[LIST $]]*_1_5412845612146241046457891017456[[#This Row],[DISCOUNT]]*_1_5412845612146241046457891017456[[#This Row],[DISCOUNT 2]]</f>
        <v>0</v>
      </c>
      <c r="M736" s="194">
        <f>IF(OR(_1_5412845612146241046457891017456[[#This Row],[UNIT]]&gt;0,_1_5412845612146241046457891017456[[#This Row],[UNIT]]&lt;0),_1_5412845612146241046457891017456[[#This Row],[UNIT]]*_1_5412845612146241046457891017456[[#This Row],[COST]],0)</f>
        <v>0</v>
      </c>
      <c r="N736" s="194">
        <f t="shared" si="11"/>
        <v>1.3</v>
      </c>
      <c r="O736" s="198">
        <f>_1_5412845612146241046457891017456[[#This Row],[TOTAL]]*_1_5412845612146241046457891017456[[#This Row],[MARGIN]]</f>
        <v>0</v>
      </c>
      <c r="R736" s="41"/>
    </row>
    <row r="737" spans="4:18">
      <c r="D737" s="188"/>
      <c r="F737" s="168" t="s">
        <v>6202</v>
      </c>
      <c r="G737" s="193">
        <f>IF(_1_5412845612146241046457891017456[[#This Row],[Type]]&gt;0,VLOOKUP(_1_5412845612146241046457891017456[[#This Row],[Type]],Main[[#All],[TYPE]:[UNIT]],'Unit Price'!C$1,FALSE),0)</f>
        <v>0</v>
      </c>
      <c r="H737" s="197">
        <f>IF(_1_5412845612146241046457891017456[[#This Row],[Type]]&gt;0,VLOOKUP(_1_5412845612146241046457891017456[[#This Row],[Type]],Main[[#All],[TYPE]:[UNIT]],'Unit Price'!D$1,FALSE),0)</f>
        <v>0</v>
      </c>
      <c r="I737" s="194">
        <f>IF(_1_5412845612146241046457891017456[[#This Row],[Type]]&gt;0,VLOOKUP(_1_5412845612146241046457891017456[[#This Row],[Type]],Main[[#All],[TYPE]:[UNIT]],'Unit Price'!G$1,FALSE),0)</f>
        <v>0</v>
      </c>
      <c r="J737" s="194">
        <f>IF(_1_5412845612146241046457891017456[[#This Row],[Type]]&gt;0,VLOOKUP(_1_5412845612146241046457891017456[[#This Row],[Type]],Main[[#All],[TYPE]:[UNIT]],'Unit Price'!H$1,FALSE),0)</f>
        <v>0</v>
      </c>
      <c r="K737" s="194">
        <f>IF(_1_5412845612146241046457891017456[[#This Row],[Discount selection]]&gt;0,VLOOKUP(_1_5412845612146241046457891017456[[#This Row],[Discount selection]],'Discount Structure'!$A$2:$B$30,2,"false"),0)</f>
        <v>1</v>
      </c>
      <c r="L737" s="194">
        <f>_1_5412845612146241046457891017456[[#This Row],[LIST $]]*_1_5412845612146241046457891017456[[#This Row],[DISCOUNT]]*_1_5412845612146241046457891017456[[#This Row],[DISCOUNT 2]]</f>
        <v>0</v>
      </c>
      <c r="M737" s="194">
        <f>IF(OR(_1_5412845612146241046457891017456[[#This Row],[UNIT]]&gt;0,_1_5412845612146241046457891017456[[#This Row],[UNIT]]&lt;0),_1_5412845612146241046457891017456[[#This Row],[UNIT]]*_1_5412845612146241046457891017456[[#This Row],[COST]],0)</f>
        <v>0</v>
      </c>
      <c r="N737" s="194">
        <f t="shared" si="11"/>
        <v>1.3</v>
      </c>
      <c r="O737" s="198">
        <f>_1_5412845612146241046457891017456[[#This Row],[TOTAL]]*_1_5412845612146241046457891017456[[#This Row],[MARGIN]]</f>
        <v>0</v>
      </c>
      <c r="R737" s="41"/>
    </row>
    <row r="738" spans="4:18">
      <c r="D738" s="188"/>
      <c r="F738" s="168" t="s">
        <v>6202</v>
      </c>
      <c r="G738" s="193">
        <f>IF(_1_5412845612146241046457891017456[[#This Row],[Type]]&gt;0,VLOOKUP(_1_5412845612146241046457891017456[[#This Row],[Type]],Main[[#All],[TYPE]:[UNIT]],'Unit Price'!C$1,FALSE),0)</f>
        <v>0</v>
      </c>
      <c r="H738" s="197">
        <f>IF(_1_5412845612146241046457891017456[[#This Row],[Type]]&gt;0,VLOOKUP(_1_5412845612146241046457891017456[[#This Row],[Type]],Main[[#All],[TYPE]:[UNIT]],'Unit Price'!D$1,FALSE),0)</f>
        <v>0</v>
      </c>
      <c r="I738" s="194">
        <f>IF(_1_5412845612146241046457891017456[[#This Row],[Type]]&gt;0,VLOOKUP(_1_5412845612146241046457891017456[[#This Row],[Type]],Main[[#All],[TYPE]:[UNIT]],'Unit Price'!G$1,FALSE),0)</f>
        <v>0</v>
      </c>
      <c r="J738" s="194">
        <f>IF(_1_5412845612146241046457891017456[[#This Row],[Type]]&gt;0,VLOOKUP(_1_5412845612146241046457891017456[[#This Row],[Type]],Main[[#All],[TYPE]:[UNIT]],'Unit Price'!H$1,FALSE),0)</f>
        <v>0</v>
      </c>
      <c r="K738" s="194">
        <f>IF(_1_5412845612146241046457891017456[[#This Row],[Discount selection]]&gt;0,VLOOKUP(_1_5412845612146241046457891017456[[#This Row],[Discount selection]],'Discount Structure'!$A$2:$B$30,2,"false"),0)</f>
        <v>1</v>
      </c>
      <c r="L738" s="194">
        <f>_1_5412845612146241046457891017456[[#This Row],[LIST $]]*_1_5412845612146241046457891017456[[#This Row],[DISCOUNT]]*_1_5412845612146241046457891017456[[#This Row],[DISCOUNT 2]]</f>
        <v>0</v>
      </c>
      <c r="M738" s="194">
        <f>IF(OR(_1_5412845612146241046457891017456[[#This Row],[UNIT]]&gt;0,_1_5412845612146241046457891017456[[#This Row],[UNIT]]&lt;0),_1_5412845612146241046457891017456[[#This Row],[UNIT]]*_1_5412845612146241046457891017456[[#This Row],[COST]],0)</f>
        <v>0</v>
      </c>
      <c r="N738" s="194">
        <f t="shared" si="11"/>
        <v>1.3</v>
      </c>
      <c r="O738" s="198">
        <f>_1_5412845612146241046457891017456[[#This Row],[TOTAL]]*_1_5412845612146241046457891017456[[#This Row],[MARGIN]]</f>
        <v>0</v>
      </c>
      <c r="R738" s="41"/>
    </row>
    <row r="739" spans="4:18">
      <c r="D739" s="188"/>
      <c r="F739" s="168" t="s">
        <v>6202</v>
      </c>
      <c r="G739" s="193">
        <f>IF(_1_5412845612146241046457891017456[[#This Row],[Type]]&gt;0,VLOOKUP(_1_5412845612146241046457891017456[[#This Row],[Type]],Main[[#All],[TYPE]:[UNIT]],'Unit Price'!C$1,FALSE),0)</f>
        <v>0</v>
      </c>
      <c r="H739" s="197">
        <f>IF(_1_5412845612146241046457891017456[[#This Row],[Type]]&gt;0,VLOOKUP(_1_5412845612146241046457891017456[[#This Row],[Type]],Main[[#All],[TYPE]:[UNIT]],'Unit Price'!D$1,FALSE),0)</f>
        <v>0</v>
      </c>
      <c r="I739" s="194">
        <f>IF(_1_5412845612146241046457891017456[[#This Row],[Type]]&gt;0,VLOOKUP(_1_5412845612146241046457891017456[[#This Row],[Type]],Main[[#All],[TYPE]:[UNIT]],'Unit Price'!G$1,FALSE),0)</f>
        <v>0</v>
      </c>
      <c r="J739" s="194">
        <f>IF(_1_5412845612146241046457891017456[[#This Row],[Type]]&gt;0,VLOOKUP(_1_5412845612146241046457891017456[[#This Row],[Type]],Main[[#All],[TYPE]:[UNIT]],'Unit Price'!H$1,FALSE),0)</f>
        <v>0</v>
      </c>
      <c r="K739" s="194">
        <f>IF(_1_5412845612146241046457891017456[[#This Row],[Discount selection]]&gt;0,VLOOKUP(_1_5412845612146241046457891017456[[#This Row],[Discount selection]],'Discount Structure'!$A$2:$B$30,2,"false"),0)</f>
        <v>1</v>
      </c>
      <c r="L739" s="194">
        <f>_1_5412845612146241046457891017456[[#This Row],[LIST $]]*_1_5412845612146241046457891017456[[#This Row],[DISCOUNT]]*_1_5412845612146241046457891017456[[#This Row],[DISCOUNT 2]]</f>
        <v>0</v>
      </c>
      <c r="M739" s="194">
        <f>IF(OR(_1_5412845612146241046457891017456[[#This Row],[UNIT]]&gt;0,_1_5412845612146241046457891017456[[#This Row],[UNIT]]&lt;0),_1_5412845612146241046457891017456[[#This Row],[UNIT]]*_1_5412845612146241046457891017456[[#This Row],[COST]],0)</f>
        <v>0</v>
      </c>
      <c r="N739" s="194">
        <f t="shared" si="11"/>
        <v>1.3</v>
      </c>
      <c r="O739" s="198">
        <f>_1_5412845612146241046457891017456[[#This Row],[TOTAL]]*_1_5412845612146241046457891017456[[#This Row],[MARGIN]]</f>
        <v>0</v>
      </c>
      <c r="R739" s="41"/>
    </row>
    <row r="740" spans="4:18">
      <c r="D740" s="188"/>
      <c r="F740" s="168" t="s">
        <v>6202</v>
      </c>
      <c r="G740" s="193">
        <f>IF(_1_5412845612146241046457891017456[[#This Row],[Type]]&gt;0,VLOOKUP(_1_5412845612146241046457891017456[[#This Row],[Type]],Main[[#All],[TYPE]:[UNIT]],'Unit Price'!C$1,FALSE),0)</f>
        <v>0</v>
      </c>
      <c r="H740" s="197">
        <f>IF(_1_5412845612146241046457891017456[[#This Row],[Type]]&gt;0,VLOOKUP(_1_5412845612146241046457891017456[[#This Row],[Type]],Main[[#All],[TYPE]:[UNIT]],'Unit Price'!D$1,FALSE),0)</f>
        <v>0</v>
      </c>
      <c r="I740" s="194">
        <f>IF(_1_5412845612146241046457891017456[[#This Row],[Type]]&gt;0,VLOOKUP(_1_5412845612146241046457891017456[[#This Row],[Type]],Main[[#All],[TYPE]:[UNIT]],'Unit Price'!G$1,FALSE),0)</f>
        <v>0</v>
      </c>
      <c r="J740" s="194">
        <f>IF(_1_5412845612146241046457891017456[[#This Row],[Type]]&gt;0,VLOOKUP(_1_5412845612146241046457891017456[[#This Row],[Type]],Main[[#All],[TYPE]:[UNIT]],'Unit Price'!H$1,FALSE),0)</f>
        <v>0</v>
      </c>
      <c r="K740" s="194">
        <f>IF(_1_5412845612146241046457891017456[[#This Row],[Discount selection]]&gt;0,VLOOKUP(_1_5412845612146241046457891017456[[#This Row],[Discount selection]],'Discount Structure'!$A$2:$B$30,2,"false"),0)</f>
        <v>1</v>
      </c>
      <c r="L740" s="194">
        <f>_1_5412845612146241046457891017456[[#This Row],[LIST $]]*_1_5412845612146241046457891017456[[#This Row],[DISCOUNT]]*_1_5412845612146241046457891017456[[#This Row],[DISCOUNT 2]]</f>
        <v>0</v>
      </c>
      <c r="M740" s="194">
        <f>IF(OR(_1_5412845612146241046457891017456[[#This Row],[UNIT]]&gt;0,_1_5412845612146241046457891017456[[#This Row],[UNIT]]&lt;0),_1_5412845612146241046457891017456[[#This Row],[UNIT]]*_1_5412845612146241046457891017456[[#This Row],[COST]],0)</f>
        <v>0</v>
      </c>
      <c r="N740" s="194">
        <f t="shared" si="11"/>
        <v>1.3</v>
      </c>
      <c r="O740" s="198">
        <f>_1_5412845612146241046457891017456[[#This Row],[TOTAL]]*_1_5412845612146241046457891017456[[#This Row],[MARGIN]]</f>
        <v>0</v>
      </c>
      <c r="R740" s="41"/>
    </row>
    <row r="741" spans="4:18">
      <c r="D741" s="188"/>
      <c r="F741" s="168" t="s">
        <v>6202</v>
      </c>
      <c r="G741" s="193">
        <f>IF(_1_5412845612146241046457891017456[[#This Row],[Type]]&gt;0,VLOOKUP(_1_5412845612146241046457891017456[[#This Row],[Type]],Main[[#All],[TYPE]:[UNIT]],'Unit Price'!C$1,FALSE),0)</f>
        <v>0</v>
      </c>
      <c r="H741" s="197">
        <f>IF(_1_5412845612146241046457891017456[[#This Row],[Type]]&gt;0,VLOOKUP(_1_5412845612146241046457891017456[[#This Row],[Type]],Main[[#All],[TYPE]:[UNIT]],'Unit Price'!D$1,FALSE),0)</f>
        <v>0</v>
      </c>
      <c r="I741" s="194">
        <f>IF(_1_5412845612146241046457891017456[[#This Row],[Type]]&gt;0,VLOOKUP(_1_5412845612146241046457891017456[[#This Row],[Type]],Main[[#All],[TYPE]:[UNIT]],'Unit Price'!G$1,FALSE),0)</f>
        <v>0</v>
      </c>
      <c r="J741" s="194">
        <f>IF(_1_5412845612146241046457891017456[[#This Row],[Type]]&gt;0,VLOOKUP(_1_5412845612146241046457891017456[[#This Row],[Type]],Main[[#All],[TYPE]:[UNIT]],'Unit Price'!H$1,FALSE),0)</f>
        <v>0</v>
      </c>
      <c r="K741" s="194">
        <f>IF(_1_5412845612146241046457891017456[[#This Row],[Discount selection]]&gt;0,VLOOKUP(_1_5412845612146241046457891017456[[#This Row],[Discount selection]],'Discount Structure'!$A$2:$B$30,2,"false"),0)</f>
        <v>1</v>
      </c>
      <c r="L741" s="194">
        <f>_1_5412845612146241046457891017456[[#This Row],[LIST $]]*_1_5412845612146241046457891017456[[#This Row],[DISCOUNT]]*_1_5412845612146241046457891017456[[#This Row],[DISCOUNT 2]]</f>
        <v>0</v>
      </c>
      <c r="M741" s="194">
        <f>IF(OR(_1_5412845612146241046457891017456[[#This Row],[UNIT]]&gt;0,_1_5412845612146241046457891017456[[#This Row],[UNIT]]&lt;0),_1_5412845612146241046457891017456[[#This Row],[UNIT]]*_1_5412845612146241046457891017456[[#This Row],[COST]],0)</f>
        <v>0</v>
      </c>
      <c r="N741" s="194">
        <f t="shared" si="11"/>
        <v>1.3</v>
      </c>
      <c r="O741" s="198">
        <f>_1_5412845612146241046457891017456[[#This Row],[TOTAL]]*_1_5412845612146241046457891017456[[#This Row],[MARGIN]]</f>
        <v>0</v>
      </c>
      <c r="R741" s="41"/>
    </row>
    <row r="742" spans="4:18">
      <c r="D742" s="188"/>
      <c r="F742" s="168" t="s">
        <v>6202</v>
      </c>
      <c r="G742" s="193">
        <f>IF(_1_5412845612146241046457891017456[[#This Row],[Type]]&gt;0,VLOOKUP(_1_5412845612146241046457891017456[[#This Row],[Type]],Main[[#All],[TYPE]:[UNIT]],'Unit Price'!C$1,FALSE),0)</f>
        <v>0</v>
      </c>
      <c r="H742" s="197">
        <f>IF(_1_5412845612146241046457891017456[[#This Row],[Type]]&gt;0,VLOOKUP(_1_5412845612146241046457891017456[[#This Row],[Type]],Main[[#All],[TYPE]:[UNIT]],'Unit Price'!D$1,FALSE),0)</f>
        <v>0</v>
      </c>
      <c r="I742" s="194">
        <f>IF(_1_5412845612146241046457891017456[[#This Row],[Type]]&gt;0,VLOOKUP(_1_5412845612146241046457891017456[[#This Row],[Type]],Main[[#All],[TYPE]:[UNIT]],'Unit Price'!G$1,FALSE),0)</f>
        <v>0</v>
      </c>
      <c r="J742" s="194">
        <f>IF(_1_5412845612146241046457891017456[[#This Row],[Type]]&gt;0,VLOOKUP(_1_5412845612146241046457891017456[[#This Row],[Type]],Main[[#All],[TYPE]:[UNIT]],'Unit Price'!H$1,FALSE),0)</f>
        <v>0</v>
      </c>
      <c r="K742" s="194">
        <f>IF(_1_5412845612146241046457891017456[[#This Row],[Discount selection]]&gt;0,VLOOKUP(_1_5412845612146241046457891017456[[#This Row],[Discount selection]],'Discount Structure'!$A$2:$B$30,2,"false"),0)</f>
        <v>1</v>
      </c>
      <c r="L742" s="194">
        <f>_1_5412845612146241046457891017456[[#This Row],[LIST $]]*_1_5412845612146241046457891017456[[#This Row],[DISCOUNT]]*_1_5412845612146241046457891017456[[#This Row],[DISCOUNT 2]]</f>
        <v>0</v>
      </c>
      <c r="M742" s="194">
        <f>IF(OR(_1_5412845612146241046457891017456[[#This Row],[UNIT]]&gt;0,_1_5412845612146241046457891017456[[#This Row],[UNIT]]&lt;0),_1_5412845612146241046457891017456[[#This Row],[UNIT]]*_1_5412845612146241046457891017456[[#This Row],[COST]],0)</f>
        <v>0</v>
      </c>
      <c r="N742" s="194">
        <f t="shared" si="11"/>
        <v>1.3</v>
      </c>
      <c r="O742" s="198">
        <f>_1_5412845612146241046457891017456[[#This Row],[TOTAL]]*_1_5412845612146241046457891017456[[#This Row],[MARGIN]]</f>
        <v>0</v>
      </c>
      <c r="R742" s="41"/>
    </row>
    <row r="743" spans="4:18">
      <c r="D743" s="188"/>
      <c r="F743" s="168" t="s">
        <v>6202</v>
      </c>
      <c r="G743" s="193">
        <f>IF(_1_5412845612146241046457891017456[[#This Row],[Type]]&gt;0,VLOOKUP(_1_5412845612146241046457891017456[[#This Row],[Type]],Main[[#All],[TYPE]:[UNIT]],'Unit Price'!C$1,FALSE),0)</f>
        <v>0</v>
      </c>
      <c r="H743" s="197">
        <f>IF(_1_5412845612146241046457891017456[[#This Row],[Type]]&gt;0,VLOOKUP(_1_5412845612146241046457891017456[[#This Row],[Type]],Main[[#All],[TYPE]:[UNIT]],'Unit Price'!D$1,FALSE),0)</f>
        <v>0</v>
      </c>
      <c r="I743" s="194">
        <f>IF(_1_5412845612146241046457891017456[[#This Row],[Type]]&gt;0,VLOOKUP(_1_5412845612146241046457891017456[[#This Row],[Type]],Main[[#All],[TYPE]:[UNIT]],'Unit Price'!G$1,FALSE),0)</f>
        <v>0</v>
      </c>
      <c r="J743" s="194">
        <f>IF(_1_5412845612146241046457891017456[[#This Row],[Type]]&gt;0,VLOOKUP(_1_5412845612146241046457891017456[[#This Row],[Type]],Main[[#All],[TYPE]:[UNIT]],'Unit Price'!H$1,FALSE),0)</f>
        <v>0</v>
      </c>
      <c r="K743" s="194">
        <f>IF(_1_5412845612146241046457891017456[[#This Row],[Discount selection]]&gt;0,VLOOKUP(_1_5412845612146241046457891017456[[#This Row],[Discount selection]],'Discount Structure'!$A$2:$B$30,2,"false"),0)</f>
        <v>1</v>
      </c>
      <c r="L743" s="194">
        <f>_1_5412845612146241046457891017456[[#This Row],[LIST $]]*_1_5412845612146241046457891017456[[#This Row],[DISCOUNT]]*_1_5412845612146241046457891017456[[#This Row],[DISCOUNT 2]]</f>
        <v>0</v>
      </c>
      <c r="M743" s="194">
        <f>IF(OR(_1_5412845612146241046457891017456[[#This Row],[UNIT]]&gt;0,_1_5412845612146241046457891017456[[#This Row],[UNIT]]&lt;0),_1_5412845612146241046457891017456[[#This Row],[UNIT]]*_1_5412845612146241046457891017456[[#This Row],[COST]],0)</f>
        <v>0</v>
      </c>
      <c r="N743" s="194">
        <f t="shared" si="11"/>
        <v>1.3</v>
      </c>
      <c r="O743" s="198">
        <f>_1_5412845612146241046457891017456[[#This Row],[TOTAL]]*_1_5412845612146241046457891017456[[#This Row],[MARGIN]]</f>
        <v>0</v>
      </c>
      <c r="R743" s="41"/>
    </row>
    <row r="744" spans="4:18">
      <c r="D744" s="188"/>
      <c r="F744" s="168" t="s">
        <v>6202</v>
      </c>
      <c r="G744" s="193">
        <f>IF(_1_5412845612146241046457891017456[[#This Row],[Type]]&gt;0,VLOOKUP(_1_5412845612146241046457891017456[[#This Row],[Type]],Main[[#All],[TYPE]:[UNIT]],'Unit Price'!C$1,FALSE),0)</f>
        <v>0</v>
      </c>
      <c r="H744" s="197">
        <f>IF(_1_5412845612146241046457891017456[[#This Row],[Type]]&gt;0,VLOOKUP(_1_5412845612146241046457891017456[[#This Row],[Type]],Main[[#All],[TYPE]:[UNIT]],'Unit Price'!D$1,FALSE),0)</f>
        <v>0</v>
      </c>
      <c r="I744" s="194">
        <f>IF(_1_5412845612146241046457891017456[[#This Row],[Type]]&gt;0,VLOOKUP(_1_5412845612146241046457891017456[[#This Row],[Type]],Main[[#All],[TYPE]:[UNIT]],'Unit Price'!G$1,FALSE),0)</f>
        <v>0</v>
      </c>
      <c r="J744" s="194">
        <f>IF(_1_5412845612146241046457891017456[[#This Row],[Type]]&gt;0,VLOOKUP(_1_5412845612146241046457891017456[[#This Row],[Type]],Main[[#All],[TYPE]:[UNIT]],'Unit Price'!H$1,FALSE),0)</f>
        <v>0</v>
      </c>
      <c r="K744" s="194">
        <f>IF(_1_5412845612146241046457891017456[[#This Row],[Discount selection]]&gt;0,VLOOKUP(_1_5412845612146241046457891017456[[#This Row],[Discount selection]],'Discount Structure'!$A$2:$B$30,2,"false"),0)</f>
        <v>1</v>
      </c>
      <c r="L744" s="194">
        <f>_1_5412845612146241046457891017456[[#This Row],[LIST $]]*_1_5412845612146241046457891017456[[#This Row],[DISCOUNT]]*_1_5412845612146241046457891017456[[#This Row],[DISCOUNT 2]]</f>
        <v>0</v>
      </c>
      <c r="M744" s="194">
        <f>IF(OR(_1_5412845612146241046457891017456[[#This Row],[UNIT]]&gt;0,_1_5412845612146241046457891017456[[#This Row],[UNIT]]&lt;0),_1_5412845612146241046457891017456[[#This Row],[UNIT]]*_1_5412845612146241046457891017456[[#This Row],[COST]],0)</f>
        <v>0</v>
      </c>
      <c r="N744" s="194">
        <f t="shared" si="11"/>
        <v>1.3</v>
      </c>
      <c r="O744" s="198">
        <f>_1_5412845612146241046457891017456[[#This Row],[TOTAL]]*_1_5412845612146241046457891017456[[#This Row],[MARGIN]]</f>
        <v>0</v>
      </c>
      <c r="R744" s="41"/>
    </row>
    <row r="745" spans="4:18">
      <c r="D745" s="188"/>
      <c r="F745" s="168" t="s">
        <v>6202</v>
      </c>
      <c r="G745" s="193">
        <f>IF(_1_5412845612146241046457891017456[[#This Row],[Type]]&gt;0,VLOOKUP(_1_5412845612146241046457891017456[[#This Row],[Type]],Main[[#All],[TYPE]:[UNIT]],'Unit Price'!C$1,FALSE),0)</f>
        <v>0</v>
      </c>
      <c r="H745" s="197">
        <f>IF(_1_5412845612146241046457891017456[[#This Row],[Type]]&gt;0,VLOOKUP(_1_5412845612146241046457891017456[[#This Row],[Type]],Main[[#All],[TYPE]:[UNIT]],'Unit Price'!D$1,FALSE),0)</f>
        <v>0</v>
      </c>
      <c r="I745" s="194">
        <f>IF(_1_5412845612146241046457891017456[[#This Row],[Type]]&gt;0,VLOOKUP(_1_5412845612146241046457891017456[[#This Row],[Type]],Main[[#All],[TYPE]:[UNIT]],'Unit Price'!G$1,FALSE),0)</f>
        <v>0</v>
      </c>
      <c r="J745" s="194">
        <f>IF(_1_5412845612146241046457891017456[[#This Row],[Type]]&gt;0,VLOOKUP(_1_5412845612146241046457891017456[[#This Row],[Type]],Main[[#All],[TYPE]:[UNIT]],'Unit Price'!H$1,FALSE),0)</f>
        <v>0</v>
      </c>
      <c r="K745" s="194">
        <f>IF(_1_5412845612146241046457891017456[[#This Row],[Discount selection]]&gt;0,VLOOKUP(_1_5412845612146241046457891017456[[#This Row],[Discount selection]],'Discount Structure'!$A$2:$B$30,2,"false"),0)</f>
        <v>1</v>
      </c>
      <c r="L745" s="194">
        <f>_1_5412845612146241046457891017456[[#This Row],[LIST $]]*_1_5412845612146241046457891017456[[#This Row],[DISCOUNT]]*_1_5412845612146241046457891017456[[#This Row],[DISCOUNT 2]]</f>
        <v>0</v>
      </c>
      <c r="M745" s="194">
        <f>IF(OR(_1_5412845612146241046457891017456[[#This Row],[UNIT]]&gt;0,_1_5412845612146241046457891017456[[#This Row],[UNIT]]&lt;0),_1_5412845612146241046457891017456[[#This Row],[UNIT]]*_1_5412845612146241046457891017456[[#This Row],[COST]],0)</f>
        <v>0</v>
      </c>
      <c r="N745" s="194">
        <f t="shared" si="11"/>
        <v>1.3</v>
      </c>
      <c r="O745" s="198">
        <f>_1_5412845612146241046457891017456[[#This Row],[TOTAL]]*_1_5412845612146241046457891017456[[#This Row],[MARGIN]]</f>
        <v>0</v>
      </c>
      <c r="R745" s="41"/>
    </row>
    <row r="746" spans="4:18">
      <c r="D746" s="188"/>
      <c r="F746" s="168" t="s">
        <v>6202</v>
      </c>
      <c r="G746" s="193">
        <f>IF(_1_5412845612146241046457891017456[[#This Row],[Type]]&gt;0,VLOOKUP(_1_5412845612146241046457891017456[[#This Row],[Type]],Main[[#All],[TYPE]:[UNIT]],'Unit Price'!C$1,FALSE),0)</f>
        <v>0</v>
      </c>
      <c r="H746" s="197">
        <f>IF(_1_5412845612146241046457891017456[[#This Row],[Type]]&gt;0,VLOOKUP(_1_5412845612146241046457891017456[[#This Row],[Type]],Main[[#All],[TYPE]:[UNIT]],'Unit Price'!D$1,FALSE),0)</f>
        <v>0</v>
      </c>
      <c r="I746" s="194">
        <f>IF(_1_5412845612146241046457891017456[[#This Row],[Type]]&gt;0,VLOOKUP(_1_5412845612146241046457891017456[[#This Row],[Type]],Main[[#All],[TYPE]:[UNIT]],'Unit Price'!G$1,FALSE),0)</f>
        <v>0</v>
      </c>
      <c r="J746" s="194">
        <f>IF(_1_5412845612146241046457891017456[[#This Row],[Type]]&gt;0,VLOOKUP(_1_5412845612146241046457891017456[[#This Row],[Type]],Main[[#All],[TYPE]:[UNIT]],'Unit Price'!H$1,FALSE),0)</f>
        <v>0</v>
      </c>
      <c r="K746" s="194">
        <f>IF(_1_5412845612146241046457891017456[[#This Row],[Discount selection]]&gt;0,VLOOKUP(_1_5412845612146241046457891017456[[#This Row],[Discount selection]],'Discount Structure'!$A$2:$B$30,2,"false"),0)</f>
        <v>1</v>
      </c>
      <c r="L746" s="194">
        <f>_1_5412845612146241046457891017456[[#This Row],[LIST $]]*_1_5412845612146241046457891017456[[#This Row],[DISCOUNT]]*_1_5412845612146241046457891017456[[#This Row],[DISCOUNT 2]]</f>
        <v>0</v>
      </c>
      <c r="M746" s="194">
        <f>IF(OR(_1_5412845612146241046457891017456[[#This Row],[UNIT]]&gt;0,_1_5412845612146241046457891017456[[#This Row],[UNIT]]&lt;0),_1_5412845612146241046457891017456[[#This Row],[UNIT]]*_1_5412845612146241046457891017456[[#This Row],[COST]],0)</f>
        <v>0</v>
      </c>
      <c r="N746" s="194">
        <f t="shared" si="11"/>
        <v>1.3</v>
      </c>
      <c r="O746" s="198">
        <f>_1_5412845612146241046457891017456[[#This Row],[TOTAL]]*_1_5412845612146241046457891017456[[#This Row],[MARGIN]]</f>
        <v>0</v>
      </c>
      <c r="R746" s="41"/>
    </row>
    <row r="747" spans="4:18">
      <c r="D747" s="188"/>
      <c r="F747" s="168" t="s">
        <v>6202</v>
      </c>
      <c r="G747" s="193">
        <f>IF(_1_5412845612146241046457891017456[[#This Row],[Type]]&gt;0,VLOOKUP(_1_5412845612146241046457891017456[[#This Row],[Type]],Main[[#All],[TYPE]:[UNIT]],'Unit Price'!C$1,FALSE),0)</f>
        <v>0</v>
      </c>
      <c r="H747" s="197">
        <f>IF(_1_5412845612146241046457891017456[[#This Row],[Type]]&gt;0,VLOOKUP(_1_5412845612146241046457891017456[[#This Row],[Type]],Main[[#All],[TYPE]:[UNIT]],'Unit Price'!D$1,FALSE),0)</f>
        <v>0</v>
      </c>
      <c r="I747" s="194">
        <f>IF(_1_5412845612146241046457891017456[[#This Row],[Type]]&gt;0,VLOOKUP(_1_5412845612146241046457891017456[[#This Row],[Type]],Main[[#All],[TYPE]:[UNIT]],'Unit Price'!G$1,FALSE),0)</f>
        <v>0</v>
      </c>
      <c r="J747" s="194">
        <f>IF(_1_5412845612146241046457891017456[[#This Row],[Type]]&gt;0,VLOOKUP(_1_5412845612146241046457891017456[[#This Row],[Type]],Main[[#All],[TYPE]:[UNIT]],'Unit Price'!H$1,FALSE),0)</f>
        <v>0</v>
      </c>
      <c r="K747" s="194">
        <f>IF(_1_5412845612146241046457891017456[[#This Row],[Discount selection]]&gt;0,VLOOKUP(_1_5412845612146241046457891017456[[#This Row],[Discount selection]],'Discount Structure'!$A$2:$B$30,2,"false"),0)</f>
        <v>1</v>
      </c>
      <c r="L747" s="194">
        <f>_1_5412845612146241046457891017456[[#This Row],[LIST $]]*_1_5412845612146241046457891017456[[#This Row],[DISCOUNT]]*_1_5412845612146241046457891017456[[#This Row],[DISCOUNT 2]]</f>
        <v>0</v>
      </c>
      <c r="M747" s="194">
        <f>IF(OR(_1_5412845612146241046457891017456[[#This Row],[UNIT]]&gt;0,_1_5412845612146241046457891017456[[#This Row],[UNIT]]&lt;0),_1_5412845612146241046457891017456[[#This Row],[UNIT]]*_1_5412845612146241046457891017456[[#This Row],[COST]],0)</f>
        <v>0</v>
      </c>
      <c r="N747" s="194">
        <f t="shared" si="11"/>
        <v>1.3</v>
      </c>
      <c r="O747" s="198">
        <f>_1_5412845612146241046457891017456[[#This Row],[TOTAL]]*_1_5412845612146241046457891017456[[#This Row],[MARGIN]]</f>
        <v>0</v>
      </c>
      <c r="R747" s="41"/>
    </row>
    <row r="748" spans="4:18">
      <c r="D748" s="188"/>
      <c r="F748" s="168" t="s">
        <v>6202</v>
      </c>
      <c r="G748" s="193">
        <f>IF(_1_5412845612146241046457891017456[[#This Row],[Type]]&gt;0,VLOOKUP(_1_5412845612146241046457891017456[[#This Row],[Type]],Main[[#All],[TYPE]:[UNIT]],'Unit Price'!C$1,FALSE),0)</f>
        <v>0</v>
      </c>
      <c r="H748" s="197">
        <f>IF(_1_5412845612146241046457891017456[[#This Row],[Type]]&gt;0,VLOOKUP(_1_5412845612146241046457891017456[[#This Row],[Type]],Main[[#All],[TYPE]:[UNIT]],'Unit Price'!D$1,FALSE),0)</f>
        <v>0</v>
      </c>
      <c r="I748" s="194">
        <f>IF(_1_5412845612146241046457891017456[[#This Row],[Type]]&gt;0,VLOOKUP(_1_5412845612146241046457891017456[[#This Row],[Type]],Main[[#All],[TYPE]:[UNIT]],'Unit Price'!G$1,FALSE),0)</f>
        <v>0</v>
      </c>
      <c r="J748" s="194">
        <f>IF(_1_5412845612146241046457891017456[[#This Row],[Type]]&gt;0,VLOOKUP(_1_5412845612146241046457891017456[[#This Row],[Type]],Main[[#All],[TYPE]:[UNIT]],'Unit Price'!H$1,FALSE),0)</f>
        <v>0</v>
      </c>
      <c r="K748" s="194">
        <f>IF(_1_5412845612146241046457891017456[[#This Row],[Discount selection]]&gt;0,VLOOKUP(_1_5412845612146241046457891017456[[#This Row],[Discount selection]],'Discount Structure'!$A$2:$B$30,2,"false"),0)</f>
        <v>1</v>
      </c>
      <c r="L748" s="194">
        <f>_1_5412845612146241046457891017456[[#This Row],[LIST $]]*_1_5412845612146241046457891017456[[#This Row],[DISCOUNT]]*_1_5412845612146241046457891017456[[#This Row],[DISCOUNT 2]]</f>
        <v>0</v>
      </c>
      <c r="M748" s="194">
        <f>IF(OR(_1_5412845612146241046457891017456[[#This Row],[UNIT]]&gt;0,_1_5412845612146241046457891017456[[#This Row],[UNIT]]&lt;0),_1_5412845612146241046457891017456[[#This Row],[UNIT]]*_1_5412845612146241046457891017456[[#This Row],[COST]],0)</f>
        <v>0</v>
      </c>
      <c r="N748" s="194">
        <f t="shared" si="11"/>
        <v>1.3</v>
      </c>
      <c r="O748" s="198">
        <f>_1_5412845612146241046457891017456[[#This Row],[TOTAL]]*_1_5412845612146241046457891017456[[#This Row],[MARGIN]]</f>
        <v>0</v>
      </c>
      <c r="R748" s="41"/>
    </row>
    <row r="749" spans="4:18">
      <c r="D749" s="188"/>
      <c r="F749" s="168" t="s">
        <v>6202</v>
      </c>
      <c r="G749" s="193">
        <f>IF(_1_5412845612146241046457891017456[[#This Row],[Type]]&gt;0,VLOOKUP(_1_5412845612146241046457891017456[[#This Row],[Type]],Main[[#All],[TYPE]:[UNIT]],'Unit Price'!C$1,FALSE),0)</f>
        <v>0</v>
      </c>
      <c r="H749" s="197">
        <f>IF(_1_5412845612146241046457891017456[[#This Row],[Type]]&gt;0,VLOOKUP(_1_5412845612146241046457891017456[[#This Row],[Type]],Main[[#All],[TYPE]:[UNIT]],'Unit Price'!D$1,FALSE),0)</f>
        <v>0</v>
      </c>
      <c r="I749" s="194">
        <f>IF(_1_5412845612146241046457891017456[[#This Row],[Type]]&gt;0,VLOOKUP(_1_5412845612146241046457891017456[[#This Row],[Type]],Main[[#All],[TYPE]:[UNIT]],'Unit Price'!G$1,FALSE),0)</f>
        <v>0</v>
      </c>
      <c r="J749" s="194">
        <f>IF(_1_5412845612146241046457891017456[[#This Row],[Type]]&gt;0,VLOOKUP(_1_5412845612146241046457891017456[[#This Row],[Type]],Main[[#All],[TYPE]:[UNIT]],'Unit Price'!H$1,FALSE),0)</f>
        <v>0</v>
      </c>
      <c r="K749" s="194">
        <f>IF(_1_5412845612146241046457891017456[[#This Row],[Discount selection]]&gt;0,VLOOKUP(_1_5412845612146241046457891017456[[#This Row],[Discount selection]],'Discount Structure'!$A$2:$B$30,2,"false"),0)</f>
        <v>1</v>
      </c>
      <c r="L749" s="194">
        <f>_1_5412845612146241046457891017456[[#This Row],[LIST $]]*_1_5412845612146241046457891017456[[#This Row],[DISCOUNT]]*_1_5412845612146241046457891017456[[#This Row],[DISCOUNT 2]]</f>
        <v>0</v>
      </c>
      <c r="M749" s="194">
        <f>IF(OR(_1_5412845612146241046457891017456[[#This Row],[UNIT]]&gt;0,_1_5412845612146241046457891017456[[#This Row],[UNIT]]&lt;0),_1_5412845612146241046457891017456[[#This Row],[UNIT]]*_1_5412845612146241046457891017456[[#This Row],[COST]],0)</f>
        <v>0</v>
      </c>
      <c r="N749" s="194">
        <f t="shared" si="11"/>
        <v>1.3</v>
      </c>
      <c r="O749" s="198">
        <f>_1_5412845612146241046457891017456[[#This Row],[TOTAL]]*_1_5412845612146241046457891017456[[#This Row],[MARGIN]]</f>
        <v>0</v>
      </c>
      <c r="R749" s="41"/>
    </row>
    <row r="750" spans="4:18">
      <c r="D750" s="188"/>
      <c r="F750" s="168" t="s">
        <v>6202</v>
      </c>
      <c r="G750" s="193">
        <f>IF(_1_5412845612146241046457891017456[[#This Row],[Type]]&gt;0,VLOOKUP(_1_5412845612146241046457891017456[[#This Row],[Type]],Main[[#All],[TYPE]:[UNIT]],'Unit Price'!C$1,FALSE),0)</f>
        <v>0</v>
      </c>
      <c r="H750" s="197">
        <f>IF(_1_5412845612146241046457891017456[[#This Row],[Type]]&gt;0,VLOOKUP(_1_5412845612146241046457891017456[[#This Row],[Type]],Main[[#All],[TYPE]:[UNIT]],'Unit Price'!D$1,FALSE),0)</f>
        <v>0</v>
      </c>
      <c r="I750" s="194">
        <f>IF(_1_5412845612146241046457891017456[[#This Row],[Type]]&gt;0,VLOOKUP(_1_5412845612146241046457891017456[[#This Row],[Type]],Main[[#All],[TYPE]:[UNIT]],'Unit Price'!G$1,FALSE),0)</f>
        <v>0</v>
      </c>
      <c r="J750" s="194">
        <f>IF(_1_5412845612146241046457891017456[[#This Row],[Type]]&gt;0,VLOOKUP(_1_5412845612146241046457891017456[[#This Row],[Type]],Main[[#All],[TYPE]:[UNIT]],'Unit Price'!H$1,FALSE),0)</f>
        <v>0</v>
      </c>
      <c r="K750" s="194">
        <f>IF(_1_5412845612146241046457891017456[[#This Row],[Discount selection]]&gt;0,VLOOKUP(_1_5412845612146241046457891017456[[#This Row],[Discount selection]],'Discount Structure'!$A$2:$B$30,2,"false"),0)</f>
        <v>1</v>
      </c>
      <c r="L750" s="194">
        <f>_1_5412845612146241046457891017456[[#This Row],[LIST $]]*_1_5412845612146241046457891017456[[#This Row],[DISCOUNT]]*_1_5412845612146241046457891017456[[#This Row],[DISCOUNT 2]]</f>
        <v>0</v>
      </c>
      <c r="M750" s="194">
        <f>IF(OR(_1_5412845612146241046457891017456[[#This Row],[UNIT]]&gt;0,_1_5412845612146241046457891017456[[#This Row],[UNIT]]&lt;0),_1_5412845612146241046457891017456[[#This Row],[UNIT]]*_1_5412845612146241046457891017456[[#This Row],[COST]],0)</f>
        <v>0</v>
      </c>
      <c r="N750" s="194">
        <f t="shared" si="11"/>
        <v>1.3</v>
      </c>
      <c r="O750" s="198">
        <f>_1_5412845612146241046457891017456[[#This Row],[TOTAL]]*_1_5412845612146241046457891017456[[#This Row],[MARGIN]]</f>
        <v>0</v>
      </c>
      <c r="R750" s="41"/>
    </row>
    <row r="751" spans="4:18">
      <c r="D751" s="188"/>
      <c r="F751" s="168" t="s">
        <v>6202</v>
      </c>
      <c r="G751" s="193">
        <f>IF(_1_5412845612146241046457891017456[[#This Row],[Type]]&gt;0,VLOOKUP(_1_5412845612146241046457891017456[[#This Row],[Type]],Main[[#All],[TYPE]:[UNIT]],'Unit Price'!C$1,FALSE),0)</f>
        <v>0</v>
      </c>
      <c r="H751" s="197">
        <f>IF(_1_5412845612146241046457891017456[[#This Row],[Type]]&gt;0,VLOOKUP(_1_5412845612146241046457891017456[[#This Row],[Type]],Main[[#All],[TYPE]:[UNIT]],'Unit Price'!D$1,FALSE),0)</f>
        <v>0</v>
      </c>
      <c r="I751" s="194">
        <f>IF(_1_5412845612146241046457891017456[[#This Row],[Type]]&gt;0,VLOOKUP(_1_5412845612146241046457891017456[[#This Row],[Type]],Main[[#All],[TYPE]:[UNIT]],'Unit Price'!G$1,FALSE),0)</f>
        <v>0</v>
      </c>
      <c r="J751" s="194">
        <f>IF(_1_5412845612146241046457891017456[[#This Row],[Type]]&gt;0,VLOOKUP(_1_5412845612146241046457891017456[[#This Row],[Type]],Main[[#All],[TYPE]:[UNIT]],'Unit Price'!H$1,FALSE),0)</f>
        <v>0</v>
      </c>
      <c r="K751" s="194">
        <f>IF(_1_5412845612146241046457891017456[[#This Row],[Discount selection]]&gt;0,VLOOKUP(_1_5412845612146241046457891017456[[#This Row],[Discount selection]],'Discount Structure'!$A$2:$B$30,2,"false"),0)</f>
        <v>1</v>
      </c>
      <c r="L751" s="194">
        <f>_1_5412845612146241046457891017456[[#This Row],[LIST $]]*_1_5412845612146241046457891017456[[#This Row],[DISCOUNT]]*_1_5412845612146241046457891017456[[#This Row],[DISCOUNT 2]]</f>
        <v>0</v>
      </c>
      <c r="M751" s="194">
        <f>IF(OR(_1_5412845612146241046457891017456[[#This Row],[UNIT]]&gt;0,_1_5412845612146241046457891017456[[#This Row],[UNIT]]&lt;0),_1_5412845612146241046457891017456[[#This Row],[UNIT]]*_1_5412845612146241046457891017456[[#This Row],[COST]],0)</f>
        <v>0</v>
      </c>
      <c r="N751" s="194">
        <f t="shared" si="11"/>
        <v>1.3</v>
      </c>
      <c r="O751" s="198">
        <f>_1_5412845612146241046457891017456[[#This Row],[TOTAL]]*_1_5412845612146241046457891017456[[#This Row],[MARGIN]]</f>
        <v>0</v>
      </c>
      <c r="R751" s="41"/>
    </row>
    <row r="752" spans="4:18">
      <c r="D752" s="188"/>
      <c r="F752" s="168" t="s">
        <v>6202</v>
      </c>
      <c r="G752" s="193">
        <f>IF(_1_5412845612146241046457891017456[[#This Row],[Type]]&gt;0,VLOOKUP(_1_5412845612146241046457891017456[[#This Row],[Type]],Main[[#All],[TYPE]:[UNIT]],'Unit Price'!C$1,FALSE),0)</f>
        <v>0</v>
      </c>
      <c r="H752" s="197">
        <f>IF(_1_5412845612146241046457891017456[[#This Row],[Type]]&gt;0,VLOOKUP(_1_5412845612146241046457891017456[[#This Row],[Type]],Main[[#All],[TYPE]:[UNIT]],'Unit Price'!D$1,FALSE),0)</f>
        <v>0</v>
      </c>
      <c r="I752" s="194">
        <f>IF(_1_5412845612146241046457891017456[[#This Row],[Type]]&gt;0,VLOOKUP(_1_5412845612146241046457891017456[[#This Row],[Type]],Main[[#All],[TYPE]:[UNIT]],'Unit Price'!G$1,FALSE),0)</f>
        <v>0</v>
      </c>
      <c r="J752" s="194">
        <f>IF(_1_5412845612146241046457891017456[[#This Row],[Type]]&gt;0,VLOOKUP(_1_5412845612146241046457891017456[[#This Row],[Type]],Main[[#All],[TYPE]:[UNIT]],'Unit Price'!H$1,FALSE),0)</f>
        <v>0</v>
      </c>
      <c r="K752" s="194">
        <f>IF(_1_5412845612146241046457891017456[[#This Row],[Discount selection]]&gt;0,VLOOKUP(_1_5412845612146241046457891017456[[#This Row],[Discount selection]],'Discount Structure'!$A$2:$B$30,2,"false"),0)</f>
        <v>1</v>
      </c>
      <c r="L752" s="194">
        <f>_1_5412845612146241046457891017456[[#This Row],[LIST $]]*_1_5412845612146241046457891017456[[#This Row],[DISCOUNT]]*_1_5412845612146241046457891017456[[#This Row],[DISCOUNT 2]]</f>
        <v>0</v>
      </c>
      <c r="M752" s="194">
        <f>IF(OR(_1_5412845612146241046457891017456[[#This Row],[UNIT]]&gt;0,_1_5412845612146241046457891017456[[#This Row],[UNIT]]&lt;0),_1_5412845612146241046457891017456[[#This Row],[UNIT]]*_1_5412845612146241046457891017456[[#This Row],[COST]],0)</f>
        <v>0</v>
      </c>
      <c r="N752" s="194">
        <f t="shared" si="11"/>
        <v>1.3</v>
      </c>
      <c r="O752" s="198">
        <f>_1_5412845612146241046457891017456[[#This Row],[TOTAL]]*_1_5412845612146241046457891017456[[#This Row],[MARGIN]]</f>
        <v>0</v>
      </c>
      <c r="R752" s="41"/>
    </row>
    <row r="753" spans="4:18">
      <c r="D753" s="188"/>
      <c r="F753" s="168" t="s">
        <v>6202</v>
      </c>
      <c r="G753" s="193">
        <f>IF(_1_5412845612146241046457891017456[[#This Row],[Type]]&gt;0,VLOOKUP(_1_5412845612146241046457891017456[[#This Row],[Type]],Main[[#All],[TYPE]:[UNIT]],'Unit Price'!C$1,FALSE),0)</f>
        <v>0</v>
      </c>
      <c r="H753" s="197">
        <f>IF(_1_5412845612146241046457891017456[[#This Row],[Type]]&gt;0,VLOOKUP(_1_5412845612146241046457891017456[[#This Row],[Type]],Main[[#All],[TYPE]:[UNIT]],'Unit Price'!D$1,FALSE),0)</f>
        <v>0</v>
      </c>
      <c r="I753" s="194">
        <f>IF(_1_5412845612146241046457891017456[[#This Row],[Type]]&gt;0,VLOOKUP(_1_5412845612146241046457891017456[[#This Row],[Type]],Main[[#All],[TYPE]:[UNIT]],'Unit Price'!G$1,FALSE),0)</f>
        <v>0</v>
      </c>
      <c r="J753" s="194">
        <f>IF(_1_5412845612146241046457891017456[[#This Row],[Type]]&gt;0,VLOOKUP(_1_5412845612146241046457891017456[[#This Row],[Type]],Main[[#All],[TYPE]:[UNIT]],'Unit Price'!H$1,FALSE),0)</f>
        <v>0</v>
      </c>
      <c r="K753" s="194">
        <f>IF(_1_5412845612146241046457891017456[[#This Row],[Discount selection]]&gt;0,VLOOKUP(_1_5412845612146241046457891017456[[#This Row],[Discount selection]],'Discount Structure'!$A$2:$B$30,2,"false"),0)</f>
        <v>1</v>
      </c>
      <c r="L753" s="194">
        <f>_1_5412845612146241046457891017456[[#This Row],[LIST $]]*_1_5412845612146241046457891017456[[#This Row],[DISCOUNT]]*_1_5412845612146241046457891017456[[#This Row],[DISCOUNT 2]]</f>
        <v>0</v>
      </c>
      <c r="M753" s="194">
        <f>IF(OR(_1_5412845612146241046457891017456[[#This Row],[UNIT]]&gt;0,_1_5412845612146241046457891017456[[#This Row],[UNIT]]&lt;0),_1_5412845612146241046457891017456[[#This Row],[UNIT]]*_1_5412845612146241046457891017456[[#This Row],[COST]],0)</f>
        <v>0</v>
      </c>
      <c r="N753" s="194">
        <f t="shared" si="11"/>
        <v>1.3</v>
      </c>
      <c r="O753" s="198">
        <f>_1_5412845612146241046457891017456[[#This Row],[TOTAL]]*_1_5412845612146241046457891017456[[#This Row],[MARGIN]]</f>
        <v>0</v>
      </c>
      <c r="R753" s="41"/>
    </row>
    <row r="754" spans="4:18">
      <c r="D754" s="188"/>
      <c r="F754" s="168" t="s">
        <v>6202</v>
      </c>
      <c r="G754" s="193">
        <f>IF(_1_5412845612146241046457891017456[[#This Row],[Type]]&gt;0,VLOOKUP(_1_5412845612146241046457891017456[[#This Row],[Type]],Main[[#All],[TYPE]:[UNIT]],'Unit Price'!C$1,FALSE),0)</f>
        <v>0</v>
      </c>
      <c r="H754" s="197">
        <f>IF(_1_5412845612146241046457891017456[[#This Row],[Type]]&gt;0,VLOOKUP(_1_5412845612146241046457891017456[[#This Row],[Type]],Main[[#All],[TYPE]:[UNIT]],'Unit Price'!D$1,FALSE),0)</f>
        <v>0</v>
      </c>
      <c r="I754" s="194">
        <f>IF(_1_5412845612146241046457891017456[[#This Row],[Type]]&gt;0,VLOOKUP(_1_5412845612146241046457891017456[[#This Row],[Type]],Main[[#All],[TYPE]:[UNIT]],'Unit Price'!G$1,FALSE),0)</f>
        <v>0</v>
      </c>
      <c r="J754" s="194">
        <f>IF(_1_5412845612146241046457891017456[[#This Row],[Type]]&gt;0,VLOOKUP(_1_5412845612146241046457891017456[[#This Row],[Type]],Main[[#All],[TYPE]:[UNIT]],'Unit Price'!H$1,FALSE),0)</f>
        <v>0</v>
      </c>
      <c r="K754" s="194">
        <f>IF(_1_5412845612146241046457891017456[[#This Row],[Discount selection]]&gt;0,VLOOKUP(_1_5412845612146241046457891017456[[#This Row],[Discount selection]],'Discount Structure'!$A$2:$B$30,2,"false"),0)</f>
        <v>1</v>
      </c>
      <c r="L754" s="194">
        <f>_1_5412845612146241046457891017456[[#This Row],[LIST $]]*_1_5412845612146241046457891017456[[#This Row],[DISCOUNT]]*_1_5412845612146241046457891017456[[#This Row],[DISCOUNT 2]]</f>
        <v>0</v>
      </c>
      <c r="M754" s="194">
        <f>IF(OR(_1_5412845612146241046457891017456[[#This Row],[UNIT]]&gt;0,_1_5412845612146241046457891017456[[#This Row],[UNIT]]&lt;0),_1_5412845612146241046457891017456[[#This Row],[UNIT]]*_1_5412845612146241046457891017456[[#This Row],[COST]],0)</f>
        <v>0</v>
      </c>
      <c r="N754" s="194">
        <f t="shared" si="11"/>
        <v>1.3</v>
      </c>
      <c r="O754" s="198">
        <f>_1_5412845612146241046457891017456[[#This Row],[TOTAL]]*_1_5412845612146241046457891017456[[#This Row],[MARGIN]]</f>
        <v>0</v>
      </c>
      <c r="R754" s="41"/>
    </row>
    <row r="755" spans="4:18">
      <c r="D755" s="188"/>
      <c r="F755" s="168" t="s">
        <v>6202</v>
      </c>
      <c r="G755" s="193">
        <f>IF(_1_5412845612146241046457891017456[[#This Row],[Type]]&gt;0,VLOOKUP(_1_5412845612146241046457891017456[[#This Row],[Type]],Main[[#All],[TYPE]:[UNIT]],'Unit Price'!C$1,FALSE),0)</f>
        <v>0</v>
      </c>
      <c r="H755" s="197">
        <f>IF(_1_5412845612146241046457891017456[[#This Row],[Type]]&gt;0,VLOOKUP(_1_5412845612146241046457891017456[[#This Row],[Type]],Main[[#All],[TYPE]:[UNIT]],'Unit Price'!D$1,FALSE),0)</f>
        <v>0</v>
      </c>
      <c r="I755" s="194">
        <f>IF(_1_5412845612146241046457891017456[[#This Row],[Type]]&gt;0,VLOOKUP(_1_5412845612146241046457891017456[[#This Row],[Type]],Main[[#All],[TYPE]:[UNIT]],'Unit Price'!G$1,FALSE),0)</f>
        <v>0</v>
      </c>
      <c r="J755" s="194">
        <f>IF(_1_5412845612146241046457891017456[[#This Row],[Type]]&gt;0,VLOOKUP(_1_5412845612146241046457891017456[[#This Row],[Type]],Main[[#All],[TYPE]:[UNIT]],'Unit Price'!H$1,FALSE),0)</f>
        <v>0</v>
      </c>
      <c r="K755" s="194">
        <f>IF(_1_5412845612146241046457891017456[[#This Row],[Discount selection]]&gt;0,VLOOKUP(_1_5412845612146241046457891017456[[#This Row],[Discount selection]],'Discount Structure'!$A$2:$B$30,2,"false"),0)</f>
        <v>1</v>
      </c>
      <c r="L755" s="194">
        <f>_1_5412845612146241046457891017456[[#This Row],[LIST $]]*_1_5412845612146241046457891017456[[#This Row],[DISCOUNT]]*_1_5412845612146241046457891017456[[#This Row],[DISCOUNT 2]]</f>
        <v>0</v>
      </c>
      <c r="M755" s="194">
        <f>IF(OR(_1_5412845612146241046457891017456[[#This Row],[UNIT]]&gt;0,_1_5412845612146241046457891017456[[#This Row],[UNIT]]&lt;0),_1_5412845612146241046457891017456[[#This Row],[UNIT]]*_1_5412845612146241046457891017456[[#This Row],[COST]],0)</f>
        <v>0</v>
      </c>
      <c r="N755" s="194">
        <f t="shared" si="11"/>
        <v>1.3</v>
      </c>
      <c r="O755" s="198">
        <f>_1_5412845612146241046457891017456[[#This Row],[TOTAL]]*_1_5412845612146241046457891017456[[#This Row],[MARGIN]]</f>
        <v>0</v>
      </c>
      <c r="R755" s="41"/>
    </row>
    <row r="756" spans="4:18">
      <c r="D756" s="188"/>
      <c r="F756" s="168" t="s">
        <v>6202</v>
      </c>
      <c r="G756" s="193">
        <f>IF(_1_5412845612146241046457891017456[[#This Row],[Type]]&gt;0,VLOOKUP(_1_5412845612146241046457891017456[[#This Row],[Type]],Main[[#All],[TYPE]:[UNIT]],'Unit Price'!C$1,FALSE),0)</f>
        <v>0</v>
      </c>
      <c r="H756" s="197">
        <f>IF(_1_5412845612146241046457891017456[[#This Row],[Type]]&gt;0,VLOOKUP(_1_5412845612146241046457891017456[[#This Row],[Type]],Main[[#All],[TYPE]:[UNIT]],'Unit Price'!D$1,FALSE),0)</f>
        <v>0</v>
      </c>
      <c r="I756" s="194">
        <f>IF(_1_5412845612146241046457891017456[[#This Row],[Type]]&gt;0,VLOOKUP(_1_5412845612146241046457891017456[[#This Row],[Type]],Main[[#All],[TYPE]:[UNIT]],'Unit Price'!G$1,FALSE),0)</f>
        <v>0</v>
      </c>
      <c r="J756" s="194">
        <f>IF(_1_5412845612146241046457891017456[[#This Row],[Type]]&gt;0,VLOOKUP(_1_5412845612146241046457891017456[[#This Row],[Type]],Main[[#All],[TYPE]:[UNIT]],'Unit Price'!H$1,FALSE),0)</f>
        <v>0</v>
      </c>
      <c r="K756" s="194">
        <f>IF(_1_5412845612146241046457891017456[[#This Row],[Discount selection]]&gt;0,VLOOKUP(_1_5412845612146241046457891017456[[#This Row],[Discount selection]],'Discount Structure'!$A$2:$B$30,2,"false"),0)</f>
        <v>1</v>
      </c>
      <c r="L756" s="194">
        <f>_1_5412845612146241046457891017456[[#This Row],[LIST $]]*_1_5412845612146241046457891017456[[#This Row],[DISCOUNT]]*_1_5412845612146241046457891017456[[#This Row],[DISCOUNT 2]]</f>
        <v>0</v>
      </c>
      <c r="M756" s="194">
        <f>IF(OR(_1_5412845612146241046457891017456[[#This Row],[UNIT]]&gt;0,_1_5412845612146241046457891017456[[#This Row],[UNIT]]&lt;0),_1_5412845612146241046457891017456[[#This Row],[UNIT]]*_1_5412845612146241046457891017456[[#This Row],[COST]],0)</f>
        <v>0</v>
      </c>
      <c r="N756" s="194">
        <f t="shared" si="11"/>
        <v>1.3</v>
      </c>
      <c r="O756" s="198">
        <f>_1_5412845612146241046457891017456[[#This Row],[TOTAL]]*_1_5412845612146241046457891017456[[#This Row],[MARGIN]]</f>
        <v>0</v>
      </c>
      <c r="R756" s="41"/>
    </row>
    <row r="757" spans="4:18">
      <c r="D757" s="188"/>
      <c r="F757" s="168" t="s">
        <v>6202</v>
      </c>
      <c r="G757" s="193">
        <f>IF(_1_5412845612146241046457891017456[[#This Row],[Type]]&gt;0,VLOOKUP(_1_5412845612146241046457891017456[[#This Row],[Type]],Main[[#All],[TYPE]:[UNIT]],'Unit Price'!C$1,FALSE),0)</f>
        <v>0</v>
      </c>
      <c r="H757" s="197">
        <f>IF(_1_5412845612146241046457891017456[[#This Row],[Type]]&gt;0,VLOOKUP(_1_5412845612146241046457891017456[[#This Row],[Type]],Main[[#All],[TYPE]:[UNIT]],'Unit Price'!D$1,FALSE),0)</f>
        <v>0</v>
      </c>
      <c r="I757" s="194">
        <f>IF(_1_5412845612146241046457891017456[[#This Row],[Type]]&gt;0,VLOOKUP(_1_5412845612146241046457891017456[[#This Row],[Type]],Main[[#All],[TYPE]:[UNIT]],'Unit Price'!G$1,FALSE),0)</f>
        <v>0</v>
      </c>
      <c r="J757" s="194">
        <f>IF(_1_5412845612146241046457891017456[[#This Row],[Type]]&gt;0,VLOOKUP(_1_5412845612146241046457891017456[[#This Row],[Type]],Main[[#All],[TYPE]:[UNIT]],'Unit Price'!H$1,FALSE),0)</f>
        <v>0</v>
      </c>
      <c r="K757" s="194">
        <f>IF(_1_5412845612146241046457891017456[[#This Row],[Discount selection]]&gt;0,VLOOKUP(_1_5412845612146241046457891017456[[#This Row],[Discount selection]],'Discount Structure'!$A$2:$B$30,2,"false"),0)</f>
        <v>1</v>
      </c>
      <c r="L757" s="194">
        <f>_1_5412845612146241046457891017456[[#This Row],[LIST $]]*_1_5412845612146241046457891017456[[#This Row],[DISCOUNT]]*_1_5412845612146241046457891017456[[#This Row],[DISCOUNT 2]]</f>
        <v>0</v>
      </c>
      <c r="M757" s="194">
        <f>IF(OR(_1_5412845612146241046457891017456[[#This Row],[UNIT]]&gt;0,_1_5412845612146241046457891017456[[#This Row],[UNIT]]&lt;0),_1_5412845612146241046457891017456[[#This Row],[UNIT]]*_1_5412845612146241046457891017456[[#This Row],[COST]],0)</f>
        <v>0</v>
      </c>
      <c r="N757" s="194">
        <f t="shared" si="11"/>
        <v>1.3</v>
      </c>
      <c r="O757" s="198">
        <f>_1_5412845612146241046457891017456[[#This Row],[TOTAL]]*_1_5412845612146241046457891017456[[#This Row],[MARGIN]]</f>
        <v>0</v>
      </c>
      <c r="R757" s="41"/>
    </row>
    <row r="758" spans="4:18">
      <c r="D758" s="188"/>
      <c r="F758" s="168" t="s">
        <v>6202</v>
      </c>
      <c r="G758" s="193">
        <f>IF(_1_5412845612146241046457891017456[[#This Row],[Type]]&gt;0,VLOOKUP(_1_5412845612146241046457891017456[[#This Row],[Type]],Main[[#All],[TYPE]:[UNIT]],'Unit Price'!C$1,FALSE),0)</f>
        <v>0</v>
      </c>
      <c r="H758" s="197">
        <f>IF(_1_5412845612146241046457891017456[[#This Row],[Type]]&gt;0,VLOOKUP(_1_5412845612146241046457891017456[[#This Row],[Type]],Main[[#All],[TYPE]:[UNIT]],'Unit Price'!D$1,FALSE),0)</f>
        <v>0</v>
      </c>
      <c r="I758" s="194">
        <f>IF(_1_5412845612146241046457891017456[[#This Row],[Type]]&gt;0,VLOOKUP(_1_5412845612146241046457891017456[[#This Row],[Type]],Main[[#All],[TYPE]:[UNIT]],'Unit Price'!G$1,FALSE),0)</f>
        <v>0</v>
      </c>
      <c r="J758" s="194">
        <f>IF(_1_5412845612146241046457891017456[[#This Row],[Type]]&gt;0,VLOOKUP(_1_5412845612146241046457891017456[[#This Row],[Type]],Main[[#All],[TYPE]:[UNIT]],'Unit Price'!H$1,FALSE),0)</f>
        <v>0</v>
      </c>
      <c r="K758" s="194">
        <f>IF(_1_5412845612146241046457891017456[[#This Row],[Discount selection]]&gt;0,VLOOKUP(_1_5412845612146241046457891017456[[#This Row],[Discount selection]],'Discount Structure'!$A$2:$B$30,2,"false"),0)</f>
        <v>1</v>
      </c>
      <c r="L758" s="194">
        <f>_1_5412845612146241046457891017456[[#This Row],[LIST $]]*_1_5412845612146241046457891017456[[#This Row],[DISCOUNT]]*_1_5412845612146241046457891017456[[#This Row],[DISCOUNT 2]]</f>
        <v>0</v>
      </c>
      <c r="M758" s="194">
        <f>IF(OR(_1_5412845612146241046457891017456[[#This Row],[UNIT]]&gt;0,_1_5412845612146241046457891017456[[#This Row],[UNIT]]&lt;0),_1_5412845612146241046457891017456[[#This Row],[UNIT]]*_1_5412845612146241046457891017456[[#This Row],[COST]],0)</f>
        <v>0</v>
      </c>
      <c r="N758" s="194">
        <f t="shared" si="11"/>
        <v>1.3</v>
      </c>
      <c r="O758" s="198">
        <f>_1_5412845612146241046457891017456[[#This Row],[TOTAL]]*_1_5412845612146241046457891017456[[#This Row],[MARGIN]]</f>
        <v>0</v>
      </c>
      <c r="R758" s="41"/>
    </row>
    <row r="759" spans="4:18">
      <c r="D759" s="188"/>
      <c r="F759" s="168" t="s">
        <v>6202</v>
      </c>
      <c r="G759" s="193">
        <f>IF(_1_5412845612146241046457891017456[[#This Row],[Type]]&gt;0,VLOOKUP(_1_5412845612146241046457891017456[[#This Row],[Type]],Main[[#All],[TYPE]:[UNIT]],'Unit Price'!C$1,FALSE),0)</f>
        <v>0</v>
      </c>
      <c r="H759" s="197">
        <f>IF(_1_5412845612146241046457891017456[[#This Row],[Type]]&gt;0,VLOOKUP(_1_5412845612146241046457891017456[[#This Row],[Type]],Main[[#All],[TYPE]:[UNIT]],'Unit Price'!D$1,FALSE),0)</f>
        <v>0</v>
      </c>
      <c r="I759" s="194">
        <f>IF(_1_5412845612146241046457891017456[[#This Row],[Type]]&gt;0,VLOOKUP(_1_5412845612146241046457891017456[[#This Row],[Type]],Main[[#All],[TYPE]:[UNIT]],'Unit Price'!G$1,FALSE),0)</f>
        <v>0</v>
      </c>
      <c r="J759" s="194">
        <f>IF(_1_5412845612146241046457891017456[[#This Row],[Type]]&gt;0,VLOOKUP(_1_5412845612146241046457891017456[[#This Row],[Type]],Main[[#All],[TYPE]:[UNIT]],'Unit Price'!H$1,FALSE),0)</f>
        <v>0</v>
      </c>
      <c r="K759" s="194">
        <f>IF(_1_5412845612146241046457891017456[[#This Row],[Discount selection]]&gt;0,VLOOKUP(_1_5412845612146241046457891017456[[#This Row],[Discount selection]],'Discount Structure'!$A$2:$B$30,2,"false"),0)</f>
        <v>1</v>
      </c>
      <c r="L759" s="194">
        <f>_1_5412845612146241046457891017456[[#This Row],[LIST $]]*_1_5412845612146241046457891017456[[#This Row],[DISCOUNT]]*_1_5412845612146241046457891017456[[#This Row],[DISCOUNT 2]]</f>
        <v>0</v>
      </c>
      <c r="M759" s="194">
        <f>IF(OR(_1_5412845612146241046457891017456[[#This Row],[UNIT]]&gt;0,_1_5412845612146241046457891017456[[#This Row],[UNIT]]&lt;0),_1_5412845612146241046457891017456[[#This Row],[UNIT]]*_1_5412845612146241046457891017456[[#This Row],[COST]],0)</f>
        <v>0</v>
      </c>
      <c r="N759" s="194">
        <f t="shared" si="11"/>
        <v>1.3</v>
      </c>
      <c r="O759" s="198">
        <f>_1_5412845612146241046457891017456[[#This Row],[TOTAL]]*_1_5412845612146241046457891017456[[#This Row],[MARGIN]]</f>
        <v>0</v>
      </c>
      <c r="R759" s="41"/>
    </row>
    <row r="760" spans="4:18">
      <c r="D760" s="188"/>
      <c r="F760" s="168" t="s">
        <v>6202</v>
      </c>
      <c r="G760" s="193">
        <f>IF(_1_5412845612146241046457891017456[[#This Row],[Type]]&gt;0,VLOOKUP(_1_5412845612146241046457891017456[[#This Row],[Type]],Main[[#All],[TYPE]:[UNIT]],'Unit Price'!C$1,FALSE),0)</f>
        <v>0</v>
      </c>
      <c r="H760" s="197">
        <f>IF(_1_5412845612146241046457891017456[[#This Row],[Type]]&gt;0,VLOOKUP(_1_5412845612146241046457891017456[[#This Row],[Type]],Main[[#All],[TYPE]:[UNIT]],'Unit Price'!D$1,FALSE),0)</f>
        <v>0</v>
      </c>
      <c r="I760" s="194">
        <f>IF(_1_5412845612146241046457891017456[[#This Row],[Type]]&gt;0,VLOOKUP(_1_5412845612146241046457891017456[[#This Row],[Type]],Main[[#All],[TYPE]:[UNIT]],'Unit Price'!G$1,FALSE),0)</f>
        <v>0</v>
      </c>
      <c r="J760" s="194">
        <f>IF(_1_5412845612146241046457891017456[[#This Row],[Type]]&gt;0,VLOOKUP(_1_5412845612146241046457891017456[[#This Row],[Type]],Main[[#All],[TYPE]:[UNIT]],'Unit Price'!H$1,FALSE),0)</f>
        <v>0</v>
      </c>
      <c r="K760" s="194">
        <f>IF(_1_5412845612146241046457891017456[[#This Row],[Discount selection]]&gt;0,VLOOKUP(_1_5412845612146241046457891017456[[#This Row],[Discount selection]],'Discount Structure'!$A$2:$B$30,2,"false"),0)</f>
        <v>1</v>
      </c>
      <c r="L760" s="194">
        <f>_1_5412845612146241046457891017456[[#This Row],[LIST $]]*_1_5412845612146241046457891017456[[#This Row],[DISCOUNT]]*_1_5412845612146241046457891017456[[#This Row],[DISCOUNT 2]]</f>
        <v>0</v>
      </c>
      <c r="M760" s="194">
        <f>IF(OR(_1_5412845612146241046457891017456[[#This Row],[UNIT]]&gt;0,_1_5412845612146241046457891017456[[#This Row],[UNIT]]&lt;0),_1_5412845612146241046457891017456[[#This Row],[UNIT]]*_1_5412845612146241046457891017456[[#This Row],[COST]],0)</f>
        <v>0</v>
      </c>
      <c r="N760" s="194">
        <f t="shared" si="11"/>
        <v>1.3</v>
      </c>
      <c r="O760" s="198">
        <f>_1_5412845612146241046457891017456[[#This Row],[TOTAL]]*_1_5412845612146241046457891017456[[#This Row],[MARGIN]]</f>
        <v>0</v>
      </c>
      <c r="R760" s="41"/>
    </row>
    <row r="761" spans="4:18">
      <c r="D761" s="188"/>
      <c r="F761" s="168" t="s">
        <v>6202</v>
      </c>
      <c r="G761" s="193">
        <f>IF(_1_5412845612146241046457891017456[[#This Row],[Type]]&gt;0,VLOOKUP(_1_5412845612146241046457891017456[[#This Row],[Type]],Main[[#All],[TYPE]:[UNIT]],'Unit Price'!C$1,FALSE),0)</f>
        <v>0</v>
      </c>
      <c r="H761" s="197">
        <f>IF(_1_5412845612146241046457891017456[[#This Row],[Type]]&gt;0,VLOOKUP(_1_5412845612146241046457891017456[[#This Row],[Type]],Main[[#All],[TYPE]:[UNIT]],'Unit Price'!D$1,FALSE),0)</f>
        <v>0</v>
      </c>
      <c r="I761" s="194">
        <f>IF(_1_5412845612146241046457891017456[[#This Row],[Type]]&gt;0,VLOOKUP(_1_5412845612146241046457891017456[[#This Row],[Type]],Main[[#All],[TYPE]:[UNIT]],'Unit Price'!G$1,FALSE),0)</f>
        <v>0</v>
      </c>
      <c r="J761" s="194">
        <f>IF(_1_5412845612146241046457891017456[[#This Row],[Type]]&gt;0,VLOOKUP(_1_5412845612146241046457891017456[[#This Row],[Type]],Main[[#All],[TYPE]:[UNIT]],'Unit Price'!H$1,FALSE),0)</f>
        <v>0</v>
      </c>
      <c r="K761" s="194">
        <f>IF(_1_5412845612146241046457891017456[[#This Row],[Discount selection]]&gt;0,VLOOKUP(_1_5412845612146241046457891017456[[#This Row],[Discount selection]],'Discount Structure'!$A$2:$B$30,2,"false"),0)</f>
        <v>1</v>
      </c>
      <c r="L761" s="194">
        <f>_1_5412845612146241046457891017456[[#This Row],[LIST $]]*_1_5412845612146241046457891017456[[#This Row],[DISCOUNT]]*_1_5412845612146241046457891017456[[#This Row],[DISCOUNT 2]]</f>
        <v>0</v>
      </c>
      <c r="M761" s="194">
        <f>IF(OR(_1_5412845612146241046457891017456[[#This Row],[UNIT]]&gt;0,_1_5412845612146241046457891017456[[#This Row],[UNIT]]&lt;0),_1_5412845612146241046457891017456[[#This Row],[UNIT]]*_1_5412845612146241046457891017456[[#This Row],[COST]],0)</f>
        <v>0</v>
      </c>
      <c r="N761" s="194">
        <f t="shared" si="11"/>
        <v>1.3</v>
      </c>
      <c r="O761" s="198">
        <f>_1_5412845612146241046457891017456[[#This Row],[TOTAL]]*_1_5412845612146241046457891017456[[#This Row],[MARGIN]]</f>
        <v>0</v>
      </c>
      <c r="R761" s="41"/>
    </row>
    <row r="762" spans="4:18">
      <c r="D762" s="188"/>
      <c r="F762" s="168" t="s">
        <v>6202</v>
      </c>
      <c r="G762" s="193">
        <f>IF(_1_5412845612146241046457891017456[[#This Row],[Type]]&gt;0,VLOOKUP(_1_5412845612146241046457891017456[[#This Row],[Type]],Main[[#All],[TYPE]:[UNIT]],'Unit Price'!C$1,FALSE),0)</f>
        <v>0</v>
      </c>
      <c r="H762" s="197">
        <f>IF(_1_5412845612146241046457891017456[[#This Row],[Type]]&gt;0,VLOOKUP(_1_5412845612146241046457891017456[[#This Row],[Type]],Main[[#All],[TYPE]:[UNIT]],'Unit Price'!D$1,FALSE),0)</f>
        <v>0</v>
      </c>
      <c r="I762" s="194">
        <f>IF(_1_5412845612146241046457891017456[[#This Row],[Type]]&gt;0,VLOOKUP(_1_5412845612146241046457891017456[[#This Row],[Type]],Main[[#All],[TYPE]:[UNIT]],'Unit Price'!G$1,FALSE),0)</f>
        <v>0</v>
      </c>
      <c r="J762" s="194">
        <f>IF(_1_5412845612146241046457891017456[[#This Row],[Type]]&gt;0,VLOOKUP(_1_5412845612146241046457891017456[[#This Row],[Type]],Main[[#All],[TYPE]:[UNIT]],'Unit Price'!H$1,FALSE),0)</f>
        <v>0</v>
      </c>
      <c r="K762" s="194">
        <f>IF(_1_5412845612146241046457891017456[[#This Row],[Discount selection]]&gt;0,VLOOKUP(_1_5412845612146241046457891017456[[#This Row],[Discount selection]],'Discount Structure'!$A$2:$B$30,2,"false"),0)</f>
        <v>1</v>
      </c>
      <c r="L762" s="194">
        <f>_1_5412845612146241046457891017456[[#This Row],[LIST $]]*_1_5412845612146241046457891017456[[#This Row],[DISCOUNT]]*_1_5412845612146241046457891017456[[#This Row],[DISCOUNT 2]]</f>
        <v>0</v>
      </c>
      <c r="M762" s="194">
        <f>IF(OR(_1_5412845612146241046457891017456[[#This Row],[UNIT]]&gt;0,_1_5412845612146241046457891017456[[#This Row],[UNIT]]&lt;0),_1_5412845612146241046457891017456[[#This Row],[UNIT]]*_1_5412845612146241046457891017456[[#This Row],[COST]],0)</f>
        <v>0</v>
      </c>
      <c r="N762" s="194">
        <f t="shared" si="11"/>
        <v>1.3</v>
      </c>
      <c r="O762" s="198">
        <f>_1_5412845612146241046457891017456[[#This Row],[TOTAL]]*_1_5412845612146241046457891017456[[#This Row],[MARGIN]]</f>
        <v>0</v>
      </c>
      <c r="R762" s="41"/>
    </row>
    <row r="763" spans="4:18">
      <c r="D763" s="188"/>
      <c r="F763" s="168" t="s">
        <v>6202</v>
      </c>
      <c r="G763" s="193">
        <f>IF(_1_5412845612146241046457891017456[[#This Row],[Type]]&gt;0,VLOOKUP(_1_5412845612146241046457891017456[[#This Row],[Type]],Main[[#All],[TYPE]:[UNIT]],'Unit Price'!C$1,FALSE),0)</f>
        <v>0</v>
      </c>
      <c r="H763" s="197">
        <f>IF(_1_5412845612146241046457891017456[[#This Row],[Type]]&gt;0,VLOOKUP(_1_5412845612146241046457891017456[[#This Row],[Type]],Main[[#All],[TYPE]:[UNIT]],'Unit Price'!D$1,FALSE),0)</f>
        <v>0</v>
      </c>
      <c r="I763" s="194">
        <f>IF(_1_5412845612146241046457891017456[[#This Row],[Type]]&gt;0,VLOOKUP(_1_5412845612146241046457891017456[[#This Row],[Type]],Main[[#All],[TYPE]:[UNIT]],'Unit Price'!G$1,FALSE),0)</f>
        <v>0</v>
      </c>
      <c r="J763" s="194">
        <f>IF(_1_5412845612146241046457891017456[[#This Row],[Type]]&gt;0,VLOOKUP(_1_5412845612146241046457891017456[[#This Row],[Type]],Main[[#All],[TYPE]:[UNIT]],'Unit Price'!H$1,FALSE),0)</f>
        <v>0</v>
      </c>
      <c r="K763" s="194">
        <f>IF(_1_5412845612146241046457891017456[[#This Row],[Discount selection]]&gt;0,VLOOKUP(_1_5412845612146241046457891017456[[#This Row],[Discount selection]],'Discount Structure'!$A$2:$B$30,2,"false"),0)</f>
        <v>1</v>
      </c>
      <c r="L763" s="194">
        <f>_1_5412845612146241046457891017456[[#This Row],[LIST $]]*_1_5412845612146241046457891017456[[#This Row],[DISCOUNT]]*_1_5412845612146241046457891017456[[#This Row],[DISCOUNT 2]]</f>
        <v>0</v>
      </c>
      <c r="M763" s="194">
        <f>IF(OR(_1_5412845612146241046457891017456[[#This Row],[UNIT]]&gt;0,_1_5412845612146241046457891017456[[#This Row],[UNIT]]&lt;0),_1_5412845612146241046457891017456[[#This Row],[UNIT]]*_1_5412845612146241046457891017456[[#This Row],[COST]],0)</f>
        <v>0</v>
      </c>
      <c r="N763" s="194">
        <f t="shared" si="11"/>
        <v>1.3</v>
      </c>
      <c r="O763" s="198">
        <f>_1_5412845612146241046457891017456[[#This Row],[TOTAL]]*_1_5412845612146241046457891017456[[#This Row],[MARGIN]]</f>
        <v>0</v>
      </c>
      <c r="R763" s="41"/>
    </row>
    <row r="764" spans="4:18">
      <c r="D764" s="188"/>
      <c r="F764" s="168" t="s">
        <v>6202</v>
      </c>
      <c r="G764" s="193">
        <f>IF(_1_5412845612146241046457891017456[[#This Row],[Type]]&gt;0,VLOOKUP(_1_5412845612146241046457891017456[[#This Row],[Type]],Main[[#All],[TYPE]:[UNIT]],'Unit Price'!C$1,FALSE),0)</f>
        <v>0</v>
      </c>
      <c r="H764" s="197">
        <f>IF(_1_5412845612146241046457891017456[[#This Row],[Type]]&gt;0,VLOOKUP(_1_5412845612146241046457891017456[[#This Row],[Type]],Main[[#All],[TYPE]:[UNIT]],'Unit Price'!D$1,FALSE),0)</f>
        <v>0</v>
      </c>
      <c r="I764" s="194">
        <f>IF(_1_5412845612146241046457891017456[[#This Row],[Type]]&gt;0,VLOOKUP(_1_5412845612146241046457891017456[[#This Row],[Type]],Main[[#All],[TYPE]:[UNIT]],'Unit Price'!G$1,FALSE),0)</f>
        <v>0</v>
      </c>
      <c r="J764" s="194">
        <f>IF(_1_5412845612146241046457891017456[[#This Row],[Type]]&gt;0,VLOOKUP(_1_5412845612146241046457891017456[[#This Row],[Type]],Main[[#All],[TYPE]:[UNIT]],'Unit Price'!H$1,FALSE),0)</f>
        <v>0</v>
      </c>
      <c r="K764" s="194">
        <f>IF(_1_5412845612146241046457891017456[[#This Row],[Discount selection]]&gt;0,VLOOKUP(_1_5412845612146241046457891017456[[#This Row],[Discount selection]],'Discount Structure'!$A$2:$B$30,2,"false"),0)</f>
        <v>1</v>
      </c>
      <c r="L764" s="194">
        <f>_1_5412845612146241046457891017456[[#This Row],[LIST $]]*_1_5412845612146241046457891017456[[#This Row],[DISCOUNT]]*_1_5412845612146241046457891017456[[#This Row],[DISCOUNT 2]]</f>
        <v>0</v>
      </c>
      <c r="M764" s="194">
        <f>IF(OR(_1_5412845612146241046457891017456[[#This Row],[UNIT]]&gt;0,_1_5412845612146241046457891017456[[#This Row],[UNIT]]&lt;0),_1_5412845612146241046457891017456[[#This Row],[UNIT]]*_1_5412845612146241046457891017456[[#This Row],[COST]],0)</f>
        <v>0</v>
      </c>
      <c r="N764" s="194">
        <f t="shared" si="11"/>
        <v>1.3</v>
      </c>
      <c r="O764" s="198">
        <f>_1_5412845612146241046457891017456[[#This Row],[TOTAL]]*_1_5412845612146241046457891017456[[#This Row],[MARGIN]]</f>
        <v>0</v>
      </c>
      <c r="R764" s="41"/>
    </row>
    <row r="765" spans="4:18">
      <c r="D765" s="188"/>
      <c r="F765" s="168" t="s">
        <v>6202</v>
      </c>
      <c r="G765" s="193">
        <f>IF(_1_5412845612146241046457891017456[[#This Row],[Type]]&gt;0,VLOOKUP(_1_5412845612146241046457891017456[[#This Row],[Type]],Main[[#All],[TYPE]:[UNIT]],'Unit Price'!C$1,FALSE),0)</f>
        <v>0</v>
      </c>
      <c r="H765" s="197">
        <f>IF(_1_5412845612146241046457891017456[[#This Row],[Type]]&gt;0,VLOOKUP(_1_5412845612146241046457891017456[[#This Row],[Type]],Main[[#All],[TYPE]:[UNIT]],'Unit Price'!D$1,FALSE),0)</f>
        <v>0</v>
      </c>
      <c r="I765" s="194">
        <f>IF(_1_5412845612146241046457891017456[[#This Row],[Type]]&gt;0,VLOOKUP(_1_5412845612146241046457891017456[[#This Row],[Type]],Main[[#All],[TYPE]:[UNIT]],'Unit Price'!G$1,FALSE),0)</f>
        <v>0</v>
      </c>
      <c r="J765" s="194">
        <f>IF(_1_5412845612146241046457891017456[[#This Row],[Type]]&gt;0,VLOOKUP(_1_5412845612146241046457891017456[[#This Row],[Type]],Main[[#All],[TYPE]:[UNIT]],'Unit Price'!H$1,FALSE),0)</f>
        <v>0</v>
      </c>
      <c r="K765" s="194">
        <f>IF(_1_5412845612146241046457891017456[[#This Row],[Discount selection]]&gt;0,VLOOKUP(_1_5412845612146241046457891017456[[#This Row],[Discount selection]],'Discount Structure'!$A$2:$B$30,2,"false"),0)</f>
        <v>1</v>
      </c>
      <c r="L765" s="194">
        <f>_1_5412845612146241046457891017456[[#This Row],[LIST $]]*_1_5412845612146241046457891017456[[#This Row],[DISCOUNT]]*_1_5412845612146241046457891017456[[#This Row],[DISCOUNT 2]]</f>
        <v>0</v>
      </c>
      <c r="M765" s="194">
        <f>IF(OR(_1_5412845612146241046457891017456[[#This Row],[UNIT]]&gt;0,_1_5412845612146241046457891017456[[#This Row],[UNIT]]&lt;0),_1_5412845612146241046457891017456[[#This Row],[UNIT]]*_1_5412845612146241046457891017456[[#This Row],[COST]],0)</f>
        <v>0</v>
      </c>
      <c r="N765" s="194">
        <f t="shared" si="11"/>
        <v>1.3</v>
      </c>
      <c r="O765" s="198">
        <f>_1_5412845612146241046457891017456[[#This Row],[TOTAL]]*_1_5412845612146241046457891017456[[#This Row],[MARGIN]]</f>
        <v>0</v>
      </c>
      <c r="R765" s="41"/>
    </row>
    <row r="766" spans="4:18">
      <c r="D766" s="188"/>
      <c r="F766" s="168" t="s">
        <v>6202</v>
      </c>
      <c r="G766" s="193">
        <f>IF(_1_5412845612146241046457891017456[[#This Row],[Type]]&gt;0,VLOOKUP(_1_5412845612146241046457891017456[[#This Row],[Type]],Main[[#All],[TYPE]:[UNIT]],'Unit Price'!C$1,FALSE),0)</f>
        <v>0</v>
      </c>
      <c r="H766" s="197">
        <f>IF(_1_5412845612146241046457891017456[[#This Row],[Type]]&gt;0,VLOOKUP(_1_5412845612146241046457891017456[[#This Row],[Type]],Main[[#All],[TYPE]:[UNIT]],'Unit Price'!D$1,FALSE),0)</f>
        <v>0</v>
      </c>
      <c r="I766" s="194">
        <f>IF(_1_5412845612146241046457891017456[[#This Row],[Type]]&gt;0,VLOOKUP(_1_5412845612146241046457891017456[[#This Row],[Type]],Main[[#All],[TYPE]:[UNIT]],'Unit Price'!G$1,FALSE),0)</f>
        <v>0</v>
      </c>
      <c r="J766" s="194">
        <f>IF(_1_5412845612146241046457891017456[[#This Row],[Type]]&gt;0,VLOOKUP(_1_5412845612146241046457891017456[[#This Row],[Type]],Main[[#All],[TYPE]:[UNIT]],'Unit Price'!H$1,FALSE),0)</f>
        <v>0</v>
      </c>
      <c r="K766" s="194">
        <f>IF(_1_5412845612146241046457891017456[[#This Row],[Discount selection]]&gt;0,VLOOKUP(_1_5412845612146241046457891017456[[#This Row],[Discount selection]],'Discount Structure'!$A$2:$B$30,2,"false"),0)</f>
        <v>1</v>
      </c>
      <c r="L766" s="194">
        <f>_1_5412845612146241046457891017456[[#This Row],[LIST $]]*_1_5412845612146241046457891017456[[#This Row],[DISCOUNT]]*_1_5412845612146241046457891017456[[#This Row],[DISCOUNT 2]]</f>
        <v>0</v>
      </c>
      <c r="M766" s="194">
        <f>IF(OR(_1_5412845612146241046457891017456[[#This Row],[UNIT]]&gt;0,_1_5412845612146241046457891017456[[#This Row],[UNIT]]&lt;0),_1_5412845612146241046457891017456[[#This Row],[UNIT]]*_1_5412845612146241046457891017456[[#This Row],[COST]],0)</f>
        <v>0</v>
      </c>
      <c r="N766" s="194">
        <f t="shared" si="11"/>
        <v>1.3</v>
      </c>
      <c r="O766" s="198">
        <f>_1_5412845612146241046457891017456[[#This Row],[TOTAL]]*_1_5412845612146241046457891017456[[#This Row],[MARGIN]]</f>
        <v>0</v>
      </c>
      <c r="R766" s="41"/>
    </row>
    <row r="767" spans="4:18">
      <c r="D767" s="188"/>
      <c r="F767" s="168" t="s">
        <v>6202</v>
      </c>
      <c r="G767" s="193">
        <f>IF(_1_5412845612146241046457891017456[[#This Row],[Type]]&gt;0,VLOOKUP(_1_5412845612146241046457891017456[[#This Row],[Type]],Main[[#All],[TYPE]:[UNIT]],'Unit Price'!C$1,FALSE),0)</f>
        <v>0</v>
      </c>
      <c r="H767" s="197">
        <f>IF(_1_5412845612146241046457891017456[[#This Row],[Type]]&gt;0,VLOOKUP(_1_5412845612146241046457891017456[[#This Row],[Type]],Main[[#All],[TYPE]:[UNIT]],'Unit Price'!D$1,FALSE),0)</f>
        <v>0</v>
      </c>
      <c r="I767" s="194">
        <f>IF(_1_5412845612146241046457891017456[[#This Row],[Type]]&gt;0,VLOOKUP(_1_5412845612146241046457891017456[[#This Row],[Type]],Main[[#All],[TYPE]:[UNIT]],'Unit Price'!G$1,FALSE),0)</f>
        <v>0</v>
      </c>
      <c r="J767" s="194">
        <f>IF(_1_5412845612146241046457891017456[[#This Row],[Type]]&gt;0,VLOOKUP(_1_5412845612146241046457891017456[[#This Row],[Type]],Main[[#All],[TYPE]:[UNIT]],'Unit Price'!H$1,FALSE),0)</f>
        <v>0</v>
      </c>
      <c r="K767" s="194">
        <f>IF(_1_5412845612146241046457891017456[[#This Row],[Discount selection]]&gt;0,VLOOKUP(_1_5412845612146241046457891017456[[#This Row],[Discount selection]],'Discount Structure'!$A$2:$B$30,2,"false"),0)</f>
        <v>1</v>
      </c>
      <c r="L767" s="194">
        <f>_1_5412845612146241046457891017456[[#This Row],[LIST $]]*_1_5412845612146241046457891017456[[#This Row],[DISCOUNT]]*_1_5412845612146241046457891017456[[#This Row],[DISCOUNT 2]]</f>
        <v>0</v>
      </c>
      <c r="M767" s="194">
        <f>IF(OR(_1_5412845612146241046457891017456[[#This Row],[UNIT]]&gt;0,_1_5412845612146241046457891017456[[#This Row],[UNIT]]&lt;0),_1_5412845612146241046457891017456[[#This Row],[UNIT]]*_1_5412845612146241046457891017456[[#This Row],[COST]],0)</f>
        <v>0</v>
      </c>
      <c r="N767" s="194">
        <f t="shared" si="11"/>
        <v>1.3</v>
      </c>
      <c r="O767" s="198">
        <f>_1_5412845612146241046457891017456[[#This Row],[TOTAL]]*_1_5412845612146241046457891017456[[#This Row],[MARGIN]]</f>
        <v>0</v>
      </c>
      <c r="R767" s="41"/>
    </row>
    <row r="768" spans="4:18">
      <c r="D768" s="188"/>
      <c r="F768" s="168" t="s">
        <v>6202</v>
      </c>
      <c r="G768" s="193">
        <f>IF(_1_5412845612146241046457891017456[[#This Row],[Type]]&gt;0,VLOOKUP(_1_5412845612146241046457891017456[[#This Row],[Type]],Main[[#All],[TYPE]:[UNIT]],'Unit Price'!C$1,FALSE),0)</f>
        <v>0</v>
      </c>
      <c r="H768" s="197">
        <f>IF(_1_5412845612146241046457891017456[[#This Row],[Type]]&gt;0,VLOOKUP(_1_5412845612146241046457891017456[[#This Row],[Type]],Main[[#All],[TYPE]:[UNIT]],'Unit Price'!D$1,FALSE),0)</f>
        <v>0</v>
      </c>
      <c r="I768" s="194">
        <f>IF(_1_5412845612146241046457891017456[[#This Row],[Type]]&gt;0,VLOOKUP(_1_5412845612146241046457891017456[[#This Row],[Type]],Main[[#All],[TYPE]:[UNIT]],'Unit Price'!G$1,FALSE),0)</f>
        <v>0</v>
      </c>
      <c r="J768" s="194">
        <f>IF(_1_5412845612146241046457891017456[[#This Row],[Type]]&gt;0,VLOOKUP(_1_5412845612146241046457891017456[[#This Row],[Type]],Main[[#All],[TYPE]:[UNIT]],'Unit Price'!H$1,FALSE),0)</f>
        <v>0</v>
      </c>
      <c r="K768" s="194">
        <f>IF(_1_5412845612146241046457891017456[[#This Row],[Discount selection]]&gt;0,VLOOKUP(_1_5412845612146241046457891017456[[#This Row],[Discount selection]],'Discount Structure'!$A$2:$B$30,2,"false"),0)</f>
        <v>1</v>
      </c>
      <c r="L768" s="194">
        <f>_1_5412845612146241046457891017456[[#This Row],[LIST $]]*_1_5412845612146241046457891017456[[#This Row],[DISCOUNT]]*_1_5412845612146241046457891017456[[#This Row],[DISCOUNT 2]]</f>
        <v>0</v>
      </c>
      <c r="M768" s="194">
        <f>IF(OR(_1_5412845612146241046457891017456[[#This Row],[UNIT]]&gt;0,_1_5412845612146241046457891017456[[#This Row],[UNIT]]&lt;0),_1_5412845612146241046457891017456[[#This Row],[UNIT]]*_1_5412845612146241046457891017456[[#This Row],[COST]],0)</f>
        <v>0</v>
      </c>
      <c r="N768" s="194">
        <f t="shared" si="11"/>
        <v>1.3</v>
      </c>
      <c r="O768" s="198">
        <f>_1_5412845612146241046457891017456[[#This Row],[TOTAL]]*_1_5412845612146241046457891017456[[#This Row],[MARGIN]]</f>
        <v>0</v>
      </c>
      <c r="R768" s="41"/>
    </row>
    <row r="769" spans="4:18">
      <c r="D769" s="188"/>
      <c r="F769" s="168" t="s">
        <v>6202</v>
      </c>
      <c r="G769" s="193">
        <f>IF(_1_5412845612146241046457891017456[[#This Row],[Type]]&gt;0,VLOOKUP(_1_5412845612146241046457891017456[[#This Row],[Type]],Main[[#All],[TYPE]:[UNIT]],'Unit Price'!C$1,FALSE),0)</f>
        <v>0</v>
      </c>
      <c r="H769" s="197">
        <f>IF(_1_5412845612146241046457891017456[[#This Row],[Type]]&gt;0,VLOOKUP(_1_5412845612146241046457891017456[[#This Row],[Type]],Main[[#All],[TYPE]:[UNIT]],'Unit Price'!D$1,FALSE),0)</f>
        <v>0</v>
      </c>
      <c r="I769" s="194">
        <f>IF(_1_5412845612146241046457891017456[[#This Row],[Type]]&gt;0,VLOOKUP(_1_5412845612146241046457891017456[[#This Row],[Type]],Main[[#All],[TYPE]:[UNIT]],'Unit Price'!G$1,FALSE),0)</f>
        <v>0</v>
      </c>
      <c r="J769" s="194">
        <f>IF(_1_5412845612146241046457891017456[[#This Row],[Type]]&gt;0,VLOOKUP(_1_5412845612146241046457891017456[[#This Row],[Type]],Main[[#All],[TYPE]:[UNIT]],'Unit Price'!H$1,FALSE),0)</f>
        <v>0</v>
      </c>
      <c r="K769" s="194">
        <f>IF(_1_5412845612146241046457891017456[[#This Row],[Discount selection]]&gt;0,VLOOKUP(_1_5412845612146241046457891017456[[#This Row],[Discount selection]],'Discount Structure'!$A$2:$B$30,2,"false"),0)</f>
        <v>1</v>
      </c>
      <c r="L769" s="194">
        <f>_1_5412845612146241046457891017456[[#This Row],[LIST $]]*_1_5412845612146241046457891017456[[#This Row],[DISCOUNT]]*_1_5412845612146241046457891017456[[#This Row],[DISCOUNT 2]]</f>
        <v>0</v>
      </c>
      <c r="M769" s="194">
        <f>IF(OR(_1_5412845612146241046457891017456[[#This Row],[UNIT]]&gt;0,_1_5412845612146241046457891017456[[#This Row],[UNIT]]&lt;0),_1_5412845612146241046457891017456[[#This Row],[UNIT]]*_1_5412845612146241046457891017456[[#This Row],[COST]],0)</f>
        <v>0</v>
      </c>
      <c r="N769" s="194">
        <f t="shared" si="11"/>
        <v>1.3</v>
      </c>
      <c r="O769" s="198">
        <f>_1_5412845612146241046457891017456[[#This Row],[TOTAL]]*_1_5412845612146241046457891017456[[#This Row],[MARGIN]]</f>
        <v>0</v>
      </c>
      <c r="R769" s="41"/>
    </row>
    <row r="770" spans="4:18">
      <c r="D770" s="188"/>
      <c r="F770" s="168" t="s">
        <v>6202</v>
      </c>
      <c r="G770" s="193">
        <f>IF(_1_5412845612146241046457891017456[[#This Row],[Type]]&gt;0,VLOOKUP(_1_5412845612146241046457891017456[[#This Row],[Type]],Main[[#All],[TYPE]:[UNIT]],'Unit Price'!C$1,FALSE),0)</f>
        <v>0</v>
      </c>
      <c r="H770" s="197">
        <f>IF(_1_5412845612146241046457891017456[[#This Row],[Type]]&gt;0,VLOOKUP(_1_5412845612146241046457891017456[[#This Row],[Type]],Main[[#All],[TYPE]:[UNIT]],'Unit Price'!D$1,FALSE),0)</f>
        <v>0</v>
      </c>
      <c r="I770" s="194">
        <f>IF(_1_5412845612146241046457891017456[[#This Row],[Type]]&gt;0,VLOOKUP(_1_5412845612146241046457891017456[[#This Row],[Type]],Main[[#All],[TYPE]:[UNIT]],'Unit Price'!G$1,FALSE),0)</f>
        <v>0</v>
      </c>
      <c r="J770" s="194">
        <f>IF(_1_5412845612146241046457891017456[[#This Row],[Type]]&gt;0,VLOOKUP(_1_5412845612146241046457891017456[[#This Row],[Type]],Main[[#All],[TYPE]:[UNIT]],'Unit Price'!H$1,FALSE),0)</f>
        <v>0</v>
      </c>
      <c r="K770" s="194">
        <f>IF(_1_5412845612146241046457891017456[[#This Row],[Discount selection]]&gt;0,VLOOKUP(_1_5412845612146241046457891017456[[#This Row],[Discount selection]],'Discount Structure'!$A$2:$B$30,2,"false"),0)</f>
        <v>1</v>
      </c>
      <c r="L770" s="194">
        <f>_1_5412845612146241046457891017456[[#This Row],[LIST $]]*_1_5412845612146241046457891017456[[#This Row],[DISCOUNT]]*_1_5412845612146241046457891017456[[#This Row],[DISCOUNT 2]]</f>
        <v>0</v>
      </c>
      <c r="M770" s="194">
        <f>IF(OR(_1_5412845612146241046457891017456[[#This Row],[UNIT]]&gt;0,_1_5412845612146241046457891017456[[#This Row],[UNIT]]&lt;0),_1_5412845612146241046457891017456[[#This Row],[UNIT]]*_1_5412845612146241046457891017456[[#This Row],[COST]],0)</f>
        <v>0</v>
      </c>
      <c r="N770" s="194">
        <f t="shared" si="11"/>
        <v>1.3</v>
      </c>
      <c r="O770" s="198">
        <f>_1_5412845612146241046457891017456[[#This Row],[TOTAL]]*_1_5412845612146241046457891017456[[#This Row],[MARGIN]]</f>
        <v>0</v>
      </c>
      <c r="R770" s="41"/>
    </row>
    <row r="771" spans="4:18">
      <c r="D771" s="188"/>
      <c r="F771" s="168" t="s">
        <v>6202</v>
      </c>
      <c r="G771" s="193">
        <f>IF(_1_5412845612146241046457891017456[[#This Row],[Type]]&gt;0,VLOOKUP(_1_5412845612146241046457891017456[[#This Row],[Type]],Main[[#All],[TYPE]:[UNIT]],'Unit Price'!C$1,FALSE),0)</f>
        <v>0</v>
      </c>
      <c r="H771" s="197">
        <f>IF(_1_5412845612146241046457891017456[[#This Row],[Type]]&gt;0,VLOOKUP(_1_5412845612146241046457891017456[[#This Row],[Type]],Main[[#All],[TYPE]:[UNIT]],'Unit Price'!D$1,FALSE),0)</f>
        <v>0</v>
      </c>
      <c r="I771" s="194">
        <f>IF(_1_5412845612146241046457891017456[[#This Row],[Type]]&gt;0,VLOOKUP(_1_5412845612146241046457891017456[[#This Row],[Type]],Main[[#All],[TYPE]:[UNIT]],'Unit Price'!G$1,FALSE),0)</f>
        <v>0</v>
      </c>
      <c r="J771" s="194">
        <f>IF(_1_5412845612146241046457891017456[[#This Row],[Type]]&gt;0,VLOOKUP(_1_5412845612146241046457891017456[[#This Row],[Type]],Main[[#All],[TYPE]:[UNIT]],'Unit Price'!H$1,FALSE),0)</f>
        <v>0</v>
      </c>
      <c r="K771" s="194">
        <f>IF(_1_5412845612146241046457891017456[[#This Row],[Discount selection]]&gt;0,VLOOKUP(_1_5412845612146241046457891017456[[#This Row],[Discount selection]],'Discount Structure'!$A$2:$B$30,2,"false"),0)</f>
        <v>1</v>
      </c>
      <c r="L771" s="194">
        <f>_1_5412845612146241046457891017456[[#This Row],[LIST $]]*_1_5412845612146241046457891017456[[#This Row],[DISCOUNT]]*_1_5412845612146241046457891017456[[#This Row],[DISCOUNT 2]]</f>
        <v>0</v>
      </c>
      <c r="M771" s="194">
        <f>IF(OR(_1_5412845612146241046457891017456[[#This Row],[UNIT]]&gt;0,_1_5412845612146241046457891017456[[#This Row],[UNIT]]&lt;0),_1_5412845612146241046457891017456[[#This Row],[UNIT]]*_1_5412845612146241046457891017456[[#This Row],[COST]],0)</f>
        <v>0</v>
      </c>
      <c r="N771" s="194">
        <f t="shared" si="11"/>
        <v>1.3</v>
      </c>
      <c r="O771" s="198">
        <f>_1_5412845612146241046457891017456[[#This Row],[TOTAL]]*_1_5412845612146241046457891017456[[#This Row],[MARGIN]]</f>
        <v>0</v>
      </c>
      <c r="R771" s="41"/>
    </row>
    <row r="772" spans="4:18">
      <c r="D772" s="188"/>
      <c r="F772" s="168" t="s">
        <v>6202</v>
      </c>
      <c r="G772" s="193">
        <f>IF(_1_5412845612146241046457891017456[[#This Row],[Type]]&gt;0,VLOOKUP(_1_5412845612146241046457891017456[[#This Row],[Type]],Main[[#All],[TYPE]:[UNIT]],'Unit Price'!C$1,FALSE),0)</f>
        <v>0</v>
      </c>
      <c r="H772" s="197">
        <f>IF(_1_5412845612146241046457891017456[[#This Row],[Type]]&gt;0,VLOOKUP(_1_5412845612146241046457891017456[[#This Row],[Type]],Main[[#All],[TYPE]:[UNIT]],'Unit Price'!D$1,FALSE),0)</f>
        <v>0</v>
      </c>
      <c r="I772" s="194">
        <f>IF(_1_5412845612146241046457891017456[[#This Row],[Type]]&gt;0,VLOOKUP(_1_5412845612146241046457891017456[[#This Row],[Type]],Main[[#All],[TYPE]:[UNIT]],'Unit Price'!G$1,FALSE),0)</f>
        <v>0</v>
      </c>
      <c r="J772" s="194">
        <f>IF(_1_5412845612146241046457891017456[[#This Row],[Type]]&gt;0,VLOOKUP(_1_5412845612146241046457891017456[[#This Row],[Type]],Main[[#All],[TYPE]:[UNIT]],'Unit Price'!H$1,FALSE),0)</f>
        <v>0</v>
      </c>
      <c r="K772" s="194">
        <f>IF(_1_5412845612146241046457891017456[[#This Row],[Discount selection]]&gt;0,VLOOKUP(_1_5412845612146241046457891017456[[#This Row],[Discount selection]],'Discount Structure'!$A$2:$B$30,2,"false"),0)</f>
        <v>1</v>
      </c>
      <c r="L772" s="194">
        <f>_1_5412845612146241046457891017456[[#This Row],[LIST $]]*_1_5412845612146241046457891017456[[#This Row],[DISCOUNT]]*_1_5412845612146241046457891017456[[#This Row],[DISCOUNT 2]]</f>
        <v>0</v>
      </c>
      <c r="M772" s="194">
        <f>IF(OR(_1_5412845612146241046457891017456[[#This Row],[UNIT]]&gt;0,_1_5412845612146241046457891017456[[#This Row],[UNIT]]&lt;0),_1_5412845612146241046457891017456[[#This Row],[UNIT]]*_1_5412845612146241046457891017456[[#This Row],[COST]],0)</f>
        <v>0</v>
      </c>
      <c r="N772" s="194">
        <f t="shared" si="11"/>
        <v>1.3</v>
      </c>
      <c r="O772" s="198">
        <f>_1_5412845612146241046457891017456[[#This Row],[TOTAL]]*_1_5412845612146241046457891017456[[#This Row],[MARGIN]]</f>
        <v>0</v>
      </c>
      <c r="R772" s="41"/>
    </row>
    <row r="773" spans="4:18">
      <c r="D773" s="188"/>
      <c r="F773" s="168" t="s">
        <v>6202</v>
      </c>
      <c r="G773" s="193">
        <f>IF(_1_5412845612146241046457891017456[[#This Row],[Type]]&gt;0,VLOOKUP(_1_5412845612146241046457891017456[[#This Row],[Type]],Main[[#All],[TYPE]:[UNIT]],'Unit Price'!C$1,FALSE),0)</f>
        <v>0</v>
      </c>
      <c r="H773" s="197">
        <f>IF(_1_5412845612146241046457891017456[[#This Row],[Type]]&gt;0,VLOOKUP(_1_5412845612146241046457891017456[[#This Row],[Type]],Main[[#All],[TYPE]:[UNIT]],'Unit Price'!D$1,FALSE),0)</f>
        <v>0</v>
      </c>
      <c r="I773" s="194">
        <f>IF(_1_5412845612146241046457891017456[[#This Row],[Type]]&gt;0,VLOOKUP(_1_5412845612146241046457891017456[[#This Row],[Type]],Main[[#All],[TYPE]:[UNIT]],'Unit Price'!G$1,FALSE),0)</f>
        <v>0</v>
      </c>
      <c r="J773" s="194">
        <f>IF(_1_5412845612146241046457891017456[[#This Row],[Type]]&gt;0,VLOOKUP(_1_5412845612146241046457891017456[[#This Row],[Type]],Main[[#All],[TYPE]:[UNIT]],'Unit Price'!H$1,FALSE),0)</f>
        <v>0</v>
      </c>
      <c r="K773" s="194">
        <f>IF(_1_5412845612146241046457891017456[[#This Row],[Discount selection]]&gt;0,VLOOKUP(_1_5412845612146241046457891017456[[#This Row],[Discount selection]],'Discount Structure'!$A$2:$B$30,2,"false"),0)</f>
        <v>1</v>
      </c>
      <c r="L773" s="194">
        <f>_1_5412845612146241046457891017456[[#This Row],[LIST $]]*_1_5412845612146241046457891017456[[#This Row],[DISCOUNT]]*_1_5412845612146241046457891017456[[#This Row],[DISCOUNT 2]]</f>
        <v>0</v>
      </c>
      <c r="M773" s="194">
        <f>IF(OR(_1_5412845612146241046457891017456[[#This Row],[UNIT]]&gt;0,_1_5412845612146241046457891017456[[#This Row],[UNIT]]&lt;0),_1_5412845612146241046457891017456[[#This Row],[UNIT]]*_1_5412845612146241046457891017456[[#This Row],[COST]],0)</f>
        <v>0</v>
      </c>
      <c r="N773" s="194">
        <f t="shared" si="11"/>
        <v>1.3</v>
      </c>
      <c r="O773" s="198">
        <f>_1_5412845612146241046457891017456[[#This Row],[TOTAL]]*_1_5412845612146241046457891017456[[#This Row],[MARGIN]]</f>
        <v>0</v>
      </c>
      <c r="R773" s="41"/>
    </row>
    <row r="774" spans="4:18">
      <c r="D774" s="188"/>
      <c r="F774" s="168" t="s">
        <v>6202</v>
      </c>
      <c r="G774" s="193">
        <f>IF(_1_5412845612146241046457891017456[[#This Row],[Type]]&gt;0,VLOOKUP(_1_5412845612146241046457891017456[[#This Row],[Type]],Main[[#All],[TYPE]:[UNIT]],'Unit Price'!C$1,FALSE),0)</f>
        <v>0</v>
      </c>
      <c r="H774" s="197">
        <f>IF(_1_5412845612146241046457891017456[[#This Row],[Type]]&gt;0,VLOOKUP(_1_5412845612146241046457891017456[[#This Row],[Type]],Main[[#All],[TYPE]:[UNIT]],'Unit Price'!D$1,FALSE),0)</f>
        <v>0</v>
      </c>
      <c r="I774" s="194">
        <f>IF(_1_5412845612146241046457891017456[[#This Row],[Type]]&gt;0,VLOOKUP(_1_5412845612146241046457891017456[[#This Row],[Type]],Main[[#All],[TYPE]:[UNIT]],'Unit Price'!G$1,FALSE),0)</f>
        <v>0</v>
      </c>
      <c r="J774" s="194">
        <f>IF(_1_5412845612146241046457891017456[[#This Row],[Type]]&gt;0,VLOOKUP(_1_5412845612146241046457891017456[[#This Row],[Type]],Main[[#All],[TYPE]:[UNIT]],'Unit Price'!H$1,FALSE),0)</f>
        <v>0</v>
      </c>
      <c r="K774" s="194">
        <f>IF(_1_5412845612146241046457891017456[[#This Row],[Discount selection]]&gt;0,VLOOKUP(_1_5412845612146241046457891017456[[#This Row],[Discount selection]],'Discount Structure'!$A$2:$B$30,2,"false"),0)</f>
        <v>1</v>
      </c>
      <c r="L774" s="194">
        <f>_1_5412845612146241046457891017456[[#This Row],[LIST $]]*_1_5412845612146241046457891017456[[#This Row],[DISCOUNT]]*_1_5412845612146241046457891017456[[#This Row],[DISCOUNT 2]]</f>
        <v>0</v>
      </c>
      <c r="M774" s="194">
        <f>IF(OR(_1_5412845612146241046457891017456[[#This Row],[UNIT]]&gt;0,_1_5412845612146241046457891017456[[#This Row],[UNIT]]&lt;0),_1_5412845612146241046457891017456[[#This Row],[UNIT]]*_1_5412845612146241046457891017456[[#This Row],[COST]],0)</f>
        <v>0</v>
      </c>
      <c r="N774" s="194">
        <f t="shared" si="11"/>
        <v>1.3</v>
      </c>
      <c r="O774" s="198">
        <f>_1_5412845612146241046457891017456[[#This Row],[TOTAL]]*_1_5412845612146241046457891017456[[#This Row],[MARGIN]]</f>
        <v>0</v>
      </c>
      <c r="R774" s="41"/>
    </row>
    <row r="775" spans="4:18">
      <c r="D775" s="188"/>
      <c r="F775" s="168" t="s">
        <v>6202</v>
      </c>
      <c r="G775" s="193">
        <f>IF(_1_5412845612146241046457891017456[[#This Row],[Type]]&gt;0,VLOOKUP(_1_5412845612146241046457891017456[[#This Row],[Type]],Main[[#All],[TYPE]:[UNIT]],'Unit Price'!C$1,FALSE),0)</f>
        <v>0</v>
      </c>
      <c r="H775" s="197">
        <f>IF(_1_5412845612146241046457891017456[[#This Row],[Type]]&gt;0,VLOOKUP(_1_5412845612146241046457891017456[[#This Row],[Type]],Main[[#All],[TYPE]:[UNIT]],'Unit Price'!D$1,FALSE),0)</f>
        <v>0</v>
      </c>
      <c r="I775" s="194">
        <f>IF(_1_5412845612146241046457891017456[[#This Row],[Type]]&gt;0,VLOOKUP(_1_5412845612146241046457891017456[[#This Row],[Type]],Main[[#All],[TYPE]:[UNIT]],'Unit Price'!G$1,FALSE),0)</f>
        <v>0</v>
      </c>
      <c r="J775" s="194">
        <f>IF(_1_5412845612146241046457891017456[[#This Row],[Type]]&gt;0,VLOOKUP(_1_5412845612146241046457891017456[[#This Row],[Type]],Main[[#All],[TYPE]:[UNIT]],'Unit Price'!H$1,FALSE),0)</f>
        <v>0</v>
      </c>
      <c r="K775" s="194">
        <f>IF(_1_5412845612146241046457891017456[[#This Row],[Discount selection]]&gt;0,VLOOKUP(_1_5412845612146241046457891017456[[#This Row],[Discount selection]],'Discount Structure'!$A$2:$B$30,2,"false"),0)</f>
        <v>1</v>
      </c>
      <c r="L775" s="194">
        <f>_1_5412845612146241046457891017456[[#This Row],[LIST $]]*_1_5412845612146241046457891017456[[#This Row],[DISCOUNT]]*_1_5412845612146241046457891017456[[#This Row],[DISCOUNT 2]]</f>
        <v>0</v>
      </c>
      <c r="M775" s="194">
        <f>IF(OR(_1_5412845612146241046457891017456[[#This Row],[UNIT]]&gt;0,_1_5412845612146241046457891017456[[#This Row],[UNIT]]&lt;0),_1_5412845612146241046457891017456[[#This Row],[UNIT]]*_1_5412845612146241046457891017456[[#This Row],[COST]],0)</f>
        <v>0</v>
      </c>
      <c r="N775" s="194">
        <f t="shared" si="11"/>
        <v>1.3</v>
      </c>
      <c r="O775" s="198">
        <f>_1_5412845612146241046457891017456[[#This Row],[TOTAL]]*_1_5412845612146241046457891017456[[#This Row],[MARGIN]]</f>
        <v>0</v>
      </c>
      <c r="R775" s="41"/>
    </row>
    <row r="776" spans="4:18">
      <c r="D776" s="188"/>
      <c r="F776" s="168" t="s">
        <v>6202</v>
      </c>
      <c r="G776" s="193">
        <f>IF(_1_5412845612146241046457891017456[[#This Row],[Type]]&gt;0,VLOOKUP(_1_5412845612146241046457891017456[[#This Row],[Type]],Main[[#All],[TYPE]:[UNIT]],'Unit Price'!C$1,FALSE),0)</f>
        <v>0</v>
      </c>
      <c r="H776" s="197">
        <f>IF(_1_5412845612146241046457891017456[[#This Row],[Type]]&gt;0,VLOOKUP(_1_5412845612146241046457891017456[[#This Row],[Type]],Main[[#All],[TYPE]:[UNIT]],'Unit Price'!D$1,FALSE),0)</f>
        <v>0</v>
      </c>
      <c r="I776" s="194">
        <f>IF(_1_5412845612146241046457891017456[[#This Row],[Type]]&gt;0,VLOOKUP(_1_5412845612146241046457891017456[[#This Row],[Type]],Main[[#All],[TYPE]:[UNIT]],'Unit Price'!G$1,FALSE),0)</f>
        <v>0</v>
      </c>
      <c r="J776" s="194">
        <f>IF(_1_5412845612146241046457891017456[[#This Row],[Type]]&gt;0,VLOOKUP(_1_5412845612146241046457891017456[[#This Row],[Type]],Main[[#All],[TYPE]:[UNIT]],'Unit Price'!H$1,FALSE),0)</f>
        <v>0</v>
      </c>
      <c r="K776" s="194">
        <f>IF(_1_5412845612146241046457891017456[[#This Row],[Discount selection]]&gt;0,VLOOKUP(_1_5412845612146241046457891017456[[#This Row],[Discount selection]],'Discount Structure'!$A$2:$B$30,2,"false"),0)</f>
        <v>1</v>
      </c>
      <c r="L776" s="194">
        <f>_1_5412845612146241046457891017456[[#This Row],[LIST $]]*_1_5412845612146241046457891017456[[#This Row],[DISCOUNT]]*_1_5412845612146241046457891017456[[#This Row],[DISCOUNT 2]]</f>
        <v>0</v>
      </c>
      <c r="M776" s="194">
        <f>IF(OR(_1_5412845612146241046457891017456[[#This Row],[UNIT]]&gt;0,_1_5412845612146241046457891017456[[#This Row],[UNIT]]&lt;0),_1_5412845612146241046457891017456[[#This Row],[UNIT]]*_1_5412845612146241046457891017456[[#This Row],[COST]],0)</f>
        <v>0</v>
      </c>
      <c r="N776" s="194">
        <f t="shared" si="11"/>
        <v>1.3</v>
      </c>
      <c r="O776" s="198">
        <f>_1_5412845612146241046457891017456[[#This Row],[TOTAL]]*_1_5412845612146241046457891017456[[#This Row],[MARGIN]]</f>
        <v>0</v>
      </c>
      <c r="R776" s="41"/>
    </row>
    <row r="777" spans="4:18">
      <c r="D777" s="188"/>
      <c r="F777" s="168" t="s">
        <v>6202</v>
      </c>
      <c r="G777" s="193">
        <f>IF(_1_5412845612146241046457891017456[[#This Row],[Type]]&gt;0,VLOOKUP(_1_5412845612146241046457891017456[[#This Row],[Type]],Main[[#All],[TYPE]:[UNIT]],'Unit Price'!C$1,FALSE),0)</f>
        <v>0</v>
      </c>
      <c r="H777" s="197">
        <f>IF(_1_5412845612146241046457891017456[[#This Row],[Type]]&gt;0,VLOOKUP(_1_5412845612146241046457891017456[[#This Row],[Type]],Main[[#All],[TYPE]:[UNIT]],'Unit Price'!D$1,FALSE),0)</f>
        <v>0</v>
      </c>
      <c r="I777" s="194">
        <f>IF(_1_5412845612146241046457891017456[[#This Row],[Type]]&gt;0,VLOOKUP(_1_5412845612146241046457891017456[[#This Row],[Type]],Main[[#All],[TYPE]:[UNIT]],'Unit Price'!G$1,FALSE),0)</f>
        <v>0</v>
      </c>
      <c r="J777" s="194">
        <f>IF(_1_5412845612146241046457891017456[[#This Row],[Type]]&gt;0,VLOOKUP(_1_5412845612146241046457891017456[[#This Row],[Type]],Main[[#All],[TYPE]:[UNIT]],'Unit Price'!H$1,FALSE),0)</f>
        <v>0</v>
      </c>
      <c r="K777" s="194">
        <f>IF(_1_5412845612146241046457891017456[[#This Row],[Discount selection]]&gt;0,VLOOKUP(_1_5412845612146241046457891017456[[#This Row],[Discount selection]],'Discount Structure'!$A$2:$B$30,2,"false"),0)</f>
        <v>1</v>
      </c>
      <c r="L777" s="194">
        <f>_1_5412845612146241046457891017456[[#This Row],[LIST $]]*_1_5412845612146241046457891017456[[#This Row],[DISCOUNT]]*_1_5412845612146241046457891017456[[#This Row],[DISCOUNT 2]]</f>
        <v>0</v>
      </c>
      <c r="M777" s="194">
        <f>IF(OR(_1_5412845612146241046457891017456[[#This Row],[UNIT]]&gt;0,_1_5412845612146241046457891017456[[#This Row],[UNIT]]&lt;0),_1_5412845612146241046457891017456[[#This Row],[UNIT]]*_1_5412845612146241046457891017456[[#This Row],[COST]],0)</f>
        <v>0</v>
      </c>
      <c r="N777" s="194">
        <f t="shared" si="11"/>
        <v>1.3</v>
      </c>
      <c r="O777" s="198">
        <f>_1_5412845612146241046457891017456[[#This Row],[TOTAL]]*_1_5412845612146241046457891017456[[#This Row],[MARGIN]]</f>
        <v>0</v>
      </c>
      <c r="R777" s="41"/>
    </row>
    <row r="778" spans="4:18">
      <c r="D778" s="188"/>
      <c r="F778" s="168" t="s">
        <v>6202</v>
      </c>
      <c r="G778" s="193">
        <f>IF(_1_5412845612146241046457891017456[[#This Row],[Type]]&gt;0,VLOOKUP(_1_5412845612146241046457891017456[[#This Row],[Type]],Main[[#All],[TYPE]:[UNIT]],'Unit Price'!C$1,FALSE),0)</f>
        <v>0</v>
      </c>
      <c r="H778" s="197">
        <f>IF(_1_5412845612146241046457891017456[[#This Row],[Type]]&gt;0,VLOOKUP(_1_5412845612146241046457891017456[[#This Row],[Type]],Main[[#All],[TYPE]:[UNIT]],'Unit Price'!D$1,FALSE),0)</f>
        <v>0</v>
      </c>
      <c r="I778" s="194">
        <f>IF(_1_5412845612146241046457891017456[[#This Row],[Type]]&gt;0,VLOOKUP(_1_5412845612146241046457891017456[[#This Row],[Type]],Main[[#All],[TYPE]:[UNIT]],'Unit Price'!G$1,FALSE),0)</f>
        <v>0</v>
      </c>
      <c r="J778" s="194">
        <f>IF(_1_5412845612146241046457891017456[[#This Row],[Type]]&gt;0,VLOOKUP(_1_5412845612146241046457891017456[[#This Row],[Type]],Main[[#All],[TYPE]:[UNIT]],'Unit Price'!H$1,FALSE),0)</f>
        <v>0</v>
      </c>
      <c r="K778" s="194">
        <f>IF(_1_5412845612146241046457891017456[[#This Row],[Discount selection]]&gt;0,VLOOKUP(_1_5412845612146241046457891017456[[#This Row],[Discount selection]],'Discount Structure'!$A$2:$B$30,2,"false"),0)</f>
        <v>1</v>
      </c>
      <c r="L778" s="194">
        <f>_1_5412845612146241046457891017456[[#This Row],[LIST $]]*_1_5412845612146241046457891017456[[#This Row],[DISCOUNT]]*_1_5412845612146241046457891017456[[#This Row],[DISCOUNT 2]]</f>
        <v>0</v>
      </c>
      <c r="M778" s="194">
        <f>IF(OR(_1_5412845612146241046457891017456[[#This Row],[UNIT]]&gt;0,_1_5412845612146241046457891017456[[#This Row],[UNIT]]&lt;0),_1_5412845612146241046457891017456[[#This Row],[UNIT]]*_1_5412845612146241046457891017456[[#This Row],[COST]],0)</f>
        <v>0</v>
      </c>
      <c r="N778" s="194">
        <f t="shared" ref="N778:N841" si="12">$N$7</f>
        <v>1.3</v>
      </c>
      <c r="O778" s="198">
        <f>_1_5412845612146241046457891017456[[#This Row],[TOTAL]]*_1_5412845612146241046457891017456[[#This Row],[MARGIN]]</f>
        <v>0</v>
      </c>
      <c r="R778" s="41"/>
    </row>
    <row r="779" spans="4:18">
      <c r="D779" s="188"/>
      <c r="F779" s="168" t="s">
        <v>6202</v>
      </c>
      <c r="G779" s="193">
        <f>IF(_1_5412845612146241046457891017456[[#This Row],[Type]]&gt;0,VLOOKUP(_1_5412845612146241046457891017456[[#This Row],[Type]],Main[[#All],[TYPE]:[UNIT]],'Unit Price'!C$1,FALSE),0)</f>
        <v>0</v>
      </c>
      <c r="H779" s="197">
        <f>IF(_1_5412845612146241046457891017456[[#This Row],[Type]]&gt;0,VLOOKUP(_1_5412845612146241046457891017456[[#This Row],[Type]],Main[[#All],[TYPE]:[UNIT]],'Unit Price'!D$1,FALSE),0)</f>
        <v>0</v>
      </c>
      <c r="I779" s="194">
        <f>IF(_1_5412845612146241046457891017456[[#This Row],[Type]]&gt;0,VLOOKUP(_1_5412845612146241046457891017456[[#This Row],[Type]],Main[[#All],[TYPE]:[UNIT]],'Unit Price'!G$1,FALSE),0)</f>
        <v>0</v>
      </c>
      <c r="J779" s="194">
        <f>IF(_1_5412845612146241046457891017456[[#This Row],[Type]]&gt;0,VLOOKUP(_1_5412845612146241046457891017456[[#This Row],[Type]],Main[[#All],[TYPE]:[UNIT]],'Unit Price'!H$1,FALSE),0)</f>
        <v>0</v>
      </c>
      <c r="K779" s="194">
        <f>IF(_1_5412845612146241046457891017456[[#This Row],[Discount selection]]&gt;0,VLOOKUP(_1_5412845612146241046457891017456[[#This Row],[Discount selection]],'Discount Structure'!$A$2:$B$30,2,"false"),0)</f>
        <v>1</v>
      </c>
      <c r="L779" s="194">
        <f>_1_5412845612146241046457891017456[[#This Row],[LIST $]]*_1_5412845612146241046457891017456[[#This Row],[DISCOUNT]]*_1_5412845612146241046457891017456[[#This Row],[DISCOUNT 2]]</f>
        <v>0</v>
      </c>
      <c r="M779" s="194">
        <f>IF(OR(_1_5412845612146241046457891017456[[#This Row],[UNIT]]&gt;0,_1_5412845612146241046457891017456[[#This Row],[UNIT]]&lt;0),_1_5412845612146241046457891017456[[#This Row],[UNIT]]*_1_5412845612146241046457891017456[[#This Row],[COST]],0)</f>
        <v>0</v>
      </c>
      <c r="N779" s="194">
        <f t="shared" si="12"/>
        <v>1.3</v>
      </c>
      <c r="O779" s="198">
        <f>_1_5412845612146241046457891017456[[#This Row],[TOTAL]]*_1_5412845612146241046457891017456[[#This Row],[MARGIN]]</f>
        <v>0</v>
      </c>
      <c r="R779" s="41"/>
    </row>
    <row r="780" spans="4:18">
      <c r="D780" s="188"/>
      <c r="F780" s="168" t="s">
        <v>6202</v>
      </c>
      <c r="G780" s="193">
        <f>IF(_1_5412845612146241046457891017456[[#This Row],[Type]]&gt;0,VLOOKUP(_1_5412845612146241046457891017456[[#This Row],[Type]],Main[[#All],[TYPE]:[UNIT]],'Unit Price'!C$1,FALSE),0)</f>
        <v>0</v>
      </c>
      <c r="H780" s="197">
        <f>IF(_1_5412845612146241046457891017456[[#This Row],[Type]]&gt;0,VLOOKUP(_1_5412845612146241046457891017456[[#This Row],[Type]],Main[[#All],[TYPE]:[UNIT]],'Unit Price'!D$1,FALSE),0)</f>
        <v>0</v>
      </c>
      <c r="I780" s="194">
        <f>IF(_1_5412845612146241046457891017456[[#This Row],[Type]]&gt;0,VLOOKUP(_1_5412845612146241046457891017456[[#This Row],[Type]],Main[[#All],[TYPE]:[UNIT]],'Unit Price'!G$1,FALSE),0)</f>
        <v>0</v>
      </c>
      <c r="J780" s="194">
        <f>IF(_1_5412845612146241046457891017456[[#This Row],[Type]]&gt;0,VLOOKUP(_1_5412845612146241046457891017456[[#This Row],[Type]],Main[[#All],[TYPE]:[UNIT]],'Unit Price'!H$1,FALSE),0)</f>
        <v>0</v>
      </c>
      <c r="K780" s="194">
        <f>IF(_1_5412845612146241046457891017456[[#This Row],[Discount selection]]&gt;0,VLOOKUP(_1_5412845612146241046457891017456[[#This Row],[Discount selection]],'Discount Structure'!$A$2:$B$30,2,"false"),0)</f>
        <v>1</v>
      </c>
      <c r="L780" s="194">
        <f>_1_5412845612146241046457891017456[[#This Row],[LIST $]]*_1_5412845612146241046457891017456[[#This Row],[DISCOUNT]]*_1_5412845612146241046457891017456[[#This Row],[DISCOUNT 2]]</f>
        <v>0</v>
      </c>
      <c r="M780" s="194">
        <f>IF(OR(_1_5412845612146241046457891017456[[#This Row],[UNIT]]&gt;0,_1_5412845612146241046457891017456[[#This Row],[UNIT]]&lt;0),_1_5412845612146241046457891017456[[#This Row],[UNIT]]*_1_5412845612146241046457891017456[[#This Row],[COST]],0)</f>
        <v>0</v>
      </c>
      <c r="N780" s="194">
        <f t="shared" si="12"/>
        <v>1.3</v>
      </c>
      <c r="O780" s="198">
        <f>_1_5412845612146241046457891017456[[#This Row],[TOTAL]]*_1_5412845612146241046457891017456[[#This Row],[MARGIN]]</f>
        <v>0</v>
      </c>
      <c r="R780" s="41"/>
    </row>
    <row r="781" spans="4:18">
      <c r="D781" s="188"/>
      <c r="F781" s="168" t="s">
        <v>6202</v>
      </c>
      <c r="G781" s="193">
        <f>IF(_1_5412845612146241046457891017456[[#This Row],[Type]]&gt;0,VLOOKUP(_1_5412845612146241046457891017456[[#This Row],[Type]],Main[[#All],[TYPE]:[UNIT]],'Unit Price'!C$1,FALSE),0)</f>
        <v>0</v>
      </c>
      <c r="H781" s="197">
        <f>IF(_1_5412845612146241046457891017456[[#This Row],[Type]]&gt;0,VLOOKUP(_1_5412845612146241046457891017456[[#This Row],[Type]],Main[[#All],[TYPE]:[UNIT]],'Unit Price'!D$1,FALSE),0)</f>
        <v>0</v>
      </c>
      <c r="I781" s="194">
        <f>IF(_1_5412845612146241046457891017456[[#This Row],[Type]]&gt;0,VLOOKUP(_1_5412845612146241046457891017456[[#This Row],[Type]],Main[[#All],[TYPE]:[UNIT]],'Unit Price'!G$1,FALSE),0)</f>
        <v>0</v>
      </c>
      <c r="J781" s="194">
        <f>IF(_1_5412845612146241046457891017456[[#This Row],[Type]]&gt;0,VLOOKUP(_1_5412845612146241046457891017456[[#This Row],[Type]],Main[[#All],[TYPE]:[UNIT]],'Unit Price'!H$1,FALSE),0)</f>
        <v>0</v>
      </c>
      <c r="K781" s="194">
        <f>IF(_1_5412845612146241046457891017456[[#This Row],[Discount selection]]&gt;0,VLOOKUP(_1_5412845612146241046457891017456[[#This Row],[Discount selection]],'Discount Structure'!$A$2:$B$30,2,"false"),0)</f>
        <v>1</v>
      </c>
      <c r="L781" s="194">
        <f>_1_5412845612146241046457891017456[[#This Row],[LIST $]]*_1_5412845612146241046457891017456[[#This Row],[DISCOUNT]]*_1_5412845612146241046457891017456[[#This Row],[DISCOUNT 2]]</f>
        <v>0</v>
      </c>
      <c r="M781" s="194">
        <f>IF(OR(_1_5412845612146241046457891017456[[#This Row],[UNIT]]&gt;0,_1_5412845612146241046457891017456[[#This Row],[UNIT]]&lt;0),_1_5412845612146241046457891017456[[#This Row],[UNIT]]*_1_5412845612146241046457891017456[[#This Row],[COST]],0)</f>
        <v>0</v>
      </c>
      <c r="N781" s="194">
        <f t="shared" si="12"/>
        <v>1.3</v>
      </c>
      <c r="O781" s="198">
        <f>_1_5412845612146241046457891017456[[#This Row],[TOTAL]]*_1_5412845612146241046457891017456[[#This Row],[MARGIN]]</f>
        <v>0</v>
      </c>
      <c r="R781" s="41"/>
    </row>
    <row r="782" spans="4:18">
      <c r="D782" s="188"/>
      <c r="F782" s="168" t="s">
        <v>6202</v>
      </c>
      <c r="G782" s="193">
        <f>IF(_1_5412845612146241046457891017456[[#This Row],[Type]]&gt;0,VLOOKUP(_1_5412845612146241046457891017456[[#This Row],[Type]],Main[[#All],[TYPE]:[UNIT]],'Unit Price'!C$1,FALSE),0)</f>
        <v>0</v>
      </c>
      <c r="H782" s="197">
        <f>IF(_1_5412845612146241046457891017456[[#This Row],[Type]]&gt;0,VLOOKUP(_1_5412845612146241046457891017456[[#This Row],[Type]],Main[[#All],[TYPE]:[UNIT]],'Unit Price'!D$1,FALSE),0)</f>
        <v>0</v>
      </c>
      <c r="I782" s="194">
        <f>IF(_1_5412845612146241046457891017456[[#This Row],[Type]]&gt;0,VLOOKUP(_1_5412845612146241046457891017456[[#This Row],[Type]],Main[[#All],[TYPE]:[UNIT]],'Unit Price'!G$1,FALSE),0)</f>
        <v>0</v>
      </c>
      <c r="J782" s="194">
        <f>IF(_1_5412845612146241046457891017456[[#This Row],[Type]]&gt;0,VLOOKUP(_1_5412845612146241046457891017456[[#This Row],[Type]],Main[[#All],[TYPE]:[UNIT]],'Unit Price'!H$1,FALSE),0)</f>
        <v>0</v>
      </c>
      <c r="K782" s="194">
        <f>IF(_1_5412845612146241046457891017456[[#This Row],[Discount selection]]&gt;0,VLOOKUP(_1_5412845612146241046457891017456[[#This Row],[Discount selection]],'Discount Structure'!$A$2:$B$30,2,"false"),0)</f>
        <v>1</v>
      </c>
      <c r="L782" s="194">
        <f>_1_5412845612146241046457891017456[[#This Row],[LIST $]]*_1_5412845612146241046457891017456[[#This Row],[DISCOUNT]]*_1_5412845612146241046457891017456[[#This Row],[DISCOUNT 2]]</f>
        <v>0</v>
      </c>
      <c r="M782" s="194">
        <f>IF(OR(_1_5412845612146241046457891017456[[#This Row],[UNIT]]&gt;0,_1_5412845612146241046457891017456[[#This Row],[UNIT]]&lt;0),_1_5412845612146241046457891017456[[#This Row],[UNIT]]*_1_5412845612146241046457891017456[[#This Row],[COST]],0)</f>
        <v>0</v>
      </c>
      <c r="N782" s="194">
        <f t="shared" si="12"/>
        <v>1.3</v>
      </c>
      <c r="O782" s="198">
        <f>_1_5412845612146241046457891017456[[#This Row],[TOTAL]]*_1_5412845612146241046457891017456[[#This Row],[MARGIN]]</f>
        <v>0</v>
      </c>
      <c r="R782" s="41"/>
    </row>
    <row r="783" spans="4:18">
      <c r="D783" s="188"/>
      <c r="F783" s="168" t="s">
        <v>6202</v>
      </c>
      <c r="G783" s="193">
        <f>IF(_1_5412845612146241046457891017456[[#This Row],[Type]]&gt;0,VLOOKUP(_1_5412845612146241046457891017456[[#This Row],[Type]],Main[[#All],[TYPE]:[UNIT]],'Unit Price'!C$1,FALSE),0)</f>
        <v>0</v>
      </c>
      <c r="H783" s="197">
        <f>IF(_1_5412845612146241046457891017456[[#This Row],[Type]]&gt;0,VLOOKUP(_1_5412845612146241046457891017456[[#This Row],[Type]],Main[[#All],[TYPE]:[UNIT]],'Unit Price'!D$1,FALSE),0)</f>
        <v>0</v>
      </c>
      <c r="I783" s="194">
        <f>IF(_1_5412845612146241046457891017456[[#This Row],[Type]]&gt;0,VLOOKUP(_1_5412845612146241046457891017456[[#This Row],[Type]],Main[[#All],[TYPE]:[UNIT]],'Unit Price'!G$1,FALSE),0)</f>
        <v>0</v>
      </c>
      <c r="J783" s="194">
        <f>IF(_1_5412845612146241046457891017456[[#This Row],[Type]]&gt;0,VLOOKUP(_1_5412845612146241046457891017456[[#This Row],[Type]],Main[[#All],[TYPE]:[UNIT]],'Unit Price'!H$1,FALSE),0)</f>
        <v>0</v>
      </c>
      <c r="K783" s="194">
        <f>IF(_1_5412845612146241046457891017456[[#This Row],[Discount selection]]&gt;0,VLOOKUP(_1_5412845612146241046457891017456[[#This Row],[Discount selection]],'Discount Structure'!$A$2:$B$30,2,"false"),0)</f>
        <v>1</v>
      </c>
      <c r="L783" s="194">
        <f>_1_5412845612146241046457891017456[[#This Row],[LIST $]]*_1_5412845612146241046457891017456[[#This Row],[DISCOUNT]]*_1_5412845612146241046457891017456[[#This Row],[DISCOUNT 2]]</f>
        <v>0</v>
      </c>
      <c r="M783" s="194">
        <f>IF(OR(_1_5412845612146241046457891017456[[#This Row],[UNIT]]&gt;0,_1_5412845612146241046457891017456[[#This Row],[UNIT]]&lt;0),_1_5412845612146241046457891017456[[#This Row],[UNIT]]*_1_5412845612146241046457891017456[[#This Row],[COST]],0)</f>
        <v>0</v>
      </c>
      <c r="N783" s="194">
        <f t="shared" si="12"/>
        <v>1.3</v>
      </c>
      <c r="O783" s="198">
        <f>_1_5412845612146241046457891017456[[#This Row],[TOTAL]]*_1_5412845612146241046457891017456[[#This Row],[MARGIN]]</f>
        <v>0</v>
      </c>
      <c r="R783" s="41"/>
    </row>
    <row r="784" spans="4:18">
      <c r="D784" s="188"/>
      <c r="F784" s="168" t="s">
        <v>6202</v>
      </c>
      <c r="G784" s="193">
        <f>IF(_1_5412845612146241046457891017456[[#This Row],[Type]]&gt;0,VLOOKUP(_1_5412845612146241046457891017456[[#This Row],[Type]],Main[[#All],[TYPE]:[UNIT]],'Unit Price'!C$1,FALSE),0)</f>
        <v>0</v>
      </c>
      <c r="H784" s="197">
        <f>IF(_1_5412845612146241046457891017456[[#This Row],[Type]]&gt;0,VLOOKUP(_1_5412845612146241046457891017456[[#This Row],[Type]],Main[[#All],[TYPE]:[UNIT]],'Unit Price'!D$1,FALSE),0)</f>
        <v>0</v>
      </c>
      <c r="I784" s="194">
        <f>IF(_1_5412845612146241046457891017456[[#This Row],[Type]]&gt;0,VLOOKUP(_1_5412845612146241046457891017456[[#This Row],[Type]],Main[[#All],[TYPE]:[UNIT]],'Unit Price'!G$1,FALSE),0)</f>
        <v>0</v>
      </c>
      <c r="J784" s="194">
        <f>IF(_1_5412845612146241046457891017456[[#This Row],[Type]]&gt;0,VLOOKUP(_1_5412845612146241046457891017456[[#This Row],[Type]],Main[[#All],[TYPE]:[UNIT]],'Unit Price'!H$1,FALSE),0)</f>
        <v>0</v>
      </c>
      <c r="K784" s="194">
        <f>IF(_1_5412845612146241046457891017456[[#This Row],[Discount selection]]&gt;0,VLOOKUP(_1_5412845612146241046457891017456[[#This Row],[Discount selection]],'Discount Structure'!$A$2:$B$30,2,"false"),0)</f>
        <v>1</v>
      </c>
      <c r="L784" s="194">
        <f>_1_5412845612146241046457891017456[[#This Row],[LIST $]]*_1_5412845612146241046457891017456[[#This Row],[DISCOUNT]]*_1_5412845612146241046457891017456[[#This Row],[DISCOUNT 2]]</f>
        <v>0</v>
      </c>
      <c r="M784" s="194">
        <f>IF(OR(_1_5412845612146241046457891017456[[#This Row],[UNIT]]&gt;0,_1_5412845612146241046457891017456[[#This Row],[UNIT]]&lt;0),_1_5412845612146241046457891017456[[#This Row],[UNIT]]*_1_5412845612146241046457891017456[[#This Row],[COST]],0)</f>
        <v>0</v>
      </c>
      <c r="N784" s="194">
        <f t="shared" si="12"/>
        <v>1.3</v>
      </c>
      <c r="O784" s="198">
        <f>_1_5412845612146241046457891017456[[#This Row],[TOTAL]]*_1_5412845612146241046457891017456[[#This Row],[MARGIN]]</f>
        <v>0</v>
      </c>
      <c r="R784" s="41"/>
    </row>
    <row r="785" spans="4:18">
      <c r="D785" s="188"/>
      <c r="F785" s="168" t="s">
        <v>6202</v>
      </c>
      <c r="G785" s="193">
        <f>IF(_1_5412845612146241046457891017456[[#This Row],[Type]]&gt;0,VLOOKUP(_1_5412845612146241046457891017456[[#This Row],[Type]],Main[[#All],[TYPE]:[UNIT]],'Unit Price'!C$1,FALSE),0)</f>
        <v>0</v>
      </c>
      <c r="H785" s="197">
        <f>IF(_1_5412845612146241046457891017456[[#This Row],[Type]]&gt;0,VLOOKUP(_1_5412845612146241046457891017456[[#This Row],[Type]],Main[[#All],[TYPE]:[UNIT]],'Unit Price'!D$1,FALSE),0)</f>
        <v>0</v>
      </c>
      <c r="I785" s="194">
        <f>IF(_1_5412845612146241046457891017456[[#This Row],[Type]]&gt;0,VLOOKUP(_1_5412845612146241046457891017456[[#This Row],[Type]],Main[[#All],[TYPE]:[UNIT]],'Unit Price'!G$1,FALSE),0)</f>
        <v>0</v>
      </c>
      <c r="J785" s="194">
        <f>IF(_1_5412845612146241046457891017456[[#This Row],[Type]]&gt;0,VLOOKUP(_1_5412845612146241046457891017456[[#This Row],[Type]],Main[[#All],[TYPE]:[UNIT]],'Unit Price'!H$1,FALSE),0)</f>
        <v>0</v>
      </c>
      <c r="K785" s="194">
        <f>IF(_1_5412845612146241046457891017456[[#This Row],[Discount selection]]&gt;0,VLOOKUP(_1_5412845612146241046457891017456[[#This Row],[Discount selection]],'Discount Structure'!$A$2:$B$30,2,"false"),0)</f>
        <v>1</v>
      </c>
      <c r="L785" s="194">
        <f>_1_5412845612146241046457891017456[[#This Row],[LIST $]]*_1_5412845612146241046457891017456[[#This Row],[DISCOUNT]]*_1_5412845612146241046457891017456[[#This Row],[DISCOUNT 2]]</f>
        <v>0</v>
      </c>
      <c r="M785" s="194">
        <f>IF(OR(_1_5412845612146241046457891017456[[#This Row],[UNIT]]&gt;0,_1_5412845612146241046457891017456[[#This Row],[UNIT]]&lt;0),_1_5412845612146241046457891017456[[#This Row],[UNIT]]*_1_5412845612146241046457891017456[[#This Row],[COST]],0)</f>
        <v>0</v>
      </c>
      <c r="N785" s="194">
        <f t="shared" si="12"/>
        <v>1.3</v>
      </c>
      <c r="O785" s="198">
        <f>_1_5412845612146241046457891017456[[#This Row],[TOTAL]]*_1_5412845612146241046457891017456[[#This Row],[MARGIN]]</f>
        <v>0</v>
      </c>
      <c r="R785" s="41"/>
    </row>
    <row r="786" spans="4:18">
      <c r="D786" s="188"/>
      <c r="F786" s="168" t="s">
        <v>6202</v>
      </c>
      <c r="G786" s="193">
        <f>IF(_1_5412845612146241046457891017456[[#This Row],[Type]]&gt;0,VLOOKUP(_1_5412845612146241046457891017456[[#This Row],[Type]],Main[[#All],[TYPE]:[UNIT]],'Unit Price'!C$1,FALSE),0)</f>
        <v>0</v>
      </c>
      <c r="H786" s="197">
        <f>IF(_1_5412845612146241046457891017456[[#This Row],[Type]]&gt;0,VLOOKUP(_1_5412845612146241046457891017456[[#This Row],[Type]],Main[[#All],[TYPE]:[UNIT]],'Unit Price'!D$1,FALSE),0)</f>
        <v>0</v>
      </c>
      <c r="I786" s="194">
        <f>IF(_1_5412845612146241046457891017456[[#This Row],[Type]]&gt;0,VLOOKUP(_1_5412845612146241046457891017456[[#This Row],[Type]],Main[[#All],[TYPE]:[UNIT]],'Unit Price'!G$1,FALSE),0)</f>
        <v>0</v>
      </c>
      <c r="J786" s="194">
        <f>IF(_1_5412845612146241046457891017456[[#This Row],[Type]]&gt;0,VLOOKUP(_1_5412845612146241046457891017456[[#This Row],[Type]],Main[[#All],[TYPE]:[UNIT]],'Unit Price'!H$1,FALSE),0)</f>
        <v>0</v>
      </c>
      <c r="K786" s="194">
        <f>IF(_1_5412845612146241046457891017456[[#This Row],[Discount selection]]&gt;0,VLOOKUP(_1_5412845612146241046457891017456[[#This Row],[Discount selection]],'Discount Structure'!$A$2:$B$30,2,"false"),0)</f>
        <v>1</v>
      </c>
      <c r="L786" s="194">
        <f>_1_5412845612146241046457891017456[[#This Row],[LIST $]]*_1_5412845612146241046457891017456[[#This Row],[DISCOUNT]]*_1_5412845612146241046457891017456[[#This Row],[DISCOUNT 2]]</f>
        <v>0</v>
      </c>
      <c r="M786" s="194">
        <f>IF(OR(_1_5412845612146241046457891017456[[#This Row],[UNIT]]&gt;0,_1_5412845612146241046457891017456[[#This Row],[UNIT]]&lt;0),_1_5412845612146241046457891017456[[#This Row],[UNIT]]*_1_5412845612146241046457891017456[[#This Row],[COST]],0)</f>
        <v>0</v>
      </c>
      <c r="N786" s="194">
        <f t="shared" si="12"/>
        <v>1.3</v>
      </c>
      <c r="O786" s="198">
        <f>_1_5412845612146241046457891017456[[#This Row],[TOTAL]]*_1_5412845612146241046457891017456[[#This Row],[MARGIN]]</f>
        <v>0</v>
      </c>
      <c r="R786" s="41"/>
    </row>
    <row r="787" spans="4:18">
      <c r="D787" s="188"/>
      <c r="F787" s="168" t="s">
        <v>6202</v>
      </c>
      <c r="G787" s="193">
        <f>IF(_1_5412845612146241046457891017456[[#This Row],[Type]]&gt;0,VLOOKUP(_1_5412845612146241046457891017456[[#This Row],[Type]],Main[[#All],[TYPE]:[UNIT]],'Unit Price'!C$1,FALSE),0)</f>
        <v>0</v>
      </c>
      <c r="H787" s="197">
        <f>IF(_1_5412845612146241046457891017456[[#This Row],[Type]]&gt;0,VLOOKUP(_1_5412845612146241046457891017456[[#This Row],[Type]],Main[[#All],[TYPE]:[UNIT]],'Unit Price'!D$1,FALSE),0)</f>
        <v>0</v>
      </c>
      <c r="I787" s="194">
        <f>IF(_1_5412845612146241046457891017456[[#This Row],[Type]]&gt;0,VLOOKUP(_1_5412845612146241046457891017456[[#This Row],[Type]],Main[[#All],[TYPE]:[UNIT]],'Unit Price'!G$1,FALSE),0)</f>
        <v>0</v>
      </c>
      <c r="J787" s="194">
        <f>IF(_1_5412845612146241046457891017456[[#This Row],[Type]]&gt;0,VLOOKUP(_1_5412845612146241046457891017456[[#This Row],[Type]],Main[[#All],[TYPE]:[UNIT]],'Unit Price'!H$1,FALSE),0)</f>
        <v>0</v>
      </c>
      <c r="K787" s="194">
        <f>IF(_1_5412845612146241046457891017456[[#This Row],[Discount selection]]&gt;0,VLOOKUP(_1_5412845612146241046457891017456[[#This Row],[Discount selection]],'Discount Structure'!$A$2:$B$30,2,"false"),0)</f>
        <v>1</v>
      </c>
      <c r="L787" s="194">
        <f>_1_5412845612146241046457891017456[[#This Row],[LIST $]]*_1_5412845612146241046457891017456[[#This Row],[DISCOUNT]]*_1_5412845612146241046457891017456[[#This Row],[DISCOUNT 2]]</f>
        <v>0</v>
      </c>
      <c r="M787" s="194">
        <f>IF(OR(_1_5412845612146241046457891017456[[#This Row],[UNIT]]&gt;0,_1_5412845612146241046457891017456[[#This Row],[UNIT]]&lt;0),_1_5412845612146241046457891017456[[#This Row],[UNIT]]*_1_5412845612146241046457891017456[[#This Row],[COST]],0)</f>
        <v>0</v>
      </c>
      <c r="N787" s="194">
        <f t="shared" si="12"/>
        <v>1.3</v>
      </c>
      <c r="O787" s="198">
        <f>_1_5412845612146241046457891017456[[#This Row],[TOTAL]]*_1_5412845612146241046457891017456[[#This Row],[MARGIN]]</f>
        <v>0</v>
      </c>
      <c r="R787" s="41"/>
    </row>
    <row r="788" spans="4:18">
      <c r="D788" s="188"/>
      <c r="F788" s="168" t="s">
        <v>6202</v>
      </c>
      <c r="G788" s="193">
        <f>IF(_1_5412845612146241046457891017456[[#This Row],[Type]]&gt;0,VLOOKUP(_1_5412845612146241046457891017456[[#This Row],[Type]],Main[[#All],[TYPE]:[UNIT]],'Unit Price'!C$1,FALSE),0)</f>
        <v>0</v>
      </c>
      <c r="H788" s="197">
        <f>IF(_1_5412845612146241046457891017456[[#This Row],[Type]]&gt;0,VLOOKUP(_1_5412845612146241046457891017456[[#This Row],[Type]],Main[[#All],[TYPE]:[UNIT]],'Unit Price'!D$1,FALSE),0)</f>
        <v>0</v>
      </c>
      <c r="I788" s="194">
        <f>IF(_1_5412845612146241046457891017456[[#This Row],[Type]]&gt;0,VLOOKUP(_1_5412845612146241046457891017456[[#This Row],[Type]],Main[[#All],[TYPE]:[UNIT]],'Unit Price'!G$1,FALSE),0)</f>
        <v>0</v>
      </c>
      <c r="J788" s="194">
        <f>IF(_1_5412845612146241046457891017456[[#This Row],[Type]]&gt;0,VLOOKUP(_1_5412845612146241046457891017456[[#This Row],[Type]],Main[[#All],[TYPE]:[UNIT]],'Unit Price'!H$1,FALSE),0)</f>
        <v>0</v>
      </c>
      <c r="K788" s="194">
        <f>IF(_1_5412845612146241046457891017456[[#This Row],[Discount selection]]&gt;0,VLOOKUP(_1_5412845612146241046457891017456[[#This Row],[Discount selection]],'Discount Structure'!$A$2:$B$30,2,"false"),0)</f>
        <v>1</v>
      </c>
      <c r="L788" s="194">
        <f>_1_5412845612146241046457891017456[[#This Row],[LIST $]]*_1_5412845612146241046457891017456[[#This Row],[DISCOUNT]]*_1_5412845612146241046457891017456[[#This Row],[DISCOUNT 2]]</f>
        <v>0</v>
      </c>
      <c r="M788" s="194">
        <f>IF(OR(_1_5412845612146241046457891017456[[#This Row],[UNIT]]&gt;0,_1_5412845612146241046457891017456[[#This Row],[UNIT]]&lt;0),_1_5412845612146241046457891017456[[#This Row],[UNIT]]*_1_5412845612146241046457891017456[[#This Row],[COST]],0)</f>
        <v>0</v>
      </c>
      <c r="N788" s="194">
        <f t="shared" si="12"/>
        <v>1.3</v>
      </c>
      <c r="O788" s="198">
        <f>_1_5412845612146241046457891017456[[#This Row],[TOTAL]]*_1_5412845612146241046457891017456[[#This Row],[MARGIN]]</f>
        <v>0</v>
      </c>
      <c r="R788" s="41"/>
    </row>
    <row r="789" spans="4:18">
      <c r="D789" s="188"/>
      <c r="F789" s="168" t="s">
        <v>6202</v>
      </c>
      <c r="G789" s="193">
        <f>IF(_1_5412845612146241046457891017456[[#This Row],[Type]]&gt;0,VLOOKUP(_1_5412845612146241046457891017456[[#This Row],[Type]],Main[[#All],[TYPE]:[UNIT]],'Unit Price'!C$1,FALSE),0)</f>
        <v>0</v>
      </c>
      <c r="H789" s="197">
        <f>IF(_1_5412845612146241046457891017456[[#This Row],[Type]]&gt;0,VLOOKUP(_1_5412845612146241046457891017456[[#This Row],[Type]],Main[[#All],[TYPE]:[UNIT]],'Unit Price'!D$1,FALSE),0)</f>
        <v>0</v>
      </c>
      <c r="I789" s="194">
        <f>IF(_1_5412845612146241046457891017456[[#This Row],[Type]]&gt;0,VLOOKUP(_1_5412845612146241046457891017456[[#This Row],[Type]],Main[[#All],[TYPE]:[UNIT]],'Unit Price'!G$1,FALSE),0)</f>
        <v>0</v>
      </c>
      <c r="J789" s="194">
        <f>IF(_1_5412845612146241046457891017456[[#This Row],[Type]]&gt;0,VLOOKUP(_1_5412845612146241046457891017456[[#This Row],[Type]],Main[[#All],[TYPE]:[UNIT]],'Unit Price'!H$1,FALSE),0)</f>
        <v>0</v>
      </c>
      <c r="K789" s="194">
        <f>IF(_1_5412845612146241046457891017456[[#This Row],[Discount selection]]&gt;0,VLOOKUP(_1_5412845612146241046457891017456[[#This Row],[Discount selection]],'Discount Structure'!$A$2:$B$30,2,"false"),0)</f>
        <v>1</v>
      </c>
      <c r="L789" s="194">
        <f>_1_5412845612146241046457891017456[[#This Row],[LIST $]]*_1_5412845612146241046457891017456[[#This Row],[DISCOUNT]]*_1_5412845612146241046457891017456[[#This Row],[DISCOUNT 2]]</f>
        <v>0</v>
      </c>
      <c r="M789" s="194">
        <f>IF(OR(_1_5412845612146241046457891017456[[#This Row],[UNIT]]&gt;0,_1_5412845612146241046457891017456[[#This Row],[UNIT]]&lt;0),_1_5412845612146241046457891017456[[#This Row],[UNIT]]*_1_5412845612146241046457891017456[[#This Row],[COST]],0)</f>
        <v>0</v>
      </c>
      <c r="N789" s="194">
        <f t="shared" si="12"/>
        <v>1.3</v>
      </c>
      <c r="O789" s="198">
        <f>_1_5412845612146241046457891017456[[#This Row],[TOTAL]]*_1_5412845612146241046457891017456[[#This Row],[MARGIN]]</f>
        <v>0</v>
      </c>
      <c r="R789" s="41"/>
    </row>
    <row r="790" spans="4:18">
      <c r="D790" s="188"/>
      <c r="F790" s="168" t="s">
        <v>6202</v>
      </c>
      <c r="G790" s="193">
        <f>IF(_1_5412845612146241046457891017456[[#This Row],[Type]]&gt;0,VLOOKUP(_1_5412845612146241046457891017456[[#This Row],[Type]],Main[[#All],[TYPE]:[UNIT]],'Unit Price'!C$1,FALSE),0)</f>
        <v>0</v>
      </c>
      <c r="H790" s="197">
        <f>IF(_1_5412845612146241046457891017456[[#This Row],[Type]]&gt;0,VLOOKUP(_1_5412845612146241046457891017456[[#This Row],[Type]],Main[[#All],[TYPE]:[UNIT]],'Unit Price'!D$1,FALSE),0)</f>
        <v>0</v>
      </c>
      <c r="I790" s="194">
        <f>IF(_1_5412845612146241046457891017456[[#This Row],[Type]]&gt;0,VLOOKUP(_1_5412845612146241046457891017456[[#This Row],[Type]],Main[[#All],[TYPE]:[UNIT]],'Unit Price'!G$1,FALSE),0)</f>
        <v>0</v>
      </c>
      <c r="J790" s="194">
        <f>IF(_1_5412845612146241046457891017456[[#This Row],[Type]]&gt;0,VLOOKUP(_1_5412845612146241046457891017456[[#This Row],[Type]],Main[[#All],[TYPE]:[UNIT]],'Unit Price'!H$1,FALSE),0)</f>
        <v>0</v>
      </c>
      <c r="K790" s="194">
        <f>IF(_1_5412845612146241046457891017456[[#This Row],[Discount selection]]&gt;0,VLOOKUP(_1_5412845612146241046457891017456[[#This Row],[Discount selection]],'Discount Structure'!$A$2:$B$30,2,"false"),0)</f>
        <v>1</v>
      </c>
      <c r="L790" s="194">
        <f>_1_5412845612146241046457891017456[[#This Row],[LIST $]]*_1_5412845612146241046457891017456[[#This Row],[DISCOUNT]]*_1_5412845612146241046457891017456[[#This Row],[DISCOUNT 2]]</f>
        <v>0</v>
      </c>
      <c r="M790" s="194">
        <f>IF(OR(_1_5412845612146241046457891017456[[#This Row],[UNIT]]&gt;0,_1_5412845612146241046457891017456[[#This Row],[UNIT]]&lt;0),_1_5412845612146241046457891017456[[#This Row],[UNIT]]*_1_5412845612146241046457891017456[[#This Row],[COST]],0)</f>
        <v>0</v>
      </c>
      <c r="N790" s="194">
        <f t="shared" si="12"/>
        <v>1.3</v>
      </c>
      <c r="O790" s="198">
        <f>_1_5412845612146241046457891017456[[#This Row],[TOTAL]]*_1_5412845612146241046457891017456[[#This Row],[MARGIN]]</f>
        <v>0</v>
      </c>
      <c r="R790" s="41"/>
    </row>
    <row r="791" spans="4:18">
      <c r="D791" s="188"/>
      <c r="F791" s="168" t="s">
        <v>6202</v>
      </c>
      <c r="G791" s="193">
        <f>IF(_1_5412845612146241046457891017456[[#This Row],[Type]]&gt;0,VLOOKUP(_1_5412845612146241046457891017456[[#This Row],[Type]],Main[[#All],[TYPE]:[UNIT]],'Unit Price'!C$1,FALSE),0)</f>
        <v>0</v>
      </c>
      <c r="H791" s="197">
        <f>IF(_1_5412845612146241046457891017456[[#This Row],[Type]]&gt;0,VLOOKUP(_1_5412845612146241046457891017456[[#This Row],[Type]],Main[[#All],[TYPE]:[UNIT]],'Unit Price'!D$1,FALSE),0)</f>
        <v>0</v>
      </c>
      <c r="I791" s="194">
        <f>IF(_1_5412845612146241046457891017456[[#This Row],[Type]]&gt;0,VLOOKUP(_1_5412845612146241046457891017456[[#This Row],[Type]],Main[[#All],[TYPE]:[UNIT]],'Unit Price'!G$1,FALSE),0)</f>
        <v>0</v>
      </c>
      <c r="J791" s="194">
        <f>IF(_1_5412845612146241046457891017456[[#This Row],[Type]]&gt;0,VLOOKUP(_1_5412845612146241046457891017456[[#This Row],[Type]],Main[[#All],[TYPE]:[UNIT]],'Unit Price'!H$1,FALSE),0)</f>
        <v>0</v>
      </c>
      <c r="K791" s="194">
        <f>IF(_1_5412845612146241046457891017456[[#This Row],[Discount selection]]&gt;0,VLOOKUP(_1_5412845612146241046457891017456[[#This Row],[Discount selection]],'Discount Structure'!$A$2:$B$30,2,"false"),0)</f>
        <v>1</v>
      </c>
      <c r="L791" s="194">
        <f>_1_5412845612146241046457891017456[[#This Row],[LIST $]]*_1_5412845612146241046457891017456[[#This Row],[DISCOUNT]]*_1_5412845612146241046457891017456[[#This Row],[DISCOUNT 2]]</f>
        <v>0</v>
      </c>
      <c r="M791" s="194">
        <f>IF(OR(_1_5412845612146241046457891017456[[#This Row],[UNIT]]&gt;0,_1_5412845612146241046457891017456[[#This Row],[UNIT]]&lt;0),_1_5412845612146241046457891017456[[#This Row],[UNIT]]*_1_5412845612146241046457891017456[[#This Row],[COST]],0)</f>
        <v>0</v>
      </c>
      <c r="N791" s="194">
        <f t="shared" si="12"/>
        <v>1.3</v>
      </c>
      <c r="O791" s="198">
        <f>_1_5412845612146241046457891017456[[#This Row],[TOTAL]]*_1_5412845612146241046457891017456[[#This Row],[MARGIN]]</f>
        <v>0</v>
      </c>
      <c r="R791" s="41"/>
    </row>
    <row r="792" spans="4:18">
      <c r="D792" s="188"/>
      <c r="F792" s="168" t="s">
        <v>6202</v>
      </c>
      <c r="G792" s="193">
        <f>IF(_1_5412845612146241046457891017456[[#This Row],[Type]]&gt;0,VLOOKUP(_1_5412845612146241046457891017456[[#This Row],[Type]],Main[[#All],[TYPE]:[UNIT]],'Unit Price'!C$1,FALSE),0)</f>
        <v>0</v>
      </c>
      <c r="H792" s="197">
        <f>IF(_1_5412845612146241046457891017456[[#This Row],[Type]]&gt;0,VLOOKUP(_1_5412845612146241046457891017456[[#This Row],[Type]],Main[[#All],[TYPE]:[UNIT]],'Unit Price'!D$1,FALSE),0)</f>
        <v>0</v>
      </c>
      <c r="I792" s="194">
        <f>IF(_1_5412845612146241046457891017456[[#This Row],[Type]]&gt;0,VLOOKUP(_1_5412845612146241046457891017456[[#This Row],[Type]],Main[[#All],[TYPE]:[UNIT]],'Unit Price'!G$1,FALSE),0)</f>
        <v>0</v>
      </c>
      <c r="J792" s="194">
        <f>IF(_1_5412845612146241046457891017456[[#This Row],[Type]]&gt;0,VLOOKUP(_1_5412845612146241046457891017456[[#This Row],[Type]],Main[[#All],[TYPE]:[UNIT]],'Unit Price'!H$1,FALSE),0)</f>
        <v>0</v>
      </c>
      <c r="K792" s="194">
        <f>IF(_1_5412845612146241046457891017456[[#This Row],[Discount selection]]&gt;0,VLOOKUP(_1_5412845612146241046457891017456[[#This Row],[Discount selection]],'Discount Structure'!$A$2:$B$30,2,"false"),0)</f>
        <v>1</v>
      </c>
      <c r="L792" s="194">
        <f>_1_5412845612146241046457891017456[[#This Row],[LIST $]]*_1_5412845612146241046457891017456[[#This Row],[DISCOUNT]]*_1_5412845612146241046457891017456[[#This Row],[DISCOUNT 2]]</f>
        <v>0</v>
      </c>
      <c r="M792" s="194">
        <f>IF(OR(_1_5412845612146241046457891017456[[#This Row],[UNIT]]&gt;0,_1_5412845612146241046457891017456[[#This Row],[UNIT]]&lt;0),_1_5412845612146241046457891017456[[#This Row],[UNIT]]*_1_5412845612146241046457891017456[[#This Row],[COST]],0)</f>
        <v>0</v>
      </c>
      <c r="N792" s="194">
        <f t="shared" si="12"/>
        <v>1.3</v>
      </c>
      <c r="O792" s="198">
        <f>_1_5412845612146241046457891017456[[#This Row],[TOTAL]]*_1_5412845612146241046457891017456[[#This Row],[MARGIN]]</f>
        <v>0</v>
      </c>
      <c r="R792" s="41"/>
    </row>
    <row r="793" spans="4:18">
      <c r="D793" s="188"/>
      <c r="F793" s="168" t="s">
        <v>6202</v>
      </c>
      <c r="G793" s="193">
        <f>IF(_1_5412845612146241046457891017456[[#This Row],[Type]]&gt;0,VLOOKUP(_1_5412845612146241046457891017456[[#This Row],[Type]],Main[[#All],[TYPE]:[UNIT]],'Unit Price'!C$1,FALSE),0)</f>
        <v>0</v>
      </c>
      <c r="H793" s="197">
        <f>IF(_1_5412845612146241046457891017456[[#This Row],[Type]]&gt;0,VLOOKUP(_1_5412845612146241046457891017456[[#This Row],[Type]],Main[[#All],[TYPE]:[UNIT]],'Unit Price'!D$1,FALSE),0)</f>
        <v>0</v>
      </c>
      <c r="I793" s="194">
        <f>IF(_1_5412845612146241046457891017456[[#This Row],[Type]]&gt;0,VLOOKUP(_1_5412845612146241046457891017456[[#This Row],[Type]],Main[[#All],[TYPE]:[UNIT]],'Unit Price'!G$1,FALSE),0)</f>
        <v>0</v>
      </c>
      <c r="J793" s="194">
        <f>IF(_1_5412845612146241046457891017456[[#This Row],[Type]]&gt;0,VLOOKUP(_1_5412845612146241046457891017456[[#This Row],[Type]],Main[[#All],[TYPE]:[UNIT]],'Unit Price'!H$1,FALSE),0)</f>
        <v>0</v>
      </c>
      <c r="K793" s="194">
        <f>IF(_1_5412845612146241046457891017456[[#This Row],[Discount selection]]&gt;0,VLOOKUP(_1_5412845612146241046457891017456[[#This Row],[Discount selection]],'Discount Structure'!$A$2:$B$30,2,"false"),0)</f>
        <v>1</v>
      </c>
      <c r="L793" s="194">
        <f>_1_5412845612146241046457891017456[[#This Row],[LIST $]]*_1_5412845612146241046457891017456[[#This Row],[DISCOUNT]]*_1_5412845612146241046457891017456[[#This Row],[DISCOUNT 2]]</f>
        <v>0</v>
      </c>
      <c r="M793" s="194">
        <f>IF(OR(_1_5412845612146241046457891017456[[#This Row],[UNIT]]&gt;0,_1_5412845612146241046457891017456[[#This Row],[UNIT]]&lt;0),_1_5412845612146241046457891017456[[#This Row],[UNIT]]*_1_5412845612146241046457891017456[[#This Row],[COST]],0)</f>
        <v>0</v>
      </c>
      <c r="N793" s="194">
        <f t="shared" si="12"/>
        <v>1.3</v>
      </c>
      <c r="O793" s="198">
        <f>_1_5412845612146241046457891017456[[#This Row],[TOTAL]]*_1_5412845612146241046457891017456[[#This Row],[MARGIN]]</f>
        <v>0</v>
      </c>
      <c r="R793" s="41"/>
    </row>
    <row r="794" spans="4:18">
      <c r="D794" s="188"/>
      <c r="F794" s="168" t="s">
        <v>6202</v>
      </c>
      <c r="G794" s="193">
        <f>IF(_1_5412845612146241046457891017456[[#This Row],[Type]]&gt;0,VLOOKUP(_1_5412845612146241046457891017456[[#This Row],[Type]],Main[[#All],[TYPE]:[UNIT]],'Unit Price'!C$1,FALSE),0)</f>
        <v>0</v>
      </c>
      <c r="H794" s="197">
        <f>IF(_1_5412845612146241046457891017456[[#This Row],[Type]]&gt;0,VLOOKUP(_1_5412845612146241046457891017456[[#This Row],[Type]],Main[[#All],[TYPE]:[UNIT]],'Unit Price'!D$1,FALSE),0)</f>
        <v>0</v>
      </c>
      <c r="I794" s="194">
        <f>IF(_1_5412845612146241046457891017456[[#This Row],[Type]]&gt;0,VLOOKUP(_1_5412845612146241046457891017456[[#This Row],[Type]],Main[[#All],[TYPE]:[UNIT]],'Unit Price'!G$1,FALSE),0)</f>
        <v>0</v>
      </c>
      <c r="J794" s="194">
        <f>IF(_1_5412845612146241046457891017456[[#This Row],[Type]]&gt;0,VLOOKUP(_1_5412845612146241046457891017456[[#This Row],[Type]],Main[[#All],[TYPE]:[UNIT]],'Unit Price'!H$1,FALSE),0)</f>
        <v>0</v>
      </c>
      <c r="K794" s="194">
        <f>IF(_1_5412845612146241046457891017456[[#This Row],[Discount selection]]&gt;0,VLOOKUP(_1_5412845612146241046457891017456[[#This Row],[Discount selection]],'Discount Structure'!$A$2:$B$30,2,"false"),0)</f>
        <v>1</v>
      </c>
      <c r="L794" s="194">
        <f>_1_5412845612146241046457891017456[[#This Row],[LIST $]]*_1_5412845612146241046457891017456[[#This Row],[DISCOUNT]]*_1_5412845612146241046457891017456[[#This Row],[DISCOUNT 2]]</f>
        <v>0</v>
      </c>
      <c r="M794" s="194">
        <f>IF(OR(_1_5412845612146241046457891017456[[#This Row],[UNIT]]&gt;0,_1_5412845612146241046457891017456[[#This Row],[UNIT]]&lt;0),_1_5412845612146241046457891017456[[#This Row],[UNIT]]*_1_5412845612146241046457891017456[[#This Row],[COST]],0)</f>
        <v>0</v>
      </c>
      <c r="N794" s="194">
        <f t="shared" si="12"/>
        <v>1.3</v>
      </c>
      <c r="O794" s="198">
        <f>_1_5412845612146241046457891017456[[#This Row],[TOTAL]]*_1_5412845612146241046457891017456[[#This Row],[MARGIN]]</f>
        <v>0</v>
      </c>
      <c r="R794" s="41"/>
    </row>
    <row r="795" spans="4:18">
      <c r="D795" s="188"/>
      <c r="F795" s="168" t="s">
        <v>6202</v>
      </c>
      <c r="G795" s="193">
        <f>IF(_1_5412845612146241046457891017456[[#This Row],[Type]]&gt;0,VLOOKUP(_1_5412845612146241046457891017456[[#This Row],[Type]],Main[[#All],[TYPE]:[UNIT]],'Unit Price'!C$1,FALSE),0)</f>
        <v>0</v>
      </c>
      <c r="H795" s="197">
        <f>IF(_1_5412845612146241046457891017456[[#This Row],[Type]]&gt;0,VLOOKUP(_1_5412845612146241046457891017456[[#This Row],[Type]],Main[[#All],[TYPE]:[UNIT]],'Unit Price'!D$1,FALSE),0)</f>
        <v>0</v>
      </c>
      <c r="I795" s="194">
        <f>IF(_1_5412845612146241046457891017456[[#This Row],[Type]]&gt;0,VLOOKUP(_1_5412845612146241046457891017456[[#This Row],[Type]],Main[[#All],[TYPE]:[UNIT]],'Unit Price'!G$1,FALSE),0)</f>
        <v>0</v>
      </c>
      <c r="J795" s="194">
        <f>IF(_1_5412845612146241046457891017456[[#This Row],[Type]]&gt;0,VLOOKUP(_1_5412845612146241046457891017456[[#This Row],[Type]],Main[[#All],[TYPE]:[UNIT]],'Unit Price'!H$1,FALSE),0)</f>
        <v>0</v>
      </c>
      <c r="K795" s="194">
        <f>IF(_1_5412845612146241046457891017456[[#This Row],[Discount selection]]&gt;0,VLOOKUP(_1_5412845612146241046457891017456[[#This Row],[Discount selection]],'Discount Structure'!$A$2:$B$30,2,"false"),0)</f>
        <v>1</v>
      </c>
      <c r="L795" s="194">
        <f>_1_5412845612146241046457891017456[[#This Row],[LIST $]]*_1_5412845612146241046457891017456[[#This Row],[DISCOUNT]]*_1_5412845612146241046457891017456[[#This Row],[DISCOUNT 2]]</f>
        <v>0</v>
      </c>
      <c r="M795" s="194">
        <f>IF(OR(_1_5412845612146241046457891017456[[#This Row],[UNIT]]&gt;0,_1_5412845612146241046457891017456[[#This Row],[UNIT]]&lt;0),_1_5412845612146241046457891017456[[#This Row],[UNIT]]*_1_5412845612146241046457891017456[[#This Row],[COST]],0)</f>
        <v>0</v>
      </c>
      <c r="N795" s="194">
        <f t="shared" si="12"/>
        <v>1.3</v>
      </c>
      <c r="O795" s="198">
        <f>_1_5412845612146241046457891017456[[#This Row],[TOTAL]]*_1_5412845612146241046457891017456[[#This Row],[MARGIN]]</f>
        <v>0</v>
      </c>
      <c r="R795" s="41"/>
    </row>
    <row r="796" spans="4:18">
      <c r="D796" s="188"/>
      <c r="F796" s="168" t="s">
        <v>6202</v>
      </c>
      <c r="G796" s="193">
        <f>IF(_1_5412845612146241046457891017456[[#This Row],[Type]]&gt;0,VLOOKUP(_1_5412845612146241046457891017456[[#This Row],[Type]],Main[[#All],[TYPE]:[UNIT]],'Unit Price'!C$1,FALSE),0)</f>
        <v>0</v>
      </c>
      <c r="H796" s="197">
        <f>IF(_1_5412845612146241046457891017456[[#This Row],[Type]]&gt;0,VLOOKUP(_1_5412845612146241046457891017456[[#This Row],[Type]],Main[[#All],[TYPE]:[UNIT]],'Unit Price'!D$1,FALSE),0)</f>
        <v>0</v>
      </c>
      <c r="I796" s="194">
        <f>IF(_1_5412845612146241046457891017456[[#This Row],[Type]]&gt;0,VLOOKUP(_1_5412845612146241046457891017456[[#This Row],[Type]],Main[[#All],[TYPE]:[UNIT]],'Unit Price'!G$1,FALSE),0)</f>
        <v>0</v>
      </c>
      <c r="J796" s="194">
        <f>IF(_1_5412845612146241046457891017456[[#This Row],[Type]]&gt;0,VLOOKUP(_1_5412845612146241046457891017456[[#This Row],[Type]],Main[[#All],[TYPE]:[UNIT]],'Unit Price'!H$1,FALSE),0)</f>
        <v>0</v>
      </c>
      <c r="K796" s="194">
        <f>IF(_1_5412845612146241046457891017456[[#This Row],[Discount selection]]&gt;0,VLOOKUP(_1_5412845612146241046457891017456[[#This Row],[Discount selection]],'Discount Structure'!$A$2:$B$30,2,"false"),0)</f>
        <v>1</v>
      </c>
      <c r="L796" s="194">
        <f>_1_5412845612146241046457891017456[[#This Row],[LIST $]]*_1_5412845612146241046457891017456[[#This Row],[DISCOUNT]]*_1_5412845612146241046457891017456[[#This Row],[DISCOUNT 2]]</f>
        <v>0</v>
      </c>
      <c r="M796" s="194">
        <f>IF(OR(_1_5412845612146241046457891017456[[#This Row],[UNIT]]&gt;0,_1_5412845612146241046457891017456[[#This Row],[UNIT]]&lt;0),_1_5412845612146241046457891017456[[#This Row],[UNIT]]*_1_5412845612146241046457891017456[[#This Row],[COST]],0)</f>
        <v>0</v>
      </c>
      <c r="N796" s="194">
        <f t="shared" si="12"/>
        <v>1.3</v>
      </c>
      <c r="O796" s="198">
        <f>_1_5412845612146241046457891017456[[#This Row],[TOTAL]]*_1_5412845612146241046457891017456[[#This Row],[MARGIN]]</f>
        <v>0</v>
      </c>
      <c r="R796" s="41"/>
    </row>
    <row r="797" spans="4:18">
      <c r="D797" s="188"/>
      <c r="F797" s="168" t="s">
        <v>6202</v>
      </c>
      <c r="G797" s="193">
        <f>IF(_1_5412845612146241046457891017456[[#This Row],[Type]]&gt;0,VLOOKUP(_1_5412845612146241046457891017456[[#This Row],[Type]],Main[[#All],[TYPE]:[UNIT]],'Unit Price'!C$1,FALSE),0)</f>
        <v>0</v>
      </c>
      <c r="H797" s="197">
        <f>IF(_1_5412845612146241046457891017456[[#This Row],[Type]]&gt;0,VLOOKUP(_1_5412845612146241046457891017456[[#This Row],[Type]],Main[[#All],[TYPE]:[UNIT]],'Unit Price'!D$1,FALSE),0)</f>
        <v>0</v>
      </c>
      <c r="I797" s="194">
        <f>IF(_1_5412845612146241046457891017456[[#This Row],[Type]]&gt;0,VLOOKUP(_1_5412845612146241046457891017456[[#This Row],[Type]],Main[[#All],[TYPE]:[UNIT]],'Unit Price'!G$1,FALSE),0)</f>
        <v>0</v>
      </c>
      <c r="J797" s="194">
        <f>IF(_1_5412845612146241046457891017456[[#This Row],[Type]]&gt;0,VLOOKUP(_1_5412845612146241046457891017456[[#This Row],[Type]],Main[[#All],[TYPE]:[UNIT]],'Unit Price'!H$1,FALSE),0)</f>
        <v>0</v>
      </c>
      <c r="K797" s="194">
        <f>IF(_1_5412845612146241046457891017456[[#This Row],[Discount selection]]&gt;0,VLOOKUP(_1_5412845612146241046457891017456[[#This Row],[Discount selection]],'Discount Structure'!$A$2:$B$30,2,"false"),0)</f>
        <v>1</v>
      </c>
      <c r="L797" s="194">
        <f>_1_5412845612146241046457891017456[[#This Row],[LIST $]]*_1_5412845612146241046457891017456[[#This Row],[DISCOUNT]]*_1_5412845612146241046457891017456[[#This Row],[DISCOUNT 2]]</f>
        <v>0</v>
      </c>
      <c r="M797" s="194">
        <f>IF(OR(_1_5412845612146241046457891017456[[#This Row],[UNIT]]&gt;0,_1_5412845612146241046457891017456[[#This Row],[UNIT]]&lt;0),_1_5412845612146241046457891017456[[#This Row],[UNIT]]*_1_5412845612146241046457891017456[[#This Row],[COST]],0)</f>
        <v>0</v>
      </c>
      <c r="N797" s="194">
        <f t="shared" si="12"/>
        <v>1.3</v>
      </c>
      <c r="O797" s="198">
        <f>_1_5412845612146241046457891017456[[#This Row],[TOTAL]]*_1_5412845612146241046457891017456[[#This Row],[MARGIN]]</f>
        <v>0</v>
      </c>
      <c r="R797" s="41"/>
    </row>
    <row r="798" spans="4:18">
      <c r="D798" s="188"/>
      <c r="F798" s="168" t="s">
        <v>6202</v>
      </c>
      <c r="G798" s="193">
        <f>IF(_1_5412845612146241046457891017456[[#This Row],[Type]]&gt;0,VLOOKUP(_1_5412845612146241046457891017456[[#This Row],[Type]],Main[[#All],[TYPE]:[UNIT]],'Unit Price'!C$1,FALSE),0)</f>
        <v>0</v>
      </c>
      <c r="H798" s="197">
        <f>IF(_1_5412845612146241046457891017456[[#This Row],[Type]]&gt;0,VLOOKUP(_1_5412845612146241046457891017456[[#This Row],[Type]],Main[[#All],[TYPE]:[UNIT]],'Unit Price'!D$1,FALSE),0)</f>
        <v>0</v>
      </c>
      <c r="I798" s="194">
        <f>IF(_1_5412845612146241046457891017456[[#This Row],[Type]]&gt;0,VLOOKUP(_1_5412845612146241046457891017456[[#This Row],[Type]],Main[[#All],[TYPE]:[UNIT]],'Unit Price'!G$1,FALSE),0)</f>
        <v>0</v>
      </c>
      <c r="J798" s="194">
        <f>IF(_1_5412845612146241046457891017456[[#This Row],[Type]]&gt;0,VLOOKUP(_1_5412845612146241046457891017456[[#This Row],[Type]],Main[[#All],[TYPE]:[UNIT]],'Unit Price'!H$1,FALSE),0)</f>
        <v>0</v>
      </c>
      <c r="K798" s="194">
        <f>IF(_1_5412845612146241046457891017456[[#This Row],[Discount selection]]&gt;0,VLOOKUP(_1_5412845612146241046457891017456[[#This Row],[Discount selection]],'Discount Structure'!$A$2:$B$30,2,"false"),0)</f>
        <v>1</v>
      </c>
      <c r="L798" s="194">
        <f>_1_5412845612146241046457891017456[[#This Row],[LIST $]]*_1_5412845612146241046457891017456[[#This Row],[DISCOUNT]]*_1_5412845612146241046457891017456[[#This Row],[DISCOUNT 2]]</f>
        <v>0</v>
      </c>
      <c r="M798" s="194">
        <f>IF(OR(_1_5412845612146241046457891017456[[#This Row],[UNIT]]&gt;0,_1_5412845612146241046457891017456[[#This Row],[UNIT]]&lt;0),_1_5412845612146241046457891017456[[#This Row],[UNIT]]*_1_5412845612146241046457891017456[[#This Row],[COST]],0)</f>
        <v>0</v>
      </c>
      <c r="N798" s="194">
        <f t="shared" si="12"/>
        <v>1.3</v>
      </c>
      <c r="O798" s="198">
        <f>_1_5412845612146241046457891017456[[#This Row],[TOTAL]]*_1_5412845612146241046457891017456[[#This Row],[MARGIN]]</f>
        <v>0</v>
      </c>
      <c r="R798" s="41"/>
    </row>
    <row r="799" spans="4:18">
      <c r="D799" s="188"/>
      <c r="F799" s="168" t="s">
        <v>6202</v>
      </c>
      <c r="G799" s="193">
        <f>IF(_1_5412845612146241046457891017456[[#This Row],[Type]]&gt;0,VLOOKUP(_1_5412845612146241046457891017456[[#This Row],[Type]],Main[[#All],[TYPE]:[UNIT]],'Unit Price'!C$1,FALSE),0)</f>
        <v>0</v>
      </c>
      <c r="H799" s="197">
        <f>IF(_1_5412845612146241046457891017456[[#This Row],[Type]]&gt;0,VLOOKUP(_1_5412845612146241046457891017456[[#This Row],[Type]],Main[[#All],[TYPE]:[UNIT]],'Unit Price'!D$1,FALSE),0)</f>
        <v>0</v>
      </c>
      <c r="I799" s="194">
        <f>IF(_1_5412845612146241046457891017456[[#This Row],[Type]]&gt;0,VLOOKUP(_1_5412845612146241046457891017456[[#This Row],[Type]],Main[[#All],[TYPE]:[UNIT]],'Unit Price'!G$1,FALSE),0)</f>
        <v>0</v>
      </c>
      <c r="J799" s="194">
        <f>IF(_1_5412845612146241046457891017456[[#This Row],[Type]]&gt;0,VLOOKUP(_1_5412845612146241046457891017456[[#This Row],[Type]],Main[[#All],[TYPE]:[UNIT]],'Unit Price'!H$1,FALSE),0)</f>
        <v>0</v>
      </c>
      <c r="K799" s="194">
        <f>IF(_1_5412845612146241046457891017456[[#This Row],[Discount selection]]&gt;0,VLOOKUP(_1_5412845612146241046457891017456[[#This Row],[Discount selection]],'Discount Structure'!$A$2:$B$30,2,"false"),0)</f>
        <v>1</v>
      </c>
      <c r="L799" s="194">
        <f>_1_5412845612146241046457891017456[[#This Row],[LIST $]]*_1_5412845612146241046457891017456[[#This Row],[DISCOUNT]]*_1_5412845612146241046457891017456[[#This Row],[DISCOUNT 2]]</f>
        <v>0</v>
      </c>
      <c r="M799" s="194">
        <f>IF(OR(_1_5412845612146241046457891017456[[#This Row],[UNIT]]&gt;0,_1_5412845612146241046457891017456[[#This Row],[UNIT]]&lt;0),_1_5412845612146241046457891017456[[#This Row],[UNIT]]*_1_5412845612146241046457891017456[[#This Row],[COST]],0)</f>
        <v>0</v>
      </c>
      <c r="N799" s="194">
        <f t="shared" si="12"/>
        <v>1.3</v>
      </c>
      <c r="O799" s="198">
        <f>_1_5412845612146241046457891017456[[#This Row],[TOTAL]]*_1_5412845612146241046457891017456[[#This Row],[MARGIN]]</f>
        <v>0</v>
      </c>
      <c r="R799" s="41"/>
    </row>
    <row r="800" spans="4:18">
      <c r="D800" s="188"/>
      <c r="F800" s="168" t="s">
        <v>6202</v>
      </c>
      <c r="G800" s="193">
        <f>IF(_1_5412845612146241046457891017456[[#This Row],[Type]]&gt;0,VLOOKUP(_1_5412845612146241046457891017456[[#This Row],[Type]],Main[[#All],[TYPE]:[UNIT]],'Unit Price'!C$1,FALSE),0)</f>
        <v>0</v>
      </c>
      <c r="H800" s="197">
        <f>IF(_1_5412845612146241046457891017456[[#This Row],[Type]]&gt;0,VLOOKUP(_1_5412845612146241046457891017456[[#This Row],[Type]],Main[[#All],[TYPE]:[UNIT]],'Unit Price'!D$1,FALSE),0)</f>
        <v>0</v>
      </c>
      <c r="I800" s="194">
        <f>IF(_1_5412845612146241046457891017456[[#This Row],[Type]]&gt;0,VLOOKUP(_1_5412845612146241046457891017456[[#This Row],[Type]],Main[[#All],[TYPE]:[UNIT]],'Unit Price'!G$1,FALSE),0)</f>
        <v>0</v>
      </c>
      <c r="J800" s="194">
        <f>IF(_1_5412845612146241046457891017456[[#This Row],[Type]]&gt;0,VLOOKUP(_1_5412845612146241046457891017456[[#This Row],[Type]],Main[[#All],[TYPE]:[UNIT]],'Unit Price'!H$1,FALSE),0)</f>
        <v>0</v>
      </c>
      <c r="K800" s="194">
        <f>IF(_1_5412845612146241046457891017456[[#This Row],[Discount selection]]&gt;0,VLOOKUP(_1_5412845612146241046457891017456[[#This Row],[Discount selection]],'Discount Structure'!$A$2:$B$30,2,"false"),0)</f>
        <v>1</v>
      </c>
      <c r="L800" s="194">
        <f>_1_5412845612146241046457891017456[[#This Row],[LIST $]]*_1_5412845612146241046457891017456[[#This Row],[DISCOUNT]]*_1_5412845612146241046457891017456[[#This Row],[DISCOUNT 2]]</f>
        <v>0</v>
      </c>
      <c r="M800" s="194">
        <f>IF(OR(_1_5412845612146241046457891017456[[#This Row],[UNIT]]&gt;0,_1_5412845612146241046457891017456[[#This Row],[UNIT]]&lt;0),_1_5412845612146241046457891017456[[#This Row],[UNIT]]*_1_5412845612146241046457891017456[[#This Row],[COST]],0)</f>
        <v>0</v>
      </c>
      <c r="N800" s="194">
        <f t="shared" si="12"/>
        <v>1.3</v>
      </c>
      <c r="O800" s="198">
        <f>_1_5412845612146241046457891017456[[#This Row],[TOTAL]]*_1_5412845612146241046457891017456[[#This Row],[MARGIN]]</f>
        <v>0</v>
      </c>
      <c r="R800" s="41"/>
    </row>
    <row r="801" spans="4:18">
      <c r="D801" s="188"/>
      <c r="F801" s="168" t="s">
        <v>6202</v>
      </c>
      <c r="G801" s="193">
        <f>IF(_1_5412845612146241046457891017456[[#This Row],[Type]]&gt;0,VLOOKUP(_1_5412845612146241046457891017456[[#This Row],[Type]],Main[[#All],[TYPE]:[UNIT]],'Unit Price'!C$1,FALSE),0)</f>
        <v>0</v>
      </c>
      <c r="H801" s="197">
        <f>IF(_1_5412845612146241046457891017456[[#This Row],[Type]]&gt;0,VLOOKUP(_1_5412845612146241046457891017456[[#This Row],[Type]],Main[[#All],[TYPE]:[UNIT]],'Unit Price'!D$1,FALSE),0)</f>
        <v>0</v>
      </c>
      <c r="I801" s="194">
        <f>IF(_1_5412845612146241046457891017456[[#This Row],[Type]]&gt;0,VLOOKUP(_1_5412845612146241046457891017456[[#This Row],[Type]],Main[[#All],[TYPE]:[UNIT]],'Unit Price'!G$1,FALSE),0)</f>
        <v>0</v>
      </c>
      <c r="J801" s="194">
        <f>IF(_1_5412845612146241046457891017456[[#This Row],[Type]]&gt;0,VLOOKUP(_1_5412845612146241046457891017456[[#This Row],[Type]],Main[[#All],[TYPE]:[UNIT]],'Unit Price'!H$1,FALSE),0)</f>
        <v>0</v>
      </c>
      <c r="K801" s="194">
        <f>IF(_1_5412845612146241046457891017456[[#This Row],[Discount selection]]&gt;0,VLOOKUP(_1_5412845612146241046457891017456[[#This Row],[Discount selection]],'Discount Structure'!$A$2:$B$30,2,"false"),0)</f>
        <v>1</v>
      </c>
      <c r="L801" s="194">
        <f>_1_5412845612146241046457891017456[[#This Row],[LIST $]]*_1_5412845612146241046457891017456[[#This Row],[DISCOUNT]]*_1_5412845612146241046457891017456[[#This Row],[DISCOUNT 2]]</f>
        <v>0</v>
      </c>
      <c r="M801" s="194">
        <f>IF(OR(_1_5412845612146241046457891017456[[#This Row],[UNIT]]&gt;0,_1_5412845612146241046457891017456[[#This Row],[UNIT]]&lt;0),_1_5412845612146241046457891017456[[#This Row],[UNIT]]*_1_5412845612146241046457891017456[[#This Row],[COST]],0)</f>
        <v>0</v>
      </c>
      <c r="N801" s="194">
        <f t="shared" si="12"/>
        <v>1.3</v>
      </c>
      <c r="O801" s="198">
        <f>_1_5412845612146241046457891017456[[#This Row],[TOTAL]]*_1_5412845612146241046457891017456[[#This Row],[MARGIN]]</f>
        <v>0</v>
      </c>
      <c r="R801" s="41"/>
    </row>
    <row r="802" spans="4:18">
      <c r="D802" s="188"/>
      <c r="F802" s="168" t="s">
        <v>6202</v>
      </c>
      <c r="G802" s="193">
        <f>IF(_1_5412845612146241046457891017456[[#This Row],[Type]]&gt;0,VLOOKUP(_1_5412845612146241046457891017456[[#This Row],[Type]],Main[[#All],[TYPE]:[UNIT]],'Unit Price'!C$1,FALSE),0)</f>
        <v>0</v>
      </c>
      <c r="H802" s="197">
        <f>IF(_1_5412845612146241046457891017456[[#This Row],[Type]]&gt;0,VLOOKUP(_1_5412845612146241046457891017456[[#This Row],[Type]],Main[[#All],[TYPE]:[UNIT]],'Unit Price'!D$1,FALSE),0)</f>
        <v>0</v>
      </c>
      <c r="I802" s="194">
        <f>IF(_1_5412845612146241046457891017456[[#This Row],[Type]]&gt;0,VLOOKUP(_1_5412845612146241046457891017456[[#This Row],[Type]],Main[[#All],[TYPE]:[UNIT]],'Unit Price'!G$1,FALSE),0)</f>
        <v>0</v>
      </c>
      <c r="J802" s="194">
        <f>IF(_1_5412845612146241046457891017456[[#This Row],[Type]]&gt;0,VLOOKUP(_1_5412845612146241046457891017456[[#This Row],[Type]],Main[[#All],[TYPE]:[UNIT]],'Unit Price'!H$1,FALSE),0)</f>
        <v>0</v>
      </c>
      <c r="K802" s="194">
        <f>IF(_1_5412845612146241046457891017456[[#This Row],[Discount selection]]&gt;0,VLOOKUP(_1_5412845612146241046457891017456[[#This Row],[Discount selection]],'Discount Structure'!$A$2:$B$30,2,"false"),0)</f>
        <v>1</v>
      </c>
      <c r="L802" s="194">
        <f>_1_5412845612146241046457891017456[[#This Row],[LIST $]]*_1_5412845612146241046457891017456[[#This Row],[DISCOUNT]]*_1_5412845612146241046457891017456[[#This Row],[DISCOUNT 2]]</f>
        <v>0</v>
      </c>
      <c r="M802" s="194">
        <f>IF(OR(_1_5412845612146241046457891017456[[#This Row],[UNIT]]&gt;0,_1_5412845612146241046457891017456[[#This Row],[UNIT]]&lt;0),_1_5412845612146241046457891017456[[#This Row],[UNIT]]*_1_5412845612146241046457891017456[[#This Row],[COST]],0)</f>
        <v>0</v>
      </c>
      <c r="N802" s="194">
        <f t="shared" si="12"/>
        <v>1.3</v>
      </c>
      <c r="O802" s="198">
        <f>_1_5412845612146241046457891017456[[#This Row],[TOTAL]]*_1_5412845612146241046457891017456[[#This Row],[MARGIN]]</f>
        <v>0</v>
      </c>
      <c r="R802" s="41"/>
    </row>
    <row r="803" spans="4:18">
      <c r="D803" s="188"/>
      <c r="F803" s="168" t="s">
        <v>6202</v>
      </c>
      <c r="G803" s="193">
        <f>IF(_1_5412845612146241046457891017456[[#This Row],[Type]]&gt;0,VLOOKUP(_1_5412845612146241046457891017456[[#This Row],[Type]],Main[[#All],[TYPE]:[UNIT]],'Unit Price'!C$1,FALSE),0)</f>
        <v>0</v>
      </c>
      <c r="H803" s="197">
        <f>IF(_1_5412845612146241046457891017456[[#This Row],[Type]]&gt;0,VLOOKUP(_1_5412845612146241046457891017456[[#This Row],[Type]],Main[[#All],[TYPE]:[UNIT]],'Unit Price'!D$1,FALSE),0)</f>
        <v>0</v>
      </c>
      <c r="I803" s="194">
        <f>IF(_1_5412845612146241046457891017456[[#This Row],[Type]]&gt;0,VLOOKUP(_1_5412845612146241046457891017456[[#This Row],[Type]],Main[[#All],[TYPE]:[UNIT]],'Unit Price'!G$1,FALSE),0)</f>
        <v>0</v>
      </c>
      <c r="J803" s="194">
        <f>IF(_1_5412845612146241046457891017456[[#This Row],[Type]]&gt;0,VLOOKUP(_1_5412845612146241046457891017456[[#This Row],[Type]],Main[[#All],[TYPE]:[UNIT]],'Unit Price'!H$1,FALSE),0)</f>
        <v>0</v>
      </c>
      <c r="K803" s="194">
        <f>IF(_1_5412845612146241046457891017456[[#This Row],[Discount selection]]&gt;0,VLOOKUP(_1_5412845612146241046457891017456[[#This Row],[Discount selection]],'Discount Structure'!$A$2:$B$30,2,"false"),0)</f>
        <v>1</v>
      </c>
      <c r="L803" s="194">
        <f>_1_5412845612146241046457891017456[[#This Row],[LIST $]]*_1_5412845612146241046457891017456[[#This Row],[DISCOUNT]]*_1_5412845612146241046457891017456[[#This Row],[DISCOUNT 2]]</f>
        <v>0</v>
      </c>
      <c r="M803" s="194">
        <f>IF(OR(_1_5412845612146241046457891017456[[#This Row],[UNIT]]&gt;0,_1_5412845612146241046457891017456[[#This Row],[UNIT]]&lt;0),_1_5412845612146241046457891017456[[#This Row],[UNIT]]*_1_5412845612146241046457891017456[[#This Row],[COST]],0)</f>
        <v>0</v>
      </c>
      <c r="N803" s="194">
        <f t="shared" si="12"/>
        <v>1.3</v>
      </c>
      <c r="O803" s="198">
        <f>_1_5412845612146241046457891017456[[#This Row],[TOTAL]]*_1_5412845612146241046457891017456[[#This Row],[MARGIN]]</f>
        <v>0</v>
      </c>
      <c r="R803" s="41"/>
    </row>
    <row r="804" spans="4:18">
      <c r="D804" s="188"/>
      <c r="F804" s="168" t="s">
        <v>6202</v>
      </c>
      <c r="G804" s="193">
        <f>IF(_1_5412845612146241046457891017456[[#This Row],[Type]]&gt;0,VLOOKUP(_1_5412845612146241046457891017456[[#This Row],[Type]],Main[[#All],[TYPE]:[UNIT]],'Unit Price'!C$1,FALSE),0)</f>
        <v>0</v>
      </c>
      <c r="H804" s="197">
        <f>IF(_1_5412845612146241046457891017456[[#This Row],[Type]]&gt;0,VLOOKUP(_1_5412845612146241046457891017456[[#This Row],[Type]],Main[[#All],[TYPE]:[UNIT]],'Unit Price'!D$1,FALSE),0)</f>
        <v>0</v>
      </c>
      <c r="I804" s="194">
        <f>IF(_1_5412845612146241046457891017456[[#This Row],[Type]]&gt;0,VLOOKUP(_1_5412845612146241046457891017456[[#This Row],[Type]],Main[[#All],[TYPE]:[UNIT]],'Unit Price'!G$1,FALSE),0)</f>
        <v>0</v>
      </c>
      <c r="J804" s="194">
        <f>IF(_1_5412845612146241046457891017456[[#This Row],[Type]]&gt;0,VLOOKUP(_1_5412845612146241046457891017456[[#This Row],[Type]],Main[[#All],[TYPE]:[UNIT]],'Unit Price'!H$1,FALSE),0)</f>
        <v>0</v>
      </c>
      <c r="K804" s="194">
        <f>IF(_1_5412845612146241046457891017456[[#This Row],[Discount selection]]&gt;0,VLOOKUP(_1_5412845612146241046457891017456[[#This Row],[Discount selection]],'Discount Structure'!$A$2:$B$30,2,"false"),0)</f>
        <v>1</v>
      </c>
      <c r="L804" s="194">
        <f>_1_5412845612146241046457891017456[[#This Row],[LIST $]]*_1_5412845612146241046457891017456[[#This Row],[DISCOUNT]]*_1_5412845612146241046457891017456[[#This Row],[DISCOUNT 2]]</f>
        <v>0</v>
      </c>
      <c r="M804" s="194">
        <f>IF(OR(_1_5412845612146241046457891017456[[#This Row],[UNIT]]&gt;0,_1_5412845612146241046457891017456[[#This Row],[UNIT]]&lt;0),_1_5412845612146241046457891017456[[#This Row],[UNIT]]*_1_5412845612146241046457891017456[[#This Row],[COST]],0)</f>
        <v>0</v>
      </c>
      <c r="N804" s="194">
        <f t="shared" si="12"/>
        <v>1.3</v>
      </c>
      <c r="O804" s="198">
        <f>_1_5412845612146241046457891017456[[#This Row],[TOTAL]]*_1_5412845612146241046457891017456[[#This Row],[MARGIN]]</f>
        <v>0</v>
      </c>
      <c r="R804" s="41"/>
    </row>
    <row r="805" spans="4:18">
      <c r="D805" s="188"/>
      <c r="F805" s="168" t="s">
        <v>6202</v>
      </c>
      <c r="G805" s="193">
        <f>IF(_1_5412845612146241046457891017456[[#This Row],[Type]]&gt;0,VLOOKUP(_1_5412845612146241046457891017456[[#This Row],[Type]],Main[[#All],[TYPE]:[UNIT]],'Unit Price'!C$1,FALSE),0)</f>
        <v>0</v>
      </c>
      <c r="H805" s="197">
        <f>IF(_1_5412845612146241046457891017456[[#This Row],[Type]]&gt;0,VLOOKUP(_1_5412845612146241046457891017456[[#This Row],[Type]],Main[[#All],[TYPE]:[UNIT]],'Unit Price'!D$1,FALSE),0)</f>
        <v>0</v>
      </c>
      <c r="I805" s="194">
        <f>IF(_1_5412845612146241046457891017456[[#This Row],[Type]]&gt;0,VLOOKUP(_1_5412845612146241046457891017456[[#This Row],[Type]],Main[[#All],[TYPE]:[UNIT]],'Unit Price'!G$1,FALSE),0)</f>
        <v>0</v>
      </c>
      <c r="J805" s="194">
        <f>IF(_1_5412845612146241046457891017456[[#This Row],[Type]]&gt;0,VLOOKUP(_1_5412845612146241046457891017456[[#This Row],[Type]],Main[[#All],[TYPE]:[UNIT]],'Unit Price'!H$1,FALSE),0)</f>
        <v>0</v>
      </c>
      <c r="K805" s="194">
        <f>IF(_1_5412845612146241046457891017456[[#This Row],[Discount selection]]&gt;0,VLOOKUP(_1_5412845612146241046457891017456[[#This Row],[Discount selection]],'Discount Structure'!$A$2:$B$30,2,"false"),0)</f>
        <v>1</v>
      </c>
      <c r="L805" s="194">
        <f>_1_5412845612146241046457891017456[[#This Row],[LIST $]]*_1_5412845612146241046457891017456[[#This Row],[DISCOUNT]]*_1_5412845612146241046457891017456[[#This Row],[DISCOUNT 2]]</f>
        <v>0</v>
      </c>
      <c r="M805" s="194">
        <f>IF(OR(_1_5412845612146241046457891017456[[#This Row],[UNIT]]&gt;0,_1_5412845612146241046457891017456[[#This Row],[UNIT]]&lt;0),_1_5412845612146241046457891017456[[#This Row],[UNIT]]*_1_5412845612146241046457891017456[[#This Row],[COST]],0)</f>
        <v>0</v>
      </c>
      <c r="N805" s="194">
        <f t="shared" si="12"/>
        <v>1.3</v>
      </c>
      <c r="O805" s="198">
        <f>_1_5412845612146241046457891017456[[#This Row],[TOTAL]]*_1_5412845612146241046457891017456[[#This Row],[MARGIN]]</f>
        <v>0</v>
      </c>
      <c r="R805" s="41"/>
    </row>
    <row r="806" spans="4:18">
      <c r="D806" s="188"/>
      <c r="F806" s="168" t="s">
        <v>6202</v>
      </c>
      <c r="G806" s="193">
        <f>IF(_1_5412845612146241046457891017456[[#This Row],[Type]]&gt;0,VLOOKUP(_1_5412845612146241046457891017456[[#This Row],[Type]],Main[[#All],[TYPE]:[UNIT]],'Unit Price'!C$1,FALSE),0)</f>
        <v>0</v>
      </c>
      <c r="H806" s="197">
        <f>IF(_1_5412845612146241046457891017456[[#This Row],[Type]]&gt;0,VLOOKUP(_1_5412845612146241046457891017456[[#This Row],[Type]],Main[[#All],[TYPE]:[UNIT]],'Unit Price'!D$1,FALSE),0)</f>
        <v>0</v>
      </c>
      <c r="I806" s="194">
        <f>IF(_1_5412845612146241046457891017456[[#This Row],[Type]]&gt;0,VLOOKUP(_1_5412845612146241046457891017456[[#This Row],[Type]],Main[[#All],[TYPE]:[UNIT]],'Unit Price'!G$1,FALSE),0)</f>
        <v>0</v>
      </c>
      <c r="J806" s="194">
        <f>IF(_1_5412845612146241046457891017456[[#This Row],[Type]]&gt;0,VLOOKUP(_1_5412845612146241046457891017456[[#This Row],[Type]],Main[[#All],[TYPE]:[UNIT]],'Unit Price'!H$1,FALSE),0)</f>
        <v>0</v>
      </c>
      <c r="K806" s="194">
        <f>IF(_1_5412845612146241046457891017456[[#This Row],[Discount selection]]&gt;0,VLOOKUP(_1_5412845612146241046457891017456[[#This Row],[Discount selection]],'Discount Structure'!$A$2:$B$30,2,"false"),0)</f>
        <v>1</v>
      </c>
      <c r="L806" s="194">
        <f>_1_5412845612146241046457891017456[[#This Row],[LIST $]]*_1_5412845612146241046457891017456[[#This Row],[DISCOUNT]]*_1_5412845612146241046457891017456[[#This Row],[DISCOUNT 2]]</f>
        <v>0</v>
      </c>
      <c r="M806" s="194">
        <f>IF(OR(_1_5412845612146241046457891017456[[#This Row],[UNIT]]&gt;0,_1_5412845612146241046457891017456[[#This Row],[UNIT]]&lt;0),_1_5412845612146241046457891017456[[#This Row],[UNIT]]*_1_5412845612146241046457891017456[[#This Row],[COST]],0)</f>
        <v>0</v>
      </c>
      <c r="N806" s="194">
        <f t="shared" si="12"/>
        <v>1.3</v>
      </c>
      <c r="O806" s="198">
        <f>_1_5412845612146241046457891017456[[#This Row],[TOTAL]]*_1_5412845612146241046457891017456[[#This Row],[MARGIN]]</f>
        <v>0</v>
      </c>
      <c r="R806" s="41"/>
    </row>
    <row r="807" spans="4:18">
      <c r="D807" s="188"/>
      <c r="F807" s="168" t="s">
        <v>6202</v>
      </c>
      <c r="G807" s="193">
        <f>IF(_1_5412845612146241046457891017456[[#This Row],[Type]]&gt;0,VLOOKUP(_1_5412845612146241046457891017456[[#This Row],[Type]],Main[[#All],[TYPE]:[UNIT]],'Unit Price'!C$1,FALSE),0)</f>
        <v>0</v>
      </c>
      <c r="H807" s="197">
        <f>IF(_1_5412845612146241046457891017456[[#This Row],[Type]]&gt;0,VLOOKUP(_1_5412845612146241046457891017456[[#This Row],[Type]],Main[[#All],[TYPE]:[UNIT]],'Unit Price'!D$1,FALSE),0)</f>
        <v>0</v>
      </c>
      <c r="I807" s="194">
        <f>IF(_1_5412845612146241046457891017456[[#This Row],[Type]]&gt;0,VLOOKUP(_1_5412845612146241046457891017456[[#This Row],[Type]],Main[[#All],[TYPE]:[UNIT]],'Unit Price'!G$1,FALSE),0)</f>
        <v>0</v>
      </c>
      <c r="J807" s="194">
        <f>IF(_1_5412845612146241046457891017456[[#This Row],[Type]]&gt;0,VLOOKUP(_1_5412845612146241046457891017456[[#This Row],[Type]],Main[[#All],[TYPE]:[UNIT]],'Unit Price'!H$1,FALSE),0)</f>
        <v>0</v>
      </c>
      <c r="K807" s="194">
        <f>IF(_1_5412845612146241046457891017456[[#This Row],[Discount selection]]&gt;0,VLOOKUP(_1_5412845612146241046457891017456[[#This Row],[Discount selection]],'Discount Structure'!$A$2:$B$30,2,"false"),0)</f>
        <v>1</v>
      </c>
      <c r="L807" s="194">
        <f>_1_5412845612146241046457891017456[[#This Row],[LIST $]]*_1_5412845612146241046457891017456[[#This Row],[DISCOUNT]]*_1_5412845612146241046457891017456[[#This Row],[DISCOUNT 2]]</f>
        <v>0</v>
      </c>
      <c r="M807" s="194">
        <f>IF(OR(_1_5412845612146241046457891017456[[#This Row],[UNIT]]&gt;0,_1_5412845612146241046457891017456[[#This Row],[UNIT]]&lt;0),_1_5412845612146241046457891017456[[#This Row],[UNIT]]*_1_5412845612146241046457891017456[[#This Row],[COST]],0)</f>
        <v>0</v>
      </c>
      <c r="N807" s="194">
        <f t="shared" si="12"/>
        <v>1.3</v>
      </c>
      <c r="O807" s="198">
        <f>_1_5412845612146241046457891017456[[#This Row],[TOTAL]]*_1_5412845612146241046457891017456[[#This Row],[MARGIN]]</f>
        <v>0</v>
      </c>
      <c r="R807" s="41"/>
    </row>
    <row r="808" spans="4:18">
      <c r="D808" s="188"/>
      <c r="F808" s="168" t="s">
        <v>6202</v>
      </c>
      <c r="G808" s="193">
        <f>IF(_1_5412845612146241046457891017456[[#This Row],[Type]]&gt;0,VLOOKUP(_1_5412845612146241046457891017456[[#This Row],[Type]],Main[[#All],[TYPE]:[UNIT]],'Unit Price'!C$1,FALSE),0)</f>
        <v>0</v>
      </c>
      <c r="H808" s="197">
        <f>IF(_1_5412845612146241046457891017456[[#This Row],[Type]]&gt;0,VLOOKUP(_1_5412845612146241046457891017456[[#This Row],[Type]],Main[[#All],[TYPE]:[UNIT]],'Unit Price'!D$1,FALSE),0)</f>
        <v>0</v>
      </c>
      <c r="I808" s="194">
        <f>IF(_1_5412845612146241046457891017456[[#This Row],[Type]]&gt;0,VLOOKUP(_1_5412845612146241046457891017456[[#This Row],[Type]],Main[[#All],[TYPE]:[UNIT]],'Unit Price'!G$1,FALSE),0)</f>
        <v>0</v>
      </c>
      <c r="J808" s="194">
        <f>IF(_1_5412845612146241046457891017456[[#This Row],[Type]]&gt;0,VLOOKUP(_1_5412845612146241046457891017456[[#This Row],[Type]],Main[[#All],[TYPE]:[UNIT]],'Unit Price'!H$1,FALSE),0)</f>
        <v>0</v>
      </c>
      <c r="K808" s="194">
        <f>IF(_1_5412845612146241046457891017456[[#This Row],[Discount selection]]&gt;0,VLOOKUP(_1_5412845612146241046457891017456[[#This Row],[Discount selection]],'Discount Structure'!$A$2:$B$30,2,"false"),0)</f>
        <v>1</v>
      </c>
      <c r="L808" s="194">
        <f>_1_5412845612146241046457891017456[[#This Row],[LIST $]]*_1_5412845612146241046457891017456[[#This Row],[DISCOUNT]]*_1_5412845612146241046457891017456[[#This Row],[DISCOUNT 2]]</f>
        <v>0</v>
      </c>
      <c r="M808" s="194">
        <f>IF(OR(_1_5412845612146241046457891017456[[#This Row],[UNIT]]&gt;0,_1_5412845612146241046457891017456[[#This Row],[UNIT]]&lt;0),_1_5412845612146241046457891017456[[#This Row],[UNIT]]*_1_5412845612146241046457891017456[[#This Row],[COST]],0)</f>
        <v>0</v>
      </c>
      <c r="N808" s="194">
        <f t="shared" si="12"/>
        <v>1.3</v>
      </c>
      <c r="O808" s="198">
        <f>_1_5412845612146241046457891017456[[#This Row],[TOTAL]]*_1_5412845612146241046457891017456[[#This Row],[MARGIN]]</f>
        <v>0</v>
      </c>
      <c r="R808" s="41"/>
    </row>
    <row r="809" spans="4:18">
      <c r="D809" s="188"/>
      <c r="F809" s="168" t="s">
        <v>6202</v>
      </c>
      <c r="G809" s="193">
        <f>IF(_1_5412845612146241046457891017456[[#This Row],[Type]]&gt;0,VLOOKUP(_1_5412845612146241046457891017456[[#This Row],[Type]],Main[[#All],[TYPE]:[UNIT]],'Unit Price'!C$1,FALSE),0)</f>
        <v>0</v>
      </c>
      <c r="H809" s="197">
        <f>IF(_1_5412845612146241046457891017456[[#This Row],[Type]]&gt;0,VLOOKUP(_1_5412845612146241046457891017456[[#This Row],[Type]],Main[[#All],[TYPE]:[UNIT]],'Unit Price'!D$1,FALSE),0)</f>
        <v>0</v>
      </c>
      <c r="I809" s="194">
        <f>IF(_1_5412845612146241046457891017456[[#This Row],[Type]]&gt;0,VLOOKUP(_1_5412845612146241046457891017456[[#This Row],[Type]],Main[[#All],[TYPE]:[UNIT]],'Unit Price'!G$1,FALSE),0)</f>
        <v>0</v>
      </c>
      <c r="J809" s="194">
        <f>IF(_1_5412845612146241046457891017456[[#This Row],[Type]]&gt;0,VLOOKUP(_1_5412845612146241046457891017456[[#This Row],[Type]],Main[[#All],[TYPE]:[UNIT]],'Unit Price'!H$1,FALSE),0)</f>
        <v>0</v>
      </c>
      <c r="K809" s="194">
        <f>IF(_1_5412845612146241046457891017456[[#This Row],[Discount selection]]&gt;0,VLOOKUP(_1_5412845612146241046457891017456[[#This Row],[Discount selection]],'Discount Structure'!$A$2:$B$30,2,"false"),0)</f>
        <v>1</v>
      </c>
      <c r="L809" s="194">
        <f>_1_5412845612146241046457891017456[[#This Row],[LIST $]]*_1_5412845612146241046457891017456[[#This Row],[DISCOUNT]]*_1_5412845612146241046457891017456[[#This Row],[DISCOUNT 2]]</f>
        <v>0</v>
      </c>
      <c r="M809" s="194">
        <f>IF(OR(_1_5412845612146241046457891017456[[#This Row],[UNIT]]&gt;0,_1_5412845612146241046457891017456[[#This Row],[UNIT]]&lt;0),_1_5412845612146241046457891017456[[#This Row],[UNIT]]*_1_5412845612146241046457891017456[[#This Row],[COST]],0)</f>
        <v>0</v>
      </c>
      <c r="N809" s="194">
        <f t="shared" si="12"/>
        <v>1.3</v>
      </c>
      <c r="O809" s="198">
        <f>_1_5412845612146241046457891017456[[#This Row],[TOTAL]]*_1_5412845612146241046457891017456[[#This Row],[MARGIN]]</f>
        <v>0</v>
      </c>
      <c r="R809" s="41"/>
    </row>
    <row r="810" spans="4:18">
      <c r="D810" s="188"/>
      <c r="F810" s="168" t="s">
        <v>6202</v>
      </c>
      <c r="G810" s="193">
        <f>IF(_1_5412845612146241046457891017456[[#This Row],[Type]]&gt;0,VLOOKUP(_1_5412845612146241046457891017456[[#This Row],[Type]],Main[[#All],[TYPE]:[UNIT]],'Unit Price'!C$1,FALSE),0)</f>
        <v>0</v>
      </c>
      <c r="H810" s="197">
        <f>IF(_1_5412845612146241046457891017456[[#This Row],[Type]]&gt;0,VLOOKUP(_1_5412845612146241046457891017456[[#This Row],[Type]],Main[[#All],[TYPE]:[UNIT]],'Unit Price'!D$1,FALSE),0)</f>
        <v>0</v>
      </c>
      <c r="I810" s="194">
        <f>IF(_1_5412845612146241046457891017456[[#This Row],[Type]]&gt;0,VLOOKUP(_1_5412845612146241046457891017456[[#This Row],[Type]],Main[[#All],[TYPE]:[UNIT]],'Unit Price'!G$1,FALSE),0)</f>
        <v>0</v>
      </c>
      <c r="J810" s="194">
        <f>IF(_1_5412845612146241046457891017456[[#This Row],[Type]]&gt;0,VLOOKUP(_1_5412845612146241046457891017456[[#This Row],[Type]],Main[[#All],[TYPE]:[UNIT]],'Unit Price'!H$1,FALSE),0)</f>
        <v>0</v>
      </c>
      <c r="K810" s="194">
        <f>IF(_1_5412845612146241046457891017456[[#This Row],[Discount selection]]&gt;0,VLOOKUP(_1_5412845612146241046457891017456[[#This Row],[Discount selection]],'Discount Structure'!$A$2:$B$30,2,"false"),0)</f>
        <v>1</v>
      </c>
      <c r="L810" s="194">
        <f>_1_5412845612146241046457891017456[[#This Row],[LIST $]]*_1_5412845612146241046457891017456[[#This Row],[DISCOUNT]]*_1_5412845612146241046457891017456[[#This Row],[DISCOUNT 2]]</f>
        <v>0</v>
      </c>
      <c r="M810" s="194">
        <f>IF(OR(_1_5412845612146241046457891017456[[#This Row],[UNIT]]&gt;0,_1_5412845612146241046457891017456[[#This Row],[UNIT]]&lt;0),_1_5412845612146241046457891017456[[#This Row],[UNIT]]*_1_5412845612146241046457891017456[[#This Row],[COST]],0)</f>
        <v>0</v>
      </c>
      <c r="N810" s="194">
        <f t="shared" si="12"/>
        <v>1.3</v>
      </c>
      <c r="O810" s="198">
        <f>_1_5412845612146241046457891017456[[#This Row],[TOTAL]]*_1_5412845612146241046457891017456[[#This Row],[MARGIN]]</f>
        <v>0</v>
      </c>
      <c r="R810" s="41"/>
    </row>
    <row r="811" spans="4:18">
      <c r="D811" s="188"/>
      <c r="F811" s="168" t="s">
        <v>6202</v>
      </c>
      <c r="G811" s="193">
        <f>IF(_1_5412845612146241046457891017456[[#This Row],[Type]]&gt;0,VLOOKUP(_1_5412845612146241046457891017456[[#This Row],[Type]],Main[[#All],[TYPE]:[UNIT]],'Unit Price'!C$1,FALSE),0)</f>
        <v>0</v>
      </c>
      <c r="H811" s="197">
        <f>IF(_1_5412845612146241046457891017456[[#This Row],[Type]]&gt;0,VLOOKUP(_1_5412845612146241046457891017456[[#This Row],[Type]],Main[[#All],[TYPE]:[UNIT]],'Unit Price'!D$1,FALSE),0)</f>
        <v>0</v>
      </c>
      <c r="I811" s="194">
        <f>IF(_1_5412845612146241046457891017456[[#This Row],[Type]]&gt;0,VLOOKUP(_1_5412845612146241046457891017456[[#This Row],[Type]],Main[[#All],[TYPE]:[UNIT]],'Unit Price'!G$1,FALSE),0)</f>
        <v>0</v>
      </c>
      <c r="J811" s="194">
        <f>IF(_1_5412845612146241046457891017456[[#This Row],[Type]]&gt;0,VLOOKUP(_1_5412845612146241046457891017456[[#This Row],[Type]],Main[[#All],[TYPE]:[UNIT]],'Unit Price'!H$1,FALSE),0)</f>
        <v>0</v>
      </c>
      <c r="K811" s="194">
        <f>IF(_1_5412845612146241046457891017456[[#This Row],[Discount selection]]&gt;0,VLOOKUP(_1_5412845612146241046457891017456[[#This Row],[Discount selection]],'Discount Structure'!$A$2:$B$30,2,"false"),0)</f>
        <v>1</v>
      </c>
      <c r="L811" s="194">
        <f>_1_5412845612146241046457891017456[[#This Row],[LIST $]]*_1_5412845612146241046457891017456[[#This Row],[DISCOUNT]]*_1_5412845612146241046457891017456[[#This Row],[DISCOUNT 2]]</f>
        <v>0</v>
      </c>
      <c r="M811" s="194">
        <f>IF(OR(_1_5412845612146241046457891017456[[#This Row],[UNIT]]&gt;0,_1_5412845612146241046457891017456[[#This Row],[UNIT]]&lt;0),_1_5412845612146241046457891017456[[#This Row],[UNIT]]*_1_5412845612146241046457891017456[[#This Row],[COST]],0)</f>
        <v>0</v>
      </c>
      <c r="N811" s="194">
        <f t="shared" si="12"/>
        <v>1.3</v>
      </c>
      <c r="O811" s="198">
        <f>_1_5412845612146241046457891017456[[#This Row],[TOTAL]]*_1_5412845612146241046457891017456[[#This Row],[MARGIN]]</f>
        <v>0</v>
      </c>
      <c r="R811" s="41"/>
    </row>
    <row r="812" spans="4:18">
      <c r="D812" s="188"/>
      <c r="F812" s="168" t="s">
        <v>6202</v>
      </c>
      <c r="G812" s="193">
        <f>IF(_1_5412845612146241046457891017456[[#This Row],[Type]]&gt;0,VLOOKUP(_1_5412845612146241046457891017456[[#This Row],[Type]],Main[[#All],[TYPE]:[UNIT]],'Unit Price'!C$1,FALSE),0)</f>
        <v>0</v>
      </c>
      <c r="H812" s="197">
        <f>IF(_1_5412845612146241046457891017456[[#This Row],[Type]]&gt;0,VLOOKUP(_1_5412845612146241046457891017456[[#This Row],[Type]],Main[[#All],[TYPE]:[UNIT]],'Unit Price'!D$1,FALSE),0)</f>
        <v>0</v>
      </c>
      <c r="I812" s="194">
        <f>IF(_1_5412845612146241046457891017456[[#This Row],[Type]]&gt;0,VLOOKUP(_1_5412845612146241046457891017456[[#This Row],[Type]],Main[[#All],[TYPE]:[UNIT]],'Unit Price'!G$1,FALSE),0)</f>
        <v>0</v>
      </c>
      <c r="J812" s="194">
        <f>IF(_1_5412845612146241046457891017456[[#This Row],[Type]]&gt;0,VLOOKUP(_1_5412845612146241046457891017456[[#This Row],[Type]],Main[[#All],[TYPE]:[UNIT]],'Unit Price'!H$1,FALSE),0)</f>
        <v>0</v>
      </c>
      <c r="K812" s="194">
        <f>IF(_1_5412845612146241046457891017456[[#This Row],[Discount selection]]&gt;0,VLOOKUP(_1_5412845612146241046457891017456[[#This Row],[Discount selection]],'Discount Structure'!$A$2:$B$30,2,"false"),0)</f>
        <v>1</v>
      </c>
      <c r="L812" s="194">
        <f>_1_5412845612146241046457891017456[[#This Row],[LIST $]]*_1_5412845612146241046457891017456[[#This Row],[DISCOUNT]]*_1_5412845612146241046457891017456[[#This Row],[DISCOUNT 2]]</f>
        <v>0</v>
      </c>
      <c r="M812" s="194">
        <f>IF(OR(_1_5412845612146241046457891017456[[#This Row],[UNIT]]&gt;0,_1_5412845612146241046457891017456[[#This Row],[UNIT]]&lt;0),_1_5412845612146241046457891017456[[#This Row],[UNIT]]*_1_5412845612146241046457891017456[[#This Row],[COST]],0)</f>
        <v>0</v>
      </c>
      <c r="N812" s="194">
        <f t="shared" si="12"/>
        <v>1.3</v>
      </c>
      <c r="O812" s="198">
        <f>_1_5412845612146241046457891017456[[#This Row],[TOTAL]]*_1_5412845612146241046457891017456[[#This Row],[MARGIN]]</f>
        <v>0</v>
      </c>
      <c r="R812" s="41"/>
    </row>
    <row r="813" spans="4:18">
      <c r="D813" s="188"/>
      <c r="F813" s="168" t="s">
        <v>6202</v>
      </c>
      <c r="G813" s="193">
        <f>IF(_1_5412845612146241046457891017456[[#This Row],[Type]]&gt;0,VLOOKUP(_1_5412845612146241046457891017456[[#This Row],[Type]],Main[[#All],[TYPE]:[UNIT]],'Unit Price'!C$1,FALSE),0)</f>
        <v>0</v>
      </c>
      <c r="H813" s="197">
        <f>IF(_1_5412845612146241046457891017456[[#This Row],[Type]]&gt;0,VLOOKUP(_1_5412845612146241046457891017456[[#This Row],[Type]],Main[[#All],[TYPE]:[UNIT]],'Unit Price'!D$1,FALSE),0)</f>
        <v>0</v>
      </c>
      <c r="I813" s="194">
        <f>IF(_1_5412845612146241046457891017456[[#This Row],[Type]]&gt;0,VLOOKUP(_1_5412845612146241046457891017456[[#This Row],[Type]],Main[[#All],[TYPE]:[UNIT]],'Unit Price'!G$1,FALSE),0)</f>
        <v>0</v>
      </c>
      <c r="J813" s="194">
        <f>IF(_1_5412845612146241046457891017456[[#This Row],[Type]]&gt;0,VLOOKUP(_1_5412845612146241046457891017456[[#This Row],[Type]],Main[[#All],[TYPE]:[UNIT]],'Unit Price'!H$1,FALSE),0)</f>
        <v>0</v>
      </c>
      <c r="K813" s="194">
        <f>IF(_1_5412845612146241046457891017456[[#This Row],[Discount selection]]&gt;0,VLOOKUP(_1_5412845612146241046457891017456[[#This Row],[Discount selection]],'Discount Structure'!$A$2:$B$30,2,"false"),0)</f>
        <v>1</v>
      </c>
      <c r="L813" s="194">
        <f>_1_5412845612146241046457891017456[[#This Row],[LIST $]]*_1_5412845612146241046457891017456[[#This Row],[DISCOUNT]]*_1_5412845612146241046457891017456[[#This Row],[DISCOUNT 2]]</f>
        <v>0</v>
      </c>
      <c r="M813" s="194">
        <f>IF(OR(_1_5412845612146241046457891017456[[#This Row],[UNIT]]&gt;0,_1_5412845612146241046457891017456[[#This Row],[UNIT]]&lt;0),_1_5412845612146241046457891017456[[#This Row],[UNIT]]*_1_5412845612146241046457891017456[[#This Row],[COST]],0)</f>
        <v>0</v>
      </c>
      <c r="N813" s="194">
        <f t="shared" si="12"/>
        <v>1.3</v>
      </c>
      <c r="O813" s="198">
        <f>_1_5412845612146241046457891017456[[#This Row],[TOTAL]]*_1_5412845612146241046457891017456[[#This Row],[MARGIN]]</f>
        <v>0</v>
      </c>
      <c r="R813" s="41"/>
    </row>
    <row r="814" spans="4:18">
      <c r="D814" s="188"/>
      <c r="F814" s="168" t="s">
        <v>6202</v>
      </c>
      <c r="G814" s="193">
        <f>IF(_1_5412845612146241046457891017456[[#This Row],[Type]]&gt;0,VLOOKUP(_1_5412845612146241046457891017456[[#This Row],[Type]],Main[[#All],[TYPE]:[UNIT]],'Unit Price'!C$1,FALSE),0)</f>
        <v>0</v>
      </c>
      <c r="H814" s="197">
        <f>IF(_1_5412845612146241046457891017456[[#This Row],[Type]]&gt;0,VLOOKUP(_1_5412845612146241046457891017456[[#This Row],[Type]],Main[[#All],[TYPE]:[UNIT]],'Unit Price'!D$1,FALSE),0)</f>
        <v>0</v>
      </c>
      <c r="I814" s="194">
        <f>IF(_1_5412845612146241046457891017456[[#This Row],[Type]]&gt;0,VLOOKUP(_1_5412845612146241046457891017456[[#This Row],[Type]],Main[[#All],[TYPE]:[UNIT]],'Unit Price'!G$1,FALSE),0)</f>
        <v>0</v>
      </c>
      <c r="J814" s="194">
        <f>IF(_1_5412845612146241046457891017456[[#This Row],[Type]]&gt;0,VLOOKUP(_1_5412845612146241046457891017456[[#This Row],[Type]],Main[[#All],[TYPE]:[UNIT]],'Unit Price'!H$1,FALSE),0)</f>
        <v>0</v>
      </c>
      <c r="K814" s="194">
        <f>IF(_1_5412845612146241046457891017456[[#This Row],[Discount selection]]&gt;0,VLOOKUP(_1_5412845612146241046457891017456[[#This Row],[Discount selection]],'Discount Structure'!$A$2:$B$30,2,"false"),0)</f>
        <v>1</v>
      </c>
      <c r="L814" s="194">
        <f>_1_5412845612146241046457891017456[[#This Row],[LIST $]]*_1_5412845612146241046457891017456[[#This Row],[DISCOUNT]]*_1_5412845612146241046457891017456[[#This Row],[DISCOUNT 2]]</f>
        <v>0</v>
      </c>
      <c r="M814" s="194">
        <f>IF(OR(_1_5412845612146241046457891017456[[#This Row],[UNIT]]&gt;0,_1_5412845612146241046457891017456[[#This Row],[UNIT]]&lt;0),_1_5412845612146241046457891017456[[#This Row],[UNIT]]*_1_5412845612146241046457891017456[[#This Row],[COST]],0)</f>
        <v>0</v>
      </c>
      <c r="N814" s="194">
        <f t="shared" si="12"/>
        <v>1.3</v>
      </c>
      <c r="O814" s="198">
        <f>_1_5412845612146241046457891017456[[#This Row],[TOTAL]]*_1_5412845612146241046457891017456[[#This Row],[MARGIN]]</f>
        <v>0</v>
      </c>
      <c r="R814" s="41"/>
    </row>
    <row r="815" spans="4:18">
      <c r="D815" s="188"/>
      <c r="F815" s="168" t="s">
        <v>6202</v>
      </c>
      <c r="G815" s="193">
        <f>IF(_1_5412845612146241046457891017456[[#This Row],[Type]]&gt;0,VLOOKUP(_1_5412845612146241046457891017456[[#This Row],[Type]],Main[[#All],[TYPE]:[UNIT]],'Unit Price'!C$1,FALSE),0)</f>
        <v>0</v>
      </c>
      <c r="H815" s="197">
        <f>IF(_1_5412845612146241046457891017456[[#This Row],[Type]]&gt;0,VLOOKUP(_1_5412845612146241046457891017456[[#This Row],[Type]],Main[[#All],[TYPE]:[UNIT]],'Unit Price'!D$1,FALSE),0)</f>
        <v>0</v>
      </c>
      <c r="I815" s="194">
        <f>IF(_1_5412845612146241046457891017456[[#This Row],[Type]]&gt;0,VLOOKUP(_1_5412845612146241046457891017456[[#This Row],[Type]],Main[[#All],[TYPE]:[UNIT]],'Unit Price'!G$1,FALSE),0)</f>
        <v>0</v>
      </c>
      <c r="J815" s="194">
        <f>IF(_1_5412845612146241046457891017456[[#This Row],[Type]]&gt;0,VLOOKUP(_1_5412845612146241046457891017456[[#This Row],[Type]],Main[[#All],[TYPE]:[UNIT]],'Unit Price'!H$1,FALSE),0)</f>
        <v>0</v>
      </c>
      <c r="K815" s="194">
        <f>IF(_1_5412845612146241046457891017456[[#This Row],[Discount selection]]&gt;0,VLOOKUP(_1_5412845612146241046457891017456[[#This Row],[Discount selection]],'Discount Structure'!$A$2:$B$30,2,"false"),0)</f>
        <v>1</v>
      </c>
      <c r="L815" s="194">
        <f>_1_5412845612146241046457891017456[[#This Row],[LIST $]]*_1_5412845612146241046457891017456[[#This Row],[DISCOUNT]]*_1_5412845612146241046457891017456[[#This Row],[DISCOUNT 2]]</f>
        <v>0</v>
      </c>
      <c r="M815" s="194">
        <f>IF(OR(_1_5412845612146241046457891017456[[#This Row],[UNIT]]&gt;0,_1_5412845612146241046457891017456[[#This Row],[UNIT]]&lt;0),_1_5412845612146241046457891017456[[#This Row],[UNIT]]*_1_5412845612146241046457891017456[[#This Row],[COST]],0)</f>
        <v>0</v>
      </c>
      <c r="N815" s="194">
        <f t="shared" si="12"/>
        <v>1.3</v>
      </c>
      <c r="O815" s="198">
        <f>_1_5412845612146241046457891017456[[#This Row],[TOTAL]]*_1_5412845612146241046457891017456[[#This Row],[MARGIN]]</f>
        <v>0</v>
      </c>
      <c r="R815" s="41"/>
    </row>
    <row r="816" spans="4:18">
      <c r="D816" s="188"/>
      <c r="F816" s="168" t="s">
        <v>6202</v>
      </c>
      <c r="G816" s="193">
        <f>IF(_1_5412845612146241046457891017456[[#This Row],[Type]]&gt;0,VLOOKUP(_1_5412845612146241046457891017456[[#This Row],[Type]],Main[[#All],[TYPE]:[UNIT]],'Unit Price'!C$1,FALSE),0)</f>
        <v>0</v>
      </c>
      <c r="H816" s="197">
        <f>IF(_1_5412845612146241046457891017456[[#This Row],[Type]]&gt;0,VLOOKUP(_1_5412845612146241046457891017456[[#This Row],[Type]],Main[[#All],[TYPE]:[UNIT]],'Unit Price'!D$1,FALSE),0)</f>
        <v>0</v>
      </c>
      <c r="I816" s="194">
        <f>IF(_1_5412845612146241046457891017456[[#This Row],[Type]]&gt;0,VLOOKUP(_1_5412845612146241046457891017456[[#This Row],[Type]],Main[[#All],[TYPE]:[UNIT]],'Unit Price'!G$1,FALSE),0)</f>
        <v>0</v>
      </c>
      <c r="J816" s="194">
        <f>IF(_1_5412845612146241046457891017456[[#This Row],[Type]]&gt;0,VLOOKUP(_1_5412845612146241046457891017456[[#This Row],[Type]],Main[[#All],[TYPE]:[UNIT]],'Unit Price'!H$1,FALSE),0)</f>
        <v>0</v>
      </c>
      <c r="K816" s="194">
        <f>IF(_1_5412845612146241046457891017456[[#This Row],[Discount selection]]&gt;0,VLOOKUP(_1_5412845612146241046457891017456[[#This Row],[Discount selection]],'Discount Structure'!$A$2:$B$30,2,"false"),0)</f>
        <v>1</v>
      </c>
      <c r="L816" s="194">
        <f>_1_5412845612146241046457891017456[[#This Row],[LIST $]]*_1_5412845612146241046457891017456[[#This Row],[DISCOUNT]]*_1_5412845612146241046457891017456[[#This Row],[DISCOUNT 2]]</f>
        <v>0</v>
      </c>
      <c r="M816" s="194">
        <f>IF(OR(_1_5412845612146241046457891017456[[#This Row],[UNIT]]&gt;0,_1_5412845612146241046457891017456[[#This Row],[UNIT]]&lt;0),_1_5412845612146241046457891017456[[#This Row],[UNIT]]*_1_5412845612146241046457891017456[[#This Row],[COST]],0)</f>
        <v>0</v>
      </c>
      <c r="N816" s="194">
        <f t="shared" si="12"/>
        <v>1.3</v>
      </c>
      <c r="O816" s="198">
        <f>_1_5412845612146241046457891017456[[#This Row],[TOTAL]]*_1_5412845612146241046457891017456[[#This Row],[MARGIN]]</f>
        <v>0</v>
      </c>
      <c r="R816" s="41"/>
    </row>
    <row r="817" spans="4:18">
      <c r="D817" s="188"/>
      <c r="F817" s="168" t="s">
        <v>6202</v>
      </c>
      <c r="G817" s="193">
        <f>IF(_1_5412845612146241046457891017456[[#This Row],[Type]]&gt;0,VLOOKUP(_1_5412845612146241046457891017456[[#This Row],[Type]],Main[[#All],[TYPE]:[UNIT]],'Unit Price'!C$1,FALSE),0)</f>
        <v>0</v>
      </c>
      <c r="H817" s="197">
        <f>IF(_1_5412845612146241046457891017456[[#This Row],[Type]]&gt;0,VLOOKUP(_1_5412845612146241046457891017456[[#This Row],[Type]],Main[[#All],[TYPE]:[UNIT]],'Unit Price'!D$1,FALSE),0)</f>
        <v>0</v>
      </c>
      <c r="I817" s="194">
        <f>IF(_1_5412845612146241046457891017456[[#This Row],[Type]]&gt;0,VLOOKUP(_1_5412845612146241046457891017456[[#This Row],[Type]],Main[[#All],[TYPE]:[UNIT]],'Unit Price'!G$1,FALSE),0)</f>
        <v>0</v>
      </c>
      <c r="J817" s="194">
        <f>IF(_1_5412845612146241046457891017456[[#This Row],[Type]]&gt;0,VLOOKUP(_1_5412845612146241046457891017456[[#This Row],[Type]],Main[[#All],[TYPE]:[UNIT]],'Unit Price'!H$1,FALSE),0)</f>
        <v>0</v>
      </c>
      <c r="K817" s="194">
        <f>IF(_1_5412845612146241046457891017456[[#This Row],[Discount selection]]&gt;0,VLOOKUP(_1_5412845612146241046457891017456[[#This Row],[Discount selection]],'Discount Structure'!$A$2:$B$30,2,"false"),0)</f>
        <v>1</v>
      </c>
      <c r="L817" s="194">
        <f>_1_5412845612146241046457891017456[[#This Row],[LIST $]]*_1_5412845612146241046457891017456[[#This Row],[DISCOUNT]]*_1_5412845612146241046457891017456[[#This Row],[DISCOUNT 2]]</f>
        <v>0</v>
      </c>
      <c r="M817" s="194">
        <f>IF(OR(_1_5412845612146241046457891017456[[#This Row],[UNIT]]&gt;0,_1_5412845612146241046457891017456[[#This Row],[UNIT]]&lt;0),_1_5412845612146241046457891017456[[#This Row],[UNIT]]*_1_5412845612146241046457891017456[[#This Row],[COST]],0)</f>
        <v>0</v>
      </c>
      <c r="N817" s="194">
        <f t="shared" si="12"/>
        <v>1.3</v>
      </c>
      <c r="O817" s="198">
        <f>_1_5412845612146241046457891017456[[#This Row],[TOTAL]]*_1_5412845612146241046457891017456[[#This Row],[MARGIN]]</f>
        <v>0</v>
      </c>
      <c r="R817" s="41"/>
    </row>
    <row r="818" spans="4:18">
      <c r="D818" s="188"/>
      <c r="F818" s="168" t="s">
        <v>6202</v>
      </c>
      <c r="G818" s="193">
        <f>IF(_1_5412845612146241046457891017456[[#This Row],[Type]]&gt;0,VLOOKUP(_1_5412845612146241046457891017456[[#This Row],[Type]],Main[[#All],[TYPE]:[UNIT]],'Unit Price'!C$1,FALSE),0)</f>
        <v>0</v>
      </c>
      <c r="H818" s="197">
        <f>IF(_1_5412845612146241046457891017456[[#This Row],[Type]]&gt;0,VLOOKUP(_1_5412845612146241046457891017456[[#This Row],[Type]],Main[[#All],[TYPE]:[UNIT]],'Unit Price'!D$1,FALSE),0)</f>
        <v>0</v>
      </c>
      <c r="I818" s="194">
        <f>IF(_1_5412845612146241046457891017456[[#This Row],[Type]]&gt;0,VLOOKUP(_1_5412845612146241046457891017456[[#This Row],[Type]],Main[[#All],[TYPE]:[UNIT]],'Unit Price'!G$1,FALSE),0)</f>
        <v>0</v>
      </c>
      <c r="J818" s="194">
        <f>IF(_1_5412845612146241046457891017456[[#This Row],[Type]]&gt;0,VLOOKUP(_1_5412845612146241046457891017456[[#This Row],[Type]],Main[[#All],[TYPE]:[UNIT]],'Unit Price'!H$1,FALSE),0)</f>
        <v>0</v>
      </c>
      <c r="K818" s="194">
        <f>IF(_1_5412845612146241046457891017456[[#This Row],[Discount selection]]&gt;0,VLOOKUP(_1_5412845612146241046457891017456[[#This Row],[Discount selection]],'Discount Structure'!$A$2:$B$30,2,"false"),0)</f>
        <v>1</v>
      </c>
      <c r="L818" s="194">
        <f>_1_5412845612146241046457891017456[[#This Row],[LIST $]]*_1_5412845612146241046457891017456[[#This Row],[DISCOUNT]]*_1_5412845612146241046457891017456[[#This Row],[DISCOUNT 2]]</f>
        <v>0</v>
      </c>
      <c r="M818" s="194">
        <f>IF(OR(_1_5412845612146241046457891017456[[#This Row],[UNIT]]&gt;0,_1_5412845612146241046457891017456[[#This Row],[UNIT]]&lt;0),_1_5412845612146241046457891017456[[#This Row],[UNIT]]*_1_5412845612146241046457891017456[[#This Row],[COST]],0)</f>
        <v>0</v>
      </c>
      <c r="N818" s="194">
        <f t="shared" si="12"/>
        <v>1.3</v>
      </c>
      <c r="O818" s="198">
        <f>_1_5412845612146241046457891017456[[#This Row],[TOTAL]]*_1_5412845612146241046457891017456[[#This Row],[MARGIN]]</f>
        <v>0</v>
      </c>
      <c r="R818" s="41"/>
    </row>
    <row r="819" spans="4:18">
      <c r="D819" s="188"/>
      <c r="F819" s="168" t="s">
        <v>6202</v>
      </c>
      <c r="G819" s="193">
        <f>IF(_1_5412845612146241046457891017456[[#This Row],[Type]]&gt;0,VLOOKUP(_1_5412845612146241046457891017456[[#This Row],[Type]],Main[[#All],[TYPE]:[UNIT]],'Unit Price'!C$1,FALSE),0)</f>
        <v>0</v>
      </c>
      <c r="H819" s="197">
        <f>IF(_1_5412845612146241046457891017456[[#This Row],[Type]]&gt;0,VLOOKUP(_1_5412845612146241046457891017456[[#This Row],[Type]],Main[[#All],[TYPE]:[UNIT]],'Unit Price'!D$1,FALSE),0)</f>
        <v>0</v>
      </c>
      <c r="I819" s="194">
        <f>IF(_1_5412845612146241046457891017456[[#This Row],[Type]]&gt;0,VLOOKUP(_1_5412845612146241046457891017456[[#This Row],[Type]],Main[[#All],[TYPE]:[UNIT]],'Unit Price'!G$1,FALSE),0)</f>
        <v>0</v>
      </c>
      <c r="J819" s="194">
        <f>IF(_1_5412845612146241046457891017456[[#This Row],[Type]]&gt;0,VLOOKUP(_1_5412845612146241046457891017456[[#This Row],[Type]],Main[[#All],[TYPE]:[UNIT]],'Unit Price'!H$1,FALSE),0)</f>
        <v>0</v>
      </c>
      <c r="K819" s="194">
        <f>IF(_1_5412845612146241046457891017456[[#This Row],[Discount selection]]&gt;0,VLOOKUP(_1_5412845612146241046457891017456[[#This Row],[Discount selection]],'Discount Structure'!$A$2:$B$30,2,"false"),0)</f>
        <v>1</v>
      </c>
      <c r="L819" s="194">
        <f>_1_5412845612146241046457891017456[[#This Row],[LIST $]]*_1_5412845612146241046457891017456[[#This Row],[DISCOUNT]]*_1_5412845612146241046457891017456[[#This Row],[DISCOUNT 2]]</f>
        <v>0</v>
      </c>
      <c r="M819" s="194">
        <f>IF(OR(_1_5412845612146241046457891017456[[#This Row],[UNIT]]&gt;0,_1_5412845612146241046457891017456[[#This Row],[UNIT]]&lt;0),_1_5412845612146241046457891017456[[#This Row],[UNIT]]*_1_5412845612146241046457891017456[[#This Row],[COST]],0)</f>
        <v>0</v>
      </c>
      <c r="N819" s="194">
        <f t="shared" si="12"/>
        <v>1.3</v>
      </c>
      <c r="O819" s="198">
        <f>_1_5412845612146241046457891017456[[#This Row],[TOTAL]]*_1_5412845612146241046457891017456[[#This Row],[MARGIN]]</f>
        <v>0</v>
      </c>
      <c r="R819" s="41"/>
    </row>
    <row r="820" spans="4:18">
      <c r="D820" s="188"/>
      <c r="F820" s="168" t="s">
        <v>6202</v>
      </c>
      <c r="G820" s="193">
        <f>IF(_1_5412845612146241046457891017456[[#This Row],[Type]]&gt;0,VLOOKUP(_1_5412845612146241046457891017456[[#This Row],[Type]],Main[[#All],[TYPE]:[UNIT]],'Unit Price'!C$1,FALSE),0)</f>
        <v>0</v>
      </c>
      <c r="H820" s="197">
        <f>IF(_1_5412845612146241046457891017456[[#This Row],[Type]]&gt;0,VLOOKUP(_1_5412845612146241046457891017456[[#This Row],[Type]],Main[[#All],[TYPE]:[UNIT]],'Unit Price'!D$1,FALSE),0)</f>
        <v>0</v>
      </c>
      <c r="I820" s="194">
        <f>IF(_1_5412845612146241046457891017456[[#This Row],[Type]]&gt;0,VLOOKUP(_1_5412845612146241046457891017456[[#This Row],[Type]],Main[[#All],[TYPE]:[UNIT]],'Unit Price'!G$1,FALSE),0)</f>
        <v>0</v>
      </c>
      <c r="J820" s="194">
        <f>IF(_1_5412845612146241046457891017456[[#This Row],[Type]]&gt;0,VLOOKUP(_1_5412845612146241046457891017456[[#This Row],[Type]],Main[[#All],[TYPE]:[UNIT]],'Unit Price'!H$1,FALSE),0)</f>
        <v>0</v>
      </c>
      <c r="K820" s="194">
        <f>IF(_1_5412845612146241046457891017456[[#This Row],[Discount selection]]&gt;0,VLOOKUP(_1_5412845612146241046457891017456[[#This Row],[Discount selection]],'Discount Structure'!$A$2:$B$30,2,"false"),0)</f>
        <v>1</v>
      </c>
      <c r="L820" s="194">
        <f>_1_5412845612146241046457891017456[[#This Row],[LIST $]]*_1_5412845612146241046457891017456[[#This Row],[DISCOUNT]]*_1_5412845612146241046457891017456[[#This Row],[DISCOUNT 2]]</f>
        <v>0</v>
      </c>
      <c r="M820" s="194">
        <f>IF(OR(_1_5412845612146241046457891017456[[#This Row],[UNIT]]&gt;0,_1_5412845612146241046457891017456[[#This Row],[UNIT]]&lt;0),_1_5412845612146241046457891017456[[#This Row],[UNIT]]*_1_5412845612146241046457891017456[[#This Row],[COST]],0)</f>
        <v>0</v>
      </c>
      <c r="N820" s="194">
        <f t="shared" si="12"/>
        <v>1.3</v>
      </c>
      <c r="O820" s="198">
        <f>_1_5412845612146241046457891017456[[#This Row],[TOTAL]]*_1_5412845612146241046457891017456[[#This Row],[MARGIN]]</f>
        <v>0</v>
      </c>
      <c r="R820" s="41"/>
    </row>
    <row r="821" spans="4:18">
      <c r="D821" s="188"/>
      <c r="F821" s="168" t="s">
        <v>6202</v>
      </c>
      <c r="G821" s="193">
        <f>IF(_1_5412845612146241046457891017456[[#This Row],[Type]]&gt;0,VLOOKUP(_1_5412845612146241046457891017456[[#This Row],[Type]],Main[[#All],[TYPE]:[UNIT]],'Unit Price'!C$1,FALSE),0)</f>
        <v>0</v>
      </c>
      <c r="H821" s="197">
        <f>IF(_1_5412845612146241046457891017456[[#This Row],[Type]]&gt;0,VLOOKUP(_1_5412845612146241046457891017456[[#This Row],[Type]],Main[[#All],[TYPE]:[UNIT]],'Unit Price'!D$1,FALSE),0)</f>
        <v>0</v>
      </c>
      <c r="I821" s="194">
        <f>IF(_1_5412845612146241046457891017456[[#This Row],[Type]]&gt;0,VLOOKUP(_1_5412845612146241046457891017456[[#This Row],[Type]],Main[[#All],[TYPE]:[UNIT]],'Unit Price'!G$1,FALSE),0)</f>
        <v>0</v>
      </c>
      <c r="J821" s="194">
        <f>IF(_1_5412845612146241046457891017456[[#This Row],[Type]]&gt;0,VLOOKUP(_1_5412845612146241046457891017456[[#This Row],[Type]],Main[[#All],[TYPE]:[UNIT]],'Unit Price'!H$1,FALSE),0)</f>
        <v>0</v>
      </c>
      <c r="K821" s="194">
        <f>IF(_1_5412845612146241046457891017456[[#This Row],[Discount selection]]&gt;0,VLOOKUP(_1_5412845612146241046457891017456[[#This Row],[Discount selection]],'Discount Structure'!$A$2:$B$30,2,"false"),0)</f>
        <v>1</v>
      </c>
      <c r="L821" s="194">
        <f>_1_5412845612146241046457891017456[[#This Row],[LIST $]]*_1_5412845612146241046457891017456[[#This Row],[DISCOUNT]]*_1_5412845612146241046457891017456[[#This Row],[DISCOUNT 2]]</f>
        <v>0</v>
      </c>
      <c r="M821" s="194">
        <f>IF(OR(_1_5412845612146241046457891017456[[#This Row],[UNIT]]&gt;0,_1_5412845612146241046457891017456[[#This Row],[UNIT]]&lt;0),_1_5412845612146241046457891017456[[#This Row],[UNIT]]*_1_5412845612146241046457891017456[[#This Row],[COST]],0)</f>
        <v>0</v>
      </c>
      <c r="N821" s="194">
        <f t="shared" si="12"/>
        <v>1.3</v>
      </c>
      <c r="O821" s="198">
        <f>_1_5412845612146241046457891017456[[#This Row],[TOTAL]]*_1_5412845612146241046457891017456[[#This Row],[MARGIN]]</f>
        <v>0</v>
      </c>
      <c r="R821" s="41"/>
    </row>
    <row r="822" spans="4:18">
      <c r="D822" s="188"/>
      <c r="F822" s="168" t="s">
        <v>6202</v>
      </c>
      <c r="G822" s="193">
        <f>IF(_1_5412845612146241046457891017456[[#This Row],[Type]]&gt;0,VLOOKUP(_1_5412845612146241046457891017456[[#This Row],[Type]],Main[[#All],[TYPE]:[UNIT]],'Unit Price'!C$1,FALSE),0)</f>
        <v>0</v>
      </c>
      <c r="H822" s="197">
        <f>IF(_1_5412845612146241046457891017456[[#This Row],[Type]]&gt;0,VLOOKUP(_1_5412845612146241046457891017456[[#This Row],[Type]],Main[[#All],[TYPE]:[UNIT]],'Unit Price'!D$1,FALSE),0)</f>
        <v>0</v>
      </c>
      <c r="I822" s="194">
        <f>IF(_1_5412845612146241046457891017456[[#This Row],[Type]]&gt;0,VLOOKUP(_1_5412845612146241046457891017456[[#This Row],[Type]],Main[[#All],[TYPE]:[UNIT]],'Unit Price'!G$1,FALSE),0)</f>
        <v>0</v>
      </c>
      <c r="J822" s="194">
        <f>IF(_1_5412845612146241046457891017456[[#This Row],[Type]]&gt;0,VLOOKUP(_1_5412845612146241046457891017456[[#This Row],[Type]],Main[[#All],[TYPE]:[UNIT]],'Unit Price'!H$1,FALSE),0)</f>
        <v>0</v>
      </c>
      <c r="K822" s="194">
        <f>IF(_1_5412845612146241046457891017456[[#This Row],[Discount selection]]&gt;0,VLOOKUP(_1_5412845612146241046457891017456[[#This Row],[Discount selection]],'Discount Structure'!$A$2:$B$30,2,"false"),0)</f>
        <v>1</v>
      </c>
      <c r="L822" s="194">
        <f>_1_5412845612146241046457891017456[[#This Row],[LIST $]]*_1_5412845612146241046457891017456[[#This Row],[DISCOUNT]]*_1_5412845612146241046457891017456[[#This Row],[DISCOUNT 2]]</f>
        <v>0</v>
      </c>
      <c r="M822" s="194">
        <f>IF(OR(_1_5412845612146241046457891017456[[#This Row],[UNIT]]&gt;0,_1_5412845612146241046457891017456[[#This Row],[UNIT]]&lt;0),_1_5412845612146241046457891017456[[#This Row],[UNIT]]*_1_5412845612146241046457891017456[[#This Row],[COST]],0)</f>
        <v>0</v>
      </c>
      <c r="N822" s="194">
        <f t="shared" si="12"/>
        <v>1.3</v>
      </c>
      <c r="O822" s="198">
        <f>_1_5412845612146241046457891017456[[#This Row],[TOTAL]]*_1_5412845612146241046457891017456[[#This Row],[MARGIN]]</f>
        <v>0</v>
      </c>
      <c r="R822" s="41"/>
    </row>
    <row r="823" spans="4:18">
      <c r="D823" s="188"/>
      <c r="F823" s="168" t="s">
        <v>6202</v>
      </c>
      <c r="G823" s="193">
        <f>IF(_1_5412845612146241046457891017456[[#This Row],[Type]]&gt;0,VLOOKUP(_1_5412845612146241046457891017456[[#This Row],[Type]],Main[[#All],[TYPE]:[UNIT]],'Unit Price'!C$1,FALSE),0)</f>
        <v>0</v>
      </c>
      <c r="H823" s="197">
        <f>IF(_1_5412845612146241046457891017456[[#This Row],[Type]]&gt;0,VLOOKUP(_1_5412845612146241046457891017456[[#This Row],[Type]],Main[[#All],[TYPE]:[UNIT]],'Unit Price'!D$1,FALSE),0)</f>
        <v>0</v>
      </c>
      <c r="I823" s="194">
        <f>IF(_1_5412845612146241046457891017456[[#This Row],[Type]]&gt;0,VLOOKUP(_1_5412845612146241046457891017456[[#This Row],[Type]],Main[[#All],[TYPE]:[UNIT]],'Unit Price'!G$1,FALSE),0)</f>
        <v>0</v>
      </c>
      <c r="J823" s="194">
        <f>IF(_1_5412845612146241046457891017456[[#This Row],[Type]]&gt;0,VLOOKUP(_1_5412845612146241046457891017456[[#This Row],[Type]],Main[[#All],[TYPE]:[UNIT]],'Unit Price'!H$1,FALSE),0)</f>
        <v>0</v>
      </c>
      <c r="K823" s="194">
        <f>IF(_1_5412845612146241046457891017456[[#This Row],[Discount selection]]&gt;0,VLOOKUP(_1_5412845612146241046457891017456[[#This Row],[Discount selection]],'Discount Structure'!$A$2:$B$30,2,"false"),0)</f>
        <v>1</v>
      </c>
      <c r="L823" s="194">
        <f>_1_5412845612146241046457891017456[[#This Row],[LIST $]]*_1_5412845612146241046457891017456[[#This Row],[DISCOUNT]]*_1_5412845612146241046457891017456[[#This Row],[DISCOUNT 2]]</f>
        <v>0</v>
      </c>
      <c r="M823" s="194">
        <f>IF(OR(_1_5412845612146241046457891017456[[#This Row],[UNIT]]&gt;0,_1_5412845612146241046457891017456[[#This Row],[UNIT]]&lt;0),_1_5412845612146241046457891017456[[#This Row],[UNIT]]*_1_5412845612146241046457891017456[[#This Row],[COST]],0)</f>
        <v>0</v>
      </c>
      <c r="N823" s="194">
        <f t="shared" si="12"/>
        <v>1.3</v>
      </c>
      <c r="O823" s="198">
        <f>_1_5412845612146241046457891017456[[#This Row],[TOTAL]]*_1_5412845612146241046457891017456[[#This Row],[MARGIN]]</f>
        <v>0</v>
      </c>
      <c r="R823" s="41"/>
    </row>
    <row r="824" spans="4:18">
      <c r="D824" s="188"/>
      <c r="F824" s="168" t="s">
        <v>6202</v>
      </c>
      <c r="G824" s="193">
        <f>IF(_1_5412845612146241046457891017456[[#This Row],[Type]]&gt;0,VLOOKUP(_1_5412845612146241046457891017456[[#This Row],[Type]],Main[[#All],[TYPE]:[UNIT]],'Unit Price'!C$1,FALSE),0)</f>
        <v>0</v>
      </c>
      <c r="H824" s="197">
        <f>IF(_1_5412845612146241046457891017456[[#This Row],[Type]]&gt;0,VLOOKUP(_1_5412845612146241046457891017456[[#This Row],[Type]],Main[[#All],[TYPE]:[UNIT]],'Unit Price'!D$1,FALSE),0)</f>
        <v>0</v>
      </c>
      <c r="I824" s="194">
        <f>IF(_1_5412845612146241046457891017456[[#This Row],[Type]]&gt;0,VLOOKUP(_1_5412845612146241046457891017456[[#This Row],[Type]],Main[[#All],[TYPE]:[UNIT]],'Unit Price'!G$1,FALSE),0)</f>
        <v>0</v>
      </c>
      <c r="J824" s="194">
        <f>IF(_1_5412845612146241046457891017456[[#This Row],[Type]]&gt;0,VLOOKUP(_1_5412845612146241046457891017456[[#This Row],[Type]],Main[[#All],[TYPE]:[UNIT]],'Unit Price'!H$1,FALSE),0)</f>
        <v>0</v>
      </c>
      <c r="K824" s="194">
        <f>IF(_1_5412845612146241046457891017456[[#This Row],[Discount selection]]&gt;0,VLOOKUP(_1_5412845612146241046457891017456[[#This Row],[Discount selection]],'Discount Structure'!$A$2:$B$30,2,"false"),0)</f>
        <v>1</v>
      </c>
      <c r="L824" s="194">
        <f>_1_5412845612146241046457891017456[[#This Row],[LIST $]]*_1_5412845612146241046457891017456[[#This Row],[DISCOUNT]]*_1_5412845612146241046457891017456[[#This Row],[DISCOUNT 2]]</f>
        <v>0</v>
      </c>
      <c r="M824" s="194">
        <f>IF(OR(_1_5412845612146241046457891017456[[#This Row],[UNIT]]&gt;0,_1_5412845612146241046457891017456[[#This Row],[UNIT]]&lt;0),_1_5412845612146241046457891017456[[#This Row],[UNIT]]*_1_5412845612146241046457891017456[[#This Row],[COST]],0)</f>
        <v>0</v>
      </c>
      <c r="N824" s="194">
        <f t="shared" si="12"/>
        <v>1.3</v>
      </c>
      <c r="O824" s="198">
        <f>_1_5412845612146241046457891017456[[#This Row],[TOTAL]]*_1_5412845612146241046457891017456[[#This Row],[MARGIN]]</f>
        <v>0</v>
      </c>
      <c r="R824" s="41"/>
    </row>
    <row r="825" spans="4:18">
      <c r="D825" s="188"/>
      <c r="F825" s="168" t="s">
        <v>6202</v>
      </c>
      <c r="G825" s="193">
        <f>IF(_1_5412845612146241046457891017456[[#This Row],[Type]]&gt;0,VLOOKUP(_1_5412845612146241046457891017456[[#This Row],[Type]],Main[[#All],[TYPE]:[UNIT]],'Unit Price'!C$1,FALSE),0)</f>
        <v>0</v>
      </c>
      <c r="H825" s="197">
        <f>IF(_1_5412845612146241046457891017456[[#This Row],[Type]]&gt;0,VLOOKUP(_1_5412845612146241046457891017456[[#This Row],[Type]],Main[[#All],[TYPE]:[UNIT]],'Unit Price'!D$1,FALSE),0)</f>
        <v>0</v>
      </c>
      <c r="I825" s="194">
        <f>IF(_1_5412845612146241046457891017456[[#This Row],[Type]]&gt;0,VLOOKUP(_1_5412845612146241046457891017456[[#This Row],[Type]],Main[[#All],[TYPE]:[UNIT]],'Unit Price'!G$1,FALSE),0)</f>
        <v>0</v>
      </c>
      <c r="J825" s="194">
        <f>IF(_1_5412845612146241046457891017456[[#This Row],[Type]]&gt;0,VLOOKUP(_1_5412845612146241046457891017456[[#This Row],[Type]],Main[[#All],[TYPE]:[UNIT]],'Unit Price'!H$1,FALSE),0)</f>
        <v>0</v>
      </c>
      <c r="K825" s="194">
        <f>IF(_1_5412845612146241046457891017456[[#This Row],[Discount selection]]&gt;0,VLOOKUP(_1_5412845612146241046457891017456[[#This Row],[Discount selection]],'Discount Structure'!$A$2:$B$30,2,"false"),0)</f>
        <v>1</v>
      </c>
      <c r="L825" s="194">
        <f>_1_5412845612146241046457891017456[[#This Row],[LIST $]]*_1_5412845612146241046457891017456[[#This Row],[DISCOUNT]]*_1_5412845612146241046457891017456[[#This Row],[DISCOUNT 2]]</f>
        <v>0</v>
      </c>
      <c r="M825" s="194">
        <f>IF(OR(_1_5412845612146241046457891017456[[#This Row],[UNIT]]&gt;0,_1_5412845612146241046457891017456[[#This Row],[UNIT]]&lt;0),_1_5412845612146241046457891017456[[#This Row],[UNIT]]*_1_5412845612146241046457891017456[[#This Row],[COST]],0)</f>
        <v>0</v>
      </c>
      <c r="N825" s="194">
        <f t="shared" si="12"/>
        <v>1.3</v>
      </c>
      <c r="O825" s="198">
        <f>_1_5412845612146241046457891017456[[#This Row],[TOTAL]]*_1_5412845612146241046457891017456[[#This Row],[MARGIN]]</f>
        <v>0</v>
      </c>
      <c r="R825" s="41"/>
    </row>
    <row r="826" spans="4:18">
      <c r="D826" s="188"/>
      <c r="F826" s="168" t="s">
        <v>6202</v>
      </c>
      <c r="G826" s="193">
        <f>IF(_1_5412845612146241046457891017456[[#This Row],[Type]]&gt;0,VLOOKUP(_1_5412845612146241046457891017456[[#This Row],[Type]],Main[[#All],[TYPE]:[UNIT]],'Unit Price'!C$1,FALSE),0)</f>
        <v>0</v>
      </c>
      <c r="H826" s="197">
        <f>IF(_1_5412845612146241046457891017456[[#This Row],[Type]]&gt;0,VLOOKUP(_1_5412845612146241046457891017456[[#This Row],[Type]],Main[[#All],[TYPE]:[UNIT]],'Unit Price'!D$1,FALSE),0)</f>
        <v>0</v>
      </c>
      <c r="I826" s="194">
        <f>IF(_1_5412845612146241046457891017456[[#This Row],[Type]]&gt;0,VLOOKUP(_1_5412845612146241046457891017456[[#This Row],[Type]],Main[[#All],[TYPE]:[UNIT]],'Unit Price'!G$1,FALSE),0)</f>
        <v>0</v>
      </c>
      <c r="J826" s="194">
        <f>IF(_1_5412845612146241046457891017456[[#This Row],[Type]]&gt;0,VLOOKUP(_1_5412845612146241046457891017456[[#This Row],[Type]],Main[[#All],[TYPE]:[UNIT]],'Unit Price'!H$1,FALSE),0)</f>
        <v>0</v>
      </c>
      <c r="K826" s="194">
        <f>IF(_1_5412845612146241046457891017456[[#This Row],[Discount selection]]&gt;0,VLOOKUP(_1_5412845612146241046457891017456[[#This Row],[Discount selection]],'Discount Structure'!$A$2:$B$30,2,"false"),0)</f>
        <v>1</v>
      </c>
      <c r="L826" s="194">
        <f>_1_5412845612146241046457891017456[[#This Row],[LIST $]]*_1_5412845612146241046457891017456[[#This Row],[DISCOUNT]]*_1_5412845612146241046457891017456[[#This Row],[DISCOUNT 2]]</f>
        <v>0</v>
      </c>
      <c r="M826" s="194">
        <f>IF(OR(_1_5412845612146241046457891017456[[#This Row],[UNIT]]&gt;0,_1_5412845612146241046457891017456[[#This Row],[UNIT]]&lt;0),_1_5412845612146241046457891017456[[#This Row],[UNIT]]*_1_5412845612146241046457891017456[[#This Row],[COST]],0)</f>
        <v>0</v>
      </c>
      <c r="N826" s="194">
        <f t="shared" si="12"/>
        <v>1.3</v>
      </c>
      <c r="O826" s="198">
        <f>_1_5412845612146241046457891017456[[#This Row],[TOTAL]]*_1_5412845612146241046457891017456[[#This Row],[MARGIN]]</f>
        <v>0</v>
      </c>
      <c r="R826" s="41"/>
    </row>
    <row r="827" spans="4:18">
      <c r="D827" s="188"/>
      <c r="F827" s="168" t="s">
        <v>6202</v>
      </c>
      <c r="G827" s="193">
        <f>IF(_1_5412845612146241046457891017456[[#This Row],[Type]]&gt;0,VLOOKUP(_1_5412845612146241046457891017456[[#This Row],[Type]],Main[[#All],[TYPE]:[UNIT]],'Unit Price'!C$1,FALSE),0)</f>
        <v>0</v>
      </c>
      <c r="H827" s="197">
        <f>IF(_1_5412845612146241046457891017456[[#This Row],[Type]]&gt;0,VLOOKUP(_1_5412845612146241046457891017456[[#This Row],[Type]],Main[[#All],[TYPE]:[UNIT]],'Unit Price'!D$1,FALSE),0)</f>
        <v>0</v>
      </c>
      <c r="I827" s="194">
        <f>IF(_1_5412845612146241046457891017456[[#This Row],[Type]]&gt;0,VLOOKUP(_1_5412845612146241046457891017456[[#This Row],[Type]],Main[[#All],[TYPE]:[UNIT]],'Unit Price'!G$1,FALSE),0)</f>
        <v>0</v>
      </c>
      <c r="J827" s="194">
        <f>IF(_1_5412845612146241046457891017456[[#This Row],[Type]]&gt;0,VLOOKUP(_1_5412845612146241046457891017456[[#This Row],[Type]],Main[[#All],[TYPE]:[UNIT]],'Unit Price'!H$1,FALSE),0)</f>
        <v>0</v>
      </c>
      <c r="K827" s="194">
        <f>IF(_1_5412845612146241046457891017456[[#This Row],[Discount selection]]&gt;0,VLOOKUP(_1_5412845612146241046457891017456[[#This Row],[Discount selection]],'Discount Structure'!$A$2:$B$30,2,"false"),0)</f>
        <v>1</v>
      </c>
      <c r="L827" s="194">
        <f>_1_5412845612146241046457891017456[[#This Row],[LIST $]]*_1_5412845612146241046457891017456[[#This Row],[DISCOUNT]]*_1_5412845612146241046457891017456[[#This Row],[DISCOUNT 2]]</f>
        <v>0</v>
      </c>
      <c r="M827" s="194">
        <f>IF(OR(_1_5412845612146241046457891017456[[#This Row],[UNIT]]&gt;0,_1_5412845612146241046457891017456[[#This Row],[UNIT]]&lt;0),_1_5412845612146241046457891017456[[#This Row],[UNIT]]*_1_5412845612146241046457891017456[[#This Row],[COST]],0)</f>
        <v>0</v>
      </c>
      <c r="N827" s="194">
        <f t="shared" si="12"/>
        <v>1.3</v>
      </c>
      <c r="O827" s="198">
        <f>_1_5412845612146241046457891017456[[#This Row],[TOTAL]]*_1_5412845612146241046457891017456[[#This Row],[MARGIN]]</f>
        <v>0</v>
      </c>
      <c r="R827" s="41"/>
    </row>
    <row r="828" spans="4:18">
      <c r="D828" s="188"/>
      <c r="F828" s="168" t="s">
        <v>6202</v>
      </c>
      <c r="G828" s="193">
        <f>IF(_1_5412845612146241046457891017456[[#This Row],[Type]]&gt;0,VLOOKUP(_1_5412845612146241046457891017456[[#This Row],[Type]],Main[[#All],[TYPE]:[UNIT]],'Unit Price'!C$1,FALSE),0)</f>
        <v>0</v>
      </c>
      <c r="H828" s="197">
        <f>IF(_1_5412845612146241046457891017456[[#This Row],[Type]]&gt;0,VLOOKUP(_1_5412845612146241046457891017456[[#This Row],[Type]],Main[[#All],[TYPE]:[UNIT]],'Unit Price'!D$1,FALSE),0)</f>
        <v>0</v>
      </c>
      <c r="I828" s="194">
        <f>IF(_1_5412845612146241046457891017456[[#This Row],[Type]]&gt;0,VLOOKUP(_1_5412845612146241046457891017456[[#This Row],[Type]],Main[[#All],[TYPE]:[UNIT]],'Unit Price'!G$1,FALSE),0)</f>
        <v>0</v>
      </c>
      <c r="J828" s="194">
        <f>IF(_1_5412845612146241046457891017456[[#This Row],[Type]]&gt;0,VLOOKUP(_1_5412845612146241046457891017456[[#This Row],[Type]],Main[[#All],[TYPE]:[UNIT]],'Unit Price'!H$1,FALSE),0)</f>
        <v>0</v>
      </c>
      <c r="K828" s="194">
        <f>IF(_1_5412845612146241046457891017456[[#This Row],[Discount selection]]&gt;0,VLOOKUP(_1_5412845612146241046457891017456[[#This Row],[Discount selection]],'Discount Structure'!$A$2:$B$30,2,"false"),0)</f>
        <v>1</v>
      </c>
      <c r="L828" s="194">
        <f>_1_5412845612146241046457891017456[[#This Row],[LIST $]]*_1_5412845612146241046457891017456[[#This Row],[DISCOUNT]]*_1_5412845612146241046457891017456[[#This Row],[DISCOUNT 2]]</f>
        <v>0</v>
      </c>
      <c r="M828" s="194">
        <f>IF(OR(_1_5412845612146241046457891017456[[#This Row],[UNIT]]&gt;0,_1_5412845612146241046457891017456[[#This Row],[UNIT]]&lt;0),_1_5412845612146241046457891017456[[#This Row],[UNIT]]*_1_5412845612146241046457891017456[[#This Row],[COST]],0)</f>
        <v>0</v>
      </c>
      <c r="N828" s="194">
        <f t="shared" si="12"/>
        <v>1.3</v>
      </c>
      <c r="O828" s="198">
        <f>_1_5412845612146241046457891017456[[#This Row],[TOTAL]]*_1_5412845612146241046457891017456[[#This Row],[MARGIN]]</f>
        <v>0</v>
      </c>
      <c r="R828" s="41"/>
    </row>
    <row r="829" spans="4:18">
      <c r="D829" s="188"/>
      <c r="F829" s="168" t="s">
        <v>6202</v>
      </c>
      <c r="G829" s="193">
        <f>IF(_1_5412845612146241046457891017456[[#This Row],[Type]]&gt;0,VLOOKUP(_1_5412845612146241046457891017456[[#This Row],[Type]],Main[[#All],[TYPE]:[UNIT]],'Unit Price'!C$1,FALSE),0)</f>
        <v>0</v>
      </c>
      <c r="H829" s="197">
        <f>IF(_1_5412845612146241046457891017456[[#This Row],[Type]]&gt;0,VLOOKUP(_1_5412845612146241046457891017456[[#This Row],[Type]],Main[[#All],[TYPE]:[UNIT]],'Unit Price'!D$1,FALSE),0)</f>
        <v>0</v>
      </c>
      <c r="I829" s="194">
        <f>IF(_1_5412845612146241046457891017456[[#This Row],[Type]]&gt;0,VLOOKUP(_1_5412845612146241046457891017456[[#This Row],[Type]],Main[[#All],[TYPE]:[UNIT]],'Unit Price'!G$1,FALSE),0)</f>
        <v>0</v>
      </c>
      <c r="J829" s="194">
        <f>IF(_1_5412845612146241046457891017456[[#This Row],[Type]]&gt;0,VLOOKUP(_1_5412845612146241046457891017456[[#This Row],[Type]],Main[[#All],[TYPE]:[UNIT]],'Unit Price'!H$1,FALSE),0)</f>
        <v>0</v>
      </c>
      <c r="K829" s="194">
        <f>IF(_1_5412845612146241046457891017456[[#This Row],[Discount selection]]&gt;0,VLOOKUP(_1_5412845612146241046457891017456[[#This Row],[Discount selection]],'Discount Structure'!$A$2:$B$30,2,"false"),0)</f>
        <v>1</v>
      </c>
      <c r="L829" s="194">
        <f>_1_5412845612146241046457891017456[[#This Row],[LIST $]]*_1_5412845612146241046457891017456[[#This Row],[DISCOUNT]]*_1_5412845612146241046457891017456[[#This Row],[DISCOUNT 2]]</f>
        <v>0</v>
      </c>
      <c r="M829" s="194">
        <f>IF(OR(_1_5412845612146241046457891017456[[#This Row],[UNIT]]&gt;0,_1_5412845612146241046457891017456[[#This Row],[UNIT]]&lt;0),_1_5412845612146241046457891017456[[#This Row],[UNIT]]*_1_5412845612146241046457891017456[[#This Row],[COST]],0)</f>
        <v>0</v>
      </c>
      <c r="N829" s="194">
        <f t="shared" si="12"/>
        <v>1.3</v>
      </c>
      <c r="O829" s="198">
        <f>_1_5412845612146241046457891017456[[#This Row],[TOTAL]]*_1_5412845612146241046457891017456[[#This Row],[MARGIN]]</f>
        <v>0</v>
      </c>
      <c r="R829" s="41"/>
    </row>
    <row r="830" spans="4:18">
      <c r="D830" s="188"/>
      <c r="F830" s="168" t="s">
        <v>6202</v>
      </c>
      <c r="G830" s="193">
        <f>IF(_1_5412845612146241046457891017456[[#This Row],[Type]]&gt;0,VLOOKUP(_1_5412845612146241046457891017456[[#This Row],[Type]],Main[[#All],[TYPE]:[UNIT]],'Unit Price'!C$1,FALSE),0)</f>
        <v>0</v>
      </c>
      <c r="H830" s="197">
        <f>IF(_1_5412845612146241046457891017456[[#This Row],[Type]]&gt;0,VLOOKUP(_1_5412845612146241046457891017456[[#This Row],[Type]],Main[[#All],[TYPE]:[UNIT]],'Unit Price'!D$1,FALSE),0)</f>
        <v>0</v>
      </c>
      <c r="I830" s="194">
        <f>IF(_1_5412845612146241046457891017456[[#This Row],[Type]]&gt;0,VLOOKUP(_1_5412845612146241046457891017456[[#This Row],[Type]],Main[[#All],[TYPE]:[UNIT]],'Unit Price'!G$1,FALSE),0)</f>
        <v>0</v>
      </c>
      <c r="J830" s="194">
        <f>IF(_1_5412845612146241046457891017456[[#This Row],[Type]]&gt;0,VLOOKUP(_1_5412845612146241046457891017456[[#This Row],[Type]],Main[[#All],[TYPE]:[UNIT]],'Unit Price'!H$1,FALSE),0)</f>
        <v>0</v>
      </c>
      <c r="K830" s="194">
        <f>IF(_1_5412845612146241046457891017456[[#This Row],[Discount selection]]&gt;0,VLOOKUP(_1_5412845612146241046457891017456[[#This Row],[Discount selection]],'Discount Structure'!$A$2:$B$30,2,"false"),0)</f>
        <v>1</v>
      </c>
      <c r="L830" s="194">
        <f>_1_5412845612146241046457891017456[[#This Row],[LIST $]]*_1_5412845612146241046457891017456[[#This Row],[DISCOUNT]]*_1_5412845612146241046457891017456[[#This Row],[DISCOUNT 2]]</f>
        <v>0</v>
      </c>
      <c r="M830" s="194">
        <f>IF(OR(_1_5412845612146241046457891017456[[#This Row],[UNIT]]&gt;0,_1_5412845612146241046457891017456[[#This Row],[UNIT]]&lt;0),_1_5412845612146241046457891017456[[#This Row],[UNIT]]*_1_5412845612146241046457891017456[[#This Row],[COST]],0)</f>
        <v>0</v>
      </c>
      <c r="N830" s="194">
        <f t="shared" si="12"/>
        <v>1.3</v>
      </c>
      <c r="O830" s="198">
        <f>_1_5412845612146241046457891017456[[#This Row],[TOTAL]]*_1_5412845612146241046457891017456[[#This Row],[MARGIN]]</f>
        <v>0</v>
      </c>
      <c r="R830" s="41"/>
    </row>
    <row r="831" spans="4:18">
      <c r="D831" s="188"/>
      <c r="F831" s="168" t="s">
        <v>6202</v>
      </c>
      <c r="G831" s="193">
        <f>IF(_1_5412845612146241046457891017456[[#This Row],[Type]]&gt;0,VLOOKUP(_1_5412845612146241046457891017456[[#This Row],[Type]],Main[[#All],[TYPE]:[UNIT]],'Unit Price'!C$1,FALSE),0)</f>
        <v>0</v>
      </c>
      <c r="H831" s="197">
        <f>IF(_1_5412845612146241046457891017456[[#This Row],[Type]]&gt;0,VLOOKUP(_1_5412845612146241046457891017456[[#This Row],[Type]],Main[[#All],[TYPE]:[UNIT]],'Unit Price'!D$1,FALSE),0)</f>
        <v>0</v>
      </c>
      <c r="I831" s="194">
        <f>IF(_1_5412845612146241046457891017456[[#This Row],[Type]]&gt;0,VLOOKUP(_1_5412845612146241046457891017456[[#This Row],[Type]],Main[[#All],[TYPE]:[UNIT]],'Unit Price'!G$1,FALSE),0)</f>
        <v>0</v>
      </c>
      <c r="J831" s="194">
        <f>IF(_1_5412845612146241046457891017456[[#This Row],[Type]]&gt;0,VLOOKUP(_1_5412845612146241046457891017456[[#This Row],[Type]],Main[[#All],[TYPE]:[UNIT]],'Unit Price'!H$1,FALSE),0)</f>
        <v>0</v>
      </c>
      <c r="K831" s="194">
        <f>IF(_1_5412845612146241046457891017456[[#This Row],[Discount selection]]&gt;0,VLOOKUP(_1_5412845612146241046457891017456[[#This Row],[Discount selection]],'Discount Structure'!$A$2:$B$30,2,"false"),0)</f>
        <v>1</v>
      </c>
      <c r="L831" s="194">
        <f>_1_5412845612146241046457891017456[[#This Row],[LIST $]]*_1_5412845612146241046457891017456[[#This Row],[DISCOUNT]]*_1_5412845612146241046457891017456[[#This Row],[DISCOUNT 2]]</f>
        <v>0</v>
      </c>
      <c r="M831" s="194">
        <f>IF(OR(_1_5412845612146241046457891017456[[#This Row],[UNIT]]&gt;0,_1_5412845612146241046457891017456[[#This Row],[UNIT]]&lt;0),_1_5412845612146241046457891017456[[#This Row],[UNIT]]*_1_5412845612146241046457891017456[[#This Row],[COST]],0)</f>
        <v>0</v>
      </c>
      <c r="N831" s="194">
        <f t="shared" si="12"/>
        <v>1.3</v>
      </c>
      <c r="O831" s="198">
        <f>_1_5412845612146241046457891017456[[#This Row],[TOTAL]]*_1_5412845612146241046457891017456[[#This Row],[MARGIN]]</f>
        <v>0</v>
      </c>
      <c r="R831" s="41"/>
    </row>
    <row r="832" spans="4:18">
      <c r="D832" s="188"/>
      <c r="F832" s="168" t="s">
        <v>6202</v>
      </c>
      <c r="G832" s="193">
        <f>IF(_1_5412845612146241046457891017456[[#This Row],[Type]]&gt;0,VLOOKUP(_1_5412845612146241046457891017456[[#This Row],[Type]],Main[[#All],[TYPE]:[UNIT]],'Unit Price'!C$1,FALSE),0)</f>
        <v>0</v>
      </c>
      <c r="H832" s="197">
        <f>IF(_1_5412845612146241046457891017456[[#This Row],[Type]]&gt;0,VLOOKUP(_1_5412845612146241046457891017456[[#This Row],[Type]],Main[[#All],[TYPE]:[UNIT]],'Unit Price'!D$1,FALSE),0)</f>
        <v>0</v>
      </c>
      <c r="I832" s="194">
        <f>IF(_1_5412845612146241046457891017456[[#This Row],[Type]]&gt;0,VLOOKUP(_1_5412845612146241046457891017456[[#This Row],[Type]],Main[[#All],[TYPE]:[UNIT]],'Unit Price'!G$1,FALSE),0)</f>
        <v>0</v>
      </c>
      <c r="J832" s="194">
        <f>IF(_1_5412845612146241046457891017456[[#This Row],[Type]]&gt;0,VLOOKUP(_1_5412845612146241046457891017456[[#This Row],[Type]],Main[[#All],[TYPE]:[UNIT]],'Unit Price'!H$1,FALSE),0)</f>
        <v>0</v>
      </c>
      <c r="K832" s="194">
        <f>IF(_1_5412845612146241046457891017456[[#This Row],[Discount selection]]&gt;0,VLOOKUP(_1_5412845612146241046457891017456[[#This Row],[Discount selection]],'Discount Structure'!$A$2:$B$30,2,"false"),0)</f>
        <v>1</v>
      </c>
      <c r="L832" s="194">
        <f>_1_5412845612146241046457891017456[[#This Row],[LIST $]]*_1_5412845612146241046457891017456[[#This Row],[DISCOUNT]]*_1_5412845612146241046457891017456[[#This Row],[DISCOUNT 2]]</f>
        <v>0</v>
      </c>
      <c r="M832" s="194">
        <f>IF(OR(_1_5412845612146241046457891017456[[#This Row],[UNIT]]&gt;0,_1_5412845612146241046457891017456[[#This Row],[UNIT]]&lt;0),_1_5412845612146241046457891017456[[#This Row],[UNIT]]*_1_5412845612146241046457891017456[[#This Row],[COST]],0)</f>
        <v>0</v>
      </c>
      <c r="N832" s="194">
        <f t="shared" si="12"/>
        <v>1.3</v>
      </c>
      <c r="O832" s="198">
        <f>_1_5412845612146241046457891017456[[#This Row],[TOTAL]]*_1_5412845612146241046457891017456[[#This Row],[MARGIN]]</f>
        <v>0</v>
      </c>
      <c r="R832" s="41"/>
    </row>
    <row r="833" spans="4:18">
      <c r="D833" s="188"/>
      <c r="F833" s="168" t="s">
        <v>6202</v>
      </c>
      <c r="G833" s="193">
        <f>IF(_1_5412845612146241046457891017456[[#This Row],[Type]]&gt;0,VLOOKUP(_1_5412845612146241046457891017456[[#This Row],[Type]],Main[[#All],[TYPE]:[UNIT]],'Unit Price'!C$1,FALSE),0)</f>
        <v>0</v>
      </c>
      <c r="H833" s="197">
        <f>IF(_1_5412845612146241046457891017456[[#This Row],[Type]]&gt;0,VLOOKUP(_1_5412845612146241046457891017456[[#This Row],[Type]],Main[[#All],[TYPE]:[UNIT]],'Unit Price'!D$1,FALSE),0)</f>
        <v>0</v>
      </c>
      <c r="I833" s="194">
        <f>IF(_1_5412845612146241046457891017456[[#This Row],[Type]]&gt;0,VLOOKUP(_1_5412845612146241046457891017456[[#This Row],[Type]],Main[[#All],[TYPE]:[UNIT]],'Unit Price'!G$1,FALSE),0)</f>
        <v>0</v>
      </c>
      <c r="J833" s="194">
        <f>IF(_1_5412845612146241046457891017456[[#This Row],[Type]]&gt;0,VLOOKUP(_1_5412845612146241046457891017456[[#This Row],[Type]],Main[[#All],[TYPE]:[UNIT]],'Unit Price'!H$1,FALSE),0)</f>
        <v>0</v>
      </c>
      <c r="K833" s="194">
        <f>IF(_1_5412845612146241046457891017456[[#This Row],[Discount selection]]&gt;0,VLOOKUP(_1_5412845612146241046457891017456[[#This Row],[Discount selection]],'Discount Structure'!$A$2:$B$30,2,"false"),0)</f>
        <v>1</v>
      </c>
      <c r="L833" s="194">
        <f>_1_5412845612146241046457891017456[[#This Row],[LIST $]]*_1_5412845612146241046457891017456[[#This Row],[DISCOUNT]]*_1_5412845612146241046457891017456[[#This Row],[DISCOUNT 2]]</f>
        <v>0</v>
      </c>
      <c r="M833" s="194">
        <f>IF(OR(_1_5412845612146241046457891017456[[#This Row],[UNIT]]&gt;0,_1_5412845612146241046457891017456[[#This Row],[UNIT]]&lt;0),_1_5412845612146241046457891017456[[#This Row],[UNIT]]*_1_5412845612146241046457891017456[[#This Row],[COST]],0)</f>
        <v>0</v>
      </c>
      <c r="N833" s="194">
        <f t="shared" si="12"/>
        <v>1.3</v>
      </c>
      <c r="O833" s="198">
        <f>_1_5412845612146241046457891017456[[#This Row],[TOTAL]]*_1_5412845612146241046457891017456[[#This Row],[MARGIN]]</f>
        <v>0</v>
      </c>
      <c r="R833" s="41"/>
    </row>
    <row r="834" spans="4:18">
      <c r="D834" s="188"/>
      <c r="F834" s="168" t="s">
        <v>6202</v>
      </c>
      <c r="G834" s="193">
        <f>IF(_1_5412845612146241046457891017456[[#This Row],[Type]]&gt;0,VLOOKUP(_1_5412845612146241046457891017456[[#This Row],[Type]],Main[[#All],[TYPE]:[UNIT]],'Unit Price'!C$1,FALSE),0)</f>
        <v>0</v>
      </c>
      <c r="H834" s="197">
        <f>IF(_1_5412845612146241046457891017456[[#This Row],[Type]]&gt;0,VLOOKUP(_1_5412845612146241046457891017456[[#This Row],[Type]],Main[[#All],[TYPE]:[UNIT]],'Unit Price'!D$1,FALSE),0)</f>
        <v>0</v>
      </c>
      <c r="I834" s="194">
        <f>IF(_1_5412845612146241046457891017456[[#This Row],[Type]]&gt;0,VLOOKUP(_1_5412845612146241046457891017456[[#This Row],[Type]],Main[[#All],[TYPE]:[UNIT]],'Unit Price'!G$1,FALSE),0)</f>
        <v>0</v>
      </c>
      <c r="J834" s="194">
        <f>IF(_1_5412845612146241046457891017456[[#This Row],[Type]]&gt;0,VLOOKUP(_1_5412845612146241046457891017456[[#This Row],[Type]],Main[[#All],[TYPE]:[UNIT]],'Unit Price'!H$1,FALSE),0)</f>
        <v>0</v>
      </c>
      <c r="K834" s="194">
        <f>IF(_1_5412845612146241046457891017456[[#This Row],[Discount selection]]&gt;0,VLOOKUP(_1_5412845612146241046457891017456[[#This Row],[Discount selection]],'Discount Structure'!$A$2:$B$30,2,"false"),0)</f>
        <v>1</v>
      </c>
      <c r="L834" s="194">
        <f>_1_5412845612146241046457891017456[[#This Row],[LIST $]]*_1_5412845612146241046457891017456[[#This Row],[DISCOUNT]]*_1_5412845612146241046457891017456[[#This Row],[DISCOUNT 2]]</f>
        <v>0</v>
      </c>
      <c r="M834" s="194">
        <f>IF(OR(_1_5412845612146241046457891017456[[#This Row],[UNIT]]&gt;0,_1_5412845612146241046457891017456[[#This Row],[UNIT]]&lt;0),_1_5412845612146241046457891017456[[#This Row],[UNIT]]*_1_5412845612146241046457891017456[[#This Row],[COST]],0)</f>
        <v>0</v>
      </c>
      <c r="N834" s="194">
        <f t="shared" si="12"/>
        <v>1.3</v>
      </c>
      <c r="O834" s="198">
        <f>_1_5412845612146241046457891017456[[#This Row],[TOTAL]]*_1_5412845612146241046457891017456[[#This Row],[MARGIN]]</f>
        <v>0</v>
      </c>
      <c r="R834" s="41"/>
    </row>
    <row r="835" spans="4:18">
      <c r="D835" s="188"/>
      <c r="F835" s="168" t="s">
        <v>6202</v>
      </c>
      <c r="G835" s="193">
        <f>IF(_1_5412845612146241046457891017456[[#This Row],[Type]]&gt;0,VLOOKUP(_1_5412845612146241046457891017456[[#This Row],[Type]],Main[[#All],[TYPE]:[UNIT]],'Unit Price'!C$1,FALSE),0)</f>
        <v>0</v>
      </c>
      <c r="H835" s="197">
        <f>IF(_1_5412845612146241046457891017456[[#This Row],[Type]]&gt;0,VLOOKUP(_1_5412845612146241046457891017456[[#This Row],[Type]],Main[[#All],[TYPE]:[UNIT]],'Unit Price'!D$1,FALSE),0)</f>
        <v>0</v>
      </c>
      <c r="I835" s="194">
        <f>IF(_1_5412845612146241046457891017456[[#This Row],[Type]]&gt;0,VLOOKUP(_1_5412845612146241046457891017456[[#This Row],[Type]],Main[[#All],[TYPE]:[UNIT]],'Unit Price'!G$1,FALSE),0)</f>
        <v>0</v>
      </c>
      <c r="J835" s="194">
        <f>IF(_1_5412845612146241046457891017456[[#This Row],[Type]]&gt;0,VLOOKUP(_1_5412845612146241046457891017456[[#This Row],[Type]],Main[[#All],[TYPE]:[UNIT]],'Unit Price'!H$1,FALSE),0)</f>
        <v>0</v>
      </c>
      <c r="K835" s="194">
        <f>IF(_1_5412845612146241046457891017456[[#This Row],[Discount selection]]&gt;0,VLOOKUP(_1_5412845612146241046457891017456[[#This Row],[Discount selection]],'Discount Structure'!$A$2:$B$30,2,"false"),0)</f>
        <v>1</v>
      </c>
      <c r="L835" s="194">
        <f>_1_5412845612146241046457891017456[[#This Row],[LIST $]]*_1_5412845612146241046457891017456[[#This Row],[DISCOUNT]]*_1_5412845612146241046457891017456[[#This Row],[DISCOUNT 2]]</f>
        <v>0</v>
      </c>
      <c r="M835" s="194">
        <f>IF(OR(_1_5412845612146241046457891017456[[#This Row],[UNIT]]&gt;0,_1_5412845612146241046457891017456[[#This Row],[UNIT]]&lt;0),_1_5412845612146241046457891017456[[#This Row],[UNIT]]*_1_5412845612146241046457891017456[[#This Row],[COST]],0)</f>
        <v>0</v>
      </c>
      <c r="N835" s="194">
        <f t="shared" si="12"/>
        <v>1.3</v>
      </c>
      <c r="O835" s="198">
        <f>_1_5412845612146241046457891017456[[#This Row],[TOTAL]]*_1_5412845612146241046457891017456[[#This Row],[MARGIN]]</f>
        <v>0</v>
      </c>
      <c r="R835" s="41"/>
    </row>
    <row r="836" spans="4:18">
      <c r="D836" s="188"/>
      <c r="F836" s="168" t="s">
        <v>6202</v>
      </c>
      <c r="G836" s="193">
        <f>IF(_1_5412845612146241046457891017456[[#This Row],[Type]]&gt;0,VLOOKUP(_1_5412845612146241046457891017456[[#This Row],[Type]],Main[[#All],[TYPE]:[UNIT]],'Unit Price'!C$1,FALSE),0)</f>
        <v>0</v>
      </c>
      <c r="H836" s="197">
        <f>IF(_1_5412845612146241046457891017456[[#This Row],[Type]]&gt;0,VLOOKUP(_1_5412845612146241046457891017456[[#This Row],[Type]],Main[[#All],[TYPE]:[UNIT]],'Unit Price'!D$1,FALSE),0)</f>
        <v>0</v>
      </c>
      <c r="I836" s="194">
        <f>IF(_1_5412845612146241046457891017456[[#This Row],[Type]]&gt;0,VLOOKUP(_1_5412845612146241046457891017456[[#This Row],[Type]],Main[[#All],[TYPE]:[UNIT]],'Unit Price'!G$1,FALSE),0)</f>
        <v>0</v>
      </c>
      <c r="J836" s="194">
        <f>IF(_1_5412845612146241046457891017456[[#This Row],[Type]]&gt;0,VLOOKUP(_1_5412845612146241046457891017456[[#This Row],[Type]],Main[[#All],[TYPE]:[UNIT]],'Unit Price'!H$1,FALSE),0)</f>
        <v>0</v>
      </c>
      <c r="K836" s="194">
        <f>IF(_1_5412845612146241046457891017456[[#This Row],[Discount selection]]&gt;0,VLOOKUP(_1_5412845612146241046457891017456[[#This Row],[Discount selection]],'Discount Structure'!$A$2:$B$30,2,"false"),0)</f>
        <v>1</v>
      </c>
      <c r="L836" s="194">
        <f>_1_5412845612146241046457891017456[[#This Row],[LIST $]]*_1_5412845612146241046457891017456[[#This Row],[DISCOUNT]]*_1_5412845612146241046457891017456[[#This Row],[DISCOUNT 2]]</f>
        <v>0</v>
      </c>
      <c r="M836" s="194">
        <f>IF(OR(_1_5412845612146241046457891017456[[#This Row],[UNIT]]&gt;0,_1_5412845612146241046457891017456[[#This Row],[UNIT]]&lt;0),_1_5412845612146241046457891017456[[#This Row],[UNIT]]*_1_5412845612146241046457891017456[[#This Row],[COST]],0)</f>
        <v>0</v>
      </c>
      <c r="N836" s="194">
        <f t="shared" si="12"/>
        <v>1.3</v>
      </c>
      <c r="O836" s="198">
        <f>_1_5412845612146241046457891017456[[#This Row],[TOTAL]]*_1_5412845612146241046457891017456[[#This Row],[MARGIN]]</f>
        <v>0</v>
      </c>
      <c r="R836" s="41"/>
    </row>
    <row r="837" spans="4:18">
      <c r="D837" s="188"/>
      <c r="F837" s="168" t="s">
        <v>6202</v>
      </c>
      <c r="G837" s="193">
        <f>IF(_1_5412845612146241046457891017456[[#This Row],[Type]]&gt;0,VLOOKUP(_1_5412845612146241046457891017456[[#This Row],[Type]],Main[[#All],[TYPE]:[UNIT]],'Unit Price'!C$1,FALSE),0)</f>
        <v>0</v>
      </c>
      <c r="H837" s="197">
        <f>IF(_1_5412845612146241046457891017456[[#This Row],[Type]]&gt;0,VLOOKUP(_1_5412845612146241046457891017456[[#This Row],[Type]],Main[[#All],[TYPE]:[UNIT]],'Unit Price'!D$1,FALSE),0)</f>
        <v>0</v>
      </c>
      <c r="I837" s="194">
        <f>IF(_1_5412845612146241046457891017456[[#This Row],[Type]]&gt;0,VLOOKUP(_1_5412845612146241046457891017456[[#This Row],[Type]],Main[[#All],[TYPE]:[UNIT]],'Unit Price'!G$1,FALSE),0)</f>
        <v>0</v>
      </c>
      <c r="J837" s="194">
        <f>IF(_1_5412845612146241046457891017456[[#This Row],[Type]]&gt;0,VLOOKUP(_1_5412845612146241046457891017456[[#This Row],[Type]],Main[[#All],[TYPE]:[UNIT]],'Unit Price'!H$1,FALSE),0)</f>
        <v>0</v>
      </c>
      <c r="K837" s="194">
        <f>IF(_1_5412845612146241046457891017456[[#This Row],[Discount selection]]&gt;0,VLOOKUP(_1_5412845612146241046457891017456[[#This Row],[Discount selection]],'Discount Structure'!$A$2:$B$30,2,"false"),0)</f>
        <v>1</v>
      </c>
      <c r="L837" s="194">
        <f>_1_5412845612146241046457891017456[[#This Row],[LIST $]]*_1_5412845612146241046457891017456[[#This Row],[DISCOUNT]]*_1_5412845612146241046457891017456[[#This Row],[DISCOUNT 2]]</f>
        <v>0</v>
      </c>
      <c r="M837" s="194">
        <f>IF(OR(_1_5412845612146241046457891017456[[#This Row],[UNIT]]&gt;0,_1_5412845612146241046457891017456[[#This Row],[UNIT]]&lt;0),_1_5412845612146241046457891017456[[#This Row],[UNIT]]*_1_5412845612146241046457891017456[[#This Row],[COST]],0)</f>
        <v>0</v>
      </c>
      <c r="N837" s="194">
        <f t="shared" si="12"/>
        <v>1.3</v>
      </c>
      <c r="O837" s="198">
        <f>_1_5412845612146241046457891017456[[#This Row],[TOTAL]]*_1_5412845612146241046457891017456[[#This Row],[MARGIN]]</f>
        <v>0</v>
      </c>
      <c r="R837" s="41"/>
    </row>
    <row r="838" spans="4:18">
      <c r="D838" s="188"/>
      <c r="F838" s="168" t="s">
        <v>6202</v>
      </c>
      <c r="G838" s="193">
        <f>IF(_1_5412845612146241046457891017456[[#This Row],[Type]]&gt;0,VLOOKUP(_1_5412845612146241046457891017456[[#This Row],[Type]],Main[[#All],[TYPE]:[UNIT]],'Unit Price'!C$1,FALSE),0)</f>
        <v>0</v>
      </c>
      <c r="H838" s="197">
        <f>IF(_1_5412845612146241046457891017456[[#This Row],[Type]]&gt;0,VLOOKUP(_1_5412845612146241046457891017456[[#This Row],[Type]],Main[[#All],[TYPE]:[UNIT]],'Unit Price'!D$1,FALSE),0)</f>
        <v>0</v>
      </c>
      <c r="I838" s="194">
        <f>IF(_1_5412845612146241046457891017456[[#This Row],[Type]]&gt;0,VLOOKUP(_1_5412845612146241046457891017456[[#This Row],[Type]],Main[[#All],[TYPE]:[UNIT]],'Unit Price'!G$1,FALSE),0)</f>
        <v>0</v>
      </c>
      <c r="J838" s="194">
        <f>IF(_1_5412845612146241046457891017456[[#This Row],[Type]]&gt;0,VLOOKUP(_1_5412845612146241046457891017456[[#This Row],[Type]],Main[[#All],[TYPE]:[UNIT]],'Unit Price'!H$1,FALSE),0)</f>
        <v>0</v>
      </c>
      <c r="K838" s="194">
        <f>IF(_1_5412845612146241046457891017456[[#This Row],[Discount selection]]&gt;0,VLOOKUP(_1_5412845612146241046457891017456[[#This Row],[Discount selection]],'Discount Structure'!$A$2:$B$30,2,"false"),0)</f>
        <v>1</v>
      </c>
      <c r="L838" s="194">
        <f>_1_5412845612146241046457891017456[[#This Row],[LIST $]]*_1_5412845612146241046457891017456[[#This Row],[DISCOUNT]]*_1_5412845612146241046457891017456[[#This Row],[DISCOUNT 2]]</f>
        <v>0</v>
      </c>
      <c r="M838" s="194">
        <f>IF(OR(_1_5412845612146241046457891017456[[#This Row],[UNIT]]&gt;0,_1_5412845612146241046457891017456[[#This Row],[UNIT]]&lt;0),_1_5412845612146241046457891017456[[#This Row],[UNIT]]*_1_5412845612146241046457891017456[[#This Row],[COST]],0)</f>
        <v>0</v>
      </c>
      <c r="N838" s="194">
        <f t="shared" si="12"/>
        <v>1.3</v>
      </c>
      <c r="O838" s="198">
        <f>_1_5412845612146241046457891017456[[#This Row],[TOTAL]]*_1_5412845612146241046457891017456[[#This Row],[MARGIN]]</f>
        <v>0</v>
      </c>
      <c r="R838" s="41"/>
    </row>
    <row r="839" spans="4:18">
      <c r="D839" s="188"/>
      <c r="F839" s="168" t="s">
        <v>6202</v>
      </c>
      <c r="G839" s="193">
        <f>IF(_1_5412845612146241046457891017456[[#This Row],[Type]]&gt;0,VLOOKUP(_1_5412845612146241046457891017456[[#This Row],[Type]],Main[[#All],[TYPE]:[UNIT]],'Unit Price'!C$1,FALSE),0)</f>
        <v>0</v>
      </c>
      <c r="H839" s="197">
        <f>IF(_1_5412845612146241046457891017456[[#This Row],[Type]]&gt;0,VLOOKUP(_1_5412845612146241046457891017456[[#This Row],[Type]],Main[[#All],[TYPE]:[UNIT]],'Unit Price'!D$1,FALSE),0)</f>
        <v>0</v>
      </c>
      <c r="I839" s="194">
        <f>IF(_1_5412845612146241046457891017456[[#This Row],[Type]]&gt;0,VLOOKUP(_1_5412845612146241046457891017456[[#This Row],[Type]],Main[[#All],[TYPE]:[UNIT]],'Unit Price'!G$1,FALSE),0)</f>
        <v>0</v>
      </c>
      <c r="J839" s="194">
        <f>IF(_1_5412845612146241046457891017456[[#This Row],[Type]]&gt;0,VLOOKUP(_1_5412845612146241046457891017456[[#This Row],[Type]],Main[[#All],[TYPE]:[UNIT]],'Unit Price'!H$1,FALSE),0)</f>
        <v>0</v>
      </c>
      <c r="K839" s="194">
        <f>IF(_1_5412845612146241046457891017456[[#This Row],[Discount selection]]&gt;0,VLOOKUP(_1_5412845612146241046457891017456[[#This Row],[Discount selection]],'Discount Structure'!$A$2:$B$30,2,"false"),0)</f>
        <v>1</v>
      </c>
      <c r="L839" s="194">
        <f>_1_5412845612146241046457891017456[[#This Row],[LIST $]]*_1_5412845612146241046457891017456[[#This Row],[DISCOUNT]]*_1_5412845612146241046457891017456[[#This Row],[DISCOUNT 2]]</f>
        <v>0</v>
      </c>
      <c r="M839" s="194">
        <f>IF(OR(_1_5412845612146241046457891017456[[#This Row],[UNIT]]&gt;0,_1_5412845612146241046457891017456[[#This Row],[UNIT]]&lt;0),_1_5412845612146241046457891017456[[#This Row],[UNIT]]*_1_5412845612146241046457891017456[[#This Row],[COST]],0)</f>
        <v>0</v>
      </c>
      <c r="N839" s="194">
        <f t="shared" si="12"/>
        <v>1.3</v>
      </c>
      <c r="O839" s="198">
        <f>_1_5412845612146241046457891017456[[#This Row],[TOTAL]]*_1_5412845612146241046457891017456[[#This Row],[MARGIN]]</f>
        <v>0</v>
      </c>
      <c r="R839" s="41"/>
    </row>
    <row r="840" spans="4:18">
      <c r="D840" s="188"/>
      <c r="F840" s="168" t="s">
        <v>6202</v>
      </c>
      <c r="G840" s="193">
        <f>IF(_1_5412845612146241046457891017456[[#This Row],[Type]]&gt;0,VLOOKUP(_1_5412845612146241046457891017456[[#This Row],[Type]],Main[[#All],[TYPE]:[UNIT]],'Unit Price'!C$1,FALSE),0)</f>
        <v>0</v>
      </c>
      <c r="H840" s="197">
        <f>IF(_1_5412845612146241046457891017456[[#This Row],[Type]]&gt;0,VLOOKUP(_1_5412845612146241046457891017456[[#This Row],[Type]],Main[[#All],[TYPE]:[UNIT]],'Unit Price'!D$1,FALSE),0)</f>
        <v>0</v>
      </c>
      <c r="I840" s="194">
        <f>IF(_1_5412845612146241046457891017456[[#This Row],[Type]]&gt;0,VLOOKUP(_1_5412845612146241046457891017456[[#This Row],[Type]],Main[[#All],[TYPE]:[UNIT]],'Unit Price'!G$1,FALSE),0)</f>
        <v>0</v>
      </c>
      <c r="J840" s="194">
        <f>IF(_1_5412845612146241046457891017456[[#This Row],[Type]]&gt;0,VLOOKUP(_1_5412845612146241046457891017456[[#This Row],[Type]],Main[[#All],[TYPE]:[UNIT]],'Unit Price'!H$1,FALSE),0)</f>
        <v>0</v>
      </c>
      <c r="K840" s="194">
        <f>IF(_1_5412845612146241046457891017456[[#This Row],[Discount selection]]&gt;0,VLOOKUP(_1_5412845612146241046457891017456[[#This Row],[Discount selection]],'Discount Structure'!$A$2:$B$30,2,"false"),0)</f>
        <v>1</v>
      </c>
      <c r="L840" s="194">
        <f>_1_5412845612146241046457891017456[[#This Row],[LIST $]]*_1_5412845612146241046457891017456[[#This Row],[DISCOUNT]]*_1_5412845612146241046457891017456[[#This Row],[DISCOUNT 2]]</f>
        <v>0</v>
      </c>
      <c r="M840" s="194">
        <f>IF(OR(_1_5412845612146241046457891017456[[#This Row],[UNIT]]&gt;0,_1_5412845612146241046457891017456[[#This Row],[UNIT]]&lt;0),_1_5412845612146241046457891017456[[#This Row],[UNIT]]*_1_5412845612146241046457891017456[[#This Row],[COST]],0)</f>
        <v>0</v>
      </c>
      <c r="N840" s="194">
        <f t="shared" si="12"/>
        <v>1.3</v>
      </c>
      <c r="O840" s="198">
        <f>_1_5412845612146241046457891017456[[#This Row],[TOTAL]]*_1_5412845612146241046457891017456[[#This Row],[MARGIN]]</f>
        <v>0</v>
      </c>
      <c r="R840" s="41"/>
    </row>
    <row r="841" spans="4:18">
      <c r="D841" s="188"/>
      <c r="F841" s="168" t="s">
        <v>6202</v>
      </c>
      <c r="G841" s="193">
        <f>IF(_1_5412845612146241046457891017456[[#This Row],[Type]]&gt;0,VLOOKUP(_1_5412845612146241046457891017456[[#This Row],[Type]],Main[[#All],[TYPE]:[UNIT]],'Unit Price'!C$1,FALSE),0)</f>
        <v>0</v>
      </c>
      <c r="H841" s="197">
        <f>IF(_1_5412845612146241046457891017456[[#This Row],[Type]]&gt;0,VLOOKUP(_1_5412845612146241046457891017456[[#This Row],[Type]],Main[[#All],[TYPE]:[UNIT]],'Unit Price'!D$1,FALSE),0)</f>
        <v>0</v>
      </c>
      <c r="I841" s="194">
        <f>IF(_1_5412845612146241046457891017456[[#This Row],[Type]]&gt;0,VLOOKUP(_1_5412845612146241046457891017456[[#This Row],[Type]],Main[[#All],[TYPE]:[UNIT]],'Unit Price'!G$1,FALSE),0)</f>
        <v>0</v>
      </c>
      <c r="J841" s="194">
        <f>IF(_1_5412845612146241046457891017456[[#This Row],[Type]]&gt;0,VLOOKUP(_1_5412845612146241046457891017456[[#This Row],[Type]],Main[[#All],[TYPE]:[UNIT]],'Unit Price'!H$1,FALSE),0)</f>
        <v>0</v>
      </c>
      <c r="K841" s="194">
        <f>IF(_1_5412845612146241046457891017456[[#This Row],[Discount selection]]&gt;0,VLOOKUP(_1_5412845612146241046457891017456[[#This Row],[Discount selection]],'Discount Structure'!$A$2:$B$30,2,"false"),0)</f>
        <v>1</v>
      </c>
      <c r="L841" s="194">
        <f>_1_5412845612146241046457891017456[[#This Row],[LIST $]]*_1_5412845612146241046457891017456[[#This Row],[DISCOUNT]]*_1_5412845612146241046457891017456[[#This Row],[DISCOUNT 2]]</f>
        <v>0</v>
      </c>
      <c r="M841" s="194">
        <f>IF(OR(_1_5412845612146241046457891017456[[#This Row],[UNIT]]&gt;0,_1_5412845612146241046457891017456[[#This Row],[UNIT]]&lt;0),_1_5412845612146241046457891017456[[#This Row],[UNIT]]*_1_5412845612146241046457891017456[[#This Row],[COST]],0)</f>
        <v>0</v>
      </c>
      <c r="N841" s="194">
        <f t="shared" si="12"/>
        <v>1.3</v>
      </c>
      <c r="O841" s="198">
        <f>_1_5412845612146241046457891017456[[#This Row],[TOTAL]]*_1_5412845612146241046457891017456[[#This Row],[MARGIN]]</f>
        <v>0</v>
      </c>
      <c r="R841" s="41"/>
    </row>
    <row r="842" spans="4:18">
      <c r="D842" s="188"/>
      <c r="F842" s="168" t="s">
        <v>6202</v>
      </c>
      <c r="G842" s="193">
        <f>IF(_1_5412845612146241046457891017456[[#This Row],[Type]]&gt;0,VLOOKUP(_1_5412845612146241046457891017456[[#This Row],[Type]],Main[[#All],[TYPE]:[UNIT]],'Unit Price'!C$1,FALSE),0)</f>
        <v>0</v>
      </c>
      <c r="H842" s="197">
        <f>IF(_1_5412845612146241046457891017456[[#This Row],[Type]]&gt;0,VLOOKUP(_1_5412845612146241046457891017456[[#This Row],[Type]],Main[[#All],[TYPE]:[UNIT]],'Unit Price'!D$1,FALSE),0)</f>
        <v>0</v>
      </c>
      <c r="I842" s="194">
        <f>IF(_1_5412845612146241046457891017456[[#This Row],[Type]]&gt;0,VLOOKUP(_1_5412845612146241046457891017456[[#This Row],[Type]],Main[[#All],[TYPE]:[UNIT]],'Unit Price'!G$1,FALSE),0)</f>
        <v>0</v>
      </c>
      <c r="J842" s="194">
        <f>IF(_1_5412845612146241046457891017456[[#This Row],[Type]]&gt;0,VLOOKUP(_1_5412845612146241046457891017456[[#This Row],[Type]],Main[[#All],[TYPE]:[UNIT]],'Unit Price'!H$1,FALSE),0)</f>
        <v>0</v>
      </c>
      <c r="K842" s="194">
        <f>IF(_1_5412845612146241046457891017456[[#This Row],[Discount selection]]&gt;0,VLOOKUP(_1_5412845612146241046457891017456[[#This Row],[Discount selection]],'Discount Structure'!$A$2:$B$30,2,"false"),0)</f>
        <v>1</v>
      </c>
      <c r="L842" s="194">
        <f>_1_5412845612146241046457891017456[[#This Row],[LIST $]]*_1_5412845612146241046457891017456[[#This Row],[DISCOUNT]]*_1_5412845612146241046457891017456[[#This Row],[DISCOUNT 2]]</f>
        <v>0</v>
      </c>
      <c r="M842" s="194">
        <f>IF(OR(_1_5412845612146241046457891017456[[#This Row],[UNIT]]&gt;0,_1_5412845612146241046457891017456[[#This Row],[UNIT]]&lt;0),_1_5412845612146241046457891017456[[#This Row],[UNIT]]*_1_5412845612146241046457891017456[[#This Row],[COST]],0)</f>
        <v>0</v>
      </c>
      <c r="N842" s="194">
        <f t="shared" ref="N842:N905" si="13">$N$7</f>
        <v>1.3</v>
      </c>
      <c r="O842" s="198">
        <f>_1_5412845612146241046457891017456[[#This Row],[TOTAL]]*_1_5412845612146241046457891017456[[#This Row],[MARGIN]]</f>
        <v>0</v>
      </c>
      <c r="R842" s="41"/>
    </row>
    <row r="843" spans="4:18">
      <c r="D843" s="188"/>
      <c r="F843" s="168" t="s">
        <v>6202</v>
      </c>
      <c r="G843" s="193">
        <f>IF(_1_5412845612146241046457891017456[[#This Row],[Type]]&gt;0,VLOOKUP(_1_5412845612146241046457891017456[[#This Row],[Type]],Main[[#All],[TYPE]:[UNIT]],'Unit Price'!C$1,FALSE),0)</f>
        <v>0</v>
      </c>
      <c r="H843" s="197">
        <f>IF(_1_5412845612146241046457891017456[[#This Row],[Type]]&gt;0,VLOOKUP(_1_5412845612146241046457891017456[[#This Row],[Type]],Main[[#All],[TYPE]:[UNIT]],'Unit Price'!D$1,FALSE),0)</f>
        <v>0</v>
      </c>
      <c r="I843" s="194">
        <f>IF(_1_5412845612146241046457891017456[[#This Row],[Type]]&gt;0,VLOOKUP(_1_5412845612146241046457891017456[[#This Row],[Type]],Main[[#All],[TYPE]:[UNIT]],'Unit Price'!G$1,FALSE),0)</f>
        <v>0</v>
      </c>
      <c r="J843" s="194">
        <f>IF(_1_5412845612146241046457891017456[[#This Row],[Type]]&gt;0,VLOOKUP(_1_5412845612146241046457891017456[[#This Row],[Type]],Main[[#All],[TYPE]:[UNIT]],'Unit Price'!H$1,FALSE),0)</f>
        <v>0</v>
      </c>
      <c r="K843" s="194">
        <f>IF(_1_5412845612146241046457891017456[[#This Row],[Discount selection]]&gt;0,VLOOKUP(_1_5412845612146241046457891017456[[#This Row],[Discount selection]],'Discount Structure'!$A$2:$B$30,2,"false"),0)</f>
        <v>1</v>
      </c>
      <c r="L843" s="194">
        <f>_1_5412845612146241046457891017456[[#This Row],[LIST $]]*_1_5412845612146241046457891017456[[#This Row],[DISCOUNT]]*_1_5412845612146241046457891017456[[#This Row],[DISCOUNT 2]]</f>
        <v>0</v>
      </c>
      <c r="M843" s="194">
        <f>IF(OR(_1_5412845612146241046457891017456[[#This Row],[UNIT]]&gt;0,_1_5412845612146241046457891017456[[#This Row],[UNIT]]&lt;0),_1_5412845612146241046457891017456[[#This Row],[UNIT]]*_1_5412845612146241046457891017456[[#This Row],[COST]],0)</f>
        <v>0</v>
      </c>
      <c r="N843" s="194">
        <f t="shared" si="13"/>
        <v>1.3</v>
      </c>
      <c r="O843" s="198">
        <f>_1_5412845612146241046457891017456[[#This Row],[TOTAL]]*_1_5412845612146241046457891017456[[#This Row],[MARGIN]]</f>
        <v>0</v>
      </c>
      <c r="R843" s="41"/>
    </row>
    <row r="844" spans="4:18">
      <c r="D844" s="188"/>
      <c r="F844" s="168" t="s">
        <v>6202</v>
      </c>
      <c r="G844" s="193">
        <f>IF(_1_5412845612146241046457891017456[[#This Row],[Type]]&gt;0,VLOOKUP(_1_5412845612146241046457891017456[[#This Row],[Type]],Main[[#All],[TYPE]:[UNIT]],'Unit Price'!C$1,FALSE),0)</f>
        <v>0</v>
      </c>
      <c r="H844" s="197">
        <f>IF(_1_5412845612146241046457891017456[[#This Row],[Type]]&gt;0,VLOOKUP(_1_5412845612146241046457891017456[[#This Row],[Type]],Main[[#All],[TYPE]:[UNIT]],'Unit Price'!D$1,FALSE),0)</f>
        <v>0</v>
      </c>
      <c r="I844" s="194">
        <f>IF(_1_5412845612146241046457891017456[[#This Row],[Type]]&gt;0,VLOOKUP(_1_5412845612146241046457891017456[[#This Row],[Type]],Main[[#All],[TYPE]:[UNIT]],'Unit Price'!G$1,FALSE),0)</f>
        <v>0</v>
      </c>
      <c r="J844" s="194">
        <f>IF(_1_5412845612146241046457891017456[[#This Row],[Type]]&gt;0,VLOOKUP(_1_5412845612146241046457891017456[[#This Row],[Type]],Main[[#All],[TYPE]:[UNIT]],'Unit Price'!H$1,FALSE),0)</f>
        <v>0</v>
      </c>
      <c r="K844" s="194">
        <f>IF(_1_5412845612146241046457891017456[[#This Row],[Discount selection]]&gt;0,VLOOKUP(_1_5412845612146241046457891017456[[#This Row],[Discount selection]],'Discount Structure'!$A$2:$B$30,2,"false"),0)</f>
        <v>1</v>
      </c>
      <c r="L844" s="194">
        <f>_1_5412845612146241046457891017456[[#This Row],[LIST $]]*_1_5412845612146241046457891017456[[#This Row],[DISCOUNT]]*_1_5412845612146241046457891017456[[#This Row],[DISCOUNT 2]]</f>
        <v>0</v>
      </c>
      <c r="M844" s="194">
        <f>IF(OR(_1_5412845612146241046457891017456[[#This Row],[UNIT]]&gt;0,_1_5412845612146241046457891017456[[#This Row],[UNIT]]&lt;0),_1_5412845612146241046457891017456[[#This Row],[UNIT]]*_1_5412845612146241046457891017456[[#This Row],[COST]],0)</f>
        <v>0</v>
      </c>
      <c r="N844" s="194">
        <f t="shared" si="13"/>
        <v>1.3</v>
      </c>
      <c r="O844" s="198">
        <f>_1_5412845612146241046457891017456[[#This Row],[TOTAL]]*_1_5412845612146241046457891017456[[#This Row],[MARGIN]]</f>
        <v>0</v>
      </c>
      <c r="R844" s="41"/>
    </row>
    <row r="845" spans="4:18">
      <c r="D845" s="188"/>
      <c r="F845" s="168" t="s">
        <v>6202</v>
      </c>
      <c r="G845" s="193">
        <f>IF(_1_5412845612146241046457891017456[[#This Row],[Type]]&gt;0,VLOOKUP(_1_5412845612146241046457891017456[[#This Row],[Type]],Main[[#All],[TYPE]:[UNIT]],'Unit Price'!C$1,FALSE),0)</f>
        <v>0</v>
      </c>
      <c r="H845" s="197">
        <f>IF(_1_5412845612146241046457891017456[[#This Row],[Type]]&gt;0,VLOOKUP(_1_5412845612146241046457891017456[[#This Row],[Type]],Main[[#All],[TYPE]:[UNIT]],'Unit Price'!D$1,FALSE),0)</f>
        <v>0</v>
      </c>
      <c r="I845" s="194">
        <f>IF(_1_5412845612146241046457891017456[[#This Row],[Type]]&gt;0,VLOOKUP(_1_5412845612146241046457891017456[[#This Row],[Type]],Main[[#All],[TYPE]:[UNIT]],'Unit Price'!G$1,FALSE),0)</f>
        <v>0</v>
      </c>
      <c r="J845" s="194">
        <f>IF(_1_5412845612146241046457891017456[[#This Row],[Type]]&gt;0,VLOOKUP(_1_5412845612146241046457891017456[[#This Row],[Type]],Main[[#All],[TYPE]:[UNIT]],'Unit Price'!H$1,FALSE),0)</f>
        <v>0</v>
      </c>
      <c r="K845" s="194">
        <f>IF(_1_5412845612146241046457891017456[[#This Row],[Discount selection]]&gt;0,VLOOKUP(_1_5412845612146241046457891017456[[#This Row],[Discount selection]],'Discount Structure'!$A$2:$B$30,2,"false"),0)</f>
        <v>1</v>
      </c>
      <c r="L845" s="194">
        <f>_1_5412845612146241046457891017456[[#This Row],[LIST $]]*_1_5412845612146241046457891017456[[#This Row],[DISCOUNT]]*_1_5412845612146241046457891017456[[#This Row],[DISCOUNT 2]]</f>
        <v>0</v>
      </c>
      <c r="M845" s="194">
        <f>IF(OR(_1_5412845612146241046457891017456[[#This Row],[UNIT]]&gt;0,_1_5412845612146241046457891017456[[#This Row],[UNIT]]&lt;0),_1_5412845612146241046457891017456[[#This Row],[UNIT]]*_1_5412845612146241046457891017456[[#This Row],[COST]],0)</f>
        <v>0</v>
      </c>
      <c r="N845" s="194">
        <f t="shared" si="13"/>
        <v>1.3</v>
      </c>
      <c r="O845" s="198">
        <f>_1_5412845612146241046457891017456[[#This Row],[TOTAL]]*_1_5412845612146241046457891017456[[#This Row],[MARGIN]]</f>
        <v>0</v>
      </c>
      <c r="R845" s="41"/>
    </row>
    <row r="846" spans="4:18">
      <c r="D846" s="188"/>
      <c r="F846" s="168" t="s">
        <v>6202</v>
      </c>
      <c r="G846" s="193">
        <f>IF(_1_5412845612146241046457891017456[[#This Row],[Type]]&gt;0,VLOOKUP(_1_5412845612146241046457891017456[[#This Row],[Type]],Main[[#All],[TYPE]:[UNIT]],'Unit Price'!C$1,FALSE),0)</f>
        <v>0</v>
      </c>
      <c r="H846" s="197">
        <f>IF(_1_5412845612146241046457891017456[[#This Row],[Type]]&gt;0,VLOOKUP(_1_5412845612146241046457891017456[[#This Row],[Type]],Main[[#All],[TYPE]:[UNIT]],'Unit Price'!D$1,FALSE),0)</f>
        <v>0</v>
      </c>
      <c r="I846" s="194">
        <f>IF(_1_5412845612146241046457891017456[[#This Row],[Type]]&gt;0,VLOOKUP(_1_5412845612146241046457891017456[[#This Row],[Type]],Main[[#All],[TYPE]:[UNIT]],'Unit Price'!G$1,FALSE),0)</f>
        <v>0</v>
      </c>
      <c r="J846" s="194">
        <f>IF(_1_5412845612146241046457891017456[[#This Row],[Type]]&gt;0,VLOOKUP(_1_5412845612146241046457891017456[[#This Row],[Type]],Main[[#All],[TYPE]:[UNIT]],'Unit Price'!H$1,FALSE),0)</f>
        <v>0</v>
      </c>
      <c r="K846" s="194">
        <f>IF(_1_5412845612146241046457891017456[[#This Row],[Discount selection]]&gt;0,VLOOKUP(_1_5412845612146241046457891017456[[#This Row],[Discount selection]],'Discount Structure'!$A$2:$B$30,2,"false"),0)</f>
        <v>1</v>
      </c>
      <c r="L846" s="194">
        <f>_1_5412845612146241046457891017456[[#This Row],[LIST $]]*_1_5412845612146241046457891017456[[#This Row],[DISCOUNT]]*_1_5412845612146241046457891017456[[#This Row],[DISCOUNT 2]]</f>
        <v>0</v>
      </c>
      <c r="M846" s="194">
        <f>IF(OR(_1_5412845612146241046457891017456[[#This Row],[UNIT]]&gt;0,_1_5412845612146241046457891017456[[#This Row],[UNIT]]&lt;0),_1_5412845612146241046457891017456[[#This Row],[UNIT]]*_1_5412845612146241046457891017456[[#This Row],[COST]],0)</f>
        <v>0</v>
      </c>
      <c r="N846" s="194">
        <f t="shared" si="13"/>
        <v>1.3</v>
      </c>
      <c r="O846" s="198">
        <f>_1_5412845612146241046457891017456[[#This Row],[TOTAL]]*_1_5412845612146241046457891017456[[#This Row],[MARGIN]]</f>
        <v>0</v>
      </c>
      <c r="R846" s="41"/>
    </row>
    <row r="847" spans="4:18">
      <c r="D847" s="188"/>
      <c r="F847" s="168" t="s">
        <v>6202</v>
      </c>
      <c r="G847" s="193">
        <f>IF(_1_5412845612146241046457891017456[[#This Row],[Type]]&gt;0,VLOOKUP(_1_5412845612146241046457891017456[[#This Row],[Type]],Main[[#All],[TYPE]:[UNIT]],'Unit Price'!C$1,FALSE),0)</f>
        <v>0</v>
      </c>
      <c r="H847" s="197">
        <f>IF(_1_5412845612146241046457891017456[[#This Row],[Type]]&gt;0,VLOOKUP(_1_5412845612146241046457891017456[[#This Row],[Type]],Main[[#All],[TYPE]:[UNIT]],'Unit Price'!D$1,FALSE),0)</f>
        <v>0</v>
      </c>
      <c r="I847" s="194">
        <f>IF(_1_5412845612146241046457891017456[[#This Row],[Type]]&gt;0,VLOOKUP(_1_5412845612146241046457891017456[[#This Row],[Type]],Main[[#All],[TYPE]:[UNIT]],'Unit Price'!G$1,FALSE),0)</f>
        <v>0</v>
      </c>
      <c r="J847" s="194">
        <f>IF(_1_5412845612146241046457891017456[[#This Row],[Type]]&gt;0,VLOOKUP(_1_5412845612146241046457891017456[[#This Row],[Type]],Main[[#All],[TYPE]:[UNIT]],'Unit Price'!H$1,FALSE),0)</f>
        <v>0</v>
      </c>
      <c r="K847" s="194">
        <f>IF(_1_5412845612146241046457891017456[[#This Row],[Discount selection]]&gt;0,VLOOKUP(_1_5412845612146241046457891017456[[#This Row],[Discount selection]],'Discount Structure'!$A$2:$B$30,2,"false"),0)</f>
        <v>1</v>
      </c>
      <c r="L847" s="194">
        <f>_1_5412845612146241046457891017456[[#This Row],[LIST $]]*_1_5412845612146241046457891017456[[#This Row],[DISCOUNT]]*_1_5412845612146241046457891017456[[#This Row],[DISCOUNT 2]]</f>
        <v>0</v>
      </c>
      <c r="M847" s="194">
        <f>IF(OR(_1_5412845612146241046457891017456[[#This Row],[UNIT]]&gt;0,_1_5412845612146241046457891017456[[#This Row],[UNIT]]&lt;0),_1_5412845612146241046457891017456[[#This Row],[UNIT]]*_1_5412845612146241046457891017456[[#This Row],[COST]],0)</f>
        <v>0</v>
      </c>
      <c r="N847" s="194">
        <f t="shared" si="13"/>
        <v>1.3</v>
      </c>
      <c r="O847" s="198">
        <f>_1_5412845612146241046457891017456[[#This Row],[TOTAL]]*_1_5412845612146241046457891017456[[#This Row],[MARGIN]]</f>
        <v>0</v>
      </c>
      <c r="R847" s="41"/>
    </row>
    <row r="848" spans="4:18">
      <c r="D848" s="188"/>
      <c r="F848" s="168" t="s">
        <v>6202</v>
      </c>
      <c r="G848" s="193">
        <f>IF(_1_5412845612146241046457891017456[[#This Row],[Type]]&gt;0,VLOOKUP(_1_5412845612146241046457891017456[[#This Row],[Type]],Main[[#All],[TYPE]:[UNIT]],'Unit Price'!C$1,FALSE),0)</f>
        <v>0</v>
      </c>
      <c r="H848" s="197">
        <f>IF(_1_5412845612146241046457891017456[[#This Row],[Type]]&gt;0,VLOOKUP(_1_5412845612146241046457891017456[[#This Row],[Type]],Main[[#All],[TYPE]:[UNIT]],'Unit Price'!D$1,FALSE),0)</f>
        <v>0</v>
      </c>
      <c r="I848" s="194">
        <f>IF(_1_5412845612146241046457891017456[[#This Row],[Type]]&gt;0,VLOOKUP(_1_5412845612146241046457891017456[[#This Row],[Type]],Main[[#All],[TYPE]:[UNIT]],'Unit Price'!G$1,FALSE),0)</f>
        <v>0</v>
      </c>
      <c r="J848" s="194">
        <f>IF(_1_5412845612146241046457891017456[[#This Row],[Type]]&gt;0,VLOOKUP(_1_5412845612146241046457891017456[[#This Row],[Type]],Main[[#All],[TYPE]:[UNIT]],'Unit Price'!H$1,FALSE),0)</f>
        <v>0</v>
      </c>
      <c r="K848" s="194">
        <f>IF(_1_5412845612146241046457891017456[[#This Row],[Discount selection]]&gt;0,VLOOKUP(_1_5412845612146241046457891017456[[#This Row],[Discount selection]],'Discount Structure'!$A$2:$B$30,2,"false"),0)</f>
        <v>1</v>
      </c>
      <c r="L848" s="194">
        <f>_1_5412845612146241046457891017456[[#This Row],[LIST $]]*_1_5412845612146241046457891017456[[#This Row],[DISCOUNT]]*_1_5412845612146241046457891017456[[#This Row],[DISCOUNT 2]]</f>
        <v>0</v>
      </c>
      <c r="M848" s="194">
        <f>IF(OR(_1_5412845612146241046457891017456[[#This Row],[UNIT]]&gt;0,_1_5412845612146241046457891017456[[#This Row],[UNIT]]&lt;0),_1_5412845612146241046457891017456[[#This Row],[UNIT]]*_1_5412845612146241046457891017456[[#This Row],[COST]],0)</f>
        <v>0</v>
      </c>
      <c r="N848" s="194">
        <f t="shared" si="13"/>
        <v>1.3</v>
      </c>
      <c r="O848" s="198">
        <f>_1_5412845612146241046457891017456[[#This Row],[TOTAL]]*_1_5412845612146241046457891017456[[#This Row],[MARGIN]]</f>
        <v>0</v>
      </c>
      <c r="R848" s="41"/>
    </row>
    <row r="849" spans="4:18">
      <c r="D849" s="188"/>
      <c r="F849" s="168" t="s">
        <v>6202</v>
      </c>
      <c r="G849" s="193">
        <f>IF(_1_5412845612146241046457891017456[[#This Row],[Type]]&gt;0,VLOOKUP(_1_5412845612146241046457891017456[[#This Row],[Type]],Main[[#All],[TYPE]:[UNIT]],'Unit Price'!C$1,FALSE),0)</f>
        <v>0</v>
      </c>
      <c r="H849" s="197">
        <f>IF(_1_5412845612146241046457891017456[[#This Row],[Type]]&gt;0,VLOOKUP(_1_5412845612146241046457891017456[[#This Row],[Type]],Main[[#All],[TYPE]:[UNIT]],'Unit Price'!D$1,FALSE),0)</f>
        <v>0</v>
      </c>
      <c r="I849" s="194">
        <f>IF(_1_5412845612146241046457891017456[[#This Row],[Type]]&gt;0,VLOOKUP(_1_5412845612146241046457891017456[[#This Row],[Type]],Main[[#All],[TYPE]:[UNIT]],'Unit Price'!G$1,FALSE),0)</f>
        <v>0</v>
      </c>
      <c r="J849" s="194">
        <f>IF(_1_5412845612146241046457891017456[[#This Row],[Type]]&gt;0,VLOOKUP(_1_5412845612146241046457891017456[[#This Row],[Type]],Main[[#All],[TYPE]:[UNIT]],'Unit Price'!H$1,FALSE),0)</f>
        <v>0</v>
      </c>
      <c r="K849" s="194">
        <f>IF(_1_5412845612146241046457891017456[[#This Row],[Discount selection]]&gt;0,VLOOKUP(_1_5412845612146241046457891017456[[#This Row],[Discount selection]],'Discount Structure'!$A$2:$B$30,2,"false"),0)</f>
        <v>1</v>
      </c>
      <c r="L849" s="194">
        <f>_1_5412845612146241046457891017456[[#This Row],[LIST $]]*_1_5412845612146241046457891017456[[#This Row],[DISCOUNT]]*_1_5412845612146241046457891017456[[#This Row],[DISCOUNT 2]]</f>
        <v>0</v>
      </c>
      <c r="M849" s="194">
        <f>IF(OR(_1_5412845612146241046457891017456[[#This Row],[UNIT]]&gt;0,_1_5412845612146241046457891017456[[#This Row],[UNIT]]&lt;0),_1_5412845612146241046457891017456[[#This Row],[UNIT]]*_1_5412845612146241046457891017456[[#This Row],[COST]],0)</f>
        <v>0</v>
      </c>
      <c r="N849" s="194">
        <f t="shared" si="13"/>
        <v>1.3</v>
      </c>
      <c r="O849" s="198">
        <f>_1_5412845612146241046457891017456[[#This Row],[TOTAL]]*_1_5412845612146241046457891017456[[#This Row],[MARGIN]]</f>
        <v>0</v>
      </c>
      <c r="R849" s="41"/>
    </row>
    <row r="850" spans="4:18">
      <c r="D850" s="188"/>
      <c r="F850" s="168" t="s">
        <v>6202</v>
      </c>
      <c r="G850" s="193">
        <f>IF(_1_5412845612146241046457891017456[[#This Row],[Type]]&gt;0,VLOOKUP(_1_5412845612146241046457891017456[[#This Row],[Type]],Main[[#All],[TYPE]:[UNIT]],'Unit Price'!C$1,FALSE),0)</f>
        <v>0</v>
      </c>
      <c r="H850" s="197">
        <f>IF(_1_5412845612146241046457891017456[[#This Row],[Type]]&gt;0,VLOOKUP(_1_5412845612146241046457891017456[[#This Row],[Type]],Main[[#All],[TYPE]:[UNIT]],'Unit Price'!D$1,FALSE),0)</f>
        <v>0</v>
      </c>
      <c r="I850" s="194">
        <f>IF(_1_5412845612146241046457891017456[[#This Row],[Type]]&gt;0,VLOOKUP(_1_5412845612146241046457891017456[[#This Row],[Type]],Main[[#All],[TYPE]:[UNIT]],'Unit Price'!G$1,FALSE),0)</f>
        <v>0</v>
      </c>
      <c r="J850" s="194">
        <f>IF(_1_5412845612146241046457891017456[[#This Row],[Type]]&gt;0,VLOOKUP(_1_5412845612146241046457891017456[[#This Row],[Type]],Main[[#All],[TYPE]:[UNIT]],'Unit Price'!H$1,FALSE),0)</f>
        <v>0</v>
      </c>
      <c r="K850" s="194">
        <f>IF(_1_5412845612146241046457891017456[[#This Row],[Discount selection]]&gt;0,VLOOKUP(_1_5412845612146241046457891017456[[#This Row],[Discount selection]],'Discount Structure'!$A$2:$B$30,2,"false"),0)</f>
        <v>1</v>
      </c>
      <c r="L850" s="194">
        <f>_1_5412845612146241046457891017456[[#This Row],[LIST $]]*_1_5412845612146241046457891017456[[#This Row],[DISCOUNT]]*_1_5412845612146241046457891017456[[#This Row],[DISCOUNT 2]]</f>
        <v>0</v>
      </c>
      <c r="M850" s="194">
        <f>IF(OR(_1_5412845612146241046457891017456[[#This Row],[UNIT]]&gt;0,_1_5412845612146241046457891017456[[#This Row],[UNIT]]&lt;0),_1_5412845612146241046457891017456[[#This Row],[UNIT]]*_1_5412845612146241046457891017456[[#This Row],[COST]],0)</f>
        <v>0</v>
      </c>
      <c r="N850" s="194">
        <f t="shared" si="13"/>
        <v>1.3</v>
      </c>
      <c r="O850" s="198">
        <f>_1_5412845612146241046457891017456[[#This Row],[TOTAL]]*_1_5412845612146241046457891017456[[#This Row],[MARGIN]]</f>
        <v>0</v>
      </c>
      <c r="R850" s="41"/>
    </row>
    <row r="851" spans="4:18">
      <c r="D851" s="188"/>
      <c r="F851" s="168" t="s">
        <v>6202</v>
      </c>
      <c r="G851" s="193">
        <f>IF(_1_5412845612146241046457891017456[[#This Row],[Type]]&gt;0,VLOOKUP(_1_5412845612146241046457891017456[[#This Row],[Type]],Main[[#All],[TYPE]:[UNIT]],'Unit Price'!C$1,FALSE),0)</f>
        <v>0</v>
      </c>
      <c r="H851" s="197">
        <f>IF(_1_5412845612146241046457891017456[[#This Row],[Type]]&gt;0,VLOOKUP(_1_5412845612146241046457891017456[[#This Row],[Type]],Main[[#All],[TYPE]:[UNIT]],'Unit Price'!D$1,FALSE),0)</f>
        <v>0</v>
      </c>
      <c r="I851" s="194">
        <f>IF(_1_5412845612146241046457891017456[[#This Row],[Type]]&gt;0,VLOOKUP(_1_5412845612146241046457891017456[[#This Row],[Type]],Main[[#All],[TYPE]:[UNIT]],'Unit Price'!G$1,FALSE),0)</f>
        <v>0</v>
      </c>
      <c r="J851" s="194">
        <f>IF(_1_5412845612146241046457891017456[[#This Row],[Type]]&gt;0,VLOOKUP(_1_5412845612146241046457891017456[[#This Row],[Type]],Main[[#All],[TYPE]:[UNIT]],'Unit Price'!H$1,FALSE),0)</f>
        <v>0</v>
      </c>
      <c r="K851" s="194">
        <f>IF(_1_5412845612146241046457891017456[[#This Row],[Discount selection]]&gt;0,VLOOKUP(_1_5412845612146241046457891017456[[#This Row],[Discount selection]],'Discount Structure'!$A$2:$B$30,2,"false"),0)</f>
        <v>1</v>
      </c>
      <c r="L851" s="194">
        <f>_1_5412845612146241046457891017456[[#This Row],[LIST $]]*_1_5412845612146241046457891017456[[#This Row],[DISCOUNT]]*_1_5412845612146241046457891017456[[#This Row],[DISCOUNT 2]]</f>
        <v>0</v>
      </c>
      <c r="M851" s="194">
        <f>IF(OR(_1_5412845612146241046457891017456[[#This Row],[UNIT]]&gt;0,_1_5412845612146241046457891017456[[#This Row],[UNIT]]&lt;0),_1_5412845612146241046457891017456[[#This Row],[UNIT]]*_1_5412845612146241046457891017456[[#This Row],[COST]],0)</f>
        <v>0</v>
      </c>
      <c r="N851" s="194">
        <f t="shared" si="13"/>
        <v>1.3</v>
      </c>
      <c r="O851" s="198">
        <f>_1_5412845612146241046457891017456[[#This Row],[TOTAL]]*_1_5412845612146241046457891017456[[#This Row],[MARGIN]]</f>
        <v>0</v>
      </c>
      <c r="R851" s="41"/>
    </row>
    <row r="852" spans="4:18">
      <c r="D852" s="188"/>
      <c r="F852" s="168" t="s">
        <v>6202</v>
      </c>
      <c r="G852" s="193">
        <f>IF(_1_5412845612146241046457891017456[[#This Row],[Type]]&gt;0,VLOOKUP(_1_5412845612146241046457891017456[[#This Row],[Type]],Main[[#All],[TYPE]:[UNIT]],'Unit Price'!C$1,FALSE),0)</f>
        <v>0</v>
      </c>
      <c r="H852" s="197">
        <f>IF(_1_5412845612146241046457891017456[[#This Row],[Type]]&gt;0,VLOOKUP(_1_5412845612146241046457891017456[[#This Row],[Type]],Main[[#All],[TYPE]:[UNIT]],'Unit Price'!D$1,FALSE),0)</f>
        <v>0</v>
      </c>
      <c r="I852" s="194">
        <f>IF(_1_5412845612146241046457891017456[[#This Row],[Type]]&gt;0,VLOOKUP(_1_5412845612146241046457891017456[[#This Row],[Type]],Main[[#All],[TYPE]:[UNIT]],'Unit Price'!G$1,FALSE),0)</f>
        <v>0</v>
      </c>
      <c r="J852" s="194">
        <f>IF(_1_5412845612146241046457891017456[[#This Row],[Type]]&gt;0,VLOOKUP(_1_5412845612146241046457891017456[[#This Row],[Type]],Main[[#All],[TYPE]:[UNIT]],'Unit Price'!H$1,FALSE),0)</f>
        <v>0</v>
      </c>
      <c r="K852" s="194">
        <f>IF(_1_5412845612146241046457891017456[[#This Row],[Discount selection]]&gt;0,VLOOKUP(_1_5412845612146241046457891017456[[#This Row],[Discount selection]],'Discount Structure'!$A$2:$B$30,2,"false"),0)</f>
        <v>1</v>
      </c>
      <c r="L852" s="194">
        <f>_1_5412845612146241046457891017456[[#This Row],[LIST $]]*_1_5412845612146241046457891017456[[#This Row],[DISCOUNT]]*_1_5412845612146241046457891017456[[#This Row],[DISCOUNT 2]]</f>
        <v>0</v>
      </c>
      <c r="M852" s="194">
        <f>IF(OR(_1_5412845612146241046457891017456[[#This Row],[UNIT]]&gt;0,_1_5412845612146241046457891017456[[#This Row],[UNIT]]&lt;0),_1_5412845612146241046457891017456[[#This Row],[UNIT]]*_1_5412845612146241046457891017456[[#This Row],[COST]],0)</f>
        <v>0</v>
      </c>
      <c r="N852" s="194">
        <f t="shared" si="13"/>
        <v>1.3</v>
      </c>
      <c r="O852" s="198">
        <f>_1_5412845612146241046457891017456[[#This Row],[TOTAL]]*_1_5412845612146241046457891017456[[#This Row],[MARGIN]]</f>
        <v>0</v>
      </c>
      <c r="R852" s="41"/>
    </row>
    <row r="853" spans="4:18">
      <c r="D853" s="188"/>
      <c r="F853" s="168" t="s">
        <v>6202</v>
      </c>
      <c r="G853" s="193">
        <f>IF(_1_5412845612146241046457891017456[[#This Row],[Type]]&gt;0,VLOOKUP(_1_5412845612146241046457891017456[[#This Row],[Type]],Main[[#All],[TYPE]:[UNIT]],'Unit Price'!C$1,FALSE),0)</f>
        <v>0</v>
      </c>
      <c r="H853" s="197">
        <f>IF(_1_5412845612146241046457891017456[[#This Row],[Type]]&gt;0,VLOOKUP(_1_5412845612146241046457891017456[[#This Row],[Type]],Main[[#All],[TYPE]:[UNIT]],'Unit Price'!D$1,FALSE),0)</f>
        <v>0</v>
      </c>
      <c r="I853" s="194">
        <f>IF(_1_5412845612146241046457891017456[[#This Row],[Type]]&gt;0,VLOOKUP(_1_5412845612146241046457891017456[[#This Row],[Type]],Main[[#All],[TYPE]:[UNIT]],'Unit Price'!G$1,FALSE),0)</f>
        <v>0</v>
      </c>
      <c r="J853" s="194">
        <f>IF(_1_5412845612146241046457891017456[[#This Row],[Type]]&gt;0,VLOOKUP(_1_5412845612146241046457891017456[[#This Row],[Type]],Main[[#All],[TYPE]:[UNIT]],'Unit Price'!H$1,FALSE),0)</f>
        <v>0</v>
      </c>
      <c r="K853" s="194">
        <f>IF(_1_5412845612146241046457891017456[[#This Row],[Discount selection]]&gt;0,VLOOKUP(_1_5412845612146241046457891017456[[#This Row],[Discount selection]],'Discount Structure'!$A$2:$B$30,2,"false"),0)</f>
        <v>1</v>
      </c>
      <c r="L853" s="194">
        <f>_1_5412845612146241046457891017456[[#This Row],[LIST $]]*_1_5412845612146241046457891017456[[#This Row],[DISCOUNT]]*_1_5412845612146241046457891017456[[#This Row],[DISCOUNT 2]]</f>
        <v>0</v>
      </c>
      <c r="M853" s="194">
        <f>IF(OR(_1_5412845612146241046457891017456[[#This Row],[UNIT]]&gt;0,_1_5412845612146241046457891017456[[#This Row],[UNIT]]&lt;0),_1_5412845612146241046457891017456[[#This Row],[UNIT]]*_1_5412845612146241046457891017456[[#This Row],[COST]],0)</f>
        <v>0</v>
      </c>
      <c r="N853" s="194">
        <f t="shared" si="13"/>
        <v>1.3</v>
      </c>
      <c r="O853" s="198">
        <f>_1_5412845612146241046457891017456[[#This Row],[TOTAL]]*_1_5412845612146241046457891017456[[#This Row],[MARGIN]]</f>
        <v>0</v>
      </c>
      <c r="R853" s="41"/>
    </row>
    <row r="854" spans="4:18">
      <c r="D854" s="188"/>
      <c r="F854" s="168" t="s">
        <v>6202</v>
      </c>
      <c r="G854" s="193">
        <f>IF(_1_5412845612146241046457891017456[[#This Row],[Type]]&gt;0,VLOOKUP(_1_5412845612146241046457891017456[[#This Row],[Type]],Main[[#All],[TYPE]:[UNIT]],'Unit Price'!C$1,FALSE),0)</f>
        <v>0</v>
      </c>
      <c r="H854" s="197">
        <f>IF(_1_5412845612146241046457891017456[[#This Row],[Type]]&gt;0,VLOOKUP(_1_5412845612146241046457891017456[[#This Row],[Type]],Main[[#All],[TYPE]:[UNIT]],'Unit Price'!D$1,FALSE),0)</f>
        <v>0</v>
      </c>
      <c r="I854" s="194">
        <f>IF(_1_5412845612146241046457891017456[[#This Row],[Type]]&gt;0,VLOOKUP(_1_5412845612146241046457891017456[[#This Row],[Type]],Main[[#All],[TYPE]:[UNIT]],'Unit Price'!G$1,FALSE),0)</f>
        <v>0</v>
      </c>
      <c r="J854" s="194">
        <f>IF(_1_5412845612146241046457891017456[[#This Row],[Type]]&gt;0,VLOOKUP(_1_5412845612146241046457891017456[[#This Row],[Type]],Main[[#All],[TYPE]:[UNIT]],'Unit Price'!H$1,FALSE),0)</f>
        <v>0</v>
      </c>
      <c r="K854" s="194">
        <f>IF(_1_5412845612146241046457891017456[[#This Row],[Discount selection]]&gt;0,VLOOKUP(_1_5412845612146241046457891017456[[#This Row],[Discount selection]],'Discount Structure'!$A$2:$B$30,2,"false"),0)</f>
        <v>1</v>
      </c>
      <c r="L854" s="194">
        <f>_1_5412845612146241046457891017456[[#This Row],[LIST $]]*_1_5412845612146241046457891017456[[#This Row],[DISCOUNT]]*_1_5412845612146241046457891017456[[#This Row],[DISCOUNT 2]]</f>
        <v>0</v>
      </c>
      <c r="M854" s="194">
        <f>IF(OR(_1_5412845612146241046457891017456[[#This Row],[UNIT]]&gt;0,_1_5412845612146241046457891017456[[#This Row],[UNIT]]&lt;0),_1_5412845612146241046457891017456[[#This Row],[UNIT]]*_1_5412845612146241046457891017456[[#This Row],[COST]],0)</f>
        <v>0</v>
      </c>
      <c r="N854" s="194">
        <f t="shared" si="13"/>
        <v>1.3</v>
      </c>
      <c r="O854" s="198">
        <f>_1_5412845612146241046457891017456[[#This Row],[TOTAL]]*_1_5412845612146241046457891017456[[#This Row],[MARGIN]]</f>
        <v>0</v>
      </c>
      <c r="R854" s="41"/>
    </row>
    <row r="855" spans="4:18">
      <c r="D855" s="188"/>
      <c r="F855" s="168" t="s">
        <v>6202</v>
      </c>
      <c r="G855" s="193">
        <f>IF(_1_5412845612146241046457891017456[[#This Row],[Type]]&gt;0,VLOOKUP(_1_5412845612146241046457891017456[[#This Row],[Type]],Main[[#All],[TYPE]:[UNIT]],'Unit Price'!C$1,FALSE),0)</f>
        <v>0</v>
      </c>
      <c r="H855" s="197">
        <f>IF(_1_5412845612146241046457891017456[[#This Row],[Type]]&gt;0,VLOOKUP(_1_5412845612146241046457891017456[[#This Row],[Type]],Main[[#All],[TYPE]:[UNIT]],'Unit Price'!D$1,FALSE),0)</f>
        <v>0</v>
      </c>
      <c r="I855" s="194">
        <f>IF(_1_5412845612146241046457891017456[[#This Row],[Type]]&gt;0,VLOOKUP(_1_5412845612146241046457891017456[[#This Row],[Type]],Main[[#All],[TYPE]:[UNIT]],'Unit Price'!G$1,FALSE),0)</f>
        <v>0</v>
      </c>
      <c r="J855" s="194">
        <f>IF(_1_5412845612146241046457891017456[[#This Row],[Type]]&gt;0,VLOOKUP(_1_5412845612146241046457891017456[[#This Row],[Type]],Main[[#All],[TYPE]:[UNIT]],'Unit Price'!H$1,FALSE),0)</f>
        <v>0</v>
      </c>
      <c r="K855" s="194">
        <f>IF(_1_5412845612146241046457891017456[[#This Row],[Discount selection]]&gt;0,VLOOKUP(_1_5412845612146241046457891017456[[#This Row],[Discount selection]],'Discount Structure'!$A$2:$B$30,2,"false"),0)</f>
        <v>1</v>
      </c>
      <c r="L855" s="194">
        <f>_1_5412845612146241046457891017456[[#This Row],[LIST $]]*_1_5412845612146241046457891017456[[#This Row],[DISCOUNT]]*_1_5412845612146241046457891017456[[#This Row],[DISCOUNT 2]]</f>
        <v>0</v>
      </c>
      <c r="M855" s="194">
        <f>IF(OR(_1_5412845612146241046457891017456[[#This Row],[UNIT]]&gt;0,_1_5412845612146241046457891017456[[#This Row],[UNIT]]&lt;0),_1_5412845612146241046457891017456[[#This Row],[UNIT]]*_1_5412845612146241046457891017456[[#This Row],[COST]],0)</f>
        <v>0</v>
      </c>
      <c r="N855" s="194">
        <f t="shared" si="13"/>
        <v>1.3</v>
      </c>
      <c r="O855" s="198">
        <f>_1_5412845612146241046457891017456[[#This Row],[TOTAL]]*_1_5412845612146241046457891017456[[#This Row],[MARGIN]]</f>
        <v>0</v>
      </c>
      <c r="R855" s="41"/>
    </row>
    <row r="856" spans="4:18">
      <c r="D856" s="188"/>
      <c r="F856" s="168" t="s">
        <v>6202</v>
      </c>
      <c r="G856" s="193">
        <f>IF(_1_5412845612146241046457891017456[[#This Row],[Type]]&gt;0,VLOOKUP(_1_5412845612146241046457891017456[[#This Row],[Type]],Main[[#All],[TYPE]:[UNIT]],'Unit Price'!C$1,FALSE),0)</f>
        <v>0</v>
      </c>
      <c r="H856" s="197">
        <f>IF(_1_5412845612146241046457891017456[[#This Row],[Type]]&gt;0,VLOOKUP(_1_5412845612146241046457891017456[[#This Row],[Type]],Main[[#All],[TYPE]:[UNIT]],'Unit Price'!D$1,FALSE),0)</f>
        <v>0</v>
      </c>
      <c r="I856" s="194">
        <f>IF(_1_5412845612146241046457891017456[[#This Row],[Type]]&gt;0,VLOOKUP(_1_5412845612146241046457891017456[[#This Row],[Type]],Main[[#All],[TYPE]:[UNIT]],'Unit Price'!G$1,FALSE),0)</f>
        <v>0</v>
      </c>
      <c r="J856" s="194">
        <f>IF(_1_5412845612146241046457891017456[[#This Row],[Type]]&gt;0,VLOOKUP(_1_5412845612146241046457891017456[[#This Row],[Type]],Main[[#All],[TYPE]:[UNIT]],'Unit Price'!H$1,FALSE),0)</f>
        <v>0</v>
      </c>
      <c r="K856" s="194">
        <f>IF(_1_5412845612146241046457891017456[[#This Row],[Discount selection]]&gt;0,VLOOKUP(_1_5412845612146241046457891017456[[#This Row],[Discount selection]],'Discount Structure'!$A$2:$B$30,2,"false"),0)</f>
        <v>1</v>
      </c>
      <c r="L856" s="194">
        <f>_1_5412845612146241046457891017456[[#This Row],[LIST $]]*_1_5412845612146241046457891017456[[#This Row],[DISCOUNT]]*_1_5412845612146241046457891017456[[#This Row],[DISCOUNT 2]]</f>
        <v>0</v>
      </c>
      <c r="M856" s="194">
        <f>IF(OR(_1_5412845612146241046457891017456[[#This Row],[UNIT]]&gt;0,_1_5412845612146241046457891017456[[#This Row],[UNIT]]&lt;0),_1_5412845612146241046457891017456[[#This Row],[UNIT]]*_1_5412845612146241046457891017456[[#This Row],[COST]],0)</f>
        <v>0</v>
      </c>
      <c r="N856" s="194">
        <f t="shared" si="13"/>
        <v>1.3</v>
      </c>
      <c r="O856" s="198">
        <f>_1_5412845612146241046457891017456[[#This Row],[TOTAL]]*_1_5412845612146241046457891017456[[#This Row],[MARGIN]]</f>
        <v>0</v>
      </c>
      <c r="R856" s="41"/>
    </row>
    <row r="857" spans="4:18">
      <c r="D857" s="188"/>
      <c r="F857" s="168" t="s">
        <v>6202</v>
      </c>
      <c r="G857" s="193">
        <f>IF(_1_5412845612146241046457891017456[[#This Row],[Type]]&gt;0,VLOOKUP(_1_5412845612146241046457891017456[[#This Row],[Type]],Main[[#All],[TYPE]:[UNIT]],'Unit Price'!C$1,FALSE),0)</f>
        <v>0</v>
      </c>
      <c r="H857" s="197">
        <f>IF(_1_5412845612146241046457891017456[[#This Row],[Type]]&gt;0,VLOOKUP(_1_5412845612146241046457891017456[[#This Row],[Type]],Main[[#All],[TYPE]:[UNIT]],'Unit Price'!D$1,FALSE),0)</f>
        <v>0</v>
      </c>
      <c r="I857" s="194">
        <f>IF(_1_5412845612146241046457891017456[[#This Row],[Type]]&gt;0,VLOOKUP(_1_5412845612146241046457891017456[[#This Row],[Type]],Main[[#All],[TYPE]:[UNIT]],'Unit Price'!G$1,FALSE),0)</f>
        <v>0</v>
      </c>
      <c r="J857" s="194">
        <f>IF(_1_5412845612146241046457891017456[[#This Row],[Type]]&gt;0,VLOOKUP(_1_5412845612146241046457891017456[[#This Row],[Type]],Main[[#All],[TYPE]:[UNIT]],'Unit Price'!H$1,FALSE),0)</f>
        <v>0</v>
      </c>
      <c r="K857" s="194">
        <f>IF(_1_5412845612146241046457891017456[[#This Row],[Discount selection]]&gt;0,VLOOKUP(_1_5412845612146241046457891017456[[#This Row],[Discount selection]],'Discount Structure'!$A$2:$B$30,2,"false"),0)</f>
        <v>1</v>
      </c>
      <c r="L857" s="194">
        <f>_1_5412845612146241046457891017456[[#This Row],[LIST $]]*_1_5412845612146241046457891017456[[#This Row],[DISCOUNT]]*_1_5412845612146241046457891017456[[#This Row],[DISCOUNT 2]]</f>
        <v>0</v>
      </c>
      <c r="M857" s="194">
        <f>IF(OR(_1_5412845612146241046457891017456[[#This Row],[UNIT]]&gt;0,_1_5412845612146241046457891017456[[#This Row],[UNIT]]&lt;0),_1_5412845612146241046457891017456[[#This Row],[UNIT]]*_1_5412845612146241046457891017456[[#This Row],[COST]],0)</f>
        <v>0</v>
      </c>
      <c r="N857" s="194">
        <f t="shared" si="13"/>
        <v>1.3</v>
      </c>
      <c r="O857" s="198">
        <f>_1_5412845612146241046457891017456[[#This Row],[TOTAL]]*_1_5412845612146241046457891017456[[#This Row],[MARGIN]]</f>
        <v>0</v>
      </c>
      <c r="R857" s="41"/>
    </row>
    <row r="858" spans="4:18">
      <c r="D858" s="188"/>
      <c r="F858" s="168" t="s">
        <v>6202</v>
      </c>
      <c r="G858" s="193">
        <f>IF(_1_5412845612146241046457891017456[[#This Row],[Type]]&gt;0,VLOOKUP(_1_5412845612146241046457891017456[[#This Row],[Type]],Main[[#All],[TYPE]:[UNIT]],'Unit Price'!C$1,FALSE),0)</f>
        <v>0</v>
      </c>
      <c r="H858" s="197">
        <f>IF(_1_5412845612146241046457891017456[[#This Row],[Type]]&gt;0,VLOOKUP(_1_5412845612146241046457891017456[[#This Row],[Type]],Main[[#All],[TYPE]:[UNIT]],'Unit Price'!D$1,FALSE),0)</f>
        <v>0</v>
      </c>
      <c r="I858" s="194">
        <f>IF(_1_5412845612146241046457891017456[[#This Row],[Type]]&gt;0,VLOOKUP(_1_5412845612146241046457891017456[[#This Row],[Type]],Main[[#All],[TYPE]:[UNIT]],'Unit Price'!G$1,FALSE),0)</f>
        <v>0</v>
      </c>
      <c r="J858" s="194">
        <f>IF(_1_5412845612146241046457891017456[[#This Row],[Type]]&gt;0,VLOOKUP(_1_5412845612146241046457891017456[[#This Row],[Type]],Main[[#All],[TYPE]:[UNIT]],'Unit Price'!H$1,FALSE),0)</f>
        <v>0</v>
      </c>
      <c r="K858" s="194">
        <f>IF(_1_5412845612146241046457891017456[[#This Row],[Discount selection]]&gt;0,VLOOKUP(_1_5412845612146241046457891017456[[#This Row],[Discount selection]],'Discount Structure'!$A$2:$B$30,2,"false"),0)</f>
        <v>1</v>
      </c>
      <c r="L858" s="194">
        <f>_1_5412845612146241046457891017456[[#This Row],[LIST $]]*_1_5412845612146241046457891017456[[#This Row],[DISCOUNT]]*_1_5412845612146241046457891017456[[#This Row],[DISCOUNT 2]]</f>
        <v>0</v>
      </c>
      <c r="M858" s="194">
        <f>IF(OR(_1_5412845612146241046457891017456[[#This Row],[UNIT]]&gt;0,_1_5412845612146241046457891017456[[#This Row],[UNIT]]&lt;0),_1_5412845612146241046457891017456[[#This Row],[UNIT]]*_1_5412845612146241046457891017456[[#This Row],[COST]],0)</f>
        <v>0</v>
      </c>
      <c r="N858" s="194">
        <f t="shared" si="13"/>
        <v>1.3</v>
      </c>
      <c r="O858" s="198">
        <f>_1_5412845612146241046457891017456[[#This Row],[TOTAL]]*_1_5412845612146241046457891017456[[#This Row],[MARGIN]]</f>
        <v>0</v>
      </c>
      <c r="R858" s="41"/>
    </row>
    <row r="859" spans="4:18">
      <c r="D859" s="188"/>
      <c r="F859" s="168" t="s">
        <v>6202</v>
      </c>
      <c r="G859" s="193">
        <f>IF(_1_5412845612146241046457891017456[[#This Row],[Type]]&gt;0,VLOOKUP(_1_5412845612146241046457891017456[[#This Row],[Type]],Main[[#All],[TYPE]:[UNIT]],'Unit Price'!C$1,FALSE),0)</f>
        <v>0</v>
      </c>
      <c r="H859" s="197">
        <f>IF(_1_5412845612146241046457891017456[[#This Row],[Type]]&gt;0,VLOOKUP(_1_5412845612146241046457891017456[[#This Row],[Type]],Main[[#All],[TYPE]:[UNIT]],'Unit Price'!D$1,FALSE),0)</f>
        <v>0</v>
      </c>
      <c r="I859" s="194">
        <f>IF(_1_5412845612146241046457891017456[[#This Row],[Type]]&gt;0,VLOOKUP(_1_5412845612146241046457891017456[[#This Row],[Type]],Main[[#All],[TYPE]:[UNIT]],'Unit Price'!G$1,FALSE),0)</f>
        <v>0</v>
      </c>
      <c r="J859" s="194">
        <f>IF(_1_5412845612146241046457891017456[[#This Row],[Type]]&gt;0,VLOOKUP(_1_5412845612146241046457891017456[[#This Row],[Type]],Main[[#All],[TYPE]:[UNIT]],'Unit Price'!H$1,FALSE),0)</f>
        <v>0</v>
      </c>
      <c r="K859" s="194">
        <f>IF(_1_5412845612146241046457891017456[[#This Row],[Discount selection]]&gt;0,VLOOKUP(_1_5412845612146241046457891017456[[#This Row],[Discount selection]],'Discount Structure'!$A$2:$B$30,2,"false"),0)</f>
        <v>1</v>
      </c>
      <c r="L859" s="194">
        <f>_1_5412845612146241046457891017456[[#This Row],[LIST $]]*_1_5412845612146241046457891017456[[#This Row],[DISCOUNT]]*_1_5412845612146241046457891017456[[#This Row],[DISCOUNT 2]]</f>
        <v>0</v>
      </c>
      <c r="M859" s="194">
        <f>IF(OR(_1_5412845612146241046457891017456[[#This Row],[UNIT]]&gt;0,_1_5412845612146241046457891017456[[#This Row],[UNIT]]&lt;0),_1_5412845612146241046457891017456[[#This Row],[UNIT]]*_1_5412845612146241046457891017456[[#This Row],[COST]],0)</f>
        <v>0</v>
      </c>
      <c r="N859" s="194">
        <f t="shared" si="13"/>
        <v>1.3</v>
      </c>
      <c r="O859" s="198">
        <f>_1_5412845612146241046457891017456[[#This Row],[TOTAL]]*_1_5412845612146241046457891017456[[#This Row],[MARGIN]]</f>
        <v>0</v>
      </c>
      <c r="R859" s="41"/>
    </row>
    <row r="860" spans="4:18">
      <c r="D860" s="188"/>
      <c r="F860" s="168" t="s">
        <v>6202</v>
      </c>
      <c r="G860" s="193">
        <f>IF(_1_5412845612146241046457891017456[[#This Row],[Type]]&gt;0,VLOOKUP(_1_5412845612146241046457891017456[[#This Row],[Type]],Main[[#All],[TYPE]:[UNIT]],'Unit Price'!C$1,FALSE),0)</f>
        <v>0</v>
      </c>
      <c r="H860" s="197">
        <f>IF(_1_5412845612146241046457891017456[[#This Row],[Type]]&gt;0,VLOOKUP(_1_5412845612146241046457891017456[[#This Row],[Type]],Main[[#All],[TYPE]:[UNIT]],'Unit Price'!D$1,FALSE),0)</f>
        <v>0</v>
      </c>
      <c r="I860" s="194">
        <f>IF(_1_5412845612146241046457891017456[[#This Row],[Type]]&gt;0,VLOOKUP(_1_5412845612146241046457891017456[[#This Row],[Type]],Main[[#All],[TYPE]:[UNIT]],'Unit Price'!G$1,FALSE),0)</f>
        <v>0</v>
      </c>
      <c r="J860" s="194">
        <f>IF(_1_5412845612146241046457891017456[[#This Row],[Type]]&gt;0,VLOOKUP(_1_5412845612146241046457891017456[[#This Row],[Type]],Main[[#All],[TYPE]:[UNIT]],'Unit Price'!H$1,FALSE),0)</f>
        <v>0</v>
      </c>
      <c r="K860" s="194">
        <f>IF(_1_5412845612146241046457891017456[[#This Row],[Discount selection]]&gt;0,VLOOKUP(_1_5412845612146241046457891017456[[#This Row],[Discount selection]],'Discount Structure'!$A$2:$B$30,2,"false"),0)</f>
        <v>1</v>
      </c>
      <c r="L860" s="194">
        <f>_1_5412845612146241046457891017456[[#This Row],[LIST $]]*_1_5412845612146241046457891017456[[#This Row],[DISCOUNT]]*_1_5412845612146241046457891017456[[#This Row],[DISCOUNT 2]]</f>
        <v>0</v>
      </c>
      <c r="M860" s="194">
        <f>IF(OR(_1_5412845612146241046457891017456[[#This Row],[UNIT]]&gt;0,_1_5412845612146241046457891017456[[#This Row],[UNIT]]&lt;0),_1_5412845612146241046457891017456[[#This Row],[UNIT]]*_1_5412845612146241046457891017456[[#This Row],[COST]],0)</f>
        <v>0</v>
      </c>
      <c r="N860" s="194">
        <f t="shared" si="13"/>
        <v>1.3</v>
      </c>
      <c r="O860" s="198">
        <f>_1_5412845612146241046457891017456[[#This Row],[TOTAL]]*_1_5412845612146241046457891017456[[#This Row],[MARGIN]]</f>
        <v>0</v>
      </c>
      <c r="R860" s="41"/>
    </row>
    <row r="861" spans="4:18">
      <c r="D861" s="188"/>
      <c r="F861" s="168" t="s">
        <v>6202</v>
      </c>
      <c r="G861" s="193">
        <f>IF(_1_5412845612146241046457891017456[[#This Row],[Type]]&gt;0,VLOOKUP(_1_5412845612146241046457891017456[[#This Row],[Type]],Main[[#All],[TYPE]:[UNIT]],'Unit Price'!C$1,FALSE),0)</f>
        <v>0</v>
      </c>
      <c r="H861" s="197">
        <f>IF(_1_5412845612146241046457891017456[[#This Row],[Type]]&gt;0,VLOOKUP(_1_5412845612146241046457891017456[[#This Row],[Type]],Main[[#All],[TYPE]:[UNIT]],'Unit Price'!D$1,FALSE),0)</f>
        <v>0</v>
      </c>
      <c r="I861" s="194">
        <f>IF(_1_5412845612146241046457891017456[[#This Row],[Type]]&gt;0,VLOOKUP(_1_5412845612146241046457891017456[[#This Row],[Type]],Main[[#All],[TYPE]:[UNIT]],'Unit Price'!G$1,FALSE),0)</f>
        <v>0</v>
      </c>
      <c r="J861" s="194">
        <f>IF(_1_5412845612146241046457891017456[[#This Row],[Type]]&gt;0,VLOOKUP(_1_5412845612146241046457891017456[[#This Row],[Type]],Main[[#All],[TYPE]:[UNIT]],'Unit Price'!H$1,FALSE),0)</f>
        <v>0</v>
      </c>
      <c r="K861" s="194">
        <f>IF(_1_5412845612146241046457891017456[[#This Row],[Discount selection]]&gt;0,VLOOKUP(_1_5412845612146241046457891017456[[#This Row],[Discount selection]],'Discount Structure'!$A$2:$B$30,2,"false"),0)</f>
        <v>1</v>
      </c>
      <c r="L861" s="194">
        <f>_1_5412845612146241046457891017456[[#This Row],[LIST $]]*_1_5412845612146241046457891017456[[#This Row],[DISCOUNT]]*_1_5412845612146241046457891017456[[#This Row],[DISCOUNT 2]]</f>
        <v>0</v>
      </c>
      <c r="M861" s="194">
        <f>IF(OR(_1_5412845612146241046457891017456[[#This Row],[UNIT]]&gt;0,_1_5412845612146241046457891017456[[#This Row],[UNIT]]&lt;0),_1_5412845612146241046457891017456[[#This Row],[UNIT]]*_1_5412845612146241046457891017456[[#This Row],[COST]],0)</f>
        <v>0</v>
      </c>
      <c r="N861" s="194">
        <f t="shared" si="13"/>
        <v>1.3</v>
      </c>
      <c r="O861" s="198">
        <f>_1_5412845612146241046457891017456[[#This Row],[TOTAL]]*_1_5412845612146241046457891017456[[#This Row],[MARGIN]]</f>
        <v>0</v>
      </c>
      <c r="R861" s="41"/>
    </row>
    <row r="862" spans="4:18">
      <c r="D862" s="188"/>
      <c r="F862" s="168" t="s">
        <v>6202</v>
      </c>
      <c r="G862" s="193">
        <f>IF(_1_5412845612146241046457891017456[[#This Row],[Type]]&gt;0,VLOOKUP(_1_5412845612146241046457891017456[[#This Row],[Type]],Main[[#All],[TYPE]:[UNIT]],'Unit Price'!C$1,FALSE),0)</f>
        <v>0</v>
      </c>
      <c r="H862" s="197">
        <f>IF(_1_5412845612146241046457891017456[[#This Row],[Type]]&gt;0,VLOOKUP(_1_5412845612146241046457891017456[[#This Row],[Type]],Main[[#All],[TYPE]:[UNIT]],'Unit Price'!D$1,FALSE),0)</f>
        <v>0</v>
      </c>
      <c r="I862" s="194">
        <f>IF(_1_5412845612146241046457891017456[[#This Row],[Type]]&gt;0,VLOOKUP(_1_5412845612146241046457891017456[[#This Row],[Type]],Main[[#All],[TYPE]:[UNIT]],'Unit Price'!G$1,FALSE),0)</f>
        <v>0</v>
      </c>
      <c r="J862" s="194">
        <f>IF(_1_5412845612146241046457891017456[[#This Row],[Type]]&gt;0,VLOOKUP(_1_5412845612146241046457891017456[[#This Row],[Type]],Main[[#All],[TYPE]:[UNIT]],'Unit Price'!H$1,FALSE),0)</f>
        <v>0</v>
      </c>
      <c r="K862" s="194">
        <f>IF(_1_5412845612146241046457891017456[[#This Row],[Discount selection]]&gt;0,VLOOKUP(_1_5412845612146241046457891017456[[#This Row],[Discount selection]],'Discount Structure'!$A$2:$B$30,2,"false"),0)</f>
        <v>1</v>
      </c>
      <c r="L862" s="194">
        <f>_1_5412845612146241046457891017456[[#This Row],[LIST $]]*_1_5412845612146241046457891017456[[#This Row],[DISCOUNT]]*_1_5412845612146241046457891017456[[#This Row],[DISCOUNT 2]]</f>
        <v>0</v>
      </c>
      <c r="M862" s="194">
        <f>IF(OR(_1_5412845612146241046457891017456[[#This Row],[UNIT]]&gt;0,_1_5412845612146241046457891017456[[#This Row],[UNIT]]&lt;0),_1_5412845612146241046457891017456[[#This Row],[UNIT]]*_1_5412845612146241046457891017456[[#This Row],[COST]],0)</f>
        <v>0</v>
      </c>
      <c r="N862" s="194">
        <f t="shared" si="13"/>
        <v>1.3</v>
      </c>
      <c r="O862" s="198">
        <f>_1_5412845612146241046457891017456[[#This Row],[TOTAL]]*_1_5412845612146241046457891017456[[#This Row],[MARGIN]]</f>
        <v>0</v>
      </c>
      <c r="R862" s="41"/>
    </row>
    <row r="863" spans="4:18">
      <c r="D863" s="188"/>
      <c r="F863" s="168" t="s">
        <v>6202</v>
      </c>
      <c r="G863" s="193">
        <f>IF(_1_5412845612146241046457891017456[[#This Row],[Type]]&gt;0,VLOOKUP(_1_5412845612146241046457891017456[[#This Row],[Type]],Main[[#All],[TYPE]:[UNIT]],'Unit Price'!C$1,FALSE),0)</f>
        <v>0</v>
      </c>
      <c r="H863" s="197">
        <f>IF(_1_5412845612146241046457891017456[[#This Row],[Type]]&gt;0,VLOOKUP(_1_5412845612146241046457891017456[[#This Row],[Type]],Main[[#All],[TYPE]:[UNIT]],'Unit Price'!D$1,FALSE),0)</f>
        <v>0</v>
      </c>
      <c r="I863" s="194">
        <f>IF(_1_5412845612146241046457891017456[[#This Row],[Type]]&gt;0,VLOOKUP(_1_5412845612146241046457891017456[[#This Row],[Type]],Main[[#All],[TYPE]:[UNIT]],'Unit Price'!G$1,FALSE),0)</f>
        <v>0</v>
      </c>
      <c r="J863" s="194">
        <f>IF(_1_5412845612146241046457891017456[[#This Row],[Type]]&gt;0,VLOOKUP(_1_5412845612146241046457891017456[[#This Row],[Type]],Main[[#All],[TYPE]:[UNIT]],'Unit Price'!H$1,FALSE),0)</f>
        <v>0</v>
      </c>
      <c r="K863" s="194">
        <f>IF(_1_5412845612146241046457891017456[[#This Row],[Discount selection]]&gt;0,VLOOKUP(_1_5412845612146241046457891017456[[#This Row],[Discount selection]],'Discount Structure'!$A$2:$B$30,2,"false"),0)</f>
        <v>1</v>
      </c>
      <c r="L863" s="194">
        <f>_1_5412845612146241046457891017456[[#This Row],[LIST $]]*_1_5412845612146241046457891017456[[#This Row],[DISCOUNT]]*_1_5412845612146241046457891017456[[#This Row],[DISCOUNT 2]]</f>
        <v>0</v>
      </c>
      <c r="M863" s="194">
        <f>IF(OR(_1_5412845612146241046457891017456[[#This Row],[UNIT]]&gt;0,_1_5412845612146241046457891017456[[#This Row],[UNIT]]&lt;0),_1_5412845612146241046457891017456[[#This Row],[UNIT]]*_1_5412845612146241046457891017456[[#This Row],[COST]],0)</f>
        <v>0</v>
      </c>
      <c r="N863" s="194">
        <f t="shared" si="13"/>
        <v>1.3</v>
      </c>
      <c r="O863" s="198">
        <f>_1_5412845612146241046457891017456[[#This Row],[TOTAL]]*_1_5412845612146241046457891017456[[#This Row],[MARGIN]]</f>
        <v>0</v>
      </c>
      <c r="R863" s="41"/>
    </row>
    <row r="864" spans="4:18">
      <c r="D864" s="188"/>
      <c r="F864" s="168" t="s">
        <v>6202</v>
      </c>
      <c r="G864" s="193">
        <f>IF(_1_5412845612146241046457891017456[[#This Row],[Type]]&gt;0,VLOOKUP(_1_5412845612146241046457891017456[[#This Row],[Type]],Main[[#All],[TYPE]:[UNIT]],'Unit Price'!C$1,FALSE),0)</f>
        <v>0</v>
      </c>
      <c r="H864" s="197">
        <f>IF(_1_5412845612146241046457891017456[[#This Row],[Type]]&gt;0,VLOOKUP(_1_5412845612146241046457891017456[[#This Row],[Type]],Main[[#All],[TYPE]:[UNIT]],'Unit Price'!D$1,FALSE),0)</f>
        <v>0</v>
      </c>
      <c r="I864" s="194">
        <f>IF(_1_5412845612146241046457891017456[[#This Row],[Type]]&gt;0,VLOOKUP(_1_5412845612146241046457891017456[[#This Row],[Type]],Main[[#All],[TYPE]:[UNIT]],'Unit Price'!G$1,FALSE),0)</f>
        <v>0</v>
      </c>
      <c r="J864" s="194">
        <f>IF(_1_5412845612146241046457891017456[[#This Row],[Type]]&gt;0,VLOOKUP(_1_5412845612146241046457891017456[[#This Row],[Type]],Main[[#All],[TYPE]:[UNIT]],'Unit Price'!H$1,FALSE),0)</f>
        <v>0</v>
      </c>
      <c r="K864" s="194">
        <f>IF(_1_5412845612146241046457891017456[[#This Row],[Discount selection]]&gt;0,VLOOKUP(_1_5412845612146241046457891017456[[#This Row],[Discount selection]],'Discount Structure'!$A$2:$B$30,2,"false"),0)</f>
        <v>1</v>
      </c>
      <c r="L864" s="194">
        <f>_1_5412845612146241046457891017456[[#This Row],[LIST $]]*_1_5412845612146241046457891017456[[#This Row],[DISCOUNT]]*_1_5412845612146241046457891017456[[#This Row],[DISCOUNT 2]]</f>
        <v>0</v>
      </c>
      <c r="M864" s="194">
        <f>IF(OR(_1_5412845612146241046457891017456[[#This Row],[UNIT]]&gt;0,_1_5412845612146241046457891017456[[#This Row],[UNIT]]&lt;0),_1_5412845612146241046457891017456[[#This Row],[UNIT]]*_1_5412845612146241046457891017456[[#This Row],[COST]],0)</f>
        <v>0</v>
      </c>
      <c r="N864" s="194">
        <f t="shared" si="13"/>
        <v>1.3</v>
      </c>
      <c r="O864" s="198">
        <f>_1_5412845612146241046457891017456[[#This Row],[TOTAL]]*_1_5412845612146241046457891017456[[#This Row],[MARGIN]]</f>
        <v>0</v>
      </c>
      <c r="R864" s="41"/>
    </row>
    <row r="865" spans="4:18">
      <c r="D865" s="188"/>
      <c r="E865" s="42"/>
      <c r="F865" s="168" t="s">
        <v>6202</v>
      </c>
      <c r="G865" s="193">
        <f>IF(_1_5412845612146241046457891017456[[#This Row],[Type]]&gt;0,VLOOKUP(_1_5412845612146241046457891017456[[#This Row],[Type]],Main[[#All],[TYPE]:[UNIT]],'Unit Price'!C$1,FALSE),0)</f>
        <v>0</v>
      </c>
      <c r="H865" s="197">
        <f>IF(_1_5412845612146241046457891017456[[#This Row],[Type]]&gt;0,VLOOKUP(_1_5412845612146241046457891017456[[#This Row],[Type]],Main[[#All],[TYPE]:[UNIT]],'Unit Price'!D$1,FALSE),0)</f>
        <v>0</v>
      </c>
      <c r="I865" s="194">
        <f>IF(_1_5412845612146241046457891017456[[#This Row],[Type]]&gt;0,VLOOKUP(_1_5412845612146241046457891017456[[#This Row],[Type]],Main[[#All],[TYPE]:[UNIT]],'Unit Price'!G$1,FALSE),0)</f>
        <v>0</v>
      </c>
      <c r="J865" s="194">
        <f>IF(_1_5412845612146241046457891017456[[#This Row],[Type]]&gt;0,VLOOKUP(_1_5412845612146241046457891017456[[#This Row],[Type]],Main[[#All],[TYPE]:[UNIT]],'Unit Price'!H$1,FALSE),0)</f>
        <v>0</v>
      </c>
      <c r="K865" s="194">
        <f>IF(_1_5412845612146241046457891017456[[#This Row],[Discount selection]]&gt;0,VLOOKUP(_1_5412845612146241046457891017456[[#This Row],[Discount selection]],'Discount Structure'!$A$2:$B$30,2,"false"),0)</f>
        <v>1</v>
      </c>
      <c r="L865" s="194">
        <f>_1_5412845612146241046457891017456[[#This Row],[LIST $]]*_1_5412845612146241046457891017456[[#This Row],[DISCOUNT]]*_1_5412845612146241046457891017456[[#This Row],[DISCOUNT 2]]</f>
        <v>0</v>
      </c>
      <c r="M865" s="194">
        <f>IF(OR(_1_5412845612146241046457891017456[[#This Row],[UNIT]]&gt;0,_1_5412845612146241046457891017456[[#This Row],[UNIT]]&lt;0),_1_5412845612146241046457891017456[[#This Row],[UNIT]]*_1_5412845612146241046457891017456[[#This Row],[COST]],0)</f>
        <v>0</v>
      </c>
      <c r="N865" s="194">
        <f t="shared" si="13"/>
        <v>1.3</v>
      </c>
      <c r="O865" s="198">
        <f>_1_5412845612146241046457891017456[[#This Row],[TOTAL]]*_1_5412845612146241046457891017456[[#This Row],[MARGIN]]</f>
        <v>0</v>
      </c>
      <c r="P865" s="198"/>
      <c r="R865" s="41"/>
    </row>
    <row r="866" spans="4:18">
      <c r="D866" s="188"/>
      <c r="E866" s="42"/>
      <c r="F866" s="168" t="s">
        <v>6202</v>
      </c>
      <c r="G866" s="193">
        <f>IF(_1_5412845612146241046457891017456[[#This Row],[Type]]&gt;0,VLOOKUP(_1_5412845612146241046457891017456[[#This Row],[Type]],Main[[#All],[TYPE]:[UNIT]],'Unit Price'!C$1,FALSE),0)</f>
        <v>0</v>
      </c>
      <c r="H866" s="197">
        <f>IF(_1_5412845612146241046457891017456[[#This Row],[Type]]&gt;0,VLOOKUP(_1_5412845612146241046457891017456[[#This Row],[Type]],Main[[#All],[TYPE]:[UNIT]],'Unit Price'!D$1,FALSE),0)</f>
        <v>0</v>
      </c>
      <c r="I866" s="194">
        <f>IF(_1_5412845612146241046457891017456[[#This Row],[Type]]&gt;0,VLOOKUP(_1_5412845612146241046457891017456[[#This Row],[Type]],Main[[#All],[TYPE]:[UNIT]],'Unit Price'!G$1,FALSE),0)</f>
        <v>0</v>
      </c>
      <c r="J866" s="194">
        <f>IF(_1_5412845612146241046457891017456[[#This Row],[Type]]&gt;0,VLOOKUP(_1_5412845612146241046457891017456[[#This Row],[Type]],Main[[#All],[TYPE]:[UNIT]],'Unit Price'!H$1,FALSE),0)</f>
        <v>0</v>
      </c>
      <c r="K866" s="194">
        <f>IF(_1_5412845612146241046457891017456[[#This Row],[Discount selection]]&gt;0,VLOOKUP(_1_5412845612146241046457891017456[[#This Row],[Discount selection]],'Discount Structure'!$A$2:$B$30,2,"false"),0)</f>
        <v>1</v>
      </c>
      <c r="L866" s="194">
        <f>_1_5412845612146241046457891017456[[#This Row],[LIST $]]*_1_5412845612146241046457891017456[[#This Row],[DISCOUNT]]*_1_5412845612146241046457891017456[[#This Row],[DISCOUNT 2]]</f>
        <v>0</v>
      </c>
      <c r="M866" s="194">
        <f>IF(OR(_1_5412845612146241046457891017456[[#This Row],[UNIT]]&gt;0,_1_5412845612146241046457891017456[[#This Row],[UNIT]]&lt;0),_1_5412845612146241046457891017456[[#This Row],[UNIT]]*_1_5412845612146241046457891017456[[#This Row],[COST]],0)</f>
        <v>0</v>
      </c>
      <c r="N866" s="194">
        <f t="shared" si="13"/>
        <v>1.3</v>
      </c>
      <c r="O866" s="198">
        <f>_1_5412845612146241046457891017456[[#This Row],[TOTAL]]*_1_5412845612146241046457891017456[[#This Row],[MARGIN]]</f>
        <v>0</v>
      </c>
      <c r="P866" s="198"/>
      <c r="R866" s="41"/>
    </row>
    <row r="867" spans="4:18">
      <c r="D867" s="188"/>
      <c r="E867" s="42"/>
      <c r="F867" s="168" t="s">
        <v>6202</v>
      </c>
      <c r="G867" s="193">
        <f>IF(_1_5412845612146241046457891017456[[#This Row],[Type]]&gt;0,VLOOKUP(_1_5412845612146241046457891017456[[#This Row],[Type]],Main[[#All],[TYPE]:[UNIT]],'Unit Price'!C$1,FALSE),0)</f>
        <v>0</v>
      </c>
      <c r="H867" s="197">
        <f>IF(_1_5412845612146241046457891017456[[#This Row],[Type]]&gt;0,VLOOKUP(_1_5412845612146241046457891017456[[#This Row],[Type]],Main[[#All],[TYPE]:[UNIT]],'Unit Price'!D$1,FALSE),0)</f>
        <v>0</v>
      </c>
      <c r="I867" s="194">
        <f>IF(_1_5412845612146241046457891017456[[#This Row],[Type]]&gt;0,VLOOKUP(_1_5412845612146241046457891017456[[#This Row],[Type]],Main[[#All],[TYPE]:[UNIT]],'Unit Price'!G$1,FALSE),0)</f>
        <v>0</v>
      </c>
      <c r="J867" s="194">
        <f>IF(_1_5412845612146241046457891017456[[#This Row],[Type]]&gt;0,VLOOKUP(_1_5412845612146241046457891017456[[#This Row],[Type]],Main[[#All],[TYPE]:[UNIT]],'Unit Price'!H$1,FALSE),0)</f>
        <v>0</v>
      </c>
      <c r="K867" s="194">
        <f>IF(_1_5412845612146241046457891017456[[#This Row],[Discount selection]]&gt;0,VLOOKUP(_1_5412845612146241046457891017456[[#This Row],[Discount selection]],'Discount Structure'!$A$2:$B$30,2,"false"),0)</f>
        <v>1</v>
      </c>
      <c r="L867" s="194">
        <f>_1_5412845612146241046457891017456[[#This Row],[LIST $]]*_1_5412845612146241046457891017456[[#This Row],[DISCOUNT]]*_1_5412845612146241046457891017456[[#This Row],[DISCOUNT 2]]</f>
        <v>0</v>
      </c>
      <c r="M867" s="194">
        <f>IF(OR(_1_5412845612146241046457891017456[[#This Row],[UNIT]]&gt;0,_1_5412845612146241046457891017456[[#This Row],[UNIT]]&lt;0),_1_5412845612146241046457891017456[[#This Row],[UNIT]]*_1_5412845612146241046457891017456[[#This Row],[COST]],0)</f>
        <v>0</v>
      </c>
      <c r="N867" s="194">
        <f t="shared" si="13"/>
        <v>1.3</v>
      </c>
      <c r="O867" s="198">
        <f>_1_5412845612146241046457891017456[[#This Row],[TOTAL]]*_1_5412845612146241046457891017456[[#This Row],[MARGIN]]</f>
        <v>0</v>
      </c>
      <c r="P867" s="198"/>
      <c r="R867" s="41"/>
    </row>
    <row r="868" spans="4:18">
      <c r="D868" s="188"/>
      <c r="E868" s="42"/>
      <c r="F868" s="168" t="s">
        <v>6202</v>
      </c>
      <c r="G868" s="193">
        <f>IF(_1_5412845612146241046457891017456[[#This Row],[Type]]&gt;0,VLOOKUP(_1_5412845612146241046457891017456[[#This Row],[Type]],Main[[#All],[TYPE]:[UNIT]],'Unit Price'!C$1,FALSE),0)</f>
        <v>0</v>
      </c>
      <c r="H868" s="197">
        <f>IF(_1_5412845612146241046457891017456[[#This Row],[Type]]&gt;0,VLOOKUP(_1_5412845612146241046457891017456[[#This Row],[Type]],Main[[#All],[TYPE]:[UNIT]],'Unit Price'!D$1,FALSE),0)</f>
        <v>0</v>
      </c>
      <c r="I868" s="194">
        <f>IF(_1_5412845612146241046457891017456[[#This Row],[Type]]&gt;0,VLOOKUP(_1_5412845612146241046457891017456[[#This Row],[Type]],Main[[#All],[TYPE]:[UNIT]],'Unit Price'!G$1,FALSE),0)</f>
        <v>0</v>
      </c>
      <c r="J868" s="194">
        <f>IF(_1_5412845612146241046457891017456[[#This Row],[Type]]&gt;0,VLOOKUP(_1_5412845612146241046457891017456[[#This Row],[Type]],Main[[#All],[TYPE]:[UNIT]],'Unit Price'!H$1,FALSE),0)</f>
        <v>0</v>
      </c>
      <c r="K868" s="194">
        <f>IF(_1_5412845612146241046457891017456[[#This Row],[Discount selection]]&gt;0,VLOOKUP(_1_5412845612146241046457891017456[[#This Row],[Discount selection]],'Discount Structure'!$A$2:$B$30,2,"false"),0)</f>
        <v>1</v>
      </c>
      <c r="L868" s="194">
        <f>_1_5412845612146241046457891017456[[#This Row],[LIST $]]*_1_5412845612146241046457891017456[[#This Row],[DISCOUNT]]*_1_5412845612146241046457891017456[[#This Row],[DISCOUNT 2]]</f>
        <v>0</v>
      </c>
      <c r="M868" s="194">
        <f>IF(OR(_1_5412845612146241046457891017456[[#This Row],[UNIT]]&gt;0,_1_5412845612146241046457891017456[[#This Row],[UNIT]]&lt;0),_1_5412845612146241046457891017456[[#This Row],[UNIT]]*_1_5412845612146241046457891017456[[#This Row],[COST]],0)</f>
        <v>0</v>
      </c>
      <c r="N868" s="194">
        <f t="shared" si="13"/>
        <v>1.3</v>
      </c>
      <c r="O868" s="198">
        <f>_1_5412845612146241046457891017456[[#This Row],[TOTAL]]*_1_5412845612146241046457891017456[[#This Row],[MARGIN]]</f>
        <v>0</v>
      </c>
      <c r="P868" s="198"/>
      <c r="R868" s="41"/>
    </row>
    <row r="869" spans="4:18">
      <c r="D869" s="188"/>
      <c r="E869" s="42"/>
      <c r="F869" s="168" t="s">
        <v>6202</v>
      </c>
      <c r="G869" s="193">
        <f>IF(_1_5412845612146241046457891017456[[#This Row],[Type]]&gt;0,VLOOKUP(_1_5412845612146241046457891017456[[#This Row],[Type]],Main[[#All],[TYPE]:[UNIT]],'Unit Price'!C$1,FALSE),0)</f>
        <v>0</v>
      </c>
      <c r="H869" s="197">
        <f>IF(_1_5412845612146241046457891017456[[#This Row],[Type]]&gt;0,VLOOKUP(_1_5412845612146241046457891017456[[#This Row],[Type]],Main[[#All],[TYPE]:[UNIT]],'Unit Price'!D$1,FALSE),0)</f>
        <v>0</v>
      </c>
      <c r="I869" s="194">
        <f>IF(_1_5412845612146241046457891017456[[#This Row],[Type]]&gt;0,VLOOKUP(_1_5412845612146241046457891017456[[#This Row],[Type]],Main[[#All],[TYPE]:[UNIT]],'Unit Price'!G$1,FALSE),0)</f>
        <v>0</v>
      </c>
      <c r="J869" s="194">
        <f>IF(_1_5412845612146241046457891017456[[#This Row],[Type]]&gt;0,VLOOKUP(_1_5412845612146241046457891017456[[#This Row],[Type]],Main[[#All],[TYPE]:[UNIT]],'Unit Price'!H$1,FALSE),0)</f>
        <v>0</v>
      </c>
      <c r="K869" s="194">
        <f>IF(_1_5412845612146241046457891017456[[#This Row],[Discount selection]]&gt;0,VLOOKUP(_1_5412845612146241046457891017456[[#This Row],[Discount selection]],'Discount Structure'!$A$2:$B$30,2,"false"),0)</f>
        <v>1</v>
      </c>
      <c r="L869" s="194">
        <f>_1_5412845612146241046457891017456[[#This Row],[LIST $]]*_1_5412845612146241046457891017456[[#This Row],[DISCOUNT]]*_1_5412845612146241046457891017456[[#This Row],[DISCOUNT 2]]</f>
        <v>0</v>
      </c>
      <c r="M869" s="194">
        <f>IF(OR(_1_5412845612146241046457891017456[[#This Row],[UNIT]]&gt;0,_1_5412845612146241046457891017456[[#This Row],[UNIT]]&lt;0),_1_5412845612146241046457891017456[[#This Row],[UNIT]]*_1_5412845612146241046457891017456[[#This Row],[COST]],0)</f>
        <v>0</v>
      </c>
      <c r="N869" s="194">
        <f t="shared" si="13"/>
        <v>1.3</v>
      </c>
      <c r="O869" s="198">
        <f>_1_5412845612146241046457891017456[[#This Row],[TOTAL]]*_1_5412845612146241046457891017456[[#This Row],[MARGIN]]</f>
        <v>0</v>
      </c>
      <c r="P869" s="198"/>
      <c r="R869" s="41"/>
    </row>
    <row r="870" spans="4:18">
      <c r="D870" s="188"/>
      <c r="E870" s="42"/>
      <c r="F870" s="168" t="s">
        <v>6202</v>
      </c>
      <c r="G870" s="193">
        <f>IF(_1_5412845612146241046457891017456[[#This Row],[Type]]&gt;0,VLOOKUP(_1_5412845612146241046457891017456[[#This Row],[Type]],Main[[#All],[TYPE]:[UNIT]],'Unit Price'!C$1,FALSE),0)</f>
        <v>0</v>
      </c>
      <c r="H870" s="197">
        <f>IF(_1_5412845612146241046457891017456[[#This Row],[Type]]&gt;0,VLOOKUP(_1_5412845612146241046457891017456[[#This Row],[Type]],Main[[#All],[TYPE]:[UNIT]],'Unit Price'!D$1,FALSE),0)</f>
        <v>0</v>
      </c>
      <c r="I870" s="194">
        <f>IF(_1_5412845612146241046457891017456[[#This Row],[Type]]&gt;0,VLOOKUP(_1_5412845612146241046457891017456[[#This Row],[Type]],Main[[#All],[TYPE]:[UNIT]],'Unit Price'!G$1,FALSE),0)</f>
        <v>0</v>
      </c>
      <c r="J870" s="194">
        <f>IF(_1_5412845612146241046457891017456[[#This Row],[Type]]&gt;0,VLOOKUP(_1_5412845612146241046457891017456[[#This Row],[Type]],Main[[#All],[TYPE]:[UNIT]],'Unit Price'!H$1,FALSE),0)</f>
        <v>0</v>
      </c>
      <c r="K870" s="194">
        <f>IF(_1_5412845612146241046457891017456[[#This Row],[Discount selection]]&gt;0,VLOOKUP(_1_5412845612146241046457891017456[[#This Row],[Discount selection]],'Discount Structure'!$A$2:$B$30,2,"false"),0)</f>
        <v>1</v>
      </c>
      <c r="L870" s="194">
        <f>_1_5412845612146241046457891017456[[#This Row],[LIST $]]*_1_5412845612146241046457891017456[[#This Row],[DISCOUNT]]*_1_5412845612146241046457891017456[[#This Row],[DISCOUNT 2]]</f>
        <v>0</v>
      </c>
      <c r="M870" s="194">
        <f>IF(OR(_1_5412845612146241046457891017456[[#This Row],[UNIT]]&gt;0,_1_5412845612146241046457891017456[[#This Row],[UNIT]]&lt;0),_1_5412845612146241046457891017456[[#This Row],[UNIT]]*_1_5412845612146241046457891017456[[#This Row],[COST]],0)</f>
        <v>0</v>
      </c>
      <c r="N870" s="194">
        <f t="shared" si="13"/>
        <v>1.3</v>
      </c>
      <c r="O870" s="198">
        <f>_1_5412845612146241046457891017456[[#This Row],[TOTAL]]*_1_5412845612146241046457891017456[[#This Row],[MARGIN]]</f>
        <v>0</v>
      </c>
      <c r="P870" s="198"/>
      <c r="R870" s="41"/>
    </row>
    <row r="871" spans="4:18">
      <c r="D871" s="188"/>
      <c r="E871" s="42"/>
      <c r="F871" s="168" t="s">
        <v>6202</v>
      </c>
      <c r="G871" s="193">
        <f>IF(_1_5412845612146241046457891017456[[#This Row],[Type]]&gt;0,VLOOKUP(_1_5412845612146241046457891017456[[#This Row],[Type]],Main[[#All],[TYPE]:[UNIT]],'Unit Price'!C$1,FALSE),0)</f>
        <v>0</v>
      </c>
      <c r="H871" s="197">
        <f>IF(_1_5412845612146241046457891017456[[#This Row],[Type]]&gt;0,VLOOKUP(_1_5412845612146241046457891017456[[#This Row],[Type]],Main[[#All],[TYPE]:[UNIT]],'Unit Price'!D$1,FALSE),0)</f>
        <v>0</v>
      </c>
      <c r="I871" s="194">
        <f>IF(_1_5412845612146241046457891017456[[#This Row],[Type]]&gt;0,VLOOKUP(_1_5412845612146241046457891017456[[#This Row],[Type]],Main[[#All],[TYPE]:[UNIT]],'Unit Price'!G$1,FALSE),0)</f>
        <v>0</v>
      </c>
      <c r="J871" s="194">
        <f>IF(_1_5412845612146241046457891017456[[#This Row],[Type]]&gt;0,VLOOKUP(_1_5412845612146241046457891017456[[#This Row],[Type]],Main[[#All],[TYPE]:[UNIT]],'Unit Price'!H$1,FALSE),0)</f>
        <v>0</v>
      </c>
      <c r="K871" s="194">
        <f>IF(_1_5412845612146241046457891017456[[#This Row],[Discount selection]]&gt;0,VLOOKUP(_1_5412845612146241046457891017456[[#This Row],[Discount selection]],'Discount Structure'!$A$2:$B$30,2,"false"),0)</f>
        <v>1</v>
      </c>
      <c r="L871" s="194">
        <f>_1_5412845612146241046457891017456[[#This Row],[LIST $]]*_1_5412845612146241046457891017456[[#This Row],[DISCOUNT]]*_1_5412845612146241046457891017456[[#This Row],[DISCOUNT 2]]</f>
        <v>0</v>
      </c>
      <c r="M871" s="194">
        <f>IF(OR(_1_5412845612146241046457891017456[[#This Row],[UNIT]]&gt;0,_1_5412845612146241046457891017456[[#This Row],[UNIT]]&lt;0),_1_5412845612146241046457891017456[[#This Row],[UNIT]]*_1_5412845612146241046457891017456[[#This Row],[COST]],0)</f>
        <v>0</v>
      </c>
      <c r="N871" s="194">
        <f t="shared" si="13"/>
        <v>1.3</v>
      </c>
      <c r="O871" s="198">
        <f>_1_5412845612146241046457891017456[[#This Row],[TOTAL]]*_1_5412845612146241046457891017456[[#This Row],[MARGIN]]</f>
        <v>0</v>
      </c>
      <c r="P871" s="198"/>
      <c r="R871" s="41"/>
    </row>
    <row r="872" spans="4:18">
      <c r="D872" s="188"/>
      <c r="E872" s="42"/>
      <c r="F872" s="168" t="s">
        <v>6202</v>
      </c>
      <c r="G872" s="193">
        <f>IF(_1_5412845612146241046457891017456[[#This Row],[Type]]&gt;0,VLOOKUP(_1_5412845612146241046457891017456[[#This Row],[Type]],Main[[#All],[TYPE]:[UNIT]],'Unit Price'!C$1,FALSE),0)</f>
        <v>0</v>
      </c>
      <c r="H872" s="197">
        <f>IF(_1_5412845612146241046457891017456[[#This Row],[Type]]&gt;0,VLOOKUP(_1_5412845612146241046457891017456[[#This Row],[Type]],Main[[#All],[TYPE]:[UNIT]],'Unit Price'!D$1,FALSE),0)</f>
        <v>0</v>
      </c>
      <c r="I872" s="194">
        <f>IF(_1_5412845612146241046457891017456[[#This Row],[Type]]&gt;0,VLOOKUP(_1_5412845612146241046457891017456[[#This Row],[Type]],Main[[#All],[TYPE]:[UNIT]],'Unit Price'!G$1,FALSE),0)</f>
        <v>0</v>
      </c>
      <c r="J872" s="194">
        <f>IF(_1_5412845612146241046457891017456[[#This Row],[Type]]&gt;0,VLOOKUP(_1_5412845612146241046457891017456[[#This Row],[Type]],Main[[#All],[TYPE]:[UNIT]],'Unit Price'!H$1,FALSE),0)</f>
        <v>0</v>
      </c>
      <c r="K872" s="194">
        <f>IF(_1_5412845612146241046457891017456[[#This Row],[Discount selection]]&gt;0,VLOOKUP(_1_5412845612146241046457891017456[[#This Row],[Discount selection]],'Discount Structure'!$A$2:$B$30,2,"false"),0)</f>
        <v>1</v>
      </c>
      <c r="L872" s="194">
        <f>_1_5412845612146241046457891017456[[#This Row],[LIST $]]*_1_5412845612146241046457891017456[[#This Row],[DISCOUNT]]*_1_5412845612146241046457891017456[[#This Row],[DISCOUNT 2]]</f>
        <v>0</v>
      </c>
      <c r="M872" s="194">
        <f>IF(OR(_1_5412845612146241046457891017456[[#This Row],[UNIT]]&gt;0,_1_5412845612146241046457891017456[[#This Row],[UNIT]]&lt;0),_1_5412845612146241046457891017456[[#This Row],[UNIT]]*_1_5412845612146241046457891017456[[#This Row],[COST]],0)</f>
        <v>0</v>
      </c>
      <c r="N872" s="194">
        <f t="shared" si="13"/>
        <v>1.3</v>
      </c>
      <c r="O872" s="198">
        <f>_1_5412845612146241046457891017456[[#This Row],[TOTAL]]*_1_5412845612146241046457891017456[[#This Row],[MARGIN]]</f>
        <v>0</v>
      </c>
      <c r="P872" s="198"/>
      <c r="R872" s="41"/>
    </row>
    <row r="873" spans="4:18">
      <c r="D873" s="188"/>
      <c r="E873" s="42"/>
      <c r="F873" s="168" t="s">
        <v>6202</v>
      </c>
      <c r="G873" s="193">
        <f>IF(_1_5412845612146241046457891017456[[#This Row],[Type]]&gt;0,VLOOKUP(_1_5412845612146241046457891017456[[#This Row],[Type]],Main[[#All],[TYPE]:[UNIT]],'Unit Price'!C$1,FALSE),0)</f>
        <v>0</v>
      </c>
      <c r="H873" s="197">
        <f>IF(_1_5412845612146241046457891017456[[#This Row],[Type]]&gt;0,VLOOKUP(_1_5412845612146241046457891017456[[#This Row],[Type]],Main[[#All],[TYPE]:[UNIT]],'Unit Price'!D$1,FALSE),0)</f>
        <v>0</v>
      </c>
      <c r="I873" s="194">
        <f>IF(_1_5412845612146241046457891017456[[#This Row],[Type]]&gt;0,VLOOKUP(_1_5412845612146241046457891017456[[#This Row],[Type]],Main[[#All],[TYPE]:[UNIT]],'Unit Price'!G$1,FALSE),0)</f>
        <v>0</v>
      </c>
      <c r="J873" s="194">
        <f>IF(_1_5412845612146241046457891017456[[#This Row],[Type]]&gt;0,VLOOKUP(_1_5412845612146241046457891017456[[#This Row],[Type]],Main[[#All],[TYPE]:[UNIT]],'Unit Price'!H$1,FALSE),0)</f>
        <v>0</v>
      </c>
      <c r="K873" s="194">
        <f>IF(_1_5412845612146241046457891017456[[#This Row],[Discount selection]]&gt;0,VLOOKUP(_1_5412845612146241046457891017456[[#This Row],[Discount selection]],'Discount Structure'!$A$2:$B$30,2,"false"),0)</f>
        <v>1</v>
      </c>
      <c r="L873" s="194">
        <f>_1_5412845612146241046457891017456[[#This Row],[LIST $]]*_1_5412845612146241046457891017456[[#This Row],[DISCOUNT]]*_1_5412845612146241046457891017456[[#This Row],[DISCOUNT 2]]</f>
        <v>0</v>
      </c>
      <c r="M873" s="194">
        <f>IF(OR(_1_5412845612146241046457891017456[[#This Row],[UNIT]]&gt;0,_1_5412845612146241046457891017456[[#This Row],[UNIT]]&lt;0),_1_5412845612146241046457891017456[[#This Row],[UNIT]]*_1_5412845612146241046457891017456[[#This Row],[COST]],0)</f>
        <v>0</v>
      </c>
      <c r="N873" s="194">
        <f t="shared" si="13"/>
        <v>1.3</v>
      </c>
      <c r="O873" s="198">
        <f>_1_5412845612146241046457891017456[[#This Row],[TOTAL]]*_1_5412845612146241046457891017456[[#This Row],[MARGIN]]</f>
        <v>0</v>
      </c>
      <c r="P873" s="198"/>
      <c r="R873" s="41"/>
    </row>
    <row r="874" spans="4:18">
      <c r="D874" s="188"/>
      <c r="E874" s="42"/>
      <c r="F874" s="168" t="s">
        <v>6202</v>
      </c>
      <c r="G874" s="193">
        <f>IF(_1_5412845612146241046457891017456[[#This Row],[Type]]&gt;0,VLOOKUP(_1_5412845612146241046457891017456[[#This Row],[Type]],Main[[#All],[TYPE]:[UNIT]],'Unit Price'!C$1,FALSE),0)</f>
        <v>0</v>
      </c>
      <c r="H874" s="197">
        <f>IF(_1_5412845612146241046457891017456[[#This Row],[Type]]&gt;0,VLOOKUP(_1_5412845612146241046457891017456[[#This Row],[Type]],Main[[#All],[TYPE]:[UNIT]],'Unit Price'!D$1,FALSE),0)</f>
        <v>0</v>
      </c>
      <c r="I874" s="194">
        <f>IF(_1_5412845612146241046457891017456[[#This Row],[Type]]&gt;0,VLOOKUP(_1_5412845612146241046457891017456[[#This Row],[Type]],Main[[#All],[TYPE]:[UNIT]],'Unit Price'!G$1,FALSE),0)</f>
        <v>0</v>
      </c>
      <c r="J874" s="194">
        <f>IF(_1_5412845612146241046457891017456[[#This Row],[Type]]&gt;0,VLOOKUP(_1_5412845612146241046457891017456[[#This Row],[Type]],Main[[#All],[TYPE]:[UNIT]],'Unit Price'!H$1,FALSE),0)</f>
        <v>0</v>
      </c>
      <c r="K874" s="194">
        <f>IF(_1_5412845612146241046457891017456[[#This Row],[Discount selection]]&gt;0,VLOOKUP(_1_5412845612146241046457891017456[[#This Row],[Discount selection]],'Discount Structure'!$A$2:$B$30,2,"false"),0)</f>
        <v>1</v>
      </c>
      <c r="L874" s="194">
        <f>_1_5412845612146241046457891017456[[#This Row],[LIST $]]*_1_5412845612146241046457891017456[[#This Row],[DISCOUNT]]*_1_5412845612146241046457891017456[[#This Row],[DISCOUNT 2]]</f>
        <v>0</v>
      </c>
      <c r="M874" s="194">
        <f>IF(OR(_1_5412845612146241046457891017456[[#This Row],[UNIT]]&gt;0,_1_5412845612146241046457891017456[[#This Row],[UNIT]]&lt;0),_1_5412845612146241046457891017456[[#This Row],[UNIT]]*_1_5412845612146241046457891017456[[#This Row],[COST]],0)</f>
        <v>0</v>
      </c>
      <c r="N874" s="194">
        <f t="shared" si="13"/>
        <v>1.3</v>
      </c>
      <c r="O874" s="198">
        <f>_1_5412845612146241046457891017456[[#This Row],[TOTAL]]*_1_5412845612146241046457891017456[[#This Row],[MARGIN]]</f>
        <v>0</v>
      </c>
      <c r="P874" s="198"/>
      <c r="R874" s="41"/>
    </row>
    <row r="875" spans="4:18">
      <c r="D875" s="188"/>
      <c r="E875" s="42"/>
      <c r="F875" s="168" t="s">
        <v>6202</v>
      </c>
      <c r="G875" s="193">
        <f>IF(_1_5412845612146241046457891017456[[#This Row],[Type]]&gt;0,VLOOKUP(_1_5412845612146241046457891017456[[#This Row],[Type]],Main[[#All],[TYPE]:[UNIT]],'Unit Price'!C$1,FALSE),0)</f>
        <v>0</v>
      </c>
      <c r="H875" s="197">
        <f>IF(_1_5412845612146241046457891017456[[#This Row],[Type]]&gt;0,VLOOKUP(_1_5412845612146241046457891017456[[#This Row],[Type]],Main[[#All],[TYPE]:[UNIT]],'Unit Price'!D$1,FALSE),0)</f>
        <v>0</v>
      </c>
      <c r="I875" s="194">
        <f>IF(_1_5412845612146241046457891017456[[#This Row],[Type]]&gt;0,VLOOKUP(_1_5412845612146241046457891017456[[#This Row],[Type]],Main[[#All],[TYPE]:[UNIT]],'Unit Price'!G$1,FALSE),0)</f>
        <v>0</v>
      </c>
      <c r="J875" s="194">
        <f>IF(_1_5412845612146241046457891017456[[#This Row],[Type]]&gt;0,VLOOKUP(_1_5412845612146241046457891017456[[#This Row],[Type]],Main[[#All],[TYPE]:[UNIT]],'Unit Price'!H$1,FALSE),0)</f>
        <v>0</v>
      </c>
      <c r="K875" s="194">
        <f>IF(_1_5412845612146241046457891017456[[#This Row],[Discount selection]]&gt;0,VLOOKUP(_1_5412845612146241046457891017456[[#This Row],[Discount selection]],'Discount Structure'!$A$2:$B$30,2,"false"),0)</f>
        <v>1</v>
      </c>
      <c r="L875" s="194">
        <f>_1_5412845612146241046457891017456[[#This Row],[LIST $]]*_1_5412845612146241046457891017456[[#This Row],[DISCOUNT]]*_1_5412845612146241046457891017456[[#This Row],[DISCOUNT 2]]</f>
        <v>0</v>
      </c>
      <c r="M875" s="194">
        <f>IF(OR(_1_5412845612146241046457891017456[[#This Row],[UNIT]]&gt;0,_1_5412845612146241046457891017456[[#This Row],[UNIT]]&lt;0),_1_5412845612146241046457891017456[[#This Row],[UNIT]]*_1_5412845612146241046457891017456[[#This Row],[COST]],0)</f>
        <v>0</v>
      </c>
      <c r="N875" s="194">
        <f t="shared" si="13"/>
        <v>1.3</v>
      </c>
      <c r="O875" s="198">
        <f>_1_5412845612146241046457891017456[[#This Row],[TOTAL]]*_1_5412845612146241046457891017456[[#This Row],[MARGIN]]</f>
        <v>0</v>
      </c>
      <c r="P875" s="198"/>
      <c r="R875" s="41"/>
    </row>
    <row r="876" spans="4:18">
      <c r="D876" s="188"/>
      <c r="E876" s="42"/>
      <c r="F876" s="168" t="s">
        <v>6202</v>
      </c>
      <c r="G876" s="193">
        <f>IF(_1_5412845612146241046457891017456[[#This Row],[Type]]&gt;0,VLOOKUP(_1_5412845612146241046457891017456[[#This Row],[Type]],Main[[#All],[TYPE]:[UNIT]],'Unit Price'!C$1,FALSE),0)</f>
        <v>0</v>
      </c>
      <c r="H876" s="197">
        <f>IF(_1_5412845612146241046457891017456[[#This Row],[Type]]&gt;0,VLOOKUP(_1_5412845612146241046457891017456[[#This Row],[Type]],Main[[#All],[TYPE]:[UNIT]],'Unit Price'!D$1,FALSE),0)</f>
        <v>0</v>
      </c>
      <c r="I876" s="194">
        <f>IF(_1_5412845612146241046457891017456[[#This Row],[Type]]&gt;0,VLOOKUP(_1_5412845612146241046457891017456[[#This Row],[Type]],Main[[#All],[TYPE]:[UNIT]],'Unit Price'!G$1,FALSE),0)</f>
        <v>0</v>
      </c>
      <c r="J876" s="194">
        <f>IF(_1_5412845612146241046457891017456[[#This Row],[Type]]&gt;0,VLOOKUP(_1_5412845612146241046457891017456[[#This Row],[Type]],Main[[#All],[TYPE]:[UNIT]],'Unit Price'!H$1,FALSE),0)</f>
        <v>0</v>
      </c>
      <c r="K876" s="194">
        <f>IF(_1_5412845612146241046457891017456[[#This Row],[Discount selection]]&gt;0,VLOOKUP(_1_5412845612146241046457891017456[[#This Row],[Discount selection]],'Discount Structure'!$A$2:$B$30,2,"false"),0)</f>
        <v>1</v>
      </c>
      <c r="L876" s="194">
        <f>_1_5412845612146241046457891017456[[#This Row],[LIST $]]*_1_5412845612146241046457891017456[[#This Row],[DISCOUNT]]*_1_5412845612146241046457891017456[[#This Row],[DISCOUNT 2]]</f>
        <v>0</v>
      </c>
      <c r="M876" s="194">
        <f>IF(OR(_1_5412845612146241046457891017456[[#This Row],[UNIT]]&gt;0,_1_5412845612146241046457891017456[[#This Row],[UNIT]]&lt;0),_1_5412845612146241046457891017456[[#This Row],[UNIT]]*_1_5412845612146241046457891017456[[#This Row],[COST]],0)</f>
        <v>0</v>
      </c>
      <c r="N876" s="194">
        <f t="shared" si="13"/>
        <v>1.3</v>
      </c>
      <c r="O876" s="198">
        <f>_1_5412845612146241046457891017456[[#This Row],[TOTAL]]*_1_5412845612146241046457891017456[[#This Row],[MARGIN]]</f>
        <v>0</v>
      </c>
      <c r="P876" s="198"/>
      <c r="R876" s="41"/>
    </row>
    <row r="877" spans="4:18">
      <c r="D877" s="188"/>
      <c r="E877" s="42"/>
      <c r="F877" s="168" t="s">
        <v>6202</v>
      </c>
      <c r="G877" s="193">
        <f>IF(_1_5412845612146241046457891017456[[#This Row],[Type]]&gt;0,VLOOKUP(_1_5412845612146241046457891017456[[#This Row],[Type]],Main[[#All],[TYPE]:[UNIT]],'Unit Price'!C$1,FALSE),0)</f>
        <v>0</v>
      </c>
      <c r="H877" s="197">
        <f>IF(_1_5412845612146241046457891017456[[#This Row],[Type]]&gt;0,VLOOKUP(_1_5412845612146241046457891017456[[#This Row],[Type]],Main[[#All],[TYPE]:[UNIT]],'Unit Price'!D$1,FALSE),0)</f>
        <v>0</v>
      </c>
      <c r="I877" s="194">
        <f>IF(_1_5412845612146241046457891017456[[#This Row],[Type]]&gt;0,VLOOKUP(_1_5412845612146241046457891017456[[#This Row],[Type]],Main[[#All],[TYPE]:[UNIT]],'Unit Price'!G$1,FALSE),0)</f>
        <v>0</v>
      </c>
      <c r="J877" s="194">
        <f>IF(_1_5412845612146241046457891017456[[#This Row],[Type]]&gt;0,VLOOKUP(_1_5412845612146241046457891017456[[#This Row],[Type]],Main[[#All],[TYPE]:[UNIT]],'Unit Price'!H$1,FALSE),0)</f>
        <v>0</v>
      </c>
      <c r="K877" s="194">
        <f>IF(_1_5412845612146241046457891017456[[#This Row],[Discount selection]]&gt;0,VLOOKUP(_1_5412845612146241046457891017456[[#This Row],[Discount selection]],'Discount Structure'!$A$2:$B$30,2,"false"),0)</f>
        <v>1</v>
      </c>
      <c r="L877" s="194">
        <f>_1_5412845612146241046457891017456[[#This Row],[LIST $]]*_1_5412845612146241046457891017456[[#This Row],[DISCOUNT]]*_1_5412845612146241046457891017456[[#This Row],[DISCOUNT 2]]</f>
        <v>0</v>
      </c>
      <c r="M877" s="194">
        <f>IF(OR(_1_5412845612146241046457891017456[[#This Row],[UNIT]]&gt;0,_1_5412845612146241046457891017456[[#This Row],[UNIT]]&lt;0),_1_5412845612146241046457891017456[[#This Row],[UNIT]]*_1_5412845612146241046457891017456[[#This Row],[COST]],0)</f>
        <v>0</v>
      </c>
      <c r="N877" s="194">
        <f t="shared" si="13"/>
        <v>1.3</v>
      </c>
      <c r="O877" s="198">
        <f>_1_5412845612146241046457891017456[[#This Row],[TOTAL]]*_1_5412845612146241046457891017456[[#This Row],[MARGIN]]</f>
        <v>0</v>
      </c>
      <c r="P877" s="198"/>
      <c r="R877" s="41"/>
    </row>
    <row r="878" spans="4:18">
      <c r="D878" s="188"/>
      <c r="E878" s="42"/>
      <c r="F878" s="168" t="s">
        <v>6202</v>
      </c>
      <c r="G878" s="193">
        <f>IF(_1_5412845612146241046457891017456[[#This Row],[Type]]&gt;0,VLOOKUP(_1_5412845612146241046457891017456[[#This Row],[Type]],Main[[#All],[TYPE]:[UNIT]],'Unit Price'!C$1,FALSE),0)</f>
        <v>0</v>
      </c>
      <c r="H878" s="197">
        <f>IF(_1_5412845612146241046457891017456[[#This Row],[Type]]&gt;0,VLOOKUP(_1_5412845612146241046457891017456[[#This Row],[Type]],Main[[#All],[TYPE]:[UNIT]],'Unit Price'!D$1,FALSE),0)</f>
        <v>0</v>
      </c>
      <c r="I878" s="194">
        <f>IF(_1_5412845612146241046457891017456[[#This Row],[Type]]&gt;0,VLOOKUP(_1_5412845612146241046457891017456[[#This Row],[Type]],Main[[#All],[TYPE]:[UNIT]],'Unit Price'!G$1,FALSE),0)</f>
        <v>0</v>
      </c>
      <c r="J878" s="194">
        <f>IF(_1_5412845612146241046457891017456[[#This Row],[Type]]&gt;0,VLOOKUP(_1_5412845612146241046457891017456[[#This Row],[Type]],Main[[#All],[TYPE]:[UNIT]],'Unit Price'!H$1,FALSE),0)</f>
        <v>0</v>
      </c>
      <c r="K878" s="194">
        <f>IF(_1_5412845612146241046457891017456[[#This Row],[Discount selection]]&gt;0,VLOOKUP(_1_5412845612146241046457891017456[[#This Row],[Discount selection]],'Discount Structure'!$A$2:$B$30,2,"false"),0)</f>
        <v>1</v>
      </c>
      <c r="L878" s="194">
        <f>_1_5412845612146241046457891017456[[#This Row],[LIST $]]*_1_5412845612146241046457891017456[[#This Row],[DISCOUNT]]*_1_5412845612146241046457891017456[[#This Row],[DISCOUNT 2]]</f>
        <v>0</v>
      </c>
      <c r="M878" s="194">
        <f>IF(OR(_1_5412845612146241046457891017456[[#This Row],[UNIT]]&gt;0,_1_5412845612146241046457891017456[[#This Row],[UNIT]]&lt;0),_1_5412845612146241046457891017456[[#This Row],[UNIT]]*_1_5412845612146241046457891017456[[#This Row],[COST]],0)</f>
        <v>0</v>
      </c>
      <c r="N878" s="194">
        <f t="shared" si="13"/>
        <v>1.3</v>
      </c>
      <c r="O878" s="198">
        <f>_1_5412845612146241046457891017456[[#This Row],[TOTAL]]*_1_5412845612146241046457891017456[[#This Row],[MARGIN]]</f>
        <v>0</v>
      </c>
      <c r="P878" s="198"/>
      <c r="R878" s="41"/>
    </row>
    <row r="879" spans="4:18">
      <c r="D879" s="188"/>
      <c r="E879" s="42"/>
      <c r="F879" s="168" t="s">
        <v>6202</v>
      </c>
      <c r="G879" s="193">
        <f>IF(_1_5412845612146241046457891017456[[#This Row],[Type]]&gt;0,VLOOKUP(_1_5412845612146241046457891017456[[#This Row],[Type]],Main[[#All],[TYPE]:[UNIT]],'Unit Price'!C$1,FALSE),0)</f>
        <v>0</v>
      </c>
      <c r="H879" s="197">
        <f>IF(_1_5412845612146241046457891017456[[#This Row],[Type]]&gt;0,VLOOKUP(_1_5412845612146241046457891017456[[#This Row],[Type]],Main[[#All],[TYPE]:[UNIT]],'Unit Price'!D$1,FALSE),0)</f>
        <v>0</v>
      </c>
      <c r="I879" s="194">
        <f>IF(_1_5412845612146241046457891017456[[#This Row],[Type]]&gt;0,VLOOKUP(_1_5412845612146241046457891017456[[#This Row],[Type]],Main[[#All],[TYPE]:[UNIT]],'Unit Price'!G$1,FALSE),0)</f>
        <v>0</v>
      </c>
      <c r="J879" s="194">
        <f>IF(_1_5412845612146241046457891017456[[#This Row],[Type]]&gt;0,VLOOKUP(_1_5412845612146241046457891017456[[#This Row],[Type]],Main[[#All],[TYPE]:[UNIT]],'Unit Price'!H$1,FALSE),0)</f>
        <v>0</v>
      </c>
      <c r="K879" s="194">
        <f>IF(_1_5412845612146241046457891017456[[#This Row],[Discount selection]]&gt;0,VLOOKUP(_1_5412845612146241046457891017456[[#This Row],[Discount selection]],'Discount Structure'!$A$2:$B$30,2,"false"),0)</f>
        <v>1</v>
      </c>
      <c r="L879" s="194">
        <f>_1_5412845612146241046457891017456[[#This Row],[LIST $]]*_1_5412845612146241046457891017456[[#This Row],[DISCOUNT]]*_1_5412845612146241046457891017456[[#This Row],[DISCOUNT 2]]</f>
        <v>0</v>
      </c>
      <c r="M879" s="194">
        <f>IF(OR(_1_5412845612146241046457891017456[[#This Row],[UNIT]]&gt;0,_1_5412845612146241046457891017456[[#This Row],[UNIT]]&lt;0),_1_5412845612146241046457891017456[[#This Row],[UNIT]]*_1_5412845612146241046457891017456[[#This Row],[COST]],0)</f>
        <v>0</v>
      </c>
      <c r="N879" s="194">
        <f t="shared" si="13"/>
        <v>1.3</v>
      </c>
      <c r="O879" s="198">
        <f>_1_5412845612146241046457891017456[[#This Row],[TOTAL]]*_1_5412845612146241046457891017456[[#This Row],[MARGIN]]</f>
        <v>0</v>
      </c>
      <c r="P879" s="198"/>
      <c r="R879" s="41"/>
    </row>
    <row r="880" spans="4:18">
      <c r="D880" s="188"/>
      <c r="E880" s="42"/>
      <c r="F880" s="168" t="s">
        <v>6202</v>
      </c>
      <c r="G880" s="193">
        <f>IF(_1_5412845612146241046457891017456[[#This Row],[Type]]&gt;0,VLOOKUP(_1_5412845612146241046457891017456[[#This Row],[Type]],Main[[#All],[TYPE]:[UNIT]],'Unit Price'!C$1,FALSE),0)</f>
        <v>0</v>
      </c>
      <c r="H880" s="197">
        <f>IF(_1_5412845612146241046457891017456[[#This Row],[Type]]&gt;0,VLOOKUP(_1_5412845612146241046457891017456[[#This Row],[Type]],Main[[#All],[TYPE]:[UNIT]],'Unit Price'!D$1,FALSE),0)</f>
        <v>0</v>
      </c>
      <c r="I880" s="194">
        <f>IF(_1_5412845612146241046457891017456[[#This Row],[Type]]&gt;0,VLOOKUP(_1_5412845612146241046457891017456[[#This Row],[Type]],Main[[#All],[TYPE]:[UNIT]],'Unit Price'!G$1,FALSE),0)</f>
        <v>0</v>
      </c>
      <c r="J880" s="194">
        <f>IF(_1_5412845612146241046457891017456[[#This Row],[Type]]&gt;0,VLOOKUP(_1_5412845612146241046457891017456[[#This Row],[Type]],Main[[#All],[TYPE]:[UNIT]],'Unit Price'!H$1,FALSE),0)</f>
        <v>0</v>
      </c>
      <c r="K880" s="194">
        <f>IF(_1_5412845612146241046457891017456[[#This Row],[Discount selection]]&gt;0,VLOOKUP(_1_5412845612146241046457891017456[[#This Row],[Discount selection]],'Discount Structure'!$A$2:$B$30,2,"false"),0)</f>
        <v>1</v>
      </c>
      <c r="L880" s="194">
        <f>_1_5412845612146241046457891017456[[#This Row],[LIST $]]*_1_5412845612146241046457891017456[[#This Row],[DISCOUNT]]*_1_5412845612146241046457891017456[[#This Row],[DISCOUNT 2]]</f>
        <v>0</v>
      </c>
      <c r="M880" s="194">
        <f>IF(OR(_1_5412845612146241046457891017456[[#This Row],[UNIT]]&gt;0,_1_5412845612146241046457891017456[[#This Row],[UNIT]]&lt;0),_1_5412845612146241046457891017456[[#This Row],[UNIT]]*_1_5412845612146241046457891017456[[#This Row],[COST]],0)</f>
        <v>0</v>
      </c>
      <c r="N880" s="194">
        <f t="shared" si="13"/>
        <v>1.3</v>
      </c>
      <c r="O880" s="198">
        <f>_1_5412845612146241046457891017456[[#This Row],[TOTAL]]*_1_5412845612146241046457891017456[[#This Row],[MARGIN]]</f>
        <v>0</v>
      </c>
      <c r="P880" s="198"/>
      <c r="R880" s="41"/>
    </row>
    <row r="881" spans="4:18">
      <c r="D881" s="188"/>
      <c r="E881" s="42"/>
      <c r="F881" s="168" t="s">
        <v>6202</v>
      </c>
      <c r="G881" s="193">
        <f>IF(_1_5412845612146241046457891017456[[#This Row],[Type]]&gt;0,VLOOKUP(_1_5412845612146241046457891017456[[#This Row],[Type]],Main[[#All],[TYPE]:[UNIT]],'Unit Price'!C$1,FALSE),0)</f>
        <v>0</v>
      </c>
      <c r="H881" s="197">
        <f>IF(_1_5412845612146241046457891017456[[#This Row],[Type]]&gt;0,VLOOKUP(_1_5412845612146241046457891017456[[#This Row],[Type]],Main[[#All],[TYPE]:[UNIT]],'Unit Price'!D$1,FALSE),0)</f>
        <v>0</v>
      </c>
      <c r="I881" s="194">
        <f>IF(_1_5412845612146241046457891017456[[#This Row],[Type]]&gt;0,VLOOKUP(_1_5412845612146241046457891017456[[#This Row],[Type]],Main[[#All],[TYPE]:[UNIT]],'Unit Price'!G$1,FALSE),0)</f>
        <v>0</v>
      </c>
      <c r="J881" s="194">
        <f>IF(_1_5412845612146241046457891017456[[#This Row],[Type]]&gt;0,VLOOKUP(_1_5412845612146241046457891017456[[#This Row],[Type]],Main[[#All],[TYPE]:[UNIT]],'Unit Price'!H$1,FALSE),0)</f>
        <v>0</v>
      </c>
      <c r="K881" s="194">
        <f>IF(_1_5412845612146241046457891017456[[#This Row],[Discount selection]]&gt;0,VLOOKUP(_1_5412845612146241046457891017456[[#This Row],[Discount selection]],'Discount Structure'!$A$2:$B$30,2,"false"),0)</f>
        <v>1</v>
      </c>
      <c r="L881" s="194">
        <f>_1_5412845612146241046457891017456[[#This Row],[LIST $]]*_1_5412845612146241046457891017456[[#This Row],[DISCOUNT]]*_1_5412845612146241046457891017456[[#This Row],[DISCOUNT 2]]</f>
        <v>0</v>
      </c>
      <c r="M881" s="194">
        <f>IF(OR(_1_5412845612146241046457891017456[[#This Row],[UNIT]]&gt;0,_1_5412845612146241046457891017456[[#This Row],[UNIT]]&lt;0),_1_5412845612146241046457891017456[[#This Row],[UNIT]]*_1_5412845612146241046457891017456[[#This Row],[COST]],0)</f>
        <v>0</v>
      </c>
      <c r="N881" s="194">
        <f t="shared" si="13"/>
        <v>1.3</v>
      </c>
      <c r="O881" s="198">
        <f>_1_5412845612146241046457891017456[[#This Row],[TOTAL]]*_1_5412845612146241046457891017456[[#This Row],[MARGIN]]</f>
        <v>0</v>
      </c>
      <c r="P881" s="198"/>
      <c r="R881" s="41"/>
    </row>
    <row r="882" spans="4:18">
      <c r="D882" s="188"/>
      <c r="E882" s="42"/>
      <c r="F882" s="168" t="s">
        <v>6202</v>
      </c>
      <c r="G882" s="193">
        <f>IF(_1_5412845612146241046457891017456[[#This Row],[Type]]&gt;0,VLOOKUP(_1_5412845612146241046457891017456[[#This Row],[Type]],Main[[#All],[TYPE]:[UNIT]],'Unit Price'!C$1,FALSE),0)</f>
        <v>0</v>
      </c>
      <c r="H882" s="197">
        <f>IF(_1_5412845612146241046457891017456[[#This Row],[Type]]&gt;0,VLOOKUP(_1_5412845612146241046457891017456[[#This Row],[Type]],Main[[#All],[TYPE]:[UNIT]],'Unit Price'!D$1,FALSE),0)</f>
        <v>0</v>
      </c>
      <c r="I882" s="194">
        <f>IF(_1_5412845612146241046457891017456[[#This Row],[Type]]&gt;0,VLOOKUP(_1_5412845612146241046457891017456[[#This Row],[Type]],Main[[#All],[TYPE]:[UNIT]],'Unit Price'!G$1,FALSE),0)</f>
        <v>0</v>
      </c>
      <c r="J882" s="194">
        <f>IF(_1_5412845612146241046457891017456[[#This Row],[Type]]&gt;0,VLOOKUP(_1_5412845612146241046457891017456[[#This Row],[Type]],Main[[#All],[TYPE]:[UNIT]],'Unit Price'!H$1,FALSE),0)</f>
        <v>0</v>
      </c>
      <c r="K882" s="194">
        <f>IF(_1_5412845612146241046457891017456[[#This Row],[Discount selection]]&gt;0,VLOOKUP(_1_5412845612146241046457891017456[[#This Row],[Discount selection]],'Discount Structure'!$A$2:$B$30,2,"false"),0)</f>
        <v>1</v>
      </c>
      <c r="L882" s="194">
        <f>_1_5412845612146241046457891017456[[#This Row],[LIST $]]*_1_5412845612146241046457891017456[[#This Row],[DISCOUNT]]*_1_5412845612146241046457891017456[[#This Row],[DISCOUNT 2]]</f>
        <v>0</v>
      </c>
      <c r="M882" s="194">
        <f>IF(OR(_1_5412845612146241046457891017456[[#This Row],[UNIT]]&gt;0,_1_5412845612146241046457891017456[[#This Row],[UNIT]]&lt;0),_1_5412845612146241046457891017456[[#This Row],[UNIT]]*_1_5412845612146241046457891017456[[#This Row],[COST]],0)</f>
        <v>0</v>
      </c>
      <c r="N882" s="194">
        <f t="shared" si="13"/>
        <v>1.3</v>
      </c>
      <c r="O882" s="198">
        <f>_1_5412845612146241046457891017456[[#This Row],[TOTAL]]*_1_5412845612146241046457891017456[[#This Row],[MARGIN]]</f>
        <v>0</v>
      </c>
      <c r="P882" s="198"/>
      <c r="R882" s="41"/>
    </row>
    <row r="883" spans="4:18">
      <c r="D883" s="188"/>
      <c r="E883" s="42"/>
      <c r="F883" s="168" t="s">
        <v>6202</v>
      </c>
      <c r="G883" s="193">
        <f>IF(_1_5412845612146241046457891017456[[#This Row],[Type]]&gt;0,VLOOKUP(_1_5412845612146241046457891017456[[#This Row],[Type]],Main[[#All],[TYPE]:[UNIT]],'Unit Price'!C$1,FALSE),0)</f>
        <v>0</v>
      </c>
      <c r="H883" s="197">
        <f>IF(_1_5412845612146241046457891017456[[#This Row],[Type]]&gt;0,VLOOKUP(_1_5412845612146241046457891017456[[#This Row],[Type]],Main[[#All],[TYPE]:[UNIT]],'Unit Price'!D$1,FALSE),0)</f>
        <v>0</v>
      </c>
      <c r="I883" s="194">
        <f>IF(_1_5412845612146241046457891017456[[#This Row],[Type]]&gt;0,VLOOKUP(_1_5412845612146241046457891017456[[#This Row],[Type]],Main[[#All],[TYPE]:[UNIT]],'Unit Price'!G$1,FALSE),0)</f>
        <v>0</v>
      </c>
      <c r="J883" s="194">
        <f>IF(_1_5412845612146241046457891017456[[#This Row],[Type]]&gt;0,VLOOKUP(_1_5412845612146241046457891017456[[#This Row],[Type]],Main[[#All],[TYPE]:[UNIT]],'Unit Price'!H$1,FALSE),0)</f>
        <v>0</v>
      </c>
      <c r="K883" s="194">
        <f>IF(_1_5412845612146241046457891017456[[#This Row],[Discount selection]]&gt;0,VLOOKUP(_1_5412845612146241046457891017456[[#This Row],[Discount selection]],'Discount Structure'!$A$2:$B$30,2,"false"),0)</f>
        <v>1</v>
      </c>
      <c r="L883" s="194">
        <f>_1_5412845612146241046457891017456[[#This Row],[LIST $]]*_1_5412845612146241046457891017456[[#This Row],[DISCOUNT]]*_1_5412845612146241046457891017456[[#This Row],[DISCOUNT 2]]</f>
        <v>0</v>
      </c>
      <c r="M883" s="194">
        <f>IF(OR(_1_5412845612146241046457891017456[[#This Row],[UNIT]]&gt;0,_1_5412845612146241046457891017456[[#This Row],[UNIT]]&lt;0),_1_5412845612146241046457891017456[[#This Row],[UNIT]]*_1_5412845612146241046457891017456[[#This Row],[COST]],0)</f>
        <v>0</v>
      </c>
      <c r="N883" s="194">
        <f t="shared" si="13"/>
        <v>1.3</v>
      </c>
      <c r="O883" s="198">
        <f>_1_5412845612146241046457891017456[[#This Row],[TOTAL]]*_1_5412845612146241046457891017456[[#This Row],[MARGIN]]</f>
        <v>0</v>
      </c>
      <c r="P883" s="198"/>
      <c r="R883" s="41"/>
    </row>
    <row r="884" spans="4:18">
      <c r="D884" s="188"/>
      <c r="E884" s="42"/>
      <c r="F884" s="168" t="s">
        <v>6202</v>
      </c>
      <c r="G884" s="193">
        <f>IF(_1_5412845612146241046457891017456[[#This Row],[Type]]&gt;0,VLOOKUP(_1_5412845612146241046457891017456[[#This Row],[Type]],Main[[#All],[TYPE]:[UNIT]],'Unit Price'!C$1,FALSE),0)</f>
        <v>0</v>
      </c>
      <c r="H884" s="197">
        <f>IF(_1_5412845612146241046457891017456[[#This Row],[Type]]&gt;0,VLOOKUP(_1_5412845612146241046457891017456[[#This Row],[Type]],Main[[#All],[TYPE]:[UNIT]],'Unit Price'!D$1,FALSE),0)</f>
        <v>0</v>
      </c>
      <c r="I884" s="194">
        <f>IF(_1_5412845612146241046457891017456[[#This Row],[Type]]&gt;0,VLOOKUP(_1_5412845612146241046457891017456[[#This Row],[Type]],Main[[#All],[TYPE]:[UNIT]],'Unit Price'!G$1,FALSE),0)</f>
        <v>0</v>
      </c>
      <c r="J884" s="194">
        <f>IF(_1_5412845612146241046457891017456[[#This Row],[Type]]&gt;0,VLOOKUP(_1_5412845612146241046457891017456[[#This Row],[Type]],Main[[#All],[TYPE]:[UNIT]],'Unit Price'!H$1,FALSE),0)</f>
        <v>0</v>
      </c>
      <c r="K884" s="194">
        <f>IF(_1_5412845612146241046457891017456[[#This Row],[Discount selection]]&gt;0,VLOOKUP(_1_5412845612146241046457891017456[[#This Row],[Discount selection]],'Discount Structure'!$A$2:$B$30,2,"false"),0)</f>
        <v>1</v>
      </c>
      <c r="L884" s="194">
        <f>_1_5412845612146241046457891017456[[#This Row],[LIST $]]*_1_5412845612146241046457891017456[[#This Row],[DISCOUNT]]*_1_5412845612146241046457891017456[[#This Row],[DISCOUNT 2]]</f>
        <v>0</v>
      </c>
      <c r="M884" s="194">
        <f>IF(OR(_1_5412845612146241046457891017456[[#This Row],[UNIT]]&gt;0,_1_5412845612146241046457891017456[[#This Row],[UNIT]]&lt;0),_1_5412845612146241046457891017456[[#This Row],[UNIT]]*_1_5412845612146241046457891017456[[#This Row],[COST]],0)</f>
        <v>0</v>
      </c>
      <c r="N884" s="194">
        <f t="shared" si="13"/>
        <v>1.3</v>
      </c>
      <c r="O884" s="198">
        <f>_1_5412845612146241046457891017456[[#This Row],[TOTAL]]*_1_5412845612146241046457891017456[[#This Row],[MARGIN]]</f>
        <v>0</v>
      </c>
      <c r="P884" s="198"/>
      <c r="R884" s="41"/>
    </row>
    <row r="885" spans="4:18">
      <c r="D885" s="188"/>
      <c r="E885" s="42"/>
      <c r="F885" s="168" t="s">
        <v>6202</v>
      </c>
      <c r="G885" s="193">
        <f>IF(_1_5412845612146241046457891017456[[#This Row],[Type]]&gt;0,VLOOKUP(_1_5412845612146241046457891017456[[#This Row],[Type]],Main[[#All],[TYPE]:[UNIT]],'Unit Price'!C$1,FALSE),0)</f>
        <v>0</v>
      </c>
      <c r="H885" s="197">
        <f>IF(_1_5412845612146241046457891017456[[#This Row],[Type]]&gt;0,VLOOKUP(_1_5412845612146241046457891017456[[#This Row],[Type]],Main[[#All],[TYPE]:[UNIT]],'Unit Price'!D$1,FALSE),0)</f>
        <v>0</v>
      </c>
      <c r="I885" s="194">
        <f>IF(_1_5412845612146241046457891017456[[#This Row],[Type]]&gt;0,VLOOKUP(_1_5412845612146241046457891017456[[#This Row],[Type]],Main[[#All],[TYPE]:[UNIT]],'Unit Price'!G$1,FALSE),0)</f>
        <v>0</v>
      </c>
      <c r="J885" s="194">
        <f>IF(_1_5412845612146241046457891017456[[#This Row],[Type]]&gt;0,VLOOKUP(_1_5412845612146241046457891017456[[#This Row],[Type]],Main[[#All],[TYPE]:[UNIT]],'Unit Price'!H$1,FALSE),0)</f>
        <v>0</v>
      </c>
      <c r="K885" s="194">
        <f>IF(_1_5412845612146241046457891017456[[#This Row],[Discount selection]]&gt;0,VLOOKUP(_1_5412845612146241046457891017456[[#This Row],[Discount selection]],'Discount Structure'!$A$2:$B$30,2,"false"),0)</f>
        <v>1</v>
      </c>
      <c r="L885" s="194">
        <f>_1_5412845612146241046457891017456[[#This Row],[LIST $]]*_1_5412845612146241046457891017456[[#This Row],[DISCOUNT]]*_1_5412845612146241046457891017456[[#This Row],[DISCOUNT 2]]</f>
        <v>0</v>
      </c>
      <c r="M885" s="194">
        <f>IF(OR(_1_5412845612146241046457891017456[[#This Row],[UNIT]]&gt;0,_1_5412845612146241046457891017456[[#This Row],[UNIT]]&lt;0),_1_5412845612146241046457891017456[[#This Row],[UNIT]]*_1_5412845612146241046457891017456[[#This Row],[COST]],0)</f>
        <v>0</v>
      </c>
      <c r="N885" s="194">
        <f t="shared" si="13"/>
        <v>1.3</v>
      </c>
      <c r="O885" s="198">
        <f>_1_5412845612146241046457891017456[[#This Row],[TOTAL]]*_1_5412845612146241046457891017456[[#This Row],[MARGIN]]</f>
        <v>0</v>
      </c>
      <c r="P885" s="198"/>
      <c r="R885" s="41"/>
    </row>
    <row r="886" spans="4:18">
      <c r="D886" s="188"/>
      <c r="E886" s="42"/>
      <c r="F886" s="168" t="s">
        <v>6202</v>
      </c>
      <c r="G886" s="193">
        <f>IF(_1_5412845612146241046457891017456[[#This Row],[Type]]&gt;0,VLOOKUP(_1_5412845612146241046457891017456[[#This Row],[Type]],Main[[#All],[TYPE]:[UNIT]],'Unit Price'!C$1,FALSE),0)</f>
        <v>0</v>
      </c>
      <c r="H886" s="197">
        <f>IF(_1_5412845612146241046457891017456[[#This Row],[Type]]&gt;0,VLOOKUP(_1_5412845612146241046457891017456[[#This Row],[Type]],Main[[#All],[TYPE]:[UNIT]],'Unit Price'!D$1,FALSE),0)</f>
        <v>0</v>
      </c>
      <c r="I886" s="194">
        <f>IF(_1_5412845612146241046457891017456[[#This Row],[Type]]&gt;0,VLOOKUP(_1_5412845612146241046457891017456[[#This Row],[Type]],Main[[#All],[TYPE]:[UNIT]],'Unit Price'!G$1,FALSE),0)</f>
        <v>0</v>
      </c>
      <c r="J886" s="194">
        <f>IF(_1_5412845612146241046457891017456[[#This Row],[Type]]&gt;0,VLOOKUP(_1_5412845612146241046457891017456[[#This Row],[Type]],Main[[#All],[TYPE]:[UNIT]],'Unit Price'!H$1,FALSE),0)</f>
        <v>0</v>
      </c>
      <c r="K886" s="194">
        <f>IF(_1_5412845612146241046457891017456[[#This Row],[Discount selection]]&gt;0,VLOOKUP(_1_5412845612146241046457891017456[[#This Row],[Discount selection]],'Discount Structure'!$A$2:$B$30,2,"false"),0)</f>
        <v>1</v>
      </c>
      <c r="L886" s="194">
        <f>_1_5412845612146241046457891017456[[#This Row],[LIST $]]*_1_5412845612146241046457891017456[[#This Row],[DISCOUNT]]*_1_5412845612146241046457891017456[[#This Row],[DISCOUNT 2]]</f>
        <v>0</v>
      </c>
      <c r="M886" s="194">
        <f>IF(OR(_1_5412845612146241046457891017456[[#This Row],[UNIT]]&gt;0,_1_5412845612146241046457891017456[[#This Row],[UNIT]]&lt;0),_1_5412845612146241046457891017456[[#This Row],[UNIT]]*_1_5412845612146241046457891017456[[#This Row],[COST]],0)</f>
        <v>0</v>
      </c>
      <c r="N886" s="194">
        <f t="shared" si="13"/>
        <v>1.3</v>
      </c>
      <c r="O886" s="198">
        <f>_1_5412845612146241046457891017456[[#This Row],[TOTAL]]*_1_5412845612146241046457891017456[[#This Row],[MARGIN]]</f>
        <v>0</v>
      </c>
      <c r="P886" s="198"/>
      <c r="R886" s="41"/>
    </row>
    <row r="887" spans="4:18">
      <c r="D887" s="188"/>
      <c r="E887" s="42"/>
      <c r="F887" s="168" t="s">
        <v>6202</v>
      </c>
      <c r="G887" s="193">
        <f>IF(_1_5412845612146241046457891017456[[#This Row],[Type]]&gt;0,VLOOKUP(_1_5412845612146241046457891017456[[#This Row],[Type]],Main[[#All],[TYPE]:[UNIT]],'Unit Price'!C$1,FALSE),0)</f>
        <v>0</v>
      </c>
      <c r="H887" s="197">
        <f>IF(_1_5412845612146241046457891017456[[#This Row],[Type]]&gt;0,VLOOKUP(_1_5412845612146241046457891017456[[#This Row],[Type]],Main[[#All],[TYPE]:[UNIT]],'Unit Price'!D$1,FALSE),0)</f>
        <v>0</v>
      </c>
      <c r="I887" s="194">
        <f>IF(_1_5412845612146241046457891017456[[#This Row],[Type]]&gt;0,VLOOKUP(_1_5412845612146241046457891017456[[#This Row],[Type]],Main[[#All],[TYPE]:[UNIT]],'Unit Price'!G$1,FALSE),0)</f>
        <v>0</v>
      </c>
      <c r="J887" s="194">
        <f>IF(_1_5412845612146241046457891017456[[#This Row],[Type]]&gt;0,VLOOKUP(_1_5412845612146241046457891017456[[#This Row],[Type]],Main[[#All],[TYPE]:[UNIT]],'Unit Price'!H$1,FALSE),0)</f>
        <v>0</v>
      </c>
      <c r="K887" s="194">
        <f>IF(_1_5412845612146241046457891017456[[#This Row],[Discount selection]]&gt;0,VLOOKUP(_1_5412845612146241046457891017456[[#This Row],[Discount selection]],'Discount Structure'!$A$2:$B$30,2,"false"),0)</f>
        <v>1</v>
      </c>
      <c r="L887" s="194">
        <f>_1_5412845612146241046457891017456[[#This Row],[LIST $]]*_1_5412845612146241046457891017456[[#This Row],[DISCOUNT]]*_1_5412845612146241046457891017456[[#This Row],[DISCOUNT 2]]</f>
        <v>0</v>
      </c>
      <c r="M887" s="194">
        <f>IF(OR(_1_5412845612146241046457891017456[[#This Row],[UNIT]]&gt;0,_1_5412845612146241046457891017456[[#This Row],[UNIT]]&lt;0),_1_5412845612146241046457891017456[[#This Row],[UNIT]]*_1_5412845612146241046457891017456[[#This Row],[COST]],0)</f>
        <v>0</v>
      </c>
      <c r="N887" s="194">
        <f t="shared" si="13"/>
        <v>1.3</v>
      </c>
      <c r="O887" s="198">
        <f>_1_5412845612146241046457891017456[[#This Row],[TOTAL]]*_1_5412845612146241046457891017456[[#This Row],[MARGIN]]</f>
        <v>0</v>
      </c>
      <c r="P887" s="198"/>
      <c r="R887" s="41"/>
    </row>
    <row r="888" spans="4:18">
      <c r="D888" s="188"/>
      <c r="E888" s="42"/>
      <c r="F888" s="168" t="s">
        <v>6202</v>
      </c>
      <c r="G888" s="193">
        <f>IF(_1_5412845612146241046457891017456[[#This Row],[Type]]&gt;0,VLOOKUP(_1_5412845612146241046457891017456[[#This Row],[Type]],Main[[#All],[TYPE]:[UNIT]],'Unit Price'!C$1,FALSE),0)</f>
        <v>0</v>
      </c>
      <c r="H888" s="197">
        <f>IF(_1_5412845612146241046457891017456[[#This Row],[Type]]&gt;0,VLOOKUP(_1_5412845612146241046457891017456[[#This Row],[Type]],Main[[#All],[TYPE]:[UNIT]],'Unit Price'!D$1,FALSE),0)</f>
        <v>0</v>
      </c>
      <c r="I888" s="194">
        <f>IF(_1_5412845612146241046457891017456[[#This Row],[Type]]&gt;0,VLOOKUP(_1_5412845612146241046457891017456[[#This Row],[Type]],Main[[#All],[TYPE]:[UNIT]],'Unit Price'!G$1,FALSE),0)</f>
        <v>0</v>
      </c>
      <c r="J888" s="194">
        <f>IF(_1_5412845612146241046457891017456[[#This Row],[Type]]&gt;0,VLOOKUP(_1_5412845612146241046457891017456[[#This Row],[Type]],Main[[#All],[TYPE]:[UNIT]],'Unit Price'!H$1,FALSE),0)</f>
        <v>0</v>
      </c>
      <c r="K888" s="194">
        <f>IF(_1_5412845612146241046457891017456[[#This Row],[Discount selection]]&gt;0,VLOOKUP(_1_5412845612146241046457891017456[[#This Row],[Discount selection]],'Discount Structure'!$A$2:$B$30,2,"false"),0)</f>
        <v>1</v>
      </c>
      <c r="L888" s="194">
        <f>_1_5412845612146241046457891017456[[#This Row],[LIST $]]*_1_5412845612146241046457891017456[[#This Row],[DISCOUNT]]*_1_5412845612146241046457891017456[[#This Row],[DISCOUNT 2]]</f>
        <v>0</v>
      </c>
      <c r="M888" s="194">
        <f>IF(OR(_1_5412845612146241046457891017456[[#This Row],[UNIT]]&gt;0,_1_5412845612146241046457891017456[[#This Row],[UNIT]]&lt;0),_1_5412845612146241046457891017456[[#This Row],[UNIT]]*_1_5412845612146241046457891017456[[#This Row],[COST]],0)</f>
        <v>0</v>
      </c>
      <c r="N888" s="194">
        <f t="shared" si="13"/>
        <v>1.3</v>
      </c>
      <c r="O888" s="198">
        <f>_1_5412845612146241046457891017456[[#This Row],[TOTAL]]*_1_5412845612146241046457891017456[[#This Row],[MARGIN]]</f>
        <v>0</v>
      </c>
      <c r="P888" s="198"/>
      <c r="R888" s="41"/>
    </row>
    <row r="889" spans="4:18">
      <c r="D889" s="188"/>
      <c r="E889" s="42"/>
      <c r="F889" s="168" t="s">
        <v>6202</v>
      </c>
      <c r="G889" s="193">
        <f>IF(_1_5412845612146241046457891017456[[#This Row],[Type]]&gt;0,VLOOKUP(_1_5412845612146241046457891017456[[#This Row],[Type]],Main[[#All],[TYPE]:[UNIT]],'Unit Price'!C$1,FALSE),0)</f>
        <v>0</v>
      </c>
      <c r="H889" s="197">
        <f>IF(_1_5412845612146241046457891017456[[#This Row],[Type]]&gt;0,VLOOKUP(_1_5412845612146241046457891017456[[#This Row],[Type]],Main[[#All],[TYPE]:[UNIT]],'Unit Price'!D$1,FALSE),0)</f>
        <v>0</v>
      </c>
      <c r="I889" s="194">
        <f>IF(_1_5412845612146241046457891017456[[#This Row],[Type]]&gt;0,VLOOKUP(_1_5412845612146241046457891017456[[#This Row],[Type]],Main[[#All],[TYPE]:[UNIT]],'Unit Price'!G$1,FALSE),0)</f>
        <v>0</v>
      </c>
      <c r="J889" s="194">
        <f>IF(_1_5412845612146241046457891017456[[#This Row],[Type]]&gt;0,VLOOKUP(_1_5412845612146241046457891017456[[#This Row],[Type]],Main[[#All],[TYPE]:[UNIT]],'Unit Price'!H$1,FALSE),0)</f>
        <v>0</v>
      </c>
      <c r="K889" s="194">
        <f>IF(_1_5412845612146241046457891017456[[#This Row],[Discount selection]]&gt;0,VLOOKUP(_1_5412845612146241046457891017456[[#This Row],[Discount selection]],'Discount Structure'!$A$2:$B$30,2,"false"),0)</f>
        <v>1</v>
      </c>
      <c r="L889" s="194">
        <f>_1_5412845612146241046457891017456[[#This Row],[LIST $]]*_1_5412845612146241046457891017456[[#This Row],[DISCOUNT]]*_1_5412845612146241046457891017456[[#This Row],[DISCOUNT 2]]</f>
        <v>0</v>
      </c>
      <c r="M889" s="194">
        <f>IF(OR(_1_5412845612146241046457891017456[[#This Row],[UNIT]]&gt;0,_1_5412845612146241046457891017456[[#This Row],[UNIT]]&lt;0),_1_5412845612146241046457891017456[[#This Row],[UNIT]]*_1_5412845612146241046457891017456[[#This Row],[COST]],0)</f>
        <v>0</v>
      </c>
      <c r="N889" s="194">
        <f t="shared" si="13"/>
        <v>1.3</v>
      </c>
      <c r="O889" s="198">
        <f>_1_5412845612146241046457891017456[[#This Row],[TOTAL]]*_1_5412845612146241046457891017456[[#This Row],[MARGIN]]</f>
        <v>0</v>
      </c>
      <c r="P889" s="198"/>
      <c r="R889" s="41"/>
    </row>
    <row r="890" spans="4:18">
      <c r="D890" s="188"/>
      <c r="E890" s="42"/>
      <c r="F890" s="168" t="s">
        <v>6202</v>
      </c>
      <c r="G890" s="193">
        <f>IF(_1_5412845612146241046457891017456[[#This Row],[Type]]&gt;0,VLOOKUP(_1_5412845612146241046457891017456[[#This Row],[Type]],Main[[#All],[TYPE]:[UNIT]],'Unit Price'!C$1,FALSE),0)</f>
        <v>0</v>
      </c>
      <c r="H890" s="197">
        <f>IF(_1_5412845612146241046457891017456[[#This Row],[Type]]&gt;0,VLOOKUP(_1_5412845612146241046457891017456[[#This Row],[Type]],Main[[#All],[TYPE]:[UNIT]],'Unit Price'!D$1,FALSE),0)</f>
        <v>0</v>
      </c>
      <c r="I890" s="194">
        <f>IF(_1_5412845612146241046457891017456[[#This Row],[Type]]&gt;0,VLOOKUP(_1_5412845612146241046457891017456[[#This Row],[Type]],Main[[#All],[TYPE]:[UNIT]],'Unit Price'!G$1,FALSE),0)</f>
        <v>0</v>
      </c>
      <c r="J890" s="194">
        <f>IF(_1_5412845612146241046457891017456[[#This Row],[Type]]&gt;0,VLOOKUP(_1_5412845612146241046457891017456[[#This Row],[Type]],Main[[#All],[TYPE]:[UNIT]],'Unit Price'!H$1,FALSE),0)</f>
        <v>0</v>
      </c>
      <c r="K890" s="194">
        <f>IF(_1_5412845612146241046457891017456[[#This Row],[Discount selection]]&gt;0,VLOOKUP(_1_5412845612146241046457891017456[[#This Row],[Discount selection]],'Discount Structure'!$A$2:$B$30,2,"false"),0)</f>
        <v>1</v>
      </c>
      <c r="L890" s="194">
        <f>_1_5412845612146241046457891017456[[#This Row],[LIST $]]*_1_5412845612146241046457891017456[[#This Row],[DISCOUNT]]*_1_5412845612146241046457891017456[[#This Row],[DISCOUNT 2]]</f>
        <v>0</v>
      </c>
      <c r="M890" s="194">
        <f>IF(OR(_1_5412845612146241046457891017456[[#This Row],[UNIT]]&gt;0,_1_5412845612146241046457891017456[[#This Row],[UNIT]]&lt;0),_1_5412845612146241046457891017456[[#This Row],[UNIT]]*_1_5412845612146241046457891017456[[#This Row],[COST]],0)</f>
        <v>0</v>
      </c>
      <c r="N890" s="194">
        <f t="shared" si="13"/>
        <v>1.3</v>
      </c>
      <c r="O890" s="198">
        <f>_1_5412845612146241046457891017456[[#This Row],[TOTAL]]*_1_5412845612146241046457891017456[[#This Row],[MARGIN]]</f>
        <v>0</v>
      </c>
      <c r="P890" s="198"/>
      <c r="R890" s="41"/>
    </row>
    <row r="891" spans="4:18">
      <c r="D891" s="188"/>
      <c r="E891" s="42"/>
      <c r="F891" s="168" t="s">
        <v>6202</v>
      </c>
      <c r="G891" s="193">
        <f>IF(_1_5412845612146241046457891017456[[#This Row],[Type]]&gt;0,VLOOKUP(_1_5412845612146241046457891017456[[#This Row],[Type]],Main[[#All],[TYPE]:[UNIT]],'Unit Price'!C$1,FALSE),0)</f>
        <v>0</v>
      </c>
      <c r="H891" s="197">
        <f>IF(_1_5412845612146241046457891017456[[#This Row],[Type]]&gt;0,VLOOKUP(_1_5412845612146241046457891017456[[#This Row],[Type]],Main[[#All],[TYPE]:[UNIT]],'Unit Price'!D$1,FALSE),0)</f>
        <v>0</v>
      </c>
      <c r="I891" s="194">
        <f>IF(_1_5412845612146241046457891017456[[#This Row],[Type]]&gt;0,VLOOKUP(_1_5412845612146241046457891017456[[#This Row],[Type]],Main[[#All],[TYPE]:[UNIT]],'Unit Price'!G$1,FALSE),0)</f>
        <v>0</v>
      </c>
      <c r="J891" s="194">
        <f>IF(_1_5412845612146241046457891017456[[#This Row],[Type]]&gt;0,VLOOKUP(_1_5412845612146241046457891017456[[#This Row],[Type]],Main[[#All],[TYPE]:[UNIT]],'Unit Price'!H$1,FALSE),0)</f>
        <v>0</v>
      </c>
      <c r="K891" s="194">
        <f>IF(_1_5412845612146241046457891017456[[#This Row],[Discount selection]]&gt;0,VLOOKUP(_1_5412845612146241046457891017456[[#This Row],[Discount selection]],'Discount Structure'!$A$2:$B$30,2,"false"),0)</f>
        <v>1</v>
      </c>
      <c r="L891" s="194">
        <f>_1_5412845612146241046457891017456[[#This Row],[LIST $]]*_1_5412845612146241046457891017456[[#This Row],[DISCOUNT]]*_1_5412845612146241046457891017456[[#This Row],[DISCOUNT 2]]</f>
        <v>0</v>
      </c>
      <c r="M891" s="194">
        <f>IF(OR(_1_5412845612146241046457891017456[[#This Row],[UNIT]]&gt;0,_1_5412845612146241046457891017456[[#This Row],[UNIT]]&lt;0),_1_5412845612146241046457891017456[[#This Row],[UNIT]]*_1_5412845612146241046457891017456[[#This Row],[COST]],0)</f>
        <v>0</v>
      </c>
      <c r="N891" s="194">
        <f t="shared" si="13"/>
        <v>1.3</v>
      </c>
      <c r="O891" s="198">
        <f>_1_5412845612146241046457891017456[[#This Row],[TOTAL]]*_1_5412845612146241046457891017456[[#This Row],[MARGIN]]</f>
        <v>0</v>
      </c>
      <c r="P891" s="198"/>
      <c r="R891" s="41"/>
    </row>
    <row r="892" spans="4:18">
      <c r="D892" s="188"/>
      <c r="E892" s="42"/>
      <c r="F892" s="168" t="s">
        <v>6202</v>
      </c>
      <c r="G892" s="193">
        <f>IF(_1_5412845612146241046457891017456[[#This Row],[Type]]&gt;0,VLOOKUP(_1_5412845612146241046457891017456[[#This Row],[Type]],Main[[#All],[TYPE]:[UNIT]],'Unit Price'!C$1,FALSE),0)</f>
        <v>0</v>
      </c>
      <c r="H892" s="197">
        <f>IF(_1_5412845612146241046457891017456[[#This Row],[Type]]&gt;0,VLOOKUP(_1_5412845612146241046457891017456[[#This Row],[Type]],Main[[#All],[TYPE]:[UNIT]],'Unit Price'!D$1,FALSE),0)</f>
        <v>0</v>
      </c>
      <c r="I892" s="194">
        <f>IF(_1_5412845612146241046457891017456[[#This Row],[Type]]&gt;0,VLOOKUP(_1_5412845612146241046457891017456[[#This Row],[Type]],Main[[#All],[TYPE]:[UNIT]],'Unit Price'!G$1,FALSE),0)</f>
        <v>0</v>
      </c>
      <c r="J892" s="194">
        <f>IF(_1_5412845612146241046457891017456[[#This Row],[Type]]&gt;0,VLOOKUP(_1_5412845612146241046457891017456[[#This Row],[Type]],Main[[#All],[TYPE]:[UNIT]],'Unit Price'!H$1,FALSE),0)</f>
        <v>0</v>
      </c>
      <c r="K892" s="194">
        <f>IF(_1_5412845612146241046457891017456[[#This Row],[Discount selection]]&gt;0,VLOOKUP(_1_5412845612146241046457891017456[[#This Row],[Discount selection]],'Discount Structure'!$A$2:$B$30,2,"false"),0)</f>
        <v>1</v>
      </c>
      <c r="L892" s="194">
        <f>_1_5412845612146241046457891017456[[#This Row],[LIST $]]*_1_5412845612146241046457891017456[[#This Row],[DISCOUNT]]*_1_5412845612146241046457891017456[[#This Row],[DISCOUNT 2]]</f>
        <v>0</v>
      </c>
      <c r="M892" s="194">
        <f>IF(OR(_1_5412845612146241046457891017456[[#This Row],[UNIT]]&gt;0,_1_5412845612146241046457891017456[[#This Row],[UNIT]]&lt;0),_1_5412845612146241046457891017456[[#This Row],[UNIT]]*_1_5412845612146241046457891017456[[#This Row],[COST]],0)</f>
        <v>0</v>
      </c>
      <c r="N892" s="194">
        <f t="shared" si="13"/>
        <v>1.3</v>
      </c>
      <c r="O892" s="198">
        <f>_1_5412845612146241046457891017456[[#This Row],[TOTAL]]*_1_5412845612146241046457891017456[[#This Row],[MARGIN]]</f>
        <v>0</v>
      </c>
      <c r="P892" s="198"/>
      <c r="R892" s="41"/>
    </row>
    <row r="893" spans="4:18">
      <c r="D893" s="188"/>
      <c r="E893" s="42"/>
      <c r="F893" s="168" t="s">
        <v>6202</v>
      </c>
      <c r="G893" s="193">
        <f>IF(_1_5412845612146241046457891017456[[#This Row],[Type]]&gt;0,VLOOKUP(_1_5412845612146241046457891017456[[#This Row],[Type]],Main[[#All],[TYPE]:[UNIT]],'Unit Price'!C$1,FALSE),0)</f>
        <v>0</v>
      </c>
      <c r="H893" s="197">
        <f>IF(_1_5412845612146241046457891017456[[#This Row],[Type]]&gt;0,VLOOKUP(_1_5412845612146241046457891017456[[#This Row],[Type]],Main[[#All],[TYPE]:[UNIT]],'Unit Price'!D$1,FALSE),0)</f>
        <v>0</v>
      </c>
      <c r="I893" s="194">
        <f>IF(_1_5412845612146241046457891017456[[#This Row],[Type]]&gt;0,VLOOKUP(_1_5412845612146241046457891017456[[#This Row],[Type]],Main[[#All],[TYPE]:[UNIT]],'Unit Price'!G$1,FALSE),0)</f>
        <v>0</v>
      </c>
      <c r="J893" s="194">
        <f>IF(_1_5412845612146241046457891017456[[#This Row],[Type]]&gt;0,VLOOKUP(_1_5412845612146241046457891017456[[#This Row],[Type]],Main[[#All],[TYPE]:[UNIT]],'Unit Price'!H$1,FALSE),0)</f>
        <v>0</v>
      </c>
      <c r="K893" s="194">
        <f>IF(_1_5412845612146241046457891017456[[#This Row],[Discount selection]]&gt;0,VLOOKUP(_1_5412845612146241046457891017456[[#This Row],[Discount selection]],'Discount Structure'!$A$2:$B$30,2,"false"),0)</f>
        <v>1</v>
      </c>
      <c r="L893" s="194">
        <f>_1_5412845612146241046457891017456[[#This Row],[LIST $]]*_1_5412845612146241046457891017456[[#This Row],[DISCOUNT]]*_1_5412845612146241046457891017456[[#This Row],[DISCOUNT 2]]</f>
        <v>0</v>
      </c>
      <c r="M893" s="194">
        <f>IF(OR(_1_5412845612146241046457891017456[[#This Row],[UNIT]]&gt;0,_1_5412845612146241046457891017456[[#This Row],[UNIT]]&lt;0),_1_5412845612146241046457891017456[[#This Row],[UNIT]]*_1_5412845612146241046457891017456[[#This Row],[COST]],0)</f>
        <v>0</v>
      </c>
      <c r="N893" s="194">
        <f t="shared" si="13"/>
        <v>1.3</v>
      </c>
      <c r="O893" s="198">
        <f>_1_5412845612146241046457891017456[[#This Row],[TOTAL]]*_1_5412845612146241046457891017456[[#This Row],[MARGIN]]</f>
        <v>0</v>
      </c>
      <c r="P893" s="198"/>
      <c r="R893" s="41"/>
    </row>
    <row r="894" spans="4:18">
      <c r="D894" s="188"/>
      <c r="E894" s="42"/>
      <c r="F894" s="168" t="s">
        <v>6202</v>
      </c>
      <c r="G894" s="193">
        <f>IF(_1_5412845612146241046457891017456[[#This Row],[Type]]&gt;0,VLOOKUP(_1_5412845612146241046457891017456[[#This Row],[Type]],Main[[#All],[TYPE]:[UNIT]],'Unit Price'!C$1,FALSE),0)</f>
        <v>0</v>
      </c>
      <c r="H894" s="197">
        <f>IF(_1_5412845612146241046457891017456[[#This Row],[Type]]&gt;0,VLOOKUP(_1_5412845612146241046457891017456[[#This Row],[Type]],Main[[#All],[TYPE]:[UNIT]],'Unit Price'!D$1,FALSE),0)</f>
        <v>0</v>
      </c>
      <c r="I894" s="194">
        <f>IF(_1_5412845612146241046457891017456[[#This Row],[Type]]&gt;0,VLOOKUP(_1_5412845612146241046457891017456[[#This Row],[Type]],Main[[#All],[TYPE]:[UNIT]],'Unit Price'!G$1,FALSE),0)</f>
        <v>0</v>
      </c>
      <c r="J894" s="194">
        <f>IF(_1_5412845612146241046457891017456[[#This Row],[Type]]&gt;0,VLOOKUP(_1_5412845612146241046457891017456[[#This Row],[Type]],Main[[#All],[TYPE]:[UNIT]],'Unit Price'!H$1,FALSE),0)</f>
        <v>0</v>
      </c>
      <c r="K894" s="194">
        <f>IF(_1_5412845612146241046457891017456[[#This Row],[Discount selection]]&gt;0,VLOOKUP(_1_5412845612146241046457891017456[[#This Row],[Discount selection]],'Discount Structure'!$A$2:$B$30,2,"false"),0)</f>
        <v>1</v>
      </c>
      <c r="L894" s="194">
        <f>_1_5412845612146241046457891017456[[#This Row],[LIST $]]*_1_5412845612146241046457891017456[[#This Row],[DISCOUNT]]*_1_5412845612146241046457891017456[[#This Row],[DISCOUNT 2]]</f>
        <v>0</v>
      </c>
      <c r="M894" s="194">
        <f>IF(OR(_1_5412845612146241046457891017456[[#This Row],[UNIT]]&gt;0,_1_5412845612146241046457891017456[[#This Row],[UNIT]]&lt;0),_1_5412845612146241046457891017456[[#This Row],[UNIT]]*_1_5412845612146241046457891017456[[#This Row],[COST]],0)</f>
        <v>0</v>
      </c>
      <c r="N894" s="194">
        <f t="shared" si="13"/>
        <v>1.3</v>
      </c>
      <c r="O894" s="198">
        <f>_1_5412845612146241046457891017456[[#This Row],[TOTAL]]*_1_5412845612146241046457891017456[[#This Row],[MARGIN]]</f>
        <v>0</v>
      </c>
      <c r="P894" s="198"/>
      <c r="R894" s="41"/>
    </row>
    <row r="895" spans="4:18">
      <c r="D895" s="188"/>
      <c r="E895" s="42"/>
      <c r="F895" s="168" t="s">
        <v>6202</v>
      </c>
      <c r="G895" s="193">
        <f>IF(_1_5412845612146241046457891017456[[#This Row],[Type]]&gt;0,VLOOKUP(_1_5412845612146241046457891017456[[#This Row],[Type]],Main[[#All],[TYPE]:[UNIT]],'Unit Price'!C$1,FALSE),0)</f>
        <v>0</v>
      </c>
      <c r="H895" s="197">
        <f>IF(_1_5412845612146241046457891017456[[#This Row],[Type]]&gt;0,VLOOKUP(_1_5412845612146241046457891017456[[#This Row],[Type]],Main[[#All],[TYPE]:[UNIT]],'Unit Price'!D$1,FALSE),0)</f>
        <v>0</v>
      </c>
      <c r="I895" s="194">
        <f>IF(_1_5412845612146241046457891017456[[#This Row],[Type]]&gt;0,VLOOKUP(_1_5412845612146241046457891017456[[#This Row],[Type]],Main[[#All],[TYPE]:[UNIT]],'Unit Price'!G$1,FALSE),0)</f>
        <v>0</v>
      </c>
      <c r="J895" s="194">
        <f>IF(_1_5412845612146241046457891017456[[#This Row],[Type]]&gt;0,VLOOKUP(_1_5412845612146241046457891017456[[#This Row],[Type]],Main[[#All],[TYPE]:[UNIT]],'Unit Price'!H$1,FALSE),0)</f>
        <v>0</v>
      </c>
      <c r="K895" s="194">
        <f>IF(_1_5412845612146241046457891017456[[#This Row],[Discount selection]]&gt;0,VLOOKUP(_1_5412845612146241046457891017456[[#This Row],[Discount selection]],'Discount Structure'!$A$2:$B$30,2,"false"),0)</f>
        <v>1</v>
      </c>
      <c r="L895" s="194">
        <f>_1_5412845612146241046457891017456[[#This Row],[LIST $]]*_1_5412845612146241046457891017456[[#This Row],[DISCOUNT]]*_1_5412845612146241046457891017456[[#This Row],[DISCOUNT 2]]</f>
        <v>0</v>
      </c>
      <c r="M895" s="194">
        <f>IF(OR(_1_5412845612146241046457891017456[[#This Row],[UNIT]]&gt;0,_1_5412845612146241046457891017456[[#This Row],[UNIT]]&lt;0),_1_5412845612146241046457891017456[[#This Row],[UNIT]]*_1_5412845612146241046457891017456[[#This Row],[COST]],0)</f>
        <v>0</v>
      </c>
      <c r="N895" s="194">
        <f t="shared" si="13"/>
        <v>1.3</v>
      </c>
      <c r="O895" s="198">
        <f>_1_5412845612146241046457891017456[[#This Row],[TOTAL]]*_1_5412845612146241046457891017456[[#This Row],[MARGIN]]</f>
        <v>0</v>
      </c>
      <c r="P895" s="198"/>
      <c r="R895" s="41"/>
    </row>
    <row r="896" spans="4:18">
      <c r="D896" s="188"/>
      <c r="E896" s="42"/>
      <c r="F896" s="168" t="s">
        <v>6202</v>
      </c>
      <c r="G896" s="193">
        <f>IF(_1_5412845612146241046457891017456[[#This Row],[Type]]&gt;0,VLOOKUP(_1_5412845612146241046457891017456[[#This Row],[Type]],Main[[#All],[TYPE]:[UNIT]],'Unit Price'!C$1,FALSE),0)</f>
        <v>0</v>
      </c>
      <c r="H896" s="197">
        <f>IF(_1_5412845612146241046457891017456[[#This Row],[Type]]&gt;0,VLOOKUP(_1_5412845612146241046457891017456[[#This Row],[Type]],Main[[#All],[TYPE]:[UNIT]],'Unit Price'!D$1,FALSE),0)</f>
        <v>0</v>
      </c>
      <c r="I896" s="194">
        <f>IF(_1_5412845612146241046457891017456[[#This Row],[Type]]&gt;0,VLOOKUP(_1_5412845612146241046457891017456[[#This Row],[Type]],Main[[#All],[TYPE]:[UNIT]],'Unit Price'!G$1,FALSE),0)</f>
        <v>0</v>
      </c>
      <c r="J896" s="194">
        <f>IF(_1_5412845612146241046457891017456[[#This Row],[Type]]&gt;0,VLOOKUP(_1_5412845612146241046457891017456[[#This Row],[Type]],Main[[#All],[TYPE]:[UNIT]],'Unit Price'!H$1,FALSE),0)</f>
        <v>0</v>
      </c>
      <c r="K896" s="194">
        <f>IF(_1_5412845612146241046457891017456[[#This Row],[Discount selection]]&gt;0,VLOOKUP(_1_5412845612146241046457891017456[[#This Row],[Discount selection]],'Discount Structure'!$A$2:$B$30,2,"false"),0)</f>
        <v>1</v>
      </c>
      <c r="L896" s="194">
        <f>_1_5412845612146241046457891017456[[#This Row],[LIST $]]*_1_5412845612146241046457891017456[[#This Row],[DISCOUNT]]*_1_5412845612146241046457891017456[[#This Row],[DISCOUNT 2]]</f>
        <v>0</v>
      </c>
      <c r="M896" s="194">
        <f>IF(OR(_1_5412845612146241046457891017456[[#This Row],[UNIT]]&gt;0,_1_5412845612146241046457891017456[[#This Row],[UNIT]]&lt;0),_1_5412845612146241046457891017456[[#This Row],[UNIT]]*_1_5412845612146241046457891017456[[#This Row],[COST]],0)</f>
        <v>0</v>
      </c>
      <c r="N896" s="194">
        <f t="shared" si="13"/>
        <v>1.3</v>
      </c>
      <c r="O896" s="198">
        <f>_1_5412845612146241046457891017456[[#This Row],[TOTAL]]*_1_5412845612146241046457891017456[[#This Row],[MARGIN]]</f>
        <v>0</v>
      </c>
      <c r="P896" s="198"/>
      <c r="R896" s="41"/>
    </row>
    <row r="897" spans="4:18">
      <c r="D897" s="188"/>
      <c r="E897" s="42"/>
      <c r="F897" s="168" t="s">
        <v>6202</v>
      </c>
      <c r="G897" s="193">
        <f>IF(_1_5412845612146241046457891017456[[#This Row],[Type]]&gt;0,VLOOKUP(_1_5412845612146241046457891017456[[#This Row],[Type]],Main[[#All],[TYPE]:[UNIT]],'Unit Price'!C$1,FALSE),0)</f>
        <v>0</v>
      </c>
      <c r="H897" s="197">
        <f>IF(_1_5412845612146241046457891017456[[#This Row],[Type]]&gt;0,VLOOKUP(_1_5412845612146241046457891017456[[#This Row],[Type]],Main[[#All],[TYPE]:[UNIT]],'Unit Price'!D$1,FALSE),0)</f>
        <v>0</v>
      </c>
      <c r="I897" s="194">
        <f>IF(_1_5412845612146241046457891017456[[#This Row],[Type]]&gt;0,VLOOKUP(_1_5412845612146241046457891017456[[#This Row],[Type]],Main[[#All],[TYPE]:[UNIT]],'Unit Price'!G$1,FALSE),0)</f>
        <v>0</v>
      </c>
      <c r="J897" s="194">
        <f>IF(_1_5412845612146241046457891017456[[#This Row],[Type]]&gt;0,VLOOKUP(_1_5412845612146241046457891017456[[#This Row],[Type]],Main[[#All],[TYPE]:[UNIT]],'Unit Price'!H$1,FALSE),0)</f>
        <v>0</v>
      </c>
      <c r="K897" s="194">
        <f>IF(_1_5412845612146241046457891017456[[#This Row],[Discount selection]]&gt;0,VLOOKUP(_1_5412845612146241046457891017456[[#This Row],[Discount selection]],'Discount Structure'!$A$2:$B$30,2,"false"),0)</f>
        <v>1</v>
      </c>
      <c r="L897" s="194">
        <f>_1_5412845612146241046457891017456[[#This Row],[LIST $]]*_1_5412845612146241046457891017456[[#This Row],[DISCOUNT]]*_1_5412845612146241046457891017456[[#This Row],[DISCOUNT 2]]</f>
        <v>0</v>
      </c>
      <c r="M897" s="194">
        <f>IF(OR(_1_5412845612146241046457891017456[[#This Row],[UNIT]]&gt;0,_1_5412845612146241046457891017456[[#This Row],[UNIT]]&lt;0),_1_5412845612146241046457891017456[[#This Row],[UNIT]]*_1_5412845612146241046457891017456[[#This Row],[COST]],0)</f>
        <v>0</v>
      </c>
      <c r="N897" s="194">
        <f t="shared" si="13"/>
        <v>1.3</v>
      </c>
      <c r="O897" s="198">
        <f>_1_5412845612146241046457891017456[[#This Row],[TOTAL]]*_1_5412845612146241046457891017456[[#This Row],[MARGIN]]</f>
        <v>0</v>
      </c>
      <c r="P897" s="198"/>
      <c r="R897" s="41"/>
    </row>
    <row r="898" spans="4:18">
      <c r="D898" s="188"/>
      <c r="E898" s="42"/>
      <c r="F898" s="168" t="s">
        <v>6202</v>
      </c>
      <c r="G898" s="193">
        <f>IF(_1_5412845612146241046457891017456[[#This Row],[Type]]&gt;0,VLOOKUP(_1_5412845612146241046457891017456[[#This Row],[Type]],Main[[#All],[TYPE]:[UNIT]],'Unit Price'!C$1,FALSE),0)</f>
        <v>0</v>
      </c>
      <c r="H898" s="197">
        <f>IF(_1_5412845612146241046457891017456[[#This Row],[Type]]&gt;0,VLOOKUP(_1_5412845612146241046457891017456[[#This Row],[Type]],Main[[#All],[TYPE]:[UNIT]],'Unit Price'!D$1,FALSE),0)</f>
        <v>0</v>
      </c>
      <c r="I898" s="194">
        <f>IF(_1_5412845612146241046457891017456[[#This Row],[Type]]&gt;0,VLOOKUP(_1_5412845612146241046457891017456[[#This Row],[Type]],Main[[#All],[TYPE]:[UNIT]],'Unit Price'!G$1,FALSE),0)</f>
        <v>0</v>
      </c>
      <c r="J898" s="194">
        <f>IF(_1_5412845612146241046457891017456[[#This Row],[Type]]&gt;0,VLOOKUP(_1_5412845612146241046457891017456[[#This Row],[Type]],Main[[#All],[TYPE]:[UNIT]],'Unit Price'!H$1,FALSE),0)</f>
        <v>0</v>
      </c>
      <c r="K898" s="194">
        <f>IF(_1_5412845612146241046457891017456[[#This Row],[Discount selection]]&gt;0,VLOOKUP(_1_5412845612146241046457891017456[[#This Row],[Discount selection]],'Discount Structure'!$A$2:$B$30,2,"false"),0)</f>
        <v>1</v>
      </c>
      <c r="L898" s="194">
        <f>_1_5412845612146241046457891017456[[#This Row],[LIST $]]*_1_5412845612146241046457891017456[[#This Row],[DISCOUNT]]*_1_5412845612146241046457891017456[[#This Row],[DISCOUNT 2]]</f>
        <v>0</v>
      </c>
      <c r="M898" s="194">
        <f>IF(OR(_1_5412845612146241046457891017456[[#This Row],[UNIT]]&gt;0,_1_5412845612146241046457891017456[[#This Row],[UNIT]]&lt;0),_1_5412845612146241046457891017456[[#This Row],[UNIT]]*_1_5412845612146241046457891017456[[#This Row],[COST]],0)</f>
        <v>0</v>
      </c>
      <c r="N898" s="194">
        <f t="shared" si="13"/>
        <v>1.3</v>
      </c>
      <c r="O898" s="198">
        <f>_1_5412845612146241046457891017456[[#This Row],[TOTAL]]*_1_5412845612146241046457891017456[[#This Row],[MARGIN]]</f>
        <v>0</v>
      </c>
      <c r="P898" s="198"/>
      <c r="R898" s="41"/>
    </row>
    <row r="899" spans="4:18">
      <c r="D899" s="188"/>
      <c r="E899" s="42"/>
      <c r="F899" s="168" t="s">
        <v>6202</v>
      </c>
      <c r="G899" s="193">
        <f>IF(_1_5412845612146241046457891017456[[#This Row],[Type]]&gt;0,VLOOKUP(_1_5412845612146241046457891017456[[#This Row],[Type]],Main[[#All],[TYPE]:[UNIT]],'Unit Price'!C$1,FALSE),0)</f>
        <v>0</v>
      </c>
      <c r="H899" s="197">
        <f>IF(_1_5412845612146241046457891017456[[#This Row],[Type]]&gt;0,VLOOKUP(_1_5412845612146241046457891017456[[#This Row],[Type]],Main[[#All],[TYPE]:[UNIT]],'Unit Price'!D$1,FALSE),0)</f>
        <v>0</v>
      </c>
      <c r="I899" s="194">
        <f>IF(_1_5412845612146241046457891017456[[#This Row],[Type]]&gt;0,VLOOKUP(_1_5412845612146241046457891017456[[#This Row],[Type]],Main[[#All],[TYPE]:[UNIT]],'Unit Price'!G$1,FALSE),0)</f>
        <v>0</v>
      </c>
      <c r="J899" s="194">
        <f>IF(_1_5412845612146241046457891017456[[#This Row],[Type]]&gt;0,VLOOKUP(_1_5412845612146241046457891017456[[#This Row],[Type]],Main[[#All],[TYPE]:[UNIT]],'Unit Price'!H$1,FALSE),0)</f>
        <v>0</v>
      </c>
      <c r="K899" s="194">
        <f>IF(_1_5412845612146241046457891017456[[#This Row],[Discount selection]]&gt;0,VLOOKUP(_1_5412845612146241046457891017456[[#This Row],[Discount selection]],'Discount Structure'!$A$2:$B$30,2,"false"),0)</f>
        <v>1</v>
      </c>
      <c r="L899" s="194">
        <f>_1_5412845612146241046457891017456[[#This Row],[LIST $]]*_1_5412845612146241046457891017456[[#This Row],[DISCOUNT]]*_1_5412845612146241046457891017456[[#This Row],[DISCOUNT 2]]</f>
        <v>0</v>
      </c>
      <c r="M899" s="194">
        <f>IF(OR(_1_5412845612146241046457891017456[[#This Row],[UNIT]]&gt;0,_1_5412845612146241046457891017456[[#This Row],[UNIT]]&lt;0),_1_5412845612146241046457891017456[[#This Row],[UNIT]]*_1_5412845612146241046457891017456[[#This Row],[COST]],0)</f>
        <v>0</v>
      </c>
      <c r="N899" s="194">
        <f t="shared" si="13"/>
        <v>1.3</v>
      </c>
      <c r="O899" s="198">
        <f>_1_5412845612146241046457891017456[[#This Row],[TOTAL]]*_1_5412845612146241046457891017456[[#This Row],[MARGIN]]</f>
        <v>0</v>
      </c>
      <c r="P899" s="198"/>
      <c r="R899" s="41"/>
    </row>
    <row r="900" spans="4:18">
      <c r="D900" s="188"/>
      <c r="E900" s="42"/>
      <c r="F900" s="168" t="s">
        <v>6202</v>
      </c>
      <c r="G900" s="193">
        <f>IF(_1_5412845612146241046457891017456[[#This Row],[Type]]&gt;0,VLOOKUP(_1_5412845612146241046457891017456[[#This Row],[Type]],Main[[#All],[TYPE]:[UNIT]],'Unit Price'!C$1,FALSE),0)</f>
        <v>0</v>
      </c>
      <c r="H900" s="197">
        <f>IF(_1_5412845612146241046457891017456[[#This Row],[Type]]&gt;0,VLOOKUP(_1_5412845612146241046457891017456[[#This Row],[Type]],Main[[#All],[TYPE]:[UNIT]],'Unit Price'!D$1,FALSE),0)</f>
        <v>0</v>
      </c>
      <c r="I900" s="194">
        <f>IF(_1_5412845612146241046457891017456[[#This Row],[Type]]&gt;0,VLOOKUP(_1_5412845612146241046457891017456[[#This Row],[Type]],Main[[#All],[TYPE]:[UNIT]],'Unit Price'!G$1,FALSE),0)</f>
        <v>0</v>
      </c>
      <c r="J900" s="194">
        <f>IF(_1_5412845612146241046457891017456[[#This Row],[Type]]&gt;0,VLOOKUP(_1_5412845612146241046457891017456[[#This Row],[Type]],Main[[#All],[TYPE]:[UNIT]],'Unit Price'!H$1,FALSE),0)</f>
        <v>0</v>
      </c>
      <c r="K900" s="194">
        <f>IF(_1_5412845612146241046457891017456[[#This Row],[Discount selection]]&gt;0,VLOOKUP(_1_5412845612146241046457891017456[[#This Row],[Discount selection]],'Discount Structure'!$A$2:$B$30,2,"false"),0)</f>
        <v>1</v>
      </c>
      <c r="L900" s="194">
        <f>_1_5412845612146241046457891017456[[#This Row],[LIST $]]*_1_5412845612146241046457891017456[[#This Row],[DISCOUNT]]*_1_5412845612146241046457891017456[[#This Row],[DISCOUNT 2]]</f>
        <v>0</v>
      </c>
      <c r="M900" s="194">
        <f>IF(OR(_1_5412845612146241046457891017456[[#This Row],[UNIT]]&gt;0,_1_5412845612146241046457891017456[[#This Row],[UNIT]]&lt;0),_1_5412845612146241046457891017456[[#This Row],[UNIT]]*_1_5412845612146241046457891017456[[#This Row],[COST]],0)</f>
        <v>0</v>
      </c>
      <c r="N900" s="194">
        <f t="shared" si="13"/>
        <v>1.3</v>
      </c>
      <c r="O900" s="198">
        <f>_1_5412845612146241046457891017456[[#This Row],[TOTAL]]*_1_5412845612146241046457891017456[[#This Row],[MARGIN]]</f>
        <v>0</v>
      </c>
      <c r="P900" s="198"/>
      <c r="R900" s="41"/>
    </row>
    <row r="901" spans="4:18">
      <c r="D901" s="188"/>
      <c r="E901" s="42"/>
      <c r="F901" s="168" t="s">
        <v>6202</v>
      </c>
      <c r="G901" s="193">
        <f>IF(_1_5412845612146241046457891017456[[#This Row],[Type]]&gt;0,VLOOKUP(_1_5412845612146241046457891017456[[#This Row],[Type]],Main[[#All],[TYPE]:[UNIT]],'Unit Price'!C$1,FALSE),0)</f>
        <v>0</v>
      </c>
      <c r="H901" s="197">
        <f>IF(_1_5412845612146241046457891017456[[#This Row],[Type]]&gt;0,VLOOKUP(_1_5412845612146241046457891017456[[#This Row],[Type]],Main[[#All],[TYPE]:[UNIT]],'Unit Price'!D$1,FALSE),0)</f>
        <v>0</v>
      </c>
      <c r="I901" s="194">
        <f>IF(_1_5412845612146241046457891017456[[#This Row],[Type]]&gt;0,VLOOKUP(_1_5412845612146241046457891017456[[#This Row],[Type]],Main[[#All],[TYPE]:[UNIT]],'Unit Price'!G$1,FALSE),0)</f>
        <v>0</v>
      </c>
      <c r="J901" s="194">
        <f>IF(_1_5412845612146241046457891017456[[#This Row],[Type]]&gt;0,VLOOKUP(_1_5412845612146241046457891017456[[#This Row],[Type]],Main[[#All],[TYPE]:[UNIT]],'Unit Price'!H$1,FALSE),0)</f>
        <v>0</v>
      </c>
      <c r="K901" s="194">
        <f>IF(_1_5412845612146241046457891017456[[#This Row],[Discount selection]]&gt;0,VLOOKUP(_1_5412845612146241046457891017456[[#This Row],[Discount selection]],'Discount Structure'!$A$2:$B$30,2,"false"),0)</f>
        <v>1</v>
      </c>
      <c r="L901" s="194">
        <f>_1_5412845612146241046457891017456[[#This Row],[LIST $]]*_1_5412845612146241046457891017456[[#This Row],[DISCOUNT]]*_1_5412845612146241046457891017456[[#This Row],[DISCOUNT 2]]</f>
        <v>0</v>
      </c>
      <c r="M901" s="194">
        <f>IF(OR(_1_5412845612146241046457891017456[[#This Row],[UNIT]]&gt;0,_1_5412845612146241046457891017456[[#This Row],[UNIT]]&lt;0),_1_5412845612146241046457891017456[[#This Row],[UNIT]]*_1_5412845612146241046457891017456[[#This Row],[COST]],0)</f>
        <v>0</v>
      </c>
      <c r="N901" s="194">
        <f t="shared" si="13"/>
        <v>1.3</v>
      </c>
      <c r="O901" s="198">
        <f>_1_5412845612146241046457891017456[[#This Row],[TOTAL]]*_1_5412845612146241046457891017456[[#This Row],[MARGIN]]</f>
        <v>0</v>
      </c>
      <c r="P901" s="198"/>
      <c r="R901" s="41"/>
    </row>
    <row r="902" spans="4:18">
      <c r="D902" s="188"/>
      <c r="E902" s="42"/>
      <c r="F902" s="168" t="s">
        <v>6202</v>
      </c>
      <c r="G902" s="193">
        <f>IF(_1_5412845612146241046457891017456[[#This Row],[Type]]&gt;0,VLOOKUP(_1_5412845612146241046457891017456[[#This Row],[Type]],Main[[#All],[TYPE]:[UNIT]],'Unit Price'!C$1,FALSE),0)</f>
        <v>0</v>
      </c>
      <c r="H902" s="197">
        <f>IF(_1_5412845612146241046457891017456[[#This Row],[Type]]&gt;0,VLOOKUP(_1_5412845612146241046457891017456[[#This Row],[Type]],Main[[#All],[TYPE]:[UNIT]],'Unit Price'!D$1,FALSE),0)</f>
        <v>0</v>
      </c>
      <c r="I902" s="194">
        <f>IF(_1_5412845612146241046457891017456[[#This Row],[Type]]&gt;0,VLOOKUP(_1_5412845612146241046457891017456[[#This Row],[Type]],Main[[#All],[TYPE]:[UNIT]],'Unit Price'!G$1,FALSE),0)</f>
        <v>0</v>
      </c>
      <c r="J902" s="194">
        <f>IF(_1_5412845612146241046457891017456[[#This Row],[Type]]&gt;0,VLOOKUP(_1_5412845612146241046457891017456[[#This Row],[Type]],Main[[#All],[TYPE]:[UNIT]],'Unit Price'!H$1,FALSE),0)</f>
        <v>0</v>
      </c>
      <c r="K902" s="194">
        <f>IF(_1_5412845612146241046457891017456[[#This Row],[Discount selection]]&gt;0,VLOOKUP(_1_5412845612146241046457891017456[[#This Row],[Discount selection]],'Discount Structure'!$A$2:$B$30,2,"false"),0)</f>
        <v>1</v>
      </c>
      <c r="L902" s="194">
        <f>_1_5412845612146241046457891017456[[#This Row],[LIST $]]*_1_5412845612146241046457891017456[[#This Row],[DISCOUNT]]*_1_5412845612146241046457891017456[[#This Row],[DISCOUNT 2]]</f>
        <v>0</v>
      </c>
      <c r="M902" s="194">
        <f>IF(OR(_1_5412845612146241046457891017456[[#This Row],[UNIT]]&gt;0,_1_5412845612146241046457891017456[[#This Row],[UNIT]]&lt;0),_1_5412845612146241046457891017456[[#This Row],[UNIT]]*_1_5412845612146241046457891017456[[#This Row],[COST]],0)</f>
        <v>0</v>
      </c>
      <c r="N902" s="194">
        <f t="shared" si="13"/>
        <v>1.3</v>
      </c>
      <c r="O902" s="198">
        <f>_1_5412845612146241046457891017456[[#This Row],[TOTAL]]*_1_5412845612146241046457891017456[[#This Row],[MARGIN]]</f>
        <v>0</v>
      </c>
      <c r="P902" s="198"/>
      <c r="R902" s="41"/>
    </row>
    <row r="903" spans="4:18">
      <c r="D903" s="188"/>
      <c r="E903" s="42"/>
      <c r="F903" s="168" t="s">
        <v>6202</v>
      </c>
      <c r="G903" s="193">
        <f>IF(_1_5412845612146241046457891017456[[#This Row],[Type]]&gt;0,VLOOKUP(_1_5412845612146241046457891017456[[#This Row],[Type]],Main[[#All],[TYPE]:[UNIT]],'Unit Price'!C$1,FALSE),0)</f>
        <v>0</v>
      </c>
      <c r="H903" s="197">
        <f>IF(_1_5412845612146241046457891017456[[#This Row],[Type]]&gt;0,VLOOKUP(_1_5412845612146241046457891017456[[#This Row],[Type]],Main[[#All],[TYPE]:[UNIT]],'Unit Price'!D$1,FALSE),0)</f>
        <v>0</v>
      </c>
      <c r="I903" s="194">
        <f>IF(_1_5412845612146241046457891017456[[#This Row],[Type]]&gt;0,VLOOKUP(_1_5412845612146241046457891017456[[#This Row],[Type]],Main[[#All],[TYPE]:[UNIT]],'Unit Price'!G$1,FALSE),0)</f>
        <v>0</v>
      </c>
      <c r="J903" s="194">
        <f>IF(_1_5412845612146241046457891017456[[#This Row],[Type]]&gt;0,VLOOKUP(_1_5412845612146241046457891017456[[#This Row],[Type]],Main[[#All],[TYPE]:[UNIT]],'Unit Price'!H$1,FALSE),0)</f>
        <v>0</v>
      </c>
      <c r="K903" s="194">
        <f>IF(_1_5412845612146241046457891017456[[#This Row],[Discount selection]]&gt;0,VLOOKUP(_1_5412845612146241046457891017456[[#This Row],[Discount selection]],'Discount Structure'!$A$2:$B$30,2,"false"),0)</f>
        <v>1</v>
      </c>
      <c r="L903" s="194">
        <f>_1_5412845612146241046457891017456[[#This Row],[LIST $]]*_1_5412845612146241046457891017456[[#This Row],[DISCOUNT]]*_1_5412845612146241046457891017456[[#This Row],[DISCOUNT 2]]</f>
        <v>0</v>
      </c>
      <c r="M903" s="194">
        <f>IF(OR(_1_5412845612146241046457891017456[[#This Row],[UNIT]]&gt;0,_1_5412845612146241046457891017456[[#This Row],[UNIT]]&lt;0),_1_5412845612146241046457891017456[[#This Row],[UNIT]]*_1_5412845612146241046457891017456[[#This Row],[COST]],0)</f>
        <v>0</v>
      </c>
      <c r="N903" s="194">
        <f t="shared" si="13"/>
        <v>1.3</v>
      </c>
      <c r="O903" s="198">
        <f>_1_5412845612146241046457891017456[[#This Row],[TOTAL]]*_1_5412845612146241046457891017456[[#This Row],[MARGIN]]</f>
        <v>0</v>
      </c>
      <c r="P903" s="198"/>
      <c r="R903" s="41"/>
    </row>
    <row r="904" spans="4:18">
      <c r="D904" s="188"/>
      <c r="E904" s="42"/>
      <c r="F904" s="168" t="s">
        <v>6202</v>
      </c>
      <c r="G904" s="193">
        <f>IF(_1_5412845612146241046457891017456[[#This Row],[Type]]&gt;0,VLOOKUP(_1_5412845612146241046457891017456[[#This Row],[Type]],Main[[#All],[TYPE]:[UNIT]],'Unit Price'!C$1,FALSE),0)</f>
        <v>0</v>
      </c>
      <c r="H904" s="197">
        <f>IF(_1_5412845612146241046457891017456[[#This Row],[Type]]&gt;0,VLOOKUP(_1_5412845612146241046457891017456[[#This Row],[Type]],Main[[#All],[TYPE]:[UNIT]],'Unit Price'!D$1,FALSE),0)</f>
        <v>0</v>
      </c>
      <c r="I904" s="194">
        <f>IF(_1_5412845612146241046457891017456[[#This Row],[Type]]&gt;0,VLOOKUP(_1_5412845612146241046457891017456[[#This Row],[Type]],Main[[#All],[TYPE]:[UNIT]],'Unit Price'!G$1,FALSE),0)</f>
        <v>0</v>
      </c>
      <c r="J904" s="194">
        <f>IF(_1_5412845612146241046457891017456[[#This Row],[Type]]&gt;0,VLOOKUP(_1_5412845612146241046457891017456[[#This Row],[Type]],Main[[#All],[TYPE]:[UNIT]],'Unit Price'!H$1,FALSE),0)</f>
        <v>0</v>
      </c>
      <c r="K904" s="194">
        <f>IF(_1_5412845612146241046457891017456[[#This Row],[Discount selection]]&gt;0,VLOOKUP(_1_5412845612146241046457891017456[[#This Row],[Discount selection]],'Discount Structure'!$A$2:$B$30,2,"false"),0)</f>
        <v>1</v>
      </c>
      <c r="L904" s="194">
        <f>_1_5412845612146241046457891017456[[#This Row],[LIST $]]*_1_5412845612146241046457891017456[[#This Row],[DISCOUNT]]*_1_5412845612146241046457891017456[[#This Row],[DISCOUNT 2]]</f>
        <v>0</v>
      </c>
      <c r="M904" s="194">
        <f>IF(OR(_1_5412845612146241046457891017456[[#This Row],[UNIT]]&gt;0,_1_5412845612146241046457891017456[[#This Row],[UNIT]]&lt;0),_1_5412845612146241046457891017456[[#This Row],[UNIT]]*_1_5412845612146241046457891017456[[#This Row],[COST]],0)</f>
        <v>0</v>
      </c>
      <c r="N904" s="194">
        <f t="shared" si="13"/>
        <v>1.3</v>
      </c>
      <c r="O904" s="198">
        <f>_1_5412845612146241046457891017456[[#This Row],[TOTAL]]*_1_5412845612146241046457891017456[[#This Row],[MARGIN]]</f>
        <v>0</v>
      </c>
      <c r="P904" s="198"/>
      <c r="R904" s="41"/>
    </row>
    <row r="905" spans="4:18">
      <c r="D905" s="188"/>
      <c r="E905" s="42"/>
      <c r="F905" s="168" t="s">
        <v>6202</v>
      </c>
      <c r="G905" s="193">
        <f>IF(_1_5412845612146241046457891017456[[#This Row],[Type]]&gt;0,VLOOKUP(_1_5412845612146241046457891017456[[#This Row],[Type]],Main[[#All],[TYPE]:[UNIT]],'Unit Price'!C$1,FALSE),0)</f>
        <v>0</v>
      </c>
      <c r="H905" s="197">
        <f>IF(_1_5412845612146241046457891017456[[#This Row],[Type]]&gt;0,VLOOKUP(_1_5412845612146241046457891017456[[#This Row],[Type]],Main[[#All],[TYPE]:[UNIT]],'Unit Price'!D$1,FALSE),0)</f>
        <v>0</v>
      </c>
      <c r="I905" s="194">
        <f>IF(_1_5412845612146241046457891017456[[#This Row],[Type]]&gt;0,VLOOKUP(_1_5412845612146241046457891017456[[#This Row],[Type]],Main[[#All],[TYPE]:[UNIT]],'Unit Price'!G$1,FALSE),0)</f>
        <v>0</v>
      </c>
      <c r="J905" s="194">
        <f>IF(_1_5412845612146241046457891017456[[#This Row],[Type]]&gt;0,VLOOKUP(_1_5412845612146241046457891017456[[#This Row],[Type]],Main[[#All],[TYPE]:[UNIT]],'Unit Price'!H$1,FALSE),0)</f>
        <v>0</v>
      </c>
      <c r="K905" s="194">
        <f>IF(_1_5412845612146241046457891017456[[#This Row],[Discount selection]]&gt;0,VLOOKUP(_1_5412845612146241046457891017456[[#This Row],[Discount selection]],'Discount Structure'!$A$2:$B$30,2,"false"),0)</f>
        <v>1</v>
      </c>
      <c r="L905" s="194">
        <f>_1_5412845612146241046457891017456[[#This Row],[LIST $]]*_1_5412845612146241046457891017456[[#This Row],[DISCOUNT]]*_1_5412845612146241046457891017456[[#This Row],[DISCOUNT 2]]</f>
        <v>0</v>
      </c>
      <c r="M905" s="194">
        <f>IF(OR(_1_5412845612146241046457891017456[[#This Row],[UNIT]]&gt;0,_1_5412845612146241046457891017456[[#This Row],[UNIT]]&lt;0),_1_5412845612146241046457891017456[[#This Row],[UNIT]]*_1_5412845612146241046457891017456[[#This Row],[COST]],0)</f>
        <v>0</v>
      </c>
      <c r="N905" s="194">
        <f t="shared" si="13"/>
        <v>1.3</v>
      </c>
      <c r="O905" s="198">
        <f>_1_5412845612146241046457891017456[[#This Row],[TOTAL]]*_1_5412845612146241046457891017456[[#This Row],[MARGIN]]</f>
        <v>0</v>
      </c>
      <c r="P905" s="198"/>
      <c r="R905" s="41"/>
    </row>
    <row r="906" spans="4:18">
      <c r="D906" s="188"/>
      <c r="E906" s="42"/>
      <c r="F906" s="168" t="s">
        <v>6202</v>
      </c>
      <c r="G906" s="193">
        <f>IF(_1_5412845612146241046457891017456[[#This Row],[Type]]&gt;0,VLOOKUP(_1_5412845612146241046457891017456[[#This Row],[Type]],Main[[#All],[TYPE]:[UNIT]],'Unit Price'!C$1,FALSE),0)</f>
        <v>0</v>
      </c>
      <c r="H906" s="197">
        <f>IF(_1_5412845612146241046457891017456[[#This Row],[Type]]&gt;0,VLOOKUP(_1_5412845612146241046457891017456[[#This Row],[Type]],Main[[#All],[TYPE]:[UNIT]],'Unit Price'!D$1,FALSE),0)</f>
        <v>0</v>
      </c>
      <c r="I906" s="194">
        <f>IF(_1_5412845612146241046457891017456[[#This Row],[Type]]&gt;0,VLOOKUP(_1_5412845612146241046457891017456[[#This Row],[Type]],Main[[#All],[TYPE]:[UNIT]],'Unit Price'!G$1,FALSE),0)</f>
        <v>0</v>
      </c>
      <c r="J906" s="194">
        <f>IF(_1_5412845612146241046457891017456[[#This Row],[Type]]&gt;0,VLOOKUP(_1_5412845612146241046457891017456[[#This Row],[Type]],Main[[#All],[TYPE]:[UNIT]],'Unit Price'!H$1,FALSE),0)</f>
        <v>0</v>
      </c>
      <c r="K906" s="194">
        <f>IF(_1_5412845612146241046457891017456[[#This Row],[Discount selection]]&gt;0,VLOOKUP(_1_5412845612146241046457891017456[[#This Row],[Discount selection]],'Discount Structure'!$A$2:$B$30,2,"false"),0)</f>
        <v>1</v>
      </c>
      <c r="L906" s="194">
        <f>_1_5412845612146241046457891017456[[#This Row],[LIST $]]*_1_5412845612146241046457891017456[[#This Row],[DISCOUNT]]*_1_5412845612146241046457891017456[[#This Row],[DISCOUNT 2]]</f>
        <v>0</v>
      </c>
      <c r="M906" s="194">
        <f>IF(OR(_1_5412845612146241046457891017456[[#This Row],[UNIT]]&gt;0,_1_5412845612146241046457891017456[[#This Row],[UNIT]]&lt;0),_1_5412845612146241046457891017456[[#This Row],[UNIT]]*_1_5412845612146241046457891017456[[#This Row],[COST]],0)</f>
        <v>0</v>
      </c>
      <c r="N906" s="194">
        <f t="shared" ref="N906:N969" si="14">$N$7</f>
        <v>1.3</v>
      </c>
      <c r="O906" s="198">
        <f>_1_5412845612146241046457891017456[[#This Row],[TOTAL]]*_1_5412845612146241046457891017456[[#This Row],[MARGIN]]</f>
        <v>0</v>
      </c>
      <c r="P906" s="198"/>
      <c r="R906" s="41"/>
    </row>
    <row r="907" spans="4:18">
      <c r="D907" s="188"/>
      <c r="E907" s="42"/>
      <c r="F907" s="168" t="s">
        <v>6202</v>
      </c>
      <c r="G907" s="193">
        <f>IF(_1_5412845612146241046457891017456[[#This Row],[Type]]&gt;0,VLOOKUP(_1_5412845612146241046457891017456[[#This Row],[Type]],Main[[#All],[TYPE]:[UNIT]],'Unit Price'!C$1,FALSE),0)</f>
        <v>0</v>
      </c>
      <c r="H907" s="197">
        <f>IF(_1_5412845612146241046457891017456[[#This Row],[Type]]&gt;0,VLOOKUP(_1_5412845612146241046457891017456[[#This Row],[Type]],Main[[#All],[TYPE]:[UNIT]],'Unit Price'!D$1,FALSE),0)</f>
        <v>0</v>
      </c>
      <c r="I907" s="194">
        <f>IF(_1_5412845612146241046457891017456[[#This Row],[Type]]&gt;0,VLOOKUP(_1_5412845612146241046457891017456[[#This Row],[Type]],Main[[#All],[TYPE]:[UNIT]],'Unit Price'!G$1,FALSE),0)</f>
        <v>0</v>
      </c>
      <c r="J907" s="194">
        <f>IF(_1_5412845612146241046457891017456[[#This Row],[Type]]&gt;0,VLOOKUP(_1_5412845612146241046457891017456[[#This Row],[Type]],Main[[#All],[TYPE]:[UNIT]],'Unit Price'!H$1,FALSE),0)</f>
        <v>0</v>
      </c>
      <c r="K907" s="194">
        <f>IF(_1_5412845612146241046457891017456[[#This Row],[Discount selection]]&gt;0,VLOOKUP(_1_5412845612146241046457891017456[[#This Row],[Discount selection]],'Discount Structure'!$A$2:$B$30,2,"false"),0)</f>
        <v>1</v>
      </c>
      <c r="L907" s="194">
        <f>_1_5412845612146241046457891017456[[#This Row],[LIST $]]*_1_5412845612146241046457891017456[[#This Row],[DISCOUNT]]*_1_5412845612146241046457891017456[[#This Row],[DISCOUNT 2]]</f>
        <v>0</v>
      </c>
      <c r="M907" s="194">
        <f>IF(OR(_1_5412845612146241046457891017456[[#This Row],[UNIT]]&gt;0,_1_5412845612146241046457891017456[[#This Row],[UNIT]]&lt;0),_1_5412845612146241046457891017456[[#This Row],[UNIT]]*_1_5412845612146241046457891017456[[#This Row],[COST]],0)</f>
        <v>0</v>
      </c>
      <c r="N907" s="194">
        <f t="shared" si="14"/>
        <v>1.3</v>
      </c>
      <c r="O907" s="198">
        <f>_1_5412845612146241046457891017456[[#This Row],[TOTAL]]*_1_5412845612146241046457891017456[[#This Row],[MARGIN]]</f>
        <v>0</v>
      </c>
      <c r="P907" s="198"/>
      <c r="R907" s="41"/>
    </row>
    <row r="908" spans="4:18">
      <c r="D908" s="188"/>
      <c r="E908" s="42"/>
      <c r="F908" s="168" t="s">
        <v>6202</v>
      </c>
      <c r="G908" s="193">
        <f>IF(_1_5412845612146241046457891017456[[#This Row],[Type]]&gt;0,VLOOKUP(_1_5412845612146241046457891017456[[#This Row],[Type]],Main[[#All],[TYPE]:[UNIT]],'Unit Price'!C$1,FALSE),0)</f>
        <v>0</v>
      </c>
      <c r="H908" s="197">
        <f>IF(_1_5412845612146241046457891017456[[#This Row],[Type]]&gt;0,VLOOKUP(_1_5412845612146241046457891017456[[#This Row],[Type]],Main[[#All],[TYPE]:[UNIT]],'Unit Price'!D$1,FALSE),0)</f>
        <v>0</v>
      </c>
      <c r="I908" s="194">
        <f>IF(_1_5412845612146241046457891017456[[#This Row],[Type]]&gt;0,VLOOKUP(_1_5412845612146241046457891017456[[#This Row],[Type]],Main[[#All],[TYPE]:[UNIT]],'Unit Price'!G$1,FALSE),0)</f>
        <v>0</v>
      </c>
      <c r="J908" s="194">
        <f>IF(_1_5412845612146241046457891017456[[#This Row],[Type]]&gt;0,VLOOKUP(_1_5412845612146241046457891017456[[#This Row],[Type]],Main[[#All],[TYPE]:[UNIT]],'Unit Price'!H$1,FALSE),0)</f>
        <v>0</v>
      </c>
      <c r="K908" s="194">
        <f>IF(_1_5412845612146241046457891017456[[#This Row],[Discount selection]]&gt;0,VLOOKUP(_1_5412845612146241046457891017456[[#This Row],[Discount selection]],'Discount Structure'!$A$2:$B$30,2,"false"),0)</f>
        <v>1</v>
      </c>
      <c r="L908" s="194">
        <f>_1_5412845612146241046457891017456[[#This Row],[LIST $]]*_1_5412845612146241046457891017456[[#This Row],[DISCOUNT]]*_1_5412845612146241046457891017456[[#This Row],[DISCOUNT 2]]</f>
        <v>0</v>
      </c>
      <c r="M908" s="194">
        <f>IF(OR(_1_5412845612146241046457891017456[[#This Row],[UNIT]]&gt;0,_1_5412845612146241046457891017456[[#This Row],[UNIT]]&lt;0),_1_5412845612146241046457891017456[[#This Row],[UNIT]]*_1_5412845612146241046457891017456[[#This Row],[COST]],0)</f>
        <v>0</v>
      </c>
      <c r="N908" s="194">
        <f t="shared" si="14"/>
        <v>1.3</v>
      </c>
      <c r="O908" s="198">
        <f>_1_5412845612146241046457891017456[[#This Row],[TOTAL]]*_1_5412845612146241046457891017456[[#This Row],[MARGIN]]</f>
        <v>0</v>
      </c>
      <c r="P908" s="198"/>
      <c r="R908" s="41"/>
    </row>
    <row r="909" spans="4:18">
      <c r="D909" s="188"/>
      <c r="E909" s="42"/>
      <c r="F909" s="168" t="s">
        <v>6202</v>
      </c>
      <c r="G909" s="193">
        <f>IF(_1_5412845612146241046457891017456[[#This Row],[Type]]&gt;0,VLOOKUP(_1_5412845612146241046457891017456[[#This Row],[Type]],Main[[#All],[TYPE]:[UNIT]],'Unit Price'!C$1,FALSE),0)</f>
        <v>0</v>
      </c>
      <c r="H909" s="197">
        <f>IF(_1_5412845612146241046457891017456[[#This Row],[Type]]&gt;0,VLOOKUP(_1_5412845612146241046457891017456[[#This Row],[Type]],Main[[#All],[TYPE]:[UNIT]],'Unit Price'!D$1,FALSE),0)</f>
        <v>0</v>
      </c>
      <c r="I909" s="194">
        <f>IF(_1_5412845612146241046457891017456[[#This Row],[Type]]&gt;0,VLOOKUP(_1_5412845612146241046457891017456[[#This Row],[Type]],Main[[#All],[TYPE]:[UNIT]],'Unit Price'!G$1,FALSE),0)</f>
        <v>0</v>
      </c>
      <c r="J909" s="194">
        <f>IF(_1_5412845612146241046457891017456[[#This Row],[Type]]&gt;0,VLOOKUP(_1_5412845612146241046457891017456[[#This Row],[Type]],Main[[#All],[TYPE]:[UNIT]],'Unit Price'!H$1,FALSE),0)</f>
        <v>0</v>
      </c>
      <c r="K909" s="194">
        <f>IF(_1_5412845612146241046457891017456[[#This Row],[Discount selection]]&gt;0,VLOOKUP(_1_5412845612146241046457891017456[[#This Row],[Discount selection]],'Discount Structure'!$A$2:$B$30,2,"false"),0)</f>
        <v>1</v>
      </c>
      <c r="L909" s="194">
        <f>_1_5412845612146241046457891017456[[#This Row],[LIST $]]*_1_5412845612146241046457891017456[[#This Row],[DISCOUNT]]*_1_5412845612146241046457891017456[[#This Row],[DISCOUNT 2]]</f>
        <v>0</v>
      </c>
      <c r="M909" s="194">
        <f>IF(OR(_1_5412845612146241046457891017456[[#This Row],[UNIT]]&gt;0,_1_5412845612146241046457891017456[[#This Row],[UNIT]]&lt;0),_1_5412845612146241046457891017456[[#This Row],[UNIT]]*_1_5412845612146241046457891017456[[#This Row],[COST]],0)</f>
        <v>0</v>
      </c>
      <c r="N909" s="194">
        <f t="shared" si="14"/>
        <v>1.3</v>
      </c>
      <c r="O909" s="198">
        <f>_1_5412845612146241046457891017456[[#This Row],[TOTAL]]*_1_5412845612146241046457891017456[[#This Row],[MARGIN]]</f>
        <v>0</v>
      </c>
      <c r="P909" s="198"/>
      <c r="R909" s="41"/>
    </row>
    <row r="910" spans="4:18">
      <c r="D910" s="188"/>
      <c r="E910" s="42"/>
      <c r="F910" s="168" t="s">
        <v>6202</v>
      </c>
      <c r="G910" s="193">
        <f>IF(_1_5412845612146241046457891017456[[#This Row],[Type]]&gt;0,VLOOKUP(_1_5412845612146241046457891017456[[#This Row],[Type]],Main[[#All],[TYPE]:[UNIT]],'Unit Price'!C$1,FALSE),0)</f>
        <v>0</v>
      </c>
      <c r="H910" s="197">
        <f>IF(_1_5412845612146241046457891017456[[#This Row],[Type]]&gt;0,VLOOKUP(_1_5412845612146241046457891017456[[#This Row],[Type]],Main[[#All],[TYPE]:[UNIT]],'Unit Price'!D$1,FALSE),0)</f>
        <v>0</v>
      </c>
      <c r="I910" s="194">
        <f>IF(_1_5412845612146241046457891017456[[#This Row],[Type]]&gt;0,VLOOKUP(_1_5412845612146241046457891017456[[#This Row],[Type]],Main[[#All],[TYPE]:[UNIT]],'Unit Price'!G$1,FALSE),0)</f>
        <v>0</v>
      </c>
      <c r="J910" s="194">
        <f>IF(_1_5412845612146241046457891017456[[#This Row],[Type]]&gt;0,VLOOKUP(_1_5412845612146241046457891017456[[#This Row],[Type]],Main[[#All],[TYPE]:[UNIT]],'Unit Price'!H$1,FALSE),0)</f>
        <v>0</v>
      </c>
      <c r="K910" s="194">
        <f>IF(_1_5412845612146241046457891017456[[#This Row],[Discount selection]]&gt;0,VLOOKUP(_1_5412845612146241046457891017456[[#This Row],[Discount selection]],'Discount Structure'!$A$2:$B$30,2,"false"),0)</f>
        <v>1</v>
      </c>
      <c r="L910" s="194">
        <f>_1_5412845612146241046457891017456[[#This Row],[LIST $]]*_1_5412845612146241046457891017456[[#This Row],[DISCOUNT]]*_1_5412845612146241046457891017456[[#This Row],[DISCOUNT 2]]</f>
        <v>0</v>
      </c>
      <c r="M910" s="194">
        <f>IF(OR(_1_5412845612146241046457891017456[[#This Row],[UNIT]]&gt;0,_1_5412845612146241046457891017456[[#This Row],[UNIT]]&lt;0),_1_5412845612146241046457891017456[[#This Row],[UNIT]]*_1_5412845612146241046457891017456[[#This Row],[COST]],0)</f>
        <v>0</v>
      </c>
      <c r="N910" s="194">
        <f t="shared" si="14"/>
        <v>1.3</v>
      </c>
      <c r="O910" s="198">
        <f>_1_5412845612146241046457891017456[[#This Row],[TOTAL]]*_1_5412845612146241046457891017456[[#This Row],[MARGIN]]</f>
        <v>0</v>
      </c>
      <c r="P910" s="198"/>
      <c r="R910" s="41"/>
    </row>
    <row r="911" spans="4:18">
      <c r="D911" s="188"/>
      <c r="E911" s="42"/>
      <c r="F911" s="168" t="s">
        <v>6202</v>
      </c>
      <c r="G911" s="193">
        <f>IF(_1_5412845612146241046457891017456[[#This Row],[Type]]&gt;0,VLOOKUP(_1_5412845612146241046457891017456[[#This Row],[Type]],Main[[#All],[TYPE]:[UNIT]],'Unit Price'!C$1,FALSE),0)</f>
        <v>0</v>
      </c>
      <c r="H911" s="197">
        <f>IF(_1_5412845612146241046457891017456[[#This Row],[Type]]&gt;0,VLOOKUP(_1_5412845612146241046457891017456[[#This Row],[Type]],Main[[#All],[TYPE]:[UNIT]],'Unit Price'!D$1,FALSE),0)</f>
        <v>0</v>
      </c>
      <c r="I911" s="194">
        <f>IF(_1_5412845612146241046457891017456[[#This Row],[Type]]&gt;0,VLOOKUP(_1_5412845612146241046457891017456[[#This Row],[Type]],Main[[#All],[TYPE]:[UNIT]],'Unit Price'!G$1,FALSE),0)</f>
        <v>0</v>
      </c>
      <c r="J911" s="194">
        <f>IF(_1_5412845612146241046457891017456[[#This Row],[Type]]&gt;0,VLOOKUP(_1_5412845612146241046457891017456[[#This Row],[Type]],Main[[#All],[TYPE]:[UNIT]],'Unit Price'!H$1,FALSE),0)</f>
        <v>0</v>
      </c>
      <c r="K911" s="194">
        <f>IF(_1_5412845612146241046457891017456[[#This Row],[Discount selection]]&gt;0,VLOOKUP(_1_5412845612146241046457891017456[[#This Row],[Discount selection]],'Discount Structure'!$A$2:$B$30,2,"false"),0)</f>
        <v>1</v>
      </c>
      <c r="L911" s="194">
        <f>_1_5412845612146241046457891017456[[#This Row],[LIST $]]*_1_5412845612146241046457891017456[[#This Row],[DISCOUNT]]*_1_5412845612146241046457891017456[[#This Row],[DISCOUNT 2]]</f>
        <v>0</v>
      </c>
      <c r="M911" s="194">
        <f>IF(OR(_1_5412845612146241046457891017456[[#This Row],[UNIT]]&gt;0,_1_5412845612146241046457891017456[[#This Row],[UNIT]]&lt;0),_1_5412845612146241046457891017456[[#This Row],[UNIT]]*_1_5412845612146241046457891017456[[#This Row],[COST]],0)</f>
        <v>0</v>
      </c>
      <c r="N911" s="194">
        <f t="shared" si="14"/>
        <v>1.3</v>
      </c>
      <c r="O911" s="198">
        <f>_1_5412845612146241046457891017456[[#This Row],[TOTAL]]*_1_5412845612146241046457891017456[[#This Row],[MARGIN]]</f>
        <v>0</v>
      </c>
      <c r="P911" s="198"/>
      <c r="R911" s="41"/>
    </row>
    <row r="912" spans="4:18">
      <c r="D912" s="188"/>
      <c r="E912" s="42"/>
      <c r="F912" s="168" t="s">
        <v>6202</v>
      </c>
      <c r="G912" s="193">
        <f>IF(_1_5412845612146241046457891017456[[#This Row],[Type]]&gt;0,VLOOKUP(_1_5412845612146241046457891017456[[#This Row],[Type]],Main[[#All],[TYPE]:[UNIT]],'Unit Price'!C$1,FALSE),0)</f>
        <v>0</v>
      </c>
      <c r="H912" s="197">
        <f>IF(_1_5412845612146241046457891017456[[#This Row],[Type]]&gt;0,VLOOKUP(_1_5412845612146241046457891017456[[#This Row],[Type]],Main[[#All],[TYPE]:[UNIT]],'Unit Price'!D$1,FALSE),0)</f>
        <v>0</v>
      </c>
      <c r="I912" s="194">
        <f>IF(_1_5412845612146241046457891017456[[#This Row],[Type]]&gt;0,VLOOKUP(_1_5412845612146241046457891017456[[#This Row],[Type]],Main[[#All],[TYPE]:[UNIT]],'Unit Price'!G$1,FALSE),0)</f>
        <v>0</v>
      </c>
      <c r="J912" s="194">
        <f>IF(_1_5412845612146241046457891017456[[#This Row],[Type]]&gt;0,VLOOKUP(_1_5412845612146241046457891017456[[#This Row],[Type]],Main[[#All],[TYPE]:[UNIT]],'Unit Price'!H$1,FALSE),0)</f>
        <v>0</v>
      </c>
      <c r="K912" s="194">
        <f>IF(_1_5412845612146241046457891017456[[#This Row],[Discount selection]]&gt;0,VLOOKUP(_1_5412845612146241046457891017456[[#This Row],[Discount selection]],'Discount Structure'!$A$2:$B$30,2,"false"),0)</f>
        <v>1</v>
      </c>
      <c r="L912" s="194">
        <f>_1_5412845612146241046457891017456[[#This Row],[LIST $]]*_1_5412845612146241046457891017456[[#This Row],[DISCOUNT]]*_1_5412845612146241046457891017456[[#This Row],[DISCOUNT 2]]</f>
        <v>0</v>
      </c>
      <c r="M912" s="194">
        <f>IF(OR(_1_5412845612146241046457891017456[[#This Row],[UNIT]]&gt;0,_1_5412845612146241046457891017456[[#This Row],[UNIT]]&lt;0),_1_5412845612146241046457891017456[[#This Row],[UNIT]]*_1_5412845612146241046457891017456[[#This Row],[COST]],0)</f>
        <v>0</v>
      </c>
      <c r="N912" s="194">
        <f t="shared" si="14"/>
        <v>1.3</v>
      </c>
      <c r="O912" s="198">
        <f>_1_5412845612146241046457891017456[[#This Row],[TOTAL]]*_1_5412845612146241046457891017456[[#This Row],[MARGIN]]</f>
        <v>0</v>
      </c>
      <c r="P912" s="198"/>
      <c r="R912" s="41"/>
    </row>
    <row r="913" spans="4:18">
      <c r="D913" s="188"/>
      <c r="E913" s="42"/>
      <c r="F913" s="168" t="s">
        <v>6202</v>
      </c>
      <c r="G913" s="193">
        <f>IF(_1_5412845612146241046457891017456[[#This Row],[Type]]&gt;0,VLOOKUP(_1_5412845612146241046457891017456[[#This Row],[Type]],Main[[#All],[TYPE]:[UNIT]],'Unit Price'!C$1,FALSE),0)</f>
        <v>0</v>
      </c>
      <c r="H913" s="197">
        <f>IF(_1_5412845612146241046457891017456[[#This Row],[Type]]&gt;0,VLOOKUP(_1_5412845612146241046457891017456[[#This Row],[Type]],Main[[#All],[TYPE]:[UNIT]],'Unit Price'!D$1,FALSE),0)</f>
        <v>0</v>
      </c>
      <c r="I913" s="194">
        <f>IF(_1_5412845612146241046457891017456[[#This Row],[Type]]&gt;0,VLOOKUP(_1_5412845612146241046457891017456[[#This Row],[Type]],Main[[#All],[TYPE]:[UNIT]],'Unit Price'!G$1,FALSE),0)</f>
        <v>0</v>
      </c>
      <c r="J913" s="194">
        <f>IF(_1_5412845612146241046457891017456[[#This Row],[Type]]&gt;0,VLOOKUP(_1_5412845612146241046457891017456[[#This Row],[Type]],Main[[#All],[TYPE]:[UNIT]],'Unit Price'!H$1,FALSE),0)</f>
        <v>0</v>
      </c>
      <c r="K913" s="194">
        <f>IF(_1_5412845612146241046457891017456[[#This Row],[Discount selection]]&gt;0,VLOOKUP(_1_5412845612146241046457891017456[[#This Row],[Discount selection]],'Discount Structure'!$A$2:$B$30,2,"false"),0)</f>
        <v>1</v>
      </c>
      <c r="L913" s="194">
        <f>_1_5412845612146241046457891017456[[#This Row],[LIST $]]*_1_5412845612146241046457891017456[[#This Row],[DISCOUNT]]*_1_5412845612146241046457891017456[[#This Row],[DISCOUNT 2]]</f>
        <v>0</v>
      </c>
      <c r="M913" s="194">
        <f>IF(OR(_1_5412845612146241046457891017456[[#This Row],[UNIT]]&gt;0,_1_5412845612146241046457891017456[[#This Row],[UNIT]]&lt;0),_1_5412845612146241046457891017456[[#This Row],[UNIT]]*_1_5412845612146241046457891017456[[#This Row],[COST]],0)</f>
        <v>0</v>
      </c>
      <c r="N913" s="194">
        <f t="shared" si="14"/>
        <v>1.3</v>
      </c>
      <c r="O913" s="198">
        <f>_1_5412845612146241046457891017456[[#This Row],[TOTAL]]*_1_5412845612146241046457891017456[[#This Row],[MARGIN]]</f>
        <v>0</v>
      </c>
      <c r="P913" s="198"/>
      <c r="R913" s="41"/>
    </row>
    <row r="914" spans="4:18">
      <c r="D914" s="188"/>
      <c r="E914" s="42"/>
      <c r="F914" s="168" t="s">
        <v>6202</v>
      </c>
      <c r="G914" s="193">
        <f>IF(_1_5412845612146241046457891017456[[#This Row],[Type]]&gt;0,VLOOKUP(_1_5412845612146241046457891017456[[#This Row],[Type]],Main[[#All],[TYPE]:[UNIT]],'Unit Price'!C$1,FALSE),0)</f>
        <v>0</v>
      </c>
      <c r="H914" s="197">
        <f>IF(_1_5412845612146241046457891017456[[#This Row],[Type]]&gt;0,VLOOKUP(_1_5412845612146241046457891017456[[#This Row],[Type]],Main[[#All],[TYPE]:[UNIT]],'Unit Price'!D$1,FALSE),0)</f>
        <v>0</v>
      </c>
      <c r="I914" s="194">
        <f>IF(_1_5412845612146241046457891017456[[#This Row],[Type]]&gt;0,VLOOKUP(_1_5412845612146241046457891017456[[#This Row],[Type]],Main[[#All],[TYPE]:[UNIT]],'Unit Price'!G$1,FALSE),0)</f>
        <v>0</v>
      </c>
      <c r="J914" s="194">
        <f>IF(_1_5412845612146241046457891017456[[#This Row],[Type]]&gt;0,VLOOKUP(_1_5412845612146241046457891017456[[#This Row],[Type]],Main[[#All],[TYPE]:[UNIT]],'Unit Price'!H$1,FALSE),0)</f>
        <v>0</v>
      </c>
      <c r="K914" s="194">
        <f>IF(_1_5412845612146241046457891017456[[#This Row],[Discount selection]]&gt;0,VLOOKUP(_1_5412845612146241046457891017456[[#This Row],[Discount selection]],'Discount Structure'!$A$2:$B$30,2,"false"),0)</f>
        <v>1</v>
      </c>
      <c r="L914" s="194">
        <f>_1_5412845612146241046457891017456[[#This Row],[LIST $]]*_1_5412845612146241046457891017456[[#This Row],[DISCOUNT]]*_1_5412845612146241046457891017456[[#This Row],[DISCOUNT 2]]</f>
        <v>0</v>
      </c>
      <c r="M914" s="194">
        <f>IF(OR(_1_5412845612146241046457891017456[[#This Row],[UNIT]]&gt;0,_1_5412845612146241046457891017456[[#This Row],[UNIT]]&lt;0),_1_5412845612146241046457891017456[[#This Row],[UNIT]]*_1_5412845612146241046457891017456[[#This Row],[COST]],0)</f>
        <v>0</v>
      </c>
      <c r="N914" s="194">
        <f t="shared" si="14"/>
        <v>1.3</v>
      </c>
      <c r="O914" s="198">
        <f>_1_5412845612146241046457891017456[[#This Row],[TOTAL]]*_1_5412845612146241046457891017456[[#This Row],[MARGIN]]</f>
        <v>0</v>
      </c>
      <c r="P914" s="198"/>
      <c r="R914" s="41"/>
    </row>
    <row r="915" spans="4:18">
      <c r="D915" s="188"/>
      <c r="E915" s="42"/>
      <c r="F915" s="168" t="s">
        <v>6202</v>
      </c>
      <c r="G915" s="193">
        <f>IF(_1_5412845612146241046457891017456[[#This Row],[Type]]&gt;0,VLOOKUP(_1_5412845612146241046457891017456[[#This Row],[Type]],Main[[#All],[TYPE]:[UNIT]],'Unit Price'!C$1,FALSE),0)</f>
        <v>0</v>
      </c>
      <c r="H915" s="197">
        <f>IF(_1_5412845612146241046457891017456[[#This Row],[Type]]&gt;0,VLOOKUP(_1_5412845612146241046457891017456[[#This Row],[Type]],Main[[#All],[TYPE]:[UNIT]],'Unit Price'!D$1,FALSE),0)</f>
        <v>0</v>
      </c>
      <c r="I915" s="194">
        <f>IF(_1_5412845612146241046457891017456[[#This Row],[Type]]&gt;0,VLOOKUP(_1_5412845612146241046457891017456[[#This Row],[Type]],Main[[#All],[TYPE]:[UNIT]],'Unit Price'!G$1,FALSE),0)</f>
        <v>0</v>
      </c>
      <c r="J915" s="194">
        <f>IF(_1_5412845612146241046457891017456[[#This Row],[Type]]&gt;0,VLOOKUP(_1_5412845612146241046457891017456[[#This Row],[Type]],Main[[#All],[TYPE]:[UNIT]],'Unit Price'!H$1,FALSE),0)</f>
        <v>0</v>
      </c>
      <c r="K915" s="194">
        <f>IF(_1_5412845612146241046457891017456[[#This Row],[Discount selection]]&gt;0,VLOOKUP(_1_5412845612146241046457891017456[[#This Row],[Discount selection]],'Discount Structure'!$A$2:$B$30,2,"false"),0)</f>
        <v>1</v>
      </c>
      <c r="L915" s="194">
        <f>_1_5412845612146241046457891017456[[#This Row],[LIST $]]*_1_5412845612146241046457891017456[[#This Row],[DISCOUNT]]*_1_5412845612146241046457891017456[[#This Row],[DISCOUNT 2]]</f>
        <v>0</v>
      </c>
      <c r="M915" s="194">
        <f>IF(OR(_1_5412845612146241046457891017456[[#This Row],[UNIT]]&gt;0,_1_5412845612146241046457891017456[[#This Row],[UNIT]]&lt;0),_1_5412845612146241046457891017456[[#This Row],[UNIT]]*_1_5412845612146241046457891017456[[#This Row],[COST]],0)</f>
        <v>0</v>
      </c>
      <c r="N915" s="194">
        <f t="shared" si="14"/>
        <v>1.3</v>
      </c>
      <c r="O915" s="198">
        <f>_1_5412845612146241046457891017456[[#This Row],[TOTAL]]*_1_5412845612146241046457891017456[[#This Row],[MARGIN]]</f>
        <v>0</v>
      </c>
      <c r="P915" s="198"/>
      <c r="R915" s="41"/>
    </row>
    <row r="916" spans="4:18">
      <c r="D916" s="188"/>
      <c r="E916" s="42"/>
      <c r="F916" s="168" t="s">
        <v>6202</v>
      </c>
      <c r="G916" s="193">
        <f>IF(_1_5412845612146241046457891017456[[#This Row],[Type]]&gt;0,VLOOKUP(_1_5412845612146241046457891017456[[#This Row],[Type]],Main[[#All],[TYPE]:[UNIT]],'Unit Price'!C$1,FALSE),0)</f>
        <v>0</v>
      </c>
      <c r="H916" s="197">
        <f>IF(_1_5412845612146241046457891017456[[#This Row],[Type]]&gt;0,VLOOKUP(_1_5412845612146241046457891017456[[#This Row],[Type]],Main[[#All],[TYPE]:[UNIT]],'Unit Price'!D$1,FALSE),0)</f>
        <v>0</v>
      </c>
      <c r="I916" s="194">
        <f>IF(_1_5412845612146241046457891017456[[#This Row],[Type]]&gt;0,VLOOKUP(_1_5412845612146241046457891017456[[#This Row],[Type]],Main[[#All],[TYPE]:[UNIT]],'Unit Price'!G$1,FALSE),0)</f>
        <v>0</v>
      </c>
      <c r="J916" s="194">
        <f>IF(_1_5412845612146241046457891017456[[#This Row],[Type]]&gt;0,VLOOKUP(_1_5412845612146241046457891017456[[#This Row],[Type]],Main[[#All],[TYPE]:[UNIT]],'Unit Price'!H$1,FALSE),0)</f>
        <v>0</v>
      </c>
      <c r="K916" s="194">
        <f>IF(_1_5412845612146241046457891017456[[#This Row],[Discount selection]]&gt;0,VLOOKUP(_1_5412845612146241046457891017456[[#This Row],[Discount selection]],'Discount Structure'!$A$2:$B$30,2,"false"),0)</f>
        <v>1</v>
      </c>
      <c r="L916" s="194">
        <f>_1_5412845612146241046457891017456[[#This Row],[LIST $]]*_1_5412845612146241046457891017456[[#This Row],[DISCOUNT]]*_1_5412845612146241046457891017456[[#This Row],[DISCOUNT 2]]</f>
        <v>0</v>
      </c>
      <c r="M916" s="194">
        <f>IF(OR(_1_5412845612146241046457891017456[[#This Row],[UNIT]]&gt;0,_1_5412845612146241046457891017456[[#This Row],[UNIT]]&lt;0),_1_5412845612146241046457891017456[[#This Row],[UNIT]]*_1_5412845612146241046457891017456[[#This Row],[COST]],0)</f>
        <v>0</v>
      </c>
      <c r="N916" s="194">
        <f t="shared" si="14"/>
        <v>1.3</v>
      </c>
      <c r="O916" s="198">
        <f>_1_5412845612146241046457891017456[[#This Row],[TOTAL]]*_1_5412845612146241046457891017456[[#This Row],[MARGIN]]</f>
        <v>0</v>
      </c>
      <c r="P916" s="198"/>
      <c r="R916" s="41"/>
    </row>
    <row r="917" spans="4:18">
      <c r="D917" s="188"/>
      <c r="E917" s="42"/>
      <c r="F917" s="168" t="s">
        <v>6202</v>
      </c>
      <c r="G917" s="193">
        <f>IF(_1_5412845612146241046457891017456[[#This Row],[Type]]&gt;0,VLOOKUP(_1_5412845612146241046457891017456[[#This Row],[Type]],Main[[#All],[TYPE]:[UNIT]],'Unit Price'!C$1,FALSE),0)</f>
        <v>0</v>
      </c>
      <c r="H917" s="197">
        <f>IF(_1_5412845612146241046457891017456[[#This Row],[Type]]&gt;0,VLOOKUP(_1_5412845612146241046457891017456[[#This Row],[Type]],Main[[#All],[TYPE]:[UNIT]],'Unit Price'!D$1,FALSE),0)</f>
        <v>0</v>
      </c>
      <c r="I917" s="194">
        <f>IF(_1_5412845612146241046457891017456[[#This Row],[Type]]&gt;0,VLOOKUP(_1_5412845612146241046457891017456[[#This Row],[Type]],Main[[#All],[TYPE]:[UNIT]],'Unit Price'!G$1,FALSE),0)</f>
        <v>0</v>
      </c>
      <c r="J917" s="194">
        <f>IF(_1_5412845612146241046457891017456[[#This Row],[Type]]&gt;0,VLOOKUP(_1_5412845612146241046457891017456[[#This Row],[Type]],Main[[#All],[TYPE]:[UNIT]],'Unit Price'!H$1,FALSE),0)</f>
        <v>0</v>
      </c>
      <c r="K917" s="194">
        <f>IF(_1_5412845612146241046457891017456[[#This Row],[Discount selection]]&gt;0,VLOOKUP(_1_5412845612146241046457891017456[[#This Row],[Discount selection]],'Discount Structure'!$A$2:$B$30,2,"false"),0)</f>
        <v>1</v>
      </c>
      <c r="L917" s="194">
        <f>_1_5412845612146241046457891017456[[#This Row],[LIST $]]*_1_5412845612146241046457891017456[[#This Row],[DISCOUNT]]*_1_5412845612146241046457891017456[[#This Row],[DISCOUNT 2]]</f>
        <v>0</v>
      </c>
      <c r="M917" s="194">
        <f>IF(OR(_1_5412845612146241046457891017456[[#This Row],[UNIT]]&gt;0,_1_5412845612146241046457891017456[[#This Row],[UNIT]]&lt;0),_1_5412845612146241046457891017456[[#This Row],[UNIT]]*_1_5412845612146241046457891017456[[#This Row],[COST]],0)</f>
        <v>0</v>
      </c>
      <c r="N917" s="194">
        <f t="shared" si="14"/>
        <v>1.3</v>
      </c>
      <c r="O917" s="198">
        <f>_1_5412845612146241046457891017456[[#This Row],[TOTAL]]*_1_5412845612146241046457891017456[[#This Row],[MARGIN]]</f>
        <v>0</v>
      </c>
      <c r="P917" s="198"/>
      <c r="R917" s="41"/>
    </row>
    <row r="918" spans="4:18">
      <c r="D918" s="188"/>
      <c r="E918" s="42"/>
      <c r="F918" s="168" t="s">
        <v>6202</v>
      </c>
      <c r="G918" s="193">
        <f>IF(_1_5412845612146241046457891017456[[#This Row],[Type]]&gt;0,VLOOKUP(_1_5412845612146241046457891017456[[#This Row],[Type]],Main[[#All],[TYPE]:[UNIT]],'Unit Price'!C$1,FALSE),0)</f>
        <v>0</v>
      </c>
      <c r="H918" s="197">
        <f>IF(_1_5412845612146241046457891017456[[#This Row],[Type]]&gt;0,VLOOKUP(_1_5412845612146241046457891017456[[#This Row],[Type]],Main[[#All],[TYPE]:[UNIT]],'Unit Price'!D$1,FALSE),0)</f>
        <v>0</v>
      </c>
      <c r="I918" s="194">
        <f>IF(_1_5412845612146241046457891017456[[#This Row],[Type]]&gt;0,VLOOKUP(_1_5412845612146241046457891017456[[#This Row],[Type]],Main[[#All],[TYPE]:[UNIT]],'Unit Price'!G$1,FALSE),0)</f>
        <v>0</v>
      </c>
      <c r="J918" s="194">
        <f>IF(_1_5412845612146241046457891017456[[#This Row],[Type]]&gt;0,VLOOKUP(_1_5412845612146241046457891017456[[#This Row],[Type]],Main[[#All],[TYPE]:[UNIT]],'Unit Price'!H$1,FALSE),0)</f>
        <v>0</v>
      </c>
      <c r="K918" s="194">
        <f>IF(_1_5412845612146241046457891017456[[#This Row],[Discount selection]]&gt;0,VLOOKUP(_1_5412845612146241046457891017456[[#This Row],[Discount selection]],'Discount Structure'!$A$2:$B$30,2,"false"),0)</f>
        <v>1</v>
      </c>
      <c r="L918" s="194">
        <f>_1_5412845612146241046457891017456[[#This Row],[LIST $]]*_1_5412845612146241046457891017456[[#This Row],[DISCOUNT]]*_1_5412845612146241046457891017456[[#This Row],[DISCOUNT 2]]</f>
        <v>0</v>
      </c>
      <c r="M918" s="194">
        <f>IF(OR(_1_5412845612146241046457891017456[[#This Row],[UNIT]]&gt;0,_1_5412845612146241046457891017456[[#This Row],[UNIT]]&lt;0),_1_5412845612146241046457891017456[[#This Row],[UNIT]]*_1_5412845612146241046457891017456[[#This Row],[COST]],0)</f>
        <v>0</v>
      </c>
      <c r="N918" s="194">
        <f t="shared" si="14"/>
        <v>1.3</v>
      </c>
      <c r="O918" s="198">
        <f>_1_5412845612146241046457891017456[[#This Row],[TOTAL]]*_1_5412845612146241046457891017456[[#This Row],[MARGIN]]</f>
        <v>0</v>
      </c>
      <c r="P918" s="198"/>
      <c r="R918" s="41"/>
    </row>
    <row r="919" spans="4:18">
      <c r="D919" s="188"/>
      <c r="E919" s="42"/>
      <c r="F919" s="168" t="s">
        <v>6202</v>
      </c>
      <c r="G919" s="193">
        <f>IF(_1_5412845612146241046457891017456[[#This Row],[Type]]&gt;0,VLOOKUP(_1_5412845612146241046457891017456[[#This Row],[Type]],Main[[#All],[TYPE]:[UNIT]],'Unit Price'!C$1,FALSE),0)</f>
        <v>0</v>
      </c>
      <c r="H919" s="197">
        <f>IF(_1_5412845612146241046457891017456[[#This Row],[Type]]&gt;0,VLOOKUP(_1_5412845612146241046457891017456[[#This Row],[Type]],Main[[#All],[TYPE]:[UNIT]],'Unit Price'!D$1,FALSE),0)</f>
        <v>0</v>
      </c>
      <c r="I919" s="194">
        <f>IF(_1_5412845612146241046457891017456[[#This Row],[Type]]&gt;0,VLOOKUP(_1_5412845612146241046457891017456[[#This Row],[Type]],Main[[#All],[TYPE]:[UNIT]],'Unit Price'!G$1,FALSE),0)</f>
        <v>0</v>
      </c>
      <c r="J919" s="194">
        <f>IF(_1_5412845612146241046457891017456[[#This Row],[Type]]&gt;0,VLOOKUP(_1_5412845612146241046457891017456[[#This Row],[Type]],Main[[#All],[TYPE]:[UNIT]],'Unit Price'!H$1,FALSE),0)</f>
        <v>0</v>
      </c>
      <c r="K919" s="194">
        <f>IF(_1_5412845612146241046457891017456[[#This Row],[Discount selection]]&gt;0,VLOOKUP(_1_5412845612146241046457891017456[[#This Row],[Discount selection]],'Discount Structure'!$A$2:$B$30,2,"false"),0)</f>
        <v>1</v>
      </c>
      <c r="L919" s="194">
        <f>_1_5412845612146241046457891017456[[#This Row],[LIST $]]*_1_5412845612146241046457891017456[[#This Row],[DISCOUNT]]*_1_5412845612146241046457891017456[[#This Row],[DISCOUNT 2]]</f>
        <v>0</v>
      </c>
      <c r="M919" s="194">
        <f>IF(OR(_1_5412845612146241046457891017456[[#This Row],[UNIT]]&gt;0,_1_5412845612146241046457891017456[[#This Row],[UNIT]]&lt;0),_1_5412845612146241046457891017456[[#This Row],[UNIT]]*_1_5412845612146241046457891017456[[#This Row],[COST]],0)</f>
        <v>0</v>
      </c>
      <c r="N919" s="194">
        <f t="shared" si="14"/>
        <v>1.3</v>
      </c>
      <c r="O919" s="198">
        <f>_1_5412845612146241046457891017456[[#This Row],[TOTAL]]*_1_5412845612146241046457891017456[[#This Row],[MARGIN]]</f>
        <v>0</v>
      </c>
      <c r="P919" s="198"/>
      <c r="R919" s="41"/>
    </row>
    <row r="920" spans="4:18">
      <c r="D920" s="188"/>
      <c r="E920" s="42"/>
      <c r="F920" s="168" t="s">
        <v>6202</v>
      </c>
      <c r="G920" s="193">
        <f>IF(_1_5412845612146241046457891017456[[#This Row],[Type]]&gt;0,VLOOKUP(_1_5412845612146241046457891017456[[#This Row],[Type]],Main[[#All],[TYPE]:[UNIT]],'Unit Price'!C$1,FALSE),0)</f>
        <v>0</v>
      </c>
      <c r="H920" s="197">
        <f>IF(_1_5412845612146241046457891017456[[#This Row],[Type]]&gt;0,VLOOKUP(_1_5412845612146241046457891017456[[#This Row],[Type]],Main[[#All],[TYPE]:[UNIT]],'Unit Price'!D$1,FALSE),0)</f>
        <v>0</v>
      </c>
      <c r="I920" s="194">
        <f>IF(_1_5412845612146241046457891017456[[#This Row],[Type]]&gt;0,VLOOKUP(_1_5412845612146241046457891017456[[#This Row],[Type]],Main[[#All],[TYPE]:[UNIT]],'Unit Price'!G$1,FALSE),0)</f>
        <v>0</v>
      </c>
      <c r="J920" s="194">
        <f>IF(_1_5412845612146241046457891017456[[#This Row],[Type]]&gt;0,VLOOKUP(_1_5412845612146241046457891017456[[#This Row],[Type]],Main[[#All],[TYPE]:[UNIT]],'Unit Price'!H$1,FALSE),0)</f>
        <v>0</v>
      </c>
      <c r="K920" s="194">
        <f>IF(_1_5412845612146241046457891017456[[#This Row],[Discount selection]]&gt;0,VLOOKUP(_1_5412845612146241046457891017456[[#This Row],[Discount selection]],'Discount Structure'!$A$2:$B$30,2,"false"),0)</f>
        <v>1</v>
      </c>
      <c r="L920" s="194">
        <f>_1_5412845612146241046457891017456[[#This Row],[LIST $]]*_1_5412845612146241046457891017456[[#This Row],[DISCOUNT]]*_1_5412845612146241046457891017456[[#This Row],[DISCOUNT 2]]</f>
        <v>0</v>
      </c>
      <c r="M920" s="194">
        <f>IF(OR(_1_5412845612146241046457891017456[[#This Row],[UNIT]]&gt;0,_1_5412845612146241046457891017456[[#This Row],[UNIT]]&lt;0),_1_5412845612146241046457891017456[[#This Row],[UNIT]]*_1_5412845612146241046457891017456[[#This Row],[COST]],0)</f>
        <v>0</v>
      </c>
      <c r="N920" s="194">
        <f t="shared" si="14"/>
        <v>1.3</v>
      </c>
      <c r="O920" s="198">
        <f>_1_5412845612146241046457891017456[[#This Row],[TOTAL]]*_1_5412845612146241046457891017456[[#This Row],[MARGIN]]</f>
        <v>0</v>
      </c>
      <c r="P920" s="198"/>
      <c r="R920" s="41"/>
    </row>
    <row r="921" spans="4:18">
      <c r="D921" s="188"/>
      <c r="E921" s="42"/>
      <c r="F921" s="168" t="s">
        <v>6202</v>
      </c>
      <c r="G921" s="193">
        <f>IF(_1_5412845612146241046457891017456[[#This Row],[Type]]&gt;0,VLOOKUP(_1_5412845612146241046457891017456[[#This Row],[Type]],Main[[#All],[TYPE]:[UNIT]],'Unit Price'!C$1,FALSE),0)</f>
        <v>0</v>
      </c>
      <c r="H921" s="197">
        <f>IF(_1_5412845612146241046457891017456[[#This Row],[Type]]&gt;0,VLOOKUP(_1_5412845612146241046457891017456[[#This Row],[Type]],Main[[#All],[TYPE]:[UNIT]],'Unit Price'!D$1,FALSE),0)</f>
        <v>0</v>
      </c>
      <c r="I921" s="194">
        <f>IF(_1_5412845612146241046457891017456[[#This Row],[Type]]&gt;0,VLOOKUP(_1_5412845612146241046457891017456[[#This Row],[Type]],Main[[#All],[TYPE]:[UNIT]],'Unit Price'!G$1,FALSE),0)</f>
        <v>0</v>
      </c>
      <c r="J921" s="194">
        <f>IF(_1_5412845612146241046457891017456[[#This Row],[Type]]&gt;0,VLOOKUP(_1_5412845612146241046457891017456[[#This Row],[Type]],Main[[#All],[TYPE]:[UNIT]],'Unit Price'!H$1,FALSE),0)</f>
        <v>0</v>
      </c>
      <c r="K921" s="194">
        <f>IF(_1_5412845612146241046457891017456[[#This Row],[Discount selection]]&gt;0,VLOOKUP(_1_5412845612146241046457891017456[[#This Row],[Discount selection]],'Discount Structure'!$A$2:$B$30,2,"false"),0)</f>
        <v>1</v>
      </c>
      <c r="L921" s="194">
        <f>_1_5412845612146241046457891017456[[#This Row],[LIST $]]*_1_5412845612146241046457891017456[[#This Row],[DISCOUNT]]*_1_5412845612146241046457891017456[[#This Row],[DISCOUNT 2]]</f>
        <v>0</v>
      </c>
      <c r="M921" s="194">
        <f>IF(OR(_1_5412845612146241046457891017456[[#This Row],[UNIT]]&gt;0,_1_5412845612146241046457891017456[[#This Row],[UNIT]]&lt;0),_1_5412845612146241046457891017456[[#This Row],[UNIT]]*_1_5412845612146241046457891017456[[#This Row],[COST]],0)</f>
        <v>0</v>
      </c>
      <c r="N921" s="194">
        <f t="shared" si="14"/>
        <v>1.3</v>
      </c>
      <c r="O921" s="198">
        <f>_1_5412845612146241046457891017456[[#This Row],[TOTAL]]*_1_5412845612146241046457891017456[[#This Row],[MARGIN]]</f>
        <v>0</v>
      </c>
      <c r="P921" s="198"/>
      <c r="R921" s="41"/>
    </row>
    <row r="922" spans="4:18">
      <c r="D922" s="188"/>
      <c r="E922" s="42"/>
      <c r="F922" s="168" t="s">
        <v>6202</v>
      </c>
      <c r="G922" s="193">
        <f>IF(_1_5412845612146241046457891017456[[#This Row],[Type]]&gt;0,VLOOKUP(_1_5412845612146241046457891017456[[#This Row],[Type]],Main[[#All],[TYPE]:[UNIT]],'Unit Price'!C$1,FALSE),0)</f>
        <v>0</v>
      </c>
      <c r="H922" s="197">
        <f>IF(_1_5412845612146241046457891017456[[#This Row],[Type]]&gt;0,VLOOKUP(_1_5412845612146241046457891017456[[#This Row],[Type]],Main[[#All],[TYPE]:[UNIT]],'Unit Price'!D$1,FALSE),0)</f>
        <v>0</v>
      </c>
      <c r="I922" s="194">
        <f>IF(_1_5412845612146241046457891017456[[#This Row],[Type]]&gt;0,VLOOKUP(_1_5412845612146241046457891017456[[#This Row],[Type]],Main[[#All],[TYPE]:[UNIT]],'Unit Price'!G$1,FALSE),0)</f>
        <v>0</v>
      </c>
      <c r="J922" s="194">
        <f>IF(_1_5412845612146241046457891017456[[#This Row],[Type]]&gt;0,VLOOKUP(_1_5412845612146241046457891017456[[#This Row],[Type]],Main[[#All],[TYPE]:[UNIT]],'Unit Price'!H$1,FALSE),0)</f>
        <v>0</v>
      </c>
      <c r="K922" s="194">
        <f>IF(_1_5412845612146241046457891017456[[#This Row],[Discount selection]]&gt;0,VLOOKUP(_1_5412845612146241046457891017456[[#This Row],[Discount selection]],'Discount Structure'!$A$2:$B$30,2,"false"),0)</f>
        <v>1</v>
      </c>
      <c r="L922" s="194">
        <f>_1_5412845612146241046457891017456[[#This Row],[LIST $]]*_1_5412845612146241046457891017456[[#This Row],[DISCOUNT]]*_1_5412845612146241046457891017456[[#This Row],[DISCOUNT 2]]</f>
        <v>0</v>
      </c>
      <c r="M922" s="194">
        <f>IF(OR(_1_5412845612146241046457891017456[[#This Row],[UNIT]]&gt;0,_1_5412845612146241046457891017456[[#This Row],[UNIT]]&lt;0),_1_5412845612146241046457891017456[[#This Row],[UNIT]]*_1_5412845612146241046457891017456[[#This Row],[COST]],0)</f>
        <v>0</v>
      </c>
      <c r="N922" s="194">
        <f t="shared" si="14"/>
        <v>1.3</v>
      </c>
      <c r="O922" s="198">
        <f>_1_5412845612146241046457891017456[[#This Row],[TOTAL]]*_1_5412845612146241046457891017456[[#This Row],[MARGIN]]</f>
        <v>0</v>
      </c>
      <c r="P922" s="198"/>
      <c r="R922" s="41"/>
    </row>
    <row r="923" spans="4:18">
      <c r="D923" s="188"/>
      <c r="E923" s="42"/>
      <c r="F923" s="168" t="s">
        <v>6202</v>
      </c>
      <c r="G923" s="193">
        <f>IF(_1_5412845612146241046457891017456[[#This Row],[Type]]&gt;0,VLOOKUP(_1_5412845612146241046457891017456[[#This Row],[Type]],Main[[#All],[TYPE]:[UNIT]],'Unit Price'!C$1,FALSE),0)</f>
        <v>0</v>
      </c>
      <c r="H923" s="197">
        <f>IF(_1_5412845612146241046457891017456[[#This Row],[Type]]&gt;0,VLOOKUP(_1_5412845612146241046457891017456[[#This Row],[Type]],Main[[#All],[TYPE]:[UNIT]],'Unit Price'!D$1,FALSE),0)</f>
        <v>0</v>
      </c>
      <c r="I923" s="194">
        <f>IF(_1_5412845612146241046457891017456[[#This Row],[Type]]&gt;0,VLOOKUP(_1_5412845612146241046457891017456[[#This Row],[Type]],Main[[#All],[TYPE]:[UNIT]],'Unit Price'!G$1,FALSE),0)</f>
        <v>0</v>
      </c>
      <c r="J923" s="194">
        <f>IF(_1_5412845612146241046457891017456[[#This Row],[Type]]&gt;0,VLOOKUP(_1_5412845612146241046457891017456[[#This Row],[Type]],Main[[#All],[TYPE]:[UNIT]],'Unit Price'!H$1,FALSE),0)</f>
        <v>0</v>
      </c>
      <c r="K923" s="194">
        <f>IF(_1_5412845612146241046457891017456[[#This Row],[Discount selection]]&gt;0,VLOOKUP(_1_5412845612146241046457891017456[[#This Row],[Discount selection]],'Discount Structure'!$A$2:$B$30,2,"false"),0)</f>
        <v>1</v>
      </c>
      <c r="L923" s="194">
        <f>_1_5412845612146241046457891017456[[#This Row],[LIST $]]*_1_5412845612146241046457891017456[[#This Row],[DISCOUNT]]*_1_5412845612146241046457891017456[[#This Row],[DISCOUNT 2]]</f>
        <v>0</v>
      </c>
      <c r="M923" s="194">
        <f>IF(OR(_1_5412845612146241046457891017456[[#This Row],[UNIT]]&gt;0,_1_5412845612146241046457891017456[[#This Row],[UNIT]]&lt;0),_1_5412845612146241046457891017456[[#This Row],[UNIT]]*_1_5412845612146241046457891017456[[#This Row],[COST]],0)</f>
        <v>0</v>
      </c>
      <c r="N923" s="194">
        <f t="shared" si="14"/>
        <v>1.3</v>
      </c>
      <c r="O923" s="198">
        <f>_1_5412845612146241046457891017456[[#This Row],[TOTAL]]*_1_5412845612146241046457891017456[[#This Row],[MARGIN]]</f>
        <v>0</v>
      </c>
      <c r="P923" s="198"/>
      <c r="R923" s="41"/>
    </row>
    <row r="924" spans="4:18">
      <c r="D924" s="188"/>
      <c r="E924" s="42"/>
      <c r="F924" s="168" t="s">
        <v>6202</v>
      </c>
      <c r="G924" s="193">
        <f>IF(_1_5412845612146241046457891017456[[#This Row],[Type]]&gt;0,VLOOKUP(_1_5412845612146241046457891017456[[#This Row],[Type]],Main[[#All],[TYPE]:[UNIT]],'Unit Price'!C$1,FALSE),0)</f>
        <v>0</v>
      </c>
      <c r="H924" s="197">
        <f>IF(_1_5412845612146241046457891017456[[#This Row],[Type]]&gt;0,VLOOKUP(_1_5412845612146241046457891017456[[#This Row],[Type]],Main[[#All],[TYPE]:[UNIT]],'Unit Price'!D$1,FALSE),0)</f>
        <v>0</v>
      </c>
      <c r="I924" s="194">
        <f>IF(_1_5412845612146241046457891017456[[#This Row],[Type]]&gt;0,VLOOKUP(_1_5412845612146241046457891017456[[#This Row],[Type]],Main[[#All],[TYPE]:[UNIT]],'Unit Price'!G$1,FALSE),0)</f>
        <v>0</v>
      </c>
      <c r="J924" s="194">
        <f>IF(_1_5412845612146241046457891017456[[#This Row],[Type]]&gt;0,VLOOKUP(_1_5412845612146241046457891017456[[#This Row],[Type]],Main[[#All],[TYPE]:[UNIT]],'Unit Price'!H$1,FALSE),0)</f>
        <v>0</v>
      </c>
      <c r="K924" s="194">
        <f>IF(_1_5412845612146241046457891017456[[#This Row],[Discount selection]]&gt;0,VLOOKUP(_1_5412845612146241046457891017456[[#This Row],[Discount selection]],'Discount Structure'!$A$2:$B$30,2,"false"),0)</f>
        <v>1</v>
      </c>
      <c r="L924" s="194">
        <f>_1_5412845612146241046457891017456[[#This Row],[LIST $]]*_1_5412845612146241046457891017456[[#This Row],[DISCOUNT]]*_1_5412845612146241046457891017456[[#This Row],[DISCOUNT 2]]</f>
        <v>0</v>
      </c>
      <c r="M924" s="194">
        <f>IF(OR(_1_5412845612146241046457891017456[[#This Row],[UNIT]]&gt;0,_1_5412845612146241046457891017456[[#This Row],[UNIT]]&lt;0),_1_5412845612146241046457891017456[[#This Row],[UNIT]]*_1_5412845612146241046457891017456[[#This Row],[COST]],0)</f>
        <v>0</v>
      </c>
      <c r="N924" s="194">
        <f t="shared" si="14"/>
        <v>1.3</v>
      </c>
      <c r="O924" s="198">
        <f>_1_5412845612146241046457891017456[[#This Row],[TOTAL]]*_1_5412845612146241046457891017456[[#This Row],[MARGIN]]</f>
        <v>0</v>
      </c>
      <c r="P924" s="198"/>
      <c r="R924" s="41"/>
    </row>
    <row r="925" spans="4:18">
      <c r="D925" s="188"/>
      <c r="E925" s="42"/>
      <c r="F925" s="168" t="s">
        <v>6202</v>
      </c>
      <c r="G925" s="193">
        <f>IF(_1_5412845612146241046457891017456[[#This Row],[Type]]&gt;0,VLOOKUP(_1_5412845612146241046457891017456[[#This Row],[Type]],Main[[#All],[TYPE]:[UNIT]],'Unit Price'!C$1,FALSE),0)</f>
        <v>0</v>
      </c>
      <c r="H925" s="197">
        <f>IF(_1_5412845612146241046457891017456[[#This Row],[Type]]&gt;0,VLOOKUP(_1_5412845612146241046457891017456[[#This Row],[Type]],Main[[#All],[TYPE]:[UNIT]],'Unit Price'!D$1,FALSE),0)</f>
        <v>0</v>
      </c>
      <c r="I925" s="194">
        <f>IF(_1_5412845612146241046457891017456[[#This Row],[Type]]&gt;0,VLOOKUP(_1_5412845612146241046457891017456[[#This Row],[Type]],Main[[#All],[TYPE]:[UNIT]],'Unit Price'!G$1,FALSE),0)</f>
        <v>0</v>
      </c>
      <c r="J925" s="194">
        <f>IF(_1_5412845612146241046457891017456[[#This Row],[Type]]&gt;0,VLOOKUP(_1_5412845612146241046457891017456[[#This Row],[Type]],Main[[#All],[TYPE]:[UNIT]],'Unit Price'!H$1,FALSE),0)</f>
        <v>0</v>
      </c>
      <c r="K925" s="194">
        <f>IF(_1_5412845612146241046457891017456[[#This Row],[Discount selection]]&gt;0,VLOOKUP(_1_5412845612146241046457891017456[[#This Row],[Discount selection]],'Discount Structure'!$A$2:$B$30,2,"false"),0)</f>
        <v>1</v>
      </c>
      <c r="L925" s="194">
        <f>_1_5412845612146241046457891017456[[#This Row],[LIST $]]*_1_5412845612146241046457891017456[[#This Row],[DISCOUNT]]*_1_5412845612146241046457891017456[[#This Row],[DISCOUNT 2]]</f>
        <v>0</v>
      </c>
      <c r="M925" s="194">
        <f>IF(OR(_1_5412845612146241046457891017456[[#This Row],[UNIT]]&gt;0,_1_5412845612146241046457891017456[[#This Row],[UNIT]]&lt;0),_1_5412845612146241046457891017456[[#This Row],[UNIT]]*_1_5412845612146241046457891017456[[#This Row],[COST]],0)</f>
        <v>0</v>
      </c>
      <c r="N925" s="194">
        <f t="shared" si="14"/>
        <v>1.3</v>
      </c>
      <c r="O925" s="198">
        <f>_1_5412845612146241046457891017456[[#This Row],[TOTAL]]*_1_5412845612146241046457891017456[[#This Row],[MARGIN]]</f>
        <v>0</v>
      </c>
      <c r="P925" s="198"/>
      <c r="R925" s="41"/>
    </row>
    <row r="926" spans="4:18">
      <c r="D926" s="188"/>
      <c r="E926" s="42"/>
      <c r="F926" s="168" t="s">
        <v>6202</v>
      </c>
      <c r="G926" s="193">
        <f>IF(_1_5412845612146241046457891017456[[#This Row],[Type]]&gt;0,VLOOKUP(_1_5412845612146241046457891017456[[#This Row],[Type]],Main[[#All],[TYPE]:[UNIT]],'Unit Price'!C$1,FALSE),0)</f>
        <v>0</v>
      </c>
      <c r="H926" s="197">
        <f>IF(_1_5412845612146241046457891017456[[#This Row],[Type]]&gt;0,VLOOKUP(_1_5412845612146241046457891017456[[#This Row],[Type]],Main[[#All],[TYPE]:[UNIT]],'Unit Price'!D$1,FALSE),0)</f>
        <v>0</v>
      </c>
      <c r="I926" s="194">
        <f>IF(_1_5412845612146241046457891017456[[#This Row],[Type]]&gt;0,VLOOKUP(_1_5412845612146241046457891017456[[#This Row],[Type]],Main[[#All],[TYPE]:[UNIT]],'Unit Price'!G$1,FALSE),0)</f>
        <v>0</v>
      </c>
      <c r="J926" s="194">
        <f>IF(_1_5412845612146241046457891017456[[#This Row],[Type]]&gt;0,VLOOKUP(_1_5412845612146241046457891017456[[#This Row],[Type]],Main[[#All],[TYPE]:[UNIT]],'Unit Price'!H$1,FALSE),0)</f>
        <v>0</v>
      </c>
      <c r="K926" s="194">
        <f>IF(_1_5412845612146241046457891017456[[#This Row],[Discount selection]]&gt;0,VLOOKUP(_1_5412845612146241046457891017456[[#This Row],[Discount selection]],'Discount Structure'!$A$2:$B$30,2,"false"),0)</f>
        <v>1</v>
      </c>
      <c r="L926" s="194">
        <f>_1_5412845612146241046457891017456[[#This Row],[LIST $]]*_1_5412845612146241046457891017456[[#This Row],[DISCOUNT]]*_1_5412845612146241046457891017456[[#This Row],[DISCOUNT 2]]</f>
        <v>0</v>
      </c>
      <c r="M926" s="194">
        <f>IF(OR(_1_5412845612146241046457891017456[[#This Row],[UNIT]]&gt;0,_1_5412845612146241046457891017456[[#This Row],[UNIT]]&lt;0),_1_5412845612146241046457891017456[[#This Row],[UNIT]]*_1_5412845612146241046457891017456[[#This Row],[COST]],0)</f>
        <v>0</v>
      </c>
      <c r="N926" s="194">
        <f t="shared" si="14"/>
        <v>1.3</v>
      </c>
      <c r="O926" s="198">
        <f>_1_5412845612146241046457891017456[[#This Row],[TOTAL]]*_1_5412845612146241046457891017456[[#This Row],[MARGIN]]</f>
        <v>0</v>
      </c>
      <c r="P926" s="198"/>
      <c r="R926" s="41"/>
    </row>
    <row r="927" spans="4:18">
      <c r="D927" s="188"/>
      <c r="E927" s="42"/>
      <c r="F927" s="168" t="s">
        <v>6202</v>
      </c>
      <c r="G927" s="193">
        <f>IF(_1_5412845612146241046457891017456[[#This Row],[Type]]&gt;0,VLOOKUP(_1_5412845612146241046457891017456[[#This Row],[Type]],Main[[#All],[TYPE]:[UNIT]],'Unit Price'!C$1,FALSE),0)</f>
        <v>0</v>
      </c>
      <c r="H927" s="197">
        <f>IF(_1_5412845612146241046457891017456[[#This Row],[Type]]&gt;0,VLOOKUP(_1_5412845612146241046457891017456[[#This Row],[Type]],Main[[#All],[TYPE]:[UNIT]],'Unit Price'!D$1,FALSE),0)</f>
        <v>0</v>
      </c>
      <c r="I927" s="194">
        <f>IF(_1_5412845612146241046457891017456[[#This Row],[Type]]&gt;0,VLOOKUP(_1_5412845612146241046457891017456[[#This Row],[Type]],Main[[#All],[TYPE]:[UNIT]],'Unit Price'!G$1,FALSE),0)</f>
        <v>0</v>
      </c>
      <c r="J927" s="194">
        <f>IF(_1_5412845612146241046457891017456[[#This Row],[Type]]&gt;0,VLOOKUP(_1_5412845612146241046457891017456[[#This Row],[Type]],Main[[#All],[TYPE]:[UNIT]],'Unit Price'!H$1,FALSE),0)</f>
        <v>0</v>
      </c>
      <c r="K927" s="194">
        <f>IF(_1_5412845612146241046457891017456[[#This Row],[Discount selection]]&gt;0,VLOOKUP(_1_5412845612146241046457891017456[[#This Row],[Discount selection]],'Discount Structure'!$A$2:$B$30,2,"false"),0)</f>
        <v>1</v>
      </c>
      <c r="L927" s="194">
        <f>_1_5412845612146241046457891017456[[#This Row],[LIST $]]*_1_5412845612146241046457891017456[[#This Row],[DISCOUNT]]*_1_5412845612146241046457891017456[[#This Row],[DISCOUNT 2]]</f>
        <v>0</v>
      </c>
      <c r="M927" s="194">
        <f>IF(OR(_1_5412845612146241046457891017456[[#This Row],[UNIT]]&gt;0,_1_5412845612146241046457891017456[[#This Row],[UNIT]]&lt;0),_1_5412845612146241046457891017456[[#This Row],[UNIT]]*_1_5412845612146241046457891017456[[#This Row],[COST]],0)</f>
        <v>0</v>
      </c>
      <c r="N927" s="194">
        <f t="shared" si="14"/>
        <v>1.3</v>
      </c>
      <c r="O927" s="198">
        <f>_1_5412845612146241046457891017456[[#This Row],[TOTAL]]*_1_5412845612146241046457891017456[[#This Row],[MARGIN]]</f>
        <v>0</v>
      </c>
      <c r="P927" s="198"/>
      <c r="R927" s="41"/>
    </row>
    <row r="928" spans="4:18">
      <c r="D928" s="188"/>
      <c r="E928" s="42"/>
      <c r="F928" s="168" t="s">
        <v>6202</v>
      </c>
      <c r="G928" s="193">
        <f>IF(_1_5412845612146241046457891017456[[#This Row],[Type]]&gt;0,VLOOKUP(_1_5412845612146241046457891017456[[#This Row],[Type]],Main[[#All],[TYPE]:[UNIT]],'Unit Price'!C$1,FALSE),0)</f>
        <v>0</v>
      </c>
      <c r="H928" s="197">
        <f>IF(_1_5412845612146241046457891017456[[#This Row],[Type]]&gt;0,VLOOKUP(_1_5412845612146241046457891017456[[#This Row],[Type]],Main[[#All],[TYPE]:[UNIT]],'Unit Price'!D$1,FALSE),0)</f>
        <v>0</v>
      </c>
      <c r="I928" s="194">
        <f>IF(_1_5412845612146241046457891017456[[#This Row],[Type]]&gt;0,VLOOKUP(_1_5412845612146241046457891017456[[#This Row],[Type]],Main[[#All],[TYPE]:[UNIT]],'Unit Price'!G$1,FALSE),0)</f>
        <v>0</v>
      </c>
      <c r="J928" s="194">
        <f>IF(_1_5412845612146241046457891017456[[#This Row],[Type]]&gt;0,VLOOKUP(_1_5412845612146241046457891017456[[#This Row],[Type]],Main[[#All],[TYPE]:[UNIT]],'Unit Price'!H$1,FALSE),0)</f>
        <v>0</v>
      </c>
      <c r="K928" s="194">
        <f>IF(_1_5412845612146241046457891017456[[#This Row],[Discount selection]]&gt;0,VLOOKUP(_1_5412845612146241046457891017456[[#This Row],[Discount selection]],'Discount Structure'!$A$2:$B$30,2,"false"),0)</f>
        <v>1</v>
      </c>
      <c r="L928" s="194">
        <f>_1_5412845612146241046457891017456[[#This Row],[LIST $]]*_1_5412845612146241046457891017456[[#This Row],[DISCOUNT]]*_1_5412845612146241046457891017456[[#This Row],[DISCOUNT 2]]</f>
        <v>0</v>
      </c>
      <c r="M928" s="194">
        <f>IF(OR(_1_5412845612146241046457891017456[[#This Row],[UNIT]]&gt;0,_1_5412845612146241046457891017456[[#This Row],[UNIT]]&lt;0),_1_5412845612146241046457891017456[[#This Row],[UNIT]]*_1_5412845612146241046457891017456[[#This Row],[COST]],0)</f>
        <v>0</v>
      </c>
      <c r="N928" s="194">
        <f t="shared" si="14"/>
        <v>1.3</v>
      </c>
      <c r="O928" s="198">
        <f>_1_5412845612146241046457891017456[[#This Row],[TOTAL]]*_1_5412845612146241046457891017456[[#This Row],[MARGIN]]</f>
        <v>0</v>
      </c>
      <c r="P928" s="198"/>
      <c r="R928" s="41"/>
    </row>
    <row r="929" spans="4:18">
      <c r="D929" s="188"/>
      <c r="E929" s="42"/>
      <c r="F929" s="168" t="s">
        <v>6202</v>
      </c>
      <c r="G929" s="193">
        <f>IF(_1_5412845612146241046457891017456[[#This Row],[Type]]&gt;0,VLOOKUP(_1_5412845612146241046457891017456[[#This Row],[Type]],Main[[#All],[TYPE]:[UNIT]],'Unit Price'!C$1,FALSE),0)</f>
        <v>0</v>
      </c>
      <c r="H929" s="197">
        <f>IF(_1_5412845612146241046457891017456[[#This Row],[Type]]&gt;0,VLOOKUP(_1_5412845612146241046457891017456[[#This Row],[Type]],Main[[#All],[TYPE]:[UNIT]],'Unit Price'!D$1,FALSE),0)</f>
        <v>0</v>
      </c>
      <c r="I929" s="194">
        <f>IF(_1_5412845612146241046457891017456[[#This Row],[Type]]&gt;0,VLOOKUP(_1_5412845612146241046457891017456[[#This Row],[Type]],Main[[#All],[TYPE]:[UNIT]],'Unit Price'!G$1,FALSE),0)</f>
        <v>0</v>
      </c>
      <c r="J929" s="194">
        <f>IF(_1_5412845612146241046457891017456[[#This Row],[Type]]&gt;0,VLOOKUP(_1_5412845612146241046457891017456[[#This Row],[Type]],Main[[#All],[TYPE]:[UNIT]],'Unit Price'!H$1,FALSE),0)</f>
        <v>0</v>
      </c>
      <c r="K929" s="194">
        <f>IF(_1_5412845612146241046457891017456[[#This Row],[Discount selection]]&gt;0,VLOOKUP(_1_5412845612146241046457891017456[[#This Row],[Discount selection]],'Discount Structure'!$A$2:$B$30,2,"false"),0)</f>
        <v>1</v>
      </c>
      <c r="L929" s="194">
        <f>_1_5412845612146241046457891017456[[#This Row],[LIST $]]*_1_5412845612146241046457891017456[[#This Row],[DISCOUNT]]*_1_5412845612146241046457891017456[[#This Row],[DISCOUNT 2]]</f>
        <v>0</v>
      </c>
      <c r="M929" s="194">
        <f>IF(OR(_1_5412845612146241046457891017456[[#This Row],[UNIT]]&gt;0,_1_5412845612146241046457891017456[[#This Row],[UNIT]]&lt;0),_1_5412845612146241046457891017456[[#This Row],[UNIT]]*_1_5412845612146241046457891017456[[#This Row],[COST]],0)</f>
        <v>0</v>
      </c>
      <c r="N929" s="194">
        <f t="shared" si="14"/>
        <v>1.3</v>
      </c>
      <c r="O929" s="198">
        <f>_1_5412845612146241046457891017456[[#This Row],[TOTAL]]*_1_5412845612146241046457891017456[[#This Row],[MARGIN]]</f>
        <v>0</v>
      </c>
      <c r="P929" s="198"/>
      <c r="R929" s="41"/>
    </row>
    <row r="930" spans="4:18">
      <c r="D930" s="188"/>
      <c r="E930" s="42"/>
      <c r="F930" s="168" t="s">
        <v>6202</v>
      </c>
      <c r="G930" s="193">
        <f>IF(_1_5412845612146241046457891017456[[#This Row],[Type]]&gt;0,VLOOKUP(_1_5412845612146241046457891017456[[#This Row],[Type]],Main[[#All],[TYPE]:[UNIT]],'Unit Price'!C$1,FALSE),0)</f>
        <v>0</v>
      </c>
      <c r="H930" s="197">
        <f>IF(_1_5412845612146241046457891017456[[#This Row],[Type]]&gt;0,VLOOKUP(_1_5412845612146241046457891017456[[#This Row],[Type]],Main[[#All],[TYPE]:[UNIT]],'Unit Price'!D$1,FALSE),0)</f>
        <v>0</v>
      </c>
      <c r="I930" s="194">
        <f>IF(_1_5412845612146241046457891017456[[#This Row],[Type]]&gt;0,VLOOKUP(_1_5412845612146241046457891017456[[#This Row],[Type]],Main[[#All],[TYPE]:[UNIT]],'Unit Price'!G$1,FALSE),0)</f>
        <v>0</v>
      </c>
      <c r="J930" s="194">
        <f>IF(_1_5412845612146241046457891017456[[#This Row],[Type]]&gt;0,VLOOKUP(_1_5412845612146241046457891017456[[#This Row],[Type]],Main[[#All],[TYPE]:[UNIT]],'Unit Price'!H$1,FALSE),0)</f>
        <v>0</v>
      </c>
      <c r="K930" s="194">
        <f>IF(_1_5412845612146241046457891017456[[#This Row],[Discount selection]]&gt;0,VLOOKUP(_1_5412845612146241046457891017456[[#This Row],[Discount selection]],'Discount Structure'!$A$2:$B$30,2,"false"),0)</f>
        <v>1</v>
      </c>
      <c r="L930" s="194">
        <f>_1_5412845612146241046457891017456[[#This Row],[LIST $]]*_1_5412845612146241046457891017456[[#This Row],[DISCOUNT]]*_1_5412845612146241046457891017456[[#This Row],[DISCOUNT 2]]</f>
        <v>0</v>
      </c>
      <c r="M930" s="194">
        <f>IF(OR(_1_5412845612146241046457891017456[[#This Row],[UNIT]]&gt;0,_1_5412845612146241046457891017456[[#This Row],[UNIT]]&lt;0),_1_5412845612146241046457891017456[[#This Row],[UNIT]]*_1_5412845612146241046457891017456[[#This Row],[COST]],0)</f>
        <v>0</v>
      </c>
      <c r="N930" s="194">
        <f t="shared" si="14"/>
        <v>1.3</v>
      </c>
      <c r="O930" s="198">
        <f>_1_5412845612146241046457891017456[[#This Row],[TOTAL]]*_1_5412845612146241046457891017456[[#This Row],[MARGIN]]</f>
        <v>0</v>
      </c>
      <c r="P930" s="198"/>
      <c r="R930" s="41"/>
    </row>
    <row r="931" spans="4:18">
      <c r="D931" s="188"/>
      <c r="E931" s="42"/>
      <c r="F931" s="168" t="s">
        <v>6202</v>
      </c>
      <c r="G931" s="193">
        <f>IF(_1_5412845612146241046457891017456[[#This Row],[Type]]&gt;0,VLOOKUP(_1_5412845612146241046457891017456[[#This Row],[Type]],Main[[#All],[TYPE]:[UNIT]],'Unit Price'!C$1,FALSE),0)</f>
        <v>0</v>
      </c>
      <c r="H931" s="197">
        <f>IF(_1_5412845612146241046457891017456[[#This Row],[Type]]&gt;0,VLOOKUP(_1_5412845612146241046457891017456[[#This Row],[Type]],Main[[#All],[TYPE]:[UNIT]],'Unit Price'!D$1,FALSE),0)</f>
        <v>0</v>
      </c>
      <c r="I931" s="194">
        <f>IF(_1_5412845612146241046457891017456[[#This Row],[Type]]&gt;0,VLOOKUP(_1_5412845612146241046457891017456[[#This Row],[Type]],Main[[#All],[TYPE]:[UNIT]],'Unit Price'!G$1,FALSE),0)</f>
        <v>0</v>
      </c>
      <c r="J931" s="194">
        <f>IF(_1_5412845612146241046457891017456[[#This Row],[Type]]&gt;0,VLOOKUP(_1_5412845612146241046457891017456[[#This Row],[Type]],Main[[#All],[TYPE]:[UNIT]],'Unit Price'!H$1,FALSE),0)</f>
        <v>0</v>
      </c>
      <c r="K931" s="194">
        <f>IF(_1_5412845612146241046457891017456[[#This Row],[Discount selection]]&gt;0,VLOOKUP(_1_5412845612146241046457891017456[[#This Row],[Discount selection]],'Discount Structure'!$A$2:$B$30,2,"false"),0)</f>
        <v>1</v>
      </c>
      <c r="L931" s="194">
        <f>_1_5412845612146241046457891017456[[#This Row],[LIST $]]*_1_5412845612146241046457891017456[[#This Row],[DISCOUNT]]*_1_5412845612146241046457891017456[[#This Row],[DISCOUNT 2]]</f>
        <v>0</v>
      </c>
      <c r="M931" s="194">
        <f>IF(OR(_1_5412845612146241046457891017456[[#This Row],[UNIT]]&gt;0,_1_5412845612146241046457891017456[[#This Row],[UNIT]]&lt;0),_1_5412845612146241046457891017456[[#This Row],[UNIT]]*_1_5412845612146241046457891017456[[#This Row],[COST]],0)</f>
        <v>0</v>
      </c>
      <c r="N931" s="194">
        <f t="shared" si="14"/>
        <v>1.3</v>
      </c>
      <c r="O931" s="198">
        <f>_1_5412845612146241046457891017456[[#This Row],[TOTAL]]*_1_5412845612146241046457891017456[[#This Row],[MARGIN]]</f>
        <v>0</v>
      </c>
      <c r="P931" s="198"/>
      <c r="R931" s="41"/>
    </row>
    <row r="932" spans="4:18">
      <c r="D932" s="188"/>
      <c r="E932" s="42"/>
      <c r="F932" s="168" t="s">
        <v>6202</v>
      </c>
      <c r="G932" s="193">
        <f>IF(_1_5412845612146241046457891017456[[#This Row],[Type]]&gt;0,VLOOKUP(_1_5412845612146241046457891017456[[#This Row],[Type]],Main[[#All],[TYPE]:[UNIT]],'Unit Price'!C$1,FALSE),0)</f>
        <v>0</v>
      </c>
      <c r="H932" s="197">
        <f>IF(_1_5412845612146241046457891017456[[#This Row],[Type]]&gt;0,VLOOKUP(_1_5412845612146241046457891017456[[#This Row],[Type]],Main[[#All],[TYPE]:[UNIT]],'Unit Price'!D$1,FALSE),0)</f>
        <v>0</v>
      </c>
      <c r="I932" s="194">
        <f>IF(_1_5412845612146241046457891017456[[#This Row],[Type]]&gt;0,VLOOKUP(_1_5412845612146241046457891017456[[#This Row],[Type]],Main[[#All],[TYPE]:[UNIT]],'Unit Price'!G$1,FALSE),0)</f>
        <v>0</v>
      </c>
      <c r="J932" s="194">
        <f>IF(_1_5412845612146241046457891017456[[#This Row],[Type]]&gt;0,VLOOKUP(_1_5412845612146241046457891017456[[#This Row],[Type]],Main[[#All],[TYPE]:[UNIT]],'Unit Price'!H$1,FALSE),0)</f>
        <v>0</v>
      </c>
      <c r="K932" s="194">
        <f>IF(_1_5412845612146241046457891017456[[#This Row],[Discount selection]]&gt;0,VLOOKUP(_1_5412845612146241046457891017456[[#This Row],[Discount selection]],'Discount Structure'!$A$2:$B$30,2,"false"),0)</f>
        <v>1</v>
      </c>
      <c r="L932" s="194">
        <f>_1_5412845612146241046457891017456[[#This Row],[LIST $]]*_1_5412845612146241046457891017456[[#This Row],[DISCOUNT]]*_1_5412845612146241046457891017456[[#This Row],[DISCOUNT 2]]</f>
        <v>0</v>
      </c>
      <c r="M932" s="194">
        <f>IF(OR(_1_5412845612146241046457891017456[[#This Row],[UNIT]]&gt;0,_1_5412845612146241046457891017456[[#This Row],[UNIT]]&lt;0),_1_5412845612146241046457891017456[[#This Row],[UNIT]]*_1_5412845612146241046457891017456[[#This Row],[COST]],0)</f>
        <v>0</v>
      </c>
      <c r="N932" s="194">
        <f t="shared" si="14"/>
        <v>1.3</v>
      </c>
      <c r="O932" s="198">
        <f>_1_5412845612146241046457891017456[[#This Row],[TOTAL]]*_1_5412845612146241046457891017456[[#This Row],[MARGIN]]</f>
        <v>0</v>
      </c>
      <c r="P932" s="198"/>
      <c r="R932" s="41"/>
    </row>
    <row r="933" spans="4:18">
      <c r="D933" s="188"/>
      <c r="E933" s="42"/>
      <c r="F933" s="168" t="s">
        <v>6202</v>
      </c>
      <c r="G933" s="193">
        <f>IF(_1_5412845612146241046457891017456[[#This Row],[Type]]&gt;0,VLOOKUP(_1_5412845612146241046457891017456[[#This Row],[Type]],Main[[#All],[TYPE]:[UNIT]],'Unit Price'!C$1,FALSE),0)</f>
        <v>0</v>
      </c>
      <c r="H933" s="197">
        <f>IF(_1_5412845612146241046457891017456[[#This Row],[Type]]&gt;0,VLOOKUP(_1_5412845612146241046457891017456[[#This Row],[Type]],Main[[#All],[TYPE]:[UNIT]],'Unit Price'!D$1,FALSE),0)</f>
        <v>0</v>
      </c>
      <c r="I933" s="194">
        <f>IF(_1_5412845612146241046457891017456[[#This Row],[Type]]&gt;0,VLOOKUP(_1_5412845612146241046457891017456[[#This Row],[Type]],Main[[#All],[TYPE]:[UNIT]],'Unit Price'!G$1,FALSE),0)</f>
        <v>0</v>
      </c>
      <c r="J933" s="194">
        <f>IF(_1_5412845612146241046457891017456[[#This Row],[Type]]&gt;0,VLOOKUP(_1_5412845612146241046457891017456[[#This Row],[Type]],Main[[#All],[TYPE]:[UNIT]],'Unit Price'!H$1,FALSE),0)</f>
        <v>0</v>
      </c>
      <c r="K933" s="194">
        <f>IF(_1_5412845612146241046457891017456[[#This Row],[Discount selection]]&gt;0,VLOOKUP(_1_5412845612146241046457891017456[[#This Row],[Discount selection]],'Discount Structure'!$A$2:$B$30,2,"false"),0)</f>
        <v>1</v>
      </c>
      <c r="L933" s="194">
        <f>_1_5412845612146241046457891017456[[#This Row],[LIST $]]*_1_5412845612146241046457891017456[[#This Row],[DISCOUNT]]*_1_5412845612146241046457891017456[[#This Row],[DISCOUNT 2]]</f>
        <v>0</v>
      </c>
      <c r="M933" s="194">
        <f>IF(OR(_1_5412845612146241046457891017456[[#This Row],[UNIT]]&gt;0,_1_5412845612146241046457891017456[[#This Row],[UNIT]]&lt;0),_1_5412845612146241046457891017456[[#This Row],[UNIT]]*_1_5412845612146241046457891017456[[#This Row],[COST]],0)</f>
        <v>0</v>
      </c>
      <c r="N933" s="194">
        <f t="shared" si="14"/>
        <v>1.3</v>
      </c>
      <c r="O933" s="198">
        <f>_1_5412845612146241046457891017456[[#This Row],[TOTAL]]*_1_5412845612146241046457891017456[[#This Row],[MARGIN]]</f>
        <v>0</v>
      </c>
      <c r="P933" s="198"/>
      <c r="R933" s="41"/>
    </row>
    <row r="934" spans="4:18">
      <c r="D934" s="188"/>
      <c r="E934" s="42"/>
      <c r="F934" s="168" t="s">
        <v>6202</v>
      </c>
      <c r="G934" s="193">
        <f>IF(_1_5412845612146241046457891017456[[#This Row],[Type]]&gt;0,VLOOKUP(_1_5412845612146241046457891017456[[#This Row],[Type]],Main[[#All],[TYPE]:[UNIT]],'Unit Price'!C$1,FALSE),0)</f>
        <v>0</v>
      </c>
      <c r="H934" s="197">
        <f>IF(_1_5412845612146241046457891017456[[#This Row],[Type]]&gt;0,VLOOKUP(_1_5412845612146241046457891017456[[#This Row],[Type]],Main[[#All],[TYPE]:[UNIT]],'Unit Price'!D$1,FALSE),0)</f>
        <v>0</v>
      </c>
      <c r="I934" s="194">
        <f>IF(_1_5412845612146241046457891017456[[#This Row],[Type]]&gt;0,VLOOKUP(_1_5412845612146241046457891017456[[#This Row],[Type]],Main[[#All],[TYPE]:[UNIT]],'Unit Price'!G$1,FALSE),0)</f>
        <v>0</v>
      </c>
      <c r="J934" s="194">
        <f>IF(_1_5412845612146241046457891017456[[#This Row],[Type]]&gt;0,VLOOKUP(_1_5412845612146241046457891017456[[#This Row],[Type]],Main[[#All],[TYPE]:[UNIT]],'Unit Price'!H$1,FALSE),0)</f>
        <v>0</v>
      </c>
      <c r="K934" s="194">
        <f>IF(_1_5412845612146241046457891017456[[#This Row],[Discount selection]]&gt;0,VLOOKUP(_1_5412845612146241046457891017456[[#This Row],[Discount selection]],'Discount Structure'!$A$2:$B$30,2,"false"),0)</f>
        <v>1</v>
      </c>
      <c r="L934" s="194">
        <f>_1_5412845612146241046457891017456[[#This Row],[LIST $]]*_1_5412845612146241046457891017456[[#This Row],[DISCOUNT]]*_1_5412845612146241046457891017456[[#This Row],[DISCOUNT 2]]</f>
        <v>0</v>
      </c>
      <c r="M934" s="194">
        <f>IF(OR(_1_5412845612146241046457891017456[[#This Row],[UNIT]]&gt;0,_1_5412845612146241046457891017456[[#This Row],[UNIT]]&lt;0),_1_5412845612146241046457891017456[[#This Row],[UNIT]]*_1_5412845612146241046457891017456[[#This Row],[COST]],0)</f>
        <v>0</v>
      </c>
      <c r="N934" s="194">
        <f t="shared" si="14"/>
        <v>1.3</v>
      </c>
      <c r="O934" s="198">
        <f>_1_5412845612146241046457891017456[[#This Row],[TOTAL]]*_1_5412845612146241046457891017456[[#This Row],[MARGIN]]</f>
        <v>0</v>
      </c>
      <c r="P934" s="198"/>
      <c r="R934" s="41"/>
    </row>
    <row r="935" spans="4:18">
      <c r="D935" s="188"/>
      <c r="E935" s="42"/>
      <c r="F935" s="168" t="s">
        <v>6202</v>
      </c>
      <c r="G935" s="193">
        <f>IF(_1_5412845612146241046457891017456[[#This Row],[Type]]&gt;0,VLOOKUP(_1_5412845612146241046457891017456[[#This Row],[Type]],Main[[#All],[TYPE]:[UNIT]],'Unit Price'!C$1,FALSE),0)</f>
        <v>0</v>
      </c>
      <c r="H935" s="197">
        <f>IF(_1_5412845612146241046457891017456[[#This Row],[Type]]&gt;0,VLOOKUP(_1_5412845612146241046457891017456[[#This Row],[Type]],Main[[#All],[TYPE]:[UNIT]],'Unit Price'!D$1,FALSE),0)</f>
        <v>0</v>
      </c>
      <c r="I935" s="194">
        <f>IF(_1_5412845612146241046457891017456[[#This Row],[Type]]&gt;0,VLOOKUP(_1_5412845612146241046457891017456[[#This Row],[Type]],Main[[#All],[TYPE]:[UNIT]],'Unit Price'!G$1,FALSE),0)</f>
        <v>0</v>
      </c>
      <c r="J935" s="194">
        <f>IF(_1_5412845612146241046457891017456[[#This Row],[Type]]&gt;0,VLOOKUP(_1_5412845612146241046457891017456[[#This Row],[Type]],Main[[#All],[TYPE]:[UNIT]],'Unit Price'!H$1,FALSE),0)</f>
        <v>0</v>
      </c>
      <c r="K935" s="194">
        <f>IF(_1_5412845612146241046457891017456[[#This Row],[Discount selection]]&gt;0,VLOOKUP(_1_5412845612146241046457891017456[[#This Row],[Discount selection]],'Discount Structure'!$A$2:$B$30,2,"false"),0)</f>
        <v>1</v>
      </c>
      <c r="L935" s="194">
        <f>_1_5412845612146241046457891017456[[#This Row],[LIST $]]*_1_5412845612146241046457891017456[[#This Row],[DISCOUNT]]*_1_5412845612146241046457891017456[[#This Row],[DISCOUNT 2]]</f>
        <v>0</v>
      </c>
      <c r="M935" s="194">
        <f>IF(OR(_1_5412845612146241046457891017456[[#This Row],[UNIT]]&gt;0,_1_5412845612146241046457891017456[[#This Row],[UNIT]]&lt;0),_1_5412845612146241046457891017456[[#This Row],[UNIT]]*_1_5412845612146241046457891017456[[#This Row],[COST]],0)</f>
        <v>0</v>
      </c>
      <c r="N935" s="194">
        <f t="shared" si="14"/>
        <v>1.3</v>
      </c>
      <c r="O935" s="198">
        <f>_1_5412845612146241046457891017456[[#This Row],[TOTAL]]*_1_5412845612146241046457891017456[[#This Row],[MARGIN]]</f>
        <v>0</v>
      </c>
      <c r="P935" s="198"/>
      <c r="R935" s="41"/>
    </row>
    <row r="936" spans="4:18">
      <c r="D936" s="188"/>
      <c r="E936" s="42"/>
      <c r="F936" s="168" t="s">
        <v>6202</v>
      </c>
      <c r="G936" s="193">
        <f>IF(_1_5412845612146241046457891017456[[#This Row],[Type]]&gt;0,VLOOKUP(_1_5412845612146241046457891017456[[#This Row],[Type]],Main[[#All],[TYPE]:[UNIT]],'Unit Price'!C$1,FALSE),0)</f>
        <v>0</v>
      </c>
      <c r="H936" s="197">
        <f>IF(_1_5412845612146241046457891017456[[#This Row],[Type]]&gt;0,VLOOKUP(_1_5412845612146241046457891017456[[#This Row],[Type]],Main[[#All],[TYPE]:[UNIT]],'Unit Price'!D$1,FALSE),0)</f>
        <v>0</v>
      </c>
      <c r="I936" s="194">
        <f>IF(_1_5412845612146241046457891017456[[#This Row],[Type]]&gt;0,VLOOKUP(_1_5412845612146241046457891017456[[#This Row],[Type]],Main[[#All],[TYPE]:[UNIT]],'Unit Price'!G$1,FALSE),0)</f>
        <v>0</v>
      </c>
      <c r="J936" s="194">
        <f>IF(_1_5412845612146241046457891017456[[#This Row],[Type]]&gt;0,VLOOKUP(_1_5412845612146241046457891017456[[#This Row],[Type]],Main[[#All],[TYPE]:[UNIT]],'Unit Price'!H$1,FALSE),0)</f>
        <v>0</v>
      </c>
      <c r="K936" s="194">
        <f>IF(_1_5412845612146241046457891017456[[#This Row],[Discount selection]]&gt;0,VLOOKUP(_1_5412845612146241046457891017456[[#This Row],[Discount selection]],'Discount Structure'!$A$2:$B$30,2,"false"),0)</f>
        <v>1</v>
      </c>
      <c r="L936" s="194">
        <f>_1_5412845612146241046457891017456[[#This Row],[LIST $]]*_1_5412845612146241046457891017456[[#This Row],[DISCOUNT]]*_1_5412845612146241046457891017456[[#This Row],[DISCOUNT 2]]</f>
        <v>0</v>
      </c>
      <c r="M936" s="194">
        <f>IF(OR(_1_5412845612146241046457891017456[[#This Row],[UNIT]]&gt;0,_1_5412845612146241046457891017456[[#This Row],[UNIT]]&lt;0),_1_5412845612146241046457891017456[[#This Row],[UNIT]]*_1_5412845612146241046457891017456[[#This Row],[COST]],0)</f>
        <v>0</v>
      </c>
      <c r="N936" s="194">
        <f t="shared" si="14"/>
        <v>1.3</v>
      </c>
      <c r="O936" s="198">
        <f>_1_5412845612146241046457891017456[[#This Row],[TOTAL]]*_1_5412845612146241046457891017456[[#This Row],[MARGIN]]</f>
        <v>0</v>
      </c>
      <c r="P936" s="198"/>
      <c r="R936" s="41"/>
    </row>
    <row r="937" spans="4:18">
      <c r="D937" s="188"/>
      <c r="E937" s="42"/>
      <c r="F937" s="168" t="s">
        <v>6202</v>
      </c>
      <c r="G937" s="193">
        <f>IF(_1_5412845612146241046457891017456[[#This Row],[Type]]&gt;0,VLOOKUP(_1_5412845612146241046457891017456[[#This Row],[Type]],Main[[#All],[TYPE]:[UNIT]],'Unit Price'!C$1,FALSE),0)</f>
        <v>0</v>
      </c>
      <c r="H937" s="197">
        <f>IF(_1_5412845612146241046457891017456[[#This Row],[Type]]&gt;0,VLOOKUP(_1_5412845612146241046457891017456[[#This Row],[Type]],Main[[#All],[TYPE]:[UNIT]],'Unit Price'!D$1,FALSE),0)</f>
        <v>0</v>
      </c>
      <c r="I937" s="194">
        <f>IF(_1_5412845612146241046457891017456[[#This Row],[Type]]&gt;0,VLOOKUP(_1_5412845612146241046457891017456[[#This Row],[Type]],Main[[#All],[TYPE]:[UNIT]],'Unit Price'!G$1,FALSE),0)</f>
        <v>0</v>
      </c>
      <c r="J937" s="194">
        <f>IF(_1_5412845612146241046457891017456[[#This Row],[Type]]&gt;0,VLOOKUP(_1_5412845612146241046457891017456[[#This Row],[Type]],Main[[#All],[TYPE]:[UNIT]],'Unit Price'!H$1,FALSE),0)</f>
        <v>0</v>
      </c>
      <c r="K937" s="194">
        <f>IF(_1_5412845612146241046457891017456[[#This Row],[Discount selection]]&gt;0,VLOOKUP(_1_5412845612146241046457891017456[[#This Row],[Discount selection]],'Discount Structure'!$A$2:$B$30,2,"false"),0)</f>
        <v>1</v>
      </c>
      <c r="L937" s="194">
        <f>_1_5412845612146241046457891017456[[#This Row],[LIST $]]*_1_5412845612146241046457891017456[[#This Row],[DISCOUNT]]*_1_5412845612146241046457891017456[[#This Row],[DISCOUNT 2]]</f>
        <v>0</v>
      </c>
      <c r="M937" s="194">
        <f>IF(OR(_1_5412845612146241046457891017456[[#This Row],[UNIT]]&gt;0,_1_5412845612146241046457891017456[[#This Row],[UNIT]]&lt;0),_1_5412845612146241046457891017456[[#This Row],[UNIT]]*_1_5412845612146241046457891017456[[#This Row],[COST]],0)</f>
        <v>0</v>
      </c>
      <c r="N937" s="194">
        <f t="shared" si="14"/>
        <v>1.3</v>
      </c>
      <c r="O937" s="198">
        <f>_1_5412845612146241046457891017456[[#This Row],[TOTAL]]*_1_5412845612146241046457891017456[[#This Row],[MARGIN]]</f>
        <v>0</v>
      </c>
      <c r="P937" s="198"/>
      <c r="R937" s="41"/>
    </row>
    <row r="938" spans="4:18">
      <c r="D938" s="188"/>
      <c r="E938" s="42"/>
      <c r="F938" s="168" t="s">
        <v>6202</v>
      </c>
      <c r="G938" s="193">
        <f>IF(_1_5412845612146241046457891017456[[#This Row],[Type]]&gt;0,VLOOKUP(_1_5412845612146241046457891017456[[#This Row],[Type]],Main[[#All],[TYPE]:[UNIT]],'Unit Price'!C$1,FALSE),0)</f>
        <v>0</v>
      </c>
      <c r="H938" s="197">
        <f>IF(_1_5412845612146241046457891017456[[#This Row],[Type]]&gt;0,VLOOKUP(_1_5412845612146241046457891017456[[#This Row],[Type]],Main[[#All],[TYPE]:[UNIT]],'Unit Price'!D$1,FALSE),0)</f>
        <v>0</v>
      </c>
      <c r="I938" s="194">
        <f>IF(_1_5412845612146241046457891017456[[#This Row],[Type]]&gt;0,VLOOKUP(_1_5412845612146241046457891017456[[#This Row],[Type]],Main[[#All],[TYPE]:[UNIT]],'Unit Price'!G$1,FALSE),0)</f>
        <v>0</v>
      </c>
      <c r="J938" s="194">
        <f>IF(_1_5412845612146241046457891017456[[#This Row],[Type]]&gt;0,VLOOKUP(_1_5412845612146241046457891017456[[#This Row],[Type]],Main[[#All],[TYPE]:[UNIT]],'Unit Price'!H$1,FALSE),0)</f>
        <v>0</v>
      </c>
      <c r="K938" s="194">
        <f>IF(_1_5412845612146241046457891017456[[#This Row],[Discount selection]]&gt;0,VLOOKUP(_1_5412845612146241046457891017456[[#This Row],[Discount selection]],'Discount Structure'!$A$2:$B$30,2,"false"),0)</f>
        <v>1</v>
      </c>
      <c r="L938" s="194">
        <f>_1_5412845612146241046457891017456[[#This Row],[LIST $]]*_1_5412845612146241046457891017456[[#This Row],[DISCOUNT]]*_1_5412845612146241046457891017456[[#This Row],[DISCOUNT 2]]</f>
        <v>0</v>
      </c>
      <c r="M938" s="194">
        <f>IF(OR(_1_5412845612146241046457891017456[[#This Row],[UNIT]]&gt;0,_1_5412845612146241046457891017456[[#This Row],[UNIT]]&lt;0),_1_5412845612146241046457891017456[[#This Row],[UNIT]]*_1_5412845612146241046457891017456[[#This Row],[COST]],0)</f>
        <v>0</v>
      </c>
      <c r="N938" s="194">
        <f t="shared" si="14"/>
        <v>1.3</v>
      </c>
      <c r="O938" s="198">
        <f>_1_5412845612146241046457891017456[[#This Row],[TOTAL]]*_1_5412845612146241046457891017456[[#This Row],[MARGIN]]</f>
        <v>0</v>
      </c>
      <c r="P938" s="198"/>
      <c r="R938" s="41"/>
    </row>
    <row r="939" spans="4:18">
      <c r="D939" s="188"/>
      <c r="E939" s="42"/>
      <c r="F939" s="168" t="s">
        <v>6202</v>
      </c>
      <c r="G939" s="193">
        <f>IF(_1_5412845612146241046457891017456[[#This Row],[Type]]&gt;0,VLOOKUP(_1_5412845612146241046457891017456[[#This Row],[Type]],Main[[#All],[TYPE]:[UNIT]],'Unit Price'!C$1,FALSE),0)</f>
        <v>0</v>
      </c>
      <c r="H939" s="197">
        <f>IF(_1_5412845612146241046457891017456[[#This Row],[Type]]&gt;0,VLOOKUP(_1_5412845612146241046457891017456[[#This Row],[Type]],Main[[#All],[TYPE]:[UNIT]],'Unit Price'!D$1,FALSE),0)</f>
        <v>0</v>
      </c>
      <c r="I939" s="194">
        <f>IF(_1_5412845612146241046457891017456[[#This Row],[Type]]&gt;0,VLOOKUP(_1_5412845612146241046457891017456[[#This Row],[Type]],Main[[#All],[TYPE]:[UNIT]],'Unit Price'!G$1,FALSE),0)</f>
        <v>0</v>
      </c>
      <c r="J939" s="194">
        <f>IF(_1_5412845612146241046457891017456[[#This Row],[Type]]&gt;0,VLOOKUP(_1_5412845612146241046457891017456[[#This Row],[Type]],Main[[#All],[TYPE]:[UNIT]],'Unit Price'!H$1,FALSE),0)</f>
        <v>0</v>
      </c>
      <c r="K939" s="194">
        <f>IF(_1_5412845612146241046457891017456[[#This Row],[Discount selection]]&gt;0,VLOOKUP(_1_5412845612146241046457891017456[[#This Row],[Discount selection]],'Discount Structure'!$A$2:$B$30,2,"false"),0)</f>
        <v>1</v>
      </c>
      <c r="L939" s="194">
        <f>_1_5412845612146241046457891017456[[#This Row],[LIST $]]*_1_5412845612146241046457891017456[[#This Row],[DISCOUNT]]*_1_5412845612146241046457891017456[[#This Row],[DISCOUNT 2]]</f>
        <v>0</v>
      </c>
      <c r="M939" s="194">
        <f>IF(OR(_1_5412845612146241046457891017456[[#This Row],[UNIT]]&gt;0,_1_5412845612146241046457891017456[[#This Row],[UNIT]]&lt;0),_1_5412845612146241046457891017456[[#This Row],[UNIT]]*_1_5412845612146241046457891017456[[#This Row],[COST]],0)</f>
        <v>0</v>
      </c>
      <c r="N939" s="194">
        <f t="shared" si="14"/>
        <v>1.3</v>
      </c>
      <c r="O939" s="198">
        <f>_1_5412845612146241046457891017456[[#This Row],[TOTAL]]*_1_5412845612146241046457891017456[[#This Row],[MARGIN]]</f>
        <v>0</v>
      </c>
      <c r="P939" s="198"/>
      <c r="R939" s="41"/>
    </row>
    <row r="940" spans="4:18">
      <c r="D940" s="188"/>
      <c r="E940" s="42"/>
      <c r="F940" s="168" t="s">
        <v>6202</v>
      </c>
      <c r="G940" s="193">
        <f>IF(_1_5412845612146241046457891017456[[#This Row],[Type]]&gt;0,VLOOKUP(_1_5412845612146241046457891017456[[#This Row],[Type]],Main[[#All],[TYPE]:[UNIT]],'Unit Price'!C$1,FALSE),0)</f>
        <v>0</v>
      </c>
      <c r="H940" s="197">
        <f>IF(_1_5412845612146241046457891017456[[#This Row],[Type]]&gt;0,VLOOKUP(_1_5412845612146241046457891017456[[#This Row],[Type]],Main[[#All],[TYPE]:[UNIT]],'Unit Price'!D$1,FALSE),0)</f>
        <v>0</v>
      </c>
      <c r="I940" s="194">
        <f>IF(_1_5412845612146241046457891017456[[#This Row],[Type]]&gt;0,VLOOKUP(_1_5412845612146241046457891017456[[#This Row],[Type]],Main[[#All],[TYPE]:[UNIT]],'Unit Price'!G$1,FALSE),0)</f>
        <v>0</v>
      </c>
      <c r="J940" s="194">
        <f>IF(_1_5412845612146241046457891017456[[#This Row],[Type]]&gt;0,VLOOKUP(_1_5412845612146241046457891017456[[#This Row],[Type]],Main[[#All],[TYPE]:[UNIT]],'Unit Price'!H$1,FALSE),0)</f>
        <v>0</v>
      </c>
      <c r="K940" s="194">
        <f>IF(_1_5412845612146241046457891017456[[#This Row],[Discount selection]]&gt;0,VLOOKUP(_1_5412845612146241046457891017456[[#This Row],[Discount selection]],'Discount Structure'!$A$2:$B$30,2,"false"),0)</f>
        <v>1</v>
      </c>
      <c r="L940" s="194">
        <f>_1_5412845612146241046457891017456[[#This Row],[LIST $]]*_1_5412845612146241046457891017456[[#This Row],[DISCOUNT]]*_1_5412845612146241046457891017456[[#This Row],[DISCOUNT 2]]</f>
        <v>0</v>
      </c>
      <c r="M940" s="194">
        <f>IF(OR(_1_5412845612146241046457891017456[[#This Row],[UNIT]]&gt;0,_1_5412845612146241046457891017456[[#This Row],[UNIT]]&lt;0),_1_5412845612146241046457891017456[[#This Row],[UNIT]]*_1_5412845612146241046457891017456[[#This Row],[COST]],0)</f>
        <v>0</v>
      </c>
      <c r="N940" s="194">
        <f t="shared" si="14"/>
        <v>1.3</v>
      </c>
      <c r="O940" s="198">
        <f>_1_5412845612146241046457891017456[[#This Row],[TOTAL]]*_1_5412845612146241046457891017456[[#This Row],[MARGIN]]</f>
        <v>0</v>
      </c>
      <c r="P940" s="198"/>
      <c r="R940" s="41"/>
    </row>
    <row r="941" spans="4:18">
      <c r="D941" s="188"/>
      <c r="E941" s="42"/>
      <c r="F941" s="168" t="s">
        <v>6202</v>
      </c>
      <c r="G941" s="193">
        <f>IF(_1_5412845612146241046457891017456[[#This Row],[Type]]&gt;0,VLOOKUP(_1_5412845612146241046457891017456[[#This Row],[Type]],Main[[#All],[TYPE]:[UNIT]],'Unit Price'!C$1,FALSE),0)</f>
        <v>0</v>
      </c>
      <c r="H941" s="197">
        <f>IF(_1_5412845612146241046457891017456[[#This Row],[Type]]&gt;0,VLOOKUP(_1_5412845612146241046457891017456[[#This Row],[Type]],Main[[#All],[TYPE]:[UNIT]],'Unit Price'!D$1,FALSE),0)</f>
        <v>0</v>
      </c>
      <c r="I941" s="194">
        <f>IF(_1_5412845612146241046457891017456[[#This Row],[Type]]&gt;0,VLOOKUP(_1_5412845612146241046457891017456[[#This Row],[Type]],Main[[#All],[TYPE]:[UNIT]],'Unit Price'!G$1,FALSE),0)</f>
        <v>0</v>
      </c>
      <c r="J941" s="194">
        <f>IF(_1_5412845612146241046457891017456[[#This Row],[Type]]&gt;0,VLOOKUP(_1_5412845612146241046457891017456[[#This Row],[Type]],Main[[#All],[TYPE]:[UNIT]],'Unit Price'!H$1,FALSE),0)</f>
        <v>0</v>
      </c>
      <c r="K941" s="194">
        <f>IF(_1_5412845612146241046457891017456[[#This Row],[Discount selection]]&gt;0,VLOOKUP(_1_5412845612146241046457891017456[[#This Row],[Discount selection]],'Discount Structure'!$A$2:$B$30,2,"false"),0)</f>
        <v>1</v>
      </c>
      <c r="L941" s="194">
        <f>_1_5412845612146241046457891017456[[#This Row],[LIST $]]*_1_5412845612146241046457891017456[[#This Row],[DISCOUNT]]*_1_5412845612146241046457891017456[[#This Row],[DISCOUNT 2]]</f>
        <v>0</v>
      </c>
      <c r="M941" s="194">
        <f>IF(OR(_1_5412845612146241046457891017456[[#This Row],[UNIT]]&gt;0,_1_5412845612146241046457891017456[[#This Row],[UNIT]]&lt;0),_1_5412845612146241046457891017456[[#This Row],[UNIT]]*_1_5412845612146241046457891017456[[#This Row],[COST]],0)</f>
        <v>0</v>
      </c>
      <c r="N941" s="194">
        <f t="shared" si="14"/>
        <v>1.3</v>
      </c>
      <c r="O941" s="198">
        <f>_1_5412845612146241046457891017456[[#This Row],[TOTAL]]*_1_5412845612146241046457891017456[[#This Row],[MARGIN]]</f>
        <v>0</v>
      </c>
      <c r="P941" s="198"/>
      <c r="R941" s="41"/>
    </row>
    <row r="942" spans="4:18">
      <c r="D942" s="188"/>
      <c r="E942" s="42"/>
      <c r="F942" s="168" t="s">
        <v>6202</v>
      </c>
      <c r="G942" s="193">
        <f>IF(_1_5412845612146241046457891017456[[#This Row],[Type]]&gt;0,VLOOKUP(_1_5412845612146241046457891017456[[#This Row],[Type]],Main[[#All],[TYPE]:[UNIT]],'Unit Price'!C$1,FALSE),0)</f>
        <v>0</v>
      </c>
      <c r="H942" s="197">
        <f>IF(_1_5412845612146241046457891017456[[#This Row],[Type]]&gt;0,VLOOKUP(_1_5412845612146241046457891017456[[#This Row],[Type]],Main[[#All],[TYPE]:[UNIT]],'Unit Price'!D$1,FALSE),0)</f>
        <v>0</v>
      </c>
      <c r="I942" s="194">
        <f>IF(_1_5412845612146241046457891017456[[#This Row],[Type]]&gt;0,VLOOKUP(_1_5412845612146241046457891017456[[#This Row],[Type]],Main[[#All],[TYPE]:[UNIT]],'Unit Price'!G$1,FALSE),0)</f>
        <v>0</v>
      </c>
      <c r="J942" s="194">
        <f>IF(_1_5412845612146241046457891017456[[#This Row],[Type]]&gt;0,VLOOKUP(_1_5412845612146241046457891017456[[#This Row],[Type]],Main[[#All],[TYPE]:[UNIT]],'Unit Price'!H$1,FALSE),0)</f>
        <v>0</v>
      </c>
      <c r="K942" s="194">
        <f>IF(_1_5412845612146241046457891017456[[#This Row],[Discount selection]]&gt;0,VLOOKUP(_1_5412845612146241046457891017456[[#This Row],[Discount selection]],'Discount Structure'!$A$2:$B$30,2,"false"),0)</f>
        <v>1</v>
      </c>
      <c r="L942" s="194">
        <f>_1_5412845612146241046457891017456[[#This Row],[LIST $]]*_1_5412845612146241046457891017456[[#This Row],[DISCOUNT]]*_1_5412845612146241046457891017456[[#This Row],[DISCOUNT 2]]</f>
        <v>0</v>
      </c>
      <c r="M942" s="194">
        <f>IF(OR(_1_5412845612146241046457891017456[[#This Row],[UNIT]]&gt;0,_1_5412845612146241046457891017456[[#This Row],[UNIT]]&lt;0),_1_5412845612146241046457891017456[[#This Row],[UNIT]]*_1_5412845612146241046457891017456[[#This Row],[COST]],0)</f>
        <v>0</v>
      </c>
      <c r="N942" s="194">
        <f t="shared" si="14"/>
        <v>1.3</v>
      </c>
      <c r="O942" s="198">
        <f>_1_5412845612146241046457891017456[[#This Row],[TOTAL]]*_1_5412845612146241046457891017456[[#This Row],[MARGIN]]</f>
        <v>0</v>
      </c>
      <c r="P942" s="198"/>
      <c r="R942" s="41"/>
    </row>
    <row r="943" spans="4:18">
      <c r="D943" s="188"/>
      <c r="E943" s="42"/>
      <c r="F943" s="168" t="s">
        <v>6202</v>
      </c>
      <c r="G943" s="193">
        <f>IF(_1_5412845612146241046457891017456[[#This Row],[Type]]&gt;0,VLOOKUP(_1_5412845612146241046457891017456[[#This Row],[Type]],Main[[#All],[TYPE]:[UNIT]],'Unit Price'!C$1,FALSE),0)</f>
        <v>0</v>
      </c>
      <c r="H943" s="197">
        <f>IF(_1_5412845612146241046457891017456[[#This Row],[Type]]&gt;0,VLOOKUP(_1_5412845612146241046457891017456[[#This Row],[Type]],Main[[#All],[TYPE]:[UNIT]],'Unit Price'!D$1,FALSE),0)</f>
        <v>0</v>
      </c>
      <c r="I943" s="194">
        <f>IF(_1_5412845612146241046457891017456[[#This Row],[Type]]&gt;0,VLOOKUP(_1_5412845612146241046457891017456[[#This Row],[Type]],Main[[#All],[TYPE]:[UNIT]],'Unit Price'!G$1,FALSE),0)</f>
        <v>0</v>
      </c>
      <c r="J943" s="194">
        <f>IF(_1_5412845612146241046457891017456[[#This Row],[Type]]&gt;0,VLOOKUP(_1_5412845612146241046457891017456[[#This Row],[Type]],Main[[#All],[TYPE]:[UNIT]],'Unit Price'!H$1,FALSE),0)</f>
        <v>0</v>
      </c>
      <c r="K943" s="194">
        <f>IF(_1_5412845612146241046457891017456[[#This Row],[Discount selection]]&gt;0,VLOOKUP(_1_5412845612146241046457891017456[[#This Row],[Discount selection]],'Discount Structure'!$A$2:$B$30,2,"false"),0)</f>
        <v>1</v>
      </c>
      <c r="L943" s="194">
        <f>_1_5412845612146241046457891017456[[#This Row],[LIST $]]*_1_5412845612146241046457891017456[[#This Row],[DISCOUNT]]*_1_5412845612146241046457891017456[[#This Row],[DISCOUNT 2]]</f>
        <v>0</v>
      </c>
      <c r="M943" s="194">
        <f>IF(OR(_1_5412845612146241046457891017456[[#This Row],[UNIT]]&gt;0,_1_5412845612146241046457891017456[[#This Row],[UNIT]]&lt;0),_1_5412845612146241046457891017456[[#This Row],[UNIT]]*_1_5412845612146241046457891017456[[#This Row],[COST]],0)</f>
        <v>0</v>
      </c>
      <c r="N943" s="194">
        <f t="shared" si="14"/>
        <v>1.3</v>
      </c>
      <c r="O943" s="198">
        <f>_1_5412845612146241046457891017456[[#This Row],[TOTAL]]*_1_5412845612146241046457891017456[[#This Row],[MARGIN]]</f>
        <v>0</v>
      </c>
      <c r="P943" s="198"/>
      <c r="R943" s="41"/>
    </row>
    <row r="944" spans="4:18">
      <c r="D944" s="188"/>
      <c r="E944" s="42"/>
      <c r="F944" s="168" t="s">
        <v>6202</v>
      </c>
      <c r="G944" s="193">
        <f>IF(_1_5412845612146241046457891017456[[#This Row],[Type]]&gt;0,VLOOKUP(_1_5412845612146241046457891017456[[#This Row],[Type]],Main[[#All],[TYPE]:[UNIT]],'Unit Price'!C$1,FALSE),0)</f>
        <v>0</v>
      </c>
      <c r="H944" s="197">
        <f>IF(_1_5412845612146241046457891017456[[#This Row],[Type]]&gt;0,VLOOKUP(_1_5412845612146241046457891017456[[#This Row],[Type]],Main[[#All],[TYPE]:[UNIT]],'Unit Price'!D$1,FALSE),0)</f>
        <v>0</v>
      </c>
      <c r="I944" s="194">
        <f>IF(_1_5412845612146241046457891017456[[#This Row],[Type]]&gt;0,VLOOKUP(_1_5412845612146241046457891017456[[#This Row],[Type]],Main[[#All],[TYPE]:[UNIT]],'Unit Price'!G$1,FALSE),0)</f>
        <v>0</v>
      </c>
      <c r="J944" s="194">
        <f>IF(_1_5412845612146241046457891017456[[#This Row],[Type]]&gt;0,VLOOKUP(_1_5412845612146241046457891017456[[#This Row],[Type]],Main[[#All],[TYPE]:[UNIT]],'Unit Price'!H$1,FALSE),0)</f>
        <v>0</v>
      </c>
      <c r="K944" s="194">
        <f>IF(_1_5412845612146241046457891017456[[#This Row],[Discount selection]]&gt;0,VLOOKUP(_1_5412845612146241046457891017456[[#This Row],[Discount selection]],'Discount Structure'!$A$2:$B$30,2,"false"),0)</f>
        <v>1</v>
      </c>
      <c r="L944" s="194">
        <f>_1_5412845612146241046457891017456[[#This Row],[LIST $]]*_1_5412845612146241046457891017456[[#This Row],[DISCOUNT]]*_1_5412845612146241046457891017456[[#This Row],[DISCOUNT 2]]</f>
        <v>0</v>
      </c>
      <c r="M944" s="194">
        <f>IF(OR(_1_5412845612146241046457891017456[[#This Row],[UNIT]]&gt;0,_1_5412845612146241046457891017456[[#This Row],[UNIT]]&lt;0),_1_5412845612146241046457891017456[[#This Row],[UNIT]]*_1_5412845612146241046457891017456[[#This Row],[COST]],0)</f>
        <v>0</v>
      </c>
      <c r="N944" s="194">
        <f t="shared" si="14"/>
        <v>1.3</v>
      </c>
      <c r="O944" s="198">
        <f>_1_5412845612146241046457891017456[[#This Row],[TOTAL]]*_1_5412845612146241046457891017456[[#This Row],[MARGIN]]</f>
        <v>0</v>
      </c>
      <c r="P944" s="198"/>
      <c r="R944" s="41"/>
    </row>
    <row r="945" spans="4:18">
      <c r="D945" s="188"/>
      <c r="E945" s="42"/>
      <c r="F945" s="168" t="s">
        <v>6202</v>
      </c>
      <c r="G945" s="193">
        <f>IF(_1_5412845612146241046457891017456[[#This Row],[Type]]&gt;0,VLOOKUP(_1_5412845612146241046457891017456[[#This Row],[Type]],Main[[#All],[TYPE]:[UNIT]],'Unit Price'!C$1,FALSE),0)</f>
        <v>0</v>
      </c>
      <c r="H945" s="197">
        <f>IF(_1_5412845612146241046457891017456[[#This Row],[Type]]&gt;0,VLOOKUP(_1_5412845612146241046457891017456[[#This Row],[Type]],Main[[#All],[TYPE]:[UNIT]],'Unit Price'!D$1,FALSE),0)</f>
        <v>0</v>
      </c>
      <c r="I945" s="194">
        <f>IF(_1_5412845612146241046457891017456[[#This Row],[Type]]&gt;0,VLOOKUP(_1_5412845612146241046457891017456[[#This Row],[Type]],Main[[#All],[TYPE]:[UNIT]],'Unit Price'!G$1,FALSE),0)</f>
        <v>0</v>
      </c>
      <c r="J945" s="194">
        <f>IF(_1_5412845612146241046457891017456[[#This Row],[Type]]&gt;0,VLOOKUP(_1_5412845612146241046457891017456[[#This Row],[Type]],Main[[#All],[TYPE]:[UNIT]],'Unit Price'!H$1,FALSE),0)</f>
        <v>0</v>
      </c>
      <c r="K945" s="194">
        <f>IF(_1_5412845612146241046457891017456[[#This Row],[Discount selection]]&gt;0,VLOOKUP(_1_5412845612146241046457891017456[[#This Row],[Discount selection]],'Discount Structure'!$A$2:$B$30,2,"false"),0)</f>
        <v>1</v>
      </c>
      <c r="L945" s="194">
        <f>_1_5412845612146241046457891017456[[#This Row],[LIST $]]*_1_5412845612146241046457891017456[[#This Row],[DISCOUNT]]*_1_5412845612146241046457891017456[[#This Row],[DISCOUNT 2]]</f>
        <v>0</v>
      </c>
      <c r="M945" s="194">
        <f>IF(OR(_1_5412845612146241046457891017456[[#This Row],[UNIT]]&gt;0,_1_5412845612146241046457891017456[[#This Row],[UNIT]]&lt;0),_1_5412845612146241046457891017456[[#This Row],[UNIT]]*_1_5412845612146241046457891017456[[#This Row],[COST]],0)</f>
        <v>0</v>
      </c>
      <c r="N945" s="194">
        <f t="shared" si="14"/>
        <v>1.3</v>
      </c>
      <c r="O945" s="198">
        <f>_1_5412845612146241046457891017456[[#This Row],[TOTAL]]*_1_5412845612146241046457891017456[[#This Row],[MARGIN]]</f>
        <v>0</v>
      </c>
      <c r="P945" s="198"/>
      <c r="R945" s="41"/>
    </row>
    <row r="946" spans="4:18">
      <c r="D946" s="188"/>
      <c r="E946" s="42"/>
      <c r="F946" s="168" t="s">
        <v>6202</v>
      </c>
      <c r="G946" s="193">
        <f>IF(_1_5412845612146241046457891017456[[#This Row],[Type]]&gt;0,VLOOKUP(_1_5412845612146241046457891017456[[#This Row],[Type]],Main[[#All],[TYPE]:[UNIT]],'Unit Price'!C$1,FALSE),0)</f>
        <v>0</v>
      </c>
      <c r="H946" s="197">
        <f>IF(_1_5412845612146241046457891017456[[#This Row],[Type]]&gt;0,VLOOKUP(_1_5412845612146241046457891017456[[#This Row],[Type]],Main[[#All],[TYPE]:[UNIT]],'Unit Price'!D$1,FALSE),0)</f>
        <v>0</v>
      </c>
      <c r="I946" s="194">
        <f>IF(_1_5412845612146241046457891017456[[#This Row],[Type]]&gt;0,VLOOKUP(_1_5412845612146241046457891017456[[#This Row],[Type]],Main[[#All],[TYPE]:[UNIT]],'Unit Price'!G$1,FALSE),0)</f>
        <v>0</v>
      </c>
      <c r="J946" s="194">
        <f>IF(_1_5412845612146241046457891017456[[#This Row],[Type]]&gt;0,VLOOKUP(_1_5412845612146241046457891017456[[#This Row],[Type]],Main[[#All],[TYPE]:[UNIT]],'Unit Price'!H$1,FALSE),0)</f>
        <v>0</v>
      </c>
      <c r="K946" s="194">
        <f>IF(_1_5412845612146241046457891017456[[#This Row],[Discount selection]]&gt;0,VLOOKUP(_1_5412845612146241046457891017456[[#This Row],[Discount selection]],'Discount Structure'!$A$2:$B$30,2,"false"),0)</f>
        <v>1</v>
      </c>
      <c r="L946" s="194">
        <f>_1_5412845612146241046457891017456[[#This Row],[LIST $]]*_1_5412845612146241046457891017456[[#This Row],[DISCOUNT]]*_1_5412845612146241046457891017456[[#This Row],[DISCOUNT 2]]</f>
        <v>0</v>
      </c>
      <c r="M946" s="194">
        <f>IF(OR(_1_5412845612146241046457891017456[[#This Row],[UNIT]]&gt;0,_1_5412845612146241046457891017456[[#This Row],[UNIT]]&lt;0),_1_5412845612146241046457891017456[[#This Row],[UNIT]]*_1_5412845612146241046457891017456[[#This Row],[COST]],0)</f>
        <v>0</v>
      </c>
      <c r="N946" s="194">
        <f t="shared" si="14"/>
        <v>1.3</v>
      </c>
      <c r="O946" s="198">
        <f>_1_5412845612146241046457891017456[[#This Row],[TOTAL]]*_1_5412845612146241046457891017456[[#This Row],[MARGIN]]</f>
        <v>0</v>
      </c>
      <c r="P946" s="198"/>
      <c r="R946" s="41"/>
    </row>
    <row r="947" spans="4:18">
      <c r="D947" s="188"/>
      <c r="E947" s="42"/>
      <c r="F947" s="168" t="s">
        <v>6202</v>
      </c>
      <c r="G947" s="193">
        <f>IF(_1_5412845612146241046457891017456[[#This Row],[Type]]&gt;0,VLOOKUP(_1_5412845612146241046457891017456[[#This Row],[Type]],Main[[#All],[TYPE]:[UNIT]],'Unit Price'!C$1,FALSE),0)</f>
        <v>0</v>
      </c>
      <c r="H947" s="197">
        <f>IF(_1_5412845612146241046457891017456[[#This Row],[Type]]&gt;0,VLOOKUP(_1_5412845612146241046457891017456[[#This Row],[Type]],Main[[#All],[TYPE]:[UNIT]],'Unit Price'!D$1,FALSE),0)</f>
        <v>0</v>
      </c>
      <c r="I947" s="194">
        <f>IF(_1_5412845612146241046457891017456[[#This Row],[Type]]&gt;0,VLOOKUP(_1_5412845612146241046457891017456[[#This Row],[Type]],Main[[#All],[TYPE]:[UNIT]],'Unit Price'!G$1,FALSE),0)</f>
        <v>0</v>
      </c>
      <c r="J947" s="194">
        <f>IF(_1_5412845612146241046457891017456[[#This Row],[Type]]&gt;0,VLOOKUP(_1_5412845612146241046457891017456[[#This Row],[Type]],Main[[#All],[TYPE]:[UNIT]],'Unit Price'!H$1,FALSE),0)</f>
        <v>0</v>
      </c>
      <c r="K947" s="194">
        <f>IF(_1_5412845612146241046457891017456[[#This Row],[Discount selection]]&gt;0,VLOOKUP(_1_5412845612146241046457891017456[[#This Row],[Discount selection]],'Discount Structure'!$A$2:$B$30,2,"false"),0)</f>
        <v>1</v>
      </c>
      <c r="L947" s="194">
        <f>_1_5412845612146241046457891017456[[#This Row],[LIST $]]*_1_5412845612146241046457891017456[[#This Row],[DISCOUNT]]*_1_5412845612146241046457891017456[[#This Row],[DISCOUNT 2]]</f>
        <v>0</v>
      </c>
      <c r="M947" s="194">
        <f>IF(OR(_1_5412845612146241046457891017456[[#This Row],[UNIT]]&gt;0,_1_5412845612146241046457891017456[[#This Row],[UNIT]]&lt;0),_1_5412845612146241046457891017456[[#This Row],[UNIT]]*_1_5412845612146241046457891017456[[#This Row],[COST]],0)</f>
        <v>0</v>
      </c>
      <c r="N947" s="194">
        <f t="shared" si="14"/>
        <v>1.3</v>
      </c>
      <c r="O947" s="198">
        <f>_1_5412845612146241046457891017456[[#This Row],[TOTAL]]*_1_5412845612146241046457891017456[[#This Row],[MARGIN]]</f>
        <v>0</v>
      </c>
      <c r="P947" s="198"/>
      <c r="R947" s="41"/>
    </row>
    <row r="948" spans="4:18">
      <c r="D948" s="188"/>
      <c r="E948" s="42"/>
      <c r="F948" s="168" t="s">
        <v>6202</v>
      </c>
      <c r="G948" s="193">
        <f>IF(_1_5412845612146241046457891017456[[#This Row],[Type]]&gt;0,VLOOKUP(_1_5412845612146241046457891017456[[#This Row],[Type]],Main[[#All],[TYPE]:[UNIT]],'Unit Price'!C$1,FALSE),0)</f>
        <v>0</v>
      </c>
      <c r="H948" s="197">
        <f>IF(_1_5412845612146241046457891017456[[#This Row],[Type]]&gt;0,VLOOKUP(_1_5412845612146241046457891017456[[#This Row],[Type]],Main[[#All],[TYPE]:[UNIT]],'Unit Price'!D$1,FALSE),0)</f>
        <v>0</v>
      </c>
      <c r="I948" s="194">
        <f>IF(_1_5412845612146241046457891017456[[#This Row],[Type]]&gt;0,VLOOKUP(_1_5412845612146241046457891017456[[#This Row],[Type]],Main[[#All],[TYPE]:[UNIT]],'Unit Price'!G$1,FALSE),0)</f>
        <v>0</v>
      </c>
      <c r="J948" s="194">
        <f>IF(_1_5412845612146241046457891017456[[#This Row],[Type]]&gt;0,VLOOKUP(_1_5412845612146241046457891017456[[#This Row],[Type]],Main[[#All],[TYPE]:[UNIT]],'Unit Price'!H$1,FALSE),0)</f>
        <v>0</v>
      </c>
      <c r="K948" s="194">
        <f>IF(_1_5412845612146241046457891017456[[#This Row],[Discount selection]]&gt;0,VLOOKUP(_1_5412845612146241046457891017456[[#This Row],[Discount selection]],'Discount Structure'!$A$2:$B$30,2,"false"),0)</f>
        <v>1</v>
      </c>
      <c r="L948" s="194">
        <f>_1_5412845612146241046457891017456[[#This Row],[LIST $]]*_1_5412845612146241046457891017456[[#This Row],[DISCOUNT]]*_1_5412845612146241046457891017456[[#This Row],[DISCOUNT 2]]</f>
        <v>0</v>
      </c>
      <c r="M948" s="194">
        <f>IF(OR(_1_5412845612146241046457891017456[[#This Row],[UNIT]]&gt;0,_1_5412845612146241046457891017456[[#This Row],[UNIT]]&lt;0),_1_5412845612146241046457891017456[[#This Row],[UNIT]]*_1_5412845612146241046457891017456[[#This Row],[COST]],0)</f>
        <v>0</v>
      </c>
      <c r="N948" s="194">
        <f t="shared" si="14"/>
        <v>1.3</v>
      </c>
      <c r="O948" s="198">
        <f>_1_5412845612146241046457891017456[[#This Row],[TOTAL]]*_1_5412845612146241046457891017456[[#This Row],[MARGIN]]</f>
        <v>0</v>
      </c>
      <c r="P948" s="198"/>
      <c r="R948" s="41"/>
    </row>
    <row r="949" spans="4:18">
      <c r="D949" s="188"/>
      <c r="E949" s="42"/>
      <c r="F949" s="168" t="s">
        <v>6202</v>
      </c>
      <c r="G949" s="193">
        <f>IF(_1_5412845612146241046457891017456[[#This Row],[Type]]&gt;0,VLOOKUP(_1_5412845612146241046457891017456[[#This Row],[Type]],Main[[#All],[TYPE]:[UNIT]],'Unit Price'!C$1,FALSE),0)</f>
        <v>0</v>
      </c>
      <c r="H949" s="197">
        <f>IF(_1_5412845612146241046457891017456[[#This Row],[Type]]&gt;0,VLOOKUP(_1_5412845612146241046457891017456[[#This Row],[Type]],Main[[#All],[TYPE]:[UNIT]],'Unit Price'!D$1,FALSE),0)</f>
        <v>0</v>
      </c>
      <c r="I949" s="194">
        <f>IF(_1_5412845612146241046457891017456[[#This Row],[Type]]&gt;0,VLOOKUP(_1_5412845612146241046457891017456[[#This Row],[Type]],Main[[#All],[TYPE]:[UNIT]],'Unit Price'!G$1,FALSE),0)</f>
        <v>0</v>
      </c>
      <c r="J949" s="194">
        <f>IF(_1_5412845612146241046457891017456[[#This Row],[Type]]&gt;0,VLOOKUP(_1_5412845612146241046457891017456[[#This Row],[Type]],Main[[#All],[TYPE]:[UNIT]],'Unit Price'!H$1,FALSE),0)</f>
        <v>0</v>
      </c>
      <c r="K949" s="194">
        <f>IF(_1_5412845612146241046457891017456[[#This Row],[Discount selection]]&gt;0,VLOOKUP(_1_5412845612146241046457891017456[[#This Row],[Discount selection]],'Discount Structure'!$A$2:$B$30,2,"false"),0)</f>
        <v>1</v>
      </c>
      <c r="L949" s="194">
        <f>_1_5412845612146241046457891017456[[#This Row],[LIST $]]*_1_5412845612146241046457891017456[[#This Row],[DISCOUNT]]*_1_5412845612146241046457891017456[[#This Row],[DISCOUNT 2]]</f>
        <v>0</v>
      </c>
      <c r="M949" s="194">
        <f>IF(OR(_1_5412845612146241046457891017456[[#This Row],[UNIT]]&gt;0,_1_5412845612146241046457891017456[[#This Row],[UNIT]]&lt;0),_1_5412845612146241046457891017456[[#This Row],[UNIT]]*_1_5412845612146241046457891017456[[#This Row],[COST]],0)</f>
        <v>0</v>
      </c>
      <c r="N949" s="194">
        <f t="shared" si="14"/>
        <v>1.3</v>
      </c>
      <c r="O949" s="198">
        <f>_1_5412845612146241046457891017456[[#This Row],[TOTAL]]*_1_5412845612146241046457891017456[[#This Row],[MARGIN]]</f>
        <v>0</v>
      </c>
      <c r="P949" s="198"/>
      <c r="R949" s="41"/>
    </row>
    <row r="950" spans="4:18">
      <c r="D950" s="188"/>
      <c r="E950" s="42"/>
      <c r="F950" s="168" t="s">
        <v>6202</v>
      </c>
      <c r="G950" s="193">
        <f>IF(_1_5412845612146241046457891017456[[#This Row],[Type]]&gt;0,VLOOKUP(_1_5412845612146241046457891017456[[#This Row],[Type]],Main[[#All],[TYPE]:[UNIT]],'Unit Price'!C$1,FALSE),0)</f>
        <v>0</v>
      </c>
      <c r="H950" s="197">
        <f>IF(_1_5412845612146241046457891017456[[#This Row],[Type]]&gt;0,VLOOKUP(_1_5412845612146241046457891017456[[#This Row],[Type]],Main[[#All],[TYPE]:[UNIT]],'Unit Price'!D$1,FALSE),0)</f>
        <v>0</v>
      </c>
      <c r="I950" s="194">
        <f>IF(_1_5412845612146241046457891017456[[#This Row],[Type]]&gt;0,VLOOKUP(_1_5412845612146241046457891017456[[#This Row],[Type]],Main[[#All],[TYPE]:[UNIT]],'Unit Price'!G$1,FALSE),0)</f>
        <v>0</v>
      </c>
      <c r="J950" s="194">
        <f>IF(_1_5412845612146241046457891017456[[#This Row],[Type]]&gt;0,VLOOKUP(_1_5412845612146241046457891017456[[#This Row],[Type]],Main[[#All],[TYPE]:[UNIT]],'Unit Price'!H$1,FALSE),0)</f>
        <v>0</v>
      </c>
      <c r="K950" s="194">
        <f>IF(_1_5412845612146241046457891017456[[#This Row],[Discount selection]]&gt;0,VLOOKUP(_1_5412845612146241046457891017456[[#This Row],[Discount selection]],'Discount Structure'!$A$2:$B$30,2,"false"),0)</f>
        <v>1</v>
      </c>
      <c r="L950" s="194">
        <f>_1_5412845612146241046457891017456[[#This Row],[LIST $]]*_1_5412845612146241046457891017456[[#This Row],[DISCOUNT]]*_1_5412845612146241046457891017456[[#This Row],[DISCOUNT 2]]</f>
        <v>0</v>
      </c>
      <c r="M950" s="194">
        <f>IF(OR(_1_5412845612146241046457891017456[[#This Row],[UNIT]]&gt;0,_1_5412845612146241046457891017456[[#This Row],[UNIT]]&lt;0),_1_5412845612146241046457891017456[[#This Row],[UNIT]]*_1_5412845612146241046457891017456[[#This Row],[COST]],0)</f>
        <v>0</v>
      </c>
      <c r="N950" s="194">
        <f t="shared" si="14"/>
        <v>1.3</v>
      </c>
      <c r="O950" s="198">
        <f>_1_5412845612146241046457891017456[[#This Row],[TOTAL]]*_1_5412845612146241046457891017456[[#This Row],[MARGIN]]</f>
        <v>0</v>
      </c>
      <c r="P950" s="198"/>
      <c r="R950" s="41"/>
    </row>
    <row r="951" spans="4:18">
      <c r="D951" s="188"/>
      <c r="E951" s="42"/>
      <c r="F951" s="168" t="s">
        <v>6202</v>
      </c>
      <c r="G951" s="193">
        <f>IF(_1_5412845612146241046457891017456[[#This Row],[Type]]&gt;0,VLOOKUP(_1_5412845612146241046457891017456[[#This Row],[Type]],Main[[#All],[TYPE]:[UNIT]],'Unit Price'!C$1,FALSE),0)</f>
        <v>0</v>
      </c>
      <c r="H951" s="197">
        <f>IF(_1_5412845612146241046457891017456[[#This Row],[Type]]&gt;0,VLOOKUP(_1_5412845612146241046457891017456[[#This Row],[Type]],Main[[#All],[TYPE]:[UNIT]],'Unit Price'!D$1,FALSE),0)</f>
        <v>0</v>
      </c>
      <c r="I951" s="194">
        <f>IF(_1_5412845612146241046457891017456[[#This Row],[Type]]&gt;0,VLOOKUP(_1_5412845612146241046457891017456[[#This Row],[Type]],Main[[#All],[TYPE]:[UNIT]],'Unit Price'!G$1,FALSE),0)</f>
        <v>0</v>
      </c>
      <c r="J951" s="194">
        <f>IF(_1_5412845612146241046457891017456[[#This Row],[Type]]&gt;0,VLOOKUP(_1_5412845612146241046457891017456[[#This Row],[Type]],Main[[#All],[TYPE]:[UNIT]],'Unit Price'!H$1,FALSE),0)</f>
        <v>0</v>
      </c>
      <c r="K951" s="194">
        <f>IF(_1_5412845612146241046457891017456[[#This Row],[Discount selection]]&gt;0,VLOOKUP(_1_5412845612146241046457891017456[[#This Row],[Discount selection]],'Discount Structure'!$A$2:$B$30,2,"false"),0)</f>
        <v>1</v>
      </c>
      <c r="L951" s="194">
        <f>_1_5412845612146241046457891017456[[#This Row],[LIST $]]*_1_5412845612146241046457891017456[[#This Row],[DISCOUNT]]*_1_5412845612146241046457891017456[[#This Row],[DISCOUNT 2]]</f>
        <v>0</v>
      </c>
      <c r="M951" s="194">
        <f>IF(OR(_1_5412845612146241046457891017456[[#This Row],[UNIT]]&gt;0,_1_5412845612146241046457891017456[[#This Row],[UNIT]]&lt;0),_1_5412845612146241046457891017456[[#This Row],[UNIT]]*_1_5412845612146241046457891017456[[#This Row],[COST]],0)</f>
        <v>0</v>
      </c>
      <c r="N951" s="194">
        <f t="shared" si="14"/>
        <v>1.3</v>
      </c>
      <c r="O951" s="198">
        <f>_1_5412845612146241046457891017456[[#This Row],[TOTAL]]*_1_5412845612146241046457891017456[[#This Row],[MARGIN]]</f>
        <v>0</v>
      </c>
      <c r="P951" s="198"/>
      <c r="R951" s="41"/>
    </row>
    <row r="952" spans="4:18">
      <c r="D952" s="188"/>
      <c r="E952" s="42"/>
      <c r="F952" s="168" t="s">
        <v>6202</v>
      </c>
      <c r="G952" s="193">
        <f>IF(_1_5412845612146241046457891017456[[#This Row],[Type]]&gt;0,VLOOKUP(_1_5412845612146241046457891017456[[#This Row],[Type]],Main[[#All],[TYPE]:[UNIT]],'Unit Price'!C$1,FALSE),0)</f>
        <v>0</v>
      </c>
      <c r="H952" s="197">
        <f>IF(_1_5412845612146241046457891017456[[#This Row],[Type]]&gt;0,VLOOKUP(_1_5412845612146241046457891017456[[#This Row],[Type]],Main[[#All],[TYPE]:[UNIT]],'Unit Price'!D$1,FALSE),0)</f>
        <v>0</v>
      </c>
      <c r="I952" s="194">
        <f>IF(_1_5412845612146241046457891017456[[#This Row],[Type]]&gt;0,VLOOKUP(_1_5412845612146241046457891017456[[#This Row],[Type]],Main[[#All],[TYPE]:[UNIT]],'Unit Price'!G$1,FALSE),0)</f>
        <v>0</v>
      </c>
      <c r="J952" s="194">
        <f>IF(_1_5412845612146241046457891017456[[#This Row],[Type]]&gt;0,VLOOKUP(_1_5412845612146241046457891017456[[#This Row],[Type]],Main[[#All],[TYPE]:[UNIT]],'Unit Price'!H$1,FALSE),0)</f>
        <v>0</v>
      </c>
      <c r="K952" s="194">
        <f>IF(_1_5412845612146241046457891017456[[#This Row],[Discount selection]]&gt;0,VLOOKUP(_1_5412845612146241046457891017456[[#This Row],[Discount selection]],'Discount Structure'!$A$2:$B$30,2,"false"),0)</f>
        <v>1</v>
      </c>
      <c r="L952" s="194">
        <f>_1_5412845612146241046457891017456[[#This Row],[LIST $]]*_1_5412845612146241046457891017456[[#This Row],[DISCOUNT]]*_1_5412845612146241046457891017456[[#This Row],[DISCOUNT 2]]</f>
        <v>0</v>
      </c>
      <c r="M952" s="194">
        <f>IF(OR(_1_5412845612146241046457891017456[[#This Row],[UNIT]]&gt;0,_1_5412845612146241046457891017456[[#This Row],[UNIT]]&lt;0),_1_5412845612146241046457891017456[[#This Row],[UNIT]]*_1_5412845612146241046457891017456[[#This Row],[COST]],0)</f>
        <v>0</v>
      </c>
      <c r="N952" s="194">
        <f t="shared" si="14"/>
        <v>1.3</v>
      </c>
      <c r="O952" s="198">
        <f>_1_5412845612146241046457891017456[[#This Row],[TOTAL]]*_1_5412845612146241046457891017456[[#This Row],[MARGIN]]</f>
        <v>0</v>
      </c>
      <c r="P952" s="198"/>
      <c r="R952" s="41"/>
    </row>
    <row r="953" spans="4:18">
      <c r="D953" s="188"/>
      <c r="E953" s="42"/>
      <c r="F953" s="168" t="s">
        <v>6202</v>
      </c>
      <c r="G953" s="193">
        <f>IF(_1_5412845612146241046457891017456[[#This Row],[Type]]&gt;0,VLOOKUP(_1_5412845612146241046457891017456[[#This Row],[Type]],Main[[#All],[TYPE]:[UNIT]],'Unit Price'!C$1,FALSE),0)</f>
        <v>0</v>
      </c>
      <c r="H953" s="197">
        <f>IF(_1_5412845612146241046457891017456[[#This Row],[Type]]&gt;0,VLOOKUP(_1_5412845612146241046457891017456[[#This Row],[Type]],Main[[#All],[TYPE]:[UNIT]],'Unit Price'!D$1,FALSE),0)</f>
        <v>0</v>
      </c>
      <c r="I953" s="194">
        <f>IF(_1_5412845612146241046457891017456[[#This Row],[Type]]&gt;0,VLOOKUP(_1_5412845612146241046457891017456[[#This Row],[Type]],Main[[#All],[TYPE]:[UNIT]],'Unit Price'!G$1,FALSE),0)</f>
        <v>0</v>
      </c>
      <c r="J953" s="194">
        <f>IF(_1_5412845612146241046457891017456[[#This Row],[Type]]&gt;0,VLOOKUP(_1_5412845612146241046457891017456[[#This Row],[Type]],Main[[#All],[TYPE]:[UNIT]],'Unit Price'!H$1,FALSE),0)</f>
        <v>0</v>
      </c>
      <c r="K953" s="194">
        <f>IF(_1_5412845612146241046457891017456[[#This Row],[Discount selection]]&gt;0,VLOOKUP(_1_5412845612146241046457891017456[[#This Row],[Discount selection]],'Discount Structure'!$A$2:$B$30,2,"false"),0)</f>
        <v>1</v>
      </c>
      <c r="L953" s="194">
        <f>_1_5412845612146241046457891017456[[#This Row],[LIST $]]*_1_5412845612146241046457891017456[[#This Row],[DISCOUNT]]*_1_5412845612146241046457891017456[[#This Row],[DISCOUNT 2]]</f>
        <v>0</v>
      </c>
      <c r="M953" s="194">
        <f>IF(OR(_1_5412845612146241046457891017456[[#This Row],[UNIT]]&gt;0,_1_5412845612146241046457891017456[[#This Row],[UNIT]]&lt;0),_1_5412845612146241046457891017456[[#This Row],[UNIT]]*_1_5412845612146241046457891017456[[#This Row],[COST]],0)</f>
        <v>0</v>
      </c>
      <c r="N953" s="194">
        <f t="shared" si="14"/>
        <v>1.3</v>
      </c>
      <c r="O953" s="198">
        <f>_1_5412845612146241046457891017456[[#This Row],[TOTAL]]*_1_5412845612146241046457891017456[[#This Row],[MARGIN]]</f>
        <v>0</v>
      </c>
      <c r="P953" s="198"/>
      <c r="R953" s="41"/>
    </row>
    <row r="954" spans="4:18">
      <c r="D954" s="188"/>
      <c r="E954" s="42"/>
      <c r="F954" s="168" t="s">
        <v>6202</v>
      </c>
      <c r="G954" s="193">
        <f>IF(_1_5412845612146241046457891017456[[#This Row],[Type]]&gt;0,VLOOKUP(_1_5412845612146241046457891017456[[#This Row],[Type]],Main[[#All],[TYPE]:[UNIT]],'Unit Price'!C$1,FALSE),0)</f>
        <v>0</v>
      </c>
      <c r="H954" s="197">
        <f>IF(_1_5412845612146241046457891017456[[#This Row],[Type]]&gt;0,VLOOKUP(_1_5412845612146241046457891017456[[#This Row],[Type]],Main[[#All],[TYPE]:[UNIT]],'Unit Price'!D$1,FALSE),0)</f>
        <v>0</v>
      </c>
      <c r="I954" s="194">
        <f>IF(_1_5412845612146241046457891017456[[#This Row],[Type]]&gt;0,VLOOKUP(_1_5412845612146241046457891017456[[#This Row],[Type]],Main[[#All],[TYPE]:[UNIT]],'Unit Price'!G$1,FALSE),0)</f>
        <v>0</v>
      </c>
      <c r="J954" s="194">
        <f>IF(_1_5412845612146241046457891017456[[#This Row],[Type]]&gt;0,VLOOKUP(_1_5412845612146241046457891017456[[#This Row],[Type]],Main[[#All],[TYPE]:[UNIT]],'Unit Price'!H$1,FALSE),0)</f>
        <v>0</v>
      </c>
      <c r="K954" s="194">
        <f>IF(_1_5412845612146241046457891017456[[#This Row],[Discount selection]]&gt;0,VLOOKUP(_1_5412845612146241046457891017456[[#This Row],[Discount selection]],'Discount Structure'!$A$2:$B$30,2,"false"),0)</f>
        <v>1</v>
      </c>
      <c r="L954" s="194">
        <f>_1_5412845612146241046457891017456[[#This Row],[LIST $]]*_1_5412845612146241046457891017456[[#This Row],[DISCOUNT]]*_1_5412845612146241046457891017456[[#This Row],[DISCOUNT 2]]</f>
        <v>0</v>
      </c>
      <c r="M954" s="194">
        <f>IF(OR(_1_5412845612146241046457891017456[[#This Row],[UNIT]]&gt;0,_1_5412845612146241046457891017456[[#This Row],[UNIT]]&lt;0),_1_5412845612146241046457891017456[[#This Row],[UNIT]]*_1_5412845612146241046457891017456[[#This Row],[COST]],0)</f>
        <v>0</v>
      </c>
      <c r="N954" s="194">
        <f t="shared" si="14"/>
        <v>1.3</v>
      </c>
      <c r="O954" s="198">
        <f>_1_5412845612146241046457891017456[[#This Row],[TOTAL]]*_1_5412845612146241046457891017456[[#This Row],[MARGIN]]</f>
        <v>0</v>
      </c>
      <c r="P954" s="198"/>
      <c r="R954" s="41"/>
    </row>
    <row r="955" spans="4:18">
      <c r="D955" s="188"/>
      <c r="E955" s="42"/>
      <c r="F955" s="168" t="s">
        <v>6202</v>
      </c>
      <c r="G955" s="193">
        <f>IF(_1_5412845612146241046457891017456[[#This Row],[Type]]&gt;0,VLOOKUP(_1_5412845612146241046457891017456[[#This Row],[Type]],Main[[#All],[TYPE]:[UNIT]],'Unit Price'!C$1,FALSE),0)</f>
        <v>0</v>
      </c>
      <c r="H955" s="197">
        <f>IF(_1_5412845612146241046457891017456[[#This Row],[Type]]&gt;0,VLOOKUP(_1_5412845612146241046457891017456[[#This Row],[Type]],Main[[#All],[TYPE]:[UNIT]],'Unit Price'!D$1,FALSE),0)</f>
        <v>0</v>
      </c>
      <c r="I955" s="194">
        <f>IF(_1_5412845612146241046457891017456[[#This Row],[Type]]&gt;0,VLOOKUP(_1_5412845612146241046457891017456[[#This Row],[Type]],Main[[#All],[TYPE]:[UNIT]],'Unit Price'!G$1,FALSE),0)</f>
        <v>0</v>
      </c>
      <c r="J955" s="194">
        <f>IF(_1_5412845612146241046457891017456[[#This Row],[Type]]&gt;0,VLOOKUP(_1_5412845612146241046457891017456[[#This Row],[Type]],Main[[#All],[TYPE]:[UNIT]],'Unit Price'!H$1,FALSE),0)</f>
        <v>0</v>
      </c>
      <c r="K955" s="194">
        <f>IF(_1_5412845612146241046457891017456[[#This Row],[Discount selection]]&gt;0,VLOOKUP(_1_5412845612146241046457891017456[[#This Row],[Discount selection]],'Discount Structure'!$A$2:$B$30,2,"false"),0)</f>
        <v>1</v>
      </c>
      <c r="L955" s="194">
        <f>_1_5412845612146241046457891017456[[#This Row],[LIST $]]*_1_5412845612146241046457891017456[[#This Row],[DISCOUNT]]*_1_5412845612146241046457891017456[[#This Row],[DISCOUNT 2]]</f>
        <v>0</v>
      </c>
      <c r="M955" s="194">
        <f>IF(OR(_1_5412845612146241046457891017456[[#This Row],[UNIT]]&gt;0,_1_5412845612146241046457891017456[[#This Row],[UNIT]]&lt;0),_1_5412845612146241046457891017456[[#This Row],[UNIT]]*_1_5412845612146241046457891017456[[#This Row],[COST]],0)</f>
        <v>0</v>
      </c>
      <c r="N955" s="194">
        <f t="shared" si="14"/>
        <v>1.3</v>
      </c>
      <c r="O955" s="198">
        <f>_1_5412845612146241046457891017456[[#This Row],[TOTAL]]*_1_5412845612146241046457891017456[[#This Row],[MARGIN]]</f>
        <v>0</v>
      </c>
      <c r="P955" s="198"/>
      <c r="R955" s="41"/>
    </row>
    <row r="956" spans="4:18">
      <c r="D956" s="188"/>
      <c r="E956" s="42"/>
      <c r="F956" s="168" t="s">
        <v>6202</v>
      </c>
      <c r="G956" s="193">
        <f>IF(_1_5412845612146241046457891017456[[#This Row],[Type]]&gt;0,VLOOKUP(_1_5412845612146241046457891017456[[#This Row],[Type]],Main[[#All],[TYPE]:[UNIT]],'Unit Price'!C$1,FALSE),0)</f>
        <v>0</v>
      </c>
      <c r="H956" s="197">
        <f>IF(_1_5412845612146241046457891017456[[#This Row],[Type]]&gt;0,VLOOKUP(_1_5412845612146241046457891017456[[#This Row],[Type]],Main[[#All],[TYPE]:[UNIT]],'Unit Price'!D$1,FALSE),0)</f>
        <v>0</v>
      </c>
      <c r="I956" s="194">
        <f>IF(_1_5412845612146241046457891017456[[#This Row],[Type]]&gt;0,VLOOKUP(_1_5412845612146241046457891017456[[#This Row],[Type]],Main[[#All],[TYPE]:[UNIT]],'Unit Price'!G$1,FALSE),0)</f>
        <v>0</v>
      </c>
      <c r="J956" s="194">
        <f>IF(_1_5412845612146241046457891017456[[#This Row],[Type]]&gt;0,VLOOKUP(_1_5412845612146241046457891017456[[#This Row],[Type]],Main[[#All],[TYPE]:[UNIT]],'Unit Price'!H$1,FALSE),0)</f>
        <v>0</v>
      </c>
      <c r="K956" s="194">
        <f>IF(_1_5412845612146241046457891017456[[#This Row],[Discount selection]]&gt;0,VLOOKUP(_1_5412845612146241046457891017456[[#This Row],[Discount selection]],'Discount Structure'!$A$2:$B$30,2,"false"),0)</f>
        <v>1</v>
      </c>
      <c r="L956" s="194">
        <f>_1_5412845612146241046457891017456[[#This Row],[LIST $]]*_1_5412845612146241046457891017456[[#This Row],[DISCOUNT]]*_1_5412845612146241046457891017456[[#This Row],[DISCOUNT 2]]</f>
        <v>0</v>
      </c>
      <c r="M956" s="194">
        <f>IF(OR(_1_5412845612146241046457891017456[[#This Row],[UNIT]]&gt;0,_1_5412845612146241046457891017456[[#This Row],[UNIT]]&lt;0),_1_5412845612146241046457891017456[[#This Row],[UNIT]]*_1_5412845612146241046457891017456[[#This Row],[COST]],0)</f>
        <v>0</v>
      </c>
      <c r="N956" s="194">
        <f t="shared" si="14"/>
        <v>1.3</v>
      </c>
      <c r="O956" s="198">
        <f>_1_5412845612146241046457891017456[[#This Row],[TOTAL]]*_1_5412845612146241046457891017456[[#This Row],[MARGIN]]</f>
        <v>0</v>
      </c>
      <c r="P956" s="198"/>
      <c r="R956" s="41"/>
    </row>
    <row r="957" spans="4:18">
      <c r="D957" s="188"/>
      <c r="E957" s="42"/>
      <c r="F957" s="168" t="s">
        <v>6202</v>
      </c>
      <c r="G957" s="193">
        <f>IF(_1_5412845612146241046457891017456[[#This Row],[Type]]&gt;0,VLOOKUP(_1_5412845612146241046457891017456[[#This Row],[Type]],Main[[#All],[TYPE]:[UNIT]],'Unit Price'!C$1,FALSE),0)</f>
        <v>0</v>
      </c>
      <c r="H957" s="197">
        <f>IF(_1_5412845612146241046457891017456[[#This Row],[Type]]&gt;0,VLOOKUP(_1_5412845612146241046457891017456[[#This Row],[Type]],Main[[#All],[TYPE]:[UNIT]],'Unit Price'!D$1,FALSE),0)</f>
        <v>0</v>
      </c>
      <c r="I957" s="194">
        <f>IF(_1_5412845612146241046457891017456[[#This Row],[Type]]&gt;0,VLOOKUP(_1_5412845612146241046457891017456[[#This Row],[Type]],Main[[#All],[TYPE]:[UNIT]],'Unit Price'!G$1,FALSE),0)</f>
        <v>0</v>
      </c>
      <c r="J957" s="194">
        <f>IF(_1_5412845612146241046457891017456[[#This Row],[Type]]&gt;0,VLOOKUP(_1_5412845612146241046457891017456[[#This Row],[Type]],Main[[#All],[TYPE]:[UNIT]],'Unit Price'!H$1,FALSE),0)</f>
        <v>0</v>
      </c>
      <c r="K957" s="194">
        <f>IF(_1_5412845612146241046457891017456[[#This Row],[Discount selection]]&gt;0,VLOOKUP(_1_5412845612146241046457891017456[[#This Row],[Discount selection]],'Discount Structure'!$A$2:$B$30,2,"false"),0)</f>
        <v>1</v>
      </c>
      <c r="L957" s="194">
        <f>_1_5412845612146241046457891017456[[#This Row],[LIST $]]*_1_5412845612146241046457891017456[[#This Row],[DISCOUNT]]*_1_5412845612146241046457891017456[[#This Row],[DISCOUNT 2]]</f>
        <v>0</v>
      </c>
      <c r="M957" s="194">
        <f>IF(OR(_1_5412845612146241046457891017456[[#This Row],[UNIT]]&gt;0,_1_5412845612146241046457891017456[[#This Row],[UNIT]]&lt;0),_1_5412845612146241046457891017456[[#This Row],[UNIT]]*_1_5412845612146241046457891017456[[#This Row],[COST]],0)</f>
        <v>0</v>
      </c>
      <c r="N957" s="194">
        <f t="shared" si="14"/>
        <v>1.3</v>
      </c>
      <c r="O957" s="198">
        <f>_1_5412845612146241046457891017456[[#This Row],[TOTAL]]*_1_5412845612146241046457891017456[[#This Row],[MARGIN]]</f>
        <v>0</v>
      </c>
      <c r="P957" s="198"/>
      <c r="R957" s="41"/>
    </row>
    <row r="958" spans="4:18">
      <c r="D958" s="188"/>
      <c r="E958" s="42"/>
      <c r="F958" s="168" t="s">
        <v>6202</v>
      </c>
      <c r="G958" s="193">
        <f>IF(_1_5412845612146241046457891017456[[#This Row],[Type]]&gt;0,VLOOKUP(_1_5412845612146241046457891017456[[#This Row],[Type]],Main[[#All],[TYPE]:[UNIT]],'Unit Price'!C$1,FALSE),0)</f>
        <v>0</v>
      </c>
      <c r="H958" s="197">
        <f>IF(_1_5412845612146241046457891017456[[#This Row],[Type]]&gt;0,VLOOKUP(_1_5412845612146241046457891017456[[#This Row],[Type]],Main[[#All],[TYPE]:[UNIT]],'Unit Price'!D$1,FALSE),0)</f>
        <v>0</v>
      </c>
      <c r="I958" s="194">
        <f>IF(_1_5412845612146241046457891017456[[#This Row],[Type]]&gt;0,VLOOKUP(_1_5412845612146241046457891017456[[#This Row],[Type]],Main[[#All],[TYPE]:[UNIT]],'Unit Price'!G$1,FALSE),0)</f>
        <v>0</v>
      </c>
      <c r="J958" s="194">
        <f>IF(_1_5412845612146241046457891017456[[#This Row],[Type]]&gt;0,VLOOKUP(_1_5412845612146241046457891017456[[#This Row],[Type]],Main[[#All],[TYPE]:[UNIT]],'Unit Price'!H$1,FALSE),0)</f>
        <v>0</v>
      </c>
      <c r="K958" s="194">
        <f>IF(_1_5412845612146241046457891017456[[#This Row],[Discount selection]]&gt;0,VLOOKUP(_1_5412845612146241046457891017456[[#This Row],[Discount selection]],'Discount Structure'!$A$2:$B$30,2,"false"),0)</f>
        <v>1</v>
      </c>
      <c r="L958" s="194">
        <f>_1_5412845612146241046457891017456[[#This Row],[LIST $]]*_1_5412845612146241046457891017456[[#This Row],[DISCOUNT]]*_1_5412845612146241046457891017456[[#This Row],[DISCOUNT 2]]</f>
        <v>0</v>
      </c>
      <c r="M958" s="194">
        <f>IF(OR(_1_5412845612146241046457891017456[[#This Row],[UNIT]]&gt;0,_1_5412845612146241046457891017456[[#This Row],[UNIT]]&lt;0),_1_5412845612146241046457891017456[[#This Row],[UNIT]]*_1_5412845612146241046457891017456[[#This Row],[COST]],0)</f>
        <v>0</v>
      </c>
      <c r="N958" s="194">
        <f t="shared" si="14"/>
        <v>1.3</v>
      </c>
      <c r="O958" s="198">
        <f>_1_5412845612146241046457891017456[[#This Row],[TOTAL]]*_1_5412845612146241046457891017456[[#This Row],[MARGIN]]</f>
        <v>0</v>
      </c>
      <c r="P958" s="198"/>
      <c r="R958" s="41"/>
    </row>
    <row r="959" spans="4:18">
      <c r="D959" s="188"/>
      <c r="E959" s="42"/>
      <c r="F959" s="168" t="s">
        <v>6202</v>
      </c>
      <c r="G959" s="193">
        <f>IF(_1_5412845612146241046457891017456[[#This Row],[Type]]&gt;0,VLOOKUP(_1_5412845612146241046457891017456[[#This Row],[Type]],Main[[#All],[TYPE]:[UNIT]],'Unit Price'!C$1,FALSE),0)</f>
        <v>0</v>
      </c>
      <c r="H959" s="197">
        <f>IF(_1_5412845612146241046457891017456[[#This Row],[Type]]&gt;0,VLOOKUP(_1_5412845612146241046457891017456[[#This Row],[Type]],Main[[#All],[TYPE]:[UNIT]],'Unit Price'!D$1,FALSE),0)</f>
        <v>0</v>
      </c>
      <c r="I959" s="194">
        <f>IF(_1_5412845612146241046457891017456[[#This Row],[Type]]&gt;0,VLOOKUP(_1_5412845612146241046457891017456[[#This Row],[Type]],Main[[#All],[TYPE]:[UNIT]],'Unit Price'!G$1,FALSE),0)</f>
        <v>0</v>
      </c>
      <c r="J959" s="194">
        <f>IF(_1_5412845612146241046457891017456[[#This Row],[Type]]&gt;0,VLOOKUP(_1_5412845612146241046457891017456[[#This Row],[Type]],Main[[#All],[TYPE]:[UNIT]],'Unit Price'!H$1,FALSE),0)</f>
        <v>0</v>
      </c>
      <c r="K959" s="194">
        <f>IF(_1_5412845612146241046457891017456[[#This Row],[Discount selection]]&gt;0,VLOOKUP(_1_5412845612146241046457891017456[[#This Row],[Discount selection]],'Discount Structure'!$A$2:$B$30,2,"false"),0)</f>
        <v>1</v>
      </c>
      <c r="L959" s="194">
        <f>_1_5412845612146241046457891017456[[#This Row],[LIST $]]*_1_5412845612146241046457891017456[[#This Row],[DISCOUNT]]*_1_5412845612146241046457891017456[[#This Row],[DISCOUNT 2]]</f>
        <v>0</v>
      </c>
      <c r="M959" s="194">
        <f>IF(OR(_1_5412845612146241046457891017456[[#This Row],[UNIT]]&gt;0,_1_5412845612146241046457891017456[[#This Row],[UNIT]]&lt;0),_1_5412845612146241046457891017456[[#This Row],[UNIT]]*_1_5412845612146241046457891017456[[#This Row],[COST]],0)</f>
        <v>0</v>
      </c>
      <c r="N959" s="194">
        <f t="shared" si="14"/>
        <v>1.3</v>
      </c>
      <c r="O959" s="198">
        <f>_1_5412845612146241046457891017456[[#This Row],[TOTAL]]*_1_5412845612146241046457891017456[[#This Row],[MARGIN]]</f>
        <v>0</v>
      </c>
      <c r="P959" s="198"/>
      <c r="R959" s="41"/>
    </row>
    <row r="960" spans="4:18">
      <c r="D960" s="188"/>
      <c r="E960" s="42"/>
      <c r="F960" s="168" t="s">
        <v>6202</v>
      </c>
      <c r="G960" s="193">
        <f>IF(_1_5412845612146241046457891017456[[#This Row],[Type]]&gt;0,VLOOKUP(_1_5412845612146241046457891017456[[#This Row],[Type]],Main[[#All],[TYPE]:[UNIT]],'Unit Price'!C$1,FALSE),0)</f>
        <v>0</v>
      </c>
      <c r="H960" s="197">
        <f>IF(_1_5412845612146241046457891017456[[#This Row],[Type]]&gt;0,VLOOKUP(_1_5412845612146241046457891017456[[#This Row],[Type]],Main[[#All],[TYPE]:[UNIT]],'Unit Price'!D$1,FALSE),0)</f>
        <v>0</v>
      </c>
      <c r="I960" s="194">
        <f>IF(_1_5412845612146241046457891017456[[#This Row],[Type]]&gt;0,VLOOKUP(_1_5412845612146241046457891017456[[#This Row],[Type]],Main[[#All],[TYPE]:[UNIT]],'Unit Price'!G$1,FALSE),0)</f>
        <v>0</v>
      </c>
      <c r="J960" s="194">
        <f>IF(_1_5412845612146241046457891017456[[#This Row],[Type]]&gt;0,VLOOKUP(_1_5412845612146241046457891017456[[#This Row],[Type]],Main[[#All],[TYPE]:[UNIT]],'Unit Price'!H$1,FALSE),0)</f>
        <v>0</v>
      </c>
      <c r="K960" s="194">
        <f>IF(_1_5412845612146241046457891017456[[#This Row],[Discount selection]]&gt;0,VLOOKUP(_1_5412845612146241046457891017456[[#This Row],[Discount selection]],'Discount Structure'!$A$2:$B$30,2,"false"),0)</f>
        <v>1</v>
      </c>
      <c r="L960" s="194">
        <f>_1_5412845612146241046457891017456[[#This Row],[LIST $]]*_1_5412845612146241046457891017456[[#This Row],[DISCOUNT]]*_1_5412845612146241046457891017456[[#This Row],[DISCOUNT 2]]</f>
        <v>0</v>
      </c>
      <c r="M960" s="194">
        <f>IF(OR(_1_5412845612146241046457891017456[[#This Row],[UNIT]]&gt;0,_1_5412845612146241046457891017456[[#This Row],[UNIT]]&lt;0),_1_5412845612146241046457891017456[[#This Row],[UNIT]]*_1_5412845612146241046457891017456[[#This Row],[COST]],0)</f>
        <v>0</v>
      </c>
      <c r="N960" s="194">
        <f t="shared" si="14"/>
        <v>1.3</v>
      </c>
      <c r="O960" s="198">
        <f>_1_5412845612146241046457891017456[[#This Row],[TOTAL]]*_1_5412845612146241046457891017456[[#This Row],[MARGIN]]</f>
        <v>0</v>
      </c>
      <c r="P960" s="198"/>
      <c r="R960" s="41"/>
    </row>
    <row r="961" spans="4:18">
      <c r="D961" s="188"/>
      <c r="E961" s="42"/>
      <c r="F961" s="168" t="s">
        <v>6202</v>
      </c>
      <c r="G961" s="193">
        <f>IF(_1_5412845612146241046457891017456[[#This Row],[Type]]&gt;0,VLOOKUP(_1_5412845612146241046457891017456[[#This Row],[Type]],Main[[#All],[TYPE]:[UNIT]],'Unit Price'!C$1,FALSE),0)</f>
        <v>0</v>
      </c>
      <c r="H961" s="197">
        <f>IF(_1_5412845612146241046457891017456[[#This Row],[Type]]&gt;0,VLOOKUP(_1_5412845612146241046457891017456[[#This Row],[Type]],Main[[#All],[TYPE]:[UNIT]],'Unit Price'!D$1,FALSE),0)</f>
        <v>0</v>
      </c>
      <c r="I961" s="194">
        <f>IF(_1_5412845612146241046457891017456[[#This Row],[Type]]&gt;0,VLOOKUP(_1_5412845612146241046457891017456[[#This Row],[Type]],Main[[#All],[TYPE]:[UNIT]],'Unit Price'!G$1,FALSE),0)</f>
        <v>0</v>
      </c>
      <c r="J961" s="194">
        <f>IF(_1_5412845612146241046457891017456[[#This Row],[Type]]&gt;0,VLOOKUP(_1_5412845612146241046457891017456[[#This Row],[Type]],Main[[#All],[TYPE]:[UNIT]],'Unit Price'!H$1,FALSE),0)</f>
        <v>0</v>
      </c>
      <c r="K961" s="194">
        <f>IF(_1_5412845612146241046457891017456[[#This Row],[Discount selection]]&gt;0,VLOOKUP(_1_5412845612146241046457891017456[[#This Row],[Discount selection]],'Discount Structure'!$A$2:$B$30,2,"false"),0)</f>
        <v>1</v>
      </c>
      <c r="L961" s="194">
        <f>_1_5412845612146241046457891017456[[#This Row],[LIST $]]*_1_5412845612146241046457891017456[[#This Row],[DISCOUNT]]*_1_5412845612146241046457891017456[[#This Row],[DISCOUNT 2]]</f>
        <v>0</v>
      </c>
      <c r="M961" s="194">
        <f>IF(OR(_1_5412845612146241046457891017456[[#This Row],[UNIT]]&gt;0,_1_5412845612146241046457891017456[[#This Row],[UNIT]]&lt;0),_1_5412845612146241046457891017456[[#This Row],[UNIT]]*_1_5412845612146241046457891017456[[#This Row],[COST]],0)</f>
        <v>0</v>
      </c>
      <c r="N961" s="194">
        <f t="shared" si="14"/>
        <v>1.3</v>
      </c>
      <c r="O961" s="198">
        <f>_1_5412845612146241046457891017456[[#This Row],[TOTAL]]*_1_5412845612146241046457891017456[[#This Row],[MARGIN]]</f>
        <v>0</v>
      </c>
      <c r="P961" s="198"/>
      <c r="R961" s="41"/>
    </row>
    <row r="962" spans="4:18">
      <c r="D962" s="188"/>
      <c r="E962" s="42"/>
      <c r="F962" s="168" t="s">
        <v>6202</v>
      </c>
      <c r="G962" s="193">
        <f>IF(_1_5412845612146241046457891017456[[#This Row],[Type]]&gt;0,VLOOKUP(_1_5412845612146241046457891017456[[#This Row],[Type]],Main[[#All],[TYPE]:[UNIT]],'Unit Price'!C$1,FALSE),0)</f>
        <v>0</v>
      </c>
      <c r="H962" s="197">
        <f>IF(_1_5412845612146241046457891017456[[#This Row],[Type]]&gt;0,VLOOKUP(_1_5412845612146241046457891017456[[#This Row],[Type]],Main[[#All],[TYPE]:[UNIT]],'Unit Price'!D$1,FALSE),0)</f>
        <v>0</v>
      </c>
      <c r="I962" s="194">
        <f>IF(_1_5412845612146241046457891017456[[#This Row],[Type]]&gt;0,VLOOKUP(_1_5412845612146241046457891017456[[#This Row],[Type]],Main[[#All],[TYPE]:[UNIT]],'Unit Price'!G$1,FALSE),0)</f>
        <v>0</v>
      </c>
      <c r="J962" s="194">
        <f>IF(_1_5412845612146241046457891017456[[#This Row],[Type]]&gt;0,VLOOKUP(_1_5412845612146241046457891017456[[#This Row],[Type]],Main[[#All],[TYPE]:[UNIT]],'Unit Price'!H$1,FALSE),0)</f>
        <v>0</v>
      </c>
      <c r="K962" s="194">
        <f>IF(_1_5412845612146241046457891017456[[#This Row],[Discount selection]]&gt;0,VLOOKUP(_1_5412845612146241046457891017456[[#This Row],[Discount selection]],'Discount Structure'!$A$2:$B$30,2,"false"),0)</f>
        <v>1</v>
      </c>
      <c r="L962" s="194">
        <f>_1_5412845612146241046457891017456[[#This Row],[LIST $]]*_1_5412845612146241046457891017456[[#This Row],[DISCOUNT]]*_1_5412845612146241046457891017456[[#This Row],[DISCOUNT 2]]</f>
        <v>0</v>
      </c>
      <c r="M962" s="194">
        <f>IF(OR(_1_5412845612146241046457891017456[[#This Row],[UNIT]]&gt;0,_1_5412845612146241046457891017456[[#This Row],[UNIT]]&lt;0),_1_5412845612146241046457891017456[[#This Row],[UNIT]]*_1_5412845612146241046457891017456[[#This Row],[COST]],0)</f>
        <v>0</v>
      </c>
      <c r="N962" s="194">
        <f t="shared" si="14"/>
        <v>1.3</v>
      </c>
      <c r="O962" s="198">
        <f>_1_5412845612146241046457891017456[[#This Row],[TOTAL]]*_1_5412845612146241046457891017456[[#This Row],[MARGIN]]</f>
        <v>0</v>
      </c>
      <c r="P962" s="198"/>
      <c r="R962" s="41"/>
    </row>
    <row r="963" spans="4:18">
      <c r="D963" s="188"/>
      <c r="E963" s="42"/>
      <c r="F963" s="168" t="s">
        <v>6202</v>
      </c>
      <c r="G963" s="193">
        <f>IF(_1_5412845612146241046457891017456[[#This Row],[Type]]&gt;0,VLOOKUP(_1_5412845612146241046457891017456[[#This Row],[Type]],Main[[#All],[TYPE]:[UNIT]],'Unit Price'!C$1,FALSE),0)</f>
        <v>0</v>
      </c>
      <c r="H963" s="197">
        <f>IF(_1_5412845612146241046457891017456[[#This Row],[Type]]&gt;0,VLOOKUP(_1_5412845612146241046457891017456[[#This Row],[Type]],Main[[#All],[TYPE]:[UNIT]],'Unit Price'!D$1,FALSE),0)</f>
        <v>0</v>
      </c>
      <c r="I963" s="194">
        <f>IF(_1_5412845612146241046457891017456[[#This Row],[Type]]&gt;0,VLOOKUP(_1_5412845612146241046457891017456[[#This Row],[Type]],Main[[#All],[TYPE]:[UNIT]],'Unit Price'!G$1,FALSE),0)</f>
        <v>0</v>
      </c>
      <c r="J963" s="194">
        <f>IF(_1_5412845612146241046457891017456[[#This Row],[Type]]&gt;0,VLOOKUP(_1_5412845612146241046457891017456[[#This Row],[Type]],Main[[#All],[TYPE]:[UNIT]],'Unit Price'!H$1,FALSE),0)</f>
        <v>0</v>
      </c>
      <c r="K963" s="194">
        <f>IF(_1_5412845612146241046457891017456[[#This Row],[Discount selection]]&gt;0,VLOOKUP(_1_5412845612146241046457891017456[[#This Row],[Discount selection]],'Discount Structure'!$A$2:$B$30,2,"false"),0)</f>
        <v>1</v>
      </c>
      <c r="L963" s="194">
        <f>_1_5412845612146241046457891017456[[#This Row],[LIST $]]*_1_5412845612146241046457891017456[[#This Row],[DISCOUNT]]*_1_5412845612146241046457891017456[[#This Row],[DISCOUNT 2]]</f>
        <v>0</v>
      </c>
      <c r="M963" s="194">
        <f>IF(OR(_1_5412845612146241046457891017456[[#This Row],[UNIT]]&gt;0,_1_5412845612146241046457891017456[[#This Row],[UNIT]]&lt;0),_1_5412845612146241046457891017456[[#This Row],[UNIT]]*_1_5412845612146241046457891017456[[#This Row],[COST]],0)</f>
        <v>0</v>
      </c>
      <c r="N963" s="194">
        <f t="shared" si="14"/>
        <v>1.3</v>
      </c>
      <c r="O963" s="198">
        <f>_1_5412845612146241046457891017456[[#This Row],[TOTAL]]*_1_5412845612146241046457891017456[[#This Row],[MARGIN]]</f>
        <v>0</v>
      </c>
      <c r="P963" s="198"/>
      <c r="R963" s="41"/>
    </row>
    <row r="964" spans="4:18">
      <c r="D964" s="188"/>
      <c r="E964" s="42"/>
      <c r="F964" s="168" t="s">
        <v>6202</v>
      </c>
      <c r="G964" s="193">
        <f>IF(_1_5412845612146241046457891017456[[#This Row],[Type]]&gt;0,VLOOKUP(_1_5412845612146241046457891017456[[#This Row],[Type]],Main[[#All],[TYPE]:[UNIT]],'Unit Price'!C$1,FALSE),0)</f>
        <v>0</v>
      </c>
      <c r="H964" s="197">
        <f>IF(_1_5412845612146241046457891017456[[#This Row],[Type]]&gt;0,VLOOKUP(_1_5412845612146241046457891017456[[#This Row],[Type]],Main[[#All],[TYPE]:[UNIT]],'Unit Price'!D$1,FALSE),0)</f>
        <v>0</v>
      </c>
      <c r="I964" s="194">
        <f>IF(_1_5412845612146241046457891017456[[#This Row],[Type]]&gt;0,VLOOKUP(_1_5412845612146241046457891017456[[#This Row],[Type]],Main[[#All],[TYPE]:[UNIT]],'Unit Price'!G$1,FALSE),0)</f>
        <v>0</v>
      </c>
      <c r="J964" s="194">
        <f>IF(_1_5412845612146241046457891017456[[#This Row],[Type]]&gt;0,VLOOKUP(_1_5412845612146241046457891017456[[#This Row],[Type]],Main[[#All],[TYPE]:[UNIT]],'Unit Price'!H$1,FALSE),0)</f>
        <v>0</v>
      </c>
      <c r="K964" s="194">
        <f>IF(_1_5412845612146241046457891017456[[#This Row],[Discount selection]]&gt;0,VLOOKUP(_1_5412845612146241046457891017456[[#This Row],[Discount selection]],'Discount Structure'!$A$2:$B$30,2,"false"),0)</f>
        <v>1</v>
      </c>
      <c r="L964" s="194">
        <f>_1_5412845612146241046457891017456[[#This Row],[LIST $]]*_1_5412845612146241046457891017456[[#This Row],[DISCOUNT]]*_1_5412845612146241046457891017456[[#This Row],[DISCOUNT 2]]</f>
        <v>0</v>
      </c>
      <c r="M964" s="194">
        <f>IF(OR(_1_5412845612146241046457891017456[[#This Row],[UNIT]]&gt;0,_1_5412845612146241046457891017456[[#This Row],[UNIT]]&lt;0),_1_5412845612146241046457891017456[[#This Row],[UNIT]]*_1_5412845612146241046457891017456[[#This Row],[COST]],0)</f>
        <v>0</v>
      </c>
      <c r="N964" s="194">
        <f t="shared" si="14"/>
        <v>1.3</v>
      </c>
      <c r="O964" s="198">
        <f>_1_5412845612146241046457891017456[[#This Row],[TOTAL]]*_1_5412845612146241046457891017456[[#This Row],[MARGIN]]</f>
        <v>0</v>
      </c>
      <c r="P964" s="198"/>
      <c r="R964" s="41"/>
    </row>
    <row r="965" spans="4:18">
      <c r="D965" s="188"/>
      <c r="E965" s="42"/>
      <c r="F965" s="168" t="s">
        <v>6202</v>
      </c>
      <c r="G965" s="193">
        <f>IF(_1_5412845612146241046457891017456[[#This Row],[Type]]&gt;0,VLOOKUP(_1_5412845612146241046457891017456[[#This Row],[Type]],Main[[#All],[TYPE]:[UNIT]],'Unit Price'!C$1,FALSE),0)</f>
        <v>0</v>
      </c>
      <c r="H965" s="197">
        <f>IF(_1_5412845612146241046457891017456[[#This Row],[Type]]&gt;0,VLOOKUP(_1_5412845612146241046457891017456[[#This Row],[Type]],Main[[#All],[TYPE]:[UNIT]],'Unit Price'!D$1,FALSE),0)</f>
        <v>0</v>
      </c>
      <c r="I965" s="194">
        <f>IF(_1_5412845612146241046457891017456[[#This Row],[Type]]&gt;0,VLOOKUP(_1_5412845612146241046457891017456[[#This Row],[Type]],Main[[#All],[TYPE]:[UNIT]],'Unit Price'!G$1,FALSE),0)</f>
        <v>0</v>
      </c>
      <c r="J965" s="194">
        <f>IF(_1_5412845612146241046457891017456[[#This Row],[Type]]&gt;0,VLOOKUP(_1_5412845612146241046457891017456[[#This Row],[Type]],Main[[#All],[TYPE]:[UNIT]],'Unit Price'!H$1,FALSE),0)</f>
        <v>0</v>
      </c>
      <c r="K965" s="194">
        <f>IF(_1_5412845612146241046457891017456[[#This Row],[Discount selection]]&gt;0,VLOOKUP(_1_5412845612146241046457891017456[[#This Row],[Discount selection]],'Discount Structure'!$A$2:$B$30,2,"false"),0)</f>
        <v>1</v>
      </c>
      <c r="L965" s="194">
        <f>_1_5412845612146241046457891017456[[#This Row],[LIST $]]*_1_5412845612146241046457891017456[[#This Row],[DISCOUNT]]*_1_5412845612146241046457891017456[[#This Row],[DISCOUNT 2]]</f>
        <v>0</v>
      </c>
      <c r="M965" s="194">
        <f>IF(OR(_1_5412845612146241046457891017456[[#This Row],[UNIT]]&gt;0,_1_5412845612146241046457891017456[[#This Row],[UNIT]]&lt;0),_1_5412845612146241046457891017456[[#This Row],[UNIT]]*_1_5412845612146241046457891017456[[#This Row],[COST]],0)</f>
        <v>0</v>
      </c>
      <c r="N965" s="194">
        <f t="shared" si="14"/>
        <v>1.3</v>
      </c>
      <c r="O965" s="198">
        <f>_1_5412845612146241046457891017456[[#This Row],[TOTAL]]*_1_5412845612146241046457891017456[[#This Row],[MARGIN]]</f>
        <v>0</v>
      </c>
      <c r="P965" s="198"/>
      <c r="R965" s="41"/>
    </row>
    <row r="966" spans="4:18">
      <c r="D966" s="188"/>
      <c r="E966" s="42"/>
      <c r="F966" s="168" t="s">
        <v>6202</v>
      </c>
      <c r="G966" s="193">
        <f>IF(_1_5412845612146241046457891017456[[#This Row],[Type]]&gt;0,VLOOKUP(_1_5412845612146241046457891017456[[#This Row],[Type]],Main[[#All],[TYPE]:[UNIT]],'Unit Price'!C$1,FALSE),0)</f>
        <v>0</v>
      </c>
      <c r="H966" s="197">
        <f>IF(_1_5412845612146241046457891017456[[#This Row],[Type]]&gt;0,VLOOKUP(_1_5412845612146241046457891017456[[#This Row],[Type]],Main[[#All],[TYPE]:[UNIT]],'Unit Price'!D$1,FALSE),0)</f>
        <v>0</v>
      </c>
      <c r="I966" s="194">
        <f>IF(_1_5412845612146241046457891017456[[#This Row],[Type]]&gt;0,VLOOKUP(_1_5412845612146241046457891017456[[#This Row],[Type]],Main[[#All],[TYPE]:[UNIT]],'Unit Price'!G$1,FALSE),0)</f>
        <v>0</v>
      </c>
      <c r="J966" s="194">
        <f>IF(_1_5412845612146241046457891017456[[#This Row],[Type]]&gt;0,VLOOKUP(_1_5412845612146241046457891017456[[#This Row],[Type]],Main[[#All],[TYPE]:[UNIT]],'Unit Price'!H$1,FALSE),0)</f>
        <v>0</v>
      </c>
      <c r="K966" s="194">
        <f>IF(_1_5412845612146241046457891017456[[#This Row],[Discount selection]]&gt;0,VLOOKUP(_1_5412845612146241046457891017456[[#This Row],[Discount selection]],'Discount Structure'!$A$2:$B$30,2,"false"),0)</f>
        <v>1</v>
      </c>
      <c r="L966" s="194">
        <f>_1_5412845612146241046457891017456[[#This Row],[LIST $]]*_1_5412845612146241046457891017456[[#This Row],[DISCOUNT]]*_1_5412845612146241046457891017456[[#This Row],[DISCOUNT 2]]</f>
        <v>0</v>
      </c>
      <c r="M966" s="194">
        <f>IF(OR(_1_5412845612146241046457891017456[[#This Row],[UNIT]]&gt;0,_1_5412845612146241046457891017456[[#This Row],[UNIT]]&lt;0),_1_5412845612146241046457891017456[[#This Row],[UNIT]]*_1_5412845612146241046457891017456[[#This Row],[COST]],0)</f>
        <v>0</v>
      </c>
      <c r="N966" s="194">
        <f t="shared" si="14"/>
        <v>1.3</v>
      </c>
      <c r="O966" s="198">
        <f>_1_5412845612146241046457891017456[[#This Row],[TOTAL]]*_1_5412845612146241046457891017456[[#This Row],[MARGIN]]</f>
        <v>0</v>
      </c>
      <c r="P966" s="198"/>
      <c r="R966" s="41"/>
    </row>
    <row r="967" spans="4:18">
      <c r="D967" s="188"/>
      <c r="E967" s="42"/>
      <c r="F967" s="168" t="s">
        <v>6202</v>
      </c>
      <c r="G967" s="193">
        <f>IF(_1_5412845612146241046457891017456[[#This Row],[Type]]&gt;0,VLOOKUP(_1_5412845612146241046457891017456[[#This Row],[Type]],Main[[#All],[TYPE]:[UNIT]],'Unit Price'!C$1,FALSE),0)</f>
        <v>0</v>
      </c>
      <c r="H967" s="197">
        <f>IF(_1_5412845612146241046457891017456[[#This Row],[Type]]&gt;0,VLOOKUP(_1_5412845612146241046457891017456[[#This Row],[Type]],Main[[#All],[TYPE]:[UNIT]],'Unit Price'!D$1,FALSE),0)</f>
        <v>0</v>
      </c>
      <c r="I967" s="194">
        <f>IF(_1_5412845612146241046457891017456[[#This Row],[Type]]&gt;0,VLOOKUP(_1_5412845612146241046457891017456[[#This Row],[Type]],Main[[#All],[TYPE]:[UNIT]],'Unit Price'!G$1,FALSE),0)</f>
        <v>0</v>
      </c>
      <c r="J967" s="194">
        <f>IF(_1_5412845612146241046457891017456[[#This Row],[Type]]&gt;0,VLOOKUP(_1_5412845612146241046457891017456[[#This Row],[Type]],Main[[#All],[TYPE]:[UNIT]],'Unit Price'!H$1,FALSE),0)</f>
        <v>0</v>
      </c>
      <c r="K967" s="194">
        <f>IF(_1_5412845612146241046457891017456[[#This Row],[Discount selection]]&gt;0,VLOOKUP(_1_5412845612146241046457891017456[[#This Row],[Discount selection]],'Discount Structure'!$A$2:$B$30,2,"false"),0)</f>
        <v>1</v>
      </c>
      <c r="L967" s="194">
        <f>_1_5412845612146241046457891017456[[#This Row],[LIST $]]*_1_5412845612146241046457891017456[[#This Row],[DISCOUNT]]*_1_5412845612146241046457891017456[[#This Row],[DISCOUNT 2]]</f>
        <v>0</v>
      </c>
      <c r="M967" s="194">
        <f>IF(OR(_1_5412845612146241046457891017456[[#This Row],[UNIT]]&gt;0,_1_5412845612146241046457891017456[[#This Row],[UNIT]]&lt;0),_1_5412845612146241046457891017456[[#This Row],[UNIT]]*_1_5412845612146241046457891017456[[#This Row],[COST]],0)</f>
        <v>0</v>
      </c>
      <c r="N967" s="194">
        <f t="shared" si="14"/>
        <v>1.3</v>
      </c>
      <c r="O967" s="198">
        <f>_1_5412845612146241046457891017456[[#This Row],[TOTAL]]*_1_5412845612146241046457891017456[[#This Row],[MARGIN]]</f>
        <v>0</v>
      </c>
      <c r="P967" s="198"/>
      <c r="R967" s="41"/>
    </row>
    <row r="968" spans="4:18">
      <c r="D968" s="188"/>
      <c r="E968" s="42"/>
      <c r="F968" s="168" t="s">
        <v>6202</v>
      </c>
      <c r="G968" s="193">
        <f>IF(_1_5412845612146241046457891017456[[#This Row],[Type]]&gt;0,VLOOKUP(_1_5412845612146241046457891017456[[#This Row],[Type]],Main[[#All],[TYPE]:[UNIT]],'Unit Price'!C$1,FALSE),0)</f>
        <v>0</v>
      </c>
      <c r="H968" s="197">
        <f>IF(_1_5412845612146241046457891017456[[#This Row],[Type]]&gt;0,VLOOKUP(_1_5412845612146241046457891017456[[#This Row],[Type]],Main[[#All],[TYPE]:[UNIT]],'Unit Price'!D$1,FALSE),0)</f>
        <v>0</v>
      </c>
      <c r="I968" s="194">
        <f>IF(_1_5412845612146241046457891017456[[#This Row],[Type]]&gt;0,VLOOKUP(_1_5412845612146241046457891017456[[#This Row],[Type]],Main[[#All],[TYPE]:[UNIT]],'Unit Price'!G$1,FALSE),0)</f>
        <v>0</v>
      </c>
      <c r="J968" s="194">
        <f>IF(_1_5412845612146241046457891017456[[#This Row],[Type]]&gt;0,VLOOKUP(_1_5412845612146241046457891017456[[#This Row],[Type]],Main[[#All],[TYPE]:[UNIT]],'Unit Price'!H$1,FALSE),0)</f>
        <v>0</v>
      </c>
      <c r="K968" s="194">
        <f>IF(_1_5412845612146241046457891017456[[#This Row],[Discount selection]]&gt;0,VLOOKUP(_1_5412845612146241046457891017456[[#This Row],[Discount selection]],'Discount Structure'!$A$2:$B$30,2,"false"),0)</f>
        <v>1</v>
      </c>
      <c r="L968" s="194">
        <f>_1_5412845612146241046457891017456[[#This Row],[LIST $]]*_1_5412845612146241046457891017456[[#This Row],[DISCOUNT]]*_1_5412845612146241046457891017456[[#This Row],[DISCOUNT 2]]</f>
        <v>0</v>
      </c>
      <c r="M968" s="194">
        <f>IF(OR(_1_5412845612146241046457891017456[[#This Row],[UNIT]]&gt;0,_1_5412845612146241046457891017456[[#This Row],[UNIT]]&lt;0),_1_5412845612146241046457891017456[[#This Row],[UNIT]]*_1_5412845612146241046457891017456[[#This Row],[COST]],0)</f>
        <v>0</v>
      </c>
      <c r="N968" s="194">
        <f t="shared" si="14"/>
        <v>1.3</v>
      </c>
      <c r="O968" s="198">
        <f>_1_5412845612146241046457891017456[[#This Row],[TOTAL]]*_1_5412845612146241046457891017456[[#This Row],[MARGIN]]</f>
        <v>0</v>
      </c>
      <c r="P968" s="198"/>
      <c r="R968" s="41"/>
    </row>
    <row r="969" spans="4:18">
      <c r="D969" s="188"/>
      <c r="E969" s="42"/>
      <c r="F969" s="168" t="s">
        <v>6202</v>
      </c>
      <c r="G969" s="193">
        <f>IF(_1_5412845612146241046457891017456[[#This Row],[Type]]&gt;0,VLOOKUP(_1_5412845612146241046457891017456[[#This Row],[Type]],Main[[#All],[TYPE]:[UNIT]],'Unit Price'!C$1,FALSE),0)</f>
        <v>0</v>
      </c>
      <c r="H969" s="197">
        <f>IF(_1_5412845612146241046457891017456[[#This Row],[Type]]&gt;0,VLOOKUP(_1_5412845612146241046457891017456[[#This Row],[Type]],Main[[#All],[TYPE]:[UNIT]],'Unit Price'!D$1,FALSE),0)</f>
        <v>0</v>
      </c>
      <c r="I969" s="194">
        <f>IF(_1_5412845612146241046457891017456[[#This Row],[Type]]&gt;0,VLOOKUP(_1_5412845612146241046457891017456[[#This Row],[Type]],Main[[#All],[TYPE]:[UNIT]],'Unit Price'!G$1,FALSE),0)</f>
        <v>0</v>
      </c>
      <c r="J969" s="194">
        <f>IF(_1_5412845612146241046457891017456[[#This Row],[Type]]&gt;0,VLOOKUP(_1_5412845612146241046457891017456[[#This Row],[Type]],Main[[#All],[TYPE]:[UNIT]],'Unit Price'!H$1,FALSE),0)</f>
        <v>0</v>
      </c>
      <c r="K969" s="194">
        <f>IF(_1_5412845612146241046457891017456[[#This Row],[Discount selection]]&gt;0,VLOOKUP(_1_5412845612146241046457891017456[[#This Row],[Discount selection]],'Discount Structure'!$A$2:$B$30,2,"false"),0)</f>
        <v>1</v>
      </c>
      <c r="L969" s="194">
        <f>_1_5412845612146241046457891017456[[#This Row],[LIST $]]*_1_5412845612146241046457891017456[[#This Row],[DISCOUNT]]*_1_5412845612146241046457891017456[[#This Row],[DISCOUNT 2]]</f>
        <v>0</v>
      </c>
      <c r="M969" s="194">
        <f>IF(OR(_1_5412845612146241046457891017456[[#This Row],[UNIT]]&gt;0,_1_5412845612146241046457891017456[[#This Row],[UNIT]]&lt;0),_1_5412845612146241046457891017456[[#This Row],[UNIT]]*_1_5412845612146241046457891017456[[#This Row],[COST]],0)</f>
        <v>0</v>
      </c>
      <c r="N969" s="194">
        <f t="shared" si="14"/>
        <v>1.3</v>
      </c>
      <c r="O969" s="198">
        <f>_1_5412845612146241046457891017456[[#This Row],[TOTAL]]*_1_5412845612146241046457891017456[[#This Row],[MARGIN]]</f>
        <v>0</v>
      </c>
      <c r="P969" s="198"/>
      <c r="R969" s="41"/>
    </row>
    <row r="970" spans="4:18">
      <c r="D970" s="188"/>
      <c r="E970" s="42"/>
      <c r="F970" s="168" t="s">
        <v>6202</v>
      </c>
      <c r="G970" s="193">
        <f>IF(_1_5412845612146241046457891017456[[#This Row],[Type]]&gt;0,VLOOKUP(_1_5412845612146241046457891017456[[#This Row],[Type]],Main[[#All],[TYPE]:[UNIT]],'Unit Price'!C$1,FALSE),0)</f>
        <v>0</v>
      </c>
      <c r="H970" s="197">
        <f>IF(_1_5412845612146241046457891017456[[#This Row],[Type]]&gt;0,VLOOKUP(_1_5412845612146241046457891017456[[#This Row],[Type]],Main[[#All],[TYPE]:[UNIT]],'Unit Price'!D$1,FALSE),0)</f>
        <v>0</v>
      </c>
      <c r="I970" s="194">
        <f>IF(_1_5412845612146241046457891017456[[#This Row],[Type]]&gt;0,VLOOKUP(_1_5412845612146241046457891017456[[#This Row],[Type]],Main[[#All],[TYPE]:[UNIT]],'Unit Price'!G$1,FALSE),0)</f>
        <v>0</v>
      </c>
      <c r="J970" s="194">
        <f>IF(_1_5412845612146241046457891017456[[#This Row],[Type]]&gt;0,VLOOKUP(_1_5412845612146241046457891017456[[#This Row],[Type]],Main[[#All],[TYPE]:[UNIT]],'Unit Price'!H$1,FALSE),0)</f>
        <v>0</v>
      </c>
      <c r="K970" s="194">
        <f>IF(_1_5412845612146241046457891017456[[#This Row],[Discount selection]]&gt;0,VLOOKUP(_1_5412845612146241046457891017456[[#This Row],[Discount selection]],'Discount Structure'!$A$2:$B$30,2,"false"),0)</f>
        <v>1</v>
      </c>
      <c r="L970" s="194">
        <f>_1_5412845612146241046457891017456[[#This Row],[LIST $]]*_1_5412845612146241046457891017456[[#This Row],[DISCOUNT]]*_1_5412845612146241046457891017456[[#This Row],[DISCOUNT 2]]</f>
        <v>0</v>
      </c>
      <c r="M970" s="194">
        <f>IF(OR(_1_5412845612146241046457891017456[[#This Row],[UNIT]]&gt;0,_1_5412845612146241046457891017456[[#This Row],[UNIT]]&lt;0),_1_5412845612146241046457891017456[[#This Row],[UNIT]]*_1_5412845612146241046457891017456[[#This Row],[COST]],0)</f>
        <v>0</v>
      </c>
      <c r="N970" s="194">
        <f t="shared" ref="N970:N999" si="15">$N$7</f>
        <v>1.3</v>
      </c>
      <c r="O970" s="198">
        <f>_1_5412845612146241046457891017456[[#This Row],[TOTAL]]*_1_5412845612146241046457891017456[[#This Row],[MARGIN]]</f>
        <v>0</v>
      </c>
      <c r="P970" s="198"/>
      <c r="R970" s="41"/>
    </row>
    <row r="971" spans="4:18">
      <c r="D971" s="188"/>
      <c r="E971" s="42"/>
      <c r="F971" s="168" t="s">
        <v>6202</v>
      </c>
      <c r="G971" s="193">
        <f>IF(_1_5412845612146241046457891017456[[#This Row],[Type]]&gt;0,VLOOKUP(_1_5412845612146241046457891017456[[#This Row],[Type]],Main[[#All],[TYPE]:[UNIT]],'Unit Price'!C$1,FALSE),0)</f>
        <v>0</v>
      </c>
      <c r="H971" s="197">
        <f>IF(_1_5412845612146241046457891017456[[#This Row],[Type]]&gt;0,VLOOKUP(_1_5412845612146241046457891017456[[#This Row],[Type]],Main[[#All],[TYPE]:[UNIT]],'Unit Price'!D$1,FALSE),0)</f>
        <v>0</v>
      </c>
      <c r="I971" s="194">
        <f>IF(_1_5412845612146241046457891017456[[#This Row],[Type]]&gt;0,VLOOKUP(_1_5412845612146241046457891017456[[#This Row],[Type]],Main[[#All],[TYPE]:[UNIT]],'Unit Price'!G$1,FALSE),0)</f>
        <v>0</v>
      </c>
      <c r="J971" s="194">
        <f>IF(_1_5412845612146241046457891017456[[#This Row],[Type]]&gt;0,VLOOKUP(_1_5412845612146241046457891017456[[#This Row],[Type]],Main[[#All],[TYPE]:[UNIT]],'Unit Price'!H$1,FALSE),0)</f>
        <v>0</v>
      </c>
      <c r="K971" s="194">
        <f>IF(_1_5412845612146241046457891017456[[#This Row],[Discount selection]]&gt;0,VLOOKUP(_1_5412845612146241046457891017456[[#This Row],[Discount selection]],'Discount Structure'!$A$2:$B$30,2,"false"),0)</f>
        <v>1</v>
      </c>
      <c r="L971" s="194">
        <f>_1_5412845612146241046457891017456[[#This Row],[LIST $]]*_1_5412845612146241046457891017456[[#This Row],[DISCOUNT]]*_1_5412845612146241046457891017456[[#This Row],[DISCOUNT 2]]</f>
        <v>0</v>
      </c>
      <c r="M971" s="194">
        <f>IF(OR(_1_5412845612146241046457891017456[[#This Row],[UNIT]]&gt;0,_1_5412845612146241046457891017456[[#This Row],[UNIT]]&lt;0),_1_5412845612146241046457891017456[[#This Row],[UNIT]]*_1_5412845612146241046457891017456[[#This Row],[COST]],0)</f>
        <v>0</v>
      </c>
      <c r="N971" s="194">
        <f t="shared" si="15"/>
        <v>1.3</v>
      </c>
      <c r="O971" s="198">
        <f>_1_5412845612146241046457891017456[[#This Row],[TOTAL]]*_1_5412845612146241046457891017456[[#This Row],[MARGIN]]</f>
        <v>0</v>
      </c>
      <c r="P971" s="198"/>
      <c r="R971" s="41"/>
    </row>
    <row r="972" spans="4:18">
      <c r="D972" s="188"/>
      <c r="E972" s="42"/>
      <c r="F972" s="168" t="s">
        <v>6202</v>
      </c>
      <c r="G972" s="193">
        <f>IF(_1_5412845612146241046457891017456[[#This Row],[Type]]&gt;0,VLOOKUP(_1_5412845612146241046457891017456[[#This Row],[Type]],Main[[#All],[TYPE]:[UNIT]],'Unit Price'!C$1,FALSE),0)</f>
        <v>0</v>
      </c>
      <c r="H972" s="197">
        <f>IF(_1_5412845612146241046457891017456[[#This Row],[Type]]&gt;0,VLOOKUP(_1_5412845612146241046457891017456[[#This Row],[Type]],Main[[#All],[TYPE]:[UNIT]],'Unit Price'!D$1,FALSE),0)</f>
        <v>0</v>
      </c>
      <c r="I972" s="194">
        <f>IF(_1_5412845612146241046457891017456[[#This Row],[Type]]&gt;0,VLOOKUP(_1_5412845612146241046457891017456[[#This Row],[Type]],Main[[#All],[TYPE]:[UNIT]],'Unit Price'!G$1,FALSE),0)</f>
        <v>0</v>
      </c>
      <c r="J972" s="194">
        <f>IF(_1_5412845612146241046457891017456[[#This Row],[Type]]&gt;0,VLOOKUP(_1_5412845612146241046457891017456[[#This Row],[Type]],Main[[#All],[TYPE]:[UNIT]],'Unit Price'!H$1,FALSE),0)</f>
        <v>0</v>
      </c>
      <c r="K972" s="194">
        <f>IF(_1_5412845612146241046457891017456[[#This Row],[Discount selection]]&gt;0,VLOOKUP(_1_5412845612146241046457891017456[[#This Row],[Discount selection]],'Discount Structure'!$A$2:$B$30,2,"false"),0)</f>
        <v>1</v>
      </c>
      <c r="L972" s="194">
        <f>_1_5412845612146241046457891017456[[#This Row],[LIST $]]*_1_5412845612146241046457891017456[[#This Row],[DISCOUNT]]*_1_5412845612146241046457891017456[[#This Row],[DISCOUNT 2]]</f>
        <v>0</v>
      </c>
      <c r="M972" s="194">
        <f>IF(OR(_1_5412845612146241046457891017456[[#This Row],[UNIT]]&gt;0,_1_5412845612146241046457891017456[[#This Row],[UNIT]]&lt;0),_1_5412845612146241046457891017456[[#This Row],[UNIT]]*_1_5412845612146241046457891017456[[#This Row],[COST]],0)</f>
        <v>0</v>
      </c>
      <c r="N972" s="194">
        <f t="shared" si="15"/>
        <v>1.3</v>
      </c>
      <c r="O972" s="198">
        <f>_1_5412845612146241046457891017456[[#This Row],[TOTAL]]*_1_5412845612146241046457891017456[[#This Row],[MARGIN]]</f>
        <v>0</v>
      </c>
      <c r="P972" s="198"/>
      <c r="R972" s="41"/>
    </row>
    <row r="973" spans="4:18">
      <c r="D973" s="188"/>
      <c r="E973" s="42"/>
      <c r="F973" s="168" t="s">
        <v>6202</v>
      </c>
      <c r="G973" s="193">
        <f>IF(_1_5412845612146241046457891017456[[#This Row],[Type]]&gt;0,VLOOKUP(_1_5412845612146241046457891017456[[#This Row],[Type]],Main[[#All],[TYPE]:[UNIT]],'Unit Price'!C$1,FALSE),0)</f>
        <v>0</v>
      </c>
      <c r="H973" s="197">
        <f>IF(_1_5412845612146241046457891017456[[#This Row],[Type]]&gt;0,VLOOKUP(_1_5412845612146241046457891017456[[#This Row],[Type]],Main[[#All],[TYPE]:[UNIT]],'Unit Price'!D$1,FALSE),0)</f>
        <v>0</v>
      </c>
      <c r="I973" s="194">
        <f>IF(_1_5412845612146241046457891017456[[#This Row],[Type]]&gt;0,VLOOKUP(_1_5412845612146241046457891017456[[#This Row],[Type]],Main[[#All],[TYPE]:[UNIT]],'Unit Price'!G$1,FALSE),0)</f>
        <v>0</v>
      </c>
      <c r="J973" s="194">
        <f>IF(_1_5412845612146241046457891017456[[#This Row],[Type]]&gt;0,VLOOKUP(_1_5412845612146241046457891017456[[#This Row],[Type]],Main[[#All],[TYPE]:[UNIT]],'Unit Price'!H$1,FALSE),0)</f>
        <v>0</v>
      </c>
      <c r="K973" s="194">
        <f>IF(_1_5412845612146241046457891017456[[#This Row],[Discount selection]]&gt;0,VLOOKUP(_1_5412845612146241046457891017456[[#This Row],[Discount selection]],'Discount Structure'!$A$2:$B$30,2,"false"),0)</f>
        <v>1</v>
      </c>
      <c r="L973" s="194">
        <f>_1_5412845612146241046457891017456[[#This Row],[LIST $]]*_1_5412845612146241046457891017456[[#This Row],[DISCOUNT]]*_1_5412845612146241046457891017456[[#This Row],[DISCOUNT 2]]</f>
        <v>0</v>
      </c>
      <c r="M973" s="194">
        <f>IF(OR(_1_5412845612146241046457891017456[[#This Row],[UNIT]]&gt;0,_1_5412845612146241046457891017456[[#This Row],[UNIT]]&lt;0),_1_5412845612146241046457891017456[[#This Row],[UNIT]]*_1_5412845612146241046457891017456[[#This Row],[COST]],0)</f>
        <v>0</v>
      </c>
      <c r="N973" s="194">
        <f t="shared" si="15"/>
        <v>1.3</v>
      </c>
      <c r="O973" s="198">
        <f>_1_5412845612146241046457891017456[[#This Row],[TOTAL]]*_1_5412845612146241046457891017456[[#This Row],[MARGIN]]</f>
        <v>0</v>
      </c>
      <c r="P973" s="198"/>
      <c r="R973" s="41"/>
    </row>
    <row r="974" spans="4:18">
      <c r="D974" s="188"/>
      <c r="E974" s="42"/>
      <c r="F974" s="168" t="s">
        <v>6202</v>
      </c>
      <c r="G974" s="193">
        <f>IF(_1_5412845612146241046457891017456[[#This Row],[Type]]&gt;0,VLOOKUP(_1_5412845612146241046457891017456[[#This Row],[Type]],Main[[#All],[TYPE]:[UNIT]],'Unit Price'!C$1,FALSE),0)</f>
        <v>0</v>
      </c>
      <c r="H974" s="197">
        <f>IF(_1_5412845612146241046457891017456[[#This Row],[Type]]&gt;0,VLOOKUP(_1_5412845612146241046457891017456[[#This Row],[Type]],Main[[#All],[TYPE]:[UNIT]],'Unit Price'!D$1,FALSE),0)</f>
        <v>0</v>
      </c>
      <c r="I974" s="194">
        <f>IF(_1_5412845612146241046457891017456[[#This Row],[Type]]&gt;0,VLOOKUP(_1_5412845612146241046457891017456[[#This Row],[Type]],Main[[#All],[TYPE]:[UNIT]],'Unit Price'!G$1,FALSE),0)</f>
        <v>0</v>
      </c>
      <c r="J974" s="194">
        <f>IF(_1_5412845612146241046457891017456[[#This Row],[Type]]&gt;0,VLOOKUP(_1_5412845612146241046457891017456[[#This Row],[Type]],Main[[#All],[TYPE]:[UNIT]],'Unit Price'!H$1,FALSE),0)</f>
        <v>0</v>
      </c>
      <c r="K974" s="194">
        <f>IF(_1_5412845612146241046457891017456[[#This Row],[Discount selection]]&gt;0,VLOOKUP(_1_5412845612146241046457891017456[[#This Row],[Discount selection]],'Discount Structure'!$A$2:$B$30,2,"false"),0)</f>
        <v>1</v>
      </c>
      <c r="L974" s="194">
        <f>_1_5412845612146241046457891017456[[#This Row],[LIST $]]*_1_5412845612146241046457891017456[[#This Row],[DISCOUNT]]*_1_5412845612146241046457891017456[[#This Row],[DISCOUNT 2]]</f>
        <v>0</v>
      </c>
      <c r="M974" s="194">
        <f>IF(OR(_1_5412845612146241046457891017456[[#This Row],[UNIT]]&gt;0,_1_5412845612146241046457891017456[[#This Row],[UNIT]]&lt;0),_1_5412845612146241046457891017456[[#This Row],[UNIT]]*_1_5412845612146241046457891017456[[#This Row],[COST]],0)</f>
        <v>0</v>
      </c>
      <c r="N974" s="194">
        <f t="shared" si="15"/>
        <v>1.3</v>
      </c>
      <c r="O974" s="198">
        <f>_1_5412845612146241046457891017456[[#This Row],[TOTAL]]*_1_5412845612146241046457891017456[[#This Row],[MARGIN]]</f>
        <v>0</v>
      </c>
      <c r="P974" s="198"/>
      <c r="R974" s="41"/>
    </row>
    <row r="975" spans="4:18">
      <c r="D975" s="188"/>
      <c r="E975" s="42"/>
      <c r="F975" s="168" t="s">
        <v>6202</v>
      </c>
      <c r="G975" s="193">
        <f>IF(_1_5412845612146241046457891017456[[#This Row],[Type]]&gt;0,VLOOKUP(_1_5412845612146241046457891017456[[#This Row],[Type]],Main[[#All],[TYPE]:[UNIT]],'Unit Price'!C$1,FALSE),0)</f>
        <v>0</v>
      </c>
      <c r="H975" s="197">
        <f>IF(_1_5412845612146241046457891017456[[#This Row],[Type]]&gt;0,VLOOKUP(_1_5412845612146241046457891017456[[#This Row],[Type]],Main[[#All],[TYPE]:[UNIT]],'Unit Price'!D$1,FALSE),0)</f>
        <v>0</v>
      </c>
      <c r="I975" s="194">
        <f>IF(_1_5412845612146241046457891017456[[#This Row],[Type]]&gt;0,VLOOKUP(_1_5412845612146241046457891017456[[#This Row],[Type]],Main[[#All],[TYPE]:[UNIT]],'Unit Price'!G$1,FALSE),0)</f>
        <v>0</v>
      </c>
      <c r="J975" s="194">
        <f>IF(_1_5412845612146241046457891017456[[#This Row],[Type]]&gt;0,VLOOKUP(_1_5412845612146241046457891017456[[#This Row],[Type]],Main[[#All],[TYPE]:[UNIT]],'Unit Price'!H$1,FALSE),0)</f>
        <v>0</v>
      </c>
      <c r="K975" s="194">
        <f>IF(_1_5412845612146241046457891017456[[#This Row],[Discount selection]]&gt;0,VLOOKUP(_1_5412845612146241046457891017456[[#This Row],[Discount selection]],'Discount Structure'!$A$2:$B$30,2,"false"),0)</f>
        <v>1</v>
      </c>
      <c r="L975" s="194">
        <f>_1_5412845612146241046457891017456[[#This Row],[LIST $]]*_1_5412845612146241046457891017456[[#This Row],[DISCOUNT]]*_1_5412845612146241046457891017456[[#This Row],[DISCOUNT 2]]</f>
        <v>0</v>
      </c>
      <c r="M975" s="194">
        <f>IF(OR(_1_5412845612146241046457891017456[[#This Row],[UNIT]]&gt;0,_1_5412845612146241046457891017456[[#This Row],[UNIT]]&lt;0),_1_5412845612146241046457891017456[[#This Row],[UNIT]]*_1_5412845612146241046457891017456[[#This Row],[COST]],0)</f>
        <v>0</v>
      </c>
      <c r="N975" s="194">
        <f t="shared" si="15"/>
        <v>1.3</v>
      </c>
      <c r="O975" s="198">
        <f>_1_5412845612146241046457891017456[[#This Row],[TOTAL]]*_1_5412845612146241046457891017456[[#This Row],[MARGIN]]</f>
        <v>0</v>
      </c>
      <c r="P975" s="198"/>
      <c r="R975" s="41"/>
    </row>
    <row r="976" spans="4:18">
      <c r="D976" s="188"/>
      <c r="E976" s="42"/>
      <c r="F976" s="168" t="s">
        <v>6202</v>
      </c>
      <c r="G976" s="193">
        <f>IF(_1_5412845612146241046457891017456[[#This Row],[Type]]&gt;0,VLOOKUP(_1_5412845612146241046457891017456[[#This Row],[Type]],Main[[#All],[TYPE]:[UNIT]],'Unit Price'!C$1,FALSE),0)</f>
        <v>0</v>
      </c>
      <c r="H976" s="197">
        <f>IF(_1_5412845612146241046457891017456[[#This Row],[Type]]&gt;0,VLOOKUP(_1_5412845612146241046457891017456[[#This Row],[Type]],Main[[#All],[TYPE]:[UNIT]],'Unit Price'!D$1,FALSE),0)</f>
        <v>0</v>
      </c>
      <c r="I976" s="194">
        <f>IF(_1_5412845612146241046457891017456[[#This Row],[Type]]&gt;0,VLOOKUP(_1_5412845612146241046457891017456[[#This Row],[Type]],Main[[#All],[TYPE]:[UNIT]],'Unit Price'!G$1,FALSE),0)</f>
        <v>0</v>
      </c>
      <c r="J976" s="194">
        <f>IF(_1_5412845612146241046457891017456[[#This Row],[Type]]&gt;0,VLOOKUP(_1_5412845612146241046457891017456[[#This Row],[Type]],Main[[#All],[TYPE]:[UNIT]],'Unit Price'!H$1,FALSE),0)</f>
        <v>0</v>
      </c>
      <c r="K976" s="194">
        <f>IF(_1_5412845612146241046457891017456[[#This Row],[Discount selection]]&gt;0,VLOOKUP(_1_5412845612146241046457891017456[[#This Row],[Discount selection]],'Discount Structure'!$A$2:$B$30,2,"false"),0)</f>
        <v>1</v>
      </c>
      <c r="L976" s="194">
        <f>_1_5412845612146241046457891017456[[#This Row],[LIST $]]*_1_5412845612146241046457891017456[[#This Row],[DISCOUNT]]*_1_5412845612146241046457891017456[[#This Row],[DISCOUNT 2]]</f>
        <v>0</v>
      </c>
      <c r="M976" s="194">
        <f>IF(OR(_1_5412845612146241046457891017456[[#This Row],[UNIT]]&gt;0,_1_5412845612146241046457891017456[[#This Row],[UNIT]]&lt;0),_1_5412845612146241046457891017456[[#This Row],[UNIT]]*_1_5412845612146241046457891017456[[#This Row],[COST]],0)</f>
        <v>0</v>
      </c>
      <c r="N976" s="194">
        <f t="shared" si="15"/>
        <v>1.3</v>
      </c>
      <c r="O976" s="198">
        <f>_1_5412845612146241046457891017456[[#This Row],[TOTAL]]*_1_5412845612146241046457891017456[[#This Row],[MARGIN]]</f>
        <v>0</v>
      </c>
      <c r="P976" s="198"/>
      <c r="R976" s="41"/>
    </row>
    <row r="977" spans="4:18">
      <c r="D977" s="188"/>
      <c r="E977" s="42"/>
      <c r="F977" s="168" t="s">
        <v>6202</v>
      </c>
      <c r="G977" s="193">
        <f>IF(_1_5412845612146241046457891017456[[#This Row],[Type]]&gt;0,VLOOKUP(_1_5412845612146241046457891017456[[#This Row],[Type]],Main[[#All],[TYPE]:[UNIT]],'Unit Price'!C$1,FALSE),0)</f>
        <v>0</v>
      </c>
      <c r="H977" s="197">
        <f>IF(_1_5412845612146241046457891017456[[#This Row],[Type]]&gt;0,VLOOKUP(_1_5412845612146241046457891017456[[#This Row],[Type]],Main[[#All],[TYPE]:[UNIT]],'Unit Price'!D$1,FALSE),0)</f>
        <v>0</v>
      </c>
      <c r="I977" s="194">
        <f>IF(_1_5412845612146241046457891017456[[#This Row],[Type]]&gt;0,VLOOKUP(_1_5412845612146241046457891017456[[#This Row],[Type]],Main[[#All],[TYPE]:[UNIT]],'Unit Price'!G$1,FALSE),0)</f>
        <v>0</v>
      </c>
      <c r="J977" s="194">
        <f>IF(_1_5412845612146241046457891017456[[#This Row],[Type]]&gt;0,VLOOKUP(_1_5412845612146241046457891017456[[#This Row],[Type]],Main[[#All],[TYPE]:[UNIT]],'Unit Price'!H$1,FALSE),0)</f>
        <v>0</v>
      </c>
      <c r="K977" s="194">
        <f>IF(_1_5412845612146241046457891017456[[#This Row],[Discount selection]]&gt;0,VLOOKUP(_1_5412845612146241046457891017456[[#This Row],[Discount selection]],'Discount Structure'!$A$2:$B$30,2,"false"),0)</f>
        <v>1</v>
      </c>
      <c r="L977" s="194">
        <f>_1_5412845612146241046457891017456[[#This Row],[LIST $]]*_1_5412845612146241046457891017456[[#This Row],[DISCOUNT]]*_1_5412845612146241046457891017456[[#This Row],[DISCOUNT 2]]</f>
        <v>0</v>
      </c>
      <c r="M977" s="194">
        <f>IF(OR(_1_5412845612146241046457891017456[[#This Row],[UNIT]]&gt;0,_1_5412845612146241046457891017456[[#This Row],[UNIT]]&lt;0),_1_5412845612146241046457891017456[[#This Row],[UNIT]]*_1_5412845612146241046457891017456[[#This Row],[COST]],0)</f>
        <v>0</v>
      </c>
      <c r="N977" s="194">
        <f t="shared" si="15"/>
        <v>1.3</v>
      </c>
      <c r="O977" s="198">
        <f>_1_5412845612146241046457891017456[[#This Row],[TOTAL]]*_1_5412845612146241046457891017456[[#This Row],[MARGIN]]</f>
        <v>0</v>
      </c>
      <c r="P977" s="198"/>
      <c r="R977" s="41"/>
    </row>
    <row r="978" spans="4:18">
      <c r="D978" s="188"/>
      <c r="E978" s="42"/>
      <c r="F978" s="168" t="s">
        <v>6202</v>
      </c>
      <c r="G978" s="193">
        <f>IF(_1_5412845612146241046457891017456[[#This Row],[Type]]&gt;0,VLOOKUP(_1_5412845612146241046457891017456[[#This Row],[Type]],Main[[#All],[TYPE]:[UNIT]],'Unit Price'!C$1,FALSE),0)</f>
        <v>0</v>
      </c>
      <c r="H978" s="197">
        <f>IF(_1_5412845612146241046457891017456[[#This Row],[Type]]&gt;0,VLOOKUP(_1_5412845612146241046457891017456[[#This Row],[Type]],Main[[#All],[TYPE]:[UNIT]],'Unit Price'!D$1,FALSE),0)</f>
        <v>0</v>
      </c>
      <c r="I978" s="194">
        <f>IF(_1_5412845612146241046457891017456[[#This Row],[Type]]&gt;0,VLOOKUP(_1_5412845612146241046457891017456[[#This Row],[Type]],Main[[#All],[TYPE]:[UNIT]],'Unit Price'!G$1,FALSE),0)</f>
        <v>0</v>
      </c>
      <c r="J978" s="194">
        <f>IF(_1_5412845612146241046457891017456[[#This Row],[Type]]&gt;0,VLOOKUP(_1_5412845612146241046457891017456[[#This Row],[Type]],Main[[#All],[TYPE]:[UNIT]],'Unit Price'!H$1,FALSE),0)</f>
        <v>0</v>
      </c>
      <c r="K978" s="194">
        <f>IF(_1_5412845612146241046457891017456[[#This Row],[Discount selection]]&gt;0,VLOOKUP(_1_5412845612146241046457891017456[[#This Row],[Discount selection]],'Discount Structure'!$A$2:$B$30,2,"false"),0)</f>
        <v>1</v>
      </c>
      <c r="L978" s="194">
        <f>_1_5412845612146241046457891017456[[#This Row],[LIST $]]*_1_5412845612146241046457891017456[[#This Row],[DISCOUNT]]*_1_5412845612146241046457891017456[[#This Row],[DISCOUNT 2]]</f>
        <v>0</v>
      </c>
      <c r="M978" s="194">
        <f>IF(OR(_1_5412845612146241046457891017456[[#This Row],[UNIT]]&gt;0,_1_5412845612146241046457891017456[[#This Row],[UNIT]]&lt;0),_1_5412845612146241046457891017456[[#This Row],[UNIT]]*_1_5412845612146241046457891017456[[#This Row],[COST]],0)</f>
        <v>0</v>
      </c>
      <c r="N978" s="194">
        <f t="shared" si="15"/>
        <v>1.3</v>
      </c>
      <c r="O978" s="198">
        <f>_1_5412845612146241046457891017456[[#This Row],[TOTAL]]*_1_5412845612146241046457891017456[[#This Row],[MARGIN]]</f>
        <v>0</v>
      </c>
      <c r="P978" s="198"/>
      <c r="R978" s="41"/>
    </row>
    <row r="979" spans="4:18">
      <c r="D979" s="188"/>
      <c r="E979" s="42"/>
      <c r="F979" s="168" t="s">
        <v>6202</v>
      </c>
      <c r="G979" s="193">
        <f>IF(_1_5412845612146241046457891017456[[#This Row],[Type]]&gt;0,VLOOKUP(_1_5412845612146241046457891017456[[#This Row],[Type]],Main[[#All],[TYPE]:[UNIT]],'Unit Price'!C$1,FALSE),0)</f>
        <v>0</v>
      </c>
      <c r="H979" s="197">
        <f>IF(_1_5412845612146241046457891017456[[#This Row],[Type]]&gt;0,VLOOKUP(_1_5412845612146241046457891017456[[#This Row],[Type]],Main[[#All],[TYPE]:[UNIT]],'Unit Price'!D$1,FALSE),0)</f>
        <v>0</v>
      </c>
      <c r="I979" s="194">
        <f>IF(_1_5412845612146241046457891017456[[#This Row],[Type]]&gt;0,VLOOKUP(_1_5412845612146241046457891017456[[#This Row],[Type]],Main[[#All],[TYPE]:[UNIT]],'Unit Price'!G$1,FALSE),0)</f>
        <v>0</v>
      </c>
      <c r="J979" s="194">
        <f>IF(_1_5412845612146241046457891017456[[#This Row],[Type]]&gt;0,VLOOKUP(_1_5412845612146241046457891017456[[#This Row],[Type]],Main[[#All],[TYPE]:[UNIT]],'Unit Price'!H$1,FALSE),0)</f>
        <v>0</v>
      </c>
      <c r="K979" s="194">
        <f>IF(_1_5412845612146241046457891017456[[#This Row],[Discount selection]]&gt;0,VLOOKUP(_1_5412845612146241046457891017456[[#This Row],[Discount selection]],'Discount Structure'!$A$2:$B$30,2,"false"),0)</f>
        <v>1</v>
      </c>
      <c r="L979" s="194">
        <f>_1_5412845612146241046457891017456[[#This Row],[LIST $]]*_1_5412845612146241046457891017456[[#This Row],[DISCOUNT]]*_1_5412845612146241046457891017456[[#This Row],[DISCOUNT 2]]</f>
        <v>0</v>
      </c>
      <c r="M979" s="194">
        <f>IF(OR(_1_5412845612146241046457891017456[[#This Row],[UNIT]]&gt;0,_1_5412845612146241046457891017456[[#This Row],[UNIT]]&lt;0),_1_5412845612146241046457891017456[[#This Row],[UNIT]]*_1_5412845612146241046457891017456[[#This Row],[COST]],0)</f>
        <v>0</v>
      </c>
      <c r="N979" s="194">
        <f t="shared" si="15"/>
        <v>1.3</v>
      </c>
      <c r="O979" s="198">
        <f>_1_5412845612146241046457891017456[[#This Row],[TOTAL]]*_1_5412845612146241046457891017456[[#This Row],[MARGIN]]</f>
        <v>0</v>
      </c>
      <c r="P979" s="198"/>
      <c r="R979" s="41"/>
    </row>
    <row r="980" spans="4:18">
      <c r="D980" s="188"/>
      <c r="E980" s="42"/>
      <c r="F980" s="168" t="s">
        <v>6202</v>
      </c>
      <c r="G980" s="193">
        <f>IF(_1_5412845612146241046457891017456[[#This Row],[Type]]&gt;0,VLOOKUP(_1_5412845612146241046457891017456[[#This Row],[Type]],Main[[#All],[TYPE]:[UNIT]],'Unit Price'!C$1,FALSE),0)</f>
        <v>0</v>
      </c>
      <c r="H980" s="197">
        <f>IF(_1_5412845612146241046457891017456[[#This Row],[Type]]&gt;0,VLOOKUP(_1_5412845612146241046457891017456[[#This Row],[Type]],Main[[#All],[TYPE]:[UNIT]],'Unit Price'!D$1,FALSE),0)</f>
        <v>0</v>
      </c>
      <c r="I980" s="194">
        <f>IF(_1_5412845612146241046457891017456[[#This Row],[Type]]&gt;0,VLOOKUP(_1_5412845612146241046457891017456[[#This Row],[Type]],Main[[#All],[TYPE]:[UNIT]],'Unit Price'!G$1,FALSE),0)</f>
        <v>0</v>
      </c>
      <c r="J980" s="194">
        <f>IF(_1_5412845612146241046457891017456[[#This Row],[Type]]&gt;0,VLOOKUP(_1_5412845612146241046457891017456[[#This Row],[Type]],Main[[#All],[TYPE]:[UNIT]],'Unit Price'!H$1,FALSE),0)</f>
        <v>0</v>
      </c>
      <c r="K980" s="194">
        <f>IF(_1_5412845612146241046457891017456[[#This Row],[Discount selection]]&gt;0,VLOOKUP(_1_5412845612146241046457891017456[[#This Row],[Discount selection]],'Discount Structure'!$A$2:$B$30,2,"false"),0)</f>
        <v>1</v>
      </c>
      <c r="L980" s="194">
        <f>_1_5412845612146241046457891017456[[#This Row],[LIST $]]*_1_5412845612146241046457891017456[[#This Row],[DISCOUNT]]*_1_5412845612146241046457891017456[[#This Row],[DISCOUNT 2]]</f>
        <v>0</v>
      </c>
      <c r="M980" s="194">
        <f>IF(OR(_1_5412845612146241046457891017456[[#This Row],[UNIT]]&gt;0,_1_5412845612146241046457891017456[[#This Row],[UNIT]]&lt;0),_1_5412845612146241046457891017456[[#This Row],[UNIT]]*_1_5412845612146241046457891017456[[#This Row],[COST]],0)</f>
        <v>0</v>
      </c>
      <c r="N980" s="194">
        <f t="shared" si="15"/>
        <v>1.3</v>
      </c>
      <c r="O980" s="198">
        <f>_1_5412845612146241046457891017456[[#This Row],[TOTAL]]*_1_5412845612146241046457891017456[[#This Row],[MARGIN]]</f>
        <v>0</v>
      </c>
      <c r="P980" s="198"/>
      <c r="R980" s="41"/>
    </row>
    <row r="981" spans="4:18">
      <c r="D981" s="188"/>
      <c r="E981" s="42"/>
      <c r="F981" s="168" t="s">
        <v>6202</v>
      </c>
      <c r="G981" s="193">
        <f>IF(_1_5412845612146241046457891017456[[#This Row],[Type]]&gt;0,VLOOKUP(_1_5412845612146241046457891017456[[#This Row],[Type]],Main[[#All],[TYPE]:[UNIT]],'Unit Price'!C$1,FALSE),0)</f>
        <v>0</v>
      </c>
      <c r="H981" s="197">
        <f>IF(_1_5412845612146241046457891017456[[#This Row],[Type]]&gt;0,VLOOKUP(_1_5412845612146241046457891017456[[#This Row],[Type]],Main[[#All],[TYPE]:[UNIT]],'Unit Price'!D$1,FALSE),0)</f>
        <v>0</v>
      </c>
      <c r="I981" s="194">
        <f>IF(_1_5412845612146241046457891017456[[#This Row],[Type]]&gt;0,VLOOKUP(_1_5412845612146241046457891017456[[#This Row],[Type]],Main[[#All],[TYPE]:[UNIT]],'Unit Price'!G$1,FALSE),0)</f>
        <v>0</v>
      </c>
      <c r="J981" s="194">
        <f>IF(_1_5412845612146241046457891017456[[#This Row],[Type]]&gt;0,VLOOKUP(_1_5412845612146241046457891017456[[#This Row],[Type]],Main[[#All],[TYPE]:[UNIT]],'Unit Price'!H$1,FALSE),0)</f>
        <v>0</v>
      </c>
      <c r="K981" s="194">
        <f>IF(_1_5412845612146241046457891017456[[#This Row],[Discount selection]]&gt;0,VLOOKUP(_1_5412845612146241046457891017456[[#This Row],[Discount selection]],'Discount Structure'!$A$2:$B$30,2,"false"),0)</f>
        <v>1</v>
      </c>
      <c r="L981" s="194">
        <f>_1_5412845612146241046457891017456[[#This Row],[LIST $]]*_1_5412845612146241046457891017456[[#This Row],[DISCOUNT]]*_1_5412845612146241046457891017456[[#This Row],[DISCOUNT 2]]</f>
        <v>0</v>
      </c>
      <c r="M981" s="194">
        <f>IF(OR(_1_5412845612146241046457891017456[[#This Row],[UNIT]]&gt;0,_1_5412845612146241046457891017456[[#This Row],[UNIT]]&lt;0),_1_5412845612146241046457891017456[[#This Row],[UNIT]]*_1_5412845612146241046457891017456[[#This Row],[COST]],0)</f>
        <v>0</v>
      </c>
      <c r="N981" s="194">
        <f t="shared" si="15"/>
        <v>1.3</v>
      </c>
      <c r="O981" s="198">
        <f>_1_5412845612146241046457891017456[[#This Row],[TOTAL]]*_1_5412845612146241046457891017456[[#This Row],[MARGIN]]</f>
        <v>0</v>
      </c>
      <c r="P981" s="198"/>
      <c r="R981" s="41"/>
    </row>
    <row r="982" spans="4:18">
      <c r="D982" s="188"/>
      <c r="E982" s="42"/>
      <c r="F982" s="168" t="s">
        <v>6202</v>
      </c>
      <c r="G982" s="193">
        <f>IF(_1_5412845612146241046457891017456[[#This Row],[Type]]&gt;0,VLOOKUP(_1_5412845612146241046457891017456[[#This Row],[Type]],Main[[#All],[TYPE]:[UNIT]],'Unit Price'!C$1,FALSE),0)</f>
        <v>0</v>
      </c>
      <c r="H982" s="197">
        <f>IF(_1_5412845612146241046457891017456[[#This Row],[Type]]&gt;0,VLOOKUP(_1_5412845612146241046457891017456[[#This Row],[Type]],Main[[#All],[TYPE]:[UNIT]],'Unit Price'!D$1,FALSE),0)</f>
        <v>0</v>
      </c>
      <c r="I982" s="194">
        <f>IF(_1_5412845612146241046457891017456[[#This Row],[Type]]&gt;0,VLOOKUP(_1_5412845612146241046457891017456[[#This Row],[Type]],Main[[#All],[TYPE]:[UNIT]],'Unit Price'!G$1,FALSE),0)</f>
        <v>0</v>
      </c>
      <c r="J982" s="194">
        <f>IF(_1_5412845612146241046457891017456[[#This Row],[Type]]&gt;0,VLOOKUP(_1_5412845612146241046457891017456[[#This Row],[Type]],Main[[#All],[TYPE]:[UNIT]],'Unit Price'!H$1,FALSE),0)</f>
        <v>0</v>
      </c>
      <c r="K982" s="194">
        <f>IF(_1_5412845612146241046457891017456[[#This Row],[Discount selection]]&gt;0,VLOOKUP(_1_5412845612146241046457891017456[[#This Row],[Discount selection]],'Discount Structure'!$A$2:$B$30,2,"false"),0)</f>
        <v>1</v>
      </c>
      <c r="L982" s="194">
        <f>_1_5412845612146241046457891017456[[#This Row],[LIST $]]*_1_5412845612146241046457891017456[[#This Row],[DISCOUNT]]*_1_5412845612146241046457891017456[[#This Row],[DISCOUNT 2]]</f>
        <v>0</v>
      </c>
      <c r="M982" s="194">
        <f>IF(OR(_1_5412845612146241046457891017456[[#This Row],[UNIT]]&gt;0,_1_5412845612146241046457891017456[[#This Row],[UNIT]]&lt;0),_1_5412845612146241046457891017456[[#This Row],[UNIT]]*_1_5412845612146241046457891017456[[#This Row],[COST]],0)</f>
        <v>0</v>
      </c>
      <c r="N982" s="194">
        <f t="shared" si="15"/>
        <v>1.3</v>
      </c>
      <c r="O982" s="198">
        <f>_1_5412845612146241046457891017456[[#This Row],[TOTAL]]*_1_5412845612146241046457891017456[[#This Row],[MARGIN]]</f>
        <v>0</v>
      </c>
      <c r="P982" s="198"/>
      <c r="R982" s="41"/>
    </row>
    <row r="983" spans="4:18">
      <c r="D983" s="188"/>
      <c r="E983" s="42"/>
      <c r="F983" s="168" t="s">
        <v>6202</v>
      </c>
      <c r="G983" s="193">
        <f>IF(_1_5412845612146241046457891017456[[#This Row],[Type]]&gt;0,VLOOKUP(_1_5412845612146241046457891017456[[#This Row],[Type]],Main[[#All],[TYPE]:[UNIT]],'Unit Price'!C$1,FALSE),0)</f>
        <v>0</v>
      </c>
      <c r="H983" s="197">
        <f>IF(_1_5412845612146241046457891017456[[#This Row],[Type]]&gt;0,VLOOKUP(_1_5412845612146241046457891017456[[#This Row],[Type]],Main[[#All],[TYPE]:[UNIT]],'Unit Price'!D$1,FALSE),0)</f>
        <v>0</v>
      </c>
      <c r="I983" s="194">
        <f>IF(_1_5412845612146241046457891017456[[#This Row],[Type]]&gt;0,VLOOKUP(_1_5412845612146241046457891017456[[#This Row],[Type]],Main[[#All],[TYPE]:[UNIT]],'Unit Price'!G$1,FALSE),0)</f>
        <v>0</v>
      </c>
      <c r="J983" s="194">
        <f>IF(_1_5412845612146241046457891017456[[#This Row],[Type]]&gt;0,VLOOKUP(_1_5412845612146241046457891017456[[#This Row],[Type]],Main[[#All],[TYPE]:[UNIT]],'Unit Price'!H$1,FALSE),0)</f>
        <v>0</v>
      </c>
      <c r="K983" s="194">
        <f>IF(_1_5412845612146241046457891017456[[#This Row],[Discount selection]]&gt;0,VLOOKUP(_1_5412845612146241046457891017456[[#This Row],[Discount selection]],'Discount Structure'!$A$2:$B$30,2,"false"),0)</f>
        <v>1</v>
      </c>
      <c r="L983" s="194">
        <f>_1_5412845612146241046457891017456[[#This Row],[LIST $]]*_1_5412845612146241046457891017456[[#This Row],[DISCOUNT]]*_1_5412845612146241046457891017456[[#This Row],[DISCOUNT 2]]</f>
        <v>0</v>
      </c>
      <c r="M983" s="194">
        <f>IF(OR(_1_5412845612146241046457891017456[[#This Row],[UNIT]]&gt;0,_1_5412845612146241046457891017456[[#This Row],[UNIT]]&lt;0),_1_5412845612146241046457891017456[[#This Row],[UNIT]]*_1_5412845612146241046457891017456[[#This Row],[COST]],0)</f>
        <v>0</v>
      </c>
      <c r="N983" s="194">
        <f t="shared" si="15"/>
        <v>1.3</v>
      </c>
      <c r="O983" s="198">
        <f>_1_5412845612146241046457891017456[[#This Row],[TOTAL]]*_1_5412845612146241046457891017456[[#This Row],[MARGIN]]</f>
        <v>0</v>
      </c>
      <c r="P983" s="198"/>
      <c r="R983" s="41"/>
    </row>
    <row r="984" spans="4:18">
      <c r="D984" s="188"/>
      <c r="E984" s="42"/>
      <c r="F984" s="168" t="s">
        <v>6202</v>
      </c>
      <c r="G984" s="193">
        <f>IF(_1_5412845612146241046457891017456[[#This Row],[Type]]&gt;0,VLOOKUP(_1_5412845612146241046457891017456[[#This Row],[Type]],Main[[#All],[TYPE]:[UNIT]],'Unit Price'!C$1,FALSE),0)</f>
        <v>0</v>
      </c>
      <c r="H984" s="197">
        <f>IF(_1_5412845612146241046457891017456[[#This Row],[Type]]&gt;0,VLOOKUP(_1_5412845612146241046457891017456[[#This Row],[Type]],Main[[#All],[TYPE]:[UNIT]],'Unit Price'!D$1,FALSE),0)</f>
        <v>0</v>
      </c>
      <c r="I984" s="194">
        <f>IF(_1_5412845612146241046457891017456[[#This Row],[Type]]&gt;0,VLOOKUP(_1_5412845612146241046457891017456[[#This Row],[Type]],Main[[#All],[TYPE]:[UNIT]],'Unit Price'!G$1,FALSE),0)</f>
        <v>0</v>
      </c>
      <c r="J984" s="194">
        <f>IF(_1_5412845612146241046457891017456[[#This Row],[Type]]&gt;0,VLOOKUP(_1_5412845612146241046457891017456[[#This Row],[Type]],Main[[#All],[TYPE]:[UNIT]],'Unit Price'!H$1,FALSE),0)</f>
        <v>0</v>
      </c>
      <c r="K984" s="194">
        <f>IF(_1_5412845612146241046457891017456[[#This Row],[Discount selection]]&gt;0,VLOOKUP(_1_5412845612146241046457891017456[[#This Row],[Discount selection]],'Discount Structure'!$A$2:$B$30,2,"false"),0)</f>
        <v>1</v>
      </c>
      <c r="L984" s="194">
        <f>_1_5412845612146241046457891017456[[#This Row],[LIST $]]*_1_5412845612146241046457891017456[[#This Row],[DISCOUNT]]*_1_5412845612146241046457891017456[[#This Row],[DISCOUNT 2]]</f>
        <v>0</v>
      </c>
      <c r="M984" s="194">
        <f>IF(OR(_1_5412845612146241046457891017456[[#This Row],[UNIT]]&gt;0,_1_5412845612146241046457891017456[[#This Row],[UNIT]]&lt;0),_1_5412845612146241046457891017456[[#This Row],[UNIT]]*_1_5412845612146241046457891017456[[#This Row],[COST]],0)</f>
        <v>0</v>
      </c>
      <c r="N984" s="194">
        <f t="shared" si="15"/>
        <v>1.3</v>
      </c>
      <c r="O984" s="198">
        <f>_1_5412845612146241046457891017456[[#This Row],[TOTAL]]*_1_5412845612146241046457891017456[[#This Row],[MARGIN]]</f>
        <v>0</v>
      </c>
      <c r="P984" s="198"/>
      <c r="R984" s="41"/>
    </row>
    <row r="985" spans="4:18">
      <c r="D985" s="188"/>
      <c r="E985" s="42"/>
      <c r="F985" s="168" t="s">
        <v>6202</v>
      </c>
      <c r="G985" s="193">
        <f>IF(_1_5412845612146241046457891017456[[#This Row],[Type]]&gt;0,VLOOKUP(_1_5412845612146241046457891017456[[#This Row],[Type]],Main[[#All],[TYPE]:[UNIT]],'Unit Price'!C$1,FALSE),0)</f>
        <v>0</v>
      </c>
      <c r="H985" s="197">
        <f>IF(_1_5412845612146241046457891017456[[#This Row],[Type]]&gt;0,VLOOKUP(_1_5412845612146241046457891017456[[#This Row],[Type]],Main[[#All],[TYPE]:[UNIT]],'Unit Price'!D$1,FALSE),0)</f>
        <v>0</v>
      </c>
      <c r="I985" s="194">
        <f>IF(_1_5412845612146241046457891017456[[#This Row],[Type]]&gt;0,VLOOKUP(_1_5412845612146241046457891017456[[#This Row],[Type]],Main[[#All],[TYPE]:[UNIT]],'Unit Price'!G$1,FALSE),0)</f>
        <v>0</v>
      </c>
      <c r="J985" s="194">
        <f>IF(_1_5412845612146241046457891017456[[#This Row],[Type]]&gt;0,VLOOKUP(_1_5412845612146241046457891017456[[#This Row],[Type]],Main[[#All],[TYPE]:[UNIT]],'Unit Price'!H$1,FALSE),0)</f>
        <v>0</v>
      </c>
      <c r="K985" s="194">
        <f>IF(_1_5412845612146241046457891017456[[#This Row],[Discount selection]]&gt;0,VLOOKUP(_1_5412845612146241046457891017456[[#This Row],[Discount selection]],'Discount Structure'!$A$2:$B$30,2,"false"),0)</f>
        <v>1</v>
      </c>
      <c r="L985" s="194">
        <f>_1_5412845612146241046457891017456[[#This Row],[LIST $]]*_1_5412845612146241046457891017456[[#This Row],[DISCOUNT]]*_1_5412845612146241046457891017456[[#This Row],[DISCOUNT 2]]</f>
        <v>0</v>
      </c>
      <c r="M985" s="194">
        <f>IF(OR(_1_5412845612146241046457891017456[[#This Row],[UNIT]]&gt;0,_1_5412845612146241046457891017456[[#This Row],[UNIT]]&lt;0),_1_5412845612146241046457891017456[[#This Row],[UNIT]]*_1_5412845612146241046457891017456[[#This Row],[COST]],0)</f>
        <v>0</v>
      </c>
      <c r="N985" s="194">
        <f t="shared" si="15"/>
        <v>1.3</v>
      </c>
      <c r="O985" s="198">
        <f>_1_5412845612146241046457891017456[[#This Row],[TOTAL]]*_1_5412845612146241046457891017456[[#This Row],[MARGIN]]</f>
        <v>0</v>
      </c>
      <c r="P985" s="198"/>
      <c r="R985" s="41"/>
    </row>
    <row r="986" spans="4:18">
      <c r="D986" s="188"/>
      <c r="E986" s="42"/>
      <c r="F986" s="168" t="s">
        <v>6202</v>
      </c>
      <c r="G986" s="193">
        <f>IF(_1_5412845612146241046457891017456[[#This Row],[Type]]&gt;0,VLOOKUP(_1_5412845612146241046457891017456[[#This Row],[Type]],Main[[#All],[TYPE]:[UNIT]],'Unit Price'!C$1,FALSE),0)</f>
        <v>0</v>
      </c>
      <c r="H986" s="197">
        <f>IF(_1_5412845612146241046457891017456[[#This Row],[Type]]&gt;0,VLOOKUP(_1_5412845612146241046457891017456[[#This Row],[Type]],Main[[#All],[TYPE]:[UNIT]],'Unit Price'!D$1,FALSE),0)</f>
        <v>0</v>
      </c>
      <c r="I986" s="194">
        <f>IF(_1_5412845612146241046457891017456[[#This Row],[Type]]&gt;0,VLOOKUP(_1_5412845612146241046457891017456[[#This Row],[Type]],Main[[#All],[TYPE]:[UNIT]],'Unit Price'!G$1,FALSE),0)</f>
        <v>0</v>
      </c>
      <c r="J986" s="194">
        <f>IF(_1_5412845612146241046457891017456[[#This Row],[Type]]&gt;0,VLOOKUP(_1_5412845612146241046457891017456[[#This Row],[Type]],Main[[#All],[TYPE]:[UNIT]],'Unit Price'!H$1,FALSE),0)</f>
        <v>0</v>
      </c>
      <c r="K986" s="194">
        <f>IF(_1_5412845612146241046457891017456[[#This Row],[Discount selection]]&gt;0,VLOOKUP(_1_5412845612146241046457891017456[[#This Row],[Discount selection]],'Discount Structure'!$A$2:$B$30,2,"false"),0)</f>
        <v>1</v>
      </c>
      <c r="L986" s="194">
        <f>_1_5412845612146241046457891017456[[#This Row],[LIST $]]*_1_5412845612146241046457891017456[[#This Row],[DISCOUNT]]*_1_5412845612146241046457891017456[[#This Row],[DISCOUNT 2]]</f>
        <v>0</v>
      </c>
      <c r="M986" s="194">
        <f>IF(OR(_1_5412845612146241046457891017456[[#This Row],[UNIT]]&gt;0,_1_5412845612146241046457891017456[[#This Row],[UNIT]]&lt;0),_1_5412845612146241046457891017456[[#This Row],[UNIT]]*_1_5412845612146241046457891017456[[#This Row],[COST]],0)</f>
        <v>0</v>
      </c>
      <c r="N986" s="194">
        <f t="shared" si="15"/>
        <v>1.3</v>
      </c>
      <c r="O986" s="198">
        <f>_1_5412845612146241046457891017456[[#This Row],[TOTAL]]*_1_5412845612146241046457891017456[[#This Row],[MARGIN]]</f>
        <v>0</v>
      </c>
      <c r="P986" s="198"/>
      <c r="R986" s="41"/>
    </row>
    <row r="987" spans="4:18">
      <c r="D987" s="188"/>
      <c r="E987" s="42"/>
      <c r="F987" s="168" t="s">
        <v>6202</v>
      </c>
      <c r="G987" s="193">
        <f>IF(_1_5412845612146241046457891017456[[#This Row],[Type]]&gt;0,VLOOKUP(_1_5412845612146241046457891017456[[#This Row],[Type]],Main[[#All],[TYPE]:[UNIT]],'Unit Price'!C$1,FALSE),0)</f>
        <v>0</v>
      </c>
      <c r="H987" s="197">
        <f>IF(_1_5412845612146241046457891017456[[#This Row],[Type]]&gt;0,VLOOKUP(_1_5412845612146241046457891017456[[#This Row],[Type]],Main[[#All],[TYPE]:[UNIT]],'Unit Price'!D$1,FALSE),0)</f>
        <v>0</v>
      </c>
      <c r="I987" s="194">
        <f>IF(_1_5412845612146241046457891017456[[#This Row],[Type]]&gt;0,VLOOKUP(_1_5412845612146241046457891017456[[#This Row],[Type]],Main[[#All],[TYPE]:[UNIT]],'Unit Price'!G$1,FALSE),0)</f>
        <v>0</v>
      </c>
      <c r="J987" s="194">
        <f>IF(_1_5412845612146241046457891017456[[#This Row],[Type]]&gt;0,VLOOKUP(_1_5412845612146241046457891017456[[#This Row],[Type]],Main[[#All],[TYPE]:[UNIT]],'Unit Price'!H$1,FALSE),0)</f>
        <v>0</v>
      </c>
      <c r="K987" s="194">
        <f>IF(_1_5412845612146241046457891017456[[#This Row],[Discount selection]]&gt;0,VLOOKUP(_1_5412845612146241046457891017456[[#This Row],[Discount selection]],'Discount Structure'!$A$2:$B$30,2,"false"),0)</f>
        <v>1</v>
      </c>
      <c r="L987" s="194">
        <f>_1_5412845612146241046457891017456[[#This Row],[LIST $]]*_1_5412845612146241046457891017456[[#This Row],[DISCOUNT]]*_1_5412845612146241046457891017456[[#This Row],[DISCOUNT 2]]</f>
        <v>0</v>
      </c>
      <c r="M987" s="194">
        <f>IF(OR(_1_5412845612146241046457891017456[[#This Row],[UNIT]]&gt;0,_1_5412845612146241046457891017456[[#This Row],[UNIT]]&lt;0),_1_5412845612146241046457891017456[[#This Row],[UNIT]]*_1_5412845612146241046457891017456[[#This Row],[COST]],0)</f>
        <v>0</v>
      </c>
      <c r="N987" s="194">
        <f t="shared" si="15"/>
        <v>1.3</v>
      </c>
      <c r="O987" s="198">
        <f>_1_5412845612146241046457891017456[[#This Row],[TOTAL]]*_1_5412845612146241046457891017456[[#This Row],[MARGIN]]</f>
        <v>0</v>
      </c>
      <c r="P987" s="198"/>
      <c r="R987" s="41"/>
    </row>
    <row r="988" spans="4:18">
      <c r="D988" s="188"/>
      <c r="E988" s="42"/>
      <c r="F988" s="168" t="s">
        <v>6202</v>
      </c>
      <c r="G988" s="193">
        <f>IF(_1_5412845612146241046457891017456[[#This Row],[Type]]&gt;0,VLOOKUP(_1_5412845612146241046457891017456[[#This Row],[Type]],Main[[#All],[TYPE]:[UNIT]],'Unit Price'!C$1,FALSE),0)</f>
        <v>0</v>
      </c>
      <c r="H988" s="197">
        <f>IF(_1_5412845612146241046457891017456[[#This Row],[Type]]&gt;0,VLOOKUP(_1_5412845612146241046457891017456[[#This Row],[Type]],Main[[#All],[TYPE]:[UNIT]],'Unit Price'!D$1,FALSE),0)</f>
        <v>0</v>
      </c>
      <c r="I988" s="194">
        <f>IF(_1_5412845612146241046457891017456[[#This Row],[Type]]&gt;0,VLOOKUP(_1_5412845612146241046457891017456[[#This Row],[Type]],Main[[#All],[TYPE]:[UNIT]],'Unit Price'!G$1,FALSE),0)</f>
        <v>0</v>
      </c>
      <c r="J988" s="194">
        <f>IF(_1_5412845612146241046457891017456[[#This Row],[Type]]&gt;0,VLOOKUP(_1_5412845612146241046457891017456[[#This Row],[Type]],Main[[#All],[TYPE]:[UNIT]],'Unit Price'!H$1,FALSE),0)</f>
        <v>0</v>
      </c>
      <c r="K988" s="194">
        <f>IF(_1_5412845612146241046457891017456[[#This Row],[Discount selection]]&gt;0,VLOOKUP(_1_5412845612146241046457891017456[[#This Row],[Discount selection]],'Discount Structure'!$A$2:$B$30,2,"false"),0)</f>
        <v>1</v>
      </c>
      <c r="L988" s="194">
        <f>_1_5412845612146241046457891017456[[#This Row],[LIST $]]*_1_5412845612146241046457891017456[[#This Row],[DISCOUNT]]*_1_5412845612146241046457891017456[[#This Row],[DISCOUNT 2]]</f>
        <v>0</v>
      </c>
      <c r="M988" s="194">
        <f>IF(OR(_1_5412845612146241046457891017456[[#This Row],[UNIT]]&gt;0,_1_5412845612146241046457891017456[[#This Row],[UNIT]]&lt;0),_1_5412845612146241046457891017456[[#This Row],[UNIT]]*_1_5412845612146241046457891017456[[#This Row],[COST]],0)</f>
        <v>0</v>
      </c>
      <c r="N988" s="194">
        <f t="shared" si="15"/>
        <v>1.3</v>
      </c>
      <c r="O988" s="198">
        <f>_1_5412845612146241046457891017456[[#This Row],[TOTAL]]*_1_5412845612146241046457891017456[[#This Row],[MARGIN]]</f>
        <v>0</v>
      </c>
      <c r="P988" s="198"/>
      <c r="R988" s="41"/>
    </row>
    <row r="989" spans="4:18">
      <c r="D989" s="188"/>
      <c r="E989" s="42"/>
      <c r="F989" s="168" t="s">
        <v>6202</v>
      </c>
      <c r="G989" s="193">
        <f>IF(_1_5412845612146241046457891017456[[#This Row],[Type]]&gt;0,VLOOKUP(_1_5412845612146241046457891017456[[#This Row],[Type]],Main[[#All],[TYPE]:[UNIT]],'Unit Price'!C$1,FALSE),0)</f>
        <v>0</v>
      </c>
      <c r="H989" s="197">
        <f>IF(_1_5412845612146241046457891017456[[#This Row],[Type]]&gt;0,VLOOKUP(_1_5412845612146241046457891017456[[#This Row],[Type]],Main[[#All],[TYPE]:[UNIT]],'Unit Price'!D$1,FALSE),0)</f>
        <v>0</v>
      </c>
      <c r="I989" s="194">
        <f>IF(_1_5412845612146241046457891017456[[#This Row],[Type]]&gt;0,VLOOKUP(_1_5412845612146241046457891017456[[#This Row],[Type]],Main[[#All],[TYPE]:[UNIT]],'Unit Price'!G$1,FALSE),0)</f>
        <v>0</v>
      </c>
      <c r="J989" s="194">
        <f>IF(_1_5412845612146241046457891017456[[#This Row],[Type]]&gt;0,VLOOKUP(_1_5412845612146241046457891017456[[#This Row],[Type]],Main[[#All],[TYPE]:[UNIT]],'Unit Price'!H$1,FALSE),0)</f>
        <v>0</v>
      </c>
      <c r="K989" s="194">
        <f>IF(_1_5412845612146241046457891017456[[#This Row],[Discount selection]]&gt;0,VLOOKUP(_1_5412845612146241046457891017456[[#This Row],[Discount selection]],'Discount Structure'!$A$2:$B$30,2,"false"),0)</f>
        <v>1</v>
      </c>
      <c r="L989" s="194">
        <f>_1_5412845612146241046457891017456[[#This Row],[LIST $]]*_1_5412845612146241046457891017456[[#This Row],[DISCOUNT]]*_1_5412845612146241046457891017456[[#This Row],[DISCOUNT 2]]</f>
        <v>0</v>
      </c>
      <c r="M989" s="194">
        <f>IF(OR(_1_5412845612146241046457891017456[[#This Row],[UNIT]]&gt;0,_1_5412845612146241046457891017456[[#This Row],[UNIT]]&lt;0),_1_5412845612146241046457891017456[[#This Row],[UNIT]]*_1_5412845612146241046457891017456[[#This Row],[COST]],0)</f>
        <v>0</v>
      </c>
      <c r="N989" s="194">
        <f t="shared" si="15"/>
        <v>1.3</v>
      </c>
      <c r="O989" s="198">
        <f>_1_5412845612146241046457891017456[[#This Row],[TOTAL]]*_1_5412845612146241046457891017456[[#This Row],[MARGIN]]</f>
        <v>0</v>
      </c>
      <c r="P989" s="198"/>
      <c r="R989" s="41"/>
    </row>
    <row r="990" spans="4:18">
      <c r="D990" s="188"/>
      <c r="E990" s="42"/>
      <c r="F990" s="168" t="s">
        <v>6202</v>
      </c>
      <c r="G990" s="193">
        <f>IF(_1_5412845612146241046457891017456[[#This Row],[Type]]&gt;0,VLOOKUP(_1_5412845612146241046457891017456[[#This Row],[Type]],Main[[#All],[TYPE]:[UNIT]],'Unit Price'!C$1,FALSE),0)</f>
        <v>0</v>
      </c>
      <c r="H990" s="197">
        <f>IF(_1_5412845612146241046457891017456[[#This Row],[Type]]&gt;0,VLOOKUP(_1_5412845612146241046457891017456[[#This Row],[Type]],Main[[#All],[TYPE]:[UNIT]],'Unit Price'!D$1,FALSE),0)</f>
        <v>0</v>
      </c>
      <c r="I990" s="194">
        <f>IF(_1_5412845612146241046457891017456[[#This Row],[Type]]&gt;0,VLOOKUP(_1_5412845612146241046457891017456[[#This Row],[Type]],Main[[#All],[TYPE]:[UNIT]],'Unit Price'!G$1,FALSE),0)</f>
        <v>0</v>
      </c>
      <c r="J990" s="194">
        <f>IF(_1_5412845612146241046457891017456[[#This Row],[Type]]&gt;0,VLOOKUP(_1_5412845612146241046457891017456[[#This Row],[Type]],Main[[#All],[TYPE]:[UNIT]],'Unit Price'!H$1,FALSE),0)</f>
        <v>0</v>
      </c>
      <c r="K990" s="194">
        <f>IF(_1_5412845612146241046457891017456[[#This Row],[Discount selection]]&gt;0,VLOOKUP(_1_5412845612146241046457891017456[[#This Row],[Discount selection]],'Discount Structure'!$A$2:$B$30,2,"false"),0)</f>
        <v>1</v>
      </c>
      <c r="L990" s="194">
        <f>_1_5412845612146241046457891017456[[#This Row],[LIST $]]*_1_5412845612146241046457891017456[[#This Row],[DISCOUNT]]*_1_5412845612146241046457891017456[[#This Row],[DISCOUNT 2]]</f>
        <v>0</v>
      </c>
      <c r="M990" s="194">
        <f>IF(OR(_1_5412845612146241046457891017456[[#This Row],[UNIT]]&gt;0,_1_5412845612146241046457891017456[[#This Row],[UNIT]]&lt;0),_1_5412845612146241046457891017456[[#This Row],[UNIT]]*_1_5412845612146241046457891017456[[#This Row],[COST]],0)</f>
        <v>0</v>
      </c>
      <c r="N990" s="194">
        <f t="shared" si="15"/>
        <v>1.3</v>
      </c>
      <c r="O990" s="198">
        <f>_1_5412845612146241046457891017456[[#This Row],[TOTAL]]*_1_5412845612146241046457891017456[[#This Row],[MARGIN]]</f>
        <v>0</v>
      </c>
      <c r="P990" s="198"/>
      <c r="R990" s="41"/>
    </row>
    <row r="991" spans="4:18">
      <c r="D991" s="188"/>
      <c r="E991" s="42"/>
      <c r="F991" s="168" t="s">
        <v>6202</v>
      </c>
      <c r="G991" s="193">
        <f>IF(_1_5412845612146241046457891017456[[#This Row],[Type]]&gt;0,VLOOKUP(_1_5412845612146241046457891017456[[#This Row],[Type]],Main[[#All],[TYPE]:[UNIT]],'Unit Price'!C$1,FALSE),0)</f>
        <v>0</v>
      </c>
      <c r="H991" s="197">
        <f>IF(_1_5412845612146241046457891017456[[#This Row],[Type]]&gt;0,VLOOKUP(_1_5412845612146241046457891017456[[#This Row],[Type]],Main[[#All],[TYPE]:[UNIT]],'Unit Price'!D$1,FALSE),0)</f>
        <v>0</v>
      </c>
      <c r="I991" s="194">
        <f>IF(_1_5412845612146241046457891017456[[#This Row],[Type]]&gt;0,VLOOKUP(_1_5412845612146241046457891017456[[#This Row],[Type]],Main[[#All],[TYPE]:[UNIT]],'Unit Price'!G$1,FALSE),0)</f>
        <v>0</v>
      </c>
      <c r="J991" s="194">
        <f>IF(_1_5412845612146241046457891017456[[#This Row],[Type]]&gt;0,VLOOKUP(_1_5412845612146241046457891017456[[#This Row],[Type]],Main[[#All],[TYPE]:[UNIT]],'Unit Price'!H$1,FALSE),0)</f>
        <v>0</v>
      </c>
      <c r="K991" s="194">
        <f>IF(_1_5412845612146241046457891017456[[#This Row],[Discount selection]]&gt;0,VLOOKUP(_1_5412845612146241046457891017456[[#This Row],[Discount selection]],'Discount Structure'!$A$2:$B$30,2,"false"),0)</f>
        <v>1</v>
      </c>
      <c r="L991" s="194">
        <f>_1_5412845612146241046457891017456[[#This Row],[LIST $]]*_1_5412845612146241046457891017456[[#This Row],[DISCOUNT]]*_1_5412845612146241046457891017456[[#This Row],[DISCOUNT 2]]</f>
        <v>0</v>
      </c>
      <c r="M991" s="194">
        <f>IF(OR(_1_5412845612146241046457891017456[[#This Row],[UNIT]]&gt;0,_1_5412845612146241046457891017456[[#This Row],[UNIT]]&lt;0),_1_5412845612146241046457891017456[[#This Row],[UNIT]]*_1_5412845612146241046457891017456[[#This Row],[COST]],0)</f>
        <v>0</v>
      </c>
      <c r="N991" s="194">
        <f t="shared" si="15"/>
        <v>1.3</v>
      </c>
      <c r="O991" s="198">
        <f>_1_5412845612146241046457891017456[[#This Row],[TOTAL]]*_1_5412845612146241046457891017456[[#This Row],[MARGIN]]</f>
        <v>0</v>
      </c>
      <c r="P991" s="198"/>
      <c r="R991" s="41"/>
    </row>
    <row r="992" spans="4:18">
      <c r="D992" s="188"/>
      <c r="E992" s="42"/>
      <c r="F992" s="168" t="s">
        <v>6202</v>
      </c>
      <c r="G992" s="193">
        <f>IF(_1_5412845612146241046457891017456[[#This Row],[Type]]&gt;0,VLOOKUP(_1_5412845612146241046457891017456[[#This Row],[Type]],Main[[#All],[TYPE]:[UNIT]],'Unit Price'!C$1,FALSE),0)</f>
        <v>0</v>
      </c>
      <c r="H992" s="197">
        <f>IF(_1_5412845612146241046457891017456[[#This Row],[Type]]&gt;0,VLOOKUP(_1_5412845612146241046457891017456[[#This Row],[Type]],Main[[#All],[TYPE]:[UNIT]],'Unit Price'!D$1,FALSE),0)</f>
        <v>0</v>
      </c>
      <c r="I992" s="194">
        <f>IF(_1_5412845612146241046457891017456[[#This Row],[Type]]&gt;0,VLOOKUP(_1_5412845612146241046457891017456[[#This Row],[Type]],Main[[#All],[TYPE]:[UNIT]],'Unit Price'!G$1,FALSE),0)</f>
        <v>0</v>
      </c>
      <c r="J992" s="194">
        <f>IF(_1_5412845612146241046457891017456[[#This Row],[Type]]&gt;0,VLOOKUP(_1_5412845612146241046457891017456[[#This Row],[Type]],Main[[#All],[TYPE]:[UNIT]],'Unit Price'!H$1,FALSE),0)</f>
        <v>0</v>
      </c>
      <c r="K992" s="194">
        <f>IF(_1_5412845612146241046457891017456[[#This Row],[Discount selection]]&gt;0,VLOOKUP(_1_5412845612146241046457891017456[[#This Row],[Discount selection]],'Discount Structure'!$A$2:$B$30,2,"false"),0)</f>
        <v>1</v>
      </c>
      <c r="L992" s="194">
        <f>_1_5412845612146241046457891017456[[#This Row],[LIST $]]*_1_5412845612146241046457891017456[[#This Row],[DISCOUNT]]*_1_5412845612146241046457891017456[[#This Row],[DISCOUNT 2]]</f>
        <v>0</v>
      </c>
      <c r="M992" s="194">
        <f>IF(OR(_1_5412845612146241046457891017456[[#This Row],[UNIT]]&gt;0,_1_5412845612146241046457891017456[[#This Row],[UNIT]]&lt;0),_1_5412845612146241046457891017456[[#This Row],[UNIT]]*_1_5412845612146241046457891017456[[#This Row],[COST]],0)</f>
        <v>0</v>
      </c>
      <c r="N992" s="194">
        <f t="shared" si="15"/>
        <v>1.3</v>
      </c>
      <c r="O992" s="198">
        <f>_1_5412845612146241046457891017456[[#This Row],[TOTAL]]*_1_5412845612146241046457891017456[[#This Row],[MARGIN]]</f>
        <v>0</v>
      </c>
      <c r="P992" s="198"/>
      <c r="R992" s="41"/>
    </row>
    <row r="993" spans="4:18">
      <c r="D993" s="188"/>
      <c r="E993" s="42"/>
      <c r="F993" s="168" t="s">
        <v>6202</v>
      </c>
      <c r="G993" s="193">
        <f>IF(_1_5412845612146241046457891017456[[#This Row],[Type]]&gt;0,VLOOKUP(_1_5412845612146241046457891017456[[#This Row],[Type]],Main[[#All],[TYPE]:[UNIT]],'Unit Price'!C$1,FALSE),0)</f>
        <v>0</v>
      </c>
      <c r="H993" s="197">
        <f>IF(_1_5412845612146241046457891017456[[#This Row],[Type]]&gt;0,VLOOKUP(_1_5412845612146241046457891017456[[#This Row],[Type]],Main[[#All],[TYPE]:[UNIT]],'Unit Price'!D$1,FALSE),0)</f>
        <v>0</v>
      </c>
      <c r="I993" s="194">
        <f>IF(_1_5412845612146241046457891017456[[#This Row],[Type]]&gt;0,VLOOKUP(_1_5412845612146241046457891017456[[#This Row],[Type]],Main[[#All],[TYPE]:[UNIT]],'Unit Price'!G$1,FALSE),0)</f>
        <v>0</v>
      </c>
      <c r="J993" s="194">
        <f>IF(_1_5412845612146241046457891017456[[#This Row],[Type]]&gt;0,VLOOKUP(_1_5412845612146241046457891017456[[#This Row],[Type]],Main[[#All],[TYPE]:[UNIT]],'Unit Price'!H$1,FALSE),0)</f>
        <v>0</v>
      </c>
      <c r="K993" s="194">
        <f>IF(_1_5412845612146241046457891017456[[#This Row],[Discount selection]]&gt;0,VLOOKUP(_1_5412845612146241046457891017456[[#This Row],[Discount selection]],'Discount Structure'!$A$2:$B$30,2,"false"),0)</f>
        <v>1</v>
      </c>
      <c r="L993" s="194">
        <f>_1_5412845612146241046457891017456[[#This Row],[LIST $]]*_1_5412845612146241046457891017456[[#This Row],[DISCOUNT]]*_1_5412845612146241046457891017456[[#This Row],[DISCOUNT 2]]</f>
        <v>0</v>
      </c>
      <c r="M993" s="194">
        <f>IF(OR(_1_5412845612146241046457891017456[[#This Row],[UNIT]]&gt;0,_1_5412845612146241046457891017456[[#This Row],[UNIT]]&lt;0),_1_5412845612146241046457891017456[[#This Row],[UNIT]]*_1_5412845612146241046457891017456[[#This Row],[COST]],0)</f>
        <v>0</v>
      </c>
      <c r="N993" s="194">
        <f t="shared" si="15"/>
        <v>1.3</v>
      </c>
      <c r="O993" s="198">
        <f>_1_5412845612146241046457891017456[[#This Row],[TOTAL]]*_1_5412845612146241046457891017456[[#This Row],[MARGIN]]</f>
        <v>0</v>
      </c>
      <c r="P993" s="198"/>
      <c r="R993" s="41"/>
    </row>
    <row r="994" spans="4:18">
      <c r="D994" s="188"/>
      <c r="E994" s="42"/>
      <c r="F994" s="168" t="s">
        <v>6202</v>
      </c>
      <c r="G994" s="193">
        <f>IF(_1_5412845612146241046457891017456[[#This Row],[Type]]&gt;0,VLOOKUP(_1_5412845612146241046457891017456[[#This Row],[Type]],Main[[#All],[TYPE]:[UNIT]],'Unit Price'!C$1,FALSE),0)</f>
        <v>0</v>
      </c>
      <c r="H994" s="197">
        <f>IF(_1_5412845612146241046457891017456[[#This Row],[Type]]&gt;0,VLOOKUP(_1_5412845612146241046457891017456[[#This Row],[Type]],Main[[#All],[TYPE]:[UNIT]],'Unit Price'!D$1,FALSE),0)</f>
        <v>0</v>
      </c>
      <c r="I994" s="194">
        <f>IF(_1_5412845612146241046457891017456[[#This Row],[Type]]&gt;0,VLOOKUP(_1_5412845612146241046457891017456[[#This Row],[Type]],Main[[#All],[TYPE]:[UNIT]],'Unit Price'!G$1,FALSE),0)</f>
        <v>0</v>
      </c>
      <c r="J994" s="194">
        <f>IF(_1_5412845612146241046457891017456[[#This Row],[Type]]&gt;0,VLOOKUP(_1_5412845612146241046457891017456[[#This Row],[Type]],Main[[#All],[TYPE]:[UNIT]],'Unit Price'!H$1,FALSE),0)</f>
        <v>0</v>
      </c>
      <c r="K994" s="194">
        <f>IF(_1_5412845612146241046457891017456[[#This Row],[Discount selection]]&gt;0,VLOOKUP(_1_5412845612146241046457891017456[[#This Row],[Discount selection]],'Discount Structure'!$A$2:$B$30,2,"false"),0)</f>
        <v>1</v>
      </c>
      <c r="L994" s="194">
        <f>_1_5412845612146241046457891017456[[#This Row],[LIST $]]*_1_5412845612146241046457891017456[[#This Row],[DISCOUNT]]*_1_5412845612146241046457891017456[[#This Row],[DISCOUNT 2]]</f>
        <v>0</v>
      </c>
      <c r="M994" s="194">
        <f>IF(OR(_1_5412845612146241046457891017456[[#This Row],[UNIT]]&gt;0,_1_5412845612146241046457891017456[[#This Row],[UNIT]]&lt;0),_1_5412845612146241046457891017456[[#This Row],[UNIT]]*_1_5412845612146241046457891017456[[#This Row],[COST]],0)</f>
        <v>0</v>
      </c>
      <c r="N994" s="194">
        <f t="shared" si="15"/>
        <v>1.3</v>
      </c>
      <c r="O994" s="198">
        <f>_1_5412845612146241046457891017456[[#This Row],[TOTAL]]*_1_5412845612146241046457891017456[[#This Row],[MARGIN]]</f>
        <v>0</v>
      </c>
      <c r="P994" s="198"/>
      <c r="R994" s="41"/>
    </row>
    <row r="995" spans="4:18">
      <c r="D995" s="188"/>
      <c r="E995" s="42"/>
      <c r="F995" s="168" t="s">
        <v>6202</v>
      </c>
      <c r="G995" s="193">
        <f>IF(_1_5412845612146241046457891017456[[#This Row],[Type]]&gt;0,VLOOKUP(_1_5412845612146241046457891017456[[#This Row],[Type]],Main[[#All],[TYPE]:[UNIT]],'Unit Price'!C$1,FALSE),0)</f>
        <v>0</v>
      </c>
      <c r="H995" s="197">
        <f>IF(_1_5412845612146241046457891017456[[#This Row],[Type]]&gt;0,VLOOKUP(_1_5412845612146241046457891017456[[#This Row],[Type]],Main[[#All],[TYPE]:[UNIT]],'Unit Price'!D$1,FALSE),0)</f>
        <v>0</v>
      </c>
      <c r="I995" s="194">
        <f>IF(_1_5412845612146241046457891017456[[#This Row],[Type]]&gt;0,VLOOKUP(_1_5412845612146241046457891017456[[#This Row],[Type]],Main[[#All],[TYPE]:[UNIT]],'Unit Price'!G$1,FALSE),0)</f>
        <v>0</v>
      </c>
      <c r="J995" s="194">
        <f>IF(_1_5412845612146241046457891017456[[#This Row],[Type]]&gt;0,VLOOKUP(_1_5412845612146241046457891017456[[#This Row],[Type]],Main[[#All],[TYPE]:[UNIT]],'Unit Price'!H$1,FALSE),0)</f>
        <v>0</v>
      </c>
      <c r="K995" s="194">
        <f>IF(_1_5412845612146241046457891017456[[#This Row],[Discount selection]]&gt;0,VLOOKUP(_1_5412845612146241046457891017456[[#This Row],[Discount selection]],'Discount Structure'!$A$2:$B$30,2,"false"),0)</f>
        <v>1</v>
      </c>
      <c r="L995" s="194">
        <f>_1_5412845612146241046457891017456[[#This Row],[LIST $]]*_1_5412845612146241046457891017456[[#This Row],[DISCOUNT]]*_1_5412845612146241046457891017456[[#This Row],[DISCOUNT 2]]</f>
        <v>0</v>
      </c>
      <c r="M995" s="194">
        <f>IF(OR(_1_5412845612146241046457891017456[[#This Row],[UNIT]]&gt;0,_1_5412845612146241046457891017456[[#This Row],[UNIT]]&lt;0),_1_5412845612146241046457891017456[[#This Row],[UNIT]]*_1_5412845612146241046457891017456[[#This Row],[COST]],0)</f>
        <v>0</v>
      </c>
      <c r="N995" s="194">
        <f t="shared" si="15"/>
        <v>1.3</v>
      </c>
      <c r="O995" s="198">
        <f>_1_5412845612146241046457891017456[[#This Row],[TOTAL]]*_1_5412845612146241046457891017456[[#This Row],[MARGIN]]</f>
        <v>0</v>
      </c>
      <c r="P995" s="198"/>
      <c r="R995" s="41"/>
    </row>
    <row r="996" spans="4:18">
      <c r="D996" s="188"/>
      <c r="E996" s="42"/>
      <c r="F996" s="168" t="s">
        <v>6202</v>
      </c>
      <c r="G996" s="193">
        <f>IF(_1_5412845612146241046457891017456[[#This Row],[Type]]&gt;0,VLOOKUP(_1_5412845612146241046457891017456[[#This Row],[Type]],Main[[#All],[TYPE]:[UNIT]],'Unit Price'!C$1,FALSE),0)</f>
        <v>0</v>
      </c>
      <c r="H996" s="197">
        <f>IF(_1_5412845612146241046457891017456[[#This Row],[Type]]&gt;0,VLOOKUP(_1_5412845612146241046457891017456[[#This Row],[Type]],Main[[#All],[TYPE]:[UNIT]],'Unit Price'!D$1,FALSE),0)</f>
        <v>0</v>
      </c>
      <c r="I996" s="194">
        <f>IF(_1_5412845612146241046457891017456[[#This Row],[Type]]&gt;0,VLOOKUP(_1_5412845612146241046457891017456[[#This Row],[Type]],Main[[#All],[TYPE]:[UNIT]],'Unit Price'!G$1,FALSE),0)</f>
        <v>0</v>
      </c>
      <c r="J996" s="194">
        <f>IF(_1_5412845612146241046457891017456[[#This Row],[Type]]&gt;0,VLOOKUP(_1_5412845612146241046457891017456[[#This Row],[Type]],Main[[#All],[TYPE]:[UNIT]],'Unit Price'!H$1,FALSE),0)</f>
        <v>0</v>
      </c>
      <c r="K996" s="194">
        <f>IF(_1_5412845612146241046457891017456[[#This Row],[Discount selection]]&gt;0,VLOOKUP(_1_5412845612146241046457891017456[[#This Row],[Discount selection]],'Discount Structure'!$A$2:$B$30,2,"false"),0)</f>
        <v>1</v>
      </c>
      <c r="L996" s="194">
        <f>_1_5412845612146241046457891017456[[#This Row],[LIST $]]*_1_5412845612146241046457891017456[[#This Row],[DISCOUNT]]*_1_5412845612146241046457891017456[[#This Row],[DISCOUNT 2]]</f>
        <v>0</v>
      </c>
      <c r="M996" s="194">
        <f>IF(OR(_1_5412845612146241046457891017456[[#This Row],[UNIT]]&gt;0,_1_5412845612146241046457891017456[[#This Row],[UNIT]]&lt;0),_1_5412845612146241046457891017456[[#This Row],[UNIT]]*_1_5412845612146241046457891017456[[#This Row],[COST]],0)</f>
        <v>0</v>
      </c>
      <c r="N996" s="194">
        <f t="shared" si="15"/>
        <v>1.3</v>
      </c>
      <c r="O996" s="198">
        <f>_1_5412845612146241046457891017456[[#This Row],[TOTAL]]*_1_5412845612146241046457891017456[[#This Row],[MARGIN]]</f>
        <v>0</v>
      </c>
      <c r="P996" s="198"/>
      <c r="R996" s="41"/>
    </row>
    <row r="997" spans="4:18">
      <c r="D997" s="188"/>
      <c r="E997" s="42"/>
      <c r="F997" s="168" t="s">
        <v>6202</v>
      </c>
      <c r="G997" s="193">
        <f>IF(_1_5412845612146241046457891017456[[#This Row],[Type]]&gt;0,VLOOKUP(_1_5412845612146241046457891017456[[#This Row],[Type]],Main[[#All],[TYPE]:[UNIT]],'Unit Price'!C$1,FALSE),0)</f>
        <v>0</v>
      </c>
      <c r="H997" s="197">
        <f>IF(_1_5412845612146241046457891017456[[#This Row],[Type]]&gt;0,VLOOKUP(_1_5412845612146241046457891017456[[#This Row],[Type]],Main[[#All],[TYPE]:[UNIT]],'Unit Price'!D$1,FALSE),0)</f>
        <v>0</v>
      </c>
      <c r="I997" s="194">
        <f>IF(_1_5412845612146241046457891017456[[#This Row],[Type]]&gt;0,VLOOKUP(_1_5412845612146241046457891017456[[#This Row],[Type]],Main[[#All],[TYPE]:[UNIT]],'Unit Price'!G$1,FALSE),0)</f>
        <v>0</v>
      </c>
      <c r="J997" s="194">
        <f>IF(_1_5412845612146241046457891017456[[#This Row],[Type]]&gt;0,VLOOKUP(_1_5412845612146241046457891017456[[#This Row],[Type]],Main[[#All],[TYPE]:[UNIT]],'Unit Price'!H$1,FALSE),0)</f>
        <v>0</v>
      </c>
      <c r="K997" s="194">
        <f>IF(_1_5412845612146241046457891017456[[#This Row],[Discount selection]]&gt;0,VLOOKUP(_1_5412845612146241046457891017456[[#This Row],[Discount selection]],'Discount Structure'!$A$2:$B$30,2,"false"),0)</f>
        <v>1</v>
      </c>
      <c r="L997" s="194">
        <f>_1_5412845612146241046457891017456[[#This Row],[LIST $]]*_1_5412845612146241046457891017456[[#This Row],[DISCOUNT]]*_1_5412845612146241046457891017456[[#This Row],[DISCOUNT 2]]</f>
        <v>0</v>
      </c>
      <c r="M997" s="194">
        <f>IF(OR(_1_5412845612146241046457891017456[[#This Row],[UNIT]]&gt;0,_1_5412845612146241046457891017456[[#This Row],[UNIT]]&lt;0),_1_5412845612146241046457891017456[[#This Row],[UNIT]]*_1_5412845612146241046457891017456[[#This Row],[COST]],0)</f>
        <v>0</v>
      </c>
      <c r="N997" s="194">
        <f t="shared" si="15"/>
        <v>1.3</v>
      </c>
      <c r="O997" s="198">
        <f>_1_5412845612146241046457891017456[[#This Row],[TOTAL]]*_1_5412845612146241046457891017456[[#This Row],[MARGIN]]</f>
        <v>0</v>
      </c>
      <c r="P997" s="198"/>
      <c r="R997" s="41"/>
    </row>
    <row r="998" spans="4:18">
      <c r="D998" s="188"/>
      <c r="E998" s="42"/>
      <c r="F998" s="168" t="s">
        <v>6202</v>
      </c>
      <c r="G998" s="193">
        <f>IF(_1_5412845612146241046457891017456[[#This Row],[Type]]&gt;0,VLOOKUP(_1_5412845612146241046457891017456[[#This Row],[Type]],Main[[#All],[TYPE]:[UNIT]],'Unit Price'!C$1,FALSE),0)</f>
        <v>0</v>
      </c>
      <c r="H998" s="197">
        <f>IF(_1_5412845612146241046457891017456[[#This Row],[Type]]&gt;0,VLOOKUP(_1_5412845612146241046457891017456[[#This Row],[Type]],Main[[#All],[TYPE]:[UNIT]],'Unit Price'!D$1,FALSE),0)</f>
        <v>0</v>
      </c>
      <c r="I998" s="194">
        <f>IF(_1_5412845612146241046457891017456[[#This Row],[Type]]&gt;0,VLOOKUP(_1_5412845612146241046457891017456[[#This Row],[Type]],Main[[#All],[TYPE]:[UNIT]],'Unit Price'!G$1,FALSE),0)</f>
        <v>0</v>
      </c>
      <c r="J998" s="194">
        <f>IF(_1_5412845612146241046457891017456[[#This Row],[Type]]&gt;0,VLOOKUP(_1_5412845612146241046457891017456[[#This Row],[Type]],Main[[#All],[TYPE]:[UNIT]],'Unit Price'!H$1,FALSE),0)</f>
        <v>0</v>
      </c>
      <c r="K998" s="194">
        <f>IF(_1_5412845612146241046457891017456[[#This Row],[Discount selection]]&gt;0,VLOOKUP(_1_5412845612146241046457891017456[[#This Row],[Discount selection]],'Discount Structure'!$A$2:$B$30,2,"false"),0)</f>
        <v>1</v>
      </c>
      <c r="L998" s="194">
        <f>_1_5412845612146241046457891017456[[#This Row],[LIST $]]*_1_5412845612146241046457891017456[[#This Row],[DISCOUNT]]*_1_5412845612146241046457891017456[[#This Row],[DISCOUNT 2]]</f>
        <v>0</v>
      </c>
      <c r="M998" s="194">
        <f>IF(OR(_1_5412845612146241046457891017456[[#This Row],[UNIT]]&gt;0,_1_5412845612146241046457891017456[[#This Row],[UNIT]]&lt;0),_1_5412845612146241046457891017456[[#This Row],[UNIT]]*_1_5412845612146241046457891017456[[#This Row],[COST]],0)</f>
        <v>0</v>
      </c>
      <c r="N998" s="194">
        <f t="shared" si="15"/>
        <v>1.3</v>
      </c>
      <c r="O998" s="198">
        <f>_1_5412845612146241046457891017456[[#This Row],[TOTAL]]*_1_5412845612146241046457891017456[[#This Row],[MARGIN]]</f>
        <v>0</v>
      </c>
      <c r="P998" s="198"/>
      <c r="R998" s="41"/>
    </row>
    <row r="999" spans="4:18">
      <c r="D999" s="188"/>
      <c r="E999" s="42"/>
      <c r="F999" s="168" t="s">
        <v>6202</v>
      </c>
      <c r="G999" s="193">
        <f>IF(_1_5412845612146241046457891017456[[#This Row],[Type]]&gt;0,VLOOKUP(_1_5412845612146241046457891017456[[#This Row],[Type]],Main[[#All],[TYPE]:[UNIT]],'Unit Price'!C$1,FALSE),0)</f>
        <v>0</v>
      </c>
      <c r="H999" s="197">
        <f>IF(_1_5412845612146241046457891017456[[#This Row],[Type]]&gt;0,VLOOKUP(_1_5412845612146241046457891017456[[#This Row],[Type]],Main[[#All],[TYPE]:[UNIT]],'Unit Price'!D$1,FALSE),0)</f>
        <v>0</v>
      </c>
      <c r="I999" s="194">
        <f>IF(_1_5412845612146241046457891017456[[#This Row],[Type]]&gt;0,VLOOKUP(_1_5412845612146241046457891017456[[#This Row],[Type]],Main[[#All],[TYPE]:[UNIT]],'Unit Price'!G$1,FALSE),0)</f>
        <v>0</v>
      </c>
      <c r="J999" s="194">
        <f>IF(_1_5412845612146241046457891017456[[#This Row],[Type]]&gt;0,VLOOKUP(_1_5412845612146241046457891017456[[#This Row],[Type]],Main[[#All],[TYPE]:[UNIT]],'Unit Price'!H$1,FALSE),0)</f>
        <v>0</v>
      </c>
      <c r="K999" s="194">
        <f>IF(_1_5412845612146241046457891017456[[#This Row],[Discount selection]]&gt;0,VLOOKUP(_1_5412845612146241046457891017456[[#This Row],[Discount selection]],'Discount Structure'!$A$2:$B$30,2,"false"),0)</f>
        <v>1</v>
      </c>
      <c r="L999" s="194">
        <f>_1_5412845612146241046457891017456[[#This Row],[LIST $]]*_1_5412845612146241046457891017456[[#This Row],[DISCOUNT]]*_1_5412845612146241046457891017456[[#This Row],[DISCOUNT 2]]</f>
        <v>0</v>
      </c>
      <c r="M999" s="194">
        <f>IF(OR(_1_5412845612146241046457891017456[[#This Row],[UNIT]]&gt;0,_1_5412845612146241046457891017456[[#This Row],[UNIT]]&lt;0),_1_5412845612146241046457891017456[[#This Row],[UNIT]]*_1_5412845612146241046457891017456[[#This Row],[COST]],0)</f>
        <v>0</v>
      </c>
      <c r="N999" s="194">
        <f t="shared" si="15"/>
        <v>1.3</v>
      </c>
      <c r="O999" s="198">
        <f>_1_5412845612146241046457891017456[[#This Row],[TOTAL]]*_1_5412845612146241046457891017456[[#This Row],[MARGIN]]</f>
        <v>0</v>
      </c>
      <c r="P999" s="198"/>
      <c r="R999" s="41"/>
    </row>
    <row r="1000" spans="4:18">
      <c r="D1000" s="188"/>
      <c r="E1000" s="42"/>
      <c r="F1000" s="168" t="s">
        <v>6202</v>
      </c>
      <c r="G1000" s="193">
        <f>IF(_1_5412845612146241046457891017456[[#This Row],[Type]]&gt;0,VLOOKUP(_1_5412845612146241046457891017456[[#This Row],[Type]],Main[[#All],[TYPE]:[UNIT]],'Unit Price'!C$1,FALSE),0)</f>
        <v>0</v>
      </c>
      <c r="H1000" s="197">
        <f>IF(_1_5412845612146241046457891017456[[#This Row],[Type]]&gt;0,VLOOKUP(_1_5412845612146241046457891017456[[#This Row],[Type]],Main[[#All],[TYPE]:[UNIT]],'Unit Price'!D$1,FALSE),0)</f>
        <v>0</v>
      </c>
      <c r="I1000" s="194">
        <f>IF(_1_5412845612146241046457891017456[[#This Row],[Type]]&gt;0,VLOOKUP(_1_5412845612146241046457891017456[[#This Row],[Type]],Main[[#All],[TYPE]:[UNIT]],'Unit Price'!G$1,FALSE),0)</f>
        <v>0</v>
      </c>
      <c r="J1000" s="194">
        <f>IF(_1_5412845612146241046457891017456[[#This Row],[Type]]&gt;0,VLOOKUP(_1_5412845612146241046457891017456[[#This Row],[Type]],Main[[#All],[TYPE]:[UNIT]],'Unit Price'!H$1,FALSE),0)</f>
        <v>0</v>
      </c>
      <c r="K1000" s="194">
        <f>IF(_1_5412845612146241046457891017456[[#This Row],[Discount selection]]&gt;0,VLOOKUP(_1_5412845612146241046457891017456[[#This Row],[Discount selection]],'Discount Structure'!$A$2:$B$30,2,"false"),0)</f>
        <v>1</v>
      </c>
      <c r="L1000" s="194">
        <f>_1_5412845612146241046457891017456[[#This Row],[LIST $]]*_1_5412845612146241046457891017456[[#This Row],[DISCOUNT]]*_1_5412845612146241046457891017456[[#This Row],[DISCOUNT 2]]</f>
        <v>0</v>
      </c>
      <c r="M1000" s="194">
        <f>IF(OR(_1_5412845612146241046457891017456[[#This Row],[UNIT]]&gt;0,_1_5412845612146241046457891017456[[#This Row],[UNIT]]&lt;0),_1_5412845612146241046457891017456[[#This Row],[UNIT]]*_1_5412845612146241046457891017456[[#This Row],[COST]],0)</f>
        <v>0</v>
      </c>
      <c r="N1000" s="194">
        <f>$N$7</f>
        <v>1.3</v>
      </c>
      <c r="O1000" s="198">
        <f>_1_5412845612146241046457891017456[[#This Row],[TOTAL]]*_1_5412845612146241046457891017456[[#This Row],[MARGIN]]</f>
        <v>0</v>
      </c>
      <c r="P1000" s="198"/>
      <c r="R1000" s="41"/>
    </row>
    <row r="1001" spans="4:18">
      <c r="D1001" s="188"/>
      <c r="E1001" s="42"/>
      <c r="F1001" s="168" t="s">
        <v>6202</v>
      </c>
      <c r="G1001" s="193">
        <f>IF(_1_5412845612146241046457891017456[[#This Row],[Type]]&gt;0,VLOOKUP(_1_5412845612146241046457891017456[[#This Row],[Type]],Main[[#All],[TYPE]:[UNIT]],'Unit Price'!C$1,FALSE),0)</f>
        <v>0</v>
      </c>
      <c r="H1001" s="197">
        <f>IF(_1_5412845612146241046457891017456[[#This Row],[Type]]&gt;0,VLOOKUP(_1_5412845612146241046457891017456[[#This Row],[Type]],Main[[#All],[TYPE]:[UNIT]],'Unit Price'!D$1,FALSE),0)</f>
        <v>0</v>
      </c>
      <c r="I1001" s="194">
        <f>IF(_1_5412845612146241046457891017456[[#This Row],[Type]]&gt;0,VLOOKUP(_1_5412845612146241046457891017456[[#This Row],[Type]],Main[[#All],[TYPE]:[UNIT]],'Unit Price'!G$1,FALSE),0)</f>
        <v>0</v>
      </c>
      <c r="J1001" s="194">
        <f>IF(_1_5412845612146241046457891017456[[#This Row],[Type]]&gt;0,VLOOKUP(_1_5412845612146241046457891017456[[#This Row],[Type]],Main[[#All],[TYPE]:[UNIT]],'Unit Price'!H$1,FALSE),0)</f>
        <v>0</v>
      </c>
      <c r="K1001" s="194">
        <f>IF(_1_5412845612146241046457891017456[[#This Row],[Discount selection]]&gt;0,VLOOKUP(_1_5412845612146241046457891017456[[#This Row],[Discount selection]],'Discount Structure'!$A$2:$B$30,2,"false"),0)</f>
        <v>1</v>
      </c>
      <c r="L1001" s="194">
        <f>_1_5412845612146241046457891017456[[#This Row],[LIST $]]*_1_5412845612146241046457891017456[[#This Row],[DISCOUNT]]*_1_5412845612146241046457891017456[[#This Row],[DISCOUNT 2]]</f>
        <v>0</v>
      </c>
      <c r="M1001" s="194">
        <f>IF(OR(_1_5412845612146241046457891017456[[#This Row],[UNIT]]&gt;0,_1_5412845612146241046457891017456[[#This Row],[UNIT]]&lt;0),_1_5412845612146241046457891017456[[#This Row],[UNIT]]*_1_5412845612146241046457891017456[[#This Row],[COST]],0)</f>
        <v>0</v>
      </c>
      <c r="N1001" s="194">
        <f>$N$7</f>
        <v>1.3</v>
      </c>
      <c r="O1001" s="198">
        <f>_1_5412845612146241046457891017456[[#This Row],[TOTAL]]*_1_5412845612146241046457891017456[[#This Row],[MARGIN]]</f>
        <v>0</v>
      </c>
      <c r="P1001" s="198"/>
      <c r="R1001" s="41"/>
    </row>
  </sheetData>
  <sheetProtection formatCells="0" formatColumns="0" formatRows="0" insertColumns="0" insertRows="0" deleteColumns="0" deleteRows="0"/>
  <conditionalFormatting sqref="E1:E1048576">
    <cfRule type="colorScale" priority="6">
      <colorScale>
        <cfvo type="min"/>
        <cfvo type="percentile" val="50"/>
        <cfvo type="max"/>
        <color rgb="FFFF7128"/>
        <color rgb="FFFFEB84"/>
        <color rgb="FFFFEF9C"/>
      </colorScale>
    </cfRule>
  </conditionalFormatting>
  <conditionalFormatting sqref="K1:K1048576">
    <cfRule type="cellIs" dxfId="22" priority="7" operator="equal">
      <formula>$K$7</formula>
    </cfRule>
  </conditionalFormatting>
  <conditionalFormatting sqref="N1:N1048576">
    <cfRule type="cellIs" dxfId="21" priority="8" operator="equal">
      <formula>$N$7</formula>
    </cfRule>
  </conditionalFormatting>
  <conditionalFormatting sqref="H1:H1048576">
    <cfRule type="containsText" dxfId="20" priority="1" operator="containsText" text="ABB">
      <formula>NOT(ISERROR(SEARCH("ABB",H1)))</formula>
    </cfRule>
    <cfRule type="containsText" dxfId="19" priority="2" operator="containsText" text="LS">
      <formula>NOT(ISERROR(SEARCH("LS",H1)))</formula>
    </cfRule>
    <cfRule type="containsText" dxfId="18" priority="3" operator="containsText" text="SCHNEIDER">
      <formula>NOT(ISERROR(SEARCH("SCHNEIDER",H1)))</formula>
    </cfRule>
    <cfRule type="containsText" dxfId="17" priority="4" operator="containsText" text="CHINT">
      <formula>NOT(ISERROR(SEARCH("CHINT",H1)))</formula>
    </cfRule>
    <cfRule type="containsText" dxfId="16" priority="5" operator="containsText" text="0">
      <formula>NOT(ISERROR(SEARCH("0",H1)))</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98600D40-9EC2-4881-BA32-D15F0A594890}">
          <x14:formula1>
            <xm:f>'Unit Price'!$B:$B</xm:f>
          </x14:formula1>
          <xm:sqref>D79:D1001 D9:D77</xm:sqref>
        </x14:dataValidation>
        <x14:dataValidation type="list" allowBlank="1" showInputMessage="1" showErrorMessage="1" xr:uid="{5B06F4AA-1795-4C75-8AFB-A0061DA410F8}">
          <x14:formula1>
            <xm:f>'Discount Structure'!$A$2:$A$30</xm:f>
          </x14:formula1>
          <xm:sqref>F9:F1001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E139E-EF6F-4C58-B4C7-781DF5BC4B14}">
  <sheetPr codeName="Sheet223"/>
  <dimension ref="A1:R1001"/>
  <sheetViews>
    <sheetView zoomScale="85" zoomScaleNormal="85" workbookViewId="0">
      <selection activeCell="D17" sqref="D17"/>
    </sheetView>
  </sheetViews>
  <sheetFormatPr defaultColWidth="21.28515625" defaultRowHeight="15"/>
  <cols>
    <col min="1" max="1" width="18.85546875" style="131" bestFit="1" customWidth="1"/>
    <col min="2" max="2" width="73.42578125" style="131" bestFit="1" customWidth="1"/>
    <col min="3" max="3" width="11.85546875" style="131" customWidth="1"/>
    <col min="4" max="4" width="33.7109375" style="40" customWidth="1"/>
    <col min="5" max="5" width="10.7109375" style="41" bestFit="1" customWidth="1"/>
    <col min="6" max="6" width="19.85546875" style="42" bestFit="1" customWidth="1"/>
    <col min="7" max="7" width="44.140625" style="192" bestFit="1" customWidth="1"/>
    <col min="8" max="8" width="11.85546875" style="197" bestFit="1" customWidth="1"/>
    <col min="9" max="9" width="8.7109375" style="194" bestFit="1" customWidth="1"/>
    <col min="10" max="10" width="12.7109375" style="194" bestFit="1" customWidth="1"/>
    <col min="11" max="11" width="14.28515625" style="194" bestFit="1" customWidth="1"/>
    <col min="12" max="12" width="10.28515625" style="194" bestFit="1" customWidth="1"/>
    <col min="13" max="13" width="12.85546875" style="194" bestFit="1" customWidth="1"/>
    <col min="14" max="14" width="11" style="194" bestFit="1" customWidth="1"/>
    <col min="15" max="15" width="15.140625" style="194" bestFit="1" customWidth="1"/>
    <col min="16" max="16" width="10.28515625" style="194" bestFit="1" customWidth="1"/>
    <col min="17" max="17" width="21.28515625" style="41"/>
    <col min="18" max="18" width="21.28515625" style="43"/>
    <col min="19" max="16384" width="21.28515625" style="41"/>
  </cols>
  <sheetData>
    <row r="1" spans="1:18" ht="46.5">
      <c r="A1" s="218" t="s">
        <v>5780</v>
      </c>
      <c r="B1" s="218" t="s">
        <v>29</v>
      </c>
      <c r="C1" s="219"/>
      <c r="F1" s="41"/>
      <c r="G1" s="39"/>
      <c r="H1" s="42"/>
      <c r="I1" s="41"/>
      <c r="J1" s="41"/>
      <c r="K1" s="41"/>
      <c r="L1" s="41"/>
      <c r="M1" s="41"/>
      <c r="N1" s="41"/>
      <c r="O1" s="43"/>
      <c r="P1" s="41"/>
      <c r="R1" s="41"/>
    </row>
    <row r="2" spans="1:18" ht="23.25">
      <c r="A2" s="161" t="s">
        <v>7838</v>
      </c>
      <c r="B2" s="161" t="s">
        <v>7824</v>
      </c>
      <c r="C2" s="184"/>
      <c r="F2" s="41"/>
      <c r="G2" s="39"/>
      <c r="H2" s="42"/>
      <c r="I2" s="41"/>
      <c r="J2" s="41"/>
      <c r="K2" s="41"/>
      <c r="L2" s="41"/>
      <c r="M2" s="41"/>
      <c r="N2" s="41"/>
      <c r="O2" s="43"/>
      <c r="P2" s="41"/>
      <c r="R2" s="41"/>
    </row>
    <row r="3" spans="1:18">
      <c r="A3" s="40"/>
      <c r="B3" s="40"/>
      <c r="C3" s="40"/>
      <c r="D3" s="41"/>
      <c r="F3" s="41"/>
      <c r="G3" s="39"/>
      <c r="H3" s="42"/>
      <c r="I3" s="41"/>
      <c r="J3" s="41"/>
      <c r="K3" s="41"/>
      <c r="L3" s="41"/>
      <c r="M3" s="41"/>
      <c r="N3" s="41"/>
      <c r="O3" s="43"/>
      <c r="P3" s="41"/>
      <c r="R3" s="41"/>
    </row>
    <row r="4" spans="1:18">
      <c r="A4" s="40"/>
      <c r="B4" s="40"/>
      <c r="C4" s="40"/>
      <c r="D4" s="41"/>
      <c r="F4" s="41"/>
      <c r="G4" s="39"/>
      <c r="H4" s="42"/>
      <c r="I4" s="41"/>
      <c r="J4" s="41"/>
      <c r="K4" s="41"/>
      <c r="L4" s="41"/>
      <c r="M4" s="41"/>
      <c r="N4" s="41"/>
      <c r="O4" s="43"/>
      <c r="P4" s="41"/>
      <c r="R4" s="41"/>
    </row>
    <row r="5" spans="1:18">
      <c r="A5" s="40"/>
      <c r="B5" s="40"/>
      <c r="C5" s="40"/>
      <c r="D5" s="41"/>
      <c r="F5" s="41"/>
      <c r="G5" s="39"/>
      <c r="H5" s="42"/>
      <c r="I5" s="41"/>
      <c r="J5" s="41"/>
      <c r="K5" s="41"/>
      <c r="L5" s="41"/>
      <c r="M5" s="41"/>
      <c r="N5" s="41"/>
      <c r="O5" s="43"/>
      <c r="P5" s="41"/>
      <c r="R5" s="41"/>
    </row>
    <row r="6" spans="1:18" ht="15.75">
      <c r="A6" s="40"/>
      <c r="B6" s="40"/>
      <c r="C6" s="40"/>
      <c r="D6" s="41"/>
      <c r="F6" s="41"/>
      <c r="G6" s="39"/>
      <c r="H6" s="42"/>
      <c r="I6" s="41"/>
      <c r="J6" s="41"/>
      <c r="K6" s="41"/>
      <c r="L6" s="41"/>
      <c r="M6" s="206" t="s">
        <v>279</v>
      </c>
      <c r="N6" s="207"/>
      <c r="O6" s="208" t="s">
        <v>280</v>
      </c>
      <c r="P6" s="206" t="s">
        <v>281</v>
      </c>
      <c r="R6" s="41"/>
    </row>
    <row r="7" spans="1:18">
      <c r="F7" s="40"/>
      <c r="G7" s="39"/>
      <c r="H7" s="42"/>
      <c r="I7" s="41"/>
      <c r="J7" s="41"/>
      <c r="K7" s="41">
        <v>1</v>
      </c>
      <c r="L7" s="41"/>
      <c r="M7" s="209">
        <f>SUM(_1_54128456121462410464578910174567[TOTAL])</f>
        <v>1450.8493435999999</v>
      </c>
      <c r="N7" s="41">
        <v>1.3</v>
      </c>
      <c r="O7" s="210">
        <f>SUM(_1_54128456121462410464578910174567[QUOTE])</f>
        <v>1886.10414668</v>
      </c>
      <c r="P7" s="209">
        <f>O7-M7</f>
        <v>435.2548030800001</v>
      </c>
      <c r="R7" s="41"/>
    </row>
    <row r="8" spans="1:18">
      <c r="A8" s="220" t="s">
        <v>6194</v>
      </c>
      <c r="B8" s="220" t="s">
        <v>6195</v>
      </c>
      <c r="C8" s="220" t="s">
        <v>6196</v>
      </c>
      <c r="D8" s="40" t="s">
        <v>283</v>
      </c>
      <c r="E8" s="191" t="s">
        <v>284</v>
      </c>
      <c r="F8" s="40" t="s">
        <v>6206</v>
      </c>
      <c r="G8" s="193" t="s">
        <v>278</v>
      </c>
      <c r="H8" s="199" t="s">
        <v>282</v>
      </c>
      <c r="I8" s="200" t="s">
        <v>285</v>
      </c>
      <c r="J8" s="200" t="s">
        <v>286</v>
      </c>
      <c r="K8" s="200" t="s">
        <v>287</v>
      </c>
      <c r="L8" s="201" t="s">
        <v>288</v>
      </c>
      <c r="M8" s="202" t="s">
        <v>289</v>
      </c>
      <c r="N8" s="200" t="s">
        <v>290</v>
      </c>
      <c r="O8" s="203" t="s">
        <v>291</v>
      </c>
      <c r="R8" s="41"/>
    </row>
    <row r="9" spans="1:18">
      <c r="A9" s="357"/>
      <c r="B9" s="354"/>
      <c r="C9" s="168"/>
      <c r="D9" s="311"/>
      <c r="F9" s="168" t="s">
        <v>6202</v>
      </c>
      <c r="G9" s="193">
        <f>IF(_1_54128456121462410464578910174567[[#This Row],[Type]]&gt;0,VLOOKUP(_1_54128456121462410464578910174567[[#This Row],[Type]],Main[[#All],[TYPE]:[UNIT]],'Unit Price'!C$1,FALSE),0)</f>
        <v>0</v>
      </c>
      <c r="H9" s="197">
        <f>IF(_1_54128456121462410464578910174567[[#This Row],[Type]]&gt;0,VLOOKUP(_1_54128456121462410464578910174567[[#This Row],[Type]],Main[[#All],[TYPE]:[UNIT]],'Unit Price'!D$1,FALSE),0)</f>
        <v>0</v>
      </c>
      <c r="I9" s="194">
        <f>IF(_1_54128456121462410464578910174567[[#This Row],[Type]]&gt;0,VLOOKUP(_1_54128456121462410464578910174567[[#This Row],[Type]],Main[[#All],[TYPE]:[UNIT]],'Unit Price'!G$1,FALSE),0)</f>
        <v>0</v>
      </c>
      <c r="J9" s="194">
        <f>IF(_1_54128456121462410464578910174567[[#This Row],[Type]]&gt;0,VLOOKUP(_1_54128456121462410464578910174567[[#This Row],[Type]],Main[[#All],[TYPE]:[UNIT]],'Unit Price'!H$1,FALSE),0)</f>
        <v>0</v>
      </c>
      <c r="K9" s="194">
        <f>IF(_1_54128456121462410464578910174567[[#This Row],[Discount selection]]&gt;0,VLOOKUP(_1_54128456121462410464578910174567[[#This Row],[Discount selection]],'Discount Structure'!$A$2:$B$30,2,"false"),0)</f>
        <v>1</v>
      </c>
      <c r="L9" s="194">
        <f>_1_54128456121462410464578910174567[[#This Row],[LIST $]]*_1_54128456121462410464578910174567[[#This Row],[DISCOUNT]]*_1_54128456121462410464578910174567[[#This Row],[DISCOUNT 2]]</f>
        <v>0</v>
      </c>
      <c r="M9" s="194">
        <f>IF(OR(_1_54128456121462410464578910174567[[#This Row],[UNIT]]&gt;0,_1_54128456121462410464578910174567[[#This Row],[UNIT]]&lt;0),_1_54128456121462410464578910174567[[#This Row],[UNIT]]*_1_54128456121462410464578910174567[[#This Row],[COST]],0)</f>
        <v>0</v>
      </c>
      <c r="N9" s="194">
        <f t="shared" ref="N9:N73" si="0">$N$7</f>
        <v>1.3</v>
      </c>
      <c r="O9" s="198">
        <f>_1_54128456121462410464578910174567[[#This Row],[TOTAL]]*_1_54128456121462410464578910174567[[#This Row],[MARGIN]]</f>
        <v>0</v>
      </c>
      <c r="P9" s="198"/>
      <c r="R9" s="41"/>
    </row>
    <row r="10" spans="1:18">
      <c r="B10" s="168"/>
      <c r="C10" s="312"/>
      <c r="D10" s="384" t="s">
        <v>1569</v>
      </c>
      <c r="E10" s="41">
        <v>1</v>
      </c>
      <c r="F10" s="168" t="s">
        <v>6202</v>
      </c>
      <c r="G10" s="193" t="str">
        <f>IF(_1_54128456121462410464578910174567[[#This Row],[Type]]&gt;0,VLOOKUP(_1_54128456121462410464578910174567[[#This Row],[Type]],Main[[#All],[TYPE]:[UNIT]],'Unit Price'!C$1,FALSE),0)</f>
        <v>40A 3P 50kA MCCB</v>
      </c>
      <c r="H10" s="197" t="str">
        <f>IF(_1_54128456121462410464578910174567[[#This Row],[Type]]&gt;0,VLOOKUP(_1_54128456121462410464578910174567[[#This Row],[Type]],Main[[#All],[TYPE]:[UNIT]],'Unit Price'!D$1,FALSE),0)</f>
        <v>CHINT</v>
      </c>
      <c r="I10" s="194">
        <f>IF(_1_54128456121462410464578910174567[[#This Row],[Type]]&gt;0,VLOOKUP(_1_54128456121462410464578910174567[[#This Row],[Type]],Main[[#All],[TYPE]:[UNIT]],'Unit Price'!G$1,FALSE),0)</f>
        <v>501</v>
      </c>
      <c r="J10" s="194">
        <f>IF(_1_54128456121462410464578910174567[[#This Row],[Type]]&gt;0,VLOOKUP(_1_54128456121462410464578910174567[[#This Row],[Type]],Main[[#All],[TYPE]:[UNIT]],'Unit Price'!H$1,FALSE),0)</f>
        <v>0.47155599999999998</v>
      </c>
      <c r="K10" s="194">
        <f>IF(_1_54128456121462410464578910174567[[#This Row],[Discount selection]]&gt;0,VLOOKUP(_1_54128456121462410464578910174567[[#This Row],[Discount selection]],'Discount Structure'!$A$2:$B$30,2,"false"),0)</f>
        <v>1</v>
      </c>
      <c r="L10" s="194">
        <f>_1_54128456121462410464578910174567[[#This Row],[LIST $]]*_1_54128456121462410464578910174567[[#This Row],[DISCOUNT]]*_1_54128456121462410464578910174567[[#This Row],[DISCOUNT 2]]</f>
        <v>236.24955599999998</v>
      </c>
      <c r="M10" s="194">
        <f>IF(OR(_1_54128456121462410464578910174567[[#This Row],[UNIT]]&gt;0,_1_54128456121462410464578910174567[[#This Row],[UNIT]]&lt;0),_1_54128456121462410464578910174567[[#This Row],[UNIT]]*_1_54128456121462410464578910174567[[#This Row],[COST]],0)</f>
        <v>236.24955599999998</v>
      </c>
      <c r="N10" s="194">
        <f t="shared" si="0"/>
        <v>1.3</v>
      </c>
      <c r="O10" s="198">
        <f>_1_54128456121462410464578910174567[[#This Row],[TOTAL]]*_1_54128456121462410464578910174567[[#This Row],[MARGIN]]</f>
        <v>307.12442279999999</v>
      </c>
      <c r="R10" s="41"/>
    </row>
    <row r="11" spans="1:18">
      <c r="D11" s="188" t="s">
        <v>1552</v>
      </c>
      <c r="E11" s="41">
        <v>5</v>
      </c>
      <c r="F11" s="168" t="s">
        <v>6202</v>
      </c>
      <c r="G11" s="193" t="str">
        <f>IF(_1_54128456121462410464578910174567[[#This Row],[Type]]&gt;0,VLOOKUP(_1_54128456121462410464578910174567[[#This Row],[Type]],Main[[#All],[TYPE]:[UNIT]],'Unit Price'!C$1,FALSE),0)</f>
        <v>40A 4P 30mA ELCB</v>
      </c>
      <c r="H11" s="197" t="str">
        <f>IF(_1_54128456121462410464578910174567[[#This Row],[Type]]&gt;0,VLOOKUP(_1_54128456121462410464578910174567[[#This Row],[Type]],Main[[#All],[TYPE]:[UNIT]],'Unit Price'!D$1,FALSE),0)</f>
        <v>CHINT</v>
      </c>
      <c r="I11" s="194">
        <f>IF(_1_54128456121462410464578910174567[[#This Row],[Type]]&gt;0,VLOOKUP(_1_54128456121462410464578910174567[[#This Row],[Type]],Main[[#All],[TYPE]:[UNIT]],'Unit Price'!G$1,FALSE),0)</f>
        <v>191</v>
      </c>
      <c r="J11" s="194">
        <f>IF(_1_54128456121462410464578910174567[[#This Row],[Type]]&gt;0,VLOOKUP(_1_54128456121462410464578910174567[[#This Row],[Type]],Main[[#All],[TYPE]:[UNIT]],'Unit Price'!H$1,FALSE),0)</f>
        <v>0.47155599999999998</v>
      </c>
      <c r="K11" s="194">
        <f>IF(_1_54128456121462410464578910174567[[#This Row],[Discount selection]]&gt;0,VLOOKUP(_1_54128456121462410464578910174567[[#This Row],[Discount selection]],'Discount Structure'!$A$2:$B$30,2,"false"),0)</f>
        <v>1</v>
      </c>
      <c r="L11" s="194">
        <f>_1_54128456121462410464578910174567[[#This Row],[LIST $]]*_1_54128456121462410464578910174567[[#This Row],[DISCOUNT]]*_1_54128456121462410464578910174567[[#This Row],[DISCOUNT 2]]</f>
        <v>90.067195999999996</v>
      </c>
      <c r="M11" s="194">
        <f>IF(OR(_1_54128456121462410464578910174567[[#This Row],[UNIT]]&gt;0,_1_54128456121462410464578910174567[[#This Row],[UNIT]]&lt;0),_1_54128456121462410464578910174567[[#This Row],[UNIT]]*_1_54128456121462410464578910174567[[#This Row],[COST]],0)</f>
        <v>450.33597999999995</v>
      </c>
      <c r="N11" s="194">
        <f t="shared" si="0"/>
        <v>1.3</v>
      </c>
      <c r="O11" s="198">
        <f>_1_54128456121462410464578910174567[[#This Row],[TOTAL]]*_1_54128456121462410464578910174567[[#This Row],[MARGIN]]</f>
        <v>585.4367739999999</v>
      </c>
      <c r="R11" s="41"/>
    </row>
    <row r="12" spans="1:18">
      <c r="D12" s="188" t="s">
        <v>299</v>
      </c>
      <c r="E12" s="313">
        <v>20</v>
      </c>
      <c r="F12" s="168" t="s">
        <v>6202</v>
      </c>
      <c r="G12" s="193" t="str">
        <f>IF(_1_54128456121462410464578910174567[[#This Row],[Type]]&gt;0,VLOOKUP(_1_54128456121462410464578910174567[[#This Row],[Type]],Main[[#All],[TYPE]:[UNIT]],'Unit Price'!C$1,FALSE),0)</f>
        <v>10MM SQ PVC CABLE (40A)</v>
      </c>
      <c r="H12" s="197" t="str">
        <f>IF(_1_54128456121462410464578910174567[[#This Row],[Type]]&gt;0,VLOOKUP(_1_54128456121462410464578910174567[[#This Row],[Type]],Main[[#All],[TYPE]:[UNIT]],'Unit Price'!D$1,FALSE),0)</f>
        <v>UC</v>
      </c>
      <c r="I12" s="194">
        <f>IF(_1_54128456121462410464578910174567[[#This Row],[Type]]&gt;0,VLOOKUP(_1_54128456121462410464578910174567[[#This Row],[Type]],Main[[#All],[TYPE]:[UNIT]],'Unit Price'!G$1,FALSE),0)</f>
        <v>6</v>
      </c>
      <c r="J12" s="194">
        <f>IF(_1_54128456121462410464578910174567[[#This Row],[Type]]&gt;0,VLOOKUP(_1_54128456121462410464578910174567[[#This Row],[Type]],Main[[#All],[TYPE]:[UNIT]],'Unit Price'!H$1,FALSE),0)</f>
        <v>1</v>
      </c>
      <c r="K12" s="194">
        <f>IF(_1_54128456121462410464578910174567[[#This Row],[Discount selection]]&gt;0,VLOOKUP(_1_54128456121462410464578910174567[[#This Row],[Discount selection]],'Discount Structure'!$A$2:$B$30,2,"false"),0)</f>
        <v>1</v>
      </c>
      <c r="L12" s="194">
        <f>_1_54128456121462410464578910174567[[#This Row],[LIST $]]*_1_54128456121462410464578910174567[[#This Row],[DISCOUNT]]*_1_54128456121462410464578910174567[[#This Row],[DISCOUNT 2]]</f>
        <v>6</v>
      </c>
      <c r="M12" s="194">
        <f>IF(OR(_1_54128456121462410464578910174567[[#This Row],[UNIT]]&gt;0,_1_54128456121462410464578910174567[[#This Row],[UNIT]]&lt;0),_1_54128456121462410464578910174567[[#This Row],[UNIT]]*_1_54128456121462410464578910174567[[#This Row],[COST]],0)</f>
        <v>120</v>
      </c>
      <c r="N12" s="194">
        <f>$N$7</f>
        <v>1.3</v>
      </c>
      <c r="O12" s="198">
        <f>_1_54128456121462410464578910174567[[#This Row],[TOTAL]]*_1_54128456121462410464578910174567[[#This Row],[MARGIN]]</f>
        <v>156</v>
      </c>
      <c r="R12" s="41"/>
    </row>
    <row r="13" spans="1:18">
      <c r="D13" s="188"/>
      <c r="F13" s="168" t="s">
        <v>6202</v>
      </c>
      <c r="G13" s="193">
        <f>IF(_1_54128456121462410464578910174567[[#This Row],[Type]]&gt;0,VLOOKUP(_1_54128456121462410464578910174567[[#This Row],[Type]],Main[[#All],[TYPE]:[UNIT]],'Unit Price'!C$1,FALSE),0)</f>
        <v>0</v>
      </c>
      <c r="H13" s="197">
        <f>IF(_1_54128456121462410464578910174567[[#This Row],[Type]]&gt;0,VLOOKUP(_1_54128456121462410464578910174567[[#This Row],[Type]],Main[[#All],[TYPE]:[UNIT]],'Unit Price'!D$1,FALSE),0)</f>
        <v>0</v>
      </c>
      <c r="I13" s="194">
        <f>IF(_1_54128456121462410464578910174567[[#This Row],[Type]]&gt;0,VLOOKUP(_1_54128456121462410464578910174567[[#This Row],[Type]],Main[[#All],[TYPE]:[UNIT]],'Unit Price'!G$1,FALSE),0)</f>
        <v>0</v>
      </c>
      <c r="J13" s="194">
        <f>IF(_1_54128456121462410464578910174567[[#This Row],[Type]]&gt;0,VLOOKUP(_1_54128456121462410464578910174567[[#This Row],[Type]],Main[[#All],[TYPE]:[UNIT]],'Unit Price'!H$1,FALSE),0)</f>
        <v>0</v>
      </c>
      <c r="K13" s="194">
        <f>IF(_1_54128456121462410464578910174567[[#This Row],[Discount selection]]&gt;0,VLOOKUP(_1_54128456121462410464578910174567[[#This Row],[Discount selection]],'Discount Structure'!$A$2:$B$30,2,"false"),0)</f>
        <v>1</v>
      </c>
      <c r="L13" s="194">
        <f>_1_54128456121462410464578910174567[[#This Row],[LIST $]]*_1_54128456121462410464578910174567[[#This Row],[DISCOUNT]]*_1_54128456121462410464578910174567[[#This Row],[DISCOUNT 2]]</f>
        <v>0</v>
      </c>
      <c r="M13" s="194">
        <f>IF(OR(_1_54128456121462410464578910174567[[#This Row],[UNIT]]&gt;0,_1_54128456121462410464578910174567[[#This Row],[UNIT]]&lt;0),_1_54128456121462410464578910174567[[#This Row],[UNIT]]*_1_54128456121462410464578910174567[[#This Row],[COST]],0)</f>
        <v>0</v>
      </c>
      <c r="N13" s="194">
        <f t="shared" si="0"/>
        <v>1.3</v>
      </c>
      <c r="O13" s="198">
        <f>_1_54128456121462410464578910174567[[#This Row],[TOTAL]]*_1_54128456121462410464578910174567[[#This Row],[MARGIN]]</f>
        <v>0</v>
      </c>
      <c r="R13" s="41"/>
    </row>
    <row r="14" spans="1:18">
      <c r="A14" s="168"/>
      <c r="C14" s="168"/>
      <c r="D14" s="188" t="s">
        <v>313</v>
      </c>
      <c r="E14" s="41">
        <v>27</v>
      </c>
      <c r="F14" s="168" t="s">
        <v>6202</v>
      </c>
      <c r="G14" s="193" t="str">
        <f>IF(_1_54128456121462410464578910174567[[#This Row],[Type]]&gt;0,VLOOKUP(_1_54128456121462410464578910174567[[#This Row],[Type]],Main[[#All],[TYPE]:[UNIT]],'Unit Price'!C$1,FALSE),0)</f>
        <v>6A ~ 40A 1P 6kA MCB</v>
      </c>
      <c r="H14" s="197" t="str">
        <f>IF(_1_54128456121462410464578910174567[[#This Row],[Type]]&gt;0,VLOOKUP(_1_54128456121462410464578910174567[[#This Row],[Type]],Main[[#All],[TYPE]:[UNIT]],'Unit Price'!D$1,FALSE),0)</f>
        <v>CHINT</v>
      </c>
      <c r="I14" s="194">
        <f>IF(_1_54128456121462410464578910174567[[#This Row],[Type]]&gt;0,VLOOKUP(_1_54128456121462410464578910174567[[#This Row],[Type]],Main[[#All],[TYPE]:[UNIT]],'Unit Price'!G$1,FALSE),0)</f>
        <v>17.3</v>
      </c>
      <c r="J14" s="194">
        <f>IF(_1_54128456121462410464578910174567[[#This Row],[Type]]&gt;0,VLOOKUP(_1_54128456121462410464578910174567[[#This Row],[Type]],Main[[#All],[TYPE]:[UNIT]],'Unit Price'!H$1,FALSE),0)</f>
        <v>0.47155599999999998</v>
      </c>
      <c r="K14" s="194">
        <f>IF(_1_54128456121462410464578910174567[[#This Row],[Discount selection]]&gt;0,VLOOKUP(_1_54128456121462410464578910174567[[#This Row],[Discount selection]],'Discount Structure'!$A$2:$B$30,2,"false"),0)</f>
        <v>1</v>
      </c>
      <c r="L14" s="194">
        <f>_1_54128456121462410464578910174567[[#This Row],[LIST $]]*_1_54128456121462410464578910174567[[#This Row],[DISCOUNT]]*_1_54128456121462410464578910174567[[#This Row],[DISCOUNT 2]]</f>
        <v>8.1579187999999991</v>
      </c>
      <c r="M14" s="194">
        <f>IF(OR(_1_54128456121462410464578910174567[[#This Row],[UNIT]]&gt;0,_1_54128456121462410464578910174567[[#This Row],[UNIT]]&lt;0),_1_54128456121462410464578910174567[[#This Row],[UNIT]]*_1_54128456121462410464578910174567[[#This Row],[COST]],0)</f>
        <v>220.26380759999998</v>
      </c>
      <c r="N14" s="194">
        <f t="shared" si="0"/>
        <v>1.3</v>
      </c>
      <c r="O14" s="198">
        <f>_1_54128456121462410464578910174567[[#This Row],[TOTAL]]*_1_54128456121462410464578910174567[[#This Row],[MARGIN]]</f>
        <v>286.34294987999999</v>
      </c>
      <c r="R14" s="41"/>
    </row>
    <row r="15" spans="1:18">
      <c r="C15" s="168"/>
      <c r="D15" s="188"/>
      <c r="F15" s="168" t="s">
        <v>6202</v>
      </c>
      <c r="G15" s="193">
        <f>IF(_1_54128456121462410464578910174567[[#This Row],[Type]]&gt;0,VLOOKUP(_1_54128456121462410464578910174567[[#This Row],[Type]],Main[[#All],[TYPE]:[UNIT]],'Unit Price'!C$1,FALSE),0)</f>
        <v>0</v>
      </c>
      <c r="H15" s="197">
        <f>IF(_1_54128456121462410464578910174567[[#This Row],[Type]]&gt;0,VLOOKUP(_1_54128456121462410464578910174567[[#This Row],[Type]],Main[[#All],[TYPE]:[UNIT]],'Unit Price'!D$1,FALSE),0)</f>
        <v>0</v>
      </c>
      <c r="I15" s="194">
        <f>IF(_1_54128456121462410464578910174567[[#This Row],[Type]]&gt;0,VLOOKUP(_1_54128456121462410464578910174567[[#This Row],[Type]],Main[[#All],[TYPE]:[UNIT]],'Unit Price'!G$1,FALSE),0)</f>
        <v>0</v>
      </c>
      <c r="J15" s="194">
        <f>IF(_1_54128456121462410464578910174567[[#This Row],[Type]]&gt;0,VLOOKUP(_1_54128456121462410464578910174567[[#This Row],[Type]],Main[[#All],[TYPE]:[UNIT]],'Unit Price'!H$1,FALSE),0)</f>
        <v>0</v>
      </c>
      <c r="K15" s="194">
        <f>IF(_1_54128456121462410464578910174567[[#This Row],[Discount selection]]&gt;0,VLOOKUP(_1_54128456121462410464578910174567[[#This Row],[Discount selection]],'Discount Structure'!$A$2:$B$30,2,"false"),0)</f>
        <v>1</v>
      </c>
      <c r="L15" s="194">
        <f>_1_54128456121462410464578910174567[[#This Row],[LIST $]]*_1_54128456121462410464578910174567[[#This Row],[DISCOUNT]]*_1_54128456121462410464578910174567[[#This Row],[DISCOUNT 2]]</f>
        <v>0</v>
      </c>
      <c r="M15" s="194">
        <f>IF(OR(_1_54128456121462410464578910174567[[#This Row],[UNIT]]&gt;0,_1_54128456121462410464578910174567[[#This Row],[UNIT]]&lt;0),_1_54128456121462410464578910174567[[#This Row],[UNIT]]*_1_54128456121462410464578910174567[[#This Row],[COST]],0)</f>
        <v>0</v>
      </c>
      <c r="N15" s="194">
        <f t="shared" si="0"/>
        <v>1.3</v>
      </c>
      <c r="O15" s="198">
        <f>_1_54128456121462410464578910174567[[#This Row],[TOTAL]]*_1_54128456121462410464578910174567[[#This Row],[MARGIN]]</f>
        <v>0</v>
      </c>
      <c r="R15" s="41"/>
    </row>
    <row r="16" spans="1:18">
      <c r="A16" s="168"/>
      <c r="C16" s="168"/>
      <c r="D16" s="188" t="s">
        <v>5814</v>
      </c>
      <c r="E16" s="313">
        <v>1</v>
      </c>
      <c r="F16" s="168" t="s">
        <v>6202</v>
      </c>
      <c r="G16" s="193" t="str">
        <f>IF(_1_54128456121462410464578910174567[[#This Row],[Type]]&gt;0,VLOOKUP(_1_54128456121462410464578910174567[[#This Row],[Type]],Main[[#All],[TYPE]:[UNIT]],'Unit Price'!C$1,FALSE),0)</f>
        <v>DB, MCCB incoming,
4R 3x20W+1x12W
850x500x150</v>
      </c>
      <c r="H16" s="197" t="str">
        <f>IF(_1_54128456121462410464578910174567[[#This Row],[Type]]&gt;0,VLOOKUP(_1_54128456121462410464578910174567[[#This Row],[Type]],Main[[#All],[TYPE]:[UNIT]],'Unit Price'!D$1,FALSE),0)</f>
        <v>TK</v>
      </c>
      <c r="I16" s="194">
        <f>IF(_1_54128456121462410464578910174567[[#This Row],[Type]]&gt;0,VLOOKUP(_1_54128456121462410464578910174567[[#This Row],[Type]],Main[[#All],[TYPE]:[UNIT]],'Unit Price'!G$1,FALSE),0)</f>
        <v>424</v>
      </c>
      <c r="J16" s="194">
        <f>IF(_1_54128456121462410464578910174567[[#This Row],[Type]]&gt;0,VLOOKUP(_1_54128456121462410464578910174567[[#This Row],[Type]],Main[[#All],[TYPE]:[UNIT]],'Unit Price'!H$1,FALSE),0)</f>
        <v>1</v>
      </c>
      <c r="K16" s="194">
        <f>IF(_1_54128456121462410464578910174567[[#This Row],[Discount selection]]&gt;0,VLOOKUP(_1_54128456121462410464578910174567[[#This Row],[Discount selection]],'Discount Structure'!$A$2:$B$30,2,"false"),0)</f>
        <v>1</v>
      </c>
      <c r="L16" s="194">
        <f>_1_54128456121462410464578910174567[[#This Row],[LIST $]]*_1_54128456121462410464578910174567[[#This Row],[DISCOUNT]]*_1_54128456121462410464578910174567[[#This Row],[DISCOUNT 2]]</f>
        <v>424</v>
      </c>
      <c r="M16" s="194">
        <f>IF(OR(_1_54128456121462410464578910174567[[#This Row],[UNIT]]&gt;0,_1_54128456121462410464578910174567[[#This Row],[UNIT]]&lt;0),_1_54128456121462410464578910174567[[#This Row],[UNIT]]*_1_54128456121462410464578910174567[[#This Row],[COST]],0)</f>
        <v>424</v>
      </c>
      <c r="N16" s="194">
        <f t="shared" si="0"/>
        <v>1.3</v>
      </c>
      <c r="O16" s="198">
        <f>_1_54128456121462410464578910174567[[#This Row],[TOTAL]]*_1_54128456121462410464578910174567[[#This Row],[MARGIN]]</f>
        <v>551.20000000000005</v>
      </c>
      <c r="R16" s="41"/>
    </row>
    <row r="17" spans="1:18">
      <c r="C17" s="168"/>
      <c r="D17" s="314"/>
      <c r="F17" s="168" t="s">
        <v>6202</v>
      </c>
      <c r="G17" s="193">
        <f>IF(_1_54128456121462410464578910174567[[#This Row],[Type]]&gt;0,VLOOKUP(_1_54128456121462410464578910174567[[#This Row],[Type]],Main[[#All],[TYPE]:[UNIT]],'Unit Price'!C$1,FALSE),0)</f>
        <v>0</v>
      </c>
      <c r="H17" s="197">
        <f>IF(_1_54128456121462410464578910174567[[#This Row],[Type]]&gt;0,VLOOKUP(_1_54128456121462410464578910174567[[#This Row],[Type]],Main[[#All],[TYPE]:[UNIT]],'Unit Price'!D$1,FALSE),0)</f>
        <v>0</v>
      </c>
      <c r="I17" s="194">
        <f>IF(_1_54128456121462410464578910174567[[#This Row],[Type]]&gt;0,VLOOKUP(_1_54128456121462410464578910174567[[#This Row],[Type]],Main[[#All],[TYPE]:[UNIT]],'Unit Price'!G$1,FALSE),0)</f>
        <v>0</v>
      </c>
      <c r="J17" s="194">
        <f>IF(_1_54128456121462410464578910174567[[#This Row],[Type]]&gt;0,VLOOKUP(_1_54128456121462410464578910174567[[#This Row],[Type]],Main[[#All],[TYPE]:[UNIT]],'Unit Price'!H$1,FALSE),0)</f>
        <v>0</v>
      </c>
      <c r="K17" s="194">
        <f>IF(_1_54128456121462410464578910174567[[#This Row],[Discount selection]]&gt;0,VLOOKUP(_1_54128456121462410464578910174567[[#This Row],[Discount selection]],'Discount Structure'!$A$2:$B$30,2,"false"),0)</f>
        <v>1</v>
      </c>
      <c r="L17" s="194">
        <f>_1_54128456121462410464578910174567[[#This Row],[LIST $]]*_1_54128456121462410464578910174567[[#This Row],[DISCOUNT]]*_1_54128456121462410464578910174567[[#This Row],[DISCOUNT 2]]</f>
        <v>0</v>
      </c>
      <c r="M17" s="194">
        <f>IF(OR(_1_54128456121462410464578910174567[[#This Row],[UNIT]]&gt;0,_1_54128456121462410464578910174567[[#This Row],[UNIT]]&lt;0),_1_54128456121462410464578910174567[[#This Row],[UNIT]]*_1_54128456121462410464578910174567[[#This Row],[COST]],0)</f>
        <v>0</v>
      </c>
      <c r="N17" s="194">
        <f t="shared" si="0"/>
        <v>1.3</v>
      </c>
      <c r="O17" s="198">
        <f>_1_54128456121462410464578910174567[[#This Row],[TOTAL]]*_1_54128456121462410464578910174567[[#This Row],[MARGIN]]</f>
        <v>0</v>
      </c>
      <c r="R17" s="41"/>
    </row>
    <row r="18" spans="1:18">
      <c r="A18" s="168"/>
      <c r="C18" s="168"/>
      <c r="D18" s="188"/>
      <c r="F18" s="168" t="s">
        <v>6202</v>
      </c>
      <c r="G18" s="193">
        <f>IF(_1_54128456121462410464578910174567[[#This Row],[Type]]&gt;0,VLOOKUP(_1_54128456121462410464578910174567[[#This Row],[Type]],Main[[#All],[TYPE]:[UNIT]],'Unit Price'!C$1,FALSE),0)</f>
        <v>0</v>
      </c>
      <c r="H18" s="197">
        <f>IF(_1_54128456121462410464578910174567[[#This Row],[Type]]&gt;0,VLOOKUP(_1_54128456121462410464578910174567[[#This Row],[Type]],Main[[#All],[TYPE]:[UNIT]],'Unit Price'!D$1,FALSE),0)</f>
        <v>0</v>
      </c>
      <c r="I18" s="194">
        <f>IF(_1_54128456121462410464578910174567[[#This Row],[Type]]&gt;0,VLOOKUP(_1_54128456121462410464578910174567[[#This Row],[Type]],Main[[#All],[TYPE]:[UNIT]],'Unit Price'!G$1,FALSE),0)</f>
        <v>0</v>
      </c>
      <c r="J18" s="194">
        <f>IF(_1_54128456121462410464578910174567[[#This Row],[Type]]&gt;0,VLOOKUP(_1_54128456121462410464578910174567[[#This Row],[Type]],Main[[#All],[TYPE]:[UNIT]],'Unit Price'!H$1,FALSE),0)</f>
        <v>0</v>
      </c>
      <c r="K18" s="194">
        <f>IF(_1_54128456121462410464578910174567[[#This Row],[Discount selection]]&gt;0,VLOOKUP(_1_54128456121462410464578910174567[[#This Row],[Discount selection]],'Discount Structure'!$A$2:$B$30,2,"false"),0)</f>
        <v>1</v>
      </c>
      <c r="L18" s="194">
        <f>_1_54128456121462410464578910174567[[#This Row],[LIST $]]*_1_54128456121462410464578910174567[[#This Row],[DISCOUNT]]*_1_54128456121462410464578910174567[[#This Row],[DISCOUNT 2]]</f>
        <v>0</v>
      </c>
      <c r="M18" s="194">
        <f>IF(OR(_1_54128456121462410464578910174567[[#This Row],[UNIT]]&gt;0,_1_54128456121462410464578910174567[[#This Row],[UNIT]]&lt;0),_1_54128456121462410464578910174567[[#This Row],[UNIT]]*_1_54128456121462410464578910174567[[#This Row],[COST]],0)</f>
        <v>0</v>
      </c>
      <c r="N18" s="194">
        <f t="shared" si="0"/>
        <v>1.3</v>
      </c>
      <c r="O18" s="198">
        <f>_1_54128456121462410464578910174567[[#This Row],[TOTAL]]*_1_54128456121462410464578910174567[[#This Row],[MARGIN]]</f>
        <v>0</v>
      </c>
      <c r="R18" s="41"/>
    </row>
    <row r="19" spans="1:18">
      <c r="C19" s="168"/>
      <c r="D19" s="188"/>
      <c r="F19" s="168" t="s">
        <v>6202</v>
      </c>
      <c r="G19" s="193">
        <f>IF(_1_54128456121462410464578910174567[[#This Row],[Type]]&gt;0,VLOOKUP(_1_54128456121462410464578910174567[[#This Row],[Type]],Main[[#All],[TYPE]:[UNIT]],'Unit Price'!C$1,FALSE),0)</f>
        <v>0</v>
      </c>
      <c r="H19" s="197">
        <f>IF(_1_54128456121462410464578910174567[[#This Row],[Type]]&gt;0,VLOOKUP(_1_54128456121462410464578910174567[[#This Row],[Type]],Main[[#All],[TYPE]:[UNIT]],'Unit Price'!D$1,FALSE),0)</f>
        <v>0</v>
      </c>
      <c r="I19" s="194">
        <f>IF(_1_54128456121462410464578910174567[[#This Row],[Type]]&gt;0,VLOOKUP(_1_54128456121462410464578910174567[[#This Row],[Type]],Main[[#All],[TYPE]:[UNIT]],'Unit Price'!G$1,FALSE),0)</f>
        <v>0</v>
      </c>
      <c r="J19" s="194">
        <f>IF(_1_54128456121462410464578910174567[[#This Row],[Type]]&gt;0,VLOOKUP(_1_54128456121462410464578910174567[[#This Row],[Type]],Main[[#All],[TYPE]:[UNIT]],'Unit Price'!H$1,FALSE),0)</f>
        <v>0</v>
      </c>
      <c r="K19" s="194">
        <f>IF(_1_54128456121462410464578910174567[[#This Row],[Discount selection]]&gt;0,VLOOKUP(_1_54128456121462410464578910174567[[#This Row],[Discount selection]],'Discount Structure'!$A$2:$B$30,2,"false"),0)</f>
        <v>1</v>
      </c>
      <c r="L19" s="194">
        <f>_1_54128456121462410464578910174567[[#This Row],[LIST $]]*_1_54128456121462410464578910174567[[#This Row],[DISCOUNT]]*_1_54128456121462410464578910174567[[#This Row],[DISCOUNT 2]]</f>
        <v>0</v>
      </c>
      <c r="M19" s="194">
        <f>IF(OR(_1_54128456121462410464578910174567[[#This Row],[UNIT]]&gt;0,_1_54128456121462410464578910174567[[#This Row],[UNIT]]&lt;0),_1_54128456121462410464578910174567[[#This Row],[UNIT]]*_1_54128456121462410464578910174567[[#This Row],[COST]],0)</f>
        <v>0</v>
      </c>
      <c r="N19" s="194">
        <f t="shared" si="0"/>
        <v>1.3</v>
      </c>
      <c r="O19" s="198">
        <f>_1_54128456121462410464578910174567[[#This Row],[TOTAL]]*_1_54128456121462410464578910174567[[#This Row],[MARGIN]]</f>
        <v>0</v>
      </c>
      <c r="R19" s="41"/>
    </row>
    <row r="20" spans="1:18">
      <c r="A20" s="168"/>
      <c r="B20" s="168"/>
      <c r="C20" s="168"/>
      <c r="D20" s="188"/>
      <c r="F20" s="168" t="s">
        <v>6202</v>
      </c>
      <c r="G20" s="193">
        <f>IF(_1_54128456121462410464578910174567[[#This Row],[Type]]&gt;0,VLOOKUP(_1_54128456121462410464578910174567[[#This Row],[Type]],Main[[#All],[TYPE]:[UNIT]],'Unit Price'!C$1,FALSE),0)</f>
        <v>0</v>
      </c>
      <c r="H20" s="197">
        <f>IF(_1_54128456121462410464578910174567[[#This Row],[Type]]&gt;0,VLOOKUP(_1_54128456121462410464578910174567[[#This Row],[Type]],Main[[#All],[TYPE]:[UNIT]],'Unit Price'!D$1,FALSE),0)</f>
        <v>0</v>
      </c>
      <c r="I20" s="194">
        <f>IF(_1_54128456121462410464578910174567[[#This Row],[Type]]&gt;0,VLOOKUP(_1_54128456121462410464578910174567[[#This Row],[Type]],Main[[#All],[TYPE]:[UNIT]],'Unit Price'!G$1,FALSE),0)</f>
        <v>0</v>
      </c>
      <c r="J20" s="194">
        <f>IF(_1_54128456121462410464578910174567[[#This Row],[Type]]&gt;0,VLOOKUP(_1_54128456121462410464578910174567[[#This Row],[Type]],Main[[#All],[TYPE]:[UNIT]],'Unit Price'!H$1,FALSE),0)</f>
        <v>0</v>
      </c>
      <c r="K20" s="194">
        <f>IF(_1_54128456121462410464578910174567[[#This Row],[Discount selection]]&gt;0,VLOOKUP(_1_54128456121462410464578910174567[[#This Row],[Discount selection]],'Discount Structure'!$A$2:$B$30,2,"false"),0)</f>
        <v>1</v>
      </c>
      <c r="L20" s="194">
        <f>_1_54128456121462410464578910174567[[#This Row],[LIST $]]*_1_54128456121462410464578910174567[[#This Row],[DISCOUNT]]*_1_54128456121462410464578910174567[[#This Row],[DISCOUNT 2]]</f>
        <v>0</v>
      </c>
      <c r="M20" s="194">
        <f>IF(OR(_1_54128456121462410464578910174567[[#This Row],[UNIT]]&gt;0,_1_54128456121462410464578910174567[[#This Row],[UNIT]]&lt;0),_1_54128456121462410464578910174567[[#This Row],[UNIT]]*_1_54128456121462410464578910174567[[#This Row],[COST]],0)</f>
        <v>0</v>
      </c>
      <c r="N20" s="194">
        <f t="shared" si="0"/>
        <v>1.3</v>
      </c>
      <c r="O20" s="198">
        <f>_1_54128456121462410464578910174567[[#This Row],[TOTAL]]*_1_54128456121462410464578910174567[[#This Row],[MARGIN]]</f>
        <v>0</v>
      </c>
      <c r="R20" s="41"/>
    </row>
    <row r="21" spans="1:18">
      <c r="C21" s="168"/>
      <c r="D21" s="188"/>
      <c r="F21" s="168" t="s">
        <v>6202</v>
      </c>
      <c r="G21" s="193">
        <f>IF(_1_54128456121462410464578910174567[[#This Row],[Type]]&gt;0,VLOOKUP(_1_54128456121462410464578910174567[[#This Row],[Type]],Main[[#All],[TYPE]:[UNIT]],'Unit Price'!C$1,FALSE),0)</f>
        <v>0</v>
      </c>
      <c r="H21" s="197">
        <f>IF(_1_54128456121462410464578910174567[[#This Row],[Type]]&gt;0,VLOOKUP(_1_54128456121462410464578910174567[[#This Row],[Type]],Main[[#All],[TYPE]:[UNIT]],'Unit Price'!D$1,FALSE),0)</f>
        <v>0</v>
      </c>
      <c r="I21" s="194">
        <f>IF(_1_54128456121462410464578910174567[[#This Row],[Type]]&gt;0,VLOOKUP(_1_54128456121462410464578910174567[[#This Row],[Type]],Main[[#All],[TYPE]:[UNIT]],'Unit Price'!G$1,FALSE),0)</f>
        <v>0</v>
      </c>
      <c r="J21" s="194">
        <f>IF(_1_54128456121462410464578910174567[[#This Row],[Type]]&gt;0,VLOOKUP(_1_54128456121462410464578910174567[[#This Row],[Type]],Main[[#All],[TYPE]:[UNIT]],'Unit Price'!H$1,FALSE),0)</f>
        <v>0</v>
      </c>
      <c r="K21" s="194">
        <f>IF(_1_54128456121462410464578910174567[[#This Row],[Discount selection]]&gt;0,VLOOKUP(_1_54128456121462410464578910174567[[#This Row],[Discount selection]],'Discount Structure'!$A$2:$B$30,2,"false"),0)</f>
        <v>1</v>
      </c>
      <c r="L21" s="194">
        <f>_1_54128456121462410464578910174567[[#This Row],[LIST $]]*_1_54128456121462410464578910174567[[#This Row],[DISCOUNT]]*_1_54128456121462410464578910174567[[#This Row],[DISCOUNT 2]]</f>
        <v>0</v>
      </c>
      <c r="M21" s="194">
        <f>IF(OR(_1_54128456121462410464578910174567[[#This Row],[UNIT]]&gt;0,_1_54128456121462410464578910174567[[#This Row],[UNIT]]&lt;0),_1_54128456121462410464578910174567[[#This Row],[UNIT]]*_1_54128456121462410464578910174567[[#This Row],[COST]],0)</f>
        <v>0</v>
      </c>
      <c r="N21" s="194">
        <f t="shared" si="0"/>
        <v>1.3</v>
      </c>
      <c r="O21" s="198">
        <f>_1_54128456121462410464578910174567[[#This Row],[TOTAL]]*_1_54128456121462410464578910174567[[#This Row],[MARGIN]]</f>
        <v>0</v>
      </c>
      <c r="R21" s="41"/>
    </row>
    <row r="22" spans="1:18">
      <c r="A22" s="168"/>
      <c r="C22" s="168"/>
      <c r="D22" s="188"/>
      <c r="F22" s="168" t="s">
        <v>6202</v>
      </c>
      <c r="G22" s="193">
        <f>IF(_1_54128456121462410464578910174567[[#This Row],[Type]]&gt;0,VLOOKUP(_1_54128456121462410464578910174567[[#This Row],[Type]],Main[[#All],[TYPE]:[UNIT]],'Unit Price'!C$1,FALSE),0)</f>
        <v>0</v>
      </c>
      <c r="H22" s="197">
        <f>IF(_1_54128456121462410464578910174567[[#This Row],[Type]]&gt;0,VLOOKUP(_1_54128456121462410464578910174567[[#This Row],[Type]],Main[[#All],[TYPE]:[UNIT]],'Unit Price'!D$1,FALSE),0)</f>
        <v>0</v>
      </c>
      <c r="I22" s="194">
        <f>IF(_1_54128456121462410464578910174567[[#This Row],[Type]]&gt;0,VLOOKUP(_1_54128456121462410464578910174567[[#This Row],[Type]],Main[[#All],[TYPE]:[UNIT]],'Unit Price'!G$1,FALSE),0)</f>
        <v>0</v>
      </c>
      <c r="J22" s="194">
        <f>IF(_1_54128456121462410464578910174567[[#This Row],[Type]]&gt;0,VLOOKUP(_1_54128456121462410464578910174567[[#This Row],[Type]],Main[[#All],[TYPE]:[UNIT]],'Unit Price'!H$1,FALSE),0)</f>
        <v>0</v>
      </c>
      <c r="K22" s="194">
        <f>IF(_1_54128456121462410464578910174567[[#This Row],[Discount selection]]&gt;0,VLOOKUP(_1_54128456121462410464578910174567[[#This Row],[Discount selection]],'Discount Structure'!$A$2:$B$30,2,"false"),0)</f>
        <v>1</v>
      </c>
      <c r="L22" s="194">
        <f>_1_54128456121462410464578910174567[[#This Row],[LIST $]]*_1_54128456121462410464578910174567[[#This Row],[DISCOUNT]]*_1_54128456121462410464578910174567[[#This Row],[DISCOUNT 2]]</f>
        <v>0</v>
      </c>
      <c r="M22" s="194">
        <f>IF(OR(_1_54128456121462410464578910174567[[#This Row],[UNIT]]&gt;0,_1_54128456121462410464578910174567[[#This Row],[UNIT]]&lt;0),_1_54128456121462410464578910174567[[#This Row],[UNIT]]*_1_54128456121462410464578910174567[[#This Row],[COST]],0)</f>
        <v>0</v>
      </c>
      <c r="N22" s="194">
        <f t="shared" si="0"/>
        <v>1.3</v>
      </c>
      <c r="O22" s="198">
        <f>_1_54128456121462410464578910174567[[#This Row],[TOTAL]]*_1_54128456121462410464578910174567[[#This Row],[MARGIN]]</f>
        <v>0</v>
      </c>
      <c r="R22" s="41"/>
    </row>
    <row r="23" spans="1:18">
      <c r="C23" s="168"/>
      <c r="D23" s="314"/>
      <c r="F23" s="168" t="s">
        <v>6202</v>
      </c>
      <c r="G23" s="193">
        <f>IF(_1_54128456121462410464578910174567[[#This Row],[Type]]&gt;0,VLOOKUP(_1_54128456121462410464578910174567[[#This Row],[Type]],Main[[#All],[TYPE]:[UNIT]],'Unit Price'!C$1,FALSE),0)</f>
        <v>0</v>
      </c>
      <c r="H23" s="197">
        <f>IF(_1_54128456121462410464578910174567[[#This Row],[Type]]&gt;0,VLOOKUP(_1_54128456121462410464578910174567[[#This Row],[Type]],Main[[#All],[TYPE]:[UNIT]],'Unit Price'!D$1,FALSE),0)</f>
        <v>0</v>
      </c>
      <c r="I23" s="194">
        <f>IF(_1_54128456121462410464578910174567[[#This Row],[Type]]&gt;0,VLOOKUP(_1_54128456121462410464578910174567[[#This Row],[Type]],Main[[#All],[TYPE]:[UNIT]],'Unit Price'!G$1,FALSE),0)</f>
        <v>0</v>
      </c>
      <c r="J23" s="194">
        <f>IF(_1_54128456121462410464578910174567[[#This Row],[Type]]&gt;0,VLOOKUP(_1_54128456121462410464578910174567[[#This Row],[Type]],Main[[#All],[TYPE]:[UNIT]],'Unit Price'!H$1,FALSE),0)</f>
        <v>0</v>
      </c>
      <c r="K23" s="194">
        <f>IF(_1_54128456121462410464578910174567[[#This Row],[Discount selection]]&gt;0,VLOOKUP(_1_54128456121462410464578910174567[[#This Row],[Discount selection]],'Discount Structure'!$A$2:$B$30,2,"false"),0)</f>
        <v>1</v>
      </c>
      <c r="L23" s="194">
        <f>_1_54128456121462410464578910174567[[#This Row],[LIST $]]*_1_54128456121462410464578910174567[[#This Row],[DISCOUNT]]*_1_54128456121462410464578910174567[[#This Row],[DISCOUNT 2]]</f>
        <v>0</v>
      </c>
      <c r="M23" s="194">
        <f>IF(OR(_1_54128456121462410464578910174567[[#This Row],[UNIT]]&gt;0,_1_54128456121462410464578910174567[[#This Row],[UNIT]]&lt;0),_1_54128456121462410464578910174567[[#This Row],[UNIT]]*_1_54128456121462410464578910174567[[#This Row],[COST]],0)</f>
        <v>0</v>
      </c>
      <c r="N23" s="194">
        <f t="shared" si="0"/>
        <v>1.3</v>
      </c>
      <c r="O23" s="198">
        <f>_1_54128456121462410464578910174567[[#This Row],[TOTAL]]*_1_54128456121462410464578910174567[[#This Row],[MARGIN]]</f>
        <v>0</v>
      </c>
      <c r="R23" s="41"/>
    </row>
    <row r="24" spans="1:18">
      <c r="C24" s="168"/>
      <c r="D24" s="188"/>
      <c r="F24" s="168" t="s">
        <v>6202</v>
      </c>
      <c r="G24" s="193">
        <f>IF(_1_54128456121462410464578910174567[[#This Row],[Type]]&gt;0,VLOOKUP(_1_54128456121462410464578910174567[[#This Row],[Type]],Main[[#All],[TYPE]:[UNIT]],'Unit Price'!C$1,FALSE),0)</f>
        <v>0</v>
      </c>
      <c r="H24" s="197">
        <f>IF(_1_54128456121462410464578910174567[[#This Row],[Type]]&gt;0,VLOOKUP(_1_54128456121462410464578910174567[[#This Row],[Type]],Main[[#All],[TYPE]:[UNIT]],'Unit Price'!D$1,FALSE),0)</f>
        <v>0</v>
      </c>
      <c r="I24" s="194">
        <f>IF(_1_54128456121462410464578910174567[[#This Row],[Type]]&gt;0,VLOOKUP(_1_54128456121462410464578910174567[[#This Row],[Type]],Main[[#All],[TYPE]:[UNIT]],'Unit Price'!G$1,FALSE),0)</f>
        <v>0</v>
      </c>
      <c r="J24" s="194">
        <f>IF(_1_54128456121462410464578910174567[[#This Row],[Type]]&gt;0,VLOOKUP(_1_54128456121462410464578910174567[[#This Row],[Type]],Main[[#All],[TYPE]:[UNIT]],'Unit Price'!H$1,FALSE),0)</f>
        <v>0</v>
      </c>
      <c r="K24" s="194">
        <f>IF(_1_54128456121462410464578910174567[[#This Row],[Discount selection]]&gt;0,VLOOKUP(_1_54128456121462410464578910174567[[#This Row],[Discount selection]],'Discount Structure'!$A$2:$B$30,2,"false"),0)</f>
        <v>1</v>
      </c>
      <c r="L24" s="194">
        <f>_1_54128456121462410464578910174567[[#This Row],[LIST $]]*_1_54128456121462410464578910174567[[#This Row],[DISCOUNT]]*_1_54128456121462410464578910174567[[#This Row],[DISCOUNT 2]]</f>
        <v>0</v>
      </c>
      <c r="M24" s="194">
        <f>IF(OR(_1_54128456121462410464578910174567[[#This Row],[UNIT]]&gt;0,_1_54128456121462410464578910174567[[#This Row],[UNIT]]&lt;0),_1_54128456121462410464578910174567[[#This Row],[UNIT]]*_1_54128456121462410464578910174567[[#This Row],[COST]],0)</f>
        <v>0</v>
      </c>
      <c r="N24" s="194">
        <f t="shared" si="0"/>
        <v>1.3</v>
      </c>
      <c r="O24" s="198">
        <f>_1_54128456121462410464578910174567[[#This Row],[TOTAL]]*_1_54128456121462410464578910174567[[#This Row],[MARGIN]]</f>
        <v>0</v>
      </c>
      <c r="R24" s="41"/>
    </row>
    <row r="25" spans="1:18">
      <c r="C25" s="168"/>
      <c r="D25" s="188"/>
      <c r="F25" s="168" t="s">
        <v>6202</v>
      </c>
      <c r="G25" s="193">
        <f>IF(_1_54128456121462410464578910174567[[#This Row],[Type]]&gt;0,VLOOKUP(_1_54128456121462410464578910174567[[#This Row],[Type]],Main[[#All],[TYPE]:[UNIT]],'Unit Price'!C$1,FALSE),0)</f>
        <v>0</v>
      </c>
      <c r="H25" s="197">
        <f>IF(_1_54128456121462410464578910174567[[#This Row],[Type]]&gt;0,VLOOKUP(_1_54128456121462410464578910174567[[#This Row],[Type]],Main[[#All],[TYPE]:[UNIT]],'Unit Price'!D$1,FALSE),0)</f>
        <v>0</v>
      </c>
      <c r="I25" s="194">
        <f>IF(_1_54128456121462410464578910174567[[#This Row],[Type]]&gt;0,VLOOKUP(_1_54128456121462410464578910174567[[#This Row],[Type]],Main[[#All],[TYPE]:[UNIT]],'Unit Price'!G$1,FALSE),0)</f>
        <v>0</v>
      </c>
      <c r="J25" s="194">
        <f>IF(_1_54128456121462410464578910174567[[#This Row],[Type]]&gt;0,VLOOKUP(_1_54128456121462410464578910174567[[#This Row],[Type]],Main[[#All],[TYPE]:[UNIT]],'Unit Price'!H$1,FALSE),0)</f>
        <v>0</v>
      </c>
      <c r="K25" s="194">
        <f>IF(_1_54128456121462410464578910174567[[#This Row],[Discount selection]]&gt;0,VLOOKUP(_1_54128456121462410464578910174567[[#This Row],[Discount selection]],'Discount Structure'!$A$2:$B$30,2,"false"),0)</f>
        <v>1</v>
      </c>
      <c r="L25" s="194">
        <f>_1_54128456121462410464578910174567[[#This Row],[LIST $]]*_1_54128456121462410464578910174567[[#This Row],[DISCOUNT]]*_1_54128456121462410464578910174567[[#This Row],[DISCOUNT 2]]</f>
        <v>0</v>
      </c>
      <c r="M25" s="194">
        <f>IF(OR(_1_54128456121462410464578910174567[[#This Row],[UNIT]]&gt;0,_1_54128456121462410464578910174567[[#This Row],[UNIT]]&lt;0),_1_54128456121462410464578910174567[[#This Row],[UNIT]]*_1_54128456121462410464578910174567[[#This Row],[COST]],0)</f>
        <v>0</v>
      </c>
      <c r="N25" s="194">
        <f t="shared" si="0"/>
        <v>1.3</v>
      </c>
      <c r="O25" s="198">
        <f>_1_54128456121462410464578910174567[[#This Row],[TOTAL]]*_1_54128456121462410464578910174567[[#This Row],[MARGIN]]</f>
        <v>0</v>
      </c>
      <c r="R25" s="41"/>
    </row>
    <row r="26" spans="1:18">
      <c r="C26" s="168"/>
      <c r="D26" s="188"/>
      <c r="F26" s="168" t="s">
        <v>6202</v>
      </c>
      <c r="G26" s="193">
        <f>IF(_1_54128456121462410464578910174567[[#This Row],[Type]]&gt;0,VLOOKUP(_1_54128456121462410464578910174567[[#This Row],[Type]],Main[[#All],[TYPE]:[UNIT]],'Unit Price'!C$1,FALSE),0)</f>
        <v>0</v>
      </c>
      <c r="H26" s="197">
        <f>IF(_1_54128456121462410464578910174567[[#This Row],[Type]]&gt;0,VLOOKUP(_1_54128456121462410464578910174567[[#This Row],[Type]],Main[[#All],[TYPE]:[UNIT]],'Unit Price'!D$1,FALSE),0)</f>
        <v>0</v>
      </c>
      <c r="I26" s="194">
        <f>IF(_1_54128456121462410464578910174567[[#This Row],[Type]]&gt;0,VLOOKUP(_1_54128456121462410464578910174567[[#This Row],[Type]],Main[[#All],[TYPE]:[UNIT]],'Unit Price'!G$1,FALSE),0)</f>
        <v>0</v>
      </c>
      <c r="J26" s="194">
        <f>IF(_1_54128456121462410464578910174567[[#This Row],[Type]]&gt;0,VLOOKUP(_1_54128456121462410464578910174567[[#This Row],[Type]],Main[[#All],[TYPE]:[UNIT]],'Unit Price'!H$1,FALSE),0)</f>
        <v>0</v>
      </c>
      <c r="K26" s="194">
        <f>IF(_1_54128456121462410464578910174567[[#This Row],[Discount selection]]&gt;0,VLOOKUP(_1_54128456121462410464578910174567[[#This Row],[Discount selection]],'Discount Structure'!$A$2:$B$30,2,"false"),0)</f>
        <v>1</v>
      </c>
      <c r="L26" s="194">
        <f>_1_54128456121462410464578910174567[[#This Row],[LIST $]]*_1_54128456121462410464578910174567[[#This Row],[DISCOUNT]]*_1_54128456121462410464578910174567[[#This Row],[DISCOUNT 2]]</f>
        <v>0</v>
      </c>
      <c r="M26" s="194">
        <f>IF(OR(_1_54128456121462410464578910174567[[#This Row],[UNIT]]&gt;0,_1_54128456121462410464578910174567[[#This Row],[UNIT]]&lt;0),_1_54128456121462410464578910174567[[#This Row],[UNIT]]*_1_54128456121462410464578910174567[[#This Row],[COST]],0)</f>
        <v>0</v>
      </c>
      <c r="N26" s="194">
        <f t="shared" si="0"/>
        <v>1.3</v>
      </c>
      <c r="O26" s="198">
        <f>_1_54128456121462410464578910174567[[#This Row],[TOTAL]]*_1_54128456121462410464578910174567[[#This Row],[MARGIN]]</f>
        <v>0</v>
      </c>
      <c r="R26" s="41"/>
    </row>
    <row r="27" spans="1:18">
      <c r="B27" s="168"/>
      <c r="C27" s="168"/>
      <c r="D27" s="188"/>
      <c r="F27" s="168" t="s">
        <v>6202</v>
      </c>
      <c r="G27" s="193">
        <f>IF(_1_54128456121462410464578910174567[[#This Row],[Type]]&gt;0,VLOOKUP(_1_54128456121462410464578910174567[[#This Row],[Type]],Main[[#All],[TYPE]:[UNIT]],'Unit Price'!C$1,FALSE),0)</f>
        <v>0</v>
      </c>
      <c r="H27" s="197">
        <f>IF(_1_54128456121462410464578910174567[[#This Row],[Type]]&gt;0,VLOOKUP(_1_54128456121462410464578910174567[[#This Row],[Type]],Main[[#All],[TYPE]:[UNIT]],'Unit Price'!D$1,FALSE),0)</f>
        <v>0</v>
      </c>
      <c r="I27" s="194">
        <f>IF(_1_54128456121462410464578910174567[[#This Row],[Type]]&gt;0,VLOOKUP(_1_54128456121462410464578910174567[[#This Row],[Type]],Main[[#All],[TYPE]:[UNIT]],'Unit Price'!G$1,FALSE),0)</f>
        <v>0</v>
      </c>
      <c r="J27" s="194">
        <f>IF(_1_54128456121462410464578910174567[[#This Row],[Type]]&gt;0,VLOOKUP(_1_54128456121462410464578910174567[[#This Row],[Type]],Main[[#All],[TYPE]:[UNIT]],'Unit Price'!H$1,FALSE),0)</f>
        <v>0</v>
      </c>
      <c r="K27" s="194">
        <f>IF(_1_54128456121462410464578910174567[[#This Row],[Discount selection]]&gt;0,VLOOKUP(_1_54128456121462410464578910174567[[#This Row],[Discount selection]],'Discount Structure'!$A$2:$B$30,2,"false"),0)</f>
        <v>1</v>
      </c>
      <c r="L27" s="194">
        <f>_1_54128456121462410464578910174567[[#This Row],[LIST $]]*_1_54128456121462410464578910174567[[#This Row],[DISCOUNT]]*_1_54128456121462410464578910174567[[#This Row],[DISCOUNT 2]]</f>
        <v>0</v>
      </c>
      <c r="M27" s="194">
        <f>IF(OR(_1_54128456121462410464578910174567[[#This Row],[UNIT]]&gt;0,_1_54128456121462410464578910174567[[#This Row],[UNIT]]&lt;0),_1_54128456121462410464578910174567[[#This Row],[UNIT]]*_1_54128456121462410464578910174567[[#This Row],[COST]],0)</f>
        <v>0</v>
      </c>
      <c r="N27" s="194">
        <f t="shared" si="0"/>
        <v>1.3</v>
      </c>
      <c r="O27" s="198">
        <f>_1_54128456121462410464578910174567[[#This Row],[TOTAL]]*_1_54128456121462410464578910174567[[#This Row],[MARGIN]]</f>
        <v>0</v>
      </c>
      <c r="R27" s="41"/>
    </row>
    <row r="28" spans="1:18">
      <c r="A28" s="168"/>
      <c r="C28" s="168"/>
      <c r="D28" s="188"/>
      <c r="F28" s="168" t="s">
        <v>6202</v>
      </c>
      <c r="G28" s="193">
        <f>IF(_1_54128456121462410464578910174567[[#This Row],[Type]]&gt;0,VLOOKUP(_1_54128456121462410464578910174567[[#This Row],[Type]],Main[[#All],[TYPE]:[UNIT]],'Unit Price'!C$1,FALSE),0)</f>
        <v>0</v>
      </c>
      <c r="H28" s="197">
        <f>IF(_1_54128456121462410464578910174567[[#This Row],[Type]]&gt;0,VLOOKUP(_1_54128456121462410464578910174567[[#This Row],[Type]],Main[[#All],[TYPE]:[UNIT]],'Unit Price'!D$1,FALSE),0)</f>
        <v>0</v>
      </c>
      <c r="I28" s="194">
        <f>IF(_1_54128456121462410464578910174567[[#This Row],[Type]]&gt;0,VLOOKUP(_1_54128456121462410464578910174567[[#This Row],[Type]],Main[[#All],[TYPE]:[UNIT]],'Unit Price'!G$1,FALSE),0)</f>
        <v>0</v>
      </c>
      <c r="J28" s="194">
        <f>IF(_1_54128456121462410464578910174567[[#This Row],[Type]]&gt;0,VLOOKUP(_1_54128456121462410464578910174567[[#This Row],[Type]],Main[[#All],[TYPE]:[UNIT]],'Unit Price'!H$1,FALSE),0)</f>
        <v>0</v>
      </c>
      <c r="K28" s="194">
        <f>IF(_1_54128456121462410464578910174567[[#This Row],[Discount selection]]&gt;0,VLOOKUP(_1_54128456121462410464578910174567[[#This Row],[Discount selection]],'Discount Structure'!$A$2:$B$30,2,"false"),0)</f>
        <v>1</v>
      </c>
      <c r="L28" s="194">
        <f>_1_54128456121462410464578910174567[[#This Row],[LIST $]]*_1_54128456121462410464578910174567[[#This Row],[DISCOUNT]]*_1_54128456121462410464578910174567[[#This Row],[DISCOUNT 2]]</f>
        <v>0</v>
      </c>
      <c r="M28" s="194">
        <f>IF(OR(_1_54128456121462410464578910174567[[#This Row],[UNIT]]&gt;0,_1_54128456121462410464578910174567[[#This Row],[UNIT]]&lt;0),_1_54128456121462410464578910174567[[#This Row],[UNIT]]*_1_54128456121462410464578910174567[[#This Row],[COST]],0)</f>
        <v>0</v>
      </c>
      <c r="N28" s="194">
        <f t="shared" si="0"/>
        <v>1.3</v>
      </c>
      <c r="O28" s="198">
        <f>_1_54128456121462410464578910174567[[#This Row],[TOTAL]]*_1_54128456121462410464578910174567[[#This Row],[MARGIN]]</f>
        <v>0</v>
      </c>
      <c r="R28" s="41"/>
    </row>
    <row r="29" spans="1:18">
      <c r="A29" s="168"/>
      <c r="C29" s="168"/>
      <c r="D29" s="188"/>
      <c r="F29" s="168" t="s">
        <v>6202</v>
      </c>
      <c r="G29" s="193">
        <f>IF(_1_54128456121462410464578910174567[[#This Row],[Type]]&gt;0,VLOOKUP(_1_54128456121462410464578910174567[[#This Row],[Type]],Main[[#All],[TYPE]:[UNIT]],'Unit Price'!C$1,FALSE),0)</f>
        <v>0</v>
      </c>
      <c r="H29" s="197">
        <f>IF(_1_54128456121462410464578910174567[[#This Row],[Type]]&gt;0,VLOOKUP(_1_54128456121462410464578910174567[[#This Row],[Type]],Main[[#All],[TYPE]:[UNIT]],'Unit Price'!D$1,FALSE),0)</f>
        <v>0</v>
      </c>
      <c r="I29" s="194">
        <f>IF(_1_54128456121462410464578910174567[[#This Row],[Type]]&gt;0,VLOOKUP(_1_54128456121462410464578910174567[[#This Row],[Type]],Main[[#All],[TYPE]:[UNIT]],'Unit Price'!G$1,FALSE),0)</f>
        <v>0</v>
      </c>
      <c r="J29" s="194">
        <f>IF(_1_54128456121462410464578910174567[[#This Row],[Type]]&gt;0,VLOOKUP(_1_54128456121462410464578910174567[[#This Row],[Type]],Main[[#All],[TYPE]:[UNIT]],'Unit Price'!H$1,FALSE),0)</f>
        <v>0</v>
      </c>
      <c r="K29" s="194">
        <f>IF(_1_54128456121462410464578910174567[[#This Row],[Discount selection]]&gt;0,VLOOKUP(_1_54128456121462410464578910174567[[#This Row],[Discount selection]],'Discount Structure'!$A$2:$B$30,2,"false"),0)</f>
        <v>1</v>
      </c>
      <c r="L29" s="194">
        <f>_1_54128456121462410464578910174567[[#This Row],[LIST $]]*_1_54128456121462410464578910174567[[#This Row],[DISCOUNT]]*_1_54128456121462410464578910174567[[#This Row],[DISCOUNT 2]]</f>
        <v>0</v>
      </c>
      <c r="M29" s="194">
        <f>IF(OR(_1_54128456121462410464578910174567[[#This Row],[UNIT]]&gt;0,_1_54128456121462410464578910174567[[#This Row],[UNIT]]&lt;0),_1_54128456121462410464578910174567[[#This Row],[UNIT]]*_1_54128456121462410464578910174567[[#This Row],[COST]],0)</f>
        <v>0</v>
      </c>
      <c r="N29" s="194">
        <f t="shared" si="0"/>
        <v>1.3</v>
      </c>
      <c r="O29" s="198">
        <f>_1_54128456121462410464578910174567[[#This Row],[TOTAL]]*_1_54128456121462410464578910174567[[#This Row],[MARGIN]]</f>
        <v>0</v>
      </c>
      <c r="R29" s="41"/>
    </row>
    <row r="30" spans="1:18">
      <c r="A30" s="168"/>
      <c r="C30" s="168"/>
      <c r="D30" s="188"/>
      <c r="F30" s="168" t="s">
        <v>6202</v>
      </c>
      <c r="G30" s="193">
        <f>IF(_1_54128456121462410464578910174567[[#This Row],[Type]]&gt;0,VLOOKUP(_1_54128456121462410464578910174567[[#This Row],[Type]],Main[[#All],[TYPE]:[UNIT]],'Unit Price'!C$1,FALSE),0)</f>
        <v>0</v>
      </c>
      <c r="H30" s="197">
        <f>IF(_1_54128456121462410464578910174567[[#This Row],[Type]]&gt;0,VLOOKUP(_1_54128456121462410464578910174567[[#This Row],[Type]],Main[[#All],[TYPE]:[UNIT]],'Unit Price'!D$1,FALSE),0)</f>
        <v>0</v>
      </c>
      <c r="I30" s="194">
        <f>IF(_1_54128456121462410464578910174567[[#This Row],[Type]]&gt;0,VLOOKUP(_1_54128456121462410464578910174567[[#This Row],[Type]],Main[[#All],[TYPE]:[UNIT]],'Unit Price'!G$1,FALSE),0)</f>
        <v>0</v>
      </c>
      <c r="J30" s="194">
        <f>IF(_1_54128456121462410464578910174567[[#This Row],[Type]]&gt;0,VLOOKUP(_1_54128456121462410464578910174567[[#This Row],[Type]],Main[[#All],[TYPE]:[UNIT]],'Unit Price'!H$1,FALSE),0)</f>
        <v>0</v>
      </c>
      <c r="K30" s="194">
        <f>IF(_1_54128456121462410464578910174567[[#This Row],[Discount selection]]&gt;0,VLOOKUP(_1_54128456121462410464578910174567[[#This Row],[Discount selection]],'Discount Structure'!$A$2:$B$30,2,"false"),0)</f>
        <v>1</v>
      </c>
      <c r="L30" s="194">
        <f>_1_54128456121462410464578910174567[[#This Row],[LIST $]]*_1_54128456121462410464578910174567[[#This Row],[DISCOUNT]]*_1_54128456121462410464578910174567[[#This Row],[DISCOUNT 2]]</f>
        <v>0</v>
      </c>
      <c r="M30" s="194">
        <f>IF(OR(_1_54128456121462410464578910174567[[#This Row],[UNIT]]&gt;0,_1_54128456121462410464578910174567[[#This Row],[UNIT]]&lt;0),_1_54128456121462410464578910174567[[#This Row],[UNIT]]*_1_54128456121462410464578910174567[[#This Row],[COST]],0)</f>
        <v>0</v>
      </c>
      <c r="N30" s="194">
        <f t="shared" si="0"/>
        <v>1.3</v>
      </c>
      <c r="O30" s="198">
        <f>_1_54128456121462410464578910174567[[#This Row],[TOTAL]]*_1_54128456121462410464578910174567[[#This Row],[MARGIN]]</f>
        <v>0</v>
      </c>
      <c r="R30" s="41"/>
    </row>
    <row r="31" spans="1:18">
      <c r="A31" s="168"/>
      <c r="C31" s="168"/>
      <c r="D31" s="188"/>
      <c r="F31" s="168" t="s">
        <v>6202</v>
      </c>
      <c r="G31" s="193">
        <f>IF(_1_54128456121462410464578910174567[[#This Row],[Type]]&gt;0,VLOOKUP(_1_54128456121462410464578910174567[[#This Row],[Type]],Main[[#All],[TYPE]:[UNIT]],'Unit Price'!C$1,FALSE),0)</f>
        <v>0</v>
      </c>
      <c r="H31" s="197">
        <f>IF(_1_54128456121462410464578910174567[[#This Row],[Type]]&gt;0,VLOOKUP(_1_54128456121462410464578910174567[[#This Row],[Type]],Main[[#All],[TYPE]:[UNIT]],'Unit Price'!D$1,FALSE),0)</f>
        <v>0</v>
      </c>
      <c r="I31" s="194">
        <f>IF(_1_54128456121462410464578910174567[[#This Row],[Type]]&gt;0,VLOOKUP(_1_54128456121462410464578910174567[[#This Row],[Type]],Main[[#All],[TYPE]:[UNIT]],'Unit Price'!G$1,FALSE),0)</f>
        <v>0</v>
      </c>
      <c r="J31" s="194">
        <f>IF(_1_54128456121462410464578910174567[[#This Row],[Type]]&gt;0,VLOOKUP(_1_54128456121462410464578910174567[[#This Row],[Type]],Main[[#All],[TYPE]:[UNIT]],'Unit Price'!H$1,FALSE),0)</f>
        <v>0</v>
      </c>
      <c r="K31" s="194">
        <f>IF(_1_54128456121462410464578910174567[[#This Row],[Discount selection]]&gt;0,VLOOKUP(_1_54128456121462410464578910174567[[#This Row],[Discount selection]],'Discount Structure'!$A$2:$B$30,2,"false"),0)</f>
        <v>1</v>
      </c>
      <c r="L31" s="194">
        <f>_1_54128456121462410464578910174567[[#This Row],[LIST $]]*_1_54128456121462410464578910174567[[#This Row],[DISCOUNT]]*_1_54128456121462410464578910174567[[#This Row],[DISCOUNT 2]]</f>
        <v>0</v>
      </c>
      <c r="M31" s="194">
        <f>IF(OR(_1_54128456121462410464578910174567[[#This Row],[UNIT]]&gt;0,_1_54128456121462410464578910174567[[#This Row],[UNIT]]&lt;0),_1_54128456121462410464578910174567[[#This Row],[UNIT]]*_1_54128456121462410464578910174567[[#This Row],[COST]],0)</f>
        <v>0</v>
      </c>
      <c r="N31" s="194">
        <f t="shared" si="0"/>
        <v>1.3</v>
      </c>
      <c r="O31" s="198">
        <f>_1_54128456121462410464578910174567[[#This Row],[TOTAL]]*_1_54128456121462410464578910174567[[#This Row],[MARGIN]]</f>
        <v>0</v>
      </c>
      <c r="R31" s="41"/>
    </row>
    <row r="32" spans="1:18">
      <c r="C32" s="168"/>
      <c r="D32" s="188"/>
      <c r="F32" s="168" t="s">
        <v>6202</v>
      </c>
      <c r="G32" s="193">
        <f>IF(_1_54128456121462410464578910174567[[#This Row],[Type]]&gt;0,VLOOKUP(_1_54128456121462410464578910174567[[#This Row],[Type]],Main[[#All],[TYPE]:[UNIT]],'Unit Price'!C$1,FALSE),0)</f>
        <v>0</v>
      </c>
      <c r="H32" s="197">
        <f>IF(_1_54128456121462410464578910174567[[#This Row],[Type]]&gt;0,VLOOKUP(_1_54128456121462410464578910174567[[#This Row],[Type]],Main[[#All],[TYPE]:[UNIT]],'Unit Price'!D$1,FALSE),0)</f>
        <v>0</v>
      </c>
      <c r="I32" s="194">
        <f>IF(_1_54128456121462410464578910174567[[#This Row],[Type]]&gt;0,VLOOKUP(_1_54128456121462410464578910174567[[#This Row],[Type]],Main[[#All],[TYPE]:[UNIT]],'Unit Price'!G$1,FALSE),0)</f>
        <v>0</v>
      </c>
      <c r="J32" s="194">
        <f>IF(_1_54128456121462410464578910174567[[#This Row],[Type]]&gt;0,VLOOKUP(_1_54128456121462410464578910174567[[#This Row],[Type]],Main[[#All],[TYPE]:[UNIT]],'Unit Price'!H$1,FALSE),0)</f>
        <v>0</v>
      </c>
      <c r="K32" s="194">
        <f>IF(_1_54128456121462410464578910174567[[#This Row],[Discount selection]]&gt;0,VLOOKUP(_1_54128456121462410464578910174567[[#This Row],[Discount selection]],'Discount Structure'!$A$2:$B$30,2,"false"),0)</f>
        <v>1</v>
      </c>
      <c r="L32" s="194">
        <f>_1_54128456121462410464578910174567[[#This Row],[LIST $]]*_1_54128456121462410464578910174567[[#This Row],[DISCOUNT]]*_1_54128456121462410464578910174567[[#This Row],[DISCOUNT 2]]</f>
        <v>0</v>
      </c>
      <c r="M32" s="194">
        <f>IF(OR(_1_54128456121462410464578910174567[[#This Row],[UNIT]]&gt;0,_1_54128456121462410464578910174567[[#This Row],[UNIT]]&lt;0),_1_54128456121462410464578910174567[[#This Row],[UNIT]]*_1_54128456121462410464578910174567[[#This Row],[COST]],0)</f>
        <v>0</v>
      </c>
      <c r="N32" s="194">
        <f t="shared" si="0"/>
        <v>1.3</v>
      </c>
      <c r="O32" s="198">
        <f>_1_54128456121462410464578910174567[[#This Row],[TOTAL]]*_1_54128456121462410464578910174567[[#This Row],[MARGIN]]</f>
        <v>0</v>
      </c>
      <c r="R32" s="41"/>
    </row>
    <row r="33" spans="1:18">
      <c r="A33" s="331"/>
      <c r="C33" s="168"/>
      <c r="D33" s="188"/>
      <c r="F33" s="168" t="s">
        <v>6202</v>
      </c>
      <c r="G33" s="193">
        <f>IF(_1_54128456121462410464578910174567[[#This Row],[Type]]&gt;0,VLOOKUP(_1_54128456121462410464578910174567[[#This Row],[Type]],Main[[#All],[TYPE]:[UNIT]],'Unit Price'!C$1,FALSE),0)</f>
        <v>0</v>
      </c>
      <c r="H33" s="197">
        <f>IF(_1_54128456121462410464578910174567[[#This Row],[Type]]&gt;0,VLOOKUP(_1_54128456121462410464578910174567[[#This Row],[Type]],Main[[#All],[TYPE]:[UNIT]],'Unit Price'!D$1,FALSE),0)</f>
        <v>0</v>
      </c>
      <c r="I33" s="194">
        <f>IF(_1_54128456121462410464578910174567[[#This Row],[Type]]&gt;0,VLOOKUP(_1_54128456121462410464578910174567[[#This Row],[Type]],Main[[#All],[TYPE]:[UNIT]],'Unit Price'!G$1,FALSE),0)</f>
        <v>0</v>
      </c>
      <c r="J33" s="194">
        <f>IF(_1_54128456121462410464578910174567[[#This Row],[Type]]&gt;0,VLOOKUP(_1_54128456121462410464578910174567[[#This Row],[Type]],Main[[#All],[TYPE]:[UNIT]],'Unit Price'!H$1,FALSE),0)</f>
        <v>0</v>
      </c>
      <c r="K33" s="194">
        <f>IF(_1_54128456121462410464578910174567[[#This Row],[Discount selection]]&gt;0,VLOOKUP(_1_54128456121462410464578910174567[[#This Row],[Discount selection]],'Discount Structure'!$A$2:$B$30,2,"false"),0)</f>
        <v>1</v>
      </c>
      <c r="L33" s="194">
        <f>_1_54128456121462410464578910174567[[#This Row],[LIST $]]*_1_54128456121462410464578910174567[[#This Row],[DISCOUNT]]*_1_54128456121462410464578910174567[[#This Row],[DISCOUNT 2]]</f>
        <v>0</v>
      </c>
      <c r="M33" s="194">
        <f>IF(OR(_1_54128456121462410464578910174567[[#This Row],[UNIT]]&gt;0,_1_54128456121462410464578910174567[[#This Row],[UNIT]]&lt;0),_1_54128456121462410464578910174567[[#This Row],[UNIT]]*_1_54128456121462410464578910174567[[#This Row],[COST]],0)</f>
        <v>0</v>
      </c>
      <c r="N33" s="194">
        <f t="shared" si="0"/>
        <v>1.3</v>
      </c>
      <c r="O33" s="198">
        <f>_1_54128456121462410464578910174567[[#This Row],[TOTAL]]*_1_54128456121462410464578910174567[[#This Row],[MARGIN]]</f>
        <v>0</v>
      </c>
      <c r="R33" s="41"/>
    </row>
    <row r="34" spans="1:18">
      <c r="C34" s="168"/>
      <c r="D34" s="188"/>
      <c r="F34" s="168" t="s">
        <v>6202</v>
      </c>
      <c r="G34" s="193">
        <f>IF(_1_54128456121462410464578910174567[[#This Row],[Type]]&gt;0,VLOOKUP(_1_54128456121462410464578910174567[[#This Row],[Type]],Main[[#All],[TYPE]:[UNIT]],'Unit Price'!C$1,FALSE),0)</f>
        <v>0</v>
      </c>
      <c r="H34" s="197">
        <f>IF(_1_54128456121462410464578910174567[[#This Row],[Type]]&gt;0,VLOOKUP(_1_54128456121462410464578910174567[[#This Row],[Type]],Main[[#All],[TYPE]:[UNIT]],'Unit Price'!D$1,FALSE),0)</f>
        <v>0</v>
      </c>
      <c r="I34" s="194">
        <f>IF(_1_54128456121462410464578910174567[[#This Row],[Type]]&gt;0,VLOOKUP(_1_54128456121462410464578910174567[[#This Row],[Type]],Main[[#All],[TYPE]:[UNIT]],'Unit Price'!G$1,FALSE),0)</f>
        <v>0</v>
      </c>
      <c r="J34" s="194">
        <f>IF(_1_54128456121462410464578910174567[[#This Row],[Type]]&gt;0,VLOOKUP(_1_54128456121462410464578910174567[[#This Row],[Type]],Main[[#All],[TYPE]:[UNIT]],'Unit Price'!H$1,FALSE),0)</f>
        <v>0</v>
      </c>
      <c r="K34" s="194">
        <f>IF(_1_54128456121462410464578910174567[[#This Row],[Discount selection]]&gt;0,VLOOKUP(_1_54128456121462410464578910174567[[#This Row],[Discount selection]],'Discount Structure'!$A$2:$B$30,2,"false"),0)</f>
        <v>1</v>
      </c>
      <c r="L34" s="194">
        <f>_1_54128456121462410464578910174567[[#This Row],[LIST $]]*_1_54128456121462410464578910174567[[#This Row],[DISCOUNT]]*_1_54128456121462410464578910174567[[#This Row],[DISCOUNT 2]]</f>
        <v>0</v>
      </c>
      <c r="M34" s="194">
        <f>IF(OR(_1_54128456121462410464578910174567[[#This Row],[UNIT]]&gt;0,_1_54128456121462410464578910174567[[#This Row],[UNIT]]&lt;0),_1_54128456121462410464578910174567[[#This Row],[UNIT]]*_1_54128456121462410464578910174567[[#This Row],[COST]],0)</f>
        <v>0</v>
      </c>
      <c r="N34" s="194">
        <f t="shared" si="0"/>
        <v>1.3</v>
      </c>
      <c r="O34" s="198">
        <f>_1_54128456121462410464578910174567[[#This Row],[TOTAL]]*_1_54128456121462410464578910174567[[#This Row],[MARGIN]]</f>
        <v>0</v>
      </c>
      <c r="R34" s="41"/>
    </row>
    <row r="35" spans="1:18">
      <c r="C35" s="168"/>
      <c r="D35" s="188"/>
      <c r="F35" s="168" t="s">
        <v>6202</v>
      </c>
      <c r="G35" s="193">
        <f>IF(_1_54128456121462410464578910174567[[#This Row],[Type]]&gt;0,VLOOKUP(_1_54128456121462410464578910174567[[#This Row],[Type]],Main[[#All],[TYPE]:[UNIT]],'Unit Price'!C$1,FALSE),0)</f>
        <v>0</v>
      </c>
      <c r="H35" s="197">
        <f>IF(_1_54128456121462410464578910174567[[#This Row],[Type]]&gt;0,VLOOKUP(_1_54128456121462410464578910174567[[#This Row],[Type]],Main[[#All],[TYPE]:[UNIT]],'Unit Price'!D$1,FALSE),0)</f>
        <v>0</v>
      </c>
      <c r="I35" s="194">
        <f>IF(_1_54128456121462410464578910174567[[#This Row],[Type]]&gt;0,VLOOKUP(_1_54128456121462410464578910174567[[#This Row],[Type]],Main[[#All],[TYPE]:[UNIT]],'Unit Price'!G$1,FALSE),0)</f>
        <v>0</v>
      </c>
      <c r="J35" s="194">
        <f>IF(_1_54128456121462410464578910174567[[#This Row],[Type]]&gt;0,VLOOKUP(_1_54128456121462410464578910174567[[#This Row],[Type]],Main[[#All],[TYPE]:[UNIT]],'Unit Price'!H$1,FALSE),0)</f>
        <v>0</v>
      </c>
      <c r="K35" s="194">
        <f>IF(_1_54128456121462410464578910174567[[#This Row],[Discount selection]]&gt;0,VLOOKUP(_1_54128456121462410464578910174567[[#This Row],[Discount selection]],'Discount Structure'!$A$2:$B$30,2,"false"),0)</f>
        <v>1</v>
      </c>
      <c r="L35" s="194">
        <f>_1_54128456121462410464578910174567[[#This Row],[LIST $]]*_1_54128456121462410464578910174567[[#This Row],[DISCOUNT]]*_1_54128456121462410464578910174567[[#This Row],[DISCOUNT 2]]</f>
        <v>0</v>
      </c>
      <c r="M35" s="194">
        <f>IF(OR(_1_54128456121462410464578910174567[[#This Row],[UNIT]]&gt;0,_1_54128456121462410464578910174567[[#This Row],[UNIT]]&lt;0),_1_54128456121462410464578910174567[[#This Row],[UNIT]]*_1_54128456121462410464578910174567[[#This Row],[COST]],0)</f>
        <v>0</v>
      </c>
      <c r="N35" s="194">
        <f t="shared" si="0"/>
        <v>1.3</v>
      </c>
      <c r="O35" s="198">
        <f>_1_54128456121462410464578910174567[[#This Row],[TOTAL]]*_1_54128456121462410464578910174567[[#This Row],[MARGIN]]</f>
        <v>0</v>
      </c>
      <c r="R35" s="41"/>
    </row>
    <row r="36" spans="1:18">
      <c r="A36" s="168"/>
      <c r="B36" s="315"/>
      <c r="C36" s="168"/>
      <c r="D36" s="188"/>
      <c r="F36" s="168" t="s">
        <v>6202</v>
      </c>
      <c r="G36" s="193">
        <f>IF(_1_54128456121462410464578910174567[[#This Row],[Type]]&gt;0,VLOOKUP(_1_54128456121462410464578910174567[[#This Row],[Type]],Main[[#All],[TYPE]:[UNIT]],'Unit Price'!C$1,FALSE),0)</f>
        <v>0</v>
      </c>
      <c r="H36" s="197">
        <f>IF(_1_54128456121462410464578910174567[[#This Row],[Type]]&gt;0,VLOOKUP(_1_54128456121462410464578910174567[[#This Row],[Type]],Main[[#All],[TYPE]:[UNIT]],'Unit Price'!D$1,FALSE),0)</f>
        <v>0</v>
      </c>
      <c r="I36" s="194">
        <f>IF(_1_54128456121462410464578910174567[[#This Row],[Type]]&gt;0,VLOOKUP(_1_54128456121462410464578910174567[[#This Row],[Type]],Main[[#All],[TYPE]:[UNIT]],'Unit Price'!G$1,FALSE),0)</f>
        <v>0</v>
      </c>
      <c r="J36" s="194">
        <f>IF(_1_54128456121462410464578910174567[[#This Row],[Type]]&gt;0,VLOOKUP(_1_54128456121462410464578910174567[[#This Row],[Type]],Main[[#All],[TYPE]:[UNIT]],'Unit Price'!H$1,FALSE),0)</f>
        <v>0</v>
      </c>
      <c r="K36" s="194">
        <f>IF(_1_54128456121462410464578910174567[[#This Row],[Discount selection]]&gt;0,VLOOKUP(_1_54128456121462410464578910174567[[#This Row],[Discount selection]],'Discount Structure'!$A$2:$B$30,2,"false"),0)</f>
        <v>1</v>
      </c>
      <c r="L36" s="194">
        <f>_1_54128456121462410464578910174567[[#This Row],[LIST $]]*_1_54128456121462410464578910174567[[#This Row],[DISCOUNT]]*_1_54128456121462410464578910174567[[#This Row],[DISCOUNT 2]]</f>
        <v>0</v>
      </c>
      <c r="M36" s="194">
        <f>IF(OR(_1_54128456121462410464578910174567[[#This Row],[UNIT]]&gt;0,_1_54128456121462410464578910174567[[#This Row],[UNIT]]&lt;0),_1_54128456121462410464578910174567[[#This Row],[UNIT]]*_1_54128456121462410464578910174567[[#This Row],[COST]],0)</f>
        <v>0</v>
      </c>
      <c r="N36" s="194">
        <f t="shared" si="0"/>
        <v>1.3</v>
      </c>
      <c r="O36" s="198">
        <f>_1_54128456121462410464578910174567[[#This Row],[TOTAL]]*_1_54128456121462410464578910174567[[#This Row],[MARGIN]]</f>
        <v>0</v>
      </c>
      <c r="R36" s="41"/>
    </row>
    <row r="37" spans="1:18">
      <c r="A37" s="168"/>
      <c r="C37" s="168"/>
      <c r="D37" s="188"/>
      <c r="F37" s="168" t="s">
        <v>6202</v>
      </c>
      <c r="G37" s="193">
        <f>IF(_1_54128456121462410464578910174567[[#This Row],[Type]]&gt;0,VLOOKUP(_1_54128456121462410464578910174567[[#This Row],[Type]],Main[[#All],[TYPE]:[UNIT]],'Unit Price'!C$1,FALSE),0)</f>
        <v>0</v>
      </c>
      <c r="H37" s="197">
        <f>IF(_1_54128456121462410464578910174567[[#This Row],[Type]]&gt;0,VLOOKUP(_1_54128456121462410464578910174567[[#This Row],[Type]],Main[[#All],[TYPE]:[UNIT]],'Unit Price'!D$1,FALSE),0)</f>
        <v>0</v>
      </c>
      <c r="I37" s="194">
        <f>IF(_1_54128456121462410464578910174567[[#This Row],[Type]]&gt;0,VLOOKUP(_1_54128456121462410464578910174567[[#This Row],[Type]],Main[[#All],[TYPE]:[UNIT]],'Unit Price'!G$1,FALSE),0)</f>
        <v>0</v>
      </c>
      <c r="J37" s="194">
        <f>IF(_1_54128456121462410464578910174567[[#This Row],[Type]]&gt;0,VLOOKUP(_1_54128456121462410464578910174567[[#This Row],[Type]],Main[[#All],[TYPE]:[UNIT]],'Unit Price'!H$1,FALSE),0)</f>
        <v>0</v>
      </c>
      <c r="K37" s="194">
        <f>IF(_1_54128456121462410464578910174567[[#This Row],[Discount selection]]&gt;0,VLOOKUP(_1_54128456121462410464578910174567[[#This Row],[Discount selection]],'Discount Structure'!$A$2:$B$30,2,"false"),0)</f>
        <v>1</v>
      </c>
      <c r="L37" s="194">
        <f>_1_54128456121462410464578910174567[[#This Row],[LIST $]]*_1_54128456121462410464578910174567[[#This Row],[DISCOUNT]]*_1_54128456121462410464578910174567[[#This Row],[DISCOUNT 2]]</f>
        <v>0</v>
      </c>
      <c r="M37" s="194">
        <f>IF(OR(_1_54128456121462410464578910174567[[#This Row],[UNIT]]&gt;0,_1_54128456121462410464578910174567[[#This Row],[UNIT]]&lt;0),_1_54128456121462410464578910174567[[#This Row],[UNIT]]*_1_54128456121462410464578910174567[[#This Row],[COST]],0)</f>
        <v>0</v>
      </c>
      <c r="N37" s="194">
        <f t="shared" si="0"/>
        <v>1.3</v>
      </c>
      <c r="O37" s="198">
        <f>_1_54128456121462410464578910174567[[#This Row],[TOTAL]]*_1_54128456121462410464578910174567[[#This Row],[MARGIN]]</f>
        <v>0</v>
      </c>
      <c r="R37" s="41"/>
    </row>
    <row r="38" spans="1:18">
      <c r="C38" s="168"/>
      <c r="D38" s="188"/>
      <c r="F38" s="168" t="s">
        <v>6202</v>
      </c>
      <c r="G38" s="193">
        <f>IF(_1_54128456121462410464578910174567[[#This Row],[Type]]&gt;0,VLOOKUP(_1_54128456121462410464578910174567[[#This Row],[Type]],Main[[#All],[TYPE]:[UNIT]],'Unit Price'!C$1,FALSE),0)</f>
        <v>0</v>
      </c>
      <c r="H38" s="197">
        <f>IF(_1_54128456121462410464578910174567[[#This Row],[Type]]&gt;0,VLOOKUP(_1_54128456121462410464578910174567[[#This Row],[Type]],Main[[#All],[TYPE]:[UNIT]],'Unit Price'!D$1,FALSE),0)</f>
        <v>0</v>
      </c>
      <c r="I38" s="194">
        <f>IF(_1_54128456121462410464578910174567[[#This Row],[Type]]&gt;0,VLOOKUP(_1_54128456121462410464578910174567[[#This Row],[Type]],Main[[#All],[TYPE]:[UNIT]],'Unit Price'!G$1,FALSE),0)</f>
        <v>0</v>
      </c>
      <c r="J38" s="194">
        <f>IF(_1_54128456121462410464578910174567[[#This Row],[Type]]&gt;0,VLOOKUP(_1_54128456121462410464578910174567[[#This Row],[Type]],Main[[#All],[TYPE]:[UNIT]],'Unit Price'!H$1,FALSE),0)</f>
        <v>0</v>
      </c>
      <c r="K38" s="194">
        <f>IF(_1_54128456121462410464578910174567[[#This Row],[Discount selection]]&gt;0,VLOOKUP(_1_54128456121462410464578910174567[[#This Row],[Discount selection]],'Discount Structure'!$A$2:$B$30,2,"false"),0)</f>
        <v>1</v>
      </c>
      <c r="L38" s="194">
        <f>_1_54128456121462410464578910174567[[#This Row],[LIST $]]*_1_54128456121462410464578910174567[[#This Row],[DISCOUNT]]*_1_54128456121462410464578910174567[[#This Row],[DISCOUNT 2]]</f>
        <v>0</v>
      </c>
      <c r="M38" s="194">
        <f>IF(OR(_1_54128456121462410464578910174567[[#This Row],[UNIT]]&gt;0,_1_54128456121462410464578910174567[[#This Row],[UNIT]]&lt;0),_1_54128456121462410464578910174567[[#This Row],[UNIT]]*_1_54128456121462410464578910174567[[#This Row],[COST]],0)</f>
        <v>0</v>
      </c>
      <c r="N38" s="194">
        <f t="shared" si="0"/>
        <v>1.3</v>
      </c>
      <c r="O38" s="198">
        <f>_1_54128456121462410464578910174567[[#This Row],[TOTAL]]*_1_54128456121462410464578910174567[[#This Row],[MARGIN]]</f>
        <v>0</v>
      </c>
      <c r="R38" s="41"/>
    </row>
    <row r="39" spans="1:18">
      <c r="C39" s="168"/>
      <c r="D39" s="188"/>
      <c r="F39" s="168" t="s">
        <v>6202</v>
      </c>
      <c r="G39" s="193">
        <f>IF(_1_54128456121462410464578910174567[[#This Row],[Type]]&gt;0,VLOOKUP(_1_54128456121462410464578910174567[[#This Row],[Type]],Main[[#All],[TYPE]:[UNIT]],'Unit Price'!C$1,FALSE),0)</f>
        <v>0</v>
      </c>
      <c r="H39" s="197">
        <f>IF(_1_54128456121462410464578910174567[[#This Row],[Type]]&gt;0,VLOOKUP(_1_54128456121462410464578910174567[[#This Row],[Type]],Main[[#All],[TYPE]:[UNIT]],'Unit Price'!D$1,FALSE),0)</f>
        <v>0</v>
      </c>
      <c r="I39" s="194">
        <f>IF(_1_54128456121462410464578910174567[[#This Row],[Type]]&gt;0,VLOOKUP(_1_54128456121462410464578910174567[[#This Row],[Type]],Main[[#All],[TYPE]:[UNIT]],'Unit Price'!G$1,FALSE),0)</f>
        <v>0</v>
      </c>
      <c r="J39" s="194">
        <f>IF(_1_54128456121462410464578910174567[[#This Row],[Type]]&gt;0,VLOOKUP(_1_54128456121462410464578910174567[[#This Row],[Type]],Main[[#All],[TYPE]:[UNIT]],'Unit Price'!H$1,FALSE),0)</f>
        <v>0</v>
      </c>
      <c r="K39" s="194">
        <f>IF(_1_54128456121462410464578910174567[[#This Row],[Discount selection]]&gt;0,VLOOKUP(_1_54128456121462410464578910174567[[#This Row],[Discount selection]],'Discount Structure'!$A$2:$B$30,2,"false"),0)</f>
        <v>1</v>
      </c>
      <c r="L39" s="194">
        <f>_1_54128456121462410464578910174567[[#This Row],[LIST $]]*_1_54128456121462410464578910174567[[#This Row],[DISCOUNT]]*_1_54128456121462410464578910174567[[#This Row],[DISCOUNT 2]]</f>
        <v>0</v>
      </c>
      <c r="M39" s="194">
        <f>IF(OR(_1_54128456121462410464578910174567[[#This Row],[UNIT]]&gt;0,_1_54128456121462410464578910174567[[#This Row],[UNIT]]&lt;0),_1_54128456121462410464578910174567[[#This Row],[UNIT]]*_1_54128456121462410464578910174567[[#This Row],[COST]],0)</f>
        <v>0</v>
      </c>
      <c r="N39" s="194">
        <f t="shared" si="0"/>
        <v>1.3</v>
      </c>
      <c r="O39" s="198">
        <f>_1_54128456121462410464578910174567[[#This Row],[TOTAL]]*_1_54128456121462410464578910174567[[#This Row],[MARGIN]]</f>
        <v>0</v>
      </c>
      <c r="R39" s="41"/>
    </row>
    <row r="40" spans="1:18">
      <c r="C40" s="168"/>
      <c r="D40" s="188"/>
      <c r="F40" s="168" t="s">
        <v>6202</v>
      </c>
      <c r="G40" s="193">
        <f>IF(_1_54128456121462410464578910174567[[#This Row],[Type]]&gt;0,VLOOKUP(_1_54128456121462410464578910174567[[#This Row],[Type]],Main[[#All],[TYPE]:[UNIT]],'Unit Price'!C$1,FALSE),0)</f>
        <v>0</v>
      </c>
      <c r="H40" s="197">
        <f>IF(_1_54128456121462410464578910174567[[#This Row],[Type]]&gt;0,VLOOKUP(_1_54128456121462410464578910174567[[#This Row],[Type]],Main[[#All],[TYPE]:[UNIT]],'Unit Price'!D$1,FALSE),0)</f>
        <v>0</v>
      </c>
      <c r="I40" s="194">
        <f>IF(_1_54128456121462410464578910174567[[#This Row],[Type]]&gt;0,VLOOKUP(_1_54128456121462410464578910174567[[#This Row],[Type]],Main[[#All],[TYPE]:[UNIT]],'Unit Price'!G$1,FALSE),0)</f>
        <v>0</v>
      </c>
      <c r="J40" s="194">
        <f>IF(_1_54128456121462410464578910174567[[#This Row],[Type]]&gt;0,VLOOKUP(_1_54128456121462410464578910174567[[#This Row],[Type]],Main[[#All],[TYPE]:[UNIT]],'Unit Price'!H$1,FALSE),0)</f>
        <v>0</v>
      </c>
      <c r="K40" s="194">
        <f>IF(_1_54128456121462410464578910174567[[#This Row],[Discount selection]]&gt;0,VLOOKUP(_1_54128456121462410464578910174567[[#This Row],[Discount selection]],'Discount Structure'!$A$2:$B$30,2,"false"),0)</f>
        <v>1</v>
      </c>
      <c r="L40" s="194">
        <f>_1_54128456121462410464578910174567[[#This Row],[LIST $]]*_1_54128456121462410464578910174567[[#This Row],[DISCOUNT]]*_1_54128456121462410464578910174567[[#This Row],[DISCOUNT 2]]</f>
        <v>0</v>
      </c>
      <c r="M40" s="194">
        <f>IF(OR(_1_54128456121462410464578910174567[[#This Row],[UNIT]]&gt;0,_1_54128456121462410464578910174567[[#This Row],[UNIT]]&lt;0),_1_54128456121462410464578910174567[[#This Row],[UNIT]]*_1_54128456121462410464578910174567[[#This Row],[COST]],0)</f>
        <v>0</v>
      </c>
      <c r="N40" s="194">
        <f t="shared" si="0"/>
        <v>1.3</v>
      </c>
      <c r="O40" s="198">
        <f>_1_54128456121462410464578910174567[[#This Row],[TOTAL]]*_1_54128456121462410464578910174567[[#This Row],[MARGIN]]</f>
        <v>0</v>
      </c>
      <c r="R40" s="41"/>
    </row>
    <row r="41" spans="1:18">
      <c r="A41" s="316"/>
      <c r="C41" s="168"/>
      <c r="D41" s="188"/>
      <c r="F41" s="168" t="s">
        <v>6202</v>
      </c>
      <c r="G41" s="193">
        <f>IF(_1_54128456121462410464578910174567[[#This Row],[Type]]&gt;0,VLOOKUP(_1_54128456121462410464578910174567[[#This Row],[Type]],Main[[#All],[TYPE]:[UNIT]],'Unit Price'!C$1,FALSE),0)</f>
        <v>0</v>
      </c>
      <c r="H41" s="197">
        <f>IF(_1_54128456121462410464578910174567[[#This Row],[Type]]&gt;0,VLOOKUP(_1_54128456121462410464578910174567[[#This Row],[Type]],Main[[#All],[TYPE]:[UNIT]],'Unit Price'!D$1,FALSE),0)</f>
        <v>0</v>
      </c>
      <c r="I41" s="194">
        <f>IF(_1_54128456121462410464578910174567[[#This Row],[Type]]&gt;0,VLOOKUP(_1_54128456121462410464578910174567[[#This Row],[Type]],Main[[#All],[TYPE]:[UNIT]],'Unit Price'!G$1,FALSE),0)</f>
        <v>0</v>
      </c>
      <c r="J41" s="194">
        <f>IF(_1_54128456121462410464578910174567[[#This Row],[Type]]&gt;0,VLOOKUP(_1_54128456121462410464578910174567[[#This Row],[Type]],Main[[#All],[TYPE]:[UNIT]],'Unit Price'!H$1,FALSE),0)</f>
        <v>0</v>
      </c>
      <c r="K41" s="194">
        <f>IF(_1_54128456121462410464578910174567[[#This Row],[Discount selection]]&gt;0,VLOOKUP(_1_54128456121462410464578910174567[[#This Row],[Discount selection]],'Discount Structure'!$A$2:$B$30,2,"false"),0)</f>
        <v>1</v>
      </c>
      <c r="L41" s="194">
        <f>_1_54128456121462410464578910174567[[#This Row],[LIST $]]*_1_54128456121462410464578910174567[[#This Row],[DISCOUNT]]*_1_54128456121462410464578910174567[[#This Row],[DISCOUNT 2]]</f>
        <v>0</v>
      </c>
      <c r="M41" s="194">
        <f>IF(OR(_1_54128456121462410464578910174567[[#This Row],[UNIT]]&gt;0,_1_54128456121462410464578910174567[[#This Row],[UNIT]]&lt;0),_1_54128456121462410464578910174567[[#This Row],[UNIT]]*_1_54128456121462410464578910174567[[#This Row],[COST]],0)</f>
        <v>0</v>
      </c>
      <c r="N41" s="194">
        <f t="shared" si="0"/>
        <v>1.3</v>
      </c>
      <c r="O41" s="198">
        <f>_1_54128456121462410464578910174567[[#This Row],[TOTAL]]*_1_54128456121462410464578910174567[[#This Row],[MARGIN]]</f>
        <v>0</v>
      </c>
      <c r="R41" s="41"/>
    </row>
    <row r="42" spans="1:18">
      <c r="C42" s="168"/>
      <c r="D42" s="188"/>
      <c r="F42" s="168" t="s">
        <v>6202</v>
      </c>
      <c r="G42" s="193">
        <f>IF(_1_54128456121462410464578910174567[[#This Row],[Type]]&gt;0,VLOOKUP(_1_54128456121462410464578910174567[[#This Row],[Type]],Main[[#All],[TYPE]:[UNIT]],'Unit Price'!C$1,FALSE),0)</f>
        <v>0</v>
      </c>
      <c r="H42" s="197">
        <f>IF(_1_54128456121462410464578910174567[[#This Row],[Type]]&gt;0,VLOOKUP(_1_54128456121462410464578910174567[[#This Row],[Type]],Main[[#All],[TYPE]:[UNIT]],'Unit Price'!D$1,FALSE),0)</f>
        <v>0</v>
      </c>
      <c r="I42" s="194">
        <f>IF(_1_54128456121462410464578910174567[[#This Row],[Type]]&gt;0,VLOOKUP(_1_54128456121462410464578910174567[[#This Row],[Type]],Main[[#All],[TYPE]:[UNIT]],'Unit Price'!G$1,FALSE),0)</f>
        <v>0</v>
      </c>
      <c r="J42" s="194">
        <f>IF(_1_54128456121462410464578910174567[[#This Row],[Type]]&gt;0,VLOOKUP(_1_54128456121462410464578910174567[[#This Row],[Type]],Main[[#All],[TYPE]:[UNIT]],'Unit Price'!H$1,FALSE),0)</f>
        <v>0</v>
      </c>
      <c r="K42" s="194">
        <f>IF(_1_54128456121462410464578910174567[[#This Row],[Discount selection]]&gt;0,VLOOKUP(_1_54128456121462410464578910174567[[#This Row],[Discount selection]],'Discount Structure'!$A$2:$B$30,2,"false"),0)</f>
        <v>1</v>
      </c>
      <c r="L42" s="194">
        <f>_1_54128456121462410464578910174567[[#This Row],[LIST $]]*_1_54128456121462410464578910174567[[#This Row],[DISCOUNT]]*_1_54128456121462410464578910174567[[#This Row],[DISCOUNT 2]]</f>
        <v>0</v>
      </c>
      <c r="M42" s="194">
        <f>IF(OR(_1_54128456121462410464578910174567[[#This Row],[UNIT]]&gt;0,_1_54128456121462410464578910174567[[#This Row],[UNIT]]&lt;0),_1_54128456121462410464578910174567[[#This Row],[UNIT]]*_1_54128456121462410464578910174567[[#This Row],[COST]],0)</f>
        <v>0</v>
      </c>
      <c r="N42" s="194">
        <f t="shared" si="0"/>
        <v>1.3</v>
      </c>
      <c r="O42" s="198">
        <f>_1_54128456121462410464578910174567[[#This Row],[TOTAL]]*_1_54128456121462410464578910174567[[#This Row],[MARGIN]]</f>
        <v>0</v>
      </c>
      <c r="R42" s="41"/>
    </row>
    <row r="43" spans="1:18">
      <c r="C43" s="168"/>
      <c r="D43" s="188"/>
      <c r="F43" s="168" t="s">
        <v>6202</v>
      </c>
      <c r="G43" s="193">
        <f>IF(_1_54128456121462410464578910174567[[#This Row],[Type]]&gt;0,VLOOKUP(_1_54128456121462410464578910174567[[#This Row],[Type]],Main[[#All],[TYPE]:[UNIT]],'Unit Price'!C$1,FALSE),0)</f>
        <v>0</v>
      </c>
      <c r="H43" s="197">
        <f>IF(_1_54128456121462410464578910174567[[#This Row],[Type]]&gt;0,VLOOKUP(_1_54128456121462410464578910174567[[#This Row],[Type]],Main[[#All],[TYPE]:[UNIT]],'Unit Price'!D$1,FALSE),0)</f>
        <v>0</v>
      </c>
      <c r="I43" s="194">
        <f>IF(_1_54128456121462410464578910174567[[#This Row],[Type]]&gt;0,VLOOKUP(_1_54128456121462410464578910174567[[#This Row],[Type]],Main[[#All],[TYPE]:[UNIT]],'Unit Price'!G$1,FALSE),0)</f>
        <v>0</v>
      </c>
      <c r="J43" s="194">
        <f>IF(_1_54128456121462410464578910174567[[#This Row],[Type]]&gt;0,VLOOKUP(_1_54128456121462410464578910174567[[#This Row],[Type]],Main[[#All],[TYPE]:[UNIT]],'Unit Price'!H$1,FALSE),0)</f>
        <v>0</v>
      </c>
      <c r="K43" s="194">
        <f>IF(_1_54128456121462410464578910174567[[#This Row],[Discount selection]]&gt;0,VLOOKUP(_1_54128456121462410464578910174567[[#This Row],[Discount selection]],'Discount Structure'!$A$2:$B$30,2,"false"),0)</f>
        <v>1</v>
      </c>
      <c r="L43" s="194">
        <f>_1_54128456121462410464578910174567[[#This Row],[LIST $]]*_1_54128456121462410464578910174567[[#This Row],[DISCOUNT]]*_1_54128456121462410464578910174567[[#This Row],[DISCOUNT 2]]</f>
        <v>0</v>
      </c>
      <c r="M43" s="194">
        <f>IF(OR(_1_54128456121462410464578910174567[[#This Row],[UNIT]]&gt;0,_1_54128456121462410464578910174567[[#This Row],[UNIT]]&lt;0),_1_54128456121462410464578910174567[[#This Row],[UNIT]]*_1_54128456121462410464578910174567[[#This Row],[COST]],0)</f>
        <v>0</v>
      </c>
      <c r="N43" s="194">
        <f t="shared" si="0"/>
        <v>1.3</v>
      </c>
      <c r="O43" s="198">
        <f>_1_54128456121462410464578910174567[[#This Row],[TOTAL]]*_1_54128456121462410464578910174567[[#This Row],[MARGIN]]</f>
        <v>0</v>
      </c>
      <c r="R43" s="41"/>
    </row>
    <row r="44" spans="1:18">
      <c r="C44" s="168"/>
      <c r="D44" s="188"/>
      <c r="F44" s="168" t="s">
        <v>6202</v>
      </c>
      <c r="G44" s="193">
        <f>IF(_1_54128456121462410464578910174567[[#This Row],[Type]]&gt;0,VLOOKUP(_1_54128456121462410464578910174567[[#This Row],[Type]],Main[[#All],[TYPE]:[UNIT]],'Unit Price'!C$1,FALSE),0)</f>
        <v>0</v>
      </c>
      <c r="H44" s="197">
        <f>IF(_1_54128456121462410464578910174567[[#This Row],[Type]]&gt;0,VLOOKUP(_1_54128456121462410464578910174567[[#This Row],[Type]],Main[[#All],[TYPE]:[UNIT]],'Unit Price'!D$1,FALSE),0)</f>
        <v>0</v>
      </c>
      <c r="I44" s="194">
        <f>IF(_1_54128456121462410464578910174567[[#This Row],[Type]]&gt;0,VLOOKUP(_1_54128456121462410464578910174567[[#This Row],[Type]],Main[[#All],[TYPE]:[UNIT]],'Unit Price'!G$1,FALSE),0)</f>
        <v>0</v>
      </c>
      <c r="J44" s="194">
        <f>IF(_1_54128456121462410464578910174567[[#This Row],[Type]]&gt;0,VLOOKUP(_1_54128456121462410464578910174567[[#This Row],[Type]],Main[[#All],[TYPE]:[UNIT]],'Unit Price'!H$1,FALSE),0)</f>
        <v>0</v>
      </c>
      <c r="K44" s="194">
        <f>IF(_1_54128456121462410464578910174567[[#This Row],[Discount selection]]&gt;0,VLOOKUP(_1_54128456121462410464578910174567[[#This Row],[Discount selection]],'Discount Structure'!$A$2:$B$30,2,"false"),0)</f>
        <v>1</v>
      </c>
      <c r="L44" s="194">
        <f>_1_54128456121462410464578910174567[[#This Row],[LIST $]]*_1_54128456121462410464578910174567[[#This Row],[DISCOUNT]]*_1_54128456121462410464578910174567[[#This Row],[DISCOUNT 2]]</f>
        <v>0</v>
      </c>
      <c r="M44" s="194">
        <f>IF(OR(_1_54128456121462410464578910174567[[#This Row],[UNIT]]&gt;0,_1_54128456121462410464578910174567[[#This Row],[UNIT]]&lt;0),_1_54128456121462410464578910174567[[#This Row],[UNIT]]*_1_54128456121462410464578910174567[[#This Row],[COST]],0)</f>
        <v>0</v>
      </c>
      <c r="N44" s="194">
        <f t="shared" si="0"/>
        <v>1.3</v>
      </c>
      <c r="O44" s="198">
        <f>_1_54128456121462410464578910174567[[#This Row],[TOTAL]]*_1_54128456121462410464578910174567[[#This Row],[MARGIN]]</f>
        <v>0</v>
      </c>
      <c r="R44" s="41"/>
    </row>
    <row r="45" spans="1:18">
      <c r="C45" s="168"/>
      <c r="D45" s="188"/>
      <c r="F45" s="168" t="s">
        <v>6202</v>
      </c>
      <c r="G45" s="193">
        <f>IF(_1_54128456121462410464578910174567[[#This Row],[Type]]&gt;0,VLOOKUP(_1_54128456121462410464578910174567[[#This Row],[Type]],Main[[#All],[TYPE]:[UNIT]],'Unit Price'!C$1,FALSE),0)</f>
        <v>0</v>
      </c>
      <c r="H45" s="197">
        <f>IF(_1_54128456121462410464578910174567[[#This Row],[Type]]&gt;0,VLOOKUP(_1_54128456121462410464578910174567[[#This Row],[Type]],Main[[#All],[TYPE]:[UNIT]],'Unit Price'!D$1,FALSE),0)</f>
        <v>0</v>
      </c>
      <c r="I45" s="194">
        <f>IF(_1_54128456121462410464578910174567[[#This Row],[Type]]&gt;0,VLOOKUP(_1_54128456121462410464578910174567[[#This Row],[Type]],Main[[#All],[TYPE]:[UNIT]],'Unit Price'!G$1,FALSE),0)</f>
        <v>0</v>
      </c>
      <c r="J45" s="194">
        <f>IF(_1_54128456121462410464578910174567[[#This Row],[Type]]&gt;0,VLOOKUP(_1_54128456121462410464578910174567[[#This Row],[Type]],Main[[#All],[TYPE]:[UNIT]],'Unit Price'!H$1,FALSE),0)</f>
        <v>0</v>
      </c>
      <c r="K45" s="194">
        <f>IF(_1_54128456121462410464578910174567[[#This Row],[Discount selection]]&gt;0,VLOOKUP(_1_54128456121462410464578910174567[[#This Row],[Discount selection]],'Discount Structure'!$A$2:$B$30,2,"false"),0)</f>
        <v>1</v>
      </c>
      <c r="L45" s="194">
        <f>_1_54128456121462410464578910174567[[#This Row],[LIST $]]*_1_54128456121462410464578910174567[[#This Row],[DISCOUNT]]*_1_54128456121462410464578910174567[[#This Row],[DISCOUNT 2]]</f>
        <v>0</v>
      </c>
      <c r="M45" s="194">
        <f>IF(OR(_1_54128456121462410464578910174567[[#This Row],[UNIT]]&gt;0,_1_54128456121462410464578910174567[[#This Row],[UNIT]]&lt;0),_1_54128456121462410464578910174567[[#This Row],[UNIT]]*_1_54128456121462410464578910174567[[#This Row],[COST]],0)</f>
        <v>0</v>
      </c>
      <c r="N45" s="194">
        <f t="shared" si="0"/>
        <v>1.3</v>
      </c>
      <c r="O45" s="198">
        <f>_1_54128456121462410464578910174567[[#This Row],[TOTAL]]*_1_54128456121462410464578910174567[[#This Row],[MARGIN]]</f>
        <v>0</v>
      </c>
      <c r="R45" s="41"/>
    </row>
    <row r="46" spans="1:18">
      <c r="C46" s="168"/>
      <c r="D46" s="188"/>
      <c r="F46" s="168" t="s">
        <v>6202</v>
      </c>
      <c r="G46" s="193">
        <f>IF(_1_54128456121462410464578910174567[[#This Row],[Type]]&gt;0,VLOOKUP(_1_54128456121462410464578910174567[[#This Row],[Type]],Main[[#All],[TYPE]:[UNIT]],'Unit Price'!C$1,FALSE),0)</f>
        <v>0</v>
      </c>
      <c r="H46" s="197">
        <f>IF(_1_54128456121462410464578910174567[[#This Row],[Type]]&gt;0,VLOOKUP(_1_54128456121462410464578910174567[[#This Row],[Type]],Main[[#All],[TYPE]:[UNIT]],'Unit Price'!D$1,FALSE),0)</f>
        <v>0</v>
      </c>
      <c r="I46" s="194">
        <f>IF(_1_54128456121462410464578910174567[[#This Row],[Type]]&gt;0,VLOOKUP(_1_54128456121462410464578910174567[[#This Row],[Type]],Main[[#All],[TYPE]:[UNIT]],'Unit Price'!G$1,FALSE),0)</f>
        <v>0</v>
      </c>
      <c r="J46" s="194">
        <f>IF(_1_54128456121462410464578910174567[[#This Row],[Type]]&gt;0,VLOOKUP(_1_54128456121462410464578910174567[[#This Row],[Type]],Main[[#All],[TYPE]:[UNIT]],'Unit Price'!H$1,FALSE),0)</f>
        <v>0</v>
      </c>
      <c r="K46" s="194">
        <f>IF(_1_54128456121462410464578910174567[[#This Row],[Discount selection]]&gt;0,VLOOKUP(_1_54128456121462410464578910174567[[#This Row],[Discount selection]],'Discount Structure'!$A$2:$B$30,2,"false"),0)</f>
        <v>1</v>
      </c>
      <c r="L46" s="194">
        <f>_1_54128456121462410464578910174567[[#This Row],[LIST $]]*_1_54128456121462410464578910174567[[#This Row],[DISCOUNT]]*_1_54128456121462410464578910174567[[#This Row],[DISCOUNT 2]]</f>
        <v>0</v>
      </c>
      <c r="M46" s="194">
        <f>IF(OR(_1_54128456121462410464578910174567[[#This Row],[UNIT]]&gt;0,_1_54128456121462410464578910174567[[#This Row],[UNIT]]&lt;0),_1_54128456121462410464578910174567[[#This Row],[UNIT]]*_1_54128456121462410464578910174567[[#This Row],[COST]],0)</f>
        <v>0</v>
      </c>
      <c r="N46" s="194">
        <f t="shared" si="0"/>
        <v>1.3</v>
      </c>
      <c r="O46" s="198">
        <f>_1_54128456121462410464578910174567[[#This Row],[TOTAL]]*_1_54128456121462410464578910174567[[#This Row],[MARGIN]]</f>
        <v>0</v>
      </c>
      <c r="R46" s="41"/>
    </row>
    <row r="47" spans="1:18">
      <c r="C47" s="168"/>
      <c r="D47" s="188"/>
      <c r="F47" s="168" t="s">
        <v>6202</v>
      </c>
      <c r="G47" s="193">
        <f>IF(_1_54128456121462410464578910174567[[#This Row],[Type]]&gt;0,VLOOKUP(_1_54128456121462410464578910174567[[#This Row],[Type]],Main[[#All],[TYPE]:[UNIT]],'Unit Price'!C$1,FALSE),0)</f>
        <v>0</v>
      </c>
      <c r="H47" s="197">
        <f>IF(_1_54128456121462410464578910174567[[#This Row],[Type]]&gt;0,VLOOKUP(_1_54128456121462410464578910174567[[#This Row],[Type]],Main[[#All],[TYPE]:[UNIT]],'Unit Price'!D$1,FALSE),0)</f>
        <v>0</v>
      </c>
      <c r="I47" s="194">
        <f>IF(_1_54128456121462410464578910174567[[#This Row],[Type]]&gt;0,VLOOKUP(_1_54128456121462410464578910174567[[#This Row],[Type]],Main[[#All],[TYPE]:[UNIT]],'Unit Price'!G$1,FALSE),0)</f>
        <v>0</v>
      </c>
      <c r="J47" s="194">
        <f>IF(_1_54128456121462410464578910174567[[#This Row],[Type]]&gt;0,VLOOKUP(_1_54128456121462410464578910174567[[#This Row],[Type]],Main[[#All],[TYPE]:[UNIT]],'Unit Price'!H$1,FALSE),0)</f>
        <v>0</v>
      </c>
      <c r="K47" s="194">
        <f>IF(_1_54128456121462410464578910174567[[#This Row],[Discount selection]]&gt;0,VLOOKUP(_1_54128456121462410464578910174567[[#This Row],[Discount selection]],'Discount Structure'!$A$2:$B$30,2,"false"),0)</f>
        <v>1</v>
      </c>
      <c r="L47" s="194">
        <f>_1_54128456121462410464578910174567[[#This Row],[LIST $]]*_1_54128456121462410464578910174567[[#This Row],[DISCOUNT]]*_1_54128456121462410464578910174567[[#This Row],[DISCOUNT 2]]</f>
        <v>0</v>
      </c>
      <c r="M47" s="194">
        <f>IF(OR(_1_54128456121462410464578910174567[[#This Row],[UNIT]]&gt;0,_1_54128456121462410464578910174567[[#This Row],[UNIT]]&lt;0),_1_54128456121462410464578910174567[[#This Row],[UNIT]]*_1_54128456121462410464578910174567[[#This Row],[COST]],0)</f>
        <v>0</v>
      </c>
      <c r="N47" s="194">
        <f t="shared" si="0"/>
        <v>1.3</v>
      </c>
      <c r="O47" s="198">
        <f>_1_54128456121462410464578910174567[[#This Row],[TOTAL]]*_1_54128456121462410464578910174567[[#This Row],[MARGIN]]</f>
        <v>0</v>
      </c>
      <c r="R47" s="41"/>
    </row>
    <row r="48" spans="1:18">
      <c r="C48" s="168"/>
      <c r="D48" s="188"/>
      <c r="F48" s="168" t="s">
        <v>6202</v>
      </c>
      <c r="G48" s="193">
        <f>IF(_1_54128456121462410464578910174567[[#This Row],[Type]]&gt;0,VLOOKUP(_1_54128456121462410464578910174567[[#This Row],[Type]],Main[[#All],[TYPE]:[UNIT]],'Unit Price'!C$1,FALSE),0)</f>
        <v>0</v>
      </c>
      <c r="H48" s="197">
        <f>IF(_1_54128456121462410464578910174567[[#This Row],[Type]]&gt;0,VLOOKUP(_1_54128456121462410464578910174567[[#This Row],[Type]],Main[[#All],[TYPE]:[UNIT]],'Unit Price'!D$1,FALSE),0)</f>
        <v>0</v>
      </c>
      <c r="I48" s="194">
        <f>IF(_1_54128456121462410464578910174567[[#This Row],[Type]]&gt;0,VLOOKUP(_1_54128456121462410464578910174567[[#This Row],[Type]],Main[[#All],[TYPE]:[UNIT]],'Unit Price'!G$1,FALSE),0)</f>
        <v>0</v>
      </c>
      <c r="J48" s="194">
        <f>IF(_1_54128456121462410464578910174567[[#This Row],[Type]]&gt;0,VLOOKUP(_1_54128456121462410464578910174567[[#This Row],[Type]],Main[[#All],[TYPE]:[UNIT]],'Unit Price'!H$1,FALSE),0)</f>
        <v>0</v>
      </c>
      <c r="K48" s="194">
        <f>IF(_1_54128456121462410464578910174567[[#This Row],[Discount selection]]&gt;0,VLOOKUP(_1_54128456121462410464578910174567[[#This Row],[Discount selection]],'Discount Structure'!$A$2:$B$30,2,"false"),0)</f>
        <v>1</v>
      </c>
      <c r="L48" s="194">
        <f>_1_54128456121462410464578910174567[[#This Row],[LIST $]]*_1_54128456121462410464578910174567[[#This Row],[DISCOUNT]]*_1_54128456121462410464578910174567[[#This Row],[DISCOUNT 2]]</f>
        <v>0</v>
      </c>
      <c r="M48" s="194">
        <f>IF(OR(_1_54128456121462410464578910174567[[#This Row],[UNIT]]&gt;0,_1_54128456121462410464578910174567[[#This Row],[UNIT]]&lt;0),_1_54128456121462410464578910174567[[#This Row],[UNIT]]*_1_54128456121462410464578910174567[[#This Row],[COST]],0)</f>
        <v>0</v>
      </c>
      <c r="N48" s="194">
        <f t="shared" si="0"/>
        <v>1.3</v>
      </c>
      <c r="O48" s="198">
        <f>_1_54128456121462410464578910174567[[#This Row],[TOTAL]]*_1_54128456121462410464578910174567[[#This Row],[MARGIN]]</f>
        <v>0</v>
      </c>
      <c r="R48" s="41"/>
    </row>
    <row r="49" spans="1:18">
      <c r="C49" s="168"/>
      <c r="D49" s="188"/>
      <c r="F49" s="168" t="s">
        <v>6202</v>
      </c>
      <c r="G49" s="193">
        <f>IF(_1_54128456121462410464578910174567[[#This Row],[Type]]&gt;0,VLOOKUP(_1_54128456121462410464578910174567[[#This Row],[Type]],Main[[#All],[TYPE]:[UNIT]],'Unit Price'!C$1,FALSE),0)</f>
        <v>0</v>
      </c>
      <c r="H49" s="197">
        <f>IF(_1_54128456121462410464578910174567[[#This Row],[Type]]&gt;0,VLOOKUP(_1_54128456121462410464578910174567[[#This Row],[Type]],Main[[#All],[TYPE]:[UNIT]],'Unit Price'!D$1,FALSE),0)</f>
        <v>0</v>
      </c>
      <c r="I49" s="194">
        <f>IF(_1_54128456121462410464578910174567[[#This Row],[Type]]&gt;0,VLOOKUP(_1_54128456121462410464578910174567[[#This Row],[Type]],Main[[#All],[TYPE]:[UNIT]],'Unit Price'!G$1,FALSE),0)</f>
        <v>0</v>
      </c>
      <c r="J49" s="194">
        <f>IF(_1_54128456121462410464578910174567[[#This Row],[Type]]&gt;0,VLOOKUP(_1_54128456121462410464578910174567[[#This Row],[Type]],Main[[#All],[TYPE]:[UNIT]],'Unit Price'!H$1,FALSE),0)</f>
        <v>0</v>
      </c>
      <c r="K49" s="194">
        <f>IF(_1_54128456121462410464578910174567[[#This Row],[Discount selection]]&gt;0,VLOOKUP(_1_54128456121462410464578910174567[[#This Row],[Discount selection]],'Discount Structure'!$A$2:$B$30,2,"false"),0)</f>
        <v>1</v>
      </c>
      <c r="L49" s="194">
        <f>_1_54128456121462410464578910174567[[#This Row],[LIST $]]*_1_54128456121462410464578910174567[[#This Row],[DISCOUNT]]*_1_54128456121462410464578910174567[[#This Row],[DISCOUNT 2]]</f>
        <v>0</v>
      </c>
      <c r="M49" s="194">
        <f>IF(OR(_1_54128456121462410464578910174567[[#This Row],[UNIT]]&gt;0,_1_54128456121462410464578910174567[[#This Row],[UNIT]]&lt;0),_1_54128456121462410464578910174567[[#This Row],[UNIT]]*_1_54128456121462410464578910174567[[#This Row],[COST]],0)</f>
        <v>0</v>
      </c>
      <c r="N49" s="194">
        <f t="shared" si="0"/>
        <v>1.3</v>
      </c>
      <c r="O49" s="198">
        <f>_1_54128456121462410464578910174567[[#This Row],[TOTAL]]*_1_54128456121462410464578910174567[[#This Row],[MARGIN]]</f>
        <v>0</v>
      </c>
      <c r="R49" s="41"/>
    </row>
    <row r="50" spans="1:18">
      <c r="C50" s="168"/>
      <c r="D50" s="188"/>
      <c r="F50" s="168" t="s">
        <v>6202</v>
      </c>
      <c r="G50" s="193">
        <f>IF(_1_54128456121462410464578910174567[[#This Row],[Type]]&gt;0,VLOOKUP(_1_54128456121462410464578910174567[[#This Row],[Type]],Main[[#All],[TYPE]:[UNIT]],'Unit Price'!C$1,FALSE),0)</f>
        <v>0</v>
      </c>
      <c r="H50" s="197">
        <f>IF(_1_54128456121462410464578910174567[[#This Row],[Type]]&gt;0,VLOOKUP(_1_54128456121462410464578910174567[[#This Row],[Type]],Main[[#All],[TYPE]:[UNIT]],'Unit Price'!D$1,FALSE),0)</f>
        <v>0</v>
      </c>
      <c r="I50" s="194">
        <f>IF(_1_54128456121462410464578910174567[[#This Row],[Type]]&gt;0,VLOOKUP(_1_54128456121462410464578910174567[[#This Row],[Type]],Main[[#All],[TYPE]:[UNIT]],'Unit Price'!G$1,FALSE),0)</f>
        <v>0</v>
      </c>
      <c r="J50" s="194">
        <f>IF(_1_54128456121462410464578910174567[[#This Row],[Type]]&gt;0,VLOOKUP(_1_54128456121462410464578910174567[[#This Row],[Type]],Main[[#All],[TYPE]:[UNIT]],'Unit Price'!H$1,FALSE),0)</f>
        <v>0</v>
      </c>
      <c r="K50" s="194">
        <f>IF(_1_54128456121462410464578910174567[[#This Row],[Discount selection]]&gt;0,VLOOKUP(_1_54128456121462410464578910174567[[#This Row],[Discount selection]],'Discount Structure'!$A$2:$B$30,2,"false"),0)</f>
        <v>1</v>
      </c>
      <c r="L50" s="194">
        <f>_1_54128456121462410464578910174567[[#This Row],[LIST $]]*_1_54128456121462410464578910174567[[#This Row],[DISCOUNT]]*_1_54128456121462410464578910174567[[#This Row],[DISCOUNT 2]]</f>
        <v>0</v>
      </c>
      <c r="M50" s="194">
        <f>IF(OR(_1_54128456121462410464578910174567[[#This Row],[UNIT]]&gt;0,_1_54128456121462410464578910174567[[#This Row],[UNIT]]&lt;0),_1_54128456121462410464578910174567[[#This Row],[UNIT]]*_1_54128456121462410464578910174567[[#This Row],[COST]],0)</f>
        <v>0</v>
      </c>
      <c r="N50" s="194">
        <f t="shared" si="0"/>
        <v>1.3</v>
      </c>
      <c r="O50" s="198">
        <f>_1_54128456121462410464578910174567[[#This Row],[TOTAL]]*_1_54128456121462410464578910174567[[#This Row],[MARGIN]]</f>
        <v>0</v>
      </c>
      <c r="R50" s="41"/>
    </row>
    <row r="51" spans="1:18">
      <c r="C51" s="168"/>
      <c r="D51" s="188"/>
      <c r="F51" s="168" t="s">
        <v>6202</v>
      </c>
      <c r="G51" s="193">
        <f>IF(_1_54128456121462410464578910174567[[#This Row],[Type]]&gt;0,VLOOKUP(_1_54128456121462410464578910174567[[#This Row],[Type]],Main[[#All],[TYPE]:[UNIT]],'Unit Price'!C$1,FALSE),0)</f>
        <v>0</v>
      </c>
      <c r="H51" s="197">
        <f>IF(_1_54128456121462410464578910174567[[#This Row],[Type]]&gt;0,VLOOKUP(_1_54128456121462410464578910174567[[#This Row],[Type]],Main[[#All],[TYPE]:[UNIT]],'Unit Price'!D$1,FALSE),0)</f>
        <v>0</v>
      </c>
      <c r="I51" s="194">
        <f>IF(_1_54128456121462410464578910174567[[#This Row],[Type]]&gt;0,VLOOKUP(_1_54128456121462410464578910174567[[#This Row],[Type]],Main[[#All],[TYPE]:[UNIT]],'Unit Price'!G$1,FALSE),0)</f>
        <v>0</v>
      </c>
      <c r="J51" s="194">
        <f>IF(_1_54128456121462410464578910174567[[#This Row],[Type]]&gt;0,VLOOKUP(_1_54128456121462410464578910174567[[#This Row],[Type]],Main[[#All],[TYPE]:[UNIT]],'Unit Price'!H$1,FALSE),0)</f>
        <v>0</v>
      </c>
      <c r="K51" s="194">
        <f>IF(_1_54128456121462410464578910174567[[#This Row],[Discount selection]]&gt;0,VLOOKUP(_1_54128456121462410464578910174567[[#This Row],[Discount selection]],'Discount Structure'!$A$2:$B$30,2,"false"),0)</f>
        <v>1</v>
      </c>
      <c r="L51" s="194">
        <f>_1_54128456121462410464578910174567[[#This Row],[LIST $]]*_1_54128456121462410464578910174567[[#This Row],[DISCOUNT]]*_1_54128456121462410464578910174567[[#This Row],[DISCOUNT 2]]</f>
        <v>0</v>
      </c>
      <c r="M51" s="194">
        <f>IF(OR(_1_54128456121462410464578910174567[[#This Row],[UNIT]]&gt;0,_1_54128456121462410464578910174567[[#This Row],[UNIT]]&lt;0),_1_54128456121462410464578910174567[[#This Row],[UNIT]]*_1_54128456121462410464578910174567[[#This Row],[COST]],0)</f>
        <v>0</v>
      </c>
      <c r="N51" s="194">
        <f t="shared" si="0"/>
        <v>1.3</v>
      </c>
      <c r="O51" s="198">
        <f>_1_54128456121462410464578910174567[[#This Row],[TOTAL]]*_1_54128456121462410464578910174567[[#This Row],[MARGIN]]</f>
        <v>0</v>
      </c>
      <c r="R51" s="41"/>
    </row>
    <row r="52" spans="1:18">
      <c r="C52" s="168"/>
      <c r="D52" s="188"/>
      <c r="F52" s="168" t="s">
        <v>6202</v>
      </c>
      <c r="G52" s="193">
        <f>IF(_1_54128456121462410464578910174567[[#This Row],[Type]]&gt;0,VLOOKUP(_1_54128456121462410464578910174567[[#This Row],[Type]],Main[[#All],[TYPE]:[UNIT]],'Unit Price'!C$1,FALSE),0)</f>
        <v>0</v>
      </c>
      <c r="H52" s="197">
        <f>IF(_1_54128456121462410464578910174567[[#This Row],[Type]]&gt;0,VLOOKUP(_1_54128456121462410464578910174567[[#This Row],[Type]],Main[[#All],[TYPE]:[UNIT]],'Unit Price'!D$1,FALSE),0)</f>
        <v>0</v>
      </c>
      <c r="I52" s="194">
        <f>IF(_1_54128456121462410464578910174567[[#This Row],[Type]]&gt;0,VLOOKUP(_1_54128456121462410464578910174567[[#This Row],[Type]],Main[[#All],[TYPE]:[UNIT]],'Unit Price'!G$1,FALSE),0)</f>
        <v>0</v>
      </c>
      <c r="J52" s="194">
        <f>IF(_1_54128456121462410464578910174567[[#This Row],[Type]]&gt;0,VLOOKUP(_1_54128456121462410464578910174567[[#This Row],[Type]],Main[[#All],[TYPE]:[UNIT]],'Unit Price'!H$1,FALSE),0)</f>
        <v>0</v>
      </c>
      <c r="K52" s="194">
        <f>IF(_1_54128456121462410464578910174567[[#This Row],[Discount selection]]&gt;0,VLOOKUP(_1_54128456121462410464578910174567[[#This Row],[Discount selection]],'Discount Structure'!$A$2:$B$30,2,"false"),0)</f>
        <v>1</v>
      </c>
      <c r="L52" s="194">
        <f>_1_54128456121462410464578910174567[[#This Row],[LIST $]]*_1_54128456121462410464578910174567[[#This Row],[DISCOUNT]]*_1_54128456121462410464578910174567[[#This Row],[DISCOUNT 2]]</f>
        <v>0</v>
      </c>
      <c r="M52" s="194">
        <f>IF(OR(_1_54128456121462410464578910174567[[#This Row],[UNIT]]&gt;0,_1_54128456121462410464578910174567[[#This Row],[UNIT]]&lt;0),_1_54128456121462410464578910174567[[#This Row],[UNIT]]*_1_54128456121462410464578910174567[[#This Row],[COST]],0)</f>
        <v>0</v>
      </c>
      <c r="N52" s="194">
        <f t="shared" si="0"/>
        <v>1.3</v>
      </c>
      <c r="O52" s="198">
        <f>_1_54128456121462410464578910174567[[#This Row],[TOTAL]]*_1_54128456121462410464578910174567[[#This Row],[MARGIN]]</f>
        <v>0</v>
      </c>
      <c r="R52" s="41"/>
    </row>
    <row r="53" spans="1:18">
      <c r="C53" s="168"/>
      <c r="D53" s="188"/>
      <c r="F53" s="168" t="s">
        <v>6202</v>
      </c>
      <c r="G53" s="193">
        <f>IF(_1_54128456121462410464578910174567[[#This Row],[Type]]&gt;0,VLOOKUP(_1_54128456121462410464578910174567[[#This Row],[Type]],Main[[#All],[TYPE]:[UNIT]],'Unit Price'!C$1,FALSE),0)</f>
        <v>0</v>
      </c>
      <c r="H53" s="197">
        <f>IF(_1_54128456121462410464578910174567[[#This Row],[Type]]&gt;0,VLOOKUP(_1_54128456121462410464578910174567[[#This Row],[Type]],Main[[#All],[TYPE]:[UNIT]],'Unit Price'!D$1,FALSE),0)</f>
        <v>0</v>
      </c>
      <c r="I53" s="194">
        <f>IF(_1_54128456121462410464578910174567[[#This Row],[Type]]&gt;0,VLOOKUP(_1_54128456121462410464578910174567[[#This Row],[Type]],Main[[#All],[TYPE]:[UNIT]],'Unit Price'!G$1,FALSE),0)</f>
        <v>0</v>
      </c>
      <c r="J53" s="194">
        <f>IF(_1_54128456121462410464578910174567[[#This Row],[Type]]&gt;0,VLOOKUP(_1_54128456121462410464578910174567[[#This Row],[Type]],Main[[#All],[TYPE]:[UNIT]],'Unit Price'!H$1,FALSE),0)</f>
        <v>0</v>
      </c>
      <c r="K53" s="194">
        <f>IF(_1_54128456121462410464578910174567[[#This Row],[Discount selection]]&gt;0,VLOOKUP(_1_54128456121462410464578910174567[[#This Row],[Discount selection]],'Discount Structure'!$A$2:$B$30,2,"false"),0)</f>
        <v>1</v>
      </c>
      <c r="L53" s="194">
        <f>_1_54128456121462410464578910174567[[#This Row],[LIST $]]*_1_54128456121462410464578910174567[[#This Row],[DISCOUNT]]*_1_54128456121462410464578910174567[[#This Row],[DISCOUNT 2]]</f>
        <v>0</v>
      </c>
      <c r="M53" s="194">
        <f>IF(OR(_1_54128456121462410464578910174567[[#This Row],[UNIT]]&gt;0,_1_54128456121462410464578910174567[[#This Row],[UNIT]]&lt;0),_1_54128456121462410464578910174567[[#This Row],[UNIT]]*_1_54128456121462410464578910174567[[#This Row],[COST]],0)</f>
        <v>0</v>
      </c>
      <c r="N53" s="194">
        <f t="shared" si="0"/>
        <v>1.3</v>
      </c>
      <c r="O53" s="198">
        <f>_1_54128456121462410464578910174567[[#This Row],[TOTAL]]*_1_54128456121462410464578910174567[[#This Row],[MARGIN]]</f>
        <v>0</v>
      </c>
      <c r="R53" s="41"/>
    </row>
    <row r="54" spans="1:18">
      <c r="C54" s="168"/>
      <c r="D54" s="188"/>
      <c r="F54" s="168" t="s">
        <v>6202</v>
      </c>
      <c r="G54" s="193">
        <f>IF(_1_54128456121462410464578910174567[[#This Row],[Type]]&gt;0,VLOOKUP(_1_54128456121462410464578910174567[[#This Row],[Type]],Main[[#All],[TYPE]:[UNIT]],'Unit Price'!C$1,FALSE),0)</f>
        <v>0</v>
      </c>
      <c r="H54" s="197">
        <f>IF(_1_54128456121462410464578910174567[[#This Row],[Type]]&gt;0,VLOOKUP(_1_54128456121462410464578910174567[[#This Row],[Type]],Main[[#All],[TYPE]:[UNIT]],'Unit Price'!D$1,FALSE),0)</f>
        <v>0</v>
      </c>
      <c r="I54" s="194">
        <f>IF(_1_54128456121462410464578910174567[[#This Row],[Type]]&gt;0,VLOOKUP(_1_54128456121462410464578910174567[[#This Row],[Type]],Main[[#All],[TYPE]:[UNIT]],'Unit Price'!G$1,FALSE),0)</f>
        <v>0</v>
      </c>
      <c r="J54" s="194">
        <f>IF(_1_54128456121462410464578910174567[[#This Row],[Type]]&gt;0,VLOOKUP(_1_54128456121462410464578910174567[[#This Row],[Type]],Main[[#All],[TYPE]:[UNIT]],'Unit Price'!H$1,FALSE),0)</f>
        <v>0</v>
      </c>
      <c r="K54" s="194">
        <f>IF(_1_54128456121462410464578910174567[[#This Row],[Discount selection]]&gt;0,VLOOKUP(_1_54128456121462410464578910174567[[#This Row],[Discount selection]],'Discount Structure'!$A$2:$B$30,2,"false"),0)</f>
        <v>1</v>
      </c>
      <c r="L54" s="194">
        <f>_1_54128456121462410464578910174567[[#This Row],[LIST $]]*_1_54128456121462410464578910174567[[#This Row],[DISCOUNT]]*_1_54128456121462410464578910174567[[#This Row],[DISCOUNT 2]]</f>
        <v>0</v>
      </c>
      <c r="M54" s="194">
        <f>IF(OR(_1_54128456121462410464578910174567[[#This Row],[UNIT]]&gt;0,_1_54128456121462410464578910174567[[#This Row],[UNIT]]&lt;0),_1_54128456121462410464578910174567[[#This Row],[UNIT]]*_1_54128456121462410464578910174567[[#This Row],[COST]],0)</f>
        <v>0</v>
      </c>
      <c r="N54" s="194">
        <f t="shared" si="0"/>
        <v>1.3</v>
      </c>
      <c r="O54" s="198">
        <f>_1_54128456121462410464578910174567[[#This Row],[TOTAL]]*_1_54128456121462410464578910174567[[#This Row],[MARGIN]]</f>
        <v>0</v>
      </c>
      <c r="R54" s="41"/>
    </row>
    <row r="55" spans="1:18">
      <c r="C55" s="168"/>
      <c r="D55" s="188"/>
      <c r="F55" s="168" t="s">
        <v>6202</v>
      </c>
      <c r="G55" s="193">
        <f>IF(_1_54128456121462410464578910174567[[#This Row],[Type]]&gt;0,VLOOKUP(_1_54128456121462410464578910174567[[#This Row],[Type]],Main[[#All],[TYPE]:[UNIT]],'Unit Price'!C$1,FALSE),0)</f>
        <v>0</v>
      </c>
      <c r="H55" s="197">
        <f>IF(_1_54128456121462410464578910174567[[#This Row],[Type]]&gt;0,VLOOKUP(_1_54128456121462410464578910174567[[#This Row],[Type]],Main[[#All],[TYPE]:[UNIT]],'Unit Price'!D$1,FALSE),0)</f>
        <v>0</v>
      </c>
      <c r="I55" s="194">
        <f>IF(_1_54128456121462410464578910174567[[#This Row],[Type]]&gt;0,VLOOKUP(_1_54128456121462410464578910174567[[#This Row],[Type]],Main[[#All],[TYPE]:[UNIT]],'Unit Price'!G$1,FALSE),0)</f>
        <v>0</v>
      </c>
      <c r="J55" s="194">
        <f>IF(_1_54128456121462410464578910174567[[#This Row],[Type]]&gt;0,VLOOKUP(_1_54128456121462410464578910174567[[#This Row],[Type]],Main[[#All],[TYPE]:[UNIT]],'Unit Price'!H$1,FALSE),0)</f>
        <v>0</v>
      </c>
      <c r="K55" s="194">
        <f>IF(_1_54128456121462410464578910174567[[#This Row],[Discount selection]]&gt;0,VLOOKUP(_1_54128456121462410464578910174567[[#This Row],[Discount selection]],'Discount Structure'!$A$2:$B$30,2,"false"),0)</f>
        <v>1</v>
      </c>
      <c r="L55" s="194">
        <f>_1_54128456121462410464578910174567[[#This Row],[LIST $]]*_1_54128456121462410464578910174567[[#This Row],[DISCOUNT]]*_1_54128456121462410464578910174567[[#This Row],[DISCOUNT 2]]</f>
        <v>0</v>
      </c>
      <c r="M55" s="194">
        <f>IF(OR(_1_54128456121462410464578910174567[[#This Row],[UNIT]]&gt;0,_1_54128456121462410464578910174567[[#This Row],[UNIT]]&lt;0),_1_54128456121462410464578910174567[[#This Row],[UNIT]]*_1_54128456121462410464578910174567[[#This Row],[COST]],0)</f>
        <v>0</v>
      </c>
      <c r="N55" s="194">
        <f t="shared" si="0"/>
        <v>1.3</v>
      </c>
      <c r="O55" s="198">
        <f>_1_54128456121462410464578910174567[[#This Row],[TOTAL]]*_1_54128456121462410464578910174567[[#This Row],[MARGIN]]</f>
        <v>0</v>
      </c>
      <c r="R55" s="41"/>
    </row>
    <row r="56" spans="1:18">
      <c r="B56" s="317"/>
      <c r="C56" s="168"/>
      <c r="D56" s="188"/>
      <c r="F56" s="168" t="s">
        <v>6202</v>
      </c>
      <c r="G56" s="193">
        <f>IF(_1_54128456121462410464578910174567[[#This Row],[Type]]&gt;0,VLOOKUP(_1_54128456121462410464578910174567[[#This Row],[Type]],Main[[#All],[TYPE]:[UNIT]],'Unit Price'!C$1,FALSE),0)</f>
        <v>0</v>
      </c>
      <c r="H56" s="197">
        <f>IF(_1_54128456121462410464578910174567[[#This Row],[Type]]&gt;0,VLOOKUP(_1_54128456121462410464578910174567[[#This Row],[Type]],Main[[#All],[TYPE]:[UNIT]],'Unit Price'!D$1,FALSE),0)</f>
        <v>0</v>
      </c>
      <c r="I56" s="194">
        <f>IF(_1_54128456121462410464578910174567[[#This Row],[Type]]&gt;0,VLOOKUP(_1_54128456121462410464578910174567[[#This Row],[Type]],Main[[#All],[TYPE]:[UNIT]],'Unit Price'!G$1,FALSE),0)</f>
        <v>0</v>
      </c>
      <c r="J56" s="194">
        <f>IF(_1_54128456121462410464578910174567[[#This Row],[Type]]&gt;0,VLOOKUP(_1_54128456121462410464578910174567[[#This Row],[Type]],Main[[#All],[TYPE]:[UNIT]],'Unit Price'!H$1,FALSE),0)</f>
        <v>0</v>
      </c>
      <c r="K56" s="194">
        <f>IF(_1_54128456121462410464578910174567[[#This Row],[Discount selection]]&gt;0,VLOOKUP(_1_54128456121462410464578910174567[[#This Row],[Discount selection]],'Discount Structure'!$A$2:$B$30,2,"false"),0)</f>
        <v>1</v>
      </c>
      <c r="L56" s="194">
        <f>_1_54128456121462410464578910174567[[#This Row],[LIST $]]*_1_54128456121462410464578910174567[[#This Row],[DISCOUNT]]*_1_54128456121462410464578910174567[[#This Row],[DISCOUNT 2]]</f>
        <v>0</v>
      </c>
      <c r="M56" s="194">
        <f>IF(OR(_1_54128456121462410464578910174567[[#This Row],[UNIT]]&gt;0,_1_54128456121462410464578910174567[[#This Row],[UNIT]]&lt;0),_1_54128456121462410464578910174567[[#This Row],[UNIT]]*_1_54128456121462410464578910174567[[#This Row],[COST]],0)</f>
        <v>0</v>
      </c>
      <c r="N56" s="194">
        <f t="shared" si="0"/>
        <v>1.3</v>
      </c>
      <c r="O56" s="198">
        <f>_1_54128456121462410464578910174567[[#This Row],[TOTAL]]*_1_54128456121462410464578910174567[[#This Row],[MARGIN]]</f>
        <v>0</v>
      </c>
      <c r="R56" s="41"/>
    </row>
    <row r="57" spans="1:18">
      <c r="A57" s="168"/>
      <c r="C57" s="168"/>
      <c r="D57" s="188"/>
      <c r="F57" s="168" t="s">
        <v>6202</v>
      </c>
      <c r="G57" s="193">
        <f>IF(_1_54128456121462410464578910174567[[#This Row],[Type]]&gt;0,VLOOKUP(_1_54128456121462410464578910174567[[#This Row],[Type]],Main[[#All],[TYPE]:[UNIT]],'Unit Price'!C$1,FALSE),0)</f>
        <v>0</v>
      </c>
      <c r="H57" s="197">
        <f>IF(_1_54128456121462410464578910174567[[#This Row],[Type]]&gt;0,VLOOKUP(_1_54128456121462410464578910174567[[#This Row],[Type]],Main[[#All],[TYPE]:[UNIT]],'Unit Price'!D$1,FALSE),0)</f>
        <v>0</v>
      </c>
      <c r="I57" s="194">
        <f>IF(_1_54128456121462410464578910174567[[#This Row],[Type]]&gt;0,VLOOKUP(_1_54128456121462410464578910174567[[#This Row],[Type]],Main[[#All],[TYPE]:[UNIT]],'Unit Price'!G$1,FALSE),0)</f>
        <v>0</v>
      </c>
      <c r="J57" s="194">
        <f>IF(_1_54128456121462410464578910174567[[#This Row],[Type]]&gt;0,VLOOKUP(_1_54128456121462410464578910174567[[#This Row],[Type]],Main[[#All],[TYPE]:[UNIT]],'Unit Price'!H$1,FALSE),0)</f>
        <v>0</v>
      </c>
      <c r="K57" s="194">
        <f>IF(_1_54128456121462410464578910174567[[#This Row],[Discount selection]]&gt;0,VLOOKUP(_1_54128456121462410464578910174567[[#This Row],[Discount selection]],'Discount Structure'!$A$2:$B$30,2,"false"),0)</f>
        <v>1</v>
      </c>
      <c r="L57" s="194">
        <f>_1_54128456121462410464578910174567[[#This Row],[LIST $]]*_1_54128456121462410464578910174567[[#This Row],[DISCOUNT]]*_1_54128456121462410464578910174567[[#This Row],[DISCOUNT 2]]</f>
        <v>0</v>
      </c>
      <c r="M57" s="194">
        <f>IF(OR(_1_54128456121462410464578910174567[[#This Row],[UNIT]]&gt;0,_1_54128456121462410464578910174567[[#This Row],[UNIT]]&lt;0),_1_54128456121462410464578910174567[[#This Row],[UNIT]]*_1_54128456121462410464578910174567[[#This Row],[COST]],0)</f>
        <v>0</v>
      </c>
      <c r="N57" s="194">
        <f t="shared" si="0"/>
        <v>1.3</v>
      </c>
      <c r="O57" s="198">
        <f>_1_54128456121462410464578910174567[[#This Row],[TOTAL]]*_1_54128456121462410464578910174567[[#This Row],[MARGIN]]</f>
        <v>0</v>
      </c>
      <c r="R57" s="41"/>
    </row>
    <row r="58" spans="1:18">
      <c r="B58" s="317"/>
      <c r="C58" s="168"/>
      <c r="D58" s="188"/>
      <c r="F58" s="168" t="s">
        <v>6202</v>
      </c>
      <c r="G58" s="193">
        <f>IF(_1_54128456121462410464578910174567[[#This Row],[Type]]&gt;0,VLOOKUP(_1_54128456121462410464578910174567[[#This Row],[Type]],Main[[#All],[TYPE]:[UNIT]],'Unit Price'!C$1,FALSE),0)</f>
        <v>0</v>
      </c>
      <c r="H58" s="197">
        <f>IF(_1_54128456121462410464578910174567[[#This Row],[Type]]&gt;0,VLOOKUP(_1_54128456121462410464578910174567[[#This Row],[Type]],Main[[#All],[TYPE]:[UNIT]],'Unit Price'!D$1,FALSE),0)</f>
        <v>0</v>
      </c>
      <c r="I58" s="194">
        <f>IF(_1_54128456121462410464578910174567[[#This Row],[Type]]&gt;0,VLOOKUP(_1_54128456121462410464578910174567[[#This Row],[Type]],Main[[#All],[TYPE]:[UNIT]],'Unit Price'!G$1,FALSE),0)</f>
        <v>0</v>
      </c>
      <c r="J58" s="194">
        <f>IF(_1_54128456121462410464578910174567[[#This Row],[Type]]&gt;0,VLOOKUP(_1_54128456121462410464578910174567[[#This Row],[Type]],Main[[#All],[TYPE]:[UNIT]],'Unit Price'!H$1,FALSE),0)</f>
        <v>0</v>
      </c>
      <c r="K58" s="194">
        <f>IF(_1_54128456121462410464578910174567[[#This Row],[Discount selection]]&gt;0,VLOOKUP(_1_54128456121462410464578910174567[[#This Row],[Discount selection]],'Discount Structure'!$A$2:$B$30,2,"false"),0)</f>
        <v>1</v>
      </c>
      <c r="L58" s="194">
        <f>_1_54128456121462410464578910174567[[#This Row],[LIST $]]*_1_54128456121462410464578910174567[[#This Row],[DISCOUNT]]*_1_54128456121462410464578910174567[[#This Row],[DISCOUNT 2]]</f>
        <v>0</v>
      </c>
      <c r="M58" s="194">
        <f>IF(OR(_1_54128456121462410464578910174567[[#This Row],[UNIT]]&gt;0,_1_54128456121462410464578910174567[[#This Row],[UNIT]]&lt;0),_1_54128456121462410464578910174567[[#This Row],[UNIT]]*_1_54128456121462410464578910174567[[#This Row],[COST]],0)</f>
        <v>0</v>
      </c>
      <c r="N58" s="194">
        <f t="shared" si="0"/>
        <v>1.3</v>
      </c>
      <c r="O58" s="198">
        <f>_1_54128456121462410464578910174567[[#This Row],[TOTAL]]*_1_54128456121462410464578910174567[[#This Row],[MARGIN]]</f>
        <v>0</v>
      </c>
      <c r="R58" s="41"/>
    </row>
    <row r="59" spans="1:18">
      <c r="C59" s="168"/>
      <c r="D59" s="188"/>
      <c r="F59" s="168" t="s">
        <v>6202</v>
      </c>
      <c r="G59" s="193">
        <f>IF(_1_54128456121462410464578910174567[[#This Row],[Type]]&gt;0,VLOOKUP(_1_54128456121462410464578910174567[[#This Row],[Type]],Main[[#All],[TYPE]:[UNIT]],'Unit Price'!C$1,FALSE),0)</f>
        <v>0</v>
      </c>
      <c r="H59" s="197">
        <f>IF(_1_54128456121462410464578910174567[[#This Row],[Type]]&gt;0,VLOOKUP(_1_54128456121462410464578910174567[[#This Row],[Type]],Main[[#All],[TYPE]:[UNIT]],'Unit Price'!D$1,FALSE),0)</f>
        <v>0</v>
      </c>
      <c r="I59" s="194">
        <f>IF(_1_54128456121462410464578910174567[[#This Row],[Type]]&gt;0,VLOOKUP(_1_54128456121462410464578910174567[[#This Row],[Type]],Main[[#All],[TYPE]:[UNIT]],'Unit Price'!G$1,FALSE),0)</f>
        <v>0</v>
      </c>
      <c r="J59" s="194">
        <f>IF(_1_54128456121462410464578910174567[[#This Row],[Type]]&gt;0,VLOOKUP(_1_54128456121462410464578910174567[[#This Row],[Type]],Main[[#All],[TYPE]:[UNIT]],'Unit Price'!H$1,FALSE),0)</f>
        <v>0</v>
      </c>
      <c r="K59" s="194">
        <f>IF(_1_54128456121462410464578910174567[[#This Row],[Discount selection]]&gt;0,VLOOKUP(_1_54128456121462410464578910174567[[#This Row],[Discount selection]],'Discount Structure'!$A$2:$B$30,2,"false"),0)</f>
        <v>1</v>
      </c>
      <c r="L59" s="194">
        <f>_1_54128456121462410464578910174567[[#This Row],[LIST $]]*_1_54128456121462410464578910174567[[#This Row],[DISCOUNT]]*_1_54128456121462410464578910174567[[#This Row],[DISCOUNT 2]]</f>
        <v>0</v>
      </c>
      <c r="M59" s="194">
        <f>IF(OR(_1_54128456121462410464578910174567[[#This Row],[UNIT]]&gt;0,_1_54128456121462410464578910174567[[#This Row],[UNIT]]&lt;0),_1_54128456121462410464578910174567[[#This Row],[UNIT]]*_1_54128456121462410464578910174567[[#This Row],[COST]],0)</f>
        <v>0</v>
      </c>
      <c r="N59" s="194">
        <f t="shared" si="0"/>
        <v>1.3</v>
      </c>
      <c r="O59" s="198">
        <f>_1_54128456121462410464578910174567[[#This Row],[TOTAL]]*_1_54128456121462410464578910174567[[#This Row],[MARGIN]]</f>
        <v>0</v>
      </c>
      <c r="R59" s="41"/>
    </row>
    <row r="60" spans="1:18">
      <c r="C60" s="168"/>
      <c r="D60" s="188"/>
      <c r="F60" s="168" t="s">
        <v>6202</v>
      </c>
      <c r="G60" s="193">
        <f>IF(_1_54128456121462410464578910174567[[#This Row],[Type]]&gt;0,VLOOKUP(_1_54128456121462410464578910174567[[#This Row],[Type]],Main[[#All],[TYPE]:[UNIT]],'Unit Price'!C$1,FALSE),0)</f>
        <v>0</v>
      </c>
      <c r="H60" s="197">
        <f>IF(_1_54128456121462410464578910174567[[#This Row],[Type]]&gt;0,VLOOKUP(_1_54128456121462410464578910174567[[#This Row],[Type]],Main[[#All],[TYPE]:[UNIT]],'Unit Price'!D$1,FALSE),0)</f>
        <v>0</v>
      </c>
      <c r="I60" s="194">
        <f>IF(_1_54128456121462410464578910174567[[#This Row],[Type]]&gt;0,VLOOKUP(_1_54128456121462410464578910174567[[#This Row],[Type]],Main[[#All],[TYPE]:[UNIT]],'Unit Price'!G$1,FALSE),0)</f>
        <v>0</v>
      </c>
      <c r="J60" s="194">
        <f>IF(_1_54128456121462410464578910174567[[#This Row],[Type]]&gt;0,VLOOKUP(_1_54128456121462410464578910174567[[#This Row],[Type]],Main[[#All],[TYPE]:[UNIT]],'Unit Price'!H$1,FALSE),0)</f>
        <v>0</v>
      </c>
      <c r="K60" s="194">
        <f>IF(_1_54128456121462410464578910174567[[#This Row],[Discount selection]]&gt;0,VLOOKUP(_1_54128456121462410464578910174567[[#This Row],[Discount selection]],'Discount Structure'!$A$2:$B$30,2,"false"),0)</f>
        <v>1</v>
      </c>
      <c r="L60" s="194">
        <f>_1_54128456121462410464578910174567[[#This Row],[LIST $]]*_1_54128456121462410464578910174567[[#This Row],[DISCOUNT]]*_1_54128456121462410464578910174567[[#This Row],[DISCOUNT 2]]</f>
        <v>0</v>
      </c>
      <c r="M60" s="194">
        <f>IF(OR(_1_54128456121462410464578910174567[[#This Row],[UNIT]]&gt;0,_1_54128456121462410464578910174567[[#This Row],[UNIT]]&lt;0),_1_54128456121462410464578910174567[[#This Row],[UNIT]]*_1_54128456121462410464578910174567[[#This Row],[COST]],0)</f>
        <v>0</v>
      </c>
      <c r="N60" s="194">
        <f t="shared" si="0"/>
        <v>1.3</v>
      </c>
      <c r="O60" s="198">
        <f>_1_54128456121462410464578910174567[[#This Row],[TOTAL]]*_1_54128456121462410464578910174567[[#This Row],[MARGIN]]</f>
        <v>0</v>
      </c>
      <c r="R60" s="41"/>
    </row>
    <row r="61" spans="1:18">
      <c r="B61" s="168"/>
      <c r="C61" s="168"/>
      <c r="D61" s="361"/>
      <c r="F61" s="168" t="s">
        <v>6202</v>
      </c>
      <c r="G61" s="193">
        <f>IF(_1_54128456121462410464578910174567[[#This Row],[Type]]&gt;0,VLOOKUP(_1_54128456121462410464578910174567[[#This Row],[Type]],Main[[#All],[TYPE]:[UNIT]],'Unit Price'!C$1,FALSE),0)</f>
        <v>0</v>
      </c>
      <c r="H61" s="197">
        <f>IF(_1_54128456121462410464578910174567[[#This Row],[Type]]&gt;0,VLOOKUP(_1_54128456121462410464578910174567[[#This Row],[Type]],Main[[#All],[TYPE]:[UNIT]],'Unit Price'!D$1,FALSE),0)</f>
        <v>0</v>
      </c>
      <c r="I61" s="194">
        <f>IF(_1_54128456121462410464578910174567[[#This Row],[Type]]&gt;0,VLOOKUP(_1_54128456121462410464578910174567[[#This Row],[Type]],Main[[#All],[TYPE]:[UNIT]],'Unit Price'!G$1,FALSE),0)</f>
        <v>0</v>
      </c>
      <c r="J61" s="194">
        <f>IF(_1_54128456121462410464578910174567[[#This Row],[Type]]&gt;0,VLOOKUP(_1_54128456121462410464578910174567[[#This Row],[Type]],Main[[#All],[TYPE]:[UNIT]],'Unit Price'!H$1,FALSE),0)</f>
        <v>0</v>
      </c>
      <c r="K61" s="194">
        <f>IF(_1_54128456121462410464578910174567[[#This Row],[Discount selection]]&gt;0,VLOOKUP(_1_54128456121462410464578910174567[[#This Row],[Discount selection]],'Discount Structure'!$A$2:$B$30,2,"false"),0)</f>
        <v>1</v>
      </c>
      <c r="L61" s="194">
        <f>_1_54128456121462410464578910174567[[#This Row],[LIST $]]*_1_54128456121462410464578910174567[[#This Row],[DISCOUNT]]*_1_54128456121462410464578910174567[[#This Row],[DISCOUNT 2]]</f>
        <v>0</v>
      </c>
      <c r="M61" s="194">
        <f>IF(OR(_1_54128456121462410464578910174567[[#This Row],[UNIT]]&gt;0,_1_54128456121462410464578910174567[[#This Row],[UNIT]]&lt;0),_1_54128456121462410464578910174567[[#This Row],[UNIT]]*_1_54128456121462410464578910174567[[#This Row],[COST]],0)</f>
        <v>0</v>
      </c>
      <c r="N61" s="194">
        <f t="shared" si="0"/>
        <v>1.3</v>
      </c>
      <c r="O61" s="198">
        <f>_1_54128456121462410464578910174567[[#This Row],[TOTAL]]*_1_54128456121462410464578910174567[[#This Row],[MARGIN]]</f>
        <v>0</v>
      </c>
      <c r="R61" s="41"/>
    </row>
    <row r="62" spans="1:18">
      <c r="C62" s="168"/>
      <c r="D62" s="188"/>
      <c r="F62" s="168" t="s">
        <v>6202</v>
      </c>
      <c r="G62" s="193">
        <f>IF(_1_54128456121462410464578910174567[[#This Row],[Type]]&gt;0,VLOOKUP(_1_54128456121462410464578910174567[[#This Row],[Type]],Main[[#All],[TYPE]:[UNIT]],'Unit Price'!C$1,FALSE),0)</f>
        <v>0</v>
      </c>
      <c r="H62" s="197">
        <f>IF(_1_54128456121462410464578910174567[[#This Row],[Type]]&gt;0,VLOOKUP(_1_54128456121462410464578910174567[[#This Row],[Type]],Main[[#All],[TYPE]:[UNIT]],'Unit Price'!D$1,FALSE),0)</f>
        <v>0</v>
      </c>
      <c r="I62" s="194">
        <f>IF(_1_54128456121462410464578910174567[[#This Row],[Type]]&gt;0,VLOOKUP(_1_54128456121462410464578910174567[[#This Row],[Type]],Main[[#All],[TYPE]:[UNIT]],'Unit Price'!G$1,FALSE),0)</f>
        <v>0</v>
      </c>
      <c r="J62" s="194">
        <f>IF(_1_54128456121462410464578910174567[[#This Row],[Type]]&gt;0,VLOOKUP(_1_54128456121462410464578910174567[[#This Row],[Type]],Main[[#All],[TYPE]:[UNIT]],'Unit Price'!H$1,FALSE),0)</f>
        <v>0</v>
      </c>
      <c r="K62" s="194">
        <f>IF(_1_54128456121462410464578910174567[[#This Row],[Discount selection]]&gt;0,VLOOKUP(_1_54128456121462410464578910174567[[#This Row],[Discount selection]],'Discount Structure'!$A$2:$B$30,2,"false"),0)</f>
        <v>1</v>
      </c>
      <c r="L62" s="194">
        <f>_1_54128456121462410464578910174567[[#This Row],[LIST $]]*_1_54128456121462410464578910174567[[#This Row],[DISCOUNT]]*_1_54128456121462410464578910174567[[#This Row],[DISCOUNT 2]]</f>
        <v>0</v>
      </c>
      <c r="M62" s="194">
        <f>IF(OR(_1_54128456121462410464578910174567[[#This Row],[UNIT]]&gt;0,_1_54128456121462410464578910174567[[#This Row],[UNIT]]&lt;0),_1_54128456121462410464578910174567[[#This Row],[UNIT]]*_1_54128456121462410464578910174567[[#This Row],[COST]],0)</f>
        <v>0</v>
      </c>
      <c r="N62" s="194">
        <f t="shared" si="0"/>
        <v>1.3</v>
      </c>
      <c r="O62" s="198">
        <f>_1_54128456121462410464578910174567[[#This Row],[TOTAL]]*_1_54128456121462410464578910174567[[#This Row],[MARGIN]]</f>
        <v>0</v>
      </c>
      <c r="R62" s="41"/>
    </row>
    <row r="63" spans="1:18">
      <c r="C63" s="168"/>
      <c r="D63" s="188"/>
      <c r="F63" s="168" t="s">
        <v>6202</v>
      </c>
      <c r="G63" s="193">
        <f>IF(_1_54128456121462410464578910174567[[#This Row],[Type]]&gt;0,VLOOKUP(_1_54128456121462410464578910174567[[#This Row],[Type]],Main[[#All],[TYPE]:[UNIT]],'Unit Price'!C$1,FALSE),0)</f>
        <v>0</v>
      </c>
      <c r="H63" s="197">
        <f>IF(_1_54128456121462410464578910174567[[#This Row],[Type]]&gt;0,VLOOKUP(_1_54128456121462410464578910174567[[#This Row],[Type]],Main[[#All],[TYPE]:[UNIT]],'Unit Price'!D$1,FALSE),0)</f>
        <v>0</v>
      </c>
      <c r="I63" s="194">
        <f>IF(_1_54128456121462410464578910174567[[#This Row],[Type]]&gt;0,VLOOKUP(_1_54128456121462410464578910174567[[#This Row],[Type]],Main[[#All],[TYPE]:[UNIT]],'Unit Price'!G$1,FALSE),0)</f>
        <v>0</v>
      </c>
      <c r="J63" s="194">
        <f>IF(_1_54128456121462410464578910174567[[#This Row],[Type]]&gt;0,VLOOKUP(_1_54128456121462410464578910174567[[#This Row],[Type]],Main[[#All],[TYPE]:[UNIT]],'Unit Price'!H$1,FALSE),0)</f>
        <v>0</v>
      </c>
      <c r="K63" s="194">
        <f>IF(_1_54128456121462410464578910174567[[#This Row],[Discount selection]]&gt;0,VLOOKUP(_1_54128456121462410464578910174567[[#This Row],[Discount selection]],'Discount Structure'!$A$2:$B$30,2,"false"),0)</f>
        <v>1</v>
      </c>
      <c r="L63" s="194">
        <f>_1_54128456121462410464578910174567[[#This Row],[LIST $]]*_1_54128456121462410464578910174567[[#This Row],[DISCOUNT]]*_1_54128456121462410464578910174567[[#This Row],[DISCOUNT 2]]</f>
        <v>0</v>
      </c>
      <c r="M63" s="194">
        <f>IF(OR(_1_54128456121462410464578910174567[[#This Row],[UNIT]]&gt;0,_1_54128456121462410464578910174567[[#This Row],[UNIT]]&lt;0),_1_54128456121462410464578910174567[[#This Row],[UNIT]]*_1_54128456121462410464578910174567[[#This Row],[COST]],0)</f>
        <v>0</v>
      </c>
      <c r="N63" s="194">
        <f t="shared" si="0"/>
        <v>1.3</v>
      </c>
      <c r="O63" s="198">
        <f>_1_54128456121462410464578910174567[[#This Row],[TOTAL]]*_1_54128456121462410464578910174567[[#This Row],[MARGIN]]</f>
        <v>0</v>
      </c>
      <c r="R63" s="41"/>
    </row>
    <row r="64" spans="1:18">
      <c r="C64" s="168"/>
      <c r="D64" s="188"/>
      <c r="F64" s="168" t="s">
        <v>6202</v>
      </c>
      <c r="G64" s="193">
        <f>IF(_1_54128456121462410464578910174567[[#This Row],[Type]]&gt;0,VLOOKUP(_1_54128456121462410464578910174567[[#This Row],[Type]],Main[[#All],[TYPE]:[UNIT]],'Unit Price'!C$1,FALSE),0)</f>
        <v>0</v>
      </c>
      <c r="H64" s="197">
        <f>IF(_1_54128456121462410464578910174567[[#This Row],[Type]]&gt;0,VLOOKUP(_1_54128456121462410464578910174567[[#This Row],[Type]],Main[[#All],[TYPE]:[UNIT]],'Unit Price'!D$1,FALSE),0)</f>
        <v>0</v>
      </c>
      <c r="I64" s="194">
        <f>IF(_1_54128456121462410464578910174567[[#This Row],[Type]]&gt;0,VLOOKUP(_1_54128456121462410464578910174567[[#This Row],[Type]],Main[[#All],[TYPE]:[UNIT]],'Unit Price'!G$1,FALSE),0)</f>
        <v>0</v>
      </c>
      <c r="J64" s="194">
        <f>IF(_1_54128456121462410464578910174567[[#This Row],[Type]]&gt;0,VLOOKUP(_1_54128456121462410464578910174567[[#This Row],[Type]],Main[[#All],[TYPE]:[UNIT]],'Unit Price'!H$1,FALSE),0)</f>
        <v>0</v>
      </c>
      <c r="K64" s="194">
        <f>IF(_1_54128456121462410464578910174567[[#This Row],[Discount selection]]&gt;0,VLOOKUP(_1_54128456121462410464578910174567[[#This Row],[Discount selection]],'Discount Structure'!$A$2:$B$30,2,"false"),0)</f>
        <v>1</v>
      </c>
      <c r="L64" s="194">
        <f>_1_54128456121462410464578910174567[[#This Row],[LIST $]]*_1_54128456121462410464578910174567[[#This Row],[DISCOUNT]]*_1_54128456121462410464578910174567[[#This Row],[DISCOUNT 2]]</f>
        <v>0</v>
      </c>
      <c r="M64" s="194">
        <f>IF(OR(_1_54128456121462410464578910174567[[#This Row],[UNIT]]&gt;0,_1_54128456121462410464578910174567[[#This Row],[UNIT]]&lt;0),_1_54128456121462410464578910174567[[#This Row],[UNIT]]*_1_54128456121462410464578910174567[[#This Row],[COST]],0)</f>
        <v>0</v>
      </c>
      <c r="N64" s="194">
        <f t="shared" si="0"/>
        <v>1.3</v>
      </c>
      <c r="O64" s="198">
        <f>_1_54128456121462410464578910174567[[#This Row],[TOTAL]]*_1_54128456121462410464578910174567[[#This Row],[MARGIN]]</f>
        <v>0</v>
      </c>
      <c r="R64" s="41"/>
    </row>
    <row r="65" spans="1:18">
      <c r="C65" s="168"/>
      <c r="D65" s="188"/>
      <c r="F65" s="168" t="s">
        <v>6202</v>
      </c>
      <c r="G65" s="193">
        <f>IF(_1_54128456121462410464578910174567[[#This Row],[Type]]&gt;0,VLOOKUP(_1_54128456121462410464578910174567[[#This Row],[Type]],Main[[#All],[TYPE]:[UNIT]],'Unit Price'!C$1,FALSE),0)</f>
        <v>0</v>
      </c>
      <c r="H65" s="197">
        <f>IF(_1_54128456121462410464578910174567[[#This Row],[Type]]&gt;0,VLOOKUP(_1_54128456121462410464578910174567[[#This Row],[Type]],Main[[#All],[TYPE]:[UNIT]],'Unit Price'!D$1,FALSE),0)</f>
        <v>0</v>
      </c>
      <c r="I65" s="194">
        <f>IF(_1_54128456121462410464578910174567[[#This Row],[Type]]&gt;0,VLOOKUP(_1_54128456121462410464578910174567[[#This Row],[Type]],Main[[#All],[TYPE]:[UNIT]],'Unit Price'!G$1,FALSE),0)</f>
        <v>0</v>
      </c>
      <c r="J65" s="194">
        <f>IF(_1_54128456121462410464578910174567[[#This Row],[Type]]&gt;0,VLOOKUP(_1_54128456121462410464578910174567[[#This Row],[Type]],Main[[#All],[TYPE]:[UNIT]],'Unit Price'!H$1,FALSE),0)</f>
        <v>0</v>
      </c>
      <c r="K65" s="194">
        <f>IF(_1_54128456121462410464578910174567[[#This Row],[Discount selection]]&gt;0,VLOOKUP(_1_54128456121462410464578910174567[[#This Row],[Discount selection]],'Discount Structure'!$A$2:$B$30,2,"false"),0)</f>
        <v>1</v>
      </c>
      <c r="L65" s="194">
        <f>_1_54128456121462410464578910174567[[#This Row],[LIST $]]*_1_54128456121462410464578910174567[[#This Row],[DISCOUNT]]*_1_54128456121462410464578910174567[[#This Row],[DISCOUNT 2]]</f>
        <v>0</v>
      </c>
      <c r="M65" s="194">
        <f>IF(OR(_1_54128456121462410464578910174567[[#This Row],[UNIT]]&gt;0,_1_54128456121462410464578910174567[[#This Row],[UNIT]]&lt;0),_1_54128456121462410464578910174567[[#This Row],[UNIT]]*_1_54128456121462410464578910174567[[#This Row],[COST]],0)</f>
        <v>0</v>
      </c>
      <c r="N65" s="194">
        <f t="shared" si="0"/>
        <v>1.3</v>
      </c>
      <c r="O65" s="198">
        <f>_1_54128456121462410464578910174567[[#This Row],[TOTAL]]*_1_54128456121462410464578910174567[[#This Row],[MARGIN]]</f>
        <v>0</v>
      </c>
      <c r="R65" s="41"/>
    </row>
    <row r="66" spans="1:18">
      <c r="B66" s="363"/>
      <c r="C66" s="168"/>
      <c r="D66" s="188"/>
      <c r="F66" s="168" t="s">
        <v>6202</v>
      </c>
      <c r="G66" s="193">
        <f>IF(_1_54128456121462410464578910174567[[#This Row],[Type]]&gt;0,VLOOKUP(_1_54128456121462410464578910174567[[#This Row],[Type]],Main[[#All],[TYPE]:[UNIT]],'Unit Price'!C$1,FALSE),0)</f>
        <v>0</v>
      </c>
      <c r="H66" s="197">
        <f>IF(_1_54128456121462410464578910174567[[#This Row],[Type]]&gt;0,VLOOKUP(_1_54128456121462410464578910174567[[#This Row],[Type]],Main[[#All],[TYPE]:[UNIT]],'Unit Price'!D$1,FALSE),0)</f>
        <v>0</v>
      </c>
      <c r="I66" s="194">
        <f>IF(_1_54128456121462410464578910174567[[#This Row],[Type]]&gt;0,VLOOKUP(_1_54128456121462410464578910174567[[#This Row],[Type]],Main[[#All],[TYPE]:[UNIT]],'Unit Price'!G$1,FALSE),0)</f>
        <v>0</v>
      </c>
      <c r="J66" s="194">
        <f>IF(_1_54128456121462410464578910174567[[#This Row],[Type]]&gt;0,VLOOKUP(_1_54128456121462410464578910174567[[#This Row],[Type]],Main[[#All],[TYPE]:[UNIT]],'Unit Price'!H$1,FALSE),0)</f>
        <v>0</v>
      </c>
      <c r="K66" s="194">
        <f>IF(_1_54128456121462410464578910174567[[#This Row],[Discount selection]]&gt;0,VLOOKUP(_1_54128456121462410464578910174567[[#This Row],[Discount selection]],'Discount Structure'!$A$2:$B$30,2,"false"),0)</f>
        <v>1</v>
      </c>
      <c r="L66" s="194">
        <f>_1_54128456121462410464578910174567[[#This Row],[LIST $]]*_1_54128456121462410464578910174567[[#This Row],[DISCOUNT]]*_1_54128456121462410464578910174567[[#This Row],[DISCOUNT 2]]</f>
        <v>0</v>
      </c>
      <c r="M66" s="194">
        <f>IF(OR(_1_54128456121462410464578910174567[[#This Row],[UNIT]]&gt;0,_1_54128456121462410464578910174567[[#This Row],[UNIT]]&lt;0),_1_54128456121462410464578910174567[[#This Row],[UNIT]]*_1_54128456121462410464578910174567[[#This Row],[COST]],0)</f>
        <v>0</v>
      </c>
      <c r="N66" s="194">
        <f t="shared" si="0"/>
        <v>1.3</v>
      </c>
      <c r="O66" s="198">
        <f>_1_54128456121462410464578910174567[[#This Row],[TOTAL]]*_1_54128456121462410464578910174567[[#This Row],[MARGIN]]</f>
        <v>0</v>
      </c>
      <c r="R66" s="41"/>
    </row>
    <row r="67" spans="1:18">
      <c r="C67" s="168"/>
      <c r="D67" s="188"/>
      <c r="F67" s="168" t="s">
        <v>6202</v>
      </c>
      <c r="G67" s="193">
        <f>IF(_1_54128456121462410464578910174567[[#This Row],[Type]]&gt;0,VLOOKUP(_1_54128456121462410464578910174567[[#This Row],[Type]],Main[[#All],[TYPE]:[UNIT]],'Unit Price'!C$1,FALSE),0)</f>
        <v>0</v>
      </c>
      <c r="H67" s="197">
        <f>IF(_1_54128456121462410464578910174567[[#This Row],[Type]]&gt;0,VLOOKUP(_1_54128456121462410464578910174567[[#This Row],[Type]],Main[[#All],[TYPE]:[UNIT]],'Unit Price'!D$1,FALSE),0)</f>
        <v>0</v>
      </c>
      <c r="I67" s="194">
        <f>IF(_1_54128456121462410464578910174567[[#This Row],[Type]]&gt;0,VLOOKUP(_1_54128456121462410464578910174567[[#This Row],[Type]],Main[[#All],[TYPE]:[UNIT]],'Unit Price'!G$1,FALSE),0)</f>
        <v>0</v>
      </c>
      <c r="J67" s="194">
        <f>IF(_1_54128456121462410464578910174567[[#This Row],[Type]]&gt;0,VLOOKUP(_1_54128456121462410464578910174567[[#This Row],[Type]],Main[[#All],[TYPE]:[UNIT]],'Unit Price'!H$1,FALSE),0)</f>
        <v>0</v>
      </c>
      <c r="K67" s="194">
        <f>IF(_1_54128456121462410464578910174567[[#This Row],[Discount selection]]&gt;0,VLOOKUP(_1_54128456121462410464578910174567[[#This Row],[Discount selection]],'Discount Structure'!$A$2:$B$30,2,"false"),0)</f>
        <v>1</v>
      </c>
      <c r="L67" s="194">
        <f>_1_54128456121462410464578910174567[[#This Row],[LIST $]]*_1_54128456121462410464578910174567[[#This Row],[DISCOUNT]]*_1_54128456121462410464578910174567[[#This Row],[DISCOUNT 2]]</f>
        <v>0</v>
      </c>
      <c r="M67" s="194">
        <f>IF(OR(_1_54128456121462410464578910174567[[#This Row],[UNIT]]&gt;0,_1_54128456121462410464578910174567[[#This Row],[UNIT]]&lt;0),_1_54128456121462410464578910174567[[#This Row],[UNIT]]*_1_54128456121462410464578910174567[[#This Row],[COST]],0)</f>
        <v>0</v>
      </c>
      <c r="N67" s="194">
        <f t="shared" si="0"/>
        <v>1.3</v>
      </c>
      <c r="O67" s="198">
        <f>_1_54128456121462410464578910174567[[#This Row],[TOTAL]]*_1_54128456121462410464578910174567[[#This Row],[MARGIN]]</f>
        <v>0</v>
      </c>
      <c r="R67" s="41"/>
    </row>
    <row r="68" spans="1:18">
      <c r="A68" s="168"/>
      <c r="C68" s="168"/>
      <c r="D68" s="188"/>
      <c r="F68" s="168" t="s">
        <v>6202</v>
      </c>
      <c r="G68" s="193">
        <f>IF(_1_54128456121462410464578910174567[[#This Row],[Type]]&gt;0,VLOOKUP(_1_54128456121462410464578910174567[[#This Row],[Type]],Main[[#All],[TYPE]:[UNIT]],'Unit Price'!C$1,FALSE),0)</f>
        <v>0</v>
      </c>
      <c r="H68" s="197">
        <f>IF(_1_54128456121462410464578910174567[[#This Row],[Type]]&gt;0,VLOOKUP(_1_54128456121462410464578910174567[[#This Row],[Type]],Main[[#All],[TYPE]:[UNIT]],'Unit Price'!D$1,FALSE),0)</f>
        <v>0</v>
      </c>
      <c r="I68" s="194">
        <f>IF(_1_54128456121462410464578910174567[[#This Row],[Type]]&gt;0,VLOOKUP(_1_54128456121462410464578910174567[[#This Row],[Type]],Main[[#All],[TYPE]:[UNIT]],'Unit Price'!G$1,FALSE),0)</f>
        <v>0</v>
      </c>
      <c r="J68" s="194">
        <f>IF(_1_54128456121462410464578910174567[[#This Row],[Type]]&gt;0,VLOOKUP(_1_54128456121462410464578910174567[[#This Row],[Type]],Main[[#All],[TYPE]:[UNIT]],'Unit Price'!H$1,FALSE),0)</f>
        <v>0</v>
      </c>
      <c r="K68" s="194">
        <f>IF(_1_54128456121462410464578910174567[[#This Row],[Discount selection]]&gt;0,VLOOKUP(_1_54128456121462410464578910174567[[#This Row],[Discount selection]],'Discount Structure'!$A$2:$B$30,2,"false"),0)</f>
        <v>1</v>
      </c>
      <c r="L68" s="194">
        <f>_1_54128456121462410464578910174567[[#This Row],[LIST $]]*_1_54128456121462410464578910174567[[#This Row],[DISCOUNT]]*_1_54128456121462410464578910174567[[#This Row],[DISCOUNT 2]]</f>
        <v>0</v>
      </c>
      <c r="M68" s="194">
        <f>IF(OR(_1_54128456121462410464578910174567[[#This Row],[UNIT]]&gt;0,_1_54128456121462410464578910174567[[#This Row],[UNIT]]&lt;0),_1_54128456121462410464578910174567[[#This Row],[UNIT]]*_1_54128456121462410464578910174567[[#This Row],[COST]],0)</f>
        <v>0</v>
      </c>
      <c r="N68" s="194">
        <f t="shared" si="0"/>
        <v>1.3</v>
      </c>
      <c r="O68" s="198">
        <f>_1_54128456121462410464578910174567[[#This Row],[TOTAL]]*_1_54128456121462410464578910174567[[#This Row],[MARGIN]]</f>
        <v>0</v>
      </c>
      <c r="R68" s="41"/>
    </row>
    <row r="69" spans="1:18">
      <c r="A69" s="168"/>
      <c r="C69" s="168"/>
      <c r="D69" s="188"/>
      <c r="F69" s="168" t="s">
        <v>6202</v>
      </c>
      <c r="G69" s="193">
        <f>IF(_1_54128456121462410464578910174567[[#This Row],[Type]]&gt;0,VLOOKUP(_1_54128456121462410464578910174567[[#This Row],[Type]],Main[[#All],[TYPE]:[UNIT]],'Unit Price'!C$1,FALSE),0)</f>
        <v>0</v>
      </c>
      <c r="H69" s="197">
        <f>IF(_1_54128456121462410464578910174567[[#This Row],[Type]]&gt;0,VLOOKUP(_1_54128456121462410464578910174567[[#This Row],[Type]],Main[[#All],[TYPE]:[UNIT]],'Unit Price'!D$1,FALSE),0)</f>
        <v>0</v>
      </c>
      <c r="I69" s="194">
        <f>IF(_1_54128456121462410464578910174567[[#This Row],[Type]]&gt;0,VLOOKUP(_1_54128456121462410464578910174567[[#This Row],[Type]],Main[[#All],[TYPE]:[UNIT]],'Unit Price'!G$1,FALSE),0)</f>
        <v>0</v>
      </c>
      <c r="J69" s="194">
        <f>IF(_1_54128456121462410464578910174567[[#This Row],[Type]]&gt;0,VLOOKUP(_1_54128456121462410464578910174567[[#This Row],[Type]],Main[[#All],[TYPE]:[UNIT]],'Unit Price'!H$1,FALSE),0)</f>
        <v>0</v>
      </c>
      <c r="K69" s="194">
        <f>IF(_1_54128456121462410464578910174567[[#This Row],[Discount selection]]&gt;0,VLOOKUP(_1_54128456121462410464578910174567[[#This Row],[Discount selection]],'Discount Structure'!$A$2:$B$30,2,"false"),0)</f>
        <v>1</v>
      </c>
      <c r="L69" s="194">
        <f>_1_54128456121462410464578910174567[[#This Row],[LIST $]]*_1_54128456121462410464578910174567[[#This Row],[DISCOUNT]]*_1_54128456121462410464578910174567[[#This Row],[DISCOUNT 2]]</f>
        <v>0</v>
      </c>
      <c r="M69" s="194">
        <f>IF(OR(_1_54128456121462410464578910174567[[#This Row],[UNIT]]&gt;0,_1_54128456121462410464578910174567[[#This Row],[UNIT]]&lt;0),_1_54128456121462410464578910174567[[#This Row],[UNIT]]*_1_54128456121462410464578910174567[[#This Row],[COST]],0)</f>
        <v>0</v>
      </c>
      <c r="N69" s="194">
        <f t="shared" si="0"/>
        <v>1.3</v>
      </c>
      <c r="O69" s="198">
        <f>_1_54128456121462410464578910174567[[#This Row],[TOTAL]]*_1_54128456121462410464578910174567[[#This Row],[MARGIN]]</f>
        <v>0</v>
      </c>
      <c r="R69" s="41"/>
    </row>
    <row r="70" spans="1:18">
      <c r="C70" s="168"/>
      <c r="D70" s="188"/>
      <c r="F70" s="168" t="s">
        <v>6202</v>
      </c>
      <c r="G70" s="193">
        <f>IF(_1_54128456121462410464578910174567[[#This Row],[Type]]&gt;0,VLOOKUP(_1_54128456121462410464578910174567[[#This Row],[Type]],Main[[#All],[TYPE]:[UNIT]],'Unit Price'!C$1,FALSE),0)</f>
        <v>0</v>
      </c>
      <c r="H70" s="197">
        <f>IF(_1_54128456121462410464578910174567[[#This Row],[Type]]&gt;0,VLOOKUP(_1_54128456121462410464578910174567[[#This Row],[Type]],Main[[#All],[TYPE]:[UNIT]],'Unit Price'!D$1,FALSE),0)</f>
        <v>0</v>
      </c>
      <c r="I70" s="194">
        <f>IF(_1_54128456121462410464578910174567[[#This Row],[Type]]&gt;0,VLOOKUP(_1_54128456121462410464578910174567[[#This Row],[Type]],Main[[#All],[TYPE]:[UNIT]],'Unit Price'!G$1,FALSE),0)</f>
        <v>0</v>
      </c>
      <c r="J70" s="194">
        <f>IF(_1_54128456121462410464578910174567[[#This Row],[Type]]&gt;0,VLOOKUP(_1_54128456121462410464578910174567[[#This Row],[Type]],Main[[#All],[TYPE]:[UNIT]],'Unit Price'!H$1,FALSE),0)</f>
        <v>0</v>
      </c>
      <c r="K70" s="194">
        <f>IF(_1_54128456121462410464578910174567[[#This Row],[Discount selection]]&gt;0,VLOOKUP(_1_54128456121462410464578910174567[[#This Row],[Discount selection]],'Discount Structure'!$A$2:$B$30,2,"false"),0)</f>
        <v>1</v>
      </c>
      <c r="L70" s="194">
        <f>_1_54128456121462410464578910174567[[#This Row],[LIST $]]*_1_54128456121462410464578910174567[[#This Row],[DISCOUNT]]*_1_54128456121462410464578910174567[[#This Row],[DISCOUNT 2]]</f>
        <v>0</v>
      </c>
      <c r="M70" s="194">
        <f>IF(OR(_1_54128456121462410464578910174567[[#This Row],[UNIT]]&gt;0,_1_54128456121462410464578910174567[[#This Row],[UNIT]]&lt;0),_1_54128456121462410464578910174567[[#This Row],[UNIT]]*_1_54128456121462410464578910174567[[#This Row],[COST]],0)</f>
        <v>0</v>
      </c>
      <c r="N70" s="194">
        <f t="shared" si="0"/>
        <v>1.3</v>
      </c>
      <c r="O70" s="198">
        <f>_1_54128456121462410464578910174567[[#This Row],[TOTAL]]*_1_54128456121462410464578910174567[[#This Row],[MARGIN]]</f>
        <v>0</v>
      </c>
      <c r="R70" s="41"/>
    </row>
    <row r="71" spans="1:18">
      <c r="C71" s="168"/>
      <c r="D71" s="188"/>
      <c r="F71" s="168" t="s">
        <v>6202</v>
      </c>
      <c r="G71" s="193">
        <f>IF(_1_54128456121462410464578910174567[[#This Row],[Type]]&gt;0,VLOOKUP(_1_54128456121462410464578910174567[[#This Row],[Type]],Main[[#All],[TYPE]:[UNIT]],'Unit Price'!C$1,FALSE),0)</f>
        <v>0</v>
      </c>
      <c r="H71" s="197">
        <f>IF(_1_54128456121462410464578910174567[[#This Row],[Type]]&gt;0,VLOOKUP(_1_54128456121462410464578910174567[[#This Row],[Type]],Main[[#All],[TYPE]:[UNIT]],'Unit Price'!D$1,FALSE),0)</f>
        <v>0</v>
      </c>
      <c r="I71" s="194">
        <f>IF(_1_54128456121462410464578910174567[[#This Row],[Type]]&gt;0,VLOOKUP(_1_54128456121462410464578910174567[[#This Row],[Type]],Main[[#All],[TYPE]:[UNIT]],'Unit Price'!G$1,FALSE),0)</f>
        <v>0</v>
      </c>
      <c r="J71" s="194">
        <f>IF(_1_54128456121462410464578910174567[[#This Row],[Type]]&gt;0,VLOOKUP(_1_54128456121462410464578910174567[[#This Row],[Type]],Main[[#All],[TYPE]:[UNIT]],'Unit Price'!H$1,FALSE),0)</f>
        <v>0</v>
      </c>
      <c r="K71" s="194">
        <f>IF(_1_54128456121462410464578910174567[[#This Row],[Discount selection]]&gt;0,VLOOKUP(_1_54128456121462410464578910174567[[#This Row],[Discount selection]],'Discount Structure'!$A$2:$B$30,2,"false"),0)</f>
        <v>1</v>
      </c>
      <c r="L71" s="194">
        <f>_1_54128456121462410464578910174567[[#This Row],[LIST $]]*_1_54128456121462410464578910174567[[#This Row],[DISCOUNT]]*_1_54128456121462410464578910174567[[#This Row],[DISCOUNT 2]]</f>
        <v>0</v>
      </c>
      <c r="M71" s="194">
        <f>IF(OR(_1_54128456121462410464578910174567[[#This Row],[UNIT]]&gt;0,_1_54128456121462410464578910174567[[#This Row],[UNIT]]&lt;0),_1_54128456121462410464578910174567[[#This Row],[UNIT]]*_1_54128456121462410464578910174567[[#This Row],[COST]],0)</f>
        <v>0</v>
      </c>
      <c r="N71" s="194">
        <f t="shared" si="0"/>
        <v>1.3</v>
      </c>
      <c r="O71" s="198">
        <f>_1_54128456121462410464578910174567[[#This Row],[TOTAL]]*_1_54128456121462410464578910174567[[#This Row],[MARGIN]]</f>
        <v>0</v>
      </c>
      <c r="R71" s="41"/>
    </row>
    <row r="72" spans="1:18">
      <c r="A72" s="168"/>
      <c r="C72" s="168"/>
      <c r="D72" s="188"/>
      <c r="F72" s="168" t="s">
        <v>6202</v>
      </c>
      <c r="G72" s="193">
        <f>IF(_1_54128456121462410464578910174567[[#This Row],[Type]]&gt;0,VLOOKUP(_1_54128456121462410464578910174567[[#This Row],[Type]],Main[[#All],[TYPE]:[UNIT]],'Unit Price'!C$1,FALSE),0)</f>
        <v>0</v>
      </c>
      <c r="H72" s="197">
        <f>IF(_1_54128456121462410464578910174567[[#This Row],[Type]]&gt;0,VLOOKUP(_1_54128456121462410464578910174567[[#This Row],[Type]],Main[[#All],[TYPE]:[UNIT]],'Unit Price'!D$1,FALSE),0)</f>
        <v>0</v>
      </c>
      <c r="I72" s="194">
        <f>IF(_1_54128456121462410464578910174567[[#This Row],[Type]]&gt;0,VLOOKUP(_1_54128456121462410464578910174567[[#This Row],[Type]],Main[[#All],[TYPE]:[UNIT]],'Unit Price'!G$1,FALSE),0)</f>
        <v>0</v>
      </c>
      <c r="J72" s="194">
        <f>IF(_1_54128456121462410464578910174567[[#This Row],[Type]]&gt;0,VLOOKUP(_1_54128456121462410464578910174567[[#This Row],[Type]],Main[[#All],[TYPE]:[UNIT]],'Unit Price'!H$1,FALSE),0)</f>
        <v>0</v>
      </c>
      <c r="K72" s="194">
        <f>IF(_1_54128456121462410464578910174567[[#This Row],[Discount selection]]&gt;0,VLOOKUP(_1_54128456121462410464578910174567[[#This Row],[Discount selection]],'Discount Structure'!$A$2:$B$30,2,"false"),0)</f>
        <v>1</v>
      </c>
      <c r="L72" s="194">
        <f>_1_54128456121462410464578910174567[[#This Row],[LIST $]]*_1_54128456121462410464578910174567[[#This Row],[DISCOUNT]]*_1_54128456121462410464578910174567[[#This Row],[DISCOUNT 2]]</f>
        <v>0</v>
      </c>
      <c r="M72" s="194">
        <f>IF(OR(_1_54128456121462410464578910174567[[#This Row],[UNIT]]&gt;0,_1_54128456121462410464578910174567[[#This Row],[UNIT]]&lt;0),_1_54128456121462410464578910174567[[#This Row],[UNIT]]*_1_54128456121462410464578910174567[[#This Row],[COST]],0)</f>
        <v>0</v>
      </c>
      <c r="N72" s="194">
        <f t="shared" si="0"/>
        <v>1.3</v>
      </c>
      <c r="O72" s="198">
        <f>_1_54128456121462410464578910174567[[#This Row],[TOTAL]]*_1_54128456121462410464578910174567[[#This Row],[MARGIN]]</f>
        <v>0</v>
      </c>
      <c r="R72" s="41"/>
    </row>
    <row r="73" spans="1:18">
      <c r="C73" s="168"/>
      <c r="D73" s="188"/>
      <c r="F73" s="168" t="s">
        <v>6202</v>
      </c>
      <c r="G73" s="193">
        <f>IF(_1_54128456121462410464578910174567[[#This Row],[Type]]&gt;0,VLOOKUP(_1_54128456121462410464578910174567[[#This Row],[Type]],Main[[#All],[TYPE]:[UNIT]],'Unit Price'!C$1,FALSE),0)</f>
        <v>0</v>
      </c>
      <c r="H73" s="197">
        <f>IF(_1_54128456121462410464578910174567[[#This Row],[Type]]&gt;0,VLOOKUP(_1_54128456121462410464578910174567[[#This Row],[Type]],Main[[#All],[TYPE]:[UNIT]],'Unit Price'!D$1,FALSE),0)</f>
        <v>0</v>
      </c>
      <c r="I73" s="194">
        <f>IF(_1_54128456121462410464578910174567[[#This Row],[Type]]&gt;0,VLOOKUP(_1_54128456121462410464578910174567[[#This Row],[Type]],Main[[#All],[TYPE]:[UNIT]],'Unit Price'!G$1,FALSE),0)</f>
        <v>0</v>
      </c>
      <c r="J73" s="194">
        <f>IF(_1_54128456121462410464578910174567[[#This Row],[Type]]&gt;0,VLOOKUP(_1_54128456121462410464578910174567[[#This Row],[Type]],Main[[#All],[TYPE]:[UNIT]],'Unit Price'!H$1,FALSE),0)</f>
        <v>0</v>
      </c>
      <c r="K73" s="194">
        <f>IF(_1_54128456121462410464578910174567[[#This Row],[Discount selection]]&gt;0,VLOOKUP(_1_54128456121462410464578910174567[[#This Row],[Discount selection]],'Discount Structure'!$A$2:$B$30,2,"false"),0)</f>
        <v>1</v>
      </c>
      <c r="L73" s="194">
        <f>_1_54128456121462410464578910174567[[#This Row],[LIST $]]*_1_54128456121462410464578910174567[[#This Row],[DISCOUNT]]*_1_54128456121462410464578910174567[[#This Row],[DISCOUNT 2]]</f>
        <v>0</v>
      </c>
      <c r="M73" s="194">
        <f>IF(OR(_1_54128456121462410464578910174567[[#This Row],[UNIT]]&gt;0,_1_54128456121462410464578910174567[[#This Row],[UNIT]]&lt;0),_1_54128456121462410464578910174567[[#This Row],[UNIT]]*_1_54128456121462410464578910174567[[#This Row],[COST]],0)</f>
        <v>0</v>
      </c>
      <c r="N73" s="194">
        <f t="shared" si="0"/>
        <v>1.3</v>
      </c>
      <c r="O73" s="198">
        <f>_1_54128456121462410464578910174567[[#This Row],[TOTAL]]*_1_54128456121462410464578910174567[[#This Row],[MARGIN]]</f>
        <v>0</v>
      </c>
      <c r="R73" s="41"/>
    </row>
    <row r="74" spans="1:18">
      <c r="A74" s="356"/>
      <c r="C74" s="168"/>
      <c r="D74" s="188"/>
      <c r="F74" s="168" t="s">
        <v>6202</v>
      </c>
      <c r="G74" s="193">
        <f>IF(_1_54128456121462410464578910174567[[#This Row],[Type]]&gt;0,VLOOKUP(_1_54128456121462410464578910174567[[#This Row],[Type]],Main[[#All],[TYPE]:[UNIT]],'Unit Price'!C$1,FALSE),0)</f>
        <v>0</v>
      </c>
      <c r="H74" s="197">
        <f>IF(_1_54128456121462410464578910174567[[#This Row],[Type]]&gt;0,VLOOKUP(_1_54128456121462410464578910174567[[#This Row],[Type]],Main[[#All],[TYPE]:[UNIT]],'Unit Price'!D$1,FALSE),0)</f>
        <v>0</v>
      </c>
      <c r="I74" s="194">
        <f>IF(_1_54128456121462410464578910174567[[#This Row],[Type]]&gt;0,VLOOKUP(_1_54128456121462410464578910174567[[#This Row],[Type]],Main[[#All],[TYPE]:[UNIT]],'Unit Price'!G$1,FALSE),0)</f>
        <v>0</v>
      </c>
      <c r="J74" s="194">
        <f>IF(_1_54128456121462410464578910174567[[#This Row],[Type]]&gt;0,VLOOKUP(_1_54128456121462410464578910174567[[#This Row],[Type]],Main[[#All],[TYPE]:[UNIT]],'Unit Price'!H$1,FALSE),0)</f>
        <v>0</v>
      </c>
      <c r="K74" s="194">
        <f>IF(_1_54128456121462410464578910174567[[#This Row],[Discount selection]]&gt;0,VLOOKUP(_1_54128456121462410464578910174567[[#This Row],[Discount selection]],'Discount Structure'!$A$2:$B$30,2,"false"),0)</f>
        <v>1</v>
      </c>
      <c r="L74" s="194">
        <f>_1_54128456121462410464578910174567[[#This Row],[LIST $]]*_1_54128456121462410464578910174567[[#This Row],[DISCOUNT]]*_1_54128456121462410464578910174567[[#This Row],[DISCOUNT 2]]</f>
        <v>0</v>
      </c>
      <c r="M74" s="194">
        <f>IF(OR(_1_54128456121462410464578910174567[[#This Row],[UNIT]]&gt;0,_1_54128456121462410464578910174567[[#This Row],[UNIT]]&lt;0),_1_54128456121462410464578910174567[[#This Row],[UNIT]]*_1_54128456121462410464578910174567[[#This Row],[COST]],0)</f>
        <v>0</v>
      </c>
      <c r="N74" s="194">
        <f t="shared" ref="N74:N137" si="1">$N$7</f>
        <v>1.3</v>
      </c>
      <c r="O74" s="198">
        <f>_1_54128456121462410464578910174567[[#This Row],[TOTAL]]*_1_54128456121462410464578910174567[[#This Row],[MARGIN]]</f>
        <v>0</v>
      </c>
      <c r="R74" s="41"/>
    </row>
    <row r="75" spans="1:18">
      <c r="C75" s="168"/>
      <c r="D75" s="188"/>
      <c r="F75" s="168" t="s">
        <v>6202</v>
      </c>
      <c r="G75" s="193">
        <f>IF(_1_54128456121462410464578910174567[[#This Row],[Type]]&gt;0,VLOOKUP(_1_54128456121462410464578910174567[[#This Row],[Type]],Main[[#All],[TYPE]:[UNIT]],'Unit Price'!C$1,FALSE),0)</f>
        <v>0</v>
      </c>
      <c r="H75" s="197">
        <f>IF(_1_54128456121462410464578910174567[[#This Row],[Type]]&gt;0,VLOOKUP(_1_54128456121462410464578910174567[[#This Row],[Type]],Main[[#All],[TYPE]:[UNIT]],'Unit Price'!D$1,FALSE),0)</f>
        <v>0</v>
      </c>
      <c r="I75" s="194">
        <f>IF(_1_54128456121462410464578910174567[[#This Row],[Type]]&gt;0,VLOOKUP(_1_54128456121462410464578910174567[[#This Row],[Type]],Main[[#All],[TYPE]:[UNIT]],'Unit Price'!G$1,FALSE),0)</f>
        <v>0</v>
      </c>
      <c r="J75" s="194">
        <f>IF(_1_54128456121462410464578910174567[[#This Row],[Type]]&gt;0,VLOOKUP(_1_54128456121462410464578910174567[[#This Row],[Type]],Main[[#All],[TYPE]:[UNIT]],'Unit Price'!H$1,FALSE),0)</f>
        <v>0</v>
      </c>
      <c r="K75" s="194">
        <f>IF(_1_54128456121462410464578910174567[[#This Row],[Discount selection]]&gt;0,VLOOKUP(_1_54128456121462410464578910174567[[#This Row],[Discount selection]],'Discount Structure'!$A$2:$B$30,2,"false"),0)</f>
        <v>1</v>
      </c>
      <c r="L75" s="194">
        <f>_1_54128456121462410464578910174567[[#This Row],[LIST $]]*_1_54128456121462410464578910174567[[#This Row],[DISCOUNT]]*_1_54128456121462410464578910174567[[#This Row],[DISCOUNT 2]]</f>
        <v>0</v>
      </c>
      <c r="M75" s="194">
        <f>IF(OR(_1_54128456121462410464578910174567[[#This Row],[UNIT]]&gt;0,_1_54128456121462410464578910174567[[#This Row],[UNIT]]&lt;0),_1_54128456121462410464578910174567[[#This Row],[UNIT]]*_1_54128456121462410464578910174567[[#This Row],[COST]],0)</f>
        <v>0</v>
      </c>
      <c r="N75" s="194">
        <f t="shared" si="1"/>
        <v>1.3</v>
      </c>
      <c r="O75" s="198">
        <f>_1_54128456121462410464578910174567[[#This Row],[TOTAL]]*_1_54128456121462410464578910174567[[#This Row],[MARGIN]]</f>
        <v>0</v>
      </c>
      <c r="R75" s="41"/>
    </row>
    <row r="76" spans="1:18">
      <c r="A76" s="355"/>
      <c r="C76" s="168"/>
      <c r="D76" s="188"/>
      <c r="F76" s="168" t="s">
        <v>6202</v>
      </c>
      <c r="G76" s="193">
        <f>IF(_1_54128456121462410464578910174567[[#This Row],[Type]]&gt;0,VLOOKUP(_1_54128456121462410464578910174567[[#This Row],[Type]],Main[[#All],[TYPE]:[UNIT]],'Unit Price'!C$1,FALSE),0)</f>
        <v>0</v>
      </c>
      <c r="H76" s="197">
        <f>IF(_1_54128456121462410464578910174567[[#This Row],[Type]]&gt;0,VLOOKUP(_1_54128456121462410464578910174567[[#This Row],[Type]],Main[[#All],[TYPE]:[UNIT]],'Unit Price'!D$1,FALSE),0)</f>
        <v>0</v>
      </c>
      <c r="I76" s="194">
        <f>IF(_1_54128456121462410464578910174567[[#This Row],[Type]]&gt;0,VLOOKUP(_1_54128456121462410464578910174567[[#This Row],[Type]],Main[[#All],[TYPE]:[UNIT]],'Unit Price'!G$1,FALSE),0)</f>
        <v>0</v>
      </c>
      <c r="J76" s="194">
        <f>IF(_1_54128456121462410464578910174567[[#This Row],[Type]]&gt;0,VLOOKUP(_1_54128456121462410464578910174567[[#This Row],[Type]],Main[[#All],[TYPE]:[UNIT]],'Unit Price'!H$1,FALSE),0)</f>
        <v>0</v>
      </c>
      <c r="K76" s="194">
        <f>IF(_1_54128456121462410464578910174567[[#This Row],[Discount selection]]&gt;0,VLOOKUP(_1_54128456121462410464578910174567[[#This Row],[Discount selection]],'Discount Structure'!$A$2:$B$30,2,"false"),0)</f>
        <v>1</v>
      </c>
      <c r="L76" s="194">
        <f>_1_54128456121462410464578910174567[[#This Row],[LIST $]]*_1_54128456121462410464578910174567[[#This Row],[DISCOUNT]]*_1_54128456121462410464578910174567[[#This Row],[DISCOUNT 2]]</f>
        <v>0</v>
      </c>
      <c r="M76" s="194">
        <f>IF(OR(_1_54128456121462410464578910174567[[#This Row],[UNIT]]&gt;0,_1_54128456121462410464578910174567[[#This Row],[UNIT]]&lt;0),_1_54128456121462410464578910174567[[#This Row],[UNIT]]*_1_54128456121462410464578910174567[[#This Row],[COST]],0)</f>
        <v>0</v>
      </c>
      <c r="N76" s="194">
        <f t="shared" si="1"/>
        <v>1.3</v>
      </c>
      <c r="O76" s="198">
        <f>_1_54128456121462410464578910174567[[#This Row],[TOTAL]]*_1_54128456121462410464578910174567[[#This Row],[MARGIN]]</f>
        <v>0</v>
      </c>
      <c r="R76" s="41"/>
    </row>
    <row r="77" spans="1:18">
      <c r="C77" s="168"/>
      <c r="D77" s="188"/>
      <c r="F77" s="168" t="s">
        <v>6202</v>
      </c>
      <c r="G77" s="193">
        <f>IF(_1_54128456121462410464578910174567[[#This Row],[Type]]&gt;0,VLOOKUP(_1_54128456121462410464578910174567[[#This Row],[Type]],Main[[#All],[TYPE]:[UNIT]],'Unit Price'!C$1,FALSE),0)</f>
        <v>0</v>
      </c>
      <c r="H77" s="197">
        <f>IF(_1_54128456121462410464578910174567[[#This Row],[Type]]&gt;0,VLOOKUP(_1_54128456121462410464578910174567[[#This Row],[Type]],Main[[#All],[TYPE]:[UNIT]],'Unit Price'!D$1,FALSE),0)</f>
        <v>0</v>
      </c>
      <c r="I77" s="194">
        <f>IF(_1_54128456121462410464578910174567[[#This Row],[Type]]&gt;0,VLOOKUP(_1_54128456121462410464578910174567[[#This Row],[Type]],Main[[#All],[TYPE]:[UNIT]],'Unit Price'!G$1,FALSE),0)</f>
        <v>0</v>
      </c>
      <c r="J77" s="194">
        <f>IF(_1_54128456121462410464578910174567[[#This Row],[Type]]&gt;0,VLOOKUP(_1_54128456121462410464578910174567[[#This Row],[Type]],Main[[#All],[TYPE]:[UNIT]],'Unit Price'!H$1,FALSE),0)</f>
        <v>0</v>
      </c>
      <c r="K77" s="194">
        <f>IF(_1_54128456121462410464578910174567[[#This Row],[Discount selection]]&gt;0,VLOOKUP(_1_54128456121462410464578910174567[[#This Row],[Discount selection]],'Discount Structure'!$A$2:$B$30,2,"false"),0)</f>
        <v>1</v>
      </c>
      <c r="L77" s="194">
        <f>_1_54128456121462410464578910174567[[#This Row],[LIST $]]*_1_54128456121462410464578910174567[[#This Row],[DISCOUNT]]*_1_54128456121462410464578910174567[[#This Row],[DISCOUNT 2]]</f>
        <v>0</v>
      </c>
      <c r="M77" s="194">
        <f>IF(OR(_1_54128456121462410464578910174567[[#This Row],[UNIT]]&gt;0,_1_54128456121462410464578910174567[[#This Row],[UNIT]]&lt;0),_1_54128456121462410464578910174567[[#This Row],[UNIT]]*_1_54128456121462410464578910174567[[#This Row],[COST]],0)</f>
        <v>0</v>
      </c>
      <c r="N77" s="194">
        <f t="shared" si="1"/>
        <v>1.3</v>
      </c>
      <c r="O77" s="198">
        <f>_1_54128456121462410464578910174567[[#This Row],[TOTAL]]*_1_54128456121462410464578910174567[[#This Row],[MARGIN]]</f>
        <v>0</v>
      </c>
      <c r="R77" s="41"/>
    </row>
    <row r="78" spans="1:18">
      <c r="A78" s="316"/>
      <c r="C78" s="168"/>
      <c r="D78" s="311"/>
      <c r="F78" s="168" t="s">
        <v>6202</v>
      </c>
      <c r="G78" s="193">
        <f>IF(_1_54128456121462410464578910174567[[#This Row],[Type]]&gt;0,VLOOKUP(_1_54128456121462410464578910174567[[#This Row],[Type]],Main[[#All],[TYPE]:[UNIT]],'Unit Price'!C$1,FALSE),0)</f>
        <v>0</v>
      </c>
      <c r="H78" s="197">
        <f>IF(_1_54128456121462410464578910174567[[#This Row],[Type]]&gt;0,VLOOKUP(_1_54128456121462410464578910174567[[#This Row],[Type]],Main[[#All],[TYPE]:[UNIT]],'Unit Price'!D$1,FALSE),0)</f>
        <v>0</v>
      </c>
      <c r="I78" s="194">
        <f>IF(_1_54128456121462410464578910174567[[#This Row],[Type]]&gt;0,VLOOKUP(_1_54128456121462410464578910174567[[#This Row],[Type]],Main[[#All],[TYPE]:[UNIT]],'Unit Price'!G$1,FALSE),0)</f>
        <v>0</v>
      </c>
      <c r="J78" s="194">
        <f>IF(_1_54128456121462410464578910174567[[#This Row],[Type]]&gt;0,VLOOKUP(_1_54128456121462410464578910174567[[#This Row],[Type]],Main[[#All],[TYPE]:[UNIT]],'Unit Price'!H$1,FALSE),0)</f>
        <v>0</v>
      </c>
      <c r="K78" s="194">
        <f>IF(_1_54128456121462410464578910174567[[#This Row],[Discount selection]]&gt;0,VLOOKUP(_1_54128456121462410464578910174567[[#This Row],[Discount selection]],'Discount Structure'!$A$2:$B$30,2,"false"),0)</f>
        <v>1</v>
      </c>
      <c r="L78" s="194">
        <f>_1_54128456121462410464578910174567[[#This Row],[LIST $]]*_1_54128456121462410464578910174567[[#This Row],[DISCOUNT]]*_1_54128456121462410464578910174567[[#This Row],[DISCOUNT 2]]</f>
        <v>0</v>
      </c>
      <c r="M78" s="194">
        <f>IF(OR(_1_54128456121462410464578910174567[[#This Row],[UNIT]]&gt;0,_1_54128456121462410464578910174567[[#This Row],[UNIT]]&lt;0),_1_54128456121462410464578910174567[[#This Row],[UNIT]]*_1_54128456121462410464578910174567[[#This Row],[COST]],0)</f>
        <v>0</v>
      </c>
      <c r="N78" s="194">
        <f t="shared" si="1"/>
        <v>1.3</v>
      </c>
      <c r="O78" s="198">
        <f>_1_54128456121462410464578910174567[[#This Row],[TOTAL]]*_1_54128456121462410464578910174567[[#This Row],[MARGIN]]</f>
        <v>0</v>
      </c>
      <c r="R78" s="41"/>
    </row>
    <row r="79" spans="1:18">
      <c r="C79" s="168"/>
      <c r="D79" s="188"/>
      <c r="F79" s="168" t="s">
        <v>6202</v>
      </c>
      <c r="G79" s="193">
        <f>IF(_1_54128456121462410464578910174567[[#This Row],[Type]]&gt;0,VLOOKUP(_1_54128456121462410464578910174567[[#This Row],[Type]],Main[[#All],[TYPE]:[UNIT]],'Unit Price'!C$1,FALSE),0)</f>
        <v>0</v>
      </c>
      <c r="H79" s="197">
        <f>IF(_1_54128456121462410464578910174567[[#This Row],[Type]]&gt;0,VLOOKUP(_1_54128456121462410464578910174567[[#This Row],[Type]],Main[[#All],[TYPE]:[UNIT]],'Unit Price'!D$1,FALSE),0)</f>
        <v>0</v>
      </c>
      <c r="I79" s="194">
        <f>IF(_1_54128456121462410464578910174567[[#This Row],[Type]]&gt;0,VLOOKUP(_1_54128456121462410464578910174567[[#This Row],[Type]],Main[[#All],[TYPE]:[UNIT]],'Unit Price'!G$1,FALSE),0)</f>
        <v>0</v>
      </c>
      <c r="J79" s="194">
        <f>IF(_1_54128456121462410464578910174567[[#This Row],[Type]]&gt;0,VLOOKUP(_1_54128456121462410464578910174567[[#This Row],[Type]],Main[[#All],[TYPE]:[UNIT]],'Unit Price'!H$1,FALSE),0)</f>
        <v>0</v>
      </c>
      <c r="K79" s="194">
        <f>IF(_1_54128456121462410464578910174567[[#This Row],[Discount selection]]&gt;0,VLOOKUP(_1_54128456121462410464578910174567[[#This Row],[Discount selection]],'Discount Structure'!$A$2:$B$30,2,"false"),0)</f>
        <v>1</v>
      </c>
      <c r="L79" s="194">
        <f>_1_54128456121462410464578910174567[[#This Row],[LIST $]]*_1_54128456121462410464578910174567[[#This Row],[DISCOUNT]]*_1_54128456121462410464578910174567[[#This Row],[DISCOUNT 2]]</f>
        <v>0</v>
      </c>
      <c r="M79" s="194">
        <f>IF(OR(_1_54128456121462410464578910174567[[#This Row],[UNIT]]&gt;0,_1_54128456121462410464578910174567[[#This Row],[UNIT]]&lt;0),_1_54128456121462410464578910174567[[#This Row],[UNIT]]*_1_54128456121462410464578910174567[[#This Row],[COST]],0)</f>
        <v>0</v>
      </c>
      <c r="N79" s="194">
        <f t="shared" si="1"/>
        <v>1.3</v>
      </c>
      <c r="O79" s="198">
        <f>_1_54128456121462410464578910174567[[#This Row],[TOTAL]]*_1_54128456121462410464578910174567[[#This Row],[MARGIN]]</f>
        <v>0</v>
      </c>
      <c r="R79" s="41"/>
    </row>
    <row r="80" spans="1:18">
      <c r="A80" s="362"/>
      <c r="C80" s="168"/>
      <c r="D80" s="188"/>
      <c r="F80" s="168" t="s">
        <v>6202</v>
      </c>
      <c r="G80" s="193">
        <f>IF(_1_54128456121462410464578910174567[[#This Row],[Type]]&gt;0,VLOOKUP(_1_54128456121462410464578910174567[[#This Row],[Type]],Main[[#All],[TYPE]:[UNIT]],'Unit Price'!C$1,FALSE),0)</f>
        <v>0</v>
      </c>
      <c r="H80" s="197">
        <f>IF(_1_54128456121462410464578910174567[[#This Row],[Type]]&gt;0,VLOOKUP(_1_54128456121462410464578910174567[[#This Row],[Type]],Main[[#All],[TYPE]:[UNIT]],'Unit Price'!D$1,FALSE),0)</f>
        <v>0</v>
      </c>
      <c r="I80" s="194">
        <f>IF(_1_54128456121462410464578910174567[[#This Row],[Type]]&gt;0,VLOOKUP(_1_54128456121462410464578910174567[[#This Row],[Type]],Main[[#All],[TYPE]:[UNIT]],'Unit Price'!G$1,FALSE),0)</f>
        <v>0</v>
      </c>
      <c r="J80" s="194">
        <f>IF(_1_54128456121462410464578910174567[[#This Row],[Type]]&gt;0,VLOOKUP(_1_54128456121462410464578910174567[[#This Row],[Type]],Main[[#All],[TYPE]:[UNIT]],'Unit Price'!H$1,FALSE),0)</f>
        <v>0</v>
      </c>
      <c r="K80" s="194">
        <f>IF(_1_54128456121462410464578910174567[[#This Row],[Discount selection]]&gt;0,VLOOKUP(_1_54128456121462410464578910174567[[#This Row],[Discount selection]],'Discount Structure'!$A$2:$B$30,2,"false"),0)</f>
        <v>1</v>
      </c>
      <c r="L80" s="194">
        <f>_1_54128456121462410464578910174567[[#This Row],[LIST $]]*_1_54128456121462410464578910174567[[#This Row],[DISCOUNT]]*_1_54128456121462410464578910174567[[#This Row],[DISCOUNT 2]]</f>
        <v>0</v>
      </c>
      <c r="M80" s="194">
        <f>IF(OR(_1_54128456121462410464578910174567[[#This Row],[UNIT]]&gt;0,_1_54128456121462410464578910174567[[#This Row],[UNIT]]&lt;0),_1_54128456121462410464578910174567[[#This Row],[UNIT]]*_1_54128456121462410464578910174567[[#This Row],[COST]],0)</f>
        <v>0</v>
      </c>
      <c r="N80" s="194">
        <f t="shared" si="1"/>
        <v>1.3</v>
      </c>
      <c r="O80" s="198">
        <f>_1_54128456121462410464578910174567[[#This Row],[TOTAL]]*_1_54128456121462410464578910174567[[#This Row],[MARGIN]]</f>
        <v>0</v>
      </c>
      <c r="R80" s="41"/>
    </row>
    <row r="81" spans="1:18">
      <c r="A81" s="362"/>
      <c r="C81" s="168"/>
      <c r="D81" s="188"/>
      <c r="F81" s="168" t="s">
        <v>6202</v>
      </c>
      <c r="G81" s="193">
        <f>IF(_1_54128456121462410464578910174567[[#This Row],[Type]]&gt;0,VLOOKUP(_1_54128456121462410464578910174567[[#This Row],[Type]],Main[[#All],[TYPE]:[UNIT]],'Unit Price'!C$1,FALSE),0)</f>
        <v>0</v>
      </c>
      <c r="H81" s="197">
        <f>IF(_1_54128456121462410464578910174567[[#This Row],[Type]]&gt;0,VLOOKUP(_1_54128456121462410464578910174567[[#This Row],[Type]],Main[[#All],[TYPE]:[UNIT]],'Unit Price'!D$1,FALSE),0)</f>
        <v>0</v>
      </c>
      <c r="I81" s="194">
        <f>IF(_1_54128456121462410464578910174567[[#This Row],[Type]]&gt;0,VLOOKUP(_1_54128456121462410464578910174567[[#This Row],[Type]],Main[[#All],[TYPE]:[UNIT]],'Unit Price'!G$1,FALSE),0)</f>
        <v>0</v>
      </c>
      <c r="J81" s="194">
        <f>IF(_1_54128456121462410464578910174567[[#This Row],[Type]]&gt;0,VLOOKUP(_1_54128456121462410464578910174567[[#This Row],[Type]],Main[[#All],[TYPE]:[UNIT]],'Unit Price'!H$1,FALSE),0)</f>
        <v>0</v>
      </c>
      <c r="K81" s="194">
        <f>IF(_1_54128456121462410464578910174567[[#This Row],[Discount selection]]&gt;0,VLOOKUP(_1_54128456121462410464578910174567[[#This Row],[Discount selection]],'Discount Structure'!$A$2:$B$30,2,"false"),0)</f>
        <v>1</v>
      </c>
      <c r="L81" s="194">
        <f>_1_54128456121462410464578910174567[[#This Row],[LIST $]]*_1_54128456121462410464578910174567[[#This Row],[DISCOUNT]]*_1_54128456121462410464578910174567[[#This Row],[DISCOUNT 2]]</f>
        <v>0</v>
      </c>
      <c r="M81" s="194">
        <f>IF(OR(_1_54128456121462410464578910174567[[#This Row],[UNIT]]&gt;0,_1_54128456121462410464578910174567[[#This Row],[UNIT]]&lt;0),_1_54128456121462410464578910174567[[#This Row],[UNIT]]*_1_54128456121462410464578910174567[[#This Row],[COST]],0)</f>
        <v>0</v>
      </c>
      <c r="N81" s="194">
        <f t="shared" si="1"/>
        <v>1.3</v>
      </c>
      <c r="O81" s="198">
        <f>_1_54128456121462410464578910174567[[#This Row],[TOTAL]]*_1_54128456121462410464578910174567[[#This Row],[MARGIN]]</f>
        <v>0</v>
      </c>
      <c r="R81" s="41"/>
    </row>
    <row r="82" spans="1:18">
      <c r="A82" s="329"/>
      <c r="C82" s="168"/>
      <c r="D82" s="188"/>
      <c r="F82" s="168" t="s">
        <v>6202</v>
      </c>
      <c r="G82" s="193">
        <f>IF(_1_54128456121462410464578910174567[[#This Row],[Type]]&gt;0,VLOOKUP(_1_54128456121462410464578910174567[[#This Row],[Type]],Main[[#All],[TYPE]:[UNIT]],'Unit Price'!C$1,FALSE),0)</f>
        <v>0</v>
      </c>
      <c r="H82" s="197">
        <f>IF(_1_54128456121462410464578910174567[[#This Row],[Type]]&gt;0,VLOOKUP(_1_54128456121462410464578910174567[[#This Row],[Type]],Main[[#All],[TYPE]:[UNIT]],'Unit Price'!D$1,FALSE),0)</f>
        <v>0</v>
      </c>
      <c r="I82" s="194">
        <f>IF(_1_54128456121462410464578910174567[[#This Row],[Type]]&gt;0,VLOOKUP(_1_54128456121462410464578910174567[[#This Row],[Type]],Main[[#All],[TYPE]:[UNIT]],'Unit Price'!G$1,FALSE),0)</f>
        <v>0</v>
      </c>
      <c r="J82" s="194">
        <f>IF(_1_54128456121462410464578910174567[[#This Row],[Type]]&gt;0,VLOOKUP(_1_54128456121462410464578910174567[[#This Row],[Type]],Main[[#All],[TYPE]:[UNIT]],'Unit Price'!H$1,FALSE),0)</f>
        <v>0</v>
      </c>
      <c r="K82" s="194">
        <f>IF(_1_54128456121462410464578910174567[[#This Row],[Discount selection]]&gt;0,VLOOKUP(_1_54128456121462410464578910174567[[#This Row],[Discount selection]],'Discount Structure'!$A$2:$B$30,2,"false"),0)</f>
        <v>1</v>
      </c>
      <c r="L82" s="194">
        <f>_1_54128456121462410464578910174567[[#This Row],[LIST $]]*_1_54128456121462410464578910174567[[#This Row],[DISCOUNT]]*_1_54128456121462410464578910174567[[#This Row],[DISCOUNT 2]]</f>
        <v>0</v>
      </c>
      <c r="M82" s="194">
        <f>IF(OR(_1_54128456121462410464578910174567[[#This Row],[UNIT]]&gt;0,_1_54128456121462410464578910174567[[#This Row],[UNIT]]&lt;0),_1_54128456121462410464578910174567[[#This Row],[UNIT]]*_1_54128456121462410464578910174567[[#This Row],[COST]],0)</f>
        <v>0</v>
      </c>
      <c r="N82" s="194">
        <f t="shared" si="1"/>
        <v>1.3</v>
      </c>
      <c r="O82" s="198">
        <f>_1_54128456121462410464578910174567[[#This Row],[TOTAL]]*_1_54128456121462410464578910174567[[#This Row],[MARGIN]]</f>
        <v>0</v>
      </c>
      <c r="R82" s="41"/>
    </row>
    <row r="83" spans="1:18">
      <c r="A83" s="329"/>
      <c r="C83" s="168"/>
      <c r="D83" s="188"/>
      <c r="F83" s="168" t="s">
        <v>6202</v>
      </c>
      <c r="G83" s="193">
        <f>IF(_1_54128456121462410464578910174567[[#This Row],[Type]]&gt;0,VLOOKUP(_1_54128456121462410464578910174567[[#This Row],[Type]],Main[[#All],[TYPE]:[UNIT]],'Unit Price'!C$1,FALSE),0)</f>
        <v>0</v>
      </c>
      <c r="H83" s="197">
        <f>IF(_1_54128456121462410464578910174567[[#This Row],[Type]]&gt;0,VLOOKUP(_1_54128456121462410464578910174567[[#This Row],[Type]],Main[[#All],[TYPE]:[UNIT]],'Unit Price'!D$1,FALSE),0)</f>
        <v>0</v>
      </c>
      <c r="I83" s="194">
        <f>IF(_1_54128456121462410464578910174567[[#This Row],[Type]]&gt;0,VLOOKUP(_1_54128456121462410464578910174567[[#This Row],[Type]],Main[[#All],[TYPE]:[UNIT]],'Unit Price'!G$1,FALSE),0)</f>
        <v>0</v>
      </c>
      <c r="J83" s="194">
        <f>IF(_1_54128456121462410464578910174567[[#This Row],[Type]]&gt;0,VLOOKUP(_1_54128456121462410464578910174567[[#This Row],[Type]],Main[[#All],[TYPE]:[UNIT]],'Unit Price'!H$1,FALSE),0)</f>
        <v>0</v>
      </c>
      <c r="K83" s="194">
        <f>IF(_1_54128456121462410464578910174567[[#This Row],[Discount selection]]&gt;0,VLOOKUP(_1_54128456121462410464578910174567[[#This Row],[Discount selection]],'Discount Structure'!$A$2:$B$30,2,"false"),0)</f>
        <v>1</v>
      </c>
      <c r="L83" s="194">
        <f>_1_54128456121462410464578910174567[[#This Row],[LIST $]]*_1_54128456121462410464578910174567[[#This Row],[DISCOUNT]]*_1_54128456121462410464578910174567[[#This Row],[DISCOUNT 2]]</f>
        <v>0</v>
      </c>
      <c r="M83" s="194">
        <f>IF(OR(_1_54128456121462410464578910174567[[#This Row],[UNIT]]&gt;0,_1_54128456121462410464578910174567[[#This Row],[UNIT]]&lt;0),_1_54128456121462410464578910174567[[#This Row],[UNIT]]*_1_54128456121462410464578910174567[[#This Row],[COST]],0)</f>
        <v>0</v>
      </c>
      <c r="N83" s="194">
        <f t="shared" si="1"/>
        <v>1.3</v>
      </c>
      <c r="O83" s="198">
        <f>_1_54128456121462410464578910174567[[#This Row],[TOTAL]]*_1_54128456121462410464578910174567[[#This Row],[MARGIN]]</f>
        <v>0</v>
      </c>
      <c r="R83" s="41"/>
    </row>
    <row r="84" spans="1:18">
      <c r="A84" s="364"/>
      <c r="C84" s="168"/>
      <c r="D84" s="188"/>
      <c r="F84" s="168" t="s">
        <v>6202</v>
      </c>
      <c r="G84" s="193">
        <f>IF(_1_54128456121462410464578910174567[[#This Row],[Type]]&gt;0,VLOOKUP(_1_54128456121462410464578910174567[[#This Row],[Type]],Main[[#All],[TYPE]:[UNIT]],'Unit Price'!C$1,FALSE),0)</f>
        <v>0</v>
      </c>
      <c r="H84" s="197">
        <f>IF(_1_54128456121462410464578910174567[[#This Row],[Type]]&gt;0,VLOOKUP(_1_54128456121462410464578910174567[[#This Row],[Type]],Main[[#All],[TYPE]:[UNIT]],'Unit Price'!D$1,FALSE),0)</f>
        <v>0</v>
      </c>
      <c r="I84" s="194">
        <f>IF(_1_54128456121462410464578910174567[[#This Row],[Type]]&gt;0,VLOOKUP(_1_54128456121462410464578910174567[[#This Row],[Type]],Main[[#All],[TYPE]:[UNIT]],'Unit Price'!G$1,FALSE),0)</f>
        <v>0</v>
      </c>
      <c r="J84" s="194">
        <f>IF(_1_54128456121462410464578910174567[[#This Row],[Type]]&gt;0,VLOOKUP(_1_54128456121462410464578910174567[[#This Row],[Type]],Main[[#All],[TYPE]:[UNIT]],'Unit Price'!H$1,FALSE),0)</f>
        <v>0</v>
      </c>
      <c r="K84" s="194">
        <f>IF(_1_54128456121462410464578910174567[[#This Row],[Discount selection]]&gt;0,VLOOKUP(_1_54128456121462410464578910174567[[#This Row],[Discount selection]],'Discount Structure'!$A$2:$B$30,2,"false"),0)</f>
        <v>1</v>
      </c>
      <c r="L84" s="194">
        <f>_1_54128456121462410464578910174567[[#This Row],[LIST $]]*_1_54128456121462410464578910174567[[#This Row],[DISCOUNT]]*_1_54128456121462410464578910174567[[#This Row],[DISCOUNT 2]]</f>
        <v>0</v>
      </c>
      <c r="M84" s="194">
        <f>IF(OR(_1_54128456121462410464578910174567[[#This Row],[UNIT]]&gt;0,_1_54128456121462410464578910174567[[#This Row],[UNIT]]&lt;0),_1_54128456121462410464578910174567[[#This Row],[UNIT]]*_1_54128456121462410464578910174567[[#This Row],[COST]],0)</f>
        <v>0</v>
      </c>
      <c r="N84" s="194">
        <f t="shared" si="1"/>
        <v>1.3</v>
      </c>
      <c r="O84" s="198">
        <f>_1_54128456121462410464578910174567[[#This Row],[TOTAL]]*_1_54128456121462410464578910174567[[#This Row],[MARGIN]]</f>
        <v>0</v>
      </c>
      <c r="R84" s="41"/>
    </row>
    <row r="85" spans="1:18">
      <c r="C85" s="168"/>
      <c r="D85" s="188"/>
      <c r="F85" s="168" t="s">
        <v>6202</v>
      </c>
      <c r="G85" s="193">
        <f>IF(_1_54128456121462410464578910174567[[#This Row],[Type]]&gt;0,VLOOKUP(_1_54128456121462410464578910174567[[#This Row],[Type]],Main[[#All],[TYPE]:[UNIT]],'Unit Price'!C$1,FALSE),0)</f>
        <v>0</v>
      </c>
      <c r="H85" s="197">
        <f>IF(_1_54128456121462410464578910174567[[#This Row],[Type]]&gt;0,VLOOKUP(_1_54128456121462410464578910174567[[#This Row],[Type]],Main[[#All],[TYPE]:[UNIT]],'Unit Price'!D$1,FALSE),0)</f>
        <v>0</v>
      </c>
      <c r="I85" s="194">
        <f>IF(_1_54128456121462410464578910174567[[#This Row],[Type]]&gt;0,VLOOKUP(_1_54128456121462410464578910174567[[#This Row],[Type]],Main[[#All],[TYPE]:[UNIT]],'Unit Price'!G$1,FALSE),0)</f>
        <v>0</v>
      </c>
      <c r="J85" s="194">
        <f>IF(_1_54128456121462410464578910174567[[#This Row],[Type]]&gt;0,VLOOKUP(_1_54128456121462410464578910174567[[#This Row],[Type]],Main[[#All],[TYPE]:[UNIT]],'Unit Price'!H$1,FALSE),0)</f>
        <v>0</v>
      </c>
      <c r="K85" s="194">
        <f>IF(_1_54128456121462410464578910174567[[#This Row],[Discount selection]]&gt;0,VLOOKUP(_1_54128456121462410464578910174567[[#This Row],[Discount selection]],'Discount Structure'!$A$2:$B$30,2,"false"),0)</f>
        <v>1</v>
      </c>
      <c r="L85" s="194">
        <f>_1_54128456121462410464578910174567[[#This Row],[LIST $]]*_1_54128456121462410464578910174567[[#This Row],[DISCOUNT]]*_1_54128456121462410464578910174567[[#This Row],[DISCOUNT 2]]</f>
        <v>0</v>
      </c>
      <c r="M85" s="194">
        <f>IF(OR(_1_54128456121462410464578910174567[[#This Row],[UNIT]]&gt;0,_1_54128456121462410464578910174567[[#This Row],[UNIT]]&lt;0),_1_54128456121462410464578910174567[[#This Row],[UNIT]]*_1_54128456121462410464578910174567[[#This Row],[COST]],0)</f>
        <v>0</v>
      </c>
      <c r="N85" s="194">
        <f t="shared" si="1"/>
        <v>1.3</v>
      </c>
      <c r="O85" s="198">
        <f>_1_54128456121462410464578910174567[[#This Row],[TOTAL]]*_1_54128456121462410464578910174567[[#This Row],[MARGIN]]</f>
        <v>0</v>
      </c>
      <c r="R85" s="41"/>
    </row>
    <row r="86" spans="1:18">
      <c r="C86" s="168"/>
      <c r="D86" s="188"/>
      <c r="F86" s="168" t="s">
        <v>6202</v>
      </c>
      <c r="G86" s="193">
        <f>IF(_1_54128456121462410464578910174567[[#This Row],[Type]]&gt;0,VLOOKUP(_1_54128456121462410464578910174567[[#This Row],[Type]],Main[[#All],[TYPE]:[UNIT]],'Unit Price'!C$1,FALSE),0)</f>
        <v>0</v>
      </c>
      <c r="H86" s="197">
        <f>IF(_1_54128456121462410464578910174567[[#This Row],[Type]]&gt;0,VLOOKUP(_1_54128456121462410464578910174567[[#This Row],[Type]],Main[[#All],[TYPE]:[UNIT]],'Unit Price'!D$1,FALSE),0)</f>
        <v>0</v>
      </c>
      <c r="I86" s="194">
        <f>IF(_1_54128456121462410464578910174567[[#This Row],[Type]]&gt;0,VLOOKUP(_1_54128456121462410464578910174567[[#This Row],[Type]],Main[[#All],[TYPE]:[UNIT]],'Unit Price'!G$1,FALSE),0)</f>
        <v>0</v>
      </c>
      <c r="J86" s="194">
        <f>IF(_1_54128456121462410464578910174567[[#This Row],[Type]]&gt;0,VLOOKUP(_1_54128456121462410464578910174567[[#This Row],[Type]],Main[[#All],[TYPE]:[UNIT]],'Unit Price'!H$1,FALSE),0)</f>
        <v>0</v>
      </c>
      <c r="K86" s="194">
        <f>IF(_1_54128456121462410464578910174567[[#This Row],[Discount selection]]&gt;0,VLOOKUP(_1_54128456121462410464578910174567[[#This Row],[Discount selection]],'Discount Structure'!$A$2:$B$30,2,"false"),0)</f>
        <v>1</v>
      </c>
      <c r="L86" s="194">
        <f>_1_54128456121462410464578910174567[[#This Row],[LIST $]]*_1_54128456121462410464578910174567[[#This Row],[DISCOUNT]]*_1_54128456121462410464578910174567[[#This Row],[DISCOUNT 2]]</f>
        <v>0</v>
      </c>
      <c r="M86" s="194">
        <f>IF(OR(_1_54128456121462410464578910174567[[#This Row],[UNIT]]&gt;0,_1_54128456121462410464578910174567[[#This Row],[UNIT]]&lt;0),_1_54128456121462410464578910174567[[#This Row],[UNIT]]*_1_54128456121462410464578910174567[[#This Row],[COST]],0)</f>
        <v>0</v>
      </c>
      <c r="N86" s="194">
        <f t="shared" si="1"/>
        <v>1.3</v>
      </c>
      <c r="O86" s="198">
        <f>_1_54128456121462410464578910174567[[#This Row],[TOTAL]]*_1_54128456121462410464578910174567[[#This Row],[MARGIN]]</f>
        <v>0</v>
      </c>
      <c r="R86" s="41"/>
    </row>
    <row r="87" spans="1:18">
      <c r="C87" s="168"/>
      <c r="D87" s="188"/>
      <c r="F87" s="168" t="s">
        <v>6202</v>
      </c>
      <c r="G87" s="193">
        <f>IF(_1_54128456121462410464578910174567[[#This Row],[Type]]&gt;0,VLOOKUP(_1_54128456121462410464578910174567[[#This Row],[Type]],Main[[#All],[TYPE]:[UNIT]],'Unit Price'!C$1,FALSE),0)</f>
        <v>0</v>
      </c>
      <c r="H87" s="197">
        <f>IF(_1_54128456121462410464578910174567[[#This Row],[Type]]&gt;0,VLOOKUP(_1_54128456121462410464578910174567[[#This Row],[Type]],Main[[#All],[TYPE]:[UNIT]],'Unit Price'!D$1,FALSE),0)</f>
        <v>0</v>
      </c>
      <c r="I87" s="194">
        <f>IF(_1_54128456121462410464578910174567[[#This Row],[Type]]&gt;0,VLOOKUP(_1_54128456121462410464578910174567[[#This Row],[Type]],Main[[#All],[TYPE]:[UNIT]],'Unit Price'!G$1,FALSE),0)</f>
        <v>0</v>
      </c>
      <c r="J87" s="194">
        <f>IF(_1_54128456121462410464578910174567[[#This Row],[Type]]&gt;0,VLOOKUP(_1_54128456121462410464578910174567[[#This Row],[Type]],Main[[#All],[TYPE]:[UNIT]],'Unit Price'!H$1,FALSE),0)</f>
        <v>0</v>
      </c>
      <c r="K87" s="194">
        <f>IF(_1_54128456121462410464578910174567[[#This Row],[Discount selection]]&gt;0,VLOOKUP(_1_54128456121462410464578910174567[[#This Row],[Discount selection]],'Discount Structure'!$A$2:$B$30,2,"false"),0)</f>
        <v>1</v>
      </c>
      <c r="L87" s="194">
        <f>_1_54128456121462410464578910174567[[#This Row],[LIST $]]*_1_54128456121462410464578910174567[[#This Row],[DISCOUNT]]*_1_54128456121462410464578910174567[[#This Row],[DISCOUNT 2]]</f>
        <v>0</v>
      </c>
      <c r="M87" s="194">
        <f>IF(OR(_1_54128456121462410464578910174567[[#This Row],[UNIT]]&gt;0,_1_54128456121462410464578910174567[[#This Row],[UNIT]]&lt;0),_1_54128456121462410464578910174567[[#This Row],[UNIT]]*_1_54128456121462410464578910174567[[#This Row],[COST]],0)</f>
        <v>0</v>
      </c>
      <c r="N87" s="194">
        <f t="shared" si="1"/>
        <v>1.3</v>
      </c>
      <c r="O87" s="198">
        <f>_1_54128456121462410464578910174567[[#This Row],[TOTAL]]*_1_54128456121462410464578910174567[[#This Row],[MARGIN]]</f>
        <v>0</v>
      </c>
      <c r="R87" s="41"/>
    </row>
    <row r="88" spans="1:18">
      <c r="C88" s="168"/>
      <c r="D88" s="188"/>
      <c r="F88" s="168" t="s">
        <v>6202</v>
      </c>
      <c r="G88" s="193">
        <f>IF(_1_54128456121462410464578910174567[[#This Row],[Type]]&gt;0,VLOOKUP(_1_54128456121462410464578910174567[[#This Row],[Type]],Main[[#All],[TYPE]:[UNIT]],'Unit Price'!C$1,FALSE),0)</f>
        <v>0</v>
      </c>
      <c r="H88" s="197">
        <f>IF(_1_54128456121462410464578910174567[[#This Row],[Type]]&gt;0,VLOOKUP(_1_54128456121462410464578910174567[[#This Row],[Type]],Main[[#All],[TYPE]:[UNIT]],'Unit Price'!D$1,FALSE),0)</f>
        <v>0</v>
      </c>
      <c r="I88" s="194">
        <f>IF(_1_54128456121462410464578910174567[[#This Row],[Type]]&gt;0,VLOOKUP(_1_54128456121462410464578910174567[[#This Row],[Type]],Main[[#All],[TYPE]:[UNIT]],'Unit Price'!G$1,FALSE),0)</f>
        <v>0</v>
      </c>
      <c r="J88" s="194">
        <f>IF(_1_54128456121462410464578910174567[[#This Row],[Type]]&gt;0,VLOOKUP(_1_54128456121462410464578910174567[[#This Row],[Type]],Main[[#All],[TYPE]:[UNIT]],'Unit Price'!H$1,FALSE),0)</f>
        <v>0</v>
      </c>
      <c r="K88" s="194">
        <f>IF(_1_54128456121462410464578910174567[[#This Row],[Discount selection]]&gt;0,VLOOKUP(_1_54128456121462410464578910174567[[#This Row],[Discount selection]],'Discount Structure'!$A$2:$B$30,2,"false"),0)</f>
        <v>1</v>
      </c>
      <c r="L88" s="194">
        <f>_1_54128456121462410464578910174567[[#This Row],[LIST $]]*_1_54128456121462410464578910174567[[#This Row],[DISCOUNT]]*_1_54128456121462410464578910174567[[#This Row],[DISCOUNT 2]]</f>
        <v>0</v>
      </c>
      <c r="M88" s="194">
        <f>IF(OR(_1_54128456121462410464578910174567[[#This Row],[UNIT]]&gt;0,_1_54128456121462410464578910174567[[#This Row],[UNIT]]&lt;0),_1_54128456121462410464578910174567[[#This Row],[UNIT]]*_1_54128456121462410464578910174567[[#This Row],[COST]],0)</f>
        <v>0</v>
      </c>
      <c r="N88" s="194">
        <f t="shared" si="1"/>
        <v>1.3</v>
      </c>
      <c r="O88" s="198">
        <f>_1_54128456121462410464578910174567[[#This Row],[TOTAL]]*_1_54128456121462410464578910174567[[#This Row],[MARGIN]]</f>
        <v>0</v>
      </c>
      <c r="R88" s="41"/>
    </row>
    <row r="89" spans="1:18">
      <c r="C89" s="168"/>
      <c r="D89" s="188"/>
      <c r="F89" s="168" t="s">
        <v>6202</v>
      </c>
      <c r="G89" s="193">
        <f>IF(_1_54128456121462410464578910174567[[#This Row],[Type]]&gt;0,VLOOKUP(_1_54128456121462410464578910174567[[#This Row],[Type]],Main[[#All],[TYPE]:[UNIT]],'Unit Price'!C$1,FALSE),0)</f>
        <v>0</v>
      </c>
      <c r="H89" s="197">
        <f>IF(_1_54128456121462410464578910174567[[#This Row],[Type]]&gt;0,VLOOKUP(_1_54128456121462410464578910174567[[#This Row],[Type]],Main[[#All],[TYPE]:[UNIT]],'Unit Price'!D$1,FALSE),0)</f>
        <v>0</v>
      </c>
      <c r="I89" s="194">
        <f>IF(_1_54128456121462410464578910174567[[#This Row],[Type]]&gt;0,VLOOKUP(_1_54128456121462410464578910174567[[#This Row],[Type]],Main[[#All],[TYPE]:[UNIT]],'Unit Price'!G$1,FALSE),0)</f>
        <v>0</v>
      </c>
      <c r="J89" s="194">
        <f>IF(_1_54128456121462410464578910174567[[#This Row],[Type]]&gt;0,VLOOKUP(_1_54128456121462410464578910174567[[#This Row],[Type]],Main[[#All],[TYPE]:[UNIT]],'Unit Price'!H$1,FALSE),0)</f>
        <v>0</v>
      </c>
      <c r="K89" s="194">
        <f>IF(_1_54128456121462410464578910174567[[#This Row],[Discount selection]]&gt;0,VLOOKUP(_1_54128456121462410464578910174567[[#This Row],[Discount selection]],'Discount Structure'!$A$2:$B$30,2,"false"),0)</f>
        <v>1</v>
      </c>
      <c r="L89" s="194">
        <f>_1_54128456121462410464578910174567[[#This Row],[LIST $]]*_1_54128456121462410464578910174567[[#This Row],[DISCOUNT]]*_1_54128456121462410464578910174567[[#This Row],[DISCOUNT 2]]</f>
        <v>0</v>
      </c>
      <c r="M89" s="194">
        <f>IF(OR(_1_54128456121462410464578910174567[[#This Row],[UNIT]]&gt;0,_1_54128456121462410464578910174567[[#This Row],[UNIT]]&lt;0),_1_54128456121462410464578910174567[[#This Row],[UNIT]]*_1_54128456121462410464578910174567[[#This Row],[COST]],0)</f>
        <v>0</v>
      </c>
      <c r="N89" s="194">
        <f t="shared" si="1"/>
        <v>1.3</v>
      </c>
      <c r="O89" s="198">
        <f>_1_54128456121462410464578910174567[[#This Row],[TOTAL]]*_1_54128456121462410464578910174567[[#This Row],[MARGIN]]</f>
        <v>0</v>
      </c>
      <c r="R89" s="41"/>
    </row>
    <row r="90" spans="1:18">
      <c r="C90" s="168"/>
      <c r="D90" s="188"/>
      <c r="F90" s="168" t="s">
        <v>6202</v>
      </c>
      <c r="G90" s="193">
        <f>IF(_1_54128456121462410464578910174567[[#This Row],[Type]]&gt;0,VLOOKUP(_1_54128456121462410464578910174567[[#This Row],[Type]],Main[[#All],[TYPE]:[UNIT]],'Unit Price'!C$1,FALSE),0)</f>
        <v>0</v>
      </c>
      <c r="H90" s="197">
        <f>IF(_1_54128456121462410464578910174567[[#This Row],[Type]]&gt;0,VLOOKUP(_1_54128456121462410464578910174567[[#This Row],[Type]],Main[[#All],[TYPE]:[UNIT]],'Unit Price'!D$1,FALSE),0)</f>
        <v>0</v>
      </c>
      <c r="I90" s="194">
        <f>IF(_1_54128456121462410464578910174567[[#This Row],[Type]]&gt;0,VLOOKUP(_1_54128456121462410464578910174567[[#This Row],[Type]],Main[[#All],[TYPE]:[UNIT]],'Unit Price'!G$1,FALSE),0)</f>
        <v>0</v>
      </c>
      <c r="J90" s="194">
        <f>IF(_1_54128456121462410464578910174567[[#This Row],[Type]]&gt;0,VLOOKUP(_1_54128456121462410464578910174567[[#This Row],[Type]],Main[[#All],[TYPE]:[UNIT]],'Unit Price'!H$1,FALSE),0)</f>
        <v>0</v>
      </c>
      <c r="K90" s="194">
        <f>IF(_1_54128456121462410464578910174567[[#This Row],[Discount selection]]&gt;0,VLOOKUP(_1_54128456121462410464578910174567[[#This Row],[Discount selection]],'Discount Structure'!$A$2:$B$30,2,"false"),0)</f>
        <v>1</v>
      </c>
      <c r="L90" s="194">
        <f>_1_54128456121462410464578910174567[[#This Row],[LIST $]]*_1_54128456121462410464578910174567[[#This Row],[DISCOUNT]]*_1_54128456121462410464578910174567[[#This Row],[DISCOUNT 2]]</f>
        <v>0</v>
      </c>
      <c r="M90" s="194">
        <f>IF(OR(_1_54128456121462410464578910174567[[#This Row],[UNIT]]&gt;0,_1_54128456121462410464578910174567[[#This Row],[UNIT]]&lt;0),_1_54128456121462410464578910174567[[#This Row],[UNIT]]*_1_54128456121462410464578910174567[[#This Row],[COST]],0)</f>
        <v>0</v>
      </c>
      <c r="N90" s="194">
        <f t="shared" si="1"/>
        <v>1.3</v>
      </c>
      <c r="O90" s="198">
        <f>_1_54128456121462410464578910174567[[#This Row],[TOTAL]]*_1_54128456121462410464578910174567[[#This Row],[MARGIN]]</f>
        <v>0</v>
      </c>
      <c r="R90" s="41"/>
    </row>
    <row r="91" spans="1:18">
      <c r="A91" s="168"/>
      <c r="B91" s="168"/>
      <c r="C91" s="168"/>
      <c r="D91" s="188"/>
      <c r="F91" s="168" t="s">
        <v>6202</v>
      </c>
      <c r="G91" s="193">
        <f>IF(_1_54128456121462410464578910174567[[#This Row],[Type]]&gt;0,VLOOKUP(_1_54128456121462410464578910174567[[#This Row],[Type]],Main[[#All],[TYPE]:[UNIT]],'Unit Price'!C$1,FALSE),0)</f>
        <v>0</v>
      </c>
      <c r="H91" s="197">
        <f>IF(_1_54128456121462410464578910174567[[#This Row],[Type]]&gt;0,VLOOKUP(_1_54128456121462410464578910174567[[#This Row],[Type]],Main[[#All],[TYPE]:[UNIT]],'Unit Price'!D$1,FALSE),0)</f>
        <v>0</v>
      </c>
      <c r="I91" s="194">
        <f>IF(_1_54128456121462410464578910174567[[#This Row],[Type]]&gt;0,VLOOKUP(_1_54128456121462410464578910174567[[#This Row],[Type]],Main[[#All],[TYPE]:[UNIT]],'Unit Price'!G$1,FALSE),0)</f>
        <v>0</v>
      </c>
      <c r="J91" s="194">
        <f>IF(_1_54128456121462410464578910174567[[#This Row],[Type]]&gt;0,VLOOKUP(_1_54128456121462410464578910174567[[#This Row],[Type]],Main[[#All],[TYPE]:[UNIT]],'Unit Price'!H$1,FALSE),0)</f>
        <v>0</v>
      </c>
      <c r="K91" s="194">
        <f>IF(_1_54128456121462410464578910174567[[#This Row],[Discount selection]]&gt;0,VLOOKUP(_1_54128456121462410464578910174567[[#This Row],[Discount selection]],'Discount Structure'!$A$2:$B$30,2,"false"),0)</f>
        <v>1</v>
      </c>
      <c r="L91" s="194">
        <f>_1_54128456121462410464578910174567[[#This Row],[LIST $]]*_1_54128456121462410464578910174567[[#This Row],[DISCOUNT]]*_1_54128456121462410464578910174567[[#This Row],[DISCOUNT 2]]</f>
        <v>0</v>
      </c>
      <c r="M91" s="194">
        <f>IF(OR(_1_54128456121462410464578910174567[[#This Row],[UNIT]]&gt;0,_1_54128456121462410464578910174567[[#This Row],[UNIT]]&lt;0),_1_54128456121462410464578910174567[[#This Row],[UNIT]]*_1_54128456121462410464578910174567[[#This Row],[COST]],0)</f>
        <v>0</v>
      </c>
      <c r="N91" s="194">
        <f t="shared" si="1"/>
        <v>1.3</v>
      </c>
      <c r="O91" s="198">
        <f>_1_54128456121462410464578910174567[[#This Row],[TOTAL]]*_1_54128456121462410464578910174567[[#This Row],[MARGIN]]</f>
        <v>0</v>
      </c>
      <c r="R91" s="41"/>
    </row>
    <row r="92" spans="1:18">
      <c r="A92" s="168"/>
      <c r="C92" s="168"/>
      <c r="D92" s="188"/>
      <c r="F92" s="168" t="s">
        <v>6202</v>
      </c>
      <c r="G92" s="193">
        <f>IF(_1_54128456121462410464578910174567[[#This Row],[Type]]&gt;0,VLOOKUP(_1_54128456121462410464578910174567[[#This Row],[Type]],Main[[#All],[TYPE]:[UNIT]],'Unit Price'!C$1,FALSE),0)</f>
        <v>0</v>
      </c>
      <c r="H92" s="197">
        <f>IF(_1_54128456121462410464578910174567[[#This Row],[Type]]&gt;0,VLOOKUP(_1_54128456121462410464578910174567[[#This Row],[Type]],Main[[#All],[TYPE]:[UNIT]],'Unit Price'!D$1,FALSE),0)</f>
        <v>0</v>
      </c>
      <c r="I92" s="194">
        <f>IF(_1_54128456121462410464578910174567[[#This Row],[Type]]&gt;0,VLOOKUP(_1_54128456121462410464578910174567[[#This Row],[Type]],Main[[#All],[TYPE]:[UNIT]],'Unit Price'!G$1,FALSE),0)</f>
        <v>0</v>
      </c>
      <c r="J92" s="194">
        <f>IF(_1_54128456121462410464578910174567[[#This Row],[Type]]&gt;0,VLOOKUP(_1_54128456121462410464578910174567[[#This Row],[Type]],Main[[#All],[TYPE]:[UNIT]],'Unit Price'!H$1,FALSE),0)</f>
        <v>0</v>
      </c>
      <c r="K92" s="194">
        <f>IF(_1_54128456121462410464578910174567[[#This Row],[Discount selection]]&gt;0,VLOOKUP(_1_54128456121462410464578910174567[[#This Row],[Discount selection]],'Discount Structure'!$A$2:$B$30,2,"false"),0)</f>
        <v>1</v>
      </c>
      <c r="L92" s="194">
        <f>_1_54128456121462410464578910174567[[#This Row],[LIST $]]*_1_54128456121462410464578910174567[[#This Row],[DISCOUNT]]*_1_54128456121462410464578910174567[[#This Row],[DISCOUNT 2]]</f>
        <v>0</v>
      </c>
      <c r="M92" s="194">
        <f>IF(OR(_1_54128456121462410464578910174567[[#This Row],[UNIT]]&gt;0,_1_54128456121462410464578910174567[[#This Row],[UNIT]]&lt;0),_1_54128456121462410464578910174567[[#This Row],[UNIT]]*_1_54128456121462410464578910174567[[#This Row],[COST]],0)</f>
        <v>0</v>
      </c>
      <c r="N92" s="194">
        <f t="shared" si="1"/>
        <v>1.3</v>
      </c>
      <c r="O92" s="198">
        <f>_1_54128456121462410464578910174567[[#This Row],[TOTAL]]*_1_54128456121462410464578910174567[[#This Row],[MARGIN]]</f>
        <v>0</v>
      </c>
      <c r="R92" s="41"/>
    </row>
    <row r="93" spans="1:18">
      <c r="A93" s="168"/>
      <c r="B93" s="168"/>
      <c r="C93" s="168"/>
      <c r="D93" s="188"/>
      <c r="F93" s="168" t="s">
        <v>6202</v>
      </c>
      <c r="G93" s="193">
        <f>IF(_1_54128456121462410464578910174567[[#This Row],[Type]]&gt;0,VLOOKUP(_1_54128456121462410464578910174567[[#This Row],[Type]],Main[[#All],[TYPE]:[UNIT]],'Unit Price'!C$1,FALSE),0)</f>
        <v>0</v>
      </c>
      <c r="H93" s="197">
        <f>IF(_1_54128456121462410464578910174567[[#This Row],[Type]]&gt;0,VLOOKUP(_1_54128456121462410464578910174567[[#This Row],[Type]],Main[[#All],[TYPE]:[UNIT]],'Unit Price'!D$1,FALSE),0)</f>
        <v>0</v>
      </c>
      <c r="I93" s="194">
        <f>IF(_1_54128456121462410464578910174567[[#This Row],[Type]]&gt;0,VLOOKUP(_1_54128456121462410464578910174567[[#This Row],[Type]],Main[[#All],[TYPE]:[UNIT]],'Unit Price'!G$1,FALSE),0)</f>
        <v>0</v>
      </c>
      <c r="J93" s="194">
        <f>IF(_1_54128456121462410464578910174567[[#This Row],[Type]]&gt;0,VLOOKUP(_1_54128456121462410464578910174567[[#This Row],[Type]],Main[[#All],[TYPE]:[UNIT]],'Unit Price'!H$1,FALSE),0)</f>
        <v>0</v>
      </c>
      <c r="K93" s="194">
        <f>IF(_1_54128456121462410464578910174567[[#This Row],[Discount selection]]&gt;0,VLOOKUP(_1_54128456121462410464578910174567[[#This Row],[Discount selection]],'Discount Structure'!$A$2:$B$30,2,"false"),0)</f>
        <v>1</v>
      </c>
      <c r="L93" s="194">
        <f>_1_54128456121462410464578910174567[[#This Row],[LIST $]]*_1_54128456121462410464578910174567[[#This Row],[DISCOUNT]]*_1_54128456121462410464578910174567[[#This Row],[DISCOUNT 2]]</f>
        <v>0</v>
      </c>
      <c r="M93" s="194">
        <f>IF(OR(_1_54128456121462410464578910174567[[#This Row],[UNIT]]&gt;0,_1_54128456121462410464578910174567[[#This Row],[UNIT]]&lt;0),_1_54128456121462410464578910174567[[#This Row],[UNIT]]*_1_54128456121462410464578910174567[[#This Row],[COST]],0)</f>
        <v>0</v>
      </c>
      <c r="N93" s="194">
        <f t="shared" si="1"/>
        <v>1.3</v>
      </c>
      <c r="O93" s="198">
        <f>_1_54128456121462410464578910174567[[#This Row],[TOTAL]]*_1_54128456121462410464578910174567[[#This Row],[MARGIN]]</f>
        <v>0</v>
      </c>
      <c r="R93" s="41"/>
    </row>
    <row r="94" spans="1:18">
      <c r="A94" s="168"/>
      <c r="B94" s="168"/>
      <c r="C94" s="168"/>
      <c r="D94" s="188"/>
      <c r="F94" s="168" t="s">
        <v>6202</v>
      </c>
      <c r="G94" s="193">
        <f>IF(_1_54128456121462410464578910174567[[#This Row],[Type]]&gt;0,VLOOKUP(_1_54128456121462410464578910174567[[#This Row],[Type]],Main[[#All],[TYPE]:[UNIT]],'Unit Price'!C$1,FALSE),0)</f>
        <v>0</v>
      </c>
      <c r="H94" s="197">
        <f>IF(_1_54128456121462410464578910174567[[#This Row],[Type]]&gt;0,VLOOKUP(_1_54128456121462410464578910174567[[#This Row],[Type]],Main[[#All],[TYPE]:[UNIT]],'Unit Price'!D$1,FALSE),0)</f>
        <v>0</v>
      </c>
      <c r="I94" s="194">
        <f>IF(_1_54128456121462410464578910174567[[#This Row],[Type]]&gt;0,VLOOKUP(_1_54128456121462410464578910174567[[#This Row],[Type]],Main[[#All],[TYPE]:[UNIT]],'Unit Price'!G$1,FALSE),0)</f>
        <v>0</v>
      </c>
      <c r="J94" s="194">
        <f>IF(_1_54128456121462410464578910174567[[#This Row],[Type]]&gt;0,VLOOKUP(_1_54128456121462410464578910174567[[#This Row],[Type]],Main[[#All],[TYPE]:[UNIT]],'Unit Price'!H$1,FALSE),0)</f>
        <v>0</v>
      </c>
      <c r="K94" s="194">
        <f>IF(_1_54128456121462410464578910174567[[#This Row],[Discount selection]]&gt;0,VLOOKUP(_1_54128456121462410464578910174567[[#This Row],[Discount selection]],'Discount Structure'!$A$2:$B$30,2,"false"),0)</f>
        <v>1</v>
      </c>
      <c r="L94" s="194">
        <f>_1_54128456121462410464578910174567[[#This Row],[LIST $]]*_1_54128456121462410464578910174567[[#This Row],[DISCOUNT]]*_1_54128456121462410464578910174567[[#This Row],[DISCOUNT 2]]</f>
        <v>0</v>
      </c>
      <c r="M94" s="194">
        <f>IF(OR(_1_54128456121462410464578910174567[[#This Row],[UNIT]]&gt;0,_1_54128456121462410464578910174567[[#This Row],[UNIT]]&lt;0),_1_54128456121462410464578910174567[[#This Row],[UNIT]]*_1_54128456121462410464578910174567[[#This Row],[COST]],0)</f>
        <v>0</v>
      </c>
      <c r="N94" s="194">
        <f t="shared" si="1"/>
        <v>1.3</v>
      </c>
      <c r="O94" s="198">
        <f>_1_54128456121462410464578910174567[[#This Row],[TOTAL]]*_1_54128456121462410464578910174567[[#This Row],[MARGIN]]</f>
        <v>0</v>
      </c>
      <c r="R94" s="41"/>
    </row>
    <row r="95" spans="1:18">
      <c r="A95" s="168"/>
      <c r="C95" s="168"/>
      <c r="D95" s="188"/>
      <c r="F95" s="168" t="s">
        <v>6202</v>
      </c>
      <c r="G95" s="193">
        <f>IF(_1_54128456121462410464578910174567[[#This Row],[Type]]&gt;0,VLOOKUP(_1_54128456121462410464578910174567[[#This Row],[Type]],Main[[#All],[TYPE]:[UNIT]],'Unit Price'!C$1,FALSE),0)</f>
        <v>0</v>
      </c>
      <c r="H95" s="197">
        <f>IF(_1_54128456121462410464578910174567[[#This Row],[Type]]&gt;0,VLOOKUP(_1_54128456121462410464578910174567[[#This Row],[Type]],Main[[#All],[TYPE]:[UNIT]],'Unit Price'!D$1,FALSE),0)</f>
        <v>0</v>
      </c>
      <c r="I95" s="194">
        <f>IF(_1_54128456121462410464578910174567[[#This Row],[Type]]&gt;0,VLOOKUP(_1_54128456121462410464578910174567[[#This Row],[Type]],Main[[#All],[TYPE]:[UNIT]],'Unit Price'!G$1,FALSE),0)</f>
        <v>0</v>
      </c>
      <c r="J95" s="194">
        <f>IF(_1_54128456121462410464578910174567[[#This Row],[Type]]&gt;0,VLOOKUP(_1_54128456121462410464578910174567[[#This Row],[Type]],Main[[#All],[TYPE]:[UNIT]],'Unit Price'!H$1,FALSE),0)</f>
        <v>0</v>
      </c>
      <c r="K95" s="194">
        <f>IF(_1_54128456121462410464578910174567[[#This Row],[Discount selection]]&gt;0,VLOOKUP(_1_54128456121462410464578910174567[[#This Row],[Discount selection]],'Discount Structure'!$A$2:$B$30,2,"false"),0)</f>
        <v>1</v>
      </c>
      <c r="L95" s="194">
        <f>_1_54128456121462410464578910174567[[#This Row],[LIST $]]*_1_54128456121462410464578910174567[[#This Row],[DISCOUNT]]*_1_54128456121462410464578910174567[[#This Row],[DISCOUNT 2]]</f>
        <v>0</v>
      </c>
      <c r="M95" s="194">
        <f>IF(OR(_1_54128456121462410464578910174567[[#This Row],[UNIT]]&gt;0,_1_54128456121462410464578910174567[[#This Row],[UNIT]]&lt;0),_1_54128456121462410464578910174567[[#This Row],[UNIT]]*_1_54128456121462410464578910174567[[#This Row],[COST]],0)</f>
        <v>0</v>
      </c>
      <c r="N95" s="194">
        <f t="shared" si="1"/>
        <v>1.3</v>
      </c>
      <c r="O95" s="198">
        <f>_1_54128456121462410464578910174567[[#This Row],[TOTAL]]*_1_54128456121462410464578910174567[[#This Row],[MARGIN]]</f>
        <v>0</v>
      </c>
      <c r="R95" s="41"/>
    </row>
    <row r="96" spans="1:18">
      <c r="A96" s="320"/>
      <c r="B96" s="351"/>
      <c r="C96" s="168"/>
      <c r="D96" s="188"/>
      <c r="E96" s="313"/>
      <c r="F96" s="168" t="s">
        <v>6202</v>
      </c>
      <c r="G96" s="193">
        <f>IF(_1_54128456121462410464578910174567[[#This Row],[Type]]&gt;0,VLOOKUP(_1_54128456121462410464578910174567[[#This Row],[Type]],Main[[#All],[TYPE]:[UNIT]],'Unit Price'!C$1,FALSE),0)</f>
        <v>0</v>
      </c>
      <c r="H96" s="197">
        <f>IF(_1_54128456121462410464578910174567[[#This Row],[Type]]&gt;0,VLOOKUP(_1_54128456121462410464578910174567[[#This Row],[Type]],Main[[#All],[TYPE]:[UNIT]],'Unit Price'!D$1,FALSE),0)</f>
        <v>0</v>
      </c>
      <c r="I96" s="194">
        <f>IF(_1_54128456121462410464578910174567[[#This Row],[Type]]&gt;0,VLOOKUP(_1_54128456121462410464578910174567[[#This Row],[Type]],Main[[#All],[TYPE]:[UNIT]],'Unit Price'!G$1,FALSE),0)</f>
        <v>0</v>
      </c>
      <c r="J96" s="194">
        <f>IF(_1_54128456121462410464578910174567[[#This Row],[Type]]&gt;0,VLOOKUP(_1_54128456121462410464578910174567[[#This Row],[Type]],Main[[#All],[TYPE]:[UNIT]],'Unit Price'!H$1,FALSE),0)</f>
        <v>0</v>
      </c>
      <c r="K96" s="194">
        <f>IF(_1_54128456121462410464578910174567[[#This Row],[Discount selection]]&gt;0,VLOOKUP(_1_54128456121462410464578910174567[[#This Row],[Discount selection]],'Discount Structure'!$A$2:$B$30,2,"false"),0)</f>
        <v>1</v>
      </c>
      <c r="L96" s="194">
        <f>_1_54128456121462410464578910174567[[#This Row],[LIST $]]*_1_54128456121462410464578910174567[[#This Row],[DISCOUNT]]*_1_54128456121462410464578910174567[[#This Row],[DISCOUNT 2]]</f>
        <v>0</v>
      </c>
      <c r="M96" s="194">
        <f>IF(OR(_1_54128456121462410464578910174567[[#This Row],[UNIT]]&gt;0,_1_54128456121462410464578910174567[[#This Row],[UNIT]]&lt;0),_1_54128456121462410464578910174567[[#This Row],[UNIT]]*_1_54128456121462410464578910174567[[#This Row],[COST]],0)</f>
        <v>0</v>
      </c>
      <c r="N96" s="194">
        <f t="shared" si="1"/>
        <v>1.3</v>
      </c>
      <c r="O96" s="198">
        <f>_1_54128456121462410464578910174567[[#This Row],[TOTAL]]*_1_54128456121462410464578910174567[[#This Row],[MARGIN]]</f>
        <v>0</v>
      </c>
      <c r="R96" s="41"/>
    </row>
    <row r="97" spans="1:18">
      <c r="A97" s="340"/>
      <c r="B97" s="168"/>
      <c r="C97" s="168"/>
      <c r="D97" s="188"/>
      <c r="F97" s="168" t="s">
        <v>6202</v>
      </c>
      <c r="G97" s="193">
        <f>IF(_1_54128456121462410464578910174567[[#This Row],[Type]]&gt;0,VLOOKUP(_1_54128456121462410464578910174567[[#This Row],[Type]],Main[[#All],[TYPE]:[UNIT]],'Unit Price'!C$1,FALSE),0)</f>
        <v>0</v>
      </c>
      <c r="H97" s="197">
        <f>IF(_1_54128456121462410464578910174567[[#This Row],[Type]]&gt;0,VLOOKUP(_1_54128456121462410464578910174567[[#This Row],[Type]],Main[[#All],[TYPE]:[UNIT]],'Unit Price'!D$1,FALSE),0)</f>
        <v>0</v>
      </c>
      <c r="I97" s="194">
        <f>IF(_1_54128456121462410464578910174567[[#This Row],[Type]]&gt;0,VLOOKUP(_1_54128456121462410464578910174567[[#This Row],[Type]],Main[[#All],[TYPE]:[UNIT]],'Unit Price'!G$1,FALSE),0)</f>
        <v>0</v>
      </c>
      <c r="J97" s="194">
        <f>IF(_1_54128456121462410464578910174567[[#This Row],[Type]]&gt;0,VLOOKUP(_1_54128456121462410464578910174567[[#This Row],[Type]],Main[[#All],[TYPE]:[UNIT]],'Unit Price'!H$1,FALSE),0)</f>
        <v>0</v>
      </c>
      <c r="K97" s="194">
        <f>IF(_1_54128456121462410464578910174567[[#This Row],[Discount selection]]&gt;0,VLOOKUP(_1_54128456121462410464578910174567[[#This Row],[Discount selection]],'Discount Structure'!$A$2:$B$30,2,"false"),0)</f>
        <v>1</v>
      </c>
      <c r="L97" s="194">
        <f>_1_54128456121462410464578910174567[[#This Row],[LIST $]]*_1_54128456121462410464578910174567[[#This Row],[DISCOUNT]]*_1_54128456121462410464578910174567[[#This Row],[DISCOUNT 2]]</f>
        <v>0</v>
      </c>
      <c r="M97" s="194">
        <f>IF(OR(_1_54128456121462410464578910174567[[#This Row],[UNIT]]&gt;0,_1_54128456121462410464578910174567[[#This Row],[UNIT]]&lt;0),_1_54128456121462410464578910174567[[#This Row],[UNIT]]*_1_54128456121462410464578910174567[[#This Row],[COST]],0)</f>
        <v>0</v>
      </c>
      <c r="N97" s="194">
        <f t="shared" si="1"/>
        <v>1.3</v>
      </c>
      <c r="O97" s="198">
        <f>_1_54128456121462410464578910174567[[#This Row],[TOTAL]]*_1_54128456121462410464578910174567[[#This Row],[MARGIN]]</f>
        <v>0</v>
      </c>
      <c r="R97" s="41"/>
    </row>
    <row r="98" spans="1:18">
      <c r="A98" s="168"/>
      <c r="C98" s="168"/>
      <c r="D98" s="188"/>
      <c r="F98" s="168" t="s">
        <v>6202</v>
      </c>
      <c r="G98" s="193">
        <f>IF(_1_54128456121462410464578910174567[[#This Row],[Type]]&gt;0,VLOOKUP(_1_54128456121462410464578910174567[[#This Row],[Type]],Main[[#All],[TYPE]:[UNIT]],'Unit Price'!C$1,FALSE),0)</f>
        <v>0</v>
      </c>
      <c r="H98" s="197">
        <f>IF(_1_54128456121462410464578910174567[[#This Row],[Type]]&gt;0,VLOOKUP(_1_54128456121462410464578910174567[[#This Row],[Type]],Main[[#All],[TYPE]:[UNIT]],'Unit Price'!D$1,FALSE),0)</f>
        <v>0</v>
      </c>
      <c r="I98" s="194">
        <f>IF(_1_54128456121462410464578910174567[[#This Row],[Type]]&gt;0,VLOOKUP(_1_54128456121462410464578910174567[[#This Row],[Type]],Main[[#All],[TYPE]:[UNIT]],'Unit Price'!G$1,FALSE),0)</f>
        <v>0</v>
      </c>
      <c r="J98" s="194">
        <f>IF(_1_54128456121462410464578910174567[[#This Row],[Type]]&gt;0,VLOOKUP(_1_54128456121462410464578910174567[[#This Row],[Type]],Main[[#All],[TYPE]:[UNIT]],'Unit Price'!H$1,FALSE),0)</f>
        <v>0</v>
      </c>
      <c r="K98" s="194">
        <f>IF(_1_54128456121462410464578910174567[[#This Row],[Discount selection]]&gt;0,VLOOKUP(_1_54128456121462410464578910174567[[#This Row],[Discount selection]],'Discount Structure'!$A$2:$B$30,2,"false"),0)</f>
        <v>1</v>
      </c>
      <c r="L98" s="194">
        <f>_1_54128456121462410464578910174567[[#This Row],[LIST $]]*_1_54128456121462410464578910174567[[#This Row],[DISCOUNT]]*_1_54128456121462410464578910174567[[#This Row],[DISCOUNT 2]]</f>
        <v>0</v>
      </c>
      <c r="M98" s="194">
        <f>IF(OR(_1_54128456121462410464578910174567[[#This Row],[UNIT]]&gt;0,_1_54128456121462410464578910174567[[#This Row],[UNIT]]&lt;0),_1_54128456121462410464578910174567[[#This Row],[UNIT]]*_1_54128456121462410464578910174567[[#This Row],[COST]],0)</f>
        <v>0</v>
      </c>
      <c r="N98" s="194">
        <f t="shared" si="1"/>
        <v>1.3</v>
      </c>
      <c r="O98" s="198">
        <f>_1_54128456121462410464578910174567[[#This Row],[TOTAL]]*_1_54128456121462410464578910174567[[#This Row],[MARGIN]]</f>
        <v>0</v>
      </c>
      <c r="R98" s="41"/>
    </row>
    <row r="99" spans="1:18">
      <c r="C99" s="168"/>
      <c r="D99" s="188"/>
      <c r="F99" s="168" t="s">
        <v>6202</v>
      </c>
      <c r="G99" s="193">
        <f>IF(_1_54128456121462410464578910174567[[#This Row],[Type]]&gt;0,VLOOKUP(_1_54128456121462410464578910174567[[#This Row],[Type]],Main[[#All],[TYPE]:[UNIT]],'Unit Price'!C$1,FALSE),0)</f>
        <v>0</v>
      </c>
      <c r="H99" s="197">
        <f>IF(_1_54128456121462410464578910174567[[#This Row],[Type]]&gt;0,VLOOKUP(_1_54128456121462410464578910174567[[#This Row],[Type]],Main[[#All],[TYPE]:[UNIT]],'Unit Price'!D$1,FALSE),0)</f>
        <v>0</v>
      </c>
      <c r="I99" s="194">
        <f>IF(_1_54128456121462410464578910174567[[#This Row],[Type]]&gt;0,VLOOKUP(_1_54128456121462410464578910174567[[#This Row],[Type]],Main[[#All],[TYPE]:[UNIT]],'Unit Price'!G$1,FALSE),0)</f>
        <v>0</v>
      </c>
      <c r="J99" s="194">
        <f>IF(_1_54128456121462410464578910174567[[#This Row],[Type]]&gt;0,VLOOKUP(_1_54128456121462410464578910174567[[#This Row],[Type]],Main[[#All],[TYPE]:[UNIT]],'Unit Price'!H$1,FALSE),0)</f>
        <v>0</v>
      </c>
      <c r="K99" s="194">
        <f>IF(_1_54128456121462410464578910174567[[#This Row],[Discount selection]]&gt;0,VLOOKUP(_1_54128456121462410464578910174567[[#This Row],[Discount selection]],'Discount Structure'!$A$2:$B$30,2,"false"),0)</f>
        <v>1</v>
      </c>
      <c r="L99" s="194">
        <f>_1_54128456121462410464578910174567[[#This Row],[LIST $]]*_1_54128456121462410464578910174567[[#This Row],[DISCOUNT]]*_1_54128456121462410464578910174567[[#This Row],[DISCOUNT 2]]</f>
        <v>0</v>
      </c>
      <c r="M99" s="194">
        <f>IF(OR(_1_54128456121462410464578910174567[[#This Row],[UNIT]]&gt;0,_1_54128456121462410464578910174567[[#This Row],[UNIT]]&lt;0),_1_54128456121462410464578910174567[[#This Row],[UNIT]]*_1_54128456121462410464578910174567[[#This Row],[COST]],0)</f>
        <v>0</v>
      </c>
      <c r="N99" s="194">
        <f t="shared" si="1"/>
        <v>1.3</v>
      </c>
      <c r="O99" s="198">
        <f>_1_54128456121462410464578910174567[[#This Row],[TOTAL]]*_1_54128456121462410464578910174567[[#This Row],[MARGIN]]</f>
        <v>0</v>
      </c>
      <c r="R99" s="41"/>
    </row>
    <row r="100" spans="1:18">
      <c r="C100" s="168"/>
      <c r="D100" s="188"/>
      <c r="F100" s="168" t="s">
        <v>6202</v>
      </c>
      <c r="G100" s="193">
        <f>IF(_1_54128456121462410464578910174567[[#This Row],[Type]]&gt;0,VLOOKUP(_1_54128456121462410464578910174567[[#This Row],[Type]],Main[[#All],[TYPE]:[UNIT]],'Unit Price'!C$1,FALSE),0)</f>
        <v>0</v>
      </c>
      <c r="H100" s="197">
        <f>IF(_1_54128456121462410464578910174567[[#This Row],[Type]]&gt;0,VLOOKUP(_1_54128456121462410464578910174567[[#This Row],[Type]],Main[[#All],[TYPE]:[UNIT]],'Unit Price'!D$1,FALSE),0)</f>
        <v>0</v>
      </c>
      <c r="I100" s="194">
        <f>IF(_1_54128456121462410464578910174567[[#This Row],[Type]]&gt;0,VLOOKUP(_1_54128456121462410464578910174567[[#This Row],[Type]],Main[[#All],[TYPE]:[UNIT]],'Unit Price'!G$1,FALSE),0)</f>
        <v>0</v>
      </c>
      <c r="J100" s="194">
        <f>IF(_1_54128456121462410464578910174567[[#This Row],[Type]]&gt;0,VLOOKUP(_1_54128456121462410464578910174567[[#This Row],[Type]],Main[[#All],[TYPE]:[UNIT]],'Unit Price'!H$1,FALSE),0)</f>
        <v>0</v>
      </c>
      <c r="K100" s="194">
        <f>IF(_1_54128456121462410464578910174567[[#This Row],[Discount selection]]&gt;0,VLOOKUP(_1_54128456121462410464578910174567[[#This Row],[Discount selection]],'Discount Structure'!$A$2:$B$30,2,"false"),0)</f>
        <v>1</v>
      </c>
      <c r="L100" s="194">
        <f>_1_54128456121462410464578910174567[[#This Row],[LIST $]]*_1_54128456121462410464578910174567[[#This Row],[DISCOUNT]]*_1_54128456121462410464578910174567[[#This Row],[DISCOUNT 2]]</f>
        <v>0</v>
      </c>
      <c r="M100" s="194">
        <f>IF(OR(_1_54128456121462410464578910174567[[#This Row],[UNIT]]&gt;0,_1_54128456121462410464578910174567[[#This Row],[UNIT]]&lt;0),_1_54128456121462410464578910174567[[#This Row],[UNIT]]*_1_54128456121462410464578910174567[[#This Row],[COST]],0)</f>
        <v>0</v>
      </c>
      <c r="N100" s="194">
        <f t="shared" si="1"/>
        <v>1.3</v>
      </c>
      <c r="O100" s="198">
        <f>_1_54128456121462410464578910174567[[#This Row],[TOTAL]]*_1_54128456121462410464578910174567[[#This Row],[MARGIN]]</f>
        <v>0</v>
      </c>
      <c r="R100" s="41"/>
    </row>
    <row r="101" spans="1:18">
      <c r="B101" s="168"/>
      <c r="C101" s="168"/>
      <c r="D101" s="188"/>
      <c r="F101" s="168" t="s">
        <v>6202</v>
      </c>
      <c r="G101" s="193">
        <f>IF(_1_54128456121462410464578910174567[[#This Row],[Type]]&gt;0,VLOOKUP(_1_54128456121462410464578910174567[[#This Row],[Type]],Main[[#All],[TYPE]:[UNIT]],'Unit Price'!C$1,FALSE),0)</f>
        <v>0</v>
      </c>
      <c r="H101" s="197">
        <f>IF(_1_54128456121462410464578910174567[[#This Row],[Type]]&gt;0,VLOOKUP(_1_54128456121462410464578910174567[[#This Row],[Type]],Main[[#All],[TYPE]:[UNIT]],'Unit Price'!D$1,FALSE),0)</f>
        <v>0</v>
      </c>
      <c r="I101" s="194">
        <f>IF(_1_54128456121462410464578910174567[[#This Row],[Type]]&gt;0,VLOOKUP(_1_54128456121462410464578910174567[[#This Row],[Type]],Main[[#All],[TYPE]:[UNIT]],'Unit Price'!G$1,FALSE),0)</f>
        <v>0</v>
      </c>
      <c r="J101" s="194">
        <f>IF(_1_54128456121462410464578910174567[[#This Row],[Type]]&gt;0,VLOOKUP(_1_54128456121462410464578910174567[[#This Row],[Type]],Main[[#All],[TYPE]:[UNIT]],'Unit Price'!H$1,FALSE),0)</f>
        <v>0</v>
      </c>
      <c r="K101" s="194">
        <f>IF(_1_54128456121462410464578910174567[[#This Row],[Discount selection]]&gt;0,VLOOKUP(_1_54128456121462410464578910174567[[#This Row],[Discount selection]],'Discount Structure'!$A$2:$B$30,2,"false"),0)</f>
        <v>1</v>
      </c>
      <c r="L101" s="194">
        <f>_1_54128456121462410464578910174567[[#This Row],[LIST $]]*_1_54128456121462410464578910174567[[#This Row],[DISCOUNT]]*_1_54128456121462410464578910174567[[#This Row],[DISCOUNT 2]]</f>
        <v>0</v>
      </c>
      <c r="M101" s="194">
        <f>IF(OR(_1_54128456121462410464578910174567[[#This Row],[UNIT]]&gt;0,_1_54128456121462410464578910174567[[#This Row],[UNIT]]&lt;0),_1_54128456121462410464578910174567[[#This Row],[UNIT]]*_1_54128456121462410464578910174567[[#This Row],[COST]],0)</f>
        <v>0</v>
      </c>
      <c r="N101" s="194">
        <f t="shared" si="1"/>
        <v>1.3</v>
      </c>
      <c r="O101" s="198">
        <f>_1_54128456121462410464578910174567[[#This Row],[TOTAL]]*_1_54128456121462410464578910174567[[#This Row],[MARGIN]]</f>
        <v>0</v>
      </c>
      <c r="R101" s="41"/>
    </row>
    <row r="102" spans="1:18">
      <c r="A102" s="168"/>
      <c r="C102" s="168"/>
      <c r="D102" s="188"/>
      <c r="F102" s="168" t="s">
        <v>6202</v>
      </c>
      <c r="G102" s="193">
        <f>IF(_1_54128456121462410464578910174567[[#This Row],[Type]]&gt;0,VLOOKUP(_1_54128456121462410464578910174567[[#This Row],[Type]],Main[[#All],[TYPE]:[UNIT]],'Unit Price'!C$1,FALSE),0)</f>
        <v>0</v>
      </c>
      <c r="H102" s="197">
        <f>IF(_1_54128456121462410464578910174567[[#This Row],[Type]]&gt;0,VLOOKUP(_1_54128456121462410464578910174567[[#This Row],[Type]],Main[[#All],[TYPE]:[UNIT]],'Unit Price'!D$1,FALSE),0)</f>
        <v>0</v>
      </c>
      <c r="I102" s="194">
        <f>IF(_1_54128456121462410464578910174567[[#This Row],[Type]]&gt;0,VLOOKUP(_1_54128456121462410464578910174567[[#This Row],[Type]],Main[[#All],[TYPE]:[UNIT]],'Unit Price'!G$1,FALSE),0)</f>
        <v>0</v>
      </c>
      <c r="J102" s="194">
        <f>IF(_1_54128456121462410464578910174567[[#This Row],[Type]]&gt;0,VLOOKUP(_1_54128456121462410464578910174567[[#This Row],[Type]],Main[[#All],[TYPE]:[UNIT]],'Unit Price'!H$1,FALSE),0)</f>
        <v>0</v>
      </c>
      <c r="K102" s="194">
        <f>IF(_1_54128456121462410464578910174567[[#This Row],[Discount selection]]&gt;0,VLOOKUP(_1_54128456121462410464578910174567[[#This Row],[Discount selection]],'Discount Structure'!$A$2:$B$30,2,"false"),0)</f>
        <v>1</v>
      </c>
      <c r="L102" s="194">
        <f>_1_54128456121462410464578910174567[[#This Row],[LIST $]]*_1_54128456121462410464578910174567[[#This Row],[DISCOUNT]]*_1_54128456121462410464578910174567[[#This Row],[DISCOUNT 2]]</f>
        <v>0</v>
      </c>
      <c r="M102" s="194">
        <f>IF(OR(_1_54128456121462410464578910174567[[#This Row],[UNIT]]&gt;0,_1_54128456121462410464578910174567[[#This Row],[UNIT]]&lt;0),_1_54128456121462410464578910174567[[#This Row],[UNIT]]*_1_54128456121462410464578910174567[[#This Row],[COST]],0)</f>
        <v>0</v>
      </c>
      <c r="N102" s="194">
        <f t="shared" si="1"/>
        <v>1.3</v>
      </c>
      <c r="O102" s="198">
        <f>_1_54128456121462410464578910174567[[#This Row],[TOTAL]]*_1_54128456121462410464578910174567[[#This Row],[MARGIN]]</f>
        <v>0</v>
      </c>
      <c r="R102" s="41"/>
    </row>
    <row r="103" spans="1:18">
      <c r="A103" s="168"/>
      <c r="B103" s="168"/>
      <c r="C103" s="168"/>
      <c r="D103" s="188"/>
      <c r="F103" s="168" t="s">
        <v>6202</v>
      </c>
      <c r="G103" s="193">
        <f>IF(_1_54128456121462410464578910174567[[#This Row],[Type]]&gt;0,VLOOKUP(_1_54128456121462410464578910174567[[#This Row],[Type]],Main[[#All],[TYPE]:[UNIT]],'Unit Price'!C$1,FALSE),0)</f>
        <v>0</v>
      </c>
      <c r="H103" s="197">
        <f>IF(_1_54128456121462410464578910174567[[#This Row],[Type]]&gt;0,VLOOKUP(_1_54128456121462410464578910174567[[#This Row],[Type]],Main[[#All],[TYPE]:[UNIT]],'Unit Price'!D$1,FALSE),0)</f>
        <v>0</v>
      </c>
      <c r="I103" s="194">
        <f>IF(_1_54128456121462410464578910174567[[#This Row],[Type]]&gt;0,VLOOKUP(_1_54128456121462410464578910174567[[#This Row],[Type]],Main[[#All],[TYPE]:[UNIT]],'Unit Price'!G$1,FALSE),0)</f>
        <v>0</v>
      </c>
      <c r="J103" s="194">
        <f>IF(_1_54128456121462410464578910174567[[#This Row],[Type]]&gt;0,VLOOKUP(_1_54128456121462410464578910174567[[#This Row],[Type]],Main[[#All],[TYPE]:[UNIT]],'Unit Price'!H$1,FALSE),0)</f>
        <v>0</v>
      </c>
      <c r="K103" s="194">
        <f>IF(_1_54128456121462410464578910174567[[#This Row],[Discount selection]]&gt;0,VLOOKUP(_1_54128456121462410464578910174567[[#This Row],[Discount selection]],'Discount Structure'!$A$2:$B$30,2,"false"),0)</f>
        <v>1</v>
      </c>
      <c r="L103" s="194">
        <f>_1_54128456121462410464578910174567[[#This Row],[LIST $]]*_1_54128456121462410464578910174567[[#This Row],[DISCOUNT]]*_1_54128456121462410464578910174567[[#This Row],[DISCOUNT 2]]</f>
        <v>0</v>
      </c>
      <c r="M103" s="194">
        <f>IF(OR(_1_54128456121462410464578910174567[[#This Row],[UNIT]]&gt;0,_1_54128456121462410464578910174567[[#This Row],[UNIT]]&lt;0),_1_54128456121462410464578910174567[[#This Row],[UNIT]]*_1_54128456121462410464578910174567[[#This Row],[COST]],0)</f>
        <v>0</v>
      </c>
      <c r="N103" s="194">
        <f t="shared" si="1"/>
        <v>1.3</v>
      </c>
      <c r="O103" s="198">
        <f>_1_54128456121462410464578910174567[[#This Row],[TOTAL]]*_1_54128456121462410464578910174567[[#This Row],[MARGIN]]</f>
        <v>0</v>
      </c>
      <c r="R103" s="41"/>
    </row>
    <row r="104" spans="1:18">
      <c r="B104" s="168"/>
      <c r="C104" s="168"/>
      <c r="D104" s="188"/>
      <c r="F104" s="168" t="s">
        <v>6202</v>
      </c>
      <c r="G104" s="204">
        <f>IF(_1_54128456121462410464578910174567[[#This Row],[Type]]&gt;0,VLOOKUP(_1_54128456121462410464578910174567[[#This Row],[Type]],Main[[#All],[TYPE]:[UNIT]],'Unit Price'!C$1,FALSE),0)</f>
        <v>0</v>
      </c>
      <c r="H104" s="197">
        <f>IF(_1_54128456121462410464578910174567[[#This Row],[Type]]&gt;0,VLOOKUP(_1_54128456121462410464578910174567[[#This Row],[Type]],Main[[#All],[TYPE]:[UNIT]],'Unit Price'!D$1,FALSE),0)</f>
        <v>0</v>
      </c>
      <c r="I104" s="194">
        <f>IF(_1_54128456121462410464578910174567[[#This Row],[Type]]&gt;0,VLOOKUP(_1_54128456121462410464578910174567[[#This Row],[Type]],Main[[#All],[TYPE]:[UNIT]],'Unit Price'!G$1,FALSE),0)</f>
        <v>0</v>
      </c>
      <c r="J104" s="194">
        <f>IF(_1_54128456121462410464578910174567[[#This Row],[Type]]&gt;0,VLOOKUP(_1_54128456121462410464578910174567[[#This Row],[Type]],Main[[#All],[TYPE]:[UNIT]],'Unit Price'!H$1,FALSE),0)</f>
        <v>0</v>
      </c>
      <c r="K104" s="194">
        <f>IF(_1_54128456121462410464578910174567[[#This Row],[Discount selection]]&gt;0,VLOOKUP(_1_54128456121462410464578910174567[[#This Row],[Discount selection]],'Discount Structure'!$A$2:$B$30,2,"false"),0)</f>
        <v>1</v>
      </c>
      <c r="L104" s="194">
        <f>_1_54128456121462410464578910174567[[#This Row],[LIST $]]*_1_54128456121462410464578910174567[[#This Row],[DISCOUNT]]*_1_54128456121462410464578910174567[[#This Row],[DISCOUNT 2]]</f>
        <v>0</v>
      </c>
      <c r="M104" s="194">
        <f>IF(OR(_1_54128456121462410464578910174567[[#This Row],[UNIT]]&gt;0,_1_54128456121462410464578910174567[[#This Row],[UNIT]]&lt;0),_1_54128456121462410464578910174567[[#This Row],[UNIT]]*_1_54128456121462410464578910174567[[#This Row],[COST]],0)</f>
        <v>0</v>
      </c>
      <c r="N104" s="194">
        <f t="shared" si="1"/>
        <v>1.3</v>
      </c>
      <c r="O104" s="198">
        <f>_1_54128456121462410464578910174567[[#This Row],[TOTAL]]*_1_54128456121462410464578910174567[[#This Row],[MARGIN]]</f>
        <v>0</v>
      </c>
      <c r="R104" s="41"/>
    </row>
    <row r="105" spans="1:18">
      <c r="B105" s="168"/>
      <c r="C105" s="168"/>
      <c r="D105" s="188"/>
      <c r="F105" s="168" t="s">
        <v>6202</v>
      </c>
      <c r="G105" s="193">
        <f>IF(_1_54128456121462410464578910174567[[#This Row],[Type]]&gt;0,VLOOKUP(_1_54128456121462410464578910174567[[#This Row],[Type]],Main[[#All],[TYPE]:[UNIT]],'Unit Price'!C$1,FALSE),0)</f>
        <v>0</v>
      </c>
      <c r="H105" s="197">
        <f>IF(_1_54128456121462410464578910174567[[#This Row],[Type]]&gt;0,VLOOKUP(_1_54128456121462410464578910174567[[#This Row],[Type]],Main[[#All],[TYPE]:[UNIT]],'Unit Price'!D$1,FALSE),0)</f>
        <v>0</v>
      </c>
      <c r="I105" s="194">
        <f>IF(_1_54128456121462410464578910174567[[#This Row],[Type]]&gt;0,VLOOKUP(_1_54128456121462410464578910174567[[#This Row],[Type]],Main[[#All],[TYPE]:[UNIT]],'Unit Price'!G$1,FALSE),0)</f>
        <v>0</v>
      </c>
      <c r="J105" s="194">
        <f>IF(_1_54128456121462410464578910174567[[#This Row],[Type]]&gt;0,VLOOKUP(_1_54128456121462410464578910174567[[#This Row],[Type]],Main[[#All],[TYPE]:[UNIT]],'Unit Price'!H$1,FALSE),0)</f>
        <v>0</v>
      </c>
      <c r="K105" s="194">
        <f>IF(_1_54128456121462410464578910174567[[#This Row],[Discount selection]]&gt;0,VLOOKUP(_1_54128456121462410464578910174567[[#This Row],[Discount selection]],'Discount Structure'!$A$2:$B$30,2,"false"),0)</f>
        <v>1</v>
      </c>
      <c r="L105" s="194">
        <f>_1_54128456121462410464578910174567[[#This Row],[LIST $]]*_1_54128456121462410464578910174567[[#This Row],[DISCOUNT]]*_1_54128456121462410464578910174567[[#This Row],[DISCOUNT 2]]</f>
        <v>0</v>
      </c>
      <c r="M105" s="194">
        <f>IF(OR(_1_54128456121462410464578910174567[[#This Row],[UNIT]]&gt;0,_1_54128456121462410464578910174567[[#This Row],[UNIT]]&lt;0),_1_54128456121462410464578910174567[[#This Row],[UNIT]]*_1_54128456121462410464578910174567[[#This Row],[COST]],0)</f>
        <v>0</v>
      </c>
      <c r="N105" s="194">
        <f t="shared" si="1"/>
        <v>1.3</v>
      </c>
      <c r="O105" s="198">
        <f>_1_54128456121462410464578910174567[[#This Row],[TOTAL]]*_1_54128456121462410464578910174567[[#This Row],[MARGIN]]</f>
        <v>0</v>
      </c>
      <c r="R105" s="41"/>
    </row>
    <row r="106" spans="1:18">
      <c r="B106" s="318"/>
      <c r="C106" s="168"/>
      <c r="D106" s="188"/>
      <c r="F106" s="168" t="s">
        <v>6202</v>
      </c>
      <c r="G106" s="204">
        <f>IF(_1_54128456121462410464578910174567[[#This Row],[Type]]&gt;0,VLOOKUP(_1_54128456121462410464578910174567[[#This Row],[Type]],Main[[#All],[TYPE]:[UNIT]],'Unit Price'!C$1,FALSE),0)</f>
        <v>0</v>
      </c>
      <c r="H106" s="197">
        <f>IF(_1_54128456121462410464578910174567[[#This Row],[Type]]&gt;0,VLOOKUP(_1_54128456121462410464578910174567[[#This Row],[Type]],Main[[#All],[TYPE]:[UNIT]],'Unit Price'!D$1,FALSE),0)</f>
        <v>0</v>
      </c>
      <c r="I106" s="194">
        <f>IF(_1_54128456121462410464578910174567[[#This Row],[Type]]&gt;0,VLOOKUP(_1_54128456121462410464578910174567[[#This Row],[Type]],Main[[#All],[TYPE]:[UNIT]],'Unit Price'!G$1,FALSE),0)</f>
        <v>0</v>
      </c>
      <c r="J106" s="194">
        <f>IF(_1_54128456121462410464578910174567[[#This Row],[Type]]&gt;0,VLOOKUP(_1_54128456121462410464578910174567[[#This Row],[Type]],Main[[#All],[TYPE]:[UNIT]],'Unit Price'!H$1,FALSE),0)</f>
        <v>0</v>
      </c>
      <c r="K106" s="194">
        <f>IF(_1_54128456121462410464578910174567[[#This Row],[Discount selection]]&gt;0,VLOOKUP(_1_54128456121462410464578910174567[[#This Row],[Discount selection]],'Discount Structure'!$A$2:$B$30,2,"false"),0)</f>
        <v>1</v>
      </c>
      <c r="L106" s="194">
        <f>_1_54128456121462410464578910174567[[#This Row],[LIST $]]*_1_54128456121462410464578910174567[[#This Row],[DISCOUNT]]*_1_54128456121462410464578910174567[[#This Row],[DISCOUNT 2]]</f>
        <v>0</v>
      </c>
      <c r="M106" s="194">
        <f>IF(OR(_1_54128456121462410464578910174567[[#This Row],[UNIT]]&gt;0,_1_54128456121462410464578910174567[[#This Row],[UNIT]]&lt;0),_1_54128456121462410464578910174567[[#This Row],[UNIT]]*_1_54128456121462410464578910174567[[#This Row],[COST]],0)</f>
        <v>0</v>
      </c>
      <c r="N106" s="194">
        <f t="shared" si="1"/>
        <v>1.3</v>
      </c>
      <c r="O106" s="198">
        <f>_1_54128456121462410464578910174567[[#This Row],[TOTAL]]*_1_54128456121462410464578910174567[[#This Row],[MARGIN]]</f>
        <v>0</v>
      </c>
      <c r="R106" s="41"/>
    </row>
    <row r="107" spans="1:18">
      <c r="A107" s="341"/>
      <c r="C107" s="168"/>
      <c r="D107" s="188"/>
      <c r="F107" s="168" t="s">
        <v>6202</v>
      </c>
      <c r="G107" s="193">
        <f>IF(_1_54128456121462410464578910174567[[#This Row],[Type]]&gt;0,VLOOKUP(_1_54128456121462410464578910174567[[#This Row],[Type]],Main[[#All],[TYPE]:[UNIT]],'Unit Price'!C$1,FALSE),0)</f>
        <v>0</v>
      </c>
      <c r="H107" s="197">
        <f>IF(_1_54128456121462410464578910174567[[#This Row],[Type]]&gt;0,VLOOKUP(_1_54128456121462410464578910174567[[#This Row],[Type]],Main[[#All],[TYPE]:[UNIT]],'Unit Price'!D$1,FALSE),0)</f>
        <v>0</v>
      </c>
      <c r="I107" s="194">
        <f>IF(_1_54128456121462410464578910174567[[#This Row],[Type]]&gt;0,VLOOKUP(_1_54128456121462410464578910174567[[#This Row],[Type]],Main[[#All],[TYPE]:[UNIT]],'Unit Price'!G$1,FALSE),0)</f>
        <v>0</v>
      </c>
      <c r="J107" s="194">
        <f>IF(_1_54128456121462410464578910174567[[#This Row],[Type]]&gt;0,VLOOKUP(_1_54128456121462410464578910174567[[#This Row],[Type]],Main[[#All],[TYPE]:[UNIT]],'Unit Price'!H$1,FALSE),0)</f>
        <v>0</v>
      </c>
      <c r="K107" s="194">
        <f>IF(_1_54128456121462410464578910174567[[#This Row],[Discount selection]]&gt;0,VLOOKUP(_1_54128456121462410464578910174567[[#This Row],[Discount selection]],'Discount Structure'!$A$2:$B$30,2,"false"),0)</f>
        <v>1</v>
      </c>
      <c r="L107" s="194">
        <f>_1_54128456121462410464578910174567[[#This Row],[LIST $]]*_1_54128456121462410464578910174567[[#This Row],[DISCOUNT]]*_1_54128456121462410464578910174567[[#This Row],[DISCOUNT 2]]</f>
        <v>0</v>
      </c>
      <c r="M107" s="194">
        <f>IF(OR(_1_54128456121462410464578910174567[[#This Row],[UNIT]]&gt;0,_1_54128456121462410464578910174567[[#This Row],[UNIT]]&lt;0),_1_54128456121462410464578910174567[[#This Row],[UNIT]]*_1_54128456121462410464578910174567[[#This Row],[COST]],0)</f>
        <v>0</v>
      </c>
      <c r="N107" s="194">
        <f t="shared" si="1"/>
        <v>1.3</v>
      </c>
      <c r="O107" s="198">
        <f>_1_54128456121462410464578910174567[[#This Row],[TOTAL]]*_1_54128456121462410464578910174567[[#This Row],[MARGIN]]</f>
        <v>0</v>
      </c>
      <c r="R107" s="41"/>
    </row>
    <row r="108" spans="1:18">
      <c r="B108" s="318"/>
      <c r="C108" s="168"/>
      <c r="D108" s="188"/>
      <c r="F108" s="168" t="s">
        <v>6202</v>
      </c>
      <c r="G108" s="204">
        <f>IF(_1_54128456121462410464578910174567[[#This Row],[Type]]&gt;0,VLOOKUP(_1_54128456121462410464578910174567[[#This Row],[Type]],Main[[#All],[TYPE]:[UNIT]],'Unit Price'!C$1,FALSE),0)</f>
        <v>0</v>
      </c>
      <c r="H108" s="197">
        <f>IF(_1_54128456121462410464578910174567[[#This Row],[Type]]&gt;0,VLOOKUP(_1_54128456121462410464578910174567[[#This Row],[Type]],Main[[#All],[TYPE]:[UNIT]],'Unit Price'!D$1,FALSE),0)</f>
        <v>0</v>
      </c>
      <c r="I108" s="194">
        <f>IF(_1_54128456121462410464578910174567[[#This Row],[Type]]&gt;0,VLOOKUP(_1_54128456121462410464578910174567[[#This Row],[Type]],Main[[#All],[TYPE]:[UNIT]],'Unit Price'!G$1,FALSE),0)</f>
        <v>0</v>
      </c>
      <c r="J108" s="194">
        <f>IF(_1_54128456121462410464578910174567[[#This Row],[Type]]&gt;0,VLOOKUP(_1_54128456121462410464578910174567[[#This Row],[Type]],Main[[#All],[TYPE]:[UNIT]],'Unit Price'!H$1,FALSE),0)</f>
        <v>0</v>
      </c>
      <c r="K108" s="194">
        <f>IF(_1_54128456121462410464578910174567[[#This Row],[Discount selection]]&gt;0,VLOOKUP(_1_54128456121462410464578910174567[[#This Row],[Discount selection]],'Discount Structure'!$A$2:$B$30,2,"false"),0)</f>
        <v>1</v>
      </c>
      <c r="L108" s="194">
        <f>_1_54128456121462410464578910174567[[#This Row],[LIST $]]*_1_54128456121462410464578910174567[[#This Row],[DISCOUNT]]*_1_54128456121462410464578910174567[[#This Row],[DISCOUNT 2]]</f>
        <v>0</v>
      </c>
      <c r="M108" s="194">
        <f>IF(OR(_1_54128456121462410464578910174567[[#This Row],[UNIT]]&gt;0,_1_54128456121462410464578910174567[[#This Row],[UNIT]]&lt;0),_1_54128456121462410464578910174567[[#This Row],[UNIT]]*_1_54128456121462410464578910174567[[#This Row],[COST]],0)</f>
        <v>0</v>
      </c>
      <c r="N108" s="194">
        <f t="shared" si="1"/>
        <v>1.3</v>
      </c>
      <c r="O108" s="198">
        <f>_1_54128456121462410464578910174567[[#This Row],[TOTAL]]*_1_54128456121462410464578910174567[[#This Row],[MARGIN]]</f>
        <v>0</v>
      </c>
      <c r="R108" s="41"/>
    </row>
    <row r="109" spans="1:18">
      <c r="A109" s="312"/>
      <c r="B109" s="321"/>
      <c r="C109" s="168"/>
      <c r="D109" s="188"/>
      <c r="F109" s="168" t="s">
        <v>6202</v>
      </c>
      <c r="G109" s="193">
        <f>IF(_1_54128456121462410464578910174567[[#This Row],[Type]]&gt;0,VLOOKUP(_1_54128456121462410464578910174567[[#This Row],[Type]],Main[[#All],[TYPE]:[UNIT]],'Unit Price'!C$1,FALSE),0)</f>
        <v>0</v>
      </c>
      <c r="H109" s="197">
        <f>IF(_1_54128456121462410464578910174567[[#This Row],[Type]]&gt;0,VLOOKUP(_1_54128456121462410464578910174567[[#This Row],[Type]],Main[[#All],[TYPE]:[UNIT]],'Unit Price'!D$1,FALSE),0)</f>
        <v>0</v>
      </c>
      <c r="I109" s="194">
        <f>IF(_1_54128456121462410464578910174567[[#This Row],[Type]]&gt;0,VLOOKUP(_1_54128456121462410464578910174567[[#This Row],[Type]],Main[[#All],[TYPE]:[UNIT]],'Unit Price'!G$1,FALSE),0)</f>
        <v>0</v>
      </c>
      <c r="J109" s="194">
        <f>IF(_1_54128456121462410464578910174567[[#This Row],[Type]]&gt;0,VLOOKUP(_1_54128456121462410464578910174567[[#This Row],[Type]],Main[[#All],[TYPE]:[UNIT]],'Unit Price'!H$1,FALSE),0)</f>
        <v>0</v>
      </c>
      <c r="K109" s="194">
        <f>IF(_1_54128456121462410464578910174567[[#This Row],[Discount selection]]&gt;0,VLOOKUP(_1_54128456121462410464578910174567[[#This Row],[Discount selection]],'Discount Structure'!$A$2:$B$30,2,"false"),0)</f>
        <v>1</v>
      </c>
      <c r="L109" s="194">
        <f>_1_54128456121462410464578910174567[[#This Row],[LIST $]]*_1_54128456121462410464578910174567[[#This Row],[DISCOUNT]]*_1_54128456121462410464578910174567[[#This Row],[DISCOUNT 2]]</f>
        <v>0</v>
      </c>
      <c r="M109" s="194">
        <f>IF(OR(_1_54128456121462410464578910174567[[#This Row],[UNIT]]&gt;0,_1_54128456121462410464578910174567[[#This Row],[UNIT]]&lt;0),_1_54128456121462410464578910174567[[#This Row],[UNIT]]*_1_54128456121462410464578910174567[[#This Row],[COST]],0)</f>
        <v>0</v>
      </c>
      <c r="N109" s="194">
        <f t="shared" si="1"/>
        <v>1.3</v>
      </c>
      <c r="O109" s="198">
        <f>_1_54128456121462410464578910174567[[#This Row],[TOTAL]]*_1_54128456121462410464578910174567[[#This Row],[MARGIN]]</f>
        <v>0</v>
      </c>
      <c r="R109" s="41"/>
    </row>
    <row r="110" spans="1:18">
      <c r="B110" s="322"/>
      <c r="C110" s="168"/>
      <c r="D110" s="188"/>
      <c r="F110" s="168" t="s">
        <v>6202</v>
      </c>
      <c r="G110" s="193">
        <f>IF(_1_54128456121462410464578910174567[[#This Row],[Type]]&gt;0,VLOOKUP(_1_54128456121462410464578910174567[[#This Row],[Type]],Main[[#All],[TYPE]:[UNIT]],'Unit Price'!C$1,FALSE),0)</f>
        <v>0</v>
      </c>
      <c r="H110" s="197">
        <f>IF(_1_54128456121462410464578910174567[[#This Row],[Type]]&gt;0,VLOOKUP(_1_54128456121462410464578910174567[[#This Row],[Type]],Main[[#All],[TYPE]:[UNIT]],'Unit Price'!D$1,FALSE),0)</f>
        <v>0</v>
      </c>
      <c r="I110" s="194">
        <f>IF(_1_54128456121462410464578910174567[[#This Row],[Type]]&gt;0,VLOOKUP(_1_54128456121462410464578910174567[[#This Row],[Type]],Main[[#All],[TYPE]:[UNIT]],'Unit Price'!G$1,FALSE),0)</f>
        <v>0</v>
      </c>
      <c r="J110" s="194">
        <f>IF(_1_54128456121462410464578910174567[[#This Row],[Type]]&gt;0,VLOOKUP(_1_54128456121462410464578910174567[[#This Row],[Type]],Main[[#All],[TYPE]:[UNIT]],'Unit Price'!H$1,FALSE),0)</f>
        <v>0</v>
      </c>
      <c r="K110" s="194">
        <f>IF(_1_54128456121462410464578910174567[[#This Row],[Discount selection]]&gt;0,VLOOKUP(_1_54128456121462410464578910174567[[#This Row],[Discount selection]],'Discount Structure'!$A$2:$B$30,2,"false"),0)</f>
        <v>1</v>
      </c>
      <c r="L110" s="194">
        <f>_1_54128456121462410464578910174567[[#This Row],[LIST $]]*_1_54128456121462410464578910174567[[#This Row],[DISCOUNT]]*_1_54128456121462410464578910174567[[#This Row],[DISCOUNT 2]]</f>
        <v>0</v>
      </c>
      <c r="M110" s="194">
        <f>IF(OR(_1_54128456121462410464578910174567[[#This Row],[UNIT]]&gt;0,_1_54128456121462410464578910174567[[#This Row],[UNIT]]&lt;0),_1_54128456121462410464578910174567[[#This Row],[UNIT]]*_1_54128456121462410464578910174567[[#This Row],[COST]],0)</f>
        <v>0</v>
      </c>
      <c r="N110" s="194">
        <f t="shared" si="1"/>
        <v>1.3</v>
      </c>
      <c r="O110" s="198">
        <f>_1_54128456121462410464578910174567[[#This Row],[TOTAL]]*_1_54128456121462410464578910174567[[#This Row],[MARGIN]]</f>
        <v>0</v>
      </c>
      <c r="R110" s="41"/>
    </row>
    <row r="111" spans="1:18">
      <c r="C111" s="168"/>
      <c r="D111" s="188"/>
      <c r="F111" s="168" t="s">
        <v>6202</v>
      </c>
      <c r="G111" s="193">
        <f>IF(_1_54128456121462410464578910174567[[#This Row],[Type]]&gt;0,VLOOKUP(_1_54128456121462410464578910174567[[#This Row],[Type]],Main[[#All],[TYPE]:[UNIT]],'Unit Price'!C$1,FALSE),0)</f>
        <v>0</v>
      </c>
      <c r="H111" s="197">
        <f>IF(_1_54128456121462410464578910174567[[#This Row],[Type]]&gt;0,VLOOKUP(_1_54128456121462410464578910174567[[#This Row],[Type]],Main[[#All],[TYPE]:[UNIT]],'Unit Price'!D$1,FALSE),0)</f>
        <v>0</v>
      </c>
      <c r="I111" s="194">
        <f>IF(_1_54128456121462410464578910174567[[#This Row],[Type]]&gt;0,VLOOKUP(_1_54128456121462410464578910174567[[#This Row],[Type]],Main[[#All],[TYPE]:[UNIT]],'Unit Price'!G$1,FALSE),0)</f>
        <v>0</v>
      </c>
      <c r="J111" s="194">
        <f>IF(_1_54128456121462410464578910174567[[#This Row],[Type]]&gt;0,VLOOKUP(_1_54128456121462410464578910174567[[#This Row],[Type]],Main[[#All],[TYPE]:[UNIT]],'Unit Price'!H$1,FALSE),0)</f>
        <v>0</v>
      </c>
      <c r="K111" s="194">
        <f>IF(_1_54128456121462410464578910174567[[#This Row],[Discount selection]]&gt;0,VLOOKUP(_1_54128456121462410464578910174567[[#This Row],[Discount selection]],'Discount Structure'!$A$2:$B$30,2,"false"),0)</f>
        <v>1</v>
      </c>
      <c r="L111" s="194">
        <f>_1_54128456121462410464578910174567[[#This Row],[LIST $]]*_1_54128456121462410464578910174567[[#This Row],[DISCOUNT]]*_1_54128456121462410464578910174567[[#This Row],[DISCOUNT 2]]</f>
        <v>0</v>
      </c>
      <c r="M111" s="194">
        <f>IF(OR(_1_54128456121462410464578910174567[[#This Row],[UNIT]]&gt;0,_1_54128456121462410464578910174567[[#This Row],[UNIT]]&lt;0),_1_54128456121462410464578910174567[[#This Row],[UNIT]]*_1_54128456121462410464578910174567[[#This Row],[COST]],0)</f>
        <v>0</v>
      </c>
      <c r="N111" s="194">
        <f t="shared" si="1"/>
        <v>1.3</v>
      </c>
      <c r="O111" s="198">
        <f>_1_54128456121462410464578910174567[[#This Row],[TOTAL]]*_1_54128456121462410464578910174567[[#This Row],[MARGIN]]</f>
        <v>0</v>
      </c>
      <c r="R111" s="41"/>
    </row>
    <row r="112" spans="1:18">
      <c r="C112" s="168"/>
      <c r="D112" s="188"/>
      <c r="F112" s="168" t="s">
        <v>6202</v>
      </c>
      <c r="G112" s="193">
        <f>IF(_1_54128456121462410464578910174567[[#This Row],[Type]]&gt;0,VLOOKUP(_1_54128456121462410464578910174567[[#This Row],[Type]],Main[[#All],[TYPE]:[UNIT]],'Unit Price'!C$1,FALSE),0)</f>
        <v>0</v>
      </c>
      <c r="H112" s="197">
        <f>IF(_1_54128456121462410464578910174567[[#This Row],[Type]]&gt;0,VLOOKUP(_1_54128456121462410464578910174567[[#This Row],[Type]],Main[[#All],[TYPE]:[UNIT]],'Unit Price'!D$1,FALSE),0)</f>
        <v>0</v>
      </c>
      <c r="I112" s="194">
        <f>IF(_1_54128456121462410464578910174567[[#This Row],[Type]]&gt;0,VLOOKUP(_1_54128456121462410464578910174567[[#This Row],[Type]],Main[[#All],[TYPE]:[UNIT]],'Unit Price'!G$1,FALSE),0)</f>
        <v>0</v>
      </c>
      <c r="J112" s="194">
        <f>IF(_1_54128456121462410464578910174567[[#This Row],[Type]]&gt;0,VLOOKUP(_1_54128456121462410464578910174567[[#This Row],[Type]],Main[[#All],[TYPE]:[UNIT]],'Unit Price'!H$1,FALSE),0)</f>
        <v>0</v>
      </c>
      <c r="K112" s="194">
        <f>IF(_1_54128456121462410464578910174567[[#This Row],[Discount selection]]&gt;0,VLOOKUP(_1_54128456121462410464578910174567[[#This Row],[Discount selection]],'Discount Structure'!$A$2:$B$30,2,"false"),0)</f>
        <v>1</v>
      </c>
      <c r="L112" s="194">
        <f>_1_54128456121462410464578910174567[[#This Row],[LIST $]]*_1_54128456121462410464578910174567[[#This Row],[DISCOUNT]]*_1_54128456121462410464578910174567[[#This Row],[DISCOUNT 2]]</f>
        <v>0</v>
      </c>
      <c r="M112" s="194">
        <f>IF(OR(_1_54128456121462410464578910174567[[#This Row],[UNIT]]&gt;0,_1_54128456121462410464578910174567[[#This Row],[UNIT]]&lt;0),_1_54128456121462410464578910174567[[#This Row],[UNIT]]*_1_54128456121462410464578910174567[[#This Row],[COST]],0)</f>
        <v>0</v>
      </c>
      <c r="N112" s="194">
        <f t="shared" si="1"/>
        <v>1.3</v>
      </c>
      <c r="O112" s="198">
        <f>_1_54128456121462410464578910174567[[#This Row],[TOTAL]]*_1_54128456121462410464578910174567[[#This Row],[MARGIN]]</f>
        <v>0</v>
      </c>
      <c r="R112" s="41"/>
    </row>
    <row r="113" spans="1:18">
      <c r="A113" s="168"/>
      <c r="C113" s="168"/>
      <c r="D113" s="188"/>
      <c r="F113" s="168" t="s">
        <v>6202</v>
      </c>
      <c r="G113" s="193">
        <f>IF(_1_54128456121462410464578910174567[[#This Row],[Type]]&gt;0,VLOOKUP(_1_54128456121462410464578910174567[[#This Row],[Type]],Main[[#All],[TYPE]:[UNIT]],'Unit Price'!C$1,FALSE),0)</f>
        <v>0</v>
      </c>
      <c r="H113" s="197">
        <f>IF(_1_54128456121462410464578910174567[[#This Row],[Type]]&gt;0,VLOOKUP(_1_54128456121462410464578910174567[[#This Row],[Type]],Main[[#All],[TYPE]:[UNIT]],'Unit Price'!D$1,FALSE),0)</f>
        <v>0</v>
      </c>
      <c r="I113" s="194">
        <f>IF(_1_54128456121462410464578910174567[[#This Row],[Type]]&gt;0,VLOOKUP(_1_54128456121462410464578910174567[[#This Row],[Type]],Main[[#All],[TYPE]:[UNIT]],'Unit Price'!G$1,FALSE),0)</f>
        <v>0</v>
      </c>
      <c r="J113" s="194">
        <f>IF(_1_54128456121462410464578910174567[[#This Row],[Type]]&gt;0,VLOOKUP(_1_54128456121462410464578910174567[[#This Row],[Type]],Main[[#All],[TYPE]:[UNIT]],'Unit Price'!H$1,FALSE),0)</f>
        <v>0</v>
      </c>
      <c r="K113" s="194">
        <f>IF(_1_54128456121462410464578910174567[[#This Row],[Discount selection]]&gt;0,VLOOKUP(_1_54128456121462410464578910174567[[#This Row],[Discount selection]],'Discount Structure'!$A$2:$B$30,2,"false"),0)</f>
        <v>1</v>
      </c>
      <c r="L113" s="194">
        <f>_1_54128456121462410464578910174567[[#This Row],[LIST $]]*_1_54128456121462410464578910174567[[#This Row],[DISCOUNT]]*_1_54128456121462410464578910174567[[#This Row],[DISCOUNT 2]]</f>
        <v>0</v>
      </c>
      <c r="M113" s="194">
        <f>IF(OR(_1_54128456121462410464578910174567[[#This Row],[UNIT]]&gt;0,_1_54128456121462410464578910174567[[#This Row],[UNIT]]&lt;0),_1_54128456121462410464578910174567[[#This Row],[UNIT]]*_1_54128456121462410464578910174567[[#This Row],[COST]],0)</f>
        <v>0</v>
      </c>
      <c r="N113" s="194">
        <f t="shared" si="1"/>
        <v>1.3</v>
      </c>
      <c r="O113" s="198">
        <f>_1_54128456121462410464578910174567[[#This Row],[TOTAL]]*_1_54128456121462410464578910174567[[#This Row],[MARGIN]]</f>
        <v>0</v>
      </c>
      <c r="R113" s="41"/>
    </row>
    <row r="114" spans="1:18">
      <c r="C114" s="168"/>
      <c r="D114" s="188"/>
      <c r="F114" s="168" t="s">
        <v>6202</v>
      </c>
      <c r="G114" s="193">
        <f>IF(_1_54128456121462410464578910174567[[#This Row],[Type]]&gt;0,VLOOKUP(_1_54128456121462410464578910174567[[#This Row],[Type]],Main[[#All],[TYPE]:[UNIT]],'Unit Price'!C$1,FALSE),0)</f>
        <v>0</v>
      </c>
      <c r="H114" s="197">
        <f>IF(_1_54128456121462410464578910174567[[#This Row],[Type]]&gt;0,VLOOKUP(_1_54128456121462410464578910174567[[#This Row],[Type]],Main[[#All],[TYPE]:[UNIT]],'Unit Price'!D$1,FALSE),0)</f>
        <v>0</v>
      </c>
      <c r="I114" s="194">
        <f>IF(_1_54128456121462410464578910174567[[#This Row],[Type]]&gt;0,VLOOKUP(_1_54128456121462410464578910174567[[#This Row],[Type]],Main[[#All],[TYPE]:[UNIT]],'Unit Price'!G$1,FALSE),0)</f>
        <v>0</v>
      </c>
      <c r="J114" s="194">
        <f>IF(_1_54128456121462410464578910174567[[#This Row],[Type]]&gt;0,VLOOKUP(_1_54128456121462410464578910174567[[#This Row],[Type]],Main[[#All],[TYPE]:[UNIT]],'Unit Price'!H$1,FALSE),0)</f>
        <v>0</v>
      </c>
      <c r="K114" s="194">
        <f>IF(_1_54128456121462410464578910174567[[#This Row],[Discount selection]]&gt;0,VLOOKUP(_1_54128456121462410464578910174567[[#This Row],[Discount selection]],'Discount Structure'!$A$2:$B$30,2,"false"),0)</f>
        <v>1</v>
      </c>
      <c r="L114" s="194">
        <f>_1_54128456121462410464578910174567[[#This Row],[LIST $]]*_1_54128456121462410464578910174567[[#This Row],[DISCOUNT]]*_1_54128456121462410464578910174567[[#This Row],[DISCOUNT 2]]</f>
        <v>0</v>
      </c>
      <c r="M114" s="194">
        <f>IF(OR(_1_54128456121462410464578910174567[[#This Row],[UNIT]]&gt;0,_1_54128456121462410464578910174567[[#This Row],[UNIT]]&lt;0),_1_54128456121462410464578910174567[[#This Row],[UNIT]]*_1_54128456121462410464578910174567[[#This Row],[COST]],0)</f>
        <v>0</v>
      </c>
      <c r="N114" s="194">
        <f t="shared" si="1"/>
        <v>1.3</v>
      </c>
      <c r="O114" s="198">
        <f>_1_54128456121462410464578910174567[[#This Row],[TOTAL]]*_1_54128456121462410464578910174567[[#This Row],[MARGIN]]</f>
        <v>0</v>
      </c>
      <c r="R114" s="41"/>
    </row>
    <row r="115" spans="1:18">
      <c r="C115" s="168"/>
      <c r="D115" s="188"/>
      <c r="F115" s="168" t="s">
        <v>6202</v>
      </c>
      <c r="G115" s="193">
        <f>IF(_1_54128456121462410464578910174567[[#This Row],[Type]]&gt;0,VLOOKUP(_1_54128456121462410464578910174567[[#This Row],[Type]],Main[[#All],[TYPE]:[UNIT]],'Unit Price'!C$1,FALSE),0)</f>
        <v>0</v>
      </c>
      <c r="H115" s="197">
        <f>IF(_1_54128456121462410464578910174567[[#This Row],[Type]]&gt;0,VLOOKUP(_1_54128456121462410464578910174567[[#This Row],[Type]],Main[[#All],[TYPE]:[UNIT]],'Unit Price'!D$1,FALSE),0)</f>
        <v>0</v>
      </c>
      <c r="I115" s="194">
        <f>IF(_1_54128456121462410464578910174567[[#This Row],[Type]]&gt;0,VLOOKUP(_1_54128456121462410464578910174567[[#This Row],[Type]],Main[[#All],[TYPE]:[UNIT]],'Unit Price'!G$1,FALSE),0)</f>
        <v>0</v>
      </c>
      <c r="J115" s="194">
        <f>IF(_1_54128456121462410464578910174567[[#This Row],[Type]]&gt;0,VLOOKUP(_1_54128456121462410464578910174567[[#This Row],[Type]],Main[[#All],[TYPE]:[UNIT]],'Unit Price'!H$1,FALSE),0)</f>
        <v>0</v>
      </c>
      <c r="K115" s="194">
        <f>IF(_1_54128456121462410464578910174567[[#This Row],[Discount selection]]&gt;0,VLOOKUP(_1_54128456121462410464578910174567[[#This Row],[Discount selection]],'Discount Structure'!$A$2:$B$30,2,"false"),0)</f>
        <v>1</v>
      </c>
      <c r="L115" s="194">
        <f>_1_54128456121462410464578910174567[[#This Row],[LIST $]]*_1_54128456121462410464578910174567[[#This Row],[DISCOUNT]]*_1_54128456121462410464578910174567[[#This Row],[DISCOUNT 2]]</f>
        <v>0</v>
      </c>
      <c r="M115" s="194">
        <f>IF(OR(_1_54128456121462410464578910174567[[#This Row],[UNIT]]&gt;0,_1_54128456121462410464578910174567[[#This Row],[UNIT]]&lt;0),_1_54128456121462410464578910174567[[#This Row],[UNIT]]*_1_54128456121462410464578910174567[[#This Row],[COST]],0)</f>
        <v>0</v>
      </c>
      <c r="N115" s="194">
        <f t="shared" si="1"/>
        <v>1.3</v>
      </c>
      <c r="O115" s="198">
        <f>_1_54128456121462410464578910174567[[#This Row],[TOTAL]]*_1_54128456121462410464578910174567[[#This Row],[MARGIN]]</f>
        <v>0</v>
      </c>
      <c r="R115" s="41"/>
    </row>
    <row r="116" spans="1:18">
      <c r="A116" s="339"/>
      <c r="C116" s="168"/>
      <c r="D116" s="188"/>
      <c r="F116" s="168" t="s">
        <v>6202</v>
      </c>
      <c r="G116" s="193">
        <f>IF(_1_54128456121462410464578910174567[[#This Row],[Type]]&gt;0,VLOOKUP(_1_54128456121462410464578910174567[[#This Row],[Type]],Main[[#All],[TYPE]:[UNIT]],'Unit Price'!C$1,FALSE),0)</f>
        <v>0</v>
      </c>
      <c r="H116" s="197">
        <f>IF(_1_54128456121462410464578910174567[[#This Row],[Type]]&gt;0,VLOOKUP(_1_54128456121462410464578910174567[[#This Row],[Type]],Main[[#All],[TYPE]:[UNIT]],'Unit Price'!D$1,FALSE),0)</f>
        <v>0</v>
      </c>
      <c r="I116" s="194">
        <f>IF(_1_54128456121462410464578910174567[[#This Row],[Type]]&gt;0,VLOOKUP(_1_54128456121462410464578910174567[[#This Row],[Type]],Main[[#All],[TYPE]:[UNIT]],'Unit Price'!G$1,FALSE),0)</f>
        <v>0</v>
      </c>
      <c r="J116" s="194">
        <f>IF(_1_54128456121462410464578910174567[[#This Row],[Type]]&gt;0,VLOOKUP(_1_54128456121462410464578910174567[[#This Row],[Type]],Main[[#All],[TYPE]:[UNIT]],'Unit Price'!H$1,FALSE),0)</f>
        <v>0</v>
      </c>
      <c r="K116" s="194">
        <f>IF(_1_54128456121462410464578910174567[[#This Row],[Discount selection]]&gt;0,VLOOKUP(_1_54128456121462410464578910174567[[#This Row],[Discount selection]],'Discount Structure'!$A$2:$B$30,2,"false"),0)</f>
        <v>1</v>
      </c>
      <c r="L116" s="194">
        <f>_1_54128456121462410464578910174567[[#This Row],[LIST $]]*_1_54128456121462410464578910174567[[#This Row],[DISCOUNT]]*_1_54128456121462410464578910174567[[#This Row],[DISCOUNT 2]]</f>
        <v>0</v>
      </c>
      <c r="M116" s="194">
        <f>IF(OR(_1_54128456121462410464578910174567[[#This Row],[UNIT]]&gt;0,_1_54128456121462410464578910174567[[#This Row],[UNIT]]&lt;0),_1_54128456121462410464578910174567[[#This Row],[UNIT]]*_1_54128456121462410464578910174567[[#This Row],[COST]],0)</f>
        <v>0</v>
      </c>
      <c r="N116" s="194">
        <f t="shared" si="1"/>
        <v>1.3</v>
      </c>
      <c r="O116" s="198">
        <f>_1_54128456121462410464578910174567[[#This Row],[TOTAL]]*_1_54128456121462410464578910174567[[#This Row],[MARGIN]]</f>
        <v>0</v>
      </c>
      <c r="R116" s="41"/>
    </row>
    <row r="117" spans="1:18">
      <c r="C117" s="168"/>
      <c r="D117" s="188"/>
      <c r="F117" s="168" t="s">
        <v>6202</v>
      </c>
      <c r="G117" s="193">
        <f>IF(_1_54128456121462410464578910174567[[#This Row],[Type]]&gt;0,VLOOKUP(_1_54128456121462410464578910174567[[#This Row],[Type]],Main[[#All],[TYPE]:[UNIT]],'Unit Price'!C$1,FALSE),0)</f>
        <v>0</v>
      </c>
      <c r="H117" s="197">
        <f>IF(_1_54128456121462410464578910174567[[#This Row],[Type]]&gt;0,VLOOKUP(_1_54128456121462410464578910174567[[#This Row],[Type]],Main[[#All],[TYPE]:[UNIT]],'Unit Price'!D$1,FALSE),0)</f>
        <v>0</v>
      </c>
      <c r="I117" s="194">
        <f>IF(_1_54128456121462410464578910174567[[#This Row],[Type]]&gt;0,VLOOKUP(_1_54128456121462410464578910174567[[#This Row],[Type]],Main[[#All],[TYPE]:[UNIT]],'Unit Price'!G$1,FALSE),0)</f>
        <v>0</v>
      </c>
      <c r="J117" s="194">
        <f>IF(_1_54128456121462410464578910174567[[#This Row],[Type]]&gt;0,VLOOKUP(_1_54128456121462410464578910174567[[#This Row],[Type]],Main[[#All],[TYPE]:[UNIT]],'Unit Price'!H$1,FALSE),0)</f>
        <v>0</v>
      </c>
      <c r="K117" s="194">
        <f>IF(_1_54128456121462410464578910174567[[#This Row],[Discount selection]]&gt;0,VLOOKUP(_1_54128456121462410464578910174567[[#This Row],[Discount selection]],'Discount Structure'!$A$2:$B$30,2,"false"),0)</f>
        <v>1</v>
      </c>
      <c r="L117" s="194">
        <f>_1_54128456121462410464578910174567[[#This Row],[LIST $]]*_1_54128456121462410464578910174567[[#This Row],[DISCOUNT]]*_1_54128456121462410464578910174567[[#This Row],[DISCOUNT 2]]</f>
        <v>0</v>
      </c>
      <c r="M117" s="194">
        <f>IF(OR(_1_54128456121462410464578910174567[[#This Row],[UNIT]]&gt;0,_1_54128456121462410464578910174567[[#This Row],[UNIT]]&lt;0),_1_54128456121462410464578910174567[[#This Row],[UNIT]]*_1_54128456121462410464578910174567[[#This Row],[COST]],0)</f>
        <v>0</v>
      </c>
      <c r="N117" s="194">
        <f t="shared" si="1"/>
        <v>1.3</v>
      </c>
      <c r="O117" s="198">
        <f>_1_54128456121462410464578910174567[[#This Row],[TOTAL]]*_1_54128456121462410464578910174567[[#This Row],[MARGIN]]</f>
        <v>0</v>
      </c>
      <c r="R117" s="41"/>
    </row>
    <row r="118" spans="1:18">
      <c r="A118" s="329"/>
      <c r="C118" s="168"/>
      <c r="D118" s="188"/>
      <c r="F118" s="168" t="s">
        <v>6202</v>
      </c>
      <c r="G118" s="193">
        <f>IF(_1_54128456121462410464578910174567[[#This Row],[Type]]&gt;0,VLOOKUP(_1_54128456121462410464578910174567[[#This Row],[Type]],Main[[#All],[TYPE]:[UNIT]],'Unit Price'!C$1,FALSE),0)</f>
        <v>0</v>
      </c>
      <c r="H118" s="197">
        <f>IF(_1_54128456121462410464578910174567[[#This Row],[Type]]&gt;0,VLOOKUP(_1_54128456121462410464578910174567[[#This Row],[Type]],Main[[#All],[TYPE]:[UNIT]],'Unit Price'!D$1,FALSE),0)</f>
        <v>0</v>
      </c>
      <c r="I118" s="194">
        <f>IF(_1_54128456121462410464578910174567[[#This Row],[Type]]&gt;0,VLOOKUP(_1_54128456121462410464578910174567[[#This Row],[Type]],Main[[#All],[TYPE]:[UNIT]],'Unit Price'!G$1,FALSE),0)</f>
        <v>0</v>
      </c>
      <c r="J118" s="194">
        <f>IF(_1_54128456121462410464578910174567[[#This Row],[Type]]&gt;0,VLOOKUP(_1_54128456121462410464578910174567[[#This Row],[Type]],Main[[#All],[TYPE]:[UNIT]],'Unit Price'!H$1,FALSE),0)</f>
        <v>0</v>
      </c>
      <c r="K118" s="194">
        <f>IF(_1_54128456121462410464578910174567[[#This Row],[Discount selection]]&gt;0,VLOOKUP(_1_54128456121462410464578910174567[[#This Row],[Discount selection]],'Discount Structure'!$A$2:$B$30,2,"false"),0)</f>
        <v>1</v>
      </c>
      <c r="L118" s="194">
        <f>_1_54128456121462410464578910174567[[#This Row],[LIST $]]*_1_54128456121462410464578910174567[[#This Row],[DISCOUNT]]*_1_54128456121462410464578910174567[[#This Row],[DISCOUNT 2]]</f>
        <v>0</v>
      </c>
      <c r="M118" s="194">
        <f>IF(OR(_1_54128456121462410464578910174567[[#This Row],[UNIT]]&gt;0,_1_54128456121462410464578910174567[[#This Row],[UNIT]]&lt;0),_1_54128456121462410464578910174567[[#This Row],[UNIT]]*_1_54128456121462410464578910174567[[#This Row],[COST]],0)</f>
        <v>0</v>
      </c>
      <c r="N118" s="194">
        <f t="shared" si="1"/>
        <v>1.3</v>
      </c>
      <c r="O118" s="198">
        <f>_1_54128456121462410464578910174567[[#This Row],[TOTAL]]*_1_54128456121462410464578910174567[[#This Row],[MARGIN]]</f>
        <v>0</v>
      </c>
      <c r="R118" s="41"/>
    </row>
    <row r="119" spans="1:18">
      <c r="B119" s="329"/>
      <c r="C119" s="168"/>
      <c r="D119" s="188"/>
      <c r="F119" s="168" t="s">
        <v>6202</v>
      </c>
      <c r="G119" s="193">
        <f>IF(_1_54128456121462410464578910174567[[#This Row],[Type]]&gt;0,VLOOKUP(_1_54128456121462410464578910174567[[#This Row],[Type]],Main[[#All],[TYPE]:[UNIT]],'Unit Price'!C$1,FALSE),0)</f>
        <v>0</v>
      </c>
      <c r="H119" s="197">
        <f>IF(_1_54128456121462410464578910174567[[#This Row],[Type]]&gt;0,VLOOKUP(_1_54128456121462410464578910174567[[#This Row],[Type]],Main[[#All],[TYPE]:[UNIT]],'Unit Price'!D$1,FALSE),0)</f>
        <v>0</v>
      </c>
      <c r="I119" s="194">
        <f>IF(_1_54128456121462410464578910174567[[#This Row],[Type]]&gt;0,VLOOKUP(_1_54128456121462410464578910174567[[#This Row],[Type]],Main[[#All],[TYPE]:[UNIT]],'Unit Price'!G$1,FALSE),0)</f>
        <v>0</v>
      </c>
      <c r="J119" s="194">
        <f>IF(_1_54128456121462410464578910174567[[#This Row],[Type]]&gt;0,VLOOKUP(_1_54128456121462410464578910174567[[#This Row],[Type]],Main[[#All],[TYPE]:[UNIT]],'Unit Price'!H$1,FALSE),0)</f>
        <v>0</v>
      </c>
      <c r="K119" s="194">
        <f>IF(_1_54128456121462410464578910174567[[#This Row],[Discount selection]]&gt;0,VLOOKUP(_1_54128456121462410464578910174567[[#This Row],[Discount selection]],'Discount Structure'!$A$2:$B$30,2,"false"),0)</f>
        <v>1</v>
      </c>
      <c r="L119" s="194">
        <f>_1_54128456121462410464578910174567[[#This Row],[LIST $]]*_1_54128456121462410464578910174567[[#This Row],[DISCOUNT]]*_1_54128456121462410464578910174567[[#This Row],[DISCOUNT 2]]</f>
        <v>0</v>
      </c>
      <c r="M119" s="194">
        <f>IF(OR(_1_54128456121462410464578910174567[[#This Row],[UNIT]]&gt;0,_1_54128456121462410464578910174567[[#This Row],[UNIT]]&lt;0),_1_54128456121462410464578910174567[[#This Row],[UNIT]]*_1_54128456121462410464578910174567[[#This Row],[COST]],0)</f>
        <v>0</v>
      </c>
      <c r="N119" s="194">
        <f t="shared" si="1"/>
        <v>1.3</v>
      </c>
      <c r="O119" s="198">
        <f>_1_54128456121462410464578910174567[[#This Row],[TOTAL]]*_1_54128456121462410464578910174567[[#This Row],[MARGIN]]</f>
        <v>0</v>
      </c>
      <c r="R119" s="41"/>
    </row>
    <row r="120" spans="1:18">
      <c r="C120" s="168"/>
      <c r="D120" s="188"/>
      <c r="F120" s="168" t="s">
        <v>6202</v>
      </c>
      <c r="G120" s="193">
        <f>IF(_1_54128456121462410464578910174567[[#This Row],[Type]]&gt;0,VLOOKUP(_1_54128456121462410464578910174567[[#This Row],[Type]],Main[[#All],[TYPE]:[UNIT]],'Unit Price'!C$1,FALSE),0)</f>
        <v>0</v>
      </c>
      <c r="H120" s="197">
        <f>IF(_1_54128456121462410464578910174567[[#This Row],[Type]]&gt;0,VLOOKUP(_1_54128456121462410464578910174567[[#This Row],[Type]],Main[[#All],[TYPE]:[UNIT]],'Unit Price'!D$1,FALSE),0)</f>
        <v>0</v>
      </c>
      <c r="I120" s="194">
        <f>IF(_1_54128456121462410464578910174567[[#This Row],[Type]]&gt;0,VLOOKUP(_1_54128456121462410464578910174567[[#This Row],[Type]],Main[[#All],[TYPE]:[UNIT]],'Unit Price'!G$1,FALSE),0)</f>
        <v>0</v>
      </c>
      <c r="J120" s="194">
        <f>IF(_1_54128456121462410464578910174567[[#This Row],[Type]]&gt;0,VLOOKUP(_1_54128456121462410464578910174567[[#This Row],[Type]],Main[[#All],[TYPE]:[UNIT]],'Unit Price'!H$1,FALSE),0)</f>
        <v>0</v>
      </c>
      <c r="K120" s="194">
        <f>IF(_1_54128456121462410464578910174567[[#This Row],[Discount selection]]&gt;0,VLOOKUP(_1_54128456121462410464578910174567[[#This Row],[Discount selection]],'Discount Structure'!$A$2:$B$30,2,"false"),0)</f>
        <v>1</v>
      </c>
      <c r="L120" s="194">
        <f>_1_54128456121462410464578910174567[[#This Row],[LIST $]]*_1_54128456121462410464578910174567[[#This Row],[DISCOUNT]]*_1_54128456121462410464578910174567[[#This Row],[DISCOUNT 2]]</f>
        <v>0</v>
      </c>
      <c r="M120" s="194">
        <f>IF(OR(_1_54128456121462410464578910174567[[#This Row],[UNIT]]&gt;0,_1_54128456121462410464578910174567[[#This Row],[UNIT]]&lt;0),_1_54128456121462410464578910174567[[#This Row],[UNIT]]*_1_54128456121462410464578910174567[[#This Row],[COST]],0)</f>
        <v>0</v>
      </c>
      <c r="N120" s="194">
        <f t="shared" si="1"/>
        <v>1.3</v>
      </c>
      <c r="O120" s="198">
        <f>_1_54128456121462410464578910174567[[#This Row],[TOTAL]]*_1_54128456121462410464578910174567[[#This Row],[MARGIN]]</f>
        <v>0</v>
      </c>
      <c r="R120" s="41"/>
    </row>
    <row r="121" spans="1:18">
      <c r="C121" s="168"/>
      <c r="D121" s="188"/>
      <c r="F121" s="168" t="s">
        <v>6202</v>
      </c>
      <c r="G121" s="193">
        <f>IF(_1_54128456121462410464578910174567[[#This Row],[Type]]&gt;0,VLOOKUP(_1_54128456121462410464578910174567[[#This Row],[Type]],Main[[#All],[TYPE]:[UNIT]],'Unit Price'!C$1,FALSE),0)</f>
        <v>0</v>
      </c>
      <c r="H121" s="197">
        <f>IF(_1_54128456121462410464578910174567[[#This Row],[Type]]&gt;0,VLOOKUP(_1_54128456121462410464578910174567[[#This Row],[Type]],Main[[#All],[TYPE]:[UNIT]],'Unit Price'!D$1,FALSE),0)</f>
        <v>0</v>
      </c>
      <c r="I121" s="194">
        <f>IF(_1_54128456121462410464578910174567[[#This Row],[Type]]&gt;0,VLOOKUP(_1_54128456121462410464578910174567[[#This Row],[Type]],Main[[#All],[TYPE]:[UNIT]],'Unit Price'!G$1,FALSE),0)</f>
        <v>0</v>
      </c>
      <c r="J121" s="194">
        <f>IF(_1_54128456121462410464578910174567[[#This Row],[Type]]&gt;0,VLOOKUP(_1_54128456121462410464578910174567[[#This Row],[Type]],Main[[#All],[TYPE]:[UNIT]],'Unit Price'!H$1,FALSE),0)</f>
        <v>0</v>
      </c>
      <c r="K121" s="194">
        <f>IF(_1_54128456121462410464578910174567[[#This Row],[Discount selection]]&gt;0,VLOOKUP(_1_54128456121462410464578910174567[[#This Row],[Discount selection]],'Discount Structure'!$A$2:$B$30,2,"false"),0)</f>
        <v>1</v>
      </c>
      <c r="L121" s="194">
        <f>_1_54128456121462410464578910174567[[#This Row],[LIST $]]*_1_54128456121462410464578910174567[[#This Row],[DISCOUNT]]*_1_54128456121462410464578910174567[[#This Row],[DISCOUNT 2]]</f>
        <v>0</v>
      </c>
      <c r="M121" s="194">
        <f>IF(OR(_1_54128456121462410464578910174567[[#This Row],[UNIT]]&gt;0,_1_54128456121462410464578910174567[[#This Row],[UNIT]]&lt;0),_1_54128456121462410464578910174567[[#This Row],[UNIT]]*_1_54128456121462410464578910174567[[#This Row],[COST]],0)</f>
        <v>0</v>
      </c>
      <c r="N121" s="194">
        <f t="shared" si="1"/>
        <v>1.3</v>
      </c>
      <c r="O121" s="198">
        <f>_1_54128456121462410464578910174567[[#This Row],[TOTAL]]*_1_54128456121462410464578910174567[[#This Row],[MARGIN]]</f>
        <v>0</v>
      </c>
      <c r="R121" s="41"/>
    </row>
    <row r="122" spans="1:18">
      <c r="C122" s="168"/>
      <c r="D122" s="188"/>
      <c r="F122" s="168" t="s">
        <v>6202</v>
      </c>
      <c r="G122" s="193">
        <f>IF(_1_54128456121462410464578910174567[[#This Row],[Type]]&gt;0,VLOOKUP(_1_54128456121462410464578910174567[[#This Row],[Type]],Main[[#All],[TYPE]:[UNIT]],'Unit Price'!C$1,FALSE),0)</f>
        <v>0</v>
      </c>
      <c r="H122" s="197">
        <f>IF(_1_54128456121462410464578910174567[[#This Row],[Type]]&gt;0,VLOOKUP(_1_54128456121462410464578910174567[[#This Row],[Type]],Main[[#All],[TYPE]:[UNIT]],'Unit Price'!D$1,FALSE),0)</f>
        <v>0</v>
      </c>
      <c r="I122" s="194">
        <f>IF(_1_54128456121462410464578910174567[[#This Row],[Type]]&gt;0,VLOOKUP(_1_54128456121462410464578910174567[[#This Row],[Type]],Main[[#All],[TYPE]:[UNIT]],'Unit Price'!G$1,FALSE),0)</f>
        <v>0</v>
      </c>
      <c r="J122" s="194">
        <f>IF(_1_54128456121462410464578910174567[[#This Row],[Type]]&gt;0,VLOOKUP(_1_54128456121462410464578910174567[[#This Row],[Type]],Main[[#All],[TYPE]:[UNIT]],'Unit Price'!H$1,FALSE),0)</f>
        <v>0</v>
      </c>
      <c r="K122" s="194">
        <f>IF(_1_54128456121462410464578910174567[[#This Row],[Discount selection]]&gt;0,VLOOKUP(_1_54128456121462410464578910174567[[#This Row],[Discount selection]],'Discount Structure'!$A$2:$B$30,2,"false"),0)</f>
        <v>1</v>
      </c>
      <c r="L122" s="194">
        <f>_1_54128456121462410464578910174567[[#This Row],[LIST $]]*_1_54128456121462410464578910174567[[#This Row],[DISCOUNT]]*_1_54128456121462410464578910174567[[#This Row],[DISCOUNT 2]]</f>
        <v>0</v>
      </c>
      <c r="M122" s="194">
        <f>IF(OR(_1_54128456121462410464578910174567[[#This Row],[UNIT]]&gt;0,_1_54128456121462410464578910174567[[#This Row],[UNIT]]&lt;0),_1_54128456121462410464578910174567[[#This Row],[UNIT]]*_1_54128456121462410464578910174567[[#This Row],[COST]],0)</f>
        <v>0</v>
      </c>
      <c r="N122" s="194">
        <f t="shared" si="1"/>
        <v>1.3</v>
      </c>
      <c r="O122" s="198">
        <f>_1_54128456121462410464578910174567[[#This Row],[TOTAL]]*_1_54128456121462410464578910174567[[#This Row],[MARGIN]]</f>
        <v>0</v>
      </c>
      <c r="R122" s="41"/>
    </row>
    <row r="123" spans="1:18">
      <c r="C123" s="168"/>
      <c r="D123" s="188"/>
      <c r="F123" s="168" t="s">
        <v>6202</v>
      </c>
      <c r="G123" s="193">
        <f>IF(_1_54128456121462410464578910174567[[#This Row],[Type]]&gt;0,VLOOKUP(_1_54128456121462410464578910174567[[#This Row],[Type]],Main[[#All],[TYPE]:[UNIT]],'Unit Price'!C$1,FALSE),0)</f>
        <v>0</v>
      </c>
      <c r="H123" s="197">
        <f>IF(_1_54128456121462410464578910174567[[#This Row],[Type]]&gt;0,VLOOKUP(_1_54128456121462410464578910174567[[#This Row],[Type]],Main[[#All],[TYPE]:[UNIT]],'Unit Price'!D$1,FALSE),0)</f>
        <v>0</v>
      </c>
      <c r="I123" s="194">
        <f>IF(_1_54128456121462410464578910174567[[#This Row],[Type]]&gt;0,VLOOKUP(_1_54128456121462410464578910174567[[#This Row],[Type]],Main[[#All],[TYPE]:[UNIT]],'Unit Price'!G$1,FALSE),0)</f>
        <v>0</v>
      </c>
      <c r="J123" s="194">
        <f>IF(_1_54128456121462410464578910174567[[#This Row],[Type]]&gt;0,VLOOKUP(_1_54128456121462410464578910174567[[#This Row],[Type]],Main[[#All],[TYPE]:[UNIT]],'Unit Price'!H$1,FALSE),0)</f>
        <v>0</v>
      </c>
      <c r="K123" s="194">
        <f>IF(_1_54128456121462410464578910174567[[#This Row],[Discount selection]]&gt;0,VLOOKUP(_1_54128456121462410464578910174567[[#This Row],[Discount selection]],'Discount Structure'!$A$2:$B$30,2,"false"),0)</f>
        <v>1</v>
      </c>
      <c r="L123" s="194">
        <f>_1_54128456121462410464578910174567[[#This Row],[LIST $]]*_1_54128456121462410464578910174567[[#This Row],[DISCOUNT]]*_1_54128456121462410464578910174567[[#This Row],[DISCOUNT 2]]</f>
        <v>0</v>
      </c>
      <c r="M123" s="194">
        <f>IF(OR(_1_54128456121462410464578910174567[[#This Row],[UNIT]]&gt;0,_1_54128456121462410464578910174567[[#This Row],[UNIT]]&lt;0),_1_54128456121462410464578910174567[[#This Row],[UNIT]]*_1_54128456121462410464578910174567[[#This Row],[COST]],0)</f>
        <v>0</v>
      </c>
      <c r="N123" s="194">
        <f t="shared" si="1"/>
        <v>1.3</v>
      </c>
      <c r="O123" s="198">
        <f>_1_54128456121462410464578910174567[[#This Row],[TOTAL]]*_1_54128456121462410464578910174567[[#This Row],[MARGIN]]</f>
        <v>0</v>
      </c>
      <c r="R123" s="41"/>
    </row>
    <row r="124" spans="1:18">
      <c r="C124" s="168"/>
      <c r="D124" s="188"/>
      <c r="F124" s="168" t="s">
        <v>6202</v>
      </c>
      <c r="G124" s="193">
        <f>IF(_1_54128456121462410464578910174567[[#This Row],[Type]]&gt;0,VLOOKUP(_1_54128456121462410464578910174567[[#This Row],[Type]],Main[[#All],[TYPE]:[UNIT]],'Unit Price'!C$1,FALSE),0)</f>
        <v>0</v>
      </c>
      <c r="H124" s="197">
        <f>IF(_1_54128456121462410464578910174567[[#This Row],[Type]]&gt;0,VLOOKUP(_1_54128456121462410464578910174567[[#This Row],[Type]],Main[[#All],[TYPE]:[UNIT]],'Unit Price'!D$1,FALSE),0)</f>
        <v>0</v>
      </c>
      <c r="I124" s="194">
        <f>IF(_1_54128456121462410464578910174567[[#This Row],[Type]]&gt;0,VLOOKUP(_1_54128456121462410464578910174567[[#This Row],[Type]],Main[[#All],[TYPE]:[UNIT]],'Unit Price'!G$1,FALSE),0)</f>
        <v>0</v>
      </c>
      <c r="J124" s="194">
        <f>IF(_1_54128456121462410464578910174567[[#This Row],[Type]]&gt;0,VLOOKUP(_1_54128456121462410464578910174567[[#This Row],[Type]],Main[[#All],[TYPE]:[UNIT]],'Unit Price'!H$1,FALSE),0)</f>
        <v>0</v>
      </c>
      <c r="K124" s="194">
        <f>IF(_1_54128456121462410464578910174567[[#This Row],[Discount selection]]&gt;0,VLOOKUP(_1_54128456121462410464578910174567[[#This Row],[Discount selection]],'Discount Structure'!$A$2:$B$30,2,"false"),0)</f>
        <v>1</v>
      </c>
      <c r="L124" s="194">
        <f>_1_54128456121462410464578910174567[[#This Row],[LIST $]]*_1_54128456121462410464578910174567[[#This Row],[DISCOUNT]]*_1_54128456121462410464578910174567[[#This Row],[DISCOUNT 2]]</f>
        <v>0</v>
      </c>
      <c r="M124" s="194">
        <f>IF(OR(_1_54128456121462410464578910174567[[#This Row],[UNIT]]&gt;0,_1_54128456121462410464578910174567[[#This Row],[UNIT]]&lt;0),_1_54128456121462410464578910174567[[#This Row],[UNIT]]*_1_54128456121462410464578910174567[[#This Row],[COST]],0)</f>
        <v>0</v>
      </c>
      <c r="N124" s="194">
        <f t="shared" si="1"/>
        <v>1.3</v>
      </c>
      <c r="O124" s="198">
        <f>_1_54128456121462410464578910174567[[#This Row],[TOTAL]]*_1_54128456121462410464578910174567[[#This Row],[MARGIN]]</f>
        <v>0</v>
      </c>
      <c r="R124" s="41"/>
    </row>
    <row r="125" spans="1:18">
      <c r="C125" s="168"/>
      <c r="D125" s="188"/>
      <c r="F125" s="168" t="s">
        <v>6202</v>
      </c>
      <c r="G125" s="193">
        <f>IF(_1_54128456121462410464578910174567[[#This Row],[Type]]&gt;0,VLOOKUP(_1_54128456121462410464578910174567[[#This Row],[Type]],Main[[#All],[TYPE]:[UNIT]],'Unit Price'!C$1,FALSE),0)</f>
        <v>0</v>
      </c>
      <c r="H125" s="197">
        <f>IF(_1_54128456121462410464578910174567[[#This Row],[Type]]&gt;0,VLOOKUP(_1_54128456121462410464578910174567[[#This Row],[Type]],Main[[#All],[TYPE]:[UNIT]],'Unit Price'!D$1,FALSE),0)</f>
        <v>0</v>
      </c>
      <c r="I125" s="194">
        <f>IF(_1_54128456121462410464578910174567[[#This Row],[Type]]&gt;0,VLOOKUP(_1_54128456121462410464578910174567[[#This Row],[Type]],Main[[#All],[TYPE]:[UNIT]],'Unit Price'!G$1,FALSE),0)</f>
        <v>0</v>
      </c>
      <c r="J125" s="194">
        <f>IF(_1_54128456121462410464578910174567[[#This Row],[Type]]&gt;0,VLOOKUP(_1_54128456121462410464578910174567[[#This Row],[Type]],Main[[#All],[TYPE]:[UNIT]],'Unit Price'!H$1,FALSE),0)</f>
        <v>0</v>
      </c>
      <c r="K125" s="194">
        <f>IF(_1_54128456121462410464578910174567[[#This Row],[Discount selection]]&gt;0,VLOOKUP(_1_54128456121462410464578910174567[[#This Row],[Discount selection]],'Discount Structure'!$A$2:$B$30,2,"false"),0)</f>
        <v>1</v>
      </c>
      <c r="L125" s="194">
        <f>_1_54128456121462410464578910174567[[#This Row],[LIST $]]*_1_54128456121462410464578910174567[[#This Row],[DISCOUNT]]*_1_54128456121462410464578910174567[[#This Row],[DISCOUNT 2]]</f>
        <v>0</v>
      </c>
      <c r="M125" s="194">
        <f>IF(OR(_1_54128456121462410464578910174567[[#This Row],[UNIT]]&gt;0,_1_54128456121462410464578910174567[[#This Row],[UNIT]]&lt;0),_1_54128456121462410464578910174567[[#This Row],[UNIT]]*_1_54128456121462410464578910174567[[#This Row],[COST]],0)</f>
        <v>0</v>
      </c>
      <c r="N125" s="194">
        <f t="shared" si="1"/>
        <v>1.3</v>
      </c>
      <c r="O125" s="198">
        <f>_1_54128456121462410464578910174567[[#This Row],[TOTAL]]*_1_54128456121462410464578910174567[[#This Row],[MARGIN]]</f>
        <v>0</v>
      </c>
      <c r="R125" s="41"/>
    </row>
    <row r="126" spans="1:18">
      <c r="C126" s="168"/>
      <c r="D126" s="188"/>
      <c r="F126" s="168" t="s">
        <v>6202</v>
      </c>
      <c r="G126" s="193">
        <f>IF(_1_54128456121462410464578910174567[[#This Row],[Type]]&gt;0,VLOOKUP(_1_54128456121462410464578910174567[[#This Row],[Type]],Main[[#All],[TYPE]:[UNIT]],'Unit Price'!C$1,FALSE),0)</f>
        <v>0</v>
      </c>
      <c r="H126" s="197">
        <f>IF(_1_54128456121462410464578910174567[[#This Row],[Type]]&gt;0,VLOOKUP(_1_54128456121462410464578910174567[[#This Row],[Type]],Main[[#All],[TYPE]:[UNIT]],'Unit Price'!D$1,FALSE),0)</f>
        <v>0</v>
      </c>
      <c r="I126" s="194">
        <f>IF(_1_54128456121462410464578910174567[[#This Row],[Type]]&gt;0,VLOOKUP(_1_54128456121462410464578910174567[[#This Row],[Type]],Main[[#All],[TYPE]:[UNIT]],'Unit Price'!G$1,FALSE),0)</f>
        <v>0</v>
      </c>
      <c r="J126" s="194">
        <f>IF(_1_54128456121462410464578910174567[[#This Row],[Type]]&gt;0,VLOOKUP(_1_54128456121462410464578910174567[[#This Row],[Type]],Main[[#All],[TYPE]:[UNIT]],'Unit Price'!H$1,FALSE),0)</f>
        <v>0</v>
      </c>
      <c r="K126" s="194">
        <f>IF(_1_54128456121462410464578910174567[[#This Row],[Discount selection]]&gt;0,VLOOKUP(_1_54128456121462410464578910174567[[#This Row],[Discount selection]],'Discount Structure'!$A$2:$B$30,2,"false"),0)</f>
        <v>1</v>
      </c>
      <c r="L126" s="194">
        <f>_1_54128456121462410464578910174567[[#This Row],[LIST $]]*_1_54128456121462410464578910174567[[#This Row],[DISCOUNT]]*_1_54128456121462410464578910174567[[#This Row],[DISCOUNT 2]]</f>
        <v>0</v>
      </c>
      <c r="M126" s="194">
        <f>IF(OR(_1_54128456121462410464578910174567[[#This Row],[UNIT]]&gt;0,_1_54128456121462410464578910174567[[#This Row],[UNIT]]&lt;0),_1_54128456121462410464578910174567[[#This Row],[UNIT]]*_1_54128456121462410464578910174567[[#This Row],[COST]],0)</f>
        <v>0</v>
      </c>
      <c r="N126" s="194">
        <f t="shared" si="1"/>
        <v>1.3</v>
      </c>
      <c r="O126" s="198">
        <f>_1_54128456121462410464578910174567[[#This Row],[TOTAL]]*_1_54128456121462410464578910174567[[#This Row],[MARGIN]]</f>
        <v>0</v>
      </c>
      <c r="R126" s="41"/>
    </row>
    <row r="127" spans="1:18">
      <c r="C127" s="168"/>
      <c r="D127" s="188"/>
      <c r="F127" s="168" t="s">
        <v>6202</v>
      </c>
      <c r="G127" s="193">
        <f>IF(_1_54128456121462410464578910174567[[#This Row],[Type]]&gt;0,VLOOKUP(_1_54128456121462410464578910174567[[#This Row],[Type]],Main[[#All],[TYPE]:[UNIT]],'Unit Price'!C$1,FALSE),0)</f>
        <v>0</v>
      </c>
      <c r="H127" s="197">
        <f>IF(_1_54128456121462410464578910174567[[#This Row],[Type]]&gt;0,VLOOKUP(_1_54128456121462410464578910174567[[#This Row],[Type]],Main[[#All],[TYPE]:[UNIT]],'Unit Price'!D$1,FALSE),0)</f>
        <v>0</v>
      </c>
      <c r="I127" s="194">
        <f>IF(_1_54128456121462410464578910174567[[#This Row],[Type]]&gt;0,VLOOKUP(_1_54128456121462410464578910174567[[#This Row],[Type]],Main[[#All],[TYPE]:[UNIT]],'Unit Price'!G$1,FALSE),0)</f>
        <v>0</v>
      </c>
      <c r="J127" s="194">
        <f>IF(_1_54128456121462410464578910174567[[#This Row],[Type]]&gt;0,VLOOKUP(_1_54128456121462410464578910174567[[#This Row],[Type]],Main[[#All],[TYPE]:[UNIT]],'Unit Price'!H$1,FALSE),0)</f>
        <v>0</v>
      </c>
      <c r="K127" s="194">
        <f>IF(_1_54128456121462410464578910174567[[#This Row],[Discount selection]]&gt;0,VLOOKUP(_1_54128456121462410464578910174567[[#This Row],[Discount selection]],'Discount Structure'!$A$2:$B$30,2,"false"),0)</f>
        <v>1</v>
      </c>
      <c r="L127" s="194">
        <f>_1_54128456121462410464578910174567[[#This Row],[LIST $]]*_1_54128456121462410464578910174567[[#This Row],[DISCOUNT]]*_1_54128456121462410464578910174567[[#This Row],[DISCOUNT 2]]</f>
        <v>0</v>
      </c>
      <c r="M127" s="194">
        <f>IF(OR(_1_54128456121462410464578910174567[[#This Row],[UNIT]]&gt;0,_1_54128456121462410464578910174567[[#This Row],[UNIT]]&lt;0),_1_54128456121462410464578910174567[[#This Row],[UNIT]]*_1_54128456121462410464578910174567[[#This Row],[COST]],0)</f>
        <v>0</v>
      </c>
      <c r="N127" s="194">
        <f t="shared" si="1"/>
        <v>1.3</v>
      </c>
      <c r="O127" s="198">
        <f>_1_54128456121462410464578910174567[[#This Row],[TOTAL]]*_1_54128456121462410464578910174567[[#This Row],[MARGIN]]</f>
        <v>0</v>
      </c>
      <c r="R127" s="41"/>
    </row>
    <row r="128" spans="1:18">
      <c r="C128" s="168"/>
      <c r="D128" s="188"/>
      <c r="F128" s="168" t="s">
        <v>6202</v>
      </c>
      <c r="G128" s="193">
        <f>IF(_1_54128456121462410464578910174567[[#This Row],[Type]]&gt;0,VLOOKUP(_1_54128456121462410464578910174567[[#This Row],[Type]],Main[[#All],[TYPE]:[UNIT]],'Unit Price'!C$1,FALSE),0)</f>
        <v>0</v>
      </c>
      <c r="H128" s="197">
        <f>IF(_1_54128456121462410464578910174567[[#This Row],[Type]]&gt;0,VLOOKUP(_1_54128456121462410464578910174567[[#This Row],[Type]],Main[[#All],[TYPE]:[UNIT]],'Unit Price'!D$1,FALSE),0)</f>
        <v>0</v>
      </c>
      <c r="I128" s="194">
        <f>IF(_1_54128456121462410464578910174567[[#This Row],[Type]]&gt;0,VLOOKUP(_1_54128456121462410464578910174567[[#This Row],[Type]],Main[[#All],[TYPE]:[UNIT]],'Unit Price'!G$1,FALSE),0)</f>
        <v>0</v>
      </c>
      <c r="J128" s="194">
        <f>IF(_1_54128456121462410464578910174567[[#This Row],[Type]]&gt;0,VLOOKUP(_1_54128456121462410464578910174567[[#This Row],[Type]],Main[[#All],[TYPE]:[UNIT]],'Unit Price'!H$1,FALSE),0)</f>
        <v>0</v>
      </c>
      <c r="K128" s="194">
        <f>IF(_1_54128456121462410464578910174567[[#This Row],[Discount selection]]&gt;0,VLOOKUP(_1_54128456121462410464578910174567[[#This Row],[Discount selection]],'Discount Structure'!$A$2:$B$30,2,"false"),0)</f>
        <v>1</v>
      </c>
      <c r="L128" s="194">
        <f>_1_54128456121462410464578910174567[[#This Row],[LIST $]]*_1_54128456121462410464578910174567[[#This Row],[DISCOUNT]]*_1_54128456121462410464578910174567[[#This Row],[DISCOUNT 2]]</f>
        <v>0</v>
      </c>
      <c r="M128" s="194">
        <f>IF(OR(_1_54128456121462410464578910174567[[#This Row],[UNIT]]&gt;0,_1_54128456121462410464578910174567[[#This Row],[UNIT]]&lt;0),_1_54128456121462410464578910174567[[#This Row],[UNIT]]*_1_54128456121462410464578910174567[[#This Row],[COST]],0)</f>
        <v>0</v>
      </c>
      <c r="N128" s="194">
        <f t="shared" si="1"/>
        <v>1.3</v>
      </c>
      <c r="O128" s="198">
        <f>_1_54128456121462410464578910174567[[#This Row],[TOTAL]]*_1_54128456121462410464578910174567[[#This Row],[MARGIN]]</f>
        <v>0</v>
      </c>
      <c r="R128" s="41"/>
    </row>
    <row r="129" spans="1:18">
      <c r="C129" s="168"/>
      <c r="D129" s="188"/>
      <c r="F129" s="168" t="s">
        <v>6202</v>
      </c>
      <c r="G129" s="193">
        <f>IF(_1_54128456121462410464578910174567[[#This Row],[Type]]&gt;0,VLOOKUP(_1_54128456121462410464578910174567[[#This Row],[Type]],Main[[#All],[TYPE]:[UNIT]],'Unit Price'!C$1,FALSE),0)</f>
        <v>0</v>
      </c>
      <c r="H129" s="197">
        <f>IF(_1_54128456121462410464578910174567[[#This Row],[Type]]&gt;0,VLOOKUP(_1_54128456121462410464578910174567[[#This Row],[Type]],Main[[#All],[TYPE]:[UNIT]],'Unit Price'!D$1,FALSE),0)</f>
        <v>0</v>
      </c>
      <c r="I129" s="194">
        <f>IF(_1_54128456121462410464578910174567[[#This Row],[Type]]&gt;0,VLOOKUP(_1_54128456121462410464578910174567[[#This Row],[Type]],Main[[#All],[TYPE]:[UNIT]],'Unit Price'!G$1,FALSE),0)</f>
        <v>0</v>
      </c>
      <c r="J129" s="194">
        <f>IF(_1_54128456121462410464578910174567[[#This Row],[Type]]&gt;0,VLOOKUP(_1_54128456121462410464578910174567[[#This Row],[Type]],Main[[#All],[TYPE]:[UNIT]],'Unit Price'!H$1,FALSE),0)</f>
        <v>0</v>
      </c>
      <c r="K129" s="194">
        <f>IF(_1_54128456121462410464578910174567[[#This Row],[Discount selection]]&gt;0,VLOOKUP(_1_54128456121462410464578910174567[[#This Row],[Discount selection]],'Discount Structure'!$A$2:$B$30,2,"false"),0)</f>
        <v>1</v>
      </c>
      <c r="L129" s="194">
        <f>_1_54128456121462410464578910174567[[#This Row],[LIST $]]*_1_54128456121462410464578910174567[[#This Row],[DISCOUNT]]*_1_54128456121462410464578910174567[[#This Row],[DISCOUNT 2]]</f>
        <v>0</v>
      </c>
      <c r="M129" s="194">
        <f>IF(OR(_1_54128456121462410464578910174567[[#This Row],[UNIT]]&gt;0,_1_54128456121462410464578910174567[[#This Row],[UNIT]]&lt;0),_1_54128456121462410464578910174567[[#This Row],[UNIT]]*_1_54128456121462410464578910174567[[#This Row],[COST]],0)</f>
        <v>0</v>
      </c>
      <c r="N129" s="194">
        <f t="shared" si="1"/>
        <v>1.3</v>
      </c>
      <c r="O129" s="198">
        <f>_1_54128456121462410464578910174567[[#This Row],[TOTAL]]*_1_54128456121462410464578910174567[[#This Row],[MARGIN]]</f>
        <v>0</v>
      </c>
      <c r="R129" s="41"/>
    </row>
    <row r="130" spans="1:18">
      <c r="C130" s="168"/>
      <c r="D130" s="188"/>
      <c r="F130" s="168" t="s">
        <v>6202</v>
      </c>
      <c r="G130" s="193">
        <f>IF(_1_54128456121462410464578910174567[[#This Row],[Type]]&gt;0,VLOOKUP(_1_54128456121462410464578910174567[[#This Row],[Type]],Main[[#All],[TYPE]:[UNIT]],'Unit Price'!C$1,FALSE),0)</f>
        <v>0</v>
      </c>
      <c r="H130" s="197">
        <f>IF(_1_54128456121462410464578910174567[[#This Row],[Type]]&gt;0,VLOOKUP(_1_54128456121462410464578910174567[[#This Row],[Type]],Main[[#All],[TYPE]:[UNIT]],'Unit Price'!D$1,FALSE),0)</f>
        <v>0</v>
      </c>
      <c r="I130" s="194">
        <f>IF(_1_54128456121462410464578910174567[[#This Row],[Type]]&gt;0,VLOOKUP(_1_54128456121462410464578910174567[[#This Row],[Type]],Main[[#All],[TYPE]:[UNIT]],'Unit Price'!G$1,FALSE),0)</f>
        <v>0</v>
      </c>
      <c r="J130" s="194">
        <f>IF(_1_54128456121462410464578910174567[[#This Row],[Type]]&gt;0,VLOOKUP(_1_54128456121462410464578910174567[[#This Row],[Type]],Main[[#All],[TYPE]:[UNIT]],'Unit Price'!H$1,FALSE),0)</f>
        <v>0</v>
      </c>
      <c r="K130" s="194">
        <f>IF(_1_54128456121462410464578910174567[[#This Row],[Discount selection]]&gt;0,VLOOKUP(_1_54128456121462410464578910174567[[#This Row],[Discount selection]],'Discount Structure'!$A$2:$B$30,2,"false"),0)</f>
        <v>1</v>
      </c>
      <c r="L130" s="194">
        <f>_1_54128456121462410464578910174567[[#This Row],[LIST $]]*_1_54128456121462410464578910174567[[#This Row],[DISCOUNT]]*_1_54128456121462410464578910174567[[#This Row],[DISCOUNT 2]]</f>
        <v>0</v>
      </c>
      <c r="M130" s="194">
        <f>IF(OR(_1_54128456121462410464578910174567[[#This Row],[UNIT]]&gt;0,_1_54128456121462410464578910174567[[#This Row],[UNIT]]&lt;0),_1_54128456121462410464578910174567[[#This Row],[UNIT]]*_1_54128456121462410464578910174567[[#This Row],[COST]],0)</f>
        <v>0</v>
      </c>
      <c r="N130" s="194">
        <f t="shared" si="1"/>
        <v>1.3</v>
      </c>
      <c r="O130" s="198">
        <f>_1_54128456121462410464578910174567[[#This Row],[TOTAL]]*_1_54128456121462410464578910174567[[#This Row],[MARGIN]]</f>
        <v>0</v>
      </c>
      <c r="R130" s="41"/>
    </row>
    <row r="131" spans="1:18">
      <c r="C131" s="168"/>
      <c r="D131" s="188"/>
      <c r="F131" s="168" t="s">
        <v>6202</v>
      </c>
      <c r="G131" s="193">
        <f>IF(_1_54128456121462410464578910174567[[#This Row],[Type]]&gt;0,VLOOKUP(_1_54128456121462410464578910174567[[#This Row],[Type]],Main[[#All],[TYPE]:[UNIT]],'Unit Price'!C$1,FALSE),0)</f>
        <v>0</v>
      </c>
      <c r="H131" s="197">
        <f>IF(_1_54128456121462410464578910174567[[#This Row],[Type]]&gt;0,VLOOKUP(_1_54128456121462410464578910174567[[#This Row],[Type]],Main[[#All],[TYPE]:[UNIT]],'Unit Price'!D$1,FALSE),0)</f>
        <v>0</v>
      </c>
      <c r="I131" s="194">
        <f>IF(_1_54128456121462410464578910174567[[#This Row],[Type]]&gt;0,VLOOKUP(_1_54128456121462410464578910174567[[#This Row],[Type]],Main[[#All],[TYPE]:[UNIT]],'Unit Price'!G$1,FALSE),0)</f>
        <v>0</v>
      </c>
      <c r="J131" s="194">
        <f>IF(_1_54128456121462410464578910174567[[#This Row],[Type]]&gt;0,VLOOKUP(_1_54128456121462410464578910174567[[#This Row],[Type]],Main[[#All],[TYPE]:[UNIT]],'Unit Price'!H$1,FALSE),0)</f>
        <v>0</v>
      </c>
      <c r="K131" s="194">
        <f>IF(_1_54128456121462410464578910174567[[#This Row],[Discount selection]]&gt;0,VLOOKUP(_1_54128456121462410464578910174567[[#This Row],[Discount selection]],'Discount Structure'!$A$2:$B$30,2,"false"),0)</f>
        <v>1</v>
      </c>
      <c r="L131" s="194">
        <f>_1_54128456121462410464578910174567[[#This Row],[LIST $]]*_1_54128456121462410464578910174567[[#This Row],[DISCOUNT]]*_1_54128456121462410464578910174567[[#This Row],[DISCOUNT 2]]</f>
        <v>0</v>
      </c>
      <c r="M131" s="194">
        <f>IF(OR(_1_54128456121462410464578910174567[[#This Row],[UNIT]]&gt;0,_1_54128456121462410464578910174567[[#This Row],[UNIT]]&lt;0),_1_54128456121462410464578910174567[[#This Row],[UNIT]]*_1_54128456121462410464578910174567[[#This Row],[COST]],0)</f>
        <v>0</v>
      </c>
      <c r="N131" s="194">
        <f t="shared" si="1"/>
        <v>1.3</v>
      </c>
      <c r="O131" s="198">
        <f>_1_54128456121462410464578910174567[[#This Row],[TOTAL]]*_1_54128456121462410464578910174567[[#This Row],[MARGIN]]</f>
        <v>0</v>
      </c>
      <c r="R131" s="41"/>
    </row>
    <row r="132" spans="1:18">
      <c r="C132" s="168"/>
      <c r="D132" s="188"/>
      <c r="F132" s="168" t="s">
        <v>6202</v>
      </c>
      <c r="G132" s="193">
        <f>IF(_1_54128456121462410464578910174567[[#This Row],[Type]]&gt;0,VLOOKUP(_1_54128456121462410464578910174567[[#This Row],[Type]],Main[[#All],[TYPE]:[UNIT]],'Unit Price'!C$1,FALSE),0)</f>
        <v>0</v>
      </c>
      <c r="H132" s="197">
        <f>IF(_1_54128456121462410464578910174567[[#This Row],[Type]]&gt;0,VLOOKUP(_1_54128456121462410464578910174567[[#This Row],[Type]],Main[[#All],[TYPE]:[UNIT]],'Unit Price'!D$1,FALSE),0)</f>
        <v>0</v>
      </c>
      <c r="I132" s="194">
        <f>IF(_1_54128456121462410464578910174567[[#This Row],[Type]]&gt;0,VLOOKUP(_1_54128456121462410464578910174567[[#This Row],[Type]],Main[[#All],[TYPE]:[UNIT]],'Unit Price'!G$1,FALSE),0)</f>
        <v>0</v>
      </c>
      <c r="J132" s="194">
        <f>IF(_1_54128456121462410464578910174567[[#This Row],[Type]]&gt;0,VLOOKUP(_1_54128456121462410464578910174567[[#This Row],[Type]],Main[[#All],[TYPE]:[UNIT]],'Unit Price'!H$1,FALSE),0)</f>
        <v>0</v>
      </c>
      <c r="K132" s="194">
        <f>IF(_1_54128456121462410464578910174567[[#This Row],[Discount selection]]&gt;0,VLOOKUP(_1_54128456121462410464578910174567[[#This Row],[Discount selection]],'Discount Structure'!$A$2:$B$30,2,"false"),0)</f>
        <v>1</v>
      </c>
      <c r="L132" s="194">
        <f>_1_54128456121462410464578910174567[[#This Row],[LIST $]]*_1_54128456121462410464578910174567[[#This Row],[DISCOUNT]]*_1_54128456121462410464578910174567[[#This Row],[DISCOUNT 2]]</f>
        <v>0</v>
      </c>
      <c r="M132" s="194">
        <f>IF(OR(_1_54128456121462410464578910174567[[#This Row],[UNIT]]&gt;0,_1_54128456121462410464578910174567[[#This Row],[UNIT]]&lt;0),_1_54128456121462410464578910174567[[#This Row],[UNIT]]*_1_54128456121462410464578910174567[[#This Row],[COST]],0)</f>
        <v>0</v>
      </c>
      <c r="N132" s="194">
        <f t="shared" si="1"/>
        <v>1.3</v>
      </c>
      <c r="O132" s="198">
        <f>_1_54128456121462410464578910174567[[#This Row],[TOTAL]]*_1_54128456121462410464578910174567[[#This Row],[MARGIN]]</f>
        <v>0</v>
      </c>
      <c r="R132" s="41"/>
    </row>
    <row r="133" spans="1:18">
      <c r="C133" s="168"/>
      <c r="D133" s="188"/>
      <c r="F133" s="168" t="s">
        <v>6202</v>
      </c>
      <c r="G133" s="193">
        <f>IF(_1_54128456121462410464578910174567[[#This Row],[Type]]&gt;0,VLOOKUP(_1_54128456121462410464578910174567[[#This Row],[Type]],Main[[#All],[TYPE]:[UNIT]],'Unit Price'!C$1,FALSE),0)</f>
        <v>0</v>
      </c>
      <c r="H133" s="197">
        <f>IF(_1_54128456121462410464578910174567[[#This Row],[Type]]&gt;0,VLOOKUP(_1_54128456121462410464578910174567[[#This Row],[Type]],Main[[#All],[TYPE]:[UNIT]],'Unit Price'!D$1,FALSE),0)</f>
        <v>0</v>
      </c>
      <c r="I133" s="194">
        <f>IF(_1_54128456121462410464578910174567[[#This Row],[Type]]&gt;0,VLOOKUP(_1_54128456121462410464578910174567[[#This Row],[Type]],Main[[#All],[TYPE]:[UNIT]],'Unit Price'!G$1,FALSE),0)</f>
        <v>0</v>
      </c>
      <c r="J133" s="194">
        <f>IF(_1_54128456121462410464578910174567[[#This Row],[Type]]&gt;0,VLOOKUP(_1_54128456121462410464578910174567[[#This Row],[Type]],Main[[#All],[TYPE]:[UNIT]],'Unit Price'!H$1,FALSE),0)</f>
        <v>0</v>
      </c>
      <c r="K133" s="194">
        <f>IF(_1_54128456121462410464578910174567[[#This Row],[Discount selection]]&gt;0,VLOOKUP(_1_54128456121462410464578910174567[[#This Row],[Discount selection]],'Discount Structure'!$A$2:$B$30,2,"false"),0)</f>
        <v>1</v>
      </c>
      <c r="L133" s="194">
        <f>_1_54128456121462410464578910174567[[#This Row],[LIST $]]*_1_54128456121462410464578910174567[[#This Row],[DISCOUNT]]*_1_54128456121462410464578910174567[[#This Row],[DISCOUNT 2]]</f>
        <v>0</v>
      </c>
      <c r="M133" s="194">
        <f>IF(OR(_1_54128456121462410464578910174567[[#This Row],[UNIT]]&gt;0,_1_54128456121462410464578910174567[[#This Row],[UNIT]]&lt;0),_1_54128456121462410464578910174567[[#This Row],[UNIT]]*_1_54128456121462410464578910174567[[#This Row],[COST]],0)</f>
        <v>0</v>
      </c>
      <c r="N133" s="194">
        <f t="shared" si="1"/>
        <v>1.3</v>
      </c>
      <c r="O133" s="198">
        <f>_1_54128456121462410464578910174567[[#This Row],[TOTAL]]*_1_54128456121462410464578910174567[[#This Row],[MARGIN]]</f>
        <v>0</v>
      </c>
      <c r="R133" s="41"/>
    </row>
    <row r="134" spans="1:18">
      <c r="C134" s="168"/>
      <c r="D134" s="188"/>
      <c r="F134" s="168" t="s">
        <v>6202</v>
      </c>
      <c r="G134" s="193">
        <f>IF(_1_54128456121462410464578910174567[[#This Row],[Type]]&gt;0,VLOOKUP(_1_54128456121462410464578910174567[[#This Row],[Type]],Main[[#All],[TYPE]:[UNIT]],'Unit Price'!C$1,FALSE),0)</f>
        <v>0</v>
      </c>
      <c r="H134" s="197">
        <f>IF(_1_54128456121462410464578910174567[[#This Row],[Type]]&gt;0,VLOOKUP(_1_54128456121462410464578910174567[[#This Row],[Type]],Main[[#All],[TYPE]:[UNIT]],'Unit Price'!D$1,FALSE),0)</f>
        <v>0</v>
      </c>
      <c r="I134" s="194">
        <f>IF(_1_54128456121462410464578910174567[[#This Row],[Type]]&gt;0,VLOOKUP(_1_54128456121462410464578910174567[[#This Row],[Type]],Main[[#All],[TYPE]:[UNIT]],'Unit Price'!G$1,FALSE),0)</f>
        <v>0</v>
      </c>
      <c r="J134" s="194">
        <f>IF(_1_54128456121462410464578910174567[[#This Row],[Type]]&gt;0,VLOOKUP(_1_54128456121462410464578910174567[[#This Row],[Type]],Main[[#All],[TYPE]:[UNIT]],'Unit Price'!H$1,FALSE),0)</f>
        <v>0</v>
      </c>
      <c r="K134" s="194">
        <f>IF(_1_54128456121462410464578910174567[[#This Row],[Discount selection]]&gt;0,VLOOKUP(_1_54128456121462410464578910174567[[#This Row],[Discount selection]],'Discount Structure'!$A$2:$B$30,2,"false"),0)</f>
        <v>1</v>
      </c>
      <c r="L134" s="194">
        <f>_1_54128456121462410464578910174567[[#This Row],[LIST $]]*_1_54128456121462410464578910174567[[#This Row],[DISCOUNT]]*_1_54128456121462410464578910174567[[#This Row],[DISCOUNT 2]]</f>
        <v>0</v>
      </c>
      <c r="M134" s="194">
        <f>IF(OR(_1_54128456121462410464578910174567[[#This Row],[UNIT]]&gt;0,_1_54128456121462410464578910174567[[#This Row],[UNIT]]&lt;0),_1_54128456121462410464578910174567[[#This Row],[UNIT]]*_1_54128456121462410464578910174567[[#This Row],[COST]],0)</f>
        <v>0</v>
      </c>
      <c r="N134" s="194">
        <f t="shared" si="1"/>
        <v>1.3</v>
      </c>
      <c r="O134" s="198">
        <f>_1_54128456121462410464578910174567[[#This Row],[TOTAL]]*_1_54128456121462410464578910174567[[#This Row],[MARGIN]]</f>
        <v>0</v>
      </c>
      <c r="R134" s="41"/>
    </row>
    <row r="135" spans="1:18">
      <c r="C135" s="168"/>
      <c r="D135" s="188"/>
      <c r="F135" s="168" t="s">
        <v>6202</v>
      </c>
      <c r="G135" s="193">
        <f>IF(_1_54128456121462410464578910174567[[#This Row],[Type]]&gt;0,VLOOKUP(_1_54128456121462410464578910174567[[#This Row],[Type]],Main[[#All],[TYPE]:[UNIT]],'Unit Price'!C$1,FALSE),0)</f>
        <v>0</v>
      </c>
      <c r="H135" s="197">
        <f>IF(_1_54128456121462410464578910174567[[#This Row],[Type]]&gt;0,VLOOKUP(_1_54128456121462410464578910174567[[#This Row],[Type]],Main[[#All],[TYPE]:[UNIT]],'Unit Price'!D$1,FALSE),0)</f>
        <v>0</v>
      </c>
      <c r="I135" s="194">
        <f>IF(_1_54128456121462410464578910174567[[#This Row],[Type]]&gt;0,VLOOKUP(_1_54128456121462410464578910174567[[#This Row],[Type]],Main[[#All],[TYPE]:[UNIT]],'Unit Price'!G$1,FALSE),0)</f>
        <v>0</v>
      </c>
      <c r="J135" s="194">
        <f>IF(_1_54128456121462410464578910174567[[#This Row],[Type]]&gt;0,VLOOKUP(_1_54128456121462410464578910174567[[#This Row],[Type]],Main[[#All],[TYPE]:[UNIT]],'Unit Price'!H$1,FALSE),0)</f>
        <v>0</v>
      </c>
      <c r="K135" s="194">
        <f>IF(_1_54128456121462410464578910174567[[#This Row],[Discount selection]]&gt;0,VLOOKUP(_1_54128456121462410464578910174567[[#This Row],[Discount selection]],'Discount Structure'!$A$2:$B$30,2,"false"),0)</f>
        <v>1</v>
      </c>
      <c r="L135" s="194">
        <f>_1_54128456121462410464578910174567[[#This Row],[LIST $]]*_1_54128456121462410464578910174567[[#This Row],[DISCOUNT]]*_1_54128456121462410464578910174567[[#This Row],[DISCOUNT 2]]</f>
        <v>0</v>
      </c>
      <c r="M135" s="194">
        <f>IF(OR(_1_54128456121462410464578910174567[[#This Row],[UNIT]]&gt;0,_1_54128456121462410464578910174567[[#This Row],[UNIT]]&lt;0),_1_54128456121462410464578910174567[[#This Row],[UNIT]]*_1_54128456121462410464578910174567[[#This Row],[COST]],0)</f>
        <v>0</v>
      </c>
      <c r="N135" s="194">
        <f t="shared" si="1"/>
        <v>1.3</v>
      </c>
      <c r="O135" s="198">
        <f>_1_54128456121462410464578910174567[[#This Row],[TOTAL]]*_1_54128456121462410464578910174567[[#This Row],[MARGIN]]</f>
        <v>0</v>
      </c>
      <c r="R135" s="41"/>
    </row>
    <row r="136" spans="1:18">
      <c r="C136" s="168"/>
      <c r="D136" s="188"/>
      <c r="F136" s="168" t="s">
        <v>6202</v>
      </c>
      <c r="G136" s="193">
        <f>IF(_1_54128456121462410464578910174567[[#This Row],[Type]]&gt;0,VLOOKUP(_1_54128456121462410464578910174567[[#This Row],[Type]],Main[[#All],[TYPE]:[UNIT]],'Unit Price'!C$1,FALSE),0)</f>
        <v>0</v>
      </c>
      <c r="H136" s="197">
        <f>IF(_1_54128456121462410464578910174567[[#This Row],[Type]]&gt;0,VLOOKUP(_1_54128456121462410464578910174567[[#This Row],[Type]],Main[[#All],[TYPE]:[UNIT]],'Unit Price'!D$1,FALSE),0)</f>
        <v>0</v>
      </c>
      <c r="I136" s="194">
        <f>IF(_1_54128456121462410464578910174567[[#This Row],[Type]]&gt;0,VLOOKUP(_1_54128456121462410464578910174567[[#This Row],[Type]],Main[[#All],[TYPE]:[UNIT]],'Unit Price'!G$1,FALSE),0)</f>
        <v>0</v>
      </c>
      <c r="J136" s="194">
        <f>IF(_1_54128456121462410464578910174567[[#This Row],[Type]]&gt;0,VLOOKUP(_1_54128456121462410464578910174567[[#This Row],[Type]],Main[[#All],[TYPE]:[UNIT]],'Unit Price'!H$1,FALSE),0)</f>
        <v>0</v>
      </c>
      <c r="K136" s="194">
        <f>IF(_1_54128456121462410464578910174567[[#This Row],[Discount selection]]&gt;0,VLOOKUP(_1_54128456121462410464578910174567[[#This Row],[Discount selection]],'Discount Structure'!$A$2:$B$30,2,"false"),0)</f>
        <v>1</v>
      </c>
      <c r="L136" s="194">
        <f>_1_54128456121462410464578910174567[[#This Row],[LIST $]]*_1_54128456121462410464578910174567[[#This Row],[DISCOUNT]]*_1_54128456121462410464578910174567[[#This Row],[DISCOUNT 2]]</f>
        <v>0</v>
      </c>
      <c r="M136" s="194">
        <f>IF(OR(_1_54128456121462410464578910174567[[#This Row],[UNIT]]&gt;0,_1_54128456121462410464578910174567[[#This Row],[UNIT]]&lt;0),_1_54128456121462410464578910174567[[#This Row],[UNIT]]*_1_54128456121462410464578910174567[[#This Row],[COST]],0)</f>
        <v>0</v>
      </c>
      <c r="N136" s="194">
        <f t="shared" si="1"/>
        <v>1.3</v>
      </c>
      <c r="O136" s="198">
        <f>_1_54128456121462410464578910174567[[#This Row],[TOTAL]]*_1_54128456121462410464578910174567[[#This Row],[MARGIN]]</f>
        <v>0</v>
      </c>
      <c r="R136" s="41"/>
    </row>
    <row r="137" spans="1:18">
      <c r="A137" s="168"/>
      <c r="C137" s="168"/>
      <c r="D137" s="188"/>
      <c r="F137" s="168" t="s">
        <v>6202</v>
      </c>
      <c r="G137" s="193">
        <f>IF(_1_54128456121462410464578910174567[[#This Row],[Type]]&gt;0,VLOOKUP(_1_54128456121462410464578910174567[[#This Row],[Type]],Main[[#All],[TYPE]:[UNIT]],'Unit Price'!C$1,FALSE),0)</f>
        <v>0</v>
      </c>
      <c r="H137" s="197">
        <f>IF(_1_54128456121462410464578910174567[[#This Row],[Type]]&gt;0,VLOOKUP(_1_54128456121462410464578910174567[[#This Row],[Type]],Main[[#All],[TYPE]:[UNIT]],'Unit Price'!D$1,FALSE),0)</f>
        <v>0</v>
      </c>
      <c r="I137" s="194">
        <f>IF(_1_54128456121462410464578910174567[[#This Row],[Type]]&gt;0,VLOOKUP(_1_54128456121462410464578910174567[[#This Row],[Type]],Main[[#All],[TYPE]:[UNIT]],'Unit Price'!G$1,FALSE),0)</f>
        <v>0</v>
      </c>
      <c r="J137" s="194">
        <f>IF(_1_54128456121462410464578910174567[[#This Row],[Type]]&gt;0,VLOOKUP(_1_54128456121462410464578910174567[[#This Row],[Type]],Main[[#All],[TYPE]:[UNIT]],'Unit Price'!H$1,FALSE),0)</f>
        <v>0</v>
      </c>
      <c r="K137" s="194">
        <f>IF(_1_54128456121462410464578910174567[[#This Row],[Discount selection]]&gt;0,VLOOKUP(_1_54128456121462410464578910174567[[#This Row],[Discount selection]],'Discount Structure'!$A$2:$B$30,2,"false"),0)</f>
        <v>1</v>
      </c>
      <c r="L137" s="194">
        <f>_1_54128456121462410464578910174567[[#This Row],[LIST $]]*_1_54128456121462410464578910174567[[#This Row],[DISCOUNT]]*_1_54128456121462410464578910174567[[#This Row],[DISCOUNT 2]]</f>
        <v>0</v>
      </c>
      <c r="M137" s="194">
        <f>IF(OR(_1_54128456121462410464578910174567[[#This Row],[UNIT]]&gt;0,_1_54128456121462410464578910174567[[#This Row],[UNIT]]&lt;0),_1_54128456121462410464578910174567[[#This Row],[UNIT]]*_1_54128456121462410464578910174567[[#This Row],[COST]],0)</f>
        <v>0</v>
      </c>
      <c r="N137" s="194">
        <f t="shared" si="1"/>
        <v>1.3</v>
      </c>
      <c r="O137" s="198">
        <f>_1_54128456121462410464578910174567[[#This Row],[TOTAL]]*_1_54128456121462410464578910174567[[#This Row],[MARGIN]]</f>
        <v>0</v>
      </c>
      <c r="R137" s="41"/>
    </row>
    <row r="138" spans="1:18">
      <c r="B138" s="168"/>
      <c r="C138" s="168"/>
      <c r="D138" s="188"/>
      <c r="E138" s="313"/>
      <c r="F138" s="168" t="s">
        <v>6202</v>
      </c>
      <c r="G138" s="193">
        <f>IF(_1_54128456121462410464578910174567[[#This Row],[Type]]&gt;0,VLOOKUP(_1_54128456121462410464578910174567[[#This Row],[Type]],Main[[#All],[TYPE]:[UNIT]],'Unit Price'!C$1,FALSE),0)</f>
        <v>0</v>
      </c>
      <c r="H138" s="197">
        <f>IF(_1_54128456121462410464578910174567[[#This Row],[Type]]&gt;0,VLOOKUP(_1_54128456121462410464578910174567[[#This Row],[Type]],Main[[#All],[TYPE]:[UNIT]],'Unit Price'!D$1,FALSE),0)</f>
        <v>0</v>
      </c>
      <c r="I138" s="194">
        <f>IF(_1_54128456121462410464578910174567[[#This Row],[Type]]&gt;0,VLOOKUP(_1_54128456121462410464578910174567[[#This Row],[Type]],Main[[#All],[TYPE]:[UNIT]],'Unit Price'!G$1,FALSE),0)</f>
        <v>0</v>
      </c>
      <c r="J138" s="194">
        <f>IF(_1_54128456121462410464578910174567[[#This Row],[Type]]&gt;0,VLOOKUP(_1_54128456121462410464578910174567[[#This Row],[Type]],Main[[#All],[TYPE]:[UNIT]],'Unit Price'!H$1,FALSE),0)</f>
        <v>0</v>
      </c>
      <c r="K138" s="194">
        <f>IF(_1_54128456121462410464578910174567[[#This Row],[Discount selection]]&gt;0,VLOOKUP(_1_54128456121462410464578910174567[[#This Row],[Discount selection]],'Discount Structure'!$A$2:$B$30,2,"false"),0)</f>
        <v>1</v>
      </c>
      <c r="L138" s="194">
        <f>_1_54128456121462410464578910174567[[#This Row],[LIST $]]*_1_54128456121462410464578910174567[[#This Row],[DISCOUNT]]*_1_54128456121462410464578910174567[[#This Row],[DISCOUNT 2]]</f>
        <v>0</v>
      </c>
      <c r="M138" s="194">
        <f>IF(OR(_1_54128456121462410464578910174567[[#This Row],[UNIT]]&gt;0,_1_54128456121462410464578910174567[[#This Row],[UNIT]]&lt;0),_1_54128456121462410464578910174567[[#This Row],[UNIT]]*_1_54128456121462410464578910174567[[#This Row],[COST]],0)</f>
        <v>0</v>
      </c>
      <c r="N138" s="194">
        <f t="shared" ref="N138:N201" si="2">$N$7</f>
        <v>1.3</v>
      </c>
      <c r="O138" s="198">
        <f>_1_54128456121462410464578910174567[[#This Row],[TOTAL]]*_1_54128456121462410464578910174567[[#This Row],[MARGIN]]</f>
        <v>0</v>
      </c>
      <c r="R138" s="41"/>
    </row>
    <row r="139" spans="1:18">
      <c r="A139" s="168"/>
      <c r="C139" s="168"/>
      <c r="D139" s="188"/>
      <c r="F139" s="168" t="s">
        <v>6202</v>
      </c>
      <c r="G139" s="193">
        <f>IF(_1_54128456121462410464578910174567[[#This Row],[Type]]&gt;0,VLOOKUP(_1_54128456121462410464578910174567[[#This Row],[Type]],Main[[#All],[TYPE]:[UNIT]],'Unit Price'!C$1,FALSE),0)</f>
        <v>0</v>
      </c>
      <c r="H139" s="197">
        <f>IF(_1_54128456121462410464578910174567[[#This Row],[Type]]&gt;0,VLOOKUP(_1_54128456121462410464578910174567[[#This Row],[Type]],Main[[#All],[TYPE]:[UNIT]],'Unit Price'!D$1,FALSE),0)</f>
        <v>0</v>
      </c>
      <c r="I139" s="194">
        <f>IF(_1_54128456121462410464578910174567[[#This Row],[Type]]&gt;0,VLOOKUP(_1_54128456121462410464578910174567[[#This Row],[Type]],Main[[#All],[TYPE]:[UNIT]],'Unit Price'!G$1,FALSE),0)</f>
        <v>0</v>
      </c>
      <c r="J139" s="194">
        <f>IF(_1_54128456121462410464578910174567[[#This Row],[Type]]&gt;0,VLOOKUP(_1_54128456121462410464578910174567[[#This Row],[Type]],Main[[#All],[TYPE]:[UNIT]],'Unit Price'!H$1,FALSE),0)</f>
        <v>0</v>
      </c>
      <c r="K139" s="194">
        <f>IF(_1_54128456121462410464578910174567[[#This Row],[Discount selection]]&gt;0,VLOOKUP(_1_54128456121462410464578910174567[[#This Row],[Discount selection]],'Discount Structure'!$A$2:$B$30,2,"false"),0)</f>
        <v>1</v>
      </c>
      <c r="L139" s="194">
        <f>_1_54128456121462410464578910174567[[#This Row],[LIST $]]*_1_54128456121462410464578910174567[[#This Row],[DISCOUNT]]*_1_54128456121462410464578910174567[[#This Row],[DISCOUNT 2]]</f>
        <v>0</v>
      </c>
      <c r="M139" s="194">
        <f>IF(OR(_1_54128456121462410464578910174567[[#This Row],[UNIT]]&gt;0,_1_54128456121462410464578910174567[[#This Row],[UNIT]]&lt;0),_1_54128456121462410464578910174567[[#This Row],[UNIT]]*_1_54128456121462410464578910174567[[#This Row],[COST]],0)</f>
        <v>0</v>
      </c>
      <c r="N139" s="194">
        <f t="shared" si="2"/>
        <v>1.3</v>
      </c>
      <c r="O139" s="198">
        <f>_1_54128456121462410464578910174567[[#This Row],[TOTAL]]*_1_54128456121462410464578910174567[[#This Row],[MARGIN]]</f>
        <v>0</v>
      </c>
      <c r="R139" s="41"/>
    </row>
    <row r="140" spans="1:18">
      <c r="A140" s="168"/>
      <c r="B140" s="168"/>
      <c r="C140" s="168"/>
      <c r="D140" s="188"/>
      <c r="F140" s="168" t="s">
        <v>6202</v>
      </c>
      <c r="G140" s="193">
        <f>IF(_1_54128456121462410464578910174567[[#This Row],[Type]]&gt;0,VLOOKUP(_1_54128456121462410464578910174567[[#This Row],[Type]],Main[[#All],[TYPE]:[UNIT]],'Unit Price'!C$1,FALSE),0)</f>
        <v>0</v>
      </c>
      <c r="H140" s="197">
        <f>IF(_1_54128456121462410464578910174567[[#This Row],[Type]]&gt;0,VLOOKUP(_1_54128456121462410464578910174567[[#This Row],[Type]],Main[[#All],[TYPE]:[UNIT]],'Unit Price'!D$1,FALSE),0)</f>
        <v>0</v>
      </c>
      <c r="I140" s="194">
        <f>IF(_1_54128456121462410464578910174567[[#This Row],[Type]]&gt;0,VLOOKUP(_1_54128456121462410464578910174567[[#This Row],[Type]],Main[[#All],[TYPE]:[UNIT]],'Unit Price'!G$1,FALSE),0)</f>
        <v>0</v>
      </c>
      <c r="J140" s="194">
        <f>IF(_1_54128456121462410464578910174567[[#This Row],[Type]]&gt;0,VLOOKUP(_1_54128456121462410464578910174567[[#This Row],[Type]],Main[[#All],[TYPE]:[UNIT]],'Unit Price'!H$1,FALSE),0)</f>
        <v>0</v>
      </c>
      <c r="K140" s="194">
        <f>IF(_1_54128456121462410464578910174567[[#This Row],[Discount selection]]&gt;0,VLOOKUP(_1_54128456121462410464578910174567[[#This Row],[Discount selection]],'Discount Structure'!$A$2:$B$30,2,"false"),0)</f>
        <v>1</v>
      </c>
      <c r="L140" s="194">
        <f>_1_54128456121462410464578910174567[[#This Row],[LIST $]]*_1_54128456121462410464578910174567[[#This Row],[DISCOUNT]]*_1_54128456121462410464578910174567[[#This Row],[DISCOUNT 2]]</f>
        <v>0</v>
      </c>
      <c r="M140" s="194">
        <f>IF(OR(_1_54128456121462410464578910174567[[#This Row],[UNIT]]&gt;0,_1_54128456121462410464578910174567[[#This Row],[UNIT]]&lt;0),_1_54128456121462410464578910174567[[#This Row],[UNIT]]*_1_54128456121462410464578910174567[[#This Row],[COST]],0)</f>
        <v>0</v>
      </c>
      <c r="N140" s="194">
        <f t="shared" si="2"/>
        <v>1.3</v>
      </c>
      <c r="O140" s="198">
        <f>_1_54128456121462410464578910174567[[#This Row],[TOTAL]]*_1_54128456121462410464578910174567[[#This Row],[MARGIN]]</f>
        <v>0</v>
      </c>
      <c r="R140" s="41"/>
    </row>
    <row r="141" spans="1:18">
      <c r="C141" s="168"/>
      <c r="D141" s="188"/>
      <c r="F141" s="168" t="s">
        <v>6202</v>
      </c>
      <c r="G141" s="193">
        <f>IF(_1_54128456121462410464578910174567[[#This Row],[Type]]&gt;0,VLOOKUP(_1_54128456121462410464578910174567[[#This Row],[Type]],Main[[#All],[TYPE]:[UNIT]],'Unit Price'!C$1,FALSE),0)</f>
        <v>0</v>
      </c>
      <c r="H141" s="197">
        <f>IF(_1_54128456121462410464578910174567[[#This Row],[Type]]&gt;0,VLOOKUP(_1_54128456121462410464578910174567[[#This Row],[Type]],Main[[#All],[TYPE]:[UNIT]],'Unit Price'!D$1,FALSE),0)</f>
        <v>0</v>
      </c>
      <c r="I141" s="194">
        <f>IF(_1_54128456121462410464578910174567[[#This Row],[Type]]&gt;0,VLOOKUP(_1_54128456121462410464578910174567[[#This Row],[Type]],Main[[#All],[TYPE]:[UNIT]],'Unit Price'!G$1,FALSE),0)</f>
        <v>0</v>
      </c>
      <c r="J141" s="194">
        <f>IF(_1_54128456121462410464578910174567[[#This Row],[Type]]&gt;0,VLOOKUP(_1_54128456121462410464578910174567[[#This Row],[Type]],Main[[#All],[TYPE]:[UNIT]],'Unit Price'!H$1,FALSE),0)</f>
        <v>0</v>
      </c>
      <c r="K141" s="194">
        <f>IF(_1_54128456121462410464578910174567[[#This Row],[Discount selection]]&gt;0,VLOOKUP(_1_54128456121462410464578910174567[[#This Row],[Discount selection]],'Discount Structure'!$A$2:$B$30,2,"false"),0)</f>
        <v>1</v>
      </c>
      <c r="L141" s="194">
        <f>_1_54128456121462410464578910174567[[#This Row],[LIST $]]*_1_54128456121462410464578910174567[[#This Row],[DISCOUNT]]*_1_54128456121462410464578910174567[[#This Row],[DISCOUNT 2]]</f>
        <v>0</v>
      </c>
      <c r="M141" s="194">
        <f>IF(OR(_1_54128456121462410464578910174567[[#This Row],[UNIT]]&gt;0,_1_54128456121462410464578910174567[[#This Row],[UNIT]]&lt;0),_1_54128456121462410464578910174567[[#This Row],[UNIT]]*_1_54128456121462410464578910174567[[#This Row],[COST]],0)</f>
        <v>0</v>
      </c>
      <c r="N141" s="194">
        <f t="shared" si="2"/>
        <v>1.3</v>
      </c>
      <c r="O141" s="198">
        <f>_1_54128456121462410464578910174567[[#This Row],[TOTAL]]*_1_54128456121462410464578910174567[[#This Row],[MARGIN]]</f>
        <v>0</v>
      </c>
      <c r="R141" s="41"/>
    </row>
    <row r="142" spans="1:18">
      <c r="C142" s="168"/>
      <c r="D142" s="188"/>
      <c r="F142" s="168" t="s">
        <v>6202</v>
      </c>
      <c r="G142" s="193">
        <f>IF(_1_54128456121462410464578910174567[[#This Row],[Type]]&gt;0,VLOOKUP(_1_54128456121462410464578910174567[[#This Row],[Type]],Main[[#All],[TYPE]:[UNIT]],'Unit Price'!C$1,FALSE),0)</f>
        <v>0</v>
      </c>
      <c r="H142" s="197">
        <f>IF(_1_54128456121462410464578910174567[[#This Row],[Type]]&gt;0,VLOOKUP(_1_54128456121462410464578910174567[[#This Row],[Type]],Main[[#All],[TYPE]:[UNIT]],'Unit Price'!D$1,FALSE),0)</f>
        <v>0</v>
      </c>
      <c r="I142" s="194">
        <f>IF(_1_54128456121462410464578910174567[[#This Row],[Type]]&gt;0,VLOOKUP(_1_54128456121462410464578910174567[[#This Row],[Type]],Main[[#All],[TYPE]:[UNIT]],'Unit Price'!G$1,FALSE),0)</f>
        <v>0</v>
      </c>
      <c r="J142" s="194">
        <f>IF(_1_54128456121462410464578910174567[[#This Row],[Type]]&gt;0,VLOOKUP(_1_54128456121462410464578910174567[[#This Row],[Type]],Main[[#All],[TYPE]:[UNIT]],'Unit Price'!H$1,FALSE),0)</f>
        <v>0</v>
      </c>
      <c r="K142" s="194">
        <f>IF(_1_54128456121462410464578910174567[[#This Row],[Discount selection]]&gt;0,VLOOKUP(_1_54128456121462410464578910174567[[#This Row],[Discount selection]],'Discount Structure'!$A$2:$B$30,2,"false"),0)</f>
        <v>1</v>
      </c>
      <c r="L142" s="194">
        <f>_1_54128456121462410464578910174567[[#This Row],[LIST $]]*_1_54128456121462410464578910174567[[#This Row],[DISCOUNT]]*_1_54128456121462410464578910174567[[#This Row],[DISCOUNT 2]]</f>
        <v>0</v>
      </c>
      <c r="M142" s="194">
        <f>IF(OR(_1_54128456121462410464578910174567[[#This Row],[UNIT]]&gt;0,_1_54128456121462410464578910174567[[#This Row],[UNIT]]&lt;0),_1_54128456121462410464578910174567[[#This Row],[UNIT]]*_1_54128456121462410464578910174567[[#This Row],[COST]],0)</f>
        <v>0</v>
      </c>
      <c r="N142" s="194">
        <f t="shared" si="2"/>
        <v>1.3</v>
      </c>
      <c r="O142" s="198">
        <f>_1_54128456121462410464578910174567[[#This Row],[TOTAL]]*_1_54128456121462410464578910174567[[#This Row],[MARGIN]]</f>
        <v>0</v>
      </c>
      <c r="R142" s="41"/>
    </row>
    <row r="143" spans="1:18">
      <c r="C143" s="168"/>
      <c r="D143" s="188"/>
      <c r="F143" s="168" t="s">
        <v>6202</v>
      </c>
      <c r="G143" s="193">
        <f>IF(_1_54128456121462410464578910174567[[#This Row],[Type]]&gt;0,VLOOKUP(_1_54128456121462410464578910174567[[#This Row],[Type]],Main[[#All],[TYPE]:[UNIT]],'Unit Price'!C$1,FALSE),0)</f>
        <v>0</v>
      </c>
      <c r="H143" s="197">
        <f>IF(_1_54128456121462410464578910174567[[#This Row],[Type]]&gt;0,VLOOKUP(_1_54128456121462410464578910174567[[#This Row],[Type]],Main[[#All],[TYPE]:[UNIT]],'Unit Price'!D$1,FALSE),0)</f>
        <v>0</v>
      </c>
      <c r="I143" s="194">
        <f>IF(_1_54128456121462410464578910174567[[#This Row],[Type]]&gt;0,VLOOKUP(_1_54128456121462410464578910174567[[#This Row],[Type]],Main[[#All],[TYPE]:[UNIT]],'Unit Price'!G$1,FALSE),0)</f>
        <v>0</v>
      </c>
      <c r="J143" s="194">
        <f>IF(_1_54128456121462410464578910174567[[#This Row],[Type]]&gt;0,VLOOKUP(_1_54128456121462410464578910174567[[#This Row],[Type]],Main[[#All],[TYPE]:[UNIT]],'Unit Price'!H$1,FALSE),0)</f>
        <v>0</v>
      </c>
      <c r="K143" s="194">
        <f>IF(_1_54128456121462410464578910174567[[#This Row],[Discount selection]]&gt;0,VLOOKUP(_1_54128456121462410464578910174567[[#This Row],[Discount selection]],'Discount Structure'!$A$2:$B$30,2,"false"),0)</f>
        <v>1</v>
      </c>
      <c r="L143" s="194">
        <f>_1_54128456121462410464578910174567[[#This Row],[LIST $]]*_1_54128456121462410464578910174567[[#This Row],[DISCOUNT]]*_1_54128456121462410464578910174567[[#This Row],[DISCOUNT 2]]</f>
        <v>0</v>
      </c>
      <c r="M143" s="194">
        <f>IF(OR(_1_54128456121462410464578910174567[[#This Row],[UNIT]]&gt;0,_1_54128456121462410464578910174567[[#This Row],[UNIT]]&lt;0),_1_54128456121462410464578910174567[[#This Row],[UNIT]]*_1_54128456121462410464578910174567[[#This Row],[COST]],0)</f>
        <v>0</v>
      </c>
      <c r="N143" s="194">
        <f t="shared" si="2"/>
        <v>1.3</v>
      </c>
      <c r="O143" s="198">
        <f>_1_54128456121462410464578910174567[[#This Row],[TOTAL]]*_1_54128456121462410464578910174567[[#This Row],[MARGIN]]</f>
        <v>0</v>
      </c>
      <c r="R143" s="41"/>
    </row>
    <row r="144" spans="1:18">
      <c r="C144" s="168"/>
      <c r="D144" s="188"/>
      <c r="F144" s="168" t="s">
        <v>6202</v>
      </c>
      <c r="G144" s="193">
        <f>IF(_1_54128456121462410464578910174567[[#This Row],[Type]]&gt;0,VLOOKUP(_1_54128456121462410464578910174567[[#This Row],[Type]],Main[[#All],[TYPE]:[UNIT]],'Unit Price'!C$1,FALSE),0)</f>
        <v>0</v>
      </c>
      <c r="H144" s="197">
        <f>IF(_1_54128456121462410464578910174567[[#This Row],[Type]]&gt;0,VLOOKUP(_1_54128456121462410464578910174567[[#This Row],[Type]],Main[[#All],[TYPE]:[UNIT]],'Unit Price'!D$1,FALSE),0)</f>
        <v>0</v>
      </c>
      <c r="I144" s="194">
        <f>IF(_1_54128456121462410464578910174567[[#This Row],[Type]]&gt;0,VLOOKUP(_1_54128456121462410464578910174567[[#This Row],[Type]],Main[[#All],[TYPE]:[UNIT]],'Unit Price'!G$1,FALSE),0)</f>
        <v>0</v>
      </c>
      <c r="J144" s="194">
        <f>IF(_1_54128456121462410464578910174567[[#This Row],[Type]]&gt;0,VLOOKUP(_1_54128456121462410464578910174567[[#This Row],[Type]],Main[[#All],[TYPE]:[UNIT]],'Unit Price'!H$1,FALSE),0)</f>
        <v>0</v>
      </c>
      <c r="K144" s="194">
        <f>IF(_1_54128456121462410464578910174567[[#This Row],[Discount selection]]&gt;0,VLOOKUP(_1_54128456121462410464578910174567[[#This Row],[Discount selection]],'Discount Structure'!$A$2:$B$30,2,"false"),0)</f>
        <v>1</v>
      </c>
      <c r="L144" s="194">
        <f>_1_54128456121462410464578910174567[[#This Row],[LIST $]]*_1_54128456121462410464578910174567[[#This Row],[DISCOUNT]]*_1_54128456121462410464578910174567[[#This Row],[DISCOUNT 2]]</f>
        <v>0</v>
      </c>
      <c r="M144" s="194">
        <f>IF(OR(_1_54128456121462410464578910174567[[#This Row],[UNIT]]&gt;0,_1_54128456121462410464578910174567[[#This Row],[UNIT]]&lt;0),_1_54128456121462410464578910174567[[#This Row],[UNIT]]*_1_54128456121462410464578910174567[[#This Row],[COST]],0)</f>
        <v>0</v>
      </c>
      <c r="N144" s="194">
        <f t="shared" si="2"/>
        <v>1.3</v>
      </c>
      <c r="O144" s="198">
        <f>_1_54128456121462410464578910174567[[#This Row],[TOTAL]]*_1_54128456121462410464578910174567[[#This Row],[MARGIN]]</f>
        <v>0</v>
      </c>
      <c r="R144" s="41"/>
    </row>
    <row r="145" spans="1:18">
      <c r="C145" s="168"/>
      <c r="D145" s="188"/>
      <c r="F145" s="168" t="s">
        <v>6202</v>
      </c>
      <c r="G145" s="193">
        <f>IF(_1_54128456121462410464578910174567[[#This Row],[Type]]&gt;0,VLOOKUP(_1_54128456121462410464578910174567[[#This Row],[Type]],Main[[#All],[TYPE]:[UNIT]],'Unit Price'!C$1,FALSE),0)</f>
        <v>0</v>
      </c>
      <c r="H145" s="197">
        <f>IF(_1_54128456121462410464578910174567[[#This Row],[Type]]&gt;0,VLOOKUP(_1_54128456121462410464578910174567[[#This Row],[Type]],Main[[#All],[TYPE]:[UNIT]],'Unit Price'!D$1,FALSE),0)</f>
        <v>0</v>
      </c>
      <c r="I145" s="194">
        <f>IF(_1_54128456121462410464578910174567[[#This Row],[Type]]&gt;0,VLOOKUP(_1_54128456121462410464578910174567[[#This Row],[Type]],Main[[#All],[TYPE]:[UNIT]],'Unit Price'!G$1,FALSE),0)</f>
        <v>0</v>
      </c>
      <c r="J145" s="194">
        <f>IF(_1_54128456121462410464578910174567[[#This Row],[Type]]&gt;0,VLOOKUP(_1_54128456121462410464578910174567[[#This Row],[Type]],Main[[#All],[TYPE]:[UNIT]],'Unit Price'!H$1,FALSE),0)</f>
        <v>0</v>
      </c>
      <c r="K145" s="194">
        <f>IF(_1_54128456121462410464578910174567[[#This Row],[Discount selection]]&gt;0,VLOOKUP(_1_54128456121462410464578910174567[[#This Row],[Discount selection]],'Discount Structure'!$A$2:$B$30,2,"false"),0)</f>
        <v>1</v>
      </c>
      <c r="L145" s="194">
        <f>_1_54128456121462410464578910174567[[#This Row],[LIST $]]*_1_54128456121462410464578910174567[[#This Row],[DISCOUNT]]*_1_54128456121462410464578910174567[[#This Row],[DISCOUNT 2]]</f>
        <v>0</v>
      </c>
      <c r="M145" s="194">
        <f>IF(OR(_1_54128456121462410464578910174567[[#This Row],[UNIT]]&gt;0,_1_54128456121462410464578910174567[[#This Row],[UNIT]]&lt;0),_1_54128456121462410464578910174567[[#This Row],[UNIT]]*_1_54128456121462410464578910174567[[#This Row],[COST]],0)</f>
        <v>0</v>
      </c>
      <c r="N145" s="194">
        <f t="shared" si="2"/>
        <v>1.3</v>
      </c>
      <c r="O145" s="198">
        <f>_1_54128456121462410464578910174567[[#This Row],[TOTAL]]*_1_54128456121462410464578910174567[[#This Row],[MARGIN]]</f>
        <v>0</v>
      </c>
      <c r="R145" s="41"/>
    </row>
    <row r="146" spans="1:18">
      <c r="C146" s="168"/>
      <c r="D146" s="188"/>
      <c r="F146" s="168" t="s">
        <v>6202</v>
      </c>
      <c r="G146" s="193">
        <f>IF(_1_54128456121462410464578910174567[[#This Row],[Type]]&gt;0,VLOOKUP(_1_54128456121462410464578910174567[[#This Row],[Type]],Main[[#All],[TYPE]:[UNIT]],'Unit Price'!C$1,FALSE),0)</f>
        <v>0</v>
      </c>
      <c r="H146" s="197">
        <f>IF(_1_54128456121462410464578910174567[[#This Row],[Type]]&gt;0,VLOOKUP(_1_54128456121462410464578910174567[[#This Row],[Type]],Main[[#All],[TYPE]:[UNIT]],'Unit Price'!D$1,FALSE),0)</f>
        <v>0</v>
      </c>
      <c r="I146" s="194">
        <f>IF(_1_54128456121462410464578910174567[[#This Row],[Type]]&gt;0,VLOOKUP(_1_54128456121462410464578910174567[[#This Row],[Type]],Main[[#All],[TYPE]:[UNIT]],'Unit Price'!G$1,FALSE),0)</f>
        <v>0</v>
      </c>
      <c r="J146" s="194">
        <f>IF(_1_54128456121462410464578910174567[[#This Row],[Type]]&gt;0,VLOOKUP(_1_54128456121462410464578910174567[[#This Row],[Type]],Main[[#All],[TYPE]:[UNIT]],'Unit Price'!H$1,FALSE),0)</f>
        <v>0</v>
      </c>
      <c r="K146" s="194">
        <f>IF(_1_54128456121462410464578910174567[[#This Row],[Discount selection]]&gt;0,VLOOKUP(_1_54128456121462410464578910174567[[#This Row],[Discount selection]],'Discount Structure'!$A$2:$B$30,2,"false"),0)</f>
        <v>1</v>
      </c>
      <c r="L146" s="194">
        <f>_1_54128456121462410464578910174567[[#This Row],[LIST $]]*_1_54128456121462410464578910174567[[#This Row],[DISCOUNT]]*_1_54128456121462410464578910174567[[#This Row],[DISCOUNT 2]]</f>
        <v>0</v>
      </c>
      <c r="M146" s="194">
        <f>IF(OR(_1_54128456121462410464578910174567[[#This Row],[UNIT]]&gt;0,_1_54128456121462410464578910174567[[#This Row],[UNIT]]&lt;0),_1_54128456121462410464578910174567[[#This Row],[UNIT]]*_1_54128456121462410464578910174567[[#This Row],[COST]],0)</f>
        <v>0</v>
      </c>
      <c r="N146" s="194">
        <f t="shared" si="2"/>
        <v>1.3</v>
      </c>
      <c r="O146" s="198">
        <f>_1_54128456121462410464578910174567[[#This Row],[TOTAL]]*_1_54128456121462410464578910174567[[#This Row],[MARGIN]]</f>
        <v>0</v>
      </c>
      <c r="R146" s="41"/>
    </row>
    <row r="147" spans="1:18">
      <c r="C147" s="168"/>
      <c r="D147" s="188"/>
      <c r="F147" s="168" t="s">
        <v>6202</v>
      </c>
      <c r="G147" s="193">
        <f>IF(_1_54128456121462410464578910174567[[#This Row],[Type]]&gt;0,VLOOKUP(_1_54128456121462410464578910174567[[#This Row],[Type]],Main[[#All],[TYPE]:[UNIT]],'Unit Price'!C$1,FALSE),0)</f>
        <v>0</v>
      </c>
      <c r="H147" s="197">
        <f>IF(_1_54128456121462410464578910174567[[#This Row],[Type]]&gt;0,VLOOKUP(_1_54128456121462410464578910174567[[#This Row],[Type]],Main[[#All],[TYPE]:[UNIT]],'Unit Price'!D$1,FALSE),0)</f>
        <v>0</v>
      </c>
      <c r="I147" s="194">
        <f>IF(_1_54128456121462410464578910174567[[#This Row],[Type]]&gt;0,VLOOKUP(_1_54128456121462410464578910174567[[#This Row],[Type]],Main[[#All],[TYPE]:[UNIT]],'Unit Price'!G$1,FALSE),0)</f>
        <v>0</v>
      </c>
      <c r="J147" s="194">
        <f>IF(_1_54128456121462410464578910174567[[#This Row],[Type]]&gt;0,VLOOKUP(_1_54128456121462410464578910174567[[#This Row],[Type]],Main[[#All],[TYPE]:[UNIT]],'Unit Price'!H$1,FALSE),0)</f>
        <v>0</v>
      </c>
      <c r="K147" s="194">
        <f>IF(_1_54128456121462410464578910174567[[#This Row],[Discount selection]]&gt;0,VLOOKUP(_1_54128456121462410464578910174567[[#This Row],[Discount selection]],'Discount Structure'!$A$2:$B$30,2,"false"),0)</f>
        <v>1</v>
      </c>
      <c r="L147" s="194">
        <f>_1_54128456121462410464578910174567[[#This Row],[LIST $]]*_1_54128456121462410464578910174567[[#This Row],[DISCOUNT]]*_1_54128456121462410464578910174567[[#This Row],[DISCOUNT 2]]</f>
        <v>0</v>
      </c>
      <c r="M147" s="194">
        <f>IF(OR(_1_54128456121462410464578910174567[[#This Row],[UNIT]]&gt;0,_1_54128456121462410464578910174567[[#This Row],[UNIT]]&lt;0),_1_54128456121462410464578910174567[[#This Row],[UNIT]]*_1_54128456121462410464578910174567[[#This Row],[COST]],0)</f>
        <v>0</v>
      </c>
      <c r="N147" s="194">
        <f t="shared" si="2"/>
        <v>1.3</v>
      </c>
      <c r="O147" s="198">
        <f>_1_54128456121462410464578910174567[[#This Row],[TOTAL]]*_1_54128456121462410464578910174567[[#This Row],[MARGIN]]</f>
        <v>0</v>
      </c>
      <c r="R147" s="41"/>
    </row>
    <row r="148" spans="1:18">
      <c r="C148" s="168"/>
      <c r="D148" s="188"/>
      <c r="F148" s="168" t="s">
        <v>6202</v>
      </c>
      <c r="G148" s="193">
        <f>IF(_1_54128456121462410464578910174567[[#This Row],[Type]]&gt;0,VLOOKUP(_1_54128456121462410464578910174567[[#This Row],[Type]],Main[[#All],[TYPE]:[UNIT]],'Unit Price'!C$1,FALSE),0)</f>
        <v>0</v>
      </c>
      <c r="H148" s="197">
        <f>IF(_1_54128456121462410464578910174567[[#This Row],[Type]]&gt;0,VLOOKUP(_1_54128456121462410464578910174567[[#This Row],[Type]],Main[[#All],[TYPE]:[UNIT]],'Unit Price'!D$1,FALSE),0)</f>
        <v>0</v>
      </c>
      <c r="I148" s="194">
        <f>IF(_1_54128456121462410464578910174567[[#This Row],[Type]]&gt;0,VLOOKUP(_1_54128456121462410464578910174567[[#This Row],[Type]],Main[[#All],[TYPE]:[UNIT]],'Unit Price'!G$1,FALSE),0)</f>
        <v>0</v>
      </c>
      <c r="J148" s="194">
        <f>IF(_1_54128456121462410464578910174567[[#This Row],[Type]]&gt;0,VLOOKUP(_1_54128456121462410464578910174567[[#This Row],[Type]],Main[[#All],[TYPE]:[UNIT]],'Unit Price'!H$1,FALSE),0)</f>
        <v>0</v>
      </c>
      <c r="K148" s="194">
        <f>IF(_1_54128456121462410464578910174567[[#This Row],[Discount selection]]&gt;0,VLOOKUP(_1_54128456121462410464578910174567[[#This Row],[Discount selection]],'Discount Structure'!$A$2:$B$30,2,"false"),0)</f>
        <v>1</v>
      </c>
      <c r="L148" s="194">
        <f>_1_54128456121462410464578910174567[[#This Row],[LIST $]]*_1_54128456121462410464578910174567[[#This Row],[DISCOUNT]]*_1_54128456121462410464578910174567[[#This Row],[DISCOUNT 2]]</f>
        <v>0</v>
      </c>
      <c r="M148" s="194">
        <f>IF(OR(_1_54128456121462410464578910174567[[#This Row],[UNIT]]&gt;0,_1_54128456121462410464578910174567[[#This Row],[UNIT]]&lt;0),_1_54128456121462410464578910174567[[#This Row],[UNIT]]*_1_54128456121462410464578910174567[[#This Row],[COST]],0)</f>
        <v>0</v>
      </c>
      <c r="N148" s="194">
        <f t="shared" si="2"/>
        <v>1.3</v>
      </c>
      <c r="O148" s="198">
        <f>_1_54128456121462410464578910174567[[#This Row],[TOTAL]]*_1_54128456121462410464578910174567[[#This Row],[MARGIN]]</f>
        <v>0</v>
      </c>
      <c r="R148" s="41"/>
    </row>
    <row r="149" spans="1:18">
      <c r="C149" s="168"/>
      <c r="D149" s="188"/>
      <c r="F149" s="168" t="s">
        <v>6202</v>
      </c>
      <c r="G149" s="193">
        <f>IF(_1_54128456121462410464578910174567[[#This Row],[Type]]&gt;0,VLOOKUP(_1_54128456121462410464578910174567[[#This Row],[Type]],Main[[#All],[TYPE]:[UNIT]],'Unit Price'!C$1,FALSE),0)</f>
        <v>0</v>
      </c>
      <c r="H149" s="197">
        <f>IF(_1_54128456121462410464578910174567[[#This Row],[Type]]&gt;0,VLOOKUP(_1_54128456121462410464578910174567[[#This Row],[Type]],Main[[#All],[TYPE]:[UNIT]],'Unit Price'!D$1,FALSE),0)</f>
        <v>0</v>
      </c>
      <c r="I149" s="194">
        <f>IF(_1_54128456121462410464578910174567[[#This Row],[Type]]&gt;0,VLOOKUP(_1_54128456121462410464578910174567[[#This Row],[Type]],Main[[#All],[TYPE]:[UNIT]],'Unit Price'!G$1,FALSE),0)</f>
        <v>0</v>
      </c>
      <c r="J149" s="194">
        <f>IF(_1_54128456121462410464578910174567[[#This Row],[Type]]&gt;0,VLOOKUP(_1_54128456121462410464578910174567[[#This Row],[Type]],Main[[#All],[TYPE]:[UNIT]],'Unit Price'!H$1,FALSE),0)</f>
        <v>0</v>
      </c>
      <c r="K149" s="194">
        <f>IF(_1_54128456121462410464578910174567[[#This Row],[Discount selection]]&gt;0,VLOOKUP(_1_54128456121462410464578910174567[[#This Row],[Discount selection]],'Discount Structure'!$A$2:$B$30,2,"false"),0)</f>
        <v>1</v>
      </c>
      <c r="L149" s="194">
        <f>_1_54128456121462410464578910174567[[#This Row],[LIST $]]*_1_54128456121462410464578910174567[[#This Row],[DISCOUNT]]*_1_54128456121462410464578910174567[[#This Row],[DISCOUNT 2]]</f>
        <v>0</v>
      </c>
      <c r="M149" s="194">
        <f>IF(OR(_1_54128456121462410464578910174567[[#This Row],[UNIT]]&gt;0,_1_54128456121462410464578910174567[[#This Row],[UNIT]]&lt;0),_1_54128456121462410464578910174567[[#This Row],[UNIT]]*_1_54128456121462410464578910174567[[#This Row],[COST]],0)</f>
        <v>0</v>
      </c>
      <c r="N149" s="194">
        <f t="shared" si="2"/>
        <v>1.3</v>
      </c>
      <c r="O149" s="198">
        <f>_1_54128456121462410464578910174567[[#This Row],[TOTAL]]*_1_54128456121462410464578910174567[[#This Row],[MARGIN]]</f>
        <v>0</v>
      </c>
      <c r="R149" s="41"/>
    </row>
    <row r="150" spans="1:18">
      <c r="B150" s="168"/>
      <c r="C150" s="168"/>
      <c r="D150" s="188"/>
      <c r="F150" s="168" t="s">
        <v>6202</v>
      </c>
      <c r="G150" s="193">
        <f>IF(_1_54128456121462410464578910174567[[#This Row],[Type]]&gt;0,VLOOKUP(_1_54128456121462410464578910174567[[#This Row],[Type]],Main[[#All],[TYPE]:[UNIT]],'Unit Price'!C$1,FALSE),0)</f>
        <v>0</v>
      </c>
      <c r="H150" s="197">
        <f>IF(_1_54128456121462410464578910174567[[#This Row],[Type]]&gt;0,VLOOKUP(_1_54128456121462410464578910174567[[#This Row],[Type]],Main[[#All],[TYPE]:[UNIT]],'Unit Price'!D$1,FALSE),0)</f>
        <v>0</v>
      </c>
      <c r="I150" s="194">
        <f>IF(_1_54128456121462410464578910174567[[#This Row],[Type]]&gt;0,VLOOKUP(_1_54128456121462410464578910174567[[#This Row],[Type]],Main[[#All],[TYPE]:[UNIT]],'Unit Price'!G$1,FALSE),0)</f>
        <v>0</v>
      </c>
      <c r="J150" s="194">
        <f>IF(_1_54128456121462410464578910174567[[#This Row],[Type]]&gt;0,VLOOKUP(_1_54128456121462410464578910174567[[#This Row],[Type]],Main[[#All],[TYPE]:[UNIT]],'Unit Price'!H$1,FALSE),0)</f>
        <v>0</v>
      </c>
      <c r="K150" s="194">
        <f>IF(_1_54128456121462410464578910174567[[#This Row],[Discount selection]]&gt;0,VLOOKUP(_1_54128456121462410464578910174567[[#This Row],[Discount selection]],'Discount Structure'!$A$2:$B$30,2,"false"),0)</f>
        <v>1</v>
      </c>
      <c r="L150" s="194">
        <f>_1_54128456121462410464578910174567[[#This Row],[LIST $]]*_1_54128456121462410464578910174567[[#This Row],[DISCOUNT]]*_1_54128456121462410464578910174567[[#This Row],[DISCOUNT 2]]</f>
        <v>0</v>
      </c>
      <c r="M150" s="194">
        <f>IF(OR(_1_54128456121462410464578910174567[[#This Row],[UNIT]]&gt;0,_1_54128456121462410464578910174567[[#This Row],[UNIT]]&lt;0),_1_54128456121462410464578910174567[[#This Row],[UNIT]]*_1_54128456121462410464578910174567[[#This Row],[COST]],0)</f>
        <v>0</v>
      </c>
      <c r="N150" s="194">
        <f t="shared" si="2"/>
        <v>1.3</v>
      </c>
      <c r="O150" s="198">
        <f>_1_54128456121462410464578910174567[[#This Row],[TOTAL]]*_1_54128456121462410464578910174567[[#This Row],[MARGIN]]</f>
        <v>0</v>
      </c>
      <c r="R150" s="41"/>
    </row>
    <row r="151" spans="1:18">
      <c r="C151" s="168"/>
      <c r="D151" s="188"/>
      <c r="F151" s="168" t="s">
        <v>6202</v>
      </c>
      <c r="G151" s="193">
        <f>IF(_1_54128456121462410464578910174567[[#This Row],[Type]]&gt;0,VLOOKUP(_1_54128456121462410464578910174567[[#This Row],[Type]],Main[[#All],[TYPE]:[UNIT]],'Unit Price'!C$1,FALSE),0)</f>
        <v>0</v>
      </c>
      <c r="H151" s="197">
        <f>IF(_1_54128456121462410464578910174567[[#This Row],[Type]]&gt;0,VLOOKUP(_1_54128456121462410464578910174567[[#This Row],[Type]],Main[[#All],[TYPE]:[UNIT]],'Unit Price'!D$1,FALSE),0)</f>
        <v>0</v>
      </c>
      <c r="I151" s="194">
        <f>IF(_1_54128456121462410464578910174567[[#This Row],[Type]]&gt;0,VLOOKUP(_1_54128456121462410464578910174567[[#This Row],[Type]],Main[[#All],[TYPE]:[UNIT]],'Unit Price'!G$1,FALSE),0)</f>
        <v>0</v>
      </c>
      <c r="J151" s="194">
        <f>IF(_1_54128456121462410464578910174567[[#This Row],[Type]]&gt;0,VLOOKUP(_1_54128456121462410464578910174567[[#This Row],[Type]],Main[[#All],[TYPE]:[UNIT]],'Unit Price'!H$1,FALSE),0)</f>
        <v>0</v>
      </c>
      <c r="K151" s="194">
        <f>IF(_1_54128456121462410464578910174567[[#This Row],[Discount selection]]&gt;0,VLOOKUP(_1_54128456121462410464578910174567[[#This Row],[Discount selection]],'Discount Structure'!$A$2:$B$30,2,"false"),0)</f>
        <v>1</v>
      </c>
      <c r="L151" s="194">
        <f>_1_54128456121462410464578910174567[[#This Row],[LIST $]]*_1_54128456121462410464578910174567[[#This Row],[DISCOUNT]]*_1_54128456121462410464578910174567[[#This Row],[DISCOUNT 2]]</f>
        <v>0</v>
      </c>
      <c r="M151" s="194">
        <f>IF(OR(_1_54128456121462410464578910174567[[#This Row],[UNIT]]&gt;0,_1_54128456121462410464578910174567[[#This Row],[UNIT]]&lt;0),_1_54128456121462410464578910174567[[#This Row],[UNIT]]*_1_54128456121462410464578910174567[[#This Row],[COST]],0)</f>
        <v>0</v>
      </c>
      <c r="N151" s="194">
        <f t="shared" si="2"/>
        <v>1.3</v>
      </c>
      <c r="O151" s="198">
        <f>_1_54128456121462410464578910174567[[#This Row],[TOTAL]]*_1_54128456121462410464578910174567[[#This Row],[MARGIN]]</f>
        <v>0</v>
      </c>
      <c r="R151" s="41"/>
    </row>
    <row r="152" spans="1:18">
      <c r="C152" s="168"/>
      <c r="D152" s="188"/>
      <c r="F152" s="168" t="s">
        <v>6202</v>
      </c>
      <c r="G152" s="193">
        <f>IF(_1_54128456121462410464578910174567[[#This Row],[Type]]&gt;0,VLOOKUP(_1_54128456121462410464578910174567[[#This Row],[Type]],Main[[#All],[TYPE]:[UNIT]],'Unit Price'!C$1,FALSE),0)</f>
        <v>0</v>
      </c>
      <c r="H152" s="197">
        <f>IF(_1_54128456121462410464578910174567[[#This Row],[Type]]&gt;0,VLOOKUP(_1_54128456121462410464578910174567[[#This Row],[Type]],Main[[#All],[TYPE]:[UNIT]],'Unit Price'!D$1,FALSE),0)</f>
        <v>0</v>
      </c>
      <c r="I152" s="194">
        <f>IF(_1_54128456121462410464578910174567[[#This Row],[Type]]&gt;0,VLOOKUP(_1_54128456121462410464578910174567[[#This Row],[Type]],Main[[#All],[TYPE]:[UNIT]],'Unit Price'!G$1,FALSE),0)</f>
        <v>0</v>
      </c>
      <c r="J152" s="194">
        <f>IF(_1_54128456121462410464578910174567[[#This Row],[Type]]&gt;0,VLOOKUP(_1_54128456121462410464578910174567[[#This Row],[Type]],Main[[#All],[TYPE]:[UNIT]],'Unit Price'!H$1,FALSE),0)</f>
        <v>0</v>
      </c>
      <c r="K152" s="194">
        <f>IF(_1_54128456121462410464578910174567[[#This Row],[Discount selection]]&gt;0,VLOOKUP(_1_54128456121462410464578910174567[[#This Row],[Discount selection]],'Discount Structure'!$A$2:$B$30,2,"false"),0)</f>
        <v>1</v>
      </c>
      <c r="L152" s="194">
        <f>_1_54128456121462410464578910174567[[#This Row],[LIST $]]*_1_54128456121462410464578910174567[[#This Row],[DISCOUNT]]*_1_54128456121462410464578910174567[[#This Row],[DISCOUNT 2]]</f>
        <v>0</v>
      </c>
      <c r="M152" s="194">
        <f>IF(OR(_1_54128456121462410464578910174567[[#This Row],[UNIT]]&gt;0,_1_54128456121462410464578910174567[[#This Row],[UNIT]]&lt;0),_1_54128456121462410464578910174567[[#This Row],[UNIT]]*_1_54128456121462410464578910174567[[#This Row],[COST]],0)</f>
        <v>0</v>
      </c>
      <c r="N152" s="194">
        <f t="shared" si="2"/>
        <v>1.3</v>
      </c>
      <c r="O152" s="198">
        <f>_1_54128456121462410464578910174567[[#This Row],[TOTAL]]*_1_54128456121462410464578910174567[[#This Row],[MARGIN]]</f>
        <v>0</v>
      </c>
      <c r="R152" s="41"/>
    </row>
    <row r="153" spans="1:18">
      <c r="A153" s="168"/>
      <c r="C153" s="168"/>
      <c r="D153" s="188"/>
      <c r="F153" s="168" t="s">
        <v>6202</v>
      </c>
      <c r="G153" s="193">
        <f>IF(_1_54128456121462410464578910174567[[#This Row],[Type]]&gt;0,VLOOKUP(_1_54128456121462410464578910174567[[#This Row],[Type]],Main[[#All],[TYPE]:[UNIT]],'Unit Price'!C$1,FALSE),0)</f>
        <v>0</v>
      </c>
      <c r="H153" s="197">
        <f>IF(_1_54128456121462410464578910174567[[#This Row],[Type]]&gt;0,VLOOKUP(_1_54128456121462410464578910174567[[#This Row],[Type]],Main[[#All],[TYPE]:[UNIT]],'Unit Price'!D$1,FALSE),0)</f>
        <v>0</v>
      </c>
      <c r="I153" s="194">
        <f>IF(_1_54128456121462410464578910174567[[#This Row],[Type]]&gt;0,VLOOKUP(_1_54128456121462410464578910174567[[#This Row],[Type]],Main[[#All],[TYPE]:[UNIT]],'Unit Price'!G$1,FALSE),0)</f>
        <v>0</v>
      </c>
      <c r="J153" s="194">
        <f>IF(_1_54128456121462410464578910174567[[#This Row],[Type]]&gt;0,VLOOKUP(_1_54128456121462410464578910174567[[#This Row],[Type]],Main[[#All],[TYPE]:[UNIT]],'Unit Price'!H$1,FALSE),0)</f>
        <v>0</v>
      </c>
      <c r="K153" s="194">
        <f>IF(_1_54128456121462410464578910174567[[#This Row],[Discount selection]]&gt;0,VLOOKUP(_1_54128456121462410464578910174567[[#This Row],[Discount selection]],'Discount Structure'!$A$2:$B$30,2,"false"),0)</f>
        <v>1</v>
      </c>
      <c r="L153" s="194">
        <f>_1_54128456121462410464578910174567[[#This Row],[LIST $]]*_1_54128456121462410464578910174567[[#This Row],[DISCOUNT]]*_1_54128456121462410464578910174567[[#This Row],[DISCOUNT 2]]</f>
        <v>0</v>
      </c>
      <c r="M153" s="194">
        <f>IF(OR(_1_54128456121462410464578910174567[[#This Row],[UNIT]]&gt;0,_1_54128456121462410464578910174567[[#This Row],[UNIT]]&lt;0),_1_54128456121462410464578910174567[[#This Row],[UNIT]]*_1_54128456121462410464578910174567[[#This Row],[COST]],0)</f>
        <v>0</v>
      </c>
      <c r="N153" s="194">
        <f t="shared" si="2"/>
        <v>1.3</v>
      </c>
      <c r="O153" s="198">
        <f>_1_54128456121462410464578910174567[[#This Row],[TOTAL]]*_1_54128456121462410464578910174567[[#This Row],[MARGIN]]</f>
        <v>0</v>
      </c>
      <c r="R153" s="41"/>
    </row>
    <row r="154" spans="1:18">
      <c r="A154" s="168"/>
      <c r="C154" s="168"/>
      <c r="D154" s="188"/>
      <c r="F154" s="168" t="s">
        <v>6202</v>
      </c>
      <c r="G154" s="193">
        <f>IF(_1_54128456121462410464578910174567[[#This Row],[Type]]&gt;0,VLOOKUP(_1_54128456121462410464578910174567[[#This Row],[Type]],Main[[#All],[TYPE]:[UNIT]],'Unit Price'!C$1,FALSE),0)</f>
        <v>0</v>
      </c>
      <c r="H154" s="197">
        <f>IF(_1_54128456121462410464578910174567[[#This Row],[Type]]&gt;0,VLOOKUP(_1_54128456121462410464578910174567[[#This Row],[Type]],Main[[#All],[TYPE]:[UNIT]],'Unit Price'!D$1,FALSE),0)</f>
        <v>0</v>
      </c>
      <c r="I154" s="194">
        <f>IF(_1_54128456121462410464578910174567[[#This Row],[Type]]&gt;0,VLOOKUP(_1_54128456121462410464578910174567[[#This Row],[Type]],Main[[#All],[TYPE]:[UNIT]],'Unit Price'!G$1,FALSE),0)</f>
        <v>0</v>
      </c>
      <c r="J154" s="194">
        <f>IF(_1_54128456121462410464578910174567[[#This Row],[Type]]&gt;0,VLOOKUP(_1_54128456121462410464578910174567[[#This Row],[Type]],Main[[#All],[TYPE]:[UNIT]],'Unit Price'!H$1,FALSE),0)</f>
        <v>0</v>
      </c>
      <c r="K154" s="194">
        <f>IF(_1_54128456121462410464578910174567[[#This Row],[Discount selection]]&gt;0,VLOOKUP(_1_54128456121462410464578910174567[[#This Row],[Discount selection]],'Discount Structure'!$A$2:$B$30,2,"false"),0)</f>
        <v>1</v>
      </c>
      <c r="L154" s="194">
        <f>_1_54128456121462410464578910174567[[#This Row],[LIST $]]*_1_54128456121462410464578910174567[[#This Row],[DISCOUNT]]*_1_54128456121462410464578910174567[[#This Row],[DISCOUNT 2]]</f>
        <v>0</v>
      </c>
      <c r="M154" s="194">
        <f>IF(OR(_1_54128456121462410464578910174567[[#This Row],[UNIT]]&gt;0,_1_54128456121462410464578910174567[[#This Row],[UNIT]]&lt;0),_1_54128456121462410464578910174567[[#This Row],[UNIT]]*_1_54128456121462410464578910174567[[#This Row],[COST]],0)</f>
        <v>0</v>
      </c>
      <c r="N154" s="194">
        <f t="shared" si="2"/>
        <v>1.3</v>
      </c>
      <c r="O154" s="198">
        <f>_1_54128456121462410464578910174567[[#This Row],[TOTAL]]*_1_54128456121462410464578910174567[[#This Row],[MARGIN]]</f>
        <v>0</v>
      </c>
      <c r="R154" s="41"/>
    </row>
    <row r="155" spans="1:18">
      <c r="B155" s="168"/>
      <c r="C155" s="168"/>
      <c r="D155" s="188"/>
      <c r="F155" s="168" t="s">
        <v>6202</v>
      </c>
      <c r="G155" s="193">
        <f>IF(_1_54128456121462410464578910174567[[#This Row],[Type]]&gt;0,VLOOKUP(_1_54128456121462410464578910174567[[#This Row],[Type]],Main[[#All],[TYPE]:[UNIT]],'Unit Price'!C$1,FALSE),0)</f>
        <v>0</v>
      </c>
      <c r="H155" s="197">
        <f>IF(_1_54128456121462410464578910174567[[#This Row],[Type]]&gt;0,VLOOKUP(_1_54128456121462410464578910174567[[#This Row],[Type]],Main[[#All],[TYPE]:[UNIT]],'Unit Price'!D$1,FALSE),0)</f>
        <v>0</v>
      </c>
      <c r="I155" s="194">
        <f>IF(_1_54128456121462410464578910174567[[#This Row],[Type]]&gt;0,VLOOKUP(_1_54128456121462410464578910174567[[#This Row],[Type]],Main[[#All],[TYPE]:[UNIT]],'Unit Price'!G$1,FALSE),0)</f>
        <v>0</v>
      </c>
      <c r="J155" s="194">
        <f>IF(_1_54128456121462410464578910174567[[#This Row],[Type]]&gt;0,VLOOKUP(_1_54128456121462410464578910174567[[#This Row],[Type]],Main[[#All],[TYPE]:[UNIT]],'Unit Price'!H$1,FALSE),0)</f>
        <v>0</v>
      </c>
      <c r="K155" s="194">
        <f>IF(_1_54128456121462410464578910174567[[#This Row],[Discount selection]]&gt;0,VLOOKUP(_1_54128456121462410464578910174567[[#This Row],[Discount selection]],'Discount Structure'!$A$2:$B$30,2,"false"),0)</f>
        <v>1</v>
      </c>
      <c r="L155" s="194">
        <f>_1_54128456121462410464578910174567[[#This Row],[LIST $]]*_1_54128456121462410464578910174567[[#This Row],[DISCOUNT]]*_1_54128456121462410464578910174567[[#This Row],[DISCOUNT 2]]</f>
        <v>0</v>
      </c>
      <c r="M155" s="194">
        <f>IF(OR(_1_54128456121462410464578910174567[[#This Row],[UNIT]]&gt;0,_1_54128456121462410464578910174567[[#This Row],[UNIT]]&lt;0),_1_54128456121462410464578910174567[[#This Row],[UNIT]]*_1_54128456121462410464578910174567[[#This Row],[COST]],0)</f>
        <v>0</v>
      </c>
      <c r="N155" s="194">
        <f t="shared" si="2"/>
        <v>1.3</v>
      </c>
      <c r="O155" s="198">
        <f>_1_54128456121462410464578910174567[[#This Row],[TOTAL]]*_1_54128456121462410464578910174567[[#This Row],[MARGIN]]</f>
        <v>0</v>
      </c>
      <c r="R155" s="41"/>
    </row>
    <row r="156" spans="1:18">
      <c r="C156" s="168"/>
      <c r="D156" s="188"/>
      <c r="F156" s="168" t="s">
        <v>6202</v>
      </c>
      <c r="G156" s="193">
        <f>IF(_1_54128456121462410464578910174567[[#This Row],[Type]]&gt;0,VLOOKUP(_1_54128456121462410464578910174567[[#This Row],[Type]],Main[[#All],[TYPE]:[UNIT]],'Unit Price'!C$1,FALSE),0)</f>
        <v>0</v>
      </c>
      <c r="H156" s="197">
        <f>IF(_1_54128456121462410464578910174567[[#This Row],[Type]]&gt;0,VLOOKUP(_1_54128456121462410464578910174567[[#This Row],[Type]],Main[[#All],[TYPE]:[UNIT]],'Unit Price'!D$1,FALSE),0)</f>
        <v>0</v>
      </c>
      <c r="I156" s="194">
        <f>IF(_1_54128456121462410464578910174567[[#This Row],[Type]]&gt;0,VLOOKUP(_1_54128456121462410464578910174567[[#This Row],[Type]],Main[[#All],[TYPE]:[UNIT]],'Unit Price'!G$1,FALSE),0)</f>
        <v>0</v>
      </c>
      <c r="J156" s="194">
        <f>IF(_1_54128456121462410464578910174567[[#This Row],[Type]]&gt;0,VLOOKUP(_1_54128456121462410464578910174567[[#This Row],[Type]],Main[[#All],[TYPE]:[UNIT]],'Unit Price'!H$1,FALSE),0)</f>
        <v>0</v>
      </c>
      <c r="K156" s="194">
        <f>IF(_1_54128456121462410464578910174567[[#This Row],[Discount selection]]&gt;0,VLOOKUP(_1_54128456121462410464578910174567[[#This Row],[Discount selection]],'Discount Structure'!$A$2:$B$30,2,"false"),0)</f>
        <v>1</v>
      </c>
      <c r="L156" s="194">
        <f>_1_54128456121462410464578910174567[[#This Row],[LIST $]]*_1_54128456121462410464578910174567[[#This Row],[DISCOUNT]]*_1_54128456121462410464578910174567[[#This Row],[DISCOUNT 2]]</f>
        <v>0</v>
      </c>
      <c r="M156" s="194">
        <f>IF(OR(_1_54128456121462410464578910174567[[#This Row],[UNIT]]&gt;0,_1_54128456121462410464578910174567[[#This Row],[UNIT]]&lt;0),_1_54128456121462410464578910174567[[#This Row],[UNIT]]*_1_54128456121462410464578910174567[[#This Row],[COST]],0)</f>
        <v>0</v>
      </c>
      <c r="N156" s="194">
        <f t="shared" si="2"/>
        <v>1.3</v>
      </c>
      <c r="O156" s="198">
        <f>_1_54128456121462410464578910174567[[#This Row],[TOTAL]]*_1_54128456121462410464578910174567[[#This Row],[MARGIN]]</f>
        <v>0</v>
      </c>
      <c r="R156" s="41"/>
    </row>
    <row r="157" spans="1:18">
      <c r="C157" s="168"/>
      <c r="D157" s="188"/>
      <c r="F157" s="168" t="s">
        <v>6202</v>
      </c>
      <c r="G157" s="193">
        <f>IF(_1_54128456121462410464578910174567[[#This Row],[Type]]&gt;0,VLOOKUP(_1_54128456121462410464578910174567[[#This Row],[Type]],Main[[#All],[TYPE]:[UNIT]],'Unit Price'!C$1,FALSE),0)</f>
        <v>0</v>
      </c>
      <c r="H157" s="197">
        <f>IF(_1_54128456121462410464578910174567[[#This Row],[Type]]&gt;0,VLOOKUP(_1_54128456121462410464578910174567[[#This Row],[Type]],Main[[#All],[TYPE]:[UNIT]],'Unit Price'!D$1,FALSE),0)</f>
        <v>0</v>
      </c>
      <c r="I157" s="194">
        <f>IF(_1_54128456121462410464578910174567[[#This Row],[Type]]&gt;0,VLOOKUP(_1_54128456121462410464578910174567[[#This Row],[Type]],Main[[#All],[TYPE]:[UNIT]],'Unit Price'!G$1,FALSE),0)</f>
        <v>0</v>
      </c>
      <c r="J157" s="194">
        <f>IF(_1_54128456121462410464578910174567[[#This Row],[Type]]&gt;0,VLOOKUP(_1_54128456121462410464578910174567[[#This Row],[Type]],Main[[#All],[TYPE]:[UNIT]],'Unit Price'!H$1,FALSE),0)</f>
        <v>0</v>
      </c>
      <c r="K157" s="194">
        <f>IF(_1_54128456121462410464578910174567[[#This Row],[Discount selection]]&gt;0,VLOOKUP(_1_54128456121462410464578910174567[[#This Row],[Discount selection]],'Discount Structure'!$A$2:$B$30,2,"false"),0)</f>
        <v>1</v>
      </c>
      <c r="L157" s="194">
        <f>_1_54128456121462410464578910174567[[#This Row],[LIST $]]*_1_54128456121462410464578910174567[[#This Row],[DISCOUNT]]*_1_54128456121462410464578910174567[[#This Row],[DISCOUNT 2]]</f>
        <v>0</v>
      </c>
      <c r="M157" s="194">
        <f>IF(OR(_1_54128456121462410464578910174567[[#This Row],[UNIT]]&gt;0,_1_54128456121462410464578910174567[[#This Row],[UNIT]]&lt;0),_1_54128456121462410464578910174567[[#This Row],[UNIT]]*_1_54128456121462410464578910174567[[#This Row],[COST]],0)</f>
        <v>0</v>
      </c>
      <c r="N157" s="194">
        <f t="shared" si="2"/>
        <v>1.3</v>
      </c>
      <c r="O157" s="198">
        <f>_1_54128456121462410464578910174567[[#This Row],[TOTAL]]*_1_54128456121462410464578910174567[[#This Row],[MARGIN]]</f>
        <v>0</v>
      </c>
      <c r="R157" s="41"/>
    </row>
    <row r="158" spans="1:18">
      <c r="C158" s="168"/>
      <c r="D158" s="188"/>
      <c r="F158" s="168" t="s">
        <v>6202</v>
      </c>
      <c r="G158" s="193">
        <f>IF(_1_54128456121462410464578910174567[[#This Row],[Type]]&gt;0,VLOOKUP(_1_54128456121462410464578910174567[[#This Row],[Type]],Main[[#All],[TYPE]:[UNIT]],'Unit Price'!C$1,FALSE),0)</f>
        <v>0</v>
      </c>
      <c r="H158" s="197">
        <f>IF(_1_54128456121462410464578910174567[[#This Row],[Type]]&gt;0,VLOOKUP(_1_54128456121462410464578910174567[[#This Row],[Type]],Main[[#All],[TYPE]:[UNIT]],'Unit Price'!D$1,FALSE),0)</f>
        <v>0</v>
      </c>
      <c r="I158" s="194">
        <f>IF(_1_54128456121462410464578910174567[[#This Row],[Type]]&gt;0,VLOOKUP(_1_54128456121462410464578910174567[[#This Row],[Type]],Main[[#All],[TYPE]:[UNIT]],'Unit Price'!G$1,FALSE),0)</f>
        <v>0</v>
      </c>
      <c r="J158" s="194">
        <f>IF(_1_54128456121462410464578910174567[[#This Row],[Type]]&gt;0,VLOOKUP(_1_54128456121462410464578910174567[[#This Row],[Type]],Main[[#All],[TYPE]:[UNIT]],'Unit Price'!H$1,FALSE),0)</f>
        <v>0</v>
      </c>
      <c r="K158" s="194">
        <f>IF(_1_54128456121462410464578910174567[[#This Row],[Discount selection]]&gt;0,VLOOKUP(_1_54128456121462410464578910174567[[#This Row],[Discount selection]],'Discount Structure'!$A$2:$B$30,2,"false"),0)</f>
        <v>1</v>
      </c>
      <c r="L158" s="194">
        <f>_1_54128456121462410464578910174567[[#This Row],[LIST $]]*_1_54128456121462410464578910174567[[#This Row],[DISCOUNT]]*_1_54128456121462410464578910174567[[#This Row],[DISCOUNT 2]]</f>
        <v>0</v>
      </c>
      <c r="M158" s="194">
        <f>IF(OR(_1_54128456121462410464578910174567[[#This Row],[UNIT]]&gt;0,_1_54128456121462410464578910174567[[#This Row],[UNIT]]&lt;0),_1_54128456121462410464578910174567[[#This Row],[UNIT]]*_1_54128456121462410464578910174567[[#This Row],[COST]],0)</f>
        <v>0</v>
      </c>
      <c r="N158" s="194">
        <f t="shared" si="2"/>
        <v>1.3</v>
      </c>
      <c r="O158" s="198">
        <f>_1_54128456121462410464578910174567[[#This Row],[TOTAL]]*_1_54128456121462410464578910174567[[#This Row],[MARGIN]]</f>
        <v>0</v>
      </c>
      <c r="R158" s="41"/>
    </row>
    <row r="159" spans="1:18">
      <c r="C159" s="168"/>
      <c r="D159" s="188"/>
      <c r="F159" s="168" t="s">
        <v>6202</v>
      </c>
      <c r="G159" s="193">
        <f>IF(_1_54128456121462410464578910174567[[#This Row],[Type]]&gt;0,VLOOKUP(_1_54128456121462410464578910174567[[#This Row],[Type]],Main[[#All],[TYPE]:[UNIT]],'Unit Price'!C$1,FALSE),0)</f>
        <v>0</v>
      </c>
      <c r="H159" s="197">
        <f>IF(_1_54128456121462410464578910174567[[#This Row],[Type]]&gt;0,VLOOKUP(_1_54128456121462410464578910174567[[#This Row],[Type]],Main[[#All],[TYPE]:[UNIT]],'Unit Price'!D$1,FALSE),0)</f>
        <v>0</v>
      </c>
      <c r="I159" s="194">
        <f>IF(_1_54128456121462410464578910174567[[#This Row],[Type]]&gt;0,VLOOKUP(_1_54128456121462410464578910174567[[#This Row],[Type]],Main[[#All],[TYPE]:[UNIT]],'Unit Price'!G$1,FALSE),0)</f>
        <v>0</v>
      </c>
      <c r="J159" s="194">
        <f>IF(_1_54128456121462410464578910174567[[#This Row],[Type]]&gt;0,VLOOKUP(_1_54128456121462410464578910174567[[#This Row],[Type]],Main[[#All],[TYPE]:[UNIT]],'Unit Price'!H$1,FALSE),0)</f>
        <v>0</v>
      </c>
      <c r="K159" s="194">
        <f>IF(_1_54128456121462410464578910174567[[#This Row],[Discount selection]]&gt;0,VLOOKUP(_1_54128456121462410464578910174567[[#This Row],[Discount selection]],'Discount Structure'!$A$2:$B$30,2,"false"),0)</f>
        <v>1</v>
      </c>
      <c r="L159" s="194">
        <f>_1_54128456121462410464578910174567[[#This Row],[LIST $]]*_1_54128456121462410464578910174567[[#This Row],[DISCOUNT]]*_1_54128456121462410464578910174567[[#This Row],[DISCOUNT 2]]</f>
        <v>0</v>
      </c>
      <c r="M159" s="194">
        <f>IF(OR(_1_54128456121462410464578910174567[[#This Row],[UNIT]]&gt;0,_1_54128456121462410464578910174567[[#This Row],[UNIT]]&lt;0),_1_54128456121462410464578910174567[[#This Row],[UNIT]]*_1_54128456121462410464578910174567[[#This Row],[COST]],0)</f>
        <v>0</v>
      </c>
      <c r="N159" s="194">
        <f t="shared" si="2"/>
        <v>1.3</v>
      </c>
      <c r="O159" s="198">
        <f>_1_54128456121462410464578910174567[[#This Row],[TOTAL]]*_1_54128456121462410464578910174567[[#This Row],[MARGIN]]</f>
        <v>0</v>
      </c>
      <c r="R159" s="41"/>
    </row>
    <row r="160" spans="1:18">
      <c r="C160" s="168"/>
      <c r="D160" s="188"/>
      <c r="F160" s="168" t="s">
        <v>6202</v>
      </c>
      <c r="G160" s="193">
        <f>IF(_1_54128456121462410464578910174567[[#This Row],[Type]]&gt;0,VLOOKUP(_1_54128456121462410464578910174567[[#This Row],[Type]],Main[[#All],[TYPE]:[UNIT]],'Unit Price'!C$1,FALSE),0)</f>
        <v>0</v>
      </c>
      <c r="H160" s="197">
        <f>IF(_1_54128456121462410464578910174567[[#This Row],[Type]]&gt;0,VLOOKUP(_1_54128456121462410464578910174567[[#This Row],[Type]],Main[[#All],[TYPE]:[UNIT]],'Unit Price'!D$1,FALSE),0)</f>
        <v>0</v>
      </c>
      <c r="I160" s="194">
        <f>IF(_1_54128456121462410464578910174567[[#This Row],[Type]]&gt;0,VLOOKUP(_1_54128456121462410464578910174567[[#This Row],[Type]],Main[[#All],[TYPE]:[UNIT]],'Unit Price'!G$1,FALSE),0)</f>
        <v>0</v>
      </c>
      <c r="J160" s="194">
        <f>IF(_1_54128456121462410464578910174567[[#This Row],[Type]]&gt;0,VLOOKUP(_1_54128456121462410464578910174567[[#This Row],[Type]],Main[[#All],[TYPE]:[UNIT]],'Unit Price'!H$1,FALSE),0)</f>
        <v>0</v>
      </c>
      <c r="K160" s="194">
        <f>IF(_1_54128456121462410464578910174567[[#This Row],[Discount selection]]&gt;0,VLOOKUP(_1_54128456121462410464578910174567[[#This Row],[Discount selection]],'Discount Structure'!$A$2:$B$30,2,"false"),0)</f>
        <v>1</v>
      </c>
      <c r="L160" s="194">
        <f>_1_54128456121462410464578910174567[[#This Row],[LIST $]]*_1_54128456121462410464578910174567[[#This Row],[DISCOUNT]]*_1_54128456121462410464578910174567[[#This Row],[DISCOUNT 2]]</f>
        <v>0</v>
      </c>
      <c r="M160" s="194">
        <f>IF(OR(_1_54128456121462410464578910174567[[#This Row],[UNIT]]&gt;0,_1_54128456121462410464578910174567[[#This Row],[UNIT]]&lt;0),_1_54128456121462410464578910174567[[#This Row],[UNIT]]*_1_54128456121462410464578910174567[[#This Row],[COST]],0)</f>
        <v>0</v>
      </c>
      <c r="N160" s="194">
        <f t="shared" si="2"/>
        <v>1.3</v>
      </c>
      <c r="O160" s="198">
        <f>_1_54128456121462410464578910174567[[#This Row],[TOTAL]]*_1_54128456121462410464578910174567[[#This Row],[MARGIN]]</f>
        <v>0</v>
      </c>
      <c r="R160" s="41"/>
    </row>
    <row r="161" spans="1:18">
      <c r="A161" s="168"/>
      <c r="C161" s="168"/>
      <c r="D161" s="188"/>
      <c r="F161" s="168" t="s">
        <v>6202</v>
      </c>
      <c r="G161" s="193">
        <f>IF(_1_54128456121462410464578910174567[[#This Row],[Type]]&gt;0,VLOOKUP(_1_54128456121462410464578910174567[[#This Row],[Type]],Main[[#All],[TYPE]:[UNIT]],'Unit Price'!C$1,FALSE),0)</f>
        <v>0</v>
      </c>
      <c r="H161" s="197">
        <f>IF(_1_54128456121462410464578910174567[[#This Row],[Type]]&gt;0,VLOOKUP(_1_54128456121462410464578910174567[[#This Row],[Type]],Main[[#All],[TYPE]:[UNIT]],'Unit Price'!D$1,FALSE),0)</f>
        <v>0</v>
      </c>
      <c r="I161" s="194">
        <f>IF(_1_54128456121462410464578910174567[[#This Row],[Type]]&gt;0,VLOOKUP(_1_54128456121462410464578910174567[[#This Row],[Type]],Main[[#All],[TYPE]:[UNIT]],'Unit Price'!G$1,FALSE),0)</f>
        <v>0</v>
      </c>
      <c r="J161" s="194">
        <f>IF(_1_54128456121462410464578910174567[[#This Row],[Type]]&gt;0,VLOOKUP(_1_54128456121462410464578910174567[[#This Row],[Type]],Main[[#All],[TYPE]:[UNIT]],'Unit Price'!H$1,FALSE),0)</f>
        <v>0</v>
      </c>
      <c r="K161" s="194">
        <f>IF(_1_54128456121462410464578910174567[[#This Row],[Discount selection]]&gt;0,VLOOKUP(_1_54128456121462410464578910174567[[#This Row],[Discount selection]],'Discount Structure'!$A$2:$B$30,2,"false"),0)</f>
        <v>1</v>
      </c>
      <c r="L161" s="194">
        <f>_1_54128456121462410464578910174567[[#This Row],[LIST $]]*_1_54128456121462410464578910174567[[#This Row],[DISCOUNT]]*_1_54128456121462410464578910174567[[#This Row],[DISCOUNT 2]]</f>
        <v>0</v>
      </c>
      <c r="M161" s="194">
        <f>IF(OR(_1_54128456121462410464578910174567[[#This Row],[UNIT]]&gt;0,_1_54128456121462410464578910174567[[#This Row],[UNIT]]&lt;0),_1_54128456121462410464578910174567[[#This Row],[UNIT]]*_1_54128456121462410464578910174567[[#This Row],[COST]],0)</f>
        <v>0</v>
      </c>
      <c r="N161" s="194">
        <f t="shared" si="2"/>
        <v>1.3</v>
      </c>
      <c r="O161" s="198">
        <f>_1_54128456121462410464578910174567[[#This Row],[TOTAL]]*_1_54128456121462410464578910174567[[#This Row],[MARGIN]]</f>
        <v>0</v>
      </c>
      <c r="R161" s="41"/>
    </row>
    <row r="162" spans="1:18">
      <c r="B162" s="168"/>
      <c r="C162" s="168"/>
      <c r="D162" s="188"/>
      <c r="F162" s="168" t="s">
        <v>6202</v>
      </c>
      <c r="G162" s="193">
        <f>IF(_1_54128456121462410464578910174567[[#This Row],[Type]]&gt;0,VLOOKUP(_1_54128456121462410464578910174567[[#This Row],[Type]],Main[[#All],[TYPE]:[UNIT]],'Unit Price'!C$1,FALSE),0)</f>
        <v>0</v>
      </c>
      <c r="H162" s="197">
        <f>IF(_1_54128456121462410464578910174567[[#This Row],[Type]]&gt;0,VLOOKUP(_1_54128456121462410464578910174567[[#This Row],[Type]],Main[[#All],[TYPE]:[UNIT]],'Unit Price'!D$1,FALSE),0)</f>
        <v>0</v>
      </c>
      <c r="I162" s="194">
        <f>IF(_1_54128456121462410464578910174567[[#This Row],[Type]]&gt;0,VLOOKUP(_1_54128456121462410464578910174567[[#This Row],[Type]],Main[[#All],[TYPE]:[UNIT]],'Unit Price'!G$1,FALSE),0)</f>
        <v>0</v>
      </c>
      <c r="J162" s="194">
        <f>IF(_1_54128456121462410464578910174567[[#This Row],[Type]]&gt;0,VLOOKUP(_1_54128456121462410464578910174567[[#This Row],[Type]],Main[[#All],[TYPE]:[UNIT]],'Unit Price'!H$1,FALSE),0)</f>
        <v>0</v>
      </c>
      <c r="K162" s="194">
        <f>IF(_1_54128456121462410464578910174567[[#This Row],[Discount selection]]&gt;0,VLOOKUP(_1_54128456121462410464578910174567[[#This Row],[Discount selection]],'Discount Structure'!$A$2:$B$30,2,"false"),0)</f>
        <v>1</v>
      </c>
      <c r="L162" s="194">
        <f>_1_54128456121462410464578910174567[[#This Row],[LIST $]]*_1_54128456121462410464578910174567[[#This Row],[DISCOUNT]]*_1_54128456121462410464578910174567[[#This Row],[DISCOUNT 2]]</f>
        <v>0</v>
      </c>
      <c r="M162" s="194">
        <f>IF(OR(_1_54128456121462410464578910174567[[#This Row],[UNIT]]&gt;0,_1_54128456121462410464578910174567[[#This Row],[UNIT]]&lt;0),_1_54128456121462410464578910174567[[#This Row],[UNIT]]*_1_54128456121462410464578910174567[[#This Row],[COST]],0)</f>
        <v>0</v>
      </c>
      <c r="N162" s="194">
        <f t="shared" si="2"/>
        <v>1.3</v>
      </c>
      <c r="O162" s="198">
        <f>_1_54128456121462410464578910174567[[#This Row],[TOTAL]]*_1_54128456121462410464578910174567[[#This Row],[MARGIN]]</f>
        <v>0</v>
      </c>
      <c r="R162" s="41"/>
    </row>
    <row r="163" spans="1:18">
      <c r="A163" s="168"/>
      <c r="C163" s="168"/>
      <c r="D163" s="188"/>
      <c r="F163" s="168" t="s">
        <v>6202</v>
      </c>
      <c r="G163" s="193">
        <f>IF(_1_54128456121462410464578910174567[[#This Row],[Type]]&gt;0,VLOOKUP(_1_54128456121462410464578910174567[[#This Row],[Type]],Main[[#All],[TYPE]:[UNIT]],'Unit Price'!C$1,FALSE),0)</f>
        <v>0</v>
      </c>
      <c r="H163" s="197">
        <f>IF(_1_54128456121462410464578910174567[[#This Row],[Type]]&gt;0,VLOOKUP(_1_54128456121462410464578910174567[[#This Row],[Type]],Main[[#All],[TYPE]:[UNIT]],'Unit Price'!D$1,FALSE),0)</f>
        <v>0</v>
      </c>
      <c r="I163" s="194">
        <f>IF(_1_54128456121462410464578910174567[[#This Row],[Type]]&gt;0,VLOOKUP(_1_54128456121462410464578910174567[[#This Row],[Type]],Main[[#All],[TYPE]:[UNIT]],'Unit Price'!G$1,FALSE),0)</f>
        <v>0</v>
      </c>
      <c r="J163" s="194">
        <f>IF(_1_54128456121462410464578910174567[[#This Row],[Type]]&gt;0,VLOOKUP(_1_54128456121462410464578910174567[[#This Row],[Type]],Main[[#All],[TYPE]:[UNIT]],'Unit Price'!H$1,FALSE),0)</f>
        <v>0</v>
      </c>
      <c r="K163" s="194">
        <f>IF(_1_54128456121462410464578910174567[[#This Row],[Discount selection]]&gt;0,VLOOKUP(_1_54128456121462410464578910174567[[#This Row],[Discount selection]],'Discount Structure'!$A$2:$B$30,2,"false"),0)</f>
        <v>1</v>
      </c>
      <c r="L163" s="194">
        <f>_1_54128456121462410464578910174567[[#This Row],[LIST $]]*_1_54128456121462410464578910174567[[#This Row],[DISCOUNT]]*_1_54128456121462410464578910174567[[#This Row],[DISCOUNT 2]]</f>
        <v>0</v>
      </c>
      <c r="M163" s="194">
        <f>IF(OR(_1_54128456121462410464578910174567[[#This Row],[UNIT]]&gt;0,_1_54128456121462410464578910174567[[#This Row],[UNIT]]&lt;0),_1_54128456121462410464578910174567[[#This Row],[UNIT]]*_1_54128456121462410464578910174567[[#This Row],[COST]],0)</f>
        <v>0</v>
      </c>
      <c r="N163" s="194">
        <f t="shared" si="2"/>
        <v>1.3</v>
      </c>
      <c r="O163" s="198">
        <f>_1_54128456121462410464578910174567[[#This Row],[TOTAL]]*_1_54128456121462410464578910174567[[#This Row],[MARGIN]]</f>
        <v>0</v>
      </c>
      <c r="R163" s="41"/>
    </row>
    <row r="164" spans="1:18">
      <c r="B164" s="168"/>
      <c r="C164" s="168"/>
      <c r="D164" s="188"/>
      <c r="F164" s="168" t="s">
        <v>6202</v>
      </c>
      <c r="G164" s="193">
        <f>IF(_1_54128456121462410464578910174567[[#This Row],[Type]]&gt;0,VLOOKUP(_1_54128456121462410464578910174567[[#This Row],[Type]],Main[[#All],[TYPE]:[UNIT]],'Unit Price'!C$1,FALSE),0)</f>
        <v>0</v>
      </c>
      <c r="H164" s="197">
        <f>IF(_1_54128456121462410464578910174567[[#This Row],[Type]]&gt;0,VLOOKUP(_1_54128456121462410464578910174567[[#This Row],[Type]],Main[[#All],[TYPE]:[UNIT]],'Unit Price'!D$1,FALSE),0)</f>
        <v>0</v>
      </c>
      <c r="I164" s="194">
        <f>IF(_1_54128456121462410464578910174567[[#This Row],[Type]]&gt;0,VLOOKUP(_1_54128456121462410464578910174567[[#This Row],[Type]],Main[[#All],[TYPE]:[UNIT]],'Unit Price'!G$1,FALSE),0)</f>
        <v>0</v>
      </c>
      <c r="J164" s="194">
        <f>IF(_1_54128456121462410464578910174567[[#This Row],[Type]]&gt;0,VLOOKUP(_1_54128456121462410464578910174567[[#This Row],[Type]],Main[[#All],[TYPE]:[UNIT]],'Unit Price'!H$1,FALSE),0)</f>
        <v>0</v>
      </c>
      <c r="K164" s="194">
        <f>IF(_1_54128456121462410464578910174567[[#This Row],[Discount selection]]&gt;0,VLOOKUP(_1_54128456121462410464578910174567[[#This Row],[Discount selection]],'Discount Structure'!$A$2:$B$30,2,"false"),0)</f>
        <v>1</v>
      </c>
      <c r="L164" s="194">
        <f>_1_54128456121462410464578910174567[[#This Row],[LIST $]]*_1_54128456121462410464578910174567[[#This Row],[DISCOUNT]]*_1_54128456121462410464578910174567[[#This Row],[DISCOUNT 2]]</f>
        <v>0</v>
      </c>
      <c r="M164" s="194">
        <f>IF(OR(_1_54128456121462410464578910174567[[#This Row],[UNIT]]&gt;0,_1_54128456121462410464578910174567[[#This Row],[UNIT]]&lt;0),_1_54128456121462410464578910174567[[#This Row],[UNIT]]*_1_54128456121462410464578910174567[[#This Row],[COST]],0)</f>
        <v>0</v>
      </c>
      <c r="N164" s="194">
        <f t="shared" si="2"/>
        <v>1.3</v>
      </c>
      <c r="O164" s="198">
        <f>_1_54128456121462410464578910174567[[#This Row],[TOTAL]]*_1_54128456121462410464578910174567[[#This Row],[MARGIN]]</f>
        <v>0</v>
      </c>
      <c r="R164" s="41"/>
    </row>
    <row r="165" spans="1:18">
      <c r="A165" s="168"/>
      <c r="C165" s="168"/>
      <c r="D165" s="188"/>
      <c r="F165" s="168" t="s">
        <v>6202</v>
      </c>
      <c r="G165" s="193">
        <f>IF(_1_54128456121462410464578910174567[[#This Row],[Type]]&gt;0,VLOOKUP(_1_54128456121462410464578910174567[[#This Row],[Type]],Main[[#All],[TYPE]:[UNIT]],'Unit Price'!C$1,FALSE),0)</f>
        <v>0</v>
      </c>
      <c r="H165" s="197">
        <f>IF(_1_54128456121462410464578910174567[[#This Row],[Type]]&gt;0,VLOOKUP(_1_54128456121462410464578910174567[[#This Row],[Type]],Main[[#All],[TYPE]:[UNIT]],'Unit Price'!D$1,FALSE),0)</f>
        <v>0</v>
      </c>
      <c r="I165" s="194">
        <f>IF(_1_54128456121462410464578910174567[[#This Row],[Type]]&gt;0,VLOOKUP(_1_54128456121462410464578910174567[[#This Row],[Type]],Main[[#All],[TYPE]:[UNIT]],'Unit Price'!G$1,FALSE),0)</f>
        <v>0</v>
      </c>
      <c r="J165" s="194">
        <f>IF(_1_54128456121462410464578910174567[[#This Row],[Type]]&gt;0,VLOOKUP(_1_54128456121462410464578910174567[[#This Row],[Type]],Main[[#All],[TYPE]:[UNIT]],'Unit Price'!H$1,FALSE),0)</f>
        <v>0</v>
      </c>
      <c r="K165" s="194">
        <f>IF(_1_54128456121462410464578910174567[[#This Row],[Discount selection]]&gt;0,VLOOKUP(_1_54128456121462410464578910174567[[#This Row],[Discount selection]],'Discount Structure'!$A$2:$B$30,2,"false"),0)</f>
        <v>1</v>
      </c>
      <c r="L165" s="194">
        <f>_1_54128456121462410464578910174567[[#This Row],[LIST $]]*_1_54128456121462410464578910174567[[#This Row],[DISCOUNT]]*_1_54128456121462410464578910174567[[#This Row],[DISCOUNT 2]]</f>
        <v>0</v>
      </c>
      <c r="M165" s="194">
        <f>IF(OR(_1_54128456121462410464578910174567[[#This Row],[UNIT]]&gt;0,_1_54128456121462410464578910174567[[#This Row],[UNIT]]&lt;0),_1_54128456121462410464578910174567[[#This Row],[UNIT]]*_1_54128456121462410464578910174567[[#This Row],[COST]],0)</f>
        <v>0</v>
      </c>
      <c r="N165" s="194">
        <f t="shared" si="2"/>
        <v>1.3</v>
      </c>
      <c r="O165" s="198">
        <f>_1_54128456121462410464578910174567[[#This Row],[TOTAL]]*_1_54128456121462410464578910174567[[#This Row],[MARGIN]]</f>
        <v>0</v>
      </c>
      <c r="R165" s="41"/>
    </row>
    <row r="166" spans="1:18">
      <c r="B166" s="168"/>
      <c r="C166" s="168"/>
      <c r="D166" s="188"/>
      <c r="F166" s="168" t="s">
        <v>6202</v>
      </c>
      <c r="G166" s="193">
        <f>IF(_1_54128456121462410464578910174567[[#This Row],[Type]]&gt;0,VLOOKUP(_1_54128456121462410464578910174567[[#This Row],[Type]],Main[[#All],[TYPE]:[UNIT]],'Unit Price'!C$1,FALSE),0)</f>
        <v>0</v>
      </c>
      <c r="H166" s="197">
        <f>IF(_1_54128456121462410464578910174567[[#This Row],[Type]]&gt;0,VLOOKUP(_1_54128456121462410464578910174567[[#This Row],[Type]],Main[[#All],[TYPE]:[UNIT]],'Unit Price'!D$1,FALSE),0)</f>
        <v>0</v>
      </c>
      <c r="I166" s="194">
        <f>IF(_1_54128456121462410464578910174567[[#This Row],[Type]]&gt;0,VLOOKUP(_1_54128456121462410464578910174567[[#This Row],[Type]],Main[[#All],[TYPE]:[UNIT]],'Unit Price'!G$1,FALSE),0)</f>
        <v>0</v>
      </c>
      <c r="J166" s="194">
        <f>IF(_1_54128456121462410464578910174567[[#This Row],[Type]]&gt;0,VLOOKUP(_1_54128456121462410464578910174567[[#This Row],[Type]],Main[[#All],[TYPE]:[UNIT]],'Unit Price'!H$1,FALSE),0)</f>
        <v>0</v>
      </c>
      <c r="K166" s="194">
        <f>IF(_1_54128456121462410464578910174567[[#This Row],[Discount selection]]&gt;0,VLOOKUP(_1_54128456121462410464578910174567[[#This Row],[Discount selection]],'Discount Structure'!$A$2:$B$30,2,"false"),0)</f>
        <v>1</v>
      </c>
      <c r="L166" s="194">
        <f>_1_54128456121462410464578910174567[[#This Row],[LIST $]]*_1_54128456121462410464578910174567[[#This Row],[DISCOUNT]]*_1_54128456121462410464578910174567[[#This Row],[DISCOUNT 2]]</f>
        <v>0</v>
      </c>
      <c r="M166" s="194">
        <f>IF(OR(_1_54128456121462410464578910174567[[#This Row],[UNIT]]&gt;0,_1_54128456121462410464578910174567[[#This Row],[UNIT]]&lt;0),_1_54128456121462410464578910174567[[#This Row],[UNIT]]*_1_54128456121462410464578910174567[[#This Row],[COST]],0)</f>
        <v>0</v>
      </c>
      <c r="N166" s="194">
        <f t="shared" si="2"/>
        <v>1.3</v>
      </c>
      <c r="O166" s="198">
        <f>_1_54128456121462410464578910174567[[#This Row],[TOTAL]]*_1_54128456121462410464578910174567[[#This Row],[MARGIN]]</f>
        <v>0</v>
      </c>
      <c r="R166" s="41"/>
    </row>
    <row r="167" spans="1:18">
      <c r="A167" s="168"/>
      <c r="C167" s="168"/>
      <c r="D167" s="188"/>
      <c r="F167" s="168" t="s">
        <v>6202</v>
      </c>
      <c r="G167" s="193">
        <f>IF(_1_54128456121462410464578910174567[[#This Row],[Type]]&gt;0,VLOOKUP(_1_54128456121462410464578910174567[[#This Row],[Type]],Main[[#All],[TYPE]:[UNIT]],'Unit Price'!C$1,FALSE),0)</f>
        <v>0</v>
      </c>
      <c r="H167" s="197">
        <f>IF(_1_54128456121462410464578910174567[[#This Row],[Type]]&gt;0,VLOOKUP(_1_54128456121462410464578910174567[[#This Row],[Type]],Main[[#All],[TYPE]:[UNIT]],'Unit Price'!D$1,FALSE),0)</f>
        <v>0</v>
      </c>
      <c r="I167" s="194">
        <f>IF(_1_54128456121462410464578910174567[[#This Row],[Type]]&gt;0,VLOOKUP(_1_54128456121462410464578910174567[[#This Row],[Type]],Main[[#All],[TYPE]:[UNIT]],'Unit Price'!G$1,FALSE),0)</f>
        <v>0</v>
      </c>
      <c r="J167" s="194">
        <f>IF(_1_54128456121462410464578910174567[[#This Row],[Type]]&gt;0,VLOOKUP(_1_54128456121462410464578910174567[[#This Row],[Type]],Main[[#All],[TYPE]:[UNIT]],'Unit Price'!H$1,FALSE),0)</f>
        <v>0</v>
      </c>
      <c r="K167" s="194">
        <f>IF(_1_54128456121462410464578910174567[[#This Row],[Discount selection]]&gt;0,VLOOKUP(_1_54128456121462410464578910174567[[#This Row],[Discount selection]],'Discount Structure'!$A$2:$B$30,2,"false"),0)</f>
        <v>1</v>
      </c>
      <c r="L167" s="194">
        <f>_1_54128456121462410464578910174567[[#This Row],[LIST $]]*_1_54128456121462410464578910174567[[#This Row],[DISCOUNT]]*_1_54128456121462410464578910174567[[#This Row],[DISCOUNT 2]]</f>
        <v>0</v>
      </c>
      <c r="M167" s="194">
        <f>IF(OR(_1_54128456121462410464578910174567[[#This Row],[UNIT]]&gt;0,_1_54128456121462410464578910174567[[#This Row],[UNIT]]&lt;0),_1_54128456121462410464578910174567[[#This Row],[UNIT]]*_1_54128456121462410464578910174567[[#This Row],[COST]],0)</f>
        <v>0</v>
      </c>
      <c r="N167" s="194">
        <f t="shared" si="2"/>
        <v>1.3</v>
      </c>
      <c r="O167" s="198">
        <f>_1_54128456121462410464578910174567[[#This Row],[TOTAL]]*_1_54128456121462410464578910174567[[#This Row],[MARGIN]]</f>
        <v>0</v>
      </c>
      <c r="R167" s="41"/>
    </row>
    <row r="168" spans="1:18">
      <c r="B168" s="168"/>
      <c r="C168" s="168"/>
      <c r="D168" s="188"/>
      <c r="F168" s="168" t="s">
        <v>6202</v>
      </c>
      <c r="G168" s="193">
        <f>IF(_1_54128456121462410464578910174567[[#This Row],[Type]]&gt;0,VLOOKUP(_1_54128456121462410464578910174567[[#This Row],[Type]],Main[[#All],[TYPE]:[UNIT]],'Unit Price'!C$1,FALSE),0)</f>
        <v>0</v>
      </c>
      <c r="H168" s="197">
        <f>IF(_1_54128456121462410464578910174567[[#This Row],[Type]]&gt;0,VLOOKUP(_1_54128456121462410464578910174567[[#This Row],[Type]],Main[[#All],[TYPE]:[UNIT]],'Unit Price'!D$1,FALSE),0)</f>
        <v>0</v>
      </c>
      <c r="I168" s="194">
        <f>IF(_1_54128456121462410464578910174567[[#This Row],[Type]]&gt;0,VLOOKUP(_1_54128456121462410464578910174567[[#This Row],[Type]],Main[[#All],[TYPE]:[UNIT]],'Unit Price'!G$1,FALSE),0)</f>
        <v>0</v>
      </c>
      <c r="J168" s="194">
        <f>IF(_1_54128456121462410464578910174567[[#This Row],[Type]]&gt;0,VLOOKUP(_1_54128456121462410464578910174567[[#This Row],[Type]],Main[[#All],[TYPE]:[UNIT]],'Unit Price'!H$1,FALSE),0)</f>
        <v>0</v>
      </c>
      <c r="K168" s="194">
        <f>IF(_1_54128456121462410464578910174567[[#This Row],[Discount selection]]&gt;0,VLOOKUP(_1_54128456121462410464578910174567[[#This Row],[Discount selection]],'Discount Structure'!$A$2:$B$30,2,"false"),0)</f>
        <v>1</v>
      </c>
      <c r="L168" s="194">
        <f>_1_54128456121462410464578910174567[[#This Row],[LIST $]]*_1_54128456121462410464578910174567[[#This Row],[DISCOUNT]]*_1_54128456121462410464578910174567[[#This Row],[DISCOUNT 2]]</f>
        <v>0</v>
      </c>
      <c r="M168" s="194">
        <f>IF(OR(_1_54128456121462410464578910174567[[#This Row],[UNIT]]&gt;0,_1_54128456121462410464578910174567[[#This Row],[UNIT]]&lt;0),_1_54128456121462410464578910174567[[#This Row],[UNIT]]*_1_54128456121462410464578910174567[[#This Row],[COST]],0)</f>
        <v>0</v>
      </c>
      <c r="N168" s="194">
        <f t="shared" si="2"/>
        <v>1.3</v>
      </c>
      <c r="O168" s="198">
        <f>_1_54128456121462410464578910174567[[#This Row],[TOTAL]]*_1_54128456121462410464578910174567[[#This Row],[MARGIN]]</f>
        <v>0</v>
      </c>
      <c r="R168" s="41"/>
    </row>
    <row r="169" spans="1:18">
      <c r="A169" s="168"/>
      <c r="C169" s="168"/>
      <c r="D169" s="188"/>
      <c r="F169" s="168" t="s">
        <v>6202</v>
      </c>
      <c r="G169" s="193">
        <f>IF(_1_54128456121462410464578910174567[[#This Row],[Type]]&gt;0,VLOOKUP(_1_54128456121462410464578910174567[[#This Row],[Type]],Main[[#All],[TYPE]:[UNIT]],'Unit Price'!C$1,FALSE),0)</f>
        <v>0</v>
      </c>
      <c r="H169" s="197">
        <f>IF(_1_54128456121462410464578910174567[[#This Row],[Type]]&gt;0,VLOOKUP(_1_54128456121462410464578910174567[[#This Row],[Type]],Main[[#All],[TYPE]:[UNIT]],'Unit Price'!D$1,FALSE),0)</f>
        <v>0</v>
      </c>
      <c r="I169" s="194">
        <f>IF(_1_54128456121462410464578910174567[[#This Row],[Type]]&gt;0,VLOOKUP(_1_54128456121462410464578910174567[[#This Row],[Type]],Main[[#All],[TYPE]:[UNIT]],'Unit Price'!G$1,FALSE),0)</f>
        <v>0</v>
      </c>
      <c r="J169" s="194">
        <f>IF(_1_54128456121462410464578910174567[[#This Row],[Type]]&gt;0,VLOOKUP(_1_54128456121462410464578910174567[[#This Row],[Type]],Main[[#All],[TYPE]:[UNIT]],'Unit Price'!H$1,FALSE),0)</f>
        <v>0</v>
      </c>
      <c r="K169" s="194">
        <f>IF(_1_54128456121462410464578910174567[[#This Row],[Discount selection]]&gt;0,VLOOKUP(_1_54128456121462410464578910174567[[#This Row],[Discount selection]],'Discount Structure'!$A$2:$B$30,2,"false"),0)</f>
        <v>1</v>
      </c>
      <c r="L169" s="194">
        <f>_1_54128456121462410464578910174567[[#This Row],[LIST $]]*_1_54128456121462410464578910174567[[#This Row],[DISCOUNT]]*_1_54128456121462410464578910174567[[#This Row],[DISCOUNT 2]]</f>
        <v>0</v>
      </c>
      <c r="M169" s="194">
        <f>IF(OR(_1_54128456121462410464578910174567[[#This Row],[UNIT]]&gt;0,_1_54128456121462410464578910174567[[#This Row],[UNIT]]&lt;0),_1_54128456121462410464578910174567[[#This Row],[UNIT]]*_1_54128456121462410464578910174567[[#This Row],[COST]],0)</f>
        <v>0</v>
      </c>
      <c r="N169" s="194">
        <f t="shared" si="2"/>
        <v>1.3</v>
      </c>
      <c r="O169" s="198">
        <f>_1_54128456121462410464578910174567[[#This Row],[TOTAL]]*_1_54128456121462410464578910174567[[#This Row],[MARGIN]]</f>
        <v>0</v>
      </c>
      <c r="R169" s="41"/>
    </row>
    <row r="170" spans="1:18">
      <c r="B170" s="168"/>
      <c r="C170" s="168"/>
      <c r="D170" s="188"/>
      <c r="F170" s="168" t="s">
        <v>6202</v>
      </c>
      <c r="G170" s="193">
        <f>IF(_1_54128456121462410464578910174567[[#This Row],[Type]]&gt;0,VLOOKUP(_1_54128456121462410464578910174567[[#This Row],[Type]],Main[[#All],[TYPE]:[UNIT]],'Unit Price'!C$1,FALSE),0)</f>
        <v>0</v>
      </c>
      <c r="H170" s="197">
        <f>IF(_1_54128456121462410464578910174567[[#This Row],[Type]]&gt;0,VLOOKUP(_1_54128456121462410464578910174567[[#This Row],[Type]],Main[[#All],[TYPE]:[UNIT]],'Unit Price'!D$1,FALSE),0)</f>
        <v>0</v>
      </c>
      <c r="I170" s="194">
        <f>IF(_1_54128456121462410464578910174567[[#This Row],[Type]]&gt;0,VLOOKUP(_1_54128456121462410464578910174567[[#This Row],[Type]],Main[[#All],[TYPE]:[UNIT]],'Unit Price'!G$1,FALSE),0)</f>
        <v>0</v>
      </c>
      <c r="J170" s="194">
        <f>IF(_1_54128456121462410464578910174567[[#This Row],[Type]]&gt;0,VLOOKUP(_1_54128456121462410464578910174567[[#This Row],[Type]],Main[[#All],[TYPE]:[UNIT]],'Unit Price'!H$1,FALSE),0)</f>
        <v>0</v>
      </c>
      <c r="K170" s="194">
        <f>IF(_1_54128456121462410464578910174567[[#This Row],[Discount selection]]&gt;0,VLOOKUP(_1_54128456121462410464578910174567[[#This Row],[Discount selection]],'Discount Structure'!$A$2:$B$30,2,"false"),0)</f>
        <v>1</v>
      </c>
      <c r="L170" s="194">
        <f>_1_54128456121462410464578910174567[[#This Row],[LIST $]]*_1_54128456121462410464578910174567[[#This Row],[DISCOUNT]]*_1_54128456121462410464578910174567[[#This Row],[DISCOUNT 2]]</f>
        <v>0</v>
      </c>
      <c r="M170" s="194">
        <f>IF(OR(_1_54128456121462410464578910174567[[#This Row],[UNIT]]&gt;0,_1_54128456121462410464578910174567[[#This Row],[UNIT]]&lt;0),_1_54128456121462410464578910174567[[#This Row],[UNIT]]*_1_54128456121462410464578910174567[[#This Row],[COST]],0)</f>
        <v>0</v>
      </c>
      <c r="N170" s="194">
        <f t="shared" si="2"/>
        <v>1.3</v>
      </c>
      <c r="O170" s="198">
        <f>_1_54128456121462410464578910174567[[#This Row],[TOTAL]]*_1_54128456121462410464578910174567[[#This Row],[MARGIN]]</f>
        <v>0</v>
      </c>
      <c r="R170" s="41"/>
    </row>
    <row r="171" spans="1:18">
      <c r="C171" s="168"/>
      <c r="D171" s="188"/>
      <c r="F171" s="168" t="s">
        <v>6202</v>
      </c>
      <c r="G171" s="193">
        <f>IF(_1_54128456121462410464578910174567[[#This Row],[Type]]&gt;0,VLOOKUP(_1_54128456121462410464578910174567[[#This Row],[Type]],Main[[#All],[TYPE]:[UNIT]],'Unit Price'!C$1,FALSE),0)</f>
        <v>0</v>
      </c>
      <c r="H171" s="197">
        <f>IF(_1_54128456121462410464578910174567[[#This Row],[Type]]&gt;0,VLOOKUP(_1_54128456121462410464578910174567[[#This Row],[Type]],Main[[#All],[TYPE]:[UNIT]],'Unit Price'!D$1,FALSE),0)</f>
        <v>0</v>
      </c>
      <c r="I171" s="194">
        <f>IF(_1_54128456121462410464578910174567[[#This Row],[Type]]&gt;0,VLOOKUP(_1_54128456121462410464578910174567[[#This Row],[Type]],Main[[#All],[TYPE]:[UNIT]],'Unit Price'!G$1,FALSE),0)</f>
        <v>0</v>
      </c>
      <c r="J171" s="194">
        <f>IF(_1_54128456121462410464578910174567[[#This Row],[Type]]&gt;0,VLOOKUP(_1_54128456121462410464578910174567[[#This Row],[Type]],Main[[#All],[TYPE]:[UNIT]],'Unit Price'!H$1,FALSE),0)</f>
        <v>0</v>
      </c>
      <c r="K171" s="194">
        <f>IF(_1_54128456121462410464578910174567[[#This Row],[Discount selection]]&gt;0,VLOOKUP(_1_54128456121462410464578910174567[[#This Row],[Discount selection]],'Discount Structure'!$A$2:$B$30,2,"false"),0)</f>
        <v>1</v>
      </c>
      <c r="L171" s="194">
        <f>_1_54128456121462410464578910174567[[#This Row],[LIST $]]*_1_54128456121462410464578910174567[[#This Row],[DISCOUNT]]*_1_54128456121462410464578910174567[[#This Row],[DISCOUNT 2]]</f>
        <v>0</v>
      </c>
      <c r="M171" s="194">
        <f>IF(OR(_1_54128456121462410464578910174567[[#This Row],[UNIT]]&gt;0,_1_54128456121462410464578910174567[[#This Row],[UNIT]]&lt;0),_1_54128456121462410464578910174567[[#This Row],[UNIT]]*_1_54128456121462410464578910174567[[#This Row],[COST]],0)</f>
        <v>0</v>
      </c>
      <c r="N171" s="194">
        <f t="shared" si="2"/>
        <v>1.3</v>
      </c>
      <c r="O171" s="198">
        <f>_1_54128456121462410464578910174567[[#This Row],[TOTAL]]*_1_54128456121462410464578910174567[[#This Row],[MARGIN]]</f>
        <v>0</v>
      </c>
      <c r="R171" s="41"/>
    </row>
    <row r="172" spans="1:18">
      <c r="C172" s="168"/>
      <c r="D172" s="188"/>
      <c r="F172" s="168" t="s">
        <v>6202</v>
      </c>
      <c r="G172" s="193">
        <f>IF(_1_54128456121462410464578910174567[[#This Row],[Type]]&gt;0,VLOOKUP(_1_54128456121462410464578910174567[[#This Row],[Type]],Main[[#All],[TYPE]:[UNIT]],'Unit Price'!C$1,FALSE),0)</f>
        <v>0</v>
      </c>
      <c r="H172" s="197">
        <f>IF(_1_54128456121462410464578910174567[[#This Row],[Type]]&gt;0,VLOOKUP(_1_54128456121462410464578910174567[[#This Row],[Type]],Main[[#All],[TYPE]:[UNIT]],'Unit Price'!D$1,FALSE),0)</f>
        <v>0</v>
      </c>
      <c r="I172" s="194">
        <f>IF(_1_54128456121462410464578910174567[[#This Row],[Type]]&gt;0,VLOOKUP(_1_54128456121462410464578910174567[[#This Row],[Type]],Main[[#All],[TYPE]:[UNIT]],'Unit Price'!G$1,FALSE),0)</f>
        <v>0</v>
      </c>
      <c r="J172" s="194">
        <f>IF(_1_54128456121462410464578910174567[[#This Row],[Type]]&gt;0,VLOOKUP(_1_54128456121462410464578910174567[[#This Row],[Type]],Main[[#All],[TYPE]:[UNIT]],'Unit Price'!H$1,FALSE),0)</f>
        <v>0</v>
      </c>
      <c r="K172" s="194">
        <f>IF(_1_54128456121462410464578910174567[[#This Row],[Discount selection]]&gt;0,VLOOKUP(_1_54128456121462410464578910174567[[#This Row],[Discount selection]],'Discount Structure'!$A$2:$B$30,2,"false"),0)</f>
        <v>1</v>
      </c>
      <c r="L172" s="194">
        <f>_1_54128456121462410464578910174567[[#This Row],[LIST $]]*_1_54128456121462410464578910174567[[#This Row],[DISCOUNT]]*_1_54128456121462410464578910174567[[#This Row],[DISCOUNT 2]]</f>
        <v>0</v>
      </c>
      <c r="M172" s="194">
        <f>IF(OR(_1_54128456121462410464578910174567[[#This Row],[UNIT]]&gt;0,_1_54128456121462410464578910174567[[#This Row],[UNIT]]&lt;0),_1_54128456121462410464578910174567[[#This Row],[UNIT]]*_1_54128456121462410464578910174567[[#This Row],[COST]],0)</f>
        <v>0</v>
      </c>
      <c r="N172" s="194">
        <f t="shared" si="2"/>
        <v>1.3</v>
      </c>
      <c r="O172" s="198">
        <f>_1_54128456121462410464578910174567[[#This Row],[TOTAL]]*_1_54128456121462410464578910174567[[#This Row],[MARGIN]]</f>
        <v>0</v>
      </c>
      <c r="R172" s="41"/>
    </row>
    <row r="173" spans="1:18">
      <c r="C173" s="168"/>
      <c r="D173" s="188"/>
      <c r="F173" s="168" t="s">
        <v>6202</v>
      </c>
      <c r="G173" s="193">
        <f>IF(_1_54128456121462410464578910174567[[#This Row],[Type]]&gt;0,VLOOKUP(_1_54128456121462410464578910174567[[#This Row],[Type]],Main[[#All],[TYPE]:[UNIT]],'Unit Price'!C$1,FALSE),0)</f>
        <v>0</v>
      </c>
      <c r="H173" s="197">
        <f>IF(_1_54128456121462410464578910174567[[#This Row],[Type]]&gt;0,VLOOKUP(_1_54128456121462410464578910174567[[#This Row],[Type]],Main[[#All],[TYPE]:[UNIT]],'Unit Price'!D$1,FALSE),0)</f>
        <v>0</v>
      </c>
      <c r="I173" s="194">
        <f>IF(_1_54128456121462410464578910174567[[#This Row],[Type]]&gt;0,VLOOKUP(_1_54128456121462410464578910174567[[#This Row],[Type]],Main[[#All],[TYPE]:[UNIT]],'Unit Price'!G$1,FALSE),0)</f>
        <v>0</v>
      </c>
      <c r="J173" s="194">
        <f>IF(_1_54128456121462410464578910174567[[#This Row],[Type]]&gt;0,VLOOKUP(_1_54128456121462410464578910174567[[#This Row],[Type]],Main[[#All],[TYPE]:[UNIT]],'Unit Price'!H$1,FALSE),0)</f>
        <v>0</v>
      </c>
      <c r="K173" s="194">
        <f>IF(_1_54128456121462410464578910174567[[#This Row],[Discount selection]]&gt;0,VLOOKUP(_1_54128456121462410464578910174567[[#This Row],[Discount selection]],'Discount Structure'!$A$2:$B$30,2,"false"),0)</f>
        <v>1</v>
      </c>
      <c r="L173" s="194">
        <f>_1_54128456121462410464578910174567[[#This Row],[LIST $]]*_1_54128456121462410464578910174567[[#This Row],[DISCOUNT]]*_1_54128456121462410464578910174567[[#This Row],[DISCOUNT 2]]</f>
        <v>0</v>
      </c>
      <c r="M173" s="194">
        <f>IF(OR(_1_54128456121462410464578910174567[[#This Row],[UNIT]]&gt;0,_1_54128456121462410464578910174567[[#This Row],[UNIT]]&lt;0),_1_54128456121462410464578910174567[[#This Row],[UNIT]]*_1_54128456121462410464578910174567[[#This Row],[COST]],0)</f>
        <v>0</v>
      </c>
      <c r="N173" s="194">
        <f t="shared" si="2"/>
        <v>1.3</v>
      </c>
      <c r="O173" s="198">
        <f>_1_54128456121462410464578910174567[[#This Row],[TOTAL]]*_1_54128456121462410464578910174567[[#This Row],[MARGIN]]</f>
        <v>0</v>
      </c>
      <c r="R173" s="41"/>
    </row>
    <row r="174" spans="1:18">
      <c r="C174" s="168"/>
      <c r="D174" s="188"/>
      <c r="F174" s="168" t="s">
        <v>6202</v>
      </c>
      <c r="G174" s="193">
        <f>IF(_1_54128456121462410464578910174567[[#This Row],[Type]]&gt;0,VLOOKUP(_1_54128456121462410464578910174567[[#This Row],[Type]],Main[[#All],[TYPE]:[UNIT]],'Unit Price'!C$1,FALSE),0)</f>
        <v>0</v>
      </c>
      <c r="H174" s="197">
        <f>IF(_1_54128456121462410464578910174567[[#This Row],[Type]]&gt;0,VLOOKUP(_1_54128456121462410464578910174567[[#This Row],[Type]],Main[[#All],[TYPE]:[UNIT]],'Unit Price'!D$1,FALSE),0)</f>
        <v>0</v>
      </c>
      <c r="I174" s="194">
        <f>IF(_1_54128456121462410464578910174567[[#This Row],[Type]]&gt;0,VLOOKUP(_1_54128456121462410464578910174567[[#This Row],[Type]],Main[[#All],[TYPE]:[UNIT]],'Unit Price'!G$1,FALSE),0)</f>
        <v>0</v>
      </c>
      <c r="J174" s="194">
        <f>IF(_1_54128456121462410464578910174567[[#This Row],[Type]]&gt;0,VLOOKUP(_1_54128456121462410464578910174567[[#This Row],[Type]],Main[[#All],[TYPE]:[UNIT]],'Unit Price'!H$1,FALSE),0)</f>
        <v>0</v>
      </c>
      <c r="K174" s="194">
        <f>IF(_1_54128456121462410464578910174567[[#This Row],[Discount selection]]&gt;0,VLOOKUP(_1_54128456121462410464578910174567[[#This Row],[Discount selection]],'Discount Structure'!$A$2:$B$30,2,"false"),0)</f>
        <v>1</v>
      </c>
      <c r="L174" s="194">
        <f>_1_54128456121462410464578910174567[[#This Row],[LIST $]]*_1_54128456121462410464578910174567[[#This Row],[DISCOUNT]]*_1_54128456121462410464578910174567[[#This Row],[DISCOUNT 2]]</f>
        <v>0</v>
      </c>
      <c r="M174" s="194">
        <f>IF(OR(_1_54128456121462410464578910174567[[#This Row],[UNIT]]&gt;0,_1_54128456121462410464578910174567[[#This Row],[UNIT]]&lt;0),_1_54128456121462410464578910174567[[#This Row],[UNIT]]*_1_54128456121462410464578910174567[[#This Row],[COST]],0)</f>
        <v>0</v>
      </c>
      <c r="N174" s="194">
        <f t="shared" si="2"/>
        <v>1.3</v>
      </c>
      <c r="O174" s="198">
        <f>_1_54128456121462410464578910174567[[#This Row],[TOTAL]]*_1_54128456121462410464578910174567[[#This Row],[MARGIN]]</f>
        <v>0</v>
      </c>
      <c r="R174" s="41"/>
    </row>
    <row r="175" spans="1:18">
      <c r="C175" s="168"/>
      <c r="D175" s="188"/>
      <c r="F175" s="168" t="s">
        <v>6202</v>
      </c>
      <c r="G175" s="193">
        <f>IF(_1_54128456121462410464578910174567[[#This Row],[Type]]&gt;0,VLOOKUP(_1_54128456121462410464578910174567[[#This Row],[Type]],Main[[#All],[TYPE]:[UNIT]],'Unit Price'!C$1,FALSE),0)</f>
        <v>0</v>
      </c>
      <c r="H175" s="197">
        <f>IF(_1_54128456121462410464578910174567[[#This Row],[Type]]&gt;0,VLOOKUP(_1_54128456121462410464578910174567[[#This Row],[Type]],Main[[#All],[TYPE]:[UNIT]],'Unit Price'!D$1,FALSE),0)</f>
        <v>0</v>
      </c>
      <c r="I175" s="194">
        <f>IF(_1_54128456121462410464578910174567[[#This Row],[Type]]&gt;0,VLOOKUP(_1_54128456121462410464578910174567[[#This Row],[Type]],Main[[#All],[TYPE]:[UNIT]],'Unit Price'!G$1,FALSE),0)</f>
        <v>0</v>
      </c>
      <c r="J175" s="194">
        <f>IF(_1_54128456121462410464578910174567[[#This Row],[Type]]&gt;0,VLOOKUP(_1_54128456121462410464578910174567[[#This Row],[Type]],Main[[#All],[TYPE]:[UNIT]],'Unit Price'!H$1,FALSE),0)</f>
        <v>0</v>
      </c>
      <c r="K175" s="194">
        <f>IF(_1_54128456121462410464578910174567[[#This Row],[Discount selection]]&gt;0,VLOOKUP(_1_54128456121462410464578910174567[[#This Row],[Discount selection]],'Discount Structure'!$A$2:$B$30,2,"false"),0)</f>
        <v>1</v>
      </c>
      <c r="L175" s="194">
        <f>_1_54128456121462410464578910174567[[#This Row],[LIST $]]*_1_54128456121462410464578910174567[[#This Row],[DISCOUNT]]*_1_54128456121462410464578910174567[[#This Row],[DISCOUNT 2]]</f>
        <v>0</v>
      </c>
      <c r="M175" s="194">
        <f>IF(OR(_1_54128456121462410464578910174567[[#This Row],[UNIT]]&gt;0,_1_54128456121462410464578910174567[[#This Row],[UNIT]]&lt;0),_1_54128456121462410464578910174567[[#This Row],[UNIT]]*_1_54128456121462410464578910174567[[#This Row],[COST]],0)</f>
        <v>0</v>
      </c>
      <c r="N175" s="194">
        <f t="shared" si="2"/>
        <v>1.3</v>
      </c>
      <c r="O175" s="198">
        <f>_1_54128456121462410464578910174567[[#This Row],[TOTAL]]*_1_54128456121462410464578910174567[[#This Row],[MARGIN]]</f>
        <v>0</v>
      </c>
      <c r="R175" s="41"/>
    </row>
    <row r="176" spans="1:18">
      <c r="C176" s="168"/>
      <c r="D176" s="188"/>
      <c r="F176" s="168" t="s">
        <v>6202</v>
      </c>
      <c r="G176" s="193">
        <f>IF(_1_54128456121462410464578910174567[[#This Row],[Type]]&gt;0,VLOOKUP(_1_54128456121462410464578910174567[[#This Row],[Type]],Main[[#All],[TYPE]:[UNIT]],'Unit Price'!C$1,FALSE),0)</f>
        <v>0</v>
      </c>
      <c r="H176" s="197">
        <f>IF(_1_54128456121462410464578910174567[[#This Row],[Type]]&gt;0,VLOOKUP(_1_54128456121462410464578910174567[[#This Row],[Type]],Main[[#All],[TYPE]:[UNIT]],'Unit Price'!D$1,FALSE),0)</f>
        <v>0</v>
      </c>
      <c r="I176" s="194">
        <f>IF(_1_54128456121462410464578910174567[[#This Row],[Type]]&gt;0,VLOOKUP(_1_54128456121462410464578910174567[[#This Row],[Type]],Main[[#All],[TYPE]:[UNIT]],'Unit Price'!G$1,FALSE),0)</f>
        <v>0</v>
      </c>
      <c r="J176" s="194">
        <f>IF(_1_54128456121462410464578910174567[[#This Row],[Type]]&gt;0,VLOOKUP(_1_54128456121462410464578910174567[[#This Row],[Type]],Main[[#All],[TYPE]:[UNIT]],'Unit Price'!H$1,FALSE),0)</f>
        <v>0</v>
      </c>
      <c r="K176" s="194">
        <f>IF(_1_54128456121462410464578910174567[[#This Row],[Discount selection]]&gt;0,VLOOKUP(_1_54128456121462410464578910174567[[#This Row],[Discount selection]],'Discount Structure'!$A$2:$B$30,2,"false"),0)</f>
        <v>1</v>
      </c>
      <c r="L176" s="194">
        <f>_1_54128456121462410464578910174567[[#This Row],[LIST $]]*_1_54128456121462410464578910174567[[#This Row],[DISCOUNT]]*_1_54128456121462410464578910174567[[#This Row],[DISCOUNT 2]]</f>
        <v>0</v>
      </c>
      <c r="M176" s="194">
        <f>IF(OR(_1_54128456121462410464578910174567[[#This Row],[UNIT]]&gt;0,_1_54128456121462410464578910174567[[#This Row],[UNIT]]&lt;0),_1_54128456121462410464578910174567[[#This Row],[UNIT]]*_1_54128456121462410464578910174567[[#This Row],[COST]],0)</f>
        <v>0</v>
      </c>
      <c r="N176" s="194">
        <f t="shared" si="2"/>
        <v>1.3</v>
      </c>
      <c r="O176" s="198">
        <f>_1_54128456121462410464578910174567[[#This Row],[TOTAL]]*_1_54128456121462410464578910174567[[#This Row],[MARGIN]]</f>
        <v>0</v>
      </c>
      <c r="R176" s="41"/>
    </row>
    <row r="177" spans="2:18">
      <c r="C177" s="168"/>
      <c r="D177" s="188"/>
      <c r="F177" s="168" t="s">
        <v>6202</v>
      </c>
      <c r="G177" s="193">
        <f>IF(_1_54128456121462410464578910174567[[#This Row],[Type]]&gt;0,VLOOKUP(_1_54128456121462410464578910174567[[#This Row],[Type]],Main[[#All],[TYPE]:[UNIT]],'Unit Price'!C$1,FALSE),0)</f>
        <v>0</v>
      </c>
      <c r="H177" s="197">
        <f>IF(_1_54128456121462410464578910174567[[#This Row],[Type]]&gt;0,VLOOKUP(_1_54128456121462410464578910174567[[#This Row],[Type]],Main[[#All],[TYPE]:[UNIT]],'Unit Price'!D$1,FALSE),0)</f>
        <v>0</v>
      </c>
      <c r="I177" s="194">
        <f>IF(_1_54128456121462410464578910174567[[#This Row],[Type]]&gt;0,VLOOKUP(_1_54128456121462410464578910174567[[#This Row],[Type]],Main[[#All],[TYPE]:[UNIT]],'Unit Price'!G$1,FALSE),0)</f>
        <v>0</v>
      </c>
      <c r="J177" s="194">
        <f>IF(_1_54128456121462410464578910174567[[#This Row],[Type]]&gt;0,VLOOKUP(_1_54128456121462410464578910174567[[#This Row],[Type]],Main[[#All],[TYPE]:[UNIT]],'Unit Price'!H$1,FALSE),0)</f>
        <v>0</v>
      </c>
      <c r="K177" s="194">
        <f>IF(_1_54128456121462410464578910174567[[#This Row],[Discount selection]]&gt;0,VLOOKUP(_1_54128456121462410464578910174567[[#This Row],[Discount selection]],'Discount Structure'!$A$2:$B$30,2,"false"),0)</f>
        <v>1</v>
      </c>
      <c r="L177" s="194">
        <f>_1_54128456121462410464578910174567[[#This Row],[LIST $]]*_1_54128456121462410464578910174567[[#This Row],[DISCOUNT]]*_1_54128456121462410464578910174567[[#This Row],[DISCOUNT 2]]</f>
        <v>0</v>
      </c>
      <c r="M177" s="194">
        <f>IF(OR(_1_54128456121462410464578910174567[[#This Row],[UNIT]]&gt;0,_1_54128456121462410464578910174567[[#This Row],[UNIT]]&lt;0),_1_54128456121462410464578910174567[[#This Row],[UNIT]]*_1_54128456121462410464578910174567[[#This Row],[COST]],0)</f>
        <v>0</v>
      </c>
      <c r="N177" s="194">
        <f t="shared" si="2"/>
        <v>1.3</v>
      </c>
      <c r="O177" s="198">
        <f>_1_54128456121462410464578910174567[[#This Row],[TOTAL]]*_1_54128456121462410464578910174567[[#This Row],[MARGIN]]</f>
        <v>0</v>
      </c>
      <c r="R177" s="41"/>
    </row>
    <row r="178" spans="2:18">
      <c r="C178" s="168"/>
      <c r="D178" s="188"/>
      <c r="F178" s="168" t="s">
        <v>6202</v>
      </c>
      <c r="G178" s="193">
        <f>IF(_1_54128456121462410464578910174567[[#This Row],[Type]]&gt;0,VLOOKUP(_1_54128456121462410464578910174567[[#This Row],[Type]],Main[[#All],[TYPE]:[UNIT]],'Unit Price'!C$1,FALSE),0)</f>
        <v>0</v>
      </c>
      <c r="H178" s="197">
        <f>IF(_1_54128456121462410464578910174567[[#This Row],[Type]]&gt;0,VLOOKUP(_1_54128456121462410464578910174567[[#This Row],[Type]],Main[[#All],[TYPE]:[UNIT]],'Unit Price'!D$1,FALSE),0)</f>
        <v>0</v>
      </c>
      <c r="I178" s="194">
        <f>IF(_1_54128456121462410464578910174567[[#This Row],[Type]]&gt;0,VLOOKUP(_1_54128456121462410464578910174567[[#This Row],[Type]],Main[[#All],[TYPE]:[UNIT]],'Unit Price'!G$1,FALSE),0)</f>
        <v>0</v>
      </c>
      <c r="J178" s="194">
        <f>IF(_1_54128456121462410464578910174567[[#This Row],[Type]]&gt;0,VLOOKUP(_1_54128456121462410464578910174567[[#This Row],[Type]],Main[[#All],[TYPE]:[UNIT]],'Unit Price'!H$1,FALSE),0)</f>
        <v>0</v>
      </c>
      <c r="K178" s="194">
        <f>IF(_1_54128456121462410464578910174567[[#This Row],[Discount selection]]&gt;0,VLOOKUP(_1_54128456121462410464578910174567[[#This Row],[Discount selection]],'Discount Structure'!$A$2:$B$30,2,"false"),0)</f>
        <v>1</v>
      </c>
      <c r="L178" s="194">
        <f>_1_54128456121462410464578910174567[[#This Row],[LIST $]]*_1_54128456121462410464578910174567[[#This Row],[DISCOUNT]]*_1_54128456121462410464578910174567[[#This Row],[DISCOUNT 2]]</f>
        <v>0</v>
      </c>
      <c r="M178" s="194">
        <f>IF(OR(_1_54128456121462410464578910174567[[#This Row],[UNIT]]&gt;0,_1_54128456121462410464578910174567[[#This Row],[UNIT]]&lt;0),_1_54128456121462410464578910174567[[#This Row],[UNIT]]*_1_54128456121462410464578910174567[[#This Row],[COST]],0)</f>
        <v>0</v>
      </c>
      <c r="N178" s="194">
        <f t="shared" si="2"/>
        <v>1.3</v>
      </c>
      <c r="O178" s="198">
        <f>_1_54128456121462410464578910174567[[#This Row],[TOTAL]]*_1_54128456121462410464578910174567[[#This Row],[MARGIN]]</f>
        <v>0</v>
      </c>
      <c r="R178" s="41"/>
    </row>
    <row r="179" spans="2:18">
      <c r="C179" s="168"/>
      <c r="D179" s="188"/>
      <c r="F179" s="168" t="s">
        <v>6202</v>
      </c>
      <c r="G179" s="193">
        <f>IF(_1_54128456121462410464578910174567[[#This Row],[Type]]&gt;0,VLOOKUP(_1_54128456121462410464578910174567[[#This Row],[Type]],Main[[#All],[TYPE]:[UNIT]],'Unit Price'!C$1,FALSE),0)</f>
        <v>0</v>
      </c>
      <c r="H179" s="197">
        <f>IF(_1_54128456121462410464578910174567[[#This Row],[Type]]&gt;0,VLOOKUP(_1_54128456121462410464578910174567[[#This Row],[Type]],Main[[#All],[TYPE]:[UNIT]],'Unit Price'!D$1,FALSE),0)</f>
        <v>0</v>
      </c>
      <c r="I179" s="194">
        <f>IF(_1_54128456121462410464578910174567[[#This Row],[Type]]&gt;0,VLOOKUP(_1_54128456121462410464578910174567[[#This Row],[Type]],Main[[#All],[TYPE]:[UNIT]],'Unit Price'!G$1,FALSE),0)</f>
        <v>0</v>
      </c>
      <c r="J179" s="194">
        <f>IF(_1_54128456121462410464578910174567[[#This Row],[Type]]&gt;0,VLOOKUP(_1_54128456121462410464578910174567[[#This Row],[Type]],Main[[#All],[TYPE]:[UNIT]],'Unit Price'!H$1,FALSE),0)</f>
        <v>0</v>
      </c>
      <c r="K179" s="194">
        <f>IF(_1_54128456121462410464578910174567[[#This Row],[Discount selection]]&gt;0,VLOOKUP(_1_54128456121462410464578910174567[[#This Row],[Discount selection]],'Discount Structure'!$A$2:$B$30,2,"false"),0)</f>
        <v>1</v>
      </c>
      <c r="L179" s="194">
        <f>_1_54128456121462410464578910174567[[#This Row],[LIST $]]*_1_54128456121462410464578910174567[[#This Row],[DISCOUNT]]*_1_54128456121462410464578910174567[[#This Row],[DISCOUNT 2]]</f>
        <v>0</v>
      </c>
      <c r="M179" s="194">
        <f>IF(OR(_1_54128456121462410464578910174567[[#This Row],[UNIT]]&gt;0,_1_54128456121462410464578910174567[[#This Row],[UNIT]]&lt;0),_1_54128456121462410464578910174567[[#This Row],[UNIT]]*_1_54128456121462410464578910174567[[#This Row],[COST]],0)</f>
        <v>0</v>
      </c>
      <c r="N179" s="194">
        <f t="shared" si="2"/>
        <v>1.3</v>
      </c>
      <c r="O179" s="198">
        <f>_1_54128456121462410464578910174567[[#This Row],[TOTAL]]*_1_54128456121462410464578910174567[[#This Row],[MARGIN]]</f>
        <v>0</v>
      </c>
      <c r="R179" s="41"/>
    </row>
    <row r="180" spans="2:18">
      <c r="C180" s="168"/>
      <c r="D180" s="188"/>
      <c r="F180" s="168" t="s">
        <v>6202</v>
      </c>
      <c r="G180" s="193">
        <f>IF(_1_54128456121462410464578910174567[[#This Row],[Type]]&gt;0,VLOOKUP(_1_54128456121462410464578910174567[[#This Row],[Type]],Main[[#All],[TYPE]:[UNIT]],'Unit Price'!C$1,FALSE),0)</f>
        <v>0</v>
      </c>
      <c r="H180" s="197">
        <f>IF(_1_54128456121462410464578910174567[[#This Row],[Type]]&gt;0,VLOOKUP(_1_54128456121462410464578910174567[[#This Row],[Type]],Main[[#All],[TYPE]:[UNIT]],'Unit Price'!D$1,FALSE),0)</f>
        <v>0</v>
      </c>
      <c r="I180" s="194">
        <f>IF(_1_54128456121462410464578910174567[[#This Row],[Type]]&gt;0,VLOOKUP(_1_54128456121462410464578910174567[[#This Row],[Type]],Main[[#All],[TYPE]:[UNIT]],'Unit Price'!G$1,FALSE),0)</f>
        <v>0</v>
      </c>
      <c r="J180" s="194">
        <f>IF(_1_54128456121462410464578910174567[[#This Row],[Type]]&gt;0,VLOOKUP(_1_54128456121462410464578910174567[[#This Row],[Type]],Main[[#All],[TYPE]:[UNIT]],'Unit Price'!H$1,FALSE),0)</f>
        <v>0</v>
      </c>
      <c r="K180" s="194">
        <f>IF(_1_54128456121462410464578910174567[[#This Row],[Discount selection]]&gt;0,VLOOKUP(_1_54128456121462410464578910174567[[#This Row],[Discount selection]],'Discount Structure'!$A$2:$B$30,2,"false"),0)</f>
        <v>1</v>
      </c>
      <c r="L180" s="194">
        <f>_1_54128456121462410464578910174567[[#This Row],[LIST $]]*_1_54128456121462410464578910174567[[#This Row],[DISCOUNT]]*_1_54128456121462410464578910174567[[#This Row],[DISCOUNT 2]]</f>
        <v>0</v>
      </c>
      <c r="M180" s="194">
        <f>IF(OR(_1_54128456121462410464578910174567[[#This Row],[UNIT]]&gt;0,_1_54128456121462410464578910174567[[#This Row],[UNIT]]&lt;0),_1_54128456121462410464578910174567[[#This Row],[UNIT]]*_1_54128456121462410464578910174567[[#This Row],[COST]],0)</f>
        <v>0</v>
      </c>
      <c r="N180" s="194">
        <f t="shared" si="2"/>
        <v>1.3</v>
      </c>
      <c r="O180" s="198">
        <f>_1_54128456121462410464578910174567[[#This Row],[TOTAL]]*_1_54128456121462410464578910174567[[#This Row],[MARGIN]]</f>
        <v>0</v>
      </c>
      <c r="R180" s="41"/>
    </row>
    <row r="181" spans="2:18">
      <c r="C181" s="168"/>
      <c r="D181" s="188"/>
      <c r="F181" s="168" t="s">
        <v>6202</v>
      </c>
      <c r="G181" s="193">
        <f>IF(_1_54128456121462410464578910174567[[#This Row],[Type]]&gt;0,VLOOKUP(_1_54128456121462410464578910174567[[#This Row],[Type]],Main[[#All],[TYPE]:[UNIT]],'Unit Price'!C$1,FALSE),0)</f>
        <v>0</v>
      </c>
      <c r="H181" s="197">
        <f>IF(_1_54128456121462410464578910174567[[#This Row],[Type]]&gt;0,VLOOKUP(_1_54128456121462410464578910174567[[#This Row],[Type]],Main[[#All],[TYPE]:[UNIT]],'Unit Price'!D$1,FALSE),0)</f>
        <v>0</v>
      </c>
      <c r="I181" s="194">
        <f>IF(_1_54128456121462410464578910174567[[#This Row],[Type]]&gt;0,VLOOKUP(_1_54128456121462410464578910174567[[#This Row],[Type]],Main[[#All],[TYPE]:[UNIT]],'Unit Price'!G$1,FALSE),0)</f>
        <v>0</v>
      </c>
      <c r="J181" s="194">
        <f>IF(_1_54128456121462410464578910174567[[#This Row],[Type]]&gt;0,VLOOKUP(_1_54128456121462410464578910174567[[#This Row],[Type]],Main[[#All],[TYPE]:[UNIT]],'Unit Price'!H$1,FALSE),0)</f>
        <v>0</v>
      </c>
      <c r="K181" s="194">
        <f>IF(_1_54128456121462410464578910174567[[#This Row],[Discount selection]]&gt;0,VLOOKUP(_1_54128456121462410464578910174567[[#This Row],[Discount selection]],'Discount Structure'!$A$2:$B$30,2,"false"),0)</f>
        <v>1</v>
      </c>
      <c r="L181" s="194">
        <f>_1_54128456121462410464578910174567[[#This Row],[LIST $]]*_1_54128456121462410464578910174567[[#This Row],[DISCOUNT]]*_1_54128456121462410464578910174567[[#This Row],[DISCOUNT 2]]</f>
        <v>0</v>
      </c>
      <c r="M181" s="194">
        <f>IF(OR(_1_54128456121462410464578910174567[[#This Row],[UNIT]]&gt;0,_1_54128456121462410464578910174567[[#This Row],[UNIT]]&lt;0),_1_54128456121462410464578910174567[[#This Row],[UNIT]]*_1_54128456121462410464578910174567[[#This Row],[COST]],0)</f>
        <v>0</v>
      </c>
      <c r="N181" s="194">
        <f t="shared" si="2"/>
        <v>1.3</v>
      </c>
      <c r="O181" s="198">
        <f>_1_54128456121462410464578910174567[[#This Row],[TOTAL]]*_1_54128456121462410464578910174567[[#This Row],[MARGIN]]</f>
        <v>0</v>
      </c>
      <c r="R181" s="41"/>
    </row>
    <row r="182" spans="2:18">
      <c r="C182" s="168"/>
      <c r="D182" s="188"/>
      <c r="F182" s="168" t="s">
        <v>6202</v>
      </c>
      <c r="G182" s="193">
        <f>IF(_1_54128456121462410464578910174567[[#This Row],[Type]]&gt;0,VLOOKUP(_1_54128456121462410464578910174567[[#This Row],[Type]],Main[[#All],[TYPE]:[UNIT]],'Unit Price'!C$1,FALSE),0)</f>
        <v>0</v>
      </c>
      <c r="H182" s="197">
        <f>IF(_1_54128456121462410464578910174567[[#This Row],[Type]]&gt;0,VLOOKUP(_1_54128456121462410464578910174567[[#This Row],[Type]],Main[[#All],[TYPE]:[UNIT]],'Unit Price'!D$1,FALSE),0)</f>
        <v>0</v>
      </c>
      <c r="I182" s="194">
        <f>IF(_1_54128456121462410464578910174567[[#This Row],[Type]]&gt;0,VLOOKUP(_1_54128456121462410464578910174567[[#This Row],[Type]],Main[[#All],[TYPE]:[UNIT]],'Unit Price'!G$1,FALSE),0)</f>
        <v>0</v>
      </c>
      <c r="J182" s="194">
        <f>IF(_1_54128456121462410464578910174567[[#This Row],[Type]]&gt;0,VLOOKUP(_1_54128456121462410464578910174567[[#This Row],[Type]],Main[[#All],[TYPE]:[UNIT]],'Unit Price'!H$1,FALSE),0)</f>
        <v>0</v>
      </c>
      <c r="K182" s="194">
        <f>IF(_1_54128456121462410464578910174567[[#This Row],[Discount selection]]&gt;0,VLOOKUP(_1_54128456121462410464578910174567[[#This Row],[Discount selection]],'Discount Structure'!$A$2:$B$30,2,"false"),0)</f>
        <v>1</v>
      </c>
      <c r="L182" s="194">
        <f>_1_54128456121462410464578910174567[[#This Row],[LIST $]]*_1_54128456121462410464578910174567[[#This Row],[DISCOUNT]]*_1_54128456121462410464578910174567[[#This Row],[DISCOUNT 2]]</f>
        <v>0</v>
      </c>
      <c r="M182" s="194">
        <f>IF(OR(_1_54128456121462410464578910174567[[#This Row],[UNIT]]&gt;0,_1_54128456121462410464578910174567[[#This Row],[UNIT]]&lt;0),_1_54128456121462410464578910174567[[#This Row],[UNIT]]*_1_54128456121462410464578910174567[[#This Row],[COST]],0)</f>
        <v>0</v>
      </c>
      <c r="N182" s="194">
        <f t="shared" si="2"/>
        <v>1.3</v>
      </c>
      <c r="O182" s="198">
        <f>_1_54128456121462410464578910174567[[#This Row],[TOTAL]]*_1_54128456121462410464578910174567[[#This Row],[MARGIN]]</f>
        <v>0</v>
      </c>
      <c r="R182" s="41"/>
    </row>
    <row r="183" spans="2:18">
      <c r="C183" s="168"/>
      <c r="D183" s="188"/>
      <c r="F183" s="168" t="s">
        <v>6202</v>
      </c>
      <c r="G183" s="193">
        <f>IF(_1_54128456121462410464578910174567[[#This Row],[Type]]&gt;0,VLOOKUP(_1_54128456121462410464578910174567[[#This Row],[Type]],Main[[#All],[TYPE]:[UNIT]],'Unit Price'!C$1,FALSE),0)</f>
        <v>0</v>
      </c>
      <c r="H183" s="197">
        <f>IF(_1_54128456121462410464578910174567[[#This Row],[Type]]&gt;0,VLOOKUP(_1_54128456121462410464578910174567[[#This Row],[Type]],Main[[#All],[TYPE]:[UNIT]],'Unit Price'!D$1,FALSE),0)</f>
        <v>0</v>
      </c>
      <c r="I183" s="194">
        <f>IF(_1_54128456121462410464578910174567[[#This Row],[Type]]&gt;0,VLOOKUP(_1_54128456121462410464578910174567[[#This Row],[Type]],Main[[#All],[TYPE]:[UNIT]],'Unit Price'!G$1,FALSE),0)</f>
        <v>0</v>
      </c>
      <c r="J183" s="194">
        <f>IF(_1_54128456121462410464578910174567[[#This Row],[Type]]&gt;0,VLOOKUP(_1_54128456121462410464578910174567[[#This Row],[Type]],Main[[#All],[TYPE]:[UNIT]],'Unit Price'!H$1,FALSE),0)</f>
        <v>0</v>
      </c>
      <c r="K183" s="194">
        <f>IF(_1_54128456121462410464578910174567[[#This Row],[Discount selection]]&gt;0,VLOOKUP(_1_54128456121462410464578910174567[[#This Row],[Discount selection]],'Discount Structure'!$A$2:$B$30,2,"false"),0)</f>
        <v>1</v>
      </c>
      <c r="L183" s="194">
        <f>_1_54128456121462410464578910174567[[#This Row],[LIST $]]*_1_54128456121462410464578910174567[[#This Row],[DISCOUNT]]*_1_54128456121462410464578910174567[[#This Row],[DISCOUNT 2]]</f>
        <v>0</v>
      </c>
      <c r="M183" s="194">
        <f>IF(OR(_1_54128456121462410464578910174567[[#This Row],[UNIT]]&gt;0,_1_54128456121462410464578910174567[[#This Row],[UNIT]]&lt;0),_1_54128456121462410464578910174567[[#This Row],[UNIT]]*_1_54128456121462410464578910174567[[#This Row],[COST]],0)</f>
        <v>0</v>
      </c>
      <c r="N183" s="194">
        <f t="shared" si="2"/>
        <v>1.3</v>
      </c>
      <c r="O183" s="198">
        <f>_1_54128456121462410464578910174567[[#This Row],[TOTAL]]*_1_54128456121462410464578910174567[[#This Row],[MARGIN]]</f>
        <v>0</v>
      </c>
      <c r="R183" s="41"/>
    </row>
    <row r="184" spans="2:18">
      <c r="C184" s="168"/>
      <c r="D184" s="188"/>
      <c r="F184" s="168" t="s">
        <v>6202</v>
      </c>
      <c r="G184" s="193">
        <f>IF(_1_54128456121462410464578910174567[[#This Row],[Type]]&gt;0,VLOOKUP(_1_54128456121462410464578910174567[[#This Row],[Type]],Main[[#All],[TYPE]:[UNIT]],'Unit Price'!C$1,FALSE),0)</f>
        <v>0</v>
      </c>
      <c r="H184" s="197">
        <f>IF(_1_54128456121462410464578910174567[[#This Row],[Type]]&gt;0,VLOOKUP(_1_54128456121462410464578910174567[[#This Row],[Type]],Main[[#All],[TYPE]:[UNIT]],'Unit Price'!D$1,FALSE),0)</f>
        <v>0</v>
      </c>
      <c r="I184" s="194">
        <f>IF(_1_54128456121462410464578910174567[[#This Row],[Type]]&gt;0,VLOOKUP(_1_54128456121462410464578910174567[[#This Row],[Type]],Main[[#All],[TYPE]:[UNIT]],'Unit Price'!G$1,FALSE),0)</f>
        <v>0</v>
      </c>
      <c r="J184" s="194">
        <f>IF(_1_54128456121462410464578910174567[[#This Row],[Type]]&gt;0,VLOOKUP(_1_54128456121462410464578910174567[[#This Row],[Type]],Main[[#All],[TYPE]:[UNIT]],'Unit Price'!H$1,FALSE),0)</f>
        <v>0</v>
      </c>
      <c r="K184" s="194">
        <f>IF(_1_54128456121462410464578910174567[[#This Row],[Discount selection]]&gt;0,VLOOKUP(_1_54128456121462410464578910174567[[#This Row],[Discount selection]],'Discount Structure'!$A$2:$B$30,2,"false"),0)</f>
        <v>1</v>
      </c>
      <c r="L184" s="194">
        <f>_1_54128456121462410464578910174567[[#This Row],[LIST $]]*_1_54128456121462410464578910174567[[#This Row],[DISCOUNT]]*_1_54128456121462410464578910174567[[#This Row],[DISCOUNT 2]]</f>
        <v>0</v>
      </c>
      <c r="M184" s="194">
        <f>IF(OR(_1_54128456121462410464578910174567[[#This Row],[UNIT]]&gt;0,_1_54128456121462410464578910174567[[#This Row],[UNIT]]&lt;0),_1_54128456121462410464578910174567[[#This Row],[UNIT]]*_1_54128456121462410464578910174567[[#This Row],[COST]],0)</f>
        <v>0</v>
      </c>
      <c r="N184" s="194">
        <f t="shared" si="2"/>
        <v>1.3</v>
      </c>
      <c r="O184" s="198">
        <f>_1_54128456121462410464578910174567[[#This Row],[TOTAL]]*_1_54128456121462410464578910174567[[#This Row],[MARGIN]]</f>
        <v>0</v>
      </c>
      <c r="R184" s="41"/>
    </row>
    <row r="185" spans="2:18">
      <c r="C185" s="168"/>
      <c r="D185" s="188"/>
      <c r="F185" s="168" t="s">
        <v>6202</v>
      </c>
      <c r="G185" s="193">
        <f>IF(_1_54128456121462410464578910174567[[#This Row],[Type]]&gt;0,VLOOKUP(_1_54128456121462410464578910174567[[#This Row],[Type]],Main[[#All],[TYPE]:[UNIT]],'Unit Price'!C$1,FALSE),0)</f>
        <v>0</v>
      </c>
      <c r="H185" s="197">
        <f>IF(_1_54128456121462410464578910174567[[#This Row],[Type]]&gt;0,VLOOKUP(_1_54128456121462410464578910174567[[#This Row],[Type]],Main[[#All],[TYPE]:[UNIT]],'Unit Price'!D$1,FALSE),0)</f>
        <v>0</v>
      </c>
      <c r="I185" s="194">
        <f>IF(_1_54128456121462410464578910174567[[#This Row],[Type]]&gt;0,VLOOKUP(_1_54128456121462410464578910174567[[#This Row],[Type]],Main[[#All],[TYPE]:[UNIT]],'Unit Price'!G$1,FALSE),0)</f>
        <v>0</v>
      </c>
      <c r="J185" s="194">
        <f>IF(_1_54128456121462410464578910174567[[#This Row],[Type]]&gt;0,VLOOKUP(_1_54128456121462410464578910174567[[#This Row],[Type]],Main[[#All],[TYPE]:[UNIT]],'Unit Price'!H$1,FALSE),0)</f>
        <v>0</v>
      </c>
      <c r="K185" s="194">
        <f>IF(_1_54128456121462410464578910174567[[#This Row],[Discount selection]]&gt;0,VLOOKUP(_1_54128456121462410464578910174567[[#This Row],[Discount selection]],'Discount Structure'!$A$2:$B$30,2,"false"),0)</f>
        <v>1</v>
      </c>
      <c r="L185" s="194">
        <f>_1_54128456121462410464578910174567[[#This Row],[LIST $]]*_1_54128456121462410464578910174567[[#This Row],[DISCOUNT]]*_1_54128456121462410464578910174567[[#This Row],[DISCOUNT 2]]</f>
        <v>0</v>
      </c>
      <c r="M185" s="194">
        <f>IF(OR(_1_54128456121462410464578910174567[[#This Row],[UNIT]]&gt;0,_1_54128456121462410464578910174567[[#This Row],[UNIT]]&lt;0),_1_54128456121462410464578910174567[[#This Row],[UNIT]]*_1_54128456121462410464578910174567[[#This Row],[COST]],0)</f>
        <v>0</v>
      </c>
      <c r="N185" s="194">
        <f t="shared" si="2"/>
        <v>1.3</v>
      </c>
      <c r="O185" s="198">
        <f>_1_54128456121462410464578910174567[[#This Row],[TOTAL]]*_1_54128456121462410464578910174567[[#This Row],[MARGIN]]</f>
        <v>0</v>
      </c>
      <c r="R185" s="41"/>
    </row>
    <row r="186" spans="2:18">
      <c r="C186" s="168"/>
      <c r="D186" s="188"/>
      <c r="F186" s="168" t="s">
        <v>6202</v>
      </c>
      <c r="G186" s="193">
        <f>IF(_1_54128456121462410464578910174567[[#This Row],[Type]]&gt;0,VLOOKUP(_1_54128456121462410464578910174567[[#This Row],[Type]],Main[[#All],[TYPE]:[UNIT]],'Unit Price'!C$1,FALSE),0)</f>
        <v>0</v>
      </c>
      <c r="H186" s="197">
        <f>IF(_1_54128456121462410464578910174567[[#This Row],[Type]]&gt;0,VLOOKUP(_1_54128456121462410464578910174567[[#This Row],[Type]],Main[[#All],[TYPE]:[UNIT]],'Unit Price'!D$1,FALSE),0)</f>
        <v>0</v>
      </c>
      <c r="I186" s="194">
        <f>IF(_1_54128456121462410464578910174567[[#This Row],[Type]]&gt;0,VLOOKUP(_1_54128456121462410464578910174567[[#This Row],[Type]],Main[[#All],[TYPE]:[UNIT]],'Unit Price'!G$1,FALSE),0)</f>
        <v>0</v>
      </c>
      <c r="J186" s="194">
        <f>IF(_1_54128456121462410464578910174567[[#This Row],[Type]]&gt;0,VLOOKUP(_1_54128456121462410464578910174567[[#This Row],[Type]],Main[[#All],[TYPE]:[UNIT]],'Unit Price'!H$1,FALSE),0)</f>
        <v>0</v>
      </c>
      <c r="K186" s="194">
        <f>IF(_1_54128456121462410464578910174567[[#This Row],[Discount selection]]&gt;0,VLOOKUP(_1_54128456121462410464578910174567[[#This Row],[Discount selection]],'Discount Structure'!$A$2:$B$30,2,"false"),0)</f>
        <v>1</v>
      </c>
      <c r="L186" s="194">
        <f>_1_54128456121462410464578910174567[[#This Row],[LIST $]]*_1_54128456121462410464578910174567[[#This Row],[DISCOUNT]]*_1_54128456121462410464578910174567[[#This Row],[DISCOUNT 2]]</f>
        <v>0</v>
      </c>
      <c r="M186" s="194">
        <f>IF(OR(_1_54128456121462410464578910174567[[#This Row],[UNIT]]&gt;0,_1_54128456121462410464578910174567[[#This Row],[UNIT]]&lt;0),_1_54128456121462410464578910174567[[#This Row],[UNIT]]*_1_54128456121462410464578910174567[[#This Row],[COST]],0)</f>
        <v>0</v>
      </c>
      <c r="N186" s="194">
        <f t="shared" si="2"/>
        <v>1.3</v>
      </c>
      <c r="O186" s="198">
        <f>_1_54128456121462410464578910174567[[#This Row],[TOTAL]]*_1_54128456121462410464578910174567[[#This Row],[MARGIN]]</f>
        <v>0</v>
      </c>
      <c r="R186" s="41"/>
    </row>
    <row r="187" spans="2:18">
      <c r="C187" s="168"/>
      <c r="D187" s="188"/>
      <c r="F187" s="168" t="s">
        <v>6202</v>
      </c>
      <c r="G187" s="193">
        <f>IF(_1_54128456121462410464578910174567[[#This Row],[Type]]&gt;0,VLOOKUP(_1_54128456121462410464578910174567[[#This Row],[Type]],Main[[#All],[TYPE]:[UNIT]],'Unit Price'!C$1,FALSE),0)</f>
        <v>0</v>
      </c>
      <c r="H187" s="197">
        <f>IF(_1_54128456121462410464578910174567[[#This Row],[Type]]&gt;0,VLOOKUP(_1_54128456121462410464578910174567[[#This Row],[Type]],Main[[#All],[TYPE]:[UNIT]],'Unit Price'!D$1,FALSE),0)</f>
        <v>0</v>
      </c>
      <c r="I187" s="194">
        <f>IF(_1_54128456121462410464578910174567[[#This Row],[Type]]&gt;0,VLOOKUP(_1_54128456121462410464578910174567[[#This Row],[Type]],Main[[#All],[TYPE]:[UNIT]],'Unit Price'!G$1,FALSE),0)</f>
        <v>0</v>
      </c>
      <c r="J187" s="194">
        <f>IF(_1_54128456121462410464578910174567[[#This Row],[Type]]&gt;0,VLOOKUP(_1_54128456121462410464578910174567[[#This Row],[Type]],Main[[#All],[TYPE]:[UNIT]],'Unit Price'!H$1,FALSE),0)</f>
        <v>0</v>
      </c>
      <c r="K187" s="194">
        <f>IF(_1_54128456121462410464578910174567[[#This Row],[Discount selection]]&gt;0,VLOOKUP(_1_54128456121462410464578910174567[[#This Row],[Discount selection]],'Discount Structure'!$A$2:$B$30,2,"false"),0)</f>
        <v>1</v>
      </c>
      <c r="L187" s="194">
        <f>_1_54128456121462410464578910174567[[#This Row],[LIST $]]*_1_54128456121462410464578910174567[[#This Row],[DISCOUNT]]*_1_54128456121462410464578910174567[[#This Row],[DISCOUNT 2]]</f>
        <v>0</v>
      </c>
      <c r="M187" s="194">
        <f>IF(OR(_1_54128456121462410464578910174567[[#This Row],[UNIT]]&gt;0,_1_54128456121462410464578910174567[[#This Row],[UNIT]]&lt;0),_1_54128456121462410464578910174567[[#This Row],[UNIT]]*_1_54128456121462410464578910174567[[#This Row],[COST]],0)</f>
        <v>0</v>
      </c>
      <c r="N187" s="194">
        <f t="shared" si="2"/>
        <v>1.3</v>
      </c>
      <c r="O187" s="198">
        <f>_1_54128456121462410464578910174567[[#This Row],[TOTAL]]*_1_54128456121462410464578910174567[[#This Row],[MARGIN]]</f>
        <v>0</v>
      </c>
      <c r="R187" s="41"/>
    </row>
    <row r="188" spans="2:18">
      <c r="B188" s="168"/>
      <c r="C188" s="168"/>
      <c r="D188" s="188"/>
      <c r="F188" s="168" t="s">
        <v>6202</v>
      </c>
      <c r="G188" s="193">
        <f>IF(_1_54128456121462410464578910174567[[#This Row],[Type]]&gt;0,VLOOKUP(_1_54128456121462410464578910174567[[#This Row],[Type]],Main[[#All],[TYPE]:[UNIT]],'Unit Price'!C$1,FALSE),0)</f>
        <v>0</v>
      </c>
      <c r="H188" s="197">
        <f>IF(_1_54128456121462410464578910174567[[#This Row],[Type]]&gt;0,VLOOKUP(_1_54128456121462410464578910174567[[#This Row],[Type]],Main[[#All],[TYPE]:[UNIT]],'Unit Price'!D$1,FALSE),0)</f>
        <v>0</v>
      </c>
      <c r="I188" s="194">
        <f>IF(_1_54128456121462410464578910174567[[#This Row],[Type]]&gt;0,VLOOKUP(_1_54128456121462410464578910174567[[#This Row],[Type]],Main[[#All],[TYPE]:[UNIT]],'Unit Price'!G$1,FALSE),0)</f>
        <v>0</v>
      </c>
      <c r="J188" s="194">
        <f>IF(_1_54128456121462410464578910174567[[#This Row],[Type]]&gt;0,VLOOKUP(_1_54128456121462410464578910174567[[#This Row],[Type]],Main[[#All],[TYPE]:[UNIT]],'Unit Price'!H$1,FALSE),0)</f>
        <v>0</v>
      </c>
      <c r="K188" s="194">
        <f>IF(_1_54128456121462410464578910174567[[#This Row],[Discount selection]]&gt;0,VLOOKUP(_1_54128456121462410464578910174567[[#This Row],[Discount selection]],'Discount Structure'!$A$2:$B$30,2,"false"),0)</f>
        <v>1</v>
      </c>
      <c r="L188" s="194">
        <f>_1_54128456121462410464578910174567[[#This Row],[LIST $]]*_1_54128456121462410464578910174567[[#This Row],[DISCOUNT]]*_1_54128456121462410464578910174567[[#This Row],[DISCOUNT 2]]</f>
        <v>0</v>
      </c>
      <c r="M188" s="194">
        <f>IF(OR(_1_54128456121462410464578910174567[[#This Row],[UNIT]]&gt;0,_1_54128456121462410464578910174567[[#This Row],[UNIT]]&lt;0),_1_54128456121462410464578910174567[[#This Row],[UNIT]]*_1_54128456121462410464578910174567[[#This Row],[COST]],0)</f>
        <v>0</v>
      </c>
      <c r="N188" s="194">
        <f t="shared" si="2"/>
        <v>1.3</v>
      </c>
      <c r="O188" s="198">
        <f>_1_54128456121462410464578910174567[[#This Row],[TOTAL]]*_1_54128456121462410464578910174567[[#This Row],[MARGIN]]</f>
        <v>0</v>
      </c>
      <c r="R188" s="41"/>
    </row>
    <row r="189" spans="2:18">
      <c r="C189" s="168"/>
      <c r="D189" s="188"/>
      <c r="F189" s="168" t="s">
        <v>6202</v>
      </c>
      <c r="G189" s="193">
        <f>IF(_1_54128456121462410464578910174567[[#This Row],[Type]]&gt;0,VLOOKUP(_1_54128456121462410464578910174567[[#This Row],[Type]],Main[[#All],[TYPE]:[UNIT]],'Unit Price'!C$1,FALSE),0)</f>
        <v>0</v>
      </c>
      <c r="H189" s="197">
        <f>IF(_1_54128456121462410464578910174567[[#This Row],[Type]]&gt;0,VLOOKUP(_1_54128456121462410464578910174567[[#This Row],[Type]],Main[[#All],[TYPE]:[UNIT]],'Unit Price'!D$1,FALSE),0)</f>
        <v>0</v>
      </c>
      <c r="I189" s="194">
        <f>IF(_1_54128456121462410464578910174567[[#This Row],[Type]]&gt;0,VLOOKUP(_1_54128456121462410464578910174567[[#This Row],[Type]],Main[[#All],[TYPE]:[UNIT]],'Unit Price'!G$1,FALSE),0)</f>
        <v>0</v>
      </c>
      <c r="J189" s="194">
        <f>IF(_1_54128456121462410464578910174567[[#This Row],[Type]]&gt;0,VLOOKUP(_1_54128456121462410464578910174567[[#This Row],[Type]],Main[[#All],[TYPE]:[UNIT]],'Unit Price'!H$1,FALSE),0)</f>
        <v>0</v>
      </c>
      <c r="K189" s="194">
        <f>IF(_1_54128456121462410464578910174567[[#This Row],[Discount selection]]&gt;0,VLOOKUP(_1_54128456121462410464578910174567[[#This Row],[Discount selection]],'Discount Structure'!$A$2:$B$30,2,"false"),0)</f>
        <v>1</v>
      </c>
      <c r="L189" s="194">
        <f>_1_54128456121462410464578910174567[[#This Row],[LIST $]]*_1_54128456121462410464578910174567[[#This Row],[DISCOUNT]]*_1_54128456121462410464578910174567[[#This Row],[DISCOUNT 2]]</f>
        <v>0</v>
      </c>
      <c r="M189" s="194">
        <f>IF(OR(_1_54128456121462410464578910174567[[#This Row],[UNIT]]&gt;0,_1_54128456121462410464578910174567[[#This Row],[UNIT]]&lt;0),_1_54128456121462410464578910174567[[#This Row],[UNIT]]*_1_54128456121462410464578910174567[[#This Row],[COST]],0)</f>
        <v>0</v>
      </c>
      <c r="N189" s="194">
        <f t="shared" si="2"/>
        <v>1.3</v>
      </c>
      <c r="O189" s="198">
        <f>_1_54128456121462410464578910174567[[#This Row],[TOTAL]]*_1_54128456121462410464578910174567[[#This Row],[MARGIN]]</f>
        <v>0</v>
      </c>
      <c r="R189" s="41"/>
    </row>
    <row r="190" spans="2:18">
      <c r="C190" s="168"/>
      <c r="D190" s="188"/>
      <c r="F190" s="168" t="s">
        <v>6202</v>
      </c>
      <c r="G190" s="193">
        <f>IF(_1_54128456121462410464578910174567[[#This Row],[Type]]&gt;0,VLOOKUP(_1_54128456121462410464578910174567[[#This Row],[Type]],Main[[#All],[TYPE]:[UNIT]],'Unit Price'!C$1,FALSE),0)</f>
        <v>0</v>
      </c>
      <c r="H190" s="197">
        <f>IF(_1_54128456121462410464578910174567[[#This Row],[Type]]&gt;0,VLOOKUP(_1_54128456121462410464578910174567[[#This Row],[Type]],Main[[#All],[TYPE]:[UNIT]],'Unit Price'!D$1,FALSE),0)</f>
        <v>0</v>
      </c>
      <c r="I190" s="194">
        <f>IF(_1_54128456121462410464578910174567[[#This Row],[Type]]&gt;0,VLOOKUP(_1_54128456121462410464578910174567[[#This Row],[Type]],Main[[#All],[TYPE]:[UNIT]],'Unit Price'!G$1,FALSE),0)</f>
        <v>0</v>
      </c>
      <c r="J190" s="194">
        <f>IF(_1_54128456121462410464578910174567[[#This Row],[Type]]&gt;0,VLOOKUP(_1_54128456121462410464578910174567[[#This Row],[Type]],Main[[#All],[TYPE]:[UNIT]],'Unit Price'!H$1,FALSE),0)</f>
        <v>0</v>
      </c>
      <c r="K190" s="194">
        <f>IF(_1_54128456121462410464578910174567[[#This Row],[Discount selection]]&gt;0,VLOOKUP(_1_54128456121462410464578910174567[[#This Row],[Discount selection]],'Discount Structure'!$A$2:$B$30,2,"false"),0)</f>
        <v>1</v>
      </c>
      <c r="L190" s="194">
        <f>_1_54128456121462410464578910174567[[#This Row],[LIST $]]*_1_54128456121462410464578910174567[[#This Row],[DISCOUNT]]*_1_54128456121462410464578910174567[[#This Row],[DISCOUNT 2]]</f>
        <v>0</v>
      </c>
      <c r="M190" s="194">
        <f>IF(OR(_1_54128456121462410464578910174567[[#This Row],[UNIT]]&gt;0,_1_54128456121462410464578910174567[[#This Row],[UNIT]]&lt;0),_1_54128456121462410464578910174567[[#This Row],[UNIT]]*_1_54128456121462410464578910174567[[#This Row],[COST]],0)</f>
        <v>0</v>
      </c>
      <c r="N190" s="194">
        <f t="shared" si="2"/>
        <v>1.3</v>
      </c>
      <c r="O190" s="198">
        <f>_1_54128456121462410464578910174567[[#This Row],[TOTAL]]*_1_54128456121462410464578910174567[[#This Row],[MARGIN]]</f>
        <v>0</v>
      </c>
      <c r="R190" s="41"/>
    </row>
    <row r="191" spans="2:18">
      <c r="C191" s="168"/>
      <c r="D191" s="188"/>
      <c r="F191" s="168" t="s">
        <v>6202</v>
      </c>
      <c r="G191" s="193">
        <f>IF(_1_54128456121462410464578910174567[[#This Row],[Type]]&gt;0,VLOOKUP(_1_54128456121462410464578910174567[[#This Row],[Type]],Main[[#All],[TYPE]:[UNIT]],'Unit Price'!C$1,FALSE),0)</f>
        <v>0</v>
      </c>
      <c r="H191" s="197">
        <f>IF(_1_54128456121462410464578910174567[[#This Row],[Type]]&gt;0,VLOOKUP(_1_54128456121462410464578910174567[[#This Row],[Type]],Main[[#All],[TYPE]:[UNIT]],'Unit Price'!D$1,FALSE),0)</f>
        <v>0</v>
      </c>
      <c r="I191" s="194">
        <f>IF(_1_54128456121462410464578910174567[[#This Row],[Type]]&gt;0,VLOOKUP(_1_54128456121462410464578910174567[[#This Row],[Type]],Main[[#All],[TYPE]:[UNIT]],'Unit Price'!G$1,FALSE),0)</f>
        <v>0</v>
      </c>
      <c r="J191" s="194">
        <f>IF(_1_54128456121462410464578910174567[[#This Row],[Type]]&gt;0,VLOOKUP(_1_54128456121462410464578910174567[[#This Row],[Type]],Main[[#All],[TYPE]:[UNIT]],'Unit Price'!H$1,FALSE),0)</f>
        <v>0</v>
      </c>
      <c r="K191" s="194">
        <f>IF(_1_54128456121462410464578910174567[[#This Row],[Discount selection]]&gt;0,VLOOKUP(_1_54128456121462410464578910174567[[#This Row],[Discount selection]],'Discount Structure'!$A$2:$B$30,2,"false"),0)</f>
        <v>1</v>
      </c>
      <c r="L191" s="194">
        <f>_1_54128456121462410464578910174567[[#This Row],[LIST $]]*_1_54128456121462410464578910174567[[#This Row],[DISCOUNT]]*_1_54128456121462410464578910174567[[#This Row],[DISCOUNT 2]]</f>
        <v>0</v>
      </c>
      <c r="M191" s="194">
        <f>IF(OR(_1_54128456121462410464578910174567[[#This Row],[UNIT]]&gt;0,_1_54128456121462410464578910174567[[#This Row],[UNIT]]&lt;0),_1_54128456121462410464578910174567[[#This Row],[UNIT]]*_1_54128456121462410464578910174567[[#This Row],[COST]],0)</f>
        <v>0</v>
      </c>
      <c r="N191" s="194">
        <f t="shared" si="2"/>
        <v>1.3</v>
      </c>
      <c r="O191" s="198">
        <f>_1_54128456121462410464578910174567[[#This Row],[TOTAL]]*_1_54128456121462410464578910174567[[#This Row],[MARGIN]]</f>
        <v>0</v>
      </c>
      <c r="R191" s="41"/>
    </row>
    <row r="192" spans="2:18">
      <c r="C192" s="168"/>
      <c r="D192" s="188"/>
      <c r="F192" s="168" t="s">
        <v>6202</v>
      </c>
      <c r="G192" s="193">
        <f>IF(_1_54128456121462410464578910174567[[#This Row],[Type]]&gt;0,VLOOKUP(_1_54128456121462410464578910174567[[#This Row],[Type]],Main[[#All],[TYPE]:[UNIT]],'Unit Price'!C$1,FALSE),0)</f>
        <v>0</v>
      </c>
      <c r="H192" s="197">
        <f>IF(_1_54128456121462410464578910174567[[#This Row],[Type]]&gt;0,VLOOKUP(_1_54128456121462410464578910174567[[#This Row],[Type]],Main[[#All],[TYPE]:[UNIT]],'Unit Price'!D$1,FALSE),0)</f>
        <v>0</v>
      </c>
      <c r="I192" s="194">
        <f>IF(_1_54128456121462410464578910174567[[#This Row],[Type]]&gt;0,VLOOKUP(_1_54128456121462410464578910174567[[#This Row],[Type]],Main[[#All],[TYPE]:[UNIT]],'Unit Price'!G$1,FALSE),0)</f>
        <v>0</v>
      </c>
      <c r="J192" s="194">
        <f>IF(_1_54128456121462410464578910174567[[#This Row],[Type]]&gt;0,VLOOKUP(_1_54128456121462410464578910174567[[#This Row],[Type]],Main[[#All],[TYPE]:[UNIT]],'Unit Price'!H$1,FALSE),0)</f>
        <v>0</v>
      </c>
      <c r="K192" s="194">
        <f>IF(_1_54128456121462410464578910174567[[#This Row],[Discount selection]]&gt;0,VLOOKUP(_1_54128456121462410464578910174567[[#This Row],[Discount selection]],'Discount Structure'!$A$2:$B$30,2,"false"),0)</f>
        <v>1</v>
      </c>
      <c r="L192" s="194">
        <f>_1_54128456121462410464578910174567[[#This Row],[LIST $]]*_1_54128456121462410464578910174567[[#This Row],[DISCOUNT]]*_1_54128456121462410464578910174567[[#This Row],[DISCOUNT 2]]</f>
        <v>0</v>
      </c>
      <c r="M192" s="194">
        <f>IF(OR(_1_54128456121462410464578910174567[[#This Row],[UNIT]]&gt;0,_1_54128456121462410464578910174567[[#This Row],[UNIT]]&lt;0),_1_54128456121462410464578910174567[[#This Row],[UNIT]]*_1_54128456121462410464578910174567[[#This Row],[COST]],0)</f>
        <v>0</v>
      </c>
      <c r="N192" s="194">
        <f t="shared" si="2"/>
        <v>1.3</v>
      </c>
      <c r="O192" s="198">
        <f>_1_54128456121462410464578910174567[[#This Row],[TOTAL]]*_1_54128456121462410464578910174567[[#This Row],[MARGIN]]</f>
        <v>0</v>
      </c>
      <c r="R192" s="41"/>
    </row>
    <row r="193" spans="1:18">
      <c r="A193" s="168"/>
      <c r="C193" s="168"/>
      <c r="D193" s="188"/>
      <c r="F193" s="168" t="s">
        <v>6202</v>
      </c>
      <c r="G193" s="193">
        <f>IF(_1_54128456121462410464578910174567[[#This Row],[Type]]&gt;0,VLOOKUP(_1_54128456121462410464578910174567[[#This Row],[Type]],Main[[#All],[TYPE]:[UNIT]],'Unit Price'!C$1,FALSE),0)</f>
        <v>0</v>
      </c>
      <c r="H193" s="197">
        <f>IF(_1_54128456121462410464578910174567[[#This Row],[Type]]&gt;0,VLOOKUP(_1_54128456121462410464578910174567[[#This Row],[Type]],Main[[#All],[TYPE]:[UNIT]],'Unit Price'!D$1,FALSE),0)</f>
        <v>0</v>
      </c>
      <c r="I193" s="194">
        <f>IF(_1_54128456121462410464578910174567[[#This Row],[Type]]&gt;0,VLOOKUP(_1_54128456121462410464578910174567[[#This Row],[Type]],Main[[#All],[TYPE]:[UNIT]],'Unit Price'!G$1,FALSE),0)</f>
        <v>0</v>
      </c>
      <c r="J193" s="194">
        <f>IF(_1_54128456121462410464578910174567[[#This Row],[Type]]&gt;0,VLOOKUP(_1_54128456121462410464578910174567[[#This Row],[Type]],Main[[#All],[TYPE]:[UNIT]],'Unit Price'!H$1,FALSE),0)</f>
        <v>0</v>
      </c>
      <c r="K193" s="194">
        <f>IF(_1_54128456121462410464578910174567[[#This Row],[Discount selection]]&gt;0,VLOOKUP(_1_54128456121462410464578910174567[[#This Row],[Discount selection]],'Discount Structure'!$A$2:$B$30,2,"false"),0)</f>
        <v>1</v>
      </c>
      <c r="L193" s="194">
        <f>_1_54128456121462410464578910174567[[#This Row],[LIST $]]*_1_54128456121462410464578910174567[[#This Row],[DISCOUNT]]*_1_54128456121462410464578910174567[[#This Row],[DISCOUNT 2]]</f>
        <v>0</v>
      </c>
      <c r="M193" s="194">
        <f>IF(OR(_1_54128456121462410464578910174567[[#This Row],[UNIT]]&gt;0,_1_54128456121462410464578910174567[[#This Row],[UNIT]]&lt;0),_1_54128456121462410464578910174567[[#This Row],[UNIT]]*_1_54128456121462410464578910174567[[#This Row],[COST]],0)</f>
        <v>0</v>
      </c>
      <c r="N193" s="194">
        <f t="shared" si="2"/>
        <v>1.3</v>
      </c>
      <c r="O193" s="198">
        <f>_1_54128456121462410464578910174567[[#This Row],[TOTAL]]*_1_54128456121462410464578910174567[[#This Row],[MARGIN]]</f>
        <v>0</v>
      </c>
      <c r="R193" s="41"/>
    </row>
    <row r="194" spans="1:18">
      <c r="C194" s="168"/>
      <c r="D194" s="188"/>
      <c r="F194" s="168" t="s">
        <v>6202</v>
      </c>
      <c r="G194" s="193">
        <f>IF(_1_54128456121462410464578910174567[[#This Row],[Type]]&gt;0,VLOOKUP(_1_54128456121462410464578910174567[[#This Row],[Type]],Main[[#All],[TYPE]:[UNIT]],'Unit Price'!C$1,FALSE),0)</f>
        <v>0</v>
      </c>
      <c r="H194" s="197">
        <f>IF(_1_54128456121462410464578910174567[[#This Row],[Type]]&gt;0,VLOOKUP(_1_54128456121462410464578910174567[[#This Row],[Type]],Main[[#All],[TYPE]:[UNIT]],'Unit Price'!D$1,FALSE),0)</f>
        <v>0</v>
      </c>
      <c r="I194" s="194">
        <f>IF(_1_54128456121462410464578910174567[[#This Row],[Type]]&gt;0,VLOOKUP(_1_54128456121462410464578910174567[[#This Row],[Type]],Main[[#All],[TYPE]:[UNIT]],'Unit Price'!G$1,FALSE),0)</f>
        <v>0</v>
      </c>
      <c r="J194" s="194">
        <f>IF(_1_54128456121462410464578910174567[[#This Row],[Type]]&gt;0,VLOOKUP(_1_54128456121462410464578910174567[[#This Row],[Type]],Main[[#All],[TYPE]:[UNIT]],'Unit Price'!H$1,FALSE),0)</f>
        <v>0</v>
      </c>
      <c r="K194" s="194">
        <f>IF(_1_54128456121462410464578910174567[[#This Row],[Discount selection]]&gt;0,VLOOKUP(_1_54128456121462410464578910174567[[#This Row],[Discount selection]],'Discount Structure'!$A$2:$B$30,2,"false"),0)</f>
        <v>1</v>
      </c>
      <c r="L194" s="194">
        <f>_1_54128456121462410464578910174567[[#This Row],[LIST $]]*_1_54128456121462410464578910174567[[#This Row],[DISCOUNT]]*_1_54128456121462410464578910174567[[#This Row],[DISCOUNT 2]]</f>
        <v>0</v>
      </c>
      <c r="M194" s="194">
        <f>IF(OR(_1_54128456121462410464578910174567[[#This Row],[UNIT]]&gt;0,_1_54128456121462410464578910174567[[#This Row],[UNIT]]&lt;0),_1_54128456121462410464578910174567[[#This Row],[UNIT]]*_1_54128456121462410464578910174567[[#This Row],[COST]],0)</f>
        <v>0</v>
      </c>
      <c r="N194" s="194">
        <f t="shared" si="2"/>
        <v>1.3</v>
      </c>
      <c r="O194" s="198">
        <f>_1_54128456121462410464578910174567[[#This Row],[TOTAL]]*_1_54128456121462410464578910174567[[#This Row],[MARGIN]]</f>
        <v>0</v>
      </c>
      <c r="R194" s="41"/>
    </row>
    <row r="195" spans="1:18">
      <c r="C195" s="168"/>
      <c r="D195" s="188"/>
      <c r="F195" s="168" t="s">
        <v>6202</v>
      </c>
      <c r="G195" s="193">
        <f>IF(_1_54128456121462410464578910174567[[#This Row],[Type]]&gt;0,VLOOKUP(_1_54128456121462410464578910174567[[#This Row],[Type]],Main[[#All],[TYPE]:[UNIT]],'Unit Price'!C$1,FALSE),0)</f>
        <v>0</v>
      </c>
      <c r="H195" s="197">
        <f>IF(_1_54128456121462410464578910174567[[#This Row],[Type]]&gt;0,VLOOKUP(_1_54128456121462410464578910174567[[#This Row],[Type]],Main[[#All],[TYPE]:[UNIT]],'Unit Price'!D$1,FALSE),0)</f>
        <v>0</v>
      </c>
      <c r="I195" s="194">
        <f>IF(_1_54128456121462410464578910174567[[#This Row],[Type]]&gt;0,VLOOKUP(_1_54128456121462410464578910174567[[#This Row],[Type]],Main[[#All],[TYPE]:[UNIT]],'Unit Price'!G$1,FALSE),0)</f>
        <v>0</v>
      </c>
      <c r="J195" s="194">
        <f>IF(_1_54128456121462410464578910174567[[#This Row],[Type]]&gt;0,VLOOKUP(_1_54128456121462410464578910174567[[#This Row],[Type]],Main[[#All],[TYPE]:[UNIT]],'Unit Price'!H$1,FALSE),0)</f>
        <v>0</v>
      </c>
      <c r="K195" s="194">
        <f>IF(_1_54128456121462410464578910174567[[#This Row],[Discount selection]]&gt;0,VLOOKUP(_1_54128456121462410464578910174567[[#This Row],[Discount selection]],'Discount Structure'!$A$2:$B$30,2,"false"),0)</f>
        <v>1</v>
      </c>
      <c r="L195" s="194">
        <f>_1_54128456121462410464578910174567[[#This Row],[LIST $]]*_1_54128456121462410464578910174567[[#This Row],[DISCOUNT]]*_1_54128456121462410464578910174567[[#This Row],[DISCOUNT 2]]</f>
        <v>0</v>
      </c>
      <c r="M195" s="194">
        <f>IF(OR(_1_54128456121462410464578910174567[[#This Row],[UNIT]]&gt;0,_1_54128456121462410464578910174567[[#This Row],[UNIT]]&lt;0),_1_54128456121462410464578910174567[[#This Row],[UNIT]]*_1_54128456121462410464578910174567[[#This Row],[COST]],0)</f>
        <v>0</v>
      </c>
      <c r="N195" s="194">
        <f t="shared" si="2"/>
        <v>1.3</v>
      </c>
      <c r="O195" s="198">
        <f>_1_54128456121462410464578910174567[[#This Row],[TOTAL]]*_1_54128456121462410464578910174567[[#This Row],[MARGIN]]</f>
        <v>0</v>
      </c>
      <c r="R195" s="41"/>
    </row>
    <row r="196" spans="1:18">
      <c r="C196" s="168"/>
      <c r="D196" s="188"/>
      <c r="F196" s="168" t="s">
        <v>6202</v>
      </c>
      <c r="G196" s="193">
        <f>IF(_1_54128456121462410464578910174567[[#This Row],[Type]]&gt;0,VLOOKUP(_1_54128456121462410464578910174567[[#This Row],[Type]],Main[[#All],[TYPE]:[UNIT]],'Unit Price'!C$1,FALSE),0)</f>
        <v>0</v>
      </c>
      <c r="H196" s="197">
        <f>IF(_1_54128456121462410464578910174567[[#This Row],[Type]]&gt;0,VLOOKUP(_1_54128456121462410464578910174567[[#This Row],[Type]],Main[[#All],[TYPE]:[UNIT]],'Unit Price'!D$1,FALSE),0)</f>
        <v>0</v>
      </c>
      <c r="I196" s="194">
        <f>IF(_1_54128456121462410464578910174567[[#This Row],[Type]]&gt;0,VLOOKUP(_1_54128456121462410464578910174567[[#This Row],[Type]],Main[[#All],[TYPE]:[UNIT]],'Unit Price'!G$1,FALSE),0)</f>
        <v>0</v>
      </c>
      <c r="J196" s="194">
        <f>IF(_1_54128456121462410464578910174567[[#This Row],[Type]]&gt;0,VLOOKUP(_1_54128456121462410464578910174567[[#This Row],[Type]],Main[[#All],[TYPE]:[UNIT]],'Unit Price'!H$1,FALSE),0)</f>
        <v>0</v>
      </c>
      <c r="K196" s="194">
        <f>IF(_1_54128456121462410464578910174567[[#This Row],[Discount selection]]&gt;0,VLOOKUP(_1_54128456121462410464578910174567[[#This Row],[Discount selection]],'Discount Structure'!$A$2:$B$30,2,"false"),0)</f>
        <v>1</v>
      </c>
      <c r="L196" s="194">
        <f>_1_54128456121462410464578910174567[[#This Row],[LIST $]]*_1_54128456121462410464578910174567[[#This Row],[DISCOUNT]]*_1_54128456121462410464578910174567[[#This Row],[DISCOUNT 2]]</f>
        <v>0</v>
      </c>
      <c r="M196" s="194">
        <f>IF(OR(_1_54128456121462410464578910174567[[#This Row],[UNIT]]&gt;0,_1_54128456121462410464578910174567[[#This Row],[UNIT]]&lt;0),_1_54128456121462410464578910174567[[#This Row],[UNIT]]*_1_54128456121462410464578910174567[[#This Row],[COST]],0)</f>
        <v>0</v>
      </c>
      <c r="N196" s="194">
        <f t="shared" si="2"/>
        <v>1.3</v>
      </c>
      <c r="O196" s="198">
        <f>_1_54128456121462410464578910174567[[#This Row],[TOTAL]]*_1_54128456121462410464578910174567[[#This Row],[MARGIN]]</f>
        <v>0</v>
      </c>
      <c r="R196" s="41"/>
    </row>
    <row r="197" spans="1:18">
      <c r="A197" s="168"/>
      <c r="C197" s="168"/>
      <c r="D197" s="188"/>
      <c r="F197" s="168" t="s">
        <v>6202</v>
      </c>
      <c r="G197" s="193">
        <f>IF(_1_54128456121462410464578910174567[[#This Row],[Type]]&gt;0,VLOOKUP(_1_54128456121462410464578910174567[[#This Row],[Type]],Main[[#All],[TYPE]:[UNIT]],'Unit Price'!C$1,FALSE),0)</f>
        <v>0</v>
      </c>
      <c r="H197" s="197">
        <f>IF(_1_54128456121462410464578910174567[[#This Row],[Type]]&gt;0,VLOOKUP(_1_54128456121462410464578910174567[[#This Row],[Type]],Main[[#All],[TYPE]:[UNIT]],'Unit Price'!D$1,FALSE),0)</f>
        <v>0</v>
      </c>
      <c r="I197" s="194">
        <f>IF(_1_54128456121462410464578910174567[[#This Row],[Type]]&gt;0,VLOOKUP(_1_54128456121462410464578910174567[[#This Row],[Type]],Main[[#All],[TYPE]:[UNIT]],'Unit Price'!G$1,FALSE),0)</f>
        <v>0</v>
      </c>
      <c r="J197" s="194">
        <f>IF(_1_54128456121462410464578910174567[[#This Row],[Type]]&gt;0,VLOOKUP(_1_54128456121462410464578910174567[[#This Row],[Type]],Main[[#All],[TYPE]:[UNIT]],'Unit Price'!H$1,FALSE),0)</f>
        <v>0</v>
      </c>
      <c r="K197" s="194">
        <f>IF(_1_54128456121462410464578910174567[[#This Row],[Discount selection]]&gt;0,VLOOKUP(_1_54128456121462410464578910174567[[#This Row],[Discount selection]],'Discount Structure'!$A$2:$B$30,2,"false"),0)</f>
        <v>1</v>
      </c>
      <c r="L197" s="194">
        <f>_1_54128456121462410464578910174567[[#This Row],[LIST $]]*_1_54128456121462410464578910174567[[#This Row],[DISCOUNT]]*_1_54128456121462410464578910174567[[#This Row],[DISCOUNT 2]]</f>
        <v>0</v>
      </c>
      <c r="M197" s="194">
        <f>IF(OR(_1_54128456121462410464578910174567[[#This Row],[UNIT]]&gt;0,_1_54128456121462410464578910174567[[#This Row],[UNIT]]&lt;0),_1_54128456121462410464578910174567[[#This Row],[UNIT]]*_1_54128456121462410464578910174567[[#This Row],[COST]],0)</f>
        <v>0</v>
      </c>
      <c r="N197" s="194">
        <f t="shared" si="2"/>
        <v>1.3</v>
      </c>
      <c r="O197" s="198">
        <f>_1_54128456121462410464578910174567[[#This Row],[TOTAL]]*_1_54128456121462410464578910174567[[#This Row],[MARGIN]]</f>
        <v>0</v>
      </c>
      <c r="R197" s="41"/>
    </row>
    <row r="198" spans="1:18">
      <c r="C198" s="168"/>
      <c r="D198" s="188"/>
      <c r="F198" s="168" t="s">
        <v>6202</v>
      </c>
      <c r="G198" s="193">
        <f>IF(_1_54128456121462410464578910174567[[#This Row],[Type]]&gt;0,VLOOKUP(_1_54128456121462410464578910174567[[#This Row],[Type]],Main[[#All],[TYPE]:[UNIT]],'Unit Price'!C$1,FALSE),0)</f>
        <v>0</v>
      </c>
      <c r="H198" s="197">
        <f>IF(_1_54128456121462410464578910174567[[#This Row],[Type]]&gt;0,VLOOKUP(_1_54128456121462410464578910174567[[#This Row],[Type]],Main[[#All],[TYPE]:[UNIT]],'Unit Price'!D$1,FALSE),0)</f>
        <v>0</v>
      </c>
      <c r="I198" s="194">
        <f>IF(_1_54128456121462410464578910174567[[#This Row],[Type]]&gt;0,VLOOKUP(_1_54128456121462410464578910174567[[#This Row],[Type]],Main[[#All],[TYPE]:[UNIT]],'Unit Price'!G$1,FALSE),0)</f>
        <v>0</v>
      </c>
      <c r="J198" s="194">
        <f>IF(_1_54128456121462410464578910174567[[#This Row],[Type]]&gt;0,VLOOKUP(_1_54128456121462410464578910174567[[#This Row],[Type]],Main[[#All],[TYPE]:[UNIT]],'Unit Price'!H$1,FALSE),0)</f>
        <v>0</v>
      </c>
      <c r="K198" s="194">
        <f>IF(_1_54128456121462410464578910174567[[#This Row],[Discount selection]]&gt;0,VLOOKUP(_1_54128456121462410464578910174567[[#This Row],[Discount selection]],'Discount Structure'!$A$2:$B$30,2,"false"),0)</f>
        <v>1</v>
      </c>
      <c r="L198" s="194">
        <f>_1_54128456121462410464578910174567[[#This Row],[LIST $]]*_1_54128456121462410464578910174567[[#This Row],[DISCOUNT]]*_1_54128456121462410464578910174567[[#This Row],[DISCOUNT 2]]</f>
        <v>0</v>
      </c>
      <c r="M198" s="194">
        <f>IF(OR(_1_54128456121462410464578910174567[[#This Row],[UNIT]]&gt;0,_1_54128456121462410464578910174567[[#This Row],[UNIT]]&lt;0),_1_54128456121462410464578910174567[[#This Row],[UNIT]]*_1_54128456121462410464578910174567[[#This Row],[COST]],0)</f>
        <v>0</v>
      </c>
      <c r="N198" s="194">
        <f t="shared" si="2"/>
        <v>1.3</v>
      </c>
      <c r="O198" s="198">
        <f>_1_54128456121462410464578910174567[[#This Row],[TOTAL]]*_1_54128456121462410464578910174567[[#This Row],[MARGIN]]</f>
        <v>0</v>
      </c>
      <c r="R198" s="41"/>
    </row>
    <row r="199" spans="1:18">
      <c r="C199" s="168"/>
      <c r="D199" s="188"/>
      <c r="F199" s="168" t="s">
        <v>6202</v>
      </c>
      <c r="G199" s="193">
        <f>IF(_1_54128456121462410464578910174567[[#This Row],[Type]]&gt;0,VLOOKUP(_1_54128456121462410464578910174567[[#This Row],[Type]],Main[[#All],[TYPE]:[UNIT]],'Unit Price'!C$1,FALSE),0)</f>
        <v>0</v>
      </c>
      <c r="H199" s="197">
        <f>IF(_1_54128456121462410464578910174567[[#This Row],[Type]]&gt;0,VLOOKUP(_1_54128456121462410464578910174567[[#This Row],[Type]],Main[[#All],[TYPE]:[UNIT]],'Unit Price'!D$1,FALSE),0)</f>
        <v>0</v>
      </c>
      <c r="I199" s="194">
        <f>IF(_1_54128456121462410464578910174567[[#This Row],[Type]]&gt;0,VLOOKUP(_1_54128456121462410464578910174567[[#This Row],[Type]],Main[[#All],[TYPE]:[UNIT]],'Unit Price'!G$1,FALSE),0)</f>
        <v>0</v>
      </c>
      <c r="J199" s="194">
        <f>IF(_1_54128456121462410464578910174567[[#This Row],[Type]]&gt;0,VLOOKUP(_1_54128456121462410464578910174567[[#This Row],[Type]],Main[[#All],[TYPE]:[UNIT]],'Unit Price'!H$1,FALSE),0)</f>
        <v>0</v>
      </c>
      <c r="K199" s="194">
        <f>IF(_1_54128456121462410464578910174567[[#This Row],[Discount selection]]&gt;0,VLOOKUP(_1_54128456121462410464578910174567[[#This Row],[Discount selection]],'Discount Structure'!$A$2:$B$30,2,"false"),0)</f>
        <v>1</v>
      </c>
      <c r="L199" s="194">
        <f>_1_54128456121462410464578910174567[[#This Row],[LIST $]]*_1_54128456121462410464578910174567[[#This Row],[DISCOUNT]]*_1_54128456121462410464578910174567[[#This Row],[DISCOUNT 2]]</f>
        <v>0</v>
      </c>
      <c r="M199" s="194">
        <f>IF(OR(_1_54128456121462410464578910174567[[#This Row],[UNIT]]&gt;0,_1_54128456121462410464578910174567[[#This Row],[UNIT]]&lt;0),_1_54128456121462410464578910174567[[#This Row],[UNIT]]*_1_54128456121462410464578910174567[[#This Row],[COST]],0)</f>
        <v>0</v>
      </c>
      <c r="N199" s="194">
        <f t="shared" si="2"/>
        <v>1.3</v>
      </c>
      <c r="O199" s="198">
        <f>_1_54128456121462410464578910174567[[#This Row],[TOTAL]]*_1_54128456121462410464578910174567[[#This Row],[MARGIN]]</f>
        <v>0</v>
      </c>
      <c r="R199" s="41"/>
    </row>
    <row r="200" spans="1:18">
      <c r="A200" s="168"/>
      <c r="C200" s="168"/>
      <c r="D200" s="188"/>
      <c r="F200" s="168" t="s">
        <v>6202</v>
      </c>
      <c r="G200" s="193">
        <f>IF(_1_54128456121462410464578910174567[[#This Row],[Type]]&gt;0,VLOOKUP(_1_54128456121462410464578910174567[[#This Row],[Type]],Main[[#All],[TYPE]:[UNIT]],'Unit Price'!C$1,FALSE),0)</f>
        <v>0</v>
      </c>
      <c r="H200" s="197">
        <f>IF(_1_54128456121462410464578910174567[[#This Row],[Type]]&gt;0,VLOOKUP(_1_54128456121462410464578910174567[[#This Row],[Type]],Main[[#All],[TYPE]:[UNIT]],'Unit Price'!D$1,FALSE),0)</f>
        <v>0</v>
      </c>
      <c r="I200" s="194">
        <f>IF(_1_54128456121462410464578910174567[[#This Row],[Type]]&gt;0,VLOOKUP(_1_54128456121462410464578910174567[[#This Row],[Type]],Main[[#All],[TYPE]:[UNIT]],'Unit Price'!G$1,FALSE),0)</f>
        <v>0</v>
      </c>
      <c r="J200" s="194">
        <f>IF(_1_54128456121462410464578910174567[[#This Row],[Type]]&gt;0,VLOOKUP(_1_54128456121462410464578910174567[[#This Row],[Type]],Main[[#All],[TYPE]:[UNIT]],'Unit Price'!H$1,FALSE),0)</f>
        <v>0</v>
      </c>
      <c r="K200" s="194">
        <f>IF(_1_54128456121462410464578910174567[[#This Row],[Discount selection]]&gt;0,VLOOKUP(_1_54128456121462410464578910174567[[#This Row],[Discount selection]],'Discount Structure'!$A$2:$B$30,2,"false"),0)</f>
        <v>1</v>
      </c>
      <c r="L200" s="194">
        <f>_1_54128456121462410464578910174567[[#This Row],[LIST $]]*_1_54128456121462410464578910174567[[#This Row],[DISCOUNT]]*_1_54128456121462410464578910174567[[#This Row],[DISCOUNT 2]]</f>
        <v>0</v>
      </c>
      <c r="M200" s="194">
        <f>IF(OR(_1_54128456121462410464578910174567[[#This Row],[UNIT]]&gt;0,_1_54128456121462410464578910174567[[#This Row],[UNIT]]&lt;0),_1_54128456121462410464578910174567[[#This Row],[UNIT]]*_1_54128456121462410464578910174567[[#This Row],[COST]],0)</f>
        <v>0</v>
      </c>
      <c r="N200" s="194">
        <f t="shared" si="2"/>
        <v>1.3</v>
      </c>
      <c r="O200" s="198">
        <f>_1_54128456121462410464578910174567[[#This Row],[TOTAL]]*_1_54128456121462410464578910174567[[#This Row],[MARGIN]]</f>
        <v>0</v>
      </c>
      <c r="R200" s="41"/>
    </row>
    <row r="201" spans="1:18">
      <c r="B201" s="168"/>
      <c r="C201" s="168"/>
      <c r="D201" s="188"/>
      <c r="F201" s="168" t="s">
        <v>6202</v>
      </c>
      <c r="G201" s="193">
        <f>IF(_1_54128456121462410464578910174567[[#This Row],[Type]]&gt;0,VLOOKUP(_1_54128456121462410464578910174567[[#This Row],[Type]],Main[[#All],[TYPE]:[UNIT]],'Unit Price'!C$1,FALSE),0)</f>
        <v>0</v>
      </c>
      <c r="H201" s="197">
        <f>IF(_1_54128456121462410464578910174567[[#This Row],[Type]]&gt;0,VLOOKUP(_1_54128456121462410464578910174567[[#This Row],[Type]],Main[[#All],[TYPE]:[UNIT]],'Unit Price'!D$1,FALSE),0)</f>
        <v>0</v>
      </c>
      <c r="I201" s="194">
        <f>IF(_1_54128456121462410464578910174567[[#This Row],[Type]]&gt;0,VLOOKUP(_1_54128456121462410464578910174567[[#This Row],[Type]],Main[[#All],[TYPE]:[UNIT]],'Unit Price'!G$1,FALSE),0)</f>
        <v>0</v>
      </c>
      <c r="J201" s="194">
        <f>IF(_1_54128456121462410464578910174567[[#This Row],[Type]]&gt;0,VLOOKUP(_1_54128456121462410464578910174567[[#This Row],[Type]],Main[[#All],[TYPE]:[UNIT]],'Unit Price'!H$1,FALSE),0)</f>
        <v>0</v>
      </c>
      <c r="K201" s="194">
        <f>IF(_1_54128456121462410464578910174567[[#This Row],[Discount selection]]&gt;0,VLOOKUP(_1_54128456121462410464578910174567[[#This Row],[Discount selection]],'Discount Structure'!$A$2:$B$30,2,"false"),0)</f>
        <v>1</v>
      </c>
      <c r="L201" s="194">
        <f>_1_54128456121462410464578910174567[[#This Row],[LIST $]]*_1_54128456121462410464578910174567[[#This Row],[DISCOUNT]]*_1_54128456121462410464578910174567[[#This Row],[DISCOUNT 2]]</f>
        <v>0</v>
      </c>
      <c r="M201" s="194">
        <f>IF(OR(_1_54128456121462410464578910174567[[#This Row],[UNIT]]&gt;0,_1_54128456121462410464578910174567[[#This Row],[UNIT]]&lt;0),_1_54128456121462410464578910174567[[#This Row],[UNIT]]*_1_54128456121462410464578910174567[[#This Row],[COST]],0)</f>
        <v>0</v>
      </c>
      <c r="N201" s="194">
        <f t="shared" si="2"/>
        <v>1.3</v>
      </c>
      <c r="O201" s="198">
        <f>_1_54128456121462410464578910174567[[#This Row],[TOTAL]]*_1_54128456121462410464578910174567[[#This Row],[MARGIN]]</f>
        <v>0</v>
      </c>
      <c r="R201" s="41"/>
    </row>
    <row r="202" spans="1:18">
      <c r="C202" s="168"/>
      <c r="D202" s="188"/>
      <c r="F202" s="168" t="s">
        <v>6202</v>
      </c>
      <c r="G202" s="193">
        <f>IF(_1_54128456121462410464578910174567[[#This Row],[Type]]&gt;0,VLOOKUP(_1_54128456121462410464578910174567[[#This Row],[Type]],Main[[#All],[TYPE]:[UNIT]],'Unit Price'!C$1,FALSE),0)</f>
        <v>0</v>
      </c>
      <c r="H202" s="197">
        <f>IF(_1_54128456121462410464578910174567[[#This Row],[Type]]&gt;0,VLOOKUP(_1_54128456121462410464578910174567[[#This Row],[Type]],Main[[#All],[TYPE]:[UNIT]],'Unit Price'!D$1,FALSE),0)</f>
        <v>0</v>
      </c>
      <c r="I202" s="194">
        <f>IF(_1_54128456121462410464578910174567[[#This Row],[Type]]&gt;0,VLOOKUP(_1_54128456121462410464578910174567[[#This Row],[Type]],Main[[#All],[TYPE]:[UNIT]],'Unit Price'!G$1,FALSE),0)</f>
        <v>0</v>
      </c>
      <c r="J202" s="194">
        <f>IF(_1_54128456121462410464578910174567[[#This Row],[Type]]&gt;0,VLOOKUP(_1_54128456121462410464578910174567[[#This Row],[Type]],Main[[#All],[TYPE]:[UNIT]],'Unit Price'!H$1,FALSE),0)</f>
        <v>0</v>
      </c>
      <c r="K202" s="194">
        <f>IF(_1_54128456121462410464578910174567[[#This Row],[Discount selection]]&gt;0,VLOOKUP(_1_54128456121462410464578910174567[[#This Row],[Discount selection]],'Discount Structure'!$A$2:$B$30,2,"false"),0)</f>
        <v>1</v>
      </c>
      <c r="L202" s="194">
        <f>_1_54128456121462410464578910174567[[#This Row],[LIST $]]*_1_54128456121462410464578910174567[[#This Row],[DISCOUNT]]*_1_54128456121462410464578910174567[[#This Row],[DISCOUNT 2]]</f>
        <v>0</v>
      </c>
      <c r="M202" s="194">
        <f>IF(OR(_1_54128456121462410464578910174567[[#This Row],[UNIT]]&gt;0,_1_54128456121462410464578910174567[[#This Row],[UNIT]]&lt;0),_1_54128456121462410464578910174567[[#This Row],[UNIT]]*_1_54128456121462410464578910174567[[#This Row],[COST]],0)</f>
        <v>0</v>
      </c>
      <c r="N202" s="194">
        <f t="shared" ref="N202:N265" si="3">$N$7</f>
        <v>1.3</v>
      </c>
      <c r="O202" s="198">
        <f>_1_54128456121462410464578910174567[[#This Row],[TOTAL]]*_1_54128456121462410464578910174567[[#This Row],[MARGIN]]</f>
        <v>0</v>
      </c>
      <c r="R202" s="41"/>
    </row>
    <row r="203" spans="1:18">
      <c r="A203" s="168"/>
      <c r="C203" s="168"/>
      <c r="D203" s="188"/>
      <c r="F203" s="168" t="s">
        <v>6202</v>
      </c>
      <c r="G203" s="193">
        <f>IF(_1_54128456121462410464578910174567[[#This Row],[Type]]&gt;0,VLOOKUP(_1_54128456121462410464578910174567[[#This Row],[Type]],Main[[#All],[TYPE]:[UNIT]],'Unit Price'!C$1,FALSE),0)</f>
        <v>0</v>
      </c>
      <c r="H203" s="197">
        <f>IF(_1_54128456121462410464578910174567[[#This Row],[Type]]&gt;0,VLOOKUP(_1_54128456121462410464578910174567[[#This Row],[Type]],Main[[#All],[TYPE]:[UNIT]],'Unit Price'!D$1,FALSE),0)</f>
        <v>0</v>
      </c>
      <c r="I203" s="194">
        <f>IF(_1_54128456121462410464578910174567[[#This Row],[Type]]&gt;0,VLOOKUP(_1_54128456121462410464578910174567[[#This Row],[Type]],Main[[#All],[TYPE]:[UNIT]],'Unit Price'!G$1,FALSE),0)</f>
        <v>0</v>
      </c>
      <c r="J203" s="194">
        <f>IF(_1_54128456121462410464578910174567[[#This Row],[Type]]&gt;0,VLOOKUP(_1_54128456121462410464578910174567[[#This Row],[Type]],Main[[#All],[TYPE]:[UNIT]],'Unit Price'!H$1,FALSE),0)</f>
        <v>0</v>
      </c>
      <c r="K203" s="194">
        <f>IF(_1_54128456121462410464578910174567[[#This Row],[Discount selection]]&gt;0,VLOOKUP(_1_54128456121462410464578910174567[[#This Row],[Discount selection]],'Discount Structure'!$A$2:$B$30,2,"false"),0)</f>
        <v>1</v>
      </c>
      <c r="L203" s="194">
        <f>_1_54128456121462410464578910174567[[#This Row],[LIST $]]*_1_54128456121462410464578910174567[[#This Row],[DISCOUNT]]*_1_54128456121462410464578910174567[[#This Row],[DISCOUNT 2]]</f>
        <v>0</v>
      </c>
      <c r="M203" s="194">
        <f>IF(OR(_1_54128456121462410464578910174567[[#This Row],[UNIT]]&gt;0,_1_54128456121462410464578910174567[[#This Row],[UNIT]]&lt;0),_1_54128456121462410464578910174567[[#This Row],[UNIT]]*_1_54128456121462410464578910174567[[#This Row],[COST]],0)</f>
        <v>0</v>
      </c>
      <c r="N203" s="194">
        <f t="shared" si="3"/>
        <v>1.3</v>
      </c>
      <c r="O203" s="198">
        <f>_1_54128456121462410464578910174567[[#This Row],[TOTAL]]*_1_54128456121462410464578910174567[[#This Row],[MARGIN]]</f>
        <v>0</v>
      </c>
      <c r="R203" s="41"/>
    </row>
    <row r="204" spans="1:18">
      <c r="C204" s="168"/>
      <c r="D204" s="188"/>
      <c r="F204" s="168" t="s">
        <v>6202</v>
      </c>
      <c r="G204" s="193">
        <f>IF(_1_54128456121462410464578910174567[[#This Row],[Type]]&gt;0,VLOOKUP(_1_54128456121462410464578910174567[[#This Row],[Type]],Main[[#All],[TYPE]:[UNIT]],'Unit Price'!C$1,FALSE),0)</f>
        <v>0</v>
      </c>
      <c r="H204" s="197">
        <f>IF(_1_54128456121462410464578910174567[[#This Row],[Type]]&gt;0,VLOOKUP(_1_54128456121462410464578910174567[[#This Row],[Type]],Main[[#All],[TYPE]:[UNIT]],'Unit Price'!D$1,FALSE),0)</f>
        <v>0</v>
      </c>
      <c r="I204" s="194">
        <f>IF(_1_54128456121462410464578910174567[[#This Row],[Type]]&gt;0,VLOOKUP(_1_54128456121462410464578910174567[[#This Row],[Type]],Main[[#All],[TYPE]:[UNIT]],'Unit Price'!G$1,FALSE),0)</f>
        <v>0</v>
      </c>
      <c r="J204" s="194">
        <f>IF(_1_54128456121462410464578910174567[[#This Row],[Type]]&gt;0,VLOOKUP(_1_54128456121462410464578910174567[[#This Row],[Type]],Main[[#All],[TYPE]:[UNIT]],'Unit Price'!H$1,FALSE),0)</f>
        <v>0</v>
      </c>
      <c r="K204" s="194">
        <f>IF(_1_54128456121462410464578910174567[[#This Row],[Discount selection]]&gt;0,VLOOKUP(_1_54128456121462410464578910174567[[#This Row],[Discount selection]],'Discount Structure'!$A$2:$B$30,2,"false"),0)</f>
        <v>1</v>
      </c>
      <c r="L204" s="194">
        <f>_1_54128456121462410464578910174567[[#This Row],[LIST $]]*_1_54128456121462410464578910174567[[#This Row],[DISCOUNT]]*_1_54128456121462410464578910174567[[#This Row],[DISCOUNT 2]]</f>
        <v>0</v>
      </c>
      <c r="M204" s="194">
        <f>IF(OR(_1_54128456121462410464578910174567[[#This Row],[UNIT]]&gt;0,_1_54128456121462410464578910174567[[#This Row],[UNIT]]&lt;0),_1_54128456121462410464578910174567[[#This Row],[UNIT]]*_1_54128456121462410464578910174567[[#This Row],[COST]],0)</f>
        <v>0</v>
      </c>
      <c r="N204" s="194">
        <f t="shared" si="3"/>
        <v>1.3</v>
      </c>
      <c r="O204" s="198">
        <f>_1_54128456121462410464578910174567[[#This Row],[TOTAL]]*_1_54128456121462410464578910174567[[#This Row],[MARGIN]]</f>
        <v>0</v>
      </c>
      <c r="R204" s="41"/>
    </row>
    <row r="205" spans="1:18">
      <c r="C205" s="168"/>
      <c r="D205" s="188"/>
      <c r="F205" s="168" t="s">
        <v>6202</v>
      </c>
      <c r="G205" s="193">
        <f>IF(_1_54128456121462410464578910174567[[#This Row],[Type]]&gt;0,VLOOKUP(_1_54128456121462410464578910174567[[#This Row],[Type]],Main[[#All],[TYPE]:[UNIT]],'Unit Price'!C$1,FALSE),0)</f>
        <v>0</v>
      </c>
      <c r="H205" s="197">
        <f>IF(_1_54128456121462410464578910174567[[#This Row],[Type]]&gt;0,VLOOKUP(_1_54128456121462410464578910174567[[#This Row],[Type]],Main[[#All],[TYPE]:[UNIT]],'Unit Price'!D$1,FALSE),0)</f>
        <v>0</v>
      </c>
      <c r="I205" s="194">
        <f>IF(_1_54128456121462410464578910174567[[#This Row],[Type]]&gt;0,VLOOKUP(_1_54128456121462410464578910174567[[#This Row],[Type]],Main[[#All],[TYPE]:[UNIT]],'Unit Price'!G$1,FALSE),0)</f>
        <v>0</v>
      </c>
      <c r="J205" s="194">
        <f>IF(_1_54128456121462410464578910174567[[#This Row],[Type]]&gt;0,VLOOKUP(_1_54128456121462410464578910174567[[#This Row],[Type]],Main[[#All],[TYPE]:[UNIT]],'Unit Price'!H$1,FALSE),0)</f>
        <v>0</v>
      </c>
      <c r="K205" s="194">
        <f>IF(_1_54128456121462410464578910174567[[#This Row],[Discount selection]]&gt;0,VLOOKUP(_1_54128456121462410464578910174567[[#This Row],[Discount selection]],'Discount Structure'!$A$2:$B$30,2,"false"),0)</f>
        <v>1</v>
      </c>
      <c r="L205" s="194">
        <f>_1_54128456121462410464578910174567[[#This Row],[LIST $]]*_1_54128456121462410464578910174567[[#This Row],[DISCOUNT]]*_1_54128456121462410464578910174567[[#This Row],[DISCOUNT 2]]</f>
        <v>0</v>
      </c>
      <c r="M205" s="194">
        <f>IF(OR(_1_54128456121462410464578910174567[[#This Row],[UNIT]]&gt;0,_1_54128456121462410464578910174567[[#This Row],[UNIT]]&lt;0),_1_54128456121462410464578910174567[[#This Row],[UNIT]]*_1_54128456121462410464578910174567[[#This Row],[COST]],0)</f>
        <v>0</v>
      </c>
      <c r="N205" s="194">
        <f t="shared" si="3"/>
        <v>1.3</v>
      </c>
      <c r="O205" s="198">
        <f>_1_54128456121462410464578910174567[[#This Row],[TOTAL]]*_1_54128456121462410464578910174567[[#This Row],[MARGIN]]</f>
        <v>0</v>
      </c>
      <c r="R205" s="41"/>
    </row>
    <row r="206" spans="1:18">
      <c r="C206" s="168"/>
      <c r="D206" s="188"/>
      <c r="F206" s="168" t="s">
        <v>6202</v>
      </c>
      <c r="G206" s="193">
        <f>IF(_1_54128456121462410464578910174567[[#This Row],[Type]]&gt;0,VLOOKUP(_1_54128456121462410464578910174567[[#This Row],[Type]],Main[[#All],[TYPE]:[UNIT]],'Unit Price'!C$1,FALSE),0)</f>
        <v>0</v>
      </c>
      <c r="H206" s="197">
        <f>IF(_1_54128456121462410464578910174567[[#This Row],[Type]]&gt;0,VLOOKUP(_1_54128456121462410464578910174567[[#This Row],[Type]],Main[[#All],[TYPE]:[UNIT]],'Unit Price'!D$1,FALSE),0)</f>
        <v>0</v>
      </c>
      <c r="I206" s="194">
        <f>IF(_1_54128456121462410464578910174567[[#This Row],[Type]]&gt;0,VLOOKUP(_1_54128456121462410464578910174567[[#This Row],[Type]],Main[[#All],[TYPE]:[UNIT]],'Unit Price'!G$1,FALSE),0)</f>
        <v>0</v>
      </c>
      <c r="J206" s="194">
        <f>IF(_1_54128456121462410464578910174567[[#This Row],[Type]]&gt;0,VLOOKUP(_1_54128456121462410464578910174567[[#This Row],[Type]],Main[[#All],[TYPE]:[UNIT]],'Unit Price'!H$1,FALSE),0)</f>
        <v>0</v>
      </c>
      <c r="K206" s="194">
        <f>IF(_1_54128456121462410464578910174567[[#This Row],[Discount selection]]&gt;0,VLOOKUP(_1_54128456121462410464578910174567[[#This Row],[Discount selection]],'Discount Structure'!$A$2:$B$30,2,"false"),0)</f>
        <v>1</v>
      </c>
      <c r="L206" s="194">
        <f>_1_54128456121462410464578910174567[[#This Row],[LIST $]]*_1_54128456121462410464578910174567[[#This Row],[DISCOUNT]]*_1_54128456121462410464578910174567[[#This Row],[DISCOUNT 2]]</f>
        <v>0</v>
      </c>
      <c r="M206" s="194">
        <f>IF(OR(_1_54128456121462410464578910174567[[#This Row],[UNIT]]&gt;0,_1_54128456121462410464578910174567[[#This Row],[UNIT]]&lt;0),_1_54128456121462410464578910174567[[#This Row],[UNIT]]*_1_54128456121462410464578910174567[[#This Row],[COST]],0)</f>
        <v>0</v>
      </c>
      <c r="N206" s="194">
        <f t="shared" si="3"/>
        <v>1.3</v>
      </c>
      <c r="O206" s="198">
        <f>_1_54128456121462410464578910174567[[#This Row],[TOTAL]]*_1_54128456121462410464578910174567[[#This Row],[MARGIN]]</f>
        <v>0</v>
      </c>
      <c r="R206" s="41"/>
    </row>
    <row r="207" spans="1:18">
      <c r="C207" s="168"/>
      <c r="D207" s="188"/>
      <c r="F207" s="168" t="s">
        <v>6202</v>
      </c>
      <c r="G207" s="193">
        <f>IF(_1_54128456121462410464578910174567[[#This Row],[Type]]&gt;0,VLOOKUP(_1_54128456121462410464578910174567[[#This Row],[Type]],Main[[#All],[TYPE]:[UNIT]],'Unit Price'!C$1,FALSE),0)</f>
        <v>0</v>
      </c>
      <c r="H207" s="197">
        <f>IF(_1_54128456121462410464578910174567[[#This Row],[Type]]&gt;0,VLOOKUP(_1_54128456121462410464578910174567[[#This Row],[Type]],Main[[#All],[TYPE]:[UNIT]],'Unit Price'!D$1,FALSE),0)</f>
        <v>0</v>
      </c>
      <c r="I207" s="194">
        <f>IF(_1_54128456121462410464578910174567[[#This Row],[Type]]&gt;0,VLOOKUP(_1_54128456121462410464578910174567[[#This Row],[Type]],Main[[#All],[TYPE]:[UNIT]],'Unit Price'!G$1,FALSE),0)</f>
        <v>0</v>
      </c>
      <c r="J207" s="194">
        <f>IF(_1_54128456121462410464578910174567[[#This Row],[Type]]&gt;0,VLOOKUP(_1_54128456121462410464578910174567[[#This Row],[Type]],Main[[#All],[TYPE]:[UNIT]],'Unit Price'!H$1,FALSE),0)</f>
        <v>0</v>
      </c>
      <c r="K207" s="194">
        <f>IF(_1_54128456121462410464578910174567[[#This Row],[Discount selection]]&gt;0,VLOOKUP(_1_54128456121462410464578910174567[[#This Row],[Discount selection]],'Discount Structure'!$A$2:$B$30,2,"false"),0)</f>
        <v>1</v>
      </c>
      <c r="L207" s="194">
        <f>_1_54128456121462410464578910174567[[#This Row],[LIST $]]*_1_54128456121462410464578910174567[[#This Row],[DISCOUNT]]*_1_54128456121462410464578910174567[[#This Row],[DISCOUNT 2]]</f>
        <v>0</v>
      </c>
      <c r="M207" s="194">
        <f>IF(OR(_1_54128456121462410464578910174567[[#This Row],[UNIT]]&gt;0,_1_54128456121462410464578910174567[[#This Row],[UNIT]]&lt;0),_1_54128456121462410464578910174567[[#This Row],[UNIT]]*_1_54128456121462410464578910174567[[#This Row],[COST]],0)</f>
        <v>0</v>
      </c>
      <c r="N207" s="194">
        <f t="shared" si="3"/>
        <v>1.3</v>
      </c>
      <c r="O207" s="198">
        <f>_1_54128456121462410464578910174567[[#This Row],[TOTAL]]*_1_54128456121462410464578910174567[[#This Row],[MARGIN]]</f>
        <v>0</v>
      </c>
      <c r="R207" s="41"/>
    </row>
    <row r="208" spans="1:18">
      <c r="C208" s="168"/>
      <c r="D208" s="188"/>
      <c r="F208" s="168" t="s">
        <v>6202</v>
      </c>
      <c r="G208" s="193">
        <f>IF(_1_54128456121462410464578910174567[[#This Row],[Type]]&gt;0,VLOOKUP(_1_54128456121462410464578910174567[[#This Row],[Type]],Main[[#All],[TYPE]:[UNIT]],'Unit Price'!C$1,FALSE),0)</f>
        <v>0</v>
      </c>
      <c r="H208" s="197">
        <f>IF(_1_54128456121462410464578910174567[[#This Row],[Type]]&gt;0,VLOOKUP(_1_54128456121462410464578910174567[[#This Row],[Type]],Main[[#All],[TYPE]:[UNIT]],'Unit Price'!D$1,FALSE),0)</f>
        <v>0</v>
      </c>
      <c r="I208" s="194">
        <f>IF(_1_54128456121462410464578910174567[[#This Row],[Type]]&gt;0,VLOOKUP(_1_54128456121462410464578910174567[[#This Row],[Type]],Main[[#All],[TYPE]:[UNIT]],'Unit Price'!G$1,FALSE),0)</f>
        <v>0</v>
      </c>
      <c r="J208" s="194">
        <f>IF(_1_54128456121462410464578910174567[[#This Row],[Type]]&gt;0,VLOOKUP(_1_54128456121462410464578910174567[[#This Row],[Type]],Main[[#All],[TYPE]:[UNIT]],'Unit Price'!H$1,FALSE),0)</f>
        <v>0</v>
      </c>
      <c r="K208" s="194">
        <f>IF(_1_54128456121462410464578910174567[[#This Row],[Discount selection]]&gt;0,VLOOKUP(_1_54128456121462410464578910174567[[#This Row],[Discount selection]],'Discount Structure'!$A$2:$B$30,2,"false"),0)</f>
        <v>1</v>
      </c>
      <c r="L208" s="194">
        <f>_1_54128456121462410464578910174567[[#This Row],[LIST $]]*_1_54128456121462410464578910174567[[#This Row],[DISCOUNT]]*_1_54128456121462410464578910174567[[#This Row],[DISCOUNT 2]]</f>
        <v>0</v>
      </c>
      <c r="M208" s="194">
        <f>IF(OR(_1_54128456121462410464578910174567[[#This Row],[UNIT]]&gt;0,_1_54128456121462410464578910174567[[#This Row],[UNIT]]&lt;0),_1_54128456121462410464578910174567[[#This Row],[UNIT]]*_1_54128456121462410464578910174567[[#This Row],[COST]],0)</f>
        <v>0</v>
      </c>
      <c r="N208" s="194">
        <f t="shared" si="3"/>
        <v>1.3</v>
      </c>
      <c r="O208" s="198">
        <f>_1_54128456121462410464578910174567[[#This Row],[TOTAL]]*_1_54128456121462410464578910174567[[#This Row],[MARGIN]]</f>
        <v>0</v>
      </c>
      <c r="R208" s="41"/>
    </row>
    <row r="209" spans="3:18">
      <c r="C209" s="168"/>
      <c r="D209" s="188"/>
      <c r="F209" s="168" t="s">
        <v>6202</v>
      </c>
      <c r="G209" s="193">
        <f>IF(_1_54128456121462410464578910174567[[#This Row],[Type]]&gt;0,VLOOKUP(_1_54128456121462410464578910174567[[#This Row],[Type]],Main[[#All],[TYPE]:[UNIT]],'Unit Price'!C$1,FALSE),0)</f>
        <v>0</v>
      </c>
      <c r="H209" s="197">
        <f>IF(_1_54128456121462410464578910174567[[#This Row],[Type]]&gt;0,VLOOKUP(_1_54128456121462410464578910174567[[#This Row],[Type]],Main[[#All],[TYPE]:[UNIT]],'Unit Price'!D$1,FALSE),0)</f>
        <v>0</v>
      </c>
      <c r="I209" s="194">
        <f>IF(_1_54128456121462410464578910174567[[#This Row],[Type]]&gt;0,VLOOKUP(_1_54128456121462410464578910174567[[#This Row],[Type]],Main[[#All],[TYPE]:[UNIT]],'Unit Price'!G$1,FALSE),0)</f>
        <v>0</v>
      </c>
      <c r="J209" s="194">
        <f>IF(_1_54128456121462410464578910174567[[#This Row],[Type]]&gt;0,VLOOKUP(_1_54128456121462410464578910174567[[#This Row],[Type]],Main[[#All],[TYPE]:[UNIT]],'Unit Price'!H$1,FALSE),0)</f>
        <v>0</v>
      </c>
      <c r="K209" s="194">
        <f>IF(_1_54128456121462410464578910174567[[#This Row],[Discount selection]]&gt;0,VLOOKUP(_1_54128456121462410464578910174567[[#This Row],[Discount selection]],'Discount Structure'!$A$2:$B$30,2,"false"),0)</f>
        <v>1</v>
      </c>
      <c r="L209" s="194">
        <f>_1_54128456121462410464578910174567[[#This Row],[LIST $]]*_1_54128456121462410464578910174567[[#This Row],[DISCOUNT]]*_1_54128456121462410464578910174567[[#This Row],[DISCOUNT 2]]</f>
        <v>0</v>
      </c>
      <c r="M209" s="194">
        <f>IF(OR(_1_54128456121462410464578910174567[[#This Row],[UNIT]]&gt;0,_1_54128456121462410464578910174567[[#This Row],[UNIT]]&lt;0),_1_54128456121462410464578910174567[[#This Row],[UNIT]]*_1_54128456121462410464578910174567[[#This Row],[COST]],0)</f>
        <v>0</v>
      </c>
      <c r="N209" s="194">
        <f t="shared" si="3"/>
        <v>1.3</v>
      </c>
      <c r="O209" s="198">
        <f>_1_54128456121462410464578910174567[[#This Row],[TOTAL]]*_1_54128456121462410464578910174567[[#This Row],[MARGIN]]</f>
        <v>0</v>
      </c>
      <c r="R209" s="41"/>
    </row>
    <row r="210" spans="3:18">
      <c r="C210" s="168"/>
      <c r="D210" s="188"/>
      <c r="F210" s="168" t="s">
        <v>6202</v>
      </c>
      <c r="G210" s="193">
        <f>IF(_1_54128456121462410464578910174567[[#This Row],[Type]]&gt;0,VLOOKUP(_1_54128456121462410464578910174567[[#This Row],[Type]],Main[[#All],[TYPE]:[UNIT]],'Unit Price'!C$1,FALSE),0)</f>
        <v>0</v>
      </c>
      <c r="H210" s="197">
        <f>IF(_1_54128456121462410464578910174567[[#This Row],[Type]]&gt;0,VLOOKUP(_1_54128456121462410464578910174567[[#This Row],[Type]],Main[[#All],[TYPE]:[UNIT]],'Unit Price'!D$1,FALSE),0)</f>
        <v>0</v>
      </c>
      <c r="I210" s="194">
        <f>IF(_1_54128456121462410464578910174567[[#This Row],[Type]]&gt;0,VLOOKUP(_1_54128456121462410464578910174567[[#This Row],[Type]],Main[[#All],[TYPE]:[UNIT]],'Unit Price'!G$1,FALSE),0)</f>
        <v>0</v>
      </c>
      <c r="J210" s="194">
        <f>IF(_1_54128456121462410464578910174567[[#This Row],[Type]]&gt;0,VLOOKUP(_1_54128456121462410464578910174567[[#This Row],[Type]],Main[[#All],[TYPE]:[UNIT]],'Unit Price'!H$1,FALSE),0)</f>
        <v>0</v>
      </c>
      <c r="K210" s="194">
        <f>IF(_1_54128456121462410464578910174567[[#This Row],[Discount selection]]&gt;0,VLOOKUP(_1_54128456121462410464578910174567[[#This Row],[Discount selection]],'Discount Structure'!$A$2:$B$30,2,"false"),0)</f>
        <v>1</v>
      </c>
      <c r="L210" s="194">
        <f>_1_54128456121462410464578910174567[[#This Row],[LIST $]]*_1_54128456121462410464578910174567[[#This Row],[DISCOUNT]]*_1_54128456121462410464578910174567[[#This Row],[DISCOUNT 2]]</f>
        <v>0</v>
      </c>
      <c r="M210" s="194">
        <f>IF(OR(_1_54128456121462410464578910174567[[#This Row],[UNIT]]&gt;0,_1_54128456121462410464578910174567[[#This Row],[UNIT]]&lt;0),_1_54128456121462410464578910174567[[#This Row],[UNIT]]*_1_54128456121462410464578910174567[[#This Row],[COST]],0)</f>
        <v>0</v>
      </c>
      <c r="N210" s="194">
        <f t="shared" si="3"/>
        <v>1.3</v>
      </c>
      <c r="O210" s="198">
        <f>_1_54128456121462410464578910174567[[#This Row],[TOTAL]]*_1_54128456121462410464578910174567[[#This Row],[MARGIN]]</f>
        <v>0</v>
      </c>
      <c r="R210" s="41"/>
    </row>
    <row r="211" spans="3:18">
      <c r="C211" s="168"/>
      <c r="D211" s="188"/>
      <c r="F211" s="168" t="s">
        <v>6202</v>
      </c>
      <c r="G211" s="193">
        <f>IF(_1_54128456121462410464578910174567[[#This Row],[Type]]&gt;0,VLOOKUP(_1_54128456121462410464578910174567[[#This Row],[Type]],Main[[#All],[TYPE]:[UNIT]],'Unit Price'!C$1,FALSE),0)</f>
        <v>0</v>
      </c>
      <c r="H211" s="197">
        <f>IF(_1_54128456121462410464578910174567[[#This Row],[Type]]&gt;0,VLOOKUP(_1_54128456121462410464578910174567[[#This Row],[Type]],Main[[#All],[TYPE]:[UNIT]],'Unit Price'!D$1,FALSE),0)</f>
        <v>0</v>
      </c>
      <c r="I211" s="194">
        <f>IF(_1_54128456121462410464578910174567[[#This Row],[Type]]&gt;0,VLOOKUP(_1_54128456121462410464578910174567[[#This Row],[Type]],Main[[#All],[TYPE]:[UNIT]],'Unit Price'!G$1,FALSE),0)</f>
        <v>0</v>
      </c>
      <c r="J211" s="194">
        <f>IF(_1_54128456121462410464578910174567[[#This Row],[Type]]&gt;0,VLOOKUP(_1_54128456121462410464578910174567[[#This Row],[Type]],Main[[#All],[TYPE]:[UNIT]],'Unit Price'!H$1,FALSE),0)</f>
        <v>0</v>
      </c>
      <c r="K211" s="194">
        <f>IF(_1_54128456121462410464578910174567[[#This Row],[Discount selection]]&gt;0,VLOOKUP(_1_54128456121462410464578910174567[[#This Row],[Discount selection]],'Discount Structure'!$A$2:$B$30,2,"false"),0)</f>
        <v>1</v>
      </c>
      <c r="L211" s="194">
        <f>_1_54128456121462410464578910174567[[#This Row],[LIST $]]*_1_54128456121462410464578910174567[[#This Row],[DISCOUNT]]*_1_54128456121462410464578910174567[[#This Row],[DISCOUNT 2]]</f>
        <v>0</v>
      </c>
      <c r="M211" s="194">
        <f>IF(OR(_1_54128456121462410464578910174567[[#This Row],[UNIT]]&gt;0,_1_54128456121462410464578910174567[[#This Row],[UNIT]]&lt;0),_1_54128456121462410464578910174567[[#This Row],[UNIT]]*_1_54128456121462410464578910174567[[#This Row],[COST]],0)</f>
        <v>0</v>
      </c>
      <c r="N211" s="194">
        <f t="shared" si="3"/>
        <v>1.3</v>
      </c>
      <c r="O211" s="198">
        <f>_1_54128456121462410464578910174567[[#This Row],[TOTAL]]*_1_54128456121462410464578910174567[[#This Row],[MARGIN]]</f>
        <v>0</v>
      </c>
      <c r="R211" s="41"/>
    </row>
    <row r="212" spans="3:18">
      <c r="C212" s="168"/>
      <c r="D212" s="188"/>
      <c r="F212" s="168" t="s">
        <v>6202</v>
      </c>
      <c r="G212" s="193">
        <f>IF(_1_54128456121462410464578910174567[[#This Row],[Type]]&gt;0,VLOOKUP(_1_54128456121462410464578910174567[[#This Row],[Type]],Main[[#All],[TYPE]:[UNIT]],'Unit Price'!C$1,FALSE),0)</f>
        <v>0</v>
      </c>
      <c r="H212" s="197">
        <f>IF(_1_54128456121462410464578910174567[[#This Row],[Type]]&gt;0,VLOOKUP(_1_54128456121462410464578910174567[[#This Row],[Type]],Main[[#All],[TYPE]:[UNIT]],'Unit Price'!D$1,FALSE),0)</f>
        <v>0</v>
      </c>
      <c r="I212" s="194">
        <f>IF(_1_54128456121462410464578910174567[[#This Row],[Type]]&gt;0,VLOOKUP(_1_54128456121462410464578910174567[[#This Row],[Type]],Main[[#All],[TYPE]:[UNIT]],'Unit Price'!G$1,FALSE),0)</f>
        <v>0</v>
      </c>
      <c r="J212" s="194">
        <f>IF(_1_54128456121462410464578910174567[[#This Row],[Type]]&gt;0,VLOOKUP(_1_54128456121462410464578910174567[[#This Row],[Type]],Main[[#All],[TYPE]:[UNIT]],'Unit Price'!H$1,FALSE),0)</f>
        <v>0</v>
      </c>
      <c r="K212" s="194">
        <f>IF(_1_54128456121462410464578910174567[[#This Row],[Discount selection]]&gt;0,VLOOKUP(_1_54128456121462410464578910174567[[#This Row],[Discount selection]],'Discount Structure'!$A$2:$B$30,2,"false"),0)</f>
        <v>1</v>
      </c>
      <c r="L212" s="194">
        <f>_1_54128456121462410464578910174567[[#This Row],[LIST $]]*_1_54128456121462410464578910174567[[#This Row],[DISCOUNT]]*_1_54128456121462410464578910174567[[#This Row],[DISCOUNT 2]]</f>
        <v>0</v>
      </c>
      <c r="M212" s="194">
        <f>IF(OR(_1_54128456121462410464578910174567[[#This Row],[UNIT]]&gt;0,_1_54128456121462410464578910174567[[#This Row],[UNIT]]&lt;0),_1_54128456121462410464578910174567[[#This Row],[UNIT]]*_1_54128456121462410464578910174567[[#This Row],[COST]],0)</f>
        <v>0</v>
      </c>
      <c r="N212" s="194">
        <f t="shared" si="3"/>
        <v>1.3</v>
      </c>
      <c r="O212" s="198">
        <f>_1_54128456121462410464578910174567[[#This Row],[TOTAL]]*_1_54128456121462410464578910174567[[#This Row],[MARGIN]]</f>
        <v>0</v>
      </c>
      <c r="R212" s="41"/>
    </row>
    <row r="213" spans="3:18">
      <c r="C213" s="168"/>
      <c r="D213" s="188"/>
      <c r="F213" s="168" t="s">
        <v>6202</v>
      </c>
      <c r="G213" s="193">
        <f>IF(_1_54128456121462410464578910174567[[#This Row],[Type]]&gt;0,VLOOKUP(_1_54128456121462410464578910174567[[#This Row],[Type]],Main[[#All],[TYPE]:[UNIT]],'Unit Price'!C$1,FALSE),0)</f>
        <v>0</v>
      </c>
      <c r="H213" s="197">
        <f>IF(_1_54128456121462410464578910174567[[#This Row],[Type]]&gt;0,VLOOKUP(_1_54128456121462410464578910174567[[#This Row],[Type]],Main[[#All],[TYPE]:[UNIT]],'Unit Price'!D$1,FALSE),0)</f>
        <v>0</v>
      </c>
      <c r="I213" s="194">
        <f>IF(_1_54128456121462410464578910174567[[#This Row],[Type]]&gt;0,VLOOKUP(_1_54128456121462410464578910174567[[#This Row],[Type]],Main[[#All],[TYPE]:[UNIT]],'Unit Price'!G$1,FALSE),0)</f>
        <v>0</v>
      </c>
      <c r="J213" s="194">
        <f>IF(_1_54128456121462410464578910174567[[#This Row],[Type]]&gt;0,VLOOKUP(_1_54128456121462410464578910174567[[#This Row],[Type]],Main[[#All],[TYPE]:[UNIT]],'Unit Price'!H$1,FALSE),0)</f>
        <v>0</v>
      </c>
      <c r="K213" s="194">
        <f>IF(_1_54128456121462410464578910174567[[#This Row],[Discount selection]]&gt;0,VLOOKUP(_1_54128456121462410464578910174567[[#This Row],[Discount selection]],'Discount Structure'!$A$2:$B$30,2,"false"),0)</f>
        <v>1</v>
      </c>
      <c r="L213" s="194">
        <f>_1_54128456121462410464578910174567[[#This Row],[LIST $]]*_1_54128456121462410464578910174567[[#This Row],[DISCOUNT]]*_1_54128456121462410464578910174567[[#This Row],[DISCOUNT 2]]</f>
        <v>0</v>
      </c>
      <c r="M213" s="194">
        <f>IF(OR(_1_54128456121462410464578910174567[[#This Row],[UNIT]]&gt;0,_1_54128456121462410464578910174567[[#This Row],[UNIT]]&lt;0),_1_54128456121462410464578910174567[[#This Row],[UNIT]]*_1_54128456121462410464578910174567[[#This Row],[COST]],0)</f>
        <v>0</v>
      </c>
      <c r="N213" s="194">
        <f t="shared" si="3"/>
        <v>1.3</v>
      </c>
      <c r="O213" s="198">
        <f>_1_54128456121462410464578910174567[[#This Row],[TOTAL]]*_1_54128456121462410464578910174567[[#This Row],[MARGIN]]</f>
        <v>0</v>
      </c>
      <c r="R213" s="41"/>
    </row>
    <row r="214" spans="3:18">
      <c r="C214" s="168"/>
      <c r="D214" s="188"/>
      <c r="F214" s="168" t="s">
        <v>6202</v>
      </c>
      <c r="G214" s="193">
        <f>IF(_1_54128456121462410464578910174567[[#This Row],[Type]]&gt;0,VLOOKUP(_1_54128456121462410464578910174567[[#This Row],[Type]],Main[[#All],[TYPE]:[UNIT]],'Unit Price'!C$1,FALSE),0)</f>
        <v>0</v>
      </c>
      <c r="H214" s="197">
        <f>IF(_1_54128456121462410464578910174567[[#This Row],[Type]]&gt;0,VLOOKUP(_1_54128456121462410464578910174567[[#This Row],[Type]],Main[[#All],[TYPE]:[UNIT]],'Unit Price'!D$1,FALSE),0)</f>
        <v>0</v>
      </c>
      <c r="I214" s="194">
        <f>IF(_1_54128456121462410464578910174567[[#This Row],[Type]]&gt;0,VLOOKUP(_1_54128456121462410464578910174567[[#This Row],[Type]],Main[[#All],[TYPE]:[UNIT]],'Unit Price'!G$1,FALSE),0)</f>
        <v>0</v>
      </c>
      <c r="J214" s="194">
        <f>IF(_1_54128456121462410464578910174567[[#This Row],[Type]]&gt;0,VLOOKUP(_1_54128456121462410464578910174567[[#This Row],[Type]],Main[[#All],[TYPE]:[UNIT]],'Unit Price'!H$1,FALSE),0)</f>
        <v>0</v>
      </c>
      <c r="K214" s="194">
        <f>IF(_1_54128456121462410464578910174567[[#This Row],[Discount selection]]&gt;0,VLOOKUP(_1_54128456121462410464578910174567[[#This Row],[Discount selection]],'Discount Structure'!$A$2:$B$30,2,"false"),0)</f>
        <v>1</v>
      </c>
      <c r="L214" s="194">
        <f>_1_54128456121462410464578910174567[[#This Row],[LIST $]]*_1_54128456121462410464578910174567[[#This Row],[DISCOUNT]]*_1_54128456121462410464578910174567[[#This Row],[DISCOUNT 2]]</f>
        <v>0</v>
      </c>
      <c r="M214" s="194">
        <f>IF(OR(_1_54128456121462410464578910174567[[#This Row],[UNIT]]&gt;0,_1_54128456121462410464578910174567[[#This Row],[UNIT]]&lt;0),_1_54128456121462410464578910174567[[#This Row],[UNIT]]*_1_54128456121462410464578910174567[[#This Row],[COST]],0)</f>
        <v>0</v>
      </c>
      <c r="N214" s="194">
        <f t="shared" si="3"/>
        <v>1.3</v>
      </c>
      <c r="O214" s="198">
        <f>_1_54128456121462410464578910174567[[#This Row],[TOTAL]]*_1_54128456121462410464578910174567[[#This Row],[MARGIN]]</f>
        <v>0</v>
      </c>
      <c r="R214" s="41"/>
    </row>
    <row r="215" spans="3:18">
      <c r="C215" s="168"/>
      <c r="D215" s="188"/>
      <c r="F215" s="168" t="s">
        <v>6202</v>
      </c>
      <c r="G215" s="193">
        <f>IF(_1_54128456121462410464578910174567[[#This Row],[Type]]&gt;0,VLOOKUP(_1_54128456121462410464578910174567[[#This Row],[Type]],Main[[#All],[TYPE]:[UNIT]],'Unit Price'!C$1,FALSE),0)</f>
        <v>0</v>
      </c>
      <c r="H215" s="197">
        <f>IF(_1_54128456121462410464578910174567[[#This Row],[Type]]&gt;0,VLOOKUP(_1_54128456121462410464578910174567[[#This Row],[Type]],Main[[#All],[TYPE]:[UNIT]],'Unit Price'!D$1,FALSE),0)</f>
        <v>0</v>
      </c>
      <c r="I215" s="194">
        <f>IF(_1_54128456121462410464578910174567[[#This Row],[Type]]&gt;0,VLOOKUP(_1_54128456121462410464578910174567[[#This Row],[Type]],Main[[#All],[TYPE]:[UNIT]],'Unit Price'!G$1,FALSE),0)</f>
        <v>0</v>
      </c>
      <c r="J215" s="194">
        <f>IF(_1_54128456121462410464578910174567[[#This Row],[Type]]&gt;0,VLOOKUP(_1_54128456121462410464578910174567[[#This Row],[Type]],Main[[#All],[TYPE]:[UNIT]],'Unit Price'!H$1,FALSE),0)</f>
        <v>0</v>
      </c>
      <c r="K215" s="194">
        <f>IF(_1_54128456121462410464578910174567[[#This Row],[Discount selection]]&gt;0,VLOOKUP(_1_54128456121462410464578910174567[[#This Row],[Discount selection]],'Discount Structure'!$A$2:$B$30,2,"false"),0)</f>
        <v>1</v>
      </c>
      <c r="L215" s="194">
        <f>_1_54128456121462410464578910174567[[#This Row],[LIST $]]*_1_54128456121462410464578910174567[[#This Row],[DISCOUNT]]*_1_54128456121462410464578910174567[[#This Row],[DISCOUNT 2]]</f>
        <v>0</v>
      </c>
      <c r="M215" s="194">
        <f>IF(OR(_1_54128456121462410464578910174567[[#This Row],[UNIT]]&gt;0,_1_54128456121462410464578910174567[[#This Row],[UNIT]]&lt;0),_1_54128456121462410464578910174567[[#This Row],[UNIT]]*_1_54128456121462410464578910174567[[#This Row],[COST]],0)</f>
        <v>0</v>
      </c>
      <c r="N215" s="194">
        <f t="shared" si="3"/>
        <v>1.3</v>
      </c>
      <c r="O215" s="198">
        <f>_1_54128456121462410464578910174567[[#This Row],[TOTAL]]*_1_54128456121462410464578910174567[[#This Row],[MARGIN]]</f>
        <v>0</v>
      </c>
      <c r="R215" s="41"/>
    </row>
    <row r="216" spans="3:18">
      <c r="C216" s="168"/>
      <c r="D216" s="188"/>
      <c r="F216" s="168" t="s">
        <v>6202</v>
      </c>
      <c r="G216" s="193">
        <f>IF(_1_54128456121462410464578910174567[[#This Row],[Type]]&gt;0,VLOOKUP(_1_54128456121462410464578910174567[[#This Row],[Type]],Main[[#All],[TYPE]:[UNIT]],'Unit Price'!C$1,FALSE),0)</f>
        <v>0</v>
      </c>
      <c r="H216" s="197">
        <f>IF(_1_54128456121462410464578910174567[[#This Row],[Type]]&gt;0,VLOOKUP(_1_54128456121462410464578910174567[[#This Row],[Type]],Main[[#All],[TYPE]:[UNIT]],'Unit Price'!D$1,FALSE),0)</f>
        <v>0</v>
      </c>
      <c r="I216" s="194">
        <f>IF(_1_54128456121462410464578910174567[[#This Row],[Type]]&gt;0,VLOOKUP(_1_54128456121462410464578910174567[[#This Row],[Type]],Main[[#All],[TYPE]:[UNIT]],'Unit Price'!G$1,FALSE),0)</f>
        <v>0</v>
      </c>
      <c r="J216" s="194">
        <f>IF(_1_54128456121462410464578910174567[[#This Row],[Type]]&gt;0,VLOOKUP(_1_54128456121462410464578910174567[[#This Row],[Type]],Main[[#All],[TYPE]:[UNIT]],'Unit Price'!H$1,FALSE),0)</f>
        <v>0</v>
      </c>
      <c r="K216" s="194">
        <f>IF(_1_54128456121462410464578910174567[[#This Row],[Discount selection]]&gt;0,VLOOKUP(_1_54128456121462410464578910174567[[#This Row],[Discount selection]],'Discount Structure'!$A$2:$B$30,2,"false"),0)</f>
        <v>1</v>
      </c>
      <c r="L216" s="194">
        <f>_1_54128456121462410464578910174567[[#This Row],[LIST $]]*_1_54128456121462410464578910174567[[#This Row],[DISCOUNT]]*_1_54128456121462410464578910174567[[#This Row],[DISCOUNT 2]]</f>
        <v>0</v>
      </c>
      <c r="M216" s="194">
        <f>IF(OR(_1_54128456121462410464578910174567[[#This Row],[UNIT]]&gt;0,_1_54128456121462410464578910174567[[#This Row],[UNIT]]&lt;0),_1_54128456121462410464578910174567[[#This Row],[UNIT]]*_1_54128456121462410464578910174567[[#This Row],[COST]],0)</f>
        <v>0</v>
      </c>
      <c r="N216" s="194">
        <f t="shared" si="3"/>
        <v>1.3</v>
      </c>
      <c r="O216" s="198">
        <f>_1_54128456121462410464578910174567[[#This Row],[TOTAL]]*_1_54128456121462410464578910174567[[#This Row],[MARGIN]]</f>
        <v>0</v>
      </c>
      <c r="R216" s="41"/>
    </row>
    <row r="217" spans="3:18">
      <c r="C217" s="168"/>
      <c r="D217" s="188"/>
      <c r="F217" s="168" t="s">
        <v>6202</v>
      </c>
      <c r="G217" s="193">
        <f>IF(_1_54128456121462410464578910174567[[#This Row],[Type]]&gt;0,VLOOKUP(_1_54128456121462410464578910174567[[#This Row],[Type]],Main[[#All],[TYPE]:[UNIT]],'Unit Price'!C$1,FALSE),0)</f>
        <v>0</v>
      </c>
      <c r="H217" s="197">
        <f>IF(_1_54128456121462410464578910174567[[#This Row],[Type]]&gt;0,VLOOKUP(_1_54128456121462410464578910174567[[#This Row],[Type]],Main[[#All],[TYPE]:[UNIT]],'Unit Price'!D$1,FALSE),0)</f>
        <v>0</v>
      </c>
      <c r="I217" s="194">
        <f>IF(_1_54128456121462410464578910174567[[#This Row],[Type]]&gt;0,VLOOKUP(_1_54128456121462410464578910174567[[#This Row],[Type]],Main[[#All],[TYPE]:[UNIT]],'Unit Price'!G$1,FALSE),0)</f>
        <v>0</v>
      </c>
      <c r="J217" s="194">
        <f>IF(_1_54128456121462410464578910174567[[#This Row],[Type]]&gt;0,VLOOKUP(_1_54128456121462410464578910174567[[#This Row],[Type]],Main[[#All],[TYPE]:[UNIT]],'Unit Price'!H$1,FALSE),0)</f>
        <v>0</v>
      </c>
      <c r="K217" s="194">
        <f>IF(_1_54128456121462410464578910174567[[#This Row],[Discount selection]]&gt;0,VLOOKUP(_1_54128456121462410464578910174567[[#This Row],[Discount selection]],'Discount Structure'!$A$2:$B$30,2,"false"),0)</f>
        <v>1</v>
      </c>
      <c r="L217" s="194">
        <f>_1_54128456121462410464578910174567[[#This Row],[LIST $]]*_1_54128456121462410464578910174567[[#This Row],[DISCOUNT]]*_1_54128456121462410464578910174567[[#This Row],[DISCOUNT 2]]</f>
        <v>0</v>
      </c>
      <c r="M217" s="194">
        <f>IF(OR(_1_54128456121462410464578910174567[[#This Row],[UNIT]]&gt;0,_1_54128456121462410464578910174567[[#This Row],[UNIT]]&lt;0),_1_54128456121462410464578910174567[[#This Row],[UNIT]]*_1_54128456121462410464578910174567[[#This Row],[COST]],0)</f>
        <v>0</v>
      </c>
      <c r="N217" s="194">
        <f t="shared" si="3"/>
        <v>1.3</v>
      </c>
      <c r="O217" s="198">
        <f>_1_54128456121462410464578910174567[[#This Row],[TOTAL]]*_1_54128456121462410464578910174567[[#This Row],[MARGIN]]</f>
        <v>0</v>
      </c>
      <c r="R217" s="41"/>
    </row>
    <row r="218" spans="3:18">
      <c r="C218" s="168"/>
      <c r="D218" s="188"/>
      <c r="F218" s="168" t="s">
        <v>6202</v>
      </c>
      <c r="G218" s="193">
        <f>IF(_1_54128456121462410464578910174567[[#This Row],[Type]]&gt;0,VLOOKUP(_1_54128456121462410464578910174567[[#This Row],[Type]],Main[[#All],[TYPE]:[UNIT]],'Unit Price'!C$1,FALSE),0)</f>
        <v>0</v>
      </c>
      <c r="H218" s="197">
        <f>IF(_1_54128456121462410464578910174567[[#This Row],[Type]]&gt;0,VLOOKUP(_1_54128456121462410464578910174567[[#This Row],[Type]],Main[[#All],[TYPE]:[UNIT]],'Unit Price'!D$1,FALSE),0)</f>
        <v>0</v>
      </c>
      <c r="I218" s="194">
        <f>IF(_1_54128456121462410464578910174567[[#This Row],[Type]]&gt;0,VLOOKUP(_1_54128456121462410464578910174567[[#This Row],[Type]],Main[[#All],[TYPE]:[UNIT]],'Unit Price'!G$1,FALSE),0)</f>
        <v>0</v>
      </c>
      <c r="J218" s="194">
        <f>IF(_1_54128456121462410464578910174567[[#This Row],[Type]]&gt;0,VLOOKUP(_1_54128456121462410464578910174567[[#This Row],[Type]],Main[[#All],[TYPE]:[UNIT]],'Unit Price'!H$1,FALSE),0)</f>
        <v>0</v>
      </c>
      <c r="K218" s="194">
        <f>IF(_1_54128456121462410464578910174567[[#This Row],[Discount selection]]&gt;0,VLOOKUP(_1_54128456121462410464578910174567[[#This Row],[Discount selection]],'Discount Structure'!$A$2:$B$30,2,"false"),0)</f>
        <v>1</v>
      </c>
      <c r="L218" s="194">
        <f>_1_54128456121462410464578910174567[[#This Row],[LIST $]]*_1_54128456121462410464578910174567[[#This Row],[DISCOUNT]]*_1_54128456121462410464578910174567[[#This Row],[DISCOUNT 2]]</f>
        <v>0</v>
      </c>
      <c r="M218" s="194">
        <f>IF(OR(_1_54128456121462410464578910174567[[#This Row],[UNIT]]&gt;0,_1_54128456121462410464578910174567[[#This Row],[UNIT]]&lt;0),_1_54128456121462410464578910174567[[#This Row],[UNIT]]*_1_54128456121462410464578910174567[[#This Row],[COST]],0)</f>
        <v>0</v>
      </c>
      <c r="N218" s="194">
        <f t="shared" si="3"/>
        <v>1.3</v>
      </c>
      <c r="O218" s="198">
        <f>_1_54128456121462410464578910174567[[#This Row],[TOTAL]]*_1_54128456121462410464578910174567[[#This Row],[MARGIN]]</f>
        <v>0</v>
      </c>
      <c r="R218" s="41"/>
    </row>
    <row r="219" spans="3:18">
      <c r="C219" s="168"/>
      <c r="D219" s="188"/>
      <c r="F219" s="168" t="s">
        <v>6202</v>
      </c>
      <c r="G219" s="193">
        <f>IF(_1_54128456121462410464578910174567[[#This Row],[Type]]&gt;0,VLOOKUP(_1_54128456121462410464578910174567[[#This Row],[Type]],Main[[#All],[TYPE]:[UNIT]],'Unit Price'!C$1,FALSE),0)</f>
        <v>0</v>
      </c>
      <c r="H219" s="197">
        <f>IF(_1_54128456121462410464578910174567[[#This Row],[Type]]&gt;0,VLOOKUP(_1_54128456121462410464578910174567[[#This Row],[Type]],Main[[#All],[TYPE]:[UNIT]],'Unit Price'!D$1,FALSE),0)</f>
        <v>0</v>
      </c>
      <c r="I219" s="194">
        <f>IF(_1_54128456121462410464578910174567[[#This Row],[Type]]&gt;0,VLOOKUP(_1_54128456121462410464578910174567[[#This Row],[Type]],Main[[#All],[TYPE]:[UNIT]],'Unit Price'!G$1,FALSE),0)</f>
        <v>0</v>
      </c>
      <c r="J219" s="194">
        <f>IF(_1_54128456121462410464578910174567[[#This Row],[Type]]&gt;0,VLOOKUP(_1_54128456121462410464578910174567[[#This Row],[Type]],Main[[#All],[TYPE]:[UNIT]],'Unit Price'!H$1,FALSE),0)</f>
        <v>0</v>
      </c>
      <c r="K219" s="194">
        <f>IF(_1_54128456121462410464578910174567[[#This Row],[Discount selection]]&gt;0,VLOOKUP(_1_54128456121462410464578910174567[[#This Row],[Discount selection]],'Discount Structure'!$A$2:$B$30,2,"false"),0)</f>
        <v>1</v>
      </c>
      <c r="L219" s="194">
        <f>_1_54128456121462410464578910174567[[#This Row],[LIST $]]*_1_54128456121462410464578910174567[[#This Row],[DISCOUNT]]*_1_54128456121462410464578910174567[[#This Row],[DISCOUNT 2]]</f>
        <v>0</v>
      </c>
      <c r="M219" s="194">
        <f>IF(OR(_1_54128456121462410464578910174567[[#This Row],[UNIT]]&gt;0,_1_54128456121462410464578910174567[[#This Row],[UNIT]]&lt;0),_1_54128456121462410464578910174567[[#This Row],[UNIT]]*_1_54128456121462410464578910174567[[#This Row],[COST]],0)</f>
        <v>0</v>
      </c>
      <c r="N219" s="194">
        <f t="shared" si="3"/>
        <v>1.3</v>
      </c>
      <c r="O219" s="198">
        <f>_1_54128456121462410464578910174567[[#This Row],[TOTAL]]*_1_54128456121462410464578910174567[[#This Row],[MARGIN]]</f>
        <v>0</v>
      </c>
      <c r="R219" s="41"/>
    </row>
    <row r="220" spans="3:18">
      <c r="C220" s="168"/>
      <c r="D220" s="188"/>
      <c r="F220" s="168" t="s">
        <v>6202</v>
      </c>
      <c r="G220" s="193">
        <f>IF(_1_54128456121462410464578910174567[[#This Row],[Type]]&gt;0,VLOOKUP(_1_54128456121462410464578910174567[[#This Row],[Type]],Main[[#All],[TYPE]:[UNIT]],'Unit Price'!C$1,FALSE),0)</f>
        <v>0</v>
      </c>
      <c r="H220" s="197">
        <f>IF(_1_54128456121462410464578910174567[[#This Row],[Type]]&gt;0,VLOOKUP(_1_54128456121462410464578910174567[[#This Row],[Type]],Main[[#All],[TYPE]:[UNIT]],'Unit Price'!D$1,FALSE),0)</f>
        <v>0</v>
      </c>
      <c r="I220" s="194">
        <f>IF(_1_54128456121462410464578910174567[[#This Row],[Type]]&gt;0,VLOOKUP(_1_54128456121462410464578910174567[[#This Row],[Type]],Main[[#All],[TYPE]:[UNIT]],'Unit Price'!G$1,FALSE),0)</f>
        <v>0</v>
      </c>
      <c r="J220" s="194">
        <f>IF(_1_54128456121462410464578910174567[[#This Row],[Type]]&gt;0,VLOOKUP(_1_54128456121462410464578910174567[[#This Row],[Type]],Main[[#All],[TYPE]:[UNIT]],'Unit Price'!H$1,FALSE),0)</f>
        <v>0</v>
      </c>
      <c r="K220" s="194">
        <f>IF(_1_54128456121462410464578910174567[[#This Row],[Discount selection]]&gt;0,VLOOKUP(_1_54128456121462410464578910174567[[#This Row],[Discount selection]],'Discount Structure'!$A$2:$B$30,2,"false"),0)</f>
        <v>1</v>
      </c>
      <c r="L220" s="194">
        <f>_1_54128456121462410464578910174567[[#This Row],[LIST $]]*_1_54128456121462410464578910174567[[#This Row],[DISCOUNT]]*_1_54128456121462410464578910174567[[#This Row],[DISCOUNT 2]]</f>
        <v>0</v>
      </c>
      <c r="M220" s="194">
        <f>IF(OR(_1_54128456121462410464578910174567[[#This Row],[UNIT]]&gt;0,_1_54128456121462410464578910174567[[#This Row],[UNIT]]&lt;0),_1_54128456121462410464578910174567[[#This Row],[UNIT]]*_1_54128456121462410464578910174567[[#This Row],[COST]],0)</f>
        <v>0</v>
      </c>
      <c r="N220" s="194">
        <f t="shared" si="3"/>
        <v>1.3</v>
      </c>
      <c r="O220" s="198">
        <f>_1_54128456121462410464578910174567[[#This Row],[TOTAL]]*_1_54128456121462410464578910174567[[#This Row],[MARGIN]]</f>
        <v>0</v>
      </c>
      <c r="R220" s="41"/>
    </row>
    <row r="221" spans="3:18">
      <c r="C221" s="168"/>
      <c r="D221" s="188"/>
      <c r="F221" s="168" t="s">
        <v>6202</v>
      </c>
      <c r="G221" s="193">
        <f>IF(_1_54128456121462410464578910174567[[#This Row],[Type]]&gt;0,VLOOKUP(_1_54128456121462410464578910174567[[#This Row],[Type]],Main[[#All],[TYPE]:[UNIT]],'Unit Price'!C$1,FALSE),0)</f>
        <v>0</v>
      </c>
      <c r="H221" s="197">
        <f>IF(_1_54128456121462410464578910174567[[#This Row],[Type]]&gt;0,VLOOKUP(_1_54128456121462410464578910174567[[#This Row],[Type]],Main[[#All],[TYPE]:[UNIT]],'Unit Price'!D$1,FALSE),0)</f>
        <v>0</v>
      </c>
      <c r="I221" s="194">
        <f>IF(_1_54128456121462410464578910174567[[#This Row],[Type]]&gt;0,VLOOKUP(_1_54128456121462410464578910174567[[#This Row],[Type]],Main[[#All],[TYPE]:[UNIT]],'Unit Price'!G$1,FALSE),0)</f>
        <v>0</v>
      </c>
      <c r="J221" s="194">
        <f>IF(_1_54128456121462410464578910174567[[#This Row],[Type]]&gt;0,VLOOKUP(_1_54128456121462410464578910174567[[#This Row],[Type]],Main[[#All],[TYPE]:[UNIT]],'Unit Price'!H$1,FALSE),0)</f>
        <v>0</v>
      </c>
      <c r="K221" s="194">
        <f>IF(_1_54128456121462410464578910174567[[#This Row],[Discount selection]]&gt;0,VLOOKUP(_1_54128456121462410464578910174567[[#This Row],[Discount selection]],'Discount Structure'!$A$2:$B$30,2,"false"),0)</f>
        <v>1</v>
      </c>
      <c r="L221" s="194">
        <f>_1_54128456121462410464578910174567[[#This Row],[LIST $]]*_1_54128456121462410464578910174567[[#This Row],[DISCOUNT]]*_1_54128456121462410464578910174567[[#This Row],[DISCOUNT 2]]</f>
        <v>0</v>
      </c>
      <c r="M221" s="194">
        <f>IF(OR(_1_54128456121462410464578910174567[[#This Row],[UNIT]]&gt;0,_1_54128456121462410464578910174567[[#This Row],[UNIT]]&lt;0),_1_54128456121462410464578910174567[[#This Row],[UNIT]]*_1_54128456121462410464578910174567[[#This Row],[COST]],0)</f>
        <v>0</v>
      </c>
      <c r="N221" s="194">
        <f t="shared" si="3"/>
        <v>1.3</v>
      </c>
      <c r="O221" s="198">
        <f>_1_54128456121462410464578910174567[[#This Row],[TOTAL]]*_1_54128456121462410464578910174567[[#This Row],[MARGIN]]</f>
        <v>0</v>
      </c>
      <c r="R221" s="41"/>
    </row>
    <row r="222" spans="3:18">
      <c r="C222" s="168"/>
      <c r="D222" s="188"/>
      <c r="F222" s="168" t="s">
        <v>6202</v>
      </c>
      <c r="G222" s="193">
        <f>IF(_1_54128456121462410464578910174567[[#This Row],[Type]]&gt;0,VLOOKUP(_1_54128456121462410464578910174567[[#This Row],[Type]],Main[[#All],[TYPE]:[UNIT]],'Unit Price'!C$1,FALSE),0)</f>
        <v>0</v>
      </c>
      <c r="H222" s="197">
        <f>IF(_1_54128456121462410464578910174567[[#This Row],[Type]]&gt;0,VLOOKUP(_1_54128456121462410464578910174567[[#This Row],[Type]],Main[[#All],[TYPE]:[UNIT]],'Unit Price'!D$1,FALSE),0)</f>
        <v>0</v>
      </c>
      <c r="I222" s="194">
        <f>IF(_1_54128456121462410464578910174567[[#This Row],[Type]]&gt;0,VLOOKUP(_1_54128456121462410464578910174567[[#This Row],[Type]],Main[[#All],[TYPE]:[UNIT]],'Unit Price'!G$1,FALSE),0)</f>
        <v>0</v>
      </c>
      <c r="J222" s="194">
        <f>IF(_1_54128456121462410464578910174567[[#This Row],[Type]]&gt;0,VLOOKUP(_1_54128456121462410464578910174567[[#This Row],[Type]],Main[[#All],[TYPE]:[UNIT]],'Unit Price'!H$1,FALSE),0)</f>
        <v>0</v>
      </c>
      <c r="K222" s="194">
        <f>IF(_1_54128456121462410464578910174567[[#This Row],[Discount selection]]&gt;0,VLOOKUP(_1_54128456121462410464578910174567[[#This Row],[Discount selection]],'Discount Structure'!$A$2:$B$30,2,"false"),0)</f>
        <v>1</v>
      </c>
      <c r="L222" s="194">
        <f>_1_54128456121462410464578910174567[[#This Row],[LIST $]]*_1_54128456121462410464578910174567[[#This Row],[DISCOUNT]]*_1_54128456121462410464578910174567[[#This Row],[DISCOUNT 2]]</f>
        <v>0</v>
      </c>
      <c r="M222" s="194">
        <f>IF(OR(_1_54128456121462410464578910174567[[#This Row],[UNIT]]&gt;0,_1_54128456121462410464578910174567[[#This Row],[UNIT]]&lt;0),_1_54128456121462410464578910174567[[#This Row],[UNIT]]*_1_54128456121462410464578910174567[[#This Row],[COST]],0)</f>
        <v>0</v>
      </c>
      <c r="N222" s="194">
        <f t="shared" si="3"/>
        <v>1.3</v>
      </c>
      <c r="O222" s="198">
        <f>_1_54128456121462410464578910174567[[#This Row],[TOTAL]]*_1_54128456121462410464578910174567[[#This Row],[MARGIN]]</f>
        <v>0</v>
      </c>
      <c r="R222" s="41"/>
    </row>
    <row r="223" spans="3:18">
      <c r="C223" s="168"/>
      <c r="D223" s="188"/>
      <c r="F223" s="168" t="s">
        <v>6202</v>
      </c>
      <c r="G223" s="193">
        <f>IF(_1_54128456121462410464578910174567[[#This Row],[Type]]&gt;0,VLOOKUP(_1_54128456121462410464578910174567[[#This Row],[Type]],Main[[#All],[TYPE]:[UNIT]],'Unit Price'!C$1,FALSE),0)</f>
        <v>0</v>
      </c>
      <c r="H223" s="197">
        <f>IF(_1_54128456121462410464578910174567[[#This Row],[Type]]&gt;0,VLOOKUP(_1_54128456121462410464578910174567[[#This Row],[Type]],Main[[#All],[TYPE]:[UNIT]],'Unit Price'!D$1,FALSE),0)</f>
        <v>0</v>
      </c>
      <c r="I223" s="194">
        <f>IF(_1_54128456121462410464578910174567[[#This Row],[Type]]&gt;0,VLOOKUP(_1_54128456121462410464578910174567[[#This Row],[Type]],Main[[#All],[TYPE]:[UNIT]],'Unit Price'!G$1,FALSE),0)</f>
        <v>0</v>
      </c>
      <c r="J223" s="194">
        <f>IF(_1_54128456121462410464578910174567[[#This Row],[Type]]&gt;0,VLOOKUP(_1_54128456121462410464578910174567[[#This Row],[Type]],Main[[#All],[TYPE]:[UNIT]],'Unit Price'!H$1,FALSE),0)</f>
        <v>0</v>
      </c>
      <c r="K223" s="194">
        <f>IF(_1_54128456121462410464578910174567[[#This Row],[Discount selection]]&gt;0,VLOOKUP(_1_54128456121462410464578910174567[[#This Row],[Discount selection]],'Discount Structure'!$A$2:$B$30,2,"false"),0)</f>
        <v>1</v>
      </c>
      <c r="L223" s="194">
        <f>_1_54128456121462410464578910174567[[#This Row],[LIST $]]*_1_54128456121462410464578910174567[[#This Row],[DISCOUNT]]*_1_54128456121462410464578910174567[[#This Row],[DISCOUNT 2]]</f>
        <v>0</v>
      </c>
      <c r="M223" s="194">
        <f>IF(OR(_1_54128456121462410464578910174567[[#This Row],[UNIT]]&gt;0,_1_54128456121462410464578910174567[[#This Row],[UNIT]]&lt;0),_1_54128456121462410464578910174567[[#This Row],[UNIT]]*_1_54128456121462410464578910174567[[#This Row],[COST]],0)</f>
        <v>0</v>
      </c>
      <c r="N223" s="194">
        <f t="shared" si="3"/>
        <v>1.3</v>
      </c>
      <c r="O223" s="198">
        <f>_1_54128456121462410464578910174567[[#This Row],[TOTAL]]*_1_54128456121462410464578910174567[[#This Row],[MARGIN]]</f>
        <v>0</v>
      </c>
      <c r="R223" s="41"/>
    </row>
    <row r="224" spans="3:18">
      <c r="C224" s="168"/>
      <c r="D224" s="188"/>
      <c r="F224" s="168" t="s">
        <v>6202</v>
      </c>
      <c r="G224" s="193">
        <f>IF(_1_54128456121462410464578910174567[[#This Row],[Type]]&gt;0,VLOOKUP(_1_54128456121462410464578910174567[[#This Row],[Type]],Main[[#All],[TYPE]:[UNIT]],'Unit Price'!C$1,FALSE),0)</f>
        <v>0</v>
      </c>
      <c r="H224" s="197">
        <f>IF(_1_54128456121462410464578910174567[[#This Row],[Type]]&gt;0,VLOOKUP(_1_54128456121462410464578910174567[[#This Row],[Type]],Main[[#All],[TYPE]:[UNIT]],'Unit Price'!D$1,FALSE),0)</f>
        <v>0</v>
      </c>
      <c r="I224" s="194">
        <f>IF(_1_54128456121462410464578910174567[[#This Row],[Type]]&gt;0,VLOOKUP(_1_54128456121462410464578910174567[[#This Row],[Type]],Main[[#All],[TYPE]:[UNIT]],'Unit Price'!G$1,FALSE),0)</f>
        <v>0</v>
      </c>
      <c r="J224" s="194">
        <f>IF(_1_54128456121462410464578910174567[[#This Row],[Type]]&gt;0,VLOOKUP(_1_54128456121462410464578910174567[[#This Row],[Type]],Main[[#All],[TYPE]:[UNIT]],'Unit Price'!H$1,FALSE),0)</f>
        <v>0</v>
      </c>
      <c r="K224" s="194">
        <f>IF(_1_54128456121462410464578910174567[[#This Row],[Discount selection]]&gt;0,VLOOKUP(_1_54128456121462410464578910174567[[#This Row],[Discount selection]],'Discount Structure'!$A$2:$B$30,2,"false"),0)</f>
        <v>1</v>
      </c>
      <c r="L224" s="194">
        <f>_1_54128456121462410464578910174567[[#This Row],[LIST $]]*_1_54128456121462410464578910174567[[#This Row],[DISCOUNT]]*_1_54128456121462410464578910174567[[#This Row],[DISCOUNT 2]]</f>
        <v>0</v>
      </c>
      <c r="M224" s="194">
        <f>IF(OR(_1_54128456121462410464578910174567[[#This Row],[UNIT]]&gt;0,_1_54128456121462410464578910174567[[#This Row],[UNIT]]&lt;0),_1_54128456121462410464578910174567[[#This Row],[UNIT]]*_1_54128456121462410464578910174567[[#This Row],[COST]],0)</f>
        <v>0</v>
      </c>
      <c r="N224" s="194">
        <f t="shared" si="3"/>
        <v>1.3</v>
      </c>
      <c r="O224" s="198">
        <f>_1_54128456121462410464578910174567[[#This Row],[TOTAL]]*_1_54128456121462410464578910174567[[#This Row],[MARGIN]]</f>
        <v>0</v>
      </c>
      <c r="R224" s="41"/>
    </row>
    <row r="225" spans="1:18">
      <c r="C225" s="168"/>
      <c r="D225" s="188"/>
      <c r="F225" s="168" t="s">
        <v>6202</v>
      </c>
      <c r="G225" s="193">
        <f>IF(_1_54128456121462410464578910174567[[#This Row],[Type]]&gt;0,VLOOKUP(_1_54128456121462410464578910174567[[#This Row],[Type]],Main[[#All],[TYPE]:[UNIT]],'Unit Price'!C$1,FALSE),0)</f>
        <v>0</v>
      </c>
      <c r="H225" s="197">
        <f>IF(_1_54128456121462410464578910174567[[#This Row],[Type]]&gt;0,VLOOKUP(_1_54128456121462410464578910174567[[#This Row],[Type]],Main[[#All],[TYPE]:[UNIT]],'Unit Price'!D$1,FALSE),0)</f>
        <v>0</v>
      </c>
      <c r="I225" s="194">
        <f>IF(_1_54128456121462410464578910174567[[#This Row],[Type]]&gt;0,VLOOKUP(_1_54128456121462410464578910174567[[#This Row],[Type]],Main[[#All],[TYPE]:[UNIT]],'Unit Price'!G$1,FALSE),0)</f>
        <v>0</v>
      </c>
      <c r="J225" s="194">
        <f>IF(_1_54128456121462410464578910174567[[#This Row],[Type]]&gt;0,VLOOKUP(_1_54128456121462410464578910174567[[#This Row],[Type]],Main[[#All],[TYPE]:[UNIT]],'Unit Price'!H$1,FALSE),0)</f>
        <v>0</v>
      </c>
      <c r="K225" s="194">
        <f>IF(_1_54128456121462410464578910174567[[#This Row],[Discount selection]]&gt;0,VLOOKUP(_1_54128456121462410464578910174567[[#This Row],[Discount selection]],'Discount Structure'!$A$2:$B$30,2,"false"),0)</f>
        <v>1</v>
      </c>
      <c r="L225" s="194">
        <f>_1_54128456121462410464578910174567[[#This Row],[LIST $]]*_1_54128456121462410464578910174567[[#This Row],[DISCOUNT]]*_1_54128456121462410464578910174567[[#This Row],[DISCOUNT 2]]</f>
        <v>0</v>
      </c>
      <c r="M225" s="194">
        <f>IF(OR(_1_54128456121462410464578910174567[[#This Row],[UNIT]]&gt;0,_1_54128456121462410464578910174567[[#This Row],[UNIT]]&lt;0),_1_54128456121462410464578910174567[[#This Row],[UNIT]]*_1_54128456121462410464578910174567[[#This Row],[COST]],0)</f>
        <v>0</v>
      </c>
      <c r="N225" s="194">
        <f t="shared" si="3"/>
        <v>1.3</v>
      </c>
      <c r="O225" s="198">
        <f>_1_54128456121462410464578910174567[[#This Row],[TOTAL]]*_1_54128456121462410464578910174567[[#This Row],[MARGIN]]</f>
        <v>0</v>
      </c>
      <c r="R225" s="41"/>
    </row>
    <row r="226" spans="1:18">
      <c r="C226" s="168"/>
      <c r="D226" s="188"/>
      <c r="F226" s="168" t="s">
        <v>6202</v>
      </c>
      <c r="G226" s="193">
        <f>IF(_1_54128456121462410464578910174567[[#This Row],[Type]]&gt;0,VLOOKUP(_1_54128456121462410464578910174567[[#This Row],[Type]],Main[[#All],[TYPE]:[UNIT]],'Unit Price'!C$1,FALSE),0)</f>
        <v>0</v>
      </c>
      <c r="H226" s="197">
        <f>IF(_1_54128456121462410464578910174567[[#This Row],[Type]]&gt;0,VLOOKUP(_1_54128456121462410464578910174567[[#This Row],[Type]],Main[[#All],[TYPE]:[UNIT]],'Unit Price'!D$1,FALSE),0)</f>
        <v>0</v>
      </c>
      <c r="I226" s="194">
        <f>IF(_1_54128456121462410464578910174567[[#This Row],[Type]]&gt;0,VLOOKUP(_1_54128456121462410464578910174567[[#This Row],[Type]],Main[[#All],[TYPE]:[UNIT]],'Unit Price'!G$1,FALSE),0)</f>
        <v>0</v>
      </c>
      <c r="J226" s="194">
        <f>IF(_1_54128456121462410464578910174567[[#This Row],[Type]]&gt;0,VLOOKUP(_1_54128456121462410464578910174567[[#This Row],[Type]],Main[[#All],[TYPE]:[UNIT]],'Unit Price'!H$1,FALSE),0)</f>
        <v>0</v>
      </c>
      <c r="K226" s="194">
        <f>IF(_1_54128456121462410464578910174567[[#This Row],[Discount selection]]&gt;0,VLOOKUP(_1_54128456121462410464578910174567[[#This Row],[Discount selection]],'Discount Structure'!$A$2:$B$30,2,"false"),0)</f>
        <v>1</v>
      </c>
      <c r="L226" s="194">
        <f>_1_54128456121462410464578910174567[[#This Row],[LIST $]]*_1_54128456121462410464578910174567[[#This Row],[DISCOUNT]]*_1_54128456121462410464578910174567[[#This Row],[DISCOUNT 2]]</f>
        <v>0</v>
      </c>
      <c r="M226" s="194">
        <f>IF(OR(_1_54128456121462410464578910174567[[#This Row],[UNIT]]&gt;0,_1_54128456121462410464578910174567[[#This Row],[UNIT]]&lt;0),_1_54128456121462410464578910174567[[#This Row],[UNIT]]*_1_54128456121462410464578910174567[[#This Row],[COST]],0)</f>
        <v>0</v>
      </c>
      <c r="N226" s="194">
        <f t="shared" si="3"/>
        <v>1.3</v>
      </c>
      <c r="O226" s="198">
        <f>_1_54128456121462410464578910174567[[#This Row],[TOTAL]]*_1_54128456121462410464578910174567[[#This Row],[MARGIN]]</f>
        <v>0</v>
      </c>
      <c r="R226" s="41"/>
    </row>
    <row r="227" spans="1:18">
      <c r="C227" s="168"/>
      <c r="D227" s="188"/>
      <c r="F227" s="168" t="s">
        <v>6202</v>
      </c>
      <c r="G227" s="193">
        <f>IF(_1_54128456121462410464578910174567[[#This Row],[Type]]&gt;0,VLOOKUP(_1_54128456121462410464578910174567[[#This Row],[Type]],Main[[#All],[TYPE]:[UNIT]],'Unit Price'!C$1,FALSE),0)</f>
        <v>0</v>
      </c>
      <c r="H227" s="197">
        <f>IF(_1_54128456121462410464578910174567[[#This Row],[Type]]&gt;0,VLOOKUP(_1_54128456121462410464578910174567[[#This Row],[Type]],Main[[#All],[TYPE]:[UNIT]],'Unit Price'!D$1,FALSE),0)</f>
        <v>0</v>
      </c>
      <c r="I227" s="194">
        <f>IF(_1_54128456121462410464578910174567[[#This Row],[Type]]&gt;0,VLOOKUP(_1_54128456121462410464578910174567[[#This Row],[Type]],Main[[#All],[TYPE]:[UNIT]],'Unit Price'!G$1,FALSE),0)</f>
        <v>0</v>
      </c>
      <c r="J227" s="194">
        <f>IF(_1_54128456121462410464578910174567[[#This Row],[Type]]&gt;0,VLOOKUP(_1_54128456121462410464578910174567[[#This Row],[Type]],Main[[#All],[TYPE]:[UNIT]],'Unit Price'!H$1,FALSE),0)</f>
        <v>0</v>
      </c>
      <c r="K227" s="194">
        <f>IF(_1_54128456121462410464578910174567[[#This Row],[Discount selection]]&gt;0,VLOOKUP(_1_54128456121462410464578910174567[[#This Row],[Discount selection]],'Discount Structure'!$A$2:$B$30,2,"false"),0)</f>
        <v>1</v>
      </c>
      <c r="L227" s="194">
        <f>_1_54128456121462410464578910174567[[#This Row],[LIST $]]*_1_54128456121462410464578910174567[[#This Row],[DISCOUNT]]*_1_54128456121462410464578910174567[[#This Row],[DISCOUNT 2]]</f>
        <v>0</v>
      </c>
      <c r="M227" s="194">
        <f>IF(OR(_1_54128456121462410464578910174567[[#This Row],[UNIT]]&gt;0,_1_54128456121462410464578910174567[[#This Row],[UNIT]]&lt;0),_1_54128456121462410464578910174567[[#This Row],[UNIT]]*_1_54128456121462410464578910174567[[#This Row],[COST]],0)</f>
        <v>0</v>
      </c>
      <c r="N227" s="194">
        <f t="shared" si="3"/>
        <v>1.3</v>
      </c>
      <c r="O227" s="198">
        <f>_1_54128456121462410464578910174567[[#This Row],[TOTAL]]*_1_54128456121462410464578910174567[[#This Row],[MARGIN]]</f>
        <v>0</v>
      </c>
      <c r="R227" s="41"/>
    </row>
    <row r="228" spans="1:18">
      <c r="C228" s="168"/>
      <c r="D228" s="188"/>
      <c r="F228" s="168" t="s">
        <v>6202</v>
      </c>
      <c r="G228" s="193">
        <f>IF(_1_54128456121462410464578910174567[[#This Row],[Type]]&gt;0,VLOOKUP(_1_54128456121462410464578910174567[[#This Row],[Type]],Main[[#All],[TYPE]:[UNIT]],'Unit Price'!C$1,FALSE),0)</f>
        <v>0</v>
      </c>
      <c r="H228" s="197">
        <f>IF(_1_54128456121462410464578910174567[[#This Row],[Type]]&gt;0,VLOOKUP(_1_54128456121462410464578910174567[[#This Row],[Type]],Main[[#All],[TYPE]:[UNIT]],'Unit Price'!D$1,FALSE),0)</f>
        <v>0</v>
      </c>
      <c r="I228" s="194">
        <f>IF(_1_54128456121462410464578910174567[[#This Row],[Type]]&gt;0,VLOOKUP(_1_54128456121462410464578910174567[[#This Row],[Type]],Main[[#All],[TYPE]:[UNIT]],'Unit Price'!G$1,FALSE),0)</f>
        <v>0</v>
      </c>
      <c r="J228" s="194">
        <f>IF(_1_54128456121462410464578910174567[[#This Row],[Type]]&gt;0,VLOOKUP(_1_54128456121462410464578910174567[[#This Row],[Type]],Main[[#All],[TYPE]:[UNIT]],'Unit Price'!H$1,FALSE),0)</f>
        <v>0</v>
      </c>
      <c r="K228" s="194">
        <f>IF(_1_54128456121462410464578910174567[[#This Row],[Discount selection]]&gt;0,VLOOKUP(_1_54128456121462410464578910174567[[#This Row],[Discount selection]],'Discount Structure'!$A$2:$B$30,2,"false"),0)</f>
        <v>1</v>
      </c>
      <c r="L228" s="194">
        <f>_1_54128456121462410464578910174567[[#This Row],[LIST $]]*_1_54128456121462410464578910174567[[#This Row],[DISCOUNT]]*_1_54128456121462410464578910174567[[#This Row],[DISCOUNT 2]]</f>
        <v>0</v>
      </c>
      <c r="M228" s="194">
        <f>IF(OR(_1_54128456121462410464578910174567[[#This Row],[UNIT]]&gt;0,_1_54128456121462410464578910174567[[#This Row],[UNIT]]&lt;0),_1_54128456121462410464578910174567[[#This Row],[UNIT]]*_1_54128456121462410464578910174567[[#This Row],[COST]],0)</f>
        <v>0</v>
      </c>
      <c r="N228" s="194">
        <f t="shared" si="3"/>
        <v>1.3</v>
      </c>
      <c r="O228" s="198">
        <f>_1_54128456121462410464578910174567[[#This Row],[TOTAL]]*_1_54128456121462410464578910174567[[#This Row],[MARGIN]]</f>
        <v>0</v>
      </c>
      <c r="R228" s="41"/>
    </row>
    <row r="229" spans="1:18">
      <c r="C229" s="168"/>
      <c r="D229" s="188"/>
      <c r="F229" s="168" t="s">
        <v>6202</v>
      </c>
      <c r="G229" s="193">
        <f>IF(_1_54128456121462410464578910174567[[#This Row],[Type]]&gt;0,VLOOKUP(_1_54128456121462410464578910174567[[#This Row],[Type]],Main[[#All],[TYPE]:[UNIT]],'Unit Price'!C$1,FALSE),0)</f>
        <v>0</v>
      </c>
      <c r="H229" s="197">
        <f>IF(_1_54128456121462410464578910174567[[#This Row],[Type]]&gt;0,VLOOKUP(_1_54128456121462410464578910174567[[#This Row],[Type]],Main[[#All],[TYPE]:[UNIT]],'Unit Price'!D$1,FALSE),0)</f>
        <v>0</v>
      </c>
      <c r="I229" s="194">
        <f>IF(_1_54128456121462410464578910174567[[#This Row],[Type]]&gt;0,VLOOKUP(_1_54128456121462410464578910174567[[#This Row],[Type]],Main[[#All],[TYPE]:[UNIT]],'Unit Price'!G$1,FALSE),0)</f>
        <v>0</v>
      </c>
      <c r="J229" s="194">
        <f>IF(_1_54128456121462410464578910174567[[#This Row],[Type]]&gt;0,VLOOKUP(_1_54128456121462410464578910174567[[#This Row],[Type]],Main[[#All],[TYPE]:[UNIT]],'Unit Price'!H$1,FALSE),0)</f>
        <v>0</v>
      </c>
      <c r="K229" s="194">
        <f>IF(_1_54128456121462410464578910174567[[#This Row],[Discount selection]]&gt;0,VLOOKUP(_1_54128456121462410464578910174567[[#This Row],[Discount selection]],'Discount Structure'!$A$2:$B$30,2,"false"),0)</f>
        <v>1</v>
      </c>
      <c r="L229" s="194">
        <f>_1_54128456121462410464578910174567[[#This Row],[LIST $]]*_1_54128456121462410464578910174567[[#This Row],[DISCOUNT]]*_1_54128456121462410464578910174567[[#This Row],[DISCOUNT 2]]</f>
        <v>0</v>
      </c>
      <c r="M229" s="194">
        <f>IF(OR(_1_54128456121462410464578910174567[[#This Row],[UNIT]]&gt;0,_1_54128456121462410464578910174567[[#This Row],[UNIT]]&lt;0),_1_54128456121462410464578910174567[[#This Row],[UNIT]]*_1_54128456121462410464578910174567[[#This Row],[COST]],0)</f>
        <v>0</v>
      </c>
      <c r="N229" s="194">
        <f t="shared" si="3"/>
        <v>1.3</v>
      </c>
      <c r="O229" s="198">
        <f>_1_54128456121462410464578910174567[[#This Row],[TOTAL]]*_1_54128456121462410464578910174567[[#This Row],[MARGIN]]</f>
        <v>0</v>
      </c>
      <c r="R229" s="41"/>
    </row>
    <row r="230" spans="1:18">
      <c r="C230" s="168"/>
      <c r="D230" s="188"/>
      <c r="F230" s="168" t="s">
        <v>6202</v>
      </c>
      <c r="G230" s="193">
        <f>IF(_1_54128456121462410464578910174567[[#This Row],[Type]]&gt;0,VLOOKUP(_1_54128456121462410464578910174567[[#This Row],[Type]],Main[[#All],[TYPE]:[UNIT]],'Unit Price'!C$1,FALSE),0)</f>
        <v>0</v>
      </c>
      <c r="H230" s="197">
        <f>IF(_1_54128456121462410464578910174567[[#This Row],[Type]]&gt;0,VLOOKUP(_1_54128456121462410464578910174567[[#This Row],[Type]],Main[[#All],[TYPE]:[UNIT]],'Unit Price'!D$1,FALSE),0)</f>
        <v>0</v>
      </c>
      <c r="I230" s="194">
        <f>IF(_1_54128456121462410464578910174567[[#This Row],[Type]]&gt;0,VLOOKUP(_1_54128456121462410464578910174567[[#This Row],[Type]],Main[[#All],[TYPE]:[UNIT]],'Unit Price'!G$1,FALSE),0)</f>
        <v>0</v>
      </c>
      <c r="J230" s="194">
        <f>IF(_1_54128456121462410464578910174567[[#This Row],[Type]]&gt;0,VLOOKUP(_1_54128456121462410464578910174567[[#This Row],[Type]],Main[[#All],[TYPE]:[UNIT]],'Unit Price'!H$1,FALSE),0)</f>
        <v>0</v>
      </c>
      <c r="K230" s="194">
        <f>IF(_1_54128456121462410464578910174567[[#This Row],[Discount selection]]&gt;0,VLOOKUP(_1_54128456121462410464578910174567[[#This Row],[Discount selection]],'Discount Structure'!$A$2:$B$30,2,"false"),0)</f>
        <v>1</v>
      </c>
      <c r="L230" s="194">
        <f>_1_54128456121462410464578910174567[[#This Row],[LIST $]]*_1_54128456121462410464578910174567[[#This Row],[DISCOUNT]]*_1_54128456121462410464578910174567[[#This Row],[DISCOUNT 2]]</f>
        <v>0</v>
      </c>
      <c r="M230" s="194">
        <f>IF(OR(_1_54128456121462410464578910174567[[#This Row],[UNIT]]&gt;0,_1_54128456121462410464578910174567[[#This Row],[UNIT]]&lt;0),_1_54128456121462410464578910174567[[#This Row],[UNIT]]*_1_54128456121462410464578910174567[[#This Row],[COST]],0)</f>
        <v>0</v>
      </c>
      <c r="N230" s="194">
        <f t="shared" si="3"/>
        <v>1.3</v>
      </c>
      <c r="O230" s="198">
        <f>_1_54128456121462410464578910174567[[#This Row],[TOTAL]]*_1_54128456121462410464578910174567[[#This Row],[MARGIN]]</f>
        <v>0</v>
      </c>
      <c r="R230" s="41"/>
    </row>
    <row r="231" spans="1:18">
      <c r="C231" s="168"/>
      <c r="D231" s="188"/>
      <c r="F231" s="168" t="s">
        <v>6202</v>
      </c>
      <c r="G231" s="193">
        <f>IF(_1_54128456121462410464578910174567[[#This Row],[Type]]&gt;0,VLOOKUP(_1_54128456121462410464578910174567[[#This Row],[Type]],Main[[#All],[TYPE]:[UNIT]],'Unit Price'!C$1,FALSE),0)</f>
        <v>0</v>
      </c>
      <c r="H231" s="197">
        <f>IF(_1_54128456121462410464578910174567[[#This Row],[Type]]&gt;0,VLOOKUP(_1_54128456121462410464578910174567[[#This Row],[Type]],Main[[#All],[TYPE]:[UNIT]],'Unit Price'!D$1,FALSE),0)</f>
        <v>0</v>
      </c>
      <c r="I231" s="194">
        <f>IF(_1_54128456121462410464578910174567[[#This Row],[Type]]&gt;0,VLOOKUP(_1_54128456121462410464578910174567[[#This Row],[Type]],Main[[#All],[TYPE]:[UNIT]],'Unit Price'!G$1,FALSE),0)</f>
        <v>0</v>
      </c>
      <c r="J231" s="194">
        <f>IF(_1_54128456121462410464578910174567[[#This Row],[Type]]&gt;0,VLOOKUP(_1_54128456121462410464578910174567[[#This Row],[Type]],Main[[#All],[TYPE]:[UNIT]],'Unit Price'!H$1,FALSE),0)</f>
        <v>0</v>
      </c>
      <c r="K231" s="194">
        <f>IF(_1_54128456121462410464578910174567[[#This Row],[Discount selection]]&gt;0,VLOOKUP(_1_54128456121462410464578910174567[[#This Row],[Discount selection]],'Discount Structure'!$A$2:$B$30,2,"false"),0)</f>
        <v>1</v>
      </c>
      <c r="L231" s="194">
        <f>_1_54128456121462410464578910174567[[#This Row],[LIST $]]*_1_54128456121462410464578910174567[[#This Row],[DISCOUNT]]*_1_54128456121462410464578910174567[[#This Row],[DISCOUNT 2]]</f>
        <v>0</v>
      </c>
      <c r="M231" s="194">
        <f>IF(OR(_1_54128456121462410464578910174567[[#This Row],[UNIT]]&gt;0,_1_54128456121462410464578910174567[[#This Row],[UNIT]]&lt;0),_1_54128456121462410464578910174567[[#This Row],[UNIT]]*_1_54128456121462410464578910174567[[#This Row],[COST]],0)</f>
        <v>0</v>
      </c>
      <c r="N231" s="194">
        <f t="shared" si="3"/>
        <v>1.3</v>
      </c>
      <c r="O231" s="198">
        <f>_1_54128456121462410464578910174567[[#This Row],[TOTAL]]*_1_54128456121462410464578910174567[[#This Row],[MARGIN]]</f>
        <v>0</v>
      </c>
      <c r="R231" s="41"/>
    </row>
    <row r="232" spans="1:18">
      <c r="A232" s="168"/>
      <c r="B232" s="168"/>
      <c r="C232" s="168"/>
      <c r="D232" s="188"/>
      <c r="F232" s="168" t="s">
        <v>6202</v>
      </c>
      <c r="G232" s="193">
        <f>IF(_1_54128456121462410464578910174567[[#This Row],[Type]]&gt;0,VLOOKUP(_1_54128456121462410464578910174567[[#This Row],[Type]],Main[[#All],[TYPE]:[UNIT]],'Unit Price'!C$1,FALSE),0)</f>
        <v>0</v>
      </c>
      <c r="H232" s="197">
        <f>IF(_1_54128456121462410464578910174567[[#This Row],[Type]]&gt;0,VLOOKUP(_1_54128456121462410464578910174567[[#This Row],[Type]],Main[[#All],[TYPE]:[UNIT]],'Unit Price'!D$1,FALSE),0)</f>
        <v>0</v>
      </c>
      <c r="I232" s="194">
        <f>IF(_1_54128456121462410464578910174567[[#This Row],[Type]]&gt;0,VLOOKUP(_1_54128456121462410464578910174567[[#This Row],[Type]],Main[[#All],[TYPE]:[UNIT]],'Unit Price'!G$1,FALSE),0)</f>
        <v>0</v>
      </c>
      <c r="J232" s="194">
        <f>IF(_1_54128456121462410464578910174567[[#This Row],[Type]]&gt;0,VLOOKUP(_1_54128456121462410464578910174567[[#This Row],[Type]],Main[[#All],[TYPE]:[UNIT]],'Unit Price'!H$1,FALSE),0)</f>
        <v>0</v>
      </c>
      <c r="K232" s="194">
        <f>IF(_1_54128456121462410464578910174567[[#This Row],[Discount selection]]&gt;0,VLOOKUP(_1_54128456121462410464578910174567[[#This Row],[Discount selection]],'Discount Structure'!$A$2:$B$30,2,"false"),0)</f>
        <v>1</v>
      </c>
      <c r="L232" s="194">
        <f>_1_54128456121462410464578910174567[[#This Row],[LIST $]]*_1_54128456121462410464578910174567[[#This Row],[DISCOUNT]]*_1_54128456121462410464578910174567[[#This Row],[DISCOUNT 2]]</f>
        <v>0</v>
      </c>
      <c r="M232" s="194">
        <f>IF(OR(_1_54128456121462410464578910174567[[#This Row],[UNIT]]&gt;0,_1_54128456121462410464578910174567[[#This Row],[UNIT]]&lt;0),_1_54128456121462410464578910174567[[#This Row],[UNIT]]*_1_54128456121462410464578910174567[[#This Row],[COST]],0)</f>
        <v>0</v>
      </c>
      <c r="N232" s="194">
        <f t="shared" si="3"/>
        <v>1.3</v>
      </c>
      <c r="O232" s="198">
        <f>_1_54128456121462410464578910174567[[#This Row],[TOTAL]]*_1_54128456121462410464578910174567[[#This Row],[MARGIN]]</f>
        <v>0</v>
      </c>
      <c r="R232" s="41"/>
    </row>
    <row r="233" spans="1:18">
      <c r="A233" s="310"/>
      <c r="B233" s="323"/>
      <c r="C233" s="168"/>
      <c r="D233" s="188"/>
      <c r="F233" s="168" t="s">
        <v>6202</v>
      </c>
      <c r="G233" s="205">
        <f>IF(_1_54128456121462410464578910174567[[#This Row],[Type]]&gt;0,VLOOKUP(_1_54128456121462410464578910174567[[#This Row],[Type]],Main[[#All],[TYPE]:[UNIT]],'Unit Price'!C$1,FALSE),0)</f>
        <v>0</v>
      </c>
      <c r="H233" s="197">
        <f>IF(_1_54128456121462410464578910174567[[#This Row],[Type]]&gt;0,VLOOKUP(_1_54128456121462410464578910174567[[#This Row],[Type]],Main[[#All],[TYPE]:[UNIT]],'Unit Price'!D$1,FALSE),0)</f>
        <v>0</v>
      </c>
      <c r="I233" s="194">
        <f>IF(_1_54128456121462410464578910174567[[#This Row],[Type]]&gt;0,VLOOKUP(_1_54128456121462410464578910174567[[#This Row],[Type]],Main[[#All],[TYPE]:[UNIT]],'Unit Price'!G$1,FALSE),0)</f>
        <v>0</v>
      </c>
      <c r="J233" s="194">
        <f>IF(_1_54128456121462410464578910174567[[#This Row],[Type]]&gt;0,VLOOKUP(_1_54128456121462410464578910174567[[#This Row],[Type]],Main[[#All],[TYPE]:[UNIT]],'Unit Price'!H$1,FALSE),0)</f>
        <v>0</v>
      </c>
      <c r="K233" s="194">
        <f>IF(_1_54128456121462410464578910174567[[#This Row],[Discount selection]]&gt;0,VLOOKUP(_1_54128456121462410464578910174567[[#This Row],[Discount selection]],'Discount Structure'!$A$2:$B$30,2,"false"),0)</f>
        <v>1</v>
      </c>
      <c r="L233" s="194">
        <f>_1_54128456121462410464578910174567[[#This Row],[LIST $]]*_1_54128456121462410464578910174567[[#This Row],[DISCOUNT]]*_1_54128456121462410464578910174567[[#This Row],[DISCOUNT 2]]</f>
        <v>0</v>
      </c>
      <c r="M233" s="194">
        <f>IF(OR(_1_54128456121462410464578910174567[[#This Row],[UNIT]]&gt;0,_1_54128456121462410464578910174567[[#This Row],[UNIT]]&lt;0),_1_54128456121462410464578910174567[[#This Row],[UNIT]]*_1_54128456121462410464578910174567[[#This Row],[COST]],0)</f>
        <v>0</v>
      </c>
      <c r="N233" s="194">
        <f t="shared" si="3"/>
        <v>1.3</v>
      </c>
      <c r="O233" s="198">
        <f>_1_54128456121462410464578910174567[[#This Row],[TOTAL]]*_1_54128456121462410464578910174567[[#This Row],[MARGIN]]</f>
        <v>0</v>
      </c>
      <c r="R233" s="41"/>
    </row>
    <row r="234" spans="1:18">
      <c r="A234" s="323"/>
      <c r="B234" s="323"/>
      <c r="C234" s="168"/>
      <c r="D234" s="188"/>
      <c r="F234" s="168" t="s">
        <v>6202</v>
      </c>
      <c r="G234" s="193">
        <f>IF(_1_54128456121462410464578910174567[[#This Row],[Type]]&gt;0,VLOOKUP(_1_54128456121462410464578910174567[[#This Row],[Type]],Main[[#All],[TYPE]:[UNIT]],'Unit Price'!C$1,FALSE),0)</f>
        <v>0</v>
      </c>
      <c r="H234" s="197">
        <f>IF(_1_54128456121462410464578910174567[[#This Row],[Type]]&gt;0,VLOOKUP(_1_54128456121462410464578910174567[[#This Row],[Type]],Main[[#All],[TYPE]:[UNIT]],'Unit Price'!D$1,FALSE),0)</f>
        <v>0</v>
      </c>
      <c r="I234" s="194">
        <f>IF(_1_54128456121462410464578910174567[[#This Row],[Type]]&gt;0,VLOOKUP(_1_54128456121462410464578910174567[[#This Row],[Type]],Main[[#All],[TYPE]:[UNIT]],'Unit Price'!G$1,FALSE),0)</f>
        <v>0</v>
      </c>
      <c r="J234" s="194">
        <f>IF(_1_54128456121462410464578910174567[[#This Row],[Type]]&gt;0,VLOOKUP(_1_54128456121462410464578910174567[[#This Row],[Type]],Main[[#All],[TYPE]:[UNIT]],'Unit Price'!H$1,FALSE),0)</f>
        <v>0</v>
      </c>
      <c r="K234" s="194">
        <f>IF(_1_54128456121462410464578910174567[[#This Row],[Discount selection]]&gt;0,VLOOKUP(_1_54128456121462410464578910174567[[#This Row],[Discount selection]],'Discount Structure'!$A$2:$B$30,2,"false"),0)</f>
        <v>1</v>
      </c>
      <c r="L234" s="194">
        <f>_1_54128456121462410464578910174567[[#This Row],[LIST $]]*_1_54128456121462410464578910174567[[#This Row],[DISCOUNT]]*_1_54128456121462410464578910174567[[#This Row],[DISCOUNT 2]]</f>
        <v>0</v>
      </c>
      <c r="M234" s="194">
        <f>IF(OR(_1_54128456121462410464578910174567[[#This Row],[UNIT]]&gt;0,_1_54128456121462410464578910174567[[#This Row],[UNIT]]&lt;0),_1_54128456121462410464578910174567[[#This Row],[UNIT]]*_1_54128456121462410464578910174567[[#This Row],[COST]],0)</f>
        <v>0</v>
      </c>
      <c r="N234" s="194">
        <f t="shared" si="3"/>
        <v>1.3</v>
      </c>
      <c r="O234" s="198">
        <f>_1_54128456121462410464578910174567[[#This Row],[TOTAL]]*_1_54128456121462410464578910174567[[#This Row],[MARGIN]]</f>
        <v>0</v>
      </c>
      <c r="R234" s="41"/>
    </row>
    <row r="235" spans="1:18">
      <c r="C235" s="168"/>
      <c r="D235" s="188"/>
      <c r="F235" s="168" t="s">
        <v>6202</v>
      </c>
      <c r="G235" s="193">
        <f>IF(_1_54128456121462410464578910174567[[#This Row],[Type]]&gt;0,VLOOKUP(_1_54128456121462410464578910174567[[#This Row],[Type]],Main[[#All],[TYPE]:[UNIT]],'Unit Price'!C$1,FALSE),0)</f>
        <v>0</v>
      </c>
      <c r="H235" s="197">
        <f>IF(_1_54128456121462410464578910174567[[#This Row],[Type]]&gt;0,VLOOKUP(_1_54128456121462410464578910174567[[#This Row],[Type]],Main[[#All],[TYPE]:[UNIT]],'Unit Price'!D$1,FALSE),0)</f>
        <v>0</v>
      </c>
      <c r="I235" s="194">
        <f>IF(_1_54128456121462410464578910174567[[#This Row],[Type]]&gt;0,VLOOKUP(_1_54128456121462410464578910174567[[#This Row],[Type]],Main[[#All],[TYPE]:[UNIT]],'Unit Price'!G$1,FALSE),0)</f>
        <v>0</v>
      </c>
      <c r="J235" s="194">
        <f>IF(_1_54128456121462410464578910174567[[#This Row],[Type]]&gt;0,VLOOKUP(_1_54128456121462410464578910174567[[#This Row],[Type]],Main[[#All],[TYPE]:[UNIT]],'Unit Price'!H$1,FALSE),0)</f>
        <v>0</v>
      </c>
      <c r="K235" s="194">
        <f>IF(_1_54128456121462410464578910174567[[#This Row],[Discount selection]]&gt;0,VLOOKUP(_1_54128456121462410464578910174567[[#This Row],[Discount selection]],'Discount Structure'!$A$2:$B$30,2,"false"),0)</f>
        <v>1</v>
      </c>
      <c r="L235" s="194">
        <f>_1_54128456121462410464578910174567[[#This Row],[LIST $]]*_1_54128456121462410464578910174567[[#This Row],[DISCOUNT]]*_1_54128456121462410464578910174567[[#This Row],[DISCOUNT 2]]</f>
        <v>0</v>
      </c>
      <c r="M235" s="194">
        <f>IF(OR(_1_54128456121462410464578910174567[[#This Row],[UNIT]]&gt;0,_1_54128456121462410464578910174567[[#This Row],[UNIT]]&lt;0),_1_54128456121462410464578910174567[[#This Row],[UNIT]]*_1_54128456121462410464578910174567[[#This Row],[COST]],0)</f>
        <v>0</v>
      </c>
      <c r="N235" s="194">
        <f t="shared" si="3"/>
        <v>1.3</v>
      </c>
      <c r="O235" s="198">
        <f>_1_54128456121462410464578910174567[[#This Row],[TOTAL]]*_1_54128456121462410464578910174567[[#This Row],[MARGIN]]</f>
        <v>0</v>
      </c>
      <c r="R235" s="41"/>
    </row>
    <row r="236" spans="1:18">
      <c r="C236" s="168"/>
      <c r="D236" s="188"/>
      <c r="F236" s="168" t="s">
        <v>6202</v>
      </c>
      <c r="G236" s="193">
        <f>IF(_1_54128456121462410464578910174567[[#This Row],[Type]]&gt;0,VLOOKUP(_1_54128456121462410464578910174567[[#This Row],[Type]],Main[[#All],[TYPE]:[UNIT]],'Unit Price'!C$1,FALSE),0)</f>
        <v>0</v>
      </c>
      <c r="H236" s="197">
        <f>IF(_1_54128456121462410464578910174567[[#This Row],[Type]]&gt;0,VLOOKUP(_1_54128456121462410464578910174567[[#This Row],[Type]],Main[[#All],[TYPE]:[UNIT]],'Unit Price'!D$1,FALSE),0)</f>
        <v>0</v>
      </c>
      <c r="I236" s="194">
        <f>IF(_1_54128456121462410464578910174567[[#This Row],[Type]]&gt;0,VLOOKUP(_1_54128456121462410464578910174567[[#This Row],[Type]],Main[[#All],[TYPE]:[UNIT]],'Unit Price'!G$1,FALSE),0)</f>
        <v>0</v>
      </c>
      <c r="J236" s="194">
        <f>IF(_1_54128456121462410464578910174567[[#This Row],[Type]]&gt;0,VLOOKUP(_1_54128456121462410464578910174567[[#This Row],[Type]],Main[[#All],[TYPE]:[UNIT]],'Unit Price'!H$1,FALSE),0)</f>
        <v>0</v>
      </c>
      <c r="K236" s="194">
        <f>IF(_1_54128456121462410464578910174567[[#This Row],[Discount selection]]&gt;0,VLOOKUP(_1_54128456121462410464578910174567[[#This Row],[Discount selection]],'Discount Structure'!$A$2:$B$30,2,"false"),0)</f>
        <v>1</v>
      </c>
      <c r="L236" s="194">
        <f>_1_54128456121462410464578910174567[[#This Row],[LIST $]]*_1_54128456121462410464578910174567[[#This Row],[DISCOUNT]]*_1_54128456121462410464578910174567[[#This Row],[DISCOUNT 2]]</f>
        <v>0</v>
      </c>
      <c r="M236" s="194">
        <f>IF(OR(_1_54128456121462410464578910174567[[#This Row],[UNIT]]&gt;0,_1_54128456121462410464578910174567[[#This Row],[UNIT]]&lt;0),_1_54128456121462410464578910174567[[#This Row],[UNIT]]*_1_54128456121462410464578910174567[[#This Row],[COST]],0)</f>
        <v>0</v>
      </c>
      <c r="N236" s="194">
        <f t="shared" si="3"/>
        <v>1.3</v>
      </c>
      <c r="O236" s="198">
        <f>_1_54128456121462410464578910174567[[#This Row],[TOTAL]]*_1_54128456121462410464578910174567[[#This Row],[MARGIN]]</f>
        <v>0</v>
      </c>
      <c r="R236" s="41"/>
    </row>
    <row r="237" spans="1:18">
      <c r="A237" s="323"/>
      <c r="B237" s="323"/>
      <c r="C237" s="168"/>
      <c r="D237" s="188"/>
      <c r="F237" s="168" t="s">
        <v>6202</v>
      </c>
      <c r="G237" s="193">
        <f>IF(_1_54128456121462410464578910174567[[#This Row],[Type]]&gt;0,VLOOKUP(_1_54128456121462410464578910174567[[#This Row],[Type]],Main[[#All],[TYPE]:[UNIT]],'Unit Price'!C$1,FALSE),0)</f>
        <v>0</v>
      </c>
      <c r="H237" s="197">
        <f>IF(_1_54128456121462410464578910174567[[#This Row],[Type]]&gt;0,VLOOKUP(_1_54128456121462410464578910174567[[#This Row],[Type]],Main[[#All],[TYPE]:[UNIT]],'Unit Price'!D$1,FALSE),0)</f>
        <v>0</v>
      </c>
      <c r="I237" s="194">
        <f>IF(_1_54128456121462410464578910174567[[#This Row],[Type]]&gt;0,VLOOKUP(_1_54128456121462410464578910174567[[#This Row],[Type]],Main[[#All],[TYPE]:[UNIT]],'Unit Price'!G$1,FALSE),0)</f>
        <v>0</v>
      </c>
      <c r="J237" s="194">
        <f>IF(_1_54128456121462410464578910174567[[#This Row],[Type]]&gt;0,VLOOKUP(_1_54128456121462410464578910174567[[#This Row],[Type]],Main[[#All],[TYPE]:[UNIT]],'Unit Price'!H$1,FALSE),0)</f>
        <v>0</v>
      </c>
      <c r="K237" s="194">
        <f>IF(_1_54128456121462410464578910174567[[#This Row],[Discount selection]]&gt;0,VLOOKUP(_1_54128456121462410464578910174567[[#This Row],[Discount selection]],'Discount Structure'!$A$2:$B$30,2,"false"),0)</f>
        <v>1</v>
      </c>
      <c r="L237" s="194">
        <f>_1_54128456121462410464578910174567[[#This Row],[LIST $]]*_1_54128456121462410464578910174567[[#This Row],[DISCOUNT]]*_1_54128456121462410464578910174567[[#This Row],[DISCOUNT 2]]</f>
        <v>0</v>
      </c>
      <c r="M237" s="194">
        <f>IF(OR(_1_54128456121462410464578910174567[[#This Row],[UNIT]]&gt;0,_1_54128456121462410464578910174567[[#This Row],[UNIT]]&lt;0),_1_54128456121462410464578910174567[[#This Row],[UNIT]]*_1_54128456121462410464578910174567[[#This Row],[COST]],0)</f>
        <v>0</v>
      </c>
      <c r="N237" s="194">
        <f t="shared" si="3"/>
        <v>1.3</v>
      </c>
      <c r="O237" s="198">
        <f>_1_54128456121462410464578910174567[[#This Row],[TOTAL]]*_1_54128456121462410464578910174567[[#This Row],[MARGIN]]</f>
        <v>0</v>
      </c>
      <c r="R237" s="41"/>
    </row>
    <row r="238" spans="1:18">
      <c r="C238" s="168"/>
      <c r="D238" s="188"/>
      <c r="F238" s="168" t="s">
        <v>6202</v>
      </c>
      <c r="G238" s="193">
        <f>IF(_1_54128456121462410464578910174567[[#This Row],[Type]]&gt;0,VLOOKUP(_1_54128456121462410464578910174567[[#This Row],[Type]],Main[[#All],[TYPE]:[UNIT]],'Unit Price'!C$1,FALSE),0)</f>
        <v>0</v>
      </c>
      <c r="H238" s="197">
        <f>IF(_1_54128456121462410464578910174567[[#This Row],[Type]]&gt;0,VLOOKUP(_1_54128456121462410464578910174567[[#This Row],[Type]],Main[[#All],[TYPE]:[UNIT]],'Unit Price'!D$1,FALSE),0)</f>
        <v>0</v>
      </c>
      <c r="I238" s="194">
        <f>IF(_1_54128456121462410464578910174567[[#This Row],[Type]]&gt;0,VLOOKUP(_1_54128456121462410464578910174567[[#This Row],[Type]],Main[[#All],[TYPE]:[UNIT]],'Unit Price'!G$1,FALSE),0)</f>
        <v>0</v>
      </c>
      <c r="J238" s="194">
        <f>IF(_1_54128456121462410464578910174567[[#This Row],[Type]]&gt;0,VLOOKUP(_1_54128456121462410464578910174567[[#This Row],[Type]],Main[[#All],[TYPE]:[UNIT]],'Unit Price'!H$1,FALSE),0)</f>
        <v>0</v>
      </c>
      <c r="K238" s="194">
        <f>IF(_1_54128456121462410464578910174567[[#This Row],[Discount selection]]&gt;0,VLOOKUP(_1_54128456121462410464578910174567[[#This Row],[Discount selection]],'Discount Structure'!$A$2:$B$30,2,"false"),0)</f>
        <v>1</v>
      </c>
      <c r="L238" s="194">
        <f>_1_54128456121462410464578910174567[[#This Row],[LIST $]]*_1_54128456121462410464578910174567[[#This Row],[DISCOUNT]]*_1_54128456121462410464578910174567[[#This Row],[DISCOUNT 2]]</f>
        <v>0</v>
      </c>
      <c r="M238" s="194">
        <f>IF(OR(_1_54128456121462410464578910174567[[#This Row],[UNIT]]&gt;0,_1_54128456121462410464578910174567[[#This Row],[UNIT]]&lt;0),_1_54128456121462410464578910174567[[#This Row],[UNIT]]*_1_54128456121462410464578910174567[[#This Row],[COST]],0)</f>
        <v>0</v>
      </c>
      <c r="N238" s="194">
        <f t="shared" si="3"/>
        <v>1.3</v>
      </c>
      <c r="O238" s="198">
        <f>_1_54128456121462410464578910174567[[#This Row],[TOTAL]]*_1_54128456121462410464578910174567[[#This Row],[MARGIN]]</f>
        <v>0</v>
      </c>
      <c r="R238" s="41"/>
    </row>
    <row r="239" spans="1:18">
      <c r="C239" s="168"/>
      <c r="D239" s="188"/>
      <c r="F239" s="168" t="s">
        <v>6202</v>
      </c>
      <c r="G239" s="205">
        <f>IF(_1_54128456121462410464578910174567[[#This Row],[Type]]&gt;0,VLOOKUP(_1_54128456121462410464578910174567[[#This Row],[Type]],Main[[#All],[TYPE]:[UNIT]],'Unit Price'!C$1,FALSE),0)</f>
        <v>0</v>
      </c>
      <c r="H239" s="197">
        <f>IF(_1_54128456121462410464578910174567[[#This Row],[Type]]&gt;0,VLOOKUP(_1_54128456121462410464578910174567[[#This Row],[Type]],Main[[#All],[TYPE]:[UNIT]],'Unit Price'!D$1,FALSE),0)</f>
        <v>0</v>
      </c>
      <c r="I239" s="194">
        <f>IF(_1_54128456121462410464578910174567[[#This Row],[Type]]&gt;0,VLOOKUP(_1_54128456121462410464578910174567[[#This Row],[Type]],Main[[#All],[TYPE]:[UNIT]],'Unit Price'!G$1,FALSE),0)</f>
        <v>0</v>
      </c>
      <c r="J239" s="194">
        <f>IF(_1_54128456121462410464578910174567[[#This Row],[Type]]&gt;0,VLOOKUP(_1_54128456121462410464578910174567[[#This Row],[Type]],Main[[#All],[TYPE]:[UNIT]],'Unit Price'!H$1,FALSE),0)</f>
        <v>0</v>
      </c>
      <c r="K239" s="194">
        <f>IF(_1_54128456121462410464578910174567[[#This Row],[Discount selection]]&gt;0,VLOOKUP(_1_54128456121462410464578910174567[[#This Row],[Discount selection]],'Discount Structure'!$A$2:$B$30,2,"false"),0)</f>
        <v>1</v>
      </c>
      <c r="L239" s="194">
        <f>_1_54128456121462410464578910174567[[#This Row],[LIST $]]*_1_54128456121462410464578910174567[[#This Row],[DISCOUNT]]*_1_54128456121462410464578910174567[[#This Row],[DISCOUNT 2]]</f>
        <v>0</v>
      </c>
      <c r="M239" s="194">
        <f>IF(OR(_1_54128456121462410464578910174567[[#This Row],[UNIT]]&gt;0,_1_54128456121462410464578910174567[[#This Row],[UNIT]]&lt;0),_1_54128456121462410464578910174567[[#This Row],[UNIT]]*_1_54128456121462410464578910174567[[#This Row],[COST]],0)</f>
        <v>0</v>
      </c>
      <c r="N239" s="194">
        <f t="shared" si="3"/>
        <v>1.3</v>
      </c>
      <c r="O239" s="198">
        <f>_1_54128456121462410464578910174567[[#This Row],[TOTAL]]*_1_54128456121462410464578910174567[[#This Row],[MARGIN]]</f>
        <v>0</v>
      </c>
      <c r="R239" s="41"/>
    </row>
    <row r="240" spans="1:18">
      <c r="C240" s="168"/>
      <c r="D240" s="188"/>
      <c r="F240" s="168" t="s">
        <v>6202</v>
      </c>
      <c r="G240" s="193">
        <f>IF(_1_54128456121462410464578910174567[[#This Row],[Type]]&gt;0,VLOOKUP(_1_54128456121462410464578910174567[[#This Row],[Type]],Main[[#All],[TYPE]:[UNIT]],'Unit Price'!C$1,FALSE),0)</f>
        <v>0</v>
      </c>
      <c r="H240" s="197">
        <f>IF(_1_54128456121462410464578910174567[[#This Row],[Type]]&gt;0,VLOOKUP(_1_54128456121462410464578910174567[[#This Row],[Type]],Main[[#All],[TYPE]:[UNIT]],'Unit Price'!D$1,FALSE),0)</f>
        <v>0</v>
      </c>
      <c r="I240" s="194">
        <f>IF(_1_54128456121462410464578910174567[[#This Row],[Type]]&gt;0,VLOOKUP(_1_54128456121462410464578910174567[[#This Row],[Type]],Main[[#All],[TYPE]:[UNIT]],'Unit Price'!G$1,FALSE),0)</f>
        <v>0</v>
      </c>
      <c r="J240" s="194">
        <f>IF(_1_54128456121462410464578910174567[[#This Row],[Type]]&gt;0,VLOOKUP(_1_54128456121462410464578910174567[[#This Row],[Type]],Main[[#All],[TYPE]:[UNIT]],'Unit Price'!H$1,FALSE),0)</f>
        <v>0</v>
      </c>
      <c r="K240" s="194">
        <f>IF(_1_54128456121462410464578910174567[[#This Row],[Discount selection]]&gt;0,VLOOKUP(_1_54128456121462410464578910174567[[#This Row],[Discount selection]],'Discount Structure'!$A$2:$B$30,2,"false"),0)</f>
        <v>1</v>
      </c>
      <c r="L240" s="194">
        <f>_1_54128456121462410464578910174567[[#This Row],[LIST $]]*_1_54128456121462410464578910174567[[#This Row],[DISCOUNT]]*_1_54128456121462410464578910174567[[#This Row],[DISCOUNT 2]]</f>
        <v>0</v>
      </c>
      <c r="M240" s="194">
        <f>IF(OR(_1_54128456121462410464578910174567[[#This Row],[UNIT]]&gt;0,_1_54128456121462410464578910174567[[#This Row],[UNIT]]&lt;0),_1_54128456121462410464578910174567[[#This Row],[UNIT]]*_1_54128456121462410464578910174567[[#This Row],[COST]],0)</f>
        <v>0</v>
      </c>
      <c r="N240" s="194">
        <f t="shared" si="3"/>
        <v>1.3</v>
      </c>
      <c r="O240" s="198">
        <f>_1_54128456121462410464578910174567[[#This Row],[TOTAL]]*_1_54128456121462410464578910174567[[#This Row],[MARGIN]]</f>
        <v>0</v>
      </c>
      <c r="R240" s="41"/>
    </row>
    <row r="241" spans="1:18">
      <c r="C241" s="168"/>
      <c r="D241" s="188"/>
      <c r="F241" s="168" t="s">
        <v>6202</v>
      </c>
      <c r="G241" s="193">
        <f>IF(_1_54128456121462410464578910174567[[#This Row],[Type]]&gt;0,VLOOKUP(_1_54128456121462410464578910174567[[#This Row],[Type]],Main[[#All],[TYPE]:[UNIT]],'Unit Price'!C$1,FALSE),0)</f>
        <v>0</v>
      </c>
      <c r="H241" s="197">
        <f>IF(_1_54128456121462410464578910174567[[#This Row],[Type]]&gt;0,VLOOKUP(_1_54128456121462410464578910174567[[#This Row],[Type]],Main[[#All],[TYPE]:[UNIT]],'Unit Price'!D$1,FALSE),0)</f>
        <v>0</v>
      </c>
      <c r="I241" s="194">
        <f>IF(_1_54128456121462410464578910174567[[#This Row],[Type]]&gt;0,VLOOKUP(_1_54128456121462410464578910174567[[#This Row],[Type]],Main[[#All],[TYPE]:[UNIT]],'Unit Price'!G$1,FALSE),0)</f>
        <v>0</v>
      </c>
      <c r="J241" s="194">
        <f>IF(_1_54128456121462410464578910174567[[#This Row],[Type]]&gt;0,VLOOKUP(_1_54128456121462410464578910174567[[#This Row],[Type]],Main[[#All],[TYPE]:[UNIT]],'Unit Price'!H$1,FALSE),0)</f>
        <v>0</v>
      </c>
      <c r="K241" s="194">
        <f>IF(_1_54128456121462410464578910174567[[#This Row],[Discount selection]]&gt;0,VLOOKUP(_1_54128456121462410464578910174567[[#This Row],[Discount selection]],'Discount Structure'!$A$2:$B$30,2,"false"),0)</f>
        <v>1</v>
      </c>
      <c r="L241" s="194">
        <f>_1_54128456121462410464578910174567[[#This Row],[LIST $]]*_1_54128456121462410464578910174567[[#This Row],[DISCOUNT]]*_1_54128456121462410464578910174567[[#This Row],[DISCOUNT 2]]</f>
        <v>0</v>
      </c>
      <c r="M241" s="194">
        <f>IF(OR(_1_54128456121462410464578910174567[[#This Row],[UNIT]]&gt;0,_1_54128456121462410464578910174567[[#This Row],[UNIT]]&lt;0),_1_54128456121462410464578910174567[[#This Row],[UNIT]]*_1_54128456121462410464578910174567[[#This Row],[COST]],0)</f>
        <v>0</v>
      </c>
      <c r="N241" s="194">
        <f t="shared" si="3"/>
        <v>1.3</v>
      </c>
      <c r="O241" s="198">
        <f>_1_54128456121462410464578910174567[[#This Row],[TOTAL]]*_1_54128456121462410464578910174567[[#This Row],[MARGIN]]</f>
        <v>0</v>
      </c>
      <c r="R241" s="41"/>
    </row>
    <row r="242" spans="1:18">
      <c r="C242" s="168"/>
      <c r="D242" s="188"/>
      <c r="F242" s="168" t="s">
        <v>6202</v>
      </c>
      <c r="G242" s="193">
        <f>IF(_1_54128456121462410464578910174567[[#This Row],[Type]]&gt;0,VLOOKUP(_1_54128456121462410464578910174567[[#This Row],[Type]],Main[[#All],[TYPE]:[UNIT]],'Unit Price'!C$1,FALSE),0)</f>
        <v>0</v>
      </c>
      <c r="H242" s="197">
        <f>IF(_1_54128456121462410464578910174567[[#This Row],[Type]]&gt;0,VLOOKUP(_1_54128456121462410464578910174567[[#This Row],[Type]],Main[[#All],[TYPE]:[UNIT]],'Unit Price'!D$1,FALSE),0)</f>
        <v>0</v>
      </c>
      <c r="I242" s="194">
        <f>IF(_1_54128456121462410464578910174567[[#This Row],[Type]]&gt;0,VLOOKUP(_1_54128456121462410464578910174567[[#This Row],[Type]],Main[[#All],[TYPE]:[UNIT]],'Unit Price'!G$1,FALSE),0)</f>
        <v>0</v>
      </c>
      <c r="J242" s="194">
        <f>IF(_1_54128456121462410464578910174567[[#This Row],[Type]]&gt;0,VLOOKUP(_1_54128456121462410464578910174567[[#This Row],[Type]],Main[[#All],[TYPE]:[UNIT]],'Unit Price'!H$1,FALSE),0)</f>
        <v>0</v>
      </c>
      <c r="K242" s="194">
        <f>IF(_1_54128456121462410464578910174567[[#This Row],[Discount selection]]&gt;0,VLOOKUP(_1_54128456121462410464578910174567[[#This Row],[Discount selection]],'Discount Structure'!$A$2:$B$30,2,"false"),0)</f>
        <v>1</v>
      </c>
      <c r="L242" s="194">
        <f>_1_54128456121462410464578910174567[[#This Row],[LIST $]]*_1_54128456121462410464578910174567[[#This Row],[DISCOUNT]]*_1_54128456121462410464578910174567[[#This Row],[DISCOUNT 2]]</f>
        <v>0</v>
      </c>
      <c r="M242" s="194">
        <f>IF(OR(_1_54128456121462410464578910174567[[#This Row],[UNIT]]&gt;0,_1_54128456121462410464578910174567[[#This Row],[UNIT]]&lt;0),_1_54128456121462410464578910174567[[#This Row],[UNIT]]*_1_54128456121462410464578910174567[[#This Row],[COST]],0)</f>
        <v>0</v>
      </c>
      <c r="N242" s="194">
        <f t="shared" si="3"/>
        <v>1.3</v>
      </c>
      <c r="O242" s="198">
        <f>_1_54128456121462410464578910174567[[#This Row],[TOTAL]]*_1_54128456121462410464578910174567[[#This Row],[MARGIN]]</f>
        <v>0</v>
      </c>
      <c r="R242" s="41"/>
    </row>
    <row r="243" spans="1:18">
      <c r="C243" s="168"/>
      <c r="D243" s="188"/>
      <c r="F243" s="168" t="s">
        <v>6202</v>
      </c>
      <c r="G243" s="193">
        <f>IF(_1_54128456121462410464578910174567[[#This Row],[Type]]&gt;0,VLOOKUP(_1_54128456121462410464578910174567[[#This Row],[Type]],Main[[#All],[TYPE]:[UNIT]],'Unit Price'!C$1,FALSE),0)</f>
        <v>0</v>
      </c>
      <c r="H243" s="197">
        <f>IF(_1_54128456121462410464578910174567[[#This Row],[Type]]&gt;0,VLOOKUP(_1_54128456121462410464578910174567[[#This Row],[Type]],Main[[#All],[TYPE]:[UNIT]],'Unit Price'!D$1,FALSE),0)</f>
        <v>0</v>
      </c>
      <c r="I243" s="194">
        <f>IF(_1_54128456121462410464578910174567[[#This Row],[Type]]&gt;0,VLOOKUP(_1_54128456121462410464578910174567[[#This Row],[Type]],Main[[#All],[TYPE]:[UNIT]],'Unit Price'!G$1,FALSE),0)</f>
        <v>0</v>
      </c>
      <c r="J243" s="194">
        <f>IF(_1_54128456121462410464578910174567[[#This Row],[Type]]&gt;0,VLOOKUP(_1_54128456121462410464578910174567[[#This Row],[Type]],Main[[#All],[TYPE]:[UNIT]],'Unit Price'!H$1,FALSE),0)</f>
        <v>0</v>
      </c>
      <c r="K243" s="194">
        <f>IF(_1_54128456121462410464578910174567[[#This Row],[Discount selection]]&gt;0,VLOOKUP(_1_54128456121462410464578910174567[[#This Row],[Discount selection]],'Discount Structure'!$A$2:$B$30,2,"false"),0)</f>
        <v>1</v>
      </c>
      <c r="L243" s="194">
        <f>_1_54128456121462410464578910174567[[#This Row],[LIST $]]*_1_54128456121462410464578910174567[[#This Row],[DISCOUNT]]*_1_54128456121462410464578910174567[[#This Row],[DISCOUNT 2]]</f>
        <v>0</v>
      </c>
      <c r="M243" s="194">
        <f>IF(OR(_1_54128456121462410464578910174567[[#This Row],[UNIT]]&gt;0,_1_54128456121462410464578910174567[[#This Row],[UNIT]]&lt;0),_1_54128456121462410464578910174567[[#This Row],[UNIT]]*_1_54128456121462410464578910174567[[#This Row],[COST]],0)</f>
        <v>0</v>
      </c>
      <c r="N243" s="194">
        <f t="shared" si="3"/>
        <v>1.3</v>
      </c>
      <c r="O243" s="198">
        <f>_1_54128456121462410464578910174567[[#This Row],[TOTAL]]*_1_54128456121462410464578910174567[[#This Row],[MARGIN]]</f>
        <v>0</v>
      </c>
      <c r="R243" s="41"/>
    </row>
    <row r="244" spans="1:18">
      <c r="A244" s="168"/>
      <c r="B244" s="168"/>
      <c r="C244" s="168"/>
      <c r="D244" s="188"/>
      <c r="F244" s="168" t="s">
        <v>6202</v>
      </c>
      <c r="G244" s="205">
        <f>IF(_1_54128456121462410464578910174567[[#This Row],[Type]]&gt;0,VLOOKUP(_1_54128456121462410464578910174567[[#This Row],[Type]],Main[[#All],[TYPE]:[UNIT]],'Unit Price'!C$1,FALSE),0)</f>
        <v>0</v>
      </c>
      <c r="H244" s="197">
        <f>IF(_1_54128456121462410464578910174567[[#This Row],[Type]]&gt;0,VLOOKUP(_1_54128456121462410464578910174567[[#This Row],[Type]],Main[[#All],[TYPE]:[UNIT]],'Unit Price'!D$1,FALSE),0)</f>
        <v>0</v>
      </c>
      <c r="I244" s="194">
        <f>IF(_1_54128456121462410464578910174567[[#This Row],[Type]]&gt;0,VLOOKUP(_1_54128456121462410464578910174567[[#This Row],[Type]],Main[[#All],[TYPE]:[UNIT]],'Unit Price'!G$1,FALSE),0)</f>
        <v>0</v>
      </c>
      <c r="J244" s="194">
        <f>IF(_1_54128456121462410464578910174567[[#This Row],[Type]]&gt;0,VLOOKUP(_1_54128456121462410464578910174567[[#This Row],[Type]],Main[[#All],[TYPE]:[UNIT]],'Unit Price'!H$1,FALSE),0)</f>
        <v>0</v>
      </c>
      <c r="K244" s="194">
        <f>IF(_1_54128456121462410464578910174567[[#This Row],[Discount selection]]&gt;0,VLOOKUP(_1_54128456121462410464578910174567[[#This Row],[Discount selection]],'Discount Structure'!$A$2:$B$30,2,"false"),0)</f>
        <v>1</v>
      </c>
      <c r="L244" s="194">
        <f>_1_54128456121462410464578910174567[[#This Row],[LIST $]]*_1_54128456121462410464578910174567[[#This Row],[DISCOUNT]]*_1_54128456121462410464578910174567[[#This Row],[DISCOUNT 2]]</f>
        <v>0</v>
      </c>
      <c r="M244" s="194">
        <f>IF(OR(_1_54128456121462410464578910174567[[#This Row],[UNIT]]&gt;0,_1_54128456121462410464578910174567[[#This Row],[UNIT]]&lt;0),_1_54128456121462410464578910174567[[#This Row],[UNIT]]*_1_54128456121462410464578910174567[[#This Row],[COST]],0)</f>
        <v>0</v>
      </c>
      <c r="N244" s="194">
        <f t="shared" si="3"/>
        <v>1.3</v>
      </c>
      <c r="O244" s="198">
        <f>_1_54128456121462410464578910174567[[#This Row],[TOTAL]]*_1_54128456121462410464578910174567[[#This Row],[MARGIN]]</f>
        <v>0</v>
      </c>
      <c r="R244" s="41"/>
    </row>
    <row r="245" spans="1:18">
      <c r="A245" s="324"/>
      <c r="B245" s="323"/>
      <c r="C245" s="168"/>
      <c r="D245" s="188"/>
      <c r="F245" s="168" t="s">
        <v>6202</v>
      </c>
      <c r="G245" s="193">
        <f>IF(_1_54128456121462410464578910174567[[#This Row],[Type]]&gt;0,VLOOKUP(_1_54128456121462410464578910174567[[#This Row],[Type]],Main[[#All],[TYPE]:[UNIT]],'Unit Price'!C$1,FALSE),0)</f>
        <v>0</v>
      </c>
      <c r="H245" s="197">
        <f>IF(_1_54128456121462410464578910174567[[#This Row],[Type]]&gt;0,VLOOKUP(_1_54128456121462410464578910174567[[#This Row],[Type]],Main[[#All],[TYPE]:[UNIT]],'Unit Price'!D$1,FALSE),0)</f>
        <v>0</v>
      </c>
      <c r="I245" s="194">
        <f>IF(_1_54128456121462410464578910174567[[#This Row],[Type]]&gt;0,VLOOKUP(_1_54128456121462410464578910174567[[#This Row],[Type]],Main[[#All],[TYPE]:[UNIT]],'Unit Price'!G$1,FALSE),0)</f>
        <v>0</v>
      </c>
      <c r="J245" s="194">
        <f>IF(_1_54128456121462410464578910174567[[#This Row],[Type]]&gt;0,VLOOKUP(_1_54128456121462410464578910174567[[#This Row],[Type]],Main[[#All],[TYPE]:[UNIT]],'Unit Price'!H$1,FALSE),0)</f>
        <v>0</v>
      </c>
      <c r="K245" s="194">
        <f>IF(_1_54128456121462410464578910174567[[#This Row],[Discount selection]]&gt;0,VLOOKUP(_1_54128456121462410464578910174567[[#This Row],[Discount selection]],'Discount Structure'!$A$2:$B$30,2,"false"),0)</f>
        <v>1</v>
      </c>
      <c r="L245" s="194">
        <f>_1_54128456121462410464578910174567[[#This Row],[LIST $]]*_1_54128456121462410464578910174567[[#This Row],[DISCOUNT]]*_1_54128456121462410464578910174567[[#This Row],[DISCOUNT 2]]</f>
        <v>0</v>
      </c>
      <c r="M245" s="194">
        <f>IF(OR(_1_54128456121462410464578910174567[[#This Row],[UNIT]]&gt;0,_1_54128456121462410464578910174567[[#This Row],[UNIT]]&lt;0),_1_54128456121462410464578910174567[[#This Row],[UNIT]]*_1_54128456121462410464578910174567[[#This Row],[COST]],0)</f>
        <v>0</v>
      </c>
      <c r="N245" s="194">
        <f t="shared" si="3"/>
        <v>1.3</v>
      </c>
      <c r="O245" s="198">
        <f>_1_54128456121462410464578910174567[[#This Row],[TOTAL]]*_1_54128456121462410464578910174567[[#This Row],[MARGIN]]</f>
        <v>0</v>
      </c>
      <c r="R245" s="41"/>
    </row>
    <row r="246" spans="1:18">
      <c r="A246" s="323"/>
      <c r="B246" s="323"/>
      <c r="C246" s="168"/>
      <c r="D246" s="188"/>
      <c r="F246" s="168" t="s">
        <v>6202</v>
      </c>
      <c r="G246" s="193">
        <f>IF(_1_54128456121462410464578910174567[[#This Row],[Type]]&gt;0,VLOOKUP(_1_54128456121462410464578910174567[[#This Row],[Type]],Main[[#All],[TYPE]:[UNIT]],'Unit Price'!C$1,FALSE),0)</f>
        <v>0</v>
      </c>
      <c r="H246" s="197">
        <f>IF(_1_54128456121462410464578910174567[[#This Row],[Type]]&gt;0,VLOOKUP(_1_54128456121462410464578910174567[[#This Row],[Type]],Main[[#All],[TYPE]:[UNIT]],'Unit Price'!D$1,FALSE),0)</f>
        <v>0</v>
      </c>
      <c r="I246" s="194">
        <f>IF(_1_54128456121462410464578910174567[[#This Row],[Type]]&gt;0,VLOOKUP(_1_54128456121462410464578910174567[[#This Row],[Type]],Main[[#All],[TYPE]:[UNIT]],'Unit Price'!G$1,FALSE),0)</f>
        <v>0</v>
      </c>
      <c r="J246" s="194">
        <f>IF(_1_54128456121462410464578910174567[[#This Row],[Type]]&gt;0,VLOOKUP(_1_54128456121462410464578910174567[[#This Row],[Type]],Main[[#All],[TYPE]:[UNIT]],'Unit Price'!H$1,FALSE),0)</f>
        <v>0</v>
      </c>
      <c r="K246" s="194">
        <f>IF(_1_54128456121462410464578910174567[[#This Row],[Discount selection]]&gt;0,VLOOKUP(_1_54128456121462410464578910174567[[#This Row],[Discount selection]],'Discount Structure'!$A$2:$B$30,2,"false"),0)</f>
        <v>1</v>
      </c>
      <c r="L246" s="194">
        <f>_1_54128456121462410464578910174567[[#This Row],[LIST $]]*_1_54128456121462410464578910174567[[#This Row],[DISCOUNT]]*_1_54128456121462410464578910174567[[#This Row],[DISCOUNT 2]]</f>
        <v>0</v>
      </c>
      <c r="M246" s="194">
        <f>IF(OR(_1_54128456121462410464578910174567[[#This Row],[UNIT]]&gt;0,_1_54128456121462410464578910174567[[#This Row],[UNIT]]&lt;0),_1_54128456121462410464578910174567[[#This Row],[UNIT]]*_1_54128456121462410464578910174567[[#This Row],[COST]],0)</f>
        <v>0</v>
      </c>
      <c r="N246" s="194">
        <f t="shared" si="3"/>
        <v>1.3</v>
      </c>
      <c r="O246" s="198">
        <f>_1_54128456121462410464578910174567[[#This Row],[TOTAL]]*_1_54128456121462410464578910174567[[#This Row],[MARGIN]]</f>
        <v>0</v>
      </c>
      <c r="R246" s="41"/>
    </row>
    <row r="247" spans="1:18">
      <c r="C247" s="168"/>
      <c r="D247" s="188"/>
      <c r="F247" s="168" t="s">
        <v>6202</v>
      </c>
      <c r="G247" s="193">
        <f>IF(_1_54128456121462410464578910174567[[#This Row],[Type]]&gt;0,VLOOKUP(_1_54128456121462410464578910174567[[#This Row],[Type]],Main[[#All],[TYPE]:[UNIT]],'Unit Price'!C$1,FALSE),0)</f>
        <v>0</v>
      </c>
      <c r="H247" s="197">
        <f>IF(_1_54128456121462410464578910174567[[#This Row],[Type]]&gt;0,VLOOKUP(_1_54128456121462410464578910174567[[#This Row],[Type]],Main[[#All],[TYPE]:[UNIT]],'Unit Price'!D$1,FALSE),0)</f>
        <v>0</v>
      </c>
      <c r="I247" s="194">
        <f>IF(_1_54128456121462410464578910174567[[#This Row],[Type]]&gt;0,VLOOKUP(_1_54128456121462410464578910174567[[#This Row],[Type]],Main[[#All],[TYPE]:[UNIT]],'Unit Price'!G$1,FALSE),0)</f>
        <v>0</v>
      </c>
      <c r="J247" s="194">
        <f>IF(_1_54128456121462410464578910174567[[#This Row],[Type]]&gt;0,VLOOKUP(_1_54128456121462410464578910174567[[#This Row],[Type]],Main[[#All],[TYPE]:[UNIT]],'Unit Price'!H$1,FALSE),0)</f>
        <v>0</v>
      </c>
      <c r="K247" s="194">
        <f>IF(_1_54128456121462410464578910174567[[#This Row],[Discount selection]]&gt;0,VLOOKUP(_1_54128456121462410464578910174567[[#This Row],[Discount selection]],'Discount Structure'!$A$2:$B$30,2,"false"),0)</f>
        <v>1</v>
      </c>
      <c r="L247" s="194">
        <f>_1_54128456121462410464578910174567[[#This Row],[LIST $]]*_1_54128456121462410464578910174567[[#This Row],[DISCOUNT]]*_1_54128456121462410464578910174567[[#This Row],[DISCOUNT 2]]</f>
        <v>0</v>
      </c>
      <c r="M247" s="194">
        <f>IF(OR(_1_54128456121462410464578910174567[[#This Row],[UNIT]]&gt;0,_1_54128456121462410464578910174567[[#This Row],[UNIT]]&lt;0),_1_54128456121462410464578910174567[[#This Row],[UNIT]]*_1_54128456121462410464578910174567[[#This Row],[COST]],0)</f>
        <v>0</v>
      </c>
      <c r="N247" s="194">
        <f t="shared" si="3"/>
        <v>1.3</v>
      </c>
      <c r="O247" s="198">
        <f>_1_54128456121462410464578910174567[[#This Row],[TOTAL]]*_1_54128456121462410464578910174567[[#This Row],[MARGIN]]</f>
        <v>0</v>
      </c>
      <c r="R247" s="41"/>
    </row>
    <row r="248" spans="1:18">
      <c r="C248" s="168"/>
      <c r="D248" s="188"/>
      <c r="F248" s="168" t="s">
        <v>6202</v>
      </c>
      <c r="G248" s="193">
        <f>IF(_1_54128456121462410464578910174567[[#This Row],[Type]]&gt;0,VLOOKUP(_1_54128456121462410464578910174567[[#This Row],[Type]],Main[[#All],[TYPE]:[UNIT]],'Unit Price'!C$1,FALSE),0)</f>
        <v>0</v>
      </c>
      <c r="H248" s="197">
        <f>IF(_1_54128456121462410464578910174567[[#This Row],[Type]]&gt;0,VLOOKUP(_1_54128456121462410464578910174567[[#This Row],[Type]],Main[[#All],[TYPE]:[UNIT]],'Unit Price'!D$1,FALSE),0)</f>
        <v>0</v>
      </c>
      <c r="I248" s="194">
        <f>IF(_1_54128456121462410464578910174567[[#This Row],[Type]]&gt;0,VLOOKUP(_1_54128456121462410464578910174567[[#This Row],[Type]],Main[[#All],[TYPE]:[UNIT]],'Unit Price'!G$1,FALSE),0)</f>
        <v>0</v>
      </c>
      <c r="J248" s="194">
        <f>IF(_1_54128456121462410464578910174567[[#This Row],[Type]]&gt;0,VLOOKUP(_1_54128456121462410464578910174567[[#This Row],[Type]],Main[[#All],[TYPE]:[UNIT]],'Unit Price'!H$1,FALSE),0)</f>
        <v>0</v>
      </c>
      <c r="K248" s="194">
        <f>IF(_1_54128456121462410464578910174567[[#This Row],[Discount selection]]&gt;0,VLOOKUP(_1_54128456121462410464578910174567[[#This Row],[Discount selection]],'Discount Structure'!$A$2:$B$30,2,"false"),0)</f>
        <v>1</v>
      </c>
      <c r="L248" s="194">
        <f>_1_54128456121462410464578910174567[[#This Row],[LIST $]]*_1_54128456121462410464578910174567[[#This Row],[DISCOUNT]]*_1_54128456121462410464578910174567[[#This Row],[DISCOUNT 2]]</f>
        <v>0</v>
      </c>
      <c r="M248" s="194">
        <f>IF(OR(_1_54128456121462410464578910174567[[#This Row],[UNIT]]&gt;0,_1_54128456121462410464578910174567[[#This Row],[UNIT]]&lt;0),_1_54128456121462410464578910174567[[#This Row],[UNIT]]*_1_54128456121462410464578910174567[[#This Row],[COST]],0)</f>
        <v>0</v>
      </c>
      <c r="N248" s="194">
        <f t="shared" si="3"/>
        <v>1.3</v>
      </c>
      <c r="O248" s="198">
        <f>_1_54128456121462410464578910174567[[#This Row],[TOTAL]]*_1_54128456121462410464578910174567[[#This Row],[MARGIN]]</f>
        <v>0</v>
      </c>
      <c r="R248" s="41"/>
    </row>
    <row r="249" spans="1:18">
      <c r="A249" s="323"/>
      <c r="B249" s="325"/>
      <c r="C249" s="168"/>
      <c r="D249" s="188"/>
      <c r="F249" s="168" t="s">
        <v>6202</v>
      </c>
      <c r="G249" s="205">
        <f>IF(_1_54128456121462410464578910174567[[#This Row],[Type]]&gt;0,VLOOKUP(_1_54128456121462410464578910174567[[#This Row],[Type]],Main[[#All],[TYPE]:[UNIT]],'Unit Price'!C$1,FALSE),0)</f>
        <v>0</v>
      </c>
      <c r="H249" s="197">
        <f>IF(_1_54128456121462410464578910174567[[#This Row],[Type]]&gt;0,VLOOKUP(_1_54128456121462410464578910174567[[#This Row],[Type]],Main[[#All],[TYPE]:[UNIT]],'Unit Price'!D$1,FALSE),0)</f>
        <v>0</v>
      </c>
      <c r="I249" s="194">
        <f>IF(_1_54128456121462410464578910174567[[#This Row],[Type]]&gt;0,VLOOKUP(_1_54128456121462410464578910174567[[#This Row],[Type]],Main[[#All],[TYPE]:[UNIT]],'Unit Price'!G$1,FALSE),0)</f>
        <v>0</v>
      </c>
      <c r="J249" s="194">
        <f>IF(_1_54128456121462410464578910174567[[#This Row],[Type]]&gt;0,VLOOKUP(_1_54128456121462410464578910174567[[#This Row],[Type]],Main[[#All],[TYPE]:[UNIT]],'Unit Price'!H$1,FALSE),0)</f>
        <v>0</v>
      </c>
      <c r="K249" s="194">
        <f>IF(_1_54128456121462410464578910174567[[#This Row],[Discount selection]]&gt;0,VLOOKUP(_1_54128456121462410464578910174567[[#This Row],[Discount selection]],'Discount Structure'!$A$2:$B$30,2,"false"),0)</f>
        <v>1</v>
      </c>
      <c r="L249" s="194">
        <f>_1_54128456121462410464578910174567[[#This Row],[LIST $]]*_1_54128456121462410464578910174567[[#This Row],[DISCOUNT]]*_1_54128456121462410464578910174567[[#This Row],[DISCOUNT 2]]</f>
        <v>0</v>
      </c>
      <c r="M249" s="194">
        <f>IF(OR(_1_54128456121462410464578910174567[[#This Row],[UNIT]]&gt;0,_1_54128456121462410464578910174567[[#This Row],[UNIT]]&lt;0),_1_54128456121462410464578910174567[[#This Row],[UNIT]]*_1_54128456121462410464578910174567[[#This Row],[COST]],0)</f>
        <v>0</v>
      </c>
      <c r="N249" s="194">
        <f t="shared" si="3"/>
        <v>1.3</v>
      </c>
      <c r="O249" s="198">
        <f>_1_54128456121462410464578910174567[[#This Row],[TOTAL]]*_1_54128456121462410464578910174567[[#This Row],[MARGIN]]</f>
        <v>0</v>
      </c>
      <c r="R249" s="41"/>
    </row>
    <row r="250" spans="1:18">
      <c r="A250" s="323"/>
      <c r="B250" s="323"/>
      <c r="C250" s="168"/>
      <c r="D250" s="188"/>
      <c r="F250" s="168" t="s">
        <v>6202</v>
      </c>
      <c r="G250" s="193">
        <f>IF(_1_54128456121462410464578910174567[[#This Row],[Type]]&gt;0,VLOOKUP(_1_54128456121462410464578910174567[[#This Row],[Type]],Main[[#All],[TYPE]:[UNIT]],'Unit Price'!C$1,FALSE),0)</f>
        <v>0</v>
      </c>
      <c r="H250" s="197">
        <f>IF(_1_54128456121462410464578910174567[[#This Row],[Type]]&gt;0,VLOOKUP(_1_54128456121462410464578910174567[[#This Row],[Type]],Main[[#All],[TYPE]:[UNIT]],'Unit Price'!D$1,FALSE),0)</f>
        <v>0</v>
      </c>
      <c r="I250" s="194">
        <f>IF(_1_54128456121462410464578910174567[[#This Row],[Type]]&gt;0,VLOOKUP(_1_54128456121462410464578910174567[[#This Row],[Type]],Main[[#All],[TYPE]:[UNIT]],'Unit Price'!G$1,FALSE),0)</f>
        <v>0</v>
      </c>
      <c r="J250" s="194">
        <f>IF(_1_54128456121462410464578910174567[[#This Row],[Type]]&gt;0,VLOOKUP(_1_54128456121462410464578910174567[[#This Row],[Type]],Main[[#All],[TYPE]:[UNIT]],'Unit Price'!H$1,FALSE),0)</f>
        <v>0</v>
      </c>
      <c r="K250" s="194">
        <f>IF(_1_54128456121462410464578910174567[[#This Row],[Discount selection]]&gt;0,VLOOKUP(_1_54128456121462410464578910174567[[#This Row],[Discount selection]],'Discount Structure'!$A$2:$B$30,2,"false"),0)</f>
        <v>1</v>
      </c>
      <c r="L250" s="194">
        <f>_1_54128456121462410464578910174567[[#This Row],[LIST $]]*_1_54128456121462410464578910174567[[#This Row],[DISCOUNT]]*_1_54128456121462410464578910174567[[#This Row],[DISCOUNT 2]]</f>
        <v>0</v>
      </c>
      <c r="M250" s="194">
        <f>IF(OR(_1_54128456121462410464578910174567[[#This Row],[UNIT]]&gt;0,_1_54128456121462410464578910174567[[#This Row],[UNIT]]&lt;0),_1_54128456121462410464578910174567[[#This Row],[UNIT]]*_1_54128456121462410464578910174567[[#This Row],[COST]],0)</f>
        <v>0</v>
      </c>
      <c r="N250" s="194">
        <f t="shared" si="3"/>
        <v>1.3</v>
      </c>
      <c r="O250" s="198">
        <f>_1_54128456121462410464578910174567[[#This Row],[TOTAL]]*_1_54128456121462410464578910174567[[#This Row],[MARGIN]]</f>
        <v>0</v>
      </c>
      <c r="R250" s="41"/>
    </row>
    <row r="251" spans="1:18">
      <c r="C251" s="168"/>
      <c r="D251" s="188"/>
      <c r="F251" s="168" t="s">
        <v>6202</v>
      </c>
      <c r="G251" s="193">
        <f>IF(_1_54128456121462410464578910174567[[#This Row],[Type]]&gt;0,VLOOKUP(_1_54128456121462410464578910174567[[#This Row],[Type]],Main[[#All],[TYPE]:[UNIT]],'Unit Price'!C$1,FALSE),0)</f>
        <v>0</v>
      </c>
      <c r="H251" s="197">
        <f>IF(_1_54128456121462410464578910174567[[#This Row],[Type]]&gt;0,VLOOKUP(_1_54128456121462410464578910174567[[#This Row],[Type]],Main[[#All],[TYPE]:[UNIT]],'Unit Price'!D$1,FALSE),0)</f>
        <v>0</v>
      </c>
      <c r="I251" s="194">
        <f>IF(_1_54128456121462410464578910174567[[#This Row],[Type]]&gt;0,VLOOKUP(_1_54128456121462410464578910174567[[#This Row],[Type]],Main[[#All],[TYPE]:[UNIT]],'Unit Price'!G$1,FALSE),0)</f>
        <v>0</v>
      </c>
      <c r="J251" s="194">
        <f>IF(_1_54128456121462410464578910174567[[#This Row],[Type]]&gt;0,VLOOKUP(_1_54128456121462410464578910174567[[#This Row],[Type]],Main[[#All],[TYPE]:[UNIT]],'Unit Price'!H$1,FALSE),0)</f>
        <v>0</v>
      </c>
      <c r="K251" s="194">
        <f>IF(_1_54128456121462410464578910174567[[#This Row],[Discount selection]]&gt;0,VLOOKUP(_1_54128456121462410464578910174567[[#This Row],[Discount selection]],'Discount Structure'!$A$2:$B$30,2,"false"),0)</f>
        <v>1</v>
      </c>
      <c r="L251" s="194">
        <f>_1_54128456121462410464578910174567[[#This Row],[LIST $]]*_1_54128456121462410464578910174567[[#This Row],[DISCOUNT]]*_1_54128456121462410464578910174567[[#This Row],[DISCOUNT 2]]</f>
        <v>0</v>
      </c>
      <c r="M251" s="194">
        <f>IF(OR(_1_54128456121462410464578910174567[[#This Row],[UNIT]]&gt;0,_1_54128456121462410464578910174567[[#This Row],[UNIT]]&lt;0),_1_54128456121462410464578910174567[[#This Row],[UNIT]]*_1_54128456121462410464578910174567[[#This Row],[COST]],0)</f>
        <v>0</v>
      </c>
      <c r="N251" s="194">
        <f t="shared" si="3"/>
        <v>1.3</v>
      </c>
      <c r="O251" s="198">
        <f>_1_54128456121462410464578910174567[[#This Row],[TOTAL]]*_1_54128456121462410464578910174567[[#This Row],[MARGIN]]</f>
        <v>0</v>
      </c>
      <c r="R251" s="41"/>
    </row>
    <row r="252" spans="1:18">
      <c r="C252" s="168"/>
      <c r="D252" s="188"/>
      <c r="F252" s="168" t="s">
        <v>6202</v>
      </c>
      <c r="G252" s="193">
        <f>IF(_1_54128456121462410464578910174567[[#This Row],[Type]]&gt;0,VLOOKUP(_1_54128456121462410464578910174567[[#This Row],[Type]],Main[[#All],[TYPE]:[UNIT]],'Unit Price'!C$1,FALSE),0)</f>
        <v>0</v>
      </c>
      <c r="H252" s="197">
        <f>IF(_1_54128456121462410464578910174567[[#This Row],[Type]]&gt;0,VLOOKUP(_1_54128456121462410464578910174567[[#This Row],[Type]],Main[[#All],[TYPE]:[UNIT]],'Unit Price'!D$1,FALSE),0)</f>
        <v>0</v>
      </c>
      <c r="I252" s="194">
        <f>IF(_1_54128456121462410464578910174567[[#This Row],[Type]]&gt;0,VLOOKUP(_1_54128456121462410464578910174567[[#This Row],[Type]],Main[[#All],[TYPE]:[UNIT]],'Unit Price'!G$1,FALSE),0)</f>
        <v>0</v>
      </c>
      <c r="J252" s="194">
        <f>IF(_1_54128456121462410464578910174567[[#This Row],[Type]]&gt;0,VLOOKUP(_1_54128456121462410464578910174567[[#This Row],[Type]],Main[[#All],[TYPE]:[UNIT]],'Unit Price'!H$1,FALSE),0)</f>
        <v>0</v>
      </c>
      <c r="K252" s="194">
        <f>IF(_1_54128456121462410464578910174567[[#This Row],[Discount selection]]&gt;0,VLOOKUP(_1_54128456121462410464578910174567[[#This Row],[Discount selection]],'Discount Structure'!$A$2:$B$30,2,"false"),0)</f>
        <v>1</v>
      </c>
      <c r="L252" s="194">
        <f>_1_54128456121462410464578910174567[[#This Row],[LIST $]]*_1_54128456121462410464578910174567[[#This Row],[DISCOUNT]]*_1_54128456121462410464578910174567[[#This Row],[DISCOUNT 2]]</f>
        <v>0</v>
      </c>
      <c r="M252" s="194">
        <f>IF(OR(_1_54128456121462410464578910174567[[#This Row],[UNIT]]&gt;0,_1_54128456121462410464578910174567[[#This Row],[UNIT]]&lt;0),_1_54128456121462410464578910174567[[#This Row],[UNIT]]*_1_54128456121462410464578910174567[[#This Row],[COST]],0)</f>
        <v>0</v>
      </c>
      <c r="N252" s="194">
        <f t="shared" si="3"/>
        <v>1.3</v>
      </c>
      <c r="O252" s="198">
        <f>_1_54128456121462410464578910174567[[#This Row],[TOTAL]]*_1_54128456121462410464578910174567[[#This Row],[MARGIN]]</f>
        <v>0</v>
      </c>
      <c r="R252" s="41"/>
    </row>
    <row r="253" spans="1:18">
      <c r="C253" s="168"/>
      <c r="D253" s="188"/>
      <c r="F253" s="168" t="s">
        <v>6202</v>
      </c>
      <c r="G253" s="193">
        <f>IF(_1_54128456121462410464578910174567[[#This Row],[Type]]&gt;0,VLOOKUP(_1_54128456121462410464578910174567[[#This Row],[Type]],Main[[#All],[TYPE]:[UNIT]],'Unit Price'!C$1,FALSE),0)</f>
        <v>0</v>
      </c>
      <c r="H253" s="197">
        <f>IF(_1_54128456121462410464578910174567[[#This Row],[Type]]&gt;0,VLOOKUP(_1_54128456121462410464578910174567[[#This Row],[Type]],Main[[#All],[TYPE]:[UNIT]],'Unit Price'!D$1,FALSE),0)</f>
        <v>0</v>
      </c>
      <c r="I253" s="194">
        <f>IF(_1_54128456121462410464578910174567[[#This Row],[Type]]&gt;0,VLOOKUP(_1_54128456121462410464578910174567[[#This Row],[Type]],Main[[#All],[TYPE]:[UNIT]],'Unit Price'!G$1,FALSE),0)</f>
        <v>0</v>
      </c>
      <c r="J253" s="194">
        <f>IF(_1_54128456121462410464578910174567[[#This Row],[Type]]&gt;0,VLOOKUP(_1_54128456121462410464578910174567[[#This Row],[Type]],Main[[#All],[TYPE]:[UNIT]],'Unit Price'!H$1,FALSE),0)</f>
        <v>0</v>
      </c>
      <c r="K253" s="194">
        <f>IF(_1_54128456121462410464578910174567[[#This Row],[Discount selection]]&gt;0,VLOOKUP(_1_54128456121462410464578910174567[[#This Row],[Discount selection]],'Discount Structure'!$A$2:$B$30,2,"false"),0)</f>
        <v>1</v>
      </c>
      <c r="L253" s="194">
        <f>_1_54128456121462410464578910174567[[#This Row],[LIST $]]*_1_54128456121462410464578910174567[[#This Row],[DISCOUNT]]*_1_54128456121462410464578910174567[[#This Row],[DISCOUNT 2]]</f>
        <v>0</v>
      </c>
      <c r="M253" s="194">
        <f>IF(OR(_1_54128456121462410464578910174567[[#This Row],[UNIT]]&gt;0,_1_54128456121462410464578910174567[[#This Row],[UNIT]]&lt;0),_1_54128456121462410464578910174567[[#This Row],[UNIT]]*_1_54128456121462410464578910174567[[#This Row],[COST]],0)</f>
        <v>0</v>
      </c>
      <c r="N253" s="194">
        <f t="shared" si="3"/>
        <v>1.3</v>
      </c>
      <c r="O253" s="198">
        <f>_1_54128456121462410464578910174567[[#This Row],[TOTAL]]*_1_54128456121462410464578910174567[[#This Row],[MARGIN]]</f>
        <v>0</v>
      </c>
      <c r="R253" s="41"/>
    </row>
    <row r="254" spans="1:18">
      <c r="C254" s="168"/>
      <c r="D254" s="188"/>
      <c r="F254" s="168" t="s">
        <v>6202</v>
      </c>
      <c r="G254" s="193">
        <f>IF(_1_54128456121462410464578910174567[[#This Row],[Type]]&gt;0,VLOOKUP(_1_54128456121462410464578910174567[[#This Row],[Type]],Main[[#All],[TYPE]:[UNIT]],'Unit Price'!C$1,FALSE),0)</f>
        <v>0</v>
      </c>
      <c r="H254" s="197">
        <f>IF(_1_54128456121462410464578910174567[[#This Row],[Type]]&gt;0,VLOOKUP(_1_54128456121462410464578910174567[[#This Row],[Type]],Main[[#All],[TYPE]:[UNIT]],'Unit Price'!D$1,FALSE),0)</f>
        <v>0</v>
      </c>
      <c r="I254" s="194">
        <f>IF(_1_54128456121462410464578910174567[[#This Row],[Type]]&gt;0,VLOOKUP(_1_54128456121462410464578910174567[[#This Row],[Type]],Main[[#All],[TYPE]:[UNIT]],'Unit Price'!G$1,FALSE),0)</f>
        <v>0</v>
      </c>
      <c r="J254" s="194">
        <f>IF(_1_54128456121462410464578910174567[[#This Row],[Type]]&gt;0,VLOOKUP(_1_54128456121462410464578910174567[[#This Row],[Type]],Main[[#All],[TYPE]:[UNIT]],'Unit Price'!H$1,FALSE),0)</f>
        <v>0</v>
      </c>
      <c r="K254" s="194">
        <f>IF(_1_54128456121462410464578910174567[[#This Row],[Discount selection]]&gt;0,VLOOKUP(_1_54128456121462410464578910174567[[#This Row],[Discount selection]],'Discount Structure'!$A$2:$B$30,2,"false"),0)</f>
        <v>1</v>
      </c>
      <c r="L254" s="194">
        <f>_1_54128456121462410464578910174567[[#This Row],[LIST $]]*_1_54128456121462410464578910174567[[#This Row],[DISCOUNT]]*_1_54128456121462410464578910174567[[#This Row],[DISCOUNT 2]]</f>
        <v>0</v>
      </c>
      <c r="M254" s="194">
        <f>IF(OR(_1_54128456121462410464578910174567[[#This Row],[UNIT]]&gt;0,_1_54128456121462410464578910174567[[#This Row],[UNIT]]&lt;0),_1_54128456121462410464578910174567[[#This Row],[UNIT]]*_1_54128456121462410464578910174567[[#This Row],[COST]],0)</f>
        <v>0</v>
      </c>
      <c r="N254" s="194">
        <f t="shared" si="3"/>
        <v>1.3</v>
      </c>
      <c r="O254" s="198">
        <f>_1_54128456121462410464578910174567[[#This Row],[TOTAL]]*_1_54128456121462410464578910174567[[#This Row],[MARGIN]]</f>
        <v>0</v>
      </c>
      <c r="R254" s="41"/>
    </row>
    <row r="255" spans="1:18">
      <c r="C255" s="168"/>
      <c r="D255" s="188"/>
      <c r="F255" s="168" t="s">
        <v>6202</v>
      </c>
      <c r="G255" s="205">
        <f>IF(_1_54128456121462410464578910174567[[#This Row],[Type]]&gt;0,VLOOKUP(_1_54128456121462410464578910174567[[#This Row],[Type]],Main[[#All],[TYPE]:[UNIT]],'Unit Price'!C$1,FALSE),0)</f>
        <v>0</v>
      </c>
      <c r="H255" s="197">
        <f>IF(_1_54128456121462410464578910174567[[#This Row],[Type]]&gt;0,VLOOKUP(_1_54128456121462410464578910174567[[#This Row],[Type]],Main[[#All],[TYPE]:[UNIT]],'Unit Price'!D$1,FALSE),0)</f>
        <v>0</v>
      </c>
      <c r="I255" s="194">
        <f>IF(_1_54128456121462410464578910174567[[#This Row],[Type]]&gt;0,VLOOKUP(_1_54128456121462410464578910174567[[#This Row],[Type]],Main[[#All],[TYPE]:[UNIT]],'Unit Price'!G$1,FALSE),0)</f>
        <v>0</v>
      </c>
      <c r="J255" s="194">
        <f>IF(_1_54128456121462410464578910174567[[#This Row],[Type]]&gt;0,VLOOKUP(_1_54128456121462410464578910174567[[#This Row],[Type]],Main[[#All],[TYPE]:[UNIT]],'Unit Price'!H$1,FALSE),0)</f>
        <v>0</v>
      </c>
      <c r="K255" s="194">
        <f>IF(_1_54128456121462410464578910174567[[#This Row],[Discount selection]]&gt;0,VLOOKUP(_1_54128456121462410464578910174567[[#This Row],[Discount selection]],'Discount Structure'!$A$2:$B$30,2,"false"),0)</f>
        <v>1</v>
      </c>
      <c r="L255" s="194">
        <f>_1_54128456121462410464578910174567[[#This Row],[LIST $]]*_1_54128456121462410464578910174567[[#This Row],[DISCOUNT]]*_1_54128456121462410464578910174567[[#This Row],[DISCOUNT 2]]</f>
        <v>0</v>
      </c>
      <c r="M255" s="194">
        <f>IF(OR(_1_54128456121462410464578910174567[[#This Row],[UNIT]]&gt;0,_1_54128456121462410464578910174567[[#This Row],[UNIT]]&lt;0),_1_54128456121462410464578910174567[[#This Row],[UNIT]]*_1_54128456121462410464578910174567[[#This Row],[COST]],0)</f>
        <v>0</v>
      </c>
      <c r="N255" s="194">
        <f t="shared" si="3"/>
        <v>1.3</v>
      </c>
      <c r="O255" s="198">
        <f>_1_54128456121462410464578910174567[[#This Row],[TOTAL]]*_1_54128456121462410464578910174567[[#This Row],[MARGIN]]</f>
        <v>0</v>
      </c>
      <c r="R255" s="41"/>
    </row>
    <row r="256" spans="1:18">
      <c r="A256" s="168"/>
      <c r="B256" s="168"/>
      <c r="C256" s="168"/>
      <c r="D256" s="188"/>
      <c r="F256" s="168" t="s">
        <v>6202</v>
      </c>
      <c r="G256" s="193">
        <f>IF(_1_54128456121462410464578910174567[[#This Row],[Type]]&gt;0,VLOOKUP(_1_54128456121462410464578910174567[[#This Row],[Type]],Main[[#All],[TYPE]:[UNIT]],'Unit Price'!C$1,FALSE),0)</f>
        <v>0</v>
      </c>
      <c r="H256" s="197">
        <f>IF(_1_54128456121462410464578910174567[[#This Row],[Type]]&gt;0,VLOOKUP(_1_54128456121462410464578910174567[[#This Row],[Type]],Main[[#All],[TYPE]:[UNIT]],'Unit Price'!D$1,FALSE),0)</f>
        <v>0</v>
      </c>
      <c r="I256" s="194">
        <f>IF(_1_54128456121462410464578910174567[[#This Row],[Type]]&gt;0,VLOOKUP(_1_54128456121462410464578910174567[[#This Row],[Type]],Main[[#All],[TYPE]:[UNIT]],'Unit Price'!G$1,FALSE),0)</f>
        <v>0</v>
      </c>
      <c r="J256" s="194">
        <f>IF(_1_54128456121462410464578910174567[[#This Row],[Type]]&gt;0,VLOOKUP(_1_54128456121462410464578910174567[[#This Row],[Type]],Main[[#All],[TYPE]:[UNIT]],'Unit Price'!H$1,FALSE),0)</f>
        <v>0</v>
      </c>
      <c r="K256" s="194">
        <f>IF(_1_54128456121462410464578910174567[[#This Row],[Discount selection]]&gt;0,VLOOKUP(_1_54128456121462410464578910174567[[#This Row],[Discount selection]],'Discount Structure'!$A$2:$B$30,2,"false"),0)</f>
        <v>1</v>
      </c>
      <c r="L256" s="194">
        <f>_1_54128456121462410464578910174567[[#This Row],[LIST $]]*_1_54128456121462410464578910174567[[#This Row],[DISCOUNT]]*_1_54128456121462410464578910174567[[#This Row],[DISCOUNT 2]]</f>
        <v>0</v>
      </c>
      <c r="M256" s="194">
        <f>IF(OR(_1_54128456121462410464578910174567[[#This Row],[UNIT]]&gt;0,_1_54128456121462410464578910174567[[#This Row],[UNIT]]&lt;0),_1_54128456121462410464578910174567[[#This Row],[UNIT]]*_1_54128456121462410464578910174567[[#This Row],[COST]],0)</f>
        <v>0</v>
      </c>
      <c r="N256" s="194">
        <f t="shared" si="3"/>
        <v>1.3</v>
      </c>
      <c r="O256" s="198">
        <f>_1_54128456121462410464578910174567[[#This Row],[TOTAL]]*_1_54128456121462410464578910174567[[#This Row],[MARGIN]]</f>
        <v>0</v>
      </c>
      <c r="R256" s="41"/>
    </row>
    <row r="257" spans="1:18">
      <c r="A257" s="323"/>
      <c r="B257" s="323"/>
      <c r="C257" s="168"/>
      <c r="D257" s="188"/>
      <c r="F257" s="168" t="s">
        <v>6202</v>
      </c>
      <c r="G257" s="193">
        <f>IF(_1_54128456121462410464578910174567[[#This Row],[Type]]&gt;0,VLOOKUP(_1_54128456121462410464578910174567[[#This Row],[Type]],Main[[#All],[TYPE]:[UNIT]],'Unit Price'!C$1,FALSE),0)</f>
        <v>0</v>
      </c>
      <c r="H257" s="197">
        <f>IF(_1_54128456121462410464578910174567[[#This Row],[Type]]&gt;0,VLOOKUP(_1_54128456121462410464578910174567[[#This Row],[Type]],Main[[#All],[TYPE]:[UNIT]],'Unit Price'!D$1,FALSE),0)</f>
        <v>0</v>
      </c>
      <c r="I257" s="194">
        <f>IF(_1_54128456121462410464578910174567[[#This Row],[Type]]&gt;0,VLOOKUP(_1_54128456121462410464578910174567[[#This Row],[Type]],Main[[#All],[TYPE]:[UNIT]],'Unit Price'!G$1,FALSE),0)</f>
        <v>0</v>
      </c>
      <c r="J257" s="194">
        <f>IF(_1_54128456121462410464578910174567[[#This Row],[Type]]&gt;0,VLOOKUP(_1_54128456121462410464578910174567[[#This Row],[Type]],Main[[#All],[TYPE]:[UNIT]],'Unit Price'!H$1,FALSE),0)</f>
        <v>0</v>
      </c>
      <c r="K257" s="194">
        <f>IF(_1_54128456121462410464578910174567[[#This Row],[Discount selection]]&gt;0,VLOOKUP(_1_54128456121462410464578910174567[[#This Row],[Discount selection]],'Discount Structure'!$A$2:$B$30,2,"false"),0)</f>
        <v>1</v>
      </c>
      <c r="L257" s="194">
        <f>_1_54128456121462410464578910174567[[#This Row],[LIST $]]*_1_54128456121462410464578910174567[[#This Row],[DISCOUNT]]*_1_54128456121462410464578910174567[[#This Row],[DISCOUNT 2]]</f>
        <v>0</v>
      </c>
      <c r="M257" s="194">
        <f>IF(OR(_1_54128456121462410464578910174567[[#This Row],[UNIT]]&gt;0,_1_54128456121462410464578910174567[[#This Row],[UNIT]]&lt;0),_1_54128456121462410464578910174567[[#This Row],[UNIT]]*_1_54128456121462410464578910174567[[#This Row],[COST]],0)</f>
        <v>0</v>
      </c>
      <c r="N257" s="194">
        <f t="shared" si="3"/>
        <v>1.3</v>
      </c>
      <c r="O257" s="198">
        <f>_1_54128456121462410464578910174567[[#This Row],[TOTAL]]*_1_54128456121462410464578910174567[[#This Row],[MARGIN]]</f>
        <v>0</v>
      </c>
      <c r="R257" s="41"/>
    </row>
    <row r="258" spans="1:18">
      <c r="A258" s="323"/>
      <c r="B258" s="325"/>
      <c r="C258" s="168"/>
      <c r="D258" s="188"/>
      <c r="F258" s="168" t="s">
        <v>6202</v>
      </c>
      <c r="G258" s="193">
        <f>IF(_1_54128456121462410464578910174567[[#This Row],[Type]]&gt;0,VLOOKUP(_1_54128456121462410464578910174567[[#This Row],[Type]],Main[[#All],[TYPE]:[UNIT]],'Unit Price'!C$1,FALSE),0)</f>
        <v>0</v>
      </c>
      <c r="H258" s="197">
        <f>IF(_1_54128456121462410464578910174567[[#This Row],[Type]]&gt;0,VLOOKUP(_1_54128456121462410464578910174567[[#This Row],[Type]],Main[[#All],[TYPE]:[UNIT]],'Unit Price'!D$1,FALSE),0)</f>
        <v>0</v>
      </c>
      <c r="I258" s="194">
        <f>IF(_1_54128456121462410464578910174567[[#This Row],[Type]]&gt;0,VLOOKUP(_1_54128456121462410464578910174567[[#This Row],[Type]],Main[[#All],[TYPE]:[UNIT]],'Unit Price'!G$1,FALSE),0)</f>
        <v>0</v>
      </c>
      <c r="J258" s="194">
        <f>IF(_1_54128456121462410464578910174567[[#This Row],[Type]]&gt;0,VLOOKUP(_1_54128456121462410464578910174567[[#This Row],[Type]],Main[[#All],[TYPE]:[UNIT]],'Unit Price'!H$1,FALSE),0)</f>
        <v>0</v>
      </c>
      <c r="K258" s="194">
        <f>IF(_1_54128456121462410464578910174567[[#This Row],[Discount selection]]&gt;0,VLOOKUP(_1_54128456121462410464578910174567[[#This Row],[Discount selection]],'Discount Structure'!$A$2:$B$30,2,"false"),0)</f>
        <v>1</v>
      </c>
      <c r="L258" s="194">
        <f>_1_54128456121462410464578910174567[[#This Row],[LIST $]]*_1_54128456121462410464578910174567[[#This Row],[DISCOUNT]]*_1_54128456121462410464578910174567[[#This Row],[DISCOUNT 2]]</f>
        <v>0</v>
      </c>
      <c r="M258" s="194">
        <f>IF(OR(_1_54128456121462410464578910174567[[#This Row],[UNIT]]&gt;0,_1_54128456121462410464578910174567[[#This Row],[UNIT]]&lt;0),_1_54128456121462410464578910174567[[#This Row],[UNIT]]*_1_54128456121462410464578910174567[[#This Row],[COST]],0)</f>
        <v>0</v>
      </c>
      <c r="N258" s="194">
        <f t="shared" si="3"/>
        <v>1.3</v>
      </c>
      <c r="O258" s="198">
        <f>_1_54128456121462410464578910174567[[#This Row],[TOTAL]]*_1_54128456121462410464578910174567[[#This Row],[MARGIN]]</f>
        <v>0</v>
      </c>
      <c r="R258" s="41"/>
    </row>
    <row r="259" spans="1:18">
      <c r="C259" s="168"/>
      <c r="D259" s="188"/>
      <c r="F259" s="168" t="s">
        <v>6202</v>
      </c>
      <c r="G259" s="193">
        <f>IF(_1_54128456121462410464578910174567[[#This Row],[Type]]&gt;0,VLOOKUP(_1_54128456121462410464578910174567[[#This Row],[Type]],Main[[#All],[TYPE]:[UNIT]],'Unit Price'!C$1,FALSE),0)</f>
        <v>0</v>
      </c>
      <c r="H259" s="197">
        <f>IF(_1_54128456121462410464578910174567[[#This Row],[Type]]&gt;0,VLOOKUP(_1_54128456121462410464578910174567[[#This Row],[Type]],Main[[#All],[TYPE]:[UNIT]],'Unit Price'!D$1,FALSE),0)</f>
        <v>0</v>
      </c>
      <c r="I259" s="194">
        <f>IF(_1_54128456121462410464578910174567[[#This Row],[Type]]&gt;0,VLOOKUP(_1_54128456121462410464578910174567[[#This Row],[Type]],Main[[#All],[TYPE]:[UNIT]],'Unit Price'!G$1,FALSE),0)</f>
        <v>0</v>
      </c>
      <c r="J259" s="194">
        <f>IF(_1_54128456121462410464578910174567[[#This Row],[Type]]&gt;0,VLOOKUP(_1_54128456121462410464578910174567[[#This Row],[Type]],Main[[#All],[TYPE]:[UNIT]],'Unit Price'!H$1,FALSE),0)</f>
        <v>0</v>
      </c>
      <c r="K259" s="194">
        <f>IF(_1_54128456121462410464578910174567[[#This Row],[Discount selection]]&gt;0,VLOOKUP(_1_54128456121462410464578910174567[[#This Row],[Discount selection]],'Discount Structure'!$A$2:$B$30,2,"false"),0)</f>
        <v>1</v>
      </c>
      <c r="L259" s="194">
        <f>_1_54128456121462410464578910174567[[#This Row],[LIST $]]*_1_54128456121462410464578910174567[[#This Row],[DISCOUNT]]*_1_54128456121462410464578910174567[[#This Row],[DISCOUNT 2]]</f>
        <v>0</v>
      </c>
      <c r="M259" s="194">
        <f>IF(OR(_1_54128456121462410464578910174567[[#This Row],[UNIT]]&gt;0,_1_54128456121462410464578910174567[[#This Row],[UNIT]]&lt;0),_1_54128456121462410464578910174567[[#This Row],[UNIT]]*_1_54128456121462410464578910174567[[#This Row],[COST]],0)</f>
        <v>0</v>
      </c>
      <c r="N259" s="194">
        <f t="shared" si="3"/>
        <v>1.3</v>
      </c>
      <c r="O259" s="198">
        <f>_1_54128456121462410464578910174567[[#This Row],[TOTAL]]*_1_54128456121462410464578910174567[[#This Row],[MARGIN]]</f>
        <v>0</v>
      </c>
      <c r="R259" s="41"/>
    </row>
    <row r="260" spans="1:18">
      <c r="C260" s="168"/>
      <c r="D260" s="188"/>
      <c r="F260" s="168" t="s">
        <v>6202</v>
      </c>
      <c r="G260" s="205">
        <f>IF(_1_54128456121462410464578910174567[[#This Row],[Type]]&gt;0,VLOOKUP(_1_54128456121462410464578910174567[[#This Row],[Type]],Main[[#All],[TYPE]:[UNIT]],'Unit Price'!C$1,FALSE),0)</f>
        <v>0</v>
      </c>
      <c r="H260" s="197">
        <f>IF(_1_54128456121462410464578910174567[[#This Row],[Type]]&gt;0,VLOOKUP(_1_54128456121462410464578910174567[[#This Row],[Type]],Main[[#All],[TYPE]:[UNIT]],'Unit Price'!D$1,FALSE),0)</f>
        <v>0</v>
      </c>
      <c r="I260" s="194">
        <f>IF(_1_54128456121462410464578910174567[[#This Row],[Type]]&gt;0,VLOOKUP(_1_54128456121462410464578910174567[[#This Row],[Type]],Main[[#All],[TYPE]:[UNIT]],'Unit Price'!G$1,FALSE),0)</f>
        <v>0</v>
      </c>
      <c r="J260" s="194">
        <f>IF(_1_54128456121462410464578910174567[[#This Row],[Type]]&gt;0,VLOOKUP(_1_54128456121462410464578910174567[[#This Row],[Type]],Main[[#All],[TYPE]:[UNIT]],'Unit Price'!H$1,FALSE),0)</f>
        <v>0</v>
      </c>
      <c r="K260" s="194">
        <f>IF(_1_54128456121462410464578910174567[[#This Row],[Discount selection]]&gt;0,VLOOKUP(_1_54128456121462410464578910174567[[#This Row],[Discount selection]],'Discount Structure'!$A$2:$B$30,2,"false"),0)</f>
        <v>1</v>
      </c>
      <c r="L260" s="194">
        <f>_1_54128456121462410464578910174567[[#This Row],[LIST $]]*_1_54128456121462410464578910174567[[#This Row],[DISCOUNT]]*_1_54128456121462410464578910174567[[#This Row],[DISCOUNT 2]]</f>
        <v>0</v>
      </c>
      <c r="M260" s="194">
        <f>IF(OR(_1_54128456121462410464578910174567[[#This Row],[UNIT]]&gt;0,_1_54128456121462410464578910174567[[#This Row],[UNIT]]&lt;0),_1_54128456121462410464578910174567[[#This Row],[UNIT]]*_1_54128456121462410464578910174567[[#This Row],[COST]],0)</f>
        <v>0</v>
      </c>
      <c r="N260" s="194">
        <f t="shared" si="3"/>
        <v>1.3</v>
      </c>
      <c r="O260" s="198">
        <f>_1_54128456121462410464578910174567[[#This Row],[TOTAL]]*_1_54128456121462410464578910174567[[#This Row],[MARGIN]]</f>
        <v>0</v>
      </c>
      <c r="R260" s="41"/>
    </row>
    <row r="261" spans="1:18">
      <c r="A261" s="323"/>
      <c r="B261" s="325"/>
      <c r="C261" s="168"/>
      <c r="D261" s="188"/>
      <c r="F261" s="168" t="s">
        <v>6202</v>
      </c>
      <c r="G261" s="193">
        <f>IF(_1_54128456121462410464578910174567[[#This Row],[Type]]&gt;0,VLOOKUP(_1_54128456121462410464578910174567[[#This Row],[Type]],Main[[#All],[TYPE]:[UNIT]],'Unit Price'!C$1,FALSE),0)</f>
        <v>0</v>
      </c>
      <c r="H261" s="197">
        <f>IF(_1_54128456121462410464578910174567[[#This Row],[Type]]&gt;0,VLOOKUP(_1_54128456121462410464578910174567[[#This Row],[Type]],Main[[#All],[TYPE]:[UNIT]],'Unit Price'!D$1,FALSE),0)</f>
        <v>0</v>
      </c>
      <c r="I261" s="194">
        <f>IF(_1_54128456121462410464578910174567[[#This Row],[Type]]&gt;0,VLOOKUP(_1_54128456121462410464578910174567[[#This Row],[Type]],Main[[#All],[TYPE]:[UNIT]],'Unit Price'!G$1,FALSE),0)</f>
        <v>0</v>
      </c>
      <c r="J261" s="194">
        <f>IF(_1_54128456121462410464578910174567[[#This Row],[Type]]&gt;0,VLOOKUP(_1_54128456121462410464578910174567[[#This Row],[Type]],Main[[#All],[TYPE]:[UNIT]],'Unit Price'!H$1,FALSE),0)</f>
        <v>0</v>
      </c>
      <c r="K261" s="194">
        <f>IF(_1_54128456121462410464578910174567[[#This Row],[Discount selection]]&gt;0,VLOOKUP(_1_54128456121462410464578910174567[[#This Row],[Discount selection]],'Discount Structure'!$A$2:$B$30,2,"false"),0)</f>
        <v>1</v>
      </c>
      <c r="L261" s="194">
        <f>_1_54128456121462410464578910174567[[#This Row],[LIST $]]*_1_54128456121462410464578910174567[[#This Row],[DISCOUNT]]*_1_54128456121462410464578910174567[[#This Row],[DISCOUNT 2]]</f>
        <v>0</v>
      </c>
      <c r="M261" s="194">
        <f>IF(OR(_1_54128456121462410464578910174567[[#This Row],[UNIT]]&gt;0,_1_54128456121462410464578910174567[[#This Row],[UNIT]]&lt;0),_1_54128456121462410464578910174567[[#This Row],[UNIT]]*_1_54128456121462410464578910174567[[#This Row],[COST]],0)</f>
        <v>0</v>
      </c>
      <c r="N261" s="194">
        <f t="shared" si="3"/>
        <v>1.3</v>
      </c>
      <c r="O261" s="198">
        <f>_1_54128456121462410464578910174567[[#This Row],[TOTAL]]*_1_54128456121462410464578910174567[[#This Row],[MARGIN]]</f>
        <v>0</v>
      </c>
      <c r="R261" s="41"/>
    </row>
    <row r="262" spans="1:18">
      <c r="C262" s="168"/>
      <c r="D262" s="188"/>
      <c r="F262" s="168" t="s">
        <v>6202</v>
      </c>
      <c r="G262" s="193">
        <f>IF(_1_54128456121462410464578910174567[[#This Row],[Type]]&gt;0,VLOOKUP(_1_54128456121462410464578910174567[[#This Row],[Type]],Main[[#All],[TYPE]:[UNIT]],'Unit Price'!C$1,FALSE),0)</f>
        <v>0</v>
      </c>
      <c r="H262" s="197">
        <f>IF(_1_54128456121462410464578910174567[[#This Row],[Type]]&gt;0,VLOOKUP(_1_54128456121462410464578910174567[[#This Row],[Type]],Main[[#All],[TYPE]:[UNIT]],'Unit Price'!D$1,FALSE),0)</f>
        <v>0</v>
      </c>
      <c r="I262" s="194">
        <f>IF(_1_54128456121462410464578910174567[[#This Row],[Type]]&gt;0,VLOOKUP(_1_54128456121462410464578910174567[[#This Row],[Type]],Main[[#All],[TYPE]:[UNIT]],'Unit Price'!G$1,FALSE),0)</f>
        <v>0</v>
      </c>
      <c r="J262" s="194">
        <f>IF(_1_54128456121462410464578910174567[[#This Row],[Type]]&gt;0,VLOOKUP(_1_54128456121462410464578910174567[[#This Row],[Type]],Main[[#All],[TYPE]:[UNIT]],'Unit Price'!H$1,FALSE),0)</f>
        <v>0</v>
      </c>
      <c r="K262" s="194">
        <f>IF(_1_54128456121462410464578910174567[[#This Row],[Discount selection]]&gt;0,VLOOKUP(_1_54128456121462410464578910174567[[#This Row],[Discount selection]],'Discount Structure'!$A$2:$B$30,2,"false"),0)</f>
        <v>1</v>
      </c>
      <c r="L262" s="194">
        <f>_1_54128456121462410464578910174567[[#This Row],[LIST $]]*_1_54128456121462410464578910174567[[#This Row],[DISCOUNT]]*_1_54128456121462410464578910174567[[#This Row],[DISCOUNT 2]]</f>
        <v>0</v>
      </c>
      <c r="M262" s="194">
        <f>IF(OR(_1_54128456121462410464578910174567[[#This Row],[UNIT]]&gt;0,_1_54128456121462410464578910174567[[#This Row],[UNIT]]&lt;0),_1_54128456121462410464578910174567[[#This Row],[UNIT]]*_1_54128456121462410464578910174567[[#This Row],[COST]],0)</f>
        <v>0</v>
      </c>
      <c r="N262" s="194">
        <f t="shared" si="3"/>
        <v>1.3</v>
      </c>
      <c r="O262" s="198">
        <f>_1_54128456121462410464578910174567[[#This Row],[TOTAL]]*_1_54128456121462410464578910174567[[#This Row],[MARGIN]]</f>
        <v>0</v>
      </c>
      <c r="R262" s="41"/>
    </row>
    <row r="263" spans="1:18">
      <c r="C263" s="168"/>
      <c r="D263" s="188"/>
      <c r="F263" s="168" t="s">
        <v>6202</v>
      </c>
      <c r="G263" s="193">
        <f>IF(_1_54128456121462410464578910174567[[#This Row],[Type]]&gt;0,VLOOKUP(_1_54128456121462410464578910174567[[#This Row],[Type]],Main[[#All],[TYPE]:[UNIT]],'Unit Price'!C$1,FALSE),0)</f>
        <v>0</v>
      </c>
      <c r="H263" s="197">
        <f>IF(_1_54128456121462410464578910174567[[#This Row],[Type]]&gt;0,VLOOKUP(_1_54128456121462410464578910174567[[#This Row],[Type]],Main[[#All],[TYPE]:[UNIT]],'Unit Price'!D$1,FALSE),0)</f>
        <v>0</v>
      </c>
      <c r="I263" s="194">
        <f>IF(_1_54128456121462410464578910174567[[#This Row],[Type]]&gt;0,VLOOKUP(_1_54128456121462410464578910174567[[#This Row],[Type]],Main[[#All],[TYPE]:[UNIT]],'Unit Price'!G$1,FALSE),0)</f>
        <v>0</v>
      </c>
      <c r="J263" s="194">
        <f>IF(_1_54128456121462410464578910174567[[#This Row],[Type]]&gt;0,VLOOKUP(_1_54128456121462410464578910174567[[#This Row],[Type]],Main[[#All],[TYPE]:[UNIT]],'Unit Price'!H$1,FALSE),0)</f>
        <v>0</v>
      </c>
      <c r="K263" s="194">
        <f>IF(_1_54128456121462410464578910174567[[#This Row],[Discount selection]]&gt;0,VLOOKUP(_1_54128456121462410464578910174567[[#This Row],[Discount selection]],'Discount Structure'!$A$2:$B$30,2,"false"),0)</f>
        <v>1</v>
      </c>
      <c r="L263" s="194">
        <f>_1_54128456121462410464578910174567[[#This Row],[LIST $]]*_1_54128456121462410464578910174567[[#This Row],[DISCOUNT]]*_1_54128456121462410464578910174567[[#This Row],[DISCOUNT 2]]</f>
        <v>0</v>
      </c>
      <c r="M263" s="194">
        <f>IF(OR(_1_54128456121462410464578910174567[[#This Row],[UNIT]]&gt;0,_1_54128456121462410464578910174567[[#This Row],[UNIT]]&lt;0),_1_54128456121462410464578910174567[[#This Row],[UNIT]]*_1_54128456121462410464578910174567[[#This Row],[COST]],0)</f>
        <v>0</v>
      </c>
      <c r="N263" s="194">
        <f t="shared" si="3"/>
        <v>1.3</v>
      </c>
      <c r="O263" s="198">
        <f>_1_54128456121462410464578910174567[[#This Row],[TOTAL]]*_1_54128456121462410464578910174567[[#This Row],[MARGIN]]</f>
        <v>0</v>
      </c>
      <c r="R263" s="41"/>
    </row>
    <row r="264" spans="1:18">
      <c r="C264" s="168"/>
      <c r="D264" s="188"/>
      <c r="F264" s="168" t="s">
        <v>6202</v>
      </c>
      <c r="G264" s="193">
        <f>IF(_1_54128456121462410464578910174567[[#This Row],[Type]]&gt;0,VLOOKUP(_1_54128456121462410464578910174567[[#This Row],[Type]],Main[[#All],[TYPE]:[UNIT]],'Unit Price'!C$1,FALSE),0)</f>
        <v>0</v>
      </c>
      <c r="H264" s="197">
        <f>IF(_1_54128456121462410464578910174567[[#This Row],[Type]]&gt;0,VLOOKUP(_1_54128456121462410464578910174567[[#This Row],[Type]],Main[[#All],[TYPE]:[UNIT]],'Unit Price'!D$1,FALSE),0)</f>
        <v>0</v>
      </c>
      <c r="I264" s="194">
        <f>IF(_1_54128456121462410464578910174567[[#This Row],[Type]]&gt;0,VLOOKUP(_1_54128456121462410464578910174567[[#This Row],[Type]],Main[[#All],[TYPE]:[UNIT]],'Unit Price'!G$1,FALSE),0)</f>
        <v>0</v>
      </c>
      <c r="J264" s="194">
        <f>IF(_1_54128456121462410464578910174567[[#This Row],[Type]]&gt;0,VLOOKUP(_1_54128456121462410464578910174567[[#This Row],[Type]],Main[[#All],[TYPE]:[UNIT]],'Unit Price'!H$1,FALSE),0)</f>
        <v>0</v>
      </c>
      <c r="K264" s="194">
        <f>IF(_1_54128456121462410464578910174567[[#This Row],[Discount selection]]&gt;0,VLOOKUP(_1_54128456121462410464578910174567[[#This Row],[Discount selection]],'Discount Structure'!$A$2:$B$30,2,"false"),0)</f>
        <v>1</v>
      </c>
      <c r="L264" s="194">
        <f>_1_54128456121462410464578910174567[[#This Row],[LIST $]]*_1_54128456121462410464578910174567[[#This Row],[DISCOUNT]]*_1_54128456121462410464578910174567[[#This Row],[DISCOUNT 2]]</f>
        <v>0</v>
      </c>
      <c r="M264" s="194">
        <f>IF(OR(_1_54128456121462410464578910174567[[#This Row],[UNIT]]&gt;0,_1_54128456121462410464578910174567[[#This Row],[UNIT]]&lt;0),_1_54128456121462410464578910174567[[#This Row],[UNIT]]*_1_54128456121462410464578910174567[[#This Row],[COST]],0)</f>
        <v>0</v>
      </c>
      <c r="N264" s="194">
        <f t="shared" si="3"/>
        <v>1.3</v>
      </c>
      <c r="O264" s="198">
        <f>_1_54128456121462410464578910174567[[#This Row],[TOTAL]]*_1_54128456121462410464578910174567[[#This Row],[MARGIN]]</f>
        <v>0</v>
      </c>
      <c r="R264" s="41"/>
    </row>
    <row r="265" spans="1:18">
      <c r="C265" s="168"/>
      <c r="D265" s="188"/>
      <c r="F265" s="168" t="s">
        <v>6202</v>
      </c>
      <c r="G265" s="205">
        <f>IF(_1_54128456121462410464578910174567[[#This Row],[Type]]&gt;0,VLOOKUP(_1_54128456121462410464578910174567[[#This Row],[Type]],Main[[#All],[TYPE]:[UNIT]],'Unit Price'!C$1,FALSE),0)</f>
        <v>0</v>
      </c>
      <c r="H265" s="197">
        <f>IF(_1_54128456121462410464578910174567[[#This Row],[Type]]&gt;0,VLOOKUP(_1_54128456121462410464578910174567[[#This Row],[Type]],Main[[#All],[TYPE]:[UNIT]],'Unit Price'!D$1,FALSE),0)</f>
        <v>0</v>
      </c>
      <c r="I265" s="194">
        <f>IF(_1_54128456121462410464578910174567[[#This Row],[Type]]&gt;0,VLOOKUP(_1_54128456121462410464578910174567[[#This Row],[Type]],Main[[#All],[TYPE]:[UNIT]],'Unit Price'!G$1,FALSE),0)</f>
        <v>0</v>
      </c>
      <c r="J265" s="194">
        <f>IF(_1_54128456121462410464578910174567[[#This Row],[Type]]&gt;0,VLOOKUP(_1_54128456121462410464578910174567[[#This Row],[Type]],Main[[#All],[TYPE]:[UNIT]],'Unit Price'!H$1,FALSE),0)</f>
        <v>0</v>
      </c>
      <c r="K265" s="194">
        <f>IF(_1_54128456121462410464578910174567[[#This Row],[Discount selection]]&gt;0,VLOOKUP(_1_54128456121462410464578910174567[[#This Row],[Discount selection]],'Discount Structure'!$A$2:$B$30,2,"false"),0)</f>
        <v>1</v>
      </c>
      <c r="L265" s="194">
        <f>_1_54128456121462410464578910174567[[#This Row],[LIST $]]*_1_54128456121462410464578910174567[[#This Row],[DISCOUNT]]*_1_54128456121462410464578910174567[[#This Row],[DISCOUNT 2]]</f>
        <v>0</v>
      </c>
      <c r="M265" s="194">
        <f>IF(OR(_1_54128456121462410464578910174567[[#This Row],[UNIT]]&gt;0,_1_54128456121462410464578910174567[[#This Row],[UNIT]]&lt;0),_1_54128456121462410464578910174567[[#This Row],[UNIT]]*_1_54128456121462410464578910174567[[#This Row],[COST]],0)</f>
        <v>0</v>
      </c>
      <c r="N265" s="194">
        <f t="shared" si="3"/>
        <v>1.3</v>
      </c>
      <c r="O265" s="198">
        <f>_1_54128456121462410464578910174567[[#This Row],[TOTAL]]*_1_54128456121462410464578910174567[[#This Row],[MARGIN]]</f>
        <v>0</v>
      </c>
      <c r="R265" s="41"/>
    </row>
    <row r="266" spans="1:18">
      <c r="A266" s="168"/>
      <c r="B266" s="168"/>
      <c r="C266" s="168"/>
      <c r="D266" s="188"/>
      <c r="F266" s="168" t="s">
        <v>6202</v>
      </c>
      <c r="G266" s="193">
        <f>IF(_1_54128456121462410464578910174567[[#This Row],[Type]]&gt;0,VLOOKUP(_1_54128456121462410464578910174567[[#This Row],[Type]],Main[[#All],[TYPE]:[UNIT]],'Unit Price'!C$1,FALSE),0)</f>
        <v>0</v>
      </c>
      <c r="H266" s="197">
        <f>IF(_1_54128456121462410464578910174567[[#This Row],[Type]]&gt;0,VLOOKUP(_1_54128456121462410464578910174567[[#This Row],[Type]],Main[[#All],[TYPE]:[UNIT]],'Unit Price'!D$1,FALSE),0)</f>
        <v>0</v>
      </c>
      <c r="I266" s="194">
        <f>IF(_1_54128456121462410464578910174567[[#This Row],[Type]]&gt;0,VLOOKUP(_1_54128456121462410464578910174567[[#This Row],[Type]],Main[[#All],[TYPE]:[UNIT]],'Unit Price'!G$1,FALSE),0)</f>
        <v>0</v>
      </c>
      <c r="J266" s="194">
        <f>IF(_1_54128456121462410464578910174567[[#This Row],[Type]]&gt;0,VLOOKUP(_1_54128456121462410464578910174567[[#This Row],[Type]],Main[[#All],[TYPE]:[UNIT]],'Unit Price'!H$1,FALSE),0)</f>
        <v>0</v>
      </c>
      <c r="K266" s="194">
        <f>IF(_1_54128456121462410464578910174567[[#This Row],[Discount selection]]&gt;0,VLOOKUP(_1_54128456121462410464578910174567[[#This Row],[Discount selection]],'Discount Structure'!$A$2:$B$30,2,"false"),0)</f>
        <v>1</v>
      </c>
      <c r="L266" s="194">
        <f>_1_54128456121462410464578910174567[[#This Row],[LIST $]]*_1_54128456121462410464578910174567[[#This Row],[DISCOUNT]]*_1_54128456121462410464578910174567[[#This Row],[DISCOUNT 2]]</f>
        <v>0</v>
      </c>
      <c r="M266" s="194">
        <f>IF(OR(_1_54128456121462410464578910174567[[#This Row],[UNIT]]&gt;0,_1_54128456121462410464578910174567[[#This Row],[UNIT]]&lt;0),_1_54128456121462410464578910174567[[#This Row],[UNIT]]*_1_54128456121462410464578910174567[[#This Row],[COST]],0)</f>
        <v>0</v>
      </c>
      <c r="N266" s="194">
        <f t="shared" ref="N266:N329" si="4">$N$7</f>
        <v>1.3</v>
      </c>
      <c r="O266" s="198">
        <f>_1_54128456121462410464578910174567[[#This Row],[TOTAL]]*_1_54128456121462410464578910174567[[#This Row],[MARGIN]]</f>
        <v>0</v>
      </c>
      <c r="R266" s="41"/>
    </row>
    <row r="267" spans="1:18">
      <c r="A267" s="323"/>
      <c r="B267" s="323"/>
      <c r="C267" s="168"/>
      <c r="D267" s="188"/>
      <c r="F267" s="168" t="s">
        <v>6202</v>
      </c>
      <c r="G267" s="193">
        <f>IF(_1_54128456121462410464578910174567[[#This Row],[Type]]&gt;0,VLOOKUP(_1_54128456121462410464578910174567[[#This Row],[Type]],Main[[#All],[TYPE]:[UNIT]],'Unit Price'!C$1,FALSE),0)</f>
        <v>0</v>
      </c>
      <c r="H267" s="197">
        <f>IF(_1_54128456121462410464578910174567[[#This Row],[Type]]&gt;0,VLOOKUP(_1_54128456121462410464578910174567[[#This Row],[Type]],Main[[#All],[TYPE]:[UNIT]],'Unit Price'!D$1,FALSE),0)</f>
        <v>0</v>
      </c>
      <c r="I267" s="194">
        <f>IF(_1_54128456121462410464578910174567[[#This Row],[Type]]&gt;0,VLOOKUP(_1_54128456121462410464578910174567[[#This Row],[Type]],Main[[#All],[TYPE]:[UNIT]],'Unit Price'!G$1,FALSE),0)</f>
        <v>0</v>
      </c>
      <c r="J267" s="194">
        <f>IF(_1_54128456121462410464578910174567[[#This Row],[Type]]&gt;0,VLOOKUP(_1_54128456121462410464578910174567[[#This Row],[Type]],Main[[#All],[TYPE]:[UNIT]],'Unit Price'!H$1,FALSE),0)</f>
        <v>0</v>
      </c>
      <c r="K267" s="194">
        <f>IF(_1_54128456121462410464578910174567[[#This Row],[Discount selection]]&gt;0,VLOOKUP(_1_54128456121462410464578910174567[[#This Row],[Discount selection]],'Discount Structure'!$A$2:$B$30,2,"false"),0)</f>
        <v>1</v>
      </c>
      <c r="L267" s="194">
        <f>_1_54128456121462410464578910174567[[#This Row],[LIST $]]*_1_54128456121462410464578910174567[[#This Row],[DISCOUNT]]*_1_54128456121462410464578910174567[[#This Row],[DISCOUNT 2]]</f>
        <v>0</v>
      </c>
      <c r="M267" s="194">
        <f>IF(OR(_1_54128456121462410464578910174567[[#This Row],[UNIT]]&gt;0,_1_54128456121462410464578910174567[[#This Row],[UNIT]]&lt;0),_1_54128456121462410464578910174567[[#This Row],[UNIT]]*_1_54128456121462410464578910174567[[#This Row],[COST]],0)</f>
        <v>0</v>
      </c>
      <c r="N267" s="194">
        <f t="shared" si="4"/>
        <v>1.3</v>
      </c>
      <c r="O267" s="198">
        <f>_1_54128456121462410464578910174567[[#This Row],[TOTAL]]*_1_54128456121462410464578910174567[[#This Row],[MARGIN]]</f>
        <v>0</v>
      </c>
      <c r="R267" s="41"/>
    </row>
    <row r="268" spans="1:18">
      <c r="A268" s="323"/>
      <c r="B268" s="325"/>
      <c r="C268" s="168"/>
      <c r="D268" s="188"/>
      <c r="F268" s="168" t="s">
        <v>6202</v>
      </c>
      <c r="G268" s="193">
        <f>IF(_1_54128456121462410464578910174567[[#This Row],[Type]]&gt;0,VLOOKUP(_1_54128456121462410464578910174567[[#This Row],[Type]],Main[[#All],[TYPE]:[UNIT]],'Unit Price'!C$1,FALSE),0)</f>
        <v>0</v>
      </c>
      <c r="H268" s="197">
        <f>IF(_1_54128456121462410464578910174567[[#This Row],[Type]]&gt;0,VLOOKUP(_1_54128456121462410464578910174567[[#This Row],[Type]],Main[[#All],[TYPE]:[UNIT]],'Unit Price'!D$1,FALSE),0)</f>
        <v>0</v>
      </c>
      <c r="I268" s="194">
        <f>IF(_1_54128456121462410464578910174567[[#This Row],[Type]]&gt;0,VLOOKUP(_1_54128456121462410464578910174567[[#This Row],[Type]],Main[[#All],[TYPE]:[UNIT]],'Unit Price'!G$1,FALSE),0)</f>
        <v>0</v>
      </c>
      <c r="J268" s="194">
        <f>IF(_1_54128456121462410464578910174567[[#This Row],[Type]]&gt;0,VLOOKUP(_1_54128456121462410464578910174567[[#This Row],[Type]],Main[[#All],[TYPE]:[UNIT]],'Unit Price'!H$1,FALSE),0)</f>
        <v>0</v>
      </c>
      <c r="K268" s="194">
        <f>IF(_1_54128456121462410464578910174567[[#This Row],[Discount selection]]&gt;0,VLOOKUP(_1_54128456121462410464578910174567[[#This Row],[Discount selection]],'Discount Structure'!$A$2:$B$30,2,"false"),0)</f>
        <v>1</v>
      </c>
      <c r="L268" s="194">
        <f>_1_54128456121462410464578910174567[[#This Row],[LIST $]]*_1_54128456121462410464578910174567[[#This Row],[DISCOUNT]]*_1_54128456121462410464578910174567[[#This Row],[DISCOUNT 2]]</f>
        <v>0</v>
      </c>
      <c r="M268" s="194">
        <f>IF(OR(_1_54128456121462410464578910174567[[#This Row],[UNIT]]&gt;0,_1_54128456121462410464578910174567[[#This Row],[UNIT]]&lt;0),_1_54128456121462410464578910174567[[#This Row],[UNIT]]*_1_54128456121462410464578910174567[[#This Row],[COST]],0)</f>
        <v>0</v>
      </c>
      <c r="N268" s="194">
        <f t="shared" si="4"/>
        <v>1.3</v>
      </c>
      <c r="O268" s="198">
        <f>_1_54128456121462410464578910174567[[#This Row],[TOTAL]]*_1_54128456121462410464578910174567[[#This Row],[MARGIN]]</f>
        <v>0</v>
      </c>
      <c r="R268" s="41"/>
    </row>
    <row r="269" spans="1:18">
      <c r="C269" s="168"/>
      <c r="D269" s="188"/>
      <c r="F269" s="168" t="s">
        <v>6202</v>
      </c>
      <c r="G269" s="193">
        <f>IF(_1_54128456121462410464578910174567[[#This Row],[Type]]&gt;0,VLOOKUP(_1_54128456121462410464578910174567[[#This Row],[Type]],Main[[#All],[TYPE]:[UNIT]],'Unit Price'!C$1,FALSE),0)</f>
        <v>0</v>
      </c>
      <c r="H269" s="197">
        <f>IF(_1_54128456121462410464578910174567[[#This Row],[Type]]&gt;0,VLOOKUP(_1_54128456121462410464578910174567[[#This Row],[Type]],Main[[#All],[TYPE]:[UNIT]],'Unit Price'!D$1,FALSE),0)</f>
        <v>0</v>
      </c>
      <c r="I269" s="194">
        <f>IF(_1_54128456121462410464578910174567[[#This Row],[Type]]&gt;0,VLOOKUP(_1_54128456121462410464578910174567[[#This Row],[Type]],Main[[#All],[TYPE]:[UNIT]],'Unit Price'!G$1,FALSE),0)</f>
        <v>0</v>
      </c>
      <c r="J269" s="194">
        <f>IF(_1_54128456121462410464578910174567[[#This Row],[Type]]&gt;0,VLOOKUP(_1_54128456121462410464578910174567[[#This Row],[Type]],Main[[#All],[TYPE]:[UNIT]],'Unit Price'!H$1,FALSE),0)</f>
        <v>0</v>
      </c>
      <c r="K269" s="194">
        <f>IF(_1_54128456121462410464578910174567[[#This Row],[Discount selection]]&gt;0,VLOOKUP(_1_54128456121462410464578910174567[[#This Row],[Discount selection]],'Discount Structure'!$A$2:$B$30,2,"false"),0)</f>
        <v>1</v>
      </c>
      <c r="L269" s="194">
        <f>_1_54128456121462410464578910174567[[#This Row],[LIST $]]*_1_54128456121462410464578910174567[[#This Row],[DISCOUNT]]*_1_54128456121462410464578910174567[[#This Row],[DISCOUNT 2]]</f>
        <v>0</v>
      </c>
      <c r="M269" s="194">
        <f>IF(OR(_1_54128456121462410464578910174567[[#This Row],[UNIT]]&gt;0,_1_54128456121462410464578910174567[[#This Row],[UNIT]]&lt;0),_1_54128456121462410464578910174567[[#This Row],[UNIT]]*_1_54128456121462410464578910174567[[#This Row],[COST]],0)</f>
        <v>0</v>
      </c>
      <c r="N269" s="194">
        <f t="shared" si="4"/>
        <v>1.3</v>
      </c>
      <c r="O269" s="198">
        <f>_1_54128456121462410464578910174567[[#This Row],[TOTAL]]*_1_54128456121462410464578910174567[[#This Row],[MARGIN]]</f>
        <v>0</v>
      </c>
      <c r="R269" s="41"/>
    </row>
    <row r="270" spans="1:18">
      <c r="C270" s="168"/>
      <c r="D270" s="188"/>
      <c r="F270" s="168" t="s">
        <v>6202</v>
      </c>
      <c r="G270" s="193">
        <f>IF(_1_54128456121462410464578910174567[[#This Row],[Type]]&gt;0,VLOOKUP(_1_54128456121462410464578910174567[[#This Row],[Type]],Main[[#All],[TYPE]:[UNIT]],'Unit Price'!C$1,FALSE),0)</f>
        <v>0</v>
      </c>
      <c r="H270" s="197">
        <f>IF(_1_54128456121462410464578910174567[[#This Row],[Type]]&gt;0,VLOOKUP(_1_54128456121462410464578910174567[[#This Row],[Type]],Main[[#All],[TYPE]:[UNIT]],'Unit Price'!D$1,FALSE),0)</f>
        <v>0</v>
      </c>
      <c r="I270" s="194">
        <f>IF(_1_54128456121462410464578910174567[[#This Row],[Type]]&gt;0,VLOOKUP(_1_54128456121462410464578910174567[[#This Row],[Type]],Main[[#All],[TYPE]:[UNIT]],'Unit Price'!G$1,FALSE),0)</f>
        <v>0</v>
      </c>
      <c r="J270" s="194">
        <f>IF(_1_54128456121462410464578910174567[[#This Row],[Type]]&gt;0,VLOOKUP(_1_54128456121462410464578910174567[[#This Row],[Type]],Main[[#All],[TYPE]:[UNIT]],'Unit Price'!H$1,FALSE),0)</f>
        <v>0</v>
      </c>
      <c r="K270" s="194">
        <f>IF(_1_54128456121462410464578910174567[[#This Row],[Discount selection]]&gt;0,VLOOKUP(_1_54128456121462410464578910174567[[#This Row],[Discount selection]],'Discount Structure'!$A$2:$B$30,2,"false"),0)</f>
        <v>1</v>
      </c>
      <c r="L270" s="194">
        <f>_1_54128456121462410464578910174567[[#This Row],[LIST $]]*_1_54128456121462410464578910174567[[#This Row],[DISCOUNT]]*_1_54128456121462410464578910174567[[#This Row],[DISCOUNT 2]]</f>
        <v>0</v>
      </c>
      <c r="M270" s="194">
        <f>IF(OR(_1_54128456121462410464578910174567[[#This Row],[UNIT]]&gt;0,_1_54128456121462410464578910174567[[#This Row],[UNIT]]&lt;0),_1_54128456121462410464578910174567[[#This Row],[UNIT]]*_1_54128456121462410464578910174567[[#This Row],[COST]],0)</f>
        <v>0</v>
      </c>
      <c r="N270" s="194">
        <f t="shared" si="4"/>
        <v>1.3</v>
      </c>
      <c r="O270" s="198">
        <f>_1_54128456121462410464578910174567[[#This Row],[TOTAL]]*_1_54128456121462410464578910174567[[#This Row],[MARGIN]]</f>
        <v>0</v>
      </c>
      <c r="R270" s="41"/>
    </row>
    <row r="271" spans="1:18">
      <c r="A271" s="323"/>
      <c r="B271" s="323"/>
      <c r="C271" s="168"/>
      <c r="D271" s="188"/>
      <c r="F271" s="168" t="s">
        <v>6202</v>
      </c>
      <c r="G271" s="205">
        <f>IF(_1_54128456121462410464578910174567[[#This Row],[Type]]&gt;0,VLOOKUP(_1_54128456121462410464578910174567[[#This Row],[Type]],Main[[#All],[TYPE]:[UNIT]],'Unit Price'!C$1,FALSE),0)</f>
        <v>0</v>
      </c>
      <c r="H271" s="197">
        <f>IF(_1_54128456121462410464578910174567[[#This Row],[Type]]&gt;0,VLOOKUP(_1_54128456121462410464578910174567[[#This Row],[Type]],Main[[#All],[TYPE]:[UNIT]],'Unit Price'!D$1,FALSE),0)</f>
        <v>0</v>
      </c>
      <c r="I271" s="194">
        <f>IF(_1_54128456121462410464578910174567[[#This Row],[Type]]&gt;0,VLOOKUP(_1_54128456121462410464578910174567[[#This Row],[Type]],Main[[#All],[TYPE]:[UNIT]],'Unit Price'!G$1,FALSE),0)</f>
        <v>0</v>
      </c>
      <c r="J271" s="194">
        <f>IF(_1_54128456121462410464578910174567[[#This Row],[Type]]&gt;0,VLOOKUP(_1_54128456121462410464578910174567[[#This Row],[Type]],Main[[#All],[TYPE]:[UNIT]],'Unit Price'!H$1,FALSE),0)</f>
        <v>0</v>
      </c>
      <c r="K271" s="194">
        <f>IF(_1_54128456121462410464578910174567[[#This Row],[Discount selection]]&gt;0,VLOOKUP(_1_54128456121462410464578910174567[[#This Row],[Discount selection]],'Discount Structure'!$A$2:$B$30,2,"false"),0)</f>
        <v>1</v>
      </c>
      <c r="L271" s="194">
        <f>_1_54128456121462410464578910174567[[#This Row],[LIST $]]*_1_54128456121462410464578910174567[[#This Row],[DISCOUNT]]*_1_54128456121462410464578910174567[[#This Row],[DISCOUNT 2]]</f>
        <v>0</v>
      </c>
      <c r="M271" s="194">
        <f>IF(OR(_1_54128456121462410464578910174567[[#This Row],[UNIT]]&gt;0,_1_54128456121462410464578910174567[[#This Row],[UNIT]]&lt;0),_1_54128456121462410464578910174567[[#This Row],[UNIT]]*_1_54128456121462410464578910174567[[#This Row],[COST]],0)</f>
        <v>0</v>
      </c>
      <c r="N271" s="194">
        <f t="shared" si="4"/>
        <v>1.3</v>
      </c>
      <c r="O271" s="198">
        <f>_1_54128456121462410464578910174567[[#This Row],[TOTAL]]*_1_54128456121462410464578910174567[[#This Row],[MARGIN]]</f>
        <v>0</v>
      </c>
      <c r="R271" s="41"/>
    </row>
    <row r="272" spans="1:18">
      <c r="C272" s="168"/>
      <c r="D272" s="188"/>
      <c r="F272" s="168" t="s">
        <v>6202</v>
      </c>
      <c r="G272" s="193">
        <f>IF(_1_54128456121462410464578910174567[[#This Row],[Type]]&gt;0,VLOOKUP(_1_54128456121462410464578910174567[[#This Row],[Type]],Main[[#All],[TYPE]:[UNIT]],'Unit Price'!C$1,FALSE),0)</f>
        <v>0</v>
      </c>
      <c r="H272" s="197">
        <f>IF(_1_54128456121462410464578910174567[[#This Row],[Type]]&gt;0,VLOOKUP(_1_54128456121462410464578910174567[[#This Row],[Type]],Main[[#All],[TYPE]:[UNIT]],'Unit Price'!D$1,FALSE),0)</f>
        <v>0</v>
      </c>
      <c r="I272" s="194">
        <f>IF(_1_54128456121462410464578910174567[[#This Row],[Type]]&gt;0,VLOOKUP(_1_54128456121462410464578910174567[[#This Row],[Type]],Main[[#All],[TYPE]:[UNIT]],'Unit Price'!G$1,FALSE),0)</f>
        <v>0</v>
      </c>
      <c r="J272" s="194">
        <f>IF(_1_54128456121462410464578910174567[[#This Row],[Type]]&gt;0,VLOOKUP(_1_54128456121462410464578910174567[[#This Row],[Type]],Main[[#All],[TYPE]:[UNIT]],'Unit Price'!H$1,FALSE),0)</f>
        <v>0</v>
      </c>
      <c r="K272" s="194">
        <f>IF(_1_54128456121462410464578910174567[[#This Row],[Discount selection]]&gt;0,VLOOKUP(_1_54128456121462410464578910174567[[#This Row],[Discount selection]],'Discount Structure'!$A$2:$B$30,2,"false"),0)</f>
        <v>1</v>
      </c>
      <c r="L272" s="194">
        <f>_1_54128456121462410464578910174567[[#This Row],[LIST $]]*_1_54128456121462410464578910174567[[#This Row],[DISCOUNT]]*_1_54128456121462410464578910174567[[#This Row],[DISCOUNT 2]]</f>
        <v>0</v>
      </c>
      <c r="M272" s="194">
        <f>IF(OR(_1_54128456121462410464578910174567[[#This Row],[UNIT]]&gt;0,_1_54128456121462410464578910174567[[#This Row],[UNIT]]&lt;0),_1_54128456121462410464578910174567[[#This Row],[UNIT]]*_1_54128456121462410464578910174567[[#This Row],[COST]],0)</f>
        <v>0</v>
      </c>
      <c r="N272" s="194">
        <f t="shared" si="4"/>
        <v>1.3</v>
      </c>
      <c r="O272" s="198">
        <f>_1_54128456121462410464578910174567[[#This Row],[TOTAL]]*_1_54128456121462410464578910174567[[#This Row],[MARGIN]]</f>
        <v>0</v>
      </c>
      <c r="R272" s="41"/>
    </row>
    <row r="273" spans="1:18">
      <c r="A273" s="168"/>
      <c r="B273" s="168"/>
      <c r="C273" s="168"/>
      <c r="D273" s="188"/>
      <c r="F273" s="168" t="s">
        <v>6202</v>
      </c>
      <c r="G273" s="193">
        <f>IF(_1_54128456121462410464578910174567[[#This Row],[Type]]&gt;0,VLOOKUP(_1_54128456121462410464578910174567[[#This Row],[Type]],Main[[#All],[TYPE]:[UNIT]],'Unit Price'!C$1,FALSE),0)</f>
        <v>0</v>
      </c>
      <c r="H273" s="197">
        <f>IF(_1_54128456121462410464578910174567[[#This Row],[Type]]&gt;0,VLOOKUP(_1_54128456121462410464578910174567[[#This Row],[Type]],Main[[#All],[TYPE]:[UNIT]],'Unit Price'!D$1,FALSE),0)</f>
        <v>0</v>
      </c>
      <c r="I273" s="194">
        <f>IF(_1_54128456121462410464578910174567[[#This Row],[Type]]&gt;0,VLOOKUP(_1_54128456121462410464578910174567[[#This Row],[Type]],Main[[#All],[TYPE]:[UNIT]],'Unit Price'!G$1,FALSE),0)</f>
        <v>0</v>
      </c>
      <c r="J273" s="194">
        <f>IF(_1_54128456121462410464578910174567[[#This Row],[Type]]&gt;0,VLOOKUP(_1_54128456121462410464578910174567[[#This Row],[Type]],Main[[#All],[TYPE]:[UNIT]],'Unit Price'!H$1,FALSE),0)</f>
        <v>0</v>
      </c>
      <c r="K273" s="194">
        <f>IF(_1_54128456121462410464578910174567[[#This Row],[Discount selection]]&gt;0,VLOOKUP(_1_54128456121462410464578910174567[[#This Row],[Discount selection]],'Discount Structure'!$A$2:$B$30,2,"false"),0)</f>
        <v>1</v>
      </c>
      <c r="L273" s="194">
        <f>_1_54128456121462410464578910174567[[#This Row],[LIST $]]*_1_54128456121462410464578910174567[[#This Row],[DISCOUNT]]*_1_54128456121462410464578910174567[[#This Row],[DISCOUNT 2]]</f>
        <v>0</v>
      </c>
      <c r="M273" s="194">
        <f>IF(OR(_1_54128456121462410464578910174567[[#This Row],[UNIT]]&gt;0,_1_54128456121462410464578910174567[[#This Row],[UNIT]]&lt;0),_1_54128456121462410464578910174567[[#This Row],[UNIT]]*_1_54128456121462410464578910174567[[#This Row],[COST]],0)</f>
        <v>0</v>
      </c>
      <c r="N273" s="194">
        <f t="shared" si="4"/>
        <v>1.3</v>
      </c>
      <c r="O273" s="198">
        <f>_1_54128456121462410464578910174567[[#This Row],[TOTAL]]*_1_54128456121462410464578910174567[[#This Row],[MARGIN]]</f>
        <v>0</v>
      </c>
      <c r="R273" s="41"/>
    </row>
    <row r="274" spans="1:18">
      <c r="C274" s="168"/>
      <c r="D274" s="188"/>
      <c r="F274" s="168" t="s">
        <v>6202</v>
      </c>
      <c r="G274" s="193">
        <f>IF(_1_54128456121462410464578910174567[[#This Row],[Type]]&gt;0,VLOOKUP(_1_54128456121462410464578910174567[[#This Row],[Type]],Main[[#All],[TYPE]:[UNIT]],'Unit Price'!C$1,FALSE),0)</f>
        <v>0</v>
      </c>
      <c r="H274" s="197">
        <f>IF(_1_54128456121462410464578910174567[[#This Row],[Type]]&gt;0,VLOOKUP(_1_54128456121462410464578910174567[[#This Row],[Type]],Main[[#All],[TYPE]:[UNIT]],'Unit Price'!D$1,FALSE),0)</f>
        <v>0</v>
      </c>
      <c r="I274" s="194">
        <f>IF(_1_54128456121462410464578910174567[[#This Row],[Type]]&gt;0,VLOOKUP(_1_54128456121462410464578910174567[[#This Row],[Type]],Main[[#All],[TYPE]:[UNIT]],'Unit Price'!G$1,FALSE),0)</f>
        <v>0</v>
      </c>
      <c r="J274" s="194">
        <f>IF(_1_54128456121462410464578910174567[[#This Row],[Type]]&gt;0,VLOOKUP(_1_54128456121462410464578910174567[[#This Row],[Type]],Main[[#All],[TYPE]:[UNIT]],'Unit Price'!H$1,FALSE),0)</f>
        <v>0</v>
      </c>
      <c r="K274" s="194">
        <f>IF(_1_54128456121462410464578910174567[[#This Row],[Discount selection]]&gt;0,VLOOKUP(_1_54128456121462410464578910174567[[#This Row],[Discount selection]],'Discount Structure'!$A$2:$B$30,2,"false"),0)</f>
        <v>1</v>
      </c>
      <c r="L274" s="194">
        <f>_1_54128456121462410464578910174567[[#This Row],[LIST $]]*_1_54128456121462410464578910174567[[#This Row],[DISCOUNT]]*_1_54128456121462410464578910174567[[#This Row],[DISCOUNT 2]]</f>
        <v>0</v>
      </c>
      <c r="M274" s="194">
        <f>IF(OR(_1_54128456121462410464578910174567[[#This Row],[UNIT]]&gt;0,_1_54128456121462410464578910174567[[#This Row],[UNIT]]&lt;0),_1_54128456121462410464578910174567[[#This Row],[UNIT]]*_1_54128456121462410464578910174567[[#This Row],[COST]],0)</f>
        <v>0</v>
      </c>
      <c r="N274" s="194">
        <f t="shared" si="4"/>
        <v>1.3</v>
      </c>
      <c r="O274" s="198">
        <f>_1_54128456121462410464578910174567[[#This Row],[TOTAL]]*_1_54128456121462410464578910174567[[#This Row],[MARGIN]]</f>
        <v>0</v>
      </c>
      <c r="R274" s="41"/>
    </row>
    <row r="275" spans="1:18">
      <c r="A275" s="323"/>
      <c r="B275" s="317"/>
      <c r="C275" s="168"/>
      <c r="D275" s="188"/>
      <c r="F275" s="168" t="s">
        <v>6202</v>
      </c>
      <c r="G275" s="193">
        <f>IF(_1_54128456121462410464578910174567[[#This Row],[Type]]&gt;0,VLOOKUP(_1_54128456121462410464578910174567[[#This Row],[Type]],Main[[#All],[TYPE]:[UNIT]],'Unit Price'!C$1,FALSE),0)</f>
        <v>0</v>
      </c>
      <c r="H275" s="197">
        <f>IF(_1_54128456121462410464578910174567[[#This Row],[Type]]&gt;0,VLOOKUP(_1_54128456121462410464578910174567[[#This Row],[Type]],Main[[#All],[TYPE]:[UNIT]],'Unit Price'!D$1,FALSE),0)</f>
        <v>0</v>
      </c>
      <c r="I275" s="194">
        <f>IF(_1_54128456121462410464578910174567[[#This Row],[Type]]&gt;0,VLOOKUP(_1_54128456121462410464578910174567[[#This Row],[Type]],Main[[#All],[TYPE]:[UNIT]],'Unit Price'!G$1,FALSE),0)</f>
        <v>0</v>
      </c>
      <c r="J275" s="194">
        <f>IF(_1_54128456121462410464578910174567[[#This Row],[Type]]&gt;0,VLOOKUP(_1_54128456121462410464578910174567[[#This Row],[Type]],Main[[#All],[TYPE]:[UNIT]],'Unit Price'!H$1,FALSE),0)</f>
        <v>0</v>
      </c>
      <c r="K275" s="194">
        <f>IF(_1_54128456121462410464578910174567[[#This Row],[Discount selection]]&gt;0,VLOOKUP(_1_54128456121462410464578910174567[[#This Row],[Discount selection]],'Discount Structure'!$A$2:$B$30,2,"false"),0)</f>
        <v>1</v>
      </c>
      <c r="L275" s="194">
        <f>_1_54128456121462410464578910174567[[#This Row],[LIST $]]*_1_54128456121462410464578910174567[[#This Row],[DISCOUNT]]*_1_54128456121462410464578910174567[[#This Row],[DISCOUNT 2]]</f>
        <v>0</v>
      </c>
      <c r="M275" s="194">
        <f>IF(OR(_1_54128456121462410464578910174567[[#This Row],[UNIT]]&gt;0,_1_54128456121462410464578910174567[[#This Row],[UNIT]]&lt;0),_1_54128456121462410464578910174567[[#This Row],[UNIT]]*_1_54128456121462410464578910174567[[#This Row],[COST]],0)</f>
        <v>0</v>
      </c>
      <c r="N275" s="194">
        <f t="shared" si="4"/>
        <v>1.3</v>
      </c>
      <c r="O275" s="198">
        <f>_1_54128456121462410464578910174567[[#This Row],[TOTAL]]*_1_54128456121462410464578910174567[[#This Row],[MARGIN]]</f>
        <v>0</v>
      </c>
      <c r="R275" s="41"/>
    </row>
    <row r="276" spans="1:18">
      <c r="C276" s="168"/>
      <c r="D276" s="188"/>
      <c r="F276" s="168" t="s">
        <v>6202</v>
      </c>
      <c r="G276" s="205">
        <f>IF(_1_54128456121462410464578910174567[[#This Row],[Type]]&gt;0,VLOOKUP(_1_54128456121462410464578910174567[[#This Row],[Type]],Main[[#All],[TYPE]:[UNIT]],'Unit Price'!C$1,FALSE),0)</f>
        <v>0</v>
      </c>
      <c r="H276" s="197">
        <f>IF(_1_54128456121462410464578910174567[[#This Row],[Type]]&gt;0,VLOOKUP(_1_54128456121462410464578910174567[[#This Row],[Type]],Main[[#All],[TYPE]:[UNIT]],'Unit Price'!D$1,FALSE),0)</f>
        <v>0</v>
      </c>
      <c r="I276" s="194">
        <f>IF(_1_54128456121462410464578910174567[[#This Row],[Type]]&gt;0,VLOOKUP(_1_54128456121462410464578910174567[[#This Row],[Type]],Main[[#All],[TYPE]:[UNIT]],'Unit Price'!G$1,FALSE),0)</f>
        <v>0</v>
      </c>
      <c r="J276" s="194">
        <f>IF(_1_54128456121462410464578910174567[[#This Row],[Type]]&gt;0,VLOOKUP(_1_54128456121462410464578910174567[[#This Row],[Type]],Main[[#All],[TYPE]:[UNIT]],'Unit Price'!H$1,FALSE),0)</f>
        <v>0</v>
      </c>
      <c r="K276" s="194">
        <f>IF(_1_54128456121462410464578910174567[[#This Row],[Discount selection]]&gt;0,VLOOKUP(_1_54128456121462410464578910174567[[#This Row],[Discount selection]],'Discount Structure'!$A$2:$B$30,2,"false"),0)</f>
        <v>1</v>
      </c>
      <c r="L276" s="194">
        <f>_1_54128456121462410464578910174567[[#This Row],[LIST $]]*_1_54128456121462410464578910174567[[#This Row],[DISCOUNT]]*_1_54128456121462410464578910174567[[#This Row],[DISCOUNT 2]]</f>
        <v>0</v>
      </c>
      <c r="M276" s="194">
        <f>IF(OR(_1_54128456121462410464578910174567[[#This Row],[UNIT]]&gt;0,_1_54128456121462410464578910174567[[#This Row],[UNIT]]&lt;0),_1_54128456121462410464578910174567[[#This Row],[UNIT]]*_1_54128456121462410464578910174567[[#This Row],[COST]],0)</f>
        <v>0</v>
      </c>
      <c r="N276" s="194">
        <f t="shared" si="4"/>
        <v>1.3</v>
      </c>
      <c r="O276" s="198">
        <f>_1_54128456121462410464578910174567[[#This Row],[TOTAL]]*_1_54128456121462410464578910174567[[#This Row],[MARGIN]]</f>
        <v>0</v>
      </c>
      <c r="R276" s="41"/>
    </row>
    <row r="277" spans="1:18">
      <c r="C277" s="168"/>
      <c r="D277" s="188"/>
      <c r="F277" s="168" t="s">
        <v>6202</v>
      </c>
      <c r="G277" s="193">
        <f>IF(_1_54128456121462410464578910174567[[#This Row],[Type]]&gt;0,VLOOKUP(_1_54128456121462410464578910174567[[#This Row],[Type]],Main[[#All],[TYPE]:[UNIT]],'Unit Price'!C$1,FALSE),0)</f>
        <v>0</v>
      </c>
      <c r="H277" s="197">
        <f>IF(_1_54128456121462410464578910174567[[#This Row],[Type]]&gt;0,VLOOKUP(_1_54128456121462410464578910174567[[#This Row],[Type]],Main[[#All],[TYPE]:[UNIT]],'Unit Price'!D$1,FALSE),0)</f>
        <v>0</v>
      </c>
      <c r="I277" s="194">
        <f>IF(_1_54128456121462410464578910174567[[#This Row],[Type]]&gt;0,VLOOKUP(_1_54128456121462410464578910174567[[#This Row],[Type]],Main[[#All],[TYPE]:[UNIT]],'Unit Price'!G$1,FALSE),0)</f>
        <v>0</v>
      </c>
      <c r="J277" s="194">
        <f>IF(_1_54128456121462410464578910174567[[#This Row],[Type]]&gt;0,VLOOKUP(_1_54128456121462410464578910174567[[#This Row],[Type]],Main[[#All],[TYPE]:[UNIT]],'Unit Price'!H$1,FALSE),0)</f>
        <v>0</v>
      </c>
      <c r="K277" s="194">
        <f>IF(_1_54128456121462410464578910174567[[#This Row],[Discount selection]]&gt;0,VLOOKUP(_1_54128456121462410464578910174567[[#This Row],[Discount selection]],'Discount Structure'!$A$2:$B$30,2,"false"),0)</f>
        <v>1</v>
      </c>
      <c r="L277" s="194">
        <f>_1_54128456121462410464578910174567[[#This Row],[LIST $]]*_1_54128456121462410464578910174567[[#This Row],[DISCOUNT]]*_1_54128456121462410464578910174567[[#This Row],[DISCOUNT 2]]</f>
        <v>0</v>
      </c>
      <c r="M277" s="194">
        <f>IF(OR(_1_54128456121462410464578910174567[[#This Row],[UNIT]]&gt;0,_1_54128456121462410464578910174567[[#This Row],[UNIT]]&lt;0),_1_54128456121462410464578910174567[[#This Row],[UNIT]]*_1_54128456121462410464578910174567[[#This Row],[COST]],0)</f>
        <v>0</v>
      </c>
      <c r="N277" s="194">
        <f t="shared" si="4"/>
        <v>1.3</v>
      </c>
      <c r="O277" s="198">
        <f>_1_54128456121462410464578910174567[[#This Row],[TOTAL]]*_1_54128456121462410464578910174567[[#This Row],[MARGIN]]</f>
        <v>0</v>
      </c>
      <c r="R277" s="41"/>
    </row>
    <row r="278" spans="1:18">
      <c r="A278" s="319"/>
      <c r="B278" s="323"/>
      <c r="C278" s="168"/>
      <c r="D278" s="188"/>
      <c r="F278" s="168" t="s">
        <v>6202</v>
      </c>
      <c r="G278" s="193">
        <f>IF(_1_54128456121462410464578910174567[[#This Row],[Type]]&gt;0,VLOOKUP(_1_54128456121462410464578910174567[[#This Row],[Type]],Main[[#All],[TYPE]:[UNIT]],'Unit Price'!C$1,FALSE),0)</f>
        <v>0</v>
      </c>
      <c r="H278" s="197">
        <f>IF(_1_54128456121462410464578910174567[[#This Row],[Type]]&gt;0,VLOOKUP(_1_54128456121462410464578910174567[[#This Row],[Type]],Main[[#All],[TYPE]:[UNIT]],'Unit Price'!D$1,FALSE),0)</f>
        <v>0</v>
      </c>
      <c r="I278" s="194">
        <f>IF(_1_54128456121462410464578910174567[[#This Row],[Type]]&gt;0,VLOOKUP(_1_54128456121462410464578910174567[[#This Row],[Type]],Main[[#All],[TYPE]:[UNIT]],'Unit Price'!G$1,FALSE),0)</f>
        <v>0</v>
      </c>
      <c r="J278" s="194">
        <f>IF(_1_54128456121462410464578910174567[[#This Row],[Type]]&gt;0,VLOOKUP(_1_54128456121462410464578910174567[[#This Row],[Type]],Main[[#All],[TYPE]:[UNIT]],'Unit Price'!H$1,FALSE),0)</f>
        <v>0</v>
      </c>
      <c r="K278" s="194">
        <f>IF(_1_54128456121462410464578910174567[[#This Row],[Discount selection]]&gt;0,VLOOKUP(_1_54128456121462410464578910174567[[#This Row],[Discount selection]],'Discount Structure'!$A$2:$B$30,2,"false"),0)</f>
        <v>1</v>
      </c>
      <c r="L278" s="194">
        <f>_1_54128456121462410464578910174567[[#This Row],[LIST $]]*_1_54128456121462410464578910174567[[#This Row],[DISCOUNT]]*_1_54128456121462410464578910174567[[#This Row],[DISCOUNT 2]]</f>
        <v>0</v>
      </c>
      <c r="M278" s="194">
        <f>IF(OR(_1_54128456121462410464578910174567[[#This Row],[UNIT]]&gt;0,_1_54128456121462410464578910174567[[#This Row],[UNIT]]&lt;0),_1_54128456121462410464578910174567[[#This Row],[UNIT]]*_1_54128456121462410464578910174567[[#This Row],[COST]],0)</f>
        <v>0</v>
      </c>
      <c r="N278" s="194">
        <f t="shared" si="4"/>
        <v>1.3</v>
      </c>
      <c r="O278" s="198">
        <f>_1_54128456121462410464578910174567[[#This Row],[TOTAL]]*_1_54128456121462410464578910174567[[#This Row],[MARGIN]]</f>
        <v>0</v>
      </c>
      <c r="R278" s="41"/>
    </row>
    <row r="279" spans="1:18">
      <c r="C279" s="168"/>
      <c r="D279" s="188"/>
      <c r="F279" s="168" t="s">
        <v>6202</v>
      </c>
      <c r="G279" s="193">
        <f>IF(_1_54128456121462410464578910174567[[#This Row],[Type]]&gt;0,VLOOKUP(_1_54128456121462410464578910174567[[#This Row],[Type]],Main[[#All],[TYPE]:[UNIT]],'Unit Price'!C$1,FALSE),0)</f>
        <v>0</v>
      </c>
      <c r="H279" s="197">
        <f>IF(_1_54128456121462410464578910174567[[#This Row],[Type]]&gt;0,VLOOKUP(_1_54128456121462410464578910174567[[#This Row],[Type]],Main[[#All],[TYPE]:[UNIT]],'Unit Price'!D$1,FALSE),0)</f>
        <v>0</v>
      </c>
      <c r="I279" s="194">
        <f>IF(_1_54128456121462410464578910174567[[#This Row],[Type]]&gt;0,VLOOKUP(_1_54128456121462410464578910174567[[#This Row],[Type]],Main[[#All],[TYPE]:[UNIT]],'Unit Price'!G$1,FALSE),0)</f>
        <v>0</v>
      </c>
      <c r="J279" s="194">
        <f>IF(_1_54128456121462410464578910174567[[#This Row],[Type]]&gt;0,VLOOKUP(_1_54128456121462410464578910174567[[#This Row],[Type]],Main[[#All],[TYPE]:[UNIT]],'Unit Price'!H$1,FALSE),0)</f>
        <v>0</v>
      </c>
      <c r="K279" s="194">
        <f>IF(_1_54128456121462410464578910174567[[#This Row],[Discount selection]]&gt;0,VLOOKUP(_1_54128456121462410464578910174567[[#This Row],[Discount selection]],'Discount Structure'!$A$2:$B$30,2,"false"),0)</f>
        <v>1</v>
      </c>
      <c r="L279" s="194">
        <f>_1_54128456121462410464578910174567[[#This Row],[LIST $]]*_1_54128456121462410464578910174567[[#This Row],[DISCOUNT]]*_1_54128456121462410464578910174567[[#This Row],[DISCOUNT 2]]</f>
        <v>0</v>
      </c>
      <c r="M279" s="194">
        <f>IF(OR(_1_54128456121462410464578910174567[[#This Row],[UNIT]]&gt;0,_1_54128456121462410464578910174567[[#This Row],[UNIT]]&lt;0),_1_54128456121462410464578910174567[[#This Row],[UNIT]]*_1_54128456121462410464578910174567[[#This Row],[COST]],0)</f>
        <v>0</v>
      </c>
      <c r="N279" s="194">
        <f t="shared" si="4"/>
        <v>1.3</v>
      </c>
      <c r="O279" s="198">
        <f>_1_54128456121462410464578910174567[[#This Row],[TOTAL]]*_1_54128456121462410464578910174567[[#This Row],[MARGIN]]</f>
        <v>0</v>
      </c>
      <c r="R279" s="41"/>
    </row>
    <row r="280" spans="1:18">
      <c r="C280" s="168"/>
      <c r="D280" s="188"/>
      <c r="F280" s="168" t="s">
        <v>6202</v>
      </c>
      <c r="G280" s="193">
        <f>IF(_1_54128456121462410464578910174567[[#This Row],[Type]]&gt;0,VLOOKUP(_1_54128456121462410464578910174567[[#This Row],[Type]],Main[[#All],[TYPE]:[UNIT]],'Unit Price'!C$1,FALSE),0)</f>
        <v>0</v>
      </c>
      <c r="H280" s="197">
        <f>IF(_1_54128456121462410464578910174567[[#This Row],[Type]]&gt;0,VLOOKUP(_1_54128456121462410464578910174567[[#This Row],[Type]],Main[[#All],[TYPE]:[UNIT]],'Unit Price'!D$1,FALSE),0)</f>
        <v>0</v>
      </c>
      <c r="I280" s="194">
        <f>IF(_1_54128456121462410464578910174567[[#This Row],[Type]]&gt;0,VLOOKUP(_1_54128456121462410464578910174567[[#This Row],[Type]],Main[[#All],[TYPE]:[UNIT]],'Unit Price'!G$1,FALSE),0)</f>
        <v>0</v>
      </c>
      <c r="J280" s="194">
        <f>IF(_1_54128456121462410464578910174567[[#This Row],[Type]]&gt;0,VLOOKUP(_1_54128456121462410464578910174567[[#This Row],[Type]],Main[[#All],[TYPE]:[UNIT]],'Unit Price'!H$1,FALSE),0)</f>
        <v>0</v>
      </c>
      <c r="K280" s="194">
        <f>IF(_1_54128456121462410464578910174567[[#This Row],[Discount selection]]&gt;0,VLOOKUP(_1_54128456121462410464578910174567[[#This Row],[Discount selection]],'Discount Structure'!$A$2:$B$30,2,"false"),0)</f>
        <v>1</v>
      </c>
      <c r="L280" s="194">
        <f>_1_54128456121462410464578910174567[[#This Row],[LIST $]]*_1_54128456121462410464578910174567[[#This Row],[DISCOUNT]]*_1_54128456121462410464578910174567[[#This Row],[DISCOUNT 2]]</f>
        <v>0</v>
      </c>
      <c r="M280" s="194">
        <f>IF(OR(_1_54128456121462410464578910174567[[#This Row],[UNIT]]&gt;0,_1_54128456121462410464578910174567[[#This Row],[UNIT]]&lt;0),_1_54128456121462410464578910174567[[#This Row],[UNIT]]*_1_54128456121462410464578910174567[[#This Row],[COST]],0)</f>
        <v>0</v>
      </c>
      <c r="N280" s="194">
        <f t="shared" si="4"/>
        <v>1.3</v>
      </c>
      <c r="O280" s="198">
        <f>_1_54128456121462410464578910174567[[#This Row],[TOTAL]]*_1_54128456121462410464578910174567[[#This Row],[MARGIN]]</f>
        <v>0</v>
      </c>
      <c r="R280" s="41"/>
    </row>
    <row r="281" spans="1:18">
      <c r="C281" s="168"/>
      <c r="D281" s="188"/>
      <c r="F281" s="168" t="s">
        <v>6202</v>
      </c>
      <c r="G281" s="193">
        <f>IF(_1_54128456121462410464578910174567[[#This Row],[Type]]&gt;0,VLOOKUP(_1_54128456121462410464578910174567[[#This Row],[Type]],Main[[#All],[TYPE]:[UNIT]],'Unit Price'!C$1,FALSE),0)</f>
        <v>0</v>
      </c>
      <c r="H281" s="197">
        <f>IF(_1_54128456121462410464578910174567[[#This Row],[Type]]&gt;0,VLOOKUP(_1_54128456121462410464578910174567[[#This Row],[Type]],Main[[#All],[TYPE]:[UNIT]],'Unit Price'!D$1,FALSE),0)</f>
        <v>0</v>
      </c>
      <c r="I281" s="194">
        <f>IF(_1_54128456121462410464578910174567[[#This Row],[Type]]&gt;0,VLOOKUP(_1_54128456121462410464578910174567[[#This Row],[Type]],Main[[#All],[TYPE]:[UNIT]],'Unit Price'!G$1,FALSE),0)</f>
        <v>0</v>
      </c>
      <c r="J281" s="194">
        <f>IF(_1_54128456121462410464578910174567[[#This Row],[Type]]&gt;0,VLOOKUP(_1_54128456121462410464578910174567[[#This Row],[Type]],Main[[#All],[TYPE]:[UNIT]],'Unit Price'!H$1,FALSE),0)</f>
        <v>0</v>
      </c>
      <c r="K281" s="194">
        <f>IF(_1_54128456121462410464578910174567[[#This Row],[Discount selection]]&gt;0,VLOOKUP(_1_54128456121462410464578910174567[[#This Row],[Discount selection]],'Discount Structure'!$A$2:$B$30,2,"false"),0)</f>
        <v>1</v>
      </c>
      <c r="L281" s="194">
        <f>_1_54128456121462410464578910174567[[#This Row],[LIST $]]*_1_54128456121462410464578910174567[[#This Row],[DISCOUNT]]*_1_54128456121462410464578910174567[[#This Row],[DISCOUNT 2]]</f>
        <v>0</v>
      </c>
      <c r="M281" s="194">
        <f>IF(OR(_1_54128456121462410464578910174567[[#This Row],[UNIT]]&gt;0,_1_54128456121462410464578910174567[[#This Row],[UNIT]]&lt;0),_1_54128456121462410464578910174567[[#This Row],[UNIT]]*_1_54128456121462410464578910174567[[#This Row],[COST]],0)</f>
        <v>0</v>
      </c>
      <c r="N281" s="194">
        <f t="shared" si="4"/>
        <v>1.3</v>
      </c>
      <c r="O281" s="198">
        <f>_1_54128456121462410464578910174567[[#This Row],[TOTAL]]*_1_54128456121462410464578910174567[[#This Row],[MARGIN]]</f>
        <v>0</v>
      </c>
      <c r="R281" s="41"/>
    </row>
    <row r="282" spans="1:18">
      <c r="C282" s="168"/>
      <c r="D282" s="188"/>
      <c r="F282" s="168" t="s">
        <v>6202</v>
      </c>
      <c r="G282" s="193">
        <f>IF(_1_54128456121462410464578910174567[[#This Row],[Type]]&gt;0,VLOOKUP(_1_54128456121462410464578910174567[[#This Row],[Type]],Main[[#All],[TYPE]:[UNIT]],'Unit Price'!C$1,FALSE),0)</f>
        <v>0</v>
      </c>
      <c r="H282" s="197">
        <f>IF(_1_54128456121462410464578910174567[[#This Row],[Type]]&gt;0,VLOOKUP(_1_54128456121462410464578910174567[[#This Row],[Type]],Main[[#All],[TYPE]:[UNIT]],'Unit Price'!D$1,FALSE),0)</f>
        <v>0</v>
      </c>
      <c r="I282" s="194">
        <f>IF(_1_54128456121462410464578910174567[[#This Row],[Type]]&gt;0,VLOOKUP(_1_54128456121462410464578910174567[[#This Row],[Type]],Main[[#All],[TYPE]:[UNIT]],'Unit Price'!G$1,FALSE),0)</f>
        <v>0</v>
      </c>
      <c r="J282" s="194">
        <f>IF(_1_54128456121462410464578910174567[[#This Row],[Type]]&gt;0,VLOOKUP(_1_54128456121462410464578910174567[[#This Row],[Type]],Main[[#All],[TYPE]:[UNIT]],'Unit Price'!H$1,FALSE),0)</f>
        <v>0</v>
      </c>
      <c r="K282" s="194">
        <f>IF(_1_54128456121462410464578910174567[[#This Row],[Discount selection]]&gt;0,VLOOKUP(_1_54128456121462410464578910174567[[#This Row],[Discount selection]],'Discount Structure'!$A$2:$B$30,2,"false"),0)</f>
        <v>1</v>
      </c>
      <c r="L282" s="194">
        <f>_1_54128456121462410464578910174567[[#This Row],[LIST $]]*_1_54128456121462410464578910174567[[#This Row],[DISCOUNT]]*_1_54128456121462410464578910174567[[#This Row],[DISCOUNT 2]]</f>
        <v>0</v>
      </c>
      <c r="M282" s="194">
        <f>IF(OR(_1_54128456121462410464578910174567[[#This Row],[UNIT]]&gt;0,_1_54128456121462410464578910174567[[#This Row],[UNIT]]&lt;0),_1_54128456121462410464578910174567[[#This Row],[UNIT]]*_1_54128456121462410464578910174567[[#This Row],[COST]],0)</f>
        <v>0</v>
      </c>
      <c r="N282" s="194">
        <f t="shared" si="4"/>
        <v>1.3</v>
      </c>
      <c r="O282" s="198">
        <f>_1_54128456121462410464578910174567[[#This Row],[TOTAL]]*_1_54128456121462410464578910174567[[#This Row],[MARGIN]]</f>
        <v>0</v>
      </c>
      <c r="R282" s="41"/>
    </row>
    <row r="283" spans="1:18">
      <c r="A283" s="323"/>
      <c r="B283" s="323"/>
      <c r="C283" s="168"/>
      <c r="D283" s="188"/>
      <c r="F283" s="168" t="s">
        <v>6202</v>
      </c>
      <c r="G283" s="193">
        <f>IF(_1_54128456121462410464578910174567[[#This Row],[Type]]&gt;0,VLOOKUP(_1_54128456121462410464578910174567[[#This Row],[Type]],Main[[#All],[TYPE]:[UNIT]],'Unit Price'!C$1,FALSE),0)</f>
        <v>0</v>
      </c>
      <c r="H283" s="197">
        <f>IF(_1_54128456121462410464578910174567[[#This Row],[Type]]&gt;0,VLOOKUP(_1_54128456121462410464578910174567[[#This Row],[Type]],Main[[#All],[TYPE]:[UNIT]],'Unit Price'!D$1,FALSE),0)</f>
        <v>0</v>
      </c>
      <c r="I283" s="194">
        <f>IF(_1_54128456121462410464578910174567[[#This Row],[Type]]&gt;0,VLOOKUP(_1_54128456121462410464578910174567[[#This Row],[Type]],Main[[#All],[TYPE]:[UNIT]],'Unit Price'!G$1,FALSE),0)</f>
        <v>0</v>
      </c>
      <c r="J283" s="194">
        <f>IF(_1_54128456121462410464578910174567[[#This Row],[Type]]&gt;0,VLOOKUP(_1_54128456121462410464578910174567[[#This Row],[Type]],Main[[#All],[TYPE]:[UNIT]],'Unit Price'!H$1,FALSE),0)</f>
        <v>0</v>
      </c>
      <c r="K283" s="194">
        <f>IF(_1_54128456121462410464578910174567[[#This Row],[Discount selection]]&gt;0,VLOOKUP(_1_54128456121462410464578910174567[[#This Row],[Discount selection]],'Discount Structure'!$A$2:$B$30,2,"false"),0)</f>
        <v>1</v>
      </c>
      <c r="L283" s="194">
        <f>_1_54128456121462410464578910174567[[#This Row],[LIST $]]*_1_54128456121462410464578910174567[[#This Row],[DISCOUNT]]*_1_54128456121462410464578910174567[[#This Row],[DISCOUNT 2]]</f>
        <v>0</v>
      </c>
      <c r="M283" s="194">
        <f>IF(OR(_1_54128456121462410464578910174567[[#This Row],[UNIT]]&gt;0,_1_54128456121462410464578910174567[[#This Row],[UNIT]]&lt;0),_1_54128456121462410464578910174567[[#This Row],[UNIT]]*_1_54128456121462410464578910174567[[#This Row],[COST]],0)</f>
        <v>0</v>
      </c>
      <c r="N283" s="194">
        <f t="shared" si="4"/>
        <v>1.3</v>
      </c>
      <c r="O283" s="198">
        <f>_1_54128456121462410464578910174567[[#This Row],[TOTAL]]*_1_54128456121462410464578910174567[[#This Row],[MARGIN]]</f>
        <v>0</v>
      </c>
      <c r="R283" s="41"/>
    </row>
    <row r="284" spans="1:18">
      <c r="A284" s="312"/>
      <c r="B284" s="323"/>
      <c r="C284" s="168"/>
      <c r="D284" s="188"/>
      <c r="F284" s="168" t="s">
        <v>6202</v>
      </c>
      <c r="G284" s="193">
        <f>IF(_1_54128456121462410464578910174567[[#This Row],[Type]]&gt;0,VLOOKUP(_1_54128456121462410464578910174567[[#This Row],[Type]],Main[[#All],[TYPE]:[UNIT]],'Unit Price'!C$1,FALSE),0)</f>
        <v>0</v>
      </c>
      <c r="H284" s="197">
        <f>IF(_1_54128456121462410464578910174567[[#This Row],[Type]]&gt;0,VLOOKUP(_1_54128456121462410464578910174567[[#This Row],[Type]],Main[[#All],[TYPE]:[UNIT]],'Unit Price'!D$1,FALSE),0)</f>
        <v>0</v>
      </c>
      <c r="I284" s="194">
        <f>IF(_1_54128456121462410464578910174567[[#This Row],[Type]]&gt;0,VLOOKUP(_1_54128456121462410464578910174567[[#This Row],[Type]],Main[[#All],[TYPE]:[UNIT]],'Unit Price'!G$1,FALSE),0)</f>
        <v>0</v>
      </c>
      <c r="J284" s="194">
        <f>IF(_1_54128456121462410464578910174567[[#This Row],[Type]]&gt;0,VLOOKUP(_1_54128456121462410464578910174567[[#This Row],[Type]],Main[[#All],[TYPE]:[UNIT]],'Unit Price'!H$1,FALSE),0)</f>
        <v>0</v>
      </c>
      <c r="K284" s="194">
        <f>IF(_1_54128456121462410464578910174567[[#This Row],[Discount selection]]&gt;0,VLOOKUP(_1_54128456121462410464578910174567[[#This Row],[Discount selection]],'Discount Structure'!$A$2:$B$30,2,"false"),0)</f>
        <v>1</v>
      </c>
      <c r="L284" s="194">
        <f>_1_54128456121462410464578910174567[[#This Row],[LIST $]]*_1_54128456121462410464578910174567[[#This Row],[DISCOUNT]]*_1_54128456121462410464578910174567[[#This Row],[DISCOUNT 2]]</f>
        <v>0</v>
      </c>
      <c r="M284" s="194">
        <f>IF(OR(_1_54128456121462410464578910174567[[#This Row],[UNIT]]&gt;0,_1_54128456121462410464578910174567[[#This Row],[UNIT]]&lt;0),_1_54128456121462410464578910174567[[#This Row],[UNIT]]*_1_54128456121462410464578910174567[[#This Row],[COST]],0)</f>
        <v>0</v>
      </c>
      <c r="N284" s="194">
        <f t="shared" si="4"/>
        <v>1.3</v>
      </c>
      <c r="O284" s="198">
        <f>_1_54128456121462410464578910174567[[#This Row],[TOTAL]]*_1_54128456121462410464578910174567[[#This Row],[MARGIN]]</f>
        <v>0</v>
      </c>
      <c r="R284" s="41"/>
    </row>
    <row r="285" spans="1:18">
      <c r="A285" s="323"/>
      <c r="B285" s="323"/>
      <c r="C285" s="168"/>
      <c r="D285" s="188"/>
      <c r="F285" s="168" t="s">
        <v>6202</v>
      </c>
      <c r="G285" s="193">
        <f>IF(_1_54128456121462410464578910174567[[#This Row],[Type]]&gt;0,VLOOKUP(_1_54128456121462410464578910174567[[#This Row],[Type]],Main[[#All],[TYPE]:[UNIT]],'Unit Price'!C$1,FALSE),0)</f>
        <v>0</v>
      </c>
      <c r="H285" s="197">
        <f>IF(_1_54128456121462410464578910174567[[#This Row],[Type]]&gt;0,VLOOKUP(_1_54128456121462410464578910174567[[#This Row],[Type]],Main[[#All],[TYPE]:[UNIT]],'Unit Price'!D$1,FALSE),0)</f>
        <v>0</v>
      </c>
      <c r="I285" s="194">
        <f>IF(_1_54128456121462410464578910174567[[#This Row],[Type]]&gt;0,VLOOKUP(_1_54128456121462410464578910174567[[#This Row],[Type]],Main[[#All],[TYPE]:[UNIT]],'Unit Price'!G$1,FALSE),0)</f>
        <v>0</v>
      </c>
      <c r="J285" s="194">
        <f>IF(_1_54128456121462410464578910174567[[#This Row],[Type]]&gt;0,VLOOKUP(_1_54128456121462410464578910174567[[#This Row],[Type]],Main[[#All],[TYPE]:[UNIT]],'Unit Price'!H$1,FALSE),0)</f>
        <v>0</v>
      </c>
      <c r="K285" s="194">
        <f>IF(_1_54128456121462410464578910174567[[#This Row],[Discount selection]]&gt;0,VLOOKUP(_1_54128456121462410464578910174567[[#This Row],[Discount selection]],'Discount Structure'!$A$2:$B$30,2,"false"),0)</f>
        <v>1</v>
      </c>
      <c r="L285" s="194">
        <f>_1_54128456121462410464578910174567[[#This Row],[LIST $]]*_1_54128456121462410464578910174567[[#This Row],[DISCOUNT]]*_1_54128456121462410464578910174567[[#This Row],[DISCOUNT 2]]</f>
        <v>0</v>
      </c>
      <c r="M285" s="194">
        <f>IF(OR(_1_54128456121462410464578910174567[[#This Row],[UNIT]]&gt;0,_1_54128456121462410464578910174567[[#This Row],[UNIT]]&lt;0),_1_54128456121462410464578910174567[[#This Row],[UNIT]]*_1_54128456121462410464578910174567[[#This Row],[COST]],0)</f>
        <v>0</v>
      </c>
      <c r="N285" s="194">
        <f t="shared" si="4"/>
        <v>1.3</v>
      </c>
      <c r="O285" s="198">
        <f>_1_54128456121462410464578910174567[[#This Row],[TOTAL]]*_1_54128456121462410464578910174567[[#This Row],[MARGIN]]</f>
        <v>0</v>
      </c>
      <c r="R285" s="41"/>
    </row>
    <row r="286" spans="1:18">
      <c r="A286" s="353"/>
      <c r="B286" s="323"/>
      <c r="C286" s="353"/>
      <c r="D286" s="188"/>
      <c r="F286" s="168" t="s">
        <v>6202</v>
      </c>
      <c r="G286" s="193">
        <f>IF(_1_54128456121462410464578910174567[[#This Row],[Type]]&gt;0,VLOOKUP(_1_54128456121462410464578910174567[[#This Row],[Type]],Main[[#All],[TYPE]:[UNIT]],'Unit Price'!C$1,FALSE),0)</f>
        <v>0</v>
      </c>
      <c r="H286" s="197">
        <f>IF(_1_54128456121462410464578910174567[[#This Row],[Type]]&gt;0,VLOOKUP(_1_54128456121462410464578910174567[[#This Row],[Type]],Main[[#All],[TYPE]:[UNIT]],'Unit Price'!D$1,FALSE),0)</f>
        <v>0</v>
      </c>
      <c r="I286" s="194">
        <f>IF(_1_54128456121462410464578910174567[[#This Row],[Type]]&gt;0,VLOOKUP(_1_54128456121462410464578910174567[[#This Row],[Type]],Main[[#All],[TYPE]:[UNIT]],'Unit Price'!G$1,FALSE),0)</f>
        <v>0</v>
      </c>
      <c r="J286" s="194">
        <f>IF(_1_54128456121462410464578910174567[[#This Row],[Type]]&gt;0,VLOOKUP(_1_54128456121462410464578910174567[[#This Row],[Type]],Main[[#All],[TYPE]:[UNIT]],'Unit Price'!H$1,FALSE),0)</f>
        <v>0</v>
      </c>
      <c r="K286" s="194">
        <f>IF(_1_54128456121462410464578910174567[[#This Row],[Discount selection]]&gt;0,VLOOKUP(_1_54128456121462410464578910174567[[#This Row],[Discount selection]],'Discount Structure'!$A$2:$B$30,2,"false"),0)</f>
        <v>1</v>
      </c>
      <c r="L286" s="194">
        <f>_1_54128456121462410464578910174567[[#This Row],[LIST $]]*_1_54128456121462410464578910174567[[#This Row],[DISCOUNT]]*_1_54128456121462410464578910174567[[#This Row],[DISCOUNT 2]]</f>
        <v>0</v>
      </c>
      <c r="M286" s="194">
        <f>IF(OR(_1_54128456121462410464578910174567[[#This Row],[UNIT]]&gt;0,_1_54128456121462410464578910174567[[#This Row],[UNIT]]&lt;0),_1_54128456121462410464578910174567[[#This Row],[UNIT]]*_1_54128456121462410464578910174567[[#This Row],[COST]],0)</f>
        <v>0</v>
      </c>
      <c r="N286" s="194">
        <f t="shared" si="4"/>
        <v>1.3</v>
      </c>
      <c r="O286" s="198">
        <f>_1_54128456121462410464578910174567[[#This Row],[TOTAL]]*_1_54128456121462410464578910174567[[#This Row],[MARGIN]]</f>
        <v>0</v>
      </c>
      <c r="R286" s="41"/>
    </row>
    <row r="287" spans="1:18">
      <c r="D287" s="188"/>
      <c r="F287" s="168" t="s">
        <v>6202</v>
      </c>
      <c r="G287" s="205">
        <f>IF(_1_54128456121462410464578910174567[[#This Row],[Type]]&gt;0,VLOOKUP(_1_54128456121462410464578910174567[[#This Row],[Type]],Main[[#All],[TYPE]:[UNIT]],'Unit Price'!C$1,FALSE),0)</f>
        <v>0</v>
      </c>
      <c r="H287" s="197">
        <f>IF(_1_54128456121462410464578910174567[[#This Row],[Type]]&gt;0,VLOOKUP(_1_54128456121462410464578910174567[[#This Row],[Type]],Main[[#All],[TYPE]:[UNIT]],'Unit Price'!D$1,FALSE),0)</f>
        <v>0</v>
      </c>
      <c r="I287" s="194">
        <f>IF(_1_54128456121462410464578910174567[[#This Row],[Type]]&gt;0,VLOOKUP(_1_54128456121462410464578910174567[[#This Row],[Type]],Main[[#All],[TYPE]:[UNIT]],'Unit Price'!G$1,FALSE),0)</f>
        <v>0</v>
      </c>
      <c r="J287" s="194">
        <f>IF(_1_54128456121462410464578910174567[[#This Row],[Type]]&gt;0,VLOOKUP(_1_54128456121462410464578910174567[[#This Row],[Type]],Main[[#All],[TYPE]:[UNIT]],'Unit Price'!H$1,FALSE),0)</f>
        <v>0</v>
      </c>
      <c r="K287" s="194">
        <f>IF(_1_54128456121462410464578910174567[[#This Row],[Discount selection]]&gt;0,VLOOKUP(_1_54128456121462410464578910174567[[#This Row],[Discount selection]],'Discount Structure'!$A$2:$B$30,2,"false"),0)</f>
        <v>1</v>
      </c>
      <c r="L287" s="194">
        <f>_1_54128456121462410464578910174567[[#This Row],[LIST $]]*_1_54128456121462410464578910174567[[#This Row],[DISCOUNT]]*_1_54128456121462410464578910174567[[#This Row],[DISCOUNT 2]]</f>
        <v>0</v>
      </c>
      <c r="M287" s="194">
        <f>IF(OR(_1_54128456121462410464578910174567[[#This Row],[UNIT]]&gt;0,_1_54128456121462410464578910174567[[#This Row],[UNIT]]&lt;0),_1_54128456121462410464578910174567[[#This Row],[UNIT]]*_1_54128456121462410464578910174567[[#This Row],[COST]],0)</f>
        <v>0</v>
      </c>
      <c r="N287" s="194">
        <f t="shared" si="4"/>
        <v>1.3</v>
      </c>
      <c r="O287" s="198">
        <f>_1_54128456121462410464578910174567[[#This Row],[TOTAL]]*_1_54128456121462410464578910174567[[#This Row],[MARGIN]]</f>
        <v>0</v>
      </c>
      <c r="R287" s="41"/>
    </row>
    <row r="288" spans="1:18">
      <c r="D288" s="188"/>
      <c r="F288" s="168" t="s">
        <v>6202</v>
      </c>
      <c r="G288" s="193">
        <f>IF(_1_54128456121462410464578910174567[[#This Row],[Type]]&gt;0,VLOOKUP(_1_54128456121462410464578910174567[[#This Row],[Type]],Main[[#All],[TYPE]:[UNIT]],'Unit Price'!C$1,FALSE),0)</f>
        <v>0</v>
      </c>
      <c r="H288" s="197">
        <f>IF(_1_54128456121462410464578910174567[[#This Row],[Type]]&gt;0,VLOOKUP(_1_54128456121462410464578910174567[[#This Row],[Type]],Main[[#All],[TYPE]:[UNIT]],'Unit Price'!D$1,FALSE),0)</f>
        <v>0</v>
      </c>
      <c r="I288" s="194">
        <f>IF(_1_54128456121462410464578910174567[[#This Row],[Type]]&gt;0,VLOOKUP(_1_54128456121462410464578910174567[[#This Row],[Type]],Main[[#All],[TYPE]:[UNIT]],'Unit Price'!G$1,FALSE),0)</f>
        <v>0</v>
      </c>
      <c r="J288" s="194">
        <f>IF(_1_54128456121462410464578910174567[[#This Row],[Type]]&gt;0,VLOOKUP(_1_54128456121462410464578910174567[[#This Row],[Type]],Main[[#All],[TYPE]:[UNIT]],'Unit Price'!H$1,FALSE),0)</f>
        <v>0</v>
      </c>
      <c r="K288" s="194">
        <f>IF(_1_54128456121462410464578910174567[[#This Row],[Discount selection]]&gt;0,VLOOKUP(_1_54128456121462410464578910174567[[#This Row],[Discount selection]],'Discount Structure'!$A$2:$B$30,2,"false"),0)</f>
        <v>1</v>
      </c>
      <c r="L288" s="194">
        <f>_1_54128456121462410464578910174567[[#This Row],[LIST $]]*_1_54128456121462410464578910174567[[#This Row],[DISCOUNT]]*_1_54128456121462410464578910174567[[#This Row],[DISCOUNT 2]]</f>
        <v>0</v>
      </c>
      <c r="M288" s="194">
        <f>IF(OR(_1_54128456121462410464578910174567[[#This Row],[UNIT]]&gt;0,_1_54128456121462410464578910174567[[#This Row],[UNIT]]&lt;0),_1_54128456121462410464578910174567[[#This Row],[UNIT]]*_1_54128456121462410464578910174567[[#This Row],[COST]],0)</f>
        <v>0</v>
      </c>
      <c r="N288" s="194">
        <f t="shared" si="4"/>
        <v>1.3</v>
      </c>
      <c r="O288" s="198">
        <f>_1_54128456121462410464578910174567[[#This Row],[TOTAL]]*_1_54128456121462410464578910174567[[#This Row],[MARGIN]]</f>
        <v>0</v>
      </c>
      <c r="R288" s="41"/>
    </row>
    <row r="289" spans="1:18">
      <c r="A289" s="323"/>
      <c r="B289" s="323"/>
      <c r="C289" s="323"/>
      <c r="D289" s="188"/>
      <c r="F289" s="168" t="s">
        <v>6202</v>
      </c>
      <c r="G289" s="193">
        <f>IF(_1_54128456121462410464578910174567[[#This Row],[Type]]&gt;0,VLOOKUP(_1_54128456121462410464578910174567[[#This Row],[Type]],Main[[#All],[TYPE]:[UNIT]],'Unit Price'!C$1,FALSE),0)</f>
        <v>0</v>
      </c>
      <c r="H289" s="197">
        <f>IF(_1_54128456121462410464578910174567[[#This Row],[Type]]&gt;0,VLOOKUP(_1_54128456121462410464578910174567[[#This Row],[Type]],Main[[#All],[TYPE]:[UNIT]],'Unit Price'!D$1,FALSE),0)</f>
        <v>0</v>
      </c>
      <c r="I289" s="194">
        <f>IF(_1_54128456121462410464578910174567[[#This Row],[Type]]&gt;0,VLOOKUP(_1_54128456121462410464578910174567[[#This Row],[Type]],Main[[#All],[TYPE]:[UNIT]],'Unit Price'!G$1,FALSE),0)</f>
        <v>0</v>
      </c>
      <c r="J289" s="194">
        <f>IF(_1_54128456121462410464578910174567[[#This Row],[Type]]&gt;0,VLOOKUP(_1_54128456121462410464578910174567[[#This Row],[Type]],Main[[#All],[TYPE]:[UNIT]],'Unit Price'!H$1,FALSE),0)</f>
        <v>0</v>
      </c>
      <c r="K289" s="194">
        <f>IF(_1_54128456121462410464578910174567[[#This Row],[Discount selection]]&gt;0,VLOOKUP(_1_54128456121462410464578910174567[[#This Row],[Discount selection]],'Discount Structure'!$A$2:$B$30,2,"false"),0)</f>
        <v>1</v>
      </c>
      <c r="L289" s="194">
        <f>_1_54128456121462410464578910174567[[#This Row],[LIST $]]*_1_54128456121462410464578910174567[[#This Row],[DISCOUNT]]*_1_54128456121462410464578910174567[[#This Row],[DISCOUNT 2]]</f>
        <v>0</v>
      </c>
      <c r="M289" s="194">
        <f>IF(OR(_1_54128456121462410464578910174567[[#This Row],[UNIT]]&gt;0,_1_54128456121462410464578910174567[[#This Row],[UNIT]]&lt;0),_1_54128456121462410464578910174567[[#This Row],[UNIT]]*_1_54128456121462410464578910174567[[#This Row],[COST]],0)</f>
        <v>0</v>
      </c>
      <c r="N289" s="194">
        <f t="shared" si="4"/>
        <v>1.3</v>
      </c>
      <c r="O289" s="198">
        <f>_1_54128456121462410464578910174567[[#This Row],[TOTAL]]*_1_54128456121462410464578910174567[[#This Row],[MARGIN]]</f>
        <v>0</v>
      </c>
      <c r="R289" s="41"/>
    </row>
    <row r="290" spans="1:18">
      <c r="D290" s="188"/>
      <c r="F290" s="168" t="s">
        <v>6202</v>
      </c>
      <c r="G290" s="193">
        <f>IF(_1_54128456121462410464578910174567[[#This Row],[Type]]&gt;0,VLOOKUP(_1_54128456121462410464578910174567[[#This Row],[Type]],Main[[#All],[TYPE]:[UNIT]],'Unit Price'!C$1,FALSE),0)</f>
        <v>0</v>
      </c>
      <c r="H290" s="197">
        <f>IF(_1_54128456121462410464578910174567[[#This Row],[Type]]&gt;0,VLOOKUP(_1_54128456121462410464578910174567[[#This Row],[Type]],Main[[#All],[TYPE]:[UNIT]],'Unit Price'!D$1,FALSE),0)</f>
        <v>0</v>
      </c>
      <c r="I290" s="194">
        <f>IF(_1_54128456121462410464578910174567[[#This Row],[Type]]&gt;0,VLOOKUP(_1_54128456121462410464578910174567[[#This Row],[Type]],Main[[#All],[TYPE]:[UNIT]],'Unit Price'!G$1,FALSE),0)</f>
        <v>0</v>
      </c>
      <c r="J290" s="194">
        <f>IF(_1_54128456121462410464578910174567[[#This Row],[Type]]&gt;0,VLOOKUP(_1_54128456121462410464578910174567[[#This Row],[Type]],Main[[#All],[TYPE]:[UNIT]],'Unit Price'!H$1,FALSE),0)</f>
        <v>0</v>
      </c>
      <c r="K290" s="194">
        <f>IF(_1_54128456121462410464578910174567[[#This Row],[Discount selection]]&gt;0,VLOOKUP(_1_54128456121462410464578910174567[[#This Row],[Discount selection]],'Discount Structure'!$A$2:$B$30,2,"false"),0)</f>
        <v>1</v>
      </c>
      <c r="L290" s="194">
        <f>_1_54128456121462410464578910174567[[#This Row],[LIST $]]*_1_54128456121462410464578910174567[[#This Row],[DISCOUNT]]*_1_54128456121462410464578910174567[[#This Row],[DISCOUNT 2]]</f>
        <v>0</v>
      </c>
      <c r="M290" s="194">
        <f>IF(OR(_1_54128456121462410464578910174567[[#This Row],[UNIT]]&gt;0,_1_54128456121462410464578910174567[[#This Row],[UNIT]]&lt;0),_1_54128456121462410464578910174567[[#This Row],[UNIT]]*_1_54128456121462410464578910174567[[#This Row],[COST]],0)</f>
        <v>0</v>
      </c>
      <c r="N290" s="194">
        <f t="shared" si="4"/>
        <v>1.3</v>
      </c>
      <c r="O290" s="198">
        <f>_1_54128456121462410464578910174567[[#This Row],[TOTAL]]*_1_54128456121462410464578910174567[[#This Row],[MARGIN]]</f>
        <v>0</v>
      </c>
      <c r="R290" s="41"/>
    </row>
    <row r="291" spans="1:18">
      <c r="D291" s="188"/>
      <c r="F291" s="168" t="s">
        <v>6202</v>
      </c>
      <c r="G291" s="193">
        <f>IF(_1_54128456121462410464578910174567[[#This Row],[Type]]&gt;0,VLOOKUP(_1_54128456121462410464578910174567[[#This Row],[Type]],Main[[#All],[TYPE]:[UNIT]],'Unit Price'!C$1,FALSE),0)</f>
        <v>0</v>
      </c>
      <c r="H291" s="197">
        <f>IF(_1_54128456121462410464578910174567[[#This Row],[Type]]&gt;0,VLOOKUP(_1_54128456121462410464578910174567[[#This Row],[Type]],Main[[#All],[TYPE]:[UNIT]],'Unit Price'!D$1,FALSE),0)</f>
        <v>0</v>
      </c>
      <c r="I291" s="194">
        <f>IF(_1_54128456121462410464578910174567[[#This Row],[Type]]&gt;0,VLOOKUP(_1_54128456121462410464578910174567[[#This Row],[Type]],Main[[#All],[TYPE]:[UNIT]],'Unit Price'!G$1,FALSE),0)</f>
        <v>0</v>
      </c>
      <c r="J291" s="194">
        <f>IF(_1_54128456121462410464578910174567[[#This Row],[Type]]&gt;0,VLOOKUP(_1_54128456121462410464578910174567[[#This Row],[Type]],Main[[#All],[TYPE]:[UNIT]],'Unit Price'!H$1,FALSE),0)</f>
        <v>0</v>
      </c>
      <c r="K291" s="194">
        <f>IF(_1_54128456121462410464578910174567[[#This Row],[Discount selection]]&gt;0,VLOOKUP(_1_54128456121462410464578910174567[[#This Row],[Discount selection]],'Discount Structure'!$A$2:$B$30,2,"false"),0)</f>
        <v>1</v>
      </c>
      <c r="L291" s="194">
        <f>_1_54128456121462410464578910174567[[#This Row],[LIST $]]*_1_54128456121462410464578910174567[[#This Row],[DISCOUNT]]*_1_54128456121462410464578910174567[[#This Row],[DISCOUNT 2]]</f>
        <v>0</v>
      </c>
      <c r="M291" s="194">
        <f>IF(OR(_1_54128456121462410464578910174567[[#This Row],[UNIT]]&gt;0,_1_54128456121462410464578910174567[[#This Row],[UNIT]]&lt;0),_1_54128456121462410464578910174567[[#This Row],[UNIT]]*_1_54128456121462410464578910174567[[#This Row],[COST]],0)</f>
        <v>0</v>
      </c>
      <c r="N291" s="194">
        <f t="shared" si="4"/>
        <v>1.3</v>
      </c>
      <c r="O291" s="198">
        <f>_1_54128456121462410464578910174567[[#This Row],[TOTAL]]*_1_54128456121462410464578910174567[[#This Row],[MARGIN]]</f>
        <v>0</v>
      </c>
      <c r="R291" s="41"/>
    </row>
    <row r="292" spans="1:18">
      <c r="D292" s="188"/>
      <c r="F292" s="168" t="s">
        <v>6202</v>
      </c>
      <c r="G292" s="193">
        <f>IF(_1_54128456121462410464578910174567[[#This Row],[Type]]&gt;0,VLOOKUP(_1_54128456121462410464578910174567[[#This Row],[Type]],Main[[#All],[TYPE]:[UNIT]],'Unit Price'!C$1,FALSE),0)</f>
        <v>0</v>
      </c>
      <c r="H292" s="197">
        <f>IF(_1_54128456121462410464578910174567[[#This Row],[Type]]&gt;0,VLOOKUP(_1_54128456121462410464578910174567[[#This Row],[Type]],Main[[#All],[TYPE]:[UNIT]],'Unit Price'!D$1,FALSE),0)</f>
        <v>0</v>
      </c>
      <c r="I292" s="194">
        <f>IF(_1_54128456121462410464578910174567[[#This Row],[Type]]&gt;0,VLOOKUP(_1_54128456121462410464578910174567[[#This Row],[Type]],Main[[#All],[TYPE]:[UNIT]],'Unit Price'!G$1,FALSE),0)</f>
        <v>0</v>
      </c>
      <c r="J292" s="194">
        <f>IF(_1_54128456121462410464578910174567[[#This Row],[Type]]&gt;0,VLOOKUP(_1_54128456121462410464578910174567[[#This Row],[Type]],Main[[#All],[TYPE]:[UNIT]],'Unit Price'!H$1,FALSE),0)</f>
        <v>0</v>
      </c>
      <c r="K292" s="194">
        <f>IF(_1_54128456121462410464578910174567[[#This Row],[Discount selection]]&gt;0,VLOOKUP(_1_54128456121462410464578910174567[[#This Row],[Discount selection]],'Discount Structure'!$A$2:$B$30,2,"false"),0)</f>
        <v>1</v>
      </c>
      <c r="L292" s="194">
        <f>_1_54128456121462410464578910174567[[#This Row],[LIST $]]*_1_54128456121462410464578910174567[[#This Row],[DISCOUNT]]*_1_54128456121462410464578910174567[[#This Row],[DISCOUNT 2]]</f>
        <v>0</v>
      </c>
      <c r="M292" s="194">
        <f>IF(OR(_1_54128456121462410464578910174567[[#This Row],[UNIT]]&gt;0,_1_54128456121462410464578910174567[[#This Row],[UNIT]]&lt;0),_1_54128456121462410464578910174567[[#This Row],[UNIT]]*_1_54128456121462410464578910174567[[#This Row],[COST]],0)</f>
        <v>0</v>
      </c>
      <c r="N292" s="194">
        <f t="shared" si="4"/>
        <v>1.3</v>
      </c>
      <c r="O292" s="198">
        <f>_1_54128456121462410464578910174567[[#This Row],[TOTAL]]*_1_54128456121462410464578910174567[[#This Row],[MARGIN]]</f>
        <v>0</v>
      </c>
      <c r="R292" s="41"/>
    </row>
    <row r="293" spans="1:18">
      <c r="A293" s="168"/>
      <c r="D293" s="188"/>
      <c r="F293" s="168" t="s">
        <v>6202</v>
      </c>
      <c r="G293" s="193">
        <f>IF(_1_54128456121462410464578910174567[[#This Row],[Type]]&gt;0,VLOOKUP(_1_54128456121462410464578910174567[[#This Row],[Type]],Main[[#All],[TYPE]:[UNIT]],'Unit Price'!C$1,FALSE),0)</f>
        <v>0</v>
      </c>
      <c r="H293" s="197">
        <f>IF(_1_54128456121462410464578910174567[[#This Row],[Type]]&gt;0,VLOOKUP(_1_54128456121462410464578910174567[[#This Row],[Type]],Main[[#All],[TYPE]:[UNIT]],'Unit Price'!D$1,FALSE),0)</f>
        <v>0</v>
      </c>
      <c r="I293" s="194">
        <f>IF(_1_54128456121462410464578910174567[[#This Row],[Type]]&gt;0,VLOOKUP(_1_54128456121462410464578910174567[[#This Row],[Type]],Main[[#All],[TYPE]:[UNIT]],'Unit Price'!G$1,FALSE),0)</f>
        <v>0</v>
      </c>
      <c r="J293" s="194">
        <f>IF(_1_54128456121462410464578910174567[[#This Row],[Type]]&gt;0,VLOOKUP(_1_54128456121462410464578910174567[[#This Row],[Type]],Main[[#All],[TYPE]:[UNIT]],'Unit Price'!H$1,FALSE),0)</f>
        <v>0</v>
      </c>
      <c r="K293" s="194">
        <f>IF(_1_54128456121462410464578910174567[[#This Row],[Discount selection]]&gt;0,VLOOKUP(_1_54128456121462410464578910174567[[#This Row],[Discount selection]],'Discount Structure'!$A$2:$B$30,2,"false"),0)</f>
        <v>1</v>
      </c>
      <c r="L293" s="194">
        <f>_1_54128456121462410464578910174567[[#This Row],[LIST $]]*_1_54128456121462410464578910174567[[#This Row],[DISCOUNT]]*_1_54128456121462410464578910174567[[#This Row],[DISCOUNT 2]]</f>
        <v>0</v>
      </c>
      <c r="M293" s="194">
        <f>IF(OR(_1_54128456121462410464578910174567[[#This Row],[UNIT]]&gt;0,_1_54128456121462410464578910174567[[#This Row],[UNIT]]&lt;0),_1_54128456121462410464578910174567[[#This Row],[UNIT]]*_1_54128456121462410464578910174567[[#This Row],[COST]],0)</f>
        <v>0</v>
      </c>
      <c r="N293" s="194">
        <f t="shared" si="4"/>
        <v>1.3</v>
      </c>
      <c r="O293" s="198">
        <f>_1_54128456121462410464578910174567[[#This Row],[TOTAL]]*_1_54128456121462410464578910174567[[#This Row],[MARGIN]]</f>
        <v>0</v>
      </c>
      <c r="R293" s="41"/>
    </row>
    <row r="294" spans="1:18">
      <c r="A294" s="312"/>
      <c r="B294" s="319"/>
      <c r="C294" s="323"/>
      <c r="D294" s="188"/>
      <c r="F294" s="168" t="s">
        <v>6202</v>
      </c>
      <c r="G294" s="193">
        <f>IF(_1_54128456121462410464578910174567[[#This Row],[Type]]&gt;0,VLOOKUP(_1_54128456121462410464578910174567[[#This Row],[Type]],Main[[#All],[TYPE]:[UNIT]],'Unit Price'!C$1,FALSE),0)</f>
        <v>0</v>
      </c>
      <c r="H294" s="197">
        <f>IF(_1_54128456121462410464578910174567[[#This Row],[Type]]&gt;0,VLOOKUP(_1_54128456121462410464578910174567[[#This Row],[Type]],Main[[#All],[TYPE]:[UNIT]],'Unit Price'!D$1,FALSE),0)</f>
        <v>0</v>
      </c>
      <c r="I294" s="194">
        <f>IF(_1_54128456121462410464578910174567[[#This Row],[Type]]&gt;0,VLOOKUP(_1_54128456121462410464578910174567[[#This Row],[Type]],Main[[#All],[TYPE]:[UNIT]],'Unit Price'!G$1,FALSE),0)</f>
        <v>0</v>
      </c>
      <c r="J294" s="194">
        <f>IF(_1_54128456121462410464578910174567[[#This Row],[Type]]&gt;0,VLOOKUP(_1_54128456121462410464578910174567[[#This Row],[Type]],Main[[#All],[TYPE]:[UNIT]],'Unit Price'!H$1,FALSE),0)</f>
        <v>0</v>
      </c>
      <c r="K294" s="194">
        <f>IF(_1_54128456121462410464578910174567[[#This Row],[Discount selection]]&gt;0,VLOOKUP(_1_54128456121462410464578910174567[[#This Row],[Discount selection]],'Discount Structure'!$A$2:$B$30,2,"false"),0)</f>
        <v>1</v>
      </c>
      <c r="L294" s="194">
        <f>_1_54128456121462410464578910174567[[#This Row],[LIST $]]*_1_54128456121462410464578910174567[[#This Row],[DISCOUNT]]*_1_54128456121462410464578910174567[[#This Row],[DISCOUNT 2]]</f>
        <v>0</v>
      </c>
      <c r="M294" s="194">
        <f>IF(OR(_1_54128456121462410464578910174567[[#This Row],[UNIT]]&gt;0,_1_54128456121462410464578910174567[[#This Row],[UNIT]]&lt;0),_1_54128456121462410464578910174567[[#This Row],[UNIT]]*_1_54128456121462410464578910174567[[#This Row],[COST]],0)</f>
        <v>0</v>
      </c>
      <c r="N294" s="194">
        <f t="shared" si="4"/>
        <v>1.3</v>
      </c>
      <c r="O294" s="198">
        <f>_1_54128456121462410464578910174567[[#This Row],[TOTAL]]*_1_54128456121462410464578910174567[[#This Row],[MARGIN]]</f>
        <v>0</v>
      </c>
      <c r="R294" s="41"/>
    </row>
    <row r="295" spans="1:18">
      <c r="A295" s="323"/>
      <c r="B295" s="323"/>
      <c r="C295" s="323"/>
      <c r="D295" s="188"/>
      <c r="F295" s="168" t="s">
        <v>6202</v>
      </c>
      <c r="G295" s="193">
        <f>IF(_1_54128456121462410464578910174567[[#This Row],[Type]]&gt;0,VLOOKUP(_1_54128456121462410464578910174567[[#This Row],[Type]],Main[[#All],[TYPE]:[UNIT]],'Unit Price'!C$1,FALSE),0)</f>
        <v>0</v>
      </c>
      <c r="H295" s="197">
        <f>IF(_1_54128456121462410464578910174567[[#This Row],[Type]]&gt;0,VLOOKUP(_1_54128456121462410464578910174567[[#This Row],[Type]],Main[[#All],[TYPE]:[UNIT]],'Unit Price'!D$1,FALSE),0)</f>
        <v>0</v>
      </c>
      <c r="I295" s="194">
        <f>IF(_1_54128456121462410464578910174567[[#This Row],[Type]]&gt;0,VLOOKUP(_1_54128456121462410464578910174567[[#This Row],[Type]],Main[[#All],[TYPE]:[UNIT]],'Unit Price'!G$1,FALSE),0)</f>
        <v>0</v>
      </c>
      <c r="J295" s="194">
        <f>IF(_1_54128456121462410464578910174567[[#This Row],[Type]]&gt;0,VLOOKUP(_1_54128456121462410464578910174567[[#This Row],[Type]],Main[[#All],[TYPE]:[UNIT]],'Unit Price'!H$1,FALSE),0)</f>
        <v>0</v>
      </c>
      <c r="K295" s="194">
        <f>IF(_1_54128456121462410464578910174567[[#This Row],[Discount selection]]&gt;0,VLOOKUP(_1_54128456121462410464578910174567[[#This Row],[Discount selection]],'Discount Structure'!$A$2:$B$30,2,"false"),0)</f>
        <v>1</v>
      </c>
      <c r="L295" s="194">
        <f>_1_54128456121462410464578910174567[[#This Row],[LIST $]]*_1_54128456121462410464578910174567[[#This Row],[DISCOUNT]]*_1_54128456121462410464578910174567[[#This Row],[DISCOUNT 2]]</f>
        <v>0</v>
      </c>
      <c r="M295" s="194">
        <f>IF(OR(_1_54128456121462410464578910174567[[#This Row],[UNIT]]&gt;0,_1_54128456121462410464578910174567[[#This Row],[UNIT]]&lt;0),_1_54128456121462410464578910174567[[#This Row],[UNIT]]*_1_54128456121462410464578910174567[[#This Row],[COST]],0)</f>
        <v>0</v>
      </c>
      <c r="N295" s="194">
        <f t="shared" si="4"/>
        <v>1.3</v>
      </c>
      <c r="O295" s="198">
        <f>_1_54128456121462410464578910174567[[#This Row],[TOTAL]]*_1_54128456121462410464578910174567[[#This Row],[MARGIN]]</f>
        <v>0</v>
      </c>
      <c r="R295" s="41"/>
    </row>
    <row r="296" spans="1:18">
      <c r="A296" s="323"/>
      <c r="B296" s="323"/>
      <c r="C296" s="323"/>
      <c r="D296" s="188"/>
      <c r="F296" s="168" t="s">
        <v>6202</v>
      </c>
      <c r="G296" s="193">
        <f>IF(_1_54128456121462410464578910174567[[#This Row],[Type]]&gt;0,VLOOKUP(_1_54128456121462410464578910174567[[#This Row],[Type]],Main[[#All],[TYPE]:[UNIT]],'Unit Price'!C$1,FALSE),0)</f>
        <v>0</v>
      </c>
      <c r="H296" s="197">
        <f>IF(_1_54128456121462410464578910174567[[#This Row],[Type]]&gt;0,VLOOKUP(_1_54128456121462410464578910174567[[#This Row],[Type]],Main[[#All],[TYPE]:[UNIT]],'Unit Price'!D$1,FALSE),0)</f>
        <v>0</v>
      </c>
      <c r="I296" s="194">
        <f>IF(_1_54128456121462410464578910174567[[#This Row],[Type]]&gt;0,VLOOKUP(_1_54128456121462410464578910174567[[#This Row],[Type]],Main[[#All],[TYPE]:[UNIT]],'Unit Price'!G$1,FALSE),0)</f>
        <v>0</v>
      </c>
      <c r="J296" s="194">
        <f>IF(_1_54128456121462410464578910174567[[#This Row],[Type]]&gt;0,VLOOKUP(_1_54128456121462410464578910174567[[#This Row],[Type]],Main[[#All],[TYPE]:[UNIT]],'Unit Price'!H$1,FALSE),0)</f>
        <v>0</v>
      </c>
      <c r="K296" s="194">
        <f>IF(_1_54128456121462410464578910174567[[#This Row],[Discount selection]]&gt;0,VLOOKUP(_1_54128456121462410464578910174567[[#This Row],[Discount selection]],'Discount Structure'!$A$2:$B$30,2,"false"),0)</f>
        <v>1</v>
      </c>
      <c r="L296" s="194">
        <f>_1_54128456121462410464578910174567[[#This Row],[LIST $]]*_1_54128456121462410464578910174567[[#This Row],[DISCOUNT]]*_1_54128456121462410464578910174567[[#This Row],[DISCOUNT 2]]</f>
        <v>0</v>
      </c>
      <c r="M296" s="194">
        <f>IF(OR(_1_54128456121462410464578910174567[[#This Row],[UNIT]]&gt;0,_1_54128456121462410464578910174567[[#This Row],[UNIT]]&lt;0),_1_54128456121462410464578910174567[[#This Row],[UNIT]]*_1_54128456121462410464578910174567[[#This Row],[COST]],0)</f>
        <v>0</v>
      </c>
      <c r="N296" s="194">
        <f t="shared" si="4"/>
        <v>1.3</v>
      </c>
      <c r="O296" s="198">
        <f>_1_54128456121462410464578910174567[[#This Row],[TOTAL]]*_1_54128456121462410464578910174567[[#This Row],[MARGIN]]</f>
        <v>0</v>
      </c>
      <c r="R296" s="41"/>
    </row>
    <row r="297" spans="1:18">
      <c r="A297" s="323"/>
      <c r="B297" s="323"/>
      <c r="C297" s="323"/>
      <c r="D297" s="188"/>
      <c r="F297" s="168" t="s">
        <v>6202</v>
      </c>
      <c r="G297" s="193">
        <f>IF(_1_54128456121462410464578910174567[[#This Row],[Type]]&gt;0,VLOOKUP(_1_54128456121462410464578910174567[[#This Row],[Type]],Main[[#All],[TYPE]:[UNIT]],'Unit Price'!C$1,FALSE),0)</f>
        <v>0</v>
      </c>
      <c r="H297" s="197">
        <f>IF(_1_54128456121462410464578910174567[[#This Row],[Type]]&gt;0,VLOOKUP(_1_54128456121462410464578910174567[[#This Row],[Type]],Main[[#All],[TYPE]:[UNIT]],'Unit Price'!D$1,FALSE),0)</f>
        <v>0</v>
      </c>
      <c r="I297" s="194">
        <f>IF(_1_54128456121462410464578910174567[[#This Row],[Type]]&gt;0,VLOOKUP(_1_54128456121462410464578910174567[[#This Row],[Type]],Main[[#All],[TYPE]:[UNIT]],'Unit Price'!G$1,FALSE),0)</f>
        <v>0</v>
      </c>
      <c r="J297" s="194">
        <f>IF(_1_54128456121462410464578910174567[[#This Row],[Type]]&gt;0,VLOOKUP(_1_54128456121462410464578910174567[[#This Row],[Type]],Main[[#All],[TYPE]:[UNIT]],'Unit Price'!H$1,FALSE),0)</f>
        <v>0</v>
      </c>
      <c r="K297" s="194">
        <f>IF(_1_54128456121462410464578910174567[[#This Row],[Discount selection]]&gt;0,VLOOKUP(_1_54128456121462410464578910174567[[#This Row],[Discount selection]],'Discount Structure'!$A$2:$B$30,2,"false"),0)</f>
        <v>1</v>
      </c>
      <c r="L297" s="194">
        <f>_1_54128456121462410464578910174567[[#This Row],[LIST $]]*_1_54128456121462410464578910174567[[#This Row],[DISCOUNT]]*_1_54128456121462410464578910174567[[#This Row],[DISCOUNT 2]]</f>
        <v>0</v>
      </c>
      <c r="M297" s="194">
        <f>IF(OR(_1_54128456121462410464578910174567[[#This Row],[UNIT]]&gt;0,_1_54128456121462410464578910174567[[#This Row],[UNIT]]&lt;0),_1_54128456121462410464578910174567[[#This Row],[UNIT]]*_1_54128456121462410464578910174567[[#This Row],[COST]],0)</f>
        <v>0</v>
      </c>
      <c r="N297" s="194">
        <f t="shared" si="4"/>
        <v>1.3</v>
      </c>
      <c r="O297" s="198">
        <f>_1_54128456121462410464578910174567[[#This Row],[TOTAL]]*_1_54128456121462410464578910174567[[#This Row],[MARGIN]]</f>
        <v>0</v>
      </c>
      <c r="R297" s="41"/>
    </row>
    <row r="298" spans="1:18">
      <c r="D298" s="188"/>
      <c r="F298" s="168" t="s">
        <v>6202</v>
      </c>
      <c r="G298" s="205">
        <f>IF(_1_54128456121462410464578910174567[[#This Row],[Type]]&gt;0,VLOOKUP(_1_54128456121462410464578910174567[[#This Row],[Type]],Main[[#All],[TYPE]:[UNIT]],'Unit Price'!C$1,FALSE),0)</f>
        <v>0</v>
      </c>
      <c r="H298" s="197">
        <f>IF(_1_54128456121462410464578910174567[[#This Row],[Type]]&gt;0,VLOOKUP(_1_54128456121462410464578910174567[[#This Row],[Type]],Main[[#All],[TYPE]:[UNIT]],'Unit Price'!D$1,FALSE),0)</f>
        <v>0</v>
      </c>
      <c r="I298" s="194">
        <f>IF(_1_54128456121462410464578910174567[[#This Row],[Type]]&gt;0,VLOOKUP(_1_54128456121462410464578910174567[[#This Row],[Type]],Main[[#All],[TYPE]:[UNIT]],'Unit Price'!G$1,FALSE),0)</f>
        <v>0</v>
      </c>
      <c r="J298" s="194">
        <f>IF(_1_54128456121462410464578910174567[[#This Row],[Type]]&gt;0,VLOOKUP(_1_54128456121462410464578910174567[[#This Row],[Type]],Main[[#All],[TYPE]:[UNIT]],'Unit Price'!H$1,FALSE),0)</f>
        <v>0</v>
      </c>
      <c r="K298" s="194">
        <f>IF(_1_54128456121462410464578910174567[[#This Row],[Discount selection]]&gt;0,VLOOKUP(_1_54128456121462410464578910174567[[#This Row],[Discount selection]],'Discount Structure'!$A$2:$B$30,2,"false"),0)</f>
        <v>1</v>
      </c>
      <c r="L298" s="194">
        <f>_1_54128456121462410464578910174567[[#This Row],[LIST $]]*_1_54128456121462410464578910174567[[#This Row],[DISCOUNT]]*_1_54128456121462410464578910174567[[#This Row],[DISCOUNT 2]]</f>
        <v>0</v>
      </c>
      <c r="M298" s="194">
        <f>IF(OR(_1_54128456121462410464578910174567[[#This Row],[UNIT]]&gt;0,_1_54128456121462410464578910174567[[#This Row],[UNIT]]&lt;0),_1_54128456121462410464578910174567[[#This Row],[UNIT]]*_1_54128456121462410464578910174567[[#This Row],[COST]],0)</f>
        <v>0</v>
      </c>
      <c r="N298" s="194">
        <f t="shared" si="4"/>
        <v>1.3</v>
      </c>
      <c r="O298" s="198">
        <f>_1_54128456121462410464578910174567[[#This Row],[TOTAL]]*_1_54128456121462410464578910174567[[#This Row],[MARGIN]]</f>
        <v>0</v>
      </c>
      <c r="R298" s="41"/>
    </row>
    <row r="299" spans="1:18">
      <c r="D299" s="188"/>
      <c r="F299" s="168" t="s">
        <v>6202</v>
      </c>
      <c r="G299" s="193">
        <f>IF(_1_54128456121462410464578910174567[[#This Row],[Type]]&gt;0,VLOOKUP(_1_54128456121462410464578910174567[[#This Row],[Type]],Main[[#All],[TYPE]:[UNIT]],'Unit Price'!C$1,FALSE),0)</f>
        <v>0</v>
      </c>
      <c r="H299" s="197">
        <f>IF(_1_54128456121462410464578910174567[[#This Row],[Type]]&gt;0,VLOOKUP(_1_54128456121462410464578910174567[[#This Row],[Type]],Main[[#All],[TYPE]:[UNIT]],'Unit Price'!D$1,FALSE),0)</f>
        <v>0</v>
      </c>
      <c r="I299" s="194">
        <f>IF(_1_54128456121462410464578910174567[[#This Row],[Type]]&gt;0,VLOOKUP(_1_54128456121462410464578910174567[[#This Row],[Type]],Main[[#All],[TYPE]:[UNIT]],'Unit Price'!G$1,FALSE),0)</f>
        <v>0</v>
      </c>
      <c r="J299" s="194">
        <f>IF(_1_54128456121462410464578910174567[[#This Row],[Type]]&gt;0,VLOOKUP(_1_54128456121462410464578910174567[[#This Row],[Type]],Main[[#All],[TYPE]:[UNIT]],'Unit Price'!H$1,FALSE),0)</f>
        <v>0</v>
      </c>
      <c r="K299" s="194">
        <f>IF(_1_54128456121462410464578910174567[[#This Row],[Discount selection]]&gt;0,VLOOKUP(_1_54128456121462410464578910174567[[#This Row],[Discount selection]],'Discount Structure'!$A$2:$B$30,2,"false"),0)</f>
        <v>1</v>
      </c>
      <c r="L299" s="194">
        <f>_1_54128456121462410464578910174567[[#This Row],[LIST $]]*_1_54128456121462410464578910174567[[#This Row],[DISCOUNT]]*_1_54128456121462410464578910174567[[#This Row],[DISCOUNT 2]]</f>
        <v>0</v>
      </c>
      <c r="M299" s="194">
        <f>IF(OR(_1_54128456121462410464578910174567[[#This Row],[UNIT]]&gt;0,_1_54128456121462410464578910174567[[#This Row],[UNIT]]&lt;0),_1_54128456121462410464578910174567[[#This Row],[UNIT]]*_1_54128456121462410464578910174567[[#This Row],[COST]],0)</f>
        <v>0</v>
      </c>
      <c r="N299" s="194">
        <f t="shared" si="4"/>
        <v>1.3</v>
      </c>
      <c r="O299" s="198">
        <f>_1_54128456121462410464578910174567[[#This Row],[TOTAL]]*_1_54128456121462410464578910174567[[#This Row],[MARGIN]]</f>
        <v>0</v>
      </c>
      <c r="R299" s="41"/>
    </row>
    <row r="300" spans="1:18">
      <c r="A300" s="323"/>
      <c r="B300" s="323"/>
      <c r="C300" s="323"/>
      <c r="D300" s="188"/>
      <c r="F300" s="168" t="s">
        <v>6202</v>
      </c>
      <c r="G300" s="193">
        <f>IF(_1_54128456121462410464578910174567[[#This Row],[Type]]&gt;0,VLOOKUP(_1_54128456121462410464578910174567[[#This Row],[Type]],Main[[#All],[TYPE]:[UNIT]],'Unit Price'!C$1,FALSE),0)</f>
        <v>0</v>
      </c>
      <c r="H300" s="197">
        <f>IF(_1_54128456121462410464578910174567[[#This Row],[Type]]&gt;0,VLOOKUP(_1_54128456121462410464578910174567[[#This Row],[Type]],Main[[#All],[TYPE]:[UNIT]],'Unit Price'!D$1,FALSE),0)</f>
        <v>0</v>
      </c>
      <c r="I300" s="194">
        <f>IF(_1_54128456121462410464578910174567[[#This Row],[Type]]&gt;0,VLOOKUP(_1_54128456121462410464578910174567[[#This Row],[Type]],Main[[#All],[TYPE]:[UNIT]],'Unit Price'!G$1,FALSE),0)</f>
        <v>0</v>
      </c>
      <c r="J300" s="194">
        <f>IF(_1_54128456121462410464578910174567[[#This Row],[Type]]&gt;0,VLOOKUP(_1_54128456121462410464578910174567[[#This Row],[Type]],Main[[#All],[TYPE]:[UNIT]],'Unit Price'!H$1,FALSE),0)</f>
        <v>0</v>
      </c>
      <c r="K300" s="194">
        <f>IF(_1_54128456121462410464578910174567[[#This Row],[Discount selection]]&gt;0,VLOOKUP(_1_54128456121462410464578910174567[[#This Row],[Discount selection]],'Discount Structure'!$A$2:$B$30,2,"false"),0)</f>
        <v>1</v>
      </c>
      <c r="L300" s="194">
        <f>_1_54128456121462410464578910174567[[#This Row],[LIST $]]*_1_54128456121462410464578910174567[[#This Row],[DISCOUNT]]*_1_54128456121462410464578910174567[[#This Row],[DISCOUNT 2]]</f>
        <v>0</v>
      </c>
      <c r="M300" s="194">
        <f>IF(OR(_1_54128456121462410464578910174567[[#This Row],[UNIT]]&gt;0,_1_54128456121462410464578910174567[[#This Row],[UNIT]]&lt;0),_1_54128456121462410464578910174567[[#This Row],[UNIT]]*_1_54128456121462410464578910174567[[#This Row],[COST]],0)</f>
        <v>0</v>
      </c>
      <c r="N300" s="194">
        <f t="shared" si="4"/>
        <v>1.3</v>
      </c>
      <c r="O300" s="198">
        <f>_1_54128456121462410464578910174567[[#This Row],[TOTAL]]*_1_54128456121462410464578910174567[[#This Row],[MARGIN]]</f>
        <v>0</v>
      </c>
      <c r="R300" s="41"/>
    </row>
    <row r="301" spans="1:18">
      <c r="A301" s="323"/>
      <c r="B301" s="323"/>
      <c r="C301" s="323"/>
      <c r="D301" s="188"/>
      <c r="F301" s="168" t="s">
        <v>6202</v>
      </c>
      <c r="G301" s="193">
        <f>IF(_1_54128456121462410464578910174567[[#This Row],[Type]]&gt;0,VLOOKUP(_1_54128456121462410464578910174567[[#This Row],[Type]],Main[[#All],[TYPE]:[UNIT]],'Unit Price'!C$1,FALSE),0)</f>
        <v>0</v>
      </c>
      <c r="H301" s="197">
        <f>IF(_1_54128456121462410464578910174567[[#This Row],[Type]]&gt;0,VLOOKUP(_1_54128456121462410464578910174567[[#This Row],[Type]],Main[[#All],[TYPE]:[UNIT]],'Unit Price'!D$1,FALSE),0)</f>
        <v>0</v>
      </c>
      <c r="I301" s="194">
        <f>IF(_1_54128456121462410464578910174567[[#This Row],[Type]]&gt;0,VLOOKUP(_1_54128456121462410464578910174567[[#This Row],[Type]],Main[[#All],[TYPE]:[UNIT]],'Unit Price'!G$1,FALSE),0)</f>
        <v>0</v>
      </c>
      <c r="J301" s="194">
        <f>IF(_1_54128456121462410464578910174567[[#This Row],[Type]]&gt;0,VLOOKUP(_1_54128456121462410464578910174567[[#This Row],[Type]],Main[[#All],[TYPE]:[UNIT]],'Unit Price'!H$1,FALSE),0)</f>
        <v>0</v>
      </c>
      <c r="K301" s="194">
        <f>IF(_1_54128456121462410464578910174567[[#This Row],[Discount selection]]&gt;0,VLOOKUP(_1_54128456121462410464578910174567[[#This Row],[Discount selection]],'Discount Structure'!$A$2:$B$30,2,"false"),0)</f>
        <v>1</v>
      </c>
      <c r="L301" s="194">
        <f>_1_54128456121462410464578910174567[[#This Row],[LIST $]]*_1_54128456121462410464578910174567[[#This Row],[DISCOUNT]]*_1_54128456121462410464578910174567[[#This Row],[DISCOUNT 2]]</f>
        <v>0</v>
      </c>
      <c r="M301" s="194">
        <f>IF(OR(_1_54128456121462410464578910174567[[#This Row],[UNIT]]&gt;0,_1_54128456121462410464578910174567[[#This Row],[UNIT]]&lt;0),_1_54128456121462410464578910174567[[#This Row],[UNIT]]*_1_54128456121462410464578910174567[[#This Row],[COST]],0)</f>
        <v>0</v>
      </c>
      <c r="N301" s="194">
        <f t="shared" si="4"/>
        <v>1.3</v>
      </c>
      <c r="O301" s="198">
        <f>_1_54128456121462410464578910174567[[#This Row],[TOTAL]]*_1_54128456121462410464578910174567[[#This Row],[MARGIN]]</f>
        <v>0</v>
      </c>
      <c r="R301" s="41"/>
    </row>
    <row r="302" spans="1:18">
      <c r="A302" s="323"/>
      <c r="B302" s="323"/>
      <c r="C302" s="323"/>
      <c r="D302" s="188"/>
      <c r="F302" s="168" t="s">
        <v>6202</v>
      </c>
      <c r="G302" s="193">
        <f>IF(_1_54128456121462410464578910174567[[#This Row],[Type]]&gt;0,VLOOKUP(_1_54128456121462410464578910174567[[#This Row],[Type]],Main[[#All],[TYPE]:[UNIT]],'Unit Price'!C$1,FALSE),0)</f>
        <v>0</v>
      </c>
      <c r="H302" s="197">
        <f>IF(_1_54128456121462410464578910174567[[#This Row],[Type]]&gt;0,VLOOKUP(_1_54128456121462410464578910174567[[#This Row],[Type]],Main[[#All],[TYPE]:[UNIT]],'Unit Price'!D$1,FALSE),0)</f>
        <v>0</v>
      </c>
      <c r="I302" s="194">
        <f>IF(_1_54128456121462410464578910174567[[#This Row],[Type]]&gt;0,VLOOKUP(_1_54128456121462410464578910174567[[#This Row],[Type]],Main[[#All],[TYPE]:[UNIT]],'Unit Price'!G$1,FALSE),0)</f>
        <v>0</v>
      </c>
      <c r="J302" s="194">
        <f>IF(_1_54128456121462410464578910174567[[#This Row],[Type]]&gt;0,VLOOKUP(_1_54128456121462410464578910174567[[#This Row],[Type]],Main[[#All],[TYPE]:[UNIT]],'Unit Price'!H$1,FALSE),0)</f>
        <v>0</v>
      </c>
      <c r="K302" s="194">
        <f>IF(_1_54128456121462410464578910174567[[#This Row],[Discount selection]]&gt;0,VLOOKUP(_1_54128456121462410464578910174567[[#This Row],[Discount selection]],'Discount Structure'!$A$2:$B$30,2,"false"),0)</f>
        <v>1</v>
      </c>
      <c r="L302" s="194">
        <f>_1_54128456121462410464578910174567[[#This Row],[LIST $]]*_1_54128456121462410464578910174567[[#This Row],[DISCOUNT]]*_1_54128456121462410464578910174567[[#This Row],[DISCOUNT 2]]</f>
        <v>0</v>
      </c>
      <c r="M302" s="194">
        <f>IF(OR(_1_54128456121462410464578910174567[[#This Row],[UNIT]]&gt;0,_1_54128456121462410464578910174567[[#This Row],[UNIT]]&lt;0),_1_54128456121462410464578910174567[[#This Row],[UNIT]]*_1_54128456121462410464578910174567[[#This Row],[COST]],0)</f>
        <v>0</v>
      </c>
      <c r="N302" s="194">
        <f t="shared" si="4"/>
        <v>1.3</v>
      </c>
      <c r="O302" s="198">
        <f>_1_54128456121462410464578910174567[[#This Row],[TOTAL]]*_1_54128456121462410464578910174567[[#This Row],[MARGIN]]</f>
        <v>0</v>
      </c>
      <c r="R302" s="41"/>
    </row>
    <row r="303" spans="1:18">
      <c r="D303" s="188"/>
      <c r="F303" s="168" t="s">
        <v>6202</v>
      </c>
      <c r="G303" s="205">
        <f>IF(_1_54128456121462410464578910174567[[#This Row],[Type]]&gt;0,VLOOKUP(_1_54128456121462410464578910174567[[#This Row],[Type]],Main[[#All],[TYPE]:[UNIT]],'Unit Price'!C$1,FALSE),0)</f>
        <v>0</v>
      </c>
      <c r="H303" s="197">
        <f>IF(_1_54128456121462410464578910174567[[#This Row],[Type]]&gt;0,VLOOKUP(_1_54128456121462410464578910174567[[#This Row],[Type]],Main[[#All],[TYPE]:[UNIT]],'Unit Price'!D$1,FALSE),0)</f>
        <v>0</v>
      </c>
      <c r="I303" s="194">
        <f>IF(_1_54128456121462410464578910174567[[#This Row],[Type]]&gt;0,VLOOKUP(_1_54128456121462410464578910174567[[#This Row],[Type]],Main[[#All],[TYPE]:[UNIT]],'Unit Price'!G$1,FALSE),0)</f>
        <v>0</v>
      </c>
      <c r="J303" s="194">
        <f>IF(_1_54128456121462410464578910174567[[#This Row],[Type]]&gt;0,VLOOKUP(_1_54128456121462410464578910174567[[#This Row],[Type]],Main[[#All],[TYPE]:[UNIT]],'Unit Price'!H$1,FALSE),0)</f>
        <v>0</v>
      </c>
      <c r="K303" s="194">
        <f>IF(_1_54128456121462410464578910174567[[#This Row],[Discount selection]]&gt;0,VLOOKUP(_1_54128456121462410464578910174567[[#This Row],[Discount selection]],'Discount Structure'!$A$2:$B$30,2,"false"),0)</f>
        <v>1</v>
      </c>
      <c r="L303" s="194">
        <f>_1_54128456121462410464578910174567[[#This Row],[LIST $]]*_1_54128456121462410464578910174567[[#This Row],[DISCOUNT]]*_1_54128456121462410464578910174567[[#This Row],[DISCOUNT 2]]</f>
        <v>0</v>
      </c>
      <c r="M303" s="194">
        <f>IF(OR(_1_54128456121462410464578910174567[[#This Row],[UNIT]]&gt;0,_1_54128456121462410464578910174567[[#This Row],[UNIT]]&lt;0),_1_54128456121462410464578910174567[[#This Row],[UNIT]]*_1_54128456121462410464578910174567[[#This Row],[COST]],0)</f>
        <v>0</v>
      </c>
      <c r="N303" s="194">
        <f t="shared" si="4"/>
        <v>1.3</v>
      </c>
      <c r="O303" s="198">
        <f>_1_54128456121462410464578910174567[[#This Row],[TOTAL]]*_1_54128456121462410464578910174567[[#This Row],[MARGIN]]</f>
        <v>0</v>
      </c>
      <c r="R303" s="41"/>
    </row>
    <row r="304" spans="1:18">
      <c r="A304" s="326"/>
      <c r="D304" s="188"/>
      <c r="F304" s="168" t="s">
        <v>6202</v>
      </c>
      <c r="G304" s="193">
        <f>IF(_1_54128456121462410464578910174567[[#This Row],[Type]]&gt;0,VLOOKUP(_1_54128456121462410464578910174567[[#This Row],[Type]],Main[[#All],[TYPE]:[UNIT]],'Unit Price'!C$1,FALSE),0)</f>
        <v>0</v>
      </c>
      <c r="H304" s="197">
        <f>IF(_1_54128456121462410464578910174567[[#This Row],[Type]]&gt;0,VLOOKUP(_1_54128456121462410464578910174567[[#This Row],[Type]],Main[[#All],[TYPE]:[UNIT]],'Unit Price'!D$1,FALSE),0)</f>
        <v>0</v>
      </c>
      <c r="I304" s="194">
        <f>IF(_1_54128456121462410464578910174567[[#This Row],[Type]]&gt;0,VLOOKUP(_1_54128456121462410464578910174567[[#This Row],[Type]],Main[[#All],[TYPE]:[UNIT]],'Unit Price'!G$1,FALSE),0)</f>
        <v>0</v>
      </c>
      <c r="J304" s="194">
        <f>IF(_1_54128456121462410464578910174567[[#This Row],[Type]]&gt;0,VLOOKUP(_1_54128456121462410464578910174567[[#This Row],[Type]],Main[[#All],[TYPE]:[UNIT]],'Unit Price'!H$1,FALSE),0)</f>
        <v>0</v>
      </c>
      <c r="K304" s="194">
        <f>IF(_1_54128456121462410464578910174567[[#This Row],[Discount selection]]&gt;0,VLOOKUP(_1_54128456121462410464578910174567[[#This Row],[Discount selection]],'Discount Structure'!$A$2:$B$30,2,"false"),0)</f>
        <v>1</v>
      </c>
      <c r="L304" s="194">
        <f>_1_54128456121462410464578910174567[[#This Row],[LIST $]]*_1_54128456121462410464578910174567[[#This Row],[DISCOUNT]]*_1_54128456121462410464578910174567[[#This Row],[DISCOUNT 2]]</f>
        <v>0</v>
      </c>
      <c r="M304" s="194">
        <f>IF(OR(_1_54128456121462410464578910174567[[#This Row],[UNIT]]&gt;0,_1_54128456121462410464578910174567[[#This Row],[UNIT]]&lt;0),_1_54128456121462410464578910174567[[#This Row],[UNIT]]*_1_54128456121462410464578910174567[[#This Row],[COST]],0)</f>
        <v>0</v>
      </c>
      <c r="N304" s="194">
        <f t="shared" si="4"/>
        <v>1.3</v>
      </c>
      <c r="O304" s="198">
        <f>_1_54128456121462410464578910174567[[#This Row],[TOTAL]]*_1_54128456121462410464578910174567[[#This Row],[MARGIN]]</f>
        <v>0</v>
      </c>
      <c r="R304" s="41"/>
    </row>
    <row r="305" spans="1:18">
      <c r="D305" s="188"/>
      <c r="F305" s="168" t="s">
        <v>6202</v>
      </c>
      <c r="G305" s="193">
        <f>IF(_1_54128456121462410464578910174567[[#This Row],[Type]]&gt;0,VLOOKUP(_1_54128456121462410464578910174567[[#This Row],[Type]],Main[[#All],[TYPE]:[UNIT]],'Unit Price'!C$1,FALSE),0)</f>
        <v>0</v>
      </c>
      <c r="H305" s="197">
        <f>IF(_1_54128456121462410464578910174567[[#This Row],[Type]]&gt;0,VLOOKUP(_1_54128456121462410464578910174567[[#This Row],[Type]],Main[[#All],[TYPE]:[UNIT]],'Unit Price'!D$1,FALSE),0)</f>
        <v>0</v>
      </c>
      <c r="I305" s="194">
        <f>IF(_1_54128456121462410464578910174567[[#This Row],[Type]]&gt;0,VLOOKUP(_1_54128456121462410464578910174567[[#This Row],[Type]],Main[[#All],[TYPE]:[UNIT]],'Unit Price'!G$1,FALSE),0)</f>
        <v>0</v>
      </c>
      <c r="J305" s="194">
        <f>IF(_1_54128456121462410464578910174567[[#This Row],[Type]]&gt;0,VLOOKUP(_1_54128456121462410464578910174567[[#This Row],[Type]],Main[[#All],[TYPE]:[UNIT]],'Unit Price'!H$1,FALSE),0)</f>
        <v>0</v>
      </c>
      <c r="K305" s="194">
        <f>IF(_1_54128456121462410464578910174567[[#This Row],[Discount selection]]&gt;0,VLOOKUP(_1_54128456121462410464578910174567[[#This Row],[Discount selection]],'Discount Structure'!$A$2:$B$30,2,"false"),0)</f>
        <v>1</v>
      </c>
      <c r="L305" s="194">
        <f>_1_54128456121462410464578910174567[[#This Row],[LIST $]]*_1_54128456121462410464578910174567[[#This Row],[DISCOUNT]]*_1_54128456121462410464578910174567[[#This Row],[DISCOUNT 2]]</f>
        <v>0</v>
      </c>
      <c r="M305" s="194">
        <f>IF(OR(_1_54128456121462410464578910174567[[#This Row],[UNIT]]&gt;0,_1_54128456121462410464578910174567[[#This Row],[UNIT]]&lt;0),_1_54128456121462410464578910174567[[#This Row],[UNIT]]*_1_54128456121462410464578910174567[[#This Row],[COST]],0)</f>
        <v>0</v>
      </c>
      <c r="N305" s="194">
        <f t="shared" si="4"/>
        <v>1.3</v>
      </c>
      <c r="O305" s="198">
        <f>_1_54128456121462410464578910174567[[#This Row],[TOTAL]]*_1_54128456121462410464578910174567[[#This Row],[MARGIN]]</f>
        <v>0</v>
      </c>
      <c r="R305" s="41"/>
    </row>
    <row r="306" spans="1:18">
      <c r="A306" s="327"/>
      <c r="B306" s="327"/>
      <c r="C306" s="323"/>
      <c r="D306" s="188"/>
      <c r="F306" s="168" t="s">
        <v>6202</v>
      </c>
      <c r="G306" s="193">
        <f>IF(_1_54128456121462410464578910174567[[#This Row],[Type]]&gt;0,VLOOKUP(_1_54128456121462410464578910174567[[#This Row],[Type]],Main[[#All],[TYPE]:[UNIT]],'Unit Price'!C$1,FALSE),0)</f>
        <v>0</v>
      </c>
      <c r="H306" s="197">
        <f>IF(_1_54128456121462410464578910174567[[#This Row],[Type]]&gt;0,VLOOKUP(_1_54128456121462410464578910174567[[#This Row],[Type]],Main[[#All],[TYPE]:[UNIT]],'Unit Price'!D$1,FALSE),0)</f>
        <v>0</v>
      </c>
      <c r="I306" s="194">
        <f>IF(_1_54128456121462410464578910174567[[#This Row],[Type]]&gt;0,VLOOKUP(_1_54128456121462410464578910174567[[#This Row],[Type]],Main[[#All],[TYPE]:[UNIT]],'Unit Price'!G$1,FALSE),0)</f>
        <v>0</v>
      </c>
      <c r="J306" s="194">
        <f>IF(_1_54128456121462410464578910174567[[#This Row],[Type]]&gt;0,VLOOKUP(_1_54128456121462410464578910174567[[#This Row],[Type]],Main[[#All],[TYPE]:[UNIT]],'Unit Price'!H$1,FALSE),0)</f>
        <v>0</v>
      </c>
      <c r="K306" s="194">
        <f>IF(_1_54128456121462410464578910174567[[#This Row],[Discount selection]]&gt;0,VLOOKUP(_1_54128456121462410464578910174567[[#This Row],[Discount selection]],'Discount Structure'!$A$2:$B$30,2,"false"),0)</f>
        <v>1</v>
      </c>
      <c r="L306" s="194">
        <f>_1_54128456121462410464578910174567[[#This Row],[LIST $]]*_1_54128456121462410464578910174567[[#This Row],[DISCOUNT]]*_1_54128456121462410464578910174567[[#This Row],[DISCOUNT 2]]</f>
        <v>0</v>
      </c>
      <c r="M306" s="194">
        <f>IF(OR(_1_54128456121462410464578910174567[[#This Row],[UNIT]]&gt;0,_1_54128456121462410464578910174567[[#This Row],[UNIT]]&lt;0),_1_54128456121462410464578910174567[[#This Row],[UNIT]]*_1_54128456121462410464578910174567[[#This Row],[COST]],0)</f>
        <v>0</v>
      </c>
      <c r="N306" s="194">
        <f t="shared" si="4"/>
        <v>1.3</v>
      </c>
      <c r="O306" s="198">
        <f>_1_54128456121462410464578910174567[[#This Row],[TOTAL]]*_1_54128456121462410464578910174567[[#This Row],[MARGIN]]</f>
        <v>0</v>
      </c>
      <c r="R306" s="41"/>
    </row>
    <row r="307" spans="1:18">
      <c r="A307" s="310"/>
      <c r="B307" s="310"/>
      <c r="C307" s="323"/>
      <c r="D307" s="188"/>
      <c r="F307" s="168" t="s">
        <v>6202</v>
      </c>
      <c r="G307" s="193">
        <f>IF(_1_54128456121462410464578910174567[[#This Row],[Type]]&gt;0,VLOOKUP(_1_54128456121462410464578910174567[[#This Row],[Type]],Main[[#All],[TYPE]:[UNIT]],'Unit Price'!C$1,FALSE),0)</f>
        <v>0</v>
      </c>
      <c r="H307" s="197">
        <f>IF(_1_54128456121462410464578910174567[[#This Row],[Type]]&gt;0,VLOOKUP(_1_54128456121462410464578910174567[[#This Row],[Type]],Main[[#All],[TYPE]:[UNIT]],'Unit Price'!D$1,FALSE),0)</f>
        <v>0</v>
      </c>
      <c r="I307" s="194">
        <f>IF(_1_54128456121462410464578910174567[[#This Row],[Type]]&gt;0,VLOOKUP(_1_54128456121462410464578910174567[[#This Row],[Type]],Main[[#All],[TYPE]:[UNIT]],'Unit Price'!G$1,FALSE),0)</f>
        <v>0</v>
      </c>
      <c r="J307" s="194">
        <f>IF(_1_54128456121462410464578910174567[[#This Row],[Type]]&gt;0,VLOOKUP(_1_54128456121462410464578910174567[[#This Row],[Type]],Main[[#All],[TYPE]:[UNIT]],'Unit Price'!H$1,FALSE),0)</f>
        <v>0</v>
      </c>
      <c r="K307" s="194">
        <f>IF(_1_54128456121462410464578910174567[[#This Row],[Discount selection]]&gt;0,VLOOKUP(_1_54128456121462410464578910174567[[#This Row],[Discount selection]],'Discount Structure'!$A$2:$B$30,2,"false"),0)</f>
        <v>1</v>
      </c>
      <c r="L307" s="194">
        <f>_1_54128456121462410464578910174567[[#This Row],[LIST $]]*_1_54128456121462410464578910174567[[#This Row],[DISCOUNT]]*_1_54128456121462410464578910174567[[#This Row],[DISCOUNT 2]]</f>
        <v>0</v>
      </c>
      <c r="M307" s="194">
        <f>IF(OR(_1_54128456121462410464578910174567[[#This Row],[UNIT]]&gt;0,_1_54128456121462410464578910174567[[#This Row],[UNIT]]&lt;0),_1_54128456121462410464578910174567[[#This Row],[UNIT]]*_1_54128456121462410464578910174567[[#This Row],[COST]],0)</f>
        <v>0</v>
      </c>
      <c r="N307" s="194">
        <f t="shared" si="4"/>
        <v>1.3</v>
      </c>
      <c r="O307" s="198">
        <f>_1_54128456121462410464578910174567[[#This Row],[TOTAL]]*_1_54128456121462410464578910174567[[#This Row],[MARGIN]]</f>
        <v>0</v>
      </c>
      <c r="R307" s="41"/>
    </row>
    <row r="308" spans="1:18">
      <c r="A308" s="341"/>
      <c r="B308" s="323"/>
      <c r="C308" s="323"/>
      <c r="D308" s="188"/>
      <c r="F308" s="168" t="s">
        <v>6202</v>
      </c>
      <c r="G308" s="193">
        <f>IF(_1_54128456121462410464578910174567[[#This Row],[Type]]&gt;0,VLOOKUP(_1_54128456121462410464578910174567[[#This Row],[Type]],Main[[#All],[TYPE]:[UNIT]],'Unit Price'!C$1,FALSE),0)</f>
        <v>0</v>
      </c>
      <c r="H308" s="197">
        <f>IF(_1_54128456121462410464578910174567[[#This Row],[Type]]&gt;0,VLOOKUP(_1_54128456121462410464578910174567[[#This Row],[Type]],Main[[#All],[TYPE]:[UNIT]],'Unit Price'!D$1,FALSE),0)</f>
        <v>0</v>
      </c>
      <c r="I308" s="194">
        <f>IF(_1_54128456121462410464578910174567[[#This Row],[Type]]&gt;0,VLOOKUP(_1_54128456121462410464578910174567[[#This Row],[Type]],Main[[#All],[TYPE]:[UNIT]],'Unit Price'!G$1,FALSE),0)</f>
        <v>0</v>
      </c>
      <c r="J308" s="194">
        <f>IF(_1_54128456121462410464578910174567[[#This Row],[Type]]&gt;0,VLOOKUP(_1_54128456121462410464578910174567[[#This Row],[Type]],Main[[#All],[TYPE]:[UNIT]],'Unit Price'!H$1,FALSE),0)</f>
        <v>0</v>
      </c>
      <c r="K308" s="194">
        <f>IF(_1_54128456121462410464578910174567[[#This Row],[Discount selection]]&gt;0,VLOOKUP(_1_54128456121462410464578910174567[[#This Row],[Discount selection]],'Discount Structure'!$A$2:$B$30,2,"false"),0)</f>
        <v>1</v>
      </c>
      <c r="L308" s="194">
        <f>_1_54128456121462410464578910174567[[#This Row],[LIST $]]*_1_54128456121462410464578910174567[[#This Row],[DISCOUNT]]*_1_54128456121462410464578910174567[[#This Row],[DISCOUNT 2]]</f>
        <v>0</v>
      </c>
      <c r="M308" s="194">
        <f>IF(OR(_1_54128456121462410464578910174567[[#This Row],[UNIT]]&gt;0,_1_54128456121462410464578910174567[[#This Row],[UNIT]]&lt;0),_1_54128456121462410464578910174567[[#This Row],[UNIT]]*_1_54128456121462410464578910174567[[#This Row],[COST]],0)</f>
        <v>0</v>
      </c>
      <c r="N308" s="194">
        <f t="shared" si="4"/>
        <v>1.3</v>
      </c>
      <c r="O308" s="198">
        <f>_1_54128456121462410464578910174567[[#This Row],[TOTAL]]*_1_54128456121462410464578910174567[[#This Row],[MARGIN]]</f>
        <v>0</v>
      </c>
      <c r="R308" s="41"/>
    </row>
    <row r="309" spans="1:18">
      <c r="D309" s="188"/>
      <c r="F309" s="168" t="s">
        <v>6202</v>
      </c>
      <c r="G309" s="193">
        <f>IF(_1_54128456121462410464578910174567[[#This Row],[Type]]&gt;0,VLOOKUP(_1_54128456121462410464578910174567[[#This Row],[Type]],Main[[#All],[TYPE]:[UNIT]],'Unit Price'!C$1,FALSE),0)</f>
        <v>0</v>
      </c>
      <c r="H309" s="197">
        <f>IF(_1_54128456121462410464578910174567[[#This Row],[Type]]&gt;0,VLOOKUP(_1_54128456121462410464578910174567[[#This Row],[Type]],Main[[#All],[TYPE]:[UNIT]],'Unit Price'!D$1,FALSE),0)</f>
        <v>0</v>
      </c>
      <c r="I309" s="194">
        <f>IF(_1_54128456121462410464578910174567[[#This Row],[Type]]&gt;0,VLOOKUP(_1_54128456121462410464578910174567[[#This Row],[Type]],Main[[#All],[TYPE]:[UNIT]],'Unit Price'!G$1,FALSE),0)</f>
        <v>0</v>
      </c>
      <c r="J309" s="194">
        <f>IF(_1_54128456121462410464578910174567[[#This Row],[Type]]&gt;0,VLOOKUP(_1_54128456121462410464578910174567[[#This Row],[Type]],Main[[#All],[TYPE]:[UNIT]],'Unit Price'!H$1,FALSE),0)</f>
        <v>0</v>
      </c>
      <c r="K309" s="194">
        <f>IF(_1_54128456121462410464578910174567[[#This Row],[Discount selection]]&gt;0,VLOOKUP(_1_54128456121462410464578910174567[[#This Row],[Discount selection]],'Discount Structure'!$A$2:$B$30,2,"false"),0)</f>
        <v>1</v>
      </c>
      <c r="L309" s="194">
        <f>_1_54128456121462410464578910174567[[#This Row],[LIST $]]*_1_54128456121462410464578910174567[[#This Row],[DISCOUNT]]*_1_54128456121462410464578910174567[[#This Row],[DISCOUNT 2]]</f>
        <v>0</v>
      </c>
      <c r="M309" s="194">
        <f>IF(OR(_1_54128456121462410464578910174567[[#This Row],[UNIT]]&gt;0,_1_54128456121462410464578910174567[[#This Row],[UNIT]]&lt;0),_1_54128456121462410464578910174567[[#This Row],[UNIT]]*_1_54128456121462410464578910174567[[#This Row],[COST]],0)</f>
        <v>0</v>
      </c>
      <c r="N309" s="194">
        <f t="shared" si="4"/>
        <v>1.3</v>
      </c>
      <c r="O309" s="198">
        <f>_1_54128456121462410464578910174567[[#This Row],[TOTAL]]*_1_54128456121462410464578910174567[[#This Row],[MARGIN]]</f>
        <v>0</v>
      </c>
      <c r="R309" s="41"/>
    </row>
    <row r="310" spans="1:18">
      <c r="A310" s="326"/>
      <c r="D310" s="188"/>
      <c r="F310" s="168" t="s">
        <v>6202</v>
      </c>
      <c r="G310" s="193">
        <f>IF(_1_54128456121462410464578910174567[[#This Row],[Type]]&gt;0,VLOOKUP(_1_54128456121462410464578910174567[[#This Row],[Type]],Main[[#All],[TYPE]:[UNIT]],'Unit Price'!C$1,FALSE),0)</f>
        <v>0</v>
      </c>
      <c r="H310" s="197">
        <f>IF(_1_54128456121462410464578910174567[[#This Row],[Type]]&gt;0,VLOOKUP(_1_54128456121462410464578910174567[[#This Row],[Type]],Main[[#All],[TYPE]:[UNIT]],'Unit Price'!D$1,FALSE),0)</f>
        <v>0</v>
      </c>
      <c r="I310" s="194">
        <f>IF(_1_54128456121462410464578910174567[[#This Row],[Type]]&gt;0,VLOOKUP(_1_54128456121462410464578910174567[[#This Row],[Type]],Main[[#All],[TYPE]:[UNIT]],'Unit Price'!G$1,FALSE),0)</f>
        <v>0</v>
      </c>
      <c r="J310" s="194">
        <f>IF(_1_54128456121462410464578910174567[[#This Row],[Type]]&gt;0,VLOOKUP(_1_54128456121462410464578910174567[[#This Row],[Type]],Main[[#All],[TYPE]:[UNIT]],'Unit Price'!H$1,FALSE),0)</f>
        <v>0</v>
      </c>
      <c r="K310" s="194">
        <f>IF(_1_54128456121462410464578910174567[[#This Row],[Discount selection]]&gt;0,VLOOKUP(_1_54128456121462410464578910174567[[#This Row],[Discount selection]],'Discount Structure'!$A$2:$B$30,2,"false"),0)</f>
        <v>1</v>
      </c>
      <c r="L310" s="194">
        <f>_1_54128456121462410464578910174567[[#This Row],[LIST $]]*_1_54128456121462410464578910174567[[#This Row],[DISCOUNT]]*_1_54128456121462410464578910174567[[#This Row],[DISCOUNT 2]]</f>
        <v>0</v>
      </c>
      <c r="M310" s="194">
        <f>IF(OR(_1_54128456121462410464578910174567[[#This Row],[UNIT]]&gt;0,_1_54128456121462410464578910174567[[#This Row],[UNIT]]&lt;0),_1_54128456121462410464578910174567[[#This Row],[UNIT]]*_1_54128456121462410464578910174567[[#This Row],[COST]],0)</f>
        <v>0</v>
      </c>
      <c r="N310" s="194">
        <f t="shared" si="4"/>
        <v>1.3</v>
      </c>
      <c r="O310" s="198">
        <f>_1_54128456121462410464578910174567[[#This Row],[TOTAL]]*_1_54128456121462410464578910174567[[#This Row],[MARGIN]]</f>
        <v>0</v>
      </c>
      <c r="R310" s="41"/>
    </row>
    <row r="311" spans="1:18">
      <c r="D311" s="188"/>
      <c r="F311" s="168" t="s">
        <v>6202</v>
      </c>
      <c r="G311" s="193">
        <f>IF(_1_54128456121462410464578910174567[[#This Row],[Type]]&gt;0,VLOOKUP(_1_54128456121462410464578910174567[[#This Row],[Type]],Main[[#All],[TYPE]:[UNIT]],'Unit Price'!C$1,FALSE),0)</f>
        <v>0</v>
      </c>
      <c r="H311" s="197">
        <f>IF(_1_54128456121462410464578910174567[[#This Row],[Type]]&gt;0,VLOOKUP(_1_54128456121462410464578910174567[[#This Row],[Type]],Main[[#All],[TYPE]:[UNIT]],'Unit Price'!D$1,FALSE),0)</f>
        <v>0</v>
      </c>
      <c r="I311" s="194">
        <f>IF(_1_54128456121462410464578910174567[[#This Row],[Type]]&gt;0,VLOOKUP(_1_54128456121462410464578910174567[[#This Row],[Type]],Main[[#All],[TYPE]:[UNIT]],'Unit Price'!G$1,FALSE),0)</f>
        <v>0</v>
      </c>
      <c r="J311" s="194">
        <f>IF(_1_54128456121462410464578910174567[[#This Row],[Type]]&gt;0,VLOOKUP(_1_54128456121462410464578910174567[[#This Row],[Type]],Main[[#All],[TYPE]:[UNIT]],'Unit Price'!H$1,FALSE),0)</f>
        <v>0</v>
      </c>
      <c r="K311" s="194">
        <f>IF(_1_54128456121462410464578910174567[[#This Row],[Discount selection]]&gt;0,VLOOKUP(_1_54128456121462410464578910174567[[#This Row],[Discount selection]],'Discount Structure'!$A$2:$B$30,2,"false"),0)</f>
        <v>1</v>
      </c>
      <c r="L311" s="194">
        <f>_1_54128456121462410464578910174567[[#This Row],[LIST $]]*_1_54128456121462410464578910174567[[#This Row],[DISCOUNT]]*_1_54128456121462410464578910174567[[#This Row],[DISCOUNT 2]]</f>
        <v>0</v>
      </c>
      <c r="M311" s="194">
        <f>IF(OR(_1_54128456121462410464578910174567[[#This Row],[UNIT]]&gt;0,_1_54128456121462410464578910174567[[#This Row],[UNIT]]&lt;0),_1_54128456121462410464578910174567[[#This Row],[UNIT]]*_1_54128456121462410464578910174567[[#This Row],[COST]],0)</f>
        <v>0</v>
      </c>
      <c r="N311" s="194">
        <f t="shared" si="4"/>
        <v>1.3</v>
      </c>
      <c r="O311" s="198">
        <f>_1_54128456121462410464578910174567[[#This Row],[TOTAL]]*_1_54128456121462410464578910174567[[#This Row],[MARGIN]]</f>
        <v>0</v>
      </c>
      <c r="R311" s="41"/>
    </row>
    <row r="312" spans="1:18">
      <c r="A312" s="323"/>
      <c r="B312" s="323"/>
      <c r="C312" s="323"/>
      <c r="D312" s="188"/>
      <c r="F312" s="168" t="s">
        <v>6202</v>
      </c>
      <c r="G312" s="193">
        <f>IF(_1_54128456121462410464578910174567[[#This Row],[Type]]&gt;0,VLOOKUP(_1_54128456121462410464578910174567[[#This Row],[Type]],Main[[#All],[TYPE]:[UNIT]],'Unit Price'!C$1,FALSE),0)</f>
        <v>0</v>
      </c>
      <c r="H312" s="197">
        <f>IF(_1_54128456121462410464578910174567[[#This Row],[Type]]&gt;0,VLOOKUP(_1_54128456121462410464578910174567[[#This Row],[Type]],Main[[#All],[TYPE]:[UNIT]],'Unit Price'!D$1,FALSE),0)</f>
        <v>0</v>
      </c>
      <c r="I312" s="194">
        <f>IF(_1_54128456121462410464578910174567[[#This Row],[Type]]&gt;0,VLOOKUP(_1_54128456121462410464578910174567[[#This Row],[Type]],Main[[#All],[TYPE]:[UNIT]],'Unit Price'!G$1,FALSE),0)</f>
        <v>0</v>
      </c>
      <c r="J312" s="194">
        <f>IF(_1_54128456121462410464578910174567[[#This Row],[Type]]&gt;0,VLOOKUP(_1_54128456121462410464578910174567[[#This Row],[Type]],Main[[#All],[TYPE]:[UNIT]],'Unit Price'!H$1,FALSE),0)</f>
        <v>0</v>
      </c>
      <c r="K312" s="194">
        <f>IF(_1_54128456121462410464578910174567[[#This Row],[Discount selection]]&gt;0,VLOOKUP(_1_54128456121462410464578910174567[[#This Row],[Discount selection]],'Discount Structure'!$A$2:$B$30,2,"false"),0)</f>
        <v>1</v>
      </c>
      <c r="L312" s="194">
        <f>_1_54128456121462410464578910174567[[#This Row],[LIST $]]*_1_54128456121462410464578910174567[[#This Row],[DISCOUNT]]*_1_54128456121462410464578910174567[[#This Row],[DISCOUNT 2]]</f>
        <v>0</v>
      </c>
      <c r="M312" s="194">
        <f>IF(OR(_1_54128456121462410464578910174567[[#This Row],[UNIT]]&gt;0,_1_54128456121462410464578910174567[[#This Row],[UNIT]]&lt;0),_1_54128456121462410464578910174567[[#This Row],[UNIT]]*_1_54128456121462410464578910174567[[#This Row],[COST]],0)</f>
        <v>0</v>
      </c>
      <c r="N312" s="194">
        <f t="shared" si="4"/>
        <v>1.3</v>
      </c>
      <c r="O312" s="198">
        <f>_1_54128456121462410464578910174567[[#This Row],[TOTAL]]*_1_54128456121462410464578910174567[[#This Row],[MARGIN]]</f>
        <v>0</v>
      </c>
      <c r="R312" s="41"/>
    </row>
    <row r="313" spans="1:18">
      <c r="A313" s="323"/>
      <c r="B313" s="323"/>
      <c r="C313" s="328"/>
      <c r="D313" s="188"/>
      <c r="F313" s="168" t="s">
        <v>6202</v>
      </c>
      <c r="G313" s="193">
        <f>IF(_1_54128456121462410464578910174567[[#This Row],[Type]]&gt;0,VLOOKUP(_1_54128456121462410464578910174567[[#This Row],[Type]],Main[[#All],[TYPE]:[UNIT]],'Unit Price'!C$1,FALSE),0)</f>
        <v>0</v>
      </c>
      <c r="H313" s="197">
        <f>IF(_1_54128456121462410464578910174567[[#This Row],[Type]]&gt;0,VLOOKUP(_1_54128456121462410464578910174567[[#This Row],[Type]],Main[[#All],[TYPE]:[UNIT]],'Unit Price'!D$1,FALSE),0)</f>
        <v>0</v>
      </c>
      <c r="I313" s="194">
        <f>IF(_1_54128456121462410464578910174567[[#This Row],[Type]]&gt;0,VLOOKUP(_1_54128456121462410464578910174567[[#This Row],[Type]],Main[[#All],[TYPE]:[UNIT]],'Unit Price'!G$1,FALSE),0)</f>
        <v>0</v>
      </c>
      <c r="J313" s="194">
        <f>IF(_1_54128456121462410464578910174567[[#This Row],[Type]]&gt;0,VLOOKUP(_1_54128456121462410464578910174567[[#This Row],[Type]],Main[[#All],[TYPE]:[UNIT]],'Unit Price'!H$1,FALSE),0)</f>
        <v>0</v>
      </c>
      <c r="K313" s="194">
        <f>IF(_1_54128456121462410464578910174567[[#This Row],[Discount selection]]&gt;0,VLOOKUP(_1_54128456121462410464578910174567[[#This Row],[Discount selection]],'Discount Structure'!$A$2:$B$30,2,"false"),0)</f>
        <v>1</v>
      </c>
      <c r="L313" s="194">
        <f>_1_54128456121462410464578910174567[[#This Row],[LIST $]]*_1_54128456121462410464578910174567[[#This Row],[DISCOUNT]]*_1_54128456121462410464578910174567[[#This Row],[DISCOUNT 2]]</f>
        <v>0</v>
      </c>
      <c r="M313" s="194">
        <f>IF(OR(_1_54128456121462410464578910174567[[#This Row],[UNIT]]&gt;0,_1_54128456121462410464578910174567[[#This Row],[UNIT]]&lt;0),_1_54128456121462410464578910174567[[#This Row],[UNIT]]*_1_54128456121462410464578910174567[[#This Row],[COST]],0)</f>
        <v>0</v>
      </c>
      <c r="N313" s="194">
        <f t="shared" si="4"/>
        <v>1.3</v>
      </c>
      <c r="O313" s="198">
        <f>_1_54128456121462410464578910174567[[#This Row],[TOTAL]]*_1_54128456121462410464578910174567[[#This Row],[MARGIN]]</f>
        <v>0</v>
      </c>
      <c r="R313" s="41"/>
    </row>
    <row r="314" spans="1:18">
      <c r="A314" s="323"/>
      <c r="B314" s="323"/>
      <c r="C314" s="328"/>
      <c r="D314" s="188"/>
      <c r="F314" s="168" t="s">
        <v>6202</v>
      </c>
      <c r="G314" s="205">
        <f>IF(_1_54128456121462410464578910174567[[#This Row],[Type]]&gt;0,VLOOKUP(_1_54128456121462410464578910174567[[#This Row],[Type]],Main[[#All],[TYPE]:[UNIT]],'Unit Price'!C$1,FALSE),0)</f>
        <v>0</v>
      </c>
      <c r="H314" s="197">
        <f>IF(_1_54128456121462410464578910174567[[#This Row],[Type]]&gt;0,VLOOKUP(_1_54128456121462410464578910174567[[#This Row],[Type]],Main[[#All],[TYPE]:[UNIT]],'Unit Price'!D$1,FALSE),0)</f>
        <v>0</v>
      </c>
      <c r="I314" s="194">
        <f>IF(_1_54128456121462410464578910174567[[#This Row],[Type]]&gt;0,VLOOKUP(_1_54128456121462410464578910174567[[#This Row],[Type]],Main[[#All],[TYPE]:[UNIT]],'Unit Price'!G$1,FALSE),0)</f>
        <v>0</v>
      </c>
      <c r="J314" s="194">
        <f>IF(_1_54128456121462410464578910174567[[#This Row],[Type]]&gt;0,VLOOKUP(_1_54128456121462410464578910174567[[#This Row],[Type]],Main[[#All],[TYPE]:[UNIT]],'Unit Price'!H$1,FALSE),0)</f>
        <v>0</v>
      </c>
      <c r="K314" s="194">
        <f>IF(_1_54128456121462410464578910174567[[#This Row],[Discount selection]]&gt;0,VLOOKUP(_1_54128456121462410464578910174567[[#This Row],[Discount selection]],'Discount Structure'!$A$2:$B$30,2,"false"),0)</f>
        <v>1</v>
      </c>
      <c r="L314" s="194">
        <f>_1_54128456121462410464578910174567[[#This Row],[LIST $]]*_1_54128456121462410464578910174567[[#This Row],[DISCOUNT]]*_1_54128456121462410464578910174567[[#This Row],[DISCOUNT 2]]</f>
        <v>0</v>
      </c>
      <c r="M314" s="194">
        <f>IF(OR(_1_54128456121462410464578910174567[[#This Row],[UNIT]]&gt;0,_1_54128456121462410464578910174567[[#This Row],[UNIT]]&lt;0),_1_54128456121462410464578910174567[[#This Row],[UNIT]]*_1_54128456121462410464578910174567[[#This Row],[COST]],0)</f>
        <v>0</v>
      </c>
      <c r="N314" s="194">
        <f t="shared" si="4"/>
        <v>1.3</v>
      </c>
      <c r="O314" s="198">
        <f>_1_54128456121462410464578910174567[[#This Row],[TOTAL]]*_1_54128456121462410464578910174567[[#This Row],[MARGIN]]</f>
        <v>0</v>
      </c>
      <c r="R314" s="41"/>
    </row>
    <row r="315" spans="1:18">
      <c r="D315" s="188"/>
      <c r="F315" s="168" t="s">
        <v>6202</v>
      </c>
      <c r="G315" s="193">
        <f>IF(_1_54128456121462410464578910174567[[#This Row],[Type]]&gt;0,VLOOKUP(_1_54128456121462410464578910174567[[#This Row],[Type]],Main[[#All],[TYPE]:[UNIT]],'Unit Price'!C$1,FALSE),0)</f>
        <v>0</v>
      </c>
      <c r="H315" s="197">
        <f>IF(_1_54128456121462410464578910174567[[#This Row],[Type]]&gt;0,VLOOKUP(_1_54128456121462410464578910174567[[#This Row],[Type]],Main[[#All],[TYPE]:[UNIT]],'Unit Price'!D$1,FALSE),0)</f>
        <v>0</v>
      </c>
      <c r="I315" s="194">
        <f>IF(_1_54128456121462410464578910174567[[#This Row],[Type]]&gt;0,VLOOKUP(_1_54128456121462410464578910174567[[#This Row],[Type]],Main[[#All],[TYPE]:[UNIT]],'Unit Price'!G$1,FALSE),0)</f>
        <v>0</v>
      </c>
      <c r="J315" s="194">
        <f>IF(_1_54128456121462410464578910174567[[#This Row],[Type]]&gt;0,VLOOKUP(_1_54128456121462410464578910174567[[#This Row],[Type]],Main[[#All],[TYPE]:[UNIT]],'Unit Price'!H$1,FALSE),0)</f>
        <v>0</v>
      </c>
      <c r="K315" s="194">
        <f>IF(_1_54128456121462410464578910174567[[#This Row],[Discount selection]]&gt;0,VLOOKUP(_1_54128456121462410464578910174567[[#This Row],[Discount selection]],'Discount Structure'!$A$2:$B$30,2,"false"),0)</f>
        <v>1</v>
      </c>
      <c r="L315" s="194">
        <f>_1_54128456121462410464578910174567[[#This Row],[LIST $]]*_1_54128456121462410464578910174567[[#This Row],[DISCOUNT]]*_1_54128456121462410464578910174567[[#This Row],[DISCOUNT 2]]</f>
        <v>0</v>
      </c>
      <c r="M315" s="194">
        <f>IF(OR(_1_54128456121462410464578910174567[[#This Row],[UNIT]]&gt;0,_1_54128456121462410464578910174567[[#This Row],[UNIT]]&lt;0),_1_54128456121462410464578910174567[[#This Row],[UNIT]]*_1_54128456121462410464578910174567[[#This Row],[COST]],0)</f>
        <v>0</v>
      </c>
      <c r="N315" s="194">
        <f t="shared" si="4"/>
        <v>1.3</v>
      </c>
      <c r="O315" s="198">
        <f>_1_54128456121462410464578910174567[[#This Row],[TOTAL]]*_1_54128456121462410464578910174567[[#This Row],[MARGIN]]</f>
        <v>0</v>
      </c>
      <c r="R315" s="41"/>
    </row>
    <row r="316" spans="1:18">
      <c r="A316" s="328"/>
      <c r="B316" s="323"/>
      <c r="C316" s="326"/>
      <c r="D316" s="188"/>
      <c r="F316" s="168" t="s">
        <v>6202</v>
      </c>
      <c r="G316" s="193">
        <f>IF(_1_54128456121462410464578910174567[[#This Row],[Type]]&gt;0,VLOOKUP(_1_54128456121462410464578910174567[[#This Row],[Type]],Main[[#All],[TYPE]:[UNIT]],'Unit Price'!C$1,FALSE),0)</f>
        <v>0</v>
      </c>
      <c r="H316" s="197">
        <f>IF(_1_54128456121462410464578910174567[[#This Row],[Type]]&gt;0,VLOOKUP(_1_54128456121462410464578910174567[[#This Row],[Type]],Main[[#All],[TYPE]:[UNIT]],'Unit Price'!D$1,FALSE),0)</f>
        <v>0</v>
      </c>
      <c r="I316" s="194">
        <f>IF(_1_54128456121462410464578910174567[[#This Row],[Type]]&gt;0,VLOOKUP(_1_54128456121462410464578910174567[[#This Row],[Type]],Main[[#All],[TYPE]:[UNIT]],'Unit Price'!G$1,FALSE),0)</f>
        <v>0</v>
      </c>
      <c r="J316" s="194">
        <f>IF(_1_54128456121462410464578910174567[[#This Row],[Type]]&gt;0,VLOOKUP(_1_54128456121462410464578910174567[[#This Row],[Type]],Main[[#All],[TYPE]:[UNIT]],'Unit Price'!H$1,FALSE),0)</f>
        <v>0</v>
      </c>
      <c r="K316" s="194">
        <f>IF(_1_54128456121462410464578910174567[[#This Row],[Discount selection]]&gt;0,VLOOKUP(_1_54128456121462410464578910174567[[#This Row],[Discount selection]],'Discount Structure'!$A$2:$B$30,2,"false"),0)</f>
        <v>1</v>
      </c>
      <c r="L316" s="194">
        <f>_1_54128456121462410464578910174567[[#This Row],[LIST $]]*_1_54128456121462410464578910174567[[#This Row],[DISCOUNT]]*_1_54128456121462410464578910174567[[#This Row],[DISCOUNT 2]]</f>
        <v>0</v>
      </c>
      <c r="M316" s="194">
        <f>IF(OR(_1_54128456121462410464578910174567[[#This Row],[UNIT]]&gt;0,_1_54128456121462410464578910174567[[#This Row],[UNIT]]&lt;0),_1_54128456121462410464578910174567[[#This Row],[UNIT]]*_1_54128456121462410464578910174567[[#This Row],[COST]],0)</f>
        <v>0</v>
      </c>
      <c r="N316" s="194">
        <f t="shared" si="4"/>
        <v>1.3</v>
      </c>
      <c r="O316" s="198">
        <f>_1_54128456121462410464578910174567[[#This Row],[TOTAL]]*_1_54128456121462410464578910174567[[#This Row],[MARGIN]]</f>
        <v>0</v>
      </c>
      <c r="R316" s="41"/>
    </row>
    <row r="317" spans="1:18">
      <c r="C317" s="328"/>
      <c r="D317" s="188"/>
      <c r="F317" s="168" t="s">
        <v>6202</v>
      </c>
      <c r="G317" s="193">
        <f>IF(_1_54128456121462410464578910174567[[#This Row],[Type]]&gt;0,VLOOKUP(_1_54128456121462410464578910174567[[#This Row],[Type]],Main[[#All],[TYPE]:[UNIT]],'Unit Price'!C$1,FALSE),0)</f>
        <v>0</v>
      </c>
      <c r="H317" s="197">
        <f>IF(_1_54128456121462410464578910174567[[#This Row],[Type]]&gt;0,VLOOKUP(_1_54128456121462410464578910174567[[#This Row],[Type]],Main[[#All],[TYPE]:[UNIT]],'Unit Price'!D$1,FALSE),0)</f>
        <v>0</v>
      </c>
      <c r="I317" s="194">
        <f>IF(_1_54128456121462410464578910174567[[#This Row],[Type]]&gt;0,VLOOKUP(_1_54128456121462410464578910174567[[#This Row],[Type]],Main[[#All],[TYPE]:[UNIT]],'Unit Price'!G$1,FALSE),0)</f>
        <v>0</v>
      </c>
      <c r="J317" s="194">
        <f>IF(_1_54128456121462410464578910174567[[#This Row],[Type]]&gt;0,VLOOKUP(_1_54128456121462410464578910174567[[#This Row],[Type]],Main[[#All],[TYPE]:[UNIT]],'Unit Price'!H$1,FALSE),0)</f>
        <v>0</v>
      </c>
      <c r="K317" s="194">
        <f>IF(_1_54128456121462410464578910174567[[#This Row],[Discount selection]]&gt;0,VLOOKUP(_1_54128456121462410464578910174567[[#This Row],[Discount selection]],'Discount Structure'!$A$2:$B$30,2,"false"),0)</f>
        <v>1</v>
      </c>
      <c r="L317" s="194">
        <f>_1_54128456121462410464578910174567[[#This Row],[LIST $]]*_1_54128456121462410464578910174567[[#This Row],[DISCOUNT]]*_1_54128456121462410464578910174567[[#This Row],[DISCOUNT 2]]</f>
        <v>0</v>
      </c>
      <c r="M317" s="194">
        <f>IF(OR(_1_54128456121462410464578910174567[[#This Row],[UNIT]]&gt;0,_1_54128456121462410464578910174567[[#This Row],[UNIT]]&lt;0),_1_54128456121462410464578910174567[[#This Row],[UNIT]]*_1_54128456121462410464578910174567[[#This Row],[COST]],0)</f>
        <v>0</v>
      </c>
      <c r="N317" s="194">
        <f t="shared" si="4"/>
        <v>1.3</v>
      </c>
      <c r="O317" s="198">
        <f>_1_54128456121462410464578910174567[[#This Row],[TOTAL]]*_1_54128456121462410464578910174567[[#This Row],[MARGIN]]</f>
        <v>0</v>
      </c>
      <c r="R317" s="41"/>
    </row>
    <row r="318" spans="1:18">
      <c r="D318" s="188"/>
      <c r="F318" s="168" t="s">
        <v>6202</v>
      </c>
      <c r="G318" s="193">
        <f>IF(_1_54128456121462410464578910174567[[#This Row],[Type]]&gt;0,VLOOKUP(_1_54128456121462410464578910174567[[#This Row],[Type]],Main[[#All],[TYPE]:[UNIT]],'Unit Price'!C$1,FALSE),0)</f>
        <v>0</v>
      </c>
      <c r="H318" s="197">
        <f>IF(_1_54128456121462410464578910174567[[#This Row],[Type]]&gt;0,VLOOKUP(_1_54128456121462410464578910174567[[#This Row],[Type]],Main[[#All],[TYPE]:[UNIT]],'Unit Price'!D$1,FALSE),0)</f>
        <v>0</v>
      </c>
      <c r="I318" s="194">
        <f>IF(_1_54128456121462410464578910174567[[#This Row],[Type]]&gt;0,VLOOKUP(_1_54128456121462410464578910174567[[#This Row],[Type]],Main[[#All],[TYPE]:[UNIT]],'Unit Price'!G$1,FALSE),0)</f>
        <v>0</v>
      </c>
      <c r="J318" s="194">
        <f>IF(_1_54128456121462410464578910174567[[#This Row],[Type]]&gt;0,VLOOKUP(_1_54128456121462410464578910174567[[#This Row],[Type]],Main[[#All],[TYPE]:[UNIT]],'Unit Price'!H$1,FALSE),0)</f>
        <v>0</v>
      </c>
      <c r="K318" s="194">
        <f>IF(_1_54128456121462410464578910174567[[#This Row],[Discount selection]]&gt;0,VLOOKUP(_1_54128456121462410464578910174567[[#This Row],[Discount selection]],'Discount Structure'!$A$2:$B$30,2,"false"),0)</f>
        <v>1</v>
      </c>
      <c r="L318" s="194">
        <f>_1_54128456121462410464578910174567[[#This Row],[LIST $]]*_1_54128456121462410464578910174567[[#This Row],[DISCOUNT]]*_1_54128456121462410464578910174567[[#This Row],[DISCOUNT 2]]</f>
        <v>0</v>
      </c>
      <c r="M318" s="194">
        <f>IF(OR(_1_54128456121462410464578910174567[[#This Row],[UNIT]]&gt;0,_1_54128456121462410464578910174567[[#This Row],[UNIT]]&lt;0),_1_54128456121462410464578910174567[[#This Row],[UNIT]]*_1_54128456121462410464578910174567[[#This Row],[COST]],0)</f>
        <v>0</v>
      </c>
      <c r="N318" s="194">
        <f t="shared" si="4"/>
        <v>1.3</v>
      </c>
      <c r="O318" s="198">
        <f>_1_54128456121462410464578910174567[[#This Row],[TOTAL]]*_1_54128456121462410464578910174567[[#This Row],[MARGIN]]</f>
        <v>0</v>
      </c>
      <c r="R318" s="41"/>
    </row>
    <row r="319" spans="1:18">
      <c r="A319" s="353"/>
      <c r="D319" s="188"/>
      <c r="F319" s="168" t="s">
        <v>6202</v>
      </c>
      <c r="G319" s="193">
        <f>IF(_1_54128456121462410464578910174567[[#This Row],[Type]]&gt;0,VLOOKUP(_1_54128456121462410464578910174567[[#This Row],[Type]],Main[[#All],[TYPE]:[UNIT]],'Unit Price'!C$1,FALSE),0)</f>
        <v>0</v>
      </c>
      <c r="H319" s="197">
        <f>IF(_1_54128456121462410464578910174567[[#This Row],[Type]]&gt;0,VLOOKUP(_1_54128456121462410464578910174567[[#This Row],[Type]],Main[[#All],[TYPE]:[UNIT]],'Unit Price'!D$1,FALSE),0)</f>
        <v>0</v>
      </c>
      <c r="I319" s="194">
        <f>IF(_1_54128456121462410464578910174567[[#This Row],[Type]]&gt;0,VLOOKUP(_1_54128456121462410464578910174567[[#This Row],[Type]],Main[[#All],[TYPE]:[UNIT]],'Unit Price'!G$1,FALSE),0)</f>
        <v>0</v>
      </c>
      <c r="J319" s="194">
        <f>IF(_1_54128456121462410464578910174567[[#This Row],[Type]]&gt;0,VLOOKUP(_1_54128456121462410464578910174567[[#This Row],[Type]],Main[[#All],[TYPE]:[UNIT]],'Unit Price'!H$1,FALSE),0)</f>
        <v>0</v>
      </c>
      <c r="K319" s="194">
        <f>IF(_1_54128456121462410464578910174567[[#This Row],[Discount selection]]&gt;0,VLOOKUP(_1_54128456121462410464578910174567[[#This Row],[Discount selection]],'Discount Structure'!$A$2:$B$30,2,"false"),0)</f>
        <v>1</v>
      </c>
      <c r="L319" s="194">
        <f>_1_54128456121462410464578910174567[[#This Row],[LIST $]]*_1_54128456121462410464578910174567[[#This Row],[DISCOUNT]]*_1_54128456121462410464578910174567[[#This Row],[DISCOUNT 2]]</f>
        <v>0</v>
      </c>
      <c r="M319" s="194">
        <f>IF(OR(_1_54128456121462410464578910174567[[#This Row],[UNIT]]&gt;0,_1_54128456121462410464578910174567[[#This Row],[UNIT]]&lt;0),_1_54128456121462410464578910174567[[#This Row],[UNIT]]*_1_54128456121462410464578910174567[[#This Row],[COST]],0)</f>
        <v>0</v>
      </c>
      <c r="N319" s="194">
        <f t="shared" si="4"/>
        <v>1.3</v>
      </c>
      <c r="O319" s="198">
        <f>_1_54128456121462410464578910174567[[#This Row],[TOTAL]]*_1_54128456121462410464578910174567[[#This Row],[MARGIN]]</f>
        <v>0</v>
      </c>
      <c r="R319" s="41"/>
    </row>
    <row r="320" spans="1:18">
      <c r="B320" s="326"/>
      <c r="C320" s="326"/>
      <c r="D320" s="188"/>
      <c r="F320" s="168" t="s">
        <v>6202</v>
      </c>
      <c r="G320" s="193">
        <f>IF(_1_54128456121462410464578910174567[[#This Row],[Type]]&gt;0,VLOOKUP(_1_54128456121462410464578910174567[[#This Row],[Type]],Main[[#All],[TYPE]:[UNIT]],'Unit Price'!C$1,FALSE),0)</f>
        <v>0</v>
      </c>
      <c r="H320" s="197">
        <f>IF(_1_54128456121462410464578910174567[[#This Row],[Type]]&gt;0,VLOOKUP(_1_54128456121462410464578910174567[[#This Row],[Type]],Main[[#All],[TYPE]:[UNIT]],'Unit Price'!D$1,FALSE),0)</f>
        <v>0</v>
      </c>
      <c r="I320" s="194">
        <f>IF(_1_54128456121462410464578910174567[[#This Row],[Type]]&gt;0,VLOOKUP(_1_54128456121462410464578910174567[[#This Row],[Type]],Main[[#All],[TYPE]:[UNIT]],'Unit Price'!G$1,FALSE),0)</f>
        <v>0</v>
      </c>
      <c r="J320" s="194">
        <f>IF(_1_54128456121462410464578910174567[[#This Row],[Type]]&gt;0,VLOOKUP(_1_54128456121462410464578910174567[[#This Row],[Type]],Main[[#All],[TYPE]:[UNIT]],'Unit Price'!H$1,FALSE),0)</f>
        <v>0</v>
      </c>
      <c r="K320" s="194">
        <f>IF(_1_54128456121462410464578910174567[[#This Row],[Discount selection]]&gt;0,VLOOKUP(_1_54128456121462410464578910174567[[#This Row],[Discount selection]],'Discount Structure'!$A$2:$B$30,2,"false"),0)</f>
        <v>1</v>
      </c>
      <c r="L320" s="194">
        <f>_1_54128456121462410464578910174567[[#This Row],[LIST $]]*_1_54128456121462410464578910174567[[#This Row],[DISCOUNT]]*_1_54128456121462410464578910174567[[#This Row],[DISCOUNT 2]]</f>
        <v>0</v>
      </c>
      <c r="M320" s="194">
        <f>IF(OR(_1_54128456121462410464578910174567[[#This Row],[UNIT]]&gt;0,_1_54128456121462410464578910174567[[#This Row],[UNIT]]&lt;0),_1_54128456121462410464578910174567[[#This Row],[UNIT]]*_1_54128456121462410464578910174567[[#This Row],[COST]],0)</f>
        <v>0</v>
      </c>
      <c r="N320" s="194">
        <f t="shared" si="4"/>
        <v>1.3</v>
      </c>
      <c r="O320" s="198">
        <f>_1_54128456121462410464578910174567[[#This Row],[TOTAL]]*_1_54128456121462410464578910174567[[#This Row],[MARGIN]]</f>
        <v>0</v>
      </c>
      <c r="R320" s="41"/>
    </row>
    <row r="321" spans="1:18">
      <c r="A321" s="168"/>
      <c r="B321" s="168"/>
      <c r="C321" s="168"/>
      <c r="D321" s="188"/>
      <c r="F321" s="168" t="s">
        <v>6202</v>
      </c>
      <c r="G321" s="193">
        <f>IF(_1_54128456121462410464578910174567[[#This Row],[Type]]&gt;0,VLOOKUP(_1_54128456121462410464578910174567[[#This Row],[Type]],Main[[#All],[TYPE]:[UNIT]],'Unit Price'!C$1,FALSE),0)</f>
        <v>0</v>
      </c>
      <c r="H321" s="197">
        <f>IF(_1_54128456121462410464578910174567[[#This Row],[Type]]&gt;0,VLOOKUP(_1_54128456121462410464578910174567[[#This Row],[Type]],Main[[#All],[TYPE]:[UNIT]],'Unit Price'!D$1,FALSE),0)</f>
        <v>0</v>
      </c>
      <c r="I321" s="194">
        <f>IF(_1_54128456121462410464578910174567[[#This Row],[Type]]&gt;0,VLOOKUP(_1_54128456121462410464578910174567[[#This Row],[Type]],Main[[#All],[TYPE]:[UNIT]],'Unit Price'!G$1,FALSE),0)</f>
        <v>0</v>
      </c>
      <c r="J321" s="194">
        <f>IF(_1_54128456121462410464578910174567[[#This Row],[Type]]&gt;0,VLOOKUP(_1_54128456121462410464578910174567[[#This Row],[Type]],Main[[#All],[TYPE]:[UNIT]],'Unit Price'!H$1,FALSE),0)</f>
        <v>0</v>
      </c>
      <c r="K321" s="194">
        <f>IF(_1_54128456121462410464578910174567[[#This Row],[Discount selection]]&gt;0,VLOOKUP(_1_54128456121462410464578910174567[[#This Row],[Discount selection]],'Discount Structure'!$A$2:$B$30,2,"false"),0)</f>
        <v>1</v>
      </c>
      <c r="L321" s="194">
        <f>_1_54128456121462410464578910174567[[#This Row],[LIST $]]*_1_54128456121462410464578910174567[[#This Row],[DISCOUNT]]*_1_54128456121462410464578910174567[[#This Row],[DISCOUNT 2]]</f>
        <v>0</v>
      </c>
      <c r="M321" s="194">
        <f>IF(OR(_1_54128456121462410464578910174567[[#This Row],[UNIT]]&gt;0,_1_54128456121462410464578910174567[[#This Row],[UNIT]]&lt;0),_1_54128456121462410464578910174567[[#This Row],[UNIT]]*_1_54128456121462410464578910174567[[#This Row],[COST]],0)</f>
        <v>0</v>
      </c>
      <c r="N321" s="194">
        <f t="shared" si="4"/>
        <v>1.3</v>
      </c>
      <c r="O321" s="198">
        <f>_1_54128456121462410464578910174567[[#This Row],[TOTAL]]*_1_54128456121462410464578910174567[[#This Row],[MARGIN]]</f>
        <v>0</v>
      </c>
      <c r="R321" s="41"/>
    </row>
    <row r="322" spans="1:18">
      <c r="A322" s="327"/>
      <c r="B322" s="326"/>
      <c r="C322" s="326"/>
      <c r="D322" s="188"/>
      <c r="F322" s="168" t="s">
        <v>6202</v>
      </c>
      <c r="G322" s="193">
        <f>IF(_1_54128456121462410464578910174567[[#This Row],[Type]]&gt;0,VLOOKUP(_1_54128456121462410464578910174567[[#This Row],[Type]],Main[[#All],[TYPE]:[UNIT]],'Unit Price'!C$1,FALSE),0)</f>
        <v>0</v>
      </c>
      <c r="H322" s="197">
        <f>IF(_1_54128456121462410464578910174567[[#This Row],[Type]]&gt;0,VLOOKUP(_1_54128456121462410464578910174567[[#This Row],[Type]],Main[[#All],[TYPE]:[UNIT]],'Unit Price'!D$1,FALSE),0)</f>
        <v>0</v>
      </c>
      <c r="I322" s="194">
        <f>IF(_1_54128456121462410464578910174567[[#This Row],[Type]]&gt;0,VLOOKUP(_1_54128456121462410464578910174567[[#This Row],[Type]],Main[[#All],[TYPE]:[UNIT]],'Unit Price'!G$1,FALSE),0)</f>
        <v>0</v>
      </c>
      <c r="J322" s="194">
        <f>IF(_1_54128456121462410464578910174567[[#This Row],[Type]]&gt;0,VLOOKUP(_1_54128456121462410464578910174567[[#This Row],[Type]],Main[[#All],[TYPE]:[UNIT]],'Unit Price'!H$1,FALSE),0)</f>
        <v>0</v>
      </c>
      <c r="K322" s="194">
        <f>IF(_1_54128456121462410464578910174567[[#This Row],[Discount selection]]&gt;0,VLOOKUP(_1_54128456121462410464578910174567[[#This Row],[Discount selection]],'Discount Structure'!$A$2:$B$30,2,"false"),0)</f>
        <v>1</v>
      </c>
      <c r="L322" s="194">
        <f>_1_54128456121462410464578910174567[[#This Row],[LIST $]]*_1_54128456121462410464578910174567[[#This Row],[DISCOUNT]]*_1_54128456121462410464578910174567[[#This Row],[DISCOUNT 2]]</f>
        <v>0</v>
      </c>
      <c r="M322" s="194">
        <f>IF(OR(_1_54128456121462410464578910174567[[#This Row],[UNIT]]&gt;0,_1_54128456121462410464578910174567[[#This Row],[UNIT]]&lt;0),_1_54128456121462410464578910174567[[#This Row],[UNIT]]*_1_54128456121462410464578910174567[[#This Row],[COST]],0)</f>
        <v>0</v>
      </c>
      <c r="N322" s="194">
        <f t="shared" si="4"/>
        <v>1.3</v>
      </c>
      <c r="O322" s="198">
        <f>_1_54128456121462410464578910174567[[#This Row],[TOTAL]]*_1_54128456121462410464578910174567[[#This Row],[MARGIN]]</f>
        <v>0</v>
      </c>
      <c r="R322" s="41"/>
    </row>
    <row r="323" spans="1:18">
      <c r="A323" s="326"/>
      <c r="B323" s="353"/>
      <c r="C323" s="323"/>
      <c r="D323" s="188"/>
      <c r="F323" s="168" t="s">
        <v>6202</v>
      </c>
      <c r="G323" s="193">
        <f>IF(_1_54128456121462410464578910174567[[#This Row],[Type]]&gt;0,VLOOKUP(_1_54128456121462410464578910174567[[#This Row],[Type]],Main[[#All],[TYPE]:[UNIT]],'Unit Price'!C$1,FALSE),0)</f>
        <v>0</v>
      </c>
      <c r="H323" s="197">
        <f>IF(_1_54128456121462410464578910174567[[#This Row],[Type]]&gt;0,VLOOKUP(_1_54128456121462410464578910174567[[#This Row],[Type]],Main[[#All],[TYPE]:[UNIT]],'Unit Price'!D$1,FALSE),0)</f>
        <v>0</v>
      </c>
      <c r="I323" s="194">
        <f>IF(_1_54128456121462410464578910174567[[#This Row],[Type]]&gt;0,VLOOKUP(_1_54128456121462410464578910174567[[#This Row],[Type]],Main[[#All],[TYPE]:[UNIT]],'Unit Price'!G$1,FALSE),0)</f>
        <v>0</v>
      </c>
      <c r="J323" s="194">
        <f>IF(_1_54128456121462410464578910174567[[#This Row],[Type]]&gt;0,VLOOKUP(_1_54128456121462410464578910174567[[#This Row],[Type]],Main[[#All],[TYPE]:[UNIT]],'Unit Price'!H$1,FALSE),0)</f>
        <v>0</v>
      </c>
      <c r="K323" s="194">
        <f>IF(_1_54128456121462410464578910174567[[#This Row],[Discount selection]]&gt;0,VLOOKUP(_1_54128456121462410464578910174567[[#This Row],[Discount selection]],'Discount Structure'!$A$2:$B$30,2,"false"),0)</f>
        <v>1</v>
      </c>
      <c r="L323" s="194">
        <f>_1_54128456121462410464578910174567[[#This Row],[LIST $]]*_1_54128456121462410464578910174567[[#This Row],[DISCOUNT]]*_1_54128456121462410464578910174567[[#This Row],[DISCOUNT 2]]</f>
        <v>0</v>
      </c>
      <c r="M323" s="194">
        <f>IF(OR(_1_54128456121462410464578910174567[[#This Row],[UNIT]]&gt;0,_1_54128456121462410464578910174567[[#This Row],[UNIT]]&lt;0),_1_54128456121462410464578910174567[[#This Row],[UNIT]]*_1_54128456121462410464578910174567[[#This Row],[COST]],0)</f>
        <v>0</v>
      </c>
      <c r="N323" s="194">
        <f t="shared" si="4"/>
        <v>1.3</v>
      </c>
      <c r="O323" s="198">
        <f>_1_54128456121462410464578910174567[[#This Row],[TOTAL]]*_1_54128456121462410464578910174567[[#This Row],[MARGIN]]</f>
        <v>0</v>
      </c>
      <c r="R323" s="41"/>
    </row>
    <row r="324" spans="1:18">
      <c r="C324" s="353"/>
      <c r="D324" s="188"/>
      <c r="F324" s="168" t="s">
        <v>6202</v>
      </c>
      <c r="G324" s="205">
        <f>IF(_1_54128456121462410464578910174567[[#This Row],[Type]]&gt;0,VLOOKUP(_1_54128456121462410464578910174567[[#This Row],[Type]],Main[[#All],[TYPE]:[UNIT]],'Unit Price'!C$1,FALSE),0)</f>
        <v>0</v>
      </c>
      <c r="H324" s="197">
        <f>IF(_1_54128456121462410464578910174567[[#This Row],[Type]]&gt;0,VLOOKUP(_1_54128456121462410464578910174567[[#This Row],[Type]],Main[[#All],[TYPE]:[UNIT]],'Unit Price'!D$1,FALSE),0)</f>
        <v>0</v>
      </c>
      <c r="I324" s="194">
        <f>IF(_1_54128456121462410464578910174567[[#This Row],[Type]]&gt;0,VLOOKUP(_1_54128456121462410464578910174567[[#This Row],[Type]],Main[[#All],[TYPE]:[UNIT]],'Unit Price'!G$1,FALSE),0)</f>
        <v>0</v>
      </c>
      <c r="J324" s="194">
        <f>IF(_1_54128456121462410464578910174567[[#This Row],[Type]]&gt;0,VLOOKUP(_1_54128456121462410464578910174567[[#This Row],[Type]],Main[[#All],[TYPE]:[UNIT]],'Unit Price'!H$1,FALSE),0)</f>
        <v>0</v>
      </c>
      <c r="K324" s="194">
        <f>IF(_1_54128456121462410464578910174567[[#This Row],[Discount selection]]&gt;0,VLOOKUP(_1_54128456121462410464578910174567[[#This Row],[Discount selection]],'Discount Structure'!$A$2:$B$30,2,"false"),0)</f>
        <v>1</v>
      </c>
      <c r="L324" s="194">
        <f>_1_54128456121462410464578910174567[[#This Row],[LIST $]]*_1_54128456121462410464578910174567[[#This Row],[DISCOUNT]]*_1_54128456121462410464578910174567[[#This Row],[DISCOUNT 2]]</f>
        <v>0</v>
      </c>
      <c r="M324" s="194">
        <f>IF(OR(_1_54128456121462410464578910174567[[#This Row],[UNIT]]&gt;0,_1_54128456121462410464578910174567[[#This Row],[UNIT]]&lt;0),_1_54128456121462410464578910174567[[#This Row],[UNIT]]*_1_54128456121462410464578910174567[[#This Row],[COST]],0)</f>
        <v>0</v>
      </c>
      <c r="N324" s="194">
        <f t="shared" si="4"/>
        <v>1.3</v>
      </c>
      <c r="O324" s="198">
        <f>_1_54128456121462410464578910174567[[#This Row],[TOTAL]]*_1_54128456121462410464578910174567[[#This Row],[MARGIN]]</f>
        <v>0</v>
      </c>
      <c r="R324" s="41"/>
    </row>
    <row r="325" spans="1:18">
      <c r="D325" s="188"/>
      <c r="F325" s="168" t="s">
        <v>6202</v>
      </c>
      <c r="G325" s="193">
        <f>IF(_1_54128456121462410464578910174567[[#This Row],[Type]]&gt;0,VLOOKUP(_1_54128456121462410464578910174567[[#This Row],[Type]],Main[[#All],[TYPE]:[UNIT]],'Unit Price'!C$1,FALSE),0)</f>
        <v>0</v>
      </c>
      <c r="H325" s="197">
        <f>IF(_1_54128456121462410464578910174567[[#This Row],[Type]]&gt;0,VLOOKUP(_1_54128456121462410464578910174567[[#This Row],[Type]],Main[[#All],[TYPE]:[UNIT]],'Unit Price'!D$1,FALSE),0)</f>
        <v>0</v>
      </c>
      <c r="I325" s="194">
        <f>IF(_1_54128456121462410464578910174567[[#This Row],[Type]]&gt;0,VLOOKUP(_1_54128456121462410464578910174567[[#This Row],[Type]],Main[[#All],[TYPE]:[UNIT]],'Unit Price'!G$1,FALSE),0)</f>
        <v>0</v>
      </c>
      <c r="J325" s="194">
        <f>IF(_1_54128456121462410464578910174567[[#This Row],[Type]]&gt;0,VLOOKUP(_1_54128456121462410464578910174567[[#This Row],[Type]],Main[[#All],[TYPE]:[UNIT]],'Unit Price'!H$1,FALSE),0)</f>
        <v>0</v>
      </c>
      <c r="K325" s="194">
        <f>IF(_1_54128456121462410464578910174567[[#This Row],[Discount selection]]&gt;0,VLOOKUP(_1_54128456121462410464578910174567[[#This Row],[Discount selection]],'Discount Structure'!$A$2:$B$30,2,"false"),0)</f>
        <v>1</v>
      </c>
      <c r="L325" s="194">
        <f>_1_54128456121462410464578910174567[[#This Row],[LIST $]]*_1_54128456121462410464578910174567[[#This Row],[DISCOUNT]]*_1_54128456121462410464578910174567[[#This Row],[DISCOUNT 2]]</f>
        <v>0</v>
      </c>
      <c r="M325" s="194">
        <f>IF(OR(_1_54128456121462410464578910174567[[#This Row],[UNIT]]&gt;0,_1_54128456121462410464578910174567[[#This Row],[UNIT]]&lt;0),_1_54128456121462410464578910174567[[#This Row],[UNIT]]*_1_54128456121462410464578910174567[[#This Row],[COST]],0)</f>
        <v>0</v>
      </c>
      <c r="N325" s="194">
        <f t="shared" si="4"/>
        <v>1.3</v>
      </c>
      <c r="O325" s="198">
        <f>_1_54128456121462410464578910174567[[#This Row],[TOTAL]]*_1_54128456121462410464578910174567[[#This Row],[MARGIN]]</f>
        <v>0</v>
      </c>
      <c r="R325" s="41"/>
    </row>
    <row r="326" spans="1:18">
      <c r="A326" s="323"/>
      <c r="C326" s="353"/>
      <c r="D326" s="188"/>
      <c r="F326" s="168" t="s">
        <v>6202</v>
      </c>
      <c r="G326" s="193">
        <f>IF(_1_54128456121462410464578910174567[[#This Row],[Type]]&gt;0,VLOOKUP(_1_54128456121462410464578910174567[[#This Row],[Type]],Main[[#All],[TYPE]:[UNIT]],'Unit Price'!C$1,FALSE),0)</f>
        <v>0</v>
      </c>
      <c r="H326" s="197">
        <f>IF(_1_54128456121462410464578910174567[[#This Row],[Type]]&gt;0,VLOOKUP(_1_54128456121462410464578910174567[[#This Row],[Type]],Main[[#All],[TYPE]:[UNIT]],'Unit Price'!D$1,FALSE),0)</f>
        <v>0</v>
      </c>
      <c r="I326" s="194">
        <f>IF(_1_54128456121462410464578910174567[[#This Row],[Type]]&gt;0,VLOOKUP(_1_54128456121462410464578910174567[[#This Row],[Type]],Main[[#All],[TYPE]:[UNIT]],'Unit Price'!G$1,FALSE),0)</f>
        <v>0</v>
      </c>
      <c r="J326" s="194">
        <f>IF(_1_54128456121462410464578910174567[[#This Row],[Type]]&gt;0,VLOOKUP(_1_54128456121462410464578910174567[[#This Row],[Type]],Main[[#All],[TYPE]:[UNIT]],'Unit Price'!H$1,FALSE),0)</f>
        <v>0</v>
      </c>
      <c r="K326" s="194">
        <f>IF(_1_54128456121462410464578910174567[[#This Row],[Discount selection]]&gt;0,VLOOKUP(_1_54128456121462410464578910174567[[#This Row],[Discount selection]],'Discount Structure'!$A$2:$B$30,2,"false"),0)</f>
        <v>1</v>
      </c>
      <c r="L326" s="194">
        <f>_1_54128456121462410464578910174567[[#This Row],[LIST $]]*_1_54128456121462410464578910174567[[#This Row],[DISCOUNT]]*_1_54128456121462410464578910174567[[#This Row],[DISCOUNT 2]]</f>
        <v>0</v>
      </c>
      <c r="M326" s="194">
        <f>IF(OR(_1_54128456121462410464578910174567[[#This Row],[UNIT]]&gt;0,_1_54128456121462410464578910174567[[#This Row],[UNIT]]&lt;0),_1_54128456121462410464578910174567[[#This Row],[UNIT]]*_1_54128456121462410464578910174567[[#This Row],[COST]],0)</f>
        <v>0</v>
      </c>
      <c r="N326" s="194">
        <f t="shared" si="4"/>
        <v>1.3</v>
      </c>
      <c r="O326" s="198">
        <f>_1_54128456121462410464578910174567[[#This Row],[TOTAL]]*_1_54128456121462410464578910174567[[#This Row],[MARGIN]]</f>
        <v>0</v>
      </c>
      <c r="R326" s="41"/>
    </row>
    <row r="327" spans="1:18">
      <c r="B327" s="353"/>
      <c r="D327" s="188"/>
      <c r="F327" s="168" t="s">
        <v>6202</v>
      </c>
      <c r="G327" s="193">
        <f>IF(_1_54128456121462410464578910174567[[#This Row],[Type]]&gt;0,VLOOKUP(_1_54128456121462410464578910174567[[#This Row],[Type]],Main[[#All],[TYPE]:[UNIT]],'Unit Price'!C$1,FALSE),0)</f>
        <v>0</v>
      </c>
      <c r="H327" s="197">
        <f>IF(_1_54128456121462410464578910174567[[#This Row],[Type]]&gt;0,VLOOKUP(_1_54128456121462410464578910174567[[#This Row],[Type]],Main[[#All],[TYPE]:[UNIT]],'Unit Price'!D$1,FALSE),0)</f>
        <v>0</v>
      </c>
      <c r="I327" s="194">
        <f>IF(_1_54128456121462410464578910174567[[#This Row],[Type]]&gt;0,VLOOKUP(_1_54128456121462410464578910174567[[#This Row],[Type]],Main[[#All],[TYPE]:[UNIT]],'Unit Price'!G$1,FALSE),0)</f>
        <v>0</v>
      </c>
      <c r="J327" s="194">
        <f>IF(_1_54128456121462410464578910174567[[#This Row],[Type]]&gt;0,VLOOKUP(_1_54128456121462410464578910174567[[#This Row],[Type]],Main[[#All],[TYPE]:[UNIT]],'Unit Price'!H$1,FALSE),0)</f>
        <v>0</v>
      </c>
      <c r="K327" s="194">
        <f>IF(_1_54128456121462410464578910174567[[#This Row],[Discount selection]]&gt;0,VLOOKUP(_1_54128456121462410464578910174567[[#This Row],[Discount selection]],'Discount Structure'!$A$2:$B$30,2,"false"),0)</f>
        <v>1</v>
      </c>
      <c r="L327" s="194">
        <f>_1_54128456121462410464578910174567[[#This Row],[LIST $]]*_1_54128456121462410464578910174567[[#This Row],[DISCOUNT]]*_1_54128456121462410464578910174567[[#This Row],[DISCOUNT 2]]</f>
        <v>0</v>
      </c>
      <c r="M327" s="194">
        <f>IF(OR(_1_54128456121462410464578910174567[[#This Row],[UNIT]]&gt;0,_1_54128456121462410464578910174567[[#This Row],[UNIT]]&lt;0),_1_54128456121462410464578910174567[[#This Row],[UNIT]]*_1_54128456121462410464578910174567[[#This Row],[COST]],0)</f>
        <v>0</v>
      </c>
      <c r="N327" s="194">
        <f t="shared" si="4"/>
        <v>1.3</v>
      </c>
      <c r="O327" s="198">
        <f>_1_54128456121462410464578910174567[[#This Row],[TOTAL]]*_1_54128456121462410464578910174567[[#This Row],[MARGIN]]</f>
        <v>0</v>
      </c>
      <c r="R327" s="41"/>
    </row>
    <row r="328" spans="1:18">
      <c r="A328" s="323"/>
      <c r="C328" s="323"/>
      <c r="D328" s="188"/>
      <c r="F328" s="168" t="s">
        <v>6202</v>
      </c>
      <c r="G328" s="193">
        <f>IF(_1_54128456121462410464578910174567[[#This Row],[Type]]&gt;0,VLOOKUP(_1_54128456121462410464578910174567[[#This Row],[Type]],Main[[#All],[TYPE]:[UNIT]],'Unit Price'!C$1,FALSE),0)</f>
        <v>0</v>
      </c>
      <c r="H328" s="197">
        <f>IF(_1_54128456121462410464578910174567[[#This Row],[Type]]&gt;0,VLOOKUP(_1_54128456121462410464578910174567[[#This Row],[Type]],Main[[#All],[TYPE]:[UNIT]],'Unit Price'!D$1,FALSE),0)</f>
        <v>0</v>
      </c>
      <c r="I328" s="194">
        <f>IF(_1_54128456121462410464578910174567[[#This Row],[Type]]&gt;0,VLOOKUP(_1_54128456121462410464578910174567[[#This Row],[Type]],Main[[#All],[TYPE]:[UNIT]],'Unit Price'!G$1,FALSE),0)</f>
        <v>0</v>
      </c>
      <c r="J328" s="194">
        <f>IF(_1_54128456121462410464578910174567[[#This Row],[Type]]&gt;0,VLOOKUP(_1_54128456121462410464578910174567[[#This Row],[Type]],Main[[#All],[TYPE]:[UNIT]],'Unit Price'!H$1,FALSE),0)</f>
        <v>0</v>
      </c>
      <c r="K328" s="194">
        <f>IF(_1_54128456121462410464578910174567[[#This Row],[Discount selection]]&gt;0,VLOOKUP(_1_54128456121462410464578910174567[[#This Row],[Discount selection]],'Discount Structure'!$A$2:$B$30,2,"false"),0)</f>
        <v>1</v>
      </c>
      <c r="L328" s="194">
        <f>_1_54128456121462410464578910174567[[#This Row],[LIST $]]*_1_54128456121462410464578910174567[[#This Row],[DISCOUNT]]*_1_54128456121462410464578910174567[[#This Row],[DISCOUNT 2]]</f>
        <v>0</v>
      </c>
      <c r="M328" s="194">
        <f>IF(OR(_1_54128456121462410464578910174567[[#This Row],[UNIT]]&gt;0,_1_54128456121462410464578910174567[[#This Row],[UNIT]]&lt;0),_1_54128456121462410464578910174567[[#This Row],[UNIT]]*_1_54128456121462410464578910174567[[#This Row],[COST]],0)</f>
        <v>0</v>
      </c>
      <c r="N328" s="194">
        <f t="shared" si="4"/>
        <v>1.3</v>
      </c>
      <c r="O328" s="198">
        <f>_1_54128456121462410464578910174567[[#This Row],[TOTAL]]*_1_54128456121462410464578910174567[[#This Row],[MARGIN]]</f>
        <v>0</v>
      </c>
      <c r="R328" s="41"/>
    </row>
    <row r="329" spans="1:18">
      <c r="A329" s="323"/>
      <c r="B329" s="323"/>
      <c r="C329" s="323"/>
      <c r="D329" s="188"/>
      <c r="F329" s="168" t="s">
        <v>6202</v>
      </c>
      <c r="G329" s="193">
        <f>IF(_1_54128456121462410464578910174567[[#This Row],[Type]]&gt;0,VLOOKUP(_1_54128456121462410464578910174567[[#This Row],[Type]],Main[[#All],[TYPE]:[UNIT]],'Unit Price'!C$1,FALSE),0)</f>
        <v>0</v>
      </c>
      <c r="H329" s="197">
        <f>IF(_1_54128456121462410464578910174567[[#This Row],[Type]]&gt;0,VLOOKUP(_1_54128456121462410464578910174567[[#This Row],[Type]],Main[[#All],[TYPE]:[UNIT]],'Unit Price'!D$1,FALSE),0)</f>
        <v>0</v>
      </c>
      <c r="I329" s="194">
        <f>IF(_1_54128456121462410464578910174567[[#This Row],[Type]]&gt;0,VLOOKUP(_1_54128456121462410464578910174567[[#This Row],[Type]],Main[[#All],[TYPE]:[UNIT]],'Unit Price'!G$1,FALSE),0)</f>
        <v>0</v>
      </c>
      <c r="J329" s="194">
        <f>IF(_1_54128456121462410464578910174567[[#This Row],[Type]]&gt;0,VLOOKUP(_1_54128456121462410464578910174567[[#This Row],[Type]],Main[[#All],[TYPE]:[UNIT]],'Unit Price'!H$1,FALSE),0)</f>
        <v>0</v>
      </c>
      <c r="K329" s="194">
        <f>IF(_1_54128456121462410464578910174567[[#This Row],[Discount selection]]&gt;0,VLOOKUP(_1_54128456121462410464578910174567[[#This Row],[Discount selection]],'Discount Structure'!$A$2:$B$30,2,"false"),0)</f>
        <v>1</v>
      </c>
      <c r="L329" s="194">
        <f>_1_54128456121462410464578910174567[[#This Row],[LIST $]]*_1_54128456121462410464578910174567[[#This Row],[DISCOUNT]]*_1_54128456121462410464578910174567[[#This Row],[DISCOUNT 2]]</f>
        <v>0</v>
      </c>
      <c r="M329" s="194">
        <f>IF(OR(_1_54128456121462410464578910174567[[#This Row],[UNIT]]&gt;0,_1_54128456121462410464578910174567[[#This Row],[UNIT]]&lt;0),_1_54128456121462410464578910174567[[#This Row],[UNIT]]*_1_54128456121462410464578910174567[[#This Row],[COST]],0)</f>
        <v>0</v>
      </c>
      <c r="N329" s="194">
        <f t="shared" si="4"/>
        <v>1.3</v>
      </c>
      <c r="O329" s="198">
        <f>_1_54128456121462410464578910174567[[#This Row],[TOTAL]]*_1_54128456121462410464578910174567[[#This Row],[MARGIN]]</f>
        <v>0</v>
      </c>
      <c r="R329" s="41"/>
    </row>
    <row r="330" spans="1:18">
      <c r="A330" s="168"/>
      <c r="D330" s="188"/>
      <c r="F330" s="168" t="s">
        <v>6202</v>
      </c>
      <c r="G330" s="205">
        <f>IF(_1_54128456121462410464578910174567[[#This Row],[Type]]&gt;0,VLOOKUP(_1_54128456121462410464578910174567[[#This Row],[Type]],Main[[#All],[TYPE]:[UNIT]],'Unit Price'!C$1,FALSE),0)</f>
        <v>0</v>
      </c>
      <c r="H330" s="197">
        <f>IF(_1_54128456121462410464578910174567[[#This Row],[Type]]&gt;0,VLOOKUP(_1_54128456121462410464578910174567[[#This Row],[Type]],Main[[#All],[TYPE]:[UNIT]],'Unit Price'!D$1,FALSE),0)</f>
        <v>0</v>
      </c>
      <c r="I330" s="194">
        <f>IF(_1_54128456121462410464578910174567[[#This Row],[Type]]&gt;0,VLOOKUP(_1_54128456121462410464578910174567[[#This Row],[Type]],Main[[#All],[TYPE]:[UNIT]],'Unit Price'!G$1,FALSE),0)</f>
        <v>0</v>
      </c>
      <c r="J330" s="194">
        <f>IF(_1_54128456121462410464578910174567[[#This Row],[Type]]&gt;0,VLOOKUP(_1_54128456121462410464578910174567[[#This Row],[Type]],Main[[#All],[TYPE]:[UNIT]],'Unit Price'!H$1,FALSE),0)</f>
        <v>0</v>
      </c>
      <c r="K330" s="194">
        <f>IF(_1_54128456121462410464578910174567[[#This Row],[Discount selection]]&gt;0,VLOOKUP(_1_54128456121462410464578910174567[[#This Row],[Discount selection]],'Discount Structure'!$A$2:$B$30,2,"false"),0)</f>
        <v>1</v>
      </c>
      <c r="L330" s="194">
        <f>_1_54128456121462410464578910174567[[#This Row],[LIST $]]*_1_54128456121462410464578910174567[[#This Row],[DISCOUNT]]*_1_54128456121462410464578910174567[[#This Row],[DISCOUNT 2]]</f>
        <v>0</v>
      </c>
      <c r="M330" s="194">
        <f>IF(OR(_1_54128456121462410464578910174567[[#This Row],[UNIT]]&gt;0,_1_54128456121462410464578910174567[[#This Row],[UNIT]]&lt;0),_1_54128456121462410464578910174567[[#This Row],[UNIT]]*_1_54128456121462410464578910174567[[#This Row],[COST]],0)</f>
        <v>0</v>
      </c>
      <c r="N330" s="194">
        <f t="shared" ref="N330:N393" si="5">$N$7</f>
        <v>1.3</v>
      </c>
      <c r="O330" s="198">
        <f>_1_54128456121462410464578910174567[[#This Row],[TOTAL]]*_1_54128456121462410464578910174567[[#This Row],[MARGIN]]</f>
        <v>0</v>
      </c>
      <c r="R330" s="41"/>
    </row>
    <row r="331" spans="1:18">
      <c r="D331" s="188"/>
      <c r="F331" s="168" t="s">
        <v>6202</v>
      </c>
      <c r="G331" s="193">
        <f>IF(_1_54128456121462410464578910174567[[#This Row],[Type]]&gt;0,VLOOKUP(_1_54128456121462410464578910174567[[#This Row],[Type]],Main[[#All],[TYPE]:[UNIT]],'Unit Price'!C$1,FALSE),0)</f>
        <v>0</v>
      </c>
      <c r="H331" s="197">
        <f>IF(_1_54128456121462410464578910174567[[#This Row],[Type]]&gt;0,VLOOKUP(_1_54128456121462410464578910174567[[#This Row],[Type]],Main[[#All],[TYPE]:[UNIT]],'Unit Price'!D$1,FALSE),0)</f>
        <v>0</v>
      </c>
      <c r="I331" s="194">
        <f>IF(_1_54128456121462410464578910174567[[#This Row],[Type]]&gt;0,VLOOKUP(_1_54128456121462410464578910174567[[#This Row],[Type]],Main[[#All],[TYPE]:[UNIT]],'Unit Price'!G$1,FALSE),0)</f>
        <v>0</v>
      </c>
      <c r="J331" s="194">
        <f>IF(_1_54128456121462410464578910174567[[#This Row],[Type]]&gt;0,VLOOKUP(_1_54128456121462410464578910174567[[#This Row],[Type]],Main[[#All],[TYPE]:[UNIT]],'Unit Price'!H$1,FALSE),0)</f>
        <v>0</v>
      </c>
      <c r="K331" s="194">
        <f>IF(_1_54128456121462410464578910174567[[#This Row],[Discount selection]]&gt;0,VLOOKUP(_1_54128456121462410464578910174567[[#This Row],[Discount selection]],'Discount Structure'!$A$2:$B$30,2,"false"),0)</f>
        <v>1</v>
      </c>
      <c r="L331" s="194">
        <f>_1_54128456121462410464578910174567[[#This Row],[LIST $]]*_1_54128456121462410464578910174567[[#This Row],[DISCOUNT]]*_1_54128456121462410464578910174567[[#This Row],[DISCOUNT 2]]</f>
        <v>0</v>
      </c>
      <c r="M331" s="194">
        <f>IF(OR(_1_54128456121462410464578910174567[[#This Row],[UNIT]]&gt;0,_1_54128456121462410464578910174567[[#This Row],[UNIT]]&lt;0),_1_54128456121462410464578910174567[[#This Row],[UNIT]]*_1_54128456121462410464578910174567[[#This Row],[COST]],0)</f>
        <v>0</v>
      </c>
      <c r="N331" s="194">
        <f t="shared" si="5"/>
        <v>1.3</v>
      </c>
      <c r="O331" s="198">
        <f>_1_54128456121462410464578910174567[[#This Row],[TOTAL]]*_1_54128456121462410464578910174567[[#This Row],[MARGIN]]</f>
        <v>0</v>
      </c>
      <c r="R331" s="41"/>
    </row>
    <row r="332" spans="1:18">
      <c r="A332" s="168"/>
      <c r="B332" s="168"/>
      <c r="C332" s="168"/>
      <c r="D332" s="188"/>
      <c r="F332" s="168" t="s">
        <v>6202</v>
      </c>
      <c r="G332" s="193">
        <f>IF(_1_54128456121462410464578910174567[[#This Row],[Type]]&gt;0,VLOOKUP(_1_54128456121462410464578910174567[[#This Row],[Type]],Main[[#All],[TYPE]:[UNIT]],'Unit Price'!C$1,FALSE),0)</f>
        <v>0</v>
      </c>
      <c r="H332" s="197">
        <f>IF(_1_54128456121462410464578910174567[[#This Row],[Type]]&gt;0,VLOOKUP(_1_54128456121462410464578910174567[[#This Row],[Type]],Main[[#All],[TYPE]:[UNIT]],'Unit Price'!D$1,FALSE),0)</f>
        <v>0</v>
      </c>
      <c r="I332" s="194">
        <f>IF(_1_54128456121462410464578910174567[[#This Row],[Type]]&gt;0,VLOOKUP(_1_54128456121462410464578910174567[[#This Row],[Type]],Main[[#All],[TYPE]:[UNIT]],'Unit Price'!G$1,FALSE),0)</f>
        <v>0</v>
      </c>
      <c r="J332" s="194">
        <f>IF(_1_54128456121462410464578910174567[[#This Row],[Type]]&gt;0,VLOOKUP(_1_54128456121462410464578910174567[[#This Row],[Type]],Main[[#All],[TYPE]:[UNIT]],'Unit Price'!H$1,FALSE),0)</f>
        <v>0</v>
      </c>
      <c r="K332" s="194">
        <f>IF(_1_54128456121462410464578910174567[[#This Row],[Discount selection]]&gt;0,VLOOKUP(_1_54128456121462410464578910174567[[#This Row],[Discount selection]],'Discount Structure'!$A$2:$B$30,2,"false"),0)</f>
        <v>1</v>
      </c>
      <c r="L332" s="194">
        <f>_1_54128456121462410464578910174567[[#This Row],[LIST $]]*_1_54128456121462410464578910174567[[#This Row],[DISCOUNT]]*_1_54128456121462410464578910174567[[#This Row],[DISCOUNT 2]]</f>
        <v>0</v>
      </c>
      <c r="M332" s="194">
        <f>IF(OR(_1_54128456121462410464578910174567[[#This Row],[UNIT]]&gt;0,_1_54128456121462410464578910174567[[#This Row],[UNIT]]&lt;0),_1_54128456121462410464578910174567[[#This Row],[UNIT]]*_1_54128456121462410464578910174567[[#This Row],[COST]],0)</f>
        <v>0</v>
      </c>
      <c r="N332" s="194">
        <f t="shared" si="5"/>
        <v>1.3</v>
      </c>
      <c r="O332" s="198">
        <f>_1_54128456121462410464578910174567[[#This Row],[TOTAL]]*_1_54128456121462410464578910174567[[#This Row],[MARGIN]]</f>
        <v>0</v>
      </c>
      <c r="R332" s="41"/>
    </row>
    <row r="333" spans="1:18">
      <c r="A333" s="323"/>
      <c r="B333" s="323"/>
      <c r="C333" s="323"/>
      <c r="D333" s="188"/>
      <c r="F333" s="168" t="s">
        <v>6202</v>
      </c>
      <c r="G333" s="193">
        <f>IF(_1_54128456121462410464578910174567[[#This Row],[Type]]&gt;0,VLOOKUP(_1_54128456121462410464578910174567[[#This Row],[Type]],Main[[#All],[TYPE]:[UNIT]],'Unit Price'!C$1,FALSE),0)</f>
        <v>0</v>
      </c>
      <c r="H333" s="197">
        <f>IF(_1_54128456121462410464578910174567[[#This Row],[Type]]&gt;0,VLOOKUP(_1_54128456121462410464578910174567[[#This Row],[Type]],Main[[#All],[TYPE]:[UNIT]],'Unit Price'!D$1,FALSE),0)</f>
        <v>0</v>
      </c>
      <c r="I333" s="194">
        <f>IF(_1_54128456121462410464578910174567[[#This Row],[Type]]&gt;0,VLOOKUP(_1_54128456121462410464578910174567[[#This Row],[Type]],Main[[#All],[TYPE]:[UNIT]],'Unit Price'!G$1,FALSE),0)</f>
        <v>0</v>
      </c>
      <c r="J333" s="194">
        <f>IF(_1_54128456121462410464578910174567[[#This Row],[Type]]&gt;0,VLOOKUP(_1_54128456121462410464578910174567[[#This Row],[Type]],Main[[#All],[TYPE]:[UNIT]],'Unit Price'!H$1,FALSE),0)</f>
        <v>0</v>
      </c>
      <c r="K333" s="194">
        <f>IF(_1_54128456121462410464578910174567[[#This Row],[Discount selection]]&gt;0,VLOOKUP(_1_54128456121462410464578910174567[[#This Row],[Discount selection]],'Discount Structure'!$A$2:$B$30,2,"false"),0)</f>
        <v>1</v>
      </c>
      <c r="L333" s="194">
        <f>_1_54128456121462410464578910174567[[#This Row],[LIST $]]*_1_54128456121462410464578910174567[[#This Row],[DISCOUNT]]*_1_54128456121462410464578910174567[[#This Row],[DISCOUNT 2]]</f>
        <v>0</v>
      </c>
      <c r="M333" s="194">
        <f>IF(OR(_1_54128456121462410464578910174567[[#This Row],[UNIT]]&gt;0,_1_54128456121462410464578910174567[[#This Row],[UNIT]]&lt;0),_1_54128456121462410464578910174567[[#This Row],[UNIT]]*_1_54128456121462410464578910174567[[#This Row],[COST]],0)</f>
        <v>0</v>
      </c>
      <c r="N333" s="194">
        <f t="shared" si="5"/>
        <v>1.3</v>
      </c>
      <c r="O333" s="198">
        <f>_1_54128456121462410464578910174567[[#This Row],[TOTAL]]*_1_54128456121462410464578910174567[[#This Row],[MARGIN]]</f>
        <v>0</v>
      </c>
      <c r="R333" s="41"/>
    </row>
    <row r="334" spans="1:18">
      <c r="A334" s="323"/>
      <c r="B334" s="323"/>
      <c r="C334" s="323"/>
      <c r="D334" s="188"/>
      <c r="F334" s="168" t="s">
        <v>6202</v>
      </c>
      <c r="G334" s="193">
        <f>IF(_1_54128456121462410464578910174567[[#This Row],[Type]]&gt;0,VLOOKUP(_1_54128456121462410464578910174567[[#This Row],[Type]],Main[[#All],[TYPE]:[UNIT]],'Unit Price'!C$1,FALSE),0)</f>
        <v>0</v>
      </c>
      <c r="H334" s="197">
        <f>IF(_1_54128456121462410464578910174567[[#This Row],[Type]]&gt;0,VLOOKUP(_1_54128456121462410464578910174567[[#This Row],[Type]],Main[[#All],[TYPE]:[UNIT]],'Unit Price'!D$1,FALSE),0)</f>
        <v>0</v>
      </c>
      <c r="I334" s="194">
        <f>IF(_1_54128456121462410464578910174567[[#This Row],[Type]]&gt;0,VLOOKUP(_1_54128456121462410464578910174567[[#This Row],[Type]],Main[[#All],[TYPE]:[UNIT]],'Unit Price'!G$1,FALSE),0)</f>
        <v>0</v>
      </c>
      <c r="J334" s="194">
        <f>IF(_1_54128456121462410464578910174567[[#This Row],[Type]]&gt;0,VLOOKUP(_1_54128456121462410464578910174567[[#This Row],[Type]],Main[[#All],[TYPE]:[UNIT]],'Unit Price'!H$1,FALSE),0)</f>
        <v>0</v>
      </c>
      <c r="K334" s="194">
        <f>IF(_1_54128456121462410464578910174567[[#This Row],[Discount selection]]&gt;0,VLOOKUP(_1_54128456121462410464578910174567[[#This Row],[Discount selection]],'Discount Structure'!$A$2:$B$30,2,"false"),0)</f>
        <v>1</v>
      </c>
      <c r="L334" s="194">
        <f>_1_54128456121462410464578910174567[[#This Row],[LIST $]]*_1_54128456121462410464578910174567[[#This Row],[DISCOUNT]]*_1_54128456121462410464578910174567[[#This Row],[DISCOUNT 2]]</f>
        <v>0</v>
      </c>
      <c r="M334" s="194">
        <f>IF(OR(_1_54128456121462410464578910174567[[#This Row],[UNIT]]&gt;0,_1_54128456121462410464578910174567[[#This Row],[UNIT]]&lt;0),_1_54128456121462410464578910174567[[#This Row],[UNIT]]*_1_54128456121462410464578910174567[[#This Row],[COST]],0)</f>
        <v>0</v>
      </c>
      <c r="N334" s="194">
        <f t="shared" si="5"/>
        <v>1.3</v>
      </c>
      <c r="O334" s="198">
        <f>_1_54128456121462410464578910174567[[#This Row],[TOTAL]]*_1_54128456121462410464578910174567[[#This Row],[MARGIN]]</f>
        <v>0</v>
      </c>
      <c r="R334" s="41"/>
    </row>
    <row r="335" spans="1:18">
      <c r="D335" s="188"/>
      <c r="F335" s="168" t="s">
        <v>6202</v>
      </c>
      <c r="G335" s="205">
        <f>IF(_1_54128456121462410464578910174567[[#This Row],[Type]]&gt;0,VLOOKUP(_1_54128456121462410464578910174567[[#This Row],[Type]],Main[[#All],[TYPE]:[UNIT]],'Unit Price'!C$1,FALSE),0)</f>
        <v>0</v>
      </c>
      <c r="H335" s="197">
        <f>IF(_1_54128456121462410464578910174567[[#This Row],[Type]]&gt;0,VLOOKUP(_1_54128456121462410464578910174567[[#This Row],[Type]],Main[[#All],[TYPE]:[UNIT]],'Unit Price'!D$1,FALSE),0)</f>
        <v>0</v>
      </c>
      <c r="I335" s="194">
        <f>IF(_1_54128456121462410464578910174567[[#This Row],[Type]]&gt;0,VLOOKUP(_1_54128456121462410464578910174567[[#This Row],[Type]],Main[[#All],[TYPE]:[UNIT]],'Unit Price'!G$1,FALSE),0)</f>
        <v>0</v>
      </c>
      <c r="J335" s="194">
        <f>IF(_1_54128456121462410464578910174567[[#This Row],[Type]]&gt;0,VLOOKUP(_1_54128456121462410464578910174567[[#This Row],[Type]],Main[[#All],[TYPE]:[UNIT]],'Unit Price'!H$1,FALSE),0)</f>
        <v>0</v>
      </c>
      <c r="K335" s="194">
        <f>IF(_1_54128456121462410464578910174567[[#This Row],[Discount selection]]&gt;0,VLOOKUP(_1_54128456121462410464578910174567[[#This Row],[Discount selection]],'Discount Structure'!$A$2:$B$30,2,"false"),0)</f>
        <v>1</v>
      </c>
      <c r="L335" s="194">
        <f>_1_54128456121462410464578910174567[[#This Row],[LIST $]]*_1_54128456121462410464578910174567[[#This Row],[DISCOUNT]]*_1_54128456121462410464578910174567[[#This Row],[DISCOUNT 2]]</f>
        <v>0</v>
      </c>
      <c r="M335" s="194">
        <f>IF(OR(_1_54128456121462410464578910174567[[#This Row],[UNIT]]&gt;0,_1_54128456121462410464578910174567[[#This Row],[UNIT]]&lt;0),_1_54128456121462410464578910174567[[#This Row],[UNIT]]*_1_54128456121462410464578910174567[[#This Row],[COST]],0)</f>
        <v>0</v>
      </c>
      <c r="N335" s="194">
        <f t="shared" si="5"/>
        <v>1.3</v>
      </c>
      <c r="O335" s="198">
        <f>_1_54128456121462410464578910174567[[#This Row],[TOTAL]]*_1_54128456121462410464578910174567[[#This Row],[MARGIN]]</f>
        <v>0</v>
      </c>
      <c r="R335" s="41"/>
    </row>
    <row r="336" spans="1:18">
      <c r="D336" s="188"/>
      <c r="F336" s="168" t="s">
        <v>6202</v>
      </c>
      <c r="G336" s="193">
        <f>IF(_1_54128456121462410464578910174567[[#This Row],[Type]]&gt;0,VLOOKUP(_1_54128456121462410464578910174567[[#This Row],[Type]],Main[[#All],[TYPE]:[UNIT]],'Unit Price'!C$1,FALSE),0)</f>
        <v>0</v>
      </c>
      <c r="H336" s="197">
        <f>IF(_1_54128456121462410464578910174567[[#This Row],[Type]]&gt;0,VLOOKUP(_1_54128456121462410464578910174567[[#This Row],[Type]],Main[[#All],[TYPE]:[UNIT]],'Unit Price'!D$1,FALSE),0)</f>
        <v>0</v>
      </c>
      <c r="I336" s="194">
        <f>IF(_1_54128456121462410464578910174567[[#This Row],[Type]]&gt;0,VLOOKUP(_1_54128456121462410464578910174567[[#This Row],[Type]],Main[[#All],[TYPE]:[UNIT]],'Unit Price'!G$1,FALSE),0)</f>
        <v>0</v>
      </c>
      <c r="J336" s="194">
        <f>IF(_1_54128456121462410464578910174567[[#This Row],[Type]]&gt;0,VLOOKUP(_1_54128456121462410464578910174567[[#This Row],[Type]],Main[[#All],[TYPE]:[UNIT]],'Unit Price'!H$1,FALSE),0)</f>
        <v>0</v>
      </c>
      <c r="K336" s="194">
        <f>IF(_1_54128456121462410464578910174567[[#This Row],[Discount selection]]&gt;0,VLOOKUP(_1_54128456121462410464578910174567[[#This Row],[Discount selection]],'Discount Structure'!$A$2:$B$30,2,"false"),0)</f>
        <v>1</v>
      </c>
      <c r="L336" s="194">
        <f>_1_54128456121462410464578910174567[[#This Row],[LIST $]]*_1_54128456121462410464578910174567[[#This Row],[DISCOUNT]]*_1_54128456121462410464578910174567[[#This Row],[DISCOUNT 2]]</f>
        <v>0</v>
      </c>
      <c r="M336" s="194">
        <f>IF(OR(_1_54128456121462410464578910174567[[#This Row],[UNIT]]&gt;0,_1_54128456121462410464578910174567[[#This Row],[UNIT]]&lt;0),_1_54128456121462410464578910174567[[#This Row],[UNIT]]*_1_54128456121462410464578910174567[[#This Row],[COST]],0)</f>
        <v>0</v>
      </c>
      <c r="N336" s="194">
        <f t="shared" si="5"/>
        <v>1.3</v>
      </c>
      <c r="O336" s="198">
        <f>_1_54128456121462410464578910174567[[#This Row],[TOTAL]]*_1_54128456121462410464578910174567[[#This Row],[MARGIN]]</f>
        <v>0</v>
      </c>
      <c r="R336" s="41"/>
    </row>
    <row r="337" spans="1:18">
      <c r="D337" s="188"/>
      <c r="F337" s="168" t="s">
        <v>6202</v>
      </c>
      <c r="G337" s="193">
        <f>IF(_1_54128456121462410464578910174567[[#This Row],[Type]]&gt;0,VLOOKUP(_1_54128456121462410464578910174567[[#This Row],[Type]],Main[[#All],[TYPE]:[UNIT]],'Unit Price'!C$1,FALSE),0)</f>
        <v>0</v>
      </c>
      <c r="H337" s="197">
        <f>IF(_1_54128456121462410464578910174567[[#This Row],[Type]]&gt;0,VLOOKUP(_1_54128456121462410464578910174567[[#This Row],[Type]],Main[[#All],[TYPE]:[UNIT]],'Unit Price'!D$1,FALSE),0)</f>
        <v>0</v>
      </c>
      <c r="I337" s="194">
        <f>IF(_1_54128456121462410464578910174567[[#This Row],[Type]]&gt;0,VLOOKUP(_1_54128456121462410464578910174567[[#This Row],[Type]],Main[[#All],[TYPE]:[UNIT]],'Unit Price'!G$1,FALSE),0)</f>
        <v>0</v>
      </c>
      <c r="J337" s="194">
        <f>IF(_1_54128456121462410464578910174567[[#This Row],[Type]]&gt;0,VLOOKUP(_1_54128456121462410464578910174567[[#This Row],[Type]],Main[[#All],[TYPE]:[UNIT]],'Unit Price'!H$1,FALSE),0)</f>
        <v>0</v>
      </c>
      <c r="K337" s="194">
        <f>IF(_1_54128456121462410464578910174567[[#This Row],[Discount selection]]&gt;0,VLOOKUP(_1_54128456121462410464578910174567[[#This Row],[Discount selection]],'Discount Structure'!$A$2:$B$30,2,"false"),0)</f>
        <v>1</v>
      </c>
      <c r="L337" s="194">
        <f>_1_54128456121462410464578910174567[[#This Row],[LIST $]]*_1_54128456121462410464578910174567[[#This Row],[DISCOUNT]]*_1_54128456121462410464578910174567[[#This Row],[DISCOUNT 2]]</f>
        <v>0</v>
      </c>
      <c r="M337" s="194">
        <f>IF(OR(_1_54128456121462410464578910174567[[#This Row],[UNIT]]&gt;0,_1_54128456121462410464578910174567[[#This Row],[UNIT]]&lt;0),_1_54128456121462410464578910174567[[#This Row],[UNIT]]*_1_54128456121462410464578910174567[[#This Row],[COST]],0)</f>
        <v>0</v>
      </c>
      <c r="N337" s="194">
        <f t="shared" si="5"/>
        <v>1.3</v>
      </c>
      <c r="O337" s="198">
        <f>_1_54128456121462410464578910174567[[#This Row],[TOTAL]]*_1_54128456121462410464578910174567[[#This Row],[MARGIN]]</f>
        <v>0</v>
      </c>
      <c r="R337" s="41"/>
    </row>
    <row r="338" spans="1:18">
      <c r="A338" s="327"/>
      <c r="B338" s="327"/>
      <c r="D338" s="188"/>
      <c r="F338" s="168" t="s">
        <v>6202</v>
      </c>
      <c r="G338" s="193">
        <f>IF(_1_54128456121462410464578910174567[[#This Row],[Type]]&gt;0,VLOOKUP(_1_54128456121462410464578910174567[[#This Row],[Type]],Main[[#All],[TYPE]:[UNIT]],'Unit Price'!C$1,FALSE),0)</f>
        <v>0</v>
      </c>
      <c r="H338" s="197">
        <f>IF(_1_54128456121462410464578910174567[[#This Row],[Type]]&gt;0,VLOOKUP(_1_54128456121462410464578910174567[[#This Row],[Type]],Main[[#All],[TYPE]:[UNIT]],'Unit Price'!D$1,FALSE),0)</f>
        <v>0</v>
      </c>
      <c r="I338" s="194">
        <f>IF(_1_54128456121462410464578910174567[[#This Row],[Type]]&gt;0,VLOOKUP(_1_54128456121462410464578910174567[[#This Row],[Type]],Main[[#All],[TYPE]:[UNIT]],'Unit Price'!G$1,FALSE),0)</f>
        <v>0</v>
      </c>
      <c r="J338" s="194">
        <f>IF(_1_54128456121462410464578910174567[[#This Row],[Type]]&gt;0,VLOOKUP(_1_54128456121462410464578910174567[[#This Row],[Type]],Main[[#All],[TYPE]:[UNIT]],'Unit Price'!H$1,FALSE),0)</f>
        <v>0</v>
      </c>
      <c r="K338" s="194">
        <f>IF(_1_54128456121462410464578910174567[[#This Row],[Discount selection]]&gt;0,VLOOKUP(_1_54128456121462410464578910174567[[#This Row],[Discount selection]],'Discount Structure'!$A$2:$B$30,2,"false"),0)</f>
        <v>1</v>
      </c>
      <c r="L338" s="194">
        <f>_1_54128456121462410464578910174567[[#This Row],[LIST $]]*_1_54128456121462410464578910174567[[#This Row],[DISCOUNT]]*_1_54128456121462410464578910174567[[#This Row],[DISCOUNT 2]]</f>
        <v>0</v>
      </c>
      <c r="M338" s="194">
        <f>IF(OR(_1_54128456121462410464578910174567[[#This Row],[UNIT]]&gt;0,_1_54128456121462410464578910174567[[#This Row],[UNIT]]&lt;0),_1_54128456121462410464578910174567[[#This Row],[UNIT]]*_1_54128456121462410464578910174567[[#This Row],[COST]],0)</f>
        <v>0</v>
      </c>
      <c r="N338" s="194">
        <f t="shared" si="5"/>
        <v>1.3</v>
      </c>
      <c r="O338" s="198">
        <f>_1_54128456121462410464578910174567[[#This Row],[TOTAL]]*_1_54128456121462410464578910174567[[#This Row],[MARGIN]]</f>
        <v>0</v>
      </c>
      <c r="R338" s="41"/>
    </row>
    <row r="339" spans="1:18">
      <c r="D339" s="188"/>
      <c r="F339" s="168" t="s">
        <v>6202</v>
      </c>
      <c r="G339" s="193">
        <f>IF(_1_54128456121462410464578910174567[[#This Row],[Type]]&gt;0,VLOOKUP(_1_54128456121462410464578910174567[[#This Row],[Type]],Main[[#All],[TYPE]:[UNIT]],'Unit Price'!C$1,FALSE),0)</f>
        <v>0</v>
      </c>
      <c r="H339" s="197">
        <f>IF(_1_54128456121462410464578910174567[[#This Row],[Type]]&gt;0,VLOOKUP(_1_54128456121462410464578910174567[[#This Row],[Type]],Main[[#All],[TYPE]:[UNIT]],'Unit Price'!D$1,FALSE),0)</f>
        <v>0</v>
      </c>
      <c r="I339" s="194">
        <f>IF(_1_54128456121462410464578910174567[[#This Row],[Type]]&gt;0,VLOOKUP(_1_54128456121462410464578910174567[[#This Row],[Type]],Main[[#All],[TYPE]:[UNIT]],'Unit Price'!G$1,FALSE),0)</f>
        <v>0</v>
      </c>
      <c r="J339" s="194">
        <f>IF(_1_54128456121462410464578910174567[[#This Row],[Type]]&gt;0,VLOOKUP(_1_54128456121462410464578910174567[[#This Row],[Type]],Main[[#All],[TYPE]:[UNIT]],'Unit Price'!H$1,FALSE),0)</f>
        <v>0</v>
      </c>
      <c r="K339" s="194">
        <f>IF(_1_54128456121462410464578910174567[[#This Row],[Discount selection]]&gt;0,VLOOKUP(_1_54128456121462410464578910174567[[#This Row],[Discount selection]],'Discount Structure'!$A$2:$B$30,2,"false"),0)</f>
        <v>1</v>
      </c>
      <c r="L339" s="194">
        <f>_1_54128456121462410464578910174567[[#This Row],[LIST $]]*_1_54128456121462410464578910174567[[#This Row],[DISCOUNT]]*_1_54128456121462410464578910174567[[#This Row],[DISCOUNT 2]]</f>
        <v>0</v>
      </c>
      <c r="M339" s="194">
        <f>IF(OR(_1_54128456121462410464578910174567[[#This Row],[UNIT]]&gt;0,_1_54128456121462410464578910174567[[#This Row],[UNIT]]&lt;0),_1_54128456121462410464578910174567[[#This Row],[UNIT]]*_1_54128456121462410464578910174567[[#This Row],[COST]],0)</f>
        <v>0</v>
      </c>
      <c r="N339" s="194">
        <f t="shared" si="5"/>
        <v>1.3</v>
      </c>
      <c r="O339" s="198">
        <f>_1_54128456121462410464578910174567[[#This Row],[TOTAL]]*_1_54128456121462410464578910174567[[#This Row],[MARGIN]]</f>
        <v>0</v>
      </c>
      <c r="R339" s="41"/>
    </row>
    <row r="340" spans="1:18">
      <c r="D340" s="188"/>
      <c r="F340" s="168" t="s">
        <v>6202</v>
      </c>
      <c r="G340" s="193">
        <f>IF(_1_54128456121462410464578910174567[[#This Row],[Type]]&gt;0,VLOOKUP(_1_54128456121462410464578910174567[[#This Row],[Type]],Main[[#All],[TYPE]:[UNIT]],'Unit Price'!C$1,FALSE),0)</f>
        <v>0</v>
      </c>
      <c r="H340" s="197">
        <f>IF(_1_54128456121462410464578910174567[[#This Row],[Type]]&gt;0,VLOOKUP(_1_54128456121462410464578910174567[[#This Row],[Type]],Main[[#All],[TYPE]:[UNIT]],'Unit Price'!D$1,FALSE),0)</f>
        <v>0</v>
      </c>
      <c r="I340" s="194">
        <f>IF(_1_54128456121462410464578910174567[[#This Row],[Type]]&gt;0,VLOOKUP(_1_54128456121462410464578910174567[[#This Row],[Type]],Main[[#All],[TYPE]:[UNIT]],'Unit Price'!G$1,FALSE),0)</f>
        <v>0</v>
      </c>
      <c r="J340" s="194">
        <f>IF(_1_54128456121462410464578910174567[[#This Row],[Type]]&gt;0,VLOOKUP(_1_54128456121462410464578910174567[[#This Row],[Type]],Main[[#All],[TYPE]:[UNIT]],'Unit Price'!H$1,FALSE),0)</f>
        <v>0</v>
      </c>
      <c r="K340" s="194">
        <f>IF(_1_54128456121462410464578910174567[[#This Row],[Discount selection]]&gt;0,VLOOKUP(_1_54128456121462410464578910174567[[#This Row],[Discount selection]],'Discount Structure'!$A$2:$B$30,2,"false"),0)</f>
        <v>1</v>
      </c>
      <c r="L340" s="194">
        <f>_1_54128456121462410464578910174567[[#This Row],[LIST $]]*_1_54128456121462410464578910174567[[#This Row],[DISCOUNT]]*_1_54128456121462410464578910174567[[#This Row],[DISCOUNT 2]]</f>
        <v>0</v>
      </c>
      <c r="M340" s="194">
        <f>IF(OR(_1_54128456121462410464578910174567[[#This Row],[UNIT]]&gt;0,_1_54128456121462410464578910174567[[#This Row],[UNIT]]&lt;0),_1_54128456121462410464578910174567[[#This Row],[UNIT]]*_1_54128456121462410464578910174567[[#This Row],[COST]],0)</f>
        <v>0</v>
      </c>
      <c r="N340" s="194">
        <f t="shared" si="5"/>
        <v>1.3</v>
      </c>
      <c r="O340" s="198">
        <f>_1_54128456121462410464578910174567[[#This Row],[TOTAL]]*_1_54128456121462410464578910174567[[#This Row],[MARGIN]]</f>
        <v>0</v>
      </c>
      <c r="R340" s="41"/>
    </row>
    <row r="341" spans="1:18">
      <c r="D341" s="188"/>
      <c r="F341" s="168" t="s">
        <v>6202</v>
      </c>
      <c r="G341" s="193">
        <f>IF(_1_54128456121462410464578910174567[[#This Row],[Type]]&gt;0,VLOOKUP(_1_54128456121462410464578910174567[[#This Row],[Type]],Main[[#All],[TYPE]:[UNIT]],'Unit Price'!C$1,FALSE),0)</f>
        <v>0</v>
      </c>
      <c r="H341" s="197">
        <f>IF(_1_54128456121462410464578910174567[[#This Row],[Type]]&gt;0,VLOOKUP(_1_54128456121462410464578910174567[[#This Row],[Type]],Main[[#All],[TYPE]:[UNIT]],'Unit Price'!D$1,FALSE),0)</f>
        <v>0</v>
      </c>
      <c r="I341" s="194">
        <f>IF(_1_54128456121462410464578910174567[[#This Row],[Type]]&gt;0,VLOOKUP(_1_54128456121462410464578910174567[[#This Row],[Type]],Main[[#All],[TYPE]:[UNIT]],'Unit Price'!G$1,FALSE),0)</f>
        <v>0</v>
      </c>
      <c r="J341" s="194">
        <f>IF(_1_54128456121462410464578910174567[[#This Row],[Type]]&gt;0,VLOOKUP(_1_54128456121462410464578910174567[[#This Row],[Type]],Main[[#All],[TYPE]:[UNIT]],'Unit Price'!H$1,FALSE),0)</f>
        <v>0</v>
      </c>
      <c r="K341" s="194">
        <f>IF(_1_54128456121462410464578910174567[[#This Row],[Discount selection]]&gt;0,VLOOKUP(_1_54128456121462410464578910174567[[#This Row],[Discount selection]],'Discount Structure'!$A$2:$B$30,2,"false"),0)</f>
        <v>1</v>
      </c>
      <c r="L341" s="194">
        <f>_1_54128456121462410464578910174567[[#This Row],[LIST $]]*_1_54128456121462410464578910174567[[#This Row],[DISCOUNT]]*_1_54128456121462410464578910174567[[#This Row],[DISCOUNT 2]]</f>
        <v>0</v>
      </c>
      <c r="M341" s="194">
        <f>IF(OR(_1_54128456121462410464578910174567[[#This Row],[UNIT]]&gt;0,_1_54128456121462410464578910174567[[#This Row],[UNIT]]&lt;0),_1_54128456121462410464578910174567[[#This Row],[UNIT]]*_1_54128456121462410464578910174567[[#This Row],[COST]],0)</f>
        <v>0</v>
      </c>
      <c r="N341" s="194">
        <f t="shared" si="5"/>
        <v>1.3</v>
      </c>
      <c r="O341" s="198">
        <f>_1_54128456121462410464578910174567[[#This Row],[TOTAL]]*_1_54128456121462410464578910174567[[#This Row],[MARGIN]]</f>
        <v>0</v>
      </c>
      <c r="R341" s="41"/>
    </row>
    <row r="342" spans="1:18">
      <c r="D342" s="188"/>
      <c r="F342" s="168" t="s">
        <v>6202</v>
      </c>
      <c r="G342" s="193">
        <f>IF(_1_54128456121462410464578910174567[[#This Row],[Type]]&gt;0,VLOOKUP(_1_54128456121462410464578910174567[[#This Row],[Type]],Main[[#All],[TYPE]:[UNIT]],'Unit Price'!C$1,FALSE),0)</f>
        <v>0</v>
      </c>
      <c r="H342" s="197">
        <f>IF(_1_54128456121462410464578910174567[[#This Row],[Type]]&gt;0,VLOOKUP(_1_54128456121462410464578910174567[[#This Row],[Type]],Main[[#All],[TYPE]:[UNIT]],'Unit Price'!D$1,FALSE),0)</f>
        <v>0</v>
      </c>
      <c r="I342" s="194">
        <f>IF(_1_54128456121462410464578910174567[[#This Row],[Type]]&gt;0,VLOOKUP(_1_54128456121462410464578910174567[[#This Row],[Type]],Main[[#All],[TYPE]:[UNIT]],'Unit Price'!G$1,FALSE),0)</f>
        <v>0</v>
      </c>
      <c r="J342" s="194">
        <f>IF(_1_54128456121462410464578910174567[[#This Row],[Type]]&gt;0,VLOOKUP(_1_54128456121462410464578910174567[[#This Row],[Type]],Main[[#All],[TYPE]:[UNIT]],'Unit Price'!H$1,FALSE),0)</f>
        <v>0</v>
      </c>
      <c r="K342" s="194">
        <f>IF(_1_54128456121462410464578910174567[[#This Row],[Discount selection]]&gt;0,VLOOKUP(_1_54128456121462410464578910174567[[#This Row],[Discount selection]],'Discount Structure'!$A$2:$B$30,2,"false"),0)</f>
        <v>1</v>
      </c>
      <c r="L342" s="194">
        <f>_1_54128456121462410464578910174567[[#This Row],[LIST $]]*_1_54128456121462410464578910174567[[#This Row],[DISCOUNT]]*_1_54128456121462410464578910174567[[#This Row],[DISCOUNT 2]]</f>
        <v>0</v>
      </c>
      <c r="M342" s="194">
        <f>IF(OR(_1_54128456121462410464578910174567[[#This Row],[UNIT]]&gt;0,_1_54128456121462410464578910174567[[#This Row],[UNIT]]&lt;0),_1_54128456121462410464578910174567[[#This Row],[UNIT]]*_1_54128456121462410464578910174567[[#This Row],[COST]],0)</f>
        <v>0</v>
      </c>
      <c r="N342" s="194">
        <f t="shared" si="5"/>
        <v>1.3</v>
      </c>
      <c r="O342" s="198">
        <f>_1_54128456121462410464578910174567[[#This Row],[TOTAL]]*_1_54128456121462410464578910174567[[#This Row],[MARGIN]]</f>
        <v>0</v>
      </c>
      <c r="R342" s="41"/>
    </row>
    <row r="343" spans="1:18">
      <c r="D343" s="188"/>
      <c r="F343" s="168" t="s">
        <v>6202</v>
      </c>
      <c r="G343" s="193">
        <f>IF(_1_54128456121462410464578910174567[[#This Row],[Type]]&gt;0,VLOOKUP(_1_54128456121462410464578910174567[[#This Row],[Type]],Main[[#All],[TYPE]:[UNIT]],'Unit Price'!C$1,FALSE),0)</f>
        <v>0</v>
      </c>
      <c r="H343" s="197">
        <f>IF(_1_54128456121462410464578910174567[[#This Row],[Type]]&gt;0,VLOOKUP(_1_54128456121462410464578910174567[[#This Row],[Type]],Main[[#All],[TYPE]:[UNIT]],'Unit Price'!D$1,FALSE),0)</f>
        <v>0</v>
      </c>
      <c r="I343" s="194">
        <f>IF(_1_54128456121462410464578910174567[[#This Row],[Type]]&gt;0,VLOOKUP(_1_54128456121462410464578910174567[[#This Row],[Type]],Main[[#All],[TYPE]:[UNIT]],'Unit Price'!G$1,FALSE),0)</f>
        <v>0</v>
      </c>
      <c r="J343" s="194">
        <f>IF(_1_54128456121462410464578910174567[[#This Row],[Type]]&gt;0,VLOOKUP(_1_54128456121462410464578910174567[[#This Row],[Type]],Main[[#All],[TYPE]:[UNIT]],'Unit Price'!H$1,FALSE),0)</f>
        <v>0</v>
      </c>
      <c r="K343" s="194">
        <f>IF(_1_54128456121462410464578910174567[[#This Row],[Discount selection]]&gt;0,VLOOKUP(_1_54128456121462410464578910174567[[#This Row],[Discount selection]],'Discount Structure'!$A$2:$B$30,2,"false"),0)</f>
        <v>1</v>
      </c>
      <c r="L343" s="194">
        <f>_1_54128456121462410464578910174567[[#This Row],[LIST $]]*_1_54128456121462410464578910174567[[#This Row],[DISCOUNT]]*_1_54128456121462410464578910174567[[#This Row],[DISCOUNT 2]]</f>
        <v>0</v>
      </c>
      <c r="M343" s="194">
        <f>IF(OR(_1_54128456121462410464578910174567[[#This Row],[UNIT]]&gt;0,_1_54128456121462410464578910174567[[#This Row],[UNIT]]&lt;0),_1_54128456121462410464578910174567[[#This Row],[UNIT]]*_1_54128456121462410464578910174567[[#This Row],[COST]],0)</f>
        <v>0</v>
      </c>
      <c r="N343" s="194">
        <f t="shared" si="5"/>
        <v>1.3</v>
      </c>
      <c r="O343" s="198">
        <f>_1_54128456121462410464578910174567[[#This Row],[TOTAL]]*_1_54128456121462410464578910174567[[#This Row],[MARGIN]]</f>
        <v>0</v>
      </c>
      <c r="R343" s="41"/>
    </row>
    <row r="344" spans="1:18">
      <c r="A344" s="168"/>
      <c r="D344" s="188"/>
      <c r="F344" s="168" t="s">
        <v>6202</v>
      </c>
      <c r="G344" s="193">
        <f>IF(_1_54128456121462410464578910174567[[#This Row],[Type]]&gt;0,VLOOKUP(_1_54128456121462410464578910174567[[#This Row],[Type]],Main[[#All],[TYPE]:[UNIT]],'Unit Price'!C$1,FALSE),0)</f>
        <v>0</v>
      </c>
      <c r="H344" s="197">
        <f>IF(_1_54128456121462410464578910174567[[#This Row],[Type]]&gt;0,VLOOKUP(_1_54128456121462410464578910174567[[#This Row],[Type]],Main[[#All],[TYPE]:[UNIT]],'Unit Price'!D$1,FALSE),0)</f>
        <v>0</v>
      </c>
      <c r="I344" s="194">
        <f>IF(_1_54128456121462410464578910174567[[#This Row],[Type]]&gt;0,VLOOKUP(_1_54128456121462410464578910174567[[#This Row],[Type]],Main[[#All],[TYPE]:[UNIT]],'Unit Price'!G$1,FALSE),0)</f>
        <v>0</v>
      </c>
      <c r="J344" s="194">
        <f>IF(_1_54128456121462410464578910174567[[#This Row],[Type]]&gt;0,VLOOKUP(_1_54128456121462410464578910174567[[#This Row],[Type]],Main[[#All],[TYPE]:[UNIT]],'Unit Price'!H$1,FALSE),0)</f>
        <v>0</v>
      </c>
      <c r="K344" s="194">
        <f>IF(_1_54128456121462410464578910174567[[#This Row],[Discount selection]]&gt;0,VLOOKUP(_1_54128456121462410464578910174567[[#This Row],[Discount selection]],'Discount Structure'!$A$2:$B$30,2,"false"),0)</f>
        <v>1</v>
      </c>
      <c r="L344" s="194">
        <f>_1_54128456121462410464578910174567[[#This Row],[LIST $]]*_1_54128456121462410464578910174567[[#This Row],[DISCOUNT]]*_1_54128456121462410464578910174567[[#This Row],[DISCOUNT 2]]</f>
        <v>0</v>
      </c>
      <c r="M344" s="194">
        <f>IF(OR(_1_54128456121462410464578910174567[[#This Row],[UNIT]]&gt;0,_1_54128456121462410464578910174567[[#This Row],[UNIT]]&lt;0),_1_54128456121462410464578910174567[[#This Row],[UNIT]]*_1_54128456121462410464578910174567[[#This Row],[COST]],0)</f>
        <v>0</v>
      </c>
      <c r="N344" s="194">
        <f t="shared" si="5"/>
        <v>1.3</v>
      </c>
      <c r="O344" s="198">
        <f>_1_54128456121462410464578910174567[[#This Row],[TOTAL]]*_1_54128456121462410464578910174567[[#This Row],[MARGIN]]</f>
        <v>0</v>
      </c>
      <c r="R344" s="41"/>
    </row>
    <row r="345" spans="1:18">
      <c r="D345" s="188"/>
      <c r="F345" s="168" t="s">
        <v>6202</v>
      </c>
      <c r="G345" s="193">
        <f>IF(_1_54128456121462410464578910174567[[#This Row],[Type]]&gt;0,VLOOKUP(_1_54128456121462410464578910174567[[#This Row],[Type]],Main[[#All],[TYPE]:[UNIT]],'Unit Price'!C$1,FALSE),0)</f>
        <v>0</v>
      </c>
      <c r="H345" s="197">
        <f>IF(_1_54128456121462410464578910174567[[#This Row],[Type]]&gt;0,VLOOKUP(_1_54128456121462410464578910174567[[#This Row],[Type]],Main[[#All],[TYPE]:[UNIT]],'Unit Price'!D$1,FALSE),0)</f>
        <v>0</v>
      </c>
      <c r="I345" s="194">
        <f>IF(_1_54128456121462410464578910174567[[#This Row],[Type]]&gt;0,VLOOKUP(_1_54128456121462410464578910174567[[#This Row],[Type]],Main[[#All],[TYPE]:[UNIT]],'Unit Price'!G$1,FALSE),0)</f>
        <v>0</v>
      </c>
      <c r="J345" s="194">
        <f>IF(_1_54128456121462410464578910174567[[#This Row],[Type]]&gt;0,VLOOKUP(_1_54128456121462410464578910174567[[#This Row],[Type]],Main[[#All],[TYPE]:[UNIT]],'Unit Price'!H$1,FALSE),0)</f>
        <v>0</v>
      </c>
      <c r="K345" s="194">
        <f>IF(_1_54128456121462410464578910174567[[#This Row],[Discount selection]]&gt;0,VLOOKUP(_1_54128456121462410464578910174567[[#This Row],[Discount selection]],'Discount Structure'!$A$2:$B$30,2,"false"),0)</f>
        <v>1</v>
      </c>
      <c r="L345" s="194">
        <f>_1_54128456121462410464578910174567[[#This Row],[LIST $]]*_1_54128456121462410464578910174567[[#This Row],[DISCOUNT]]*_1_54128456121462410464578910174567[[#This Row],[DISCOUNT 2]]</f>
        <v>0</v>
      </c>
      <c r="M345" s="194">
        <f>IF(OR(_1_54128456121462410464578910174567[[#This Row],[UNIT]]&gt;0,_1_54128456121462410464578910174567[[#This Row],[UNIT]]&lt;0),_1_54128456121462410464578910174567[[#This Row],[UNIT]]*_1_54128456121462410464578910174567[[#This Row],[COST]],0)</f>
        <v>0</v>
      </c>
      <c r="N345" s="194">
        <f t="shared" si="5"/>
        <v>1.3</v>
      </c>
      <c r="O345" s="198">
        <f>_1_54128456121462410464578910174567[[#This Row],[TOTAL]]*_1_54128456121462410464578910174567[[#This Row],[MARGIN]]</f>
        <v>0</v>
      </c>
      <c r="R345" s="41"/>
    </row>
    <row r="346" spans="1:18">
      <c r="A346" s="168"/>
      <c r="B346" s="168"/>
      <c r="C346" s="168"/>
      <c r="D346" s="188"/>
      <c r="F346" s="168" t="s">
        <v>6202</v>
      </c>
      <c r="G346" s="193">
        <f>IF(_1_54128456121462410464578910174567[[#This Row],[Type]]&gt;0,VLOOKUP(_1_54128456121462410464578910174567[[#This Row],[Type]],Main[[#All],[TYPE]:[UNIT]],'Unit Price'!C$1,FALSE),0)</f>
        <v>0</v>
      </c>
      <c r="H346" s="197">
        <f>IF(_1_54128456121462410464578910174567[[#This Row],[Type]]&gt;0,VLOOKUP(_1_54128456121462410464578910174567[[#This Row],[Type]],Main[[#All],[TYPE]:[UNIT]],'Unit Price'!D$1,FALSE),0)</f>
        <v>0</v>
      </c>
      <c r="I346" s="194">
        <f>IF(_1_54128456121462410464578910174567[[#This Row],[Type]]&gt;0,VLOOKUP(_1_54128456121462410464578910174567[[#This Row],[Type]],Main[[#All],[TYPE]:[UNIT]],'Unit Price'!G$1,FALSE),0)</f>
        <v>0</v>
      </c>
      <c r="J346" s="194">
        <f>IF(_1_54128456121462410464578910174567[[#This Row],[Type]]&gt;0,VLOOKUP(_1_54128456121462410464578910174567[[#This Row],[Type]],Main[[#All],[TYPE]:[UNIT]],'Unit Price'!H$1,FALSE),0)</f>
        <v>0</v>
      </c>
      <c r="K346" s="194">
        <f>IF(_1_54128456121462410464578910174567[[#This Row],[Discount selection]]&gt;0,VLOOKUP(_1_54128456121462410464578910174567[[#This Row],[Discount selection]],'Discount Structure'!$A$2:$B$30,2,"false"),0)</f>
        <v>1</v>
      </c>
      <c r="L346" s="194">
        <f>_1_54128456121462410464578910174567[[#This Row],[LIST $]]*_1_54128456121462410464578910174567[[#This Row],[DISCOUNT]]*_1_54128456121462410464578910174567[[#This Row],[DISCOUNT 2]]</f>
        <v>0</v>
      </c>
      <c r="M346" s="194">
        <f>IF(OR(_1_54128456121462410464578910174567[[#This Row],[UNIT]]&gt;0,_1_54128456121462410464578910174567[[#This Row],[UNIT]]&lt;0),_1_54128456121462410464578910174567[[#This Row],[UNIT]]*_1_54128456121462410464578910174567[[#This Row],[COST]],0)</f>
        <v>0</v>
      </c>
      <c r="N346" s="194">
        <f t="shared" si="5"/>
        <v>1.3</v>
      </c>
      <c r="O346" s="198">
        <f>_1_54128456121462410464578910174567[[#This Row],[TOTAL]]*_1_54128456121462410464578910174567[[#This Row],[MARGIN]]</f>
        <v>0</v>
      </c>
      <c r="R346" s="41"/>
    </row>
    <row r="347" spans="1:18">
      <c r="A347" s="323"/>
      <c r="B347" s="323"/>
      <c r="C347" s="323"/>
      <c r="D347" s="188"/>
      <c r="F347" s="168" t="s">
        <v>6202</v>
      </c>
      <c r="G347" s="193">
        <f>IF(_1_54128456121462410464578910174567[[#This Row],[Type]]&gt;0,VLOOKUP(_1_54128456121462410464578910174567[[#This Row],[Type]],Main[[#All],[TYPE]:[UNIT]],'Unit Price'!C$1,FALSE),0)</f>
        <v>0</v>
      </c>
      <c r="H347" s="197">
        <f>IF(_1_54128456121462410464578910174567[[#This Row],[Type]]&gt;0,VLOOKUP(_1_54128456121462410464578910174567[[#This Row],[Type]],Main[[#All],[TYPE]:[UNIT]],'Unit Price'!D$1,FALSE),0)</f>
        <v>0</v>
      </c>
      <c r="I347" s="194">
        <f>IF(_1_54128456121462410464578910174567[[#This Row],[Type]]&gt;0,VLOOKUP(_1_54128456121462410464578910174567[[#This Row],[Type]],Main[[#All],[TYPE]:[UNIT]],'Unit Price'!G$1,FALSE),0)</f>
        <v>0</v>
      </c>
      <c r="J347" s="194">
        <f>IF(_1_54128456121462410464578910174567[[#This Row],[Type]]&gt;0,VLOOKUP(_1_54128456121462410464578910174567[[#This Row],[Type]],Main[[#All],[TYPE]:[UNIT]],'Unit Price'!H$1,FALSE),0)</f>
        <v>0</v>
      </c>
      <c r="K347" s="194">
        <f>IF(_1_54128456121462410464578910174567[[#This Row],[Discount selection]]&gt;0,VLOOKUP(_1_54128456121462410464578910174567[[#This Row],[Discount selection]],'Discount Structure'!$A$2:$B$30,2,"false"),0)</f>
        <v>1</v>
      </c>
      <c r="L347" s="194">
        <f>_1_54128456121462410464578910174567[[#This Row],[LIST $]]*_1_54128456121462410464578910174567[[#This Row],[DISCOUNT]]*_1_54128456121462410464578910174567[[#This Row],[DISCOUNT 2]]</f>
        <v>0</v>
      </c>
      <c r="M347" s="194">
        <f>IF(OR(_1_54128456121462410464578910174567[[#This Row],[UNIT]]&gt;0,_1_54128456121462410464578910174567[[#This Row],[UNIT]]&lt;0),_1_54128456121462410464578910174567[[#This Row],[UNIT]]*_1_54128456121462410464578910174567[[#This Row],[COST]],0)</f>
        <v>0</v>
      </c>
      <c r="N347" s="194">
        <f t="shared" si="5"/>
        <v>1.3</v>
      </c>
      <c r="O347" s="198">
        <f>_1_54128456121462410464578910174567[[#This Row],[TOTAL]]*_1_54128456121462410464578910174567[[#This Row],[MARGIN]]</f>
        <v>0</v>
      </c>
      <c r="R347" s="41"/>
    </row>
    <row r="348" spans="1:18">
      <c r="A348" s="323"/>
      <c r="B348" s="353"/>
      <c r="C348" s="323"/>
      <c r="D348" s="188"/>
      <c r="F348" s="168" t="s">
        <v>6202</v>
      </c>
      <c r="G348" s="193">
        <f>IF(_1_54128456121462410464578910174567[[#This Row],[Type]]&gt;0,VLOOKUP(_1_54128456121462410464578910174567[[#This Row],[Type]],Main[[#All],[TYPE]:[UNIT]],'Unit Price'!C$1,FALSE),0)</f>
        <v>0</v>
      </c>
      <c r="H348" s="197">
        <f>IF(_1_54128456121462410464578910174567[[#This Row],[Type]]&gt;0,VLOOKUP(_1_54128456121462410464578910174567[[#This Row],[Type]],Main[[#All],[TYPE]:[UNIT]],'Unit Price'!D$1,FALSE),0)</f>
        <v>0</v>
      </c>
      <c r="I348" s="194">
        <f>IF(_1_54128456121462410464578910174567[[#This Row],[Type]]&gt;0,VLOOKUP(_1_54128456121462410464578910174567[[#This Row],[Type]],Main[[#All],[TYPE]:[UNIT]],'Unit Price'!G$1,FALSE),0)</f>
        <v>0</v>
      </c>
      <c r="J348" s="194">
        <f>IF(_1_54128456121462410464578910174567[[#This Row],[Type]]&gt;0,VLOOKUP(_1_54128456121462410464578910174567[[#This Row],[Type]],Main[[#All],[TYPE]:[UNIT]],'Unit Price'!H$1,FALSE),0)</f>
        <v>0</v>
      </c>
      <c r="K348" s="194">
        <f>IF(_1_54128456121462410464578910174567[[#This Row],[Discount selection]]&gt;0,VLOOKUP(_1_54128456121462410464578910174567[[#This Row],[Discount selection]],'Discount Structure'!$A$2:$B$30,2,"false"),0)</f>
        <v>1</v>
      </c>
      <c r="L348" s="194">
        <f>_1_54128456121462410464578910174567[[#This Row],[LIST $]]*_1_54128456121462410464578910174567[[#This Row],[DISCOUNT]]*_1_54128456121462410464578910174567[[#This Row],[DISCOUNT 2]]</f>
        <v>0</v>
      </c>
      <c r="M348" s="194">
        <f>IF(OR(_1_54128456121462410464578910174567[[#This Row],[UNIT]]&gt;0,_1_54128456121462410464578910174567[[#This Row],[UNIT]]&lt;0),_1_54128456121462410464578910174567[[#This Row],[UNIT]]*_1_54128456121462410464578910174567[[#This Row],[COST]],0)</f>
        <v>0</v>
      </c>
      <c r="N348" s="194">
        <f t="shared" si="5"/>
        <v>1.3</v>
      </c>
      <c r="O348" s="198">
        <f>_1_54128456121462410464578910174567[[#This Row],[TOTAL]]*_1_54128456121462410464578910174567[[#This Row],[MARGIN]]</f>
        <v>0</v>
      </c>
      <c r="R348" s="41"/>
    </row>
    <row r="349" spans="1:18">
      <c r="D349" s="188"/>
      <c r="F349" s="168" t="s">
        <v>6202</v>
      </c>
      <c r="G349" s="193">
        <f>IF(_1_54128456121462410464578910174567[[#This Row],[Type]]&gt;0,VLOOKUP(_1_54128456121462410464578910174567[[#This Row],[Type]],Main[[#All],[TYPE]:[UNIT]],'Unit Price'!C$1,FALSE),0)</f>
        <v>0</v>
      </c>
      <c r="H349" s="197">
        <f>IF(_1_54128456121462410464578910174567[[#This Row],[Type]]&gt;0,VLOOKUP(_1_54128456121462410464578910174567[[#This Row],[Type]],Main[[#All],[TYPE]:[UNIT]],'Unit Price'!D$1,FALSE),0)</f>
        <v>0</v>
      </c>
      <c r="I349" s="194">
        <f>IF(_1_54128456121462410464578910174567[[#This Row],[Type]]&gt;0,VLOOKUP(_1_54128456121462410464578910174567[[#This Row],[Type]],Main[[#All],[TYPE]:[UNIT]],'Unit Price'!G$1,FALSE),0)</f>
        <v>0</v>
      </c>
      <c r="J349" s="194">
        <f>IF(_1_54128456121462410464578910174567[[#This Row],[Type]]&gt;0,VLOOKUP(_1_54128456121462410464578910174567[[#This Row],[Type]],Main[[#All],[TYPE]:[UNIT]],'Unit Price'!H$1,FALSE),0)</f>
        <v>0</v>
      </c>
      <c r="K349" s="194">
        <f>IF(_1_54128456121462410464578910174567[[#This Row],[Discount selection]]&gt;0,VLOOKUP(_1_54128456121462410464578910174567[[#This Row],[Discount selection]],'Discount Structure'!$A$2:$B$30,2,"false"),0)</f>
        <v>1</v>
      </c>
      <c r="L349" s="194">
        <f>_1_54128456121462410464578910174567[[#This Row],[LIST $]]*_1_54128456121462410464578910174567[[#This Row],[DISCOUNT]]*_1_54128456121462410464578910174567[[#This Row],[DISCOUNT 2]]</f>
        <v>0</v>
      </c>
      <c r="M349" s="194">
        <f>IF(OR(_1_54128456121462410464578910174567[[#This Row],[UNIT]]&gt;0,_1_54128456121462410464578910174567[[#This Row],[UNIT]]&lt;0),_1_54128456121462410464578910174567[[#This Row],[UNIT]]*_1_54128456121462410464578910174567[[#This Row],[COST]],0)</f>
        <v>0</v>
      </c>
      <c r="N349" s="194">
        <f t="shared" si="5"/>
        <v>1.3</v>
      </c>
      <c r="O349" s="198">
        <f>_1_54128456121462410464578910174567[[#This Row],[TOTAL]]*_1_54128456121462410464578910174567[[#This Row],[MARGIN]]</f>
        <v>0</v>
      </c>
      <c r="R349" s="41"/>
    </row>
    <row r="350" spans="1:18">
      <c r="D350" s="188"/>
      <c r="F350" s="168" t="s">
        <v>6202</v>
      </c>
      <c r="G350" s="193">
        <f>IF(_1_54128456121462410464578910174567[[#This Row],[Type]]&gt;0,VLOOKUP(_1_54128456121462410464578910174567[[#This Row],[Type]],Main[[#All],[TYPE]:[UNIT]],'Unit Price'!C$1,FALSE),0)</f>
        <v>0</v>
      </c>
      <c r="H350" s="197">
        <f>IF(_1_54128456121462410464578910174567[[#This Row],[Type]]&gt;0,VLOOKUP(_1_54128456121462410464578910174567[[#This Row],[Type]],Main[[#All],[TYPE]:[UNIT]],'Unit Price'!D$1,FALSE),0)</f>
        <v>0</v>
      </c>
      <c r="I350" s="194">
        <f>IF(_1_54128456121462410464578910174567[[#This Row],[Type]]&gt;0,VLOOKUP(_1_54128456121462410464578910174567[[#This Row],[Type]],Main[[#All],[TYPE]:[UNIT]],'Unit Price'!G$1,FALSE),0)</f>
        <v>0</v>
      </c>
      <c r="J350" s="194">
        <f>IF(_1_54128456121462410464578910174567[[#This Row],[Type]]&gt;0,VLOOKUP(_1_54128456121462410464578910174567[[#This Row],[Type]],Main[[#All],[TYPE]:[UNIT]],'Unit Price'!H$1,FALSE),0)</f>
        <v>0</v>
      </c>
      <c r="K350" s="194">
        <f>IF(_1_54128456121462410464578910174567[[#This Row],[Discount selection]]&gt;0,VLOOKUP(_1_54128456121462410464578910174567[[#This Row],[Discount selection]],'Discount Structure'!$A$2:$B$30,2,"false"),0)</f>
        <v>1</v>
      </c>
      <c r="L350" s="194">
        <f>_1_54128456121462410464578910174567[[#This Row],[LIST $]]*_1_54128456121462410464578910174567[[#This Row],[DISCOUNT]]*_1_54128456121462410464578910174567[[#This Row],[DISCOUNT 2]]</f>
        <v>0</v>
      </c>
      <c r="M350" s="194">
        <f>IF(OR(_1_54128456121462410464578910174567[[#This Row],[UNIT]]&gt;0,_1_54128456121462410464578910174567[[#This Row],[UNIT]]&lt;0),_1_54128456121462410464578910174567[[#This Row],[UNIT]]*_1_54128456121462410464578910174567[[#This Row],[COST]],0)</f>
        <v>0</v>
      </c>
      <c r="N350" s="194">
        <f t="shared" si="5"/>
        <v>1.3</v>
      </c>
      <c r="O350" s="198">
        <f>_1_54128456121462410464578910174567[[#This Row],[TOTAL]]*_1_54128456121462410464578910174567[[#This Row],[MARGIN]]</f>
        <v>0</v>
      </c>
      <c r="R350" s="41"/>
    </row>
    <row r="351" spans="1:18">
      <c r="A351" s="168"/>
      <c r="D351" s="188"/>
      <c r="F351" s="168" t="s">
        <v>6202</v>
      </c>
      <c r="G351" s="193">
        <f>IF(_1_54128456121462410464578910174567[[#This Row],[Type]]&gt;0,VLOOKUP(_1_54128456121462410464578910174567[[#This Row],[Type]],Main[[#All],[TYPE]:[UNIT]],'Unit Price'!C$1,FALSE),0)</f>
        <v>0</v>
      </c>
      <c r="H351" s="197">
        <f>IF(_1_54128456121462410464578910174567[[#This Row],[Type]]&gt;0,VLOOKUP(_1_54128456121462410464578910174567[[#This Row],[Type]],Main[[#All],[TYPE]:[UNIT]],'Unit Price'!D$1,FALSE),0)</f>
        <v>0</v>
      </c>
      <c r="I351" s="194">
        <f>IF(_1_54128456121462410464578910174567[[#This Row],[Type]]&gt;0,VLOOKUP(_1_54128456121462410464578910174567[[#This Row],[Type]],Main[[#All],[TYPE]:[UNIT]],'Unit Price'!G$1,FALSE),0)</f>
        <v>0</v>
      </c>
      <c r="J351" s="194">
        <f>IF(_1_54128456121462410464578910174567[[#This Row],[Type]]&gt;0,VLOOKUP(_1_54128456121462410464578910174567[[#This Row],[Type]],Main[[#All],[TYPE]:[UNIT]],'Unit Price'!H$1,FALSE),0)</f>
        <v>0</v>
      </c>
      <c r="K351" s="194">
        <f>IF(_1_54128456121462410464578910174567[[#This Row],[Discount selection]]&gt;0,VLOOKUP(_1_54128456121462410464578910174567[[#This Row],[Discount selection]],'Discount Structure'!$A$2:$B$30,2,"false"),0)</f>
        <v>1</v>
      </c>
      <c r="L351" s="194">
        <f>_1_54128456121462410464578910174567[[#This Row],[LIST $]]*_1_54128456121462410464578910174567[[#This Row],[DISCOUNT]]*_1_54128456121462410464578910174567[[#This Row],[DISCOUNT 2]]</f>
        <v>0</v>
      </c>
      <c r="M351" s="194">
        <f>IF(OR(_1_54128456121462410464578910174567[[#This Row],[UNIT]]&gt;0,_1_54128456121462410464578910174567[[#This Row],[UNIT]]&lt;0),_1_54128456121462410464578910174567[[#This Row],[UNIT]]*_1_54128456121462410464578910174567[[#This Row],[COST]],0)</f>
        <v>0</v>
      </c>
      <c r="N351" s="194">
        <f t="shared" si="5"/>
        <v>1.3</v>
      </c>
      <c r="O351" s="198">
        <f>_1_54128456121462410464578910174567[[#This Row],[TOTAL]]*_1_54128456121462410464578910174567[[#This Row],[MARGIN]]</f>
        <v>0</v>
      </c>
      <c r="R351" s="41"/>
    </row>
    <row r="352" spans="1:18">
      <c r="D352" s="188"/>
      <c r="F352" s="168" t="s">
        <v>6202</v>
      </c>
      <c r="G352" s="193">
        <f>IF(_1_54128456121462410464578910174567[[#This Row],[Type]]&gt;0,VLOOKUP(_1_54128456121462410464578910174567[[#This Row],[Type]],Main[[#All],[TYPE]:[UNIT]],'Unit Price'!C$1,FALSE),0)</f>
        <v>0</v>
      </c>
      <c r="H352" s="197">
        <f>IF(_1_54128456121462410464578910174567[[#This Row],[Type]]&gt;0,VLOOKUP(_1_54128456121462410464578910174567[[#This Row],[Type]],Main[[#All],[TYPE]:[UNIT]],'Unit Price'!D$1,FALSE),0)</f>
        <v>0</v>
      </c>
      <c r="I352" s="194">
        <f>IF(_1_54128456121462410464578910174567[[#This Row],[Type]]&gt;0,VLOOKUP(_1_54128456121462410464578910174567[[#This Row],[Type]],Main[[#All],[TYPE]:[UNIT]],'Unit Price'!G$1,FALSE),0)</f>
        <v>0</v>
      </c>
      <c r="J352" s="194">
        <f>IF(_1_54128456121462410464578910174567[[#This Row],[Type]]&gt;0,VLOOKUP(_1_54128456121462410464578910174567[[#This Row],[Type]],Main[[#All],[TYPE]:[UNIT]],'Unit Price'!H$1,FALSE),0)</f>
        <v>0</v>
      </c>
      <c r="K352" s="194">
        <f>IF(_1_54128456121462410464578910174567[[#This Row],[Discount selection]]&gt;0,VLOOKUP(_1_54128456121462410464578910174567[[#This Row],[Discount selection]],'Discount Structure'!$A$2:$B$30,2,"false"),0)</f>
        <v>1</v>
      </c>
      <c r="L352" s="194">
        <f>_1_54128456121462410464578910174567[[#This Row],[LIST $]]*_1_54128456121462410464578910174567[[#This Row],[DISCOUNT]]*_1_54128456121462410464578910174567[[#This Row],[DISCOUNT 2]]</f>
        <v>0</v>
      </c>
      <c r="M352" s="194">
        <f>IF(OR(_1_54128456121462410464578910174567[[#This Row],[UNIT]]&gt;0,_1_54128456121462410464578910174567[[#This Row],[UNIT]]&lt;0),_1_54128456121462410464578910174567[[#This Row],[UNIT]]*_1_54128456121462410464578910174567[[#This Row],[COST]],0)</f>
        <v>0</v>
      </c>
      <c r="N352" s="194">
        <f t="shared" si="5"/>
        <v>1.3</v>
      </c>
      <c r="O352" s="198">
        <f>_1_54128456121462410464578910174567[[#This Row],[TOTAL]]*_1_54128456121462410464578910174567[[#This Row],[MARGIN]]</f>
        <v>0</v>
      </c>
      <c r="R352" s="41"/>
    </row>
    <row r="353" spans="1:18">
      <c r="A353" s="168"/>
      <c r="B353" s="168"/>
      <c r="C353" s="168"/>
      <c r="D353" s="188"/>
      <c r="F353" s="168" t="s">
        <v>6202</v>
      </c>
      <c r="G353" s="193">
        <f>IF(_1_54128456121462410464578910174567[[#This Row],[Type]]&gt;0,VLOOKUP(_1_54128456121462410464578910174567[[#This Row],[Type]],Main[[#All],[TYPE]:[UNIT]],'Unit Price'!C$1,FALSE),0)</f>
        <v>0</v>
      </c>
      <c r="H353" s="197">
        <f>IF(_1_54128456121462410464578910174567[[#This Row],[Type]]&gt;0,VLOOKUP(_1_54128456121462410464578910174567[[#This Row],[Type]],Main[[#All],[TYPE]:[UNIT]],'Unit Price'!D$1,FALSE),0)</f>
        <v>0</v>
      </c>
      <c r="I353" s="194">
        <f>IF(_1_54128456121462410464578910174567[[#This Row],[Type]]&gt;0,VLOOKUP(_1_54128456121462410464578910174567[[#This Row],[Type]],Main[[#All],[TYPE]:[UNIT]],'Unit Price'!G$1,FALSE),0)</f>
        <v>0</v>
      </c>
      <c r="J353" s="194">
        <f>IF(_1_54128456121462410464578910174567[[#This Row],[Type]]&gt;0,VLOOKUP(_1_54128456121462410464578910174567[[#This Row],[Type]],Main[[#All],[TYPE]:[UNIT]],'Unit Price'!H$1,FALSE),0)</f>
        <v>0</v>
      </c>
      <c r="K353" s="194">
        <f>IF(_1_54128456121462410464578910174567[[#This Row],[Discount selection]]&gt;0,VLOOKUP(_1_54128456121462410464578910174567[[#This Row],[Discount selection]],'Discount Structure'!$A$2:$B$30,2,"false"),0)</f>
        <v>1</v>
      </c>
      <c r="L353" s="194">
        <f>_1_54128456121462410464578910174567[[#This Row],[LIST $]]*_1_54128456121462410464578910174567[[#This Row],[DISCOUNT]]*_1_54128456121462410464578910174567[[#This Row],[DISCOUNT 2]]</f>
        <v>0</v>
      </c>
      <c r="M353" s="194">
        <f>IF(OR(_1_54128456121462410464578910174567[[#This Row],[UNIT]]&gt;0,_1_54128456121462410464578910174567[[#This Row],[UNIT]]&lt;0),_1_54128456121462410464578910174567[[#This Row],[UNIT]]*_1_54128456121462410464578910174567[[#This Row],[COST]],0)</f>
        <v>0</v>
      </c>
      <c r="N353" s="194">
        <f t="shared" si="5"/>
        <v>1.3</v>
      </c>
      <c r="O353" s="198">
        <f>_1_54128456121462410464578910174567[[#This Row],[TOTAL]]*_1_54128456121462410464578910174567[[#This Row],[MARGIN]]</f>
        <v>0</v>
      </c>
      <c r="R353" s="41"/>
    </row>
    <row r="354" spans="1:18">
      <c r="A354" s="323"/>
      <c r="B354" s="323"/>
      <c r="C354" s="323"/>
      <c r="D354" s="188"/>
      <c r="F354" s="168" t="s">
        <v>6202</v>
      </c>
      <c r="G354" s="193">
        <f>IF(_1_54128456121462410464578910174567[[#This Row],[Type]]&gt;0,VLOOKUP(_1_54128456121462410464578910174567[[#This Row],[Type]],Main[[#All],[TYPE]:[UNIT]],'Unit Price'!C$1,FALSE),0)</f>
        <v>0</v>
      </c>
      <c r="H354" s="197">
        <f>IF(_1_54128456121462410464578910174567[[#This Row],[Type]]&gt;0,VLOOKUP(_1_54128456121462410464578910174567[[#This Row],[Type]],Main[[#All],[TYPE]:[UNIT]],'Unit Price'!D$1,FALSE),0)</f>
        <v>0</v>
      </c>
      <c r="I354" s="194">
        <f>IF(_1_54128456121462410464578910174567[[#This Row],[Type]]&gt;0,VLOOKUP(_1_54128456121462410464578910174567[[#This Row],[Type]],Main[[#All],[TYPE]:[UNIT]],'Unit Price'!G$1,FALSE),0)</f>
        <v>0</v>
      </c>
      <c r="J354" s="194">
        <f>IF(_1_54128456121462410464578910174567[[#This Row],[Type]]&gt;0,VLOOKUP(_1_54128456121462410464578910174567[[#This Row],[Type]],Main[[#All],[TYPE]:[UNIT]],'Unit Price'!H$1,FALSE),0)</f>
        <v>0</v>
      </c>
      <c r="K354" s="194">
        <f>IF(_1_54128456121462410464578910174567[[#This Row],[Discount selection]]&gt;0,VLOOKUP(_1_54128456121462410464578910174567[[#This Row],[Discount selection]],'Discount Structure'!$A$2:$B$30,2,"false"),0)</f>
        <v>1</v>
      </c>
      <c r="L354" s="194">
        <f>_1_54128456121462410464578910174567[[#This Row],[LIST $]]*_1_54128456121462410464578910174567[[#This Row],[DISCOUNT]]*_1_54128456121462410464578910174567[[#This Row],[DISCOUNT 2]]</f>
        <v>0</v>
      </c>
      <c r="M354" s="194">
        <f>IF(OR(_1_54128456121462410464578910174567[[#This Row],[UNIT]]&gt;0,_1_54128456121462410464578910174567[[#This Row],[UNIT]]&lt;0),_1_54128456121462410464578910174567[[#This Row],[UNIT]]*_1_54128456121462410464578910174567[[#This Row],[COST]],0)</f>
        <v>0</v>
      </c>
      <c r="N354" s="194">
        <f t="shared" si="5"/>
        <v>1.3</v>
      </c>
      <c r="O354" s="198">
        <f>_1_54128456121462410464578910174567[[#This Row],[TOTAL]]*_1_54128456121462410464578910174567[[#This Row],[MARGIN]]</f>
        <v>0</v>
      </c>
      <c r="R354" s="41"/>
    </row>
    <row r="355" spans="1:18">
      <c r="A355" s="323"/>
      <c r="B355" s="353"/>
      <c r="C355" s="323"/>
      <c r="D355" s="188"/>
      <c r="F355" s="168" t="s">
        <v>6202</v>
      </c>
      <c r="G355" s="193">
        <f>IF(_1_54128456121462410464578910174567[[#This Row],[Type]]&gt;0,VLOOKUP(_1_54128456121462410464578910174567[[#This Row],[Type]],Main[[#All],[TYPE]:[UNIT]],'Unit Price'!C$1,FALSE),0)</f>
        <v>0</v>
      </c>
      <c r="H355" s="197">
        <f>IF(_1_54128456121462410464578910174567[[#This Row],[Type]]&gt;0,VLOOKUP(_1_54128456121462410464578910174567[[#This Row],[Type]],Main[[#All],[TYPE]:[UNIT]],'Unit Price'!D$1,FALSE),0)</f>
        <v>0</v>
      </c>
      <c r="I355" s="194">
        <f>IF(_1_54128456121462410464578910174567[[#This Row],[Type]]&gt;0,VLOOKUP(_1_54128456121462410464578910174567[[#This Row],[Type]],Main[[#All],[TYPE]:[UNIT]],'Unit Price'!G$1,FALSE),0)</f>
        <v>0</v>
      </c>
      <c r="J355" s="194">
        <f>IF(_1_54128456121462410464578910174567[[#This Row],[Type]]&gt;0,VLOOKUP(_1_54128456121462410464578910174567[[#This Row],[Type]],Main[[#All],[TYPE]:[UNIT]],'Unit Price'!H$1,FALSE),0)</f>
        <v>0</v>
      </c>
      <c r="K355" s="194">
        <f>IF(_1_54128456121462410464578910174567[[#This Row],[Discount selection]]&gt;0,VLOOKUP(_1_54128456121462410464578910174567[[#This Row],[Discount selection]],'Discount Structure'!$A$2:$B$30,2,"false"),0)</f>
        <v>1</v>
      </c>
      <c r="L355" s="194">
        <f>_1_54128456121462410464578910174567[[#This Row],[LIST $]]*_1_54128456121462410464578910174567[[#This Row],[DISCOUNT]]*_1_54128456121462410464578910174567[[#This Row],[DISCOUNT 2]]</f>
        <v>0</v>
      </c>
      <c r="M355" s="194">
        <f>IF(OR(_1_54128456121462410464578910174567[[#This Row],[UNIT]]&gt;0,_1_54128456121462410464578910174567[[#This Row],[UNIT]]&lt;0),_1_54128456121462410464578910174567[[#This Row],[UNIT]]*_1_54128456121462410464578910174567[[#This Row],[COST]],0)</f>
        <v>0</v>
      </c>
      <c r="N355" s="194">
        <f t="shared" si="5"/>
        <v>1.3</v>
      </c>
      <c r="O355" s="198">
        <f>_1_54128456121462410464578910174567[[#This Row],[TOTAL]]*_1_54128456121462410464578910174567[[#This Row],[MARGIN]]</f>
        <v>0</v>
      </c>
      <c r="R355" s="41"/>
    </row>
    <row r="356" spans="1:18">
      <c r="D356" s="188"/>
      <c r="F356" s="168" t="s">
        <v>6202</v>
      </c>
      <c r="G356" s="193">
        <f>IF(_1_54128456121462410464578910174567[[#This Row],[Type]]&gt;0,VLOOKUP(_1_54128456121462410464578910174567[[#This Row],[Type]],Main[[#All],[TYPE]:[UNIT]],'Unit Price'!C$1,FALSE),0)</f>
        <v>0</v>
      </c>
      <c r="H356" s="197">
        <f>IF(_1_54128456121462410464578910174567[[#This Row],[Type]]&gt;0,VLOOKUP(_1_54128456121462410464578910174567[[#This Row],[Type]],Main[[#All],[TYPE]:[UNIT]],'Unit Price'!D$1,FALSE),0)</f>
        <v>0</v>
      </c>
      <c r="I356" s="194">
        <f>IF(_1_54128456121462410464578910174567[[#This Row],[Type]]&gt;0,VLOOKUP(_1_54128456121462410464578910174567[[#This Row],[Type]],Main[[#All],[TYPE]:[UNIT]],'Unit Price'!G$1,FALSE),0)</f>
        <v>0</v>
      </c>
      <c r="J356" s="194">
        <f>IF(_1_54128456121462410464578910174567[[#This Row],[Type]]&gt;0,VLOOKUP(_1_54128456121462410464578910174567[[#This Row],[Type]],Main[[#All],[TYPE]:[UNIT]],'Unit Price'!H$1,FALSE),0)</f>
        <v>0</v>
      </c>
      <c r="K356" s="194">
        <f>IF(_1_54128456121462410464578910174567[[#This Row],[Discount selection]]&gt;0,VLOOKUP(_1_54128456121462410464578910174567[[#This Row],[Discount selection]],'Discount Structure'!$A$2:$B$30,2,"false"),0)</f>
        <v>1</v>
      </c>
      <c r="L356" s="194">
        <f>_1_54128456121462410464578910174567[[#This Row],[LIST $]]*_1_54128456121462410464578910174567[[#This Row],[DISCOUNT]]*_1_54128456121462410464578910174567[[#This Row],[DISCOUNT 2]]</f>
        <v>0</v>
      </c>
      <c r="M356" s="194">
        <f>IF(OR(_1_54128456121462410464578910174567[[#This Row],[UNIT]]&gt;0,_1_54128456121462410464578910174567[[#This Row],[UNIT]]&lt;0),_1_54128456121462410464578910174567[[#This Row],[UNIT]]*_1_54128456121462410464578910174567[[#This Row],[COST]],0)</f>
        <v>0</v>
      </c>
      <c r="N356" s="194">
        <f t="shared" si="5"/>
        <v>1.3</v>
      </c>
      <c r="O356" s="198">
        <f>_1_54128456121462410464578910174567[[#This Row],[TOTAL]]*_1_54128456121462410464578910174567[[#This Row],[MARGIN]]</f>
        <v>0</v>
      </c>
      <c r="R356" s="41"/>
    </row>
    <row r="357" spans="1:18">
      <c r="D357" s="188"/>
      <c r="F357" s="168" t="s">
        <v>6202</v>
      </c>
      <c r="G357" s="193">
        <f>IF(_1_54128456121462410464578910174567[[#This Row],[Type]]&gt;0,VLOOKUP(_1_54128456121462410464578910174567[[#This Row],[Type]],Main[[#All],[TYPE]:[UNIT]],'Unit Price'!C$1,FALSE),0)</f>
        <v>0</v>
      </c>
      <c r="H357" s="197">
        <f>IF(_1_54128456121462410464578910174567[[#This Row],[Type]]&gt;0,VLOOKUP(_1_54128456121462410464578910174567[[#This Row],[Type]],Main[[#All],[TYPE]:[UNIT]],'Unit Price'!D$1,FALSE),0)</f>
        <v>0</v>
      </c>
      <c r="I357" s="194">
        <f>IF(_1_54128456121462410464578910174567[[#This Row],[Type]]&gt;0,VLOOKUP(_1_54128456121462410464578910174567[[#This Row],[Type]],Main[[#All],[TYPE]:[UNIT]],'Unit Price'!G$1,FALSE),0)</f>
        <v>0</v>
      </c>
      <c r="J357" s="194">
        <f>IF(_1_54128456121462410464578910174567[[#This Row],[Type]]&gt;0,VLOOKUP(_1_54128456121462410464578910174567[[#This Row],[Type]],Main[[#All],[TYPE]:[UNIT]],'Unit Price'!H$1,FALSE),0)</f>
        <v>0</v>
      </c>
      <c r="K357" s="194">
        <f>IF(_1_54128456121462410464578910174567[[#This Row],[Discount selection]]&gt;0,VLOOKUP(_1_54128456121462410464578910174567[[#This Row],[Discount selection]],'Discount Structure'!$A$2:$B$30,2,"false"),0)</f>
        <v>1</v>
      </c>
      <c r="L357" s="194">
        <f>_1_54128456121462410464578910174567[[#This Row],[LIST $]]*_1_54128456121462410464578910174567[[#This Row],[DISCOUNT]]*_1_54128456121462410464578910174567[[#This Row],[DISCOUNT 2]]</f>
        <v>0</v>
      </c>
      <c r="M357" s="194">
        <f>IF(OR(_1_54128456121462410464578910174567[[#This Row],[UNIT]]&gt;0,_1_54128456121462410464578910174567[[#This Row],[UNIT]]&lt;0),_1_54128456121462410464578910174567[[#This Row],[UNIT]]*_1_54128456121462410464578910174567[[#This Row],[COST]],0)</f>
        <v>0</v>
      </c>
      <c r="N357" s="194">
        <f t="shared" si="5"/>
        <v>1.3</v>
      </c>
      <c r="O357" s="198">
        <f>_1_54128456121462410464578910174567[[#This Row],[TOTAL]]*_1_54128456121462410464578910174567[[#This Row],[MARGIN]]</f>
        <v>0</v>
      </c>
      <c r="R357" s="41"/>
    </row>
    <row r="358" spans="1:18">
      <c r="A358" s="168"/>
      <c r="D358" s="188"/>
      <c r="F358" s="168" t="s">
        <v>6202</v>
      </c>
      <c r="G358" s="193">
        <f>IF(_1_54128456121462410464578910174567[[#This Row],[Type]]&gt;0,VLOOKUP(_1_54128456121462410464578910174567[[#This Row],[Type]],Main[[#All],[TYPE]:[UNIT]],'Unit Price'!C$1,FALSE),0)</f>
        <v>0</v>
      </c>
      <c r="H358" s="197">
        <f>IF(_1_54128456121462410464578910174567[[#This Row],[Type]]&gt;0,VLOOKUP(_1_54128456121462410464578910174567[[#This Row],[Type]],Main[[#All],[TYPE]:[UNIT]],'Unit Price'!D$1,FALSE),0)</f>
        <v>0</v>
      </c>
      <c r="I358" s="194">
        <f>IF(_1_54128456121462410464578910174567[[#This Row],[Type]]&gt;0,VLOOKUP(_1_54128456121462410464578910174567[[#This Row],[Type]],Main[[#All],[TYPE]:[UNIT]],'Unit Price'!G$1,FALSE),0)</f>
        <v>0</v>
      </c>
      <c r="J358" s="194">
        <f>IF(_1_54128456121462410464578910174567[[#This Row],[Type]]&gt;0,VLOOKUP(_1_54128456121462410464578910174567[[#This Row],[Type]],Main[[#All],[TYPE]:[UNIT]],'Unit Price'!H$1,FALSE),0)</f>
        <v>0</v>
      </c>
      <c r="K358" s="194">
        <f>IF(_1_54128456121462410464578910174567[[#This Row],[Discount selection]]&gt;0,VLOOKUP(_1_54128456121462410464578910174567[[#This Row],[Discount selection]],'Discount Structure'!$A$2:$B$30,2,"false"),0)</f>
        <v>1</v>
      </c>
      <c r="L358" s="194">
        <f>_1_54128456121462410464578910174567[[#This Row],[LIST $]]*_1_54128456121462410464578910174567[[#This Row],[DISCOUNT]]*_1_54128456121462410464578910174567[[#This Row],[DISCOUNT 2]]</f>
        <v>0</v>
      </c>
      <c r="M358" s="194">
        <f>IF(OR(_1_54128456121462410464578910174567[[#This Row],[UNIT]]&gt;0,_1_54128456121462410464578910174567[[#This Row],[UNIT]]&lt;0),_1_54128456121462410464578910174567[[#This Row],[UNIT]]*_1_54128456121462410464578910174567[[#This Row],[COST]],0)</f>
        <v>0</v>
      </c>
      <c r="N358" s="194">
        <f t="shared" si="5"/>
        <v>1.3</v>
      </c>
      <c r="O358" s="198">
        <f>_1_54128456121462410464578910174567[[#This Row],[TOTAL]]*_1_54128456121462410464578910174567[[#This Row],[MARGIN]]</f>
        <v>0</v>
      </c>
      <c r="R358" s="41"/>
    </row>
    <row r="359" spans="1:18">
      <c r="D359" s="188"/>
      <c r="F359" s="168" t="s">
        <v>6202</v>
      </c>
      <c r="G359" s="193">
        <f>IF(_1_54128456121462410464578910174567[[#This Row],[Type]]&gt;0,VLOOKUP(_1_54128456121462410464578910174567[[#This Row],[Type]],Main[[#All],[TYPE]:[UNIT]],'Unit Price'!C$1,FALSE),0)</f>
        <v>0</v>
      </c>
      <c r="H359" s="197">
        <f>IF(_1_54128456121462410464578910174567[[#This Row],[Type]]&gt;0,VLOOKUP(_1_54128456121462410464578910174567[[#This Row],[Type]],Main[[#All],[TYPE]:[UNIT]],'Unit Price'!D$1,FALSE),0)</f>
        <v>0</v>
      </c>
      <c r="I359" s="194">
        <f>IF(_1_54128456121462410464578910174567[[#This Row],[Type]]&gt;0,VLOOKUP(_1_54128456121462410464578910174567[[#This Row],[Type]],Main[[#All],[TYPE]:[UNIT]],'Unit Price'!G$1,FALSE),0)</f>
        <v>0</v>
      </c>
      <c r="J359" s="194">
        <f>IF(_1_54128456121462410464578910174567[[#This Row],[Type]]&gt;0,VLOOKUP(_1_54128456121462410464578910174567[[#This Row],[Type]],Main[[#All],[TYPE]:[UNIT]],'Unit Price'!H$1,FALSE),0)</f>
        <v>0</v>
      </c>
      <c r="K359" s="194">
        <f>IF(_1_54128456121462410464578910174567[[#This Row],[Discount selection]]&gt;0,VLOOKUP(_1_54128456121462410464578910174567[[#This Row],[Discount selection]],'Discount Structure'!$A$2:$B$30,2,"false"),0)</f>
        <v>1</v>
      </c>
      <c r="L359" s="194">
        <f>_1_54128456121462410464578910174567[[#This Row],[LIST $]]*_1_54128456121462410464578910174567[[#This Row],[DISCOUNT]]*_1_54128456121462410464578910174567[[#This Row],[DISCOUNT 2]]</f>
        <v>0</v>
      </c>
      <c r="M359" s="194">
        <f>IF(OR(_1_54128456121462410464578910174567[[#This Row],[UNIT]]&gt;0,_1_54128456121462410464578910174567[[#This Row],[UNIT]]&lt;0),_1_54128456121462410464578910174567[[#This Row],[UNIT]]*_1_54128456121462410464578910174567[[#This Row],[COST]],0)</f>
        <v>0</v>
      </c>
      <c r="N359" s="194">
        <f t="shared" si="5"/>
        <v>1.3</v>
      </c>
      <c r="O359" s="198">
        <f>_1_54128456121462410464578910174567[[#This Row],[TOTAL]]*_1_54128456121462410464578910174567[[#This Row],[MARGIN]]</f>
        <v>0</v>
      </c>
      <c r="R359" s="41"/>
    </row>
    <row r="360" spans="1:18">
      <c r="A360" s="168"/>
      <c r="B360" s="168"/>
      <c r="C360" s="168"/>
      <c r="D360" s="188"/>
      <c r="F360" s="168" t="s">
        <v>6202</v>
      </c>
      <c r="G360" s="193">
        <f>IF(_1_54128456121462410464578910174567[[#This Row],[Type]]&gt;0,VLOOKUP(_1_54128456121462410464578910174567[[#This Row],[Type]],Main[[#All],[TYPE]:[UNIT]],'Unit Price'!C$1,FALSE),0)</f>
        <v>0</v>
      </c>
      <c r="H360" s="197">
        <f>IF(_1_54128456121462410464578910174567[[#This Row],[Type]]&gt;0,VLOOKUP(_1_54128456121462410464578910174567[[#This Row],[Type]],Main[[#All],[TYPE]:[UNIT]],'Unit Price'!D$1,FALSE),0)</f>
        <v>0</v>
      </c>
      <c r="I360" s="194">
        <f>IF(_1_54128456121462410464578910174567[[#This Row],[Type]]&gt;0,VLOOKUP(_1_54128456121462410464578910174567[[#This Row],[Type]],Main[[#All],[TYPE]:[UNIT]],'Unit Price'!G$1,FALSE),0)</f>
        <v>0</v>
      </c>
      <c r="J360" s="194">
        <f>IF(_1_54128456121462410464578910174567[[#This Row],[Type]]&gt;0,VLOOKUP(_1_54128456121462410464578910174567[[#This Row],[Type]],Main[[#All],[TYPE]:[UNIT]],'Unit Price'!H$1,FALSE),0)</f>
        <v>0</v>
      </c>
      <c r="K360" s="194">
        <f>IF(_1_54128456121462410464578910174567[[#This Row],[Discount selection]]&gt;0,VLOOKUP(_1_54128456121462410464578910174567[[#This Row],[Discount selection]],'Discount Structure'!$A$2:$B$30,2,"false"),0)</f>
        <v>1</v>
      </c>
      <c r="L360" s="194">
        <f>_1_54128456121462410464578910174567[[#This Row],[LIST $]]*_1_54128456121462410464578910174567[[#This Row],[DISCOUNT]]*_1_54128456121462410464578910174567[[#This Row],[DISCOUNT 2]]</f>
        <v>0</v>
      </c>
      <c r="M360" s="194">
        <f>IF(OR(_1_54128456121462410464578910174567[[#This Row],[UNIT]]&gt;0,_1_54128456121462410464578910174567[[#This Row],[UNIT]]&lt;0),_1_54128456121462410464578910174567[[#This Row],[UNIT]]*_1_54128456121462410464578910174567[[#This Row],[COST]],0)</f>
        <v>0</v>
      </c>
      <c r="N360" s="194">
        <f t="shared" si="5"/>
        <v>1.3</v>
      </c>
      <c r="O360" s="198">
        <f>_1_54128456121462410464578910174567[[#This Row],[TOTAL]]*_1_54128456121462410464578910174567[[#This Row],[MARGIN]]</f>
        <v>0</v>
      </c>
      <c r="R360" s="41"/>
    </row>
    <row r="361" spans="1:18">
      <c r="A361" s="323"/>
      <c r="B361" s="323"/>
      <c r="C361" s="323"/>
      <c r="D361" s="188"/>
      <c r="F361" s="168" t="s">
        <v>6202</v>
      </c>
      <c r="G361" s="193">
        <f>IF(_1_54128456121462410464578910174567[[#This Row],[Type]]&gt;0,VLOOKUP(_1_54128456121462410464578910174567[[#This Row],[Type]],Main[[#All],[TYPE]:[UNIT]],'Unit Price'!C$1,FALSE),0)</f>
        <v>0</v>
      </c>
      <c r="H361" s="197">
        <f>IF(_1_54128456121462410464578910174567[[#This Row],[Type]]&gt;0,VLOOKUP(_1_54128456121462410464578910174567[[#This Row],[Type]],Main[[#All],[TYPE]:[UNIT]],'Unit Price'!D$1,FALSE),0)</f>
        <v>0</v>
      </c>
      <c r="I361" s="194">
        <f>IF(_1_54128456121462410464578910174567[[#This Row],[Type]]&gt;0,VLOOKUP(_1_54128456121462410464578910174567[[#This Row],[Type]],Main[[#All],[TYPE]:[UNIT]],'Unit Price'!G$1,FALSE),0)</f>
        <v>0</v>
      </c>
      <c r="J361" s="194">
        <f>IF(_1_54128456121462410464578910174567[[#This Row],[Type]]&gt;0,VLOOKUP(_1_54128456121462410464578910174567[[#This Row],[Type]],Main[[#All],[TYPE]:[UNIT]],'Unit Price'!H$1,FALSE),0)</f>
        <v>0</v>
      </c>
      <c r="K361" s="194">
        <f>IF(_1_54128456121462410464578910174567[[#This Row],[Discount selection]]&gt;0,VLOOKUP(_1_54128456121462410464578910174567[[#This Row],[Discount selection]],'Discount Structure'!$A$2:$B$30,2,"false"),0)</f>
        <v>1</v>
      </c>
      <c r="L361" s="194">
        <f>_1_54128456121462410464578910174567[[#This Row],[LIST $]]*_1_54128456121462410464578910174567[[#This Row],[DISCOUNT]]*_1_54128456121462410464578910174567[[#This Row],[DISCOUNT 2]]</f>
        <v>0</v>
      </c>
      <c r="M361" s="194">
        <f>IF(OR(_1_54128456121462410464578910174567[[#This Row],[UNIT]]&gt;0,_1_54128456121462410464578910174567[[#This Row],[UNIT]]&lt;0),_1_54128456121462410464578910174567[[#This Row],[UNIT]]*_1_54128456121462410464578910174567[[#This Row],[COST]],0)</f>
        <v>0</v>
      </c>
      <c r="N361" s="194">
        <f t="shared" si="5"/>
        <v>1.3</v>
      </c>
      <c r="O361" s="198">
        <f>_1_54128456121462410464578910174567[[#This Row],[TOTAL]]*_1_54128456121462410464578910174567[[#This Row],[MARGIN]]</f>
        <v>0</v>
      </c>
      <c r="R361" s="41"/>
    </row>
    <row r="362" spans="1:18">
      <c r="A362" s="323"/>
      <c r="B362" s="353"/>
      <c r="C362" s="323"/>
      <c r="D362" s="188"/>
      <c r="F362" s="168" t="s">
        <v>6202</v>
      </c>
      <c r="G362" s="193">
        <f>IF(_1_54128456121462410464578910174567[[#This Row],[Type]]&gt;0,VLOOKUP(_1_54128456121462410464578910174567[[#This Row],[Type]],Main[[#All],[TYPE]:[UNIT]],'Unit Price'!C$1,FALSE),0)</f>
        <v>0</v>
      </c>
      <c r="H362" s="197">
        <f>IF(_1_54128456121462410464578910174567[[#This Row],[Type]]&gt;0,VLOOKUP(_1_54128456121462410464578910174567[[#This Row],[Type]],Main[[#All],[TYPE]:[UNIT]],'Unit Price'!D$1,FALSE),0)</f>
        <v>0</v>
      </c>
      <c r="I362" s="194">
        <f>IF(_1_54128456121462410464578910174567[[#This Row],[Type]]&gt;0,VLOOKUP(_1_54128456121462410464578910174567[[#This Row],[Type]],Main[[#All],[TYPE]:[UNIT]],'Unit Price'!G$1,FALSE),0)</f>
        <v>0</v>
      </c>
      <c r="J362" s="194">
        <f>IF(_1_54128456121462410464578910174567[[#This Row],[Type]]&gt;0,VLOOKUP(_1_54128456121462410464578910174567[[#This Row],[Type]],Main[[#All],[TYPE]:[UNIT]],'Unit Price'!H$1,FALSE),0)</f>
        <v>0</v>
      </c>
      <c r="K362" s="194">
        <f>IF(_1_54128456121462410464578910174567[[#This Row],[Discount selection]]&gt;0,VLOOKUP(_1_54128456121462410464578910174567[[#This Row],[Discount selection]],'Discount Structure'!$A$2:$B$30,2,"false"),0)</f>
        <v>1</v>
      </c>
      <c r="L362" s="194">
        <f>_1_54128456121462410464578910174567[[#This Row],[LIST $]]*_1_54128456121462410464578910174567[[#This Row],[DISCOUNT]]*_1_54128456121462410464578910174567[[#This Row],[DISCOUNT 2]]</f>
        <v>0</v>
      </c>
      <c r="M362" s="194">
        <f>IF(OR(_1_54128456121462410464578910174567[[#This Row],[UNIT]]&gt;0,_1_54128456121462410464578910174567[[#This Row],[UNIT]]&lt;0),_1_54128456121462410464578910174567[[#This Row],[UNIT]]*_1_54128456121462410464578910174567[[#This Row],[COST]],0)</f>
        <v>0</v>
      </c>
      <c r="N362" s="194">
        <f t="shared" si="5"/>
        <v>1.3</v>
      </c>
      <c r="O362" s="198">
        <f>_1_54128456121462410464578910174567[[#This Row],[TOTAL]]*_1_54128456121462410464578910174567[[#This Row],[MARGIN]]</f>
        <v>0</v>
      </c>
      <c r="R362" s="41"/>
    </row>
    <row r="363" spans="1:18">
      <c r="D363" s="188"/>
      <c r="F363" s="168" t="s">
        <v>6202</v>
      </c>
      <c r="G363" s="193">
        <f>IF(_1_54128456121462410464578910174567[[#This Row],[Type]]&gt;0,VLOOKUP(_1_54128456121462410464578910174567[[#This Row],[Type]],Main[[#All],[TYPE]:[UNIT]],'Unit Price'!C$1,FALSE),0)</f>
        <v>0</v>
      </c>
      <c r="H363" s="197">
        <f>IF(_1_54128456121462410464578910174567[[#This Row],[Type]]&gt;0,VLOOKUP(_1_54128456121462410464578910174567[[#This Row],[Type]],Main[[#All],[TYPE]:[UNIT]],'Unit Price'!D$1,FALSE),0)</f>
        <v>0</v>
      </c>
      <c r="I363" s="194">
        <f>IF(_1_54128456121462410464578910174567[[#This Row],[Type]]&gt;0,VLOOKUP(_1_54128456121462410464578910174567[[#This Row],[Type]],Main[[#All],[TYPE]:[UNIT]],'Unit Price'!G$1,FALSE),0)</f>
        <v>0</v>
      </c>
      <c r="J363" s="194">
        <f>IF(_1_54128456121462410464578910174567[[#This Row],[Type]]&gt;0,VLOOKUP(_1_54128456121462410464578910174567[[#This Row],[Type]],Main[[#All],[TYPE]:[UNIT]],'Unit Price'!H$1,FALSE),0)</f>
        <v>0</v>
      </c>
      <c r="K363" s="194">
        <f>IF(_1_54128456121462410464578910174567[[#This Row],[Discount selection]]&gt;0,VLOOKUP(_1_54128456121462410464578910174567[[#This Row],[Discount selection]],'Discount Structure'!$A$2:$B$30,2,"false"),0)</f>
        <v>1</v>
      </c>
      <c r="L363" s="194">
        <f>_1_54128456121462410464578910174567[[#This Row],[LIST $]]*_1_54128456121462410464578910174567[[#This Row],[DISCOUNT]]*_1_54128456121462410464578910174567[[#This Row],[DISCOUNT 2]]</f>
        <v>0</v>
      </c>
      <c r="M363" s="194">
        <f>IF(OR(_1_54128456121462410464578910174567[[#This Row],[UNIT]]&gt;0,_1_54128456121462410464578910174567[[#This Row],[UNIT]]&lt;0),_1_54128456121462410464578910174567[[#This Row],[UNIT]]*_1_54128456121462410464578910174567[[#This Row],[COST]],0)</f>
        <v>0</v>
      </c>
      <c r="N363" s="194">
        <f t="shared" si="5"/>
        <v>1.3</v>
      </c>
      <c r="O363" s="198">
        <f>_1_54128456121462410464578910174567[[#This Row],[TOTAL]]*_1_54128456121462410464578910174567[[#This Row],[MARGIN]]</f>
        <v>0</v>
      </c>
      <c r="R363" s="41"/>
    </row>
    <row r="364" spans="1:18">
      <c r="D364" s="188"/>
      <c r="F364" s="168" t="s">
        <v>6202</v>
      </c>
      <c r="G364" s="193">
        <f>IF(_1_54128456121462410464578910174567[[#This Row],[Type]]&gt;0,VLOOKUP(_1_54128456121462410464578910174567[[#This Row],[Type]],Main[[#All],[TYPE]:[UNIT]],'Unit Price'!C$1,FALSE),0)</f>
        <v>0</v>
      </c>
      <c r="H364" s="197">
        <f>IF(_1_54128456121462410464578910174567[[#This Row],[Type]]&gt;0,VLOOKUP(_1_54128456121462410464578910174567[[#This Row],[Type]],Main[[#All],[TYPE]:[UNIT]],'Unit Price'!D$1,FALSE),0)</f>
        <v>0</v>
      </c>
      <c r="I364" s="194">
        <f>IF(_1_54128456121462410464578910174567[[#This Row],[Type]]&gt;0,VLOOKUP(_1_54128456121462410464578910174567[[#This Row],[Type]],Main[[#All],[TYPE]:[UNIT]],'Unit Price'!G$1,FALSE),0)</f>
        <v>0</v>
      </c>
      <c r="J364" s="194">
        <f>IF(_1_54128456121462410464578910174567[[#This Row],[Type]]&gt;0,VLOOKUP(_1_54128456121462410464578910174567[[#This Row],[Type]],Main[[#All],[TYPE]:[UNIT]],'Unit Price'!H$1,FALSE),0)</f>
        <v>0</v>
      </c>
      <c r="K364" s="194">
        <f>IF(_1_54128456121462410464578910174567[[#This Row],[Discount selection]]&gt;0,VLOOKUP(_1_54128456121462410464578910174567[[#This Row],[Discount selection]],'Discount Structure'!$A$2:$B$30,2,"false"),0)</f>
        <v>1</v>
      </c>
      <c r="L364" s="194">
        <f>_1_54128456121462410464578910174567[[#This Row],[LIST $]]*_1_54128456121462410464578910174567[[#This Row],[DISCOUNT]]*_1_54128456121462410464578910174567[[#This Row],[DISCOUNT 2]]</f>
        <v>0</v>
      </c>
      <c r="M364" s="194">
        <f>IF(OR(_1_54128456121462410464578910174567[[#This Row],[UNIT]]&gt;0,_1_54128456121462410464578910174567[[#This Row],[UNIT]]&lt;0),_1_54128456121462410464578910174567[[#This Row],[UNIT]]*_1_54128456121462410464578910174567[[#This Row],[COST]],0)</f>
        <v>0</v>
      </c>
      <c r="N364" s="194">
        <f t="shared" si="5"/>
        <v>1.3</v>
      </c>
      <c r="O364" s="198">
        <f>_1_54128456121462410464578910174567[[#This Row],[TOTAL]]*_1_54128456121462410464578910174567[[#This Row],[MARGIN]]</f>
        <v>0</v>
      </c>
      <c r="R364" s="41"/>
    </row>
    <row r="365" spans="1:18">
      <c r="A365" s="168"/>
      <c r="D365" s="188"/>
      <c r="F365" s="168" t="s">
        <v>6202</v>
      </c>
      <c r="G365" s="193">
        <f>IF(_1_54128456121462410464578910174567[[#This Row],[Type]]&gt;0,VLOOKUP(_1_54128456121462410464578910174567[[#This Row],[Type]],Main[[#All],[TYPE]:[UNIT]],'Unit Price'!C$1,FALSE),0)</f>
        <v>0</v>
      </c>
      <c r="H365" s="197">
        <f>IF(_1_54128456121462410464578910174567[[#This Row],[Type]]&gt;0,VLOOKUP(_1_54128456121462410464578910174567[[#This Row],[Type]],Main[[#All],[TYPE]:[UNIT]],'Unit Price'!D$1,FALSE),0)</f>
        <v>0</v>
      </c>
      <c r="I365" s="194">
        <f>IF(_1_54128456121462410464578910174567[[#This Row],[Type]]&gt;0,VLOOKUP(_1_54128456121462410464578910174567[[#This Row],[Type]],Main[[#All],[TYPE]:[UNIT]],'Unit Price'!G$1,FALSE),0)</f>
        <v>0</v>
      </c>
      <c r="J365" s="194">
        <f>IF(_1_54128456121462410464578910174567[[#This Row],[Type]]&gt;0,VLOOKUP(_1_54128456121462410464578910174567[[#This Row],[Type]],Main[[#All],[TYPE]:[UNIT]],'Unit Price'!H$1,FALSE),0)</f>
        <v>0</v>
      </c>
      <c r="K365" s="194">
        <f>IF(_1_54128456121462410464578910174567[[#This Row],[Discount selection]]&gt;0,VLOOKUP(_1_54128456121462410464578910174567[[#This Row],[Discount selection]],'Discount Structure'!$A$2:$B$30,2,"false"),0)</f>
        <v>1</v>
      </c>
      <c r="L365" s="194">
        <f>_1_54128456121462410464578910174567[[#This Row],[LIST $]]*_1_54128456121462410464578910174567[[#This Row],[DISCOUNT]]*_1_54128456121462410464578910174567[[#This Row],[DISCOUNT 2]]</f>
        <v>0</v>
      </c>
      <c r="M365" s="194">
        <f>IF(OR(_1_54128456121462410464578910174567[[#This Row],[UNIT]]&gt;0,_1_54128456121462410464578910174567[[#This Row],[UNIT]]&lt;0),_1_54128456121462410464578910174567[[#This Row],[UNIT]]*_1_54128456121462410464578910174567[[#This Row],[COST]],0)</f>
        <v>0</v>
      </c>
      <c r="N365" s="194">
        <f t="shared" si="5"/>
        <v>1.3</v>
      </c>
      <c r="O365" s="198">
        <f>_1_54128456121462410464578910174567[[#This Row],[TOTAL]]*_1_54128456121462410464578910174567[[#This Row],[MARGIN]]</f>
        <v>0</v>
      </c>
      <c r="R365" s="41"/>
    </row>
    <row r="366" spans="1:18">
      <c r="D366" s="188"/>
      <c r="F366" s="168" t="s">
        <v>6202</v>
      </c>
      <c r="G366" s="193">
        <f>IF(_1_54128456121462410464578910174567[[#This Row],[Type]]&gt;0,VLOOKUP(_1_54128456121462410464578910174567[[#This Row],[Type]],Main[[#All],[TYPE]:[UNIT]],'Unit Price'!C$1,FALSE),0)</f>
        <v>0</v>
      </c>
      <c r="H366" s="197">
        <f>IF(_1_54128456121462410464578910174567[[#This Row],[Type]]&gt;0,VLOOKUP(_1_54128456121462410464578910174567[[#This Row],[Type]],Main[[#All],[TYPE]:[UNIT]],'Unit Price'!D$1,FALSE),0)</f>
        <v>0</v>
      </c>
      <c r="I366" s="194">
        <f>IF(_1_54128456121462410464578910174567[[#This Row],[Type]]&gt;0,VLOOKUP(_1_54128456121462410464578910174567[[#This Row],[Type]],Main[[#All],[TYPE]:[UNIT]],'Unit Price'!G$1,FALSE),0)</f>
        <v>0</v>
      </c>
      <c r="J366" s="194">
        <f>IF(_1_54128456121462410464578910174567[[#This Row],[Type]]&gt;0,VLOOKUP(_1_54128456121462410464578910174567[[#This Row],[Type]],Main[[#All],[TYPE]:[UNIT]],'Unit Price'!H$1,FALSE),0)</f>
        <v>0</v>
      </c>
      <c r="K366" s="194">
        <f>IF(_1_54128456121462410464578910174567[[#This Row],[Discount selection]]&gt;0,VLOOKUP(_1_54128456121462410464578910174567[[#This Row],[Discount selection]],'Discount Structure'!$A$2:$B$30,2,"false"),0)</f>
        <v>1</v>
      </c>
      <c r="L366" s="194">
        <f>_1_54128456121462410464578910174567[[#This Row],[LIST $]]*_1_54128456121462410464578910174567[[#This Row],[DISCOUNT]]*_1_54128456121462410464578910174567[[#This Row],[DISCOUNT 2]]</f>
        <v>0</v>
      </c>
      <c r="M366" s="194">
        <f>IF(OR(_1_54128456121462410464578910174567[[#This Row],[UNIT]]&gt;0,_1_54128456121462410464578910174567[[#This Row],[UNIT]]&lt;0),_1_54128456121462410464578910174567[[#This Row],[UNIT]]*_1_54128456121462410464578910174567[[#This Row],[COST]],0)</f>
        <v>0</v>
      </c>
      <c r="N366" s="194">
        <f t="shared" si="5"/>
        <v>1.3</v>
      </c>
      <c r="O366" s="198">
        <f>_1_54128456121462410464578910174567[[#This Row],[TOTAL]]*_1_54128456121462410464578910174567[[#This Row],[MARGIN]]</f>
        <v>0</v>
      </c>
      <c r="R366" s="41"/>
    </row>
    <row r="367" spans="1:18">
      <c r="A367" s="168"/>
      <c r="B367" s="168"/>
      <c r="C367" s="168"/>
      <c r="D367" s="188"/>
      <c r="F367" s="168" t="s">
        <v>6202</v>
      </c>
      <c r="G367" s="193">
        <f>IF(_1_54128456121462410464578910174567[[#This Row],[Type]]&gt;0,VLOOKUP(_1_54128456121462410464578910174567[[#This Row],[Type]],Main[[#All],[TYPE]:[UNIT]],'Unit Price'!C$1,FALSE),0)</f>
        <v>0</v>
      </c>
      <c r="H367" s="197">
        <f>IF(_1_54128456121462410464578910174567[[#This Row],[Type]]&gt;0,VLOOKUP(_1_54128456121462410464578910174567[[#This Row],[Type]],Main[[#All],[TYPE]:[UNIT]],'Unit Price'!D$1,FALSE),0)</f>
        <v>0</v>
      </c>
      <c r="I367" s="194">
        <f>IF(_1_54128456121462410464578910174567[[#This Row],[Type]]&gt;0,VLOOKUP(_1_54128456121462410464578910174567[[#This Row],[Type]],Main[[#All],[TYPE]:[UNIT]],'Unit Price'!G$1,FALSE),0)</f>
        <v>0</v>
      </c>
      <c r="J367" s="194">
        <f>IF(_1_54128456121462410464578910174567[[#This Row],[Type]]&gt;0,VLOOKUP(_1_54128456121462410464578910174567[[#This Row],[Type]],Main[[#All],[TYPE]:[UNIT]],'Unit Price'!H$1,FALSE),0)</f>
        <v>0</v>
      </c>
      <c r="K367" s="194">
        <f>IF(_1_54128456121462410464578910174567[[#This Row],[Discount selection]]&gt;0,VLOOKUP(_1_54128456121462410464578910174567[[#This Row],[Discount selection]],'Discount Structure'!$A$2:$B$30,2,"false"),0)</f>
        <v>1</v>
      </c>
      <c r="L367" s="194">
        <f>_1_54128456121462410464578910174567[[#This Row],[LIST $]]*_1_54128456121462410464578910174567[[#This Row],[DISCOUNT]]*_1_54128456121462410464578910174567[[#This Row],[DISCOUNT 2]]</f>
        <v>0</v>
      </c>
      <c r="M367" s="194">
        <f>IF(OR(_1_54128456121462410464578910174567[[#This Row],[UNIT]]&gt;0,_1_54128456121462410464578910174567[[#This Row],[UNIT]]&lt;0),_1_54128456121462410464578910174567[[#This Row],[UNIT]]*_1_54128456121462410464578910174567[[#This Row],[COST]],0)</f>
        <v>0</v>
      </c>
      <c r="N367" s="194">
        <f t="shared" si="5"/>
        <v>1.3</v>
      </c>
      <c r="O367" s="198">
        <f>_1_54128456121462410464578910174567[[#This Row],[TOTAL]]*_1_54128456121462410464578910174567[[#This Row],[MARGIN]]</f>
        <v>0</v>
      </c>
      <c r="R367" s="41"/>
    </row>
    <row r="368" spans="1:18">
      <c r="A368" s="323"/>
      <c r="B368" s="323"/>
      <c r="C368" s="323"/>
      <c r="D368" s="188"/>
      <c r="F368" s="168" t="s">
        <v>6202</v>
      </c>
      <c r="G368" s="193">
        <f>IF(_1_54128456121462410464578910174567[[#This Row],[Type]]&gt;0,VLOOKUP(_1_54128456121462410464578910174567[[#This Row],[Type]],Main[[#All],[TYPE]:[UNIT]],'Unit Price'!C$1,FALSE),0)</f>
        <v>0</v>
      </c>
      <c r="H368" s="197">
        <f>IF(_1_54128456121462410464578910174567[[#This Row],[Type]]&gt;0,VLOOKUP(_1_54128456121462410464578910174567[[#This Row],[Type]],Main[[#All],[TYPE]:[UNIT]],'Unit Price'!D$1,FALSE),0)</f>
        <v>0</v>
      </c>
      <c r="I368" s="194">
        <f>IF(_1_54128456121462410464578910174567[[#This Row],[Type]]&gt;0,VLOOKUP(_1_54128456121462410464578910174567[[#This Row],[Type]],Main[[#All],[TYPE]:[UNIT]],'Unit Price'!G$1,FALSE),0)</f>
        <v>0</v>
      </c>
      <c r="J368" s="194">
        <f>IF(_1_54128456121462410464578910174567[[#This Row],[Type]]&gt;0,VLOOKUP(_1_54128456121462410464578910174567[[#This Row],[Type]],Main[[#All],[TYPE]:[UNIT]],'Unit Price'!H$1,FALSE),0)</f>
        <v>0</v>
      </c>
      <c r="K368" s="194">
        <f>IF(_1_54128456121462410464578910174567[[#This Row],[Discount selection]]&gt;0,VLOOKUP(_1_54128456121462410464578910174567[[#This Row],[Discount selection]],'Discount Structure'!$A$2:$B$30,2,"false"),0)</f>
        <v>1</v>
      </c>
      <c r="L368" s="194">
        <f>_1_54128456121462410464578910174567[[#This Row],[LIST $]]*_1_54128456121462410464578910174567[[#This Row],[DISCOUNT]]*_1_54128456121462410464578910174567[[#This Row],[DISCOUNT 2]]</f>
        <v>0</v>
      </c>
      <c r="M368" s="194">
        <f>IF(OR(_1_54128456121462410464578910174567[[#This Row],[UNIT]]&gt;0,_1_54128456121462410464578910174567[[#This Row],[UNIT]]&lt;0),_1_54128456121462410464578910174567[[#This Row],[UNIT]]*_1_54128456121462410464578910174567[[#This Row],[COST]],0)</f>
        <v>0</v>
      </c>
      <c r="N368" s="194">
        <f t="shared" si="5"/>
        <v>1.3</v>
      </c>
      <c r="O368" s="198">
        <f>_1_54128456121462410464578910174567[[#This Row],[TOTAL]]*_1_54128456121462410464578910174567[[#This Row],[MARGIN]]</f>
        <v>0</v>
      </c>
      <c r="R368" s="41"/>
    </row>
    <row r="369" spans="1:18">
      <c r="A369" s="323"/>
      <c r="B369" s="353"/>
      <c r="C369" s="323"/>
      <c r="D369" s="188"/>
      <c r="F369" s="168" t="s">
        <v>6202</v>
      </c>
      <c r="G369" s="193">
        <f>IF(_1_54128456121462410464578910174567[[#This Row],[Type]]&gt;0,VLOOKUP(_1_54128456121462410464578910174567[[#This Row],[Type]],Main[[#All],[TYPE]:[UNIT]],'Unit Price'!C$1,FALSE),0)</f>
        <v>0</v>
      </c>
      <c r="H369" s="197">
        <f>IF(_1_54128456121462410464578910174567[[#This Row],[Type]]&gt;0,VLOOKUP(_1_54128456121462410464578910174567[[#This Row],[Type]],Main[[#All],[TYPE]:[UNIT]],'Unit Price'!D$1,FALSE),0)</f>
        <v>0</v>
      </c>
      <c r="I369" s="194">
        <f>IF(_1_54128456121462410464578910174567[[#This Row],[Type]]&gt;0,VLOOKUP(_1_54128456121462410464578910174567[[#This Row],[Type]],Main[[#All],[TYPE]:[UNIT]],'Unit Price'!G$1,FALSE),0)</f>
        <v>0</v>
      </c>
      <c r="J369" s="194">
        <f>IF(_1_54128456121462410464578910174567[[#This Row],[Type]]&gt;0,VLOOKUP(_1_54128456121462410464578910174567[[#This Row],[Type]],Main[[#All],[TYPE]:[UNIT]],'Unit Price'!H$1,FALSE),0)</f>
        <v>0</v>
      </c>
      <c r="K369" s="194">
        <f>IF(_1_54128456121462410464578910174567[[#This Row],[Discount selection]]&gt;0,VLOOKUP(_1_54128456121462410464578910174567[[#This Row],[Discount selection]],'Discount Structure'!$A$2:$B$30,2,"false"),0)</f>
        <v>1</v>
      </c>
      <c r="L369" s="194">
        <f>_1_54128456121462410464578910174567[[#This Row],[LIST $]]*_1_54128456121462410464578910174567[[#This Row],[DISCOUNT]]*_1_54128456121462410464578910174567[[#This Row],[DISCOUNT 2]]</f>
        <v>0</v>
      </c>
      <c r="M369" s="194">
        <f>IF(OR(_1_54128456121462410464578910174567[[#This Row],[UNIT]]&gt;0,_1_54128456121462410464578910174567[[#This Row],[UNIT]]&lt;0),_1_54128456121462410464578910174567[[#This Row],[UNIT]]*_1_54128456121462410464578910174567[[#This Row],[COST]],0)</f>
        <v>0</v>
      </c>
      <c r="N369" s="194">
        <f t="shared" si="5"/>
        <v>1.3</v>
      </c>
      <c r="O369" s="198">
        <f>_1_54128456121462410464578910174567[[#This Row],[TOTAL]]*_1_54128456121462410464578910174567[[#This Row],[MARGIN]]</f>
        <v>0</v>
      </c>
      <c r="R369" s="41"/>
    </row>
    <row r="370" spans="1:18">
      <c r="D370" s="188"/>
      <c r="F370" s="168" t="s">
        <v>6202</v>
      </c>
      <c r="G370" s="193">
        <f>IF(_1_54128456121462410464578910174567[[#This Row],[Type]]&gt;0,VLOOKUP(_1_54128456121462410464578910174567[[#This Row],[Type]],Main[[#All],[TYPE]:[UNIT]],'Unit Price'!C$1,FALSE),0)</f>
        <v>0</v>
      </c>
      <c r="H370" s="197">
        <f>IF(_1_54128456121462410464578910174567[[#This Row],[Type]]&gt;0,VLOOKUP(_1_54128456121462410464578910174567[[#This Row],[Type]],Main[[#All],[TYPE]:[UNIT]],'Unit Price'!D$1,FALSE),0)</f>
        <v>0</v>
      </c>
      <c r="I370" s="194">
        <f>IF(_1_54128456121462410464578910174567[[#This Row],[Type]]&gt;0,VLOOKUP(_1_54128456121462410464578910174567[[#This Row],[Type]],Main[[#All],[TYPE]:[UNIT]],'Unit Price'!G$1,FALSE),0)</f>
        <v>0</v>
      </c>
      <c r="J370" s="194">
        <f>IF(_1_54128456121462410464578910174567[[#This Row],[Type]]&gt;0,VLOOKUP(_1_54128456121462410464578910174567[[#This Row],[Type]],Main[[#All],[TYPE]:[UNIT]],'Unit Price'!H$1,FALSE),0)</f>
        <v>0</v>
      </c>
      <c r="K370" s="194">
        <f>IF(_1_54128456121462410464578910174567[[#This Row],[Discount selection]]&gt;0,VLOOKUP(_1_54128456121462410464578910174567[[#This Row],[Discount selection]],'Discount Structure'!$A$2:$B$30,2,"false"),0)</f>
        <v>1</v>
      </c>
      <c r="L370" s="194">
        <f>_1_54128456121462410464578910174567[[#This Row],[LIST $]]*_1_54128456121462410464578910174567[[#This Row],[DISCOUNT]]*_1_54128456121462410464578910174567[[#This Row],[DISCOUNT 2]]</f>
        <v>0</v>
      </c>
      <c r="M370" s="194">
        <f>IF(OR(_1_54128456121462410464578910174567[[#This Row],[UNIT]]&gt;0,_1_54128456121462410464578910174567[[#This Row],[UNIT]]&lt;0),_1_54128456121462410464578910174567[[#This Row],[UNIT]]*_1_54128456121462410464578910174567[[#This Row],[COST]],0)</f>
        <v>0</v>
      </c>
      <c r="N370" s="194">
        <f t="shared" si="5"/>
        <v>1.3</v>
      </c>
      <c r="O370" s="198">
        <f>_1_54128456121462410464578910174567[[#This Row],[TOTAL]]*_1_54128456121462410464578910174567[[#This Row],[MARGIN]]</f>
        <v>0</v>
      </c>
      <c r="R370" s="41"/>
    </row>
    <row r="371" spans="1:18">
      <c r="D371" s="188"/>
      <c r="F371" s="168" t="s">
        <v>6202</v>
      </c>
      <c r="G371" s="193">
        <f>IF(_1_54128456121462410464578910174567[[#This Row],[Type]]&gt;0,VLOOKUP(_1_54128456121462410464578910174567[[#This Row],[Type]],Main[[#All],[TYPE]:[UNIT]],'Unit Price'!C$1,FALSE),0)</f>
        <v>0</v>
      </c>
      <c r="H371" s="197">
        <f>IF(_1_54128456121462410464578910174567[[#This Row],[Type]]&gt;0,VLOOKUP(_1_54128456121462410464578910174567[[#This Row],[Type]],Main[[#All],[TYPE]:[UNIT]],'Unit Price'!D$1,FALSE),0)</f>
        <v>0</v>
      </c>
      <c r="I371" s="194">
        <f>IF(_1_54128456121462410464578910174567[[#This Row],[Type]]&gt;0,VLOOKUP(_1_54128456121462410464578910174567[[#This Row],[Type]],Main[[#All],[TYPE]:[UNIT]],'Unit Price'!G$1,FALSE),0)</f>
        <v>0</v>
      </c>
      <c r="J371" s="194">
        <f>IF(_1_54128456121462410464578910174567[[#This Row],[Type]]&gt;0,VLOOKUP(_1_54128456121462410464578910174567[[#This Row],[Type]],Main[[#All],[TYPE]:[UNIT]],'Unit Price'!H$1,FALSE),0)</f>
        <v>0</v>
      </c>
      <c r="K371" s="194">
        <f>IF(_1_54128456121462410464578910174567[[#This Row],[Discount selection]]&gt;0,VLOOKUP(_1_54128456121462410464578910174567[[#This Row],[Discount selection]],'Discount Structure'!$A$2:$B$30,2,"false"),0)</f>
        <v>1</v>
      </c>
      <c r="L371" s="194">
        <f>_1_54128456121462410464578910174567[[#This Row],[LIST $]]*_1_54128456121462410464578910174567[[#This Row],[DISCOUNT]]*_1_54128456121462410464578910174567[[#This Row],[DISCOUNT 2]]</f>
        <v>0</v>
      </c>
      <c r="M371" s="194">
        <f>IF(OR(_1_54128456121462410464578910174567[[#This Row],[UNIT]]&gt;0,_1_54128456121462410464578910174567[[#This Row],[UNIT]]&lt;0),_1_54128456121462410464578910174567[[#This Row],[UNIT]]*_1_54128456121462410464578910174567[[#This Row],[COST]],0)</f>
        <v>0</v>
      </c>
      <c r="N371" s="194">
        <f t="shared" si="5"/>
        <v>1.3</v>
      </c>
      <c r="O371" s="198">
        <f>_1_54128456121462410464578910174567[[#This Row],[TOTAL]]*_1_54128456121462410464578910174567[[#This Row],[MARGIN]]</f>
        <v>0</v>
      </c>
      <c r="R371" s="41"/>
    </row>
    <row r="372" spans="1:18">
      <c r="D372" s="188"/>
      <c r="F372" s="168" t="s">
        <v>6202</v>
      </c>
      <c r="G372" s="192">
        <f>IF(_1_54128456121462410464578910174567[[#This Row],[Type]]&gt;0,VLOOKUP(_1_54128456121462410464578910174567[[#This Row],[Type]],Main[[#All],[TYPE]:[UNIT]],'Unit Price'!C$1,FALSE),0)</f>
        <v>0</v>
      </c>
      <c r="H372" s="197">
        <f>IF(_1_54128456121462410464578910174567[[#This Row],[Type]]&gt;0,VLOOKUP(_1_54128456121462410464578910174567[[#This Row],[Type]],Main[[#All],[TYPE]:[UNIT]],'Unit Price'!D$1,FALSE),0)</f>
        <v>0</v>
      </c>
      <c r="I372" s="194">
        <f>IF(_1_54128456121462410464578910174567[[#This Row],[Type]]&gt;0,VLOOKUP(_1_54128456121462410464578910174567[[#This Row],[Type]],Main[[#All],[TYPE]:[UNIT]],'Unit Price'!G$1,FALSE),0)</f>
        <v>0</v>
      </c>
      <c r="J372" s="194">
        <f>IF(_1_54128456121462410464578910174567[[#This Row],[Type]]&gt;0,VLOOKUP(_1_54128456121462410464578910174567[[#This Row],[Type]],Main[[#All],[TYPE]:[UNIT]],'Unit Price'!H$1,FALSE),0)</f>
        <v>0</v>
      </c>
      <c r="K372" s="194">
        <f>IF(_1_54128456121462410464578910174567[[#This Row],[Discount selection]]&gt;0,VLOOKUP(_1_54128456121462410464578910174567[[#This Row],[Discount selection]],'Discount Structure'!$A$2:$B$30,2,"false"),0)</f>
        <v>1</v>
      </c>
      <c r="L372" s="194">
        <f>_1_54128456121462410464578910174567[[#This Row],[LIST $]]*_1_54128456121462410464578910174567[[#This Row],[DISCOUNT]]*_1_54128456121462410464578910174567[[#This Row],[DISCOUNT 2]]</f>
        <v>0</v>
      </c>
      <c r="M372" s="194">
        <f>IF(OR(_1_54128456121462410464578910174567[[#This Row],[UNIT]]&gt;0,_1_54128456121462410464578910174567[[#This Row],[UNIT]]&lt;0),_1_54128456121462410464578910174567[[#This Row],[UNIT]]*_1_54128456121462410464578910174567[[#This Row],[COST]],0)</f>
        <v>0</v>
      </c>
      <c r="N372" s="194">
        <f t="shared" si="5"/>
        <v>1.3</v>
      </c>
      <c r="O372" s="198">
        <f>_1_54128456121462410464578910174567[[#This Row],[TOTAL]]*_1_54128456121462410464578910174567[[#This Row],[MARGIN]]</f>
        <v>0</v>
      </c>
      <c r="R372" s="41"/>
    </row>
    <row r="373" spans="1:18">
      <c r="A373" s="327"/>
      <c r="B373" s="327"/>
      <c r="D373" s="188"/>
      <c r="F373" s="168" t="s">
        <v>6202</v>
      </c>
      <c r="G373" s="192">
        <f>IF(_1_54128456121462410464578910174567[[#This Row],[Type]]&gt;0,VLOOKUP(_1_54128456121462410464578910174567[[#This Row],[Type]],Main[[#All],[TYPE]:[UNIT]],'Unit Price'!C$1,FALSE),0)</f>
        <v>0</v>
      </c>
      <c r="H373" s="197">
        <f>IF(_1_54128456121462410464578910174567[[#This Row],[Type]]&gt;0,VLOOKUP(_1_54128456121462410464578910174567[[#This Row],[Type]],Main[[#All],[TYPE]:[UNIT]],'Unit Price'!D$1,FALSE),0)</f>
        <v>0</v>
      </c>
      <c r="I373" s="194">
        <f>IF(_1_54128456121462410464578910174567[[#This Row],[Type]]&gt;0,VLOOKUP(_1_54128456121462410464578910174567[[#This Row],[Type]],Main[[#All],[TYPE]:[UNIT]],'Unit Price'!G$1,FALSE),0)</f>
        <v>0</v>
      </c>
      <c r="J373" s="194">
        <f>IF(_1_54128456121462410464578910174567[[#This Row],[Type]]&gt;0,VLOOKUP(_1_54128456121462410464578910174567[[#This Row],[Type]],Main[[#All],[TYPE]:[UNIT]],'Unit Price'!H$1,FALSE),0)</f>
        <v>0</v>
      </c>
      <c r="K373" s="194">
        <f>IF(_1_54128456121462410464578910174567[[#This Row],[Discount selection]]&gt;0,VLOOKUP(_1_54128456121462410464578910174567[[#This Row],[Discount selection]],'Discount Structure'!$A$2:$B$30,2,"false"),0)</f>
        <v>1</v>
      </c>
      <c r="L373" s="194">
        <f>_1_54128456121462410464578910174567[[#This Row],[LIST $]]*_1_54128456121462410464578910174567[[#This Row],[DISCOUNT]]*_1_54128456121462410464578910174567[[#This Row],[DISCOUNT 2]]</f>
        <v>0</v>
      </c>
      <c r="M373" s="194">
        <f>IF(OR(_1_54128456121462410464578910174567[[#This Row],[UNIT]]&gt;0,_1_54128456121462410464578910174567[[#This Row],[UNIT]]&lt;0),_1_54128456121462410464578910174567[[#This Row],[UNIT]]*_1_54128456121462410464578910174567[[#This Row],[COST]],0)</f>
        <v>0</v>
      </c>
      <c r="N373" s="194">
        <f t="shared" si="5"/>
        <v>1.3</v>
      </c>
      <c r="O373" s="198">
        <f>_1_54128456121462410464578910174567[[#This Row],[TOTAL]]*_1_54128456121462410464578910174567[[#This Row],[MARGIN]]</f>
        <v>0</v>
      </c>
      <c r="R373" s="41"/>
    </row>
    <row r="374" spans="1:18">
      <c r="D374" s="188"/>
      <c r="F374" s="168" t="s">
        <v>6202</v>
      </c>
      <c r="G374" s="193">
        <f>IF(_1_54128456121462410464578910174567[[#This Row],[Type]]&gt;0,VLOOKUP(_1_54128456121462410464578910174567[[#This Row],[Type]],Main[[#All],[TYPE]:[UNIT]],'Unit Price'!C$1,FALSE),0)</f>
        <v>0</v>
      </c>
      <c r="H374" s="197">
        <f>IF(_1_54128456121462410464578910174567[[#This Row],[Type]]&gt;0,VLOOKUP(_1_54128456121462410464578910174567[[#This Row],[Type]],Main[[#All],[TYPE]:[UNIT]],'Unit Price'!D$1,FALSE),0)</f>
        <v>0</v>
      </c>
      <c r="I374" s="194">
        <f>IF(_1_54128456121462410464578910174567[[#This Row],[Type]]&gt;0,VLOOKUP(_1_54128456121462410464578910174567[[#This Row],[Type]],Main[[#All],[TYPE]:[UNIT]],'Unit Price'!G$1,FALSE),0)</f>
        <v>0</v>
      </c>
      <c r="J374" s="194">
        <f>IF(_1_54128456121462410464578910174567[[#This Row],[Type]]&gt;0,VLOOKUP(_1_54128456121462410464578910174567[[#This Row],[Type]],Main[[#All],[TYPE]:[UNIT]],'Unit Price'!H$1,FALSE),0)</f>
        <v>0</v>
      </c>
      <c r="K374" s="194">
        <f>IF(_1_54128456121462410464578910174567[[#This Row],[Discount selection]]&gt;0,VLOOKUP(_1_54128456121462410464578910174567[[#This Row],[Discount selection]],'Discount Structure'!$A$2:$B$30,2,"false"),0)</f>
        <v>1</v>
      </c>
      <c r="L374" s="194">
        <f>_1_54128456121462410464578910174567[[#This Row],[LIST $]]*_1_54128456121462410464578910174567[[#This Row],[DISCOUNT]]*_1_54128456121462410464578910174567[[#This Row],[DISCOUNT 2]]</f>
        <v>0</v>
      </c>
      <c r="M374" s="194">
        <f>IF(OR(_1_54128456121462410464578910174567[[#This Row],[UNIT]]&gt;0,_1_54128456121462410464578910174567[[#This Row],[UNIT]]&lt;0),_1_54128456121462410464578910174567[[#This Row],[UNIT]]*_1_54128456121462410464578910174567[[#This Row],[COST]],0)</f>
        <v>0</v>
      </c>
      <c r="N374" s="194">
        <f t="shared" si="5"/>
        <v>1.3</v>
      </c>
      <c r="O374" s="198">
        <f>_1_54128456121462410464578910174567[[#This Row],[TOTAL]]*_1_54128456121462410464578910174567[[#This Row],[MARGIN]]</f>
        <v>0</v>
      </c>
      <c r="R374" s="41"/>
    </row>
    <row r="375" spans="1:18">
      <c r="D375" s="188"/>
      <c r="F375" s="168" t="s">
        <v>6202</v>
      </c>
      <c r="G375" s="193">
        <f>IF(_1_54128456121462410464578910174567[[#This Row],[Type]]&gt;0,VLOOKUP(_1_54128456121462410464578910174567[[#This Row],[Type]],Main[[#All],[TYPE]:[UNIT]],'Unit Price'!C$1,FALSE),0)</f>
        <v>0</v>
      </c>
      <c r="H375" s="197">
        <f>IF(_1_54128456121462410464578910174567[[#This Row],[Type]]&gt;0,VLOOKUP(_1_54128456121462410464578910174567[[#This Row],[Type]],Main[[#All],[TYPE]:[UNIT]],'Unit Price'!D$1,FALSE),0)</f>
        <v>0</v>
      </c>
      <c r="I375" s="194">
        <f>IF(_1_54128456121462410464578910174567[[#This Row],[Type]]&gt;0,VLOOKUP(_1_54128456121462410464578910174567[[#This Row],[Type]],Main[[#All],[TYPE]:[UNIT]],'Unit Price'!G$1,FALSE),0)</f>
        <v>0</v>
      </c>
      <c r="J375" s="194">
        <f>IF(_1_54128456121462410464578910174567[[#This Row],[Type]]&gt;0,VLOOKUP(_1_54128456121462410464578910174567[[#This Row],[Type]],Main[[#All],[TYPE]:[UNIT]],'Unit Price'!H$1,FALSE),0)</f>
        <v>0</v>
      </c>
      <c r="K375" s="194">
        <f>IF(_1_54128456121462410464578910174567[[#This Row],[Discount selection]]&gt;0,VLOOKUP(_1_54128456121462410464578910174567[[#This Row],[Discount selection]],'Discount Structure'!$A$2:$B$30,2,"false"),0)</f>
        <v>1</v>
      </c>
      <c r="L375" s="194">
        <f>_1_54128456121462410464578910174567[[#This Row],[LIST $]]*_1_54128456121462410464578910174567[[#This Row],[DISCOUNT]]*_1_54128456121462410464578910174567[[#This Row],[DISCOUNT 2]]</f>
        <v>0</v>
      </c>
      <c r="M375" s="194">
        <f>IF(OR(_1_54128456121462410464578910174567[[#This Row],[UNIT]]&gt;0,_1_54128456121462410464578910174567[[#This Row],[UNIT]]&lt;0),_1_54128456121462410464578910174567[[#This Row],[UNIT]]*_1_54128456121462410464578910174567[[#This Row],[COST]],0)</f>
        <v>0</v>
      </c>
      <c r="N375" s="194">
        <f t="shared" si="5"/>
        <v>1.3</v>
      </c>
      <c r="O375" s="198">
        <f>_1_54128456121462410464578910174567[[#This Row],[TOTAL]]*_1_54128456121462410464578910174567[[#This Row],[MARGIN]]</f>
        <v>0</v>
      </c>
      <c r="R375" s="41"/>
    </row>
    <row r="376" spans="1:18">
      <c r="D376" s="188"/>
      <c r="F376" s="168" t="s">
        <v>6202</v>
      </c>
      <c r="G376" s="193">
        <f>IF(_1_54128456121462410464578910174567[[#This Row],[Type]]&gt;0,VLOOKUP(_1_54128456121462410464578910174567[[#This Row],[Type]],Main[[#All],[TYPE]:[UNIT]],'Unit Price'!C$1,FALSE),0)</f>
        <v>0</v>
      </c>
      <c r="H376" s="197">
        <f>IF(_1_54128456121462410464578910174567[[#This Row],[Type]]&gt;0,VLOOKUP(_1_54128456121462410464578910174567[[#This Row],[Type]],Main[[#All],[TYPE]:[UNIT]],'Unit Price'!D$1,FALSE),0)</f>
        <v>0</v>
      </c>
      <c r="I376" s="194">
        <f>IF(_1_54128456121462410464578910174567[[#This Row],[Type]]&gt;0,VLOOKUP(_1_54128456121462410464578910174567[[#This Row],[Type]],Main[[#All],[TYPE]:[UNIT]],'Unit Price'!G$1,FALSE),0)</f>
        <v>0</v>
      </c>
      <c r="J376" s="194">
        <f>IF(_1_54128456121462410464578910174567[[#This Row],[Type]]&gt;0,VLOOKUP(_1_54128456121462410464578910174567[[#This Row],[Type]],Main[[#All],[TYPE]:[UNIT]],'Unit Price'!H$1,FALSE),0)</f>
        <v>0</v>
      </c>
      <c r="K376" s="194">
        <f>IF(_1_54128456121462410464578910174567[[#This Row],[Discount selection]]&gt;0,VLOOKUP(_1_54128456121462410464578910174567[[#This Row],[Discount selection]],'Discount Structure'!$A$2:$B$30,2,"false"),0)</f>
        <v>1</v>
      </c>
      <c r="L376" s="194">
        <f>_1_54128456121462410464578910174567[[#This Row],[LIST $]]*_1_54128456121462410464578910174567[[#This Row],[DISCOUNT]]*_1_54128456121462410464578910174567[[#This Row],[DISCOUNT 2]]</f>
        <v>0</v>
      </c>
      <c r="M376" s="194">
        <f>IF(OR(_1_54128456121462410464578910174567[[#This Row],[UNIT]]&gt;0,_1_54128456121462410464578910174567[[#This Row],[UNIT]]&lt;0),_1_54128456121462410464578910174567[[#This Row],[UNIT]]*_1_54128456121462410464578910174567[[#This Row],[COST]],0)</f>
        <v>0</v>
      </c>
      <c r="N376" s="194">
        <f t="shared" si="5"/>
        <v>1.3</v>
      </c>
      <c r="O376" s="198">
        <f>_1_54128456121462410464578910174567[[#This Row],[TOTAL]]*_1_54128456121462410464578910174567[[#This Row],[MARGIN]]</f>
        <v>0</v>
      </c>
      <c r="R376" s="41"/>
    </row>
    <row r="377" spans="1:18">
      <c r="D377" s="188"/>
      <c r="F377" s="168" t="s">
        <v>6202</v>
      </c>
      <c r="G377" s="192">
        <f>IF(_1_54128456121462410464578910174567[[#This Row],[Type]]&gt;0,VLOOKUP(_1_54128456121462410464578910174567[[#This Row],[Type]],Main[[#All],[TYPE]:[UNIT]],'Unit Price'!C$1,FALSE),0)</f>
        <v>0</v>
      </c>
      <c r="H377" s="197">
        <f>IF(_1_54128456121462410464578910174567[[#This Row],[Type]]&gt;0,VLOOKUP(_1_54128456121462410464578910174567[[#This Row],[Type]],Main[[#All],[TYPE]:[UNIT]],'Unit Price'!D$1,FALSE),0)</f>
        <v>0</v>
      </c>
      <c r="I377" s="194">
        <f>IF(_1_54128456121462410464578910174567[[#This Row],[Type]]&gt;0,VLOOKUP(_1_54128456121462410464578910174567[[#This Row],[Type]],Main[[#All],[TYPE]:[UNIT]],'Unit Price'!G$1,FALSE),0)</f>
        <v>0</v>
      </c>
      <c r="J377" s="194">
        <f>IF(_1_54128456121462410464578910174567[[#This Row],[Type]]&gt;0,VLOOKUP(_1_54128456121462410464578910174567[[#This Row],[Type]],Main[[#All],[TYPE]:[UNIT]],'Unit Price'!H$1,FALSE),0)</f>
        <v>0</v>
      </c>
      <c r="K377" s="194">
        <f>IF(_1_54128456121462410464578910174567[[#This Row],[Discount selection]]&gt;0,VLOOKUP(_1_54128456121462410464578910174567[[#This Row],[Discount selection]],'Discount Structure'!$A$2:$B$30,2,"false"),0)</f>
        <v>1</v>
      </c>
      <c r="L377" s="194">
        <f>_1_54128456121462410464578910174567[[#This Row],[LIST $]]*_1_54128456121462410464578910174567[[#This Row],[DISCOUNT]]*_1_54128456121462410464578910174567[[#This Row],[DISCOUNT 2]]</f>
        <v>0</v>
      </c>
      <c r="M377" s="194">
        <f>IF(OR(_1_54128456121462410464578910174567[[#This Row],[UNIT]]&gt;0,_1_54128456121462410464578910174567[[#This Row],[UNIT]]&lt;0),_1_54128456121462410464578910174567[[#This Row],[UNIT]]*_1_54128456121462410464578910174567[[#This Row],[COST]],0)</f>
        <v>0</v>
      </c>
      <c r="N377" s="194">
        <f t="shared" si="5"/>
        <v>1.3</v>
      </c>
      <c r="O377" s="198">
        <f>_1_54128456121462410464578910174567[[#This Row],[TOTAL]]*_1_54128456121462410464578910174567[[#This Row],[MARGIN]]</f>
        <v>0</v>
      </c>
      <c r="R377" s="41"/>
    </row>
    <row r="378" spans="1:18">
      <c r="D378" s="188"/>
      <c r="F378" s="168" t="s">
        <v>6202</v>
      </c>
      <c r="G378" s="193">
        <f>IF(_1_54128456121462410464578910174567[[#This Row],[Type]]&gt;0,VLOOKUP(_1_54128456121462410464578910174567[[#This Row],[Type]],Main[[#All],[TYPE]:[UNIT]],'Unit Price'!C$1,FALSE),0)</f>
        <v>0</v>
      </c>
      <c r="H378" s="197">
        <f>IF(_1_54128456121462410464578910174567[[#This Row],[Type]]&gt;0,VLOOKUP(_1_54128456121462410464578910174567[[#This Row],[Type]],Main[[#All],[TYPE]:[UNIT]],'Unit Price'!D$1,FALSE),0)</f>
        <v>0</v>
      </c>
      <c r="I378" s="194">
        <f>IF(_1_54128456121462410464578910174567[[#This Row],[Type]]&gt;0,VLOOKUP(_1_54128456121462410464578910174567[[#This Row],[Type]],Main[[#All],[TYPE]:[UNIT]],'Unit Price'!G$1,FALSE),0)</f>
        <v>0</v>
      </c>
      <c r="J378" s="194">
        <f>IF(_1_54128456121462410464578910174567[[#This Row],[Type]]&gt;0,VLOOKUP(_1_54128456121462410464578910174567[[#This Row],[Type]],Main[[#All],[TYPE]:[UNIT]],'Unit Price'!H$1,FALSE),0)</f>
        <v>0</v>
      </c>
      <c r="K378" s="194">
        <f>IF(_1_54128456121462410464578910174567[[#This Row],[Discount selection]]&gt;0,VLOOKUP(_1_54128456121462410464578910174567[[#This Row],[Discount selection]],'Discount Structure'!$A$2:$B$30,2,"false"),0)</f>
        <v>1</v>
      </c>
      <c r="L378" s="194">
        <f>_1_54128456121462410464578910174567[[#This Row],[LIST $]]*_1_54128456121462410464578910174567[[#This Row],[DISCOUNT]]*_1_54128456121462410464578910174567[[#This Row],[DISCOUNT 2]]</f>
        <v>0</v>
      </c>
      <c r="M378" s="194">
        <f>IF(OR(_1_54128456121462410464578910174567[[#This Row],[UNIT]]&gt;0,_1_54128456121462410464578910174567[[#This Row],[UNIT]]&lt;0),_1_54128456121462410464578910174567[[#This Row],[UNIT]]*_1_54128456121462410464578910174567[[#This Row],[COST]],0)</f>
        <v>0</v>
      </c>
      <c r="N378" s="194">
        <f t="shared" si="5"/>
        <v>1.3</v>
      </c>
      <c r="O378" s="198">
        <f>_1_54128456121462410464578910174567[[#This Row],[TOTAL]]*_1_54128456121462410464578910174567[[#This Row],[MARGIN]]</f>
        <v>0</v>
      </c>
      <c r="R378" s="41"/>
    </row>
    <row r="379" spans="1:18">
      <c r="D379" s="188"/>
      <c r="F379" s="168" t="s">
        <v>6202</v>
      </c>
      <c r="G379" s="193">
        <f>IF(_1_54128456121462410464578910174567[[#This Row],[Type]]&gt;0,VLOOKUP(_1_54128456121462410464578910174567[[#This Row],[Type]],Main[[#All],[TYPE]:[UNIT]],'Unit Price'!C$1,FALSE),0)</f>
        <v>0</v>
      </c>
      <c r="H379" s="197">
        <f>IF(_1_54128456121462410464578910174567[[#This Row],[Type]]&gt;0,VLOOKUP(_1_54128456121462410464578910174567[[#This Row],[Type]],Main[[#All],[TYPE]:[UNIT]],'Unit Price'!D$1,FALSE),0)</f>
        <v>0</v>
      </c>
      <c r="I379" s="194">
        <f>IF(_1_54128456121462410464578910174567[[#This Row],[Type]]&gt;0,VLOOKUP(_1_54128456121462410464578910174567[[#This Row],[Type]],Main[[#All],[TYPE]:[UNIT]],'Unit Price'!G$1,FALSE),0)</f>
        <v>0</v>
      </c>
      <c r="J379" s="194">
        <f>IF(_1_54128456121462410464578910174567[[#This Row],[Type]]&gt;0,VLOOKUP(_1_54128456121462410464578910174567[[#This Row],[Type]],Main[[#All],[TYPE]:[UNIT]],'Unit Price'!H$1,FALSE),0)</f>
        <v>0</v>
      </c>
      <c r="K379" s="194">
        <f>IF(_1_54128456121462410464578910174567[[#This Row],[Discount selection]]&gt;0,VLOOKUP(_1_54128456121462410464578910174567[[#This Row],[Discount selection]],'Discount Structure'!$A$2:$B$30,2,"false"),0)</f>
        <v>1</v>
      </c>
      <c r="L379" s="194">
        <f>_1_54128456121462410464578910174567[[#This Row],[LIST $]]*_1_54128456121462410464578910174567[[#This Row],[DISCOUNT]]*_1_54128456121462410464578910174567[[#This Row],[DISCOUNT 2]]</f>
        <v>0</v>
      </c>
      <c r="M379" s="194">
        <f>IF(OR(_1_54128456121462410464578910174567[[#This Row],[UNIT]]&gt;0,_1_54128456121462410464578910174567[[#This Row],[UNIT]]&lt;0),_1_54128456121462410464578910174567[[#This Row],[UNIT]]*_1_54128456121462410464578910174567[[#This Row],[COST]],0)</f>
        <v>0</v>
      </c>
      <c r="N379" s="194">
        <f t="shared" si="5"/>
        <v>1.3</v>
      </c>
      <c r="O379" s="198">
        <f>_1_54128456121462410464578910174567[[#This Row],[TOTAL]]*_1_54128456121462410464578910174567[[#This Row],[MARGIN]]</f>
        <v>0</v>
      </c>
      <c r="R379" s="41"/>
    </row>
    <row r="380" spans="1:18">
      <c r="A380" s="327"/>
      <c r="B380" s="327"/>
      <c r="D380" s="188"/>
      <c r="F380" s="168" t="s">
        <v>6202</v>
      </c>
      <c r="G380" s="193">
        <f>IF(_1_54128456121462410464578910174567[[#This Row],[Type]]&gt;0,VLOOKUP(_1_54128456121462410464578910174567[[#This Row],[Type]],Main[[#All],[TYPE]:[UNIT]],'Unit Price'!C$1,FALSE),0)</f>
        <v>0</v>
      </c>
      <c r="H380" s="197">
        <f>IF(_1_54128456121462410464578910174567[[#This Row],[Type]]&gt;0,VLOOKUP(_1_54128456121462410464578910174567[[#This Row],[Type]],Main[[#All],[TYPE]:[UNIT]],'Unit Price'!D$1,FALSE),0)</f>
        <v>0</v>
      </c>
      <c r="I380" s="194">
        <f>IF(_1_54128456121462410464578910174567[[#This Row],[Type]]&gt;0,VLOOKUP(_1_54128456121462410464578910174567[[#This Row],[Type]],Main[[#All],[TYPE]:[UNIT]],'Unit Price'!G$1,FALSE),0)</f>
        <v>0</v>
      </c>
      <c r="J380" s="194">
        <f>IF(_1_54128456121462410464578910174567[[#This Row],[Type]]&gt;0,VLOOKUP(_1_54128456121462410464578910174567[[#This Row],[Type]],Main[[#All],[TYPE]:[UNIT]],'Unit Price'!H$1,FALSE),0)</f>
        <v>0</v>
      </c>
      <c r="K380" s="194">
        <f>IF(_1_54128456121462410464578910174567[[#This Row],[Discount selection]]&gt;0,VLOOKUP(_1_54128456121462410464578910174567[[#This Row],[Discount selection]],'Discount Structure'!$A$2:$B$30,2,"false"),0)</f>
        <v>1</v>
      </c>
      <c r="L380" s="194">
        <f>_1_54128456121462410464578910174567[[#This Row],[LIST $]]*_1_54128456121462410464578910174567[[#This Row],[DISCOUNT]]*_1_54128456121462410464578910174567[[#This Row],[DISCOUNT 2]]</f>
        <v>0</v>
      </c>
      <c r="M380" s="194">
        <f>IF(OR(_1_54128456121462410464578910174567[[#This Row],[UNIT]]&gt;0,_1_54128456121462410464578910174567[[#This Row],[UNIT]]&lt;0),_1_54128456121462410464578910174567[[#This Row],[UNIT]]*_1_54128456121462410464578910174567[[#This Row],[COST]],0)</f>
        <v>0</v>
      </c>
      <c r="N380" s="194">
        <f t="shared" si="5"/>
        <v>1.3</v>
      </c>
      <c r="O380" s="198">
        <f>_1_54128456121462410464578910174567[[#This Row],[TOTAL]]*_1_54128456121462410464578910174567[[#This Row],[MARGIN]]</f>
        <v>0</v>
      </c>
      <c r="R380" s="41"/>
    </row>
    <row r="381" spans="1:18">
      <c r="D381" s="188"/>
      <c r="F381" s="168" t="s">
        <v>6202</v>
      </c>
      <c r="G381" s="193">
        <f>IF(_1_54128456121462410464578910174567[[#This Row],[Type]]&gt;0,VLOOKUP(_1_54128456121462410464578910174567[[#This Row],[Type]],Main[[#All],[TYPE]:[UNIT]],'Unit Price'!C$1,FALSE),0)</f>
        <v>0</v>
      </c>
      <c r="H381" s="197">
        <f>IF(_1_54128456121462410464578910174567[[#This Row],[Type]]&gt;0,VLOOKUP(_1_54128456121462410464578910174567[[#This Row],[Type]],Main[[#All],[TYPE]:[UNIT]],'Unit Price'!D$1,FALSE),0)</f>
        <v>0</v>
      </c>
      <c r="I381" s="194">
        <f>IF(_1_54128456121462410464578910174567[[#This Row],[Type]]&gt;0,VLOOKUP(_1_54128456121462410464578910174567[[#This Row],[Type]],Main[[#All],[TYPE]:[UNIT]],'Unit Price'!G$1,FALSE),0)</f>
        <v>0</v>
      </c>
      <c r="J381" s="194">
        <f>IF(_1_54128456121462410464578910174567[[#This Row],[Type]]&gt;0,VLOOKUP(_1_54128456121462410464578910174567[[#This Row],[Type]],Main[[#All],[TYPE]:[UNIT]],'Unit Price'!H$1,FALSE),0)</f>
        <v>0</v>
      </c>
      <c r="K381" s="194">
        <f>IF(_1_54128456121462410464578910174567[[#This Row],[Discount selection]]&gt;0,VLOOKUP(_1_54128456121462410464578910174567[[#This Row],[Discount selection]],'Discount Structure'!$A$2:$B$30,2,"false"),0)</f>
        <v>1</v>
      </c>
      <c r="L381" s="194">
        <f>_1_54128456121462410464578910174567[[#This Row],[LIST $]]*_1_54128456121462410464578910174567[[#This Row],[DISCOUNT]]*_1_54128456121462410464578910174567[[#This Row],[DISCOUNT 2]]</f>
        <v>0</v>
      </c>
      <c r="M381" s="194">
        <f>IF(OR(_1_54128456121462410464578910174567[[#This Row],[UNIT]]&gt;0,_1_54128456121462410464578910174567[[#This Row],[UNIT]]&lt;0),_1_54128456121462410464578910174567[[#This Row],[UNIT]]*_1_54128456121462410464578910174567[[#This Row],[COST]],0)</f>
        <v>0</v>
      </c>
      <c r="N381" s="194">
        <f t="shared" si="5"/>
        <v>1.3</v>
      </c>
      <c r="O381" s="198">
        <f>_1_54128456121462410464578910174567[[#This Row],[TOTAL]]*_1_54128456121462410464578910174567[[#This Row],[MARGIN]]</f>
        <v>0</v>
      </c>
      <c r="R381" s="41"/>
    </row>
    <row r="382" spans="1:18">
      <c r="D382" s="188"/>
      <c r="F382" s="168" t="s">
        <v>6202</v>
      </c>
      <c r="G382" s="192">
        <f>IF(_1_54128456121462410464578910174567[[#This Row],[Type]]&gt;0,VLOOKUP(_1_54128456121462410464578910174567[[#This Row],[Type]],Main[[#All],[TYPE]:[UNIT]],'Unit Price'!C$1,FALSE),0)</f>
        <v>0</v>
      </c>
      <c r="H382" s="197">
        <f>IF(_1_54128456121462410464578910174567[[#This Row],[Type]]&gt;0,VLOOKUP(_1_54128456121462410464578910174567[[#This Row],[Type]],Main[[#All],[TYPE]:[UNIT]],'Unit Price'!D$1,FALSE),0)</f>
        <v>0</v>
      </c>
      <c r="I382" s="194">
        <f>IF(_1_54128456121462410464578910174567[[#This Row],[Type]]&gt;0,VLOOKUP(_1_54128456121462410464578910174567[[#This Row],[Type]],Main[[#All],[TYPE]:[UNIT]],'Unit Price'!G$1,FALSE),0)</f>
        <v>0</v>
      </c>
      <c r="J382" s="194">
        <f>IF(_1_54128456121462410464578910174567[[#This Row],[Type]]&gt;0,VLOOKUP(_1_54128456121462410464578910174567[[#This Row],[Type]],Main[[#All],[TYPE]:[UNIT]],'Unit Price'!H$1,FALSE),0)</f>
        <v>0</v>
      </c>
      <c r="K382" s="194">
        <f>IF(_1_54128456121462410464578910174567[[#This Row],[Discount selection]]&gt;0,VLOOKUP(_1_54128456121462410464578910174567[[#This Row],[Discount selection]],'Discount Structure'!$A$2:$B$30,2,"false"),0)</f>
        <v>1</v>
      </c>
      <c r="L382" s="194">
        <f>_1_54128456121462410464578910174567[[#This Row],[LIST $]]*_1_54128456121462410464578910174567[[#This Row],[DISCOUNT]]*_1_54128456121462410464578910174567[[#This Row],[DISCOUNT 2]]</f>
        <v>0</v>
      </c>
      <c r="M382" s="194">
        <f>IF(OR(_1_54128456121462410464578910174567[[#This Row],[UNIT]]&gt;0,_1_54128456121462410464578910174567[[#This Row],[UNIT]]&lt;0),_1_54128456121462410464578910174567[[#This Row],[UNIT]]*_1_54128456121462410464578910174567[[#This Row],[COST]],0)</f>
        <v>0</v>
      </c>
      <c r="N382" s="194">
        <f t="shared" si="5"/>
        <v>1.3</v>
      </c>
      <c r="O382" s="198">
        <f>_1_54128456121462410464578910174567[[#This Row],[TOTAL]]*_1_54128456121462410464578910174567[[#This Row],[MARGIN]]</f>
        <v>0</v>
      </c>
      <c r="R382" s="41"/>
    </row>
    <row r="383" spans="1:18">
      <c r="D383" s="188"/>
      <c r="F383" s="168" t="s">
        <v>6202</v>
      </c>
      <c r="G383" s="193">
        <f>IF(_1_54128456121462410464578910174567[[#This Row],[Type]]&gt;0,VLOOKUP(_1_54128456121462410464578910174567[[#This Row],[Type]],Main[[#All],[TYPE]:[UNIT]],'Unit Price'!C$1,FALSE),0)</f>
        <v>0</v>
      </c>
      <c r="H383" s="197">
        <f>IF(_1_54128456121462410464578910174567[[#This Row],[Type]]&gt;0,VLOOKUP(_1_54128456121462410464578910174567[[#This Row],[Type]],Main[[#All],[TYPE]:[UNIT]],'Unit Price'!D$1,FALSE),0)</f>
        <v>0</v>
      </c>
      <c r="I383" s="194">
        <f>IF(_1_54128456121462410464578910174567[[#This Row],[Type]]&gt;0,VLOOKUP(_1_54128456121462410464578910174567[[#This Row],[Type]],Main[[#All],[TYPE]:[UNIT]],'Unit Price'!G$1,FALSE),0)</f>
        <v>0</v>
      </c>
      <c r="J383" s="194">
        <f>IF(_1_54128456121462410464578910174567[[#This Row],[Type]]&gt;0,VLOOKUP(_1_54128456121462410464578910174567[[#This Row],[Type]],Main[[#All],[TYPE]:[UNIT]],'Unit Price'!H$1,FALSE),0)</f>
        <v>0</v>
      </c>
      <c r="K383" s="194">
        <f>IF(_1_54128456121462410464578910174567[[#This Row],[Discount selection]]&gt;0,VLOOKUP(_1_54128456121462410464578910174567[[#This Row],[Discount selection]],'Discount Structure'!$A$2:$B$30,2,"false"),0)</f>
        <v>1</v>
      </c>
      <c r="L383" s="194">
        <f>_1_54128456121462410464578910174567[[#This Row],[LIST $]]*_1_54128456121462410464578910174567[[#This Row],[DISCOUNT]]*_1_54128456121462410464578910174567[[#This Row],[DISCOUNT 2]]</f>
        <v>0</v>
      </c>
      <c r="M383" s="194">
        <f>IF(OR(_1_54128456121462410464578910174567[[#This Row],[UNIT]]&gt;0,_1_54128456121462410464578910174567[[#This Row],[UNIT]]&lt;0),_1_54128456121462410464578910174567[[#This Row],[UNIT]]*_1_54128456121462410464578910174567[[#This Row],[COST]],0)</f>
        <v>0</v>
      </c>
      <c r="N383" s="194">
        <f t="shared" si="5"/>
        <v>1.3</v>
      </c>
      <c r="O383" s="198">
        <f>_1_54128456121462410464578910174567[[#This Row],[TOTAL]]*_1_54128456121462410464578910174567[[#This Row],[MARGIN]]</f>
        <v>0</v>
      </c>
      <c r="R383" s="41"/>
    </row>
    <row r="384" spans="1:18">
      <c r="D384" s="188"/>
      <c r="F384" s="168" t="s">
        <v>6202</v>
      </c>
      <c r="G384" s="193">
        <f>IF(_1_54128456121462410464578910174567[[#This Row],[Type]]&gt;0,VLOOKUP(_1_54128456121462410464578910174567[[#This Row],[Type]],Main[[#All],[TYPE]:[UNIT]],'Unit Price'!C$1,FALSE),0)</f>
        <v>0</v>
      </c>
      <c r="H384" s="197">
        <f>IF(_1_54128456121462410464578910174567[[#This Row],[Type]]&gt;0,VLOOKUP(_1_54128456121462410464578910174567[[#This Row],[Type]],Main[[#All],[TYPE]:[UNIT]],'Unit Price'!D$1,FALSE),0)</f>
        <v>0</v>
      </c>
      <c r="I384" s="194">
        <f>IF(_1_54128456121462410464578910174567[[#This Row],[Type]]&gt;0,VLOOKUP(_1_54128456121462410464578910174567[[#This Row],[Type]],Main[[#All],[TYPE]:[UNIT]],'Unit Price'!G$1,FALSE),0)</f>
        <v>0</v>
      </c>
      <c r="J384" s="194">
        <f>IF(_1_54128456121462410464578910174567[[#This Row],[Type]]&gt;0,VLOOKUP(_1_54128456121462410464578910174567[[#This Row],[Type]],Main[[#All],[TYPE]:[UNIT]],'Unit Price'!H$1,FALSE),0)</f>
        <v>0</v>
      </c>
      <c r="K384" s="194">
        <f>IF(_1_54128456121462410464578910174567[[#This Row],[Discount selection]]&gt;0,VLOOKUP(_1_54128456121462410464578910174567[[#This Row],[Discount selection]],'Discount Structure'!$A$2:$B$30,2,"false"),0)</f>
        <v>1</v>
      </c>
      <c r="L384" s="194">
        <f>_1_54128456121462410464578910174567[[#This Row],[LIST $]]*_1_54128456121462410464578910174567[[#This Row],[DISCOUNT]]*_1_54128456121462410464578910174567[[#This Row],[DISCOUNT 2]]</f>
        <v>0</v>
      </c>
      <c r="M384" s="194">
        <f>IF(OR(_1_54128456121462410464578910174567[[#This Row],[UNIT]]&gt;0,_1_54128456121462410464578910174567[[#This Row],[UNIT]]&lt;0),_1_54128456121462410464578910174567[[#This Row],[UNIT]]*_1_54128456121462410464578910174567[[#This Row],[COST]],0)</f>
        <v>0</v>
      </c>
      <c r="N384" s="194">
        <f t="shared" si="5"/>
        <v>1.3</v>
      </c>
      <c r="O384" s="198">
        <f>_1_54128456121462410464578910174567[[#This Row],[TOTAL]]*_1_54128456121462410464578910174567[[#This Row],[MARGIN]]</f>
        <v>0</v>
      </c>
      <c r="R384" s="41"/>
    </row>
    <row r="385" spans="1:18">
      <c r="D385" s="188"/>
      <c r="F385" s="168" t="s">
        <v>6202</v>
      </c>
      <c r="G385" s="193">
        <f>IF(_1_54128456121462410464578910174567[[#This Row],[Type]]&gt;0,VLOOKUP(_1_54128456121462410464578910174567[[#This Row],[Type]],Main[[#All],[TYPE]:[UNIT]],'Unit Price'!C$1,FALSE),0)</f>
        <v>0</v>
      </c>
      <c r="H385" s="197">
        <f>IF(_1_54128456121462410464578910174567[[#This Row],[Type]]&gt;0,VLOOKUP(_1_54128456121462410464578910174567[[#This Row],[Type]],Main[[#All],[TYPE]:[UNIT]],'Unit Price'!D$1,FALSE),0)</f>
        <v>0</v>
      </c>
      <c r="I385" s="194">
        <f>IF(_1_54128456121462410464578910174567[[#This Row],[Type]]&gt;0,VLOOKUP(_1_54128456121462410464578910174567[[#This Row],[Type]],Main[[#All],[TYPE]:[UNIT]],'Unit Price'!G$1,FALSE),0)</f>
        <v>0</v>
      </c>
      <c r="J385" s="194">
        <f>IF(_1_54128456121462410464578910174567[[#This Row],[Type]]&gt;0,VLOOKUP(_1_54128456121462410464578910174567[[#This Row],[Type]],Main[[#All],[TYPE]:[UNIT]],'Unit Price'!H$1,FALSE),0)</f>
        <v>0</v>
      </c>
      <c r="K385" s="194">
        <f>IF(_1_54128456121462410464578910174567[[#This Row],[Discount selection]]&gt;0,VLOOKUP(_1_54128456121462410464578910174567[[#This Row],[Discount selection]],'Discount Structure'!$A$2:$B$30,2,"false"),0)</f>
        <v>1</v>
      </c>
      <c r="L385" s="194">
        <f>_1_54128456121462410464578910174567[[#This Row],[LIST $]]*_1_54128456121462410464578910174567[[#This Row],[DISCOUNT]]*_1_54128456121462410464578910174567[[#This Row],[DISCOUNT 2]]</f>
        <v>0</v>
      </c>
      <c r="M385" s="194">
        <f>IF(OR(_1_54128456121462410464578910174567[[#This Row],[UNIT]]&gt;0,_1_54128456121462410464578910174567[[#This Row],[UNIT]]&lt;0),_1_54128456121462410464578910174567[[#This Row],[UNIT]]*_1_54128456121462410464578910174567[[#This Row],[COST]],0)</f>
        <v>0</v>
      </c>
      <c r="N385" s="194">
        <f t="shared" si="5"/>
        <v>1.3</v>
      </c>
      <c r="O385" s="198">
        <f>_1_54128456121462410464578910174567[[#This Row],[TOTAL]]*_1_54128456121462410464578910174567[[#This Row],[MARGIN]]</f>
        <v>0</v>
      </c>
      <c r="R385" s="41"/>
    </row>
    <row r="386" spans="1:18">
      <c r="D386" s="188"/>
      <c r="F386" s="168" t="s">
        <v>6202</v>
      </c>
      <c r="G386" s="193">
        <f>IF(_1_54128456121462410464578910174567[[#This Row],[Type]]&gt;0,VLOOKUP(_1_54128456121462410464578910174567[[#This Row],[Type]],Main[[#All],[TYPE]:[UNIT]],'Unit Price'!C$1,FALSE),0)</f>
        <v>0</v>
      </c>
      <c r="H386" s="197">
        <f>IF(_1_54128456121462410464578910174567[[#This Row],[Type]]&gt;0,VLOOKUP(_1_54128456121462410464578910174567[[#This Row],[Type]],Main[[#All],[TYPE]:[UNIT]],'Unit Price'!D$1,FALSE),0)</f>
        <v>0</v>
      </c>
      <c r="I386" s="194">
        <f>IF(_1_54128456121462410464578910174567[[#This Row],[Type]]&gt;0,VLOOKUP(_1_54128456121462410464578910174567[[#This Row],[Type]],Main[[#All],[TYPE]:[UNIT]],'Unit Price'!G$1,FALSE),0)</f>
        <v>0</v>
      </c>
      <c r="J386" s="194">
        <f>IF(_1_54128456121462410464578910174567[[#This Row],[Type]]&gt;0,VLOOKUP(_1_54128456121462410464578910174567[[#This Row],[Type]],Main[[#All],[TYPE]:[UNIT]],'Unit Price'!H$1,FALSE),0)</f>
        <v>0</v>
      </c>
      <c r="K386" s="194">
        <f>IF(_1_54128456121462410464578910174567[[#This Row],[Discount selection]]&gt;0,VLOOKUP(_1_54128456121462410464578910174567[[#This Row],[Discount selection]],'Discount Structure'!$A$2:$B$30,2,"false"),0)</f>
        <v>1</v>
      </c>
      <c r="L386" s="194">
        <f>_1_54128456121462410464578910174567[[#This Row],[LIST $]]*_1_54128456121462410464578910174567[[#This Row],[DISCOUNT]]*_1_54128456121462410464578910174567[[#This Row],[DISCOUNT 2]]</f>
        <v>0</v>
      </c>
      <c r="M386" s="194">
        <f>IF(OR(_1_54128456121462410464578910174567[[#This Row],[UNIT]]&gt;0,_1_54128456121462410464578910174567[[#This Row],[UNIT]]&lt;0),_1_54128456121462410464578910174567[[#This Row],[UNIT]]*_1_54128456121462410464578910174567[[#This Row],[COST]],0)</f>
        <v>0</v>
      </c>
      <c r="N386" s="194">
        <f t="shared" si="5"/>
        <v>1.3</v>
      </c>
      <c r="O386" s="198">
        <f>_1_54128456121462410464578910174567[[#This Row],[TOTAL]]*_1_54128456121462410464578910174567[[#This Row],[MARGIN]]</f>
        <v>0</v>
      </c>
      <c r="R386" s="41"/>
    </row>
    <row r="387" spans="1:18">
      <c r="D387" s="188"/>
      <c r="F387" s="168" t="s">
        <v>6202</v>
      </c>
      <c r="G387" s="192">
        <f>IF(_1_54128456121462410464578910174567[[#This Row],[Type]]&gt;0,VLOOKUP(_1_54128456121462410464578910174567[[#This Row],[Type]],Main[[#All],[TYPE]:[UNIT]],'Unit Price'!C$1,FALSE),0)</f>
        <v>0</v>
      </c>
      <c r="H387" s="197">
        <f>IF(_1_54128456121462410464578910174567[[#This Row],[Type]]&gt;0,VLOOKUP(_1_54128456121462410464578910174567[[#This Row],[Type]],Main[[#All],[TYPE]:[UNIT]],'Unit Price'!D$1,FALSE),0)</f>
        <v>0</v>
      </c>
      <c r="I387" s="194">
        <f>IF(_1_54128456121462410464578910174567[[#This Row],[Type]]&gt;0,VLOOKUP(_1_54128456121462410464578910174567[[#This Row],[Type]],Main[[#All],[TYPE]:[UNIT]],'Unit Price'!G$1,FALSE),0)</f>
        <v>0</v>
      </c>
      <c r="J387" s="194">
        <f>IF(_1_54128456121462410464578910174567[[#This Row],[Type]]&gt;0,VLOOKUP(_1_54128456121462410464578910174567[[#This Row],[Type]],Main[[#All],[TYPE]:[UNIT]],'Unit Price'!H$1,FALSE),0)</f>
        <v>0</v>
      </c>
      <c r="K387" s="194">
        <f>IF(_1_54128456121462410464578910174567[[#This Row],[Discount selection]]&gt;0,VLOOKUP(_1_54128456121462410464578910174567[[#This Row],[Discount selection]],'Discount Structure'!$A$2:$B$30,2,"false"),0)</f>
        <v>1</v>
      </c>
      <c r="L387" s="194">
        <f>_1_54128456121462410464578910174567[[#This Row],[LIST $]]*_1_54128456121462410464578910174567[[#This Row],[DISCOUNT]]*_1_54128456121462410464578910174567[[#This Row],[DISCOUNT 2]]</f>
        <v>0</v>
      </c>
      <c r="M387" s="194">
        <f>IF(OR(_1_54128456121462410464578910174567[[#This Row],[UNIT]]&gt;0,_1_54128456121462410464578910174567[[#This Row],[UNIT]]&lt;0),_1_54128456121462410464578910174567[[#This Row],[UNIT]]*_1_54128456121462410464578910174567[[#This Row],[COST]],0)</f>
        <v>0</v>
      </c>
      <c r="N387" s="194">
        <f t="shared" si="5"/>
        <v>1.3</v>
      </c>
      <c r="O387" s="198">
        <f>_1_54128456121462410464578910174567[[#This Row],[TOTAL]]*_1_54128456121462410464578910174567[[#This Row],[MARGIN]]</f>
        <v>0</v>
      </c>
      <c r="R387" s="41"/>
    </row>
    <row r="388" spans="1:18">
      <c r="D388" s="188"/>
      <c r="F388" s="168" t="s">
        <v>6202</v>
      </c>
      <c r="G388" s="193">
        <f>IF(_1_54128456121462410464578910174567[[#This Row],[Type]]&gt;0,VLOOKUP(_1_54128456121462410464578910174567[[#This Row],[Type]],Main[[#All],[TYPE]:[UNIT]],'Unit Price'!C$1,FALSE),0)</f>
        <v>0</v>
      </c>
      <c r="H388" s="197">
        <f>IF(_1_54128456121462410464578910174567[[#This Row],[Type]]&gt;0,VLOOKUP(_1_54128456121462410464578910174567[[#This Row],[Type]],Main[[#All],[TYPE]:[UNIT]],'Unit Price'!D$1,FALSE),0)</f>
        <v>0</v>
      </c>
      <c r="I388" s="194">
        <f>IF(_1_54128456121462410464578910174567[[#This Row],[Type]]&gt;0,VLOOKUP(_1_54128456121462410464578910174567[[#This Row],[Type]],Main[[#All],[TYPE]:[UNIT]],'Unit Price'!G$1,FALSE),0)</f>
        <v>0</v>
      </c>
      <c r="J388" s="194">
        <f>IF(_1_54128456121462410464578910174567[[#This Row],[Type]]&gt;0,VLOOKUP(_1_54128456121462410464578910174567[[#This Row],[Type]],Main[[#All],[TYPE]:[UNIT]],'Unit Price'!H$1,FALSE),0)</f>
        <v>0</v>
      </c>
      <c r="K388" s="194">
        <f>IF(_1_54128456121462410464578910174567[[#This Row],[Discount selection]]&gt;0,VLOOKUP(_1_54128456121462410464578910174567[[#This Row],[Discount selection]],'Discount Structure'!$A$2:$B$30,2,"false"),0)</f>
        <v>1</v>
      </c>
      <c r="L388" s="194">
        <f>_1_54128456121462410464578910174567[[#This Row],[LIST $]]*_1_54128456121462410464578910174567[[#This Row],[DISCOUNT]]*_1_54128456121462410464578910174567[[#This Row],[DISCOUNT 2]]</f>
        <v>0</v>
      </c>
      <c r="M388" s="194">
        <f>IF(OR(_1_54128456121462410464578910174567[[#This Row],[UNIT]]&gt;0,_1_54128456121462410464578910174567[[#This Row],[UNIT]]&lt;0),_1_54128456121462410464578910174567[[#This Row],[UNIT]]*_1_54128456121462410464578910174567[[#This Row],[COST]],0)</f>
        <v>0</v>
      </c>
      <c r="N388" s="194">
        <f t="shared" si="5"/>
        <v>1.3</v>
      </c>
      <c r="O388" s="198">
        <f>_1_54128456121462410464578910174567[[#This Row],[TOTAL]]*_1_54128456121462410464578910174567[[#This Row],[MARGIN]]</f>
        <v>0</v>
      </c>
      <c r="R388" s="41"/>
    </row>
    <row r="389" spans="1:18">
      <c r="D389" s="188"/>
      <c r="F389" s="168" t="s">
        <v>6202</v>
      </c>
      <c r="G389" s="193">
        <f>IF(_1_54128456121462410464578910174567[[#This Row],[Type]]&gt;0,VLOOKUP(_1_54128456121462410464578910174567[[#This Row],[Type]],Main[[#All],[TYPE]:[UNIT]],'Unit Price'!C$1,FALSE),0)</f>
        <v>0</v>
      </c>
      <c r="H389" s="197">
        <f>IF(_1_54128456121462410464578910174567[[#This Row],[Type]]&gt;0,VLOOKUP(_1_54128456121462410464578910174567[[#This Row],[Type]],Main[[#All],[TYPE]:[UNIT]],'Unit Price'!D$1,FALSE),0)</f>
        <v>0</v>
      </c>
      <c r="I389" s="194">
        <f>IF(_1_54128456121462410464578910174567[[#This Row],[Type]]&gt;0,VLOOKUP(_1_54128456121462410464578910174567[[#This Row],[Type]],Main[[#All],[TYPE]:[UNIT]],'Unit Price'!G$1,FALSE),0)</f>
        <v>0</v>
      </c>
      <c r="J389" s="194">
        <f>IF(_1_54128456121462410464578910174567[[#This Row],[Type]]&gt;0,VLOOKUP(_1_54128456121462410464578910174567[[#This Row],[Type]],Main[[#All],[TYPE]:[UNIT]],'Unit Price'!H$1,FALSE),0)</f>
        <v>0</v>
      </c>
      <c r="K389" s="194">
        <f>IF(_1_54128456121462410464578910174567[[#This Row],[Discount selection]]&gt;0,VLOOKUP(_1_54128456121462410464578910174567[[#This Row],[Discount selection]],'Discount Structure'!$A$2:$B$30,2,"false"),0)</f>
        <v>1</v>
      </c>
      <c r="L389" s="194">
        <f>_1_54128456121462410464578910174567[[#This Row],[LIST $]]*_1_54128456121462410464578910174567[[#This Row],[DISCOUNT]]*_1_54128456121462410464578910174567[[#This Row],[DISCOUNT 2]]</f>
        <v>0</v>
      </c>
      <c r="M389" s="194">
        <f>IF(OR(_1_54128456121462410464578910174567[[#This Row],[UNIT]]&gt;0,_1_54128456121462410464578910174567[[#This Row],[UNIT]]&lt;0),_1_54128456121462410464578910174567[[#This Row],[UNIT]]*_1_54128456121462410464578910174567[[#This Row],[COST]],0)</f>
        <v>0</v>
      </c>
      <c r="N389" s="194">
        <f t="shared" si="5"/>
        <v>1.3</v>
      </c>
      <c r="O389" s="198">
        <f>_1_54128456121462410464578910174567[[#This Row],[TOTAL]]*_1_54128456121462410464578910174567[[#This Row],[MARGIN]]</f>
        <v>0</v>
      </c>
      <c r="R389" s="41"/>
    </row>
    <row r="390" spans="1:18">
      <c r="D390" s="188"/>
      <c r="F390" s="168" t="s">
        <v>6202</v>
      </c>
      <c r="G390" s="193">
        <f>IF(_1_54128456121462410464578910174567[[#This Row],[Type]]&gt;0,VLOOKUP(_1_54128456121462410464578910174567[[#This Row],[Type]],Main[[#All],[TYPE]:[UNIT]],'Unit Price'!C$1,FALSE),0)</f>
        <v>0</v>
      </c>
      <c r="H390" s="197">
        <f>IF(_1_54128456121462410464578910174567[[#This Row],[Type]]&gt;0,VLOOKUP(_1_54128456121462410464578910174567[[#This Row],[Type]],Main[[#All],[TYPE]:[UNIT]],'Unit Price'!D$1,FALSE),0)</f>
        <v>0</v>
      </c>
      <c r="I390" s="194">
        <f>IF(_1_54128456121462410464578910174567[[#This Row],[Type]]&gt;0,VLOOKUP(_1_54128456121462410464578910174567[[#This Row],[Type]],Main[[#All],[TYPE]:[UNIT]],'Unit Price'!G$1,FALSE),0)</f>
        <v>0</v>
      </c>
      <c r="J390" s="194">
        <f>IF(_1_54128456121462410464578910174567[[#This Row],[Type]]&gt;0,VLOOKUP(_1_54128456121462410464578910174567[[#This Row],[Type]],Main[[#All],[TYPE]:[UNIT]],'Unit Price'!H$1,FALSE),0)</f>
        <v>0</v>
      </c>
      <c r="K390" s="194">
        <f>IF(_1_54128456121462410464578910174567[[#This Row],[Discount selection]]&gt;0,VLOOKUP(_1_54128456121462410464578910174567[[#This Row],[Discount selection]],'Discount Structure'!$A$2:$B$30,2,"false"),0)</f>
        <v>1</v>
      </c>
      <c r="L390" s="194">
        <f>_1_54128456121462410464578910174567[[#This Row],[LIST $]]*_1_54128456121462410464578910174567[[#This Row],[DISCOUNT]]*_1_54128456121462410464578910174567[[#This Row],[DISCOUNT 2]]</f>
        <v>0</v>
      </c>
      <c r="M390" s="194">
        <f>IF(OR(_1_54128456121462410464578910174567[[#This Row],[UNIT]]&gt;0,_1_54128456121462410464578910174567[[#This Row],[UNIT]]&lt;0),_1_54128456121462410464578910174567[[#This Row],[UNIT]]*_1_54128456121462410464578910174567[[#This Row],[COST]],0)</f>
        <v>0</v>
      </c>
      <c r="N390" s="194">
        <f t="shared" si="5"/>
        <v>1.3</v>
      </c>
      <c r="O390" s="198">
        <f>_1_54128456121462410464578910174567[[#This Row],[TOTAL]]*_1_54128456121462410464578910174567[[#This Row],[MARGIN]]</f>
        <v>0</v>
      </c>
      <c r="R390" s="41"/>
    </row>
    <row r="391" spans="1:18">
      <c r="D391" s="188"/>
      <c r="F391" s="168" t="s">
        <v>6202</v>
      </c>
      <c r="G391" s="193">
        <f>IF(_1_54128456121462410464578910174567[[#This Row],[Type]]&gt;0,VLOOKUP(_1_54128456121462410464578910174567[[#This Row],[Type]],Main[[#All],[TYPE]:[UNIT]],'Unit Price'!C$1,FALSE),0)</f>
        <v>0</v>
      </c>
      <c r="H391" s="197">
        <f>IF(_1_54128456121462410464578910174567[[#This Row],[Type]]&gt;0,VLOOKUP(_1_54128456121462410464578910174567[[#This Row],[Type]],Main[[#All],[TYPE]:[UNIT]],'Unit Price'!D$1,FALSE),0)</f>
        <v>0</v>
      </c>
      <c r="I391" s="194">
        <f>IF(_1_54128456121462410464578910174567[[#This Row],[Type]]&gt;0,VLOOKUP(_1_54128456121462410464578910174567[[#This Row],[Type]],Main[[#All],[TYPE]:[UNIT]],'Unit Price'!G$1,FALSE),0)</f>
        <v>0</v>
      </c>
      <c r="J391" s="194">
        <f>IF(_1_54128456121462410464578910174567[[#This Row],[Type]]&gt;0,VLOOKUP(_1_54128456121462410464578910174567[[#This Row],[Type]],Main[[#All],[TYPE]:[UNIT]],'Unit Price'!H$1,FALSE),0)</f>
        <v>0</v>
      </c>
      <c r="K391" s="194">
        <f>IF(_1_54128456121462410464578910174567[[#This Row],[Discount selection]]&gt;0,VLOOKUP(_1_54128456121462410464578910174567[[#This Row],[Discount selection]],'Discount Structure'!$A$2:$B$30,2,"false"),0)</f>
        <v>1</v>
      </c>
      <c r="L391" s="194">
        <f>_1_54128456121462410464578910174567[[#This Row],[LIST $]]*_1_54128456121462410464578910174567[[#This Row],[DISCOUNT]]*_1_54128456121462410464578910174567[[#This Row],[DISCOUNT 2]]</f>
        <v>0</v>
      </c>
      <c r="M391" s="194">
        <f>IF(OR(_1_54128456121462410464578910174567[[#This Row],[UNIT]]&gt;0,_1_54128456121462410464578910174567[[#This Row],[UNIT]]&lt;0),_1_54128456121462410464578910174567[[#This Row],[UNIT]]*_1_54128456121462410464578910174567[[#This Row],[COST]],0)</f>
        <v>0</v>
      </c>
      <c r="N391" s="194">
        <f t="shared" si="5"/>
        <v>1.3</v>
      </c>
      <c r="O391" s="198">
        <f>_1_54128456121462410464578910174567[[#This Row],[TOTAL]]*_1_54128456121462410464578910174567[[#This Row],[MARGIN]]</f>
        <v>0</v>
      </c>
      <c r="R391" s="41"/>
    </row>
    <row r="392" spans="1:18">
      <c r="D392" s="188"/>
      <c r="F392" s="168" t="s">
        <v>6202</v>
      </c>
      <c r="G392" s="192">
        <f>IF(_1_54128456121462410464578910174567[[#This Row],[Type]]&gt;0,VLOOKUP(_1_54128456121462410464578910174567[[#This Row],[Type]],Main[[#All],[TYPE]:[UNIT]],'Unit Price'!C$1,FALSE),0)</f>
        <v>0</v>
      </c>
      <c r="H392" s="197">
        <f>IF(_1_54128456121462410464578910174567[[#This Row],[Type]]&gt;0,VLOOKUP(_1_54128456121462410464578910174567[[#This Row],[Type]],Main[[#All],[TYPE]:[UNIT]],'Unit Price'!D$1,FALSE),0)</f>
        <v>0</v>
      </c>
      <c r="I392" s="194">
        <f>IF(_1_54128456121462410464578910174567[[#This Row],[Type]]&gt;0,VLOOKUP(_1_54128456121462410464578910174567[[#This Row],[Type]],Main[[#All],[TYPE]:[UNIT]],'Unit Price'!G$1,FALSE),0)</f>
        <v>0</v>
      </c>
      <c r="J392" s="194">
        <f>IF(_1_54128456121462410464578910174567[[#This Row],[Type]]&gt;0,VLOOKUP(_1_54128456121462410464578910174567[[#This Row],[Type]],Main[[#All],[TYPE]:[UNIT]],'Unit Price'!H$1,FALSE),0)</f>
        <v>0</v>
      </c>
      <c r="K392" s="194">
        <f>IF(_1_54128456121462410464578910174567[[#This Row],[Discount selection]]&gt;0,VLOOKUP(_1_54128456121462410464578910174567[[#This Row],[Discount selection]],'Discount Structure'!$A$2:$B$30,2,"false"),0)</f>
        <v>1</v>
      </c>
      <c r="L392" s="194">
        <f>_1_54128456121462410464578910174567[[#This Row],[LIST $]]*_1_54128456121462410464578910174567[[#This Row],[DISCOUNT]]*_1_54128456121462410464578910174567[[#This Row],[DISCOUNT 2]]</f>
        <v>0</v>
      </c>
      <c r="M392" s="194">
        <f>IF(OR(_1_54128456121462410464578910174567[[#This Row],[UNIT]]&gt;0,_1_54128456121462410464578910174567[[#This Row],[UNIT]]&lt;0),_1_54128456121462410464578910174567[[#This Row],[UNIT]]*_1_54128456121462410464578910174567[[#This Row],[COST]],0)</f>
        <v>0</v>
      </c>
      <c r="N392" s="194">
        <f t="shared" si="5"/>
        <v>1.3</v>
      </c>
      <c r="O392" s="198">
        <f>_1_54128456121462410464578910174567[[#This Row],[TOTAL]]*_1_54128456121462410464578910174567[[#This Row],[MARGIN]]</f>
        <v>0</v>
      </c>
      <c r="R392" s="41"/>
    </row>
    <row r="393" spans="1:18">
      <c r="D393" s="188"/>
      <c r="F393" s="168" t="s">
        <v>6202</v>
      </c>
      <c r="G393" s="193">
        <f>IF(_1_54128456121462410464578910174567[[#This Row],[Type]]&gt;0,VLOOKUP(_1_54128456121462410464578910174567[[#This Row],[Type]],Main[[#All],[TYPE]:[UNIT]],'Unit Price'!C$1,FALSE),0)</f>
        <v>0</v>
      </c>
      <c r="H393" s="197">
        <f>IF(_1_54128456121462410464578910174567[[#This Row],[Type]]&gt;0,VLOOKUP(_1_54128456121462410464578910174567[[#This Row],[Type]],Main[[#All],[TYPE]:[UNIT]],'Unit Price'!D$1,FALSE),0)</f>
        <v>0</v>
      </c>
      <c r="I393" s="194">
        <f>IF(_1_54128456121462410464578910174567[[#This Row],[Type]]&gt;0,VLOOKUP(_1_54128456121462410464578910174567[[#This Row],[Type]],Main[[#All],[TYPE]:[UNIT]],'Unit Price'!G$1,FALSE),0)</f>
        <v>0</v>
      </c>
      <c r="J393" s="194">
        <f>IF(_1_54128456121462410464578910174567[[#This Row],[Type]]&gt;0,VLOOKUP(_1_54128456121462410464578910174567[[#This Row],[Type]],Main[[#All],[TYPE]:[UNIT]],'Unit Price'!H$1,FALSE),0)</f>
        <v>0</v>
      </c>
      <c r="K393" s="194">
        <f>IF(_1_54128456121462410464578910174567[[#This Row],[Discount selection]]&gt;0,VLOOKUP(_1_54128456121462410464578910174567[[#This Row],[Discount selection]],'Discount Structure'!$A$2:$B$30,2,"false"),0)</f>
        <v>1</v>
      </c>
      <c r="L393" s="194">
        <f>_1_54128456121462410464578910174567[[#This Row],[LIST $]]*_1_54128456121462410464578910174567[[#This Row],[DISCOUNT]]*_1_54128456121462410464578910174567[[#This Row],[DISCOUNT 2]]</f>
        <v>0</v>
      </c>
      <c r="M393" s="194">
        <f>IF(OR(_1_54128456121462410464578910174567[[#This Row],[UNIT]]&gt;0,_1_54128456121462410464578910174567[[#This Row],[UNIT]]&lt;0),_1_54128456121462410464578910174567[[#This Row],[UNIT]]*_1_54128456121462410464578910174567[[#This Row],[COST]],0)</f>
        <v>0</v>
      </c>
      <c r="N393" s="194">
        <f t="shared" si="5"/>
        <v>1.3</v>
      </c>
      <c r="O393" s="198">
        <f>_1_54128456121462410464578910174567[[#This Row],[TOTAL]]*_1_54128456121462410464578910174567[[#This Row],[MARGIN]]</f>
        <v>0</v>
      </c>
      <c r="R393" s="41"/>
    </row>
    <row r="394" spans="1:18">
      <c r="A394" s="327"/>
      <c r="B394" s="327"/>
      <c r="D394" s="188"/>
      <c r="F394" s="168" t="s">
        <v>6202</v>
      </c>
      <c r="G394" s="193">
        <f>IF(_1_54128456121462410464578910174567[[#This Row],[Type]]&gt;0,VLOOKUP(_1_54128456121462410464578910174567[[#This Row],[Type]],Main[[#All],[TYPE]:[UNIT]],'Unit Price'!C$1,FALSE),0)</f>
        <v>0</v>
      </c>
      <c r="H394" s="197">
        <f>IF(_1_54128456121462410464578910174567[[#This Row],[Type]]&gt;0,VLOOKUP(_1_54128456121462410464578910174567[[#This Row],[Type]],Main[[#All],[TYPE]:[UNIT]],'Unit Price'!D$1,FALSE),0)</f>
        <v>0</v>
      </c>
      <c r="I394" s="194">
        <f>IF(_1_54128456121462410464578910174567[[#This Row],[Type]]&gt;0,VLOOKUP(_1_54128456121462410464578910174567[[#This Row],[Type]],Main[[#All],[TYPE]:[UNIT]],'Unit Price'!G$1,FALSE),0)</f>
        <v>0</v>
      </c>
      <c r="J394" s="194">
        <f>IF(_1_54128456121462410464578910174567[[#This Row],[Type]]&gt;0,VLOOKUP(_1_54128456121462410464578910174567[[#This Row],[Type]],Main[[#All],[TYPE]:[UNIT]],'Unit Price'!H$1,FALSE),0)</f>
        <v>0</v>
      </c>
      <c r="K394" s="194">
        <f>IF(_1_54128456121462410464578910174567[[#This Row],[Discount selection]]&gt;0,VLOOKUP(_1_54128456121462410464578910174567[[#This Row],[Discount selection]],'Discount Structure'!$A$2:$B$30,2,"false"),0)</f>
        <v>1</v>
      </c>
      <c r="L394" s="194">
        <f>_1_54128456121462410464578910174567[[#This Row],[LIST $]]*_1_54128456121462410464578910174567[[#This Row],[DISCOUNT]]*_1_54128456121462410464578910174567[[#This Row],[DISCOUNT 2]]</f>
        <v>0</v>
      </c>
      <c r="M394" s="194">
        <f>IF(OR(_1_54128456121462410464578910174567[[#This Row],[UNIT]]&gt;0,_1_54128456121462410464578910174567[[#This Row],[UNIT]]&lt;0),_1_54128456121462410464578910174567[[#This Row],[UNIT]]*_1_54128456121462410464578910174567[[#This Row],[COST]],0)</f>
        <v>0</v>
      </c>
      <c r="N394" s="194">
        <f t="shared" ref="N394:N457" si="6">$N$7</f>
        <v>1.3</v>
      </c>
      <c r="O394" s="198">
        <f>_1_54128456121462410464578910174567[[#This Row],[TOTAL]]*_1_54128456121462410464578910174567[[#This Row],[MARGIN]]</f>
        <v>0</v>
      </c>
      <c r="R394" s="41"/>
    </row>
    <row r="395" spans="1:18">
      <c r="D395" s="188"/>
      <c r="F395" s="168" t="s">
        <v>6202</v>
      </c>
      <c r="G395" s="193">
        <f>IF(_1_54128456121462410464578910174567[[#This Row],[Type]]&gt;0,VLOOKUP(_1_54128456121462410464578910174567[[#This Row],[Type]],Main[[#All],[TYPE]:[UNIT]],'Unit Price'!C$1,FALSE),0)</f>
        <v>0</v>
      </c>
      <c r="H395" s="197">
        <f>IF(_1_54128456121462410464578910174567[[#This Row],[Type]]&gt;0,VLOOKUP(_1_54128456121462410464578910174567[[#This Row],[Type]],Main[[#All],[TYPE]:[UNIT]],'Unit Price'!D$1,FALSE),0)</f>
        <v>0</v>
      </c>
      <c r="I395" s="194">
        <f>IF(_1_54128456121462410464578910174567[[#This Row],[Type]]&gt;0,VLOOKUP(_1_54128456121462410464578910174567[[#This Row],[Type]],Main[[#All],[TYPE]:[UNIT]],'Unit Price'!G$1,FALSE),0)</f>
        <v>0</v>
      </c>
      <c r="J395" s="194">
        <f>IF(_1_54128456121462410464578910174567[[#This Row],[Type]]&gt;0,VLOOKUP(_1_54128456121462410464578910174567[[#This Row],[Type]],Main[[#All],[TYPE]:[UNIT]],'Unit Price'!H$1,FALSE),0)</f>
        <v>0</v>
      </c>
      <c r="K395" s="194">
        <f>IF(_1_54128456121462410464578910174567[[#This Row],[Discount selection]]&gt;0,VLOOKUP(_1_54128456121462410464578910174567[[#This Row],[Discount selection]],'Discount Structure'!$A$2:$B$30,2,"false"),0)</f>
        <v>1</v>
      </c>
      <c r="L395" s="194">
        <f>_1_54128456121462410464578910174567[[#This Row],[LIST $]]*_1_54128456121462410464578910174567[[#This Row],[DISCOUNT]]*_1_54128456121462410464578910174567[[#This Row],[DISCOUNT 2]]</f>
        <v>0</v>
      </c>
      <c r="M395" s="194">
        <f>IF(OR(_1_54128456121462410464578910174567[[#This Row],[UNIT]]&gt;0,_1_54128456121462410464578910174567[[#This Row],[UNIT]]&lt;0),_1_54128456121462410464578910174567[[#This Row],[UNIT]]*_1_54128456121462410464578910174567[[#This Row],[COST]],0)</f>
        <v>0</v>
      </c>
      <c r="N395" s="194">
        <f t="shared" si="6"/>
        <v>1.3</v>
      </c>
      <c r="O395" s="198">
        <f>_1_54128456121462410464578910174567[[#This Row],[TOTAL]]*_1_54128456121462410464578910174567[[#This Row],[MARGIN]]</f>
        <v>0</v>
      </c>
      <c r="R395" s="41"/>
    </row>
    <row r="396" spans="1:18">
      <c r="D396" s="188"/>
      <c r="F396" s="168" t="s">
        <v>6202</v>
      </c>
      <c r="G396" s="193">
        <f>IF(_1_54128456121462410464578910174567[[#This Row],[Type]]&gt;0,VLOOKUP(_1_54128456121462410464578910174567[[#This Row],[Type]],Main[[#All],[TYPE]:[UNIT]],'Unit Price'!C$1,FALSE),0)</f>
        <v>0</v>
      </c>
      <c r="H396" s="197">
        <f>IF(_1_54128456121462410464578910174567[[#This Row],[Type]]&gt;0,VLOOKUP(_1_54128456121462410464578910174567[[#This Row],[Type]],Main[[#All],[TYPE]:[UNIT]],'Unit Price'!D$1,FALSE),0)</f>
        <v>0</v>
      </c>
      <c r="I396" s="194">
        <f>IF(_1_54128456121462410464578910174567[[#This Row],[Type]]&gt;0,VLOOKUP(_1_54128456121462410464578910174567[[#This Row],[Type]],Main[[#All],[TYPE]:[UNIT]],'Unit Price'!G$1,FALSE),0)</f>
        <v>0</v>
      </c>
      <c r="J396" s="194">
        <f>IF(_1_54128456121462410464578910174567[[#This Row],[Type]]&gt;0,VLOOKUP(_1_54128456121462410464578910174567[[#This Row],[Type]],Main[[#All],[TYPE]:[UNIT]],'Unit Price'!H$1,FALSE),0)</f>
        <v>0</v>
      </c>
      <c r="K396" s="194">
        <f>IF(_1_54128456121462410464578910174567[[#This Row],[Discount selection]]&gt;0,VLOOKUP(_1_54128456121462410464578910174567[[#This Row],[Discount selection]],'Discount Structure'!$A$2:$B$30,2,"false"),0)</f>
        <v>1</v>
      </c>
      <c r="L396" s="194">
        <f>_1_54128456121462410464578910174567[[#This Row],[LIST $]]*_1_54128456121462410464578910174567[[#This Row],[DISCOUNT]]*_1_54128456121462410464578910174567[[#This Row],[DISCOUNT 2]]</f>
        <v>0</v>
      </c>
      <c r="M396" s="194">
        <f>IF(OR(_1_54128456121462410464578910174567[[#This Row],[UNIT]]&gt;0,_1_54128456121462410464578910174567[[#This Row],[UNIT]]&lt;0),_1_54128456121462410464578910174567[[#This Row],[UNIT]]*_1_54128456121462410464578910174567[[#This Row],[COST]],0)</f>
        <v>0</v>
      </c>
      <c r="N396" s="194">
        <f t="shared" si="6"/>
        <v>1.3</v>
      </c>
      <c r="O396" s="198">
        <f>_1_54128456121462410464578910174567[[#This Row],[TOTAL]]*_1_54128456121462410464578910174567[[#This Row],[MARGIN]]</f>
        <v>0</v>
      </c>
      <c r="R396" s="41"/>
    </row>
    <row r="397" spans="1:18">
      <c r="D397" s="188"/>
      <c r="F397" s="168" t="s">
        <v>6202</v>
      </c>
      <c r="G397" s="192">
        <f>IF(_1_54128456121462410464578910174567[[#This Row],[Type]]&gt;0,VLOOKUP(_1_54128456121462410464578910174567[[#This Row],[Type]],Main[[#All],[TYPE]:[UNIT]],'Unit Price'!C$1,FALSE),0)</f>
        <v>0</v>
      </c>
      <c r="H397" s="197">
        <f>IF(_1_54128456121462410464578910174567[[#This Row],[Type]]&gt;0,VLOOKUP(_1_54128456121462410464578910174567[[#This Row],[Type]],Main[[#All],[TYPE]:[UNIT]],'Unit Price'!D$1,FALSE),0)</f>
        <v>0</v>
      </c>
      <c r="I397" s="194">
        <f>IF(_1_54128456121462410464578910174567[[#This Row],[Type]]&gt;0,VLOOKUP(_1_54128456121462410464578910174567[[#This Row],[Type]],Main[[#All],[TYPE]:[UNIT]],'Unit Price'!G$1,FALSE),0)</f>
        <v>0</v>
      </c>
      <c r="J397" s="194">
        <f>IF(_1_54128456121462410464578910174567[[#This Row],[Type]]&gt;0,VLOOKUP(_1_54128456121462410464578910174567[[#This Row],[Type]],Main[[#All],[TYPE]:[UNIT]],'Unit Price'!H$1,FALSE),0)</f>
        <v>0</v>
      </c>
      <c r="K397" s="194">
        <f>IF(_1_54128456121462410464578910174567[[#This Row],[Discount selection]]&gt;0,VLOOKUP(_1_54128456121462410464578910174567[[#This Row],[Discount selection]],'Discount Structure'!$A$2:$B$30,2,"false"),0)</f>
        <v>1</v>
      </c>
      <c r="L397" s="194">
        <f>_1_54128456121462410464578910174567[[#This Row],[LIST $]]*_1_54128456121462410464578910174567[[#This Row],[DISCOUNT]]*_1_54128456121462410464578910174567[[#This Row],[DISCOUNT 2]]</f>
        <v>0</v>
      </c>
      <c r="M397" s="194">
        <f>IF(OR(_1_54128456121462410464578910174567[[#This Row],[UNIT]]&gt;0,_1_54128456121462410464578910174567[[#This Row],[UNIT]]&lt;0),_1_54128456121462410464578910174567[[#This Row],[UNIT]]*_1_54128456121462410464578910174567[[#This Row],[COST]],0)</f>
        <v>0</v>
      </c>
      <c r="N397" s="194">
        <f t="shared" si="6"/>
        <v>1.3</v>
      </c>
      <c r="O397" s="198">
        <f>_1_54128456121462410464578910174567[[#This Row],[TOTAL]]*_1_54128456121462410464578910174567[[#This Row],[MARGIN]]</f>
        <v>0</v>
      </c>
      <c r="R397" s="41"/>
    </row>
    <row r="398" spans="1:18">
      <c r="D398" s="188"/>
      <c r="F398" s="168" t="s">
        <v>6202</v>
      </c>
      <c r="G398" s="193">
        <f>IF(_1_54128456121462410464578910174567[[#This Row],[Type]]&gt;0,VLOOKUP(_1_54128456121462410464578910174567[[#This Row],[Type]],Main[[#All],[TYPE]:[UNIT]],'Unit Price'!C$1,FALSE),0)</f>
        <v>0</v>
      </c>
      <c r="H398" s="197">
        <f>IF(_1_54128456121462410464578910174567[[#This Row],[Type]]&gt;0,VLOOKUP(_1_54128456121462410464578910174567[[#This Row],[Type]],Main[[#All],[TYPE]:[UNIT]],'Unit Price'!D$1,FALSE),0)</f>
        <v>0</v>
      </c>
      <c r="I398" s="194">
        <f>IF(_1_54128456121462410464578910174567[[#This Row],[Type]]&gt;0,VLOOKUP(_1_54128456121462410464578910174567[[#This Row],[Type]],Main[[#All],[TYPE]:[UNIT]],'Unit Price'!G$1,FALSE),0)</f>
        <v>0</v>
      </c>
      <c r="J398" s="194">
        <f>IF(_1_54128456121462410464578910174567[[#This Row],[Type]]&gt;0,VLOOKUP(_1_54128456121462410464578910174567[[#This Row],[Type]],Main[[#All],[TYPE]:[UNIT]],'Unit Price'!H$1,FALSE),0)</f>
        <v>0</v>
      </c>
      <c r="K398" s="194">
        <f>IF(_1_54128456121462410464578910174567[[#This Row],[Discount selection]]&gt;0,VLOOKUP(_1_54128456121462410464578910174567[[#This Row],[Discount selection]],'Discount Structure'!$A$2:$B$30,2,"false"),0)</f>
        <v>1</v>
      </c>
      <c r="L398" s="194">
        <f>_1_54128456121462410464578910174567[[#This Row],[LIST $]]*_1_54128456121462410464578910174567[[#This Row],[DISCOUNT]]*_1_54128456121462410464578910174567[[#This Row],[DISCOUNT 2]]</f>
        <v>0</v>
      </c>
      <c r="M398" s="194">
        <f>IF(OR(_1_54128456121462410464578910174567[[#This Row],[UNIT]]&gt;0,_1_54128456121462410464578910174567[[#This Row],[UNIT]]&lt;0),_1_54128456121462410464578910174567[[#This Row],[UNIT]]*_1_54128456121462410464578910174567[[#This Row],[COST]],0)</f>
        <v>0</v>
      </c>
      <c r="N398" s="194">
        <f t="shared" si="6"/>
        <v>1.3</v>
      </c>
      <c r="O398" s="198">
        <f>_1_54128456121462410464578910174567[[#This Row],[TOTAL]]*_1_54128456121462410464578910174567[[#This Row],[MARGIN]]</f>
        <v>0</v>
      </c>
      <c r="R398" s="41"/>
    </row>
    <row r="399" spans="1:18">
      <c r="D399" s="188"/>
      <c r="F399" s="168" t="s">
        <v>6202</v>
      </c>
      <c r="G399" s="193">
        <f>IF(_1_54128456121462410464578910174567[[#This Row],[Type]]&gt;0,VLOOKUP(_1_54128456121462410464578910174567[[#This Row],[Type]],Main[[#All],[TYPE]:[UNIT]],'Unit Price'!C$1,FALSE),0)</f>
        <v>0</v>
      </c>
      <c r="H399" s="197">
        <f>IF(_1_54128456121462410464578910174567[[#This Row],[Type]]&gt;0,VLOOKUP(_1_54128456121462410464578910174567[[#This Row],[Type]],Main[[#All],[TYPE]:[UNIT]],'Unit Price'!D$1,FALSE),0)</f>
        <v>0</v>
      </c>
      <c r="I399" s="194">
        <f>IF(_1_54128456121462410464578910174567[[#This Row],[Type]]&gt;0,VLOOKUP(_1_54128456121462410464578910174567[[#This Row],[Type]],Main[[#All],[TYPE]:[UNIT]],'Unit Price'!G$1,FALSE),0)</f>
        <v>0</v>
      </c>
      <c r="J399" s="194">
        <f>IF(_1_54128456121462410464578910174567[[#This Row],[Type]]&gt;0,VLOOKUP(_1_54128456121462410464578910174567[[#This Row],[Type]],Main[[#All],[TYPE]:[UNIT]],'Unit Price'!H$1,FALSE),0)</f>
        <v>0</v>
      </c>
      <c r="K399" s="194">
        <f>IF(_1_54128456121462410464578910174567[[#This Row],[Discount selection]]&gt;0,VLOOKUP(_1_54128456121462410464578910174567[[#This Row],[Discount selection]],'Discount Structure'!$A$2:$B$30,2,"false"),0)</f>
        <v>1</v>
      </c>
      <c r="L399" s="194">
        <f>_1_54128456121462410464578910174567[[#This Row],[LIST $]]*_1_54128456121462410464578910174567[[#This Row],[DISCOUNT]]*_1_54128456121462410464578910174567[[#This Row],[DISCOUNT 2]]</f>
        <v>0</v>
      </c>
      <c r="M399" s="194">
        <f>IF(OR(_1_54128456121462410464578910174567[[#This Row],[UNIT]]&gt;0,_1_54128456121462410464578910174567[[#This Row],[UNIT]]&lt;0),_1_54128456121462410464578910174567[[#This Row],[UNIT]]*_1_54128456121462410464578910174567[[#This Row],[COST]],0)</f>
        <v>0</v>
      </c>
      <c r="N399" s="194">
        <f t="shared" si="6"/>
        <v>1.3</v>
      </c>
      <c r="O399" s="198">
        <f>_1_54128456121462410464578910174567[[#This Row],[TOTAL]]*_1_54128456121462410464578910174567[[#This Row],[MARGIN]]</f>
        <v>0</v>
      </c>
      <c r="R399" s="41"/>
    </row>
    <row r="400" spans="1:18">
      <c r="D400" s="188"/>
      <c r="F400" s="168" t="s">
        <v>6202</v>
      </c>
      <c r="G400" s="193">
        <f>IF(_1_54128456121462410464578910174567[[#This Row],[Type]]&gt;0,VLOOKUP(_1_54128456121462410464578910174567[[#This Row],[Type]],Main[[#All],[TYPE]:[UNIT]],'Unit Price'!C$1,FALSE),0)</f>
        <v>0</v>
      </c>
      <c r="H400" s="197">
        <f>IF(_1_54128456121462410464578910174567[[#This Row],[Type]]&gt;0,VLOOKUP(_1_54128456121462410464578910174567[[#This Row],[Type]],Main[[#All],[TYPE]:[UNIT]],'Unit Price'!D$1,FALSE),0)</f>
        <v>0</v>
      </c>
      <c r="I400" s="194">
        <f>IF(_1_54128456121462410464578910174567[[#This Row],[Type]]&gt;0,VLOOKUP(_1_54128456121462410464578910174567[[#This Row],[Type]],Main[[#All],[TYPE]:[UNIT]],'Unit Price'!G$1,FALSE),0)</f>
        <v>0</v>
      </c>
      <c r="J400" s="194">
        <f>IF(_1_54128456121462410464578910174567[[#This Row],[Type]]&gt;0,VLOOKUP(_1_54128456121462410464578910174567[[#This Row],[Type]],Main[[#All],[TYPE]:[UNIT]],'Unit Price'!H$1,FALSE),0)</f>
        <v>0</v>
      </c>
      <c r="K400" s="194">
        <f>IF(_1_54128456121462410464578910174567[[#This Row],[Discount selection]]&gt;0,VLOOKUP(_1_54128456121462410464578910174567[[#This Row],[Discount selection]],'Discount Structure'!$A$2:$B$30,2,"false"),0)</f>
        <v>1</v>
      </c>
      <c r="L400" s="194">
        <f>_1_54128456121462410464578910174567[[#This Row],[LIST $]]*_1_54128456121462410464578910174567[[#This Row],[DISCOUNT]]*_1_54128456121462410464578910174567[[#This Row],[DISCOUNT 2]]</f>
        <v>0</v>
      </c>
      <c r="M400" s="194">
        <f>IF(OR(_1_54128456121462410464578910174567[[#This Row],[UNIT]]&gt;0,_1_54128456121462410464578910174567[[#This Row],[UNIT]]&lt;0),_1_54128456121462410464578910174567[[#This Row],[UNIT]]*_1_54128456121462410464578910174567[[#This Row],[COST]],0)</f>
        <v>0</v>
      </c>
      <c r="N400" s="194">
        <f t="shared" si="6"/>
        <v>1.3</v>
      </c>
      <c r="O400" s="198">
        <f>_1_54128456121462410464578910174567[[#This Row],[TOTAL]]*_1_54128456121462410464578910174567[[#This Row],[MARGIN]]</f>
        <v>0</v>
      </c>
      <c r="R400" s="41"/>
    </row>
    <row r="401" spans="1:18">
      <c r="D401" s="188"/>
      <c r="F401" s="168" t="s">
        <v>6202</v>
      </c>
      <c r="G401" s="193">
        <f>IF(_1_54128456121462410464578910174567[[#This Row],[Type]]&gt;0,VLOOKUP(_1_54128456121462410464578910174567[[#This Row],[Type]],Main[[#All],[TYPE]:[UNIT]],'Unit Price'!C$1,FALSE),0)</f>
        <v>0</v>
      </c>
      <c r="H401" s="197">
        <f>IF(_1_54128456121462410464578910174567[[#This Row],[Type]]&gt;0,VLOOKUP(_1_54128456121462410464578910174567[[#This Row],[Type]],Main[[#All],[TYPE]:[UNIT]],'Unit Price'!D$1,FALSE),0)</f>
        <v>0</v>
      </c>
      <c r="I401" s="194">
        <f>IF(_1_54128456121462410464578910174567[[#This Row],[Type]]&gt;0,VLOOKUP(_1_54128456121462410464578910174567[[#This Row],[Type]],Main[[#All],[TYPE]:[UNIT]],'Unit Price'!G$1,FALSE),0)</f>
        <v>0</v>
      </c>
      <c r="J401" s="194">
        <f>IF(_1_54128456121462410464578910174567[[#This Row],[Type]]&gt;0,VLOOKUP(_1_54128456121462410464578910174567[[#This Row],[Type]],Main[[#All],[TYPE]:[UNIT]],'Unit Price'!H$1,FALSE),0)</f>
        <v>0</v>
      </c>
      <c r="K401" s="194">
        <f>IF(_1_54128456121462410464578910174567[[#This Row],[Discount selection]]&gt;0,VLOOKUP(_1_54128456121462410464578910174567[[#This Row],[Discount selection]],'Discount Structure'!$A$2:$B$30,2,"false"),0)</f>
        <v>1</v>
      </c>
      <c r="L401" s="194">
        <f>_1_54128456121462410464578910174567[[#This Row],[LIST $]]*_1_54128456121462410464578910174567[[#This Row],[DISCOUNT]]*_1_54128456121462410464578910174567[[#This Row],[DISCOUNT 2]]</f>
        <v>0</v>
      </c>
      <c r="M401" s="194">
        <f>IF(OR(_1_54128456121462410464578910174567[[#This Row],[UNIT]]&gt;0,_1_54128456121462410464578910174567[[#This Row],[UNIT]]&lt;0),_1_54128456121462410464578910174567[[#This Row],[UNIT]]*_1_54128456121462410464578910174567[[#This Row],[COST]],0)</f>
        <v>0</v>
      </c>
      <c r="N401" s="194">
        <f t="shared" si="6"/>
        <v>1.3</v>
      </c>
      <c r="O401" s="198">
        <f>_1_54128456121462410464578910174567[[#This Row],[TOTAL]]*_1_54128456121462410464578910174567[[#This Row],[MARGIN]]</f>
        <v>0</v>
      </c>
      <c r="R401" s="41"/>
    </row>
    <row r="402" spans="1:18">
      <c r="D402" s="188"/>
      <c r="F402" s="168" t="s">
        <v>6202</v>
      </c>
      <c r="G402" s="192">
        <f>IF(_1_54128456121462410464578910174567[[#This Row],[Type]]&gt;0,VLOOKUP(_1_54128456121462410464578910174567[[#This Row],[Type]],Main[[#All],[TYPE]:[UNIT]],'Unit Price'!C$1,FALSE),0)</f>
        <v>0</v>
      </c>
      <c r="H402" s="197">
        <f>IF(_1_54128456121462410464578910174567[[#This Row],[Type]]&gt;0,VLOOKUP(_1_54128456121462410464578910174567[[#This Row],[Type]],Main[[#All],[TYPE]:[UNIT]],'Unit Price'!D$1,FALSE),0)</f>
        <v>0</v>
      </c>
      <c r="I402" s="194">
        <f>IF(_1_54128456121462410464578910174567[[#This Row],[Type]]&gt;0,VLOOKUP(_1_54128456121462410464578910174567[[#This Row],[Type]],Main[[#All],[TYPE]:[UNIT]],'Unit Price'!G$1,FALSE),0)</f>
        <v>0</v>
      </c>
      <c r="J402" s="194">
        <f>IF(_1_54128456121462410464578910174567[[#This Row],[Type]]&gt;0,VLOOKUP(_1_54128456121462410464578910174567[[#This Row],[Type]],Main[[#All],[TYPE]:[UNIT]],'Unit Price'!H$1,FALSE),0)</f>
        <v>0</v>
      </c>
      <c r="K402" s="194">
        <f>IF(_1_54128456121462410464578910174567[[#This Row],[Discount selection]]&gt;0,VLOOKUP(_1_54128456121462410464578910174567[[#This Row],[Discount selection]],'Discount Structure'!$A$2:$B$30,2,"false"),0)</f>
        <v>1</v>
      </c>
      <c r="L402" s="194">
        <f>_1_54128456121462410464578910174567[[#This Row],[LIST $]]*_1_54128456121462410464578910174567[[#This Row],[DISCOUNT]]*_1_54128456121462410464578910174567[[#This Row],[DISCOUNT 2]]</f>
        <v>0</v>
      </c>
      <c r="M402" s="194">
        <f>IF(OR(_1_54128456121462410464578910174567[[#This Row],[UNIT]]&gt;0,_1_54128456121462410464578910174567[[#This Row],[UNIT]]&lt;0),_1_54128456121462410464578910174567[[#This Row],[UNIT]]*_1_54128456121462410464578910174567[[#This Row],[COST]],0)</f>
        <v>0</v>
      </c>
      <c r="N402" s="194">
        <f t="shared" si="6"/>
        <v>1.3</v>
      </c>
      <c r="O402" s="198">
        <f>_1_54128456121462410464578910174567[[#This Row],[TOTAL]]*_1_54128456121462410464578910174567[[#This Row],[MARGIN]]</f>
        <v>0</v>
      </c>
      <c r="R402" s="41"/>
    </row>
    <row r="403" spans="1:18">
      <c r="D403" s="188"/>
      <c r="F403" s="168" t="s">
        <v>6202</v>
      </c>
      <c r="G403" s="193">
        <f>IF(_1_54128456121462410464578910174567[[#This Row],[Type]]&gt;0,VLOOKUP(_1_54128456121462410464578910174567[[#This Row],[Type]],Main[[#All],[TYPE]:[UNIT]],'Unit Price'!C$1,FALSE),0)</f>
        <v>0</v>
      </c>
      <c r="H403" s="197">
        <f>IF(_1_54128456121462410464578910174567[[#This Row],[Type]]&gt;0,VLOOKUP(_1_54128456121462410464578910174567[[#This Row],[Type]],Main[[#All],[TYPE]:[UNIT]],'Unit Price'!D$1,FALSE),0)</f>
        <v>0</v>
      </c>
      <c r="I403" s="194">
        <f>IF(_1_54128456121462410464578910174567[[#This Row],[Type]]&gt;0,VLOOKUP(_1_54128456121462410464578910174567[[#This Row],[Type]],Main[[#All],[TYPE]:[UNIT]],'Unit Price'!G$1,FALSE),0)</f>
        <v>0</v>
      </c>
      <c r="J403" s="194">
        <f>IF(_1_54128456121462410464578910174567[[#This Row],[Type]]&gt;0,VLOOKUP(_1_54128456121462410464578910174567[[#This Row],[Type]],Main[[#All],[TYPE]:[UNIT]],'Unit Price'!H$1,FALSE),0)</f>
        <v>0</v>
      </c>
      <c r="K403" s="194">
        <f>IF(_1_54128456121462410464578910174567[[#This Row],[Discount selection]]&gt;0,VLOOKUP(_1_54128456121462410464578910174567[[#This Row],[Discount selection]],'Discount Structure'!$A$2:$B$30,2,"false"),0)</f>
        <v>1</v>
      </c>
      <c r="L403" s="194">
        <f>_1_54128456121462410464578910174567[[#This Row],[LIST $]]*_1_54128456121462410464578910174567[[#This Row],[DISCOUNT]]*_1_54128456121462410464578910174567[[#This Row],[DISCOUNT 2]]</f>
        <v>0</v>
      </c>
      <c r="M403" s="194">
        <f>IF(OR(_1_54128456121462410464578910174567[[#This Row],[UNIT]]&gt;0,_1_54128456121462410464578910174567[[#This Row],[UNIT]]&lt;0),_1_54128456121462410464578910174567[[#This Row],[UNIT]]*_1_54128456121462410464578910174567[[#This Row],[COST]],0)</f>
        <v>0</v>
      </c>
      <c r="N403" s="194">
        <f t="shared" si="6"/>
        <v>1.3</v>
      </c>
      <c r="O403" s="198">
        <f>_1_54128456121462410464578910174567[[#This Row],[TOTAL]]*_1_54128456121462410464578910174567[[#This Row],[MARGIN]]</f>
        <v>0</v>
      </c>
      <c r="R403" s="41"/>
    </row>
    <row r="404" spans="1:18">
      <c r="D404" s="188"/>
      <c r="F404" s="168" t="s">
        <v>6202</v>
      </c>
      <c r="G404" s="193">
        <f>IF(_1_54128456121462410464578910174567[[#This Row],[Type]]&gt;0,VLOOKUP(_1_54128456121462410464578910174567[[#This Row],[Type]],Main[[#All],[TYPE]:[UNIT]],'Unit Price'!C$1,FALSE),0)</f>
        <v>0</v>
      </c>
      <c r="H404" s="197">
        <f>IF(_1_54128456121462410464578910174567[[#This Row],[Type]]&gt;0,VLOOKUP(_1_54128456121462410464578910174567[[#This Row],[Type]],Main[[#All],[TYPE]:[UNIT]],'Unit Price'!D$1,FALSE),0)</f>
        <v>0</v>
      </c>
      <c r="I404" s="194">
        <f>IF(_1_54128456121462410464578910174567[[#This Row],[Type]]&gt;0,VLOOKUP(_1_54128456121462410464578910174567[[#This Row],[Type]],Main[[#All],[TYPE]:[UNIT]],'Unit Price'!G$1,FALSE),0)</f>
        <v>0</v>
      </c>
      <c r="J404" s="194">
        <f>IF(_1_54128456121462410464578910174567[[#This Row],[Type]]&gt;0,VLOOKUP(_1_54128456121462410464578910174567[[#This Row],[Type]],Main[[#All],[TYPE]:[UNIT]],'Unit Price'!H$1,FALSE),0)</f>
        <v>0</v>
      </c>
      <c r="K404" s="194">
        <f>IF(_1_54128456121462410464578910174567[[#This Row],[Discount selection]]&gt;0,VLOOKUP(_1_54128456121462410464578910174567[[#This Row],[Discount selection]],'Discount Structure'!$A$2:$B$30,2,"false"),0)</f>
        <v>1</v>
      </c>
      <c r="L404" s="194">
        <f>_1_54128456121462410464578910174567[[#This Row],[LIST $]]*_1_54128456121462410464578910174567[[#This Row],[DISCOUNT]]*_1_54128456121462410464578910174567[[#This Row],[DISCOUNT 2]]</f>
        <v>0</v>
      </c>
      <c r="M404" s="194">
        <f>IF(OR(_1_54128456121462410464578910174567[[#This Row],[UNIT]]&gt;0,_1_54128456121462410464578910174567[[#This Row],[UNIT]]&lt;0),_1_54128456121462410464578910174567[[#This Row],[UNIT]]*_1_54128456121462410464578910174567[[#This Row],[COST]],0)</f>
        <v>0</v>
      </c>
      <c r="N404" s="194">
        <f t="shared" si="6"/>
        <v>1.3</v>
      </c>
      <c r="O404" s="198">
        <f>_1_54128456121462410464578910174567[[#This Row],[TOTAL]]*_1_54128456121462410464578910174567[[#This Row],[MARGIN]]</f>
        <v>0</v>
      </c>
      <c r="R404" s="41"/>
    </row>
    <row r="405" spans="1:18">
      <c r="D405" s="188"/>
      <c r="F405" s="168" t="s">
        <v>6202</v>
      </c>
      <c r="G405" s="193">
        <f>IF(_1_54128456121462410464578910174567[[#This Row],[Type]]&gt;0,VLOOKUP(_1_54128456121462410464578910174567[[#This Row],[Type]],Main[[#All],[TYPE]:[UNIT]],'Unit Price'!C$1,FALSE),0)</f>
        <v>0</v>
      </c>
      <c r="H405" s="197">
        <f>IF(_1_54128456121462410464578910174567[[#This Row],[Type]]&gt;0,VLOOKUP(_1_54128456121462410464578910174567[[#This Row],[Type]],Main[[#All],[TYPE]:[UNIT]],'Unit Price'!D$1,FALSE),0)</f>
        <v>0</v>
      </c>
      <c r="I405" s="194">
        <f>IF(_1_54128456121462410464578910174567[[#This Row],[Type]]&gt;0,VLOOKUP(_1_54128456121462410464578910174567[[#This Row],[Type]],Main[[#All],[TYPE]:[UNIT]],'Unit Price'!G$1,FALSE),0)</f>
        <v>0</v>
      </c>
      <c r="J405" s="194">
        <f>IF(_1_54128456121462410464578910174567[[#This Row],[Type]]&gt;0,VLOOKUP(_1_54128456121462410464578910174567[[#This Row],[Type]],Main[[#All],[TYPE]:[UNIT]],'Unit Price'!H$1,FALSE),0)</f>
        <v>0</v>
      </c>
      <c r="K405" s="194">
        <f>IF(_1_54128456121462410464578910174567[[#This Row],[Discount selection]]&gt;0,VLOOKUP(_1_54128456121462410464578910174567[[#This Row],[Discount selection]],'Discount Structure'!$A$2:$B$30,2,"false"),0)</f>
        <v>1</v>
      </c>
      <c r="L405" s="194">
        <f>_1_54128456121462410464578910174567[[#This Row],[LIST $]]*_1_54128456121462410464578910174567[[#This Row],[DISCOUNT]]*_1_54128456121462410464578910174567[[#This Row],[DISCOUNT 2]]</f>
        <v>0</v>
      </c>
      <c r="M405" s="194">
        <f>IF(OR(_1_54128456121462410464578910174567[[#This Row],[UNIT]]&gt;0,_1_54128456121462410464578910174567[[#This Row],[UNIT]]&lt;0),_1_54128456121462410464578910174567[[#This Row],[UNIT]]*_1_54128456121462410464578910174567[[#This Row],[COST]],0)</f>
        <v>0</v>
      </c>
      <c r="N405" s="194">
        <f t="shared" si="6"/>
        <v>1.3</v>
      </c>
      <c r="O405" s="198">
        <f>_1_54128456121462410464578910174567[[#This Row],[TOTAL]]*_1_54128456121462410464578910174567[[#This Row],[MARGIN]]</f>
        <v>0</v>
      </c>
      <c r="R405" s="41"/>
    </row>
    <row r="406" spans="1:18">
      <c r="D406" s="188"/>
      <c r="F406" s="168" t="s">
        <v>6202</v>
      </c>
      <c r="G406" s="193">
        <f>IF(_1_54128456121462410464578910174567[[#This Row],[Type]]&gt;0,VLOOKUP(_1_54128456121462410464578910174567[[#This Row],[Type]],Main[[#All],[TYPE]:[UNIT]],'Unit Price'!C$1,FALSE),0)</f>
        <v>0</v>
      </c>
      <c r="H406" s="197">
        <f>IF(_1_54128456121462410464578910174567[[#This Row],[Type]]&gt;0,VLOOKUP(_1_54128456121462410464578910174567[[#This Row],[Type]],Main[[#All],[TYPE]:[UNIT]],'Unit Price'!D$1,FALSE),0)</f>
        <v>0</v>
      </c>
      <c r="I406" s="194">
        <f>IF(_1_54128456121462410464578910174567[[#This Row],[Type]]&gt;0,VLOOKUP(_1_54128456121462410464578910174567[[#This Row],[Type]],Main[[#All],[TYPE]:[UNIT]],'Unit Price'!G$1,FALSE),0)</f>
        <v>0</v>
      </c>
      <c r="J406" s="194">
        <f>IF(_1_54128456121462410464578910174567[[#This Row],[Type]]&gt;0,VLOOKUP(_1_54128456121462410464578910174567[[#This Row],[Type]],Main[[#All],[TYPE]:[UNIT]],'Unit Price'!H$1,FALSE),0)</f>
        <v>0</v>
      </c>
      <c r="K406" s="194">
        <f>IF(_1_54128456121462410464578910174567[[#This Row],[Discount selection]]&gt;0,VLOOKUP(_1_54128456121462410464578910174567[[#This Row],[Discount selection]],'Discount Structure'!$A$2:$B$30,2,"false"),0)</f>
        <v>1</v>
      </c>
      <c r="L406" s="194">
        <f>_1_54128456121462410464578910174567[[#This Row],[LIST $]]*_1_54128456121462410464578910174567[[#This Row],[DISCOUNT]]*_1_54128456121462410464578910174567[[#This Row],[DISCOUNT 2]]</f>
        <v>0</v>
      </c>
      <c r="M406" s="194">
        <f>IF(OR(_1_54128456121462410464578910174567[[#This Row],[UNIT]]&gt;0,_1_54128456121462410464578910174567[[#This Row],[UNIT]]&lt;0),_1_54128456121462410464578910174567[[#This Row],[UNIT]]*_1_54128456121462410464578910174567[[#This Row],[COST]],0)</f>
        <v>0</v>
      </c>
      <c r="N406" s="194">
        <f t="shared" si="6"/>
        <v>1.3</v>
      </c>
      <c r="O406" s="198">
        <f>_1_54128456121462410464578910174567[[#This Row],[TOTAL]]*_1_54128456121462410464578910174567[[#This Row],[MARGIN]]</f>
        <v>0</v>
      </c>
      <c r="R406" s="41"/>
    </row>
    <row r="407" spans="1:18">
      <c r="D407" s="188"/>
      <c r="F407" s="168" t="s">
        <v>6202</v>
      </c>
      <c r="G407" s="192">
        <f>IF(_1_54128456121462410464578910174567[[#This Row],[Type]]&gt;0,VLOOKUP(_1_54128456121462410464578910174567[[#This Row],[Type]],Main[[#All],[TYPE]:[UNIT]],'Unit Price'!C$1,FALSE),0)</f>
        <v>0</v>
      </c>
      <c r="H407" s="197">
        <f>IF(_1_54128456121462410464578910174567[[#This Row],[Type]]&gt;0,VLOOKUP(_1_54128456121462410464578910174567[[#This Row],[Type]],Main[[#All],[TYPE]:[UNIT]],'Unit Price'!D$1,FALSE),0)</f>
        <v>0</v>
      </c>
      <c r="I407" s="194">
        <f>IF(_1_54128456121462410464578910174567[[#This Row],[Type]]&gt;0,VLOOKUP(_1_54128456121462410464578910174567[[#This Row],[Type]],Main[[#All],[TYPE]:[UNIT]],'Unit Price'!G$1,FALSE),0)</f>
        <v>0</v>
      </c>
      <c r="J407" s="194">
        <f>IF(_1_54128456121462410464578910174567[[#This Row],[Type]]&gt;0,VLOOKUP(_1_54128456121462410464578910174567[[#This Row],[Type]],Main[[#All],[TYPE]:[UNIT]],'Unit Price'!H$1,FALSE),0)</f>
        <v>0</v>
      </c>
      <c r="K407" s="194">
        <f>IF(_1_54128456121462410464578910174567[[#This Row],[Discount selection]]&gt;0,VLOOKUP(_1_54128456121462410464578910174567[[#This Row],[Discount selection]],'Discount Structure'!$A$2:$B$30,2,"false"),0)</f>
        <v>1</v>
      </c>
      <c r="L407" s="194">
        <f>_1_54128456121462410464578910174567[[#This Row],[LIST $]]*_1_54128456121462410464578910174567[[#This Row],[DISCOUNT]]*_1_54128456121462410464578910174567[[#This Row],[DISCOUNT 2]]</f>
        <v>0</v>
      </c>
      <c r="M407" s="194">
        <f>IF(OR(_1_54128456121462410464578910174567[[#This Row],[UNIT]]&gt;0,_1_54128456121462410464578910174567[[#This Row],[UNIT]]&lt;0),_1_54128456121462410464578910174567[[#This Row],[UNIT]]*_1_54128456121462410464578910174567[[#This Row],[COST]],0)</f>
        <v>0</v>
      </c>
      <c r="N407" s="194">
        <f t="shared" si="6"/>
        <v>1.3</v>
      </c>
      <c r="O407" s="198">
        <f>_1_54128456121462410464578910174567[[#This Row],[TOTAL]]*_1_54128456121462410464578910174567[[#This Row],[MARGIN]]</f>
        <v>0</v>
      </c>
      <c r="R407" s="41"/>
    </row>
    <row r="408" spans="1:18">
      <c r="D408" s="188"/>
      <c r="F408" s="168" t="s">
        <v>6202</v>
      </c>
      <c r="G408" s="193">
        <f>IF(_1_54128456121462410464578910174567[[#This Row],[Type]]&gt;0,VLOOKUP(_1_54128456121462410464578910174567[[#This Row],[Type]],Main[[#All],[TYPE]:[UNIT]],'Unit Price'!C$1,FALSE),0)</f>
        <v>0</v>
      </c>
      <c r="H408" s="197">
        <f>IF(_1_54128456121462410464578910174567[[#This Row],[Type]]&gt;0,VLOOKUP(_1_54128456121462410464578910174567[[#This Row],[Type]],Main[[#All],[TYPE]:[UNIT]],'Unit Price'!D$1,FALSE),0)</f>
        <v>0</v>
      </c>
      <c r="I408" s="194">
        <f>IF(_1_54128456121462410464578910174567[[#This Row],[Type]]&gt;0,VLOOKUP(_1_54128456121462410464578910174567[[#This Row],[Type]],Main[[#All],[TYPE]:[UNIT]],'Unit Price'!G$1,FALSE),0)</f>
        <v>0</v>
      </c>
      <c r="J408" s="194">
        <f>IF(_1_54128456121462410464578910174567[[#This Row],[Type]]&gt;0,VLOOKUP(_1_54128456121462410464578910174567[[#This Row],[Type]],Main[[#All],[TYPE]:[UNIT]],'Unit Price'!H$1,FALSE),0)</f>
        <v>0</v>
      </c>
      <c r="K408" s="194">
        <f>IF(_1_54128456121462410464578910174567[[#This Row],[Discount selection]]&gt;0,VLOOKUP(_1_54128456121462410464578910174567[[#This Row],[Discount selection]],'Discount Structure'!$A$2:$B$30,2,"false"),0)</f>
        <v>1</v>
      </c>
      <c r="L408" s="194">
        <f>_1_54128456121462410464578910174567[[#This Row],[LIST $]]*_1_54128456121462410464578910174567[[#This Row],[DISCOUNT]]*_1_54128456121462410464578910174567[[#This Row],[DISCOUNT 2]]</f>
        <v>0</v>
      </c>
      <c r="M408" s="194">
        <f>IF(OR(_1_54128456121462410464578910174567[[#This Row],[UNIT]]&gt;0,_1_54128456121462410464578910174567[[#This Row],[UNIT]]&lt;0),_1_54128456121462410464578910174567[[#This Row],[UNIT]]*_1_54128456121462410464578910174567[[#This Row],[COST]],0)</f>
        <v>0</v>
      </c>
      <c r="N408" s="194">
        <f t="shared" si="6"/>
        <v>1.3</v>
      </c>
      <c r="O408" s="198">
        <f>_1_54128456121462410464578910174567[[#This Row],[TOTAL]]*_1_54128456121462410464578910174567[[#This Row],[MARGIN]]</f>
        <v>0</v>
      </c>
      <c r="R408" s="41"/>
    </row>
    <row r="409" spans="1:18">
      <c r="A409" s="168"/>
      <c r="D409" s="188"/>
      <c r="F409" s="168" t="s">
        <v>6202</v>
      </c>
      <c r="G409" s="193">
        <f>IF(_1_54128456121462410464578910174567[[#This Row],[Type]]&gt;0,VLOOKUP(_1_54128456121462410464578910174567[[#This Row],[Type]],Main[[#All],[TYPE]:[UNIT]],'Unit Price'!C$1,FALSE),0)</f>
        <v>0</v>
      </c>
      <c r="H409" s="197">
        <f>IF(_1_54128456121462410464578910174567[[#This Row],[Type]]&gt;0,VLOOKUP(_1_54128456121462410464578910174567[[#This Row],[Type]],Main[[#All],[TYPE]:[UNIT]],'Unit Price'!D$1,FALSE),0)</f>
        <v>0</v>
      </c>
      <c r="I409" s="194">
        <f>IF(_1_54128456121462410464578910174567[[#This Row],[Type]]&gt;0,VLOOKUP(_1_54128456121462410464578910174567[[#This Row],[Type]],Main[[#All],[TYPE]:[UNIT]],'Unit Price'!G$1,FALSE),0)</f>
        <v>0</v>
      </c>
      <c r="J409" s="194">
        <f>IF(_1_54128456121462410464578910174567[[#This Row],[Type]]&gt;0,VLOOKUP(_1_54128456121462410464578910174567[[#This Row],[Type]],Main[[#All],[TYPE]:[UNIT]],'Unit Price'!H$1,FALSE),0)</f>
        <v>0</v>
      </c>
      <c r="K409" s="194">
        <f>IF(_1_54128456121462410464578910174567[[#This Row],[Discount selection]]&gt;0,VLOOKUP(_1_54128456121462410464578910174567[[#This Row],[Discount selection]],'Discount Structure'!$A$2:$B$30,2,"false"),0)</f>
        <v>1</v>
      </c>
      <c r="L409" s="194">
        <f>_1_54128456121462410464578910174567[[#This Row],[LIST $]]*_1_54128456121462410464578910174567[[#This Row],[DISCOUNT]]*_1_54128456121462410464578910174567[[#This Row],[DISCOUNT 2]]</f>
        <v>0</v>
      </c>
      <c r="M409" s="194">
        <f>IF(OR(_1_54128456121462410464578910174567[[#This Row],[UNIT]]&gt;0,_1_54128456121462410464578910174567[[#This Row],[UNIT]]&lt;0),_1_54128456121462410464578910174567[[#This Row],[UNIT]]*_1_54128456121462410464578910174567[[#This Row],[COST]],0)</f>
        <v>0</v>
      </c>
      <c r="N409" s="194">
        <f t="shared" si="6"/>
        <v>1.3</v>
      </c>
      <c r="O409" s="198">
        <f>_1_54128456121462410464578910174567[[#This Row],[TOTAL]]*_1_54128456121462410464578910174567[[#This Row],[MARGIN]]</f>
        <v>0</v>
      </c>
      <c r="R409" s="41"/>
    </row>
    <row r="410" spans="1:18">
      <c r="D410" s="188"/>
      <c r="F410" s="168" t="s">
        <v>6202</v>
      </c>
      <c r="G410" s="193">
        <f>IF(_1_54128456121462410464578910174567[[#This Row],[Type]]&gt;0,VLOOKUP(_1_54128456121462410464578910174567[[#This Row],[Type]],Main[[#All],[TYPE]:[UNIT]],'Unit Price'!C$1,FALSE),0)</f>
        <v>0</v>
      </c>
      <c r="H410" s="197">
        <f>IF(_1_54128456121462410464578910174567[[#This Row],[Type]]&gt;0,VLOOKUP(_1_54128456121462410464578910174567[[#This Row],[Type]],Main[[#All],[TYPE]:[UNIT]],'Unit Price'!D$1,FALSE),0)</f>
        <v>0</v>
      </c>
      <c r="I410" s="194">
        <f>IF(_1_54128456121462410464578910174567[[#This Row],[Type]]&gt;0,VLOOKUP(_1_54128456121462410464578910174567[[#This Row],[Type]],Main[[#All],[TYPE]:[UNIT]],'Unit Price'!G$1,FALSE),0)</f>
        <v>0</v>
      </c>
      <c r="J410" s="194">
        <f>IF(_1_54128456121462410464578910174567[[#This Row],[Type]]&gt;0,VLOOKUP(_1_54128456121462410464578910174567[[#This Row],[Type]],Main[[#All],[TYPE]:[UNIT]],'Unit Price'!H$1,FALSE),0)</f>
        <v>0</v>
      </c>
      <c r="K410" s="194">
        <f>IF(_1_54128456121462410464578910174567[[#This Row],[Discount selection]]&gt;0,VLOOKUP(_1_54128456121462410464578910174567[[#This Row],[Discount selection]],'Discount Structure'!$A$2:$B$30,2,"false"),0)</f>
        <v>1</v>
      </c>
      <c r="L410" s="194">
        <f>_1_54128456121462410464578910174567[[#This Row],[LIST $]]*_1_54128456121462410464578910174567[[#This Row],[DISCOUNT]]*_1_54128456121462410464578910174567[[#This Row],[DISCOUNT 2]]</f>
        <v>0</v>
      </c>
      <c r="M410" s="194">
        <f>IF(OR(_1_54128456121462410464578910174567[[#This Row],[UNIT]]&gt;0,_1_54128456121462410464578910174567[[#This Row],[UNIT]]&lt;0),_1_54128456121462410464578910174567[[#This Row],[UNIT]]*_1_54128456121462410464578910174567[[#This Row],[COST]],0)</f>
        <v>0</v>
      </c>
      <c r="N410" s="194">
        <f t="shared" si="6"/>
        <v>1.3</v>
      </c>
      <c r="O410" s="198">
        <f>_1_54128456121462410464578910174567[[#This Row],[TOTAL]]*_1_54128456121462410464578910174567[[#This Row],[MARGIN]]</f>
        <v>0</v>
      </c>
      <c r="R410" s="41"/>
    </row>
    <row r="411" spans="1:18">
      <c r="D411" s="188"/>
      <c r="F411" s="168" t="s">
        <v>6202</v>
      </c>
      <c r="G411" s="193">
        <f>IF(_1_54128456121462410464578910174567[[#This Row],[Type]]&gt;0,VLOOKUP(_1_54128456121462410464578910174567[[#This Row],[Type]],Main[[#All],[TYPE]:[UNIT]],'Unit Price'!C$1,FALSE),0)</f>
        <v>0</v>
      </c>
      <c r="H411" s="197">
        <f>IF(_1_54128456121462410464578910174567[[#This Row],[Type]]&gt;0,VLOOKUP(_1_54128456121462410464578910174567[[#This Row],[Type]],Main[[#All],[TYPE]:[UNIT]],'Unit Price'!D$1,FALSE),0)</f>
        <v>0</v>
      </c>
      <c r="I411" s="194">
        <f>IF(_1_54128456121462410464578910174567[[#This Row],[Type]]&gt;0,VLOOKUP(_1_54128456121462410464578910174567[[#This Row],[Type]],Main[[#All],[TYPE]:[UNIT]],'Unit Price'!G$1,FALSE),0)</f>
        <v>0</v>
      </c>
      <c r="J411" s="194">
        <f>IF(_1_54128456121462410464578910174567[[#This Row],[Type]]&gt;0,VLOOKUP(_1_54128456121462410464578910174567[[#This Row],[Type]],Main[[#All],[TYPE]:[UNIT]],'Unit Price'!H$1,FALSE),0)</f>
        <v>0</v>
      </c>
      <c r="K411" s="194">
        <f>IF(_1_54128456121462410464578910174567[[#This Row],[Discount selection]]&gt;0,VLOOKUP(_1_54128456121462410464578910174567[[#This Row],[Discount selection]],'Discount Structure'!$A$2:$B$30,2,"false"),0)</f>
        <v>1</v>
      </c>
      <c r="L411" s="194">
        <f>_1_54128456121462410464578910174567[[#This Row],[LIST $]]*_1_54128456121462410464578910174567[[#This Row],[DISCOUNT]]*_1_54128456121462410464578910174567[[#This Row],[DISCOUNT 2]]</f>
        <v>0</v>
      </c>
      <c r="M411" s="194">
        <f>IF(OR(_1_54128456121462410464578910174567[[#This Row],[UNIT]]&gt;0,_1_54128456121462410464578910174567[[#This Row],[UNIT]]&lt;0),_1_54128456121462410464578910174567[[#This Row],[UNIT]]*_1_54128456121462410464578910174567[[#This Row],[COST]],0)</f>
        <v>0</v>
      </c>
      <c r="N411" s="194">
        <f t="shared" si="6"/>
        <v>1.3</v>
      </c>
      <c r="O411" s="198">
        <f>_1_54128456121462410464578910174567[[#This Row],[TOTAL]]*_1_54128456121462410464578910174567[[#This Row],[MARGIN]]</f>
        <v>0</v>
      </c>
      <c r="R411" s="41"/>
    </row>
    <row r="412" spans="1:18">
      <c r="D412" s="188"/>
      <c r="F412" s="168" t="s">
        <v>6202</v>
      </c>
      <c r="G412" s="192">
        <f>IF(_1_54128456121462410464578910174567[[#This Row],[Type]]&gt;0,VLOOKUP(_1_54128456121462410464578910174567[[#This Row],[Type]],Main[[#All],[TYPE]:[UNIT]],'Unit Price'!C$1,FALSE),0)</f>
        <v>0</v>
      </c>
      <c r="H412" s="197">
        <f>IF(_1_54128456121462410464578910174567[[#This Row],[Type]]&gt;0,VLOOKUP(_1_54128456121462410464578910174567[[#This Row],[Type]],Main[[#All],[TYPE]:[UNIT]],'Unit Price'!D$1,FALSE),0)</f>
        <v>0</v>
      </c>
      <c r="I412" s="194">
        <f>IF(_1_54128456121462410464578910174567[[#This Row],[Type]]&gt;0,VLOOKUP(_1_54128456121462410464578910174567[[#This Row],[Type]],Main[[#All],[TYPE]:[UNIT]],'Unit Price'!G$1,FALSE),0)</f>
        <v>0</v>
      </c>
      <c r="J412" s="194">
        <f>IF(_1_54128456121462410464578910174567[[#This Row],[Type]]&gt;0,VLOOKUP(_1_54128456121462410464578910174567[[#This Row],[Type]],Main[[#All],[TYPE]:[UNIT]],'Unit Price'!H$1,FALSE),0)</f>
        <v>0</v>
      </c>
      <c r="K412" s="194">
        <f>IF(_1_54128456121462410464578910174567[[#This Row],[Discount selection]]&gt;0,VLOOKUP(_1_54128456121462410464578910174567[[#This Row],[Discount selection]],'Discount Structure'!$A$2:$B$30,2,"false"),0)</f>
        <v>1</v>
      </c>
      <c r="L412" s="194">
        <f>_1_54128456121462410464578910174567[[#This Row],[LIST $]]*_1_54128456121462410464578910174567[[#This Row],[DISCOUNT]]*_1_54128456121462410464578910174567[[#This Row],[DISCOUNT 2]]</f>
        <v>0</v>
      </c>
      <c r="M412" s="194">
        <f>IF(OR(_1_54128456121462410464578910174567[[#This Row],[UNIT]]&gt;0,_1_54128456121462410464578910174567[[#This Row],[UNIT]]&lt;0),_1_54128456121462410464578910174567[[#This Row],[UNIT]]*_1_54128456121462410464578910174567[[#This Row],[COST]],0)</f>
        <v>0</v>
      </c>
      <c r="N412" s="194">
        <f t="shared" si="6"/>
        <v>1.3</v>
      </c>
      <c r="O412" s="198">
        <f>_1_54128456121462410464578910174567[[#This Row],[TOTAL]]*_1_54128456121462410464578910174567[[#This Row],[MARGIN]]</f>
        <v>0</v>
      </c>
      <c r="R412" s="41"/>
    </row>
    <row r="413" spans="1:18">
      <c r="D413" s="188"/>
      <c r="F413" s="168" t="s">
        <v>6202</v>
      </c>
      <c r="G413" s="193">
        <f>IF(_1_54128456121462410464578910174567[[#This Row],[Type]]&gt;0,VLOOKUP(_1_54128456121462410464578910174567[[#This Row],[Type]],Main[[#All],[TYPE]:[UNIT]],'Unit Price'!C$1,FALSE),0)</f>
        <v>0</v>
      </c>
      <c r="H413" s="197">
        <f>IF(_1_54128456121462410464578910174567[[#This Row],[Type]]&gt;0,VLOOKUP(_1_54128456121462410464578910174567[[#This Row],[Type]],Main[[#All],[TYPE]:[UNIT]],'Unit Price'!D$1,FALSE),0)</f>
        <v>0</v>
      </c>
      <c r="I413" s="194">
        <f>IF(_1_54128456121462410464578910174567[[#This Row],[Type]]&gt;0,VLOOKUP(_1_54128456121462410464578910174567[[#This Row],[Type]],Main[[#All],[TYPE]:[UNIT]],'Unit Price'!G$1,FALSE),0)</f>
        <v>0</v>
      </c>
      <c r="J413" s="194">
        <f>IF(_1_54128456121462410464578910174567[[#This Row],[Type]]&gt;0,VLOOKUP(_1_54128456121462410464578910174567[[#This Row],[Type]],Main[[#All],[TYPE]:[UNIT]],'Unit Price'!H$1,FALSE),0)</f>
        <v>0</v>
      </c>
      <c r="K413" s="194">
        <f>IF(_1_54128456121462410464578910174567[[#This Row],[Discount selection]]&gt;0,VLOOKUP(_1_54128456121462410464578910174567[[#This Row],[Discount selection]],'Discount Structure'!$A$2:$B$30,2,"false"),0)</f>
        <v>1</v>
      </c>
      <c r="L413" s="194">
        <f>_1_54128456121462410464578910174567[[#This Row],[LIST $]]*_1_54128456121462410464578910174567[[#This Row],[DISCOUNT]]*_1_54128456121462410464578910174567[[#This Row],[DISCOUNT 2]]</f>
        <v>0</v>
      </c>
      <c r="M413" s="194">
        <f>IF(OR(_1_54128456121462410464578910174567[[#This Row],[UNIT]]&gt;0,_1_54128456121462410464578910174567[[#This Row],[UNIT]]&lt;0),_1_54128456121462410464578910174567[[#This Row],[UNIT]]*_1_54128456121462410464578910174567[[#This Row],[COST]],0)</f>
        <v>0</v>
      </c>
      <c r="N413" s="194">
        <f t="shared" si="6"/>
        <v>1.3</v>
      </c>
      <c r="O413" s="198">
        <f>_1_54128456121462410464578910174567[[#This Row],[TOTAL]]*_1_54128456121462410464578910174567[[#This Row],[MARGIN]]</f>
        <v>0</v>
      </c>
      <c r="R413" s="41"/>
    </row>
    <row r="414" spans="1:18">
      <c r="D414" s="188"/>
      <c r="F414" s="168" t="s">
        <v>6202</v>
      </c>
      <c r="G414" s="193">
        <f>IF(_1_54128456121462410464578910174567[[#This Row],[Type]]&gt;0,VLOOKUP(_1_54128456121462410464578910174567[[#This Row],[Type]],Main[[#All],[TYPE]:[UNIT]],'Unit Price'!C$1,FALSE),0)</f>
        <v>0</v>
      </c>
      <c r="H414" s="197">
        <f>IF(_1_54128456121462410464578910174567[[#This Row],[Type]]&gt;0,VLOOKUP(_1_54128456121462410464578910174567[[#This Row],[Type]],Main[[#All],[TYPE]:[UNIT]],'Unit Price'!D$1,FALSE),0)</f>
        <v>0</v>
      </c>
      <c r="I414" s="194">
        <f>IF(_1_54128456121462410464578910174567[[#This Row],[Type]]&gt;0,VLOOKUP(_1_54128456121462410464578910174567[[#This Row],[Type]],Main[[#All],[TYPE]:[UNIT]],'Unit Price'!G$1,FALSE),0)</f>
        <v>0</v>
      </c>
      <c r="J414" s="194">
        <f>IF(_1_54128456121462410464578910174567[[#This Row],[Type]]&gt;0,VLOOKUP(_1_54128456121462410464578910174567[[#This Row],[Type]],Main[[#All],[TYPE]:[UNIT]],'Unit Price'!H$1,FALSE),0)</f>
        <v>0</v>
      </c>
      <c r="K414" s="194">
        <f>IF(_1_54128456121462410464578910174567[[#This Row],[Discount selection]]&gt;0,VLOOKUP(_1_54128456121462410464578910174567[[#This Row],[Discount selection]],'Discount Structure'!$A$2:$B$30,2,"false"),0)</f>
        <v>1</v>
      </c>
      <c r="L414" s="194">
        <f>_1_54128456121462410464578910174567[[#This Row],[LIST $]]*_1_54128456121462410464578910174567[[#This Row],[DISCOUNT]]*_1_54128456121462410464578910174567[[#This Row],[DISCOUNT 2]]</f>
        <v>0</v>
      </c>
      <c r="M414" s="194">
        <f>IF(OR(_1_54128456121462410464578910174567[[#This Row],[UNIT]]&gt;0,_1_54128456121462410464578910174567[[#This Row],[UNIT]]&lt;0),_1_54128456121462410464578910174567[[#This Row],[UNIT]]*_1_54128456121462410464578910174567[[#This Row],[COST]],0)</f>
        <v>0</v>
      </c>
      <c r="N414" s="194">
        <f t="shared" si="6"/>
        <v>1.3</v>
      </c>
      <c r="O414" s="198">
        <f>_1_54128456121462410464578910174567[[#This Row],[TOTAL]]*_1_54128456121462410464578910174567[[#This Row],[MARGIN]]</f>
        <v>0</v>
      </c>
      <c r="R414" s="41"/>
    </row>
    <row r="415" spans="1:18">
      <c r="D415" s="188"/>
      <c r="F415" s="168" t="s">
        <v>6202</v>
      </c>
      <c r="G415" s="193">
        <f>IF(_1_54128456121462410464578910174567[[#This Row],[Type]]&gt;0,VLOOKUP(_1_54128456121462410464578910174567[[#This Row],[Type]],Main[[#All],[TYPE]:[UNIT]],'Unit Price'!C$1,FALSE),0)</f>
        <v>0</v>
      </c>
      <c r="H415" s="197">
        <f>IF(_1_54128456121462410464578910174567[[#This Row],[Type]]&gt;0,VLOOKUP(_1_54128456121462410464578910174567[[#This Row],[Type]],Main[[#All],[TYPE]:[UNIT]],'Unit Price'!D$1,FALSE),0)</f>
        <v>0</v>
      </c>
      <c r="I415" s="194">
        <f>IF(_1_54128456121462410464578910174567[[#This Row],[Type]]&gt;0,VLOOKUP(_1_54128456121462410464578910174567[[#This Row],[Type]],Main[[#All],[TYPE]:[UNIT]],'Unit Price'!G$1,FALSE),0)</f>
        <v>0</v>
      </c>
      <c r="J415" s="194">
        <f>IF(_1_54128456121462410464578910174567[[#This Row],[Type]]&gt;0,VLOOKUP(_1_54128456121462410464578910174567[[#This Row],[Type]],Main[[#All],[TYPE]:[UNIT]],'Unit Price'!H$1,FALSE),0)</f>
        <v>0</v>
      </c>
      <c r="K415" s="194">
        <f>IF(_1_54128456121462410464578910174567[[#This Row],[Discount selection]]&gt;0,VLOOKUP(_1_54128456121462410464578910174567[[#This Row],[Discount selection]],'Discount Structure'!$A$2:$B$30,2,"false"),0)</f>
        <v>1</v>
      </c>
      <c r="L415" s="194">
        <f>_1_54128456121462410464578910174567[[#This Row],[LIST $]]*_1_54128456121462410464578910174567[[#This Row],[DISCOUNT]]*_1_54128456121462410464578910174567[[#This Row],[DISCOUNT 2]]</f>
        <v>0</v>
      </c>
      <c r="M415" s="194">
        <f>IF(OR(_1_54128456121462410464578910174567[[#This Row],[UNIT]]&gt;0,_1_54128456121462410464578910174567[[#This Row],[UNIT]]&lt;0),_1_54128456121462410464578910174567[[#This Row],[UNIT]]*_1_54128456121462410464578910174567[[#This Row],[COST]],0)</f>
        <v>0</v>
      </c>
      <c r="N415" s="194">
        <f t="shared" si="6"/>
        <v>1.3</v>
      </c>
      <c r="O415" s="198">
        <f>_1_54128456121462410464578910174567[[#This Row],[TOTAL]]*_1_54128456121462410464578910174567[[#This Row],[MARGIN]]</f>
        <v>0</v>
      </c>
      <c r="R415" s="41"/>
    </row>
    <row r="416" spans="1:18">
      <c r="D416" s="188"/>
      <c r="F416" s="168" t="s">
        <v>6202</v>
      </c>
      <c r="G416" s="193">
        <f>IF(_1_54128456121462410464578910174567[[#This Row],[Type]]&gt;0,VLOOKUP(_1_54128456121462410464578910174567[[#This Row],[Type]],Main[[#All],[TYPE]:[UNIT]],'Unit Price'!C$1,FALSE),0)</f>
        <v>0</v>
      </c>
      <c r="H416" s="197">
        <f>IF(_1_54128456121462410464578910174567[[#This Row],[Type]]&gt;0,VLOOKUP(_1_54128456121462410464578910174567[[#This Row],[Type]],Main[[#All],[TYPE]:[UNIT]],'Unit Price'!D$1,FALSE),0)</f>
        <v>0</v>
      </c>
      <c r="I416" s="194">
        <f>IF(_1_54128456121462410464578910174567[[#This Row],[Type]]&gt;0,VLOOKUP(_1_54128456121462410464578910174567[[#This Row],[Type]],Main[[#All],[TYPE]:[UNIT]],'Unit Price'!G$1,FALSE),0)</f>
        <v>0</v>
      </c>
      <c r="J416" s="194">
        <f>IF(_1_54128456121462410464578910174567[[#This Row],[Type]]&gt;0,VLOOKUP(_1_54128456121462410464578910174567[[#This Row],[Type]],Main[[#All],[TYPE]:[UNIT]],'Unit Price'!H$1,FALSE),0)</f>
        <v>0</v>
      </c>
      <c r="K416" s="194">
        <f>IF(_1_54128456121462410464578910174567[[#This Row],[Discount selection]]&gt;0,VLOOKUP(_1_54128456121462410464578910174567[[#This Row],[Discount selection]],'Discount Structure'!$A$2:$B$30,2,"false"),0)</f>
        <v>1</v>
      </c>
      <c r="L416" s="194">
        <f>_1_54128456121462410464578910174567[[#This Row],[LIST $]]*_1_54128456121462410464578910174567[[#This Row],[DISCOUNT]]*_1_54128456121462410464578910174567[[#This Row],[DISCOUNT 2]]</f>
        <v>0</v>
      </c>
      <c r="M416" s="194">
        <f>IF(OR(_1_54128456121462410464578910174567[[#This Row],[UNIT]]&gt;0,_1_54128456121462410464578910174567[[#This Row],[UNIT]]&lt;0),_1_54128456121462410464578910174567[[#This Row],[UNIT]]*_1_54128456121462410464578910174567[[#This Row],[COST]],0)</f>
        <v>0</v>
      </c>
      <c r="N416" s="194">
        <f t="shared" si="6"/>
        <v>1.3</v>
      </c>
      <c r="O416" s="198">
        <f>_1_54128456121462410464578910174567[[#This Row],[TOTAL]]*_1_54128456121462410464578910174567[[#This Row],[MARGIN]]</f>
        <v>0</v>
      </c>
      <c r="R416" s="41"/>
    </row>
    <row r="417" spans="1:18">
      <c r="D417" s="188"/>
      <c r="F417" s="168" t="s">
        <v>6202</v>
      </c>
      <c r="G417" s="192">
        <f>IF(_1_54128456121462410464578910174567[[#This Row],[Type]]&gt;0,VLOOKUP(_1_54128456121462410464578910174567[[#This Row],[Type]],Main[[#All],[TYPE]:[UNIT]],'Unit Price'!C$1,FALSE),0)</f>
        <v>0</v>
      </c>
      <c r="H417" s="197">
        <f>IF(_1_54128456121462410464578910174567[[#This Row],[Type]]&gt;0,VLOOKUP(_1_54128456121462410464578910174567[[#This Row],[Type]],Main[[#All],[TYPE]:[UNIT]],'Unit Price'!D$1,FALSE),0)</f>
        <v>0</v>
      </c>
      <c r="I417" s="194">
        <f>IF(_1_54128456121462410464578910174567[[#This Row],[Type]]&gt;0,VLOOKUP(_1_54128456121462410464578910174567[[#This Row],[Type]],Main[[#All],[TYPE]:[UNIT]],'Unit Price'!G$1,FALSE),0)</f>
        <v>0</v>
      </c>
      <c r="J417" s="194">
        <f>IF(_1_54128456121462410464578910174567[[#This Row],[Type]]&gt;0,VLOOKUP(_1_54128456121462410464578910174567[[#This Row],[Type]],Main[[#All],[TYPE]:[UNIT]],'Unit Price'!H$1,FALSE),0)</f>
        <v>0</v>
      </c>
      <c r="K417" s="194">
        <f>IF(_1_54128456121462410464578910174567[[#This Row],[Discount selection]]&gt;0,VLOOKUP(_1_54128456121462410464578910174567[[#This Row],[Discount selection]],'Discount Structure'!$A$2:$B$30,2,"false"),0)</f>
        <v>1</v>
      </c>
      <c r="L417" s="194">
        <f>_1_54128456121462410464578910174567[[#This Row],[LIST $]]*_1_54128456121462410464578910174567[[#This Row],[DISCOUNT]]*_1_54128456121462410464578910174567[[#This Row],[DISCOUNT 2]]</f>
        <v>0</v>
      </c>
      <c r="M417" s="194">
        <f>IF(OR(_1_54128456121462410464578910174567[[#This Row],[UNIT]]&gt;0,_1_54128456121462410464578910174567[[#This Row],[UNIT]]&lt;0),_1_54128456121462410464578910174567[[#This Row],[UNIT]]*_1_54128456121462410464578910174567[[#This Row],[COST]],0)</f>
        <v>0</v>
      </c>
      <c r="N417" s="194">
        <f t="shared" si="6"/>
        <v>1.3</v>
      </c>
      <c r="O417" s="198">
        <f>_1_54128456121462410464578910174567[[#This Row],[TOTAL]]*_1_54128456121462410464578910174567[[#This Row],[MARGIN]]</f>
        <v>0</v>
      </c>
      <c r="R417" s="41"/>
    </row>
    <row r="418" spans="1:18">
      <c r="D418" s="188"/>
      <c r="F418" s="168" t="s">
        <v>6202</v>
      </c>
      <c r="G418" s="193">
        <f>IF(_1_54128456121462410464578910174567[[#This Row],[Type]]&gt;0,VLOOKUP(_1_54128456121462410464578910174567[[#This Row],[Type]],Main[[#All],[TYPE]:[UNIT]],'Unit Price'!C$1,FALSE),0)</f>
        <v>0</v>
      </c>
      <c r="H418" s="197">
        <f>IF(_1_54128456121462410464578910174567[[#This Row],[Type]]&gt;0,VLOOKUP(_1_54128456121462410464578910174567[[#This Row],[Type]],Main[[#All],[TYPE]:[UNIT]],'Unit Price'!D$1,FALSE),0)</f>
        <v>0</v>
      </c>
      <c r="I418" s="194">
        <f>IF(_1_54128456121462410464578910174567[[#This Row],[Type]]&gt;0,VLOOKUP(_1_54128456121462410464578910174567[[#This Row],[Type]],Main[[#All],[TYPE]:[UNIT]],'Unit Price'!G$1,FALSE),0)</f>
        <v>0</v>
      </c>
      <c r="J418" s="194">
        <f>IF(_1_54128456121462410464578910174567[[#This Row],[Type]]&gt;0,VLOOKUP(_1_54128456121462410464578910174567[[#This Row],[Type]],Main[[#All],[TYPE]:[UNIT]],'Unit Price'!H$1,FALSE),0)</f>
        <v>0</v>
      </c>
      <c r="K418" s="194">
        <f>IF(_1_54128456121462410464578910174567[[#This Row],[Discount selection]]&gt;0,VLOOKUP(_1_54128456121462410464578910174567[[#This Row],[Discount selection]],'Discount Structure'!$A$2:$B$30,2,"false"),0)</f>
        <v>1</v>
      </c>
      <c r="L418" s="194">
        <f>_1_54128456121462410464578910174567[[#This Row],[LIST $]]*_1_54128456121462410464578910174567[[#This Row],[DISCOUNT]]*_1_54128456121462410464578910174567[[#This Row],[DISCOUNT 2]]</f>
        <v>0</v>
      </c>
      <c r="M418" s="194">
        <f>IF(OR(_1_54128456121462410464578910174567[[#This Row],[UNIT]]&gt;0,_1_54128456121462410464578910174567[[#This Row],[UNIT]]&lt;0),_1_54128456121462410464578910174567[[#This Row],[UNIT]]*_1_54128456121462410464578910174567[[#This Row],[COST]],0)</f>
        <v>0</v>
      </c>
      <c r="N418" s="194">
        <f t="shared" si="6"/>
        <v>1.3</v>
      </c>
      <c r="O418" s="198">
        <f>_1_54128456121462410464578910174567[[#This Row],[TOTAL]]*_1_54128456121462410464578910174567[[#This Row],[MARGIN]]</f>
        <v>0</v>
      </c>
      <c r="R418" s="41"/>
    </row>
    <row r="419" spans="1:18">
      <c r="D419" s="188"/>
      <c r="F419" s="168" t="s">
        <v>6202</v>
      </c>
      <c r="G419" s="193">
        <f>IF(_1_54128456121462410464578910174567[[#This Row],[Type]]&gt;0,VLOOKUP(_1_54128456121462410464578910174567[[#This Row],[Type]],Main[[#All],[TYPE]:[UNIT]],'Unit Price'!C$1,FALSE),0)</f>
        <v>0</v>
      </c>
      <c r="H419" s="197">
        <f>IF(_1_54128456121462410464578910174567[[#This Row],[Type]]&gt;0,VLOOKUP(_1_54128456121462410464578910174567[[#This Row],[Type]],Main[[#All],[TYPE]:[UNIT]],'Unit Price'!D$1,FALSE),0)</f>
        <v>0</v>
      </c>
      <c r="I419" s="194">
        <f>IF(_1_54128456121462410464578910174567[[#This Row],[Type]]&gt;0,VLOOKUP(_1_54128456121462410464578910174567[[#This Row],[Type]],Main[[#All],[TYPE]:[UNIT]],'Unit Price'!G$1,FALSE),0)</f>
        <v>0</v>
      </c>
      <c r="J419" s="194">
        <f>IF(_1_54128456121462410464578910174567[[#This Row],[Type]]&gt;0,VLOOKUP(_1_54128456121462410464578910174567[[#This Row],[Type]],Main[[#All],[TYPE]:[UNIT]],'Unit Price'!H$1,FALSE),0)</f>
        <v>0</v>
      </c>
      <c r="K419" s="194">
        <f>IF(_1_54128456121462410464578910174567[[#This Row],[Discount selection]]&gt;0,VLOOKUP(_1_54128456121462410464578910174567[[#This Row],[Discount selection]],'Discount Structure'!$A$2:$B$30,2,"false"),0)</f>
        <v>1</v>
      </c>
      <c r="L419" s="194">
        <f>_1_54128456121462410464578910174567[[#This Row],[LIST $]]*_1_54128456121462410464578910174567[[#This Row],[DISCOUNT]]*_1_54128456121462410464578910174567[[#This Row],[DISCOUNT 2]]</f>
        <v>0</v>
      </c>
      <c r="M419" s="194">
        <f>IF(OR(_1_54128456121462410464578910174567[[#This Row],[UNIT]]&gt;0,_1_54128456121462410464578910174567[[#This Row],[UNIT]]&lt;0),_1_54128456121462410464578910174567[[#This Row],[UNIT]]*_1_54128456121462410464578910174567[[#This Row],[COST]],0)</f>
        <v>0</v>
      </c>
      <c r="N419" s="194">
        <f t="shared" si="6"/>
        <v>1.3</v>
      </c>
      <c r="O419" s="198">
        <f>_1_54128456121462410464578910174567[[#This Row],[TOTAL]]*_1_54128456121462410464578910174567[[#This Row],[MARGIN]]</f>
        <v>0</v>
      </c>
      <c r="R419" s="41"/>
    </row>
    <row r="420" spans="1:18">
      <c r="D420" s="188"/>
      <c r="F420" s="168" t="s">
        <v>6202</v>
      </c>
      <c r="G420" s="193">
        <f>IF(_1_54128456121462410464578910174567[[#This Row],[Type]]&gt;0,VLOOKUP(_1_54128456121462410464578910174567[[#This Row],[Type]],Main[[#All],[TYPE]:[UNIT]],'Unit Price'!C$1,FALSE),0)</f>
        <v>0</v>
      </c>
      <c r="H420" s="197">
        <f>IF(_1_54128456121462410464578910174567[[#This Row],[Type]]&gt;0,VLOOKUP(_1_54128456121462410464578910174567[[#This Row],[Type]],Main[[#All],[TYPE]:[UNIT]],'Unit Price'!D$1,FALSE),0)</f>
        <v>0</v>
      </c>
      <c r="I420" s="194">
        <f>IF(_1_54128456121462410464578910174567[[#This Row],[Type]]&gt;0,VLOOKUP(_1_54128456121462410464578910174567[[#This Row],[Type]],Main[[#All],[TYPE]:[UNIT]],'Unit Price'!G$1,FALSE),0)</f>
        <v>0</v>
      </c>
      <c r="J420" s="194">
        <f>IF(_1_54128456121462410464578910174567[[#This Row],[Type]]&gt;0,VLOOKUP(_1_54128456121462410464578910174567[[#This Row],[Type]],Main[[#All],[TYPE]:[UNIT]],'Unit Price'!H$1,FALSE),0)</f>
        <v>0</v>
      </c>
      <c r="K420" s="194">
        <f>IF(_1_54128456121462410464578910174567[[#This Row],[Discount selection]]&gt;0,VLOOKUP(_1_54128456121462410464578910174567[[#This Row],[Discount selection]],'Discount Structure'!$A$2:$B$30,2,"false"),0)</f>
        <v>1</v>
      </c>
      <c r="L420" s="194">
        <f>_1_54128456121462410464578910174567[[#This Row],[LIST $]]*_1_54128456121462410464578910174567[[#This Row],[DISCOUNT]]*_1_54128456121462410464578910174567[[#This Row],[DISCOUNT 2]]</f>
        <v>0</v>
      </c>
      <c r="M420" s="194">
        <f>IF(OR(_1_54128456121462410464578910174567[[#This Row],[UNIT]]&gt;0,_1_54128456121462410464578910174567[[#This Row],[UNIT]]&lt;0),_1_54128456121462410464578910174567[[#This Row],[UNIT]]*_1_54128456121462410464578910174567[[#This Row],[COST]],0)</f>
        <v>0</v>
      </c>
      <c r="N420" s="194">
        <f t="shared" si="6"/>
        <v>1.3</v>
      </c>
      <c r="O420" s="198">
        <f>_1_54128456121462410464578910174567[[#This Row],[TOTAL]]*_1_54128456121462410464578910174567[[#This Row],[MARGIN]]</f>
        <v>0</v>
      </c>
      <c r="R420" s="41"/>
    </row>
    <row r="421" spans="1:18">
      <c r="D421" s="188"/>
      <c r="F421" s="168" t="s">
        <v>6202</v>
      </c>
      <c r="G421" s="193">
        <f>IF(_1_54128456121462410464578910174567[[#This Row],[Type]]&gt;0,VLOOKUP(_1_54128456121462410464578910174567[[#This Row],[Type]],Main[[#All],[TYPE]:[UNIT]],'Unit Price'!C$1,FALSE),0)</f>
        <v>0</v>
      </c>
      <c r="H421" s="197">
        <f>IF(_1_54128456121462410464578910174567[[#This Row],[Type]]&gt;0,VLOOKUP(_1_54128456121462410464578910174567[[#This Row],[Type]],Main[[#All],[TYPE]:[UNIT]],'Unit Price'!D$1,FALSE),0)</f>
        <v>0</v>
      </c>
      <c r="I421" s="194">
        <f>IF(_1_54128456121462410464578910174567[[#This Row],[Type]]&gt;0,VLOOKUP(_1_54128456121462410464578910174567[[#This Row],[Type]],Main[[#All],[TYPE]:[UNIT]],'Unit Price'!G$1,FALSE),0)</f>
        <v>0</v>
      </c>
      <c r="J421" s="194">
        <f>IF(_1_54128456121462410464578910174567[[#This Row],[Type]]&gt;0,VLOOKUP(_1_54128456121462410464578910174567[[#This Row],[Type]],Main[[#All],[TYPE]:[UNIT]],'Unit Price'!H$1,FALSE),0)</f>
        <v>0</v>
      </c>
      <c r="K421" s="194">
        <f>IF(_1_54128456121462410464578910174567[[#This Row],[Discount selection]]&gt;0,VLOOKUP(_1_54128456121462410464578910174567[[#This Row],[Discount selection]],'Discount Structure'!$A$2:$B$30,2,"false"),0)</f>
        <v>1</v>
      </c>
      <c r="L421" s="194">
        <f>_1_54128456121462410464578910174567[[#This Row],[LIST $]]*_1_54128456121462410464578910174567[[#This Row],[DISCOUNT]]*_1_54128456121462410464578910174567[[#This Row],[DISCOUNT 2]]</f>
        <v>0</v>
      </c>
      <c r="M421" s="194">
        <f>IF(OR(_1_54128456121462410464578910174567[[#This Row],[UNIT]]&gt;0,_1_54128456121462410464578910174567[[#This Row],[UNIT]]&lt;0),_1_54128456121462410464578910174567[[#This Row],[UNIT]]*_1_54128456121462410464578910174567[[#This Row],[COST]],0)</f>
        <v>0</v>
      </c>
      <c r="N421" s="194">
        <f t="shared" si="6"/>
        <v>1.3</v>
      </c>
      <c r="O421" s="198">
        <f>_1_54128456121462410464578910174567[[#This Row],[TOTAL]]*_1_54128456121462410464578910174567[[#This Row],[MARGIN]]</f>
        <v>0</v>
      </c>
      <c r="R421" s="41"/>
    </row>
    <row r="422" spans="1:18">
      <c r="D422" s="188"/>
      <c r="F422" s="168" t="s">
        <v>6202</v>
      </c>
      <c r="G422" s="192">
        <f>IF(_1_54128456121462410464578910174567[[#This Row],[Type]]&gt;0,VLOOKUP(_1_54128456121462410464578910174567[[#This Row],[Type]],Main[[#All],[TYPE]:[UNIT]],'Unit Price'!C$1,FALSE),0)</f>
        <v>0</v>
      </c>
      <c r="H422" s="197">
        <f>IF(_1_54128456121462410464578910174567[[#This Row],[Type]]&gt;0,VLOOKUP(_1_54128456121462410464578910174567[[#This Row],[Type]],Main[[#All],[TYPE]:[UNIT]],'Unit Price'!D$1,FALSE),0)</f>
        <v>0</v>
      </c>
      <c r="I422" s="194">
        <f>IF(_1_54128456121462410464578910174567[[#This Row],[Type]]&gt;0,VLOOKUP(_1_54128456121462410464578910174567[[#This Row],[Type]],Main[[#All],[TYPE]:[UNIT]],'Unit Price'!G$1,FALSE),0)</f>
        <v>0</v>
      </c>
      <c r="J422" s="194">
        <f>IF(_1_54128456121462410464578910174567[[#This Row],[Type]]&gt;0,VLOOKUP(_1_54128456121462410464578910174567[[#This Row],[Type]],Main[[#All],[TYPE]:[UNIT]],'Unit Price'!H$1,FALSE),0)</f>
        <v>0</v>
      </c>
      <c r="K422" s="194">
        <f>IF(_1_54128456121462410464578910174567[[#This Row],[Discount selection]]&gt;0,VLOOKUP(_1_54128456121462410464578910174567[[#This Row],[Discount selection]],'Discount Structure'!$A$2:$B$30,2,"false"),0)</f>
        <v>1</v>
      </c>
      <c r="L422" s="194">
        <f>_1_54128456121462410464578910174567[[#This Row],[LIST $]]*_1_54128456121462410464578910174567[[#This Row],[DISCOUNT]]*_1_54128456121462410464578910174567[[#This Row],[DISCOUNT 2]]</f>
        <v>0</v>
      </c>
      <c r="M422" s="194">
        <f>IF(OR(_1_54128456121462410464578910174567[[#This Row],[UNIT]]&gt;0,_1_54128456121462410464578910174567[[#This Row],[UNIT]]&lt;0),_1_54128456121462410464578910174567[[#This Row],[UNIT]]*_1_54128456121462410464578910174567[[#This Row],[COST]],0)</f>
        <v>0</v>
      </c>
      <c r="N422" s="194">
        <f t="shared" si="6"/>
        <v>1.3</v>
      </c>
      <c r="O422" s="198">
        <f>_1_54128456121462410464578910174567[[#This Row],[TOTAL]]*_1_54128456121462410464578910174567[[#This Row],[MARGIN]]</f>
        <v>0</v>
      </c>
      <c r="R422" s="41"/>
    </row>
    <row r="423" spans="1:18">
      <c r="D423" s="188"/>
      <c r="F423" s="168" t="s">
        <v>6202</v>
      </c>
      <c r="G423" s="193">
        <f>IF(_1_54128456121462410464578910174567[[#This Row],[Type]]&gt;0,VLOOKUP(_1_54128456121462410464578910174567[[#This Row],[Type]],Main[[#All],[TYPE]:[UNIT]],'Unit Price'!C$1,FALSE),0)</f>
        <v>0</v>
      </c>
      <c r="H423" s="197">
        <f>IF(_1_54128456121462410464578910174567[[#This Row],[Type]]&gt;0,VLOOKUP(_1_54128456121462410464578910174567[[#This Row],[Type]],Main[[#All],[TYPE]:[UNIT]],'Unit Price'!D$1,FALSE),0)</f>
        <v>0</v>
      </c>
      <c r="I423" s="194">
        <f>IF(_1_54128456121462410464578910174567[[#This Row],[Type]]&gt;0,VLOOKUP(_1_54128456121462410464578910174567[[#This Row],[Type]],Main[[#All],[TYPE]:[UNIT]],'Unit Price'!G$1,FALSE),0)</f>
        <v>0</v>
      </c>
      <c r="J423" s="194">
        <f>IF(_1_54128456121462410464578910174567[[#This Row],[Type]]&gt;0,VLOOKUP(_1_54128456121462410464578910174567[[#This Row],[Type]],Main[[#All],[TYPE]:[UNIT]],'Unit Price'!H$1,FALSE),0)</f>
        <v>0</v>
      </c>
      <c r="K423" s="194">
        <f>IF(_1_54128456121462410464578910174567[[#This Row],[Discount selection]]&gt;0,VLOOKUP(_1_54128456121462410464578910174567[[#This Row],[Discount selection]],'Discount Structure'!$A$2:$B$30,2,"false"),0)</f>
        <v>1</v>
      </c>
      <c r="L423" s="194">
        <f>_1_54128456121462410464578910174567[[#This Row],[LIST $]]*_1_54128456121462410464578910174567[[#This Row],[DISCOUNT]]*_1_54128456121462410464578910174567[[#This Row],[DISCOUNT 2]]</f>
        <v>0</v>
      </c>
      <c r="M423" s="194">
        <f>IF(OR(_1_54128456121462410464578910174567[[#This Row],[UNIT]]&gt;0,_1_54128456121462410464578910174567[[#This Row],[UNIT]]&lt;0),_1_54128456121462410464578910174567[[#This Row],[UNIT]]*_1_54128456121462410464578910174567[[#This Row],[COST]],0)</f>
        <v>0</v>
      </c>
      <c r="N423" s="194">
        <f t="shared" si="6"/>
        <v>1.3</v>
      </c>
      <c r="O423" s="198">
        <f>_1_54128456121462410464578910174567[[#This Row],[TOTAL]]*_1_54128456121462410464578910174567[[#This Row],[MARGIN]]</f>
        <v>0</v>
      </c>
      <c r="R423" s="41"/>
    </row>
    <row r="424" spans="1:18">
      <c r="A424" s="168"/>
      <c r="D424" s="188"/>
      <c r="F424" s="168" t="s">
        <v>6202</v>
      </c>
      <c r="G424" s="193">
        <f>IF(_1_54128456121462410464578910174567[[#This Row],[Type]]&gt;0,VLOOKUP(_1_54128456121462410464578910174567[[#This Row],[Type]],Main[[#All],[TYPE]:[UNIT]],'Unit Price'!C$1,FALSE),0)</f>
        <v>0</v>
      </c>
      <c r="H424" s="197">
        <f>IF(_1_54128456121462410464578910174567[[#This Row],[Type]]&gt;0,VLOOKUP(_1_54128456121462410464578910174567[[#This Row],[Type]],Main[[#All],[TYPE]:[UNIT]],'Unit Price'!D$1,FALSE),0)</f>
        <v>0</v>
      </c>
      <c r="I424" s="194">
        <f>IF(_1_54128456121462410464578910174567[[#This Row],[Type]]&gt;0,VLOOKUP(_1_54128456121462410464578910174567[[#This Row],[Type]],Main[[#All],[TYPE]:[UNIT]],'Unit Price'!G$1,FALSE),0)</f>
        <v>0</v>
      </c>
      <c r="J424" s="194">
        <f>IF(_1_54128456121462410464578910174567[[#This Row],[Type]]&gt;0,VLOOKUP(_1_54128456121462410464578910174567[[#This Row],[Type]],Main[[#All],[TYPE]:[UNIT]],'Unit Price'!H$1,FALSE),0)</f>
        <v>0</v>
      </c>
      <c r="K424" s="194">
        <f>IF(_1_54128456121462410464578910174567[[#This Row],[Discount selection]]&gt;0,VLOOKUP(_1_54128456121462410464578910174567[[#This Row],[Discount selection]],'Discount Structure'!$A$2:$B$30,2,"false"),0)</f>
        <v>1</v>
      </c>
      <c r="L424" s="194">
        <f>_1_54128456121462410464578910174567[[#This Row],[LIST $]]*_1_54128456121462410464578910174567[[#This Row],[DISCOUNT]]*_1_54128456121462410464578910174567[[#This Row],[DISCOUNT 2]]</f>
        <v>0</v>
      </c>
      <c r="M424" s="194">
        <f>IF(OR(_1_54128456121462410464578910174567[[#This Row],[UNIT]]&gt;0,_1_54128456121462410464578910174567[[#This Row],[UNIT]]&lt;0),_1_54128456121462410464578910174567[[#This Row],[UNIT]]*_1_54128456121462410464578910174567[[#This Row],[COST]],0)</f>
        <v>0</v>
      </c>
      <c r="N424" s="194">
        <f t="shared" si="6"/>
        <v>1.3</v>
      </c>
      <c r="O424" s="198">
        <f>_1_54128456121462410464578910174567[[#This Row],[TOTAL]]*_1_54128456121462410464578910174567[[#This Row],[MARGIN]]</f>
        <v>0</v>
      </c>
      <c r="R424" s="41"/>
    </row>
    <row r="425" spans="1:18">
      <c r="D425" s="188"/>
      <c r="F425" s="168" t="s">
        <v>6202</v>
      </c>
      <c r="G425" s="193">
        <f>IF(_1_54128456121462410464578910174567[[#This Row],[Type]]&gt;0,VLOOKUP(_1_54128456121462410464578910174567[[#This Row],[Type]],Main[[#All],[TYPE]:[UNIT]],'Unit Price'!C$1,FALSE),0)</f>
        <v>0</v>
      </c>
      <c r="H425" s="197">
        <f>IF(_1_54128456121462410464578910174567[[#This Row],[Type]]&gt;0,VLOOKUP(_1_54128456121462410464578910174567[[#This Row],[Type]],Main[[#All],[TYPE]:[UNIT]],'Unit Price'!D$1,FALSE),0)</f>
        <v>0</v>
      </c>
      <c r="I425" s="194">
        <f>IF(_1_54128456121462410464578910174567[[#This Row],[Type]]&gt;0,VLOOKUP(_1_54128456121462410464578910174567[[#This Row],[Type]],Main[[#All],[TYPE]:[UNIT]],'Unit Price'!G$1,FALSE),0)</f>
        <v>0</v>
      </c>
      <c r="J425" s="194">
        <f>IF(_1_54128456121462410464578910174567[[#This Row],[Type]]&gt;0,VLOOKUP(_1_54128456121462410464578910174567[[#This Row],[Type]],Main[[#All],[TYPE]:[UNIT]],'Unit Price'!H$1,FALSE),0)</f>
        <v>0</v>
      </c>
      <c r="K425" s="194">
        <f>IF(_1_54128456121462410464578910174567[[#This Row],[Discount selection]]&gt;0,VLOOKUP(_1_54128456121462410464578910174567[[#This Row],[Discount selection]],'Discount Structure'!$A$2:$B$30,2,"false"),0)</f>
        <v>1</v>
      </c>
      <c r="L425" s="194">
        <f>_1_54128456121462410464578910174567[[#This Row],[LIST $]]*_1_54128456121462410464578910174567[[#This Row],[DISCOUNT]]*_1_54128456121462410464578910174567[[#This Row],[DISCOUNT 2]]</f>
        <v>0</v>
      </c>
      <c r="M425" s="194">
        <f>IF(OR(_1_54128456121462410464578910174567[[#This Row],[UNIT]]&gt;0,_1_54128456121462410464578910174567[[#This Row],[UNIT]]&lt;0),_1_54128456121462410464578910174567[[#This Row],[UNIT]]*_1_54128456121462410464578910174567[[#This Row],[COST]],0)</f>
        <v>0</v>
      </c>
      <c r="N425" s="194">
        <f t="shared" si="6"/>
        <v>1.3</v>
      </c>
      <c r="O425" s="198">
        <f>_1_54128456121462410464578910174567[[#This Row],[TOTAL]]*_1_54128456121462410464578910174567[[#This Row],[MARGIN]]</f>
        <v>0</v>
      </c>
      <c r="R425" s="41"/>
    </row>
    <row r="426" spans="1:18">
      <c r="D426" s="188"/>
      <c r="F426" s="168" t="s">
        <v>6202</v>
      </c>
      <c r="G426" s="193">
        <f>IF(_1_54128456121462410464578910174567[[#This Row],[Type]]&gt;0,VLOOKUP(_1_54128456121462410464578910174567[[#This Row],[Type]],Main[[#All],[TYPE]:[UNIT]],'Unit Price'!C$1,FALSE),0)</f>
        <v>0</v>
      </c>
      <c r="H426" s="197">
        <f>IF(_1_54128456121462410464578910174567[[#This Row],[Type]]&gt;0,VLOOKUP(_1_54128456121462410464578910174567[[#This Row],[Type]],Main[[#All],[TYPE]:[UNIT]],'Unit Price'!D$1,FALSE),0)</f>
        <v>0</v>
      </c>
      <c r="I426" s="194">
        <f>IF(_1_54128456121462410464578910174567[[#This Row],[Type]]&gt;0,VLOOKUP(_1_54128456121462410464578910174567[[#This Row],[Type]],Main[[#All],[TYPE]:[UNIT]],'Unit Price'!G$1,FALSE),0)</f>
        <v>0</v>
      </c>
      <c r="J426" s="194">
        <f>IF(_1_54128456121462410464578910174567[[#This Row],[Type]]&gt;0,VLOOKUP(_1_54128456121462410464578910174567[[#This Row],[Type]],Main[[#All],[TYPE]:[UNIT]],'Unit Price'!H$1,FALSE),0)</f>
        <v>0</v>
      </c>
      <c r="K426" s="194">
        <f>IF(_1_54128456121462410464578910174567[[#This Row],[Discount selection]]&gt;0,VLOOKUP(_1_54128456121462410464578910174567[[#This Row],[Discount selection]],'Discount Structure'!$A$2:$B$30,2,"false"),0)</f>
        <v>1</v>
      </c>
      <c r="L426" s="194">
        <f>_1_54128456121462410464578910174567[[#This Row],[LIST $]]*_1_54128456121462410464578910174567[[#This Row],[DISCOUNT]]*_1_54128456121462410464578910174567[[#This Row],[DISCOUNT 2]]</f>
        <v>0</v>
      </c>
      <c r="M426" s="194">
        <f>IF(OR(_1_54128456121462410464578910174567[[#This Row],[UNIT]]&gt;0,_1_54128456121462410464578910174567[[#This Row],[UNIT]]&lt;0),_1_54128456121462410464578910174567[[#This Row],[UNIT]]*_1_54128456121462410464578910174567[[#This Row],[COST]],0)</f>
        <v>0</v>
      </c>
      <c r="N426" s="194">
        <f t="shared" si="6"/>
        <v>1.3</v>
      </c>
      <c r="O426" s="198">
        <f>_1_54128456121462410464578910174567[[#This Row],[TOTAL]]*_1_54128456121462410464578910174567[[#This Row],[MARGIN]]</f>
        <v>0</v>
      </c>
      <c r="R426" s="41"/>
    </row>
    <row r="427" spans="1:18">
      <c r="D427" s="188"/>
      <c r="F427" s="168" t="s">
        <v>6202</v>
      </c>
      <c r="G427" s="192">
        <f>IF(_1_54128456121462410464578910174567[[#This Row],[Type]]&gt;0,VLOOKUP(_1_54128456121462410464578910174567[[#This Row],[Type]],Main[[#All],[TYPE]:[UNIT]],'Unit Price'!C$1,FALSE),0)</f>
        <v>0</v>
      </c>
      <c r="H427" s="197">
        <f>IF(_1_54128456121462410464578910174567[[#This Row],[Type]]&gt;0,VLOOKUP(_1_54128456121462410464578910174567[[#This Row],[Type]],Main[[#All],[TYPE]:[UNIT]],'Unit Price'!D$1,FALSE),0)</f>
        <v>0</v>
      </c>
      <c r="I427" s="194">
        <f>IF(_1_54128456121462410464578910174567[[#This Row],[Type]]&gt;0,VLOOKUP(_1_54128456121462410464578910174567[[#This Row],[Type]],Main[[#All],[TYPE]:[UNIT]],'Unit Price'!G$1,FALSE),0)</f>
        <v>0</v>
      </c>
      <c r="J427" s="194">
        <f>IF(_1_54128456121462410464578910174567[[#This Row],[Type]]&gt;0,VLOOKUP(_1_54128456121462410464578910174567[[#This Row],[Type]],Main[[#All],[TYPE]:[UNIT]],'Unit Price'!H$1,FALSE),0)</f>
        <v>0</v>
      </c>
      <c r="K427" s="194">
        <f>IF(_1_54128456121462410464578910174567[[#This Row],[Discount selection]]&gt;0,VLOOKUP(_1_54128456121462410464578910174567[[#This Row],[Discount selection]],'Discount Structure'!$A$2:$B$30,2,"false"),0)</f>
        <v>1</v>
      </c>
      <c r="L427" s="194">
        <f>_1_54128456121462410464578910174567[[#This Row],[LIST $]]*_1_54128456121462410464578910174567[[#This Row],[DISCOUNT]]*_1_54128456121462410464578910174567[[#This Row],[DISCOUNT 2]]</f>
        <v>0</v>
      </c>
      <c r="M427" s="194">
        <f>IF(OR(_1_54128456121462410464578910174567[[#This Row],[UNIT]]&gt;0,_1_54128456121462410464578910174567[[#This Row],[UNIT]]&lt;0),_1_54128456121462410464578910174567[[#This Row],[UNIT]]*_1_54128456121462410464578910174567[[#This Row],[COST]],0)</f>
        <v>0</v>
      </c>
      <c r="N427" s="194">
        <f t="shared" si="6"/>
        <v>1.3</v>
      </c>
      <c r="O427" s="198">
        <f>_1_54128456121462410464578910174567[[#This Row],[TOTAL]]*_1_54128456121462410464578910174567[[#This Row],[MARGIN]]</f>
        <v>0</v>
      </c>
      <c r="R427" s="41"/>
    </row>
    <row r="428" spans="1:18">
      <c r="D428" s="188"/>
      <c r="F428" s="168" t="s">
        <v>6202</v>
      </c>
      <c r="G428" s="193">
        <f>IF(_1_54128456121462410464578910174567[[#This Row],[Type]]&gt;0,VLOOKUP(_1_54128456121462410464578910174567[[#This Row],[Type]],Main[[#All],[TYPE]:[UNIT]],'Unit Price'!C$1,FALSE),0)</f>
        <v>0</v>
      </c>
      <c r="H428" s="197">
        <f>IF(_1_54128456121462410464578910174567[[#This Row],[Type]]&gt;0,VLOOKUP(_1_54128456121462410464578910174567[[#This Row],[Type]],Main[[#All],[TYPE]:[UNIT]],'Unit Price'!D$1,FALSE),0)</f>
        <v>0</v>
      </c>
      <c r="I428" s="194">
        <f>IF(_1_54128456121462410464578910174567[[#This Row],[Type]]&gt;0,VLOOKUP(_1_54128456121462410464578910174567[[#This Row],[Type]],Main[[#All],[TYPE]:[UNIT]],'Unit Price'!G$1,FALSE),0)</f>
        <v>0</v>
      </c>
      <c r="J428" s="194">
        <f>IF(_1_54128456121462410464578910174567[[#This Row],[Type]]&gt;0,VLOOKUP(_1_54128456121462410464578910174567[[#This Row],[Type]],Main[[#All],[TYPE]:[UNIT]],'Unit Price'!H$1,FALSE),0)</f>
        <v>0</v>
      </c>
      <c r="K428" s="194">
        <f>IF(_1_54128456121462410464578910174567[[#This Row],[Discount selection]]&gt;0,VLOOKUP(_1_54128456121462410464578910174567[[#This Row],[Discount selection]],'Discount Structure'!$A$2:$B$30,2,"false"),0)</f>
        <v>1</v>
      </c>
      <c r="L428" s="194">
        <f>_1_54128456121462410464578910174567[[#This Row],[LIST $]]*_1_54128456121462410464578910174567[[#This Row],[DISCOUNT]]*_1_54128456121462410464578910174567[[#This Row],[DISCOUNT 2]]</f>
        <v>0</v>
      </c>
      <c r="M428" s="194">
        <f>IF(OR(_1_54128456121462410464578910174567[[#This Row],[UNIT]]&gt;0,_1_54128456121462410464578910174567[[#This Row],[UNIT]]&lt;0),_1_54128456121462410464578910174567[[#This Row],[UNIT]]*_1_54128456121462410464578910174567[[#This Row],[COST]],0)</f>
        <v>0</v>
      </c>
      <c r="N428" s="194">
        <f t="shared" si="6"/>
        <v>1.3</v>
      </c>
      <c r="O428" s="198">
        <f>_1_54128456121462410464578910174567[[#This Row],[TOTAL]]*_1_54128456121462410464578910174567[[#This Row],[MARGIN]]</f>
        <v>0</v>
      </c>
      <c r="R428" s="41"/>
    </row>
    <row r="429" spans="1:18">
      <c r="D429" s="188"/>
      <c r="F429" s="168" t="s">
        <v>6202</v>
      </c>
      <c r="G429" s="193">
        <f>IF(_1_54128456121462410464578910174567[[#This Row],[Type]]&gt;0,VLOOKUP(_1_54128456121462410464578910174567[[#This Row],[Type]],Main[[#All],[TYPE]:[UNIT]],'Unit Price'!C$1,FALSE),0)</f>
        <v>0</v>
      </c>
      <c r="H429" s="197">
        <f>IF(_1_54128456121462410464578910174567[[#This Row],[Type]]&gt;0,VLOOKUP(_1_54128456121462410464578910174567[[#This Row],[Type]],Main[[#All],[TYPE]:[UNIT]],'Unit Price'!D$1,FALSE),0)</f>
        <v>0</v>
      </c>
      <c r="I429" s="194">
        <f>IF(_1_54128456121462410464578910174567[[#This Row],[Type]]&gt;0,VLOOKUP(_1_54128456121462410464578910174567[[#This Row],[Type]],Main[[#All],[TYPE]:[UNIT]],'Unit Price'!G$1,FALSE),0)</f>
        <v>0</v>
      </c>
      <c r="J429" s="194">
        <f>IF(_1_54128456121462410464578910174567[[#This Row],[Type]]&gt;0,VLOOKUP(_1_54128456121462410464578910174567[[#This Row],[Type]],Main[[#All],[TYPE]:[UNIT]],'Unit Price'!H$1,FALSE),0)</f>
        <v>0</v>
      </c>
      <c r="K429" s="194">
        <f>IF(_1_54128456121462410464578910174567[[#This Row],[Discount selection]]&gt;0,VLOOKUP(_1_54128456121462410464578910174567[[#This Row],[Discount selection]],'Discount Structure'!$A$2:$B$30,2,"false"),0)</f>
        <v>1</v>
      </c>
      <c r="L429" s="194">
        <f>_1_54128456121462410464578910174567[[#This Row],[LIST $]]*_1_54128456121462410464578910174567[[#This Row],[DISCOUNT]]*_1_54128456121462410464578910174567[[#This Row],[DISCOUNT 2]]</f>
        <v>0</v>
      </c>
      <c r="M429" s="194">
        <f>IF(OR(_1_54128456121462410464578910174567[[#This Row],[UNIT]]&gt;0,_1_54128456121462410464578910174567[[#This Row],[UNIT]]&lt;0),_1_54128456121462410464578910174567[[#This Row],[UNIT]]*_1_54128456121462410464578910174567[[#This Row],[COST]],0)</f>
        <v>0</v>
      </c>
      <c r="N429" s="194">
        <f t="shared" si="6"/>
        <v>1.3</v>
      </c>
      <c r="O429" s="198">
        <f>_1_54128456121462410464578910174567[[#This Row],[TOTAL]]*_1_54128456121462410464578910174567[[#This Row],[MARGIN]]</f>
        <v>0</v>
      </c>
      <c r="R429" s="41"/>
    </row>
    <row r="430" spans="1:18">
      <c r="D430" s="188"/>
      <c r="F430" s="168" t="s">
        <v>6202</v>
      </c>
      <c r="G430" s="193">
        <f>IF(_1_54128456121462410464578910174567[[#This Row],[Type]]&gt;0,VLOOKUP(_1_54128456121462410464578910174567[[#This Row],[Type]],Main[[#All],[TYPE]:[UNIT]],'Unit Price'!C$1,FALSE),0)</f>
        <v>0</v>
      </c>
      <c r="H430" s="197">
        <f>IF(_1_54128456121462410464578910174567[[#This Row],[Type]]&gt;0,VLOOKUP(_1_54128456121462410464578910174567[[#This Row],[Type]],Main[[#All],[TYPE]:[UNIT]],'Unit Price'!D$1,FALSE),0)</f>
        <v>0</v>
      </c>
      <c r="I430" s="194">
        <f>IF(_1_54128456121462410464578910174567[[#This Row],[Type]]&gt;0,VLOOKUP(_1_54128456121462410464578910174567[[#This Row],[Type]],Main[[#All],[TYPE]:[UNIT]],'Unit Price'!G$1,FALSE),0)</f>
        <v>0</v>
      </c>
      <c r="J430" s="194">
        <f>IF(_1_54128456121462410464578910174567[[#This Row],[Type]]&gt;0,VLOOKUP(_1_54128456121462410464578910174567[[#This Row],[Type]],Main[[#All],[TYPE]:[UNIT]],'Unit Price'!H$1,FALSE),0)</f>
        <v>0</v>
      </c>
      <c r="K430" s="194">
        <f>IF(_1_54128456121462410464578910174567[[#This Row],[Discount selection]]&gt;0,VLOOKUP(_1_54128456121462410464578910174567[[#This Row],[Discount selection]],'Discount Structure'!$A$2:$B$30,2,"false"),0)</f>
        <v>1</v>
      </c>
      <c r="L430" s="194">
        <f>_1_54128456121462410464578910174567[[#This Row],[LIST $]]*_1_54128456121462410464578910174567[[#This Row],[DISCOUNT]]*_1_54128456121462410464578910174567[[#This Row],[DISCOUNT 2]]</f>
        <v>0</v>
      </c>
      <c r="M430" s="194">
        <f>IF(OR(_1_54128456121462410464578910174567[[#This Row],[UNIT]]&gt;0,_1_54128456121462410464578910174567[[#This Row],[UNIT]]&lt;0),_1_54128456121462410464578910174567[[#This Row],[UNIT]]*_1_54128456121462410464578910174567[[#This Row],[COST]],0)</f>
        <v>0</v>
      </c>
      <c r="N430" s="194">
        <f t="shared" si="6"/>
        <v>1.3</v>
      </c>
      <c r="O430" s="198">
        <f>_1_54128456121462410464578910174567[[#This Row],[TOTAL]]*_1_54128456121462410464578910174567[[#This Row],[MARGIN]]</f>
        <v>0</v>
      </c>
      <c r="R430" s="41"/>
    </row>
    <row r="431" spans="1:18">
      <c r="D431" s="188"/>
      <c r="F431" s="168" t="s">
        <v>6202</v>
      </c>
      <c r="G431" s="193">
        <f>IF(_1_54128456121462410464578910174567[[#This Row],[Type]]&gt;0,VLOOKUP(_1_54128456121462410464578910174567[[#This Row],[Type]],Main[[#All],[TYPE]:[UNIT]],'Unit Price'!C$1,FALSE),0)</f>
        <v>0</v>
      </c>
      <c r="H431" s="197">
        <f>IF(_1_54128456121462410464578910174567[[#This Row],[Type]]&gt;0,VLOOKUP(_1_54128456121462410464578910174567[[#This Row],[Type]],Main[[#All],[TYPE]:[UNIT]],'Unit Price'!D$1,FALSE),0)</f>
        <v>0</v>
      </c>
      <c r="I431" s="194">
        <f>IF(_1_54128456121462410464578910174567[[#This Row],[Type]]&gt;0,VLOOKUP(_1_54128456121462410464578910174567[[#This Row],[Type]],Main[[#All],[TYPE]:[UNIT]],'Unit Price'!G$1,FALSE),0)</f>
        <v>0</v>
      </c>
      <c r="J431" s="194">
        <f>IF(_1_54128456121462410464578910174567[[#This Row],[Type]]&gt;0,VLOOKUP(_1_54128456121462410464578910174567[[#This Row],[Type]],Main[[#All],[TYPE]:[UNIT]],'Unit Price'!H$1,FALSE),0)</f>
        <v>0</v>
      </c>
      <c r="K431" s="194">
        <f>IF(_1_54128456121462410464578910174567[[#This Row],[Discount selection]]&gt;0,VLOOKUP(_1_54128456121462410464578910174567[[#This Row],[Discount selection]],'Discount Structure'!$A$2:$B$30,2,"false"),0)</f>
        <v>1</v>
      </c>
      <c r="L431" s="194">
        <f>_1_54128456121462410464578910174567[[#This Row],[LIST $]]*_1_54128456121462410464578910174567[[#This Row],[DISCOUNT]]*_1_54128456121462410464578910174567[[#This Row],[DISCOUNT 2]]</f>
        <v>0</v>
      </c>
      <c r="M431" s="194">
        <f>IF(OR(_1_54128456121462410464578910174567[[#This Row],[UNIT]]&gt;0,_1_54128456121462410464578910174567[[#This Row],[UNIT]]&lt;0),_1_54128456121462410464578910174567[[#This Row],[UNIT]]*_1_54128456121462410464578910174567[[#This Row],[COST]],0)</f>
        <v>0</v>
      </c>
      <c r="N431" s="194">
        <f t="shared" si="6"/>
        <v>1.3</v>
      </c>
      <c r="O431" s="198">
        <f>_1_54128456121462410464578910174567[[#This Row],[TOTAL]]*_1_54128456121462410464578910174567[[#This Row],[MARGIN]]</f>
        <v>0</v>
      </c>
      <c r="R431" s="41"/>
    </row>
    <row r="432" spans="1:18">
      <c r="D432" s="188"/>
      <c r="F432" s="168" t="s">
        <v>6202</v>
      </c>
      <c r="G432" s="192">
        <f>IF(_1_54128456121462410464578910174567[[#This Row],[Type]]&gt;0,VLOOKUP(_1_54128456121462410464578910174567[[#This Row],[Type]],Main[[#All],[TYPE]:[UNIT]],'Unit Price'!C$1,FALSE),0)</f>
        <v>0</v>
      </c>
      <c r="H432" s="197">
        <f>IF(_1_54128456121462410464578910174567[[#This Row],[Type]]&gt;0,VLOOKUP(_1_54128456121462410464578910174567[[#This Row],[Type]],Main[[#All],[TYPE]:[UNIT]],'Unit Price'!D$1,FALSE),0)</f>
        <v>0</v>
      </c>
      <c r="I432" s="194">
        <f>IF(_1_54128456121462410464578910174567[[#This Row],[Type]]&gt;0,VLOOKUP(_1_54128456121462410464578910174567[[#This Row],[Type]],Main[[#All],[TYPE]:[UNIT]],'Unit Price'!G$1,FALSE),0)</f>
        <v>0</v>
      </c>
      <c r="J432" s="194">
        <f>IF(_1_54128456121462410464578910174567[[#This Row],[Type]]&gt;0,VLOOKUP(_1_54128456121462410464578910174567[[#This Row],[Type]],Main[[#All],[TYPE]:[UNIT]],'Unit Price'!H$1,FALSE),0)</f>
        <v>0</v>
      </c>
      <c r="K432" s="194">
        <f>IF(_1_54128456121462410464578910174567[[#This Row],[Discount selection]]&gt;0,VLOOKUP(_1_54128456121462410464578910174567[[#This Row],[Discount selection]],'Discount Structure'!$A$2:$B$30,2,"false"),0)</f>
        <v>1</v>
      </c>
      <c r="L432" s="194">
        <f>_1_54128456121462410464578910174567[[#This Row],[LIST $]]*_1_54128456121462410464578910174567[[#This Row],[DISCOUNT]]*_1_54128456121462410464578910174567[[#This Row],[DISCOUNT 2]]</f>
        <v>0</v>
      </c>
      <c r="M432" s="194">
        <f>IF(OR(_1_54128456121462410464578910174567[[#This Row],[UNIT]]&gt;0,_1_54128456121462410464578910174567[[#This Row],[UNIT]]&lt;0),_1_54128456121462410464578910174567[[#This Row],[UNIT]]*_1_54128456121462410464578910174567[[#This Row],[COST]],0)</f>
        <v>0</v>
      </c>
      <c r="N432" s="194">
        <f t="shared" si="6"/>
        <v>1.3</v>
      </c>
      <c r="O432" s="198">
        <f>_1_54128456121462410464578910174567[[#This Row],[TOTAL]]*_1_54128456121462410464578910174567[[#This Row],[MARGIN]]</f>
        <v>0</v>
      </c>
      <c r="R432" s="41"/>
    </row>
    <row r="433" spans="1:18">
      <c r="D433" s="188"/>
      <c r="F433" s="168" t="s">
        <v>6202</v>
      </c>
      <c r="G433" s="193">
        <f>IF(_1_54128456121462410464578910174567[[#This Row],[Type]]&gt;0,VLOOKUP(_1_54128456121462410464578910174567[[#This Row],[Type]],Main[[#All],[TYPE]:[UNIT]],'Unit Price'!C$1,FALSE),0)</f>
        <v>0</v>
      </c>
      <c r="H433" s="197">
        <f>IF(_1_54128456121462410464578910174567[[#This Row],[Type]]&gt;0,VLOOKUP(_1_54128456121462410464578910174567[[#This Row],[Type]],Main[[#All],[TYPE]:[UNIT]],'Unit Price'!D$1,FALSE),0)</f>
        <v>0</v>
      </c>
      <c r="I433" s="194">
        <f>IF(_1_54128456121462410464578910174567[[#This Row],[Type]]&gt;0,VLOOKUP(_1_54128456121462410464578910174567[[#This Row],[Type]],Main[[#All],[TYPE]:[UNIT]],'Unit Price'!G$1,FALSE),0)</f>
        <v>0</v>
      </c>
      <c r="J433" s="194">
        <f>IF(_1_54128456121462410464578910174567[[#This Row],[Type]]&gt;0,VLOOKUP(_1_54128456121462410464578910174567[[#This Row],[Type]],Main[[#All],[TYPE]:[UNIT]],'Unit Price'!H$1,FALSE),0)</f>
        <v>0</v>
      </c>
      <c r="K433" s="194">
        <f>IF(_1_54128456121462410464578910174567[[#This Row],[Discount selection]]&gt;0,VLOOKUP(_1_54128456121462410464578910174567[[#This Row],[Discount selection]],'Discount Structure'!$A$2:$B$30,2,"false"),0)</f>
        <v>1</v>
      </c>
      <c r="L433" s="194">
        <f>_1_54128456121462410464578910174567[[#This Row],[LIST $]]*_1_54128456121462410464578910174567[[#This Row],[DISCOUNT]]*_1_54128456121462410464578910174567[[#This Row],[DISCOUNT 2]]</f>
        <v>0</v>
      </c>
      <c r="M433" s="194">
        <f>IF(OR(_1_54128456121462410464578910174567[[#This Row],[UNIT]]&gt;0,_1_54128456121462410464578910174567[[#This Row],[UNIT]]&lt;0),_1_54128456121462410464578910174567[[#This Row],[UNIT]]*_1_54128456121462410464578910174567[[#This Row],[COST]],0)</f>
        <v>0</v>
      </c>
      <c r="N433" s="194">
        <f t="shared" si="6"/>
        <v>1.3</v>
      </c>
      <c r="O433" s="198">
        <f>_1_54128456121462410464578910174567[[#This Row],[TOTAL]]*_1_54128456121462410464578910174567[[#This Row],[MARGIN]]</f>
        <v>0</v>
      </c>
      <c r="R433" s="41"/>
    </row>
    <row r="434" spans="1:18">
      <c r="D434" s="188"/>
      <c r="F434" s="168" t="s">
        <v>6202</v>
      </c>
      <c r="G434" s="193">
        <f>IF(_1_54128456121462410464578910174567[[#This Row],[Type]]&gt;0,VLOOKUP(_1_54128456121462410464578910174567[[#This Row],[Type]],Main[[#All],[TYPE]:[UNIT]],'Unit Price'!C$1,FALSE),0)</f>
        <v>0</v>
      </c>
      <c r="H434" s="197">
        <f>IF(_1_54128456121462410464578910174567[[#This Row],[Type]]&gt;0,VLOOKUP(_1_54128456121462410464578910174567[[#This Row],[Type]],Main[[#All],[TYPE]:[UNIT]],'Unit Price'!D$1,FALSE),0)</f>
        <v>0</v>
      </c>
      <c r="I434" s="194">
        <f>IF(_1_54128456121462410464578910174567[[#This Row],[Type]]&gt;0,VLOOKUP(_1_54128456121462410464578910174567[[#This Row],[Type]],Main[[#All],[TYPE]:[UNIT]],'Unit Price'!G$1,FALSE),0)</f>
        <v>0</v>
      </c>
      <c r="J434" s="194">
        <f>IF(_1_54128456121462410464578910174567[[#This Row],[Type]]&gt;0,VLOOKUP(_1_54128456121462410464578910174567[[#This Row],[Type]],Main[[#All],[TYPE]:[UNIT]],'Unit Price'!H$1,FALSE),0)</f>
        <v>0</v>
      </c>
      <c r="K434" s="194">
        <f>IF(_1_54128456121462410464578910174567[[#This Row],[Discount selection]]&gt;0,VLOOKUP(_1_54128456121462410464578910174567[[#This Row],[Discount selection]],'Discount Structure'!$A$2:$B$30,2,"false"),0)</f>
        <v>1</v>
      </c>
      <c r="L434" s="194">
        <f>_1_54128456121462410464578910174567[[#This Row],[LIST $]]*_1_54128456121462410464578910174567[[#This Row],[DISCOUNT]]*_1_54128456121462410464578910174567[[#This Row],[DISCOUNT 2]]</f>
        <v>0</v>
      </c>
      <c r="M434" s="194">
        <f>IF(OR(_1_54128456121462410464578910174567[[#This Row],[UNIT]]&gt;0,_1_54128456121462410464578910174567[[#This Row],[UNIT]]&lt;0),_1_54128456121462410464578910174567[[#This Row],[UNIT]]*_1_54128456121462410464578910174567[[#This Row],[COST]],0)</f>
        <v>0</v>
      </c>
      <c r="N434" s="194">
        <f t="shared" si="6"/>
        <v>1.3</v>
      </c>
      <c r="O434" s="198">
        <f>_1_54128456121462410464578910174567[[#This Row],[TOTAL]]*_1_54128456121462410464578910174567[[#This Row],[MARGIN]]</f>
        <v>0</v>
      </c>
      <c r="R434" s="41"/>
    </row>
    <row r="435" spans="1:18">
      <c r="D435" s="188"/>
      <c r="F435" s="168" t="s">
        <v>6202</v>
      </c>
      <c r="G435" s="193">
        <f>IF(_1_54128456121462410464578910174567[[#This Row],[Type]]&gt;0,VLOOKUP(_1_54128456121462410464578910174567[[#This Row],[Type]],Main[[#All],[TYPE]:[UNIT]],'Unit Price'!C$1,FALSE),0)</f>
        <v>0</v>
      </c>
      <c r="H435" s="197">
        <f>IF(_1_54128456121462410464578910174567[[#This Row],[Type]]&gt;0,VLOOKUP(_1_54128456121462410464578910174567[[#This Row],[Type]],Main[[#All],[TYPE]:[UNIT]],'Unit Price'!D$1,FALSE),0)</f>
        <v>0</v>
      </c>
      <c r="I435" s="194">
        <f>IF(_1_54128456121462410464578910174567[[#This Row],[Type]]&gt;0,VLOOKUP(_1_54128456121462410464578910174567[[#This Row],[Type]],Main[[#All],[TYPE]:[UNIT]],'Unit Price'!G$1,FALSE),0)</f>
        <v>0</v>
      </c>
      <c r="J435" s="194">
        <f>IF(_1_54128456121462410464578910174567[[#This Row],[Type]]&gt;0,VLOOKUP(_1_54128456121462410464578910174567[[#This Row],[Type]],Main[[#All],[TYPE]:[UNIT]],'Unit Price'!H$1,FALSE),0)</f>
        <v>0</v>
      </c>
      <c r="K435" s="194">
        <f>IF(_1_54128456121462410464578910174567[[#This Row],[Discount selection]]&gt;0,VLOOKUP(_1_54128456121462410464578910174567[[#This Row],[Discount selection]],'Discount Structure'!$A$2:$B$30,2,"false"),0)</f>
        <v>1</v>
      </c>
      <c r="L435" s="194">
        <f>_1_54128456121462410464578910174567[[#This Row],[LIST $]]*_1_54128456121462410464578910174567[[#This Row],[DISCOUNT]]*_1_54128456121462410464578910174567[[#This Row],[DISCOUNT 2]]</f>
        <v>0</v>
      </c>
      <c r="M435" s="194">
        <f>IF(OR(_1_54128456121462410464578910174567[[#This Row],[UNIT]]&gt;0,_1_54128456121462410464578910174567[[#This Row],[UNIT]]&lt;0),_1_54128456121462410464578910174567[[#This Row],[UNIT]]*_1_54128456121462410464578910174567[[#This Row],[COST]],0)</f>
        <v>0</v>
      </c>
      <c r="N435" s="194">
        <f t="shared" si="6"/>
        <v>1.3</v>
      </c>
      <c r="O435" s="198">
        <f>_1_54128456121462410464578910174567[[#This Row],[TOTAL]]*_1_54128456121462410464578910174567[[#This Row],[MARGIN]]</f>
        <v>0</v>
      </c>
      <c r="R435" s="41"/>
    </row>
    <row r="436" spans="1:18">
      <c r="A436" s="168"/>
      <c r="D436" s="188"/>
      <c r="F436" s="168" t="s">
        <v>6202</v>
      </c>
      <c r="G436" s="193">
        <f>IF(_1_54128456121462410464578910174567[[#This Row],[Type]]&gt;0,VLOOKUP(_1_54128456121462410464578910174567[[#This Row],[Type]],Main[[#All],[TYPE]:[UNIT]],'Unit Price'!C$1,FALSE),0)</f>
        <v>0</v>
      </c>
      <c r="H436" s="197">
        <f>IF(_1_54128456121462410464578910174567[[#This Row],[Type]]&gt;0,VLOOKUP(_1_54128456121462410464578910174567[[#This Row],[Type]],Main[[#All],[TYPE]:[UNIT]],'Unit Price'!D$1,FALSE),0)</f>
        <v>0</v>
      </c>
      <c r="I436" s="194">
        <f>IF(_1_54128456121462410464578910174567[[#This Row],[Type]]&gt;0,VLOOKUP(_1_54128456121462410464578910174567[[#This Row],[Type]],Main[[#All],[TYPE]:[UNIT]],'Unit Price'!G$1,FALSE),0)</f>
        <v>0</v>
      </c>
      <c r="J436" s="194">
        <f>IF(_1_54128456121462410464578910174567[[#This Row],[Type]]&gt;0,VLOOKUP(_1_54128456121462410464578910174567[[#This Row],[Type]],Main[[#All],[TYPE]:[UNIT]],'Unit Price'!H$1,FALSE),0)</f>
        <v>0</v>
      </c>
      <c r="K436" s="194">
        <f>IF(_1_54128456121462410464578910174567[[#This Row],[Discount selection]]&gt;0,VLOOKUP(_1_54128456121462410464578910174567[[#This Row],[Discount selection]],'Discount Structure'!$A$2:$B$30,2,"false"),0)</f>
        <v>1</v>
      </c>
      <c r="L436" s="194">
        <f>_1_54128456121462410464578910174567[[#This Row],[LIST $]]*_1_54128456121462410464578910174567[[#This Row],[DISCOUNT]]*_1_54128456121462410464578910174567[[#This Row],[DISCOUNT 2]]</f>
        <v>0</v>
      </c>
      <c r="M436" s="194">
        <f>IF(OR(_1_54128456121462410464578910174567[[#This Row],[UNIT]]&gt;0,_1_54128456121462410464578910174567[[#This Row],[UNIT]]&lt;0),_1_54128456121462410464578910174567[[#This Row],[UNIT]]*_1_54128456121462410464578910174567[[#This Row],[COST]],0)</f>
        <v>0</v>
      </c>
      <c r="N436" s="194">
        <f t="shared" si="6"/>
        <v>1.3</v>
      </c>
      <c r="O436" s="198">
        <f>_1_54128456121462410464578910174567[[#This Row],[TOTAL]]*_1_54128456121462410464578910174567[[#This Row],[MARGIN]]</f>
        <v>0</v>
      </c>
      <c r="R436" s="41"/>
    </row>
    <row r="437" spans="1:18">
      <c r="B437" s="168"/>
      <c r="D437" s="188"/>
      <c r="F437" s="168" t="s">
        <v>6202</v>
      </c>
      <c r="G437" s="192">
        <f>IF(_1_54128456121462410464578910174567[[#This Row],[Type]]&gt;0,VLOOKUP(_1_54128456121462410464578910174567[[#This Row],[Type]],Main[[#All],[TYPE]:[UNIT]],'Unit Price'!C$1,FALSE),0)</f>
        <v>0</v>
      </c>
      <c r="H437" s="197">
        <f>IF(_1_54128456121462410464578910174567[[#This Row],[Type]]&gt;0,VLOOKUP(_1_54128456121462410464578910174567[[#This Row],[Type]],Main[[#All],[TYPE]:[UNIT]],'Unit Price'!D$1,FALSE),0)</f>
        <v>0</v>
      </c>
      <c r="I437" s="194">
        <f>IF(_1_54128456121462410464578910174567[[#This Row],[Type]]&gt;0,VLOOKUP(_1_54128456121462410464578910174567[[#This Row],[Type]],Main[[#All],[TYPE]:[UNIT]],'Unit Price'!G$1,FALSE),0)</f>
        <v>0</v>
      </c>
      <c r="J437" s="194">
        <f>IF(_1_54128456121462410464578910174567[[#This Row],[Type]]&gt;0,VLOOKUP(_1_54128456121462410464578910174567[[#This Row],[Type]],Main[[#All],[TYPE]:[UNIT]],'Unit Price'!H$1,FALSE),0)</f>
        <v>0</v>
      </c>
      <c r="K437" s="194">
        <f>IF(_1_54128456121462410464578910174567[[#This Row],[Discount selection]]&gt;0,VLOOKUP(_1_54128456121462410464578910174567[[#This Row],[Discount selection]],'Discount Structure'!$A$2:$B$30,2,"false"),0)</f>
        <v>1</v>
      </c>
      <c r="L437" s="194">
        <f>_1_54128456121462410464578910174567[[#This Row],[LIST $]]*_1_54128456121462410464578910174567[[#This Row],[DISCOUNT]]*_1_54128456121462410464578910174567[[#This Row],[DISCOUNT 2]]</f>
        <v>0</v>
      </c>
      <c r="M437" s="194">
        <f>IF(OR(_1_54128456121462410464578910174567[[#This Row],[UNIT]]&gt;0,_1_54128456121462410464578910174567[[#This Row],[UNIT]]&lt;0),_1_54128456121462410464578910174567[[#This Row],[UNIT]]*_1_54128456121462410464578910174567[[#This Row],[COST]],0)</f>
        <v>0</v>
      </c>
      <c r="N437" s="194">
        <f t="shared" si="6"/>
        <v>1.3</v>
      </c>
      <c r="O437" s="198">
        <f>_1_54128456121462410464578910174567[[#This Row],[TOTAL]]*_1_54128456121462410464578910174567[[#This Row],[MARGIN]]</f>
        <v>0</v>
      </c>
      <c r="R437" s="41"/>
    </row>
    <row r="438" spans="1:18">
      <c r="D438" s="188"/>
      <c r="F438" s="168" t="s">
        <v>6202</v>
      </c>
      <c r="G438" s="193">
        <f>IF(_1_54128456121462410464578910174567[[#This Row],[Type]]&gt;0,VLOOKUP(_1_54128456121462410464578910174567[[#This Row],[Type]],Main[[#All],[TYPE]:[UNIT]],'Unit Price'!C$1,FALSE),0)</f>
        <v>0</v>
      </c>
      <c r="H438" s="197">
        <f>IF(_1_54128456121462410464578910174567[[#This Row],[Type]]&gt;0,VLOOKUP(_1_54128456121462410464578910174567[[#This Row],[Type]],Main[[#All],[TYPE]:[UNIT]],'Unit Price'!D$1,FALSE),0)</f>
        <v>0</v>
      </c>
      <c r="I438" s="194">
        <f>IF(_1_54128456121462410464578910174567[[#This Row],[Type]]&gt;0,VLOOKUP(_1_54128456121462410464578910174567[[#This Row],[Type]],Main[[#All],[TYPE]:[UNIT]],'Unit Price'!G$1,FALSE),0)</f>
        <v>0</v>
      </c>
      <c r="J438" s="194">
        <f>IF(_1_54128456121462410464578910174567[[#This Row],[Type]]&gt;0,VLOOKUP(_1_54128456121462410464578910174567[[#This Row],[Type]],Main[[#All],[TYPE]:[UNIT]],'Unit Price'!H$1,FALSE),0)</f>
        <v>0</v>
      </c>
      <c r="K438" s="194">
        <f>IF(_1_54128456121462410464578910174567[[#This Row],[Discount selection]]&gt;0,VLOOKUP(_1_54128456121462410464578910174567[[#This Row],[Discount selection]],'Discount Structure'!$A$2:$B$30,2,"false"),0)</f>
        <v>1</v>
      </c>
      <c r="L438" s="194">
        <f>_1_54128456121462410464578910174567[[#This Row],[LIST $]]*_1_54128456121462410464578910174567[[#This Row],[DISCOUNT]]*_1_54128456121462410464578910174567[[#This Row],[DISCOUNT 2]]</f>
        <v>0</v>
      </c>
      <c r="M438" s="194">
        <f>IF(OR(_1_54128456121462410464578910174567[[#This Row],[UNIT]]&gt;0,_1_54128456121462410464578910174567[[#This Row],[UNIT]]&lt;0),_1_54128456121462410464578910174567[[#This Row],[UNIT]]*_1_54128456121462410464578910174567[[#This Row],[COST]],0)</f>
        <v>0</v>
      </c>
      <c r="N438" s="194">
        <f t="shared" si="6"/>
        <v>1.3</v>
      </c>
      <c r="O438" s="198">
        <f>_1_54128456121462410464578910174567[[#This Row],[TOTAL]]*_1_54128456121462410464578910174567[[#This Row],[MARGIN]]</f>
        <v>0</v>
      </c>
      <c r="R438" s="41"/>
    </row>
    <row r="439" spans="1:18">
      <c r="D439" s="188"/>
      <c r="F439" s="168" t="s">
        <v>6202</v>
      </c>
      <c r="G439" s="193">
        <f>IF(_1_54128456121462410464578910174567[[#This Row],[Type]]&gt;0,VLOOKUP(_1_54128456121462410464578910174567[[#This Row],[Type]],Main[[#All],[TYPE]:[UNIT]],'Unit Price'!C$1,FALSE),0)</f>
        <v>0</v>
      </c>
      <c r="H439" s="197">
        <f>IF(_1_54128456121462410464578910174567[[#This Row],[Type]]&gt;0,VLOOKUP(_1_54128456121462410464578910174567[[#This Row],[Type]],Main[[#All],[TYPE]:[UNIT]],'Unit Price'!D$1,FALSE),0)</f>
        <v>0</v>
      </c>
      <c r="I439" s="194">
        <f>IF(_1_54128456121462410464578910174567[[#This Row],[Type]]&gt;0,VLOOKUP(_1_54128456121462410464578910174567[[#This Row],[Type]],Main[[#All],[TYPE]:[UNIT]],'Unit Price'!G$1,FALSE),0)</f>
        <v>0</v>
      </c>
      <c r="J439" s="194">
        <f>IF(_1_54128456121462410464578910174567[[#This Row],[Type]]&gt;0,VLOOKUP(_1_54128456121462410464578910174567[[#This Row],[Type]],Main[[#All],[TYPE]:[UNIT]],'Unit Price'!H$1,FALSE),0)</f>
        <v>0</v>
      </c>
      <c r="K439" s="194">
        <f>IF(_1_54128456121462410464578910174567[[#This Row],[Discount selection]]&gt;0,VLOOKUP(_1_54128456121462410464578910174567[[#This Row],[Discount selection]],'Discount Structure'!$A$2:$B$30,2,"false"),0)</f>
        <v>1</v>
      </c>
      <c r="L439" s="194">
        <f>_1_54128456121462410464578910174567[[#This Row],[LIST $]]*_1_54128456121462410464578910174567[[#This Row],[DISCOUNT]]*_1_54128456121462410464578910174567[[#This Row],[DISCOUNT 2]]</f>
        <v>0</v>
      </c>
      <c r="M439" s="194">
        <f>IF(OR(_1_54128456121462410464578910174567[[#This Row],[UNIT]]&gt;0,_1_54128456121462410464578910174567[[#This Row],[UNIT]]&lt;0),_1_54128456121462410464578910174567[[#This Row],[UNIT]]*_1_54128456121462410464578910174567[[#This Row],[COST]],0)</f>
        <v>0</v>
      </c>
      <c r="N439" s="194">
        <f t="shared" si="6"/>
        <v>1.3</v>
      </c>
      <c r="O439" s="198">
        <f>_1_54128456121462410464578910174567[[#This Row],[TOTAL]]*_1_54128456121462410464578910174567[[#This Row],[MARGIN]]</f>
        <v>0</v>
      </c>
      <c r="R439" s="41"/>
    </row>
    <row r="440" spans="1:18">
      <c r="A440" s="168"/>
      <c r="D440" s="188"/>
      <c r="F440" s="168" t="s">
        <v>6202</v>
      </c>
      <c r="G440" s="193">
        <f>IF(_1_54128456121462410464578910174567[[#This Row],[Type]]&gt;0,VLOOKUP(_1_54128456121462410464578910174567[[#This Row],[Type]],Main[[#All],[TYPE]:[UNIT]],'Unit Price'!C$1,FALSE),0)</f>
        <v>0</v>
      </c>
      <c r="H440" s="197">
        <f>IF(_1_54128456121462410464578910174567[[#This Row],[Type]]&gt;0,VLOOKUP(_1_54128456121462410464578910174567[[#This Row],[Type]],Main[[#All],[TYPE]:[UNIT]],'Unit Price'!D$1,FALSE),0)</f>
        <v>0</v>
      </c>
      <c r="I440" s="194">
        <f>IF(_1_54128456121462410464578910174567[[#This Row],[Type]]&gt;0,VLOOKUP(_1_54128456121462410464578910174567[[#This Row],[Type]],Main[[#All],[TYPE]:[UNIT]],'Unit Price'!G$1,FALSE),0)</f>
        <v>0</v>
      </c>
      <c r="J440" s="194">
        <f>IF(_1_54128456121462410464578910174567[[#This Row],[Type]]&gt;0,VLOOKUP(_1_54128456121462410464578910174567[[#This Row],[Type]],Main[[#All],[TYPE]:[UNIT]],'Unit Price'!H$1,FALSE),0)</f>
        <v>0</v>
      </c>
      <c r="K440" s="194">
        <f>IF(_1_54128456121462410464578910174567[[#This Row],[Discount selection]]&gt;0,VLOOKUP(_1_54128456121462410464578910174567[[#This Row],[Discount selection]],'Discount Structure'!$A$2:$B$30,2,"false"),0)</f>
        <v>1</v>
      </c>
      <c r="L440" s="194">
        <f>_1_54128456121462410464578910174567[[#This Row],[LIST $]]*_1_54128456121462410464578910174567[[#This Row],[DISCOUNT]]*_1_54128456121462410464578910174567[[#This Row],[DISCOUNT 2]]</f>
        <v>0</v>
      </c>
      <c r="M440" s="194">
        <f>IF(OR(_1_54128456121462410464578910174567[[#This Row],[UNIT]]&gt;0,_1_54128456121462410464578910174567[[#This Row],[UNIT]]&lt;0),_1_54128456121462410464578910174567[[#This Row],[UNIT]]*_1_54128456121462410464578910174567[[#This Row],[COST]],0)</f>
        <v>0</v>
      </c>
      <c r="N440" s="194">
        <f t="shared" si="6"/>
        <v>1.3</v>
      </c>
      <c r="O440" s="198">
        <f>_1_54128456121462410464578910174567[[#This Row],[TOTAL]]*_1_54128456121462410464578910174567[[#This Row],[MARGIN]]</f>
        <v>0</v>
      </c>
      <c r="R440" s="41"/>
    </row>
    <row r="441" spans="1:18">
      <c r="D441" s="188"/>
      <c r="F441" s="168" t="s">
        <v>6202</v>
      </c>
      <c r="G441" s="193">
        <f>IF(_1_54128456121462410464578910174567[[#This Row],[Type]]&gt;0,VLOOKUP(_1_54128456121462410464578910174567[[#This Row],[Type]],Main[[#All],[TYPE]:[UNIT]],'Unit Price'!C$1,FALSE),0)</f>
        <v>0</v>
      </c>
      <c r="H441" s="197">
        <f>IF(_1_54128456121462410464578910174567[[#This Row],[Type]]&gt;0,VLOOKUP(_1_54128456121462410464578910174567[[#This Row],[Type]],Main[[#All],[TYPE]:[UNIT]],'Unit Price'!D$1,FALSE),0)</f>
        <v>0</v>
      </c>
      <c r="I441" s="194">
        <f>IF(_1_54128456121462410464578910174567[[#This Row],[Type]]&gt;0,VLOOKUP(_1_54128456121462410464578910174567[[#This Row],[Type]],Main[[#All],[TYPE]:[UNIT]],'Unit Price'!G$1,FALSE),0)</f>
        <v>0</v>
      </c>
      <c r="J441" s="194">
        <f>IF(_1_54128456121462410464578910174567[[#This Row],[Type]]&gt;0,VLOOKUP(_1_54128456121462410464578910174567[[#This Row],[Type]],Main[[#All],[TYPE]:[UNIT]],'Unit Price'!H$1,FALSE),0)</f>
        <v>0</v>
      </c>
      <c r="K441" s="194">
        <f>IF(_1_54128456121462410464578910174567[[#This Row],[Discount selection]]&gt;0,VLOOKUP(_1_54128456121462410464578910174567[[#This Row],[Discount selection]],'Discount Structure'!$A$2:$B$30,2,"false"),0)</f>
        <v>1</v>
      </c>
      <c r="L441" s="194">
        <f>_1_54128456121462410464578910174567[[#This Row],[LIST $]]*_1_54128456121462410464578910174567[[#This Row],[DISCOUNT]]*_1_54128456121462410464578910174567[[#This Row],[DISCOUNT 2]]</f>
        <v>0</v>
      </c>
      <c r="M441" s="194">
        <f>IF(OR(_1_54128456121462410464578910174567[[#This Row],[UNIT]]&gt;0,_1_54128456121462410464578910174567[[#This Row],[UNIT]]&lt;0),_1_54128456121462410464578910174567[[#This Row],[UNIT]]*_1_54128456121462410464578910174567[[#This Row],[COST]],0)</f>
        <v>0</v>
      </c>
      <c r="N441" s="194">
        <f t="shared" si="6"/>
        <v>1.3</v>
      </c>
      <c r="O441" s="198">
        <f>_1_54128456121462410464578910174567[[#This Row],[TOTAL]]*_1_54128456121462410464578910174567[[#This Row],[MARGIN]]</f>
        <v>0</v>
      </c>
      <c r="R441" s="41"/>
    </row>
    <row r="442" spans="1:18">
      <c r="D442" s="188"/>
      <c r="F442" s="168" t="s">
        <v>6202</v>
      </c>
      <c r="G442" s="192">
        <f>IF(_1_54128456121462410464578910174567[[#This Row],[Type]]&gt;0,VLOOKUP(_1_54128456121462410464578910174567[[#This Row],[Type]],Main[[#All],[TYPE]:[UNIT]],'Unit Price'!C$1,FALSE),0)</f>
        <v>0</v>
      </c>
      <c r="H442" s="197">
        <f>IF(_1_54128456121462410464578910174567[[#This Row],[Type]]&gt;0,VLOOKUP(_1_54128456121462410464578910174567[[#This Row],[Type]],Main[[#All],[TYPE]:[UNIT]],'Unit Price'!D$1,FALSE),0)</f>
        <v>0</v>
      </c>
      <c r="I442" s="194">
        <f>IF(_1_54128456121462410464578910174567[[#This Row],[Type]]&gt;0,VLOOKUP(_1_54128456121462410464578910174567[[#This Row],[Type]],Main[[#All],[TYPE]:[UNIT]],'Unit Price'!G$1,FALSE),0)</f>
        <v>0</v>
      </c>
      <c r="J442" s="194">
        <f>IF(_1_54128456121462410464578910174567[[#This Row],[Type]]&gt;0,VLOOKUP(_1_54128456121462410464578910174567[[#This Row],[Type]],Main[[#All],[TYPE]:[UNIT]],'Unit Price'!H$1,FALSE),0)</f>
        <v>0</v>
      </c>
      <c r="K442" s="194">
        <f>IF(_1_54128456121462410464578910174567[[#This Row],[Discount selection]]&gt;0,VLOOKUP(_1_54128456121462410464578910174567[[#This Row],[Discount selection]],'Discount Structure'!$A$2:$B$30,2,"false"),0)</f>
        <v>1</v>
      </c>
      <c r="L442" s="194">
        <f>_1_54128456121462410464578910174567[[#This Row],[LIST $]]*_1_54128456121462410464578910174567[[#This Row],[DISCOUNT]]*_1_54128456121462410464578910174567[[#This Row],[DISCOUNT 2]]</f>
        <v>0</v>
      </c>
      <c r="M442" s="194">
        <f>IF(OR(_1_54128456121462410464578910174567[[#This Row],[UNIT]]&gt;0,_1_54128456121462410464578910174567[[#This Row],[UNIT]]&lt;0),_1_54128456121462410464578910174567[[#This Row],[UNIT]]*_1_54128456121462410464578910174567[[#This Row],[COST]],0)</f>
        <v>0</v>
      </c>
      <c r="N442" s="194">
        <f t="shared" si="6"/>
        <v>1.3</v>
      </c>
      <c r="O442" s="198">
        <f>_1_54128456121462410464578910174567[[#This Row],[TOTAL]]*_1_54128456121462410464578910174567[[#This Row],[MARGIN]]</f>
        <v>0</v>
      </c>
      <c r="R442" s="41"/>
    </row>
    <row r="443" spans="1:18">
      <c r="D443" s="188"/>
      <c r="F443" s="168" t="s">
        <v>6202</v>
      </c>
      <c r="G443" s="193">
        <f>IF(_1_54128456121462410464578910174567[[#This Row],[Type]]&gt;0,VLOOKUP(_1_54128456121462410464578910174567[[#This Row],[Type]],Main[[#All],[TYPE]:[UNIT]],'Unit Price'!C$1,FALSE),0)</f>
        <v>0</v>
      </c>
      <c r="H443" s="197">
        <f>IF(_1_54128456121462410464578910174567[[#This Row],[Type]]&gt;0,VLOOKUP(_1_54128456121462410464578910174567[[#This Row],[Type]],Main[[#All],[TYPE]:[UNIT]],'Unit Price'!D$1,FALSE),0)</f>
        <v>0</v>
      </c>
      <c r="I443" s="194">
        <f>IF(_1_54128456121462410464578910174567[[#This Row],[Type]]&gt;0,VLOOKUP(_1_54128456121462410464578910174567[[#This Row],[Type]],Main[[#All],[TYPE]:[UNIT]],'Unit Price'!G$1,FALSE),0)</f>
        <v>0</v>
      </c>
      <c r="J443" s="194">
        <f>IF(_1_54128456121462410464578910174567[[#This Row],[Type]]&gt;0,VLOOKUP(_1_54128456121462410464578910174567[[#This Row],[Type]],Main[[#All],[TYPE]:[UNIT]],'Unit Price'!H$1,FALSE),0)</f>
        <v>0</v>
      </c>
      <c r="K443" s="194">
        <f>IF(_1_54128456121462410464578910174567[[#This Row],[Discount selection]]&gt;0,VLOOKUP(_1_54128456121462410464578910174567[[#This Row],[Discount selection]],'Discount Structure'!$A$2:$B$30,2,"false"),0)</f>
        <v>1</v>
      </c>
      <c r="L443" s="194">
        <f>_1_54128456121462410464578910174567[[#This Row],[LIST $]]*_1_54128456121462410464578910174567[[#This Row],[DISCOUNT]]*_1_54128456121462410464578910174567[[#This Row],[DISCOUNT 2]]</f>
        <v>0</v>
      </c>
      <c r="M443" s="194">
        <f>IF(OR(_1_54128456121462410464578910174567[[#This Row],[UNIT]]&gt;0,_1_54128456121462410464578910174567[[#This Row],[UNIT]]&lt;0),_1_54128456121462410464578910174567[[#This Row],[UNIT]]*_1_54128456121462410464578910174567[[#This Row],[COST]],0)</f>
        <v>0</v>
      </c>
      <c r="N443" s="194">
        <f t="shared" si="6"/>
        <v>1.3</v>
      </c>
      <c r="O443" s="198">
        <f>_1_54128456121462410464578910174567[[#This Row],[TOTAL]]*_1_54128456121462410464578910174567[[#This Row],[MARGIN]]</f>
        <v>0</v>
      </c>
      <c r="R443" s="41"/>
    </row>
    <row r="444" spans="1:18">
      <c r="D444" s="188"/>
      <c r="F444" s="168" t="s">
        <v>6202</v>
      </c>
      <c r="G444" s="193">
        <f>IF(_1_54128456121462410464578910174567[[#This Row],[Type]]&gt;0,VLOOKUP(_1_54128456121462410464578910174567[[#This Row],[Type]],Main[[#All],[TYPE]:[UNIT]],'Unit Price'!C$1,FALSE),0)</f>
        <v>0</v>
      </c>
      <c r="H444" s="197">
        <f>IF(_1_54128456121462410464578910174567[[#This Row],[Type]]&gt;0,VLOOKUP(_1_54128456121462410464578910174567[[#This Row],[Type]],Main[[#All],[TYPE]:[UNIT]],'Unit Price'!D$1,FALSE),0)</f>
        <v>0</v>
      </c>
      <c r="I444" s="194">
        <f>IF(_1_54128456121462410464578910174567[[#This Row],[Type]]&gt;0,VLOOKUP(_1_54128456121462410464578910174567[[#This Row],[Type]],Main[[#All],[TYPE]:[UNIT]],'Unit Price'!G$1,FALSE),0)</f>
        <v>0</v>
      </c>
      <c r="J444" s="194">
        <f>IF(_1_54128456121462410464578910174567[[#This Row],[Type]]&gt;0,VLOOKUP(_1_54128456121462410464578910174567[[#This Row],[Type]],Main[[#All],[TYPE]:[UNIT]],'Unit Price'!H$1,FALSE),0)</f>
        <v>0</v>
      </c>
      <c r="K444" s="194">
        <f>IF(_1_54128456121462410464578910174567[[#This Row],[Discount selection]]&gt;0,VLOOKUP(_1_54128456121462410464578910174567[[#This Row],[Discount selection]],'Discount Structure'!$A$2:$B$30,2,"false"),0)</f>
        <v>1</v>
      </c>
      <c r="L444" s="194">
        <f>_1_54128456121462410464578910174567[[#This Row],[LIST $]]*_1_54128456121462410464578910174567[[#This Row],[DISCOUNT]]*_1_54128456121462410464578910174567[[#This Row],[DISCOUNT 2]]</f>
        <v>0</v>
      </c>
      <c r="M444" s="194">
        <f>IF(OR(_1_54128456121462410464578910174567[[#This Row],[UNIT]]&gt;0,_1_54128456121462410464578910174567[[#This Row],[UNIT]]&lt;0),_1_54128456121462410464578910174567[[#This Row],[UNIT]]*_1_54128456121462410464578910174567[[#This Row],[COST]],0)</f>
        <v>0</v>
      </c>
      <c r="N444" s="194">
        <f t="shared" si="6"/>
        <v>1.3</v>
      </c>
      <c r="O444" s="198">
        <f>_1_54128456121462410464578910174567[[#This Row],[TOTAL]]*_1_54128456121462410464578910174567[[#This Row],[MARGIN]]</f>
        <v>0</v>
      </c>
      <c r="R444" s="41"/>
    </row>
    <row r="445" spans="1:18">
      <c r="D445" s="188"/>
      <c r="F445" s="168" t="s">
        <v>6202</v>
      </c>
      <c r="G445" s="193">
        <f>IF(_1_54128456121462410464578910174567[[#This Row],[Type]]&gt;0,VLOOKUP(_1_54128456121462410464578910174567[[#This Row],[Type]],Main[[#All],[TYPE]:[UNIT]],'Unit Price'!C$1,FALSE),0)</f>
        <v>0</v>
      </c>
      <c r="H445" s="197">
        <f>IF(_1_54128456121462410464578910174567[[#This Row],[Type]]&gt;0,VLOOKUP(_1_54128456121462410464578910174567[[#This Row],[Type]],Main[[#All],[TYPE]:[UNIT]],'Unit Price'!D$1,FALSE),0)</f>
        <v>0</v>
      </c>
      <c r="I445" s="194">
        <f>IF(_1_54128456121462410464578910174567[[#This Row],[Type]]&gt;0,VLOOKUP(_1_54128456121462410464578910174567[[#This Row],[Type]],Main[[#All],[TYPE]:[UNIT]],'Unit Price'!G$1,FALSE),0)</f>
        <v>0</v>
      </c>
      <c r="J445" s="194">
        <f>IF(_1_54128456121462410464578910174567[[#This Row],[Type]]&gt;0,VLOOKUP(_1_54128456121462410464578910174567[[#This Row],[Type]],Main[[#All],[TYPE]:[UNIT]],'Unit Price'!H$1,FALSE),0)</f>
        <v>0</v>
      </c>
      <c r="K445" s="194">
        <f>IF(_1_54128456121462410464578910174567[[#This Row],[Discount selection]]&gt;0,VLOOKUP(_1_54128456121462410464578910174567[[#This Row],[Discount selection]],'Discount Structure'!$A$2:$B$30,2,"false"),0)</f>
        <v>1</v>
      </c>
      <c r="L445" s="194">
        <f>_1_54128456121462410464578910174567[[#This Row],[LIST $]]*_1_54128456121462410464578910174567[[#This Row],[DISCOUNT]]*_1_54128456121462410464578910174567[[#This Row],[DISCOUNT 2]]</f>
        <v>0</v>
      </c>
      <c r="M445" s="194">
        <f>IF(OR(_1_54128456121462410464578910174567[[#This Row],[UNIT]]&gt;0,_1_54128456121462410464578910174567[[#This Row],[UNIT]]&lt;0),_1_54128456121462410464578910174567[[#This Row],[UNIT]]*_1_54128456121462410464578910174567[[#This Row],[COST]],0)</f>
        <v>0</v>
      </c>
      <c r="N445" s="194">
        <f t="shared" si="6"/>
        <v>1.3</v>
      </c>
      <c r="O445" s="198">
        <f>_1_54128456121462410464578910174567[[#This Row],[TOTAL]]*_1_54128456121462410464578910174567[[#This Row],[MARGIN]]</f>
        <v>0</v>
      </c>
      <c r="R445" s="41"/>
    </row>
    <row r="446" spans="1:18">
      <c r="D446" s="188"/>
      <c r="F446" s="168" t="s">
        <v>6202</v>
      </c>
      <c r="G446" s="193">
        <f>IF(_1_54128456121462410464578910174567[[#This Row],[Type]]&gt;0,VLOOKUP(_1_54128456121462410464578910174567[[#This Row],[Type]],Main[[#All],[TYPE]:[UNIT]],'Unit Price'!C$1,FALSE),0)</f>
        <v>0</v>
      </c>
      <c r="H446" s="197">
        <f>IF(_1_54128456121462410464578910174567[[#This Row],[Type]]&gt;0,VLOOKUP(_1_54128456121462410464578910174567[[#This Row],[Type]],Main[[#All],[TYPE]:[UNIT]],'Unit Price'!D$1,FALSE),0)</f>
        <v>0</v>
      </c>
      <c r="I446" s="194">
        <f>IF(_1_54128456121462410464578910174567[[#This Row],[Type]]&gt;0,VLOOKUP(_1_54128456121462410464578910174567[[#This Row],[Type]],Main[[#All],[TYPE]:[UNIT]],'Unit Price'!G$1,FALSE),0)</f>
        <v>0</v>
      </c>
      <c r="J446" s="194">
        <f>IF(_1_54128456121462410464578910174567[[#This Row],[Type]]&gt;0,VLOOKUP(_1_54128456121462410464578910174567[[#This Row],[Type]],Main[[#All],[TYPE]:[UNIT]],'Unit Price'!H$1,FALSE),0)</f>
        <v>0</v>
      </c>
      <c r="K446" s="194">
        <f>IF(_1_54128456121462410464578910174567[[#This Row],[Discount selection]]&gt;0,VLOOKUP(_1_54128456121462410464578910174567[[#This Row],[Discount selection]],'Discount Structure'!$A$2:$B$30,2,"false"),0)</f>
        <v>1</v>
      </c>
      <c r="L446" s="194">
        <f>_1_54128456121462410464578910174567[[#This Row],[LIST $]]*_1_54128456121462410464578910174567[[#This Row],[DISCOUNT]]*_1_54128456121462410464578910174567[[#This Row],[DISCOUNT 2]]</f>
        <v>0</v>
      </c>
      <c r="M446" s="194">
        <f>IF(OR(_1_54128456121462410464578910174567[[#This Row],[UNIT]]&gt;0,_1_54128456121462410464578910174567[[#This Row],[UNIT]]&lt;0),_1_54128456121462410464578910174567[[#This Row],[UNIT]]*_1_54128456121462410464578910174567[[#This Row],[COST]],0)</f>
        <v>0</v>
      </c>
      <c r="N446" s="194">
        <f t="shared" si="6"/>
        <v>1.3</v>
      </c>
      <c r="O446" s="198">
        <f>_1_54128456121462410464578910174567[[#This Row],[TOTAL]]*_1_54128456121462410464578910174567[[#This Row],[MARGIN]]</f>
        <v>0</v>
      </c>
      <c r="R446" s="41"/>
    </row>
    <row r="447" spans="1:18">
      <c r="B447" s="168"/>
      <c r="D447" s="188"/>
      <c r="F447" s="168" t="s">
        <v>6202</v>
      </c>
      <c r="G447" s="192">
        <f>IF(_1_54128456121462410464578910174567[[#This Row],[Type]]&gt;0,VLOOKUP(_1_54128456121462410464578910174567[[#This Row],[Type]],Main[[#All],[TYPE]:[UNIT]],'Unit Price'!C$1,FALSE),0)</f>
        <v>0</v>
      </c>
      <c r="H447" s="197">
        <f>IF(_1_54128456121462410464578910174567[[#This Row],[Type]]&gt;0,VLOOKUP(_1_54128456121462410464578910174567[[#This Row],[Type]],Main[[#All],[TYPE]:[UNIT]],'Unit Price'!D$1,FALSE),0)</f>
        <v>0</v>
      </c>
      <c r="I447" s="194">
        <f>IF(_1_54128456121462410464578910174567[[#This Row],[Type]]&gt;0,VLOOKUP(_1_54128456121462410464578910174567[[#This Row],[Type]],Main[[#All],[TYPE]:[UNIT]],'Unit Price'!G$1,FALSE),0)</f>
        <v>0</v>
      </c>
      <c r="J447" s="194">
        <f>IF(_1_54128456121462410464578910174567[[#This Row],[Type]]&gt;0,VLOOKUP(_1_54128456121462410464578910174567[[#This Row],[Type]],Main[[#All],[TYPE]:[UNIT]],'Unit Price'!H$1,FALSE),0)</f>
        <v>0</v>
      </c>
      <c r="K447" s="194">
        <f>IF(_1_54128456121462410464578910174567[[#This Row],[Discount selection]]&gt;0,VLOOKUP(_1_54128456121462410464578910174567[[#This Row],[Discount selection]],'Discount Structure'!$A$2:$B$30,2,"false"),0)</f>
        <v>1</v>
      </c>
      <c r="L447" s="194">
        <f>_1_54128456121462410464578910174567[[#This Row],[LIST $]]*_1_54128456121462410464578910174567[[#This Row],[DISCOUNT]]*_1_54128456121462410464578910174567[[#This Row],[DISCOUNT 2]]</f>
        <v>0</v>
      </c>
      <c r="M447" s="194">
        <f>IF(OR(_1_54128456121462410464578910174567[[#This Row],[UNIT]]&gt;0,_1_54128456121462410464578910174567[[#This Row],[UNIT]]&lt;0),_1_54128456121462410464578910174567[[#This Row],[UNIT]]*_1_54128456121462410464578910174567[[#This Row],[COST]],0)</f>
        <v>0</v>
      </c>
      <c r="N447" s="194">
        <f t="shared" si="6"/>
        <v>1.3</v>
      </c>
      <c r="O447" s="198">
        <f>_1_54128456121462410464578910174567[[#This Row],[TOTAL]]*_1_54128456121462410464578910174567[[#This Row],[MARGIN]]</f>
        <v>0</v>
      </c>
      <c r="R447" s="41"/>
    </row>
    <row r="448" spans="1:18">
      <c r="D448" s="188"/>
      <c r="F448" s="168" t="s">
        <v>6202</v>
      </c>
      <c r="G448" s="193">
        <f>IF(_1_54128456121462410464578910174567[[#This Row],[Type]]&gt;0,VLOOKUP(_1_54128456121462410464578910174567[[#This Row],[Type]],Main[[#All],[TYPE]:[UNIT]],'Unit Price'!C$1,FALSE),0)</f>
        <v>0</v>
      </c>
      <c r="H448" s="197">
        <f>IF(_1_54128456121462410464578910174567[[#This Row],[Type]]&gt;0,VLOOKUP(_1_54128456121462410464578910174567[[#This Row],[Type]],Main[[#All],[TYPE]:[UNIT]],'Unit Price'!D$1,FALSE),0)</f>
        <v>0</v>
      </c>
      <c r="I448" s="194">
        <f>IF(_1_54128456121462410464578910174567[[#This Row],[Type]]&gt;0,VLOOKUP(_1_54128456121462410464578910174567[[#This Row],[Type]],Main[[#All],[TYPE]:[UNIT]],'Unit Price'!G$1,FALSE),0)</f>
        <v>0</v>
      </c>
      <c r="J448" s="194">
        <f>IF(_1_54128456121462410464578910174567[[#This Row],[Type]]&gt;0,VLOOKUP(_1_54128456121462410464578910174567[[#This Row],[Type]],Main[[#All],[TYPE]:[UNIT]],'Unit Price'!H$1,FALSE),0)</f>
        <v>0</v>
      </c>
      <c r="K448" s="194">
        <f>IF(_1_54128456121462410464578910174567[[#This Row],[Discount selection]]&gt;0,VLOOKUP(_1_54128456121462410464578910174567[[#This Row],[Discount selection]],'Discount Structure'!$A$2:$B$30,2,"false"),0)</f>
        <v>1</v>
      </c>
      <c r="L448" s="194">
        <f>_1_54128456121462410464578910174567[[#This Row],[LIST $]]*_1_54128456121462410464578910174567[[#This Row],[DISCOUNT]]*_1_54128456121462410464578910174567[[#This Row],[DISCOUNT 2]]</f>
        <v>0</v>
      </c>
      <c r="M448" s="194">
        <f>IF(OR(_1_54128456121462410464578910174567[[#This Row],[UNIT]]&gt;0,_1_54128456121462410464578910174567[[#This Row],[UNIT]]&lt;0),_1_54128456121462410464578910174567[[#This Row],[UNIT]]*_1_54128456121462410464578910174567[[#This Row],[COST]],0)</f>
        <v>0</v>
      </c>
      <c r="N448" s="194">
        <f t="shared" si="6"/>
        <v>1.3</v>
      </c>
      <c r="O448" s="198">
        <f>_1_54128456121462410464578910174567[[#This Row],[TOTAL]]*_1_54128456121462410464578910174567[[#This Row],[MARGIN]]</f>
        <v>0</v>
      </c>
      <c r="R448" s="41"/>
    </row>
    <row r="449" spans="1:18">
      <c r="B449" s="168"/>
      <c r="D449" s="188"/>
      <c r="F449" s="168" t="s">
        <v>6202</v>
      </c>
      <c r="G449" s="193">
        <f>IF(_1_54128456121462410464578910174567[[#This Row],[Type]]&gt;0,VLOOKUP(_1_54128456121462410464578910174567[[#This Row],[Type]],Main[[#All],[TYPE]:[UNIT]],'Unit Price'!C$1,FALSE),0)</f>
        <v>0</v>
      </c>
      <c r="H449" s="197">
        <f>IF(_1_54128456121462410464578910174567[[#This Row],[Type]]&gt;0,VLOOKUP(_1_54128456121462410464578910174567[[#This Row],[Type]],Main[[#All],[TYPE]:[UNIT]],'Unit Price'!D$1,FALSE),0)</f>
        <v>0</v>
      </c>
      <c r="I449" s="194">
        <f>IF(_1_54128456121462410464578910174567[[#This Row],[Type]]&gt;0,VLOOKUP(_1_54128456121462410464578910174567[[#This Row],[Type]],Main[[#All],[TYPE]:[UNIT]],'Unit Price'!G$1,FALSE),0)</f>
        <v>0</v>
      </c>
      <c r="J449" s="194">
        <f>IF(_1_54128456121462410464578910174567[[#This Row],[Type]]&gt;0,VLOOKUP(_1_54128456121462410464578910174567[[#This Row],[Type]],Main[[#All],[TYPE]:[UNIT]],'Unit Price'!H$1,FALSE),0)</f>
        <v>0</v>
      </c>
      <c r="K449" s="194">
        <f>IF(_1_54128456121462410464578910174567[[#This Row],[Discount selection]]&gt;0,VLOOKUP(_1_54128456121462410464578910174567[[#This Row],[Discount selection]],'Discount Structure'!$A$2:$B$30,2,"false"),0)</f>
        <v>1</v>
      </c>
      <c r="L449" s="194">
        <f>_1_54128456121462410464578910174567[[#This Row],[LIST $]]*_1_54128456121462410464578910174567[[#This Row],[DISCOUNT]]*_1_54128456121462410464578910174567[[#This Row],[DISCOUNT 2]]</f>
        <v>0</v>
      </c>
      <c r="M449" s="194">
        <f>IF(OR(_1_54128456121462410464578910174567[[#This Row],[UNIT]]&gt;0,_1_54128456121462410464578910174567[[#This Row],[UNIT]]&lt;0),_1_54128456121462410464578910174567[[#This Row],[UNIT]]*_1_54128456121462410464578910174567[[#This Row],[COST]],0)</f>
        <v>0</v>
      </c>
      <c r="N449" s="194">
        <f t="shared" si="6"/>
        <v>1.3</v>
      </c>
      <c r="O449" s="198">
        <f>_1_54128456121462410464578910174567[[#This Row],[TOTAL]]*_1_54128456121462410464578910174567[[#This Row],[MARGIN]]</f>
        <v>0</v>
      </c>
      <c r="R449" s="41"/>
    </row>
    <row r="450" spans="1:18">
      <c r="D450" s="188"/>
      <c r="F450" s="168" t="s">
        <v>6202</v>
      </c>
      <c r="G450" s="193">
        <f>IF(_1_54128456121462410464578910174567[[#This Row],[Type]]&gt;0,VLOOKUP(_1_54128456121462410464578910174567[[#This Row],[Type]],Main[[#All],[TYPE]:[UNIT]],'Unit Price'!C$1,FALSE),0)</f>
        <v>0</v>
      </c>
      <c r="H450" s="197">
        <f>IF(_1_54128456121462410464578910174567[[#This Row],[Type]]&gt;0,VLOOKUP(_1_54128456121462410464578910174567[[#This Row],[Type]],Main[[#All],[TYPE]:[UNIT]],'Unit Price'!D$1,FALSE),0)</f>
        <v>0</v>
      </c>
      <c r="I450" s="194">
        <f>IF(_1_54128456121462410464578910174567[[#This Row],[Type]]&gt;0,VLOOKUP(_1_54128456121462410464578910174567[[#This Row],[Type]],Main[[#All],[TYPE]:[UNIT]],'Unit Price'!G$1,FALSE),0)</f>
        <v>0</v>
      </c>
      <c r="J450" s="194">
        <f>IF(_1_54128456121462410464578910174567[[#This Row],[Type]]&gt;0,VLOOKUP(_1_54128456121462410464578910174567[[#This Row],[Type]],Main[[#All],[TYPE]:[UNIT]],'Unit Price'!H$1,FALSE),0)</f>
        <v>0</v>
      </c>
      <c r="K450" s="194">
        <f>IF(_1_54128456121462410464578910174567[[#This Row],[Discount selection]]&gt;0,VLOOKUP(_1_54128456121462410464578910174567[[#This Row],[Discount selection]],'Discount Structure'!$A$2:$B$30,2,"false"),0)</f>
        <v>1</v>
      </c>
      <c r="L450" s="194">
        <f>_1_54128456121462410464578910174567[[#This Row],[LIST $]]*_1_54128456121462410464578910174567[[#This Row],[DISCOUNT]]*_1_54128456121462410464578910174567[[#This Row],[DISCOUNT 2]]</f>
        <v>0</v>
      </c>
      <c r="M450" s="194">
        <f>IF(OR(_1_54128456121462410464578910174567[[#This Row],[UNIT]]&gt;0,_1_54128456121462410464578910174567[[#This Row],[UNIT]]&lt;0),_1_54128456121462410464578910174567[[#This Row],[UNIT]]*_1_54128456121462410464578910174567[[#This Row],[COST]],0)</f>
        <v>0</v>
      </c>
      <c r="N450" s="194">
        <f t="shared" si="6"/>
        <v>1.3</v>
      </c>
      <c r="O450" s="198">
        <f>_1_54128456121462410464578910174567[[#This Row],[TOTAL]]*_1_54128456121462410464578910174567[[#This Row],[MARGIN]]</f>
        <v>0</v>
      </c>
      <c r="R450" s="41"/>
    </row>
    <row r="451" spans="1:18">
      <c r="D451" s="188"/>
      <c r="F451" s="168" t="s">
        <v>6202</v>
      </c>
      <c r="G451" s="193">
        <f>IF(_1_54128456121462410464578910174567[[#This Row],[Type]]&gt;0,VLOOKUP(_1_54128456121462410464578910174567[[#This Row],[Type]],Main[[#All],[TYPE]:[UNIT]],'Unit Price'!C$1,FALSE),0)</f>
        <v>0</v>
      </c>
      <c r="H451" s="197">
        <f>IF(_1_54128456121462410464578910174567[[#This Row],[Type]]&gt;0,VLOOKUP(_1_54128456121462410464578910174567[[#This Row],[Type]],Main[[#All],[TYPE]:[UNIT]],'Unit Price'!D$1,FALSE),0)</f>
        <v>0</v>
      </c>
      <c r="I451" s="194">
        <f>IF(_1_54128456121462410464578910174567[[#This Row],[Type]]&gt;0,VLOOKUP(_1_54128456121462410464578910174567[[#This Row],[Type]],Main[[#All],[TYPE]:[UNIT]],'Unit Price'!G$1,FALSE),0)</f>
        <v>0</v>
      </c>
      <c r="J451" s="194">
        <f>IF(_1_54128456121462410464578910174567[[#This Row],[Type]]&gt;0,VLOOKUP(_1_54128456121462410464578910174567[[#This Row],[Type]],Main[[#All],[TYPE]:[UNIT]],'Unit Price'!H$1,FALSE),0)</f>
        <v>0</v>
      </c>
      <c r="K451" s="194">
        <f>IF(_1_54128456121462410464578910174567[[#This Row],[Discount selection]]&gt;0,VLOOKUP(_1_54128456121462410464578910174567[[#This Row],[Discount selection]],'Discount Structure'!$A$2:$B$30,2,"false"),0)</f>
        <v>1</v>
      </c>
      <c r="L451" s="194">
        <f>_1_54128456121462410464578910174567[[#This Row],[LIST $]]*_1_54128456121462410464578910174567[[#This Row],[DISCOUNT]]*_1_54128456121462410464578910174567[[#This Row],[DISCOUNT 2]]</f>
        <v>0</v>
      </c>
      <c r="M451" s="194">
        <f>IF(OR(_1_54128456121462410464578910174567[[#This Row],[UNIT]]&gt;0,_1_54128456121462410464578910174567[[#This Row],[UNIT]]&lt;0),_1_54128456121462410464578910174567[[#This Row],[UNIT]]*_1_54128456121462410464578910174567[[#This Row],[COST]],0)</f>
        <v>0</v>
      </c>
      <c r="N451" s="194">
        <f t="shared" si="6"/>
        <v>1.3</v>
      </c>
      <c r="O451" s="198">
        <f>_1_54128456121462410464578910174567[[#This Row],[TOTAL]]*_1_54128456121462410464578910174567[[#This Row],[MARGIN]]</f>
        <v>0</v>
      </c>
      <c r="R451" s="41"/>
    </row>
    <row r="452" spans="1:18">
      <c r="D452" s="188"/>
      <c r="F452" s="168" t="s">
        <v>6202</v>
      </c>
      <c r="G452" s="193">
        <f>IF(_1_54128456121462410464578910174567[[#This Row],[Type]]&gt;0,VLOOKUP(_1_54128456121462410464578910174567[[#This Row],[Type]],Main[[#All],[TYPE]:[UNIT]],'Unit Price'!C$1,FALSE),0)</f>
        <v>0</v>
      </c>
      <c r="H452" s="197">
        <f>IF(_1_54128456121462410464578910174567[[#This Row],[Type]]&gt;0,VLOOKUP(_1_54128456121462410464578910174567[[#This Row],[Type]],Main[[#All],[TYPE]:[UNIT]],'Unit Price'!D$1,FALSE),0)</f>
        <v>0</v>
      </c>
      <c r="I452" s="194">
        <f>IF(_1_54128456121462410464578910174567[[#This Row],[Type]]&gt;0,VLOOKUP(_1_54128456121462410464578910174567[[#This Row],[Type]],Main[[#All],[TYPE]:[UNIT]],'Unit Price'!G$1,FALSE),0)</f>
        <v>0</v>
      </c>
      <c r="J452" s="194">
        <f>IF(_1_54128456121462410464578910174567[[#This Row],[Type]]&gt;0,VLOOKUP(_1_54128456121462410464578910174567[[#This Row],[Type]],Main[[#All],[TYPE]:[UNIT]],'Unit Price'!H$1,FALSE),0)</f>
        <v>0</v>
      </c>
      <c r="K452" s="194">
        <f>IF(_1_54128456121462410464578910174567[[#This Row],[Discount selection]]&gt;0,VLOOKUP(_1_54128456121462410464578910174567[[#This Row],[Discount selection]],'Discount Structure'!$A$2:$B$30,2,"false"),0)</f>
        <v>1</v>
      </c>
      <c r="L452" s="194">
        <f>_1_54128456121462410464578910174567[[#This Row],[LIST $]]*_1_54128456121462410464578910174567[[#This Row],[DISCOUNT]]*_1_54128456121462410464578910174567[[#This Row],[DISCOUNT 2]]</f>
        <v>0</v>
      </c>
      <c r="M452" s="194">
        <f>IF(OR(_1_54128456121462410464578910174567[[#This Row],[UNIT]]&gt;0,_1_54128456121462410464578910174567[[#This Row],[UNIT]]&lt;0),_1_54128456121462410464578910174567[[#This Row],[UNIT]]*_1_54128456121462410464578910174567[[#This Row],[COST]],0)</f>
        <v>0</v>
      </c>
      <c r="N452" s="194">
        <f t="shared" si="6"/>
        <v>1.3</v>
      </c>
      <c r="O452" s="198">
        <f>_1_54128456121462410464578910174567[[#This Row],[TOTAL]]*_1_54128456121462410464578910174567[[#This Row],[MARGIN]]</f>
        <v>0</v>
      </c>
      <c r="R452" s="41"/>
    </row>
    <row r="453" spans="1:18">
      <c r="D453" s="188"/>
      <c r="F453" s="168" t="s">
        <v>6202</v>
      </c>
      <c r="G453" s="193">
        <f>IF(_1_54128456121462410464578910174567[[#This Row],[Type]]&gt;0,VLOOKUP(_1_54128456121462410464578910174567[[#This Row],[Type]],Main[[#All],[TYPE]:[UNIT]],'Unit Price'!C$1,FALSE),0)</f>
        <v>0</v>
      </c>
      <c r="H453" s="197">
        <f>IF(_1_54128456121462410464578910174567[[#This Row],[Type]]&gt;0,VLOOKUP(_1_54128456121462410464578910174567[[#This Row],[Type]],Main[[#All],[TYPE]:[UNIT]],'Unit Price'!D$1,FALSE),0)</f>
        <v>0</v>
      </c>
      <c r="I453" s="194">
        <f>IF(_1_54128456121462410464578910174567[[#This Row],[Type]]&gt;0,VLOOKUP(_1_54128456121462410464578910174567[[#This Row],[Type]],Main[[#All],[TYPE]:[UNIT]],'Unit Price'!G$1,FALSE),0)</f>
        <v>0</v>
      </c>
      <c r="J453" s="194">
        <f>IF(_1_54128456121462410464578910174567[[#This Row],[Type]]&gt;0,VLOOKUP(_1_54128456121462410464578910174567[[#This Row],[Type]],Main[[#All],[TYPE]:[UNIT]],'Unit Price'!H$1,FALSE),0)</f>
        <v>0</v>
      </c>
      <c r="K453" s="194">
        <f>IF(_1_54128456121462410464578910174567[[#This Row],[Discount selection]]&gt;0,VLOOKUP(_1_54128456121462410464578910174567[[#This Row],[Discount selection]],'Discount Structure'!$A$2:$B$30,2,"false"),0)</f>
        <v>1</v>
      </c>
      <c r="L453" s="194">
        <f>_1_54128456121462410464578910174567[[#This Row],[LIST $]]*_1_54128456121462410464578910174567[[#This Row],[DISCOUNT]]*_1_54128456121462410464578910174567[[#This Row],[DISCOUNT 2]]</f>
        <v>0</v>
      </c>
      <c r="M453" s="194">
        <f>IF(OR(_1_54128456121462410464578910174567[[#This Row],[UNIT]]&gt;0,_1_54128456121462410464578910174567[[#This Row],[UNIT]]&lt;0),_1_54128456121462410464578910174567[[#This Row],[UNIT]]*_1_54128456121462410464578910174567[[#This Row],[COST]],0)</f>
        <v>0</v>
      </c>
      <c r="N453" s="194">
        <f t="shared" si="6"/>
        <v>1.3</v>
      </c>
      <c r="O453" s="198">
        <f>_1_54128456121462410464578910174567[[#This Row],[TOTAL]]*_1_54128456121462410464578910174567[[#This Row],[MARGIN]]</f>
        <v>0</v>
      </c>
      <c r="R453" s="41"/>
    </row>
    <row r="454" spans="1:18">
      <c r="D454" s="188"/>
      <c r="F454" s="168" t="s">
        <v>6202</v>
      </c>
      <c r="G454" s="193">
        <f>IF(_1_54128456121462410464578910174567[[#This Row],[Type]]&gt;0,VLOOKUP(_1_54128456121462410464578910174567[[#This Row],[Type]],Main[[#All],[TYPE]:[UNIT]],'Unit Price'!C$1,FALSE),0)</f>
        <v>0</v>
      </c>
      <c r="H454" s="197">
        <f>IF(_1_54128456121462410464578910174567[[#This Row],[Type]]&gt;0,VLOOKUP(_1_54128456121462410464578910174567[[#This Row],[Type]],Main[[#All],[TYPE]:[UNIT]],'Unit Price'!D$1,FALSE),0)</f>
        <v>0</v>
      </c>
      <c r="I454" s="194">
        <f>IF(_1_54128456121462410464578910174567[[#This Row],[Type]]&gt;0,VLOOKUP(_1_54128456121462410464578910174567[[#This Row],[Type]],Main[[#All],[TYPE]:[UNIT]],'Unit Price'!G$1,FALSE),0)</f>
        <v>0</v>
      </c>
      <c r="J454" s="194">
        <f>IF(_1_54128456121462410464578910174567[[#This Row],[Type]]&gt;0,VLOOKUP(_1_54128456121462410464578910174567[[#This Row],[Type]],Main[[#All],[TYPE]:[UNIT]],'Unit Price'!H$1,FALSE),0)</f>
        <v>0</v>
      </c>
      <c r="K454" s="194">
        <f>IF(_1_54128456121462410464578910174567[[#This Row],[Discount selection]]&gt;0,VLOOKUP(_1_54128456121462410464578910174567[[#This Row],[Discount selection]],'Discount Structure'!$A$2:$B$30,2,"false"),0)</f>
        <v>1</v>
      </c>
      <c r="L454" s="194">
        <f>_1_54128456121462410464578910174567[[#This Row],[LIST $]]*_1_54128456121462410464578910174567[[#This Row],[DISCOUNT]]*_1_54128456121462410464578910174567[[#This Row],[DISCOUNT 2]]</f>
        <v>0</v>
      </c>
      <c r="M454" s="194">
        <f>IF(OR(_1_54128456121462410464578910174567[[#This Row],[UNIT]]&gt;0,_1_54128456121462410464578910174567[[#This Row],[UNIT]]&lt;0),_1_54128456121462410464578910174567[[#This Row],[UNIT]]*_1_54128456121462410464578910174567[[#This Row],[COST]],0)</f>
        <v>0</v>
      </c>
      <c r="N454" s="194">
        <f t="shared" si="6"/>
        <v>1.3</v>
      </c>
      <c r="O454" s="198">
        <f>_1_54128456121462410464578910174567[[#This Row],[TOTAL]]*_1_54128456121462410464578910174567[[#This Row],[MARGIN]]</f>
        <v>0</v>
      </c>
      <c r="R454" s="41"/>
    </row>
    <row r="455" spans="1:18">
      <c r="D455" s="188"/>
      <c r="F455" s="168" t="s">
        <v>6202</v>
      </c>
      <c r="G455" s="193">
        <f>IF(_1_54128456121462410464578910174567[[#This Row],[Type]]&gt;0,VLOOKUP(_1_54128456121462410464578910174567[[#This Row],[Type]],Main[[#All],[TYPE]:[UNIT]],'Unit Price'!C$1,FALSE),0)</f>
        <v>0</v>
      </c>
      <c r="H455" s="197">
        <f>IF(_1_54128456121462410464578910174567[[#This Row],[Type]]&gt;0,VLOOKUP(_1_54128456121462410464578910174567[[#This Row],[Type]],Main[[#All],[TYPE]:[UNIT]],'Unit Price'!D$1,FALSE),0)</f>
        <v>0</v>
      </c>
      <c r="I455" s="194">
        <f>IF(_1_54128456121462410464578910174567[[#This Row],[Type]]&gt;0,VLOOKUP(_1_54128456121462410464578910174567[[#This Row],[Type]],Main[[#All],[TYPE]:[UNIT]],'Unit Price'!G$1,FALSE),0)</f>
        <v>0</v>
      </c>
      <c r="J455" s="194">
        <f>IF(_1_54128456121462410464578910174567[[#This Row],[Type]]&gt;0,VLOOKUP(_1_54128456121462410464578910174567[[#This Row],[Type]],Main[[#All],[TYPE]:[UNIT]],'Unit Price'!H$1,FALSE),0)</f>
        <v>0</v>
      </c>
      <c r="K455" s="194">
        <f>IF(_1_54128456121462410464578910174567[[#This Row],[Discount selection]]&gt;0,VLOOKUP(_1_54128456121462410464578910174567[[#This Row],[Discount selection]],'Discount Structure'!$A$2:$B$30,2,"false"),0)</f>
        <v>1</v>
      </c>
      <c r="L455" s="194">
        <f>_1_54128456121462410464578910174567[[#This Row],[LIST $]]*_1_54128456121462410464578910174567[[#This Row],[DISCOUNT]]*_1_54128456121462410464578910174567[[#This Row],[DISCOUNT 2]]</f>
        <v>0</v>
      </c>
      <c r="M455" s="194">
        <f>IF(OR(_1_54128456121462410464578910174567[[#This Row],[UNIT]]&gt;0,_1_54128456121462410464578910174567[[#This Row],[UNIT]]&lt;0),_1_54128456121462410464578910174567[[#This Row],[UNIT]]*_1_54128456121462410464578910174567[[#This Row],[COST]],0)</f>
        <v>0</v>
      </c>
      <c r="N455" s="194">
        <f t="shared" si="6"/>
        <v>1.3</v>
      </c>
      <c r="O455" s="198">
        <f>_1_54128456121462410464578910174567[[#This Row],[TOTAL]]*_1_54128456121462410464578910174567[[#This Row],[MARGIN]]</f>
        <v>0</v>
      </c>
      <c r="R455" s="41"/>
    </row>
    <row r="456" spans="1:18">
      <c r="A456" s="168"/>
      <c r="D456" s="188"/>
      <c r="F456" s="168" t="s">
        <v>6202</v>
      </c>
      <c r="G456" s="193">
        <f>IF(_1_54128456121462410464578910174567[[#This Row],[Type]]&gt;0,VLOOKUP(_1_54128456121462410464578910174567[[#This Row],[Type]],Main[[#All],[TYPE]:[UNIT]],'Unit Price'!C$1,FALSE),0)</f>
        <v>0</v>
      </c>
      <c r="H456" s="197">
        <f>IF(_1_54128456121462410464578910174567[[#This Row],[Type]]&gt;0,VLOOKUP(_1_54128456121462410464578910174567[[#This Row],[Type]],Main[[#All],[TYPE]:[UNIT]],'Unit Price'!D$1,FALSE),0)</f>
        <v>0</v>
      </c>
      <c r="I456" s="194">
        <f>IF(_1_54128456121462410464578910174567[[#This Row],[Type]]&gt;0,VLOOKUP(_1_54128456121462410464578910174567[[#This Row],[Type]],Main[[#All],[TYPE]:[UNIT]],'Unit Price'!G$1,FALSE),0)</f>
        <v>0</v>
      </c>
      <c r="J456" s="194">
        <f>IF(_1_54128456121462410464578910174567[[#This Row],[Type]]&gt;0,VLOOKUP(_1_54128456121462410464578910174567[[#This Row],[Type]],Main[[#All],[TYPE]:[UNIT]],'Unit Price'!H$1,FALSE),0)</f>
        <v>0</v>
      </c>
      <c r="K456" s="194">
        <f>IF(_1_54128456121462410464578910174567[[#This Row],[Discount selection]]&gt;0,VLOOKUP(_1_54128456121462410464578910174567[[#This Row],[Discount selection]],'Discount Structure'!$A$2:$B$30,2,"false"),0)</f>
        <v>1</v>
      </c>
      <c r="L456" s="194">
        <f>_1_54128456121462410464578910174567[[#This Row],[LIST $]]*_1_54128456121462410464578910174567[[#This Row],[DISCOUNT]]*_1_54128456121462410464578910174567[[#This Row],[DISCOUNT 2]]</f>
        <v>0</v>
      </c>
      <c r="M456" s="194">
        <f>IF(OR(_1_54128456121462410464578910174567[[#This Row],[UNIT]]&gt;0,_1_54128456121462410464578910174567[[#This Row],[UNIT]]&lt;0),_1_54128456121462410464578910174567[[#This Row],[UNIT]]*_1_54128456121462410464578910174567[[#This Row],[COST]],0)</f>
        <v>0</v>
      </c>
      <c r="N456" s="194">
        <f t="shared" si="6"/>
        <v>1.3</v>
      </c>
      <c r="O456" s="198">
        <f>_1_54128456121462410464578910174567[[#This Row],[TOTAL]]*_1_54128456121462410464578910174567[[#This Row],[MARGIN]]</f>
        <v>0</v>
      </c>
      <c r="R456" s="41"/>
    </row>
    <row r="457" spans="1:18">
      <c r="D457" s="188"/>
      <c r="F457" s="168" t="s">
        <v>6202</v>
      </c>
      <c r="G457" s="192">
        <f>IF(_1_54128456121462410464578910174567[[#This Row],[Type]]&gt;0,VLOOKUP(_1_54128456121462410464578910174567[[#This Row],[Type]],Main[[#All],[TYPE]:[UNIT]],'Unit Price'!C$1,FALSE),0)</f>
        <v>0</v>
      </c>
      <c r="H457" s="197">
        <f>IF(_1_54128456121462410464578910174567[[#This Row],[Type]]&gt;0,VLOOKUP(_1_54128456121462410464578910174567[[#This Row],[Type]],Main[[#All],[TYPE]:[UNIT]],'Unit Price'!D$1,FALSE),0)</f>
        <v>0</v>
      </c>
      <c r="I457" s="194">
        <f>IF(_1_54128456121462410464578910174567[[#This Row],[Type]]&gt;0,VLOOKUP(_1_54128456121462410464578910174567[[#This Row],[Type]],Main[[#All],[TYPE]:[UNIT]],'Unit Price'!G$1,FALSE),0)</f>
        <v>0</v>
      </c>
      <c r="J457" s="194">
        <f>IF(_1_54128456121462410464578910174567[[#This Row],[Type]]&gt;0,VLOOKUP(_1_54128456121462410464578910174567[[#This Row],[Type]],Main[[#All],[TYPE]:[UNIT]],'Unit Price'!H$1,FALSE),0)</f>
        <v>0</v>
      </c>
      <c r="K457" s="194">
        <f>IF(_1_54128456121462410464578910174567[[#This Row],[Discount selection]]&gt;0,VLOOKUP(_1_54128456121462410464578910174567[[#This Row],[Discount selection]],'Discount Structure'!$A$2:$B$30,2,"false"),0)</f>
        <v>1</v>
      </c>
      <c r="L457" s="194">
        <f>_1_54128456121462410464578910174567[[#This Row],[LIST $]]*_1_54128456121462410464578910174567[[#This Row],[DISCOUNT]]*_1_54128456121462410464578910174567[[#This Row],[DISCOUNT 2]]</f>
        <v>0</v>
      </c>
      <c r="M457" s="194">
        <f>IF(OR(_1_54128456121462410464578910174567[[#This Row],[UNIT]]&gt;0,_1_54128456121462410464578910174567[[#This Row],[UNIT]]&lt;0),_1_54128456121462410464578910174567[[#This Row],[UNIT]]*_1_54128456121462410464578910174567[[#This Row],[COST]],0)</f>
        <v>0</v>
      </c>
      <c r="N457" s="194">
        <f t="shared" si="6"/>
        <v>1.3</v>
      </c>
      <c r="O457" s="198">
        <f>_1_54128456121462410464578910174567[[#This Row],[TOTAL]]*_1_54128456121462410464578910174567[[#This Row],[MARGIN]]</f>
        <v>0</v>
      </c>
      <c r="R457" s="41"/>
    </row>
    <row r="458" spans="1:18">
      <c r="D458" s="188"/>
      <c r="F458" s="168" t="s">
        <v>6202</v>
      </c>
      <c r="G458" s="193">
        <f>IF(_1_54128456121462410464578910174567[[#This Row],[Type]]&gt;0,VLOOKUP(_1_54128456121462410464578910174567[[#This Row],[Type]],Main[[#All],[TYPE]:[UNIT]],'Unit Price'!C$1,FALSE),0)</f>
        <v>0</v>
      </c>
      <c r="H458" s="197">
        <f>IF(_1_54128456121462410464578910174567[[#This Row],[Type]]&gt;0,VLOOKUP(_1_54128456121462410464578910174567[[#This Row],[Type]],Main[[#All],[TYPE]:[UNIT]],'Unit Price'!D$1,FALSE),0)</f>
        <v>0</v>
      </c>
      <c r="I458" s="194">
        <f>IF(_1_54128456121462410464578910174567[[#This Row],[Type]]&gt;0,VLOOKUP(_1_54128456121462410464578910174567[[#This Row],[Type]],Main[[#All],[TYPE]:[UNIT]],'Unit Price'!G$1,FALSE),0)</f>
        <v>0</v>
      </c>
      <c r="J458" s="194">
        <f>IF(_1_54128456121462410464578910174567[[#This Row],[Type]]&gt;0,VLOOKUP(_1_54128456121462410464578910174567[[#This Row],[Type]],Main[[#All],[TYPE]:[UNIT]],'Unit Price'!H$1,FALSE),0)</f>
        <v>0</v>
      </c>
      <c r="K458" s="194">
        <f>IF(_1_54128456121462410464578910174567[[#This Row],[Discount selection]]&gt;0,VLOOKUP(_1_54128456121462410464578910174567[[#This Row],[Discount selection]],'Discount Structure'!$A$2:$B$30,2,"false"),0)</f>
        <v>1</v>
      </c>
      <c r="L458" s="194">
        <f>_1_54128456121462410464578910174567[[#This Row],[LIST $]]*_1_54128456121462410464578910174567[[#This Row],[DISCOUNT]]*_1_54128456121462410464578910174567[[#This Row],[DISCOUNT 2]]</f>
        <v>0</v>
      </c>
      <c r="M458" s="194">
        <f>IF(OR(_1_54128456121462410464578910174567[[#This Row],[UNIT]]&gt;0,_1_54128456121462410464578910174567[[#This Row],[UNIT]]&lt;0),_1_54128456121462410464578910174567[[#This Row],[UNIT]]*_1_54128456121462410464578910174567[[#This Row],[COST]],0)</f>
        <v>0</v>
      </c>
      <c r="N458" s="194">
        <f t="shared" ref="N458:N521" si="7">$N$7</f>
        <v>1.3</v>
      </c>
      <c r="O458" s="198">
        <f>_1_54128456121462410464578910174567[[#This Row],[TOTAL]]*_1_54128456121462410464578910174567[[#This Row],[MARGIN]]</f>
        <v>0</v>
      </c>
      <c r="R458" s="41"/>
    </row>
    <row r="459" spans="1:18">
      <c r="D459" s="188"/>
      <c r="F459" s="168" t="s">
        <v>6202</v>
      </c>
      <c r="G459" s="193">
        <f>IF(_1_54128456121462410464578910174567[[#This Row],[Type]]&gt;0,VLOOKUP(_1_54128456121462410464578910174567[[#This Row],[Type]],Main[[#All],[TYPE]:[UNIT]],'Unit Price'!C$1,FALSE),0)</f>
        <v>0</v>
      </c>
      <c r="H459" s="197">
        <f>IF(_1_54128456121462410464578910174567[[#This Row],[Type]]&gt;0,VLOOKUP(_1_54128456121462410464578910174567[[#This Row],[Type]],Main[[#All],[TYPE]:[UNIT]],'Unit Price'!D$1,FALSE),0)</f>
        <v>0</v>
      </c>
      <c r="I459" s="194">
        <f>IF(_1_54128456121462410464578910174567[[#This Row],[Type]]&gt;0,VLOOKUP(_1_54128456121462410464578910174567[[#This Row],[Type]],Main[[#All],[TYPE]:[UNIT]],'Unit Price'!G$1,FALSE),0)</f>
        <v>0</v>
      </c>
      <c r="J459" s="194">
        <f>IF(_1_54128456121462410464578910174567[[#This Row],[Type]]&gt;0,VLOOKUP(_1_54128456121462410464578910174567[[#This Row],[Type]],Main[[#All],[TYPE]:[UNIT]],'Unit Price'!H$1,FALSE),0)</f>
        <v>0</v>
      </c>
      <c r="K459" s="194">
        <f>IF(_1_54128456121462410464578910174567[[#This Row],[Discount selection]]&gt;0,VLOOKUP(_1_54128456121462410464578910174567[[#This Row],[Discount selection]],'Discount Structure'!$A$2:$B$30,2,"false"),0)</f>
        <v>1</v>
      </c>
      <c r="L459" s="194">
        <f>_1_54128456121462410464578910174567[[#This Row],[LIST $]]*_1_54128456121462410464578910174567[[#This Row],[DISCOUNT]]*_1_54128456121462410464578910174567[[#This Row],[DISCOUNT 2]]</f>
        <v>0</v>
      </c>
      <c r="M459" s="194">
        <f>IF(OR(_1_54128456121462410464578910174567[[#This Row],[UNIT]]&gt;0,_1_54128456121462410464578910174567[[#This Row],[UNIT]]&lt;0),_1_54128456121462410464578910174567[[#This Row],[UNIT]]*_1_54128456121462410464578910174567[[#This Row],[COST]],0)</f>
        <v>0</v>
      </c>
      <c r="N459" s="194">
        <f t="shared" si="7"/>
        <v>1.3</v>
      </c>
      <c r="O459" s="198">
        <f>_1_54128456121462410464578910174567[[#This Row],[TOTAL]]*_1_54128456121462410464578910174567[[#This Row],[MARGIN]]</f>
        <v>0</v>
      </c>
      <c r="R459" s="41"/>
    </row>
    <row r="460" spans="1:18">
      <c r="D460" s="188"/>
      <c r="F460" s="168" t="s">
        <v>6202</v>
      </c>
      <c r="G460" s="193">
        <f>IF(_1_54128456121462410464578910174567[[#This Row],[Type]]&gt;0,VLOOKUP(_1_54128456121462410464578910174567[[#This Row],[Type]],Main[[#All],[TYPE]:[UNIT]],'Unit Price'!C$1,FALSE),0)</f>
        <v>0</v>
      </c>
      <c r="H460" s="197">
        <f>IF(_1_54128456121462410464578910174567[[#This Row],[Type]]&gt;0,VLOOKUP(_1_54128456121462410464578910174567[[#This Row],[Type]],Main[[#All],[TYPE]:[UNIT]],'Unit Price'!D$1,FALSE),0)</f>
        <v>0</v>
      </c>
      <c r="I460" s="194">
        <f>IF(_1_54128456121462410464578910174567[[#This Row],[Type]]&gt;0,VLOOKUP(_1_54128456121462410464578910174567[[#This Row],[Type]],Main[[#All],[TYPE]:[UNIT]],'Unit Price'!G$1,FALSE),0)</f>
        <v>0</v>
      </c>
      <c r="J460" s="194">
        <f>IF(_1_54128456121462410464578910174567[[#This Row],[Type]]&gt;0,VLOOKUP(_1_54128456121462410464578910174567[[#This Row],[Type]],Main[[#All],[TYPE]:[UNIT]],'Unit Price'!H$1,FALSE),0)</f>
        <v>0</v>
      </c>
      <c r="K460" s="194">
        <f>IF(_1_54128456121462410464578910174567[[#This Row],[Discount selection]]&gt;0,VLOOKUP(_1_54128456121462410464578910174567[[#This Row],[Discount selection]],'Discount Structure'!$A$2:$B$30,2,"false"),0)</f>
        <v>1</v>
      </c>
      <c r="L460" s="194">
        <f>_1_54128456121462410464578910174567[[#This Row],[LIST $]]*_1_54128456121462410464578910174567[[#This Row],[DISCOUNT]]*_1_54128456121462410464578910174567[[#This Row],[DISCOUNT 2]]</f>
        <v>0</v>
      </c>
      <c r="M460" s="194">
        <f>IF(OR(_1_54128456121462410464578910174567[[#This Row],[UNIT]]&gt;0,_1_54128456121462410464578910174567[[#This Row],[UNIT]]&lt;0),_1_54128456121462410464578910174567[[#This Row],[UNIT]]*_1_54128456121462410464578910174567[[#This Row],[COST]],0)</f>
        <v>0</v>
      </c>
      <c r="N460" s="194">
        <f t="shared" si="7"/>
        <v>1.3</v>
      </c>
      <c r="O460" s="198">
        <f>_1_54128456121462410464578910174567[[#This Row],[TOTAL]]*_1_54128456121462410464578910174567[[#This Row],[MARGIN]]</f>
        <v>0</v>
      </c>
      <c r="R460" s="41"/>
    </row>
    <row r="461" spans="1:18">
      <c r="D461" s="188"/>
      <c r="F461" s="168" t="s">
        <v>6202</v>
      </c>
      <c r="G461" s="193">
        <f>IF(_1_54128456121462410464578910174567[[#This Row],[Type]]&gt;0,VLOOKUP(_1_54128456121462410464578910174567[[#This Row],[Type]],Main[[#All],[TYPE]:[UNIT]],'Unit Price'!C$1,FALSE),0)</f>
        <v>0</v>
      </c>
      <c r="H461" s="197">
        <f>IF(_1_54128456121462410464578910174567[[#This Row],[Type]]&gt;0,VLOOKUP(_1_54128456121462410464578910174567[[#This Row],[Type]],Main[[#All],[TYPE]:[UNIT]],'Unit Price'!D$1,FALSE),0)</f>
        <v>0</v>
      </c>
      <c r="I461" s="194">
        <f>IF(_1_54128456121462410464578910174567[[#This Row],[Type]]&gt;0,VLOOKUP(_1_54128456121462410464578910174567[[#This Row],[Type]],Main[[#All],[TYPE]:[UNIT]],'Unit Price'!G$1,FALSE),0)</f>
        <v>0</v>
      </c>
      <c r="J461" s="194">
        <f>IF(_1_54128456121462410464578910174567[[#This Row],[Type]]&gt;0,VLOOKUP(_1_54128456121462410464578910174567[[#This Row],[Type]],Main[[#All],[TYPE]:[UNIT]],'Unit Price'!H$1,FALSE),0)</f>
        <v>0</v>
      </c>
      <c r="K461" s="194">
        <f>IF(_1_54128456121462410464578910174567[[#This Row],[Discount selection]]&gt;0,VLOOKUP(_1_54128456121462410464578910174567[[#This Row],[Discount selection]],'Discount Structure'!$A$2:$B$30,2,"false"),0)</f>
        <v>1</v>
      </c>
      <c r="L461" s="194">
        <f>_1_54128456121462410464578910174567[[#This Row],[LIST $]]*_1_54128456121462410464578910174567[[#This Row],[DISCOUNT]]*_1_54128456121462410464578910174567[[#This Row],[DISCOUNT 2]]</f>
        <v>0</v>
      </c>
      <c r="M461" s="194">
        <f>IF(OR(_1_54128456121462410464578910174567[[#This Row],[UNIT]]&gt;0,_1_54128456121462410464578910174567[[#This Row],[UNIT]]&lt;0),_1_54128456121462410464578910174567[[#This Row],[UNIT]]*_1_54128456121462410464578910174567[[#This Row],[COST]],0)</f>
        <v>0</v>
      </c>
      <c r="N461" s="194">
        <f t="shared" si="7"/>
        <v>1.3</v>
      </c>
      <c r="O461" s="198">
        <f>_1_54128456121462410464578910174567[[#This Row],[TOTAL]]*_1_54128456121462410464578910174567[[#This Row],[MARGIN]]</f>
        <v>0</v>
      </c>
      <c r="R461" s="41"/>
    </row>
    <row r="462" spans="1:18">
      <c r="D462" s="188"/>
      <c r="F462" s="168" t="s">
        <v>6202</v>
      </c>
      <c r="G462" s="192">
        <f>IF(_1_54128456121462410464578910174567[[#This Row],[Type]]&gt;0,VLOOKUP(_1_54128456121462410464578910174567[[#This Row],[Type]],Main[[#All],[TYPE]:[UNIT]],'Unit Price'!C$1,FALSE),0)</f>
        <v>0</v>
      </c>
      <c r="H462" s="197">
        <f>IF(_1_54128456121462410464578910174567[[#This Row],[Type]]&gt;0,VLOOKUP(_1_54128456121462410464578910174567[[#This Row],[Type]],Main[[#All],[TYPE]:[UNIT]],'Unit Price'!D$1,FALSE),0)</f>
        <v>0</v>
      </c>
      <c r="I462" s="194">
        <f>IF(_1_54128456121462410464578910174567[[#This Row],[Type]]&gt;0,VLOOKUP(_1_54128456121462410464578910174567[[#This Row],[Type]],Main[[#All],[TYPE]:[UNIT]],'Unit Price'!G$1,FALSE),0)</f>
        <v>0</v>
      </c>
      <c r="J462" s="194">
        <f>IF(_1_54128456121462410464578910174567[[#This Row],[Type]]&gt;0,VLOOKUP(_1_54128456121462410464578910174567[[#This Row],[Type]],Main[[#All],[TYPE]:[UNIT]],'Unit Price'!H$1,FALSE),0)</f>
        <v>0</v>
      </c>
      <c r="K462" s="194">
        <f>IF(_1_54128456121462410464578910174567[[#This Row],[Discount selection]]&gt;0,VLOOKUP(_1_54128456121462410464578910174567[[#This Row],[Discount selection]],'Discount Structure'!$A$2:$B$30,2,"false"),0)</f>
        <v>1</v>
      </c>
      <c r="L462" s="194">
        <f>_1_54128456121462410464578910174567[[#This Row],[LIST $]]*_1_54128456121462410464578910174567[[#This Row],[DISCOUNT]]*_1_54128456121462410464578910174567[[#This Row],[DISCOUNT 2]]</f>
        <v>0</v>
      </c>
      <c r="M462" s="194">
        <f>IF(OR(_1_54128456121462410464578910174567[[#This Row],[UNIT]]&gt;0,_1_54128456121462410464578910174567[[#This Row],[UNIT]]&lt;0),_1_54128456121462410464578910174567[[#This Row],[UNIT]]*_1_54128456121462410464578910174567[[#This Row],[COST]],0)</f>
        <v>0</v>
      </c>
      <c r="N462" s="194">
        <f t="shared" si="7"/>
        <v>1.3</v>
      </c>
      <c r="O462" s="198">
        <f>_1_54128456121462410464578910174567[[#This Row],[TOTAL]]*_1_54128456121462410464578910174567[[#This Row],[MARGIN]]</f>
        <v>0</v>
      </c>
      <c r="R462" s="41"/>
    </row>
    <row r="463" spans="1:18">
      <c r="D463" s="188"/>
      <c r="F463" s="168" t="s">
        <v>6202</v>
      </c>
      <c r="G463" s="193">
        <f>IF(_1_54128456121462410464578910174567[[#This Row],[Type]]&gt;0,VLOOKUP(_1_54128456121462410464578910174567[[#This Row],[Type]],Main[[#All],[TYPE]:[UNIT]],'Unit Price'!C$1,FALSE),0)</f>
        <v>0</v>
      </c>
      <c r="H463" s="197">
        <f>IF(_1_54128456121462410464578910174567[[#This Row],[Type]]&gt;0,VLOOKUP(_1_54128456121462410464578910174567[[#This Row],[Type]],Main[[#All],[TYPE]:[UNIT]],'Unit Price'!D$1,FALSE),0)</f>
        <v>0</v>
      </c>
      <c r="I463" s="194">
        <f>IF(_1_54128456121462410464578910174567[[#This Row],[Type]]&gt;0,VLOOKUP(_1_54128456121462410464578910174567[[#This Row],[Type]],Main[[#All],[TYPE]:[UNIT]],'Unit Price'!G$1,FALSE),0)</f>
        <v>0</v>
      </c>
      <c r="J463" s="194">
        <f>IF(_1_54128456121462410464578910174567[[#This Row],[Type]]&gt;0,VLOOKUP(_1_54128456121462410464578910174567[[#This Row],[Type]],Main[[#All],[TYPE]:[UNIT]],'Unit Price'!H$1,FALSE),0)</f>
        <v>0</v>
      </c>
      <c r="K463" s="194">
        <f>IF(_1_54128456121462410464578910174567[[#This Row],[Discount selection]]&gt;0,VLOOKUP(_1_54128456121462410464578910174567[[#This Row],[Discount selection]],'Discount Structure'!$A$2:$B$30,2,"false"),0)</f>
        <v>1</v>
      </c>
      <c r="L463" s="194">
        <f>_1_54128456121462410464578910174567[[#This Row],[LIST $]]*_1_54128456121462410464578910174567[[#This Row],[DISCOUNT]]*_1_54128456121462410464578910174567[[#This Row],[DISCOUNT 2]]</f>
        <v>0</v>
      </c>
      <c r="M463" s="194">
        <f>IF(OR(_1_54128456121462410464578910174567[[#This Row],[UNIT]]&gt;0,_1_54128456121462410464578910174567[[#This Row],[UNIT]]&lt;0),_1_54128456121462410464578910174567[[#This Row],[UNIT]]*_1_54128456121462410464578910174567[[#This Row],[COST]],0)</f>
        <v>0</v>
      </c>
      <c r="N463" s="194">
        <f t="shared" si="7"/>
        <v>1.3</v>
      </c>
      <c r="O463" s="198">
        <f>_1_54128456121462410464578910174567[[#This Row],[TOTAL]]*_1_54128456121462410464578910174567[[#This Row],[MARGIN]]</f>
        <v>0</v>
      </c>
      <c r="R463" s="41"/>
    </row>
    <row r="464" spans="1:18">
      <c r="D464" s="188"/>
      <c r="F464" s="168" t="s">
        <v>6202</v>
      </c>
      <c r="G464" s="193">
        <f>IF(_1_54128456121462410464578910174567[[#This Row],[Type]]&gt;0,VLOOKUP(_1_54128456121462410464578910174567[[#This Row],[Type]],Main[[#All],[TYPE]:[UNIT]],'Unit Price'!C$1,FALSE),0)</f>
        <v>0</v>
      </c>
      <c r="H464" s="197">
        <f>IF(_1_54128456121462410464578910174567[[#This Row],[Type]]&gt;0,VLOOKUP(_1_54128456121462410464578910174567[[#This Row],[Type]],Main[[#All],[TYPE]:[UNIT]],'Unit Price'!D$1,FALSE),0)</f>
        <v>0</v>
      </c>
      <c r="I464" s="194">
        <f>IF(_1_54128456121462410464578910174567[[#This Row],[Type]]&gt;0,VLOOKUP(_1_54128456121462410464578910174567[[#This Row],[Type]],Main[[#All],[TYPE]:[UNIT]],'Unit Price'!G$1,FALSE),0)</f>
        <v>0</v>
      </c>
      <c r="J464" s="194">
        <f>IF(_1_54128456121462410464578910174567[[#This Row],[Type]]&gt;0,VLOOKUP(_1_54128456121462410464578910174567[[#This Row],[Type]],Main[[#All],[TYPE]:[UNIT]],'Unit Price'!H$1,FALSE),0)</f>
        <v>0</v>
      </c>
      <c r="K464" s="194">
        <f>IF(_1_54128456121462410464578910174567[[#This Row],[Discount selection]]&gt;0,VLOOKUP(_1_54128456121462410464578910174567[[#This Row],[Discount selection]],'Discount Structure'!$A$2:$B$30,2,"false"),0)</f>
        <v>1</v>
      </c>
      <c r="L464" s="194">
        <f>_1_54128456121462410464578910174567[[#This Row],[LIST $]]*_1_54128456121462410464578910174567[[#This Row],[DISCOUNT]]*_1_54128456121462410464578910174567[[#This Row],[DISCOUNT 2]]</f>
        <v>0</v>
      </c>
      <c r="M464" s="194">
        <f>IF(OR(_1_54128456121462410464578910174567[[#This Row],[UNIT]]&gt;0,_1_54128456121462410464578910174567[[#This Row],[UNIT]]&lt;0),_1_54128456121462410464578910174567[[#This Row],[UNIT]]*_1_54128456121462410464578910174567[[#This Row],[COST]],0)</f>
        <v>0</v>
      </c>
      <c r="N464" s="194">
        <f t="shared" si="7"/>
        <v>1.3</v>
      </c>
      <c r="O464" s="198">
        <f>_1_54128456121462410464578910174567[[#This Row],[TOTAL]]*_1_54128456121462410464578910174567[[#This Row],[MARGIN]]</f>
        <v>0</v>
      </c>
      <c r="R464" s="41"/>
    </row>
    <row r="465" spans="1:18">
      <c r="D465" s="188"/>
      <c r="F465" s="168" t="s">
        <v>6202</v>
      </c>
      <c r="G465" s="193">
        <f>IF(_1_54128456121462410464578910174567[[#This Row],[Type]]&gt;0,VLOOKUP(_1_54128456121462410464578910174567[[#This Row],[Type]],Main[[#All],[TYPE]:[UNIT]],'Unit Price'!C$1,FALSE),0)</f>
        <v>0</v>
      </c>
      <c r="H465" s="197">
        <f>IF(_1_54128456121462410464578910174567[[#This Row],[Type]]&gt;0,VLOOKUP(_1_54128456121462410464578910174567[[#This Row],[Type]],Main[[#All],[TYPE]:[UNIT]],'Unit Price'!D$1,FALSE),0)</f>
        <v>0</v>
      </c>
      <c r="I465" s="194">
        <f>IF(_1_54128456121462410464578910174567[[#This Row],[Type]]&gt;0,VLOOKUP(_1_54128456121462410464578910174567[[#This Row],[Type]],Main[[#All],[TYPE]:[UNIT]],'Unit Price'!G$1,FALSE),0)</f>
        <v>0</v>
      </c>
      <c r="J465" s="194">
        <f>IF(_1_54128456121462410464578910174567[[#This Row],[Type]]&gt;0,VLOOKUP(_1_54128456121462410464578910174567[[#This Row],[Type]],Main[[#All],[TYPE]:[UNIT]],'Unit Price'!H$1,FALSE),0)</f>
        <v>0</v>
      </c>
      <c r="K465" s="194">
        <f>IF(_1_54128456121462410464578910174567[[#This Row],[Discount selection]]&gt;0,VLOOKUP(_1_54128456121462410464578910174567[[#This Row],[Discount selection]],'Discount Structure'!$A$2:$B$30,2,"false"),0)</f>
        <v>1</v>
      </c>
      <c r="L465" s="194">
        <f>_1_54128456121462410464578910174567[[#This Row],[LIST $]]*_1_54128456121462410464578910174567[[#This Row],[DISCOUNT]]*_1_54128456121462410464578910174567[[#This Row],[DISCOUNT 2]]</f>
        <v>0</v>
      </c>
      <c r="M465" s="194">
        <f>IF(OR(_1_54128456121462410464578910174567[[#This Row],[UNIT]]&gt;0,_1_54128456121462410464578910174567[[#This Row],[UNIT]]&lt;0),_1_54128456121462410464578910174567[[#This Row],[UNIT]]*_1_54128456121462410464578910174567[[#This Row],[COST]],0)</f>
        <v>0</v>
      </c>
      <c r="N465" s="194">
        <f t="shared" si="7"/>
        <v>1.3</v>
      </c>
      <c r="O465" s="198">
        <f>_1_54128456121462410464578910174567[[#This Row],[TOTAL]]*_1_54128456121462410464578910174567[[#This Row],[MARGIN]]</f>
        <v>0</v>
      </c>
      <c r="R465" s="41"/>
    </row>
    <row r="466" spans="1:18">
      <c r="A466" s="168"/>
      <c r="D466" s="188"/>
      <c r="F466" s="168" t="s">
        <v>6202</v>
      </c>
      <c r="G466" s="193">
        <f>IF(_1_54128456121462410464578910174567[[#This Row],[Type]]&gt;0,VLOOKUP(_1_54128456121462410464578910174567[[#This Row],[Type]],Main[[#All],[TYPE]:[UNIT]],'Unit Price'!C$1,FALSE),0)</f>
        <v>0</v>
      </c>
      <c r="H466" s="197">
        <f>IF(_1_54128456121462410464578910174567[[#This Row],[Type]]&gt;0,VLOOKUP(_1_54128456121462410464578910174567[[#This Row],[Type]],Main[[#All],[TYPE]:[UNIT]],'Unit Price'!D$1,FALSE),0)</f>
        <v>0</v>
      </c>
      <c r="I466" s="194">
        <f>IF(_1_54128456121462410464578910174567[[#This Row],[Type]]&gt;0,VLOOKUP(_1_54128456121462410464578910174567[[#This Row],[Type]],Main[[#All],[TYPE]:[UNIT]],'Unit Price'!G$1,FALSE),0)</f>
        <v>0</v>
      </c>
      <c r="J466" s="194">
        <f>IF(_1_54128456121462410464578910174567[[#This Row],[Type]]&gt;0,VLOOKUP(_1_54128456121462410464578910174567[[#This Row],[Type]],Main[[#All],[TYPE]:[UNIT]],'Unit Price'!H$1,FALSE),0)</f>
        <v>0</v>
      </c>
      <c r="K466" s="194">
        <f>IF(_1_54128456121462410464578910174567[[#This Row],[Discount selection]]&gt;0,VLOOKUP(_1_54128456121462410464578910174567[[#This Row],[Discount selection]],'Discount Structure'!$A$2:$B$30,2,"false"),0)</f>
        <v>1</v>
      </c>
      <c r="L466" s="194">
        <f>_1_54128456121462410464578910174567[[#This Row],[LIST $]]*_1_54128456121462410464578910174567[[#This Row],[DISCOUNT]]*_1_54128456121462410464578910174567[[#This Row],[DISCOUNT 2]]</f>
        <v>0</v>
      </c>
      <c r="M466" s="194">
        <f>IF(OR(_1_54128456121462410464578910174567[[#This Row],[UNIT]]&gt;0,_1_54128456121462410464578910174567[[#This Row],[UNIT]]&lt;0),_1_54128456121462410464578910174567[[#This Row],[UNIT]]*_1_54128456121462410464578910174567[[#This Row],[COST]],0)</f>
        <v>0</v>
      </c>
      <c r="N466" s="194">
        <f t="shared" si="7"/>
        <v>1.3</v>
      </c>
      <c r="O466" s="198">
        <f>_1_54128456121462410464578910174567[[#This Row],[TOTAL]]*_1_54128456121462410464578910174567[[#This Row],[MARGIN]]</f>
        <v>0</v>
      </c>
      <c r="R466" s="41"/>
    </row>
    <row r="467" spans="1:18">
      <c r="D467" s="188"/>
      <c r="F467" s="168" t="s">
        <v>6202</v>
      </c>
      <c r="G467" s="193">
        <f>IF(_1_54128456121462410464578910174567[[#This Row],[Type]]&gt;0,VLOOKUP(_1_54128456121462410464578910174567[[#This Row],[Type]],Main[[#All],[TYPE]:[UNIT]],'Unit Price'!C$1,FALSE),0)</f>
        <v>0</v>
      </c>
      <c r="H467" s="197">
        <f>IF(_1_54128456121462410464578910174567[[#This Row],[Type]]&gt;0,VLOOKUP(_1_54128456121462410464578910174567[[#This Row],[Type]],Main[[#All],[TYPE]:[UNIT]],'Unit Price'!D$1,FALSE),0)</f>
        <v>0</v>
      </c>
      <c r="I467" s="194">
        <f>IF(_1_54128456121462410464578910174567[[#This Row],[Type]]&gt;0,VLOOKUP(_1_54128456121462410464578910174567[[#This Row],[Type]],Main[[#All],[TYPE]:[UNIT]],'Unit Price'!G$1,FALSE),0)</f>
        <v>0</v>
      </c>
      <c r="J467" s="194">
        <f>IF(_1_54128456121462410464578910174567[[#This Row],[Type]]&gt;0,VLOOKUP(_1_54128456121462410464578910174567[[#This Row],[Type]],Main[[#All],[TYPE]:[UNIT]],'Unit Price'!H$1,FALSE),0)</f>
        <v>0</v>
      </c>
      <c r="K467" s="194">
        <f>IF(_1_54128456121462410464578910174567[[#This Row],[Discount selection]]&gt;0,VLOOKUP(_1_54128456121462410464578910174567[[#This Row],[Discount selection]],'Discount Structure'!$A$2:$B$30,2,"false"),0)</f>
        <v>1</v>
      </c>
      <c r="L467" s="194">
        <f>_1_54128456121462410464578910174567[[#This Row],[LIST $]]*_1_54128456121462410464578910174567[[#This Row],[DISCOUNT]]*_1_54128456121462410464578910174567[[#This Row],[DISCOUNT 2]]</f>
        <v>0</v>
      </c>
      <c r="M467" s="194">
        <f>IF(OR(_1_54128456121462410464578910174567[[#This Row],[UNIT]]&gt;0,_1_54128456121462410464578910174567[[#This Row],[UNIT]]&lt;0),_1_54128456121462410464578910174567[[#This Row],[UNIT]]*_1_54128456121462410464578910174567[[#This Row],[COST]],0)</f>
        <v>0</v>
      </c>
      <c r="N467" s="194">
        <f t="shared" si="7"/>
        <v>1.3</v>
      </c>
      <c r="O467" s="198">
        <f>_1_54128456121462410464578910174567[[#This Row],[TOTAL]]*_1_54128456121462410464578910174567[[#This Row],[MARGIN]]</f>
        <v>0</v>
      </c>
      <c r="R467" s="41"/>
    </row>
    <row r="468" spans="1:18">
      <c r="D468" s="188"/>
      <c r="F468" s="168" t="s">
        <v>6202</v>
      </c>
      <c r="G468" s="193">
        <f>IF(_1_54128456121462410464578910174567[[#This Row],[Type]]&gt;0,VLOOKUP(_1_54128456121462410464578910174567[[#This Row],[Type]],Main[[#All],[TYPE]:[UNIT]],'Unit Price'!C$1,FALSE),0)</f>
        <v>0</v>
      </c>
      <c r="H468" s="197">
        <f>IF(_1_54128456121462410464578910174567[[#This Row],[Type]]&gt;0,VLOOKUP(_1_54128456121462410464578910174567[[#This Row],[Type]],Main[[#All],[TYPE]:[UNIT]],'Unit Price'!D$1,FALSE),0)</f>
        <v>0</v>
      </c>
      <c r="I468" s="194">
        <f>IF(_1_54128456121462410464578910174567[[#This Row],[Type]]&gt;0,VLOOKUP(_1_54128456121462410464578910174567[[#This Row],[Type]],Main[[#All],[TYPE]:[UNIT]],'Unit Price'!G$1,FALSE),0)</f>
        <v>0</v>
      </c>
      <c r="J468" s="194">
        <f>IF(_1_54128456121462410464578910174567[[#This Row],[Type]]&gt;0,VLOOKUP(_1_54128456121462410464578910174567[[#This Row],[Type]],Main[[#All],[TYPE]:[UNIT]],'Unit Price'!H$1,FALSE),0)</f>
        <v>0</v>
      </c>
      <c r="K468" s="194">
        <f>IF(_1_54128456121462410464578910174567[[#This Row],[Discount selection]]&gt;0,VLOOKUP(_1_54128456121462410464578910174567[[#This Row],[Discount selection]],'Discount Structure'!$A$2:$B$30,2,"false"),0)</f>
        <v>1</v>
      </c>
      <c r="L468" s="194">
        <f>_1_54128456121462410464578910174567[[#This Row],[LIST $]]*_1_54128456121462410464578910174567[[#This Row],[DISCOUNT]]*_1_54128456121462410464578910174567[[#This Row],[DISCOUNT 2]]</f>
        <v>0</v>
      </c>
      <c r="M468" s="194">
        <f>IF(OR(_1_54128456121462410464578910174567[[#This Row],[UNIT]]&gt;0,_1_54128456121462410464578910174567[[#This Row],[UNIT]]&lt;0),_1_54128456121462410464578910174567[[#This Row],[UNIT]]*_1_54128456121462410464578910174567[[#This Row],[COST]],0)</f>
        <v>0</v>
      </c>
      <c r="N468" s="194">
        <f t="shared" si="7"/>
        <v>1.3</v>
      </c>
      <c r="O468" s="198">
        <f>_1_54128456121462410464578910174567[[#This Row],[TOTAL]]*_1_54128456121462410464578910174567[[#This Row],[MARGIN]]</f>
        <v>0</v>
      </c>
      <c r="R468" s="41"/>
    </row>
    <row r="469" spans="1:18">
      <c r="B469" s="168"/>
      <c r="D469" s="188"/>
      <c r="F469" s="168" t="s">
        <v>6202</v>
      </c>
      <c r="G469" s="193">
        <f>IF(_1_54128456121462410464578910174567[[#This Row],[Type]]&gt;0,VLOOKUP(_1_54128456121462410464578910174567[[#This Row],[Type]],Main[[#All],[TYPE]:[UNIT]],'Unit Price'!C$1,FALSE),0)</f>
        <v>0</v>
      </c>
      <c r="H469" s="197">
        <f>IF(_1_54128456121462410464578910174567[[#This Row],[Type]]&gt;0,VLOOKUP(_1_54128456121462410464578910174567[[#This Row],[Type]],Main[[#All],[TYPE]:[UNIT]],'Unit Price'!D$1,FALSE),0)</f>
        <v>0</v>
      </c>
      <c r="I469" s="194">
        <f>IF(_1_54128456121462410464578910174567[[#This Row],[Type]]&gt;0,VLOOKUP(_1_54128456121462410464578910174567[[#This Row],[Type]],Main[[#All],[TYPE]:[UNIT]],'Unit Price'!G$1,FALSE),0)</f>
        <v>0</v>
      </c>
      <c r="J469" s="194">
        <f>IF(_1_54128456121462410464578910174567[[#This Row],[Type]]&gt;0,VLOOKUP(_1_54128456121462410464578910174567[[#This Row],[Type]],Main[[#All],[TYPE]:[UNIT]],'Unit Price'!H$1,FALSE),0)</f>
        <v>0</v>
      </c>
      <c r="K469" s="194">
        <f>IF(_1_54128456121462410464578910174567[[#This Row],[Discount selection]]&gt;0,VLOOKUP(_1_54128456121462410464578910174567[[#This Row],[Discount selection]],'Discount Structure'!$A$2:$B$30,2,"false"),0)</f>
        <v>1</v>
      </c>
      <c r="L469" s="194">
        <f>_1_54128456121462410464578910174567[[#This Row],[LIST $]]*_1_54128456121462410464578910174567[[#This Row],[DISCOUNT]]*_1_54128456121462410464578910174567[[#This Row],[DISCOUNT 2]]</f>
        <v>0</v>
      </c>
      <c r="M469" s="194">
        <f>IF(OR(_1_54128456121462410464578910174567[[#This Row],[UNIT]]&gt;0,_1_54128456121462410464578910174567[[#This Row],[UNIT]]&lt;0),_1_54128456121462410464578910174567[[#This Row],[UNIT]]*_1_54128456121462410464578910174567[[#This Row],[COST]],0)</f>
        <v>0</v>
      </c>
      <c r="N469" s="194">
        <f t="shared" si="7"/>
        <v>1.3</v>
      </c>
      <c r="O469" s="198">
        <f>_1_54128456121462410464578910174567[[#This Row],[TOTAL]]*_1_54128456121462410464578910174567[[#This Row],[MARGIN]]</f>
        <v>0</v>
      </c>
      <c r="R469" s="41"/>
    </row>
    <row r="470" spans="1:18">
      <c r="A470" s="168"/>
      <c r="D470" s="188"/>
      <c r="F470" s="168" t="s">
        <v>6202</v>
      </c>
      <c r="G470" s="193">
        <f>IF(_1_54128456121462410464578910174567[[#This Row],[Type]]&gt;0,VLOOKUP(_1_54128456121462410464578910174567[[#This Row],[Type]],Main[[#All],[TYPE]:[UNIT]],'Unit Price'!C$1,FALSE),0)</f>
        <v>0</v>
      </c>
      <c r="H470" s="197">
        <f>IF(_1_54128456121462410464578910174567[[#This Row],[Type]]&gt;0,VLOOKUP(_1_54128456121462410464578910174567[[#This Row],[Type]],Main[[#All],[TYPE]:[UNIT]],'Unit Price'!D$1,FALSE),0)</f>
        <v>0</v>
      </c>
      <c r="I470" s="194">
        <f>IF(_1_54128456121462410464578910174567[[#This Row],[Type]]&gt;0,VLOOKUP(_1_54128456121462410464578910174567[[#This Row],[Type]],Main[[#All],[TYPE]:[UNIT]],'Unit Price'!G$1,FALSE),0)</f>
        <v>0</v>
      </c>
      <c r="J470" s="194">
        <f>IF(_1_54128456121462410464578910174567[[#This Row],[Type]]&gt;0,VLOOKUP(_1_54128456121462410464578910174567[[#This Row],[Type]],Main[[#All],[TYPE]:[UNIT]],'Unit Price'!H$1,FALSE),0)</f>
        <v>0</v>
      </c>
      <c r="K470" s="194">
        <f>IF(_1_54128456121462410464578910174567[[#This Row],[Discount selection]]&gt;0,VLOOKUP(_1_54128456121462410464578910174567[[#This Row],[Discount selection]],'Discount Structure'!$A$2:$B$30,2,"false"),0)</f>
        <v>1</v>
      </c>
      <c r="L470" s="194">
        <f>_1_54128456121462410464578910174567[[#This Row],[LIST $]]*_1_54128456121462410464578910174567[[#This Row],[DISCOUNT]]*_1_54128456121462410464578910174567[[#This Row],[DISCOUNT 2]]</f>
        <v>0</v>
      </c>
      <c r="M470" s="194">
        <f>IF(OR(_1_54128456121462410464578910174567[[#This Row],[UNIT]]&gt;0,_1_54128456121462410464578910174567[[#This Row],[UNIT]]&lt;0),_1_54128456121462410464578910174567[[#This Row],[UNIT]]*_1_54128456121462410464578910174567[[#This Row],[COST]],0)</f>
        <v>0</v>
      </c>
      <c r="N470" s="194">
        <f t="shared" si="7"/>
        <v>1.3</v>
      </c>
      <c r="O470" s="198">
        <f>_1_54128456121462410464578910174567[[#This Row],[TOTAL]]*_1_54128456121462410464578910174567[[#This Row],[MARGIN]]</f>
        <v>0</v>
      </c>
      <c r="R470" s="41"/>
    </row>
    <row r="471" spans="1:18">
      <c r="D471" s="188"/>
      <c r="F471" s="168" t="s">
        <v>6202</v>
      </c>
      <c r="G471" s="193">
        <f>IF(_1_54128456121462410464578910174567[[#This Row],[Type]]&gt;0,VLOOKUP(_1_54128456121462410464578910174567[[#This Row],[Type]],Main[[#All],[TYPE]:[UNIT]],'Unit Price'!C$1,FALSE),0)</f>
        <v>0</v>
      </c>
      <c r="H471" s="197">
        <f>IF(_1_54128456121462410464578910174567[[#This Row],[Type]]&gt;0,VLOOKUP(_1_54128456121462410464578910174567[[#This Row],[Type]],Main[[#All],[TYPE]:[UNIT]],'Unit Price'!D$1,FALSE),0)</f>
        <v>0</v>
      </c>
      <c r="I471" s="194">
        <f>IF(_1_54128456121462410464578910174567[[#This Row],[Type]]&gt;0,VLOOKUP(_1_54128456121462410464578910174567[[#This Row],[Type]],Main[[#All],[TYPE]:[UNIT]],'Unit Price'!G$1,FALSE),0)</f>
        <v>0</v>
      </c>
      <c r="J471" s="194">
        <f>IF(_1_54128456121462410464578910174567[[#This Row],[Type]]&gt;0,VLOOKUP(_1_54128456121462410464578910174567[[#This Row],[Type]],Main[[#All],[TYPE]:[UNIT]],'Unit Price'!H$1,FALSE),0)</f>
        <v>0</v>
      </c>
      <c r="K471" s="194">
        <f>IF(_1_54128456121462410464578910174567[[#This Row],[Discount selection]]&gt;0,VLOOKUP(_1_54128456121462410464578910174567[[#This Row],[Discount selection]],'Discount Structure'!$A$2:$B$30,2,"false"),0)</f>
        <v>1</v>
      </c>
      <c r="L471" s="194">
        <f>_1_54128456121462410464578910174567[[#This Row],[LIST $]]*_1_54128456121462410464578910174567[[#This Row],[DISCOUNT]]*_1_54128456121462410464578910174567[[#This Row],[DISCOUNT 2]]</f>
        <v>0</v>
      </c>
      <c r="M471" s="194">
        <f>IF(OR(_1_54128456121462410464578910174567[[#This Row],[UNIT]]&gt;0,_1_54128456121462410464578910174567[[#This Row],[UNIT]]&lt;0),_1_54128456121462410464578910174567[[#This Row],[UNIT]]*_1_54128456121462410464578910174567[[#This Row],[COST]],0)</f>
        <v>0</v>
      </c>
      <c r="N471" s="194">
        <f t="shared" si="7"/>
        <v>1.3</v>
      </c>
      <c r="O471" s="198">
        <f>_1_54128456121462410464578910174567[[#This Row],[TOTAL]]*_1_54128456121462410464578910174567[[#This Row],[MARGIN]]</f>
        <v>0</v>
      </c>
      <c r="R471" s="41"/>
    </row>
    <row r="472" spans="1:18">
      <c r="A472" s="168"/>
      <c r="D472" s="188"/>
      <c r="F472" s="168" t="s">
        <v>6202</v>
      </c>
      <c r="G472" s="193">
        <f>IF(_1_54128456121462410464578910174567[[#This Row],[Type]]&gt;0,VLOOKUP(_1_54128456121462410464578910174567[[#This Row],[Type]],Main[[#All],[TYPE]:[UNIT]],'Unit Price'!C$1,FALSE),0)</f>
        <v>0</v>
      </c>
      <c r="H472" s="197">
        <f>IF(_1_54128456121462410464578910174567[[#This Row],[Type]]&gt;0,VLOOKUP(_1_54128456121462410464578910174567[[#This Row],[Type]],Main[[#All],[TYPE]:[UNIT]],'Unit Price'!D$1,FALSE),0)</f>
        <v>0</v>
      </c>
      <c r="I472" s="194">
        <f>IF(_1_54128456121462410464578910174567[[#This Row],[Type]]&gt;0,VLOOKUP(_1_54128456121462410464578910174567[[#This Row],[Type]],Main[[#All],[TYPE]:[UNIT]],'Unit Price'!G$1,FALSE),0)</f>
        <v>0</v>
      </c>
      <c r="J472" s="194">
        <f>IF(_1_54128456121462410464578910174567[[#This Row],[Type]]&gt;0,VLOOKUP(_1_54128456121462410464578910174567[[#This Row],[Type]],Main[[#All],[TYPE]:[UNIT]],'Unit Price'!H$1,FALSE),0)</f>
        <v>0</v>
      </c>
      <c r="K472" s="194">
        <f>IF(_1_54128456121462410464578910174567[[#This Row],[Discount selection]]&gt;0,VLOOKUP(_1_54128456121462410464578910174567[[#This Row],[Discount selection]],'Discount Structure'!$A$2:$B$30,2,"false"),0)</f>
        <v>1</v>
      </c>
      <c r="L472" s="194">
        <f>_1_54128456121462410464578910174567[[#This Row],[LIST $]]*_1_54128456121462410464578910174567[[#This Row],[DISCOUNT]]*_1_54128456121462410464578910174567[[#This Row],[DISCOUNT 2]]</f>
        <v>0</v>
      </c>
      <c r="M472" s="194">
        <f>IF(OR(_1_54128456121462410464578910174567[[#This Row],[UNIT]]&gt;0,_1_54128456121462410464578910174567[[#This Row],[UNIT]]&lt;0),_1_54128456121462410464578910174567[[#This Row],[UNIT]]*_1_54128456121462410464578910174567[[#This Row],[COST]],0)</f>
        <v>0</v>
      </c>
      <c r="N472" s="194">
        <f t="shared" si="7"/>
        <v>1.3</v>
      </c>
      <c r="O472" s="198">
        <f>_1_54128456121462410464578910174567[[#This Row],[TOTAL]]*_1_54128456121462410464578910174567[[#This Row],[MARGIN]]</f>
        <v>0</v>
      </c>
      <c r="R472" s="41"/>
    </row>
    <row r="473" spans="1:18">
      <c r="D473" s="188"/>
      <c r="F473" s="168" t="s">
        <v>6202</v>
      </c>
      <c r="G473" s="193">
        <f>IF(_1_54128456121462410464578910174567[[#This Row],[Type]]&gt;0,VLOOKUP(_1_54128456121462410464578910174567[[#This Row],[Type]],Main[[#All],[TYPE]:[UNIT]],'Unit Price'!C$1,FALSE),0)</f>
        <v>0</v>
      </c>
      <c r="H473" s="197">
        <f>IF(_1_54128456121462410464578910174567[[#This Row],[Type]]&gt;0,VLOOKUP(_1_54128456121462410464578910174567[[#This Row],[Type]],Main[[#All],[TYPE]:[UNIT]],'Unit Price'!D$1,FALSE),0)</f>
        <v>0</v>
      </c>
      <c r="I473" s="194">
        <f>IF(_1_54128456121462410464578910174567[[#This Row],[Type]]&gt;0,VLOOKUP(_1_54128456121462410464578910174567[[#This Row],[Type]],Main[[#All],[TYPE]:[UNIT]],'Unit Price'!G$1,FALSE),0)</f>
        <v>0</v>
      </c>
      <c r="J473" s="194">
        <f>IF(_1_54128456121462410464578910174567[[#This Row],[Type]]&gt;0,VLOOKUP(_1_54128456121462410464578910174567[[#This Row],[Type]],Main[[#All],[TYPE]:[UNIT]],'Unit Price'!H$1,FALSE),0)</f>
        <v>0</v>
      </c>
      <c r="K473" s="194">
        <f>IF(_1_54128456121462410464578910174567[[#This Row],[Discount selection]]&gt;0,VLOOKUP(_1_54128456121462410464578910174567[[#This Row],[Discount selection]],'Discount Structure'!$A$2:$B$30,2,"false"),0)</f>
        <v>1</v>
      </c>
      <c r="L473" s="194">
        <f>_1_54128456121462410464578910174567[[#This Row],[LIST $]]*_1_54128456121462410464578910174567[[#This Row],[DISCOUNT]]*_1_54128456121462410464578910174567[[#This Row],[DISCOUNT 2]]</f>
        <v>0</v>
      </c>
      <c r="M473" s="194">
        <f>IF(OR(_1_54128456121462410464578910174567[[#This Row],[UNIT]]&gt;0,_1_54128456121462410464578910174567[[#This Row],[UNIT]]&lt;0),_1_54128456121462410464578910174567[[#This Row],[UNIT]]*_1_54128456121462410464578910174567[[#This Row],[COST]],0)</f>
        <v>0</v>
      </c>
      <c r="N473" s="194">
        <f t="shared" si="7"/>
        <v>1.3</v>
      </c>
      <c r="O473" s="198">
        <f>_1_54128456121462410464578910174567[[#This Row],[TOTAL]]*_1_54128456121462410464578910174567[[#This Row],[MARGIN]]</f>
        <v>0</v>
      </c>
      <c r="R473" s="41"/>
    </row>
    <row r="474" spans="1:18">
      <c r="D474" s="188"/>
      <c r="F474" s="168" t="s">
        <v>6202</v>
      </c>
      <c r="G474" s="193">
        <f>IF(_1_54128456121462410464578910174567[[#This Row],[Type]]&gt;0,VLOOKUP(_1_54128456121462410464578910174567[[#This Row],[Type]],Main[[#All],[TYPE]:[UNIT]],'Unit Price'!C$1,FALSE),0)</f>
        <v>0</v>
      </c>
      <c r="H474" s="197">
        <f>IF(_1_54128456121462410464578910174567[[#This Row],[Type]]&gt;0,VLOOKUP(_1_54128456121462410464578910174567[[#This Row],[Type]],Main[[#All],[TYPE]:[UNIT]],'Unit Price'!D$1,FALSE),0)</f>
        <v>0</v>
      </c>
      <c r="I474" s="194">
        <f>IF(_1_54128456121462410464578910174567[[#This Row],[Type]]&gt;0,VLOOKUP(_1_54128456121462410464578910174567[[#This Row],[Type]],Main[[#All],[TYPE]:[UNIT]],'Unit Price'!G$1,FALSE),0)</f>
        <v>0</v>
      </c>
      <c r="J474" s="194">
        <f>IF(_1_54128456121462410464578910174567[[#This Row],[Type]]&gt;0,VLOOKUP(_1_54128456121462410464578910174567[[#This Row],[Type]],Main[[#All],[TYPE]:[UNIT]],'Unit Price'!H$1,FALSE),0)</f>
        <v>0</v>
      </c>
      <c r="K474" s="194">
        <f>IF(_1_54128456121462410464578910174567[[#This Row],[Discount selection]]&gt;0,VLOOKUP(_1_54128456121462410464578910174567[[#This Row],[Discount selection]],'Discount Structure'!$A$2:$B$30,2,"false"),0)</f>
        <v>1</v>
      </c>
      <c r="L474" s="194">
        <f>_1_54128456121462410464578910174567[[#This Row],[LIST $]]*_1_54128456121462410464578910174567[[#This Row],[DISCOUNT]]*_1_54128456121462410464578910174567[[#This Row],[DISCOUNT 2]]</f>
        <v>0</v>
      </c>
      <c r="M474" s="194">
        <f>IF(OR(_1_54128456121462410464578910174567[[#This Row],[UNIT]]&gt;0,_1_54128456121462410464578910174567[[#This Row],[UNIT]]&lt;0),_1_54128456121462410464578910174567[[#This Row],[UNIT]]*_1_54128456121462410464578910174567[[#This Row],[COST]],0)</f>
        <v>0</v>
      </c>
      <c r="N474" s="194">
        <f t="shared" si="7"/>
        <v>1.3</v>
      </c>
      <c r="O474" s="198">
        <f>_1_54128456121462410464578910174567[[#This Row],[TOTAL]]*_1_54128456121462410464578910174567[[#This Row],[MARGIN]]</f>
        <v>0</v>
      </c>
      <c r="R474" s="41"/>
    </row>
    <row r="475" spans="1:18">
      <c r="D475" s="188"/>
      <c r="F475" s="168" t="s">
        <v>6202</v>
      </c>
      <c r="G475" s="193">
        <f>IF(_1_54128456121462410464578910174567[[#This Row],[Type]]&gt;0,VLOOKUP(_1_54128456121462410464578910174567[[#This Row],[Type]],Main[[#All],[TYPE]:[UNIT]],'Unit Price'!C$1,FALSE),0)</f>
        <v>0</v>
      </c>
      <c r="H475" s="197">
        <f>IF(_1_54128456121462410464578910174567[[#This Row],[Type]]&gt;0,VLOOKUP(_1_54128456121462410464578910174567[[#This Row],[Type]],Main[[#All],[TYPE]:[UNIT]],'Unit Price'!D$1,FALSE),0)</f>
        <v>0</v>
      </c>
      <c r="I475" s="194">
        <f>IF(_1_54128456121462410464578910174567[[#This Row],[Type]]&gt;0,VLOOKUP(_1_54128456121462410464578910174567[[#This Row],[Type]],Main[[#All],[TYPE]:[UNIT]],'Unit Price'!G$1,FALSE),0)</f>
        <v>0</v>
      </c>
      <c r="J475" s="194">
        <f>IF(_1_54128456121462410464578910174567[[#This Row],[Type]]&gt;0,VLOOKUP(_1_54128456121462410464578910174567[[#This Row],[Type]],Main[[#All],[TYPE]:[UNIT]],'Unit Price'!H$1,FALSE),0)</f>
        <v>0</v>
      </c>
      <c r="K475" s="194">
        <f>IF(_1_54128456121462410464578910174567[[#This Row],[Discount selection]]&gt;0,VLOOKUP(_1_54128456121462410464578910174567[[#This Row],[Discount selection]],'Discount Structure'!$A$2:$B$30,2,"false"),0)</f>
        <v>1</v>
      </c>
      <c r="L475" s="194">
        <f>_1_54128456121462410464578910174567[[#This Row],[LIST $]]*_1_54128456121462410464578910174567[[#This Row],[DISCOUNT]]*_1_54128456121462410464578910174567[[#This Row],[DISCOUNT 2]]</f>
        <v>0</v>
      </c>
      <c r="M475" s="194">
        <f>IF(OR(_1_54128456121462410464578910174567[[#This Row],[UNIT]]&gt;0,_1_54128456121462410464578910174567[[#This Row],[UNIT]]&lt;0),_1_54128456121462410464578910174567[[#This Row],[UNIT]]*_1_54128456121462410464578910174567[[#This Row],[COST]],0)</f>
        <v>0</v>
      </c>
      <c r="N475" s="194">
        <f t="shared" si="7"/>
        <v>1.3</v>
      </c>
      <c r="O475" s="198">
        <f>_1_54128456121462410464578910174567[[#This Row],[TOTAL]]*_1_54128456121462410464578910174567[[#This Row],[MARGIN]]</f>
        <v>0</v>
      </c>
      <c r="R475" s="41"/>
    </row>
    <row r="476" spans="1:18">
      <c r="D476" s="188"/>
      <c r="F476" s="168" t="s">
        <v>6202</v>
      </c>
      <c r="G476" s="192">
        <f>IF(_1_54128456121462410464578910174567[[#This Row],[Type]]&gt;0,VLOOKUP(_1_54128456121462410464578910174567[[#This Row],[Type]],Main[[#All],[TYPE]:[UNIT]],'Unit Price'!C$1,FALSE),0)</f>
        <v>0</v>
      </c>
      <c r="H476" s="197">
        <f>IF(_1_54128456121462410464578910174567[[#This Row],[Type]]&gt;0,VLOOKUP(_1_54128456121462410464578910174567[[#This Row],[Type]],Main[[#All],[TYPE]:[UNIT]],'Unit Price'!D$1,FALSE),0)</f>
        <v>0</v>
      </c>
      <c r="I476" s="194">
        <f>IF(_1_54128456121462410464578910174567[[#This Row],[Type]]&gt;0,VLOOKUP(_1_54128456121462410464578910174567[[#This Row],[Type]],Main[[#All],[TYPE]:[UNIT]],'Unit Price'!G$1,FALSE),0)</f>
        <v>0</v>
      </c>
      <c r="J476" s="194">
        <f>IF(_1_54128456121462410464578910174567[[#This Row],[Type]]&gt;0,VLOOKUP(_1_54128456121462410464578910174567[[#This Row],[Type]],Main[[#All],[TYPE]:[UNIT]],'Unit Price'!H$1,FALSE),0)</f>
        <v>0</v>
      </c>
      <c r="K476" s="194">
        <f>IF(_1_54128456121462410464578910174567[[#This Row],[Discount selection]]&gt;0,VLOOKUP(_1_54128456121462410464578910174567[[#This Row],[Discount selection]],'Discount Structure'!$A$2:$B$30,2,"false"),0)</f>
        <v>1</v>
      </c>
      <c r="L476" s="194">
        <f>_1_54128456121462410464578910174567[[#This Row],[LIST $]]*_1_54128456121462410464578910174567[[#This Row],[DISCOUNT]]*_1_54128456121462410464578910174567[[#This Row],[DISCOUNT 2]]</f>
        <v>0</v>
      </c>
      <c r="M476" s="194">
        <f>IF(OR(_1_54128456121462410464578910174567[[#This Row],[UNIT]]&gt;0,_1_54128456121462410464578910174567[[#This Row],[UNIT]]&lt;0),_1_54128456121462410464578910174567[[#This Row],[UNIT]]*_1_54128456121462410464578910174567[[#This Row],[COST]],0)</f>
        <v>0</v>
      </c>
      <c r="N476" s="194">
        <f t="shared" si="7"/>
        <v>1.3</v>
      </c>
      <c r="O476" s="198">
        <f>_1_54128456121462410464578910174567[[#This Row],[TOTAL]]*_1_54128456121462410464578910174567[[#This Row],[MARGIN]]</f>
        <v>0</v>
      </c>
      <c r="R476" s="41"/>
    </row>
    <row r="477" spans="1:18">
      <c r="D477" s="188"/>
      <c r="F477" s="168" t="s">
        <v>6202</v>
      </c>
      <c r="G477" s="193">
        <f>IF(_1_54128456121462410464578910174567[[#This Row],[Type]]&gt;0,VLOOKUP(_1_54128456121462410464578910174567[[#This Row],[Type]],Main[[#All],[TYPE]:[UNIT]],'Unit Price'!C$1,FALSE),0)</f>
        <v>0</v>
      </c>
      <c r="H477" s="197">
        <f>IF(_1_54128456121462410464578910174567[[#This Row],[Type]]&gt;0,VLOOKUP(_1_54128456121462410464578910174567[[#This Row],[Type]],Main[[#All],[TYPE]:[UNIT]],'Unit Price'!D$1,FALSE),0)</f>
        <v>0</v>
      </c>
      <c r="I477" s="194">
        <f>IF(_1_54128456121462410464578910174567[[#This Row],[Type]]&gt;0,VLOOKUP(_1_54128456121462410464578910174567[[#This Row],[Type]],Main[[#All],[TYPE]:[UNIT]],'Unit Price'!G$1,FALSE),0)</f>
        <v>0</v>
      </c>
      <c r="J477" s="194">
        <f>IF(_1_54128456121462410464578910174567[[#This Row],[Type]]&gt;0,VLOOKUP(_1_54128456121462410464578910174567[[#This Row],[Type]],Main[[#All],[TYPE]:[UNIT]],'Unit Price'!H$1,FALSE),0)</f>
        <v>0</v>
      </c>
      <c r="K477" s="194">
        <f>IF(_1_54128456121462410464578910174567[[#This Row],[Discount selection]]&gt;0,VLOOKUP(_1_54128456121462410464578910174567[[#This Row],[Discount selection]],'Discount Structure'!$A$2:$B$30,2,"false"),0)</f>
        <v>1</v>
      </c>
      <c r="L477" s="194">
        <f>_1_54128456121462410464578910174567[[#This Row],[LIST $]]*_1_54128456121462410464578910174567[[#This Row],[DISCOUNT]]*_1_54128456121462410464578910174567[[#This Row],[DISCOUNT 2]]</f>
        <v>0</v>
      </c>
      <c r="M477" s="194">
        <f>IF(OR(_1_54128456121462410464578910174567[[#This Row],[UNIT]]&gt;0,_1_54128456121462410464578910174567[[#This Row],[UNIT]]&lt;0),_1_54128456121462410464578910174567[[#This Row],[UNIT]]*_1_54128456121462410464578910174567[[#This Row],[COST]],0)</f>
        <v>0</v>
      </c>
      <c r="N477" s="194">
        <f t="shared" si="7"/>
        <v>1.3</v>
      </c>
      <c r="O477" s="198">
        <f>_1_54128456121462410464578910174567[[#This Row],[TOTAL]]*_1_54128456121462410464578910174567[[#This Row],[MARGIN]]</f>
        <v>0</v>
      </c>
      <c r="R477" s="41"/>
    </row>
    <row r="478" spans="1:18">
      <c r="A478" s="168"/>
      <c r="D478" s="188"/>
      <c r="F478" s="168" t="s">
        <v>6202</v>
      </c>
      <c r="G478" s="192">
        <f>IF(_1_54128456121462410464578910174567[[#This Row],[Type]]&gt;0,VLOOKUP(_1_54128456121462410464578910174567[[#This Row],[Type]],Main[[#All],[TYPE]:[UNIT]],'Unit Price'!C$1,FALSE),0)</f>
        <v>0</v>
      </c>
      <c r="H478" s="197">
        <f>IF(_1_54128456121462410464578910174567[[#This Row],[Type]]&gt;0,VLOOKUP(_1_54128456121462410464578910174567[[#This Row],[Type]],Main[[#All],[TYPE]:[UNIT]],'Unit Price'!D$1,FALSE),0)</f>
        <v>0</v>
      </c>
      <c r="I478" s="194">
        <f>IF(_1_54128456121462410464578910174567[[#This Row],[Type]]&gt;0,VLOOKUP(_1_54128456121462410464578910174567[[#This Row],[Type]],Main[[#All],[TYPE]:[UNIT]],'Unit Price'!G$1,FALSE),0)</f>
        <v>0</v>
      </c>
      <c r="J478" s="194">
        <f>IF(_1_54128456121462410464578910174567[[#This Row],[Type]]&gt;0,VLOOKUP(_1_54128456121462410464578910174567[[#This Row],[Type]],Main[[#All],[TYPE]:[UNIT]],'Unit Price'!H$1,FALSE),0)</f>
        <v>0</v>
      </c>
      <c r="K478" s="194">
        <f>IF(_1_54128456121462410464578910174567[[#This Row],[Discount selection]]&gt;0,VLOOKUP(_1_54128456121462410464578910174567[[#This Row],[Discount selection]],'Discount Structure'!$A$2:$B$30,2,"false"),0)</f>
        <v>1</v>
      </c>
      <c r="L478" s="194">
        <f>_1_54128456121462410464578910174567[[#This Row],[LIST $]]*_1_54128456121462410464578910174567[[#This Row],[DISCOUNT]]*_1_54128456121462410464578910174567[[#This Row],[DISCOUNT 2]]</f>
        <v>0</v>
      </c>
      <c r="M478" s="194">
        <f>IF(OR(_1_54128456121462410464578910174567[[#This Row],[UNIT]]&gt;0,_1_54128456121462410464578910174567[[#This Row],[UNIT]]&lt;0),_1_54128456121462410464578910174567[[#This Row],[UNIT]]*_1_54128456121462410464578910174567[[#This Row],[COST]],0)</f>
        <v>0</v>
      </c>
      <c r="N478" s="194">
        <f t="shared" si="7"/>
        <v>1.3</v>
      </c>
      <c r="O478" s="198">
        <f>_1_54128456121462410464578910174567[[#This Row],[TOTAL]]*_1_54128456121462410464578910174567[[#This Row],[MARGIN]]</f>
        <v>0</v>
      </c>
      <c r="R478" s="41"/>
    </row>
    <row r="479" spans="1:18">
      <c r="D479" s="188"/>
      <c r="F479" s="168" t="s">
        <v>6202</v>
      </c>
      <c r="G479" s="193">
        <f>IF(_1_54128456121462410464578910174567[[#This Row],[Type]]&gt;0,VLOOKUP(_1_54128456121462410464578910174567[[#This Row],[Type]],Main[[#All],[TYPE]:[UNIT]],'Unit Price'!C$1,FALSE),0)</f>
        <v>0</v>
      </c>
      <c r="H479" s="197">
        <f>IF(_1_54128456121462410464578910174567[[#This Row],[Type]]&gt;0,VLOOKUP(_1_54128456121462410464578910174567[[#This Row],[Type]],Main[[#All],[TYPE]:[UNIT]],'Unit Price'!D$1,FALSE),0)</f>
        <v>0</v>
      </c>
      <c r="I479" s="194">
        <f>IF(_1_54128456121462410464578910174567[[#This Row],[Type]]&gt;0,VLOOKUP(_1_54128456121462410464578910174567[[#This Row],[Type]],Main[[#All],[TYPE]:[UNIT]],'Unit Price'!G$1,FALSE),0)</f>
        <v>0</v>
      </c>
      <c r="J479" s="194">
        <f>IF(_1_54128456121462410464578910174567[[#This Row],[Type]]&gt;0,VLOOKUP(_1_54128456121462410464578910174567[[#This Row],[Type]],Main[[#All],[TYPE]:[UNIT]],'Unit Price'!H$1,FALSE),0)</f>
        <v>0</v>
      </c>
      <c r="K479" s="194">
        <f>IF(_1_54128456121462410464578910174567[[#This Row],[Discount selection]]&gt;0,VLOOKUP(_1_54128456121462410464578910174567[[#This Row],[Discount selection]],'Discount Structure'!$A$2:$B$30,2,"false"),0)</f>
        <v>1</v>
      </c>
      <c r="L479" s="194">
        <f>_1_54128456121462410464578910174567[[#This Row],[LIST $]]*_1_54128456121462410464578910174567[[#This Row],[DISCOUNT]]*_1_54128456121462410464578910174567[[#This Row],[DISCOUNT 2]]</f>
        <v>0</v>
      </c>
      <c r="M479" s="194">
        <f>IF(OR(_1_54128456121462410464578910174567[[#This Row],[UNIT]]&gt;0,_1_54128456121462410464578910174567[[#This Row],[UNIT]]&lt;0),_1_54128456121462410464578910174567[[#This Row],[UNIT]]*_1_54128456121462410464578910174567[[#This Row],[COST]],0)</f>
        <v>0</v>
      </c>
      <c r="N479" s="194">
        <f t="shared" si="7"/>
        <v>1.3</v>
      </c>
      <c r="O479" s="198">
        <f>_1_54128456121462410464578910174567[[#This Row],[TOTAL]]*_1_54128456121462410464578910174567[[#This Row],[MARGIN]]</f>
        <v>0</v>
      </c>
      <c r="R479" s="41"/>
    </row>
    <row r="480" spans="1:18">
      <c r="D480" s="188"/>
      <c r="F480" s="168" t="s">
        <v>6202</v>
      </c>
      <c r="G480" s="193">
        <f>IF(_1_54128456121462410464578910174567[[#This Row],[Type]]&gt;0,VLOOKUP(_1_54128456121462410464578910174567[[#This Row],[Type]],Main[[#All],[TYPE]:[UNIT]],'Unit Price'!C$1,FALSE),0)</f>
        <v>0</v>
      </c>
      <c r="H480" s="197">
        <f>IF(_1_54128456121462410464578910174567[[#This Row],[Type]]&gt;0,VLOOKUP(_1_54128456121462410464578910174567[[#This Row],[Type]],Main[[#All],[TYPE]:[UNIT]],'Unit Price'!D$1,FALSE),0)</f>
        <v>0</v>
      </c>
      <c r="I480" s="194">
        <f>IF(_1_54128456121462410464578910174567[[#This Row],[Type]]&gt;0,VLOOKUP(_1_54128456121462410464578910174567[[#This Row],[Type]],Main[[#All],[TYPE]:[UNIT]],'Unit Price'!G$1,FALSE),0)</f>
        <v>0</v>
      </c>
      <c r="J480" s="194">
        <f>IF(_1_54128456121462410464578910174567[[#This Row],[Type]]&gt;0,VLOOKUP(_1_54128456121462410464578910174567[[#This Row],[Type]],Main[[#All],[TYPE]:[UNIT]],'Unit Price'!H$1,FALSE),0)</f>
        <v>0</v>
      </c>
      <c r="K480" s="194">
        <f>IF(_1_54128456121462410464578910174567[[#This Row],[Discount selection]]&gt;0,VLOOKUP(_1_54128456121462410464578910174567[[#This Row],[Discount selection]],'Discount Structure'!$A$2:$B$30,2,"false"),0)</f>
        <v>1</v>
      </c>
      <c r="L480" s="194">
        <f>_1_54128456121462410464578910174567[[#This Row],[LIST $]]*_1_54128456121462410464578910174567[[#This Row],[DISCOUNT]]*_1_54128456121462410464578910174567[[#This Row],[DISCOUNT 2]]</f>
        <v>0</v>
      </c>
      <c r="M480" s="194">
        <f>IF(OR(_1_54128456121462410464578910174567[[#This Row],[UNIT]]&gt;0,_1_54128456121462410464578910174567[[#This Row],[UNIT]]&lt;0),_1_54128456121462410464578910174567[[#This Row],[UNIT]]*_1_54128456121462410464578910174567[[#This Row],[COST]],0)</f>
        <v>0</v>
      </c>
      <c r="N480" s="194">
        <f t="shared" si="7"/>
        <v>1.3</v>
      </c>
      <c r="O480" s="198">
        <f>_1_54128456121462410464578910174567[[#This Row],[TOTAL]]*_1_54128456121462410464578910174567[[#This Row],[MARGIN]]</f>
        <v>0</v>
      </c>
      <c r="R480" s="41"/>
    </row>
    <row r="481" spans="1:18">
      <c r="D481" s="188"/>
      <c r="F481" s="168" t="s">
        <v>6202</v>
      </c>
      <c r="G481" s="193">
        <f>IF(_1_54128456121462410464578910174567[[#This Row],[Type]]&gt;0,VLOOKUP(_1_54128456121462410464578910174567[[#This Row],[Type]],Main[[#All],[TYPE]:[UNIT]],'Unit Price'!C$1,FALSE),0)</f>
        <v>0</v>
      </c>
      <c r="H481" s="197">
        <f>IF(_1_54128456121462410464578910174567[[#This Row],[Type]]&gt;0,VLOOKUP(_1_54128456121462410464578910174567[[#This Row],[Type]],Main[[#All],[TYPE]:[UNIT]],'Unit Price'!D$1,FALSE),0)</f>
        <v>0</v>
      </c>
      <c r="I481" s="194">
        <f>IF(_1_54128456121462410464578910174567[[#This Row],[Type]]&gt;0,VLOOKUP(_1_54128456121462410464578910174567[[#This Row],[Type]],Main[[#All],[TYPE]:[UNIT]],'Unit Price'!G$1,FALSE),0)</f>
        <v>0</v>
      </c>
      <c r="J481" s="194">
        <f>IF(_1_54128456121462410464578910174567[[#This Row],[Type]]&gt;0,VLOOKUP(_1_54128456121462410464578910174567[[#This Row],[Type]],Main[[#All],[TYPE]:[UNIT]],'Unit Price'!H$1,FALSE),0)</f>
        <v>0</v>
      </c>
      <c r="K481" s="194">
        <f>IF(_1_54128456121462410464578910174567[[#This Row],[Discount selection]]&gt;0,VLOOKUP(_1_54128456121462410464578910174567[[#This Row],[Discount selection]],'Discount Structure'!$A$2:$B$30,2,"false"),0)</f>
        <v>1</v>
      </c>
      <c r="L481" s="194">
        <f>_1_54128456121462410464578910174567[[#This Row],[LIST $]]*_1_54128456121462410464578910174567[[#This Row],[DISCOUNT]]*_1_54128456121462410464578910174567[[#This Row],[DISCOUNT 2]]</f>
        <v>0</v>
      </c>
      <c r="M481" s="194">
        <f>IF(OR(_1_54128456121462410464578910174567[[#This Row],[UNIT]]&gt;0,_1_54128456121462410464578910174567[[#This Row],[UNIT]]&lt;0),_1_54128456121462410464578910174567[[#This Row],[UNIT]]*_1_54128456121462410464578910174567[[#This Row],[COST]],0)</f>
        <v>0</v>
      </c>
      <c r="N481" s="194">
        <f t="shared" si="7"/>
        <v>1.3</v>
      </c>
      <c r="O481" s="198">
        <f>_1_54128456121462410464578910174567[[#This Row],[TOTAL]]*_1_54128456121462410464578910174567[[#This Row],[MARGIN]]</f>
        <v>0</v>
      </c>
      <c r="R481" s="41"/>
    </row>
    <row r="482" spans="1:18">
      <c r="D482" s="188"/>
      <c r="F482" s="168" t="s">
        <v>6202</v>
      </c>
      <c r="G482" s="193">
        <f>IF(_1_54128456121462410464578910174567[[#This Row],[Type]]&gt;0,VLOOKUP(_1_54128456121462410464578910174567[[#This Row],[Type]],Main[[#All],[TYPE]:[UNIT]],'Unit Price'!C$1,FALSE),0)</f>
        <v>0</v>
      </c>
      <c r="H482" s="197">
        <f>IF(_1_54128456121462410464578910174567[[#This Row],[Type]]&gt;0,VLOOKUP(_1_54128456121462410464578910174567[[#This Row],[Type]],Main[[#All],[TYPE]:[UNIT]],'Unit Price'!D$1,FALSE),0)</f>
        <v>0</v>
      </c>
      <c r="I482" s="194">
        <f>IF(_1_54128456121462410464578910174567[[#This Row],[Type]]&gt;0,VLOOKUP(_1_54128456121462410464578910174567[[#This Row],[Type]],Main[[#All],[TYPE]:[UNIT]],'Unit Price'!G$1,FALSE),0)</f>
        <v>0</v>
      </c>
      <c r="J482" s="194">
        <f>IF(_1_54128456121462410464578910174567[[#This Row],[Type]]&gt;0,VLOOKUP(_1_54128456121462410464578910174567[[#This Row],[Type]],Main[[#All],[TYPE]:[UNIT]],'Unit Price'!H$1,FALSE),0)</f>
        <v>0</v>
      </c>
      <c r="K482" s="194">
        <f>IF(_1_54128456121462410464578910174567[[#This Row],[Discount selection]]&gt;0,VLOOKUP(_1_54128456121462410464578910174567[[#This Row],[Discount selection]],'Discount Structure'!$A$2:$B$30,2,"false"),0)</f>
        <v>1</v>
      </c>
      <c r="L482" s="194">
        <f>_1_54128456121462410464578910174567[[#This Row],[LIST $]]*_1_54128456121462410464578910174567[[#This Row],[DISCOUNT]]*_1_54128456121462410464578910174567[[#This Row],[DISCOUNT 2]]</f>
        <v>0</v>
      </c>
      <c r="M482" s="194">
        <f>IF(OR(_1_54128456121462410464578910174567[[#This Row],[UNIT]]&gt;0,_1_54128456121462410464578910174567[[#This Row],[UNIT]]&lt;0),_1_54128456121462410464578910174567[[#This Row],[UNIT]]*_1_54128456121462410464578910174567[[#This Row],[COST]],0)</f>
        <v>0</v>
      </c>
      <c r="N482" s="194">
        <f t="shared" si="7"/>
        <v>1.3</v>
      </c>
      <c r="O482" s="198">
        <f>_1_54128456121462410464578910174567[[#This Row],[TOTAL]]*_1_54128456121462410464578910174567[[#This Row],[MARGIN]]</f>
        <v>0</v>
      </c>
      <c r="R482" s="41"/>
    </row>
    <row r="483" spans="1:18">
      <c r="D483" s="188"/>
      <c r="F483" s="168" t="s">
        <v>6202</v>
      </c>
      <c r="G483" s="193">
        <f>IF(_1_54128456121462410464578910174567[[#This Row],[Type]]&gt;0,VLOOKUP(_1_54128456121462410464578910174567[[#This Row],[Type]],Main[[#All],[TYPE]:[UNIT]],'Unit Price'!C$1,FALSE),0)</f>
        <v>0</v>
      </c>
      <c r="H483" s="197">
        <f>IF(_1_54128456121462410464578910174567[[#This Row],[Type]]&gt;0,VLOOKUP(_1_54128456121462410464578910174567[[#This Row],[Type]],Main[[#All],[TYPE]:[UNIT]],'Unit Price'!D$1,FALSE),0)</f>
        <v>0</v>
      </c>
      <c r="I483" s="194">
        <f>IF(_1_54128456121462410464578910174567[[#This Row],[Type]]&gt;0,VLOOKUP(_1_54128456121462410464578910174567[[#This Row],[Type]],Main[[#All],[TYPE]:[UNIT]],'Unit Price'!G$1,FALSE),0)</f>
        <v>0</v>
      </c>
      <c r="J483" s="194">
        <f>IF(_1_54128456121462410464578910174567[[#This Row],[Type]]&gt;0,VLOOKUP(_1_54128456121462410464578910174567[[#This Row],[Type]],Main[[#All],[TYPE]:[UNIT]],'Unit Price'!H$1,FALSE),0)</f>
        <v>0</v>
      </c>
      <c r="K483" s="194">
        <f>IF(_1_54128456121462410464578910174567[[#This Row],[Discount selection]]&gt;0,VLOOKUP(_1_54128456121462410464578910174567[[#This Row],[Discount selection]],'Discount Structure'!$A$2:$B$30,2,"false"),0)</f>
        <v>1</v>
      </c>
      <c r="L483" s="194">
        <f>_1_54128456121462410464578910174567[[#This Row],[LIST $]]*_1_54128456121462410464578910174567[[#This Row],[DISCOUNT]]*_1_54128456121462410464578910174567[[#This Row],[DISCOUNT 2]]</f>
        <v>0</v>
      </c>
      <c r="M483" s="194">
        <f>IF(OR(_1_54128456121462410464578910174567[[#This Row],[UNIT]]&gt;0,_1_54128456121462410464578910174567[[#This Row],[UNIT]]&lt;0),_1_54128456121462410464578910174567[[#This Row],[UNIT]]*_1_54128456121462410464578910174567[[#This Row],[COST]],0)</f>
        <v>0</v>
      </c>
      <c r="N483" s="194">
        <f t="shared" si="7"/>
        <v>1.3</v>
      </c>
      <c r="O483" s="198">
        <f>_1_54128456121462410464578910174567[[#This Row],[TOTAL]]*_1_54128456121462410464578910174567[[#This Row],[MARGIN]]</f>
        <v>0</v>
      </c>
      <c r="R483" s="41"/>
    </row>
    <row r="484" spans="1:18">
      <c r="D484" s="188"/>
      <c r="F484" s="168" t="s">
        <v>6202</v>
      </c>
      <c r="G484" s="193">
        <f>IF(_1_54128456121462410464578910174567[[#This Row],[Type]]&gt;0,VLOOKUP(_1_54128456121462410464578910174567[[#This Row],[Type]],Main[[#All],[TYPE]:[UNIT]],'Unit Price'!C$1,FALSE),0)</f>
        <v>0</v>
      </c>
      <c r="H484" s="197">
        <f>IF(_1_54128456121462410464578910174567[[#This Row],[Type]]&gt;0,VLOOKUP(_1_54128456121462410464578910174567[[#This Row],[Type]],Main[[#All],[TYPE]:[UNIT]],'Unit Price'!D$1,FALSE),0)</f>
        <v>0</v>
      </c>
      <c r="I484" s="194">
        <f>IF(_1_54128456121462410464578910174567[[#This Row],[Type]]&gt;0,VLOOKUP(_1_54128456121462410464578910174567[[#This Row],[Type]],Main[[#All],[TYPE]:[UNIT]],'Unit Price'!G$1,FALSE),0)</f>
        <v>0</v>
      </c>
      <c r="J484" s="194">
        <f>IF(_1_54128456121462410464578910174567[[#This Row],[Type]]&gt;0,VLOOKUP(_1_54128456121462410464578910174567[[#This Row],[Type]],Main[[#All],[TYPE]:[UNIT]],'Unit Price'!H$1,FALSE),0)</f>
        <v>0</v>
      </c>
      <c r="K484" s="194">
        <f>IF(_1_54128456121462410464578910174567[[#This Row],[Discount selection]]&gt;0,VLOOKUP(_1_54128456121462410464578910174567[[#This Row],[Discount selection]],'Discount Structure'!$A$2:$B$30,2,"false"),0)</f>
        <v>1</v>
      </c>
      <c r="L484" s="194">
        <f>_1_54128456121462410464578910174567[[#This Row],[LIST $]]*_1_54128456121462410464578910174567[[#This Row],[DISCOUNT]]*_1_54128456121462410464578910174567[[#This Row],[DISCOUNT 2]]</f>
        <v>0</v>
      </c>
      <c r="M484" s="194">
        <f>IF(OR(_1_54128456121462410464578910174567[[#This Row],[UNIT]]&gt;0,_1_54128456121462410464578910174567[[#This Row],[UNIT]]&lt;0),_1_54128456121462410464578910174567[[#This Row],[UNIT]]*_1_54128456121462410464578910174567[[#This Row],[COST]],0)</f>
        <v>0</v>
      </c>
      <c r="N484" s="194">
        <f t="shared" si="7"/>
        <v>1.3</v>
      </c>
      <c r="O484" s="198">
        <f>_1_54128456121462410464578910174567[[#This Row],[TOTAL]]*_1_54128456121462410464578910174567[[#This Row],[MARGIN]]</f>
        <v>0</v>
      </c>
      <c r="R484" s="41"/>
    </row>
    <row r="485" spans="1:18">
      <c r="D485" s="188"/>
      <c r="F485" s="168" t="s">
        <v>6202</v>
      </c>
      <c r="G485" s="193">
        <f>IF(_1_54128456121462410464578910174567[[#This Row],[Type]]&gt;0,VLOOKUP(_1_54128456121462410464578910174567[[#This Row],[Type]],Main[[#All],[TYPE]:[UNIT]],'Unit Price'!C$1,FALSE),0)</f>
        <v>0</v>
      </c>
      <c r="H485" s="197">
        <f>IF(_1_54128456121462410464578910174567[[#This Row],[Type]]&gt;0,VLOOKUP(_1_54128456121462410464578910174567[[#This Row],[Type]],Main[[#All],[TYPE]:[UNIT]],'Unit Price'!D$1,FALSE),0)</f>
        <v>0</v>
      </c>
      <c r="I485" s="194">
        <f>IF(_1_54128456121462410464578910174567[[#This Row],[Type]]&gt;0,VLOOKUP(_1_54128456121462410464578910174567[[#This Row],[Type]],Main[[#All],[TYPE]:[UNIT]],'Unit Price'!G$1,FALSE),0)</f>
        <v>0</v>
      </c>
      <c r="J485" s="194">
        <f>IF(_1_54128456121462410464578910174567[[#This Row],[Type]]&gt;0,VLOOKUP(_1_54128456121462410464578910174567[[#This Row],[Type]],Main[[#All],[TYPE]:[UNIT]],'Unit Price'!H$1,FALSE),0)</f>
        <v>0</v>
      </c>
      <c r="K485" s="194">
        <f>IF(_1_54128456121462410464578910174567[[#This Row],[Discount selection]]&gt;0,VLOOKUP(_1_54128456121462410464578910174567[[#This Row],[Discount selection]],'Discount Structure'!$A$2:$B$30,2,"false"),0)</f>
        <v>1</v>
      </c>
      <c r="L485" s="194">
        <f>_1_54128456121462410464578910174567[[#This Row],[LIST $]]*_1_54128456121462410464578910174567[[#This Row],[DISCOUNT]]*_1_54128456121462410464578910174567[[#This Row],[DISCOUNT 2]]</f>
        <v>0</v>
      </c>
      <c r="M485" s="194">
        <f>IF(OR(_1_54128456121462410464578910174567[[#This Row],[UNIT]]&gt;0,_1_54128456121462410464578910174567[[#This Row],[UNIT]]&lt;0),_1_54128456121462410464578910174567[[#This Row],[UNIT]]*_1_54128456121462410464578910174567[[#This Row],[COST]],0)</f>
        <v>0</v>
      </c>
      <c r="N485" s="194">
        <f t="shared" si="7"/>
        <v>1.3</v>
      </c>
      <c r="O485" s="198">
        <f>_1_54128456121462410464578910174567[[#This Row],[TOTAL]]*_1_54128456121462410464578910174567[[#This Row],[MARGIN]]</f>
        <v>0</v>
      </c>
      <c r="R485" s="41"/>
    </row>
    <row r="486" spans="1:18">
      <c r="D486" s="188"/>
      <c r="F486" s="168" t="s">
        <v>6202</v>
      </c>
      <c r="G486" s="193">
        <f>IF(_1_54128456121462410464578910174567[[#This Row],[Type]]&gt;0,VLOOKUP(_1_54128456121462410464578910174567[[#This Row],[Type]],Main[[#All],[TYPE]:[UNIT]],'Unit Price'!C$1,FALSE),0)</f>
        <v>0</v>
      </c>
      <c r="H486" s="197">
        <f>IF(_1_54128456121462410464578910174567[[#This Row],[Type]]&gt;0,VLOOKUP(_1_54128456121462410464578910174567[[#This Row],[Type]],Main[[#All],[TYPE]:[UNIT]],'Unit Price'!D$1,FALSE),0)</f>
        <v>0</v>
      </c>
      <c r="I486" s="194">
        <f>IF(_1_54128456121462410464578910174567[[#This Row],[Type]]&gt;0,VLOOKUP(_1_54128456121462410464578910174567[[#This Row],[Type]],Main[[#All],[TYPE]:[UNIT]],'Unit Price'!G$1,FALSE),0)</f>
        <v>0</v>
      </c>
      <c r="J486" s="194">
        <f>IF(_1_54128456121462410464578910174567[[#This Row],[Type]]&gt;0,VLOOKUP(_1_54128456121462410464578910174567[[#This Row],[Type]],Main[[#All],[TYPE]:[UNIT]],'Unit Price'!H$1,FALSE),0)</f>
        <v>0</v>
      </c>
      <c r="K486" s="194">
        <f>IF(_1_54128456121462410464578910174567[[#This Row],[Discount selection]]&gt;0,VLOOKUP(_1_54128456121462410464578910174567[[#This Row],[Discount selection]],'Discount Structure'!$A$2:$B$30,2,"false"),0)</f>
        <v>1</v>
      </c>
      <c r="L486" s="194">
        <f>_1_54128456121462410464578910174567[[#This Row],[LIST $]]*_1_54128456121462410464578910174567[[#This Row],[DISCOUNT]]*_1_54128456121462410464578910174567[[#This Row],[DISCOUNT 2]]</f>
        <v>0</v>
      </c>
      <c r="M486" s="194">
        <f>IF(OR(_1_54128456121462410464578910174567[[#This Row],[UNIT]]&gt;0,_1_54128456121462410464578910174567[[#This Row],[UNIT]]&lt;0),_1_54128456121462410464578910174567[[#This Row],[UNIT]]*_1_54128456121462410464578910174567[[#This Row],[COST]],0)</f>
        <v>0</v>
      </c>
      <c r="N486" s="194">
        <f t="shared" si="7"/>
        <v>1.3</v>
      </c>
      <c r="O486" s="198">
        <f>_1_54128456121462410464578910174567[[#This Row],[TOTAL]]*_1_54128456121462410464578910174567[[#This Row],[MARGIN]]</f>
        <v>0</v>
      </c>
      <c r="R486" s="41"/>
    </row>
    <row r="487" spans="1:18">
      <c r="D487" s="188"/>
      <c r="F487" s="168" t="s">
        <v>6202</v>
      </c>
      <c r="G487" s="193">
        <f>IF(_1_54128456121462410464578910174567[[#This Row],[Type]]&gt;0,VLOOKUP(_1_54128456121462410464578910174567[[#This Row],[Type]],Main[[#All],[TYPE]:[UNIT]],'Unit Price'!C$1,FALSE),0)</f>
        <v>0</v>
      </c>
      <c r="H487" s="197">
        <f>IF(_1_54128456121462410464578910174567[[#This Row],[Type]]&gt;0,VLOOKUP(_1_54128456121462410464578910174567[[#This Row],[Type]],Main[[#All],[TYPE]:[UNIT]],'Unit Price'!D$1,FALSE),0)</f>
        <v>0</v>
      </c>
      <c r="I487" s="194">
        <f>IF(_1_54128456121462410464578910174567[[#This Row],[Type]]&gt;0,VLOOKUP(_1_54128456121462410464578910174567[[#This Row],[Type]],Main[[#All],[TYPE]:[UNIT]],'Unit Price'!G$1,FALSE),0)</f>
        <v>0</v>
      </c>
      <c r="J487" s="194">
        <f>IF(_1_54128456121462410464578910174567[[#This Row],[Type]]&gt;0,VLOOKUP(_1_54128456121462410464578910174567[[#This Row],[Type]],Main[[#All],[TYPE]:[UNIT]],'Unit Price'!H$1,FALSE),0)</f>
        <v>0</v>
      </c>
      <c r="K487" s="194">
        <f>IF(_1_54128456121462410464578910174567[[#This Row],[Discount selection]]&gt;0,VLOOKUP(_1_54128456121462410464578910174567[[#This Row],[Discount selection]],'Discount Structure'!$A$2:$B$30,2,"false"),0)</f>
        <v>1</v>
      </c>
      <c r="L487" s="194">
        <f>_1_54128456121462410464578910174567[[#This Row],[LIST $]]*_1_54128456121462410464578910174567[[#This Row],[DISCOUNT]]*_1_54128456121462410464578910174567[[#This Row],[DISCOUNT 2]]</f>
        <v>0</v>
      </c>
      <c r="M487" s="194">
        <f>IF(OR(_1_54128456121462410464578910174567[[#This Row],[UNIT]]&gt;0,_1_54128456121462410464578910174567[[#This Row],[UNIT]]&lt;0),_1_54128456121462410464578910174567[[#This Row],[UNIT]]*_1_54128456121462410464578910174567[[#This Row],[COST]],0)</f>
        <v>0</v>
      </c>
      <c r="N487" s="194">
        <f t="shared" si="7"/>
        <v>1.3</v>
      </c>
      <c r="O487" s="198">
        <f>_1_54128456121462410464578910174567[[#This Row],[TOTAL]]*_1_54128456121462410464578910174567[[#This Row],[MARGIN]]</f>
        <v>0</v>
      </c>
      <c r="R487" s="41"/>
    </row>
    <row r="488" spans="1:18">
      <c r="A488" s="168"/>
      <c r="D488" s="188"/>
      <c r="F488" s="168" t="s">
        <v>6202</v>
      </c>
      <c r="G488" s="193">
        <f>IF(_1_54128456121462410464578910174567[[#This Row],[Type]]&gt;0,VLOOKUP(_1_54128456121462410464578910174567[[#This Row],[Type]],Main[[#All],[TYPE]:[UNIT]],'Unit Price'!C$1,FALSE),0)</f>
        <v>0</v>
      </c>
      <c r="H488" s="197">
        <f>IF(_1_54128456121462410464578910174567[[#This Row],[Type]]&gt;0,VLOOKUP(_1_54128456121462410464578910174567[[#This Row],[Type]],Main[[#All],[TYPE]:[UNIT]],'Unit Price'!D$1,FALSE),0)</f>
        <v>0</v>
      </c>
      <c r="I488" s="194">
        <f>IF(_1_54128456121462410464578910174567[[#This Row],[Type]]&gt;0,VLOOKUP(_1_54128456121462410464578910174567[[#This Row],[Type]],Main[[#All],[TYPE]:[UNIT]],'Unit Price'!G$1,FALSE),0)</f>
        <v>0</v>
      </c>
      <c r="J488" s="194">
        <f>IF(_1_54128456121462410464578910174567[[#This Row],[Type]]&gt;0,VLOOKUP(_1_54128456121462410464578910174567[[#This Row],[Type]],Main[[#All],[TYPE]:[UNIT]],'Unit Price'!H$1,FALSE),0)</f>
        <v>0</v>
      </c>
      <c r="K488" s="194">
        <f>IF(_1_54128456121462410464578910174567[[#This Row],[Discount selection]]&gt;0,VLOOKUP(_1_54128456121462410464578910174567[[#This Row],[Discount selection]],'Discount Structure'!$A$2:$B$30,2,"false"),0)</f>
        <v>1</v>
      </c>
      <c r="L488" s="194">
        <f>_1_54128456121462410464578910174567[[#This Row],[LIST $]]*_1_54128456121462410464578910174567[[#This Row],[DISCOUNT]]*_1_54128456121462410464578910174567[[#This Row],[DISCOUNT 2]]</f>
        <v>0</v>
      </c>
      <c r="M488" s="194">
        <f>IF(OR(_1_54128456121462410464578910174567[[#This Row],[UNIT]]&gt;0,_1_54128456121462410464578910174567[[#This Row],[UNIT]]&lt;0),_1_54128456121462410464578910174567[[#This Row],[UNIT]]*_1_54128456121462410464578910174567[[#This Row],[COST]],0)</f>
        <v>0</v>
      </c>
      <c r="N488" s="194">
        <f t="shared" si="7"/>
        <v>1.3</v>
      </c>
      <c r="O488" s="198">
        <f>_1_54128456121462410464578910174567[[#This Row],[TOTAL]]*_1_54128456121462410464578910174567[[#This Row],[MARGIN]]</f>
        <v>0</v>
      </c>
      <c r="R488" s="41"/>
    </row>
    <row r="489" spans="1:18">
      <c r="B489" s="168"/>
      <c r="D489" s="188"/>
      <c r="F489" s="168" t="s">
        <v>6202</v>
      </c>
      <c r="G489" s="193">
        <f>IF(_1_54128456121462410464578910174567[[#This Row],[Type]]&gt;0,VLOOKUP(_1_54128456121462410464578910174567[[#This Row],[Type]],Main[[#All],[TYPE]:[UNIT]],'Unit Price'!C$1,FALSE),0)</f>
        <v>0</v>
      </c>
      <c r="H489" s="197">
        <f>IF(_1_54128456121462410464578910174567[[#This Row],[Type]]&gt;0,VLOOKUP(_1_54128456121462410464578910174567[[#This Row],[Type]],Main[[#All],[TYPE]:[UNIT]],'Unit Price'!D$1,FALSE),0)</f>
        <v>0</v>
      </c>
      <c r="I489" s="194">
        <f>IF(_1_54128456121462410464578910174567[[#This Row],[Type]]&gt;0,VLOOKUP(_1_54128456121462410464578910174567[[#This Row],[Type]],Main[[#All],[TYPE]:[UNIT]],'Unit Price'!G$1,FALSE),0)</f>
        <v>0</v>
      </c>
      <c r="J489" s="194">
        <f>IF(_1_54128456121462410464578910174567[[#This Row],[Type]]&gt;0,VLOOKUP(_1_54128456121462410464578910174567[[#This Row],[Type]],Main[[#All],[TYPE]:[UNIT]],'Unit Price'!H$1,FALSE),0)</f>
        <v>0</v>
      </c>
      <c r="K489" s="194">
        <f>IF(_1_54128456121462410464578910174567[[#This Row],[Discount selection]]&gt;0,VLOOKUP(_1_54128456121462410464578910174567[[#This Row],[Discount selection]],'Discount Structure'!$A$2:$B$30,2,"false"),0)</f>
        <v>1</v>
      </c>
      <c r="L489" s="194">
        <f>_1_54128456121462410464578910174567[[#This Row],[LIST $]]*_1_54128456121462410464578910174567[[#This Row],[DISCOUNT]]*_1_54128456121462410464578910174567[[#This Row],[DISCOUNT 2]]</f>
        <v>0</v>
      </c>
      <c r="M489" s="194">
        <f>IF(OR(_1_54128456121462410464578910174567[[#This Row],[UNIT]]&gt;0,_1_54128456121462410464578910174567[[#This Row],[UNIT]]&lt;0),_1_54128456121462410464578910174567[[#This Row],[UNIT]]*_1_54128456121462410464578910174567[[#This Row],[COST]],0)</f>
        <v>0</v>
      </c>
      <c r="N489" s="194">
        <f t="shared" si="7"/>
        <v>1.3</v>
      </c>
      <c r="O489" s="198">
        <f>_1_54128456121462410464578910174567[[#This Row],[TOTAL]]*_1_54128456121462410464578910174567[[#This Row],[MARGIN]]</f>
        <v>0</v>
      </c>
      <c r="R489" s="41"/>
    </row>
    <row r="490" spans="1:18">
      <c r="D490" s="188"/>
      <c r="F490" s="168" t="s">
        <v>6202</v>
      </c>
      <c r="G490" s="193">
        <f>IF(_1_54128456121462410464578910174567[[#This Row],[Type]]&gt;0,VLOOKUP(_1_54128456121462410464578910174567[[#This Row],[Type]],Main[[#All],[TYPE]:[UNIT]],'Unit Price'!C$1,FALSE),0)</f>
        <v>0</v>
      </c>
      <c r="H490" s="197">
        <f>IF(_1_54128456121462410464578910174567[[#This Row],[Type]]&gt;0,VLOOKUP(_1_54128456121462410464578910174567[[#This Row],[Type]],Main[[#All],[TYPE]:[UNIT]],'Unit Price'!D$1,FALSE),0)</f>
        <v>0</v>
      </c>
      <c r="I490" s="194">
        <f>IF(_1_54128456121462410464578910174567[[#This Row],[Type]]&gt;0,VLOOKUP(_1_54128456121462410464578910174567[[#This Row],[Type]],Main[[#All],[TYPE]:[UNIT]],'Unit Price'!G$1,FALSE),0)</f>
        <v>0</v>
      </c>
      <c r="J490" s="194">
        <f>IF(_1_54128456121462410464578910174567[[#This Row],[Type]]&gt;0,VLOOKUP(_1_54128456121462410464578910174567[[#This Row],[Type]],Main[[#All],[TYPE]:[UNIT]],'Unit Price'!H$1,FALSE),0)</f>
        <v>0</v>
      </c>
      <c r="K490" s="194">
        <f>IF(_1_54128456121462410464578910174567[[#This Row],[Discount selection]]&gt;0,VLOOKUP(_1_54128456121462410464578910174567[[#This Row],[Discount selection]],'Discount Structure'!$A$2:$B$30,2,"false"),0)</f>
        <v>1</v>
      </c>
      <c r="L490" s="194">
        <f>_1_54128456121462410464578910174567[[#This Row],[LIST $]]*_1_54128456121462410464578910174567[[#This Row],[DISCOUNT]]*_1_54128456121462410464578910174567[[#This Row],[DISCOUNT 2]]</f>
        <v>0</v>
      </c>
      <c r="M490" s="194">
        <f>IF(OR(_1_54128456121462410464578910174567[[#This Row],[UNIT]]&gt;0,_1_54128456121462410464578910174567[[#This Row],[UNIT]]&lt;0),_1_54128456121462410464578910174567[[#This Row],[UNIT]]*_1_54128456121462410464578910174567[[#This Row],[COST]],0)</f>
        <v>0</v>
      </c>
      <c r="N490" s="194">
        <f t="shared" si="7"/>
        <v>1.3</v>
      </c>
      <c r="O490" s="198">
        <f>_1_54128456121462410464578910174567[[#This Row],[TOTAL]]*_1_54128456121462410464578910174567[[#This Row],[MARGIN]]</f>
        <v>0</v>
      </c>
      <c r="R490" s="41"/>
    </row>
    <row r="491" spans="1:18">
      <c r="D491" s="188"/>
      <c r="F491" s="168" t="s">
        <v>6202</v>
      </c>
      <c r="G491" s="193">
        <f>IF(_1_54128456121462410464578910174567[[#This Row],[Type]]&gt;0,VLOOKUP(_1_54128456121462410464578910174567[[#This Row],[Type]],Main[[#All],[TYPE]:[UNIT]],'Unit Price'!C$1,FALSE),0)</f>
        <v>0</v>
      </c>
      <c r="H491" s="197">
        <f>IF(_1_54128456121462410464578910174567[[#This Row],[Type]]&gt;0,VLOOKUP(_1_54128456121462410464578910174567[[#This Row],[Type]],Main[[#All],[TYPE]:[UNIT]],'Unit Price'!D$1,FALSE),0)</f>
        <v>0</v>
      </c>
      <c r="I491" s="194">
        <f>IF(_1_54128456121462410464578910174567[[#This Row],[Type]]&gt;0,VLOOKUP(_1_54128456121462410464578910174567[[#This Row],[Type]],Main[[#All],[TYPE]:[UNIT]],'Unit Price'!G$1,FALSE),0)</f>
        <v>0</v>
      </c>
      <c r="J491" s="194">
        <f>IF(_1_54128456121462410464578910174567[[#This Row],[Type]]&gt;0,VLOOKUP(_1_54128456121462410464578910174567[[#This Row],[Type]],Main[[#All],[TYPE]:[UNIT]],'Unit Price'!H$1,FALSE),0)</f>
        <v>0</v>
      </c>
      <c r="K491" s="194">
        <f>IF(_1_54128456121462410464578910174567[[#This Row],[Discount selection]]&gt;0,VLOOKUP(_1_54128456121462410464578910174567[[#This Row],[Discount selection]],'Discount Structure'!$A$2:$B$30,2,"false"),0)</f>
        <v>1</v>
      </c>
      <c r="L491" s="194">
        <f>_1_54128456121462410464578910174567[[#This Row],[LIST $]]*_1_54128456121462410464578910174567[[#This Row],[DISCOUNT]]*_1_54128456121462410464578910174567[[#This Row],[DISCOUNT 2]]</f>
        <v>0</v>
      </c>
      <c r="M491" s="194">
        <f>IF(OR(_1_54128456121462410464578910174567[[#This Row],[UNIT]]&gt;0,_1_54128456121462410464578910174567[[#This Row],[UNIT]]&lt;0),_1_54128456121462410464578910174567[[#This Row],[UNIT]]*_1_54128456121462410464578910174567[[#This Row],[COST]],0)</f>
        <v>0</v>
      </c>
      <c r="N491" s="194">
        <f t="shared" si="7"/>
        <v>1.3</v>
      </c>
      <c r="O491" s="198">
        <f>_1_54128456121462410464578910174567[[#This Row],[TOTAL]]*_1_54128456121462410464578910174567[[#This Row],[MARGIN]]</f>
        <v>0</v>
      </c>
      <c r="R491" s="41"/>
    </row>
    <row r="492" spans="1:18">
      <c r="D492" s="188"/>
      <c r="F492" s="168" t="s">
        <v>6202</v>
      </c>
      <c r="G492" s="193">
        <f>IF(_1_54128456121462410464578910174567[[#This Row],[Type]]&gt;0,VLOOKUP(_1_54128456121462410464578910174567[[#This Row],[Type]],Main[[#All],[TYPE]:[UNIT]],'Unit Price'!C$1,FALSE),0)</f>
        <v>0</v>
      </c>
      <c r="H492" s="197">
        <f>IF(_1_54128456121462410464578910174567[[#This Row],[Type]]&gt;0,VLOOKUP(_1_54128456121462410464578910174567[[#This Row],[Type]],Main[[#All],[TYPE]:[UNIT]],'Unit Price'!D$1,FALSE),0)</f>
        <v>0</v>
      </c>
      <c r="I492" s="194">
        <f>IF(_1_54128456121462410464578910174567[[#This Row],[Type]]&gt;0,VLOOKUP(_1_54128456121462410464578910174567[[#This Row],[Type]],Main[[#All],[TYPE]:[UNIT]],'Unit Price'!G$1,FALSE),0)</f>
        <v>0</v>
      </c>
      <c r="J492" s="194">
        <f>IF(_1_54128456121462410464578910174567[[#This Row],[Type]]&gt;0,VLOOKUP(_1_54128456121462410464578910174567[[#This Row],[Type]],Main[[#All],[TYPE]:[UNIT]],'Unit Price'!H$1,FALSE),0)</f>
        <v>0</v>
      </c>
      <c r="K492" s="194">
        <f>IF(_1_54128456121462410464578910174567[[#This Row],[Discount selection]]&gt;0,VLOOKUP(_1_54128456121462410464578910174567[[#This Row],[Discount selection]],'Discount Structure'!$A$2:$B$30,2,"false"),0)</f>
        <v>1</v>
      </c>
      <c r="L492" s="194">
        <f>_1_54128456121462410464578910174567[[#This Row],[LIST $]]*_1_54128456121462410464578910174567[[#This Row],[DISCOUNT]]*_1_54128456121462410464578910174567[[#This Row],[DISCOUNT 2]]</f>
        <v>0</v>
      </c>
      <c r="M492" s="194">
        <f>IF(OR(_1_54128456121462410464578910174567[[#This Row],[UNIT]]&gt;0,_1_54128456121462410464578910174567[[#This Row],[UNIT]]&lt;0),_1_54128456121462410464578910174567[[#This Row],[UNIT]]*_1_54128456121462410464578910174567[[#This Row],[COST]],0)</f>
        <v>0</v>
      </c>
      <c r="N492" s="194">
        <f t="shared" si="7"/>
        <v>1.3</v>
      </c>
      <c r="O492" s="198">
        <f>_1_54128456121462410464578910174567[[#This Row],[TOTAL]]*_1_54128456121462410464578910174567[[#This Row],[MARGIN]]</f>
        <v>0</v>
      </c>
      <c r="R492" s="41"/>
    </row>
    <row r="493" spans="1:18">
      <c r="D493" s="188"/>
      <c r="F493" s="168" t="s">
        <v>6202</v>
      </c>
      <c r="G493" s="193">
        <f>IF(_1_54128456121462410464578910174567[[#This Row],[Type]]&gt;0,VLOOKUP(_1_54128456121462410464578910174567[[#This Row],[Type]],Main[[#All],[TYPE]:[UNIT]],'Unit Price'!C$1,FALSE),0)</f>
        <v>0</v>
      </c>
      <c r="H493" s="197">
        <f>IF(_1_54128456121462410464578910174567[[#This Row],[Type]]&gt;0,VLOOKUP(_1_54128456121462410464578910174567[[#This Row],[Type]],Main[[#All],[TYPE]:[UNIT]],'Unit Price'!D$1,FALSE),0)</f>
        <v>0</v>
      </c>
      <c r="I493" s="194">
        <f>IF(_1_54128456121462410464578910174567[[#This Row],[Type]]&gt;0,VLOOKUP(_1_54128456121462410464578910174567[[#This Row],[Type]],Main[[#All],[TYPE]:[UNIT]],'Unit Price'!G$1,FALSE),0)</f>
        <v>0</v>
      </c>
      <c r="J493" s="194">
        <f>IF(_1_54128456121462410464578910174567[[#This Row],[Type]]&gt;0,VLOOKUP(_1_54128456121462410464578910174567[[#This Row],[Type]],Main[[#All],[TYPE]:[UNIT]],'Unit Price'!H$1,FALSE),0)</f>
        <v>0</v>
      </c>
      <c r="K493" s="194">
        <f>IF(_1_54128456121462410464578910174567[[#This Row],[Discount selection]]&gt;0,VLOOKUP(_1_54128456121462410464578910174567[[#This Row],[Discount selection]],'Discount Structure'!$A$2:$B$30,2,"false"),0)</f>
        <v>1</v>
      </c>
      <c r="L493" s="194">
        <f>_1_54128456121462410464578910174567[[#This Row],[LIST $]]*_1_54128456121462410464578910174567[[#This Row],[DISCOUNT]]*_1_54128456121462410464578910174567[[#This Row],[DISCOUNT 2]]</f>
        <v>0</v>
      </c>
      <c r="M493" s="194">
        <f>IF(OR(_1_54128456121462410464578910174567[[#This Row],[UNIT]]&gt;0,_1_54128456121462410464578910174567[[#This Row],[UNIT]]&lt;0),_1_54128456121462410464578910174567[[#This Row],[UNIT]]*_1_54128456121462410464578910174567[[#This Row],[COST]],0)</f>
        <v>0</v>
      </c>
      <c r="N493" s="194">
        <f t="shared" si="7"/>
        <v>1.3</v>
      </c>
      <c r="O493" s="198">
        <f>_1_54128456121462410464578910174567[[#This Row],[TOTAL]]*_1_54128456121462410464578910174567[[#This Row],[MARGIN]]</f>
        <v>0</v>
      </c>
      <c r="R493" s="41"/>
    </row>
    <row r="494" spans="1:18">
      <c r="D494" s="188"/>
      <c r="F494" s="168" t="s">
        <v>6202</v>
      </c>
      <c r="G494" s="193">
        <f>IF(_1_54128456121462410464578910174567[[#This Row],[Type]]&gt;0,VLOOKUP(_1_54128456121462410464578910174567[[#This Row],[Type]],Main[[#All],[TYPE]:[UNIT]],'Unit Price'!C$1,FALSE),0)</f>
        <v>0</v>
      </c>
      <c r="H494" s="197">
        <f>IF(_1_54128456121462410464578910174567[[#This Row],[Type]]&gt;0,VLOOKUP(_1_54128456121462410464578910174567[[#This Row],[Type]],Main[[#All],[TYPE]:[UNIT]],'Unit Price'!D$1,FALSE),0)</f>
        <v>0</v>
      </c>
      <c r="I494" s="194">
        <f>IF(_1_54128456121462410464578910174567[[#This Row],[Type]]&gt;0,VLOOKUP(_1_54128456121462410464578910174567[[#This Row],[Type]],Main[[#All],[TYPE]:[UNIT]],'Unit Price'!G$1,FALSE),0)</f>
        <v>0</v>
      </c>
      <c r="J494" s="194">
        <f>IF(_1_54128456121462410464578910174567[[#This Row],[Type]]&gt;0,VLOOKUP(_1_54128456121462410464578910174567[[#This Row],[Type]],Main[[#All],[TYPE]:[UNIT]],'Unit Price'!H$1,FALSE),0)</f>
        <v>0</v>
      </c>
      <c r="K494" s="194">
        <f>IF(_1_54128456121462410464578910174567[[#This Row],[Discount selection]]&gt;0,VLOOKUP(_1_54128456121462410464578910174567[[#This Row],[Discount selection]],'Discount Structure'!$A$2:$B$30,2,"false"),0)</f>
        <v>1</v>
      </c>
      <c r="L494" s="194">
        <f>_1_54128456121462410464578910174567[[#This Row],[LIST $]]*_1_54128456121462410464578910174567[[#This Row],[DISCOUNT]]*_1_54128456121462410464578910174567[[#This Row],[DISCOUNT 2]]</f>
        <v>0</v>
      </c>
      <c r="M494" s="194">
        <f>IF(OR(_1_54128456121462410464578910174567[[#This Row],[UNIT]]&gt;0,_1_54128456121462410464578910174567[[#This Row],[UNIT]]&lt;0),_1_54128456121462410464578910174567[[#This Row],[UNIT]]*_1_54128456121462410464578910174567[[#This Row],[COST]],0)</f>
        <v>0</v>
      </c>
      <c r="N494" s="194">
        <f t="shared" si="7"/>
        <v>1.3</v>
      </c>
      <c r="O494" s="198">
        <f>_1_54128456121462410464578910174567[[#This Row],[TOTAL]]*_1_54128456121462410464578910174567[[#This Row],[MARGIN]]</f>
        <v>0</v>
      </c>
      <c r="R494" s="41"/>
    </row>
    <row r="495" spans="1:18">
      <c r="D495" s="188"/>
      <c r="F495" s="168" t="s">
        <v>6202</v>
      </c>
      <c r="G495" s="193">
        <f>IF(_1_54128456121462410464578910174567[[#This Row],[Type]]&gt;0,VLOOKUP(_1_54128456121462410464578910174567[[#This Row],[Type]],Main[[#All],[TYPE]:[UNIT]],'Unit Price'!C$1,FALSE),0)</f>
        <v>0</v>
      </c>
      <c r="H495" s="197">
        <f>IF(_1_54128456121462410464578910174567[[#This Row],[Type]]&gt;0,VLOOKUP(_1_54128456121462410464578910174567[[#This Row],[Type]],Main[[#All],[TYPE]:[UNIT]],'Unit Price'!D$1,FALSE),0)</f>
        <v>0</v>
      </c>
      <c r="I495" s="194">
        <f>IF(_1_54128456121462410464578910174567[[#This Row],[Type]]&gt;0,VLOOKUP(_1_54128456121462410464578910174567[[#This Row],[Type]],Main[[#All],[TYPE]:[UNIT]],'Unit Price'!G$1,FALSE),0)</f>
        <v>0</v>
      </c>
      <c r="J495" s="194">
        <f>IF(_1_54128456121462410464578910174567[[#This Row],[Type]]&gt;0,VLOOKUP(_1_54128456121462410464578910174567[[#This Row],[Type]],Main[[#All],[TYPE]:[UNIT]],'Unit Price'!H$1,FALSE),0)</f>
        <v>0</v>
      </c>
      <c r="K495" s="194">
        <f>IF(_1_54128456121462410464578910174567[[#This Row],[Discount selection]]&gt;0,VLOOKUP(_1_54128456121462410464578910174567[[#This Row],[Discount selection]],'Discount Structure'!$A$2:$B$30,2,"false"),0)</f>
        <v>1</v>
      </c>
      <c r="L495" s="194">
        <f>_1_54128456121462410464578910174567[[#This Row],[LIST $]]*_1_54128456121462410464578910174567[[#This Row],[DISCOUNT]]*_1_54128456121462410464578910174567[[#This Row],[DISCOUNT 2]]</f>
        <v>0</v>
      </c>
      <c r="M495" s="194">
        <f>IF(OR(_1_54128456121462410464578910174567[[#This Row],[UNIT]]&gt;0,_1_54128456121462410464578910174567[[#This Row],[UNIT]]&lt;0),_1_54128456121462410464578910174567[[#This Row],[UNIT]]*_1_54128456121462410464578910174567[[#This Row],[COST]],0)</f>
        <v>0</v>
      </c>
      <c r="N495" s="194">
        <f t="shared" si="7"/>
        <v>1.3</v>
      </c>
      <c r="O495" s="198">
        <f>_1_54128456121462410464578910174567[[#This Row],[TOTAL]]*_1_54128456121462410464578910174567[[#This Row],[MARGIN]]</f>
        <v>0</v>
      </c>
      <c r="R495" s="41"/>
    </row>
    <row r="496" spans="1:18">
      <c r="D496" s="188"/>
      <c r="F496" s="168" t="s">
        <v>6202</v>
      </c>
      <c r="G496" s="193">
        <f>IF(_1_54128456121462410464578910174567[[#This Row],[Type]]&gt;0,VLOOKUP(_1_54128456121462410464578910174567[[#This Row],[Type]],Main[[#All],[TYPE]:[UNIT]],'Unit Price'!C$1,FALSE),0)</f>
        <v>0</v>
      </c>
      <c r="H496" s="197">
        <f>IF(_1_54128456121462410464578910174567[[#This Row],[Type]]&gt;0,VLOOKUP(_1_54128456121462410464578910174567[[#This Row],[Type]],Main[[#All],[TYPE]:[UNIT]],'Unit Price'!D$1,FALSE),0)</f>
        <v>0</v>
      </c>
      <c r="I496" s="194">
        <f>IF(_1_54128456121462410464578910174567[[#This Row],[Type]]&gt;0,VLOOKUP(_1_54128456121462410464578910174567[[#This Row],[Type]],Main[[#All],[TYPE]:[UNIT]],'Unit Price'!G$1,FALSE),0)</f>
        <v>0</v>
      </c>
      <c r="J496" s="194">
        <f>IF(_1_54128456121462410464578910174567[[#This Row],[Type]]&gt;0,VLOOKUP(_1_54128456121462410464578910174567[[#This Row],[Type]],Main[[#All],[TYPE]:[UNIT]],'Unit Price'!H$1,FALSE),0)</f>
        <v>0</v>
      </c>
      <c r="K496" s="194">
        <f>IF(_1_54128456121462410464578910174567[[#This Row],[Discount selection]]&gt;0,VLOOKUP(_1_54128456121462410464578910174567[[#This Row],[Discount selection]],'Discount Structure'!$A$2:$B$30,2,"false"),0)</f>
        <v>1</v>
      </c>
      <c r="L496" s="194">
        <f>_1_54128456121462410464578910174567[[#This Row],[LIST $]]*_1_54128456121462410464578910174567[[#This Row],[DISCOUNT]]*_1_54128456121462410464578910174567[[#This Row],[DISCOUNT 2]]</f>
        <v>0</v>
      </c>
      <c r="M496" s="194">
        <f>IF(OR(_1_54128456121462410464578910174567[[#This Row],[UNIT]]&gt;0,_1_54128456121462410464578910174567[[#This Row],[UNIT]]&lt;0),_1_54128456121462410464578910174567[[#This Row],[UNIT]]*_1_54128456121462410464578910174567[[#This Row],[COST]],0)</f>
        <v>0</v>
      </c>
      <c r="N496" s="194">
        <f t="shared" si="7"/>
        <v>1.3</v>
      </c>
      <c r="O496" s="198">
        <f>_1_54128456121462410464578910174567[[#This Row],[TOTAL]]*_1_54128456121462410464578910174567[[#This Row],[MARGIN]]</f>
        <v>0</v>
      </c>
      <c r="R496" s="41"/>
    </row>
    <row r="497" spans="1:18">
      <c r="D497" s="188"/>
      <c r="F497" s="168" t="s">
        <v>6202</v>
      </c>
      <c r="G497" s="193">
        <f>IF(_1_54128456121462410464578910174567[[#This Row],[Type]]&gt;0,VLOOKUP(_1_54128456121462410464578910174567[[#This Row],[Type]],Main[[#All],[TYPE]:[UNIT]],'Unit Price'!C$1,FALSE),0)</f>
        <v>0</v>
      </c>
      <c r="H497" s="197">
        <f>IF(_1_54128456121462410464578910174567[[#This Row],[Type]]&gt;0,VLOOKUP(_1_54128456121462410464578910174567[[#This Row],[Type]],Main[[#All],[TYPE]:[UNIT]],'Unit Price'!D$1,FALSE),0)</f>
        <v>0</v>
      </c>
      <c r="I497" s="194">
        <f>IF(_1_54128456121462410464578910174567[[#This Row],[Type]]&gt;0,VLOOKUP(_1_54128456121462410464578910174567[[#This Row],[Type]],Main[[#All],[TYPE]:[UNIT]],'Unit Price'!G$1,FALSE),0)</f>
        <v>0</v>
      </c>
      <c r="J497" s="194">
        <f>IF(_1_54128456121462410464578910174567[[#This Row],[Type]]&gt;0,VLOOKUP(_1_54128456121462410464578910174567[[#This Row],[Type]],Main[[#All],[TYPE]:[UNIT]],'Unit Price'!H$1,FALSE),0)</f>
        <v>0</v>
      </c>
      <c r="K497" s="194">
        <f>IF(_1_54128456121462410464578910174567[[#This Row],[Discount selection]]&gt;0,VLOOKUP(_1_54128456121462410464578910174567[[#This Row],[Discount selection]],'Discount Structure'!$A$2:$B$30,2,"false"),0)</f>
        <v>1</v>
      </c>
      <c r="L497" s="194">
        <f>_1_54128456121462410464578910174567[[#This Row],[LIST $]]*_1_54128456121462410464578910174567[[#This Row],[DISCOUNT]]*_1_54128456121462410464578910174567[[#This Row],[DISCOUNT 2]]</f>
        <v>0</v>
      </c>
      <c r="M497" s="194">
        <f>IF(OR(_1_54128456121462410464578910174567[[#This Row],[UNIT]]&gt;0,_1_54128456121462410464578910174567[[#This Row],[UNIT]]&lt;0),_1_54128456121462410464578910174567[[#This Row],[UNIT]]*_1_54128456121462410464578910174567[[#This Row],[COST]],0)</f>
        <v>0</v>
      </c>
      <c r="N497" s="194">
        <f t="shared" si="7"/>
        <v>1.3</v>
      </c>
      <c r="O497" s="198">
        <f>_1_54128456121462410464578910174567[[#This Row],[TOTAL]]*_1_54128456121462410464578910174567[[#This Row],[MARGIN]]</f>
        <v>0</v>
      </c>
      <c r="R497" s="41"/>
    </row>
    <row r="498" spans="1:18">
      <c r="D498" s="188"/>
      <c r="F498" s="168" t="s">
        <v>6202</v>
      </c>
      <c r="G498" s="193">
        <f>IF(_1_54128456121462410464578910174567[[#This Row],[Type]]&gt;0,VLOOKUP(_1_54128456121462410464578910174567[[#This Row],[Type]],Main[[#All],[TYPE]:[UNIT]],'Unit Price'!C$1,FALSE),0)</f>
        <v>0</v>
      </c>
      <c r="H498" s="197">
        <f>IF(_1_54128456121462410464578910174567[[#This Row],[Type]]&gt;0,VLOOKUP(_1_54128456121462410464578910174567[[#This Row],[Type]],Main[[#All],[TYPE]:[UNIT]],'Unit Price'!D$1,FALSE),0)</f>
        <v>0</v>
      </c>
      <c r="I498" s="194">
        <f>IF(_1_54128456121462410464578910174567[[#This Row],[Type]]&gt;0,VLOOKUP(_1_54128456121462410464578910174567[[#This Row],[Type]],Main[[#All],[TYPE]:[UNIT]],'Unit Price'!G$1,FALSE),0)</f>
        <v>0</v>
      </c>
      <c r="J498" s="194">
        <f>IF(_1_54128456121462410464578910174567[[#This Row],[Type]]&gt;0,VLOOKUP(_1_54128456121462410464578910174567[[#This Row],[Type]],Main[[#All],[TYPE]:[UNIT]],'Unit Price'!H$1,FALSE),0)</f>
        <v>0</v>
      </c>
      <c r="K498" s="194">
        <f>IF(_1_54128456121462410464578910174567[[#This Row],[Discount selection]]&gt;0,VLOOKUP(_1_54128456121462410464578910174567[[#This Row],[Discount selection]],'Discount Structure'!$A$2:$B$30,2,"false"),0)</f>
        <v>1</v>
      </c>
      <c r="L498" s="194">
        <f>_1_54128456121462410464578910174567[[#This Row],[LIST $]]*_1_54128456121462410464578910174567[[#This Row],[DISCOUNT]]*_1_54128456121462410464578910174567[[#This Row],[DISCOUNT 2]]</f>
        <v>0</v>
      </c>
      <c r="M498" s="194">
        <f>IF(OR(_1_54128456121462410464578910174567[[#This Row],[UNIT]]&gt;0,_1_54128456121462410464578910174567[[#This Row],[UNIT]]&lt;0),_1_54128456121462410464578910174567[[#This Row],[UNIT]]*_1_54128456121462410464578910174567[[#This Row],[COST]],0)</f>
        <v>0</v>
      </c>
      <c r="N498" s="194">
        <f t="shared" si="7"/>
        <v>1.3</v>
      </c>
      <c r="O498" s="198">
        <f>_1_54128456121462410464578910174567[[#This Row],[TOTAL]]*_1_54128456121462410464578910174567[[#This Row],[MARGIN]]</f>
        <v>0</v>
      </c>
      <c r="R498" s="41"/>
    </row>
    <row r="499" spans="1:18">
      <c r="A499" s="168"/>
      <c r="D499" s="188"/>
      <c r="F499" s="168" t="s">
        <v>6202</v>
      </c>
      <c r="G499" s="193">
        <f>IF(_1_54128456121462410464578910174567[[#This Row],[Type]]&gt;0,VLOOKUP(_1_54128456121462410464578910174567[[#This Row],[Type]],Main[[#All],[TYPE]:[UNIT]],'Unit Price'!C$1,FALSE),0)</f>
        <v>0</v>
      </c>
      <c r="H499" s="197">
        <f>IF(_1_54128456121462410464578910174567[[#This Row],[Type]]&gt;0,VLOOKUP(_1_54128456121462410464578910174567[[#This Row],[Type]],Main[[#All],[TYPE]:[UNIT]],'Unit Price'!D$1,FALSE),0)</f>
        <v>0</v>
      </c>
      <c r="I499" s="194">
        <f>IF(_1_54128456121462410464578910174567[[#This Row],[Type]]&gt;0,VLOOKUP(_1_54128456121462410464578910174567[[#This Row],[Type]],Main[[#All],[TYPE]:[UNIT]],'Unit Price'!G$1,FALSE),0)</f>
        <v>0</v>
      </c>
      <c r="J499" s="194">
        <f>IF(_1_54128456121462410464578910174567[[#This Row],[Type]]&gt;0,VLOOKUP(_1_54128456121462410464578910174567[[#This Row],[Type]],Main[[#All],[TYPE]:[UNIT]],'Unit Price'!H$1,FALSE),0)</f>
        <v>0</v>
      </c>
      <c r="K499" s="194">
        <f>IF(_1_54128456121462410464578910174567[[#This Row],[Discount selection]]&gt;0,VLOOKUP(_1_54128456121462410464578910174567[[#This Row],[Discount selection]],'Discount Structure'!$A$2:$B$30,2,"false"),0)</f>
        <v>1</v>
      </c>
      <c r="L499" s="194">
        <f>_1_54128456121462410464578910174567[[#This Row],[LIST $]]*_1_54128456121462410464578910174567[[#This Row],[DISCOUNT]]*_1_54128456121462410464578910174567[[#This Row],[DISCOUNT 2]]</f>
        <v>0</v>
      </c>
      <c r="M499" s="194">
        <f>IF(OR(_1_54128456121462410464578910174567[[#This Row],[UNIT]]&gt;0,_1_54128456121462410464578910174567[[#This Row],[UNIT]]&lt;0),_1_54128456121462410464578910174567[[#This Row],[UNIT]]*_1_54128456121462410464578910174567[[#This Row],[COST]],0)</f>
        <v>0</v>
      </c>
      <c r="N499" s="194">
        <f t="shared" si="7"/>
        <v>1.3</v>
      </c>
      <c r="O499" s="198">
        <f>_1_54128456121462410464578910174567[[#This Row],[TOTAL]]*_1_54128456121462410464578910174567[[#This Row],[MARGIN]]</f>
        <v>0</v>
      </c>
      <c r="R499" s="41"/>
    </row>
    <row r="500" spans="1:18">
      <c r="D500" s="188"/>
      <c r="F500" s="168" t="s">
        <v>6202</v>
      </c>
      <c r="G500" s="193">
        <f>IF(_1_54128456121462410464578910174567[[#This Row],[Type]]&gt;0,VLOOKUP(_1_54128456121462410464578910174567[[#This Row],[Type]],Main[[#All],[TYPE]:[UNIT]],'Unit Price'!C$1,FALSE),0)</f>
        <v>0</v>
      </c>
      <c r="H500" s="197">
        <f>IF(_1_54128456121462410464578910174567[[#This Row],[Type]]&gt;0,VLOOKUP(_1_54128456121462410464578910174567[[#This Row],[Type]],Main[[#All],[TYPE]:[UNIT]],'Unit Price'!D$1,FALSE),0)</f>
        <v>0</v>
      </c>
      <c r="I500" s="194">
        <f>IF(_1_54128456121462410464578910174567[[#This Row],[Type]]&gt;0,VLOOKUP(_1_54128456121462410464578910174567[[#This Row],[Type]],Main[[#All],[TYPE]:[UNIT]],'Unit Price'!G$1,FALSE),0)</f>
        <v>0</v>
      </c>
      <c r="J500" s="194">
        <f>IF(_1_54128456121462410464578910174567[[#This Row],[Type]]&gt;0,VLOOKUP(_1_54128456121462410464578910174567[[#This Row],[Type]],Main[[#All],[TYPE]:[UNIT]],'Unit Price'!H$1,FALSE),0)</f>
        <v>0</v>
      </c>
      <c r="K500" s="194">
        <f>IF(_1_54128456121462410464578910174567[[#This Row],[Discount selection]]&gt;0,VLOOKUP(_1_54128456121462410464578910174567[[#This Row],[Discount selection]],'Discount Structure'!$A$2:$B$30,2,"false"),0)</f>
        <v>1</v>
      </c>
      <c r="L500" s="194">
        <f>_1_54128456121462410464578910174567[[#This Row],[LIST $]]*_1_54128456121462410464578910174567[[#This Row],[DISCOUNT]]*_1_54128456121462410464578910174567[[#This Row],[DISCOUNT 2]]</f>
        <v>0</v>
      </c>
      <c r="M500" s="194">
        <f>IF(OR(_1_54128456121462410464578910174567[[#This Row],[UNIT]]&gt;0,_1_54128456121462410464578910174567[[#This Row],[UNIT]]&lt;0),_1_54128456121462410464578910174567[[#This Row],[UNIT]]*_1_54128456121462410464578910174567[[#This Row],[COST]],0)</f>
        <v>0</v>
      </c>
      <c r="N500" s="194">
        <f t="shared" si="7"/>
        <v>1.3</v>
      </c>
      <c r="O500" s="198">
        <f>_1_54128456121462410464578910174567[[#This Row],[TOTAL]]*_1_54128456121462410464578910174567[[#This Row],[MARGIN]]</f>
        <v>0</v>
      </c>
      <c r="R500" s="41"/>
    </row>
    <row r="501" spans="1:18">
      <c r="D501" s="188"/>
      <c r="F501" s="168" t="s">
        <v>6202</v>
      </c>
      <c r="G501" s="193">
        <f>IF(_1_54128456121462410464578910174567[[#This Row],[Type]]&gt;0,VLOOKUP(_1_54128456121462410464578910174567[[#This Row],[Type]],Main[[#All],[TYPE]:[UNIT]],'Unit Price'!C$1,FALSE),0)</f>
        <v>0</v>
      </c>
      <c r="H501" s="197">
        <f>IF(_1_54128456121462410464578910174567[[#This Row],[Type]]&gt;0,VLOOKUP(_1_54128456121462410464578910174567[[#This Row],[Type]],Main[[#All],[TYPE]:[UNIT]],'Unit Price'!D$1,FALSE),0)</f>
        <v>0</v>
      </c>
      <c r="I501" s="194">
        <f>IF(_1_54128456121462410464578910174567[[#This Row],[Type]]&gt;0,VLOOKUP(_1_54128456121462410464578910174567[[#This Row],[Type]],Main[[#All],[TYPE]:[UNIT]],'Unit Price'!G$1,FALSE),0)</f>
        <v>0</v>
      </c>
      <c r="J501" s="194">
        <f>IF(_1_54128456121462410464578910174567[[#This Row],[Type]]&gt;0,VLOOKUP(_1_54128456121462410464578910174567[[#This Row],[Type]],Main[[#All],[TYPE]:[UNIT]],'Unit Price'!H$1,FALSE),0)</f>
        <v>0</v>
      </c>
      <c r="K501" s="194">
        <f>IF(_1_54128456121462410464578910174567[[#This Row],[Discount selection]]&gt;0,VLOOKUP(_1_54128456121462410464578910174567[[#This Row],[Discount selection]],'Discount Structure'!$A$2:$B$30,2,"false"),0)</f>
        <v>1</v>
      </c>
      <c r="L501" s="194">
        <f>_1_54128456121462410464578910174567[[#This Row],[LIST $]]*_1_54128456121462410464578910174567[[#This Row],[DISCOUNT]]*_1_54128456121462410464578910174567[[#This Row],[DISCOUNT 2]]</f>
        <v>0</v>
      </c>
      <c r="M501" s="194">
        <f>IF(OR(_1_54128456121462410464578910174567[[#This Row],[UNIT]]&gt;0,_1_54128456121462410464578910174567[[#This Row],[UNIT]]&lt;0),_1_54128456121462410464578910174567[[#This Row],[UNIT]]*_1_54128456121462410464578910174567[[#This Row],[COST]],0)</f>
        <v>0</v>
      </c>
      <c r="N501" s="194">
        <f t="shared" si="7"/>
        <v>1.3</v>
      </c>
      <c r="O501" s="198">
        <f>_1_54128456121462410464578910174567[[#This Row],[TOTAL]]*_1_54128456121462410464578910174567[[#This Row],[MARGIN]]</f>
        <v>0</v>
      </c>
      <c r="R501" s="41"/>
    </row>
    <row r="502" spans="1:18">
      <c r="D502" s="188"/>
      <c r="F502" s="168" t="s">
        <v>6202</v>
      </c>
      <c r="G502" s="193">
        <f>IF(_1_54128456121462410464578910174567[[#This Row],[Type]]&gt;0,VLOOKUP(_1_54128456121462410464578910174567[[#This Row],[Type]],Main[[#All],[TYPE]:[UNIT]],'Unit Price'!C$1,FALSE),0)</f>
        <v>0</v>
      </c>
      <c r="H502" s="197">
        <f>IF(_1_54128456121462410464578910174567[[#This Row],[Type]]&gt;0,VLOOKUP(_1_54128456121462410464578910174567[[#This Row],[Type]],Main[[#All],[TYPE]:[UNIT]],'Unit Price'!D$1,FALSE),0)</f>
        <v>0</v>
      </c>
      <c r="I502" s="194">
        <f>IF(_1_54128456121462410464578910174567[[#This Row],[Type]]&gt;0,VLOOKUP(_1_54128456121462410464578910174567[[#This Row],[Type]],Main[[#All],[TYPE]:[UNIT]],'Unit Price'!G$1,FALSE),0)</f>
        <v>0</v>
      </c>
      <c r="J502" s="194">
        <f>IF(_1_54128456121462410464578910174567[[#This Row],[Type]]&gt;0,VLOOKUP(_1_54128456121462410464578910174567[[#This Row],[Type]],Main[[#All],[TYPE]:[UNIT]],'Unit Price'!H$1,FALSE),0)</f>
        <v>0</v>
      </c>
      <c r="K502" s="194">
        <f>IF(_1_54128456121462410464578910174567[[#This Row],[Discount selection]]&gt;0,VLOOKUP(_1_54128456121462410464578910174567[[#This Row],[Discount selection]],'Discount Structure'!$A$2:$B$30,2,"false"),0)</f>
        <v>1</v>
      </c>
      <c r="L502" s="194">
        <f>_1_54128456121462410464578910174567[[#This Row],[LIST $]]*_1_54128456121462410464578910174567[[#This Row],[DISCOUNT]]*_1_54128456121462410464578910174567[[#This Row],[DISCOUNT 2]]</f>
        <v>0</v>
      </c>
      <c r="M502" s="194">
        <f>IF(OR(_1_54128456121462410464578910174567[[#This Row],[UNIT]]&gt;0,_1_54128456121462410464578910174567[[#This Row],[UNIT]]&lt;0),_1_54128456121462410464578910174567[[#This Row],[UNIT]]*_1_54128456121462410464578910174567[[#This Row],[COST]],0)</f>
        <v>0</v>
      </c>
      <c r="N502" s="194">
        <f t="shared" si="7"/>
        <v>1.3</v>
      </c>
      <c r="O502" s="198">
        <f>_1_54128456121462410464578910174567[[#This Row],[TOTAL]]*_1_54128456121462410464578910174567[[#This Row],[MARGIN]]</f>
        <v>0</v>
      </c>
      <c r="R502" s="41"/>
    </row>
    <row r="503" spans="1:18">
      <c r="D503" s="188"/>
      <c r="F503" s="168" t="s">
        <v>6202</v>
      </c>
      <c r="G503" s="193">
        <f>IF(_1_54128456121462410464578910174567[[#This Row],[Type]]&gt;0,VLOOKUP(_1_54128456121462410464578910174567[[#This Row],[Type]],Main[[#All],[TYPE]:[UNIT]],'Unit Price'!C$1,FALSE),0)</f>
        <v>0</v>
      </c>
      <c r="H503" s="197">
        <f>IF(_1_54128456121462410464578910174567[[#This Row],[Type]]&gt;0,VLOOKUP(_1_54128456121462410464578910174567[[#This Row],[Type]],Main[[#All],[TYPE]:[UNIT]],'Unit Price'!D$1,FALSE),0)</f>
        <v>0</v>
      </c>
      <c r="I503" s="194">
        <f>IF(_1_54128456121462410464578910174567[[#This Row],[Type]]&gt;0,VLOOKUP(_1_54128456121462410464578910174567[[#This Row],[Type]],Main[[#All],[TYPE]:[UNIT]],'Unit Price'!G$1,FALSE),0)</f>
        <v>0</v>
      </c>
      <c r="J503" s="194">
        <f>IF(_1_54128456121462410464578910174567[[#This Row],[Type]]&gt;0,VLOOKUP(_1_54128456121462410464578910174567[[#This Row],[Type]],Main[[#All],[TYPE]:[UNIT]],'Unit Price'!H$1,FALSE),0)</f>
        <v>0</v>
      </c>
      <c r="K503" s="194">
        <f>IF(_1_54128456121462410464578910174567[[#This Row],[Discount selection]]&gt;0,VLOOKUP(_1_54128456121462410464578910174567[[#This Row],[Discount selection]],'Discount Structure'!$A$2:$B$30,2,"false"),0)</f>
        <v>1</v>
      </c>
      <c r="L503" s="194">
        <f>_1_54128456121462410464578910174567[[#This Row],[LIST $]]*_1_54128456121462410464578910174567[[#This Row],[DISCOUNT]]*_1_54128456121462410464578910174567[[#This Row],[DISCOUNT 2]]</f>
        <v>0</v>
      </c>
      <c r="M503" s="194">
        <f>IF(OR(_1_54128456121462410464578910174567[[#This Row],[UNIT]]&gt;0,_1_54128456121462410464578910174567[[#This Row],[UNIT]]&lt;0),_1_54128456121462410464578910174567[[#This Row],[UNIT]]*_1_54128456121462410464578910174567[[#This Row],[COST]],0)</f>
        <v>0</v>
      </c>
      <c r="N503" s="194">
        <f t="shared" si="7"/>
        <v>1.3</v>
      </c>
      <c r="O503" s="198">
        <f>_1_54128456121462410464578910174567[[#This Row],[TOTAL]]*_1_54128456121462410464578910174567[[#This Row],[MARGIN]]</f>
        <v>0</v>
      </c>
      <c r="R503" s="41"/>
    </row>
    <row r="504" spans="1:18">
      <c r="D504" s="188"/>
      <c r="F504" s="168" t="s">
        <v>6202</v>
      </c>
      <c r="G504" s="193">
        <f>IF(_1_54128456121462410464578910174567[[#This Row],[Type]]&gt;0,VLOOKUP(_1_54128456121462410464578910174567[[#This Row],[Type]],Main[[#All],[TYPE]:[UNIT]],'Unit Price'!C$1,FALSE),0)</f>
        <v>0</v>
      </c>
      <c r="H504" s="197">
        <f>IF(_1_54128456121462410464578910174567[[#This Row],[Type]]&gt;0,VLOOKUP(_1_54128456121462410464578910174567[[#This Row],[Type]],Main[[#All],[TYPE]:[UNIT]],'Unit Price'!D$1,FALSE),0)</f>
        <v>0</v>
      </c>
      <c r="I504" s="194">
        <f>IF(_1_54128456121462410464578910174567[[#This Row],[Type]]&gt;0,VLOOKUP(_1_54128456121462410464578910174567[[#This Row],[Type]],Main[[#All],[TYPE]:[UNIT]],'Unit Price'!G$1,FALSE),0)</f>
        <v>0</v>
      </c>
      <c r="J504" s="194">
        <f>IF(_1_54128456121462410464578910174567[[#This Row],[Type]]&gt;0,VLOOKUP(_1_54128456121462410464578910174567[[#This Row],[Type]],Main[[#All],[TYPE]:[UNIT]],'Unit Price'!H$1,FALSE),0)</f>
        <v>0</v>
      </c>
      <c r="K504" s="194">
        <f>IF(_1_54128456121462410464578910174567[[#This Row],[Discount selection]]&gt;0,VLOOKUP(_1_54128456121462410464578910174567[[#This Row],[Discount selection]],'Discount Structure'!$A$2:$B$30,2,"false"),0)</f>
        <v>1</v>
      </c>
      <c r="L504" s="194">
        <f>_1_54128456121462410464578910174567[[#This Row],[LIST $]]*_1_54128456121462410464578910174567[[#This Row],[DISCOUNT]]*_1_54128456121462410464578910174567[[#This Row],[DISCOUNT 2]]</f>
        <v>0</v>
      </c>
      <c r="M504" s="194">
        <f>IF(OR(_1_54128456121462410464578910174567[[#This Row],[UNIT]]&gt;0,_1_54128456121462410464578910174567[[#This Row],[UNIT]]&lt;0),_1_54128456121462410464578910174567[[#This Row],[UNIT]]*_1_54128456121462410464578910174567[[#This Row],[COST]],0)</f>
        <v>0</v>
      </c>
      <c r="N504" s="194">
        <f t="shared" si="7"/>
        <v>1.3</v>
      </c>
      <c r="O504" s="198">
        <f>_1_54128456121462410464578910174567[[#This Row],[TOTAL]]*_1_54128456121462410464578910174567[[#This Row],[MARGIN]]</f>
        <v>0</v>
      </c>
      <c r="R504" s="41"/>
    </row>
    <row r="505" spans="1:18">
      <c r="D505" s="188"/>
      <c r="F505" s="168" t="s">
        <v>6202</v>
      </c>
      <c r="G505" s="193">
        <f>IF(_1_54128456121462410464578910174567[[#This Row],[Type]]&gt;0,VLOOKUP(_1_54128456121462410464578910174567[[#This Row],[Type]],Main[[#All],[TYPE]:[UNIT]],'Unit Price'!C$1,FALSE),0)</f>
        <v>0</v>
      </c>
      <c r="H505" s="197">
        <f>IF(_1_54128456121462410464578910174567[[#This Row],[Type]]&gt;0,VLOOKUP(_1_54128456121462410464578910174567[[#This Row],[Type]],Main[[#All],[TYPE]:[UNIT]],'Unit Price'!D$1,FALSE),0)</f>
        <v>0</v>
      </c>
      <c r="I505" s="194">
        <f>IF(_1_54128456121462410464578910174567[[#This Row],[Type]]&gt;0,VLOOKUP(_1_54128456121462410464578910174567[[#This Row],[Type]],Main[[#All],[TYPE]:[UNIT]],'Unit Price'!G$1,FALSE),0)</f>
        <v>0</v>
      </c>
      <c r="J505" s="194">
        <f>IF(_1_54128456121462410464578910174567[[#This Row],[Type]]&gt;0,VLOOKUP(_1_54128456121462410464578910174567[[#This Row],[Type]],Main[[#All],[TYPE]:[UNIT]],'Unit Price'!H$1,FALSE),0)</f>
        <v>0</v>
      </c>
      <c r="K505" s="194">
        <f>IF(_1_54128456121462410464578910174567[[#This Row],[Discount selection]]&gt;0,VLOOKUP(_1_54128456121462410464578910174567[[#This Row],[Discount selection]],'Discount Structure'!$A$2:$B$30,2,"false"),0)</f>
        <v>1</v>
      </c>
      <c r="L505" s="194">
        <f>_1_54128456121462410464578910174567[[#This Row],[LIST $]]*_1_54128456121462410464578910174567[[#This Row],[DISCOUNT]]*_1_54128456121462410464578910174567[[#This Row],[DISCOUNT 2]]</f>
        <v>0</v>
      </c>
      <c r="M505" s="194">
        <f>IF(OR(_1_54128456121462410464578910174567[[#This Row],[UNIT]]&gt;0,_1_54128456121462410464578910174567[[#This Row],[UNIT]]&lt;0),_1_54128456121462410464578910174567[[#This Row],[UNIT]]*_1_54128456121462410464578910174567[[#This Row],[COST]],0)</f>
        <v>0</v>
      </c>
      <c r="N505" s="194">
        <f t="shared" si="7"/>
        <v>1.3</v>
      </c>
      <c r="O505" s="198">
        <f>_1_54128456121462410464578910174567[[#This Row],[TOTAL]]*_1_54128456121462410464578910174567[[#This Row],[MARGIN]]</f>
        <v>0</v>
      </c>
      <c r="R505" s="41"/>
    </row>
    <row r="506" spans="1:18">
      <c r="A506" s="168"/>
      <c r="D506" s="188"/>
      <c r="F506" s="168" t="s">
        <v>6202</v>
      </c>
      <c r="G506" s="193">
        <f>IF(_1_54128456121462410464578910174567[[#This Row],[Type]]&gt;0,VLOOKUP(_1_54128456121462410464578910174567[[#This Row],[Type]],Main[[#All],[TYPE]:[UNIT]],'Unit Price'!C$1,FALSE),0)</f>
        <v>0</v>
      </c>
      <c r="H506" s="197">
        <f>IF(_1_54128456121462410464578910174567[[#This Row],[Type]]&gt;0,VLOOKUP(_1_54128456121462410464578910174567[[#This Row],[Type]],Main[[#All],[TYPE]:[UNIT]],'Unit Price'!D$1,FALSE),0)</f>
        <v>0</v>
      </c>
      <c r="I506" s="194">
        <f>IF(_1_54128456121462410464578910174567[[#This Row],[Type]]&gt;0,VLOOKUP(_1_54128456121462410464578910174567[[#This Row],[Type]],Main[[#All],[TYPE]:[UNIT]],'Unit Price'!G$1,FALSE),0)</f>
        <v>0</v>
      </c>
      <c r="J506" s="194">
        <f>IF(_1_54128456121462410464578910174567[[#This Row],[Type]]&gt;0,VLOOKUP(_1_54128456121462410464578910174567[[#This Row],[Type]],Main[[#All],[TYPE]:[UNIT]],'Unit Price'!H$1,FALSE),0)</f>
        <v>0</v>
      </c>
      <c r="K506" s="194">
        <f>IF(_1_54128456121462410464578910174567[[#This Row],[Discount selection]]&gt;0,VLOOKUP(_1_54128456121462410464578910174567[[#This Row],[Discount selection]],'Discount Structure'!$A$2:$B$30,2,"false"),0)</f>
        <v>1</v>
      </c>
      <c r="L506" s="194">
        <f>_1_54128456121462410464578910174567[[#This Row],[LIST $]]*_1_54128456121462410464578910174567[[#This Row],[DISCOUNT]]*_1_54128456121462410464578910174567[[#This Row],[DISCOUNT 2]]</f>
        <v>0</v>
      </c>
      <c r="M506" s="194">
        <f>IF(OR(_1_54128456121462410464578910174567[[#This Row],[UNIT]]&gt;0,_1_54128456121462410464578910174567[[#This Row],[UNIT]]&lt;0),_1_54128456121462410464578910174567[[#This Row],[UNIT]]*_1_54128456121462410464578910174567[[#This Row],[COST]],0)</f>
        <v>0</v>
      </c>
      <c r="N506" s="194">
        <f t="shared" si="7"/>
        <v>1.3</v>
      </c>
      <c r="O506" s="198">
        <f>_1_54128456121462410464578910174567[[#This Row],[TOTAL]]*_1_54128456121462410464578910174567[[#This Row],[MARGIN]]</f>
        <v>0</v>
      </c>
      <c r="R506" s="41"/>
    </row>
    <row r="507" spans="1:18">
      <c r="D507" s="188"/>
      <c r="F507" s="168" t="s">
        <v>6202</v>
      </c>
      <c r="G507" s="193">
        <f>IF(_1_54128456121462410464578910174567[[#This Row],[Type]]&gt;0,VLOOKUP(_1_54128456121462410464578910174567[[#This Row],[Type]],Main[[#All],[TYPE]:[UNIT]],'Unit Price'!C$1,FALSE),0)</f>
        <v>0</v>
      </c>
      <c r="H507" s="197">
        <f>IF(_1_54128456121462410464578910174567[[#This Row],[Type]]&gt;0,VLOOKUP(_1_54128456121462410464578910174567[[#This Row],[Type]],Main[[#All],[TYPE]:[UNIT]],'Unit Price'!D$1,FALSE),0)</f>
        <v>0</v>
      </c>
      <c r="I507" s="194">
        <f>IF(_1_54128456121462410464578910174567[[#This Row],[Type]]&gt;0,VLOOKUP(_1_54128456121462410464578910174567[[#This Row],[Type]],Main[[#All],[TYPE]:[UNIT]],'Unit Price'!G$1,FALSE),0)</f>
        <v>0</v>
      </c>
      <c r="J507" s="194">
        <f>IF(_1_54128456121462410464578910174567[[#This Row],[Type]]&gt;0,VLOOKUP(_1_54128456121462410464578910174567[[#This Row],[Type]],Main[[#All],[TYPE]:[UNIT]],'Unit Price'!H$1,FALSE),0)</f>
        <v>0</v>
      </c>
      <c r="K507" s="194">
        <f>IF(_1_54128456121462410464578910174567[[#This Row],[Discount selection]]&gt;0,VLOOKUP(_1_54128456121462410464578910174567[[#This Row],[Discount selection]],'Discount Structure'!$A$2:$B$30,2,"false"),0)</f>
        <v>1</v>
      </c>
      <c r="L507" s="194">
        <f>_1_54128456121462410464578910174567[[#This Row],[LIST $]]*_1_54128456121462410464578910174567[[#This Row],[DISCOUNT]]*_1_54128456121462410464578910174567[[#This Row],[DISCOUNT 2]]</f>
        <v>0</v>
      </c>
      <c r="M507" s="194">
        <f>IF(OR(_1_54128456121462410464578910174567[[#This Row],[UNIT]]&gt;0,_1_54128456121462410464578910174567[[#This Row],[UNIT]]&lt;0),_1_54128456121462410464578910174567[[#This Row],[UNIT]]*_1_54128456121462410464578910174567[[#This Row],[COST]],0)</f>
        <v>0</v>
      </c>
      <c r="N507" s="194">
        <f t="shared" si="7"/>
        <v>1.3</v>
      </c>
      <c r="O507" s="198">
        <f>_1_54128456121462410464578910174567[[#This Row],[TOTAL]]*_1_54128456121462410464578910174567[[#This Row],[MARGIN]]</f>
        <v>0</v>
      </c>
      <c r="R507" s="41"/>
    </row>
    <row r="508" spans="1:18">
      <c r="D508" s="188"/>
      <c r="F508" s="168" t="s">
        <v>6202</v>
      </c>
      <c r="G508" s="193">
        <f>IF(_1_54128456121462410464578910174567[[#This Row],[Type]]&gt;0,VLOOKUP(_1_54128456121462410464578910174567[[#This Row],[Type]],Main[[#All],[TYPE]:[UNIT]],'Unit Price'!C$1,FALSE),0)</f>
        <v>0</v>
      </c>
      <c r="H508" s="197">
        <f>IF(_1_54128456121462410464578910174567[[#This Row],[Type]]&gt;0,VLOOKUP(_1_54128456121462410464578910174567[[#This Row],[Type]],Main[[#All],[TYPE]:[UNIT]],'Unit Price'!D$1,FALSE),0)</f>
        <v>0</v>
      </c>
      <c r="I508" s="194">
        <f>IF(_1_54128456121462410464578910174567[[#This Row],[Type]]&gt;0,VLOOKUP(_1_54128456121462410464578910174567[[#This Row],[Type]],Main[[#All],[TYPE]:[UNIT]],'Unit Price'!G$1,FALSE),0)</f>
        <v>0</v>
      </c>
      <c r="J508" s="194">
        <f>IF(_1_54128456121462410464578910174567[[#This Row],[Type]]&gt;0,VLOOKUP(_1_54128456121462410464578910174567[[#This Row],[Type]],Main[[#All],[TYPE]:[UNIT]],'Unit Price'!H$1,FALSE),0)</f>
        <v>0</v>
      </c>
      <c r="K508" s="194">
        <f>IF(_1_54128456121462410464578910174567[[#This Row],[Discount selection]]&gt;0,VLOOKUP(_1_54128456121462410464578910174567[[#This Row],[Discount selection]],'Discount Structure'!$A$2:$B$30,2,"false"),0)</f>
        <v>1</v>
      </c>
      <c r="L508" s="194">
        <f>_1_54128456121462410464578910174567[[#This Row],[LIST $]]*_1_54128456121462410464578910174567[[#This Row],[DISCOUNT]]*_1_54128456121462410464578910174567[[#This Row],[DISCOUNT 2]]</f>
        <v>0</v>
      </c>
      <c r="M508" s="194">
        <f>IF(OR(_1_54128456121462410464578910174567[[#This Row],[UNIT]]&gt;0,_1_54128456121462410464578910174567[[#This Row],[UNIT]]&lt;0),_1_54128456121462410464578910174567[[#This Row],[UNIT]]*_1_54128456121462410464578910174567[[#This Row],[COST]],0)</f>
        <v>0</v>
      </c>
      <c r="N508" s="194">
        <f t="shared" si="7"/>
        <v>1.3</v>
      </c>
      <c r="O508" s="198">
        <f>_1_54128456121462410464578910174567[[#This Row],[TOTAL]]*_1_54128456121462410464578910174567[[#This Row],[MARGIN]]</f>
        <v>0</v>
      </c>
      <c r="R508" s="41"/>
    </row>
    <row r="509" spans="1:18">
      <c r="D509" s="188"/>
      <c r="F509" s="168" t="s">
        <v>6202</v>
      </c>
      <c r="G509" s="193">
        <f>IF(_1_54128456121462410464578910174567[[#This Row],[Type]]&gt;0,VLOOKUP(_1_54128456121462410464578910174567[[#This Row],[Type]],Main[[#All],[TYPE]:[UNIT]],'Unit Price'!C$1,FALSE),0)</f>
        <v>0</v>
      </c>
      <c r="H509" s="197">
        <f>IF(_1_54128456121462410464578910174567[[#This Row],[Type]]&gt;0,VLOOKUP(_1_54128456121462410464578910174567[[#This Row],[Type]],Main[[#All],[TYPE]:[UNIT]],'Unit Price'!D$1,FALSE),0)</f>
        <v>0</v>
      </c>
      <c r="I509" s="194">
        <f>IF(_1_54128456121462410464578910174567[[#This Row],[Type]]&gt;0,VLOOKUP(_1_54128456121462410464578910174567[[#This Row],[Type]],Main[[#All],[TYPE]:[UNIT]],'Unit Price'!G$1,FALSE),0)</f>
        <v>0</v>
      </c>
      <c r="J509" s="194">
        <f>IF(_1_54128456121462410464578910174567[[#This Row],[Type]]&gt;0,VLOOKUP(_1_54128456121462410464578910174567[[#This Row],[Type]],Main[[#All],[TYPE]:[UNIT]],'Unit Price'!H$1,FALSE),0)</f>
        <v>0</v>
      </c>
      <c r="K509" s="194">
        <f>IF(_1_54128456121462410464578910174567[[#This Row],[Discount selection]]&gt;0,VLOOKUP(_1_54128456121462410464578910174567[[#This Row],[Discount selection]],'Discount Structure'!$A$2:$B$30,2,"false"),0)</f>
        <v>1</v>
      </c>
      <c r="L509" s="194">
        <f>_1_54128456121462410464578910174567[[#This Row],[LIST $]]*_1_54128456121462410464578910174567[[#This Row],[DISCOUNT]]*_1_54128456121462410464578910174567[[#This Row],[DISCOUNT 2]]</f>
        <v>0</v>
      </c>
      <c r="M509" s="194">
        <f>IF(OR(_1_54128456121462410464578910174567[[#This Row],[UNIT]]&gt;0,_1_54128456121462410464578910174567[[#This Row],[UNIT]]&lt;0),_1_54128456121462410464578910174567[[#This Row],[UNIT]]*_1_54128456121462410464578910174567[[#This Row],[COST]],0)</f>
        <v>0</v>
      </c>
      <c r="N509" s="194">
        <f t="shared" si="7"/>
        <v>1.3</v>
      </c>
      <c r="O509" s="198">
        <f>_1_54128456121462410464578910174567[[#This Row],[TOTAL]]*_1_54128456121462410464578910174567[[#This Row],[MARGIN]]</f>
        <v>0</v>
      </c>
      <c r="R509" s="41"/>
    </row>
    <row r="510" spans="1:18">
      <c r="D510" s="188"/>
      <c r="F510" s="168" t="s">
        <v>6202</v>
      </c>
      <c r="G510" s="193">
        <f>IF(_1_54128456121462410464578910174567[[#This Row],[Type]]&gt;0,VLOOKUP(_1_54128456121462410464578910174567[[#This Row],[Type]],Main[[#All],[TYPE]:[UNIT]],'Unit Price'!C$1,FALSE),0)</f>
        <v>0</v>
      </c>
      <c r="H510" s="197">
        <f>IF(_1_54128456121462410464578910174567[[#This Row],[Type]]&gt;0,VLOOKUP(_1_54128456121462410464578910174567[[#This Row],[Type]],Main[[#All],[TYPE]:[UNIT]],'Unit Price'!D$1,FALSE),0)</f>
        <v>0</v>
      </c>
      <c r="I510" s="194">
        <f>IF(_1_54128456121462410464578910174567[[#This Row],[Type]]&gt;0,VLOOKUP(_1_54128456121462410464578910174567[[#This Row],[Type]],Main[[#All],[TYPE]:[UNIT]],'Unit Price'!G$1,FALSE),0)</f>
        <v>0</v>
      </c>
      <c r="J510" s="194">
        <f>IF(_1_54128456121462410464578910174567[[#This Row],[Type]]&gt;0,VLOOKUP(_1_54128456121462410464578910174567[[#This Row],[Type]],Main[[#All],[TYPE]:[UNIT]],'Unit Price'!H$1,FALSE),0)</f>
        <v>0</v>
      </c>
      <c r="K510" s="194">
        <f>IF(_1_54128456121462410464578910174567[[#This Row],[Discount selection]]&gt;0,VLOOKUP(_1_54128456121462410464578910174567[[#This Row],[Discount selection]],'Discount Structure'!$A$2:$B$30,2,"false"),0)</f>
        <v>1</v>
      </c>
      <c r="L510" s="194">
        <f>_1_54128456121462410464578910174567[[#This Row],[LIST $]]*_1_54128456121462410464578910174567[[#This Row],[DISCOUNT]]*_1_54128456121462410464578910174567[[#This Row],[DISCOUNT 2]]</f>
        <v>0</v>
      </c>
      <c r="M510" s="194">
        <f>IF(OR(_1_54128456121462410464578910174567[[#This Row],[UNIT]]&gt;0,_1_54128456121462410464578910174567[[#This Row],[UNIT]]&lt;0),_1_54128456121462410464578910174567[[#This Row],[UNIT]]*_1_54128456121462410464578910174567[[#This Row],[COST]],0)</f>
        <v>0</v>
      </c>
      <c r="N510" s="194">
        <f t="shared" si="7"/>
        <v>1.3</v>
      </c>
      <c r="O510" s="198">
        <f>_1_54128456121462410464578910174567[[#This Row],[TOTAL]]*_1_54128456121462410464578910174567[[#This Row],[MARGIN]]</f>
        <v>0</v>
      </c>
      <c r="R510" s="41"/>
    </row>
    <row r="511" spans="1:18">
      <c r="D511" s="188"/>
      <c r="F511" s="168" t="s">
        <v>6202</v>
      </c>
      <c r="G511" s="193">
        <f>IF(_1_54128456121462410464578910174567[[#This Row],[Type]]&gt;0,VLOOKUP(_1_54128456121462410464578910174567[[#This Row],[Type]],Main[[#All],[TYPE]:[UNIT]],'Unit Price'!C$1,FALSE),0)</f>
        <v>0</v>
      </c>
      <c r="H511" s="197">
        <f>IF(_1_54128456121462410464578910174567[[#This Row],[Type]]&gt;0,VLOOKUP(_1_54128456121462410464578910174567[[#This Row],[Type]],Main[[#All],[TYPE]:[UNIT]],'Unit Price'!D$1,FALSE),0)</f>
        <v>0</v>
      </c>
      <c r="I511" s="194">
        <f>IF(_1_54128456121462410464578910174567[[#This Row],[Type]]&gt;0,VLOOKUP(_1_54128456121462410464578910174567[[#This Row],[Type]],Main[[#All],[TYPE]:[UNIT]],'Unit Price'!G$1,FALSE),0)</f>
        <v>0</v>
      </c>
      <c r="J511" s="194">
        <f>IF(_1_54128456121462410464578910174567[[#This Row],[Type]]&gt;0,VLOOKUP(_1_54128456121462410464578910174567[[#This Row],[Type]],Main[[#All],[TYPE]:[UNIT]],'Unit Price'!H$1,FALSE),0)</f>
        <v>0</v>
      </c>
      <c r="K511" s="194">
        <f>IF(_1_54128456121462410464578910174567[[#This Row],[Discount selection]]&gt;0,VLOOKUP(_1_54128456121462410464578910174567[[#This Row],[Discount selection]],'Discount Structure'!$A$2:$B$30,2,"false"),0)</f>
        <v>1</v>
      </c>
      <c r="L511" s="194">
        <f>_1_54128456121462410464578910174567[[#This Row],[LIST $]]*_1_54128456121462410464578910174567[[#This Row],[DISCOUNT]]*_1_54128456121462410464578910174567[[#This Row],[DISCOUNT 2]]</f>
        <v>0</v>
      </c>
      <c r="M511" s="194">
        <f>IF(OR(_1_54128456121462410464578910174567[[#This Row],[UNIT]]&gt;0,_1_54128456121462410464578910174567[[#This Row],[UNIT]]&lt;0),_1_54128456121462410464578910174567[[#This Row],[UNIT]]*_1_54128456121462410464578910174567[[#This Row],[COST]],0)</f>
        <v>0</v>
      </c>
      <c r="N511" s="194">
        <f t="shared" si="7"/>
        <v>1.3</v>
      </c>
      <c r="O511" s="198">
        <f>_1_54128456121462410464578910174567[[#This Row],[TOTAL]]*_1_54128456121462410464578910174567[[#This Row],[MARGIN]]</f>
        <v>0</v>
      </c>
      <c r="R511" s="41"/>
    </row>
    <row r="512" spans="1:18">
      <c r="A512" s="168"/>
      <c r="D512" s="188"/>
      <c r="F512" s="168" t="s">
        <v>6202</v>
      </c>
      <c r="G512" s="193">
        <f>IF(_1_54128456121462410464578910174567[[#This Row],[Type]]&gt;0,VLOOKUP(_1_54128456121462410464578910174567[[#This Row],[Type]],Main[[#All],[TYPE]:[UNIT]],'Unit Price'!C$1,FALSE),0)</f>
        <v>0</v>
      </c>
      <c r="H512" s="197">
        <f>IF(_1_54128456121462410464578910174567[[#This Row],[Type]]&gt;0,VLOOKUP(_1_54128456121462410464578910174567[[#This Row],[Type]],Main[[#All],[TYPE]:[UNIT]],'Unit Price'!D$1,FALSE),0)</f>
        <v>0</v>
      </c>
      <c r="I512" s="194">
        <f>IF(_1_54128456121462410464578910174567[[#This Row],[Type]]&gt;0,VLOOKUP(_1_54128456121462410464578910174567[[#This Row],[Type]],Main[[#All],[TYPE]:[UNIT]],'Unit Price'!G$1,FALSE),0)</f>
        <v>0</v>
      </c>
      <c r="J512" s="194">
        <f>IF(_1_54128456121462410464578910174567[[#This Row],[Type]]&gt;0,VLOOKUP(_1_54128456121462410464578910174567[[#This Row],[Type]],Main[[#All],[TYPE]:[UNIT]],'Unit Price'!H$1,FALSE),0)</f>
        <v>0</v>
      </c>
      <c r="K512" s="194">
        <f>IF(_1_54128456121462410464578910174567[[#This Row],[Discount selection]]&gt;0,VLOOKUP(_1_54128456121462410464578910174567[[#This Row],[Discount selection]],'Discount Structure'!$A$2:$B$30,2,"false"),0)</f>
        <v>1</v>
      </c>
      <c r="L512" s="194">
        <f>_1_54128456121462410464578910174567[[#This Row],[LIST $]]*_1_54128456121462410464578910174567[[#This Row],[DISCOUNT]]*_1_54128456121462410464578910174567[[#This Row],[DISCOUNT 2]]</f>
        <v>0</v>
      </c>
      <c r="M512" s="194">
        <f>IF(OR(_1_54128456121462410464578910174567[[#This Row],[UNIT]]&gt;0,_1_54128456121462410464578910174567[[#This Row],[UNIT]]&lt;0),_1_54128456121462410464578910174567[[#This Row],[UNIT]]*_1_54128456121462410464578910174567[[#This Row],[COST]],0)</f>
        <v>0</v>
      </c>
      <c r="N512" s="194">
        <f t="shared" si="7"/>
        <v>1.3</v>
      </c>
      <c r="O512" s="198">
        <f>_1_54128456121462410464578910174567[[#This Row],[TOTAL]]*_1_54128456121462410464578910174567[[#This Row],[MARGIN]]</f>
        <v>0</v>
      </c>
      <c r="R512" s="41"/>
    </row>
    <row r="513" spans="1:18">
      <c r="A513" s="168"/>
      <c r="D513" s="188"/>
      <c r="F513" s="168" t="s">
        <v>6202</v>
      </c>
      <c r="G513" s="193">
        <f>IF(_1_54128456121462410464578910174567[[#This Row],[Type]]&gt;0,VLOOKUP(_1_54128456121462410464578910174567[[#This Row],[Type]],Main[[#All],[TYPE]:[UNIT]],'Unit Price'!C$1,FALSE),0)</f>
        <v>0</v>
      </c>
      <c r="H513" s="197">
        <f>IF(_1_54128456121462410464578910174567[[#This Row],[Type]]&gt;0,VLOOKUP(_1_54128456121462410464578910174567[[#This Row],[Type]],Main[[#All],[TYPE]:[UNIT]],'Unit Price'!D$1,FALSE),0)</f>
        <v>0</v>
      </c>
      <c r="I513" s="194">
        <f>IF(_1_54128456121462410464578910174567[[#This Row],[Type]]&gt;0,VLOOKUP(_1_54128456121462410464578910174567[[#This Row],[Type]],Main[[#All],[TYPE]:[UNIT]],'Unit Price'!G$1,FALSE),0)</f>
        <v>0</v>
      </c>
      <c r="J513" s="194">
        <f>IF(_1_54128456121462410464578910174567[[#This Row],[Type]]&gt;0,VLOOKUP(_1_54128456121462410464578910174567[[#This Row],[Type]],Main[[#All],[TYPE]:[UNIT]],'Unit Price'!H$1,FALSE),0)</f>
        <v>0</v>
      </c>
      <c r="K513" s="194">
        <f>IF(_1_54128456121462410464578910174567[[#This Row],[Discount selection]]&gt;0,VLOOKUP(_1_54128456121462410464578910174567[[#This Row],[Discount selection]],'Discount Structure'!$A$2:$B$30,2,"false"),0)</f>
        <v>1</v>
      </c>
      <c r="L513" s="194">
        <f>_1_54128456121462410464578910174567[[#This Row],[LIST $]]*_1_54128456121462410464578910174567[[#This Row],[DISCOUNT]]*_1_54128456121462410464578910174567[[#This Row],[DISCOUNT 2]]</f>
        <v>0</v>
      </c>
      <c r="M513" s="194">
        <f>IF(OR(_1_54128456121462410464578910174567[[#This Row],[UNIT]]&gt;0,_1_54128456121462410464578910174567[[#This Row],[UNIT]]&lt;0),_1_54128456121462410464578910174567[[#This Row],[UNIT]]*_1_54128456121462410464578910174567[[#This Row],[COST]],0)</f>
        <v>0</v>
      </c>
      <c r="N513" s="194">
        <f t="shared" si="7"/>
        <v>1.3</v>
      </c>
      <c r="O513" s="198">
        <f>_1_54128456121462410464578910174567[[#This Row],[TOTAL]]*_1_54128456121462410464578910174567[[#This Row],[MARGIN]]</f>
        <v>0</v>
      </c>
      <c r="R513" s="41"/>
    </row>
    <row r="514" spans="1:18">
      <c r="A514" s="168"/>
      <c r="D514" s="188"/>
      <c r="F514" s="168" t="s">
        <v>6202</v>
      </c>
      <c r="G514" s="193">
        <f>IF(_1_54128456121462410464578910174567[[#This Row],[Type]]&gt;0,VLOOKUP(_1_54128456121462410464578910174567[[#This Row],[Type]],Main[[#All],[TYPE]:[UNIT]],'Unit Price'!C$1,FALSE),0)</f>
        <v>0</v>
      </c>
      <c r="H514" s="197">
        <f>IF(_1_54128456121462410464578910174567[[#This Row],[Type]]&gt;0,VLOOKUP(_1_54128456121462410464578910174567[[#This Row],[Type]],Main[[#All],[TYPE]:[UNIT]],'Unit Price'!D$1,FALSE),0)</f>
        <v>0</v>
      </c>
      <c r="I514" s="194">
        <f>IF(_1_54128456121462410464578910174567[[#This Row],[Type]]&gt;0,VLOOKUP(_1_54128456121462410464578910174567[[#This Row],[Type]],Main[[#All],[TYPE]:[UNIT]],'Unit Price'!G$1,FALSE),0)</f>
        <v>0</v>
      </c>
      <c r="J514" s="194">
        <f>IF(_1_54128456121462410464578910174567[[#This Row],[Type]]&gt;0,VLOOKUP(_1_54128456121462410464578910174567[[#This Row],[Type]],Main[[#All],[TYPE]:[UNIT]],'Unit Price'!H$1,FALSE),0)</f>
        <v>0</v>
      </c>
      <c r="K514" s="194">
        <f>IF(_1_54128456121462410464578910174567[[#This Row],[Discount selection]]&gt;0,VLOOKUP(_1_54128456121462410464578910174567[[#This Row],[Discount selection]],'Discount Structure'!$A$2:$B$30,2,"false"),0)</f>
        <v>1</v>
      </c>
      <c r="L514" s="194">
        <f>_1_54128456121462410464578910174567[[#This Row],[LIST $]]*_1_54128456121462410464578910174567[[#This Row],[DISCOUNT]]*_1_54128456121462410464578910174567[[#This Row],[DISCOUNT 2]]</f>
        <v>0</v>
      </c>
      <c r="M514" s="194">
        <f>IF(OR(_1_54128456121462410464578910174567[[#This Row],[UNIT]]&gt;0,_1_54128456121462410464578910174567[[#This Row],[UNIT]]&lt;0),_1_54128456121462410464578910174567[[#This Row],[UNIT]]*_1_54128456121462410464578910174567[[#This Row],[COST]],0)</f>
        <v>0</v>
      </c>
      <c r="N514" s="194">
        <f t="shared" si="7"/>
        <v>1.3</v>
      </c>
      <c r="O514" s="198">
        <f>_1_54128456121462410464578910174567[[#This Row],[TOTAL]]*_1_54128456121462410464578910174567[[#This Row],[MARGIN]]</f>
        <v>0</v>
      </c>
      <c r="R514" s="41"/>
    </row>
    <row r="515" spans="1:18">
      <c r="B515" s="168"/>
      <c r="C515" s="168"/>
      <c r="D515" s="188"/>
      <c r="F515" s="168" t="s">
        <v>6202</v>
      </c>
      <c r="G515" s="193">
        <f>IF(_1_54128456121462410464578910174567[[#This Row],[Type]]&gt;0,VLOOKUP(_1_54128456121462410464578910174567[[#This Row],[Type]],Main[[#All],[TYPE]:[UNIT]],'Unit Price'!C$1,FALSE),0)</f>
        <v>0</v>
      </c>
      <c r="H515" s="197">
        <f>IF(_1_54128456121462410464578910174567[[#This Row],[Type]]&gt;0,VLOOKUP(_1_54128456121462410464578910174567[[#This Row],[Type]],Main[[#All],[TYPE]:[UNIT]],'Unit Price'!D$1,FALSE),0)</f>
        <v>0</v>
      </c>
      <c r="I515" s="194">
        <f>IF(_1_54128456121462410464578910174567[[#This Row],[Type]]&gt;0,VLOOKUP(_1_54128456121462410464578910174567[[#This Row],[Type]],Main[[#All],[TYPE]:[UNIT]],'Unit Price'!G$1,FALSE),0)</f>
        <v>0</v>
      </c>
      <c r="J515" s="194">
        <f>IF(_1_54128456121462410464578910174567[[#This Row],[Type]]&gt;0,VLOOKUP(_1_54128456121462410464578910174567[[#This Row],[Type]],Main[[#All],[TYPE]:[UNIT]],'Unit Price'!H$1,FALSE),0)</f>
        <v>0</v>
      </c>
      <c r="K515" s="194">
        <f>IF(_1_54128456121462410464578910174567[[#This Row],[Discount selection]]&gt;0,VLOOKUP(_1_54128456121462410464578910174567[[#This Row],[Discount selection]],'Discount Structure'!$A$2:$B$30,2,"false"),0)</f>
        <v>1</v>
      </c>
      <c r="L515" s="194">
        <f>_1_54128456121462410464578910174567[[#This Row],[LIST $]]*_1_54128456121462410464578910174567[[#This Row],[DISCOUNT]]*_1_54128456121462410464578910174567[[#This Row],[DISCOUNT 2]]</f>
        <v>0</v>
      </c>
      <c r="M515" s="194">
        <f>IF(OR(_1_54128456121462410464578910174567[[#This Row],[UNIT]]&gt;0,_1_54128456121462410464578910174567[[#This Row],[UNIT]]&lt;0),_1_54128456121462410464578910174567[[#This Row],[UNIT]]*_1_54128456121462410464578910174567[[#This Row],[COST]],0)</f>
        <v>0</v>
      </c>
      <c r="N515" s="194">
        <f t="shared" si="7"/>
        <v>1.3</v>
      </c>
      <c r="O515" s="198">
        <f>_1_54128456121462410464578910174567[[#This Row],[TOTAL]]*_1_54128456121462410464578910174567[[#This Row],[MARGIN]]</f>
        <v>0</v>
      </c>
      <c r="R515" s="41"/>
    </row>
    <row r="516" spans="1:18">
      <c r="D516" s="188"/>
      <c r="F516" s="168" t="s">
        <v>6202</v>
      </c>
      <c r="G516" s="193">
        <f>IF(_1_54128456121462410464578910174567[[#This Row],[Type]]&gt;0,VLOOKUP(_1_54128456121462410464578910174567[[#This Row],[Type]],Main[[#All],[TYPE]:[UNIT]],'Unit Price'!C$1,FALSE),0)</f>
        <v>0</v>
      </c>
      <c r="H516" s="197">
        <f>IF(_1_54128456121462410464578910174567[[#This Row],[Type]]&gt;0,VLOOKUP(_1_54128456121462410464578910174567[[#This Row],[Type]],Main[[#All],[TYPE]:[UNIT]],'Unit Price'!D$1,FALSE),0)</f>
        <v>0</v>
      </c>
      <c r="I516" s="194">
        <f>IF(_1_54128456121462410464578910174567[[#This Row],[Type]]&gt;0,VLOOKUP(_1_54128456121462410464578910174567[[#This Row],[Type]],Main[[#All],[TYPE]:[UNIT]],'Unit Price'!G$1,FALSE),0)</f>
        <v>0</v>
      </c>
      <c r="J516" s="194">
        <f>IF(_1_54128456121462410464578910174567[[#This Row],[Type]]&gt;0,VLOOKUP(_1_54128456121462410464578910174567[[#This Row],[Type]],Main[[#All],[TYPE]:[UNIT]],'Unit Price'!H$1,FALSE),0)</f>
        <v>0</v>
      </c>
      <c r="K516" s="194">
        <f>IF(_1_54128456121462410464578910174567[[#This Row],[Discount selection]]&gt;0,VLOOKUP(_1_54128456121462410464578910174567[[#This Row],[Discount selection]],'Discount Structure'!$A$2:$B$30,2,"false"),0)</f>
        <v>1</v>
      </c>
      <c r="L516" s="194">
        <f>_1_54128456121462410464578910174567[[#This Row],[LIST $]]*_1_54128456121462410464578910174567[[#This Row],[DISCOUNT]]*_1_54128456121462410464578910174567[[#This Row],[DISCOUNT 2]]</f>
        <v>0</v>
      </c>
      <c r="M516" s="194">
        <f>IF(OR(_1_54128456121462410464578910174567[[#This Row],[UNIT]]&gt;0,_1_54128456121462410464578910174567[[#This Row],[UNIT]]&lt;0),_1_54128456121462410464578910174567[[#This Row],[UNIT]]*_1_54128456121462410464578910174567[[#This Row],[COST]],0)</f>
        <v>0</v>
      </c>
      <c r="N516" s="194">
        <f t="shared" si="7"/>
        <v>1.3</v>
      </c>
      <c r="O516" s="198">
        <f>_1_54128456121462410464578910174567[[#This Row],[TOTAL]]*_1_54128456121462410464578910174567[[#This Row],[MARGIN]]</f>
        <v>0</v>
      </c>
      <c r="R516" s="41"/>
    </row>
    <row r="517" spans="1:18">
      <c r="D517" s="188"/>
      <c r="F517" s="168" t="s">
        <v>6202</v>
      </c>
      <c r="G517" s="193">
        <f>IF(_1_54128456121462410464578910174567[[#This Row],[Type]]&gt;0,VLOOKUP(_1_54128456121462410464578910174567[[#This Row],[Type]],Main[[#All],[TYPE]:[UNIT]],'Unit Price'!C$1,FALSE),0)</f>
        <v>0</v>
      </c>
      <c r="H517" s="197">
        <f>IF(_1_54128456121462410464578910174567[[#This Row],[Type]]&gt;0,VLOOKUP(_1_54128456121462410464578910174567[[#This Row],[Type]],Main[[#All],[TYPE]:[UNIT]],'Unit Price'!D$1,FALSE),0)</f>
        <v>0</v>
      </c>
      <c r="I517" s="194">
        <f>IF(_1_54128456121462410464578910174567[[#This Row],[Type]]&gt;0,VLOOKUP(_1_54128456121462410464578910174567[[#This Row],[Type]],Main[[#All],[TYPE]:[UNIT]],'Unit Price'!G$1,FALSE),0)</f>
        <v>0</v>
      </c>
      <c r="J517" s="194">
        <f>IF(_1_54128456121462410464578910174567[[#This Row],[Type]]&gt;0,VLOOKUP(_1_54128456121462410464578910174567[[#This Row],[Type]],Main[[#All],[TYPE]:[UNIT]],'Unit Price'!H$1,FALSE),0)</f>
        <v>0</v>
      </c>
      <c r="K517" s="194">
        <f>IF(_1_54128456121462410464578910174567[[#This Row],[Discount selection]]&gt;0,VLOOKUP(_1_54128456121462410464578910174567[[#This Row],[Discount selection]],'Discount Structure'!$A$2:$B$30,2,"false"),0)</f>
        <v>1</v>
      </c>
      <c r="L517" s="194">
        <f>_1_54128456121462410464578910174567[[#This Row],[LIST $]]*_1_54128456121462410464578910174567[[#This Row],[DISCOUNT]]*_1_54128456121462410464578910174567[[#This Row],[DISCOUNT 2]]</f>
        <v>0</v>
      </c>
      <c r="M517" s="194">
        <f>IF(OR(_1_54128456121462410464578910174567[[#This Row],[UNIT]]&gt;0,_1_54128456121462410464578910174567[[#This Row],[UNIT]]&lt;0),_1_54128456121462410464578910174567[[#This Row],[UNIT]]*_1_54128456121462410464578910174567[[#This Row],[COST]],0)</f>
        <v>0</v>
      </c>
      <c r="N517" s="194">
        <f t="shared" si="7"/>
        <v>1.3</v>
      </c>
      <c r="O517" s="198">
        <f>_1_54128456121462410464578910174567[[#This Row],[TOTAL]]*_1_54128456121462410464578910174567[[#This Row],[MARGIN]]</f>
        <v>0</v>
      </c>
      <c r="R517" s="41"/>
    </row>
    <row r="518" spans="1:18">
      <c r="D518" s="188"/>
      <c r="F518" s="168" t="s">
        <v>6202</v>
      </c>
      <c r="G518" s="193">
        <f>IF(_1_54128456121462410464578910174567[[#This Row],[Type]]&gt;0,VLOOKUP(_1_54128456121462410464578910174567[[#This Row],[Type]],Main[[#All],[TYPE]:[UNIT]],'Unit Price'!C$1,FALSE),0)</f>
        <v>0</v>
      </c>
      <c r="H518" s="197">
        <f>IF(_1_54128456121462410464578910174567[[#This Row],[Type]]&gt;0,VLOOKUP(_1_54128456121462410464578910174567[[#This Row],[Type]],Main[[#All],[TYPE]:[UNIT]],'Unit Price'!D$1,FALSE),0)</f>
        <v>0</v>
      </c>
      <c r="I518" s="194">
        <f>IF(_1_54128456121462410464578910174567[[#This Row],[Type]]&gt;0,VLOOKUP(_1_54128456121462410464578910174567[[#This Row],[Type]],Main[[#All],[TYPE]:[UNIT]],'Unit Price'!G$1,FALSE),0)</f>
        <v>0</v>
      </c>
      <c r="J518" s="194">
        <f>IF(_1_54128456121462410464578910174567[[#This Row],[Type]]&gt;0,VLOOKUP(_1_54128456121462410464578910174567[[#This Row],[Type]],Main[[#All],[TYPE]:[UNIT]],'Unit Price'!H$1,FALSE),0)</f>
        <v>0</v>
      </c>
      <c r="K518" s="194">
        <f>IF(_1_54128456121462410464578910174567[[#This Row],[Discount selection]]&gt;0,VLOOKUP(_1_54128456121462410464578910174567[[#This Row],[Discount selection]],'Discount Structure'!$A$2:$B$30,2,"false"),0)</f>
        <v>1</v>
      </c>
      <c r="L518" s="194">
        <f>_1_54128456121462410464578910174567[[#This Row],[LIST $]]*_1_54128456121462410464578910174567[[#This Row],[DISCOUNT]]*_1_54128456121462410464578910174567[[#This Row],[DISCOUNT 2]]</f>
        <v>0</v>
      </c>
      <c r="M518" s="194">
        <f>IF(OR(_1_54128456121462410464578910174567[[#This Row],[UNIT]]&gt;0,_1_54128456121462410464578910174567[[#This Row],[UNIT]]&lt;0),_1_54128456121462410464578910174567[[#This Row],[UNIT]]*_1_54128456121462410464578910174567[[#This Row],[COST]],0)</f>
        <v>0</v>
      </c>
      <c r="N518" s="194">
        <f t="shared" si="7"/>
        <v>1.3</v>
      </c>
      <c r="O518" s="198">
        <f>_1_54128456121462410464578910174567[[#This Row],[TOTAL]]*_1_54128456121462410464578910174567[[#This Row],[MARGIN]]</f>
        <v>0</v>
      </c>
      <c r="R518" s="41"/>
    </row>
    <row r="519" spans="1:18">
      <c r="D519" s="188"/>
      <c r="F519" s="168" t="s">
        <v>6202</v>
      </c>
      <c r="G519" s="193">
        <f>IF(_1_54128456121462410464578910174567[[#This Row],[Type]]&gt;0,VLOOKUP(_1_54128456121462410464578910174567[[#This Row],[Type]],Main[[#All],[TYPE]:[UNIT]],'Unit Price'!C$1,FALSE),0)</f>
        <v>0</v>
      </c>
      <c r="H519" s="197">
        <f>IF(_1_54128456121462410464578910174567[[#This Row],[Type]]&gt;0,VLOOKUP(_1_54128456121462410464578910174567[[#This Row],[Type]],Main[[#All],[TYPE]:[UNIT]],'Unit Price'!D$1,FALSE),0)</f>
        <v>0</v>
      </c>
      <c r="I519" s="194">
        <f>IF(_1_54128456121462410464578910174567[[#This Row],[Type]]&gt;0,VLOOKUP(_1_54128456121462410464578910174567[[#This Row],[Type]],Main[[#All],[TYPE]:[UNIT]],'Unit Price'!G$1,FALSE),0)</f>
        <v>0</v>
      </c>
      <c r="J519" s="194">
        <f>IF(_1_54128456121462410464578910174567[[#This Row],[Type]]&gt;0,VLOOKUP(_1_54128456121462410464578910174567[[#This Row],[Type]],Main[[#All],[TYPE]:[UNIT]],'Unit Price'!H$1,FALSE),0)</f>
        <v>0</v>
      </c>
      <c r="K519" s="194">
        <f>IF(_1_54128456121462410464578910174567[[#This Row],[Discount selection]]&gt;0,VLOOKUP(_1_54128456121462410464578910174567[[#This Row],[Discount selection]],'Discount Structure'!$A$2:$B$30,2,"false"),0)</f>
        <v>1</v>
      </c>
      <c r="L519" s="194">
        <f>_1_54128456121462410464578910174567[[#This Row],[LIST $]]*_1_54128456121462410464578910174567[[#This Row],[DISCOUNT]]*_1_54128456121462410464578910174567[[#This Row],[DISCOUNT 2]]</f>
        <v>0</v>
      </c>
      <c r="M519" s="194">
        <f>IF(OR(_1_54128456121462410464578910174567[[#This Row],[UNIT]]&gt;0,_1_54128456121462410464578910174567[[#This Row],[UNIT]]&lt;0),_1_54128456121462410464578910174567[[#This Row],[UNIT]]*_1_54128456121462410464578910174567[[#This Row],[COST]],0)</f>
        <v>0</v>
      </c>
      <c r="N519" s="194">
        <f t="shared" si="7"/>
        <v>1.3</v>
      </c>
      <c r="O519" s="198">
        <f>_1_54128456121462410464578910174567[[#This Row],[TOTAL]]*_1_54128456121462410464578910174567[[#This Row],[MARGIN]]</f>
        <v>0</v>
      </c>
      <c r="R519" s="41"/>
    </row>
    <row r="520" spans="1:18">
      <c r="D520" s="188"/>
      <c r="F520" s="168" t="s">
        <v>6202</v>
      </c>
      <c r="G520" s="193">
        <f>IF(_1_54128456121462410464578910174567[[#This Row],[Type]]&gt;0,VLOOKUP(_1_54128456121462410464578910174567[[#This Row],[Type]],Main[[#All],[TYPE]:[UNIT]],'Unit Price'!C$1,FALSE),0)</f>
        <v>0</v>
      </c>
      <c r="H520" s="197">
        <f>IF(_1_54128456121462410464578910174567[[#This Row],[Type]]&gt;0,VLOOKUP(_1_54128456121462410464578910174567[[#This Row],[Type]],Main[[#All],[TYPE]:[UNIT]],'Unit Price'!D$1,FALSE),0)</f>
        <v>0</v>
      </c>
      <c r="I520" s="194">
        <f>IF(_1_54128456121462410464578910174567[[#This Row],[Type]]&gt;0,VLOOKUP(_1_54128456121462410464578910174567[[#This Row],[Type]],Main[[#All],[TYPE]:[UNIT]],'Unit Price'!G$1,FALSE),0)</f>
        <v>0</v>
      </c>
      <c r="J520" s="194">
        <f>IF(_1_54128456121462410464578910174567[[#This Row],[Type]]&gt;0,VLOOKUP(_1_54128456121462410464578910174567[[#This Row],[Type]],Main[[#All],[TYPE]:[UNIT]],'Unit Price'!H$1,FALSE),0)</f>
        <v>0</v>
      </c>
      <c r="K520" s="194">
        <f>IF(_1_54128456121462410464578910174567[[#This Row],[Discount selection]]&gt;0,VLOOKUP(_1_54128456121462410464578910174567[[#This Row],[Discount selection]],'Discount Structure'!$A$2:$B$30,2,"false"),0)</f>
        <v>1</v>
      </c>
      <c r="L520" s="194">
        <f>_1_54128456121462410464578910174567[[#This Row],[LIST $]]*_1_54128456121462410464578910174567[[#This Row],[DISCOUNT]]*_1_54128456121462410464578910174567[[#This Row],[DISCOUNT 2]]</f>
        <v>0</v>
      </c>
      <c r="M520" s="194">
        <f>IF(OR(_1_54128456121462410464578910174567[[#This Row],[UNIT]]&gt;0,_1_54128456121462410464578910174567[[#This Row],[UNIT]]&lt;0),_1_54128456121462410464578910174567[[#This Row],[UNIT]]*_1_54128456121462410464578910174567[[#This Row],[COST]],0)</f>
        <v>0</v>
      </c>
      <c r="N520" s="194">
        <f t="shared" si="7"/>
        <v>1.3</v>
      </c>
      <c r="O520" s="198">
        <f>_1_54128456121462410464578910174567[[#This Row],[TOTAL]]*_1_54128456121462410464578910174567[[#This Row],[MARGIN]]</f>
        <v>0</v>
      </c>
      <c r="R520" s="41"/>
    </row>
    <row r="521" spans="1:18">
      <c r="D521" s="188"/>
      <c r="F521" s="168" t="s">
        <v>6202</v>
      </c>
      <c r="G521" s="193">
        <f>IF(_1_54128456121462410464578910174567[[#This Row],[Type]]&gt;0,VLOOKUP(_1_54128456121462410464578910174567[[#This Row],[Type]],Main[[#All],[TYPE]:[UNIT]],'Unit Price'!C$1,FALSE),0)</f>
        <v>0</v>
      </c>
      <c r="H521" s="197">
        <f>IF(_1_54128456121462410464578910174567[[#This Row],[Type]]&gt;0,VLOOKUP(_1_54128456121462410464578910174567[[#This Row],[Type]],Main[[#All],[TYPE]:[UNIT]],'Unit Price'!D$1,FALSE),0)</f>
        <v>0</v>
      </c>
      <c r="I521" s="194">
        <f>IF(_1_54128456121462410464578910174567[[#This Row],[Type]]&gt;0,VLOOKUP(_1_54128456121462410464578910174567[[#This Row],[Type]],Main[[#All],[TYPE]:[UNIT]],'Unit Price'!G$1,FALSE),0)</f>
        <v>0</v>
      </c>
      <c r="J521" s="194">
        <f>IF(_1_54128456121462410464578910174567[[#This Row],[Type]]&gt;0,VLOOKUP(_1_54128456121462410464578910174567[[#This Row],[Type]],Main[[#All],[TYPE]:[UNIT]],'Unit Price'!H$1,FALSE),0)</f>
        <v>0</v>
      </c>
      <c r="K521" s="194">
        <f>IF(_1_54128456121462410464578910174567[[#This Row],[Discount selection]]&gt;0,VLOOKUP(_1_54128456121462410464578910174567[[#This Row],[Discount selection]],'Discount Structure'!$A$2:$B$30,2,"false"),0)</f>
        <v>1</v>
      </c>
      <c r="L521" s="194">
        <f>_1_54128456121462410464578910174567[[#This Row],[LIST $]]*_1_54128456121462410464578910174567[[#This Row],[DISCOUNT]]*_1_54128456121462410464578910174567[[#This Row],[DISCOUNT 2]]</f>
        <v>0</v>
      </c>
      <c r="M521" s="194">
        <f>IF(OR(_1_54128456121462410464578910174567[[#This Row],[UNIT]]&gt;0,_1_54128456121462410464578910174567[[#This Row],[UNIT]]&lt;0),_1_54128456121462410464578910174567[[#This Row],[UNIT]]*_1_54128456121462410464578910174567[[#This Row],[COST]],0)</f>
        <v>0</v>
      </c>
      <c r="N521" s="194">
        <f t="shared" si="7"/>
        <v>1.3</v>
      </c>
      <c r="O521" s="198">
        <f>_1_54128456121462410464578910174567[[#This Row],[TOTAL]]*_1_54128456121462410464578910174567[[#This Row],[MARGIN]]</f>
        <v>0</v>
      </c>
      <c r="R521" s="41"/>
    </row>
    <row r="522" spans="1:18">
      <c r="A522" s="168"/>
      <c r="D522" s="188"/>
      <c r="F522" s="168" t="s">
        <v>6202</v>
      </c>
      <c r="G522" s="193">
        <f>IF(_1_54128456121462410464578910174567[[#This Row],[Type]]&gt;0,VLOOKUP(_1_54128456121462410464578910174567[[#This Row],[Type]],Main[[#All],[TYPE]:[UNIT]],'Unit Price'!C$1,FALSE),0)</f>
        <v>0</v>
      </c>
      <c r="H522" s="197">
        <f>IF(_1_54128456121462410464578910174567[[#This Row],[Type]]&gt;0,VLOOKUP(_1_54128456121462410464578910174567[[#This Row],[Type]],Main[[#All],[TYPE]:[UNIT]],'Unit Price'!D$1,FALSE),0)</f>
        <v>0</v>
      </c>
      <c r="I522" s="194">
        <f>IF(_1_54128456121462410464578910174567[[#This Row],[Type]]&gt;0,VLOOKUP(_1_54128456121462410464578910174567[[#This Row],[Type]],Main[[#All],[TYPE]:[UNIT]],'Unit Price'!G$1,FALSE),0)</f>
        <v>0</v>
      </c>
      <c r="J522" s="194">
        <f>IF(_1_54128456121462410464578910174567[[#This Row],[Type]]&gt;0,VLOOKUP(_1_54128456121462410464578910174567[[#This Row],[Type]],Main[[#All],[TYPE]:[UNIT]],'Unit Price'!H$1,FALSE),0)</f>
        <v>0</v>
      </c>
      <c r="K522" s="194">
        <f>IF(_1_54128456121462410464578910174567[[#This Row],[Discount selection]]&gt;0,VLOOKUP(_1_54128456121462410464578910174567[[#This Row],[Discount selection]],'Discount Structure'!$A$2:$B$30,2,"false"),0)</f>
        <v>1</v>
      </c>
      <c r="L522" s="194">
        <f>_1_54128456121462410464578910174567[[#This Row],[LIST $]]*_1_54128456121462410464578910174567[[#This Row],[DISCOUNT]]*_1_54128456121462410464578910174567[[#This Row],[DISCOUNT 2]]</f>
        <v>0</v>
      </c>
      <c r="M522" s="194">
        <f>IF(OR(_1_54128456121462410464578910174567[[#This Row],[UNIT]]&gt;0,_1_54128456121462410464578910174567[[#This Row],[UNIT]]&lt;0),_1_54128456121462410464578910174567[[#This Row],[UNIT]]*_1_54128456121462410464578910174567[[#This Row],[COST]],0)</f>
        <v>0</v>
      </c>
      <c r="N522" s="194">
        <f t="shared" ref="N522:N585" si="8">$N$7</f>
        <v>1.3</v>
      </c>
      <c r="O522" s="198">
        <f>_1_54128456121462410464578910174567[[#This Row],[TOTAL]]*_1_54128456121462410464578910174567[[#This Row],[MARGIN]]</f>
        <v>0</v>
      </c>
      <c r="R522" s="41"/>
    </row>
    <row r="523" spans="1:18">
      <c r="D523" s="188"/>
      <c r="F523" s="168" t="s">
        <v>6202</v>
      </c>
      <c r="G523" s="193">
        <f>IF(_1_54128456121462410464578910174567[[#This Row],[Type]]&gt;0,VLOOKUP(_1_54128456121462410464578910174567[[#This Row],[Type]],Main[[#All],[TYPE]:[UNIT]],'Unit Price'!C$1,FALSE),0)</f>
        <v>0</v>
      </c>
      <c r="H523" s="197">
        <f>IF(_1_54128456121462410464578910174567[[#This Row],[Type]]&gt;0,VLOOKUP(_1_54128456121462410464578910174567[[#This Row],[Type]],Main[[#All],[TYPE]:[UNIT]],'Unit Price'!D$1,FALSE),0)</f>
        <v>0</v>
      </c>
      <c r="I523" s="194">
        <f>IF(_1_54128456121462410464578910174567[[#This Row],[Type]]&gt;0,VLOOKUP(_1_54128456121462410464578910174567[[#This Row],[Type]],Main[[#All],[TYPE]:[UNIT]],'Unit Price'!G$1,FALSE),0)</f>
        <v>0</v>
      </c>
      <c r="J523" s="194">
        <f>IF(_1_54128456121462410464578910174567[[#This Row],[Type]]&gt;0,VLOOKUP(_1_54128456121462410464578910174567[[#This Row],[Type]],Main[[#All],[TYPE]:[UNIT]],'Unit Price'!H$1,FALSE),0)</f>
        <v>0</v>
      </c>
      <c r="K523" s="194">
        <f>IF(_1_54128456121462410464578910174567[[#This Row],[Discount selection]]&gt;0,VLOOKUP(_1_54128456121462410464578910174567[[#This Row],[Discount selection]],'Discount Structure'!$A$2:$B$30,2,"false"),0)</f>
        <v>1</v>
      </c>
      <c r="L523" s="194">
        <f>_1_54128456121462410464578910174567[[#This Row],[LIST $]]*_1_54128456121462410464578910174567[[#This Row],[DISCOUNT]]*_1_54128456121462410464578910174567[[#This Row],[DISCOUNT 2]]</f>
        <v>0</v>
      </c>
      <c r="M523" s="194">
        <f>IF(OR(_1_54128456121462410464578910174567[[#This Row],[UNIT]]&gt;0,_1_54128456121462410464578910174567[[#This Row],[UNIT]]&lt;0),_1_54128456121462410464578910174567[[#This Row],[UNIT]]*_1_54128456121462410464578910174567[[#This Row],[COST]],0)</f>
        <v>0</v>
      </c>
      <c r="N523" s="194">
        <f t="shared" si="8"/>
        <v>1.3</v>
      </c>
      <c r="O523" s="198">
        <f>_1_54128456121462410464578910174567[[#This Row],[TOTAL]]*_1_54128456121462410464578910174567[[#This Row],[MARGIN]]</f>
        <v>0</v>
      </c>
      <c r="R523" s="41"/>
    </row>
    <row r="524" spans="1:18">
      <c r="D524" s="188"/>
      <c r="F524" s="168" t="s">
        <v>6202</v>
      </c>
      <c r="G524" s="193">
        <f>IF(_1_54128456121462410464578910174567[[#This Row],[Type]]&gt;0,VLOOKUP(_1_54128456121462410464578910174567[[#This Row],[Type]],Main[[#All],[TYPE]:[UNIT]],'Unit Price'!C$1,FALSE),0)</f>
        <v>0</v>
      </c>
      <c r="H524" s="197">
        <f>IF(_1_54128456121462410464578910174567[[#This Row],[Type]]&gt;0,VLOOKUP(_1_54128456121462410464578910174567[[#This Row],[Type]],Main[[#All],[TYPE]:[UNIT]],'Unit Price'!D$1,FALSE),0)</f>
        <v>0</v>
      </c>
      <c r="I524" s="194">
        <f>IF(_1_54128456121462410464578910174567[[#This Row],[Type]]&gt;0,VLOOKUP(_1_54128456121462410464578910174567[[#This Row],[Type]],Main[[#All],[TYPE]:[UNIT]],'Unit Price'!G$1,FALSE),0)</f>
        <v>0</v>
      </c>
      <c r="J524" s="194">
        <f>IF(_1_54128456121462410464578910174567[[#This Row],[Type]]&gt;0,VLOOKUP(_1_54128456121462410464578910174567[[#This Row],[Type]],Main[[#All],[TYPE]:[UNIT]],'Unit Price'!H$1,FALSE),0)</f>
        <v>0</v>
      </c>
      <c r="K524" s="194">
        <f>IF(_1_54128456121462410464578910174567[[#This Row],[Discount selection]]&gt;0,VLOOKUP(_1_54128456121462410464578910174567[[#This Row],[Discount selection]],'Discount Structure'!$A$2:$B$30,2,"false"),0)</f>
        <v>1</v>
      </c>
      <c r="L524" s="194">
        <f>_1_54128456121462410464578910174567[[#This Row],[LIST $]]*_1_54128456121462410464578910174567[[#This Row],[DISCOUNT]]*_1_54128456121462410464578910174567[[#This Row],[DISCOUNT 2]]</f>
        <v>0</v>
      </c>
      <c r="M524" s="194">
        <f>IF(OR(_1_54128456121462410464578910174567[[#This Row],[UNIT]]&gt;0,_1_54128456121462410464578910174567[[#This Row],[UNIT]]&lt;0),_1_54128456121462410464578910174567[[#This Row],[UNIT]]*_1_54128456121462410464578910174567[[#This Row],[COST]],0)</f>
        <v>0</v>
      </c>
      <c r="N524" s="194">
        <f t="shared" si="8"/>
        <v>1.3</v>
      </c>
      <c r="O524" s="198">
        <f>_1_54128456121462410464578910174567[[#This Row],[TOTAL]]*_1_54128456121462410464578910174567[[#This Row],[MARGIN]]</f>
        <v>0</v>
      </c>
      <c r="R524" s="41"/>
    </row>
    <row r="525" spans="1:18">
      <c r="D525" s="188"/>
      <c r="F525" s="168" t="s">
        <v>6202</v>
      </c>
      <c r="G525" s="193">
        <f>IF(_1_54128456121462410464578910174567[[#This Row],[Type]]&gt;0,VLOOKUP(_1_54128456121462410464578910174567[[#This Row],[Type]],Main[[#All],[TYPE]:[UNIT]],'Unit Price'!C$1,FALSE),0)</f>
        <v>0</v>
      </c>
      <c r="H525" s="197">
        <f>IF(_1_54128456121462410464578910174567[[#This Row],[Type]]&gt;0,VLOOKUP(_1_54128456121462410464578910174567[[#This Row],[Type]],Main[[#All],[TYPE]:[UNIT]],'Unit Price'!D$1,FALSE),0)</f>
        <v>0</v>
      </c>
      <c r="I525" s="194">
        <f>IF(_1_54128456121462410464578910174567[[#This Row],[Type]]&gt;0,VLOOKUP(_1_54128456121462410464578910174567[[#This Row],[Type]],Main[[#All],[TYPE]:[UNIT]],'Unit Price'!G$1,FALSE),0)</f>
        <v>0</v>
      </c>
      <c r="J525" s="194">
        <f>IF(_1_54128456121462410464578910174567[[#This Row],[Type]]&gt;0,VLOOKUP(_1_54128456121462410464578910174567[[#This Row],[Type]],Main[[#All],[TYPE]:[UNIT]],'Unit Price'!H$1,FALSE),0)</f>
        <v>0</v>
      </c>
      <c r="K525" s="194">
        <f>IF(_1_54128456121462410464578910174567[[#This Row],[Discount selection]]&gt;0,VLOOKUP(_1_54128456121462410464578910174567[[#This Row],[Discount selection]],'Discount Structure'!$A$2:$B$30,2,"false"),0)</f>
        <v>1</v>
      </c>
      <c r="L525" s="194">
        <f>_1_54128456121462410464578910174567[[#This Row],[LIST $]]*_1_54128456121462410464578910174567[[#This Row],[DISCOUNT]]*_1_54128456121462410464578910174567[[#This Row],[DISCOUNT 2]]</f>
        <v>0</v>
      </c>
      <c r="M525" s="194">
        <f>IF(OR(_1_54128456121462410464578910174567[[#This Row],[UNIT]]&gt;0,_1_54128456121462410464578910174567[[#This Row],[UNIT]]&lt;0),_1_54128456121462410464578910174567[[#This Row],[UNIT]]*_1_54128456121462410464578910174567[[#This Row],[COST]],0)</f>
        <v>0</v>
      </c>
      <c r="N525" s="194">
        <f t="shared" si="8"/>
        <v>1.3</v>
      </c>
      <c r="O525" s="198">
        <f>_1_54128456121462410464578910174567[[#This Row],[TOTAL]]*_1_54128456121462410464578910174567[[#This Row],[MARGIN]]</f>
        <v>0</v>
      </c>
      <c r="R525" s="41"/>
    </row>
    <row r="526" spans="1:18">
      <c r="D526" s="188"/>
      <c r="F526" s="168" t="s">
        <v>6202</v>
      </c>
      <c r="G526" s="193">
        <f>IF(_1_54128456121462410464578910174567[[#This Row],[Type]]&gt;0,VLOOKUP(_1_54128456121462410464578910174567[[#This Row],[Type]],Main[[#All],[TYPE]:[UNIT]],'Unit Price'!C$1,FALSE),0)</f>
        <v>0</v>
      </c>
      <c r="H526" s="197">
        <f>IF(_1_54128456121462410464578910174567[[#This Row],[Type]]&gt;0,VLOOKUP(_1_54128456121462410464578910174567[[#This Row],[Type]],Main[[#All],[TYPE]:[UNIT]],'Unit Price'!D$1,FALSE),0)</f>
        <v>0</v>
      </c>
      <c r="I526" s="194">
        <f>IF(_1_54128456121462410464578910174567[[#This Row],[Type]]&gt;0,VLOOKUP(_1_54128456121462410464578910174567[[#This Row],[Type]],Main[[#All],[TYPE]:[UNIT]],'Unit Price'!G$1,FALSE),0)</f>
        <v>0</v>
      </c>
      <c r="J526" s="194">
        <f>IF(_1_54128456121462410464578910174567[[#This Row],[Type]]&gt;0,VLOOKUP(_1_54128456121462410464578910174567[[#This Row],[Type]],Main[[#All],[TYPE]:[UNIT]],'Unit Price'!H$1,FALSE),0)</f>
        <v>0</v>
      </c>
      <c r="K526" s="194">
        <f>IF(_1_54128456121462410464578910174567[[#This Row],[Discount selection]]&gt;0,VLOOKUP(_1_54128456121462410464578910174567[[#This Row],[Discount selection]],'Discount Structure'!$A$2:$B$30,2,"false"),0)</f>
        <v>1</v>
      </c>
      <c r="L526" s="194">
        <f>_1_54128456121462410464578910174567[[#This Row],[LIST $]]*_1_54128456121462410464578910174567[[#This Row],[DISCOUNT]]*_1_54128456121462410464578910174567[[#This Row],[DISCOUNT 2]]</f>
        <v>0</v>
      </c>
      <c r="M526" s="194">
        <f>IF(OR(_1_54128456121462410464578910174567[[#This Row],[UNIT]]&gt;0,_1_54128456121462410464578910174567[[#This Row],[UNIT]]&lt;0),_1_54128456121462410464578910174567[[#This Row],[UNIT]]*_1_54128456121462410464578910174567[[#This Row],[COST]],0)</f>
        <v>0</v>
      </c>
      <c r="N526" s="194">
        <f t="shared" si="8"/>
        <v>1.3</v>
      </c>
      <c r="O526" s="198">
        <f>_1_54128456121462410464578910174567[[#This Row],[TOTAL]]*_1_54128456121462410464578910174567[[#This Row],[MARGIN]]</f>
        <v>0</v>
      </c>
      <c r="R526" s="41"/>
    </row>
    <row r="527" spans="1:18">
      <c r="D527" s="188"/>
      <c r="F527" s="168" t="s">
        <v>6202</v>
      </c>
      <c r="G527" s="193">
        <f>IF(_1_54128456121462410464578910174567[[#This Row],[Type]]&gt;0,VLOOKUP(_1_54128456121462410464578910174567[[#This Row],[Type]],Main[[#All],[TYPE]:[UNIT]],'Unit Price'!C$1,FALSE),0)</f>
        <v>0</v>
      </c>
      <c r="H527" s="197">
        <f>IF(_1_54128456121462410464578910174567[[#This Row],[Type]]&gt;0,VLOOKUP(_1_54128456121462410464578910174567[[#This Row],[Type]],Main[[#All],[TYPE]:[UNIT]],'Unit Price'!D$1,FALSE),0)</f>
        <v>0</v>
      </c>
      <c r="I527" s="194">
        <f>IF(_1_54128456121462410464578910174567[[#This Row],[Type]]&gt;0,VLOOKUP(_1_54128456121462410464578910174567[[#This Row],[Type]],Main[[#All],[TYPE]:[UNIT]],'Unit Price'!G$1,FALSE),0)</f>
        <v>0</v>
      </c>
      <c r="J527" s="194">
        <f>IF(_1_54128456121462410464578910174567[[#This Row],[Type]]&gt;0,VLOOKUP(_1_54128456121462410464578910174567[[#This Row],[Type]],Main[[#All],[TYPE]:[UNIT]],'Unit Price'!H$1,FALSE),0)</f>
        <v>0</v>
      </c>
      <c r="K527" s="194">
        <f>IF(_1_54128456121462410464578910174567[[#This Row],[Discount selection]]&gt;0,VLOOKUP(_1_54128456121462410464578910174567[[#This Row],[Discount selection]],'Discount Structure'!$A$2:$B$30,2,"false"),0)</f>
        <v>1</v>
      </c>
      <c r="L527" s="194">
        <f>_1_54128456121462410464578910174567[[#This Row],[LIST $]]*_1_54128456121462410464578910174567[[#This Row],[DISCOUNT]]*_1_54128456121462410464578910174567[[#This Row],[DISCOUNT 2]]</f>
        <v>0</v>
      </c>
      <c r="M527" s="194">
        <f>IF(OR(_1_54128456121462410464578910174567[[#This Row],[UNIT]]&gt;0,_1_54128456121462410464578910174567[[#This Row],[UNIT]]&lt;0),_1_54128456121462410464578910174567[[#This Row],[UNIT]]*_1_54128456121462410464578910174567[[#This Row],[COST]],0)</f>
        <v>0</v>
      </c>
      <c r="N527" s="194">
        <f t="shared" si="8"/>
        <v>1.3</v>
      </c>
      <c r="O527" s="198">
        <f>_1_54128456121462410464578910174567[[#This Row],[TOTAL]]*_1_54128456121462410464578910174567[[#This Row],[MARGIN]]</f>
        <v>0</v>
      </c>
      <c r="R527" s="41"/>
    </row>
    <row r="528" spans="1:18">
      <c r="D528" s="188"/>
      <c r="F528" s="168" t="s">
        <v>6202</v>
      </c>
      <c r="G528" s="193">
        <f>IF(_1_54128456121462410464578910174567[[#This Row],[Type]]&gt;0,VLOOKUP(_1_54128456121462410464578910174567[[#This Row],[Type]],Main[[#All],[TYPE]:[UNIT]],'Unit Price'!C$1,FALSE),0)</f>
        <v>0</v>
      </c>
      <c r="H528" s="197">
        <f>IF(_1_54128456121462410464578910174567[[#This Row],[Type]]&gt;0,VLOOKUP(_1_54128456121462410464578910174567[[#This Row],[Type]],Main[[#All],[TYPE]:[UNIT]],'Unit Price'!D$1,FALSE),0)</f>
        <v>0</v>
      </c>
      <c r="I528" s="194">
        <f>IF(_1_54128456121462410464578910174567[[#This Row],[Type]]&gt;0,VLOOKUP(_1_54128456121462410464578910174567[[#This Row],[Type]],Main[[#All],[TYPE]:[UNIT]],'Unit Price'!G$1,FALSE),0)</f>
        <v>0</v>
      </c>
      <c r="J528" s="194">
        <f>IF(_1_54128456121462410464578910174567[[#This Row],[Type]]&gt;0,VLOOKUP(_1_54128456121462410464578910174567[[#This Row],[Type]],Main[[#All],[TYPE]:[UNIT]],'Unit Price'!H$1,FALSE),0)</f>
        <v>0</v>
      </c>
      <c r="K528" s="194">
        <f>IF(_1_54128456121462410464578910174567[[#This Row],[Discount selection]]&gt;0,VLOOKUP(_1_54128456121462410464578910174567[[#This Row],[Discount selection]],'Discount Structure'!$A$2:$B$30,2,"false"),0)</f>
        <v>1</v>
      </c>
      <c r="L528" s="194">
        <f>_1_54128456121462410464578910174567[[#This Row],[LIST $]]*_1_54128456121462410464578910174567[[#This Row],[DISCOUNT]]*_1_54128456121462410464578910174567[[#This Row],[DISCOUNT 2]]</f>
        <v>0</v>
      </c>
      <c r="M528" s="194">
        <f>IF(OR(_1_54128456121462410464578910174567[[#This Row],[UNIT]]&gt;0,_1_54128456121462410464578910174567[[#This Row],[UNIT]]&lt;0),_1_54128456121462410464578910174567[[#This Row],[UNIT]]*_1_54128456121462410464578910174567[[#This Row],[COST]],0)</f>
        <v>0</v>
      </c>
      <c r="N528" s="194">
        <f t="shared" si="8"/>
        <v>1.3</v>
      </c>
      <c r="O528" s="198">
        <f>_1_54128456121462410464578910174567[[#This Row],[TOTAL]]*_1_54128456121462410464578910174567[[#This Row],[MARGIN]]</f>
        <v>0</v>
      </c>
      <c r="R528" s="41"/>
    </row>
    <row r="529" spans="1:18">
      <c r="D529" s="188"/>
      <c r="F529" s="168" t="s">
        <v>6202</v>
      </c>
      <c r="G529" s="193">
        <f>IF(_1_54128456121462410464578910174567[[#This Row],[Type]]&gt;0,VLOOKUP(_1_54128456121462410464578910174567[[#This Row],[Type]],Main[[#All],[TYPE]:[UNIT]],'Unit Price'!C$1,FALSE),0)</f>
        <v>0</v>
      </c>
      <c r="H529" s="197">
        <f>IF(_1_54128456121462410464578910174567[[#This Row],[Type]]&gt;0,VLOOKUP(_1_54128456121462410464578910174567[[#This Row],[Type]],Main[[#All],[TYPE]:[UNIT]],'Unit Price'!D$1,FALSE),0)</f>
        <v>0</v>
      </c>
      <c r="I529" s="194">
        <f>IF(_1_54128456121462410464578910174567[[#This Row],[Type]]&gt;0,VLOOKUP(_1_54128456121462410464578910174567[[#This Row],[Type]],Main[[#All],[TYPE]:[UNIT]],'Unit Price'!G$1,FALSE),0)</f>
        <v>0</v>
      </c>
      <c r="J529" s="194">
        <f>IF(_1_54128456121462410464578910174567[[#This Row],[Type]]&gt;0,VLOOKUP(_1_54128456121462410464578910174567[[#This Row],[Type]],Main[[#All],[TYPE]:[UNIT]],'Unit Price'!H$1,FALSE),0)</f>
        <v>0</v>
      </c>
      <c r="K529" s="194">
        <f>IF(_1_54128456121462410464578910174567[[#This Row],[Discount selection]]&gt;0,VLOOKUP(_1_54128456121462410464578910174567[[#This Row],[Discount selection]],'Discount Structure'!$A$2:$B$30,2,"false"),0)</f>
        <v>1</v>
      </c>
      <c r="L529" s="194">
        <f>_1_54128456121462410464578910174567[[#This Row],[LIST $]]*_1_54128456121462410464578910174567[[#This Row],[DISCOUNT]]*_1_54128456121462410464578910174567[[#This Row],[DISCOUNT 2]]</f>
        <v>0</v>
      </c>
      <c r="M529" s="194">
        <f>IF(OR(_1_54128456121462410464578910174567[[#This Row],[UNIT]]&gt;0,_1_54128456121462410464578910174567[[#This Row],[UNIT]]&lt;0),_1_54128456121462410464578910174567[[#This Row],[UNIT]]*_1_54128456121462410464578910174567[[#This Row],[COST]],0)</f>
        <v>0</v>
      </c>
      <c r="N529" s="194">
        <f t="shared" si="8"/>
        <v>1.3</v>
      </c>
      <c r="O529" s="198">
        <f>_1_54128456121462410464578910174567[[#This Row],[TOTAL]]*_1_54128456121462410464578910174567[[#This Row],[MARGIN]]</f>
        <v>0</v>
      </c>
      <c r="R529" s="41"/>
    </row>
    <row r="530" spans="1:18">
      <c r="D530" s="188"/>
      <c r="F530" s="168" t="s">
        <v>6202</v>
      </c>
      <c r="G530" s="193">
        <f>IF(_1_54128456121462410464578910174567[[#This Row],[Type]]&gt;0,VLOOKUP(_1_54128456121462410464578910174567[[#This Row],[Type]],Main[[#All],[TYPE]:[UNIT]],'Unit Price'!C$1,FALSE),0)</f>
        <v>0</v>
      </c>
      <c r="H530" s="197">
        <f>IF(_1_54128456121462410464578910174567[[#This Row],[Type]]&gt;0,VLOOKUP(_1_54128456121462410464578910174567[[#This Row],[Type]],Main[[#All],[TYPE]:[UNIT]],'Unit Price'!D$1,FALSE),0)</f>
        <v>0</v>
      </c>
      <c r="I530" s="194">
        <f>IF(_1_54128456121462410464578910174567[[#This Row],[Type]]&gt;0,VLOOKUP(_1_54128456121462410464578910174567[[#This Row],[Type]],Main[[#All],[TYPE]:[UNIT]],'Unit Price'!G$1,FALSE),0)</f>
        <v>0</v>
      </c>
      <c r="J530" s="194">
        <f>IF(_1_54128456121462410464578910174567[[#This Row],[Type]]&gt;0,VLOOKUP(_1_54128456121462410464578910174567[[#This Row],[Type]],Main[[#All],[TYPE]:[UNIT]],'Unit Price'!H$1,FALSE),0)</f>
        <v>0</v>
      </c>
      <c r="K530" s="194">
        <f>IF(_1_54128456121462410464578910174567[[#This Row],[Discount selection]]&gt;0,VLOOKUP(_1_54128456121462410464578910174567[[#This Row],[Discount selection]],'Discount Structure'!$A$2:$B$30,2,"false"),0)</f>
        <v>1</v>
      </c>
      <c r="L530" s="194">
        <f>_1_54128456121462410464578910174567[[#This Row],[LIST $]]*_1_54128456121462410464578910174567[[#This Row],[DISCOUNT]]*_1_54128456121462410464578910174567[[#This Row],[DISCOUNT 2]]</f>
        <v>0</v>
      </c>
      <c r="M530" s="194">
        <f>IF(OR(_1_54128456121462410464578910174567[[#This Row],[UNIT]]&gt;0,_1_54128456121462410464578910174567[[#This Row],[UNIT]]&lt;0),_1_54128456121462410464578910174567[[#This Row],[UNIT]]*_1_54128456121462410464578910174567[[#This Row],[COST]],0)</f>
        <v>0</v>
      </c>
      <c r="N530" s="194">
        <f t="shared" si="8"/>
        <v>1.3</v>
      </c>
      <c r="O530" s="198">
        <f>_1_54128456121462410464578910174567[[#This Row],[TOTAL]]*_1_54128456121462410464578910174567[[#This Row],[MARGIN]]</f>
        <v>0</v>
      </c>
      <c r="R530" s="41"/>
    </row>
    <row r="531" spans="1:18">
      <c r="A531" s="168"/>
      <c r="D531" s="188"/>
      <c r="F531" s="168" t="s">
        <v>6202</v>
      </c>
      <c r="G531" s="193">
        <f>IF(_1_54128456121462410464578910174567[[#This Row],[Type]]&gt;0,VLOOKUP(_1_54128456121462410464578910174567[[#This Row],[Type]],Main[[#All],[TYPE]:[UNIT]],'Unit Price'!C$1,FALSE),0)</f>
        <v>0</v>
      </c>
      <c r="H531" s="197">
        <f>IF(_1_54128456121462410464578910174567[[#This Row],[Type]]&gt;0,VLOOKUP(_1_54128456121462410464578910174567[[#This Row],[Type]],Main[[#All],[TYPE]:[UNIT]],'Unit Price'!D$1,FALSE),0)</f>
        <v>0</v>
      </c>
      <c r="I531" s="194">
        <f>IF(_1_54128456121462410464578910174567[[#This Row],[Type]]&gt;0,VLOOKUP(_1_54128456121462410464578910174567[[#This Row],[Type]],Main[[#All],[TYPE]:[UNIT]],'Unit Price'!G$1,FALSE),0)</f>
        <v>0</v>
      </c>
      <c r="J531" s="194">
        <f>IF(_1_54128456121462410464578910174567[[#This Row],[Type]]&gt;0,VLOOKUP(_1_54128456121462410464578910174567[[#This Row],[Type]],Main[[#All],[TYPE]:[UNIT]],'Unit Price'!H$1,FALSE),0)</f>
        <v>0</v>
      </c>
      <c r="K531" s="194">
        <f>IF(_1_54128456121462410464578910174567[[#This Row],[Discount selection]]&gt;0,VLOOKUP(_1_54128456121462410464578910174567[[#This Row],[Discount selection]],'Discount Structure'!$A$2:$B$30,2,"false"),0)</f>
        <v>1</v>
      </c>
      <c r="L531" s="194">
        <f>_1_54128456121462410464578910174567[[#This Row],[LIST $]]*_1_54128456121462410464578910174567[[#This Row],[DISCOUNT]]*_1_54128456121462410464578910174567[[#This Row],[DISCOUNT 2]]</f>
        <v>0</v>
      </c>
      <c r="M531" s="194">
        <f>IF(OR(_1_54128456121462410464578910174567[[#This Row],[UNIT]]&gt;0,_1_54128456121462410464578910174567[[#This Row],[UNIT]]&lt;0),_1_54128456121462410464578910174567[[#This Row],[UNIT]]*_1_54128456121462410464578910174567[[#This Row],[COST]],0)</f>
        <v>0</v>
      </c>
      <c r="N531" s="194">
        <f t="shared" si="8"/>
        <v>1.3</v>
      </c>
      <c r="O531" s="198">
        <f>_1_54128456121462410464578910174567[[#This Row],[TOTAL]]*_1_54128456121462410464578910174567[[#This Row],[MARGIN]]</f>
        <v>0</v>
      </c>
      <c r="R531" s="41"/>
    </row>
    <row r="532" spans="1:18">
      <c r="D532" s="188"/>
      <c r="F532" s="168" t="s">
        <v>6202</v>
      </c>
      <c r="G532" s="193">
        <f>IF(_1_54128456121462410464578910174567[[#This Row],[Type]]&gt;0,VLOOKUP(_1_54128456121462410464578910174567[[#This Row],[Type]],Main[[#All],[TYPE]:[UNIT]],'Unit Price'!C$1,FALSE),0)</f>
        <v>0</v>
      </c>
      <c r="H532" s="197">
        <f>IF(_1_54128456121462410464578910174567[[#This Row],[Type]]&gt;0,VLOOKUP(_1_54128456121462410464578910174567[[#This Row],[Type]],Main[[#All],[TYPE]:[UNIT]],'Unit Price'!D$1,FALSE),0)</f>
        <v>0</v>
      </c>
      <c r="I532" s="194">
        <f>IF(_1_54128456121462410464578910174567[[#This Row],[Type]]&gt;0,VLOOKUP(_1_54128456121462410464578910174567[[#This Row],[Type]],Main[[#All],[TYPE]:[UNIT]],'Unit Price'!G$1,FALSE),0)</f>
        <v>0</v>
      </c>
      <c r="J532" s="194">
        <f>IF(_1_54128456121462410464578910174567[[#This Row],[Type]]&gt;0,VLOOKUP(_1_54128456121462410464578910174567[[#This Row],[Type]],Main[[#All],[TYPE]:[UNIT]],'Unit Price'!H$1,FALSE),0)</f>
        <v>0</v>
      </c>
      <c r="K532" s="194">
        <f>IF(_1_54128456121462410464578910174567[[#This Row],[Discount selection]]&gt;0,VLOOKUP(_1_54128456121462410464578910174567[[#This Row],[Discount selection]],'Discount Structure'!$A$2:$B$30,2,"false"),0)</f>
        <v>1</v>
      </c>
      <c r="L532" s="194">
        <f>_1_54128456121462410464578910174567[[#This Row],[LIST $]]*_1_54128456121462410464578910174567[[#This Row],[DISCOUNT]]*_1_54128456121462410464578910174567[[#This Row],[DISCOUNT 2]]</f>
        <v>0</v>
      </c>
      <c r="M532" s="194">
        <f>IF(OR(_1_54128456121462410464578910174567[[#This Row],[UNIT]]&gt;0,_1_54128456121462410464578910174567[[#This Row],[UNIT]]&lt;0),_1_54128456121462410464578910174567[[#This Row],[UNIT]]*_1_54128456121462410464578910174567[[#This Row],[COST]],0)</f>
        <v>0</v>
      </c>
      <c r="N532" s="194">
        <f t="shared" si="8"/>
        <v>1.3</v>
      </c>
      <c r="O532" s="198">
        <f>_1_54128456121462410464578910174567[[#This Row],[TOTAL]]*_1_54128456121462410464578910174567[[#This Row],[MARGIN]]</f>
        <v>0</v>
      </c>
      <c r="R532" s="41"/>
    </row>
    <row r="533" spans="1:18">
      <c r="D533" s="188"/>
      <c r="F533" s="168" t="s">
        <v>6202</v>
      </c>
      <c r="G533" s="193">
        <f>IF(_1_54128456121462410464578910174567[[#This Row],[Type]]&gt;0,VLOOKUP(_1_54128456121462410464578910174567[[#This Row],[Type]],Main[[#All],[TYPE]:[UNIT]],'Unit Price'!C$1,FALSE),0)</f>
        <v>0</v>
      </c>
      <c r="H533" s="197">
        <f>IF(_1_54128456121462410464578910174567[[#This Row],[Type]]&gt;0,VLOOKUP(_1_54128456121462410464578910174567[[#This Row],[Type]],Main[[#All],[TYPE]:[UNIT]],'Unit Price'!D$1,FALSE),0)</f>
        <v>0</v>
      </c>
      <c r="I533" s="194">
        <f>IF(_1_54128456121462410464578910174567[[#This Row],[Type]]&gt;0,VLOOKUP(_1_54128456121462410464578910174567[[#This Row],[Type]],Main[[#All],[TYPE]:[UNIT]],'Unit Price'!G$1,FALSE),0)</f>
        <v>0</v>
      </c>
      <c r="J533" s="194">
        <f>IF(_1_54128456121462410464578910174567[[#This Row],[Type]]&gt;0,VLOOKUP(_1_54128456121462410464578910174567[[#This Row],[Type]],Main[[#All],[TYPE]:[UNIT]],'Unit Price'!H$1,FALSE),0)</f>
        <v>0</v>
      </c>
      <c r="K533" s="194">
        <f>IF(_1_54128456121462410464578910174567[[#This Row],[Discount selection]]&gt;0,VLOOKUP(_1_54128456121462410464578910174567[[#This Row],[Discount selection]],'Discount Structure'!$A$2:$B$30,2,"false"),0)</f>
        <v>1</v>
      </c>
      <c r="L533" s="194">
        <f>_1_54128456121462410464578910174567[[#This Row],[LIST $]]*_1_54128456121462410464578910174567[[#This Row],[DISCOUNT]]*_1_54128456121462410464578910174567[[#This Row],[DISCOUNT 2]]</f>
        <v>0</v>
      </c>
      <c r="M533" s="194">
        <f>IF(OR(_1_54128456121462410464578910174567[[#This Row],[UNIT]]&gt;0,_1_54128456121462410464578910174567[[#This Row],[UNIT]]&lt;0),_1_54128456121462410464578910174567[[#This Row],[UNIT]]*_1_54128456121462410464578910174567[[#This Row],[COST]],0)</f>
        <v>0</v>
      </c>
      <c r="N533" s="194">
        <f t="shared" si="8"/>
        <v>1.3</v>
      </c>
      <c r="O533" s="198">
        <f>_1_54128456121462410464578910174567[[#This Row],[TOTAL]]*_1_54128456121462410464578910174567[[#This Row],[MARGIN]]</f>
        <v>0</v>
      </c>
      <c r="R533" s="41"/>
    </row>
    <row r="534" spans="1:18">
      <c r="D534" s="188"/>
      <c r="F534" s="168" t="s">
        <v>6202</v>
      </c>
      <c r="G534" s="193">
        <f>IF(_1_54128456121462410464578910174567[[#This Row],[Type]]&gt;0,VLOOKUP(_1_54128456121462410464578910174567[[#This Row],[Type]],Main[[#All],[TYPE]:[UNIT]],'Unit Price'!C$1,FALSE),0)</f>
        <v>0</v>
      </c>
      <c r="H534" s="197">
        <f>IF(_1_54128456121462410464578910174567[[#This Row],[Type]]&gt;0,VLOOKUP(_1_54128456121462410464578910174567[[#This Row],[Type]],Main[[#All],[TYPE]:[UNIT]],'Unit Price'!D$1,FALSE),0)</f>
        <v>0</v>
      </c>
      <c r="I534" s="194">
        <f>IF(_1_54128456121462410464578910174567[[#This Row],[Type]]&gt;0,VLOOKUP(_1_54128456121462410464578910174567[[#This Row],[Type]],Main[[#All],[TYPE]:[UNIT]],'Unit Price'!G$1,FALSE),0)</f>
        <v>0</v>
      </c>
      <c r="J534" s="194">
        <f>IF(_1_54128456121462410464578910174567[[#This Row],[Type]]&gt;0,VLOOKUP(_1_54128456121462410464578910174567[[#This Row],[Type]],Main[[#All],[TYPE]:[UNIT]],'Unit Price'!H$1,FALSE),0)</f>
        <v>0</v>
      </c>
      <c r="K534" s="194">
        <f>IF(_1_54128456121462410464578910174567[[#This Row],[Discount selection]]&gt;0,VLOOKUP(_1_54128456121462410464578910174567[[#This Row],[Discount selection]],'Discount Structure'!$A$2:$B$30,2,"false"),0)</f>
        <v>1</v>
      </c>
      <c r="L534" s="194">
        <f>_1_54128456121462410464578910174567[[#This Row],[LIST $]]*_1_54128456121462410464578910174567[[#This Row],[DISCOUNT]]*_1_54128456121462410464578910174567[[#This Row],[DISCOUNT 2]]</f>
        <v>0</v>
      </c>
      <c r="M534" s="194">
        <f>IF(OR(_1_54128456121462410464578910174567[[#This Row],[UNIT]]&gt;0,_1_54128456121462410464578910174567[[#This Row],[UNIT]]&lt;0),_1_54128456121462410464578910174567[[#This Row],[UNIT]]*_1_54128456121462410464578910174567[[#This Row],[COST]],0)</f>
        <v>0</v>
      </c>
      <c r="N534" s="194">
        <f t="shared" si="8"/>
        <v>1.3</v>
      </c>
      <c r="O534" s="198">
        <f>_1_54128456121462410464578910174567[[#This Row],[TOTAL]]*_1_54128456121462410464578910174567[[#This Row],[MARGIN]]</f>
        <v>0</v>
      </c>
      <c r="R534" s="41"/>
    </row>
    <row r="535" spans="1:18">
      <c r="A535" s="168"/>
      <c r="D535" s="188"/>
      <c r="F535" s="168" t="s">
        <v>6202</v>
      </c>
      <c r="G535" s="193">
        <f>IF(_1_54128456121462410464578910174567[[#This Row],[Type]]&gt;0,VLOOKUP(_1_54128456121462410464578910174567[[#This Row],[Type]],Main[[#All],[TYPE]:[UNIT]],'Unit Price'!C$1,FALSE),0)</f>
        <v>0</v>
      </c>
      <c r="H535" s="197">
        <f>IF(_1_54128456121462410464578910174567[[#This Row],[Type]]&gt;0,VLOOKUP(_1_54128456121462410464578910174567[[#This Row],[Type]],Main[[#All],[TYPE]:[UNIT]],'Unit Price'!D$1,FALSE),0)</f>
        <v>0</v>
      </c>
      <c r="I535" s="194">
        <f>IF(_1_54128456121462410464578910174567[[#This Row],[Type]]&gt;0,VLOOKUP(_1_54128456121462410464578910174567[[#This Row],[Type]],Main[[#All],[TYPE]:[UNIT]],'Unit Price'!G$1,FALSE),0)</f>
        <v>0</v>
      </c>
      <c r="J535" s="194">
        <f>IF(_1_54128456121462410464578910174567[[#This Row],[Type]]&gt;0,VLOOKUP(_1_54128456121462410464578910174567[[#This Row],[Type]],Main[[#All],[TYPE]:[UNIT]],'Unit Price'!H$1,FALSE),0)</f>
        <v>0</v>
      </c>
      <c r="K535" s="194">
        <f>IF(_1_54128456121462410464578910174567[[#This Row],[Discount selection]]&gt;0,VLOOKUP(_1_54128456121462410464578910174567[[#This Row],[Discount selection]],'Discount Structure'!$A$2:$B$30,2,"false"),0)</f>
        <v>1</v>
      </c>
      <c r="L535" s="194">
        <f>_1_54128456121462410464578910174567[[#This Row],[LIST $]]*_1_54128456121462410464578910174567[[#This Row],[DISCOUNT]]*_1_54128456121462410464578910174567[[#This Row],[DISCOUNT 2]]</f>
        <v>0</v>
      </c>
      <c r="M535" s="194">
        <f>IF(OR(_1_54128456121462410464578910174567[[#This Row],[UNIT]]&gt;0,_1_54128456121462410464578910174567[[#This Row],[UNIT]]&lt;0),_1_54128456121462410464578910174567[[#This Row],[UNIT]]*_1_54128456121462410464578910174567[[#This Row],[COST]],0)</f>
        <v>0</v>
      </c>
      <c r="N535" s="194">
        <f t="shared" si="8"/>
        <v>1.3</v>
      </c>
      <c r="O535" s="198">
        <f>_1_54128456121462410464578910174567[[#This Row],[TOTAL]]*_1_54128456121462410464578910174567[[#This Row],[MARGIN]]</f>
        <v>0</v>
      </c>
      <c r="R535" s="41"/>
    </row>
    <row r="536" spans="1:18">
      <c r="D536" s="188"/>
      <c r="F536" s="168" t="s">
        <v>6202</v>
      </c>
      <c r="G536" s="193">
        <f>IF(_1_54128456121462410464578910174567[[#This Row],[Type]]&gt;0,VLOOKUP(_1_54128456121462410464578910174567[[#This Row],[Type]],Main[[#All],[TYPE]:[UNIT]],'Unit Price'!C$1,FALSE),0)</f>
        <v>0</v>
      </c>
      <c r="H536" s="197">
        <f>IF(_1_54128456121462410464578910174567[[#This Row],[Type]]&gt;0,VLOOKUP(_1_54128456121462410464578910174567[[#This Row],[Type]],Main[[#All],[TYPE]:[UNIT]],'Unit Price'!D$1,FALSE),0)</f>
        <v>0</v>
      </c>
      <c r="I536" s="194">
        <f>IF(_1_54128456121462410464578910174567[[#This Row],[Type]]&gt;0,VLOOKUP(_1_54128456121462410464578910174567[[#This Row],[Type]],Main[[#All],[TYPE]:[UNIT]],'Unit Price'!G$1,FALSE),0)</f>
        <v>0</v>
      </c>
      <c r="J536" s="194">
        <f>IF(_1_54128456121462410464578910174567[[#This Row],[Type]]&gt;0,VLOOKUP(_1_54128456121462410464578910174567[[#This Row],[Type]],Main[[#All],[TYPE]:[UNIT]],'Unit Price'!H$1,FALSE),0)</f>
        <v>0</v>
      </c>
      <c r="K536" s="194">
        <f>IF(_1_54128456121462410464578910174567[[#This Row],[Discount selection]]&gt;0,VLOOKUP(_1_54128456121462410464578910174567[[#This Row],[Discount selection]],'Discount Structure'!$A$2:$B$30,2,"false"),0)</f>
        <v>1</v>
      </c>
      <c r="L536" s="194">
        <f>_1_54128456121462410464578910174567[[#This Row],[LIST $]]*_1_54128456121462410464578910174567[[#This Row],[DISCOUNT]]*_1_54128456121462410464578910174567[[#This Row],[DISCOUNT 2]]</f>
        <v>0</v>
      </c>
      <c r="M536" s="194">
        <f>IF(OR(_1_54128456121462410464578910174567[[#This Row],[UNIT]]&gt;0,_1_54128456121462410464578910174567[[#This Row],[UNIT]]&lt;0),_1_54128456121462410464578910174567[[#This Row],[UNIT]]*_1_54128456121462410464578910174567[[#This Row],[COST]],0)</f>
        <v>0</v>
      </c>
      <c r="N536" s="194">
        <f t="shared" si="8"/>
        <v>1.3</v>
      </c>
      <c r="O536" s="198">
        <f>_1_54128456121462410464578910174567[[#This Row],[TOTAL]]*_1_54128456121462410464578910174567[[#This Row],[MARGIN]]</f>
        <v>0</v>
      </c>
      <c r="R536" s="41"/>
    </row>
    <row r="537" spans="1:18">
      <c r="D537" s="188"/>
      <c r="F537" s="168" t="s">
        <v>6202</v>
      </c>
      <c r="G537" s="193">
        <f>IF(_1_54128456121462410464578910174567[[#This Row],[Type]]&gt;0,VLOOKUP(_1_54128456121462410464578910174567[[#This Row],[Type]],Main[[#All],[TYPE]:[UNIT]],'Unit Price'!C$1,FALSE),0)</f>
        <v>0</v>
      </c>
      <c r="H537" s="197">
        <f>IF(_1_54128456121462410464578910174567[[#This Row],[Type]]&gt;0,VLOOKUP(_1_54128456121462410464578910174567[[#This Row],[Type]],Main[[#All],[TYPE]:[UNIT]],'Unit Price'!D$1,FALSE),0)</f>
        <v>0</v>
      </c>
      <c r="I537" s="194">
        <f>IF(_1_54128456121462410464578910174567[[#This Row],[Type]]&gt;0,VLOOKUP(_1_54128456121462410464578910174567[[#This Row],[Type]],Main[[#All],[TYPE]:[UNIT]],'Unit Price'!G$1,FALSE),0)</f>
        <v>0</v>
      </c>
      <c r="J537" s="194">
        <f>IF(_1_54128456121462410464578910174567[[#This Row],[Type]]&gt;0,VLOOKUP(_1_54128456121462410464578910174567[[#This Row],[Type]],Main[[#All],[TYPE]:[UNIT]],'Unit Price'!H$1,FALSE),0)</f>
        <v>0</v>
      </c>
      <c r="K537" s="194">
        <f>IF(_1_54128456121462410464578910174567[[#This Row],[Discount selection]]&gt;0,VLOOKUP(_1_54128456121462410464578910174567[[#This Row],[Discount selection]],'Discount Structure'!$A$2:$B$30,2,"false"),0)</f>
        <v>1</v>
      </c>
      <c r="L537" s="194">
        <f>_1_54128456121462410464578910174567[[#This Row],[LIST $]]*_1_54128456121462410464578910174567[[#This Row],[DISCOUNT]]*_1_54128456121462410464578910174567[[#This Row],[DISCOUNT 2]]</f>
        <v>0</v>
      </c>
      <c r="M537" s="194">
        <f>IF(OR(_1_54128456121462410464578910174567[[#This Row],[UNIT]]&gt;0,_1_54128456121462410464578910174567[[#This Row],[UNIT]]&lt;0),_1_54128456121462410464578910174567[[#This Row],[UNIT]]*_1_54128456121462410464578910174567[[#This Row],[COST]],0)</f>
        <v>0</v>
      </c>
      <c r="N537" s="194">
        <f t="shared" si="8"/>
        <v>1.3</v>
      </c>
      <c r="O537" s="198">
        <f>_1_54128456121462410464578910174567[[#This Row],[TOTAL]]*_1_54128456121462410464578910174567[[#This Row],[MARGIN]]</f>
        <v>0</v>
      </c>
      <c r="R537" s="41"/>
    </row>
    <row r="538" spans="1:18">
      <c r="A538" s="168"/>
      <c r="D538" s="188"/>
      <c r="F538" s="168" t="s">
        <v>6202</v>
      </c>
      <c r="G538" s="193">
        <f>IF(_1_54128456121462410464578910174567[[#This Row],[Type]]&gt;0,VLOOKUP(_1_54128456121462410464578910174567[[#This Row],[Type]],Main[[#All],[TYPE]:[UNIT]],'Unit Price'!C$1,FALSE),0)</f>
        <v>0</v>
      </c>
      <c r="H538" s="197">
        <f>IF(_1_54128456121462410464578910174567[[#This Row],[Type]]&gt;0,VLOOKUP(_1_54128456121462410464578910174567[[#This Row],[Type]],Main[[#All],[TYPE]:[UNIT]],'Unit Price'!D$1,FALSE),0)</f>
        <v>0</v>
      </c>
      <c r="I538" s="194">
        <f>IF(_1_54128456121462410464578910174567[[#This Row],[Type]]&gt;0,VLOOKUP(_1_54128456121462410464578910174567[[#This Row],[Type]],Main[[#All],[TYPE]:[UNIT]],'Unit Price'!G$1,FALSE),0)</f>
        <v>0</v>
      </c>
      <c r="J538" s="194">
        <f>IF(_1_54128456121462410464578910174567[[#This Row],[Type]]&gt;0,VLOOKUP(_1_54128456121462410464578910174567[[#This Row],[Type]],Main[[#All],[TYPE]:[UNIT]],'Unit Price'!H$1,FALSE),0)</f>
        <v>0</v>
      </c>
      <c r="K538" s="194">
        <f>IF(_1_54128456121462410464578910174567[[#This Row],[Discount selection]]&gt;0,VLOOKUP(_1_54128456121462410464578910174567[[#This Row],[Discount selection]],'Discount Structure'!$A$2:$B$30,2,"false"),0)</f>
        <v>1</v>
      </c>
      <c r="L538" s="194">
        <f>_1_54128456121462410464578910174567[[#This Row],[LIST $]]*_1_54128456121462410464578910174567[[#This Row],[DISCOUNT]]*_1_54128456121462410464578910174567[[#This Row],[DISCOUNT 2]]</f>
        <v>0</v>
      </c>
      <c r="M538" s="194">
        <f>IF(OR(_1_54128456121462410464578910174567[[#This Row],[UNIT]]&gt;0,_1_54128456121462410464578910174567[[#This Row],[UNIT]]&lt;0),_1_54128456121462410464578910174567[[#This Row],[UNIT]]*_1_54128456121462410464578910174567[[#This Row],[COST]],0)</f>
        <v>0</v>
      </c>
      <c r="N538" s="194">
        <f t="shared" si="8"/>
        <v>1.3</v>
      </c>
      <c r="O538" s="198">
        <f>_1_54128456121462410464578910174567[[#This Row],[TOTAL]]*_1_54128456121462410464578910174567[[#This Row],[MARGIN]]</f>
        <v>0</v>
      </c>
      <c r="R538" s="41"/>
    </row>
    <row r="539" spans="1:18">
      <c r="D539" s="188"/>
      <c r="F539" s="168" t="s">
        <v>6202</v>
      </c>
      <c r="G539" s="193">
        <f>IF(_1_54128456121462410464578910174567[[#This Row],[Type]]&gt;0,VLOOKUP(_1_54128456121462410464578910174567[[#This Row],[Type]],Main[[#All],[TYPE]:[UNIT]],'Unit Price'!C$1,FALSE),0)</f>
        <v>0</v>
      </c>
      <c r="H539" s="197">
        <f>IF(_1_54128456121462410464578910174567[[#This Row],[Type]]&gt;0,VLOOKUP(_1_54128456121462410464578910174567[[#This Row],[Type]],Main[[#All],[TYPE]:[UNIT]],'Unit Price'!D$1,FALSE),0)</f>
        <v>0</v>
      </c>
      <c r="I539" s="194">
        <f>IF(_1_54128456121462410464578910174567[[#This Row],[Type]]&gt;0,VLOOKUP(_1_54128456121462410464578910174567[[#This Row],[Type]],Main[[#All],[TYPE]:[UNIT]],'Unit Price'!G$1,FALSE),0)</f>
        <v>0</v>
      </c>
      <c r="J539" s="194">
        <f>IF(_1_54128456121462410464578910174567[[#This Row],[Type]]&gt;0,VLOOKUP(_1_54128456121462410464578910174567[[#This Row],[Type]],Main[[#All],[TYPE]:[UNIT]],'Unit Price'!H$1,FALSE),0)</f>
        <v>0</v>
      </c>
      <c r="K539" s="194">
        <f>IF(_1_54128456121462410464578910174567[[#This Row],[Discount selection]]&gt;0,VLOOKUP(_1_54128456121462410464578910174567[[#This Row],[Discount selection]],'Discount Structure'!$A$2:$B$30,2,"false"),0)</f>
        <v>1</v>
      </c>
      <c r="L539" s="194">
        <f>_1_54128456121462410464578910174567[[#This Row],[LIST $]]*_1_54128456121462410464578910174567[[#This Row],[DISCOUNT]]*_1_54128456121462410464578910174567[[#This Row],[DISCOUNT 2]]</f>
        <v>0</v>
      </c>
      <c r="M539" s="194">
        <f>IF(OR(_1_54128456121462410464578910174567[[#This Row],[UNIT]]&gt;0,_1_54128456121462410464578910174567[[#This Row],[UNIT]]&lt;0),_1_54128456121462410464578910174567[[#This Row],[UNIT]]*_1_54128456121462410464578910174567[[#This Row],[COST]],0)</f>
        <v>0</v>
      </c>
      <c r="N539" s="194">
        <f t="shared" si="8"/>
        <v>1.3</v>
      </c>
      <c r="O539" s="198">
        <f>_1_54128456121462410464578910174567[[#This Row],[TOTAL]]*_1_54128456121462410464578910174567[[#This Row],[MARGIN]]</f>
        <v>0</v>
      </c>
      <c r="R539" s="41"/>
    </row>
    <row r="540" spans="1:18">
      <c r="D540" s="188"/>
      <c r="F540" s="168" t="s">
        <v>6202</v>
      </c>
      <c r="G540" s="193">
        <f>IF(_1_54128456121462410464578910174567[[#This Row],[Type]]&gt;0,VLOOKUP(_1_54128456121462410464578910174567[[#This Row],[Type]],Main[[#All],[TYPE]:[UNIT]],'Unit Price'!C$1,FALSE),0)</f>
        <v>0</v>
      </c>
      <c r="H540" s="197">
        <f>IF(_1_54128456121462410464578910174567[[#This Row],[Type]]&gt;0,VLOOKUP(_1_54128456121462410464578910174567[[#This Row],[Type]],Main[[#All],[TYPE]:[UNIT]],'Unit Price'!D$1,FALSE),0)</f>
        <v>0</v>
      </c>
      <c r="I540" s="194">
        <f>IF(_1_54128456121462410464578910174567[[#This Row],[Type]]&gt;0,VLOOKUP(_1_54128456121462410464578910174567[[#This Row],[Type]],Main[[#All],[TYPE]:[UNIT]],'Unit Price'!G$1,FALSE),0)</f>
        <v>0</v>
      </c>
      <c r="J540" s="194">
        <f>IF(_1_54128456121462410464578910174567[[#This Row],[Type]]&gt;0,VLOOKUP(_1_54128456121462410464578910174567[[#This Row],[Type]],Main[[#All],[TYPE]:[UNIT]],'Unit Price'!H$1,FALSE),0)</f>
        <v>0</v>
      </c>
      <c r="K540" s="194">
        <f>IF(_1_54128456121462410464578910174567[[#This Row],[Discount selection]]&gt;0,VLOOKUP(_1_54128456121462410464578910174567[[#This Row],[Discount selection]],'Discount Structure'!$A$2:$B$30,2,"false"),0)</f>
        <v>1</v>
      </c>
      <c r="L540" s="194">
        <f>_1_54128456121462410464578910174567[[#This Row],[LIST $]]*_1_54128456121462410464578910174567[[#This Row],[DISCOUNT]]*_1_54128456121462410464578910174567[[#This Row],[DISCOUNT 2]]</f>
        <v>0</v>
      </c>
      <c r="M540" s="194">
        <f>IF(OR(_1_54128456121462410464578910174567[[#This Row],[UNIT]]&gt;0,_1_54128456121462410464578910174567[[#This Row],[UNIT]]&lt;0),_1_54128456121462410464578910174567[[#This Row],[UNIT]]*_1_54128456121462410464578910174567[[#This Row],[COST]],0)</f>
        <v>0</v>
      </c>
      <c r="N540" s="194">
        <f t="shared" si="8"/>
        <v>1.3</v>
      </c>
      <c r="O540" s="198">
        <f>_1_54128456121462410464578910174567[[#This Row],[TOTAL]]*_1_54128456121462410464578910174567[[#This Row],[MARGIN]]</f>
        <v>0</v>
      </c>
      <c r="R540" s="41"/>
    </row>
    <row r="541" spans="1:18">
      <c r="D541" s="188"/>
      <c r="F541" s="168" t="s">
        <v>6202</v>
      </c>
      <c r="G541" s="193">
        <f>IF(_1_54128456121462410464578910174567[[#This Row],[Type]]&gt;0,VLOOKUP(_1_54128456121462410464578910174567[[#This Row],[Type]],Main[[#All],[TYPE]:[UNIT]],'Unit Price'!C$1,FALSE),0)</f>
        <v>0</v>
      </c>
      <c r="H541" s="197">
        <f>IF(_1_54128456121462410464578910174567[[#This Row],[Type]]&gt;0,VLOOKUP(_1_54128456121462410464578910174567[[#This Row],[Type]],Main[[#All],[TYPE]:[UNIT]],'Unit Price'!D$1,FALSE),0)</f>
        <v>0</v>
      </c>
      <c r="I541" s="194">
        <f>IF(_1_54128456121462410464578910174567[[#This Row],[Type]]&gt;0,VLOOKUP(_1_54128456121462410464578910174567[[#This Row],[Type]],Main[[#All],[TYPE]:[UNIT]],'Unit Price'!G$1,FALSE),0)</f>
        <v>0</v>
      </c>
      <c r="J541" s="194">
        <f>IF(_1_54128456121462410464578910174567[[#This Row],[Type]]&gt;0,VLOOKUP(_1_54128456121462410464578910174567[[#This Row],[Type]],Main[[#All],[TYPE]:[UNIT]],'Unit Price'!H$1,FALSE),0)</f>
        <v>0</v>
      </c>
      <c r="K541" s="194">
        <f>IF(_1_54128456121462410464578910174567[[#This Row],[Discount selection]]&gt;0,VLOOKUP(_1_54128456121462410464578910174567[[#This Row],[Discount selection]],'Discount Structure'!$A$2:$B$30,2,"false"),0)</f>
        <v>1</v>
      </c>
      <c r="L541" s="194">
        <f>_1_54128456121462410464578910174567[[#This Row],[LIST $]]*_1_54128456121462410464578910174567[[#This Row],[DISCOUNT]]*_1_54128456121462410464578910174567[[#This Row],[DISCOUNT 2]]</f>
        <v>0</v>
      </c>
      <c r="M541" s="194">
        <f>IF(OR(_1_54128456121462410464578910174567[[#This Row],[UNIT]]&gt;0,_1_54128456121462410464578910174567[[#This Row],[UNIT]]&lt;0),_1_54128456121462410464578910174567[[#This Row],[UNIT]]*_1_54128456121462410464578910174567[[#This Row],[COST]],0)</f>
        <v>0</v>
      </c>
      <c r="N541" s="194">
        <f t="shared" si="8"/>
        <v>1.3</v>
      </c>
      <c r="O541" s="198">
        <f>_1_54128456121462410464578910174567[[#This Row],[TOTAL]]*_1_54128456121462410464578910174567[[#This Row],[MARGIN]]</f>
        <v>0</v>
      </c>
      <c r="R541" s="41"/>
    </row>
    <row r="542" spans="1:18">
      <c r="D542" s="188"/>
      <c r="F542" s="168" t="s">
        <v>6202</v>
      </c>
      <c r="G542" s="193">
        <f>IF(_1_54128456121462410464578910174567[[#This Row],[Type]]&gt;0,VLOOKUP(_1_54128456121462410464578910174567[[#This Row],[Type]],Main[[#All],[TYPE]:[UNIT]],'Unit Price'!C$1,FALSE),0)</f>
        <v>0</v>
      </c>
      <c r="H542" s="197">
        <f>IF(_1_54128456121462410464578910174567[[#This Row],[Type]]&gt;0,VLOOKUP(_1_54128456121462410464578910174567[[#This Row],[Type]],Main[[#All],[TYPE]:[UNIT]],'Unit Price'!D$1,FALSE),0)</f>
        <v>0</v>
      </c>
      <c r="I542" s="194">
        <f>IF(_1_54128456121462410464578910174567[[#This Row],[Type]]&gt;0,VLOOKUP(_1_54128456121462410464578910174567[[#This Row],[Type]],Main[[#All],[TYPE]:[UNIT]],'Unit Price'!G$1,FALSE),0)</f>
        <v>0</v>
      </c>
      <c r="J542" s="194">
        <f>IF(_1_54128456121462410464578910174567[[#This Row],[Type]]&gt;0,VLOOKUP(_1_54128456121462410464578910174567[[#This Row],[Type]],Main[[#All],[TYPE]:[UNIT]],'Unit Price'!H$1,FALSE),0)</f>
        <v>0</v>
      </c>
      <c r="K542" s="194">
        <f>IF(_1_54128456121462410464578910174567[[#This Row],[Discount selection]]&gt;0,VLOOKUP(_1_54128456121462410464578910174567[[#This Row],[Discount selection]],'Discount Structure'!$A$2:$B$30,2,"false"),0)</f>
        <v>1</v>
      </c>
      <c r="L542" s="194">
        <f>_1_54128456121462410464578910174567[[#This Row],[LIST $]]*_1_54128456121462410464578910174567[[#This Row],[DISCOUNT]]*_1_54128456121462410464578910174567[[#This Row],[DISCOUNT 2]]</f>
        <v>0</v>
      </c>
      <c r="M542" s="194">
        <f>IF(OR(_1_54128456121462410464578910174567[[#This Row],[UNIT]]&gt;0,_1_54128456121462410464578910174567[[#This Row],[UNIT]]&lt;0),_1_54128456121462410464578910174567[[#This Row],[UNIT]]*_1_54128456121462410464578910174567[[#This Row],[COST]],0)</f>
        <v>0</v>
      </c>
      <c r="N542" s="194">
        <f t="shared" si="8"/>
        <v>1.3</v>
      </c>
      <c r="O542" s="198">
        <f>_1_54128456121462410464578910174567[[#This Row],[TOTAL]]*_1_54128456121462410464578910174567[[#This Row],[MARGIN]]</f>
        <v>0</v>
      </c>
      <c r="R542" s="41"/>
    </row>
    <row r="543" spans="1:18">
      <c r="A543" s="168"/>
      <c r="D543" s="188"/>
      <c r="F543" s="168" t="s">
        <v>6202</v>
      </c>
      <c r="G543" s="193">
        <f>IF(_1_54128456121462410464578910174567[[#This Row],[Type]]&gt;0,VLOOKUP(_1_54128456121462410464578910174567[[#This Row],[Type]],Main[[#All],[TYPE]:[UNIT]],'Unit Price'!C$1,FALSE),0)</f>
        <v>0</v>
      </c>
      <c r="H543" s="197">
        <f>IF(_1_54128456121462410464578910174567[[#This Row],[Type]]&gt;0,VLOOKUP(_1_54128456121462410464578910174567[[#This Row],[Type]],Main[[#All],[TYPE]:[UNIT]],'Unit Price'!D$1,FALSE),0)</f>
        <v>0</v>
      </c>
      <c r="I543" s="194">
        <f>IF(_1_54128456121462410464578910174567[[#This Row],[Type]]&gt;0,VLOOKUP(_1_54128456121462410464578910174567[[#This Row],[Type]],Main[[#All],[TYPE]:[UNIT]],'Unit Price'!G$1,FALSE),0)</f>
        <v>0</v>
      </c>
      <c r="J543" s="194">
        <f>IF(_1_54128456121462410464578910174567[[#This Row],[Type]]&gt;0,VLOOKUP(_1_54128456121462410464578910174567[[#This Row],[Type]],Main[[#All],[TYPE]:[UNIT]],'Unit Price'!H$1,FALSE),0)</f>
        <v>0</v>
      </c>
      <c r="K543" s="194">
        <f>IF(_1_54128456121462410464578910174567[[#This Row],[Discount selection]]&gt;0,VLOOKUP(_1_54128456121462410464578910174567[[#This Row],[Discount selection]],'Discount Structure'!$A$2:$B$30,2,"false"),0)</f>
        <v>1</v>
      </c>
      <c r="L543" s="194">
        <f>_1_54128456121462410464578910174567[[#This Row],[LIST $]]*_1_54128456121462410464578910174567[[#This Row],[DISCOUNT]]*_1_54128456121462410464578910174567[[#This Row],[DISCOUNT 2]]</f>
        <v>0</v>
      </c>
      <c r="M543" s="194">
        <f>IF(OR(_1_54128456121462410464578910174567[[#This Row],[UNIT]]&gt;0,_1_54128456121462410464578910174567[[#This Row],[UNIT]]&lt;0),_1_54128456121462410464578910174567[[#This Row],[UNIT]]*_1_54128456121462410464578910174567[[#This Row],[COST]],0)</f>
        <v>0</v>
      </c>
      <c r="N543" s="194">
        <f t="shared" si="8"/>
        <v>1.3</v>
      </c>
      <c r="O543" s="198">
        <f>_1_54128456121462410464578910174567[[#This Row],[TOTAL]]*_1_54128456121462410464578910174567[[#This Row],[MARGIN]]</f>
        <v>0</v>
      </c>
      <c r="R543" s="41"/>
    </row>
    <row r="544" spans="1:18">
      <c r="D544" s="188"/>
      <c r="F544" s="168" t="s">
        <v>6202</v>
      </c>
      <c r="G544" s="193">
        <f>IF(_1_54128456121462410464578910174567[[#This Row],[Type]]&gt;0,VLOOKUP(_1_54128456121462410464578910174567[[#This Row],[Type]],Main[[#All],[TYPE]:[UNIT]],'Unit Price'!C$1,FALSE),0)</f>
        <v>0</v>
      </c>
      <c r="H544" s="197">
        <f>IF(_1_54128456121462410464578910174567[[#This Row],[Type]]&gt;0,VLOOKUP(_1_54128456121462410464578910174567[[#This Row],[Type]],Main[[#All],[TYPE]:[UNIT]],'Unit Price'!D$1,FALSE),0)</f>
        <v>0</v>
      </c>
      <c r="I544" s="194">
        <f>IF(_1_54128456121462410464578910174567[[#This Row],[Type]]&gt;0,VLOOKUP(_1_54128456121462410464578910174567[[#This Row],[Type]],Main[[#All],[TYPE]:[UNIT]],'Unit Price'!G$1,FALSE),0)</f>
        <v>0</v>
      </c>
      <c r="J544" s="194">
        <f>IF(_1_54128456121462410464578910174567[[#This Row],[Type]]&gt;0,VLOOKUP(_1_54128456121462410464578910174567[[#This Row],[Type]],Main[[#All],[TYPE]:[UNIT]],'Unit Price'!H$1,FALSE),0)</f>
        <v>0</v>
      </c>
      <c r="K544" s="194">
        <f>IF(_1_54128456121462410464578910174567[[#This Row],[Discount selection]]&gt;0,VLOOKUP(_1_54128456121462410464578910174567[[#This Row],[Discount selection]],'Discount Structure'!$A$2:$B$30,2,"false"),0)</f>
        <v>1</v>
      </c>
      <c r="L544" s="194">
        <f>_1_54128456121462410464578910174567[[#This Row],[LIST $]]*_1_54128456121462410464578910174567[[#This Row],[DISCOUNT]]*_1_54128456121462410464578910174567[[#This Row],[DISCOUNT 2]]</f>
        <v>0</v>
      </c>
      <c r="M544" s="194">
        <f>IF(OR(_1_54128456121462410464578910174567[[#This Row],[UNIT]]&gt;0,_1_54128456121462410464578910174567[[#This Row],[UNIT]]&lt;0),_1_54128456121462410464578910174567[[#This Row],[UNIT]]*_1_54128456121462410464578910174567[[#This Row],[COST]],0)</f>
        <v>0</v>
      </c>
      <c r="N544" s="194">
        <f t="shared" si="8"/>
        <v>1.3</v>
      </c>
      <c r="O544" s="198">
        <f>_1_54128456121462410464578910174567[[#This Row],[TOTAL]]*_1_54128456121462410464578910174567[[#This Row],[MARGIN]]</f>
        <v>0</v>
      </c>
      <c r="R544" s="41"/>
    </row>
    <row r="545" spans="1:18">
      <c r="D545" s="188"/>
      <c r="F545" s="168" t="s">
        <v>6202</v>
      </c>
      <c r="G545" s="193">
        <f>IF(_1_54128456121462410464578910174567[[#This Row],[Type]]&gt;0,VLOOKUP(_1_54128456121462410464578910174567[[#This Row],[Type]],Main[[#All],[TYPE]:[UNIT]],'Unit Price'!C$1,FALSE),0)</f>
        <v>0</v>
      </c>
      <c r="H545" s="197">
        <f>IF(_1_54128456121462410464578910174567[[#This Row],[Type]]&gt;0,VLOOKUP(_1_54128456121462410464578910174567[[#This Row],[Type]],Main[[#All],[TYPE]:[UNIT]],'Unit Price'!D$1,FALSE),0)</f>
        <v>0</v>
      </c>
      <c r="I545" s="194">
        <f>IF(_1_54128456121462410464578910174567[[#This Row],[Type]]&gt;0,VLOOKUP(_1_54128456121462410464578910174567[[#This Row],[Type]],Main[[#All],[TYPE]:[UNIT]],'Unit Price'!G$1,FALSE),0)</f>
        <v>0</v>
      </c>
      <c r="J545" s="194">
        <f>IF(_1_54128456121462410464578910174567[[#This Row],[Type]]&gt;0,VLOOKUP(_1_54128456121462410464578910174567[[#This Row],[Type]],Main[[#All],[TYPE]:[UNIT]],'Unit Price'!H$1,FALSE),0)</f>
        <v>0</v>
      </c>
      <c r="K545" s="194">
        <f>IF(_1_54128456121462410464578910174567[[#This Row],[Discount selection]]&gt;0,VLOOKUP(_1_54128456121462410464578910174567[[#This Row],[Discount selection]],'Discount Structure'!$A$2:$B$30,2,"false"),0)</f>
        <v>1</v>
      </c>
      <c r="L545" s="194">
        <f>_1_54128456121462410464578910174567[[#This Row],[LIST $]]*_1_54128456121462410464578910174567[[#This Row],[DISCOUNT]]*_1_54128456121462410464578910174567[[#This Row],[DISCOUNT 2]]</f>
        <v>0</v>
      </c>
      <c r="M545" s="194">
        <f>IF(OR(_1_54128456121462410464578910174567[[#This Row],[UNIT]]&gt;0,_1_54128456121462410464578910174567[[#This Row],[UNIT]]&lt;0),_1_54128456121462410464578910174567[[#This Row],[UNIT]]*_1_54128456121462410464578910174567[[#This Row],[COST]],0)</f>
        <v>0</v>
      </c>
      <c r="N545" s="194">
        <f t="shared" si="8"/>
        <v>1.3</v>
      </c>
      <c r="O545" s="198">
        <f>_1_54128456121462410464578910174567[[#This Row],[TOTAL]]*_1_54128456121462410464578910174567[[#This Row],[MARGIN]]</f>
        <v>0</v>
      </c>
      <c r="R545" s="41"/>
    </row>
    <row r="546" spans="1:18">
      <c r="D546" s="188"/>
      <c r="F546" s="168" t="s">
        <v>6202</v>
      </c>
      <c r="G546" s="193">
        <f>IF(_1_54128456121462410464578910174567[[#This Row],[Type]]&gt;0,VLOOKUP(_1_54128456121462410464578910174567[[#This Row],[Type]],Main[[#All],[TYPE]:[UNIT]],'Unit Price'!C$1,FALSE),0)</f>
        <v>0</v>
      </c>
      <c r="H546" s="197">
        <f>IF(_1_54128456121462410464578910174567[[#This Row],[Type]]&gt;0,VLOOKUP(_1_54128456121462410464578910174567[[#This Row],[Type]],Main[[#All],[TYPE]:[UNIT]],'Unit Price'!D$1,FALSE),0)</f>
        <v>0</v>
      </c>
      <c r="I546" s="194">
        <f>IF(_1_54128456121462410464578910174567[[#This Row],[Type]]&gt;0,VLOOKUP(_1_54128456121462410464578910174567[[#This Row],[Type]],Main[[#All],[TYPE]:[UNIT]],'Unit Price'!G$1,FALSE),0)</f>
        <v>0</v>
      </c>
      <c r="J546" s="194">
        <f>IF(_1_54128456121462410464578910174567[[#This Row],[Type]]&gt;0,VLOOKUP(_1_54128456121462410464578910174567[[#This Row],[Type]],Main[[#All],[TYPE]:[UNIT]],'Unit Price'!H$1,FALSE),0)</f>
        <v>0</v>
      </c>
      <c r="K546" s="194">
        <f>IF(_1_54128456121462410464578910174567[[#This Row],[Discount selection]]&gt;0,VLOOKUP(_1_54128456121462410464578910174567[[#This Row],[Discount selection]],'Discount Structure'!$A$2:$B$30,2,"false"),0)</f>
        <v>1</v>
      </c>
      <c r="L546" s="194">
        <f>_1_54128456121462410464578910174567[[#This Row],[LIST $]]*_1_54128456121462410464578910174567[[#This Row],[DISCOUNT]]*_1_54128456121462410464578910174567[[#This Row],[DISCOUNT 2]]</f>
        <v>0</v>
      </c>
      <c r="M546" s="194">
        <f>IF(OR(_1_54128456121462410464578910174567[[#This Row],[UNIT]]&gt;0,_1_54128456121462410464578910174567[[#This Row],[UNIT]]&lt;0),_1_54128456121462410464578910174567[[#This Row],[UNIT]]*_1_54128456121462410464578910174567[[#This Row],[COST]],0)</f>
        <v>0</v>
      </c>
      <c r="N546" s="194">
        <f t="shared" si="8"/>
        <v>1.3</v>
      </c>
      <c r="O546" s="198">
        <f>_1_54128456121462410464578910174567[[#This Row],[TOTAL]]*_1_54128456121462410464578910174567[[#This Row],[MARGIN]]</f>
        <v>0</v>
      </c>
      <c r="R546" s="41"/>
    </row>
    <row r="547" spans="1:18">
      <c r="D547" s="188"/>
      <c r="F547" s="168" t="s">
        <v>6202</v>
      </c>
      <c r="G547" s="193">
        <f>IF(_1_54128456121462410464578910174567[[#This Row],[Type]]&gt;0,VLOOKUP(_1_54128456121462410464578910174567[[#This Row],[Type]],Main[[#All],[TYPE]:[UNIT]],'Unit Price'!C$1,FALSE),0)</f>
        <v>0</v>
      </c>
      <c r="H547" s="197">
        <f>IF(_1_54128456121462410464578910174567[[#This Row],[Type]]&gt;0,VLOOKUP(_1_54128456121462410464578910174567[[#This Row],[Type]],Main[[#All],[TYPE]:[UNIT]],'Unit Price'!D$1,FALSE),0)</f>
        <v>0</v>
      </c>
      <c r="I547" s="194">
        <f>IF(_1_54128456121462410464578910174567[[#This Row],[Type]]&gt;0,VLOOKUP(_1_54128456121462410464578910174567[[#This Row],[Type]],Main[[#All],[TYPE]:[UNIT]],'Unit Price'!G$1,FALSE),0)</f>
        <v>0</v>
      </c>
      <c r="J547" s="194">
        <f>IF(_1_54128456121462410464578910174567[[#This Row],[Type]]&gt;0,VLOOKUP(_1_54128456121462410464578910174567[[#This Row],[Type]],Main[[#All],[TYPE]:[UNIT]],'Unit Price'!H$1,FALSE),0)</f>
        <v>0</v>
      </c>
      <c r="K547" s="194">
        <f>IF(_1_54128456121462410464578910174567[[#This Row],[Discount selection]]&gt;0,VLOOKUP(_1_54128456121462410464578910174567[[#This Row],[Discount selection]],'Discount Structure'!$A$2:$B$30,2,"false"),0)</f>
        <v>1</v>
      </c>
      <c r="L547" s="194">
        <f>_1_54128456121462410464578910174567[[#This Row],[LIST $]]*_1_54128456121462410464578910174567[[#This Row],[DISCOUNT]]*_1_54128456121462410464578910174567[[#This Row],[DISCOUNT 2]]</f>
        <v>0</v>
      </c>
      <c r="M547" s="194">
        <f>IF(OR(_1_54128456121462410464578910174567[[#This Row],[UNIT]]&gt;0,_1_54128456121462410464578910174567[[#This Row],[UNIT]]&lt;0),_1_54128456121462410464578910174567[[#This Row],[UNIT]]*_1_54128456121462410464578910174567[[#This Row],[COST]],0)</f>
        <v>0</v>
      </c>
      <c r="N547" s="194">
        <f t="shared" si="8"/>
        <v>1.3</v>
      </c>
      <c r="O547" s="198">
        <f>_1_54128456121462410464578910174567[[#This Row],[TOTAL]]*_1_54128456121462410464578910174567[[#This Row],[MARGIN]]</f>
        <v>0</v>
      </c>
      <c r="R547" s="41"/>
    </row>
    <row r="548" spans="1:18">
      <c r="D548" s="188"/>
      <c r="F548" s="168" t="s">
        <v>6202</v>
      </c>
      <c r="G548" s="193">
        <f>IF(_1_54128456121462410464578910174567[[#This Row],[Type]]&gt;0,VLOOKUP(_1_54128456121462410464578910174567[[#This Row],[Type]],Main[[#All],[TYPE]:[UNIT]],'Unit Price'!C$1,FALSE),0)</f>
        <v>0</v>
      </c>
      <c r="H548" s="197">
        <f>IF(_1_54128456121462410464578910174567[[#This Row],[Type]]&gt;0,VLOOKUP(_1_54128456121462410464578910174567[[#This Row],[Type]],Main[[#All],[TYPE]:[UNIT]],'Unit Price'!D$1,FALSE),0)</f>
        <v>0</v>
      </c>
      <c r="I548" s="194">
        <f>IF(_1_54128456121462410464578910174567[[#This Row],[Type]]&gt;0,VLOOKUP(_1_54128456121462410464578910174567[[#This Row],[Type]],Main[[#All],[TYPE]:[UNIT]],'Unit Price'!G$1,FALSE),0)</f>
        <v>0</v>
      </c>
      <c r="J548" s="194">
        <f>IF(_1_54128456121462410464578910174567[[#This Row],[Type]]&gt;0,VLOOKUP(_1_54128456121462410464578910174567[[#This Row],[Type]],Main[[#All],[TYPE]:[UNIT]],'Unit Price'!H$1,FALSE),0)</f>
        <v>0</v>
      </c>
      <c r="K548" s="194">
        <f>IF(_1_54128456121462410464578910174567[[#This Row],[Discount selection]]&gt;0,VLOOKUP(_1_54128456121462410464578910174567[[#This Row],[Discount selection]],'Discount Structure'!$A$2:$B$30,2,"false"),0)</f>
        <v>1</v>
      </c>
      <c r="L548" s="194">
        <f>_1_54128456121462410464578910174567[[#This Row],[LIST $]]*_1_54128456121462410464578910174567[[#This Row],[DISCOUNT]]*_1_54128456121462410464578910174567[[#This Row],[DISCOUNT 2]]</f>
        <v>0</v>
      </c>
      <c r="M548" s="194">
        <f>IF(OR(_1_54128456121462410464578910174567[[#This Row],[UNIT]]&gt;0,_1_54128456121462410464578910174567[[#This Row],[UNIT]]&lt;0),_1_54128456121462410464578910174567[[#This Row],[UNIT]]*_1_54128456121462410464578910174567[[#This Row],[COST]],0)</f>
        <v>0</v>
      </c>
      <c r="N548" s="194">
        <f t="shared" si="8"/>
        <v>1.3</v>
      </c>
      <c r="O548" s="198">
        <f>_1_54128456121462410464578910174567[[#This Row],[TOTAL]]*_1_54128456121462410464578910174567[[#This Row],[MARGIN]]</f>
        <v>0</v>
      </c>
      <c r="R548" s="41"/>
    </row>
    <row r="549" spans="1:18">
      <c r="A549" s="168"/>
      <c r="B549" s="168"/>
      <c r="D549" s="188"/>
      <c r="F549" s="168" t="s">
        <v>6202</v>
      </c>
      <c r="G549" s="193">
        <f>IF(_1_54128456121462410464578910174567[[#This Row],[Type]]&gt;0,VLOOKUP(_1_54128456121462410464578910174567[[#This Row],[Type]],Main[[#All],[TYPE]:[UNIT]],'Unit Price'!C$1,FALSE),0)</f>
        <v>0</v>
      </c>
      <c r="H549" s="197">
        <f>IF(_1_54128456121462410464578910174567[[#This Row],[Type]]&gt;0,VLOOKUP(_1_54128456121462410464578910174567[[#This Row],[Type]],Main[[#All],[TYPE]:[UNIT]],'Unit Price'!D$1,FALSE),0)</f>
        <v>0</v>
      </c>
      <c r="I549" s="194">
        <f>IF(_1_54128456121462410464578910174567[[#This Row],[Type]]&gt;0,VLOOKUP(_1_54128456121462410464578910174567[[#This Row],[Type]],Main[[#All],[TYPE]:[UNIT]],'Unit Price'!G$1,FALSE),0)</f>
        <v>0</v>
      </c>
      <c r="J549" s="194">
        <f>IF(_1_54128456121462410464578910174567[[#This Row],[Type]]&gt;0,VLOOKUP(_1_54128456121462410464578910174567[[#This Row],[Type]],Main[[#All],[TYPE]:[UNIT]],'Unit Price'!H$1,FALSE),0)</f>
        <v>0</v>
      </c>
      <c r="K549" s="194">
        <f>IF(_1_54128456121462410464578910174567[[#This Row],[Discount selection]]&gt;0,VLOOKUP(_1_54128456121462410464578910174567[[#This Row],[Discount selection]],'Discount Structure'!$A$2:$B$30,2,"false"),0)</f>
        <v>1</v>
      </c>
      <c r="L549" s="194">
        <f>_1_54128456121462410464578910174567[[#This Row],[LIST $]]*_1_54128456121462410464578910174567[[#This Row],[DISCOUNT]]*_1_54128456121462410464578910174567[[#This Row],[DISCOUNT 2]]</f>
        <v>0</v>
      </c>
      <c r="M549" s="194">
        <f>IF(OR(_1_54128456121462410464578910174567[[#This Row],[UNIT]]&gt;0,_1_54128456121462410464578910174567[[#This Row],[UNIT]]&lt;0),_1_54128456121462410464578910174567[[#This Row],[UNIT]]*_1_54128456121462410464578910174567[[#This Row],[COST]],0)</f>
        <v>0</v>
      </c>
      <c r="N549" s="194">
        <f t="shared" si="8"/>
        <v>1.3</v>
      </c>
      <c r="O549" s="198">
        <f>_1_54128456121462410464578910174567[[#This Row],[TOTAL]]*_1_54128456121462410464578910174567[[#This Row],[MARGIN]]</f>
        <v>0</v>
      </c>
      <c r="R549" s="41"/>
    </row>
    <row r="550" spans="1:18">
      <c r="D550" s="188"/>
      <c r="F550" s="168" t="s">
        <v>6202</v>
      </c>
      <c r="G550" s="193">
        <f>IF(_1_54128456121462410464578910174567[[#This Row],[Type]]&gt;0,VLOOKUP(_1_54128456121462410464578910174567[[#This Row],[Type]],Main[[#All],[TYPE]:[UNIT]],'Unit Price'!C$1,FALSE),0)</f>
        <v>0</v>
      </c>
      <c r="H550" s="197">
        <f>IF(_1_54128456121462410464578910174567[[#This Row],[Type]]&gt;0,VLOOKUP(_1_54128456121462410464578910174567[[#This Row],[Type]],Main[[#All],[TYPE]:[UNIT]],'Unit Price'!D$1,FALSE),0)</f>
        <v>0</v>
      </c>
      <c r="I550" s="194">
        <f>IF(_1_54128456121462410464578910174567[[#This Row],[Type]]&gt;0,VLOOKUP(_1_54128456121462410464578910174567[[#This Row],[Type]],Main[[#All],[TYPE]:[UNIT]],'Unit Price'!G$1,FALSE),0)</f>
        <v>0</v>
      </c>
      <c r="J550" s="194">
        <f>IF(_1_54128456121462410464578910174567[[#This Row],[Type]]&gt;0,VLOOKUP(_1_54128456121462410464578910174567[[#This Row],[Type]],Main[[#All],[TYPE]:[UNIT]],'Unit Price'!H$1,FALSE),0)</f>
        <v>0</v>
      </c>
      <c r="K550" s="194">
        <f>IF(_1_54128456121462410464578910174567[[#This Row],[Discount selection]]&gt;0,VLOOKUP(_1_54128456121462410464578910174567[[#This Row],[Discount selection]],'Discount Structure'!$A$2:$B$30,2,"false"),0)</f>
        <v>1</v>
      </c>
      <c r="L550" s="194">
        <f>_1_54128456121462410464578910174567[[#This Row],[LIST $]]*_1_54128456121462410464578910174567[[#This Row],[DISCOUNT]]*_1_54128456121462410464578910174567[[#This Row],[DISCOUNT 2]]</f>
        <v>0</v>
      </c>
      <c r="M550" s="194">
        <f>IF(OR(_1_54128456121462410464578910174567[[#This Row],[UNIT]]&gt;0,_1_54128456121462410464578910174567[[#This Row],[UNIT]]&lt;0),_1_54128456121462410464578910174567[[#This Row],[UNIT]]*_1_54128456121462410464578910174567[[#This Row],[COST]],0)</f>
        <v>0</v>
      </c>
      <c r="N550" s="194">
        <f t="shared" si="8"/>
        <v>1.3</v>
      </c>
      <c r="O550" s="198">
        <f>_1_54128456121462410464578910174567[[#This Row],[TOTAL]]*_1_54128456121462410464578910174567[[#This Row],[MARGIN]]</f>
        <v>0</v>
      </c>
      <c r="R550" s="41"/>
    </row>
    <row r="551" spans="1:18">
      <c r="D551" s="188"/>
      <c r="F551" s="168" t="s">
        <v>6202</v>
      </c>
      <c r="G551" s="193">
        <f>IF(_1_54128456121462410464578910174567[[#This Row],[Type]]&gt;0,VLOOKUP(_1_54128456121462410464578910174567[[#This Row],[Type]],Main[[#All],[TYPE]:[UNIT]],'Unit Price'!C$1,FALSE),0)</f>
        <v>0</v>
      </c>
      <c r="H551" s="197">
        <f>IF(_1_54128456121462410464578910174567[[#This Row],[Type]]&gt;0,VLOOKUP(_1_54128456121462410464578910174567[[#This Row],[Type]],Main[[#All],[TYPE]:[UNIT]],'Unit Price'!D$1,FALSE),0)</f>
        <v>0</v>
      </c>
      <c r="I551" s="194">
        <f>IF(_1_54128456121462410464578910174567[[#This Row],[Type]]&gt;0,VLOOKUP(_1_54128456121462410464578910174567[[#This Row],[Type]],Main[[#All],[TYPE]:[UNIT]],'Unit Price'!G$1,FALSE),0)</f>
        <v>0</v>
      </c>
      <c r="J551" s="194">
        <f>IF(_1_54128456121462410464578910174567[[#This Row],[Type]]&gt;0,VLOOKUP(_1_54128456121462410464578910174567[[#This Row],[Type]],Main[[#All],[TYPE]:[UNIT]],'Unit Price'!H$1,FALSE),0)</f>
        <v>0</v>
      </c>
      <c r="K551" s="194">
        <f>IF(_1_54128456121462410464578910174567[[#This Row],[Discount selection]]&gt;0,VLOOKUP(_1_54128456121462410464578910174567[[#This Row],[Discount selection]],'Discount Structure'!$A$2:$B$30,2,"false"),0)</f>
        <v>1</v>
      </c>
      <c r="L551" s="194">
        <f>_1_54128456121462410464578910174567[[#This Row],[LIST $]]*_1_54128456121462410464578910174567[[#This Row],[DISCOUNT]]*_1_54128456121462410464578910174567[[#This Row],[DISCOUNT 2]]</f>
        <v>0</v>
      </c>
      <c r="M551" s="194">
        <f>IF(OR(_1_54128456121462410464578910174567[[#This Row],[UNIT]]&gt;0,_1_54128456121462410464578910174567[[#This Row],[UNIT]]&lt;0),_1_54128456121462410464578910174567[[#This Row],[UNIT]]*_1_54128456121462410464578910174567[[#This Row],[COST]],0)</f>
        <v>0</v>
      </c>
      <c r="N551" s="194">
        <f t="shared" si="8"/>
        <v>1.3</v>
      </c>
      <c r="O551" s="198">
        <f>_1_54128456121462410464578910174567[[#This Row],[TOTAL]]*_1_54128456121462410464578910174567[[#This Row],[MARGIN]]</f>
        <v>0</v>
      </c>
      <c r="R551" s="41"/>
    </row>
    <row r="552" spans="1:18">
      <c r="A552" s="168"/>
      <c r="D552" s="188"/>
      <c r="F552" s="168" t="s">
        <v>6202</v>
      </c>
      <c r="G552" s="193">
        <f>IF(_1_54128456121462410464578910174567[[#This Row],[Type]]&gt;0,VLOOKUP(_1_54128456121462410464578910174567[[#This Row],[Type]],Main[[#All],[TYPE]:[UNIT]],'Unit Price'!C$1,FALSE),0)</f>
        <v>0</v>
      </c>
      <c r="H552" s="197">
        <f>IF(_1_54128456121462410464578910174567[[#This Row],[Type]]&gt;0,VLOOKUP(_1_54128456121462410464578910174567[[#This Row],[Type]],Main[[#All],[TYPE]:[UNIT]],'Unit Price'!D$1,FALSE),0)</f>
        <v>0</v>
      </c>
      <c r="I552" s="194">
        <f>IF(_1_54128456121462410464578910174567[[#This Row],[Type]]&gt;0,VLOOKUP(_1_54128456121462410464578910174567[[#This Row],[Type]],Main[[#All],[TYPE]:[UNIT]],'Unit Price'!G$1,FALSE),0)</f>
        <v>0</v>
      </c>
      <c r="J552" s="194">
        <f>IF(_1_54128456121462410464578910174567[[#This Row],[Type]]&gt;0,VLOOKUP(_1_54128456121462410464578910174567[[#This Row],[Type]],Main[[#All],[TYPE]:[UNIT]],'Unit Price'!H$1,FALSE),0)</f>
        <v>0</v>
      </c>
      <c r="K552" s="194">
        <f>IF(_1_54128456121462410464578910174567[[#This Row],[Discount selection]]&gt;0,VLOOKUP(_1_54128456121462410464578910174567[[#This Row],[Discount selection]],'Discount Structure'!$A$2:$B$30,2,"false"),0)</f>
        <v>1</v>
      </c>
      <c r="L552" s="194">
        <f>_1_54128456121462410464578910174567[[#This Row],[LIST $]]*_1_54128456121462410464578910174567[[#This Row],[DISCOUNT]]*_1_54128456121462410464578910174567[[#This Row],[DISCOUNT 2]]</f>
        <v>0</v>
      </c>
      <c r="M552" s="194">
        <f>IF(OR(_1_54128456121462410464578910174567[[#This Row],[UNIT]]&gt;0,_1_54128456121462410464578910174567[[#This Row],[UNIT]]&lt;0),_1_54128456121462410464578910174567[[#This Row],[UNIT]]*_1_54128456121462410464578910174567[[#This Row],[COST]],0)</f>
        <v>0</v>
      </c>
      <c r="N552" s="194">
        <f t="shared" si="8"/>
        <v>1.3</v>
      </c>
      <c r="O552" s="198">
        <f>_1_54128456121462410464578910174567[[#This Row],[TOTAL]]*_1_54128456121462410464578910174567[[#This Row],[MARGIN]]</f>
        <v>0</v>
      </c>
      <c r="R552" s="41"/>
    </row>
    <row r="553" spans="1:18">
      <c r="D553" s="188"/>
      <c r="F553" s="168" t="s">
        <v>6202</v>
      </c>
      <c r="G553" s="193">
        <f>IF(_1_54128456121462410464578910174567[[#This Row],[Type]]&gt;0,VLOOKUP(_1_54128456121462410464578910174567[[#This Row],[Type]],Main[[#All],[TYPE]:[UNIT]],'Unit Price'!C$1,FALSE),0)</f>
        <v>0</v>
      </c>
      <c r="H553" s="197">
        <f>IF(_1_54128456121462410464578910174567[[#This Row],[Type]]&gt;0,VLOOKUP(_1_54128456121462410464578910174567[[#This Row],[Type]],Main[[#All],[TYPE]:[UNIT]],'Unit Price'!D$1,FALSE),0)</f>
        <v>0</v>
      </c>
      <c r="I553" s="194">
        <f>IF(_1_54128456121462410464578910174567[[#This Row],[Type]]&gt;0,VLOOKUP(_1_54128456121462410464578910174567[[#This Row],[Type]],Main[[#All],[TYPE]:[UNIT]],'Unit Price'!G$1,FALSE),0)</f>
        <v>0</v>
      </c>
      <c r="J553" s="194">
        <f>IF(_1_54128456121462410464578910174567[[#This Row],[Type]]&gt;0,VLOOKUP(_1_54128456121462410464578910174567[[#This Row],[Type]],Main[[#All],[TYPE]:[UNIT]],'Unit Price'!H$1,FALSE),0)</f>
        <v>0</v>
      </c>
      <c r="K553" s="194">
        <f>IF(_1_54128456121462410464578910174567[[#This Row],[Discount selection]]&gt;0,VLOOKUP(_1_54128456121462410464578910174567[[#This Row],[Discount selection]],'Discount Structure'!$A$2:$B$30,2,"false"),0)</f>
        <v>1</v>
      </c>
      <c r="L553" s="194">
        <f>_1_54128456121462410464578910174567[[#This Row],[LIST $]]*_1_54128456121462410464578910174567[[#This Row],[DISCOUNT]]*_1_54128456121462410464578910174567[[#This Row],[DISCOUNT 2]]</f>
        <v>0</v>
      </c>
      <c r="M553" s="194">
        <f>IF(OR(_1_54128456121462410464578910174567[[#This Row],[UNIT]]&gt;0,_1_54128456121462410464578910174567[[#This Row],[UNIT]]&lt;0),_1_54128456121462410464578910174567[[#This Row],[UNIT]]*_1_54128456121462410464578910174567[[#This Row],[COST]],0)</f>
        <v>0</v>
      </c>
      <c r="N553" s="194">
        <f t="shared" si="8"/>
        <v>1.3</v>
      </c>
      <c r="O553" s="198">
        <f>_1_54128456121462410464578910174567[[#This Row],[TOTAL]]*_1_54128456121462410464578910174567[[#This Row],[MARGIN]]</f>
        <v>0</v>
      </c>
      <c r="R553" s="41"/>
    </row>
    <row r="554" spans="1:18">
      <c r="D554" s="188"/>
      <c r="F554" s="168" t="s">
        <v>6202</v>
      </c>
      <c r="G554" s="193">
        <f>IF(_1_54128456121462410464578910174567[[#This Row],[Type]]&gt;0,VLOOKUP(_1_54128456121462410464578910174567[[#This Row],[Type]],Main[[#All],[TYPE]:[UNIT]],'Unit Price'!C$1,FALSE),0)</f>
        <v>0</v>
      </c>
      <c r="H554" s="197">
        <f>IF(_1_54128456121462410464578910174567[[#This Row],[Type]]&gt;0,VLOOKUP(_1_54128456121462410464578910174567[[#This Row],[Type]],Main[[#All],[TYPE]:[UNIT]],'Unit Price'!D$1,FALSE),0)</f>
        <v>0</v>
      </c>
      <c r="I554" s="194">
        <f>IF(_1_54128456121462410464578910174567[[#This Row],[Type]]&gt;0,VLOOKUP(_1_54128456121462410464578910174567[[#This Row],[Type]],Main[[#All],[TYPE]:[UNIT]],'Unit Price'!G$1,FALSE),0)</f>
        <v>0</v>
      </c>
      <c r="J554" s="194">
        <f>IF(_1_54128456121462410464578910174567[[#This Row],[Type]]&gt;0,VLOOKUP(_1_54128456121462410464578910174567[[#This Row],[Type]],Main[[#All],[TYPE]:[UNIT]],'Unit Price'!H$1,FALSE),0)</f>
        <v>0</v>
      </c>
      <c r="K554" s="194">
        <f>IF(_1_54128456121462410464578910174567[[#This Row],[Discount selection]]&gt;0,VLOOKUP(_1_54128456121462410464578910174567[[#This Row],[Discount selection]],'Discount Structure'!$A$2:$B$30,2,"false"),0)</f>
        <v>1</v>
      </c>
      <c r="L554" s="194">
        <f>_1_54128456121462410464578910174567[[#This Row],[LIST $]]*_1_54128456121462410464578910174567[[#This Row],[DISCOUNT]]*_1_54128456121462410464578910174567[[#This Row],[DISCOUNT 2]]</f>
        <v>0</v>
      </c>
      <c r="M554" s="194">
        <f>IF(OR(_1_54128456121462410464578910174567[[#This Row],[UNIT]]&gt;0,_1_54128456121462410464578910174567[[#This Row],[UNIT]]&lt;0),_1_54128456121462410464578910174567[[#This Row],[UNIT]]*_1_54128456121462410464578910174567[[#This Row],[COST]],0)</f>
        <v>0</v>
      </c>
      <c r="N554" s="194">
        <f t="shared" si="8"/>
        <v>1.3</v>
      </c>
      <c r="O554" s="198">
        <f>_1_54128456121462410464578910174567[[#This Row],[TOTAL]]*_1_54128456121462410464578910174567[[#This Row],[MARGIN]]</f>
        <v>0</v>
      </c>
      <c r="R554" s="41"/>
    </row>
    <row r="555" spans="1:18">
      <c r="D555" s="188"/>
      <c r="F555" s="168" t="s">
        <v>6202</v>
      </c>
      <c r="G555" s="193">
        <f>IF(_1_54128456121462410464578910174567[[#This Row],[Type]]&gt;0,VLOOKUP(_1_54128456121462410464578910174567[[#This Row],[Type]],Main[[#All],[TYPE]:[UNIT]],'Unit Price'!C$1,FALSE),0)</f>
        <v>0</v>
      </c>
      <c r="H555" s="197">
        <f>IF(_1_54128456121462410464578910174567[[#This Row],[Type]]&gt;0,VLOOKUP(_1_54128456121462410464578910174567[[#This Row],[Type]],Main[[#All],[TYPE]:[UNIT]],'Unit Price'!D$1,FALSE),0)</f>
        <v>0</v>
      </c>
      <c r="I555" s="194">
        <f>IF(_1_54128456121462410464578910174567[[#This Row],[Type]]&gt;0,VLOOKUP(_1_54128456121462410464578910174567[[#This Row],[Type]],Main[[#All],[TYPE]:[UNIT]],'Unit Price'!G$1,FALSE),0)</f>
        <v>0</v>
      </c>
      <c r="J555" s="194">
        <f>IF(_1_54128456121462410464578910174567[[#This Row],[Type]]&gt;0,VLOOKUP(_1_54128456121462410464578910174567[[#This Row],[Type]],Main[[#All],[TYPE]:[UNIT]],'Unit Price'!H$1,FALSE),0)</f>
        <v>0</v>
      </c>
      <c r="K555" s="194">
        <f>IF(_1_54128456121462410464578910174567[[#This Row],[Discount selection]]&gt;0,VLOOKUP(_1_54128456121462410464578910174567[[#This Row],[Discount selection]],'Discount Structure'!$A$2:$B$30,2,"false"),0)</f>
        <v>1</v>
      </c>
      <c r="L555" s="194">
        <f>_1_54128456121462410464578910174567[[#This Row],[LIST $]]*_1_54128456121462410464578910174567[[#This Row],[DISCOUNT]]*_1_54128456121462410464578910174567[[#This Row],[DISCOUNT 2]]</f>
        <v>0</v>
      </c>
      <c r="M555" s="194">
        <f>IF(OR(_1_54128456121462410464578910174567[[#This Row],[UNIT]]&gt;0,_1_54128456121462410464578910174567[[#This Row],[UNIT]]&lt;0),_1_54128456121462410464578910174567[[#This Row],[UNIT]]*_1_54128456121462410464578910174567[[#This Row],[COST]],0)</f>
        <v>0</v>
      </c>
      <c r="N555" s="194">
        <f t="shared" si="8"/>
        <v>1.3</v>
      </c>
      <c r="O555" s="198">
        <f>_1_54128456121462410464578910174567[[#This Row],[TOTAL]]*_1_54128456121462410464578910174567[[#This Row],[MARGIN]]</f>
        <v>0</v>
      </c>
      <c r="R555" s="41"/>
    </row>
    <row r="556" spans="1:18">
      <c r="D556" s="188"/>
      <c r="F556" s="168" t="s">
        <v>6202</v>
      </c>
      <c r="G556" s="193">
        <f>IF(_1_54128456121462410464578910174567[[#This Row],[Type]]&gt;0,VLOOKUP(_1_54128456121462410464578910174567[[#This Row],[Type]],Main[[#All],[TYPE]:[UNIT]],'Unit Price'!C$1,FALSE),0)</f>
        <v>0</v>
      </c>
      <c r="H556" s="197">
        <f>IF(_1_54128456121462410464578910174567[[#This Row],[Type]]&gt;0,VLOOKUP(_1_54128456121462410464578910174567[[#This Row],[Type]],Main[[#All],[TYPE]:[UNIT]],'Unit Price'!D$1,FALSE),0)</f>
        <v>0</v>
      </c>
      <c r="I556" s="194">
        <f>IF(_1_54128456121462410464578910174567[[#This Row],[Type]]&gt;0,VLOOKUP(_1_54128456121462410464578910174567[[#This Row],[Type]],Main[[#All],[TYPE]:[UNIT]],'Unit Price'!G$1,FALSE),0)</f>
        <v>0</v>
      </c>
      <c r="J556" s="194">
        <f>IF(_1_54128456121462410464578910174567[[#This Row],[Type]]&gt;0,VLOOKUP(_1_54128456121462410464578910174567[[#This Row],[Type]],Main[[#All],[TYPE]:[UNIT]],'Unit Price'!H$1,FALSE),0)</f>
        <v>0</v>
      </c>
      <c r="K556" s="194">
        <f>IF(_1_54128456121462410464578910174567[[#This Row],[Discount selection]]&gt;0,VLOOKUP(_1_54128456121462410464578910174567[[#This Row],[Discount selection]],'Discount Structure'!$A$2:$B$30,2,"false"),0)</f>
        <v>1</v>
      </c>
      <c r="L556" s="194">
        <f>_1_54128456121462410464578910174567[[#This Row],[LIST $]]*_1_54128456121462410464578910174567[[#This Row],[DISCOUNT]]*_1_54128456121462410464578910174567[[#This Row],[DISCOUNT 2]]</f>
        <v>0</v>
      </c>
      <c r="M556" s="194">
        <f>IF(OR(_1_54128456121462410464578910174567[[#This Row],[UNIT]]&gt;0,_1_54128456121462410464578910174567[[#This Row],[UNIT]]&lt;0),_1_54128456121462410464578910174567[[#This Row],[UNIT]]*_1_54128456121462410464578910174567[[#This Row],[COST]],0)</f>
        <v>0</v>
      </c>
      <c r="N556" s="194">
        <f t="shared" si="8"/>
        <v>1.3</v>
      </c>
      <c r="O556" s="198">
        <f>_1_54128456121462410464578910174567[[#This Row],[TOTAL]]*_1_54128456121462410464578910174567[[#This Row],[MARGIN]]</f>
        <v>0</v>
      </c>
      <c r="R556" s="41"/>
    </row>
    <row r="557" spans="1:18">
      <c r="D557" s="188"/>
      <c r="F557" s="168" t="s">
        <v>6202</v>
      </c>
      <c r="G557" s="193">
        <f>IF(_1_54128456121462410464578910174567[[#This Row],[Type]]&gt;0,VLOOKUP(_1_54128456121462410464578910174567[[#This Row],[Type]],Main[[#All],[TYPE]:[UNIT]],'Unit Price'!C$1,FALSE),0)</f>
        <v>0</v>
      </c>
      <c r="H557" s="197">
        <f>IF(_1_54128456121462410464578910174567[[#This Row],[Type]]&gt;0,VLOOKUP(_1_54128456121462410464578910174567[[#This Row],[Type]],Main[[#All],[TYPE]:[UNIT]],'Unit Price'!D$1,FALSE),0)</f>
        <v>0</v>
      </c>
      <c r="I557" s="194">
        <f>IF(_1_54128456121462410464578910174567[[#This Row],[Type]]&gt;0,VLOOKUP(_1_54128456121462410464578910174567[[#This Row],[Type]],Main[[#All],[TYPE]:[UNIT]],'Unit Price'!G$1,FALSE),0)</f>
        <v>0</v>
      </c>
      <c r="J557" s="194">
        <f>IF(_1_54128456121462410464578910174567[[#This Row],[Type]]&gt;0,VLOOKUP(_1_54128456121462410464578910174567[[#This Row],[Type]],Main[[#All],[TYPE]:[UNIT]],'Unit Price'!H$1,FALSE),0)</f>
        <v>0</v>
      </c>
      <c r="K557" s="194">
        <f>IF(_1_54128456121462410464578910174567[[#This Row],[Discount selection]]&gt;0,VLOOKUP(_1_54128456121462410464578910174567[[#This Row],[Discount selection]],'Discount Structure'!$A$2:$B$30,2,"false"),0)</f>
        <v>1</v>
      </c>
      <c r="L557" s="194">
        <f>_1_54128456121462410464578910174567[[#This Row],[LIST $]]*_1_54128456121462410464578910174567[[#This Row],[DISCOUNT]]*_1_54128456121462410464578910174567[[#This Row],[DISCOUNT 2]]</f>
        <v>0</v>
      </c>
      <c r="M557" s="194">
        <f>IF(OR(_1_54128456121462410464578910174567[[#This Row],[UNIT]]&gt;0,_1_54128456121462410464578910174567[[#This Row],[UNIT]]&lt;0),_1_54128456121462410464578910174567[[#This Row],[UNIT]]*_1_54128456121462410464578910174567[[#This Row],[COST]],0)</f>
        <v>0</v>
      </c>
      <c r="N557" s="194">
        <f t="shared" si="8"/>
        <v>1.3</v>
      </c>
      <c r="O557" s="198">
        <f>_1_54128456121462410464578910174567[[#This Row],[TOTAL]]*_1_54128456121462410464578910174567[[#This Row],[MARGIN]]</f>
        <v>0</v>
      </c>
      <c r="R557" s="41"/>
    </row>
    <row r="558" spans="1:18">
      <c r="D558" s="188"/>
      <c r="F558" s="168" t="s">
        <v>6202</v>
      </c>
      <c r="G558" s="193">
        <f>IF(_1_54128456121462410464578910174567[[#This Row],[Type]]&gt;0,VLOOKUP(_1_54128456121462410464578910174567[[#This Row],[Type]],Main[[#All],[TYPE]:[UNIT]],'Unit Price'!C$1,FALSE),0)</f>
        <v>0</v>
      </c>
      <c r="H558" s="197">
        <f>IF(_1_54128456121462410464578910174567[[#This Row],[Type]]&gt;0,VLOOKUP(_1_54128456121462410464578910174567[[#This Row],[Type]],Main[[#All],[TYPE]:[UNIT]],'Unit Price'!D$1,FALSE),0)</f>
        <v>0</v>
      </c>
      <c r="I558" s="194">
        <f>IF(_1_54128456121462410464578910174567[[#This Row],[Type]]&gt;0,VLOOKUP(_1_54128456121462410464578910174567[[#This Row],[Type]],Main[[#All],[TYPE]:[UNIT]],'Unit Price'!G$1,FALSE),0)</f>
        <v>0</v>
      </c>
      <c r="J558" s="194">
        <f>IF(_1_54128456121462410464578910174567[[#This Row],[Type]]&gt;0,VLOOKUP(_1_54128456121462410464578910174567[[#This Row],[Type]],Main[[#All],[TYPE]:[UNIT]],'Unit Price'!H$1,FALSE),0)</f>
        <v>0</v>
      </c>
      <c r="K558" s="194">
        <f>IF(_1_54128456121462410464578910174567[[#This Row],[Discount selection]]&gt;0,VLOOKUP(_1_54128456121462410464578910174567[[#This Row],[Discount selection]],'Discount Structure'!$A$2:$B$30,2,"false"),0)</f>
        <v>1</v>
      </c>
      <c r="L558" s="194">
        <f>_1_54128456121462410464578910174567[[#This Row],[LIST $]]*_1_54128456121462410464578910174567[[#This Row],[DISCOUNT]]*_1_54128456121462410464578910174567[[#This Row],[DISCOUNT 2]]</f>
        <v>0</v>
      </c>
      <c r="M558" s="194">
        <f>IF(OR(_1_54128456121462410464578910174567[[#This Row],[UNIT]]&gt;0,_1_54128456121462410464578910174567[[#This Row],[UNIT]]&lt;0),_1_54128456121462410464578910174567[[#This Row],[UNIT]]*_1_54128456121462410464578910174567[[#This Row],[COST]],0)</f>
        <v>0</v>
      </c>
      <c r="N558" s="194">
        <f t="shared" si="8"/>
        <v>1.3</v>
      </c>
      <c r="O558" s="198">
        <f>_1_54128456121462410464578910174567[[#This Row],[TOTAL]]*_1_54128456121462410464578910174567[[#This Row],[MARGIN]]</f>
        <v>0</v>
      </c>
      <c r="R558" s="41"/>
    </row>
    <row r="559" spans="1:18">
      <c r="D559" s="188"/>
      <c r="F559" s="168" t="s">
        <v>6202</v>
      </c>
      <c r="G559" s="193">
        <f>IF(_1_54128456121462410464578910174567[[#This Row],[Type]]&gt;0,VLOOKUP(_1_54128456121462410464578910174567[[#This Row],[Type]],Main[[#All],[TYPE]:[UNIT]],'Unit Price'!C$1,FALSE),0)</f>
        <v>0</v>
      </c>
      <c r="H559" s="197">
        <f>IF(_1_54128456121462410464578910174567[[#This Row],[Type]]&gt;0,VLOOKUP(_1_54128456121462410464578910174567[[#This Row],[Type]],Main[[#All],[TYPE]:[UNIT]],'Unit Price'!D$1,FALSE),0)</f>
        <v>0</v>
      </c>
      <c r="I559" s="194">
        <f>IF(_1_54128456121462410464578910174567[[#This Row],[Type]]&gt;0,VLOOKUP(_1_54128456121462410464578910174567[[#This Row],[Type]],Main[[#All],[TYPE]:[UNIT]],'Unit Price'!G$1,FALSE),0)</f>
        <v>0</v>
      </c>
      <c r="J559" s="194">
        <f>IF(_1_54128456121462410464578910174567[[#This Row],[Type]]&gt;0,VLOOKUP(_1_54128456121462410464578910174567[[#This Row],[Type]],Main[[#All],[TYPE]:[UNIT]],'Unit Price'!H$1,FALSE),0)</f>
        <v>0</v>
      </c>
      <c r="K559" s="194">
        <f>IF(_1_54128456121462410464578910174567[[#This Row],[Discount selection]]&gt;0,VLOOKUP(_1_54128456121462410464578910174567[[#This Row],[Discount selection]],'Discount Structure'!$A$2:$B$30,2,"false"),0)</f>
        <v>1</v>
      </c>
      <c r="L559" s="194">
        <f>_1_54128456121462410464578910174567[[#This Row],[LIST $]]*_1_54128456121462410464578910174567[[#This Row],[DISCOUNT]]*_1_54128456121462410464578910174567[[#This Row],[DISCOUNT 2]]</f>
        <v>0</v>
      </c>
      <c r="M559" s="194">
        <f>IF(OR(_1_54128456121462410464578910174567[[#This Row],[UNIT]]&gt;0,_1_54128456121462410464578910174567[[#This Row],[UNIT]]&lt;0),_1_54128456121462410464578910174567[[#This Row],[UNIT]]*_1_54128456121462410464578910174567[[#This Row],[COST]],0)</f>
        <v>0</v>
      </c>
      <c r="N559" s="194">
        <f t="shared" si="8"/>
        <v>1.3</v>
      </c>
      <c r="O559" s="198">
        <f>_1_54128456121462410464578910174567[[#This Row],[TOTAL]]*_1_54128456121462410464578910174567[[#This Row],[MARGIN]]</f>
        <v>0</v>
      </c>
      <c r="R559" s="41"/>
    </row>
    <row r="560" spans="1:18">
      <c r="A560" s="168"/>
      <c r="D560" s="188"/>
      <c r="F560" s="168" t="s">
        <v>6202</v>
      </c>
      <c r="G560" s="193">
        <f>IF(_1_54128456121462410464578910174567[[#This Row],[Type]]&gt;0,VLOOKUP(_1_54128456121462410464578910174567[[#This Row],[Type]],Main[[#All],[TYPE]:[UNIT]],'Unit Price'!C$1,FALSE),0)</f>
        <v>0</v>
      </c>
      <c r="H560" s="197">
        <f>IF(_1_54128456121462410464578910174567[[#This Row],[Type]]&gt;0,VLOOKUP(_1_54128456121462410464578910174567[[#This Row],[Type]],Main[[#All],[TYPE]:[UNIT]],'Unit Price'!D$1,FALSE),0)</f>
        <v>0</v>
      </c>
      <c r="I560" s="194">
        <f>IF(_1_54128456121462410464578910174567[[#This Row],[Type]]&gt;0,VLOOKUP(_1_54128456121462410464578910174567[[#This Row],[Type]],Main[[#All],[TYPE]:[UNIT]],'Unit Price'!G$1,FALSE),0)</f>
        <v>0</v>
      </c>
      <c r="J560" s="194">
        <f>IF(_1_54128456121462410464578910174567[[#This Row],[Type]]&gt;0,VLOOKUP(_1_54128456121462410464578910174567[[#This Row],[Type]],Main[[#All],[TYPE]:[UNIT]],'Unit Price'!H$1,FALSE),0)</f>
        <v>0</v>
      </c>
      <c r="K560" s="194">
        <f>IF(_1_54128456121462410464578910174567[[#This Row],[Discount selection]]&gt;0,VLOOKUP(_1_54128456121462410464578910174567[[#This Row],[Discount selection]],'Discount Structure'!$A$2:$B$30,2,"false"),0)</f>
        <v>1</v>
      </c>
      <c r="L560" s="194">
        <f>_1_54128456121462410464578910174567[[#This Row],[LIST $]]*_1_54128456121462410464578910174567[[#This Row],[DISCOUNT]]*_1_54128456121462410464578910174567[[#This Row],[DISCOUNT 2]]</f>
        <v>0</v>
      </c>
      <c r="M560" s="194">
        <f>IF(OR(_1_54128456121462410464578910174567[[#This Row],[UNIT]]&gt;0,_1_54128456121462410464578910174567[[#This Row],[UNIT]]&lt;0),_1_54128456121462410464578910174567[[#This Row],[UNIT]]*_1_54128456121462410464578910174567[[#This Row],[COST]],0)</f>
        <v>0</v>
      </c>
      <c r="N560" s="194">
        <f t="shared" si="8"/>
        <v>1.3</v>
      </c>
      <c r="O560" s="198">
        <f>_1_54128456121462410464578910174567[[#This Row],[TOTAL]]*_1_54128456121462410464578910174567[[#This Row],[MARGIN]]</f>
        <v>0</v>
      </c>
      <c r="R560" s="41"/>
    </row>
    <row r="561" spans="1:18">
      <c r="D561" s="188"/>
      <c r="F561" s="168" t="s">
        <v>6202</v>
      </c>
      <c r="G561" s="193">
        <f>IF(_1_54128456121462410464578910174567[[#This Row],[Type]]&gt;0,VLOOKUP(_1_54128456121462410464578910174567[[#This Row],[Type]],Main[[#All],[TYPE]:[UNIT]],'Unit Price'!C$1,FALSE),0)</f>
        <v>0</v>
      </c>
      <c r="H561" s="197">
        <f>IF(_1_54128456121462410464578910174567[[#This Row],[Type]]&gt;0,VLOOKUP(_1_54128456121462410464578910174567[[#This Row],[Type]],Main[[#All],[TYPE]:[UNIT]],'Unit Price'!D$1,FALSE),0)</f>
        <v>0</v>
      </c>
      <c r="I561" s="194">
        <f>IF(_1_54128456121462410464578910174567[[#This Row],[Type]]&gt;0,VLOOKUP(_1_54128456121462410464578910174567[[#This Row],[Type]],Main[[#All],[TYPE]:[UNIT]],'Unit Price'!G$1,FALSE),0)</f>
        <v>0</v>
      </c>
      <c r="J561" s="194">
        <f>IF(_1_54128456121462410464578910174567[[#This Row],[Type]]&gt;0,VLOOKUP(_1_54128456121462410464578910174567[[#This Row],[Type]],Main[[#All],[TYPE]:[UNIT]],'Unit Price'!H$1,FALSE),0)</f>
        <v>0</v>
      </c>
      <c r="K561" s="194">
        <f>IF(_1_54128456121462410464578910174567[[#This Row],[Discount selection]]&gt;0,VLOOKUP(_1_54128456121462410464578910174567[[#This Row],[Discount selection]],'Discount Structure'!$A$2:$B$30,2,"false"),0)</f>
        <v>1</v>
      </c>
      <c r="L561" s="194">
        <f>_1_54128456121462410464578910174567[[#This Row],[LIST $]]*_1_54128456121462410464578910174567[[#This Row],[DISCOUNT]]*_1_54128456121462410464578910174567[[#This Row],[DISCOUNT 2]]</f>
        <v>0</v>
      </c>
      <c r="M561" s="194">
        <f>IF(OR(_1_54128456121462410464578910174567[[#This Row],[UNIT]]&gt;0,_1_54128456121462410464578910174567[[#This Row],[UNIT]]&lt;0),_1_54128456121462410464578910174567[[#This Row],[UNIT]]*_1_54128456121462410464578910174567[[#This Row],[COST]],0)</f>
        <v>0</v>
      </c>
      <c r="N561" s="194">
        <f t="shared" si="8"/>
        <v>1.3</v>
      </c>
      <c r="O561" s="198">
        <f>_1_54128456121462410464578910174567[[#This Row],[TOTAL]]*_1_54128456121462410464578910174567[[#This Row],[MARGIN]]</f>
        <v>0</v>
      </c>
      <c r="R561" s="41"/>
    </row>
    <row r="562" spans="1:18">
      <c r="D562" s="188"/>
      <c r="F562" s="168" t="s">
        <v>6202</v>
      </c>
      <c r="G562" s="193">
        <f>IF(_1_54128456121462410464578910174567[[#This Row],[Type]]&gt;0,VLOOKUP(_1_54128456121462410464578910174567[[#This Row],[Type]],Main[[#All],[TYPE]:[UNIT]],'Unit Price'!C$1,FALSE),0)</f>
        <v>0</v>
      </c>
      <c r="H562" s="197">
        <f>IF(_1_54128456121462410464578910174567[[#This Row],[Type]]&gt;0,VLOOKUP(_1_54128456121462410464578910174567[[#This Row],[Type]],Main[[#All],[TYPE]:[UNIT]],'Unit Price'!D$1,FALSE),0)</f>
        <v>0</v>
      </c>
      <c r="I562" s="194">
        <f>IF(_1_54128456121462410464578910174567[[#This Row],[Type]]&gt;0,VLOOKUP(_1_54128456121462410464578910174567[[#This Row],[Type]],Main[[#All],[TYPE]:[UNIT]],'Unit Price'!G$1,FALSE),0)</f>
        <v>0</v>
      </c>
      <c r="J562" s="194">
        <f>IF(_1_54128456121462410464578910174567[[#This Row],[Type]]&gt;0,VLOOKUP(_1_54128456121462410464578910174567[[#This Row],[Type]],Main[[#All],[TYPE]:[UNIT]],'Unit Price'!H$1,FALSE),0)</f>
        <v>0</v>
      </c>
      <c r="K562" s="194">
        <f>IF(_1_54128456121462410464578910174567[[#This Row],[Discount selection]]&gt;0,VLOOKUP(_1_54128456121462410464578910174567[[#This Row],[Discount selection]],'Discount Structure'!$A$2:$B$30,2,"false"),0)</f>
        <v>1</v>
      </c>
      <c r="L562" s="194">
        <f>_1_54128456121462410464578910174567[[#This Row],[LIST $]]*_1_54128456121462410464578910174567[[#This Row],[DISCOUNT]]*_1_54128456121462410464578910174567[[#This Row],[DISCOUNT 2]]</f>
        <v>0</v>
      </c>
      <c r="M562" s="194">
        <f>IF(OR(_1_54128456121462410464578910174567[[#This Row],[UNIT]]&gt;0,_1_54128456121462410464578910174567[[#This Row],[UNIT]]&lt;0),_1_54128456121462410464578910174567[[#This Row],[UNIT]]*_1_54128456121462410464578910174567[[#This Row],[COST]],0)</f>
        <v>0</v>
      </c>
      <c r="N562" s="194">
        <f t="shared" si="8"/>
        <v>1.3</v>
      </c>
      <c r="O562" s="198">
        <f>_1_54128456121462410464578910174567[[#This Row],[TOTAL]]*_1_54128456121462410464578910174567[[#This Row],[MARGIN]]</f>
        <v>0</v>
      </c>
      <c r="R562" s="41"/>
    </row>
    <row r="563" spans="1:18">
      <c r="A563" s="168"/>
      <c r="D563" s="188"/>
      <c r="F563" s="168" t="s">
        <v>6202</v>
      </c>
      <c r="G563" s="193">
        <f>IF(_1_54128456121462410464578910174567[[#This Row],[Type]]&gt;0,VLOOKUP(_1_54128456121462410464578910174567[[#This Row],[Type]],Main[[#All],[TYPE]:[UNIT]],'Unit Price'!C$1,FALSE),0)</f>
        <v>0</v>
      </c>
      <c r="H563" s="197">
        <f>IF(_1_54128456121462410464578910174567[[#This Row],[Type]]&gt;0,VLOOKUP(_1_54128456121462410464578910174567[[#This Row],[Type]],Main[[#All],[TYPE]:[UNIT]],'Unit Price'!D$1,FALSE),0)</f>
        <v>0</v>
      </c>
      <c r="I563" s="194">
        <f>IF(_1_54128456121462410464578910174567[[#This Row],[Type]]&gt;0,VLOOKUP(_1_54128456121462410464578910174567[[#This Row],[Type]],Main[[#All],[TYPE]:[UNIT]],'Unit Price'!G$1,FALSE),0)</f>
        <v>0</v>
      </c>
      <c r="J563" s="194">
        <f>IF(_1_54128456121462410464578910174567[[#This Row],[Type]]&gt;0,VLOOKUP(_1_54128456121462410464578910174567[[#This Row],[Type]],Main[[#All],[TYPE]:[UNIT]],'Unit Price'!H$1,FALSE),0)</f>
        <v>0</v>
      </c>
      <c r="K563" s="194">
        <f>IF(_1_54128456121462410464578910174567[[#This Row],[Discount selection]]&gt;0,VLOOKUP(_1_54128456121462410464578910174567[[#This Row],[Discount selection]],'Discount Structure'!$A$2:$B$30,2,"false"),0)</f>
        <v>1</v>
      </c>
      <c r="L563" s="194">
        <f>_1_54128456121462410464578910174567[[#This Row],[LIST $]]*_1_54128456121462410464578910174567[[#This Row],[DISCOUNT]]*_1_54128456121462410464578910174567[[#This Row],[DISCOUNT 2]]</f>
        <v>0</v>
      </c>
      <c r="M563" s="194">
        <f>IF(OR(_1_54128456121462410464578910174567[[#This Row],[UNIT]]&gt;0,_1_54128456121462410464578910174567[[#This Row],[UNIT]]&lt;0),_1_54128456121462410464578910174567[[#This Row],[UNIT]]*_1_54128456121462410464578910174567[[#This Row],[COST]],0)</f>
        <v>0</v>
      </c>
      <c r="N563" s="194">
        <f t="shared" si="8"/>
        <v>1.3</v>
      </c>
      <c r="O563" s="198">
        <f>_1_54128456121462410464578910174567[[#This Row],[TOTAL]]*_1_54128456121462410464578910174567[[#This Row],[MARGIN]]</f>
        <v>0</v>
      </c>
      <c r="R563" s="41"/>
    </row>
    <row r="564" spans="1:18">
      <c r="D564" s="188"/>
      <c r="F564" s="168" t="s">
        <v>6202</v>
      </c>
      <c r="G564" s="193">
        <f>IF(_1_54128456121462410464578910174567[[#This Row],[Type]]&gt;0,VLOOKUP(_1_54128456121462410464578910174567[[#This Row],[Type]],Main[[#All],[TYPE]:[UNIT]],'Unit Price'!C$1,FALSE),0)</f>
        <v>0</v>
      </c>
      <c r="H564" s="197">
        <f>IF(_1_54128456121462410464578910174567[[#This Row],[Type]]&gt;0,VLOOKUP(_1_54128456121462410464578910174567[[#This Row],[Type]],Main[[#All],[TYPE]:[UNIT]],'Unit Price'!D$1,FALSE),0)</f>
        <v>0</v>
      </c>
      <c r="I564" s="194">
        <f>IF(_1_54128456121462410464578910174567[[#This Row],[Type]]&gt;0,VLOOKUP(_1_54128456121462410464578910174567[[#This Row],[Type]],Main[[#All],[TYPE]:[UNIT]],'Unit Price'!G$1,FALSE),0)</f>
        <v>0</v>
      </c>
      <c r="J564" s="194">
        <f>IF(_1_54128456121462410464578910174567[[#This Row],[Type]]&gt;0,VLOOKUP(_1_54128456121462410464578910174567[[#This Row],[Type]],Main[[#All],[TYPE]:[UNIT]],'Unit Price'!H$1,FALSE),0)</f>
        <v>0</v>
      </c>
      <c r="K564" s="194">
        <f>IF(_1_54128456121462410464578910174567[[#This Row],[Discount selection]]&gt;0,VLOOKUP(_1_54128456121462410464578910174567[[#This Row],[Discount selection]],'Discount Structure'!$A$2:$B$30,2,"false"),0)</f>
        <v>1</v>
      </c>
      <c r="L564" s="194">
        <f>_1_54128456121462410464578910174567[[#This Row],[LIST $]]*_1_54128456121462410464578910174567[[#This Row],[DISCOUNT]]*_1_54128456121462410464578910174567[[#This Row],[DISCOUNT 2]]</f>
        <v>0</v>
      </c>
      <c r="M564" s="194">
        <f>IF(OR(_1_54128456121462410464578910174567[[#This Row],[UNIT]]&gt;0,_1_54128456121462410464578910174567[[#This Row],[UNIT]]&lt;0),_1_54128456121462410464578910174567[[#This Row],[UNIT]]*_1_54128456121462410464578910174567[[#This Row],[COST]],0)</f>
        <v>0</v>
      </c>
      <c r="N564" s="194">
        <f t="shared" si="8"/>
        <v>1.3</v>
      </c>
      <c r="O564" s="198">
        <f>_1_54128456121462410464578910174567[[#This Row],[TOTAL]]*_1_54128456121462410464578910174567[[#This Row],[MARGIN]]</f>
        <v>0</v>
      </c>
      <c r="R564" s="41"/>
    </row>
    <row r="565" spans="1:18">
      <c r="D565" s="188"/>
      <c r="F565" s="168" t="s">
        <v>6202</v>
      </c>
      <c r="G565" s="193">
        <f>IF(_1_54128456121462410464578910174567[[#This Row],[Type]]&gt;0,VLOOKUP(_1_54128456121462410464578910174567[[#This Row],[Type]],Main[[#All],[TYPE]:[UNIT]],'Unit Price'!C$1,FALSE),0)</f>
        <v>0</v>
      </c>
      <c r="H565" s="197">
        <f>IF(_1_54128456121462410464578910174567[[#This Row],[Type]]&gt;0,VLOOKUP(_1_54128456121462410464578910174567[[#This Row],[Type]],Main[[#All],[TYPE]:[UNIT]],'Unit Price'!D$1,FALSE),0)</f>
        <v>0</v>
      </c>
      <c r="I565" s="194">
        <f>IF(_1_54128456121462410464578910174567[[#This Row],[Type]]&gt;0,VLOOKUP(_1_54128456121462410464578910174567[[#This Row],[Type]],Main[[#All],[TYPE]:[UNIT]],'Unit Price'!G$1,FALSE),0)</f>
        <v>0</v>
      </c>
      <c r="J565" s="194">
        <f>IF(_1_54128456121462410464578910174567[[#This Row],[Type]]&gt;0,VLOOKUP(_1_54128456121462410464578910174567[[#This Row],[Type]],Main[[#All],[TYPE]:[UNIT]],'Unit Price'!H$1,FALSE),0)</f>
        <v>0</v>
      </c>
      <c r="K565" s="194">
        <f>IF(_1_54128456121462410464578910174567[[#This Row],[Discount selection]]&gt;0,VLOOKUP(_1_54128456121462410464578910174567[[#This Row],[Discount selection]],'Discount Structure'!$A$2:$B$30,2,"false"),0)</f>
        <v>1</v>
      </c>
      <c r="L565" s="194">
        <f>_1_54128456121462410464578910174567[[#This Row],[LIST $]]*_1_54128456121462410464578910174567[[#This Row],[DISCOUNT]]*_1_54128456121462410464578910174567[[#This Row],[DISCOUNT 2]]</f>
        <v>0</v>
      </c>
      <c r="M565" s="194">
        <f>IF(OR(_1_54128456121462410464578910174567[[#This Row],[UNIT]]&gt;0,_1_54128456121462410464578910174567[[#This Row],[UNIT]]&lt;0),_1_54128456121462410464578910174567[[#This Row],[UNIT]]*_1_54128456121462410464578910174567[[#This Row],[COST]],0)</f>
        <v>0</v>
      </c>
      <c r="N565" s="194">
        <f t="shared" si="8"/>
        <v>1.3</v>
      </c>
      <c r="O565" s="198">
        <f>_1_54128456121462410464578910174567[[#This Row],[TOTAL]]*_1_54128456121462410464578910174567[[#This Row],[MARGIN]]</f>
        <v>0</v>
      </c>
      <c r="R565" s="41"/>
    </row>
    <row r="566" spans="1:18">
      <c r="A566" s="168"/>
      <c r="D566" s="188"/>
      <c r="F566" s="168" t="s">
        <v>6202</v>
      </c>
      <c r="G566" s="193">
        <f>IF(_1_54128456121462410464578910174567[[#This Row],[Type]]&gt;0,VLOOKUP(_1_54128456121462410464578910174567[[#This Row],[Type]],Main[[#All],[TYPE]:[UNIT]],'Unit Price'!C$1,FALSE),0)</f>
        <v>0</v>
      </c>
      <c r="H566" s="197">
        <f>IF(_1_54128456121462410464578910174567[[#This Row],[Type]]&gt;0,VLOOKUP(_1_54128456121462410464578910174567[[#This Row],[Type]],Main[[#All],[TYPE]:[UNIT]],'Unit Price'!D$1,FALSE),0)</f>
        <v>0</v>
      </c>
      <c r="I566" s="194">
        <f>IF(_1_54128456121462410464578910174567[[#This Row],[Type]]&gt;0,VLOOKUP(_1_54128456121462410464578910174567[[#This Row],[Type]],Main[[#All],[TYPE]:[UNIT]],'Unit Price'!G$1,FALSE),0)</f>
        <v>0</v>
      </c>
      <c r="J566" s="194">
        <f>IF(_1_54128456121462410464578910174567[[#This Row],[Type]]&gt;0,VLOOKUP(_1_54128456121462410464578910174567[[#This Row],[Type]],Main[[#All],[TYPE]:[UNIT]],'Unit Price'!H$1,FALSE),0)</f>
        <v>0</v>
      </c>
      <c r="K566" s="194">
        <f>IF(_1_54128456121462410464578910174567[[#This Row],[Discount selection]]&gt;0,VLOOKUP(_1_54128456121462410464578910174567[[#This Row],[Discount selection]],'Discount Structure'!$A$2:$B$30,2,"false"),0)</f>
        <v>1</v>
      </c>
      <c r="L566" s="194">
        <f>_1_54128456121462410464578910174567[[#This Row],[LIST $]]*_1_54128456121462410464578910174567[[#This Row],[DISCOUNT]]*_1_54128456121462410464578910174567[[#This Row],[DISCOUNT 2]]</f>
        <v>0</v>
      </c>
      <c r="M566" s="194">
        <f>IF(OR(_1_54128456121462410464578910174567[[#This Row],[UNIT]]&gt;0,_1_54128456121462410464578910174567[[#This Row],[UNIT]]&lt;0),_1_54128456121462410464578910174567[[#This Row],[UNIT]]*_1_54128456121462410464578910174567[[#This Row],[COST]],0)</f>
        <v>0</v>
      </c>
      <c r="N566" s="194">
        <f t="shared" si="8"/>
        <v>1.3</v>
      </c>
      <c r="O566" s="198">
        <f>_1_54128456121462410464578910174567[[#This Row],[TOTAL]]*_1_54128456121462410464578910174567[[#This Row],[MARGIN]]</f>
        <v>0</v>
      </c>
      <c r="R566" s="41"/>
    </row>
    <row r="567" spans="1:18">
      <c r="D567" s="188"/>
      <c r="F567" s="168" t="s">
        <v>6202</v>
      </c>
      <c r="G567" s="193">
        <f>IF(_1_54128456121462410464578910174567[[#This Row],[Type]]&gt;0,VLOOKUP(_1_54128456121462410464578910174567[[#This Row],[Type]],Main[[#All],[TYPE]:[UNIT]],'Unit Price'!C$1,FALSE),0)</f>
        <v>0</v>
      </c>
      <c r="H567" s="197">
        <f>IF(_1_54128456121462410464578910174567[[#This Row],[Type]]&gt;0,VLOOKUP(_1_54128456121462410464578910174567[[#This Row],[Type]],Main[[#All],[TYPE]:[UNIT]],'Unit Price'!D$1,FALSE),0)</f>
        <v>0</v>
      </c>
      <c r="I567" s="194">
        <f>IF(_1_54128456121462410464578910174567[[#This Row],[Type]]&gt;0,VLOOKUP(_1_54128456121462410464578910174567[[#This Row],[Type]],Main[[#All],[TYPE]:[UNIT]],'Unit Price'!G$1,FALSE),0)</f>
        <v>0</v>
      </c>
      <c r="J567" s="194">
        <f>IF(_1_54128456121462410464578910174567[[#This Row],[Type]]&gt;0,VLOOKUP(_1_54128456121462410464578910174567[[#This Row],[Type]],Main[[#All],[TYPE]:[UNIT]],'Unit Price'!H$1,FALSE),0)</f>
        <v>0</v>
      </c>
      <c r="K567" s="194">
        <f>IF(_1_54128456121462410464578910174567[[#This Row],[Discount selection]]&gt;0,VLOOKUP(_1_54128456121462410464578910174567[[#This Row],[Discount selection]],'Discount Structure'!$A$2:$B$30,2,"false"),0)</f>
        <v>1</v>
      </c>
      <c r="L567" s="194">
        <f>_1_54128456121462410464578910174567[[#This Row],[LIST $]]*_1_54128456121462410464578910174567[[#This Row],[DISCOUNT]]*_1_54128456121462410464578910174567[[#This Row],[DISCOUNT 2]]</f>
        <v>0</v>
      </c>
      <c r="M567" s="194">
        <f>IF(OR(_1_54128456121462410464578910174567[[#This Row],[UNIT]]&gt;0,_1_54128456121462410464578910174567[[#This Row],[UNIT]]&lt;0),_1_54128456121462410464578910174567[[#This Row],[UNIT]]*_1_54128456121462410464578910174567[[#This Row],[COST]],0)</f>
        <v>0</v>
      </c>
      <c r="N567" s="194">
        <f t="shared" si="8"/>
        <v>1.3</v>
      </c>
      <c r="O567" s="198">
        <f>_1_54128456121462410464578910174567[[#This Row],[TOTAL]]*_1_54128456121462410464578910174567[[#This Row],[MARGIN]]</f>
        <v>0</v>
      </c>
      <c r="R567" s="41"/>
    </row>
    <row r="568" spans="1:18">
      <c r="D568" s="188"/>
      <c r="F568" s="168" t="s">
        <v>6202</v>
      </c>
      <c r="G568" s="193">
        <f>IF(_1_54128456121462410464578910174567[[#This Row],[Type]]&gt;0,VLOOKUP(_1_54128456121462410464578910174567[[#This Row],[Type]],Main[[#All],[TYPE]:[UNIT]],'Unit Price'!C$1,FALSE),0)</f>
        <v>0</v>
      </c>
      <c r="H568" s="197">
        <f>IF(_1_54128456121462410464578910174567[[#This Row],[Type]]&gt;0,VLOOKUP(_1_54128456121462410464578910174567[[#This Row],[Type]],Main[[#All],[TYPE]:[UNIT]],'Unit Price'!D$1,FALSE),0)</f>
        <v>0</v>
      </c>
      <c r="I568" s="194">
        <f>IF(_1_54128456121462410464578910174567[[#This Row],[Type]]&gt;0,VLOOKUP(_1_54128456121462410464578910174567[[#This Row],[Type]],Main[[#All],[TYPE]:[UNIT]],'Unit Price'!G$1,FALSE),0)</f>
        <v>0</v>
      </c>
      <c r="J568" s="194">
        <f>IF(_1_54128456121462410464578910174567[[#This Row],[Type]]&gt;0,VLOOKUP(_1_54128456121462410464578910174567[[#This Row],[Type]],Main[[#All],[TYPE]:[UNIT]],'Unit Price'!H$1,FALSE),0)</f>
        <v>0</v>
      </c>
      <c r="K568" s="194">
        <f>IF(_1_54128456121462410464578910174567[[#This Row],[Discount selection]]&gt;0,VLOOKUP(_1_54128456121462410464578910174567[[#This Row],[Discount selection]],'Discount Structure'!$A$2:$B$30,2,"false"),0)</f>
        <v>1</v>
      </c>
      <c r="L568" s="194">
        <f>_1_54128456121462410464578910174567[[#This Row],[LIST $]]*_1_54128456121462410464578910174567[[#This Row],[DISCOUNT]]*_1_54128456121462410464578910174567[[#This Row],[DISCOUNT 2]]</f>
        <v>0</v>
      </c>
      <c r="M568" s="194">
        <f>IF(OR(_1_54128456121462410464578910174567[[#This Row],[UNIT]]&gt;0,_1_54128456121462410464578910174567[[#This Row],[UNIT]]&lt;0),_1_54128456121462410464578910174567[[#This Row],[UNIT]]*_1_54128456121462410464578910174567[[#This Row],[COST]],0)</f>
        <v>0</v>
      </c>
      <c r="N568" s="194">
        <f t="shared" si="8"/>
        <v>1.3</v>
      </c>
      <c r="O568" s="198">
        <f>_1_54128456121462410464578910174567[[#This Row],[TOTAL]]*_1_54128456121462410464578910174567[[#This Row],[MARGIN]]</f>
        <v>0</v>
      </c>
      <c r="R568" s="41"/>
    </row>
    <row r="569" spans="1:18">
      <c r="D569" s="188"/>
      <c r="F569" s="168" t="s">
        <v>6202</v>
      </c>
      <c r="G569" s="193">
        <f>IF(_1_54128456121462410464578910174567[[#This Row],[Type]]&gt;0,VLOOKUP(_1_54128456121462410464578910174567[[#This Row],[Type]],Main[[#All],[TYPE]:[UNIT]],'Unit Price'!C$1,FALSE),0)</f>
        <v>0</v>
      </c>
      <c r="H569" s="197">
        <f>IF(_1_54128456121462410464578910174567[[#This Row],[Type]]&gt;0,VLOOKUP(_1_54128456121462410464578910174567[[#This Row],[Type]],Main[[#All],[TYPE]:[UNIT]],'Unit Price'!D$1,FALSE),0)</f>
        <v>0</v>
      </c>
      <c r="I569" s="194">
        <f>IF(_1_54128456121462410464578910174567[[#This Row],[Type]]&gt;0,VLOOKUP(_1_54128456121462410464578910174567[[#This Row],[Type]],Main[[#All],[TYPE]:[UNIT]],'Unit Price'!G$1,FALSE),0)</f>
        <v>0</v>
      </c>
      <c r="J569" s="194">
        <f>IF(_1_54128456121462410464578910174567[[#This Row],[Type]]&gt;0,VLOOKUP(_1_54128456121462410464578910174567[[#This Row],[Type]],Main[[#All],[TYPE]:[UNIT]],'Unit Price'!H$1,FALSE),0)</f>
        <v>0</v>
      </c>
      <c r="K569" s="194">
        <f>IF(_1_54128456121462410464578910174567[[#This Row],[Discount selection]]&gt;0,VLOOKUP(_1_54128456121462410464578910174567[[#This Row],[Discount selection]],'Discount Structure'!$A$2:$B$30,2,"false"),0)</f>
        <v>1</v>
      </c>
      <c r="L569" s="194">
        <f>_1_54128456121462410464578910174567[[#This Row],[LIST $]]*_1_54128456121462410464578910174567[[#This Row],[DISCOUNT]]*_1_54128456121462410464578910174567[[#This Row],[DISCOUNT 2]]</f>
        <v>0</v>
      </c>
      <c r="M569" s="194">
        <f>IF(OR(_1_54128456121462410464578910174567[[#This Row],[UNIT]]&gt;0,_1_54128456121462410464578910174567[[#This Row],[UNIT]]&lt;0),_1_54128456121462410464578910174567[[#This Row],[UNIT]]*_1_54128456121462410464578910174567[[#This Row],[COST]],0)</f>
        <v>0</v>
      </c>
      <c r="N569" s="194">
        <f t="shared" si="8"/>
        <v>1.3</v>
      </c>
      <c r="O569" s="198">
        <f>_1_54128456121462410464578910174567[[#This Row],[TOTAL]]*_1_54128456121462410464578910174567[[#This Row],[MARGIN]]</f>
        <v>0</v>
      </c>
      <c r="R569" s="41"/>
    </row>
    <row r="570" spans="1:18">
      <c r="D570" s="188"/>
      <c r="F570" s="168" t="s">
        <v>6202</v>
      </c>
      <c r="G570" s="193">
        <f>IF(_1_54128456121462410464578910174567[[#This Row],[Type]]&gt;0,VLOOKUP(_1_54128456121462410464578910174567[[#This Row],[Type]],Main[[#All],[TYPE]:[UNIT]],'Unit Price'!C$1,FALSE),0)</f>
        <v>0</v>
      </c>
      <c r="H570" s="197">
        <f>IF(_1_54128456121462410464578910174567[[#This Row],[Type]]&gt;0,VLOOKUP(_1_54128456121462410464578910174567[[#This Row],[Type]],Main[[#All],[TYPE]:[UNIT]],'Unit Price'!D$1,FALSE),0)</f>
        <v>0</v>
      </c>
      <c r="I570" s="194">
        <f>IF(_1_54128456121462410464578910174567[[#This Row],[Type]]&gt;0,VLOOKUP(_1_54128456121462410464578910174567[[#This Row],[Type]],Main[[#All],[TYPE]:[UNIT]],'Unit Price'!G$1,FALSE),0)</f>
        <v>0</v>
      </c>
      <c r="J570" s="194">
        <f>IF(_1_54128456121462410464578910174567[[#This Row],[Type]]&gt;0,VLOOKUP(_1_54128456121462410464578910174567[[#This Row],[Type]],Main[[#All],[TYPE]:[UNIT]],'Unit Price'!H$1,FALSE),0)</f>
        <v>0</v>
      </c>
      <c r="K570" s="194">
        <f>IF(_1_54128456121462410464578910174567[[#This Row],[Discount selection]]&gt;0,VLOOKUP(_1_54128456121462410464578910174567[[#This Row],[Discount selection]],'Discount Structure'!$A$2:$B$30,2,"false"),0)</f>
        <v>1</v>
      </c>
      <c r="L570" s="194">
        <f>_1_54128456121462410464578910174567[[#This Row],[LIST $]]*_1_54128456121462410464578910174567[[#This Row],[DISCOUNT]]*_1_54128456121462410464578910174567[[#This Row],[DISCOUNT 2]]</f>
        <v>0</v>
      </c>
      <c r="M570" s="194">
        <f>IF(OR(_1_54128456121462410464578910174567[[#This Row],[UNIT]]&gt;0,_1_54128456121462410464578910174567[[#This Row],[UNIT]]&lt;0),_1_54128456121462410464578910174567[[#This Row],[UNIT]]*_1_54128456121462410464578910174567[[#This Row],[COST]],0)</f>
        <v>0</v>
      </c>
      <c r="N570" s="194">
        <f t="shared" si="8"/>
        <v>1.3</v>
      </c>
      <c r="O570" s="198">
        <f>_1_54128456121462410464578910174567[[#This Row],[TOTAL]]*_1_54128456121462410464578910174567[[#This Row],[MARGIN]]</f>
        <v>0</v>
      </c>
      <c r="R570" s="41"/>
    </row>
    <row r="571" spans="1:18">
      <c r="D571" s="188"/>
      <c r="F571" s="168" t="s">
        <v>6202</v>
      </c>
      <c r="G571" s="193">
        <f>IF(_1_54128456121462410464578910174567[[#This Row],[Type]]&gt;0,VLOOKUP(_1_54128456121462410464578910174567[[#This Row],[Type]],Main[[#All],[TYPE]:[UNIT]],'Unit Price'!C$1,FALSE),0)</f>
        <v>0</v>
      </c>
      <c r="H571" s="197">
        <f>IF(_1_54128456121462410464578910174567[[#This Row],[Type]]&gt;0,VLOOKUP(_1_54128456121462410464578910174567[[#This Row],[Type]],Main[[#All],[TYPE]:[UNIT]],'Unit Price'!D$1,FALSE),0)</f>
        <v>0</v>
      </c>
      <c r="I571" s="194">
        <f>IF(_1_54128456121462410464578910174567[[#This Row],[Type]]&gt;0,VLOOKUP(_1_54128456121462410464578910174567[[#This Row],[Type]],Main[[#All],[TYPE]:[UNIT]],'Unit Price'!G$1,FALSE),0)</f>
        <v>0</v>
      </c>
      <c r="J571" s="194">
        <f>IF(_1_54128456121462410464578910174567[[#This Row],[Type]]&gt;0,VLOOKUP(_1_54128456121462410464578910174567[[#This Row],[Type]],Main[[#All],[TYPE]:[UNIT]],'Unit Price'!H$1,FALSE),0)</f>
        <v>0</v>
      </c>
      <c r="K571" s="194">
        <f>IF(_1_54128456121462410464578910174567[[#This Row],[Discount selection]]&gt;0,VLOOKUP(_1_54128456121462410464578910174567[[#This Row],[Discount selection]],'Discount Structure'!$A$2:$B$30,2,"false"),0)</f>
        <v>1</v>
      </c>
      <c r="L571" s="194">
        <f>_1_54128456121462410464578910174567[[#This Row],[LIST $]]*_1_54128456121462410464578910174567[[#This Row],[DISCOUNT]]*_1_54128456121462410464578910174567[[#This Row],[DISCOUNT 2]]</f>
        <v>0</v>
      </c>
      <c r="M571" s="194">
        <f>IF(OR(_1_54128456121462410464578910174567[[#This Row],[UNIT]]&gt;0,_1_54128456121462410464578910174567[[#This Row],[UNIT]]&lt;0),_1_54128456121462410464578910174567[[#This Row],[UNIT]]*_1_54128456121462410464578910174567[[#This Row],[COST]],0)</f>
        <v>0</v>
      </c>
      <c r="N571" s="194">
        <f t="shared" si="8"/>
        <v>1.3</v>
      </c>
      <c r="O571" s="198">
        <f>_1_54128456121462410464578910174567[[#This Row],[TOTAL]]*_1_54128456121462410464578910174567[[#This Row],[MARGIN]]</f>
        <v>0</v>
      </c>
      <c r="R571" s="41"/>
    </row>
    <row r="572" spans="1:18">
      <c r="D572" s="188"/>
      <c r="F572" s="168" t="s">
        <v>6202</v>
      </c>
      <c r="G572" s="193">
        <f>IF(_1_54128456121462410464578910174567[[#This Row],[Type]]&gt;0,VLOOKUP(_1_54128456121462410464578910174567[[#This Row],[Type]],Main[[#All],[TYPE]:[UNIT]],'Unit Price'!C$1,FALSE),0)</f>
        <v>0</v>
      </c>
      <c r="H572" s="197">
        <f>IF(_1_54128456121462410464578910174567[[#This Row],[Type]]&gt;0,VLOOKUP(_1_54128456121462410464578910174567[[#This Row],[Type]],Main[[#All],[TYPE]:[UNIT]],'Unit Price'!D$1,FALSE),0)</f>
        <v>0</v>
      </c>
      <c r="I572" s="194">
        <f>IF(_1_54128456121462410464578910174567[[#This Row],[Type]]&gt;0,VLOOKUP(_1_54128456121462410464578910174567[[#This Row],[Type]],Main[[#All],[TYPE]:[UNIT]],'Unit Price'!G$1,FALSE),0)</f>
        <v>0</v>
      </c>
      <c r="J572" s="194">
        <f>IF(_1_54128456121462410464578910174567[[#This Row],[Type]]&gt;0,VLOOKUP(_1_54128456121462410464578910174567[[#This Row],[Type]],Main[[#All],[TYPE]:[UNIT]],'Unit Price'!H$1,FALSE),0)</f>
        <v>0</v>
      </c>
      <c r="K572" s="194">
        <f>IF(_1_54128456121462410464578910174567[[#This Row],[Discount selection]]&gt;0,VLOOKUP(_1_54128456121462410464578910174567[[#This Row],[Discount selection]],'Discount Structure'!$A$2:$B$30,2,"false"),0)</f>
        <v>1</v>
      </c>
      <c r="L572" s="194">
        <f>_1_54128456121462410464578910174567[[#This Row],[LIST $]]*_1_54128456121462410464578910174567[[#This Row],[DISCOUNT]]*_1_54128456121462410464578910174567[[#This Row],[DISCOUNT 2]]</f>
        <v>0</v>
      </c>
      <c r="M572" s="194">
        <f>IF(OR(_1_54128456121462410464578910174567[[#This Row],[UNIT]]&gt;0,_1_54128456121462410464578910174567[[#This Row],[UNIT]]&lt;0),_1_54128456121462410464578910174567[[#This Row],[UNIT]]*_1_54128456121462410464578910174567[[#This Row],[COST]],0)</f>
        <v>0</v>
      </c>
      <c r="N572" s="194">
        <f t="shared" si="8"/>
        <v>1.3</v>
      </c>
      <c r="O572" s="198">
        <f>_1_54128456121462410464578910174567[[#This Row],[TOTAL]]*_1_54128456121462410464578910174567[[#This Row],[MARGIN]]</f>
        <v>0</v>
      </c>
      <c r="R572" s="41"/>
    </row>
    <row r="573" spans="1:18">
      <c r="D573" s="188"/>
      <c r="F573" s="168" t="s">
        <v>6202</v>
      </c>
      <c r="G573" s="193">
        <f>IF(_1_54128456121462410464578910174567[[#This Row],[Type]]&gt;0,VLOOKUP(_1_54128456121462410464578910174567[[#This Row],[Type]],Main[[#All],[TYPE]:[UNIT]],'Unit Price'!C$1,FALSE),0)</f>
        <v>0</v>
      </c>
      <c r="H573" s="197">
        <f>IF(_1_54128456121462410464578910174567[[#This Row],[Type]]&gt;0,VLOOKUP(_1_54128456121462410464578910174567[[#This Row],[Type]],Main[[#All],[TYPE]:[UNIT]],'Unit Price'!D$1,FALSE),0)</f>
        <v>0</v>
      </c>
      <c r="I573" s="194">
        <f>IF(_1_54128456121462410464578910174567[[#This Row],[Type]]&gt;0,VLOOKUP(_1_54128456121462410464578910174567[[#This Row],[Type]],Main[[#All],[TYPE]:[UNIT]],'Unit Price'!G$1,FALSE),0)</f>
        <v>0</v>
      </c>
      <c r="J573" s="194">
        <f>IF(_1_54128456121462410464578910174567[[#This Row],[Type]]&gt;0,VLOOKUP(_1_54128456121462410464578910174567[[#This Row],[Type]],Main[[#All],[TYPE]:[UNIT]],'Unit Price'!H$1,FALSE),0)</f>
        <v>0</v>
      </c>
      <c r="K573" s="194">
        <f>IF(_1_54128456121462410464578910174567[[#This Row],[Discount selection]]&gt;0,VLOOKUP(_1_54128456121462410464578910174567[[#This Row],[Discount selection]],'Discount Structure'!$A$2:$B$30,2,"false"),0)</f>
        <v>1</v>
      </c>
      <c r="L573" s="194">
        <f>_1_54128456121462410464578910174567[[#This Row],[LIST $]]*_1_54128456121462410464578910174567[[#This Row],[DISCOUNT]]*_1_54128456121462410464578910174567[[#This Row],[DISCOUNT 2]]</f>
        <v>0</v>
      </c>
      <c r="M573" s="194">
        <f>IF(OR(_1_54128456121462410464578910174567[[#This Row],[UNIT]]&gt;0,_1_54128456121462410464578910174567[[#This Row],[UNIT]]&lt;0),_1_54128456121462410464578910174567[[#This Row],[UNIT]]*_1_54128456121462410464578910174567[[#This Row],[COST]],0)</f>
        <v>0</v>
      </c>
      <c r="N573" s="194">
        <f t="shared" si="8"/>
        <v>1.3</v>
      </c>
      <c r="O573" s="198">
        <f>_1_54128456121462410464578910174567[[#This Row],[TOTAL]]*_1_54128456121462410464578910174567[[#This Row],[MARGIN]]</f>
        <v>0</v>
      </c>
      <c r="R573" s="41"/>
    </row>
    <row r="574" spans="1:18">
      <c r="A574" s="168"/>
      <c r="D574" s="188"/>
      <c r="F574" s="168" t="s">
        <v>6202</v>
      </c>
      <c r="G574" s="193">
        <f>IF(_1_54128456121462410464578910174567[[#This Row],[Type]]&gt;0,VLOOKUP(_1_54128456121462410464578910174567[[#This Row],[Type]],Main[[#All],[TYPE]:[UNIT]],'Unit Price'!C$1,FALSE),0)</f>
        <v>0</v>
      </c>
      <c r="H574" s="197">
        <f>IF(_1_54128456121462410464578910174567[[#This Row],[Type]]&gt;0,VLOOKUP(_1_54128456121462410464578910174567[[#This Row],[Type]],Main[[#All],[TYPE]:[UNIT]],'Unit Price'!D$1,FALSE),0)</f>
        <v>0</v>
      </c>
      <c r="I574" s="194">
        <f>IF(_1_54128456121462410464578910174567[[#This Row],[Type]]&gt;0,VLOOKUP(_1_54128456121462410464578910174567[[#This Row],[Type]],Main[[#All],[TYPE]:[UNIT]],'Unit Price'!G$1,FALSE),0)</f>
        <v>0</v>
      </c>
      <c r="J574" s="194">
        <f>IF(_1_54128456121462410464578910174567[[#This Row],[Type]]&gt;0,VLOOKUP(_1_54128456121462410464578910174567[[#This Row],[Type]],Main[[#All],[TYPE]:[UNIT]],'Unit Price'!H$1,FALSE),0)</f>
        <v>0</v>
      </c>
      <c r="K574" s="194">
        <f>IF(_1_54128456121462410464578910174567[[#This Row],[Discount selection]]&gt;0,VLOOKUP(_1_54128456121462410464578910174567[[#This Row],[Discount selection]],'Discount Structure'!$A$2:$B$30,2,"false"),0)</f>
        <v>1</v>
      </c>
      <c r="L574" s="194">
        <f>_1_54128456121462410464578910174567[[#This Row],[LIST $]]*_1_54128456121462410464578910174567[[#This Row],[DISCOUNT]]*_1_54128456121462410464578910174567[[#This Row],[DISCOUNT 2]]</f>
        <v>0</v>
      </c>
      <c r="M574" s="194">
        <f>IF(OR(_1_54128456121462410464578910174567[[#This Row],[UNIT]]&gt;0,_1_54128456121462410464578910174567[[#This Row],[UNIT]]&lt;0),_1_54128456121462410464578910174567[[#This Row],[UNIT]]*_1_54128456121462410464578910174567[[#This Row],[COST]],0)</f>
        <v>0</v>
      </c>
      <c r="N574" s="194">
        <f t="shared" si="8"/>
        <v>1.3</v>
      </c>
      <c r="O574" s="198">
        <f>_1_54128456121462410464578910174567[[#This Row],[TOTAL]]*_1_54128456121462410464578910174567[[#This Row],[MARGIN]]</f>
        <v>0</v>
      </c>
      <c r="R574" s="41"/>
    </row>
    <row r="575" spans="1:18">
      <c r="B575" s="168"/>
      <c r="C575" s="168"/>
      <c r="D575" s="188"/>
      <c r="F575" s="168" t="s">
        <v>6202</v>
      </c>
      <c r="G575" s="193">
        <f>IF(_1_54128456121462410464578910174567[[#This Row],[Type]]&gt;0,VLOOKUP(_1_54128456121462410464578910174567[[#This Row],[Type]],Main[[#All],[TYPE]:[UNIT]],'Unit Price'!C$1,FALSE),0)</f>
        <v>0</v>
      </c>
      <c r="H575" s="197">
        <f>IF(_1_54128456121462410464578910174567[[#This Row],[Type]]&gt;0,VLOOKUP(_1_54128456121462410464578910174567[[#This Row],[Type]],Main[[#All],[TYPE]:[UNIT]],'Unit Price'!D$1,FALSE),0)</f>
        <v>0</v>
      </c>
      <c r="I575" s="194">
        <f>IF(_1_54128456121462410464578910174567[[#This Row],[Type]]&gt;0,VLOOKUP(_1_54128456121462410464578910174567[[#This Row],[Type]],Main[[#All],[TYPE]:[UNIT]],'Unit Price'!G$1,FALSE),0)</f>
        <v>0</v>
      </c>
      <c r="J575" s="194">
        <f>IF(_1_54128456121462410464578910174567[[#This Row],[Type]]&gt;0,VLOOKUP(_1_54128456121462410464578910174567[[#This Row],[Type]],Main[[#All],[TYPE]:[UNIT]],'Unit Price'!H$1,FALSE),0)</f>
        <v>0</v>
      </c>
      <c r="K575" s="194">
        <f>IF(_1_54128456121462410464578910174567[[#This Row],[Discount selection]]&gt;0,VLOOKUP(_1_54128456121462410464578910174567[[#This Row],[Discount selection]],'Discount Structure'!$A$2:$B$30,2,"false"),0)</f>
        <v>1</v>
      </c>
      <c r="L575" s="194">
        <f>_1_54128456121462410464578910174567[[#This Row],[LIST $]]*_1_54128456121462410464578910174567[[#This Row],[DISCOUNT]]*_1_54128456121462410464578910174567[[#This Row],[DISCOUNT 2]]</f>
        <v>0</v>
      </c>
      <c r="M575" s="194">
        <f>IF(OR(_1_54128456121462410464578910174567[[#This Row],[UNIT]]&gt;0,_1_54128456121462410464578910174567[[#This Row],[UNIT]]&lt;0),_1_54128456121462410464578910174567[[#This Row],[UNIT]]*_1_54128456121462410464578910174567[[#This Row],[COST]],0)</f>
        <v>0</v>
      </c>
      <c r="N575" s="194">
        <f t="shared" si="8"/>
        <v>1.3</v>
      </c>
      <c r="O575" s="198">
        <f>_1_54128456121462410464578910174567[[#This Row],[TOTAL]]*_1_54128456121462410464578910174567[[#This Row],[MARGIN]]</f>
        <v>0</v>
      </c>
      <c r="R575" s="41"/>
    </row>
    <row r="576" spans="1:18">
      <c r="D576" s="188"/>
      <c r="F576" s="168" t="s">
        <v>6202</v>
      </c>
      <c r="G576" s="193">
        <f>IF(_1_54128456121462410464578910174567[[#This Row],[Type]]&gt;0,VLOOKUP(_1_54128456121462410464578910174567[[#This Row],[Type]],Main[[#All],[TYPE]:[UNIT]],'Unit Price'!C$1,FALSE),0)</f>
        <v>0</v>
      </c>
      <c r="H576" s="197">
        <f>IF(_1_54128456121462410464578910174567[[#This Row],[Type]]&gt;0,VLOOKUP(_1_54128456121462410464578910174567[[#This Row],[Type]],Main[[#All],[TYPE]:[UNIT]],'Unit Price'!D$1,FALSE),0)</f>
        <v>0</v>
      </c>
      <c r="I576" s="194">
        <f>IF(_1_54128456121462410464578910174567[[#This Row],[Type]]&gt;0,VLOOKUP(_1_54128456121462410464578910174567[[#This Row],[Type]],Main[[#All],[TYPE]:[UNIT]],'Unit Price'!G$1,FALSE),0)</f>
        <v>0</v>
      </c>
      <c r="J576" s="194">
        <f>IF(_1_54128456121462410464578910174567[[#This Row],[Type]]&gt;0,VLOOKUP(_1_54128456121462410464578910174567[[#This Row],[Type]],Main[[#All],[TYPE]:[UNIT]],'Unit Price'!H$1,FALSE),0)</f>
        <v>0</v>
      </c>
      <c r="K576" s="194">
        <f>IF(_1_54128456121462410464578910174567[[#This Row],[Discount selection]]&gt;0,VLOOKUP(_1_54128456121462410464578910174567[[#This Row],[Discount selection]],'Discount Structure'!$A$2:$B$30,2,"false"),0)</f>
        <v>1</v>
      </c>
      <c r="L576" s="194">
        <f>_1_54128456121462410464578910174567[[#This Row],[LIST $]]*_1_54128456121462410464578910174567[[#This Row],[DISCOUNT]]*_1_54128456121462410464578910174567[[#This Row],[DISCOUNT 2]]</f>
        <v>0</v>
      </c>
      <c r="M576" s="194">
        <f>IF(OR(_1_54128456121462410464578910174567[[#This Row],[UNIT]]&gt;0,_1_54128456121462410464578910174567[[#This Row],[UNIT]]&lt;0),_1_54128456121462410464578910174567[[#This Row],[UNIT]]*_1_54128456121462410464578910174567[[#This Row],[COST]],0)</f>
        <v>0</v>
      </c>
      <c r="N576" s="194">
        <f t="shared" si="8"/>
        <v>1.3</v>
      </c>
      <c r="O576" s="198">
        <f>_1_54128456121462410464578910174567[[#This Row],[TOTAL]]*_1_54128456121462410464578910174567[[#This Row],[MARGIN]]</f>
        <v>0</v>
      </c>
      <c r="R576" s="41"/>
    </row>
    <row r="577" spans="1:18">
      <c r="D577" s="188"/>
      <c r="F577" s="168" t="s">
        <v>6202</v>
      </c>
      <c r="G577" s="193">
        <f>IF(_1_54128456121462410464578910174567[[#This Row],[Type]]&gt;0,VLOOKUP(_1_54128456121462410464578910174567[[#This Row],[Type]],Main[[#All],[TYPE]:[UNIT]],'Unit Price'!C$1,FALSE),0)</f>
        <v>0</v>
      </c>
      <c r="H577" s="197">
        <f>IF(_1_54128456121462410464578910174567[[#This Row],[Type]]&gt;0,VLOOKUP(_1_54128456121462410464578910174567[[#This Row],[Type]],Main[[#All],[TYPE]:[UNIT]],'Unit Price'!D$1,FALSE),0)</f>
        <v>0</v>
      </c>
      <c r="I577" s="194">
        <f>IF(_1_54128456121462410464578910174567[[#This Row],[Type]]&gt;0,VLOOKUP(_1_54128456121462410464578910174567[[#This Row],[Type]],Main[[#All],[TYPE]:[UNIT]],'Unit Price'!G$1,FALSE),0)</f>
        <v>0</v>
      </c>
      <c r="J577" s="194">
        <f>IF(_1_54128456121462410464578910174567[[#This Row],[Type]]&gt;0,VLOOKUP(_1_54128456121462410464578910174567[[#This Row],[Type]],Main[[#All],[TYPE]:[UNIT]],'Unit Price'!H$1,FALSE),0)</f>
        <v>0</v>
      </c>
      <c r="K577" s="194">
        <f>IF(_1_54128456121462410464578910174567[[#This Row],[Discount selection]]&gt;0,VLOOKUP(_1_54128456121462410464578910174567[[#This Row],[Discount selection]],'Discount Structure'!$A$2:$B$30,2,"false"),0)</f>
        <v>1</v>
      </c>
      <c r="L577" s="194">
        <f>_1_54128456121462410464578910174567[[#This Row],[LIST $]]*_1_54128456121462410464578910174567[[#This Row],[DISCOUNT]]*_1_54128456121462410464578910174567[[#This Row],[DISCOUNT 2]]</f>
        <v>0</v>
      </c>
      <c r="M577" s="194">
        <f>IF(OR(_1_54128456121462410464578910174567[[#This Row],[UNIT]]&gt;0,_1_54128456121462410464578910174567[[#This Row],[UNIT]]&lt;0),_1_54128456121462410464578910174567[[#This Row],[UNIT]]*_1_54128456121462410464578910174567[[#This Row],[COST]],0)</f>
        <v>0</v>
      </c>
      <c r="N577" s="194">
        <f t="shared" si="8"/>
        <v>1.3</v>
      </c>
      <c r="O577" s="198">
        <f>_1_54128456121462410464578910174567[[#This Row],[TOTAL]]*_1_54128456121462410464578910174567[[#This Row],[MARGIN]]</f>
        <v>0</v>
      </c>
      <c r="R577" s="41"/>
    </row>
    <row r="578" spans="1:18">
      <c r="D578" s="188"/>
      <c r="F578" s="168" t="s">
        <v>6202</v>
      </c>
      <c r="G578" s="193">
        <f>IF(_1_54128456121462410464578910174567[[#This Row],[Type]]&gt;0,VLOOKUP(_1_54128456121462410464578910174567[[#This Row],[Type]],Main[[#All],[TYPE]:[UNIT]],'Unit Price'!C$1,FALSE),0)</f>
        <v>0</v>
      </c>
      <c r="H578" s="197">
        <f>IF(_1_54128456121462410464578910174567[[#This Row],[Type]]&gt;0,VLOOKUP(_1_54128456121462410464578910174567[[#This Row],[Type]],Main[[#All],[TYPE]:[UNIT]],'Unit Price'!D$1,FALSE),0)</f>
        <v>0</v>
      </c>
      <c r="I578" s="194">
        <f>IF(_1_54128456121462410464578910174567[[#This Row],[Type]]&gt;0,VLOOKUP(_1_54128456121462410464578910174567[[#This Row],[Type]],Main[[#All],[TYPE]:[UNIT]],'Unit Price'!G$1,FALSE),0)</f>
        <v>0</v>
      </c>
      <c r="J578" s="194">
        <f>IF(_1_54128456121462410464578910174567[[#This Row],[Type]]&gt;0,VLOOKUP(_1_54128456121462410464578910174567[[#This Row],[Type]],Main[[#All],[TYPE]:[UNIT]],'Unit Price'!H$1,FALSE),0)</f>
        <v>0</v>
      </c>
      <c r="K578" s="194">
        <f>IF(_1_54128456121462410464578910174567[[#This Row],[Discount selection]]&gt;0,VLOOKUP(_1_54128456121462410464578910174567[[#This Row],[Discount selection]],'Discount Structure'!$A$2:$B$30,2,"false"),0)</f>
        <v>1</v>
      </c>
      <c r="L578" s="194">
        <f>_1_54128456121462410464578910174567[[#This Row],[LIST $]]*_1_54128456121462410464578910174567[[#This Row],[DISCOUNT]]*_1_54128456121462410464578910174567[[#This Row],[DISCOUNT 2]]</f>
        <v>0</v>
      </c>
      <c r="M578" s="194">
        <f>IF(OR(_1_54128456121462410464578910174567[[#This Row],[UNIT]]&gt;0,_1_54128456121462410464578910174567[[#This Row],[UNIT]]&lt;0),_1_54128456121462410464578910174567[[#This Row],[UNIT]]*_1_54128456121462410464578910174567[[#This Row],[COST]],0)</f>
        <v>0</v>
      </c>
      <c r="N578" s="194">
        <f t="shared" si="8"/>
        <v>1.3</v>
      </c>
      <c r="O578" s="198">
        <f>_1_54128456121462410464578910174567[[#This Row],[TOTAL]]*_1_54128456121462410464578910174567[[#This Row],[MARGIN]]</f>
        <v>0</v>
      </c>
      <c r="R578" s="41"/>
    </row>
    <row r="579" spans="1:18">
      <c r="D579" s="188"/>
      <c r="F579" s="168" t="s">
        <v>6202</v>
      </c>
      <c r="G579" s="193">
        <f>IF(_1_54128456121462410464578910174567[[#This Row],[Type]]&gt;0,VLOOKUP(_1_54128456121462410464578910174567[[#This Row],[Type]],Main[[#All],[TYPE]:[UNIT]],'Unit Price'!C$1,FALSE),0)</f>
        <v>0</v>
      </c>
      <c r="H579" s="197">
        <f>IF(_1_54128456121462410464578910174567[[#This Row],[Type]]&gt;0,VLOOKUP(_1_54128456121462410464578910174567[[#This Row],[Type]],Main[[#All],[TYPE]:[UNIT]],'Unit Price'!D$1,FALSE),0)</f>
        <v>0</v>
      </c>
      <c r="I579" s="194">
        <f>IF(_1_54128456121462410464578910174567[[#This Row],[Type]]&gt;0,VLOOKUP(_1_54128456121462410464578910174567[[#This Row],[Type]],Main[[#All],[TYPE]:[UNIT]],'Unit Price'!G$1,FALSE),0)</f>
        <v>0</v>
      </c>
      <c r="J579" s="194">
        <f>IF(_1_54128456121462410464578910174567[[#This Row],[Type]]&gt;0,VLOOKUP(_1_54128456121462410464578910174567[[#This Row],[Type]],Main[[#All],[TYPE]:[UNIT]],'Unit Price'!H$1,FALSE),0)</f>
        <v>0</v>
      </c>
      <c r="K579" s="194">
        <f>IF(_1_54128456121462410464578910174567[[#This Row],[Discount selection]]&gt;0,VLOOKUP(_1_54128456121462410464578910174567[[#This Row],[Discount selection]],'Discount Structure'!$A$2:$B$30,2,"false"),0)</f>
        <v>1</v>
      </c>
      <c r="L579" s="194">
        <f>_1_54128456121462410464578910174567[[#This Row],[LIST $]]*_1_54128456121462410464578910174567[[#This Row],[DISCOUNT]]*_1_54128456121462410464578910174567[[#This Row],[DISCOUNT 2]]</f>
        <v>0</v>
      </c>
      <c r="M579" s="194">
        <f>IF(OR(_1_54128456121462410464578910174567[[#This Row],[UNIT]]&gt;0,_1_54128456121462410464578910174567[[#This Row],[UNIT]]&lt;0),_1_54128456121462410464578910174567[[#This Row],[UNIT]]*_1_54128456121462410464578910174567[[#This Row],[COST]],0)</f>
        <v>0</v>
      </c>
      <c r="N579" s="194">
        <f t="shared" si="8"/>
        <v>1.3</v>
      </c>
      <c r="O579" s="198">
        <f>_1_54128456121462410464578910174567[[#This Row],[TOTAL]]*_1_54128456121462410464578910174567[[#This Row],[MARGIN]]</f>
        <v>0</v>
      </c>
      <c r="R579" s="41"/>
    </row>
    <row r="580" spans="1:18">
      <c r="D580" s="188"/>
      <c r="F580" s="168" t="s">
        <v>6202</v>
      </c>
      <c r="G580" s="193">
        <f>IF(_1_54128456121462410464578910174567[[#This Row],[Type]]&gt;0,VLOOKUP(_1_54128456121462410464578910174567[[#This Row],[Type]],Main[[#All],[TYPE]:[UNIT]],'Unit Price'!C$1,FALSE),0)</f>
        <v>0</v>
      </c>
      <c r="H580" s="197">
        <f>IF(_1_54128456121462410464578910174567[[#This Row],[Type]]&gt;0,VLOOKUP(_1_54128456121462410464578910174567[[#This Row],[Type]],Main[[#All],[TYPE]:[UNIT]],'Unit Price'!D$1,FALSE),0)</f>
        <v>0</v>
      </c>
      <c r="I580" s="194">
        <f>IF(_1_54128456121462410464578910174567[[#This Row],[Type]]&gt;0,VLOOKUP(_1_54128456121462410464578910174567[[#This Row],[Type]],Main[[#All],[TYPE]:[UNIT]],'Unit Price'!G$1,FALSE),0)</f>
        <v>0</v>
      </c>
      <c r="J580" s="194">
        <f>IF(_1_54128456121462410464578910174567[[#This Row],[Type]]&gt;0,VLOOKUP(_1_54128456121462410464578910174567[[#This Row],[Type]],Main[[#All],[TYPE]:[UNIT]],'Unit Price'!H$1,FALSE),0)</f>
        <v>0</v>
      </c>
      <c r="K580" s="194">
        <f>IF(_1_54128456121462410464578910174567[[#This Row],[Discount selection]]&gt;0,VLOOKUP(_1_54128456121462410464578910174567[[#This Row],[Discount selection]],'Discount Structure'!$A$2:$B$30,2,"false"),0)</f>
        <v>1</v>
      </c>
      <c r="L580" s="194">
        <f>_1_54128456121462410464578910174567[[#This Row],[LIST $]]*_1_54128456121462410464578910174567[[#This Row],[DISCOUNT]]*_1_54128456121462410464578910174567[[#This Row],[DISCOUNT 2]]</f>
        <v>0</v>
      </c>
      <c r="M580" s="194">
        <f>IF(OR(_1_54128456121462410464578910174567[[#This Row],[UNIT]]&gt;0,_1_54128456121462410464578910174567[[#This Row],[UNIT]]&lt;0),_1_54128456121462410464578910174567[[#This Row],[UNIT]]*_1_54128456121462410464578910174567[[#This Row],[COST]],0)</f>
        <v>0</v>
      </c>
      <c r="N580" s="194">
        <f t="shared" si="8"/>
        <v>1.3</v>
      </c>
      <c r="O580" s="198">
        <f>_1_54128456121462410464578910174567[[#This Row],[TOTAL]]*_1_54128456121462410464578910174567[[#This Row],[MARGIN]]</f>
        <v>0</v>
      </c>
      <c r="R580" s="41"/>
    </row>
    <row r="581" spans="1:18">
      <c r="A581" s="168"/>
      <c r="D581" s="188"/>
      <c r="F581" s="168" t="s">
        <v>6202</v>
      </c>
      <c r="G581" s="193">
        <f>IF(_1_54128456121462410464578910174567[[#This Row],[Type]]&gt;0,VLOOKUP(_1_54128456121462410464578910174567[[#This Row],[Type]],Main[[#All],[TYPE]:[UNIT]],'Unit Price'!C$1,FALSE),0)</f>
        <v>0</v>
      </c>
      <c r="H581" s="197">
        <f>IF(_1_54128456121462410464578910174567[[#This Row],[Type]]&gt;0,VLOOKUP(_1_54128456121462410464578910174567[[#This Row],[Type]],Main[[#All],[TYPE]:[UNIT]],'Unit Price'!D$1,FALSE),0)</f>
        <v>0</v>
      </c>
      <c r="I581" s="194">
        <f>IF(_1_54128456121462410464578910174567[[#This Row],[Type]]&gt;0,VLOOKUP(_1_54128456121462410464578910174567[[#This Row],[Type]],Main[[#All],[TYPE]:[UNIT]],'Unit Price'!G$1,FALSE),0)</f>
        <v>0</v>
      </c>
      <c r="J581" s="194">
        <f>IF(_1_54128456121462410464578910174567[[#This Row],[Type]]&gt;0,VLOOKUP(_1_54128456121462410464578910174567[[#This Row],[Type]],Main[[#All],[TYPE]:[UNIT]],'Unit Price'!H$1,FALSE),0)</f>
        <v>0</v>
      </c>
      <c r="K581" s="194">
        <f>IF(_1_54128456121462410464578910174567[[#This Row],[Discount selection]]&gt;0,VLOOKUP(_1_54128456121462410464578910174567[[#This Row],[Discount selection]],'Discount Structure'!$A$2:$B$30,2,"false"),0)</f>
        <v>1</v>
      </c>
      <c r="L581" s="194">
        <f>_1_54128456121462410464578910174567[[#This Row],[LIST $]]*_1_54128456121462410464578910174567[[#This Row],[DISCOUNT]]*_1_54128456121462410464578910174567[[#This Row],[DISCOUNT 2]]</f>
        <v>0</v>
      </c>
      <c r="M581" s="194">
        <f>IF(OR(_1_54128456121462410464578910174567[[#This Row],[UNIT]]&gt;0,_1_54128456121462410464578910174567[[#This Row],[UNIT]]&lt;0),_1_54128456121462410464578910174567[[#This Row],[UNIT]]*_1_54128456121462410464578910174567[[#This Row],[COST]],0)</f>
        <v>0</v>
      </c>
      <c r="N581" s="194">
        <f t="shared" si="8"/>
        <v>1.3</v>
      </c>
      <c r="O581" s="198">
        <f>_1_54128456121462410464578910174567[[#This Row],[TOTAL]]*_1_54128456121462410464578910174567[[#This Row],[MARGIN]]</f>
        <v>0</v>
      </c>
      <c r="R581" s="41"/>
    </row>
    <row r="582" spans="1:18">
      <c r="D582" s="188"/>
      <c r="F582" s="168" t="s">
        <v>6202</v>
      </c>
      <c r="G582" s="193">
        <f>IF(_1_54128456121462410464578910174567[[#This Row],[Type]]&gt;0,VLOOKUP(_1_54128456121462410464578910174567[[#This Row],[Type]],Main[[#All],[TYPE]:[UNIT]],'Unit Price'!C$1,FALSE),0)</f>
        <v>0</v>
      </c>
      <c r="H582" s="197">
        <f>IF(_1_54128456121462410464578910174567[[#This Row],[Type]]&gt;0,VLOOKUP(_1_54128456121462410464578910174567[[#This Row],[Type]],Main[[#All],[TYPE]:[UNIT]],'Unit Price'!D$1,FALSE),0)</f>
        <v>0</v>
      </c>
      <c r="I582" s="194">
        <f>IF(_1_54128456121462410464578910174567[[#This Row],[Type]]&gt;0,VLOOKUP(_1_54128456121462410464578910174567[[#This Row],[Type]],Main[[#All],[TYPE]:[UNIT]],'Unit Price'!G$1,FALSE),0)</f>
        <v>0</v>
      </c>
      <c r="J582" s="194">
        <f>IF(_1_54128456121462410464578910174567[[#This Row],[Type]]&gt;0,VLOOKUP(_1_54128456121462410464578910174567[[#This Row],[Type]],Main[[#All],[TYPE]:[UNIT]],'Unit Price'!H$1,FALSE),0)</f>
        <v>0</v>
      </c>
      <c r="K582" s="194">
        <f>IF(_1_54128456121462410464578910174567[[#This Row],[Discount selection]]&gt;0,VLOOKUP(_1_54128456121462410464578910174567[[#This Row],[Discount selection]],'Discount Structure'!$A$2:$B$30,2,"false"),0)</f>
        <v>1</v>
      </c>
      <c r="L582" s="194">
        <f>_1_54128456121462410464578910174567[[#This Row],[LIST $]]*_1_54128456121462410464578910174567[[#This Row],[DISCOUNT]]*_1_54128456121462410464578910174567[[#This Row],[DISCOUNT 2]]</f>
        <v>0</v>
      </c>
      <c r="M582" s="194">
        <f>IF(OR(_1_54128456121462410464578910174567[[#This Row],[UNIT]]&gt;0,_1_54128456121462410464578910174567[[#This Row],[UNIT]]&lt;0),_1_54128456121462410464578910174567[[#This Row],[UNIT]]*_1_54128456121462410464578910174567[[#This Row],[COST]],0)</f>
        <v>0</v>
      </c>
      <c r="N582" s="194">
        <f t="shared" si="8"/>
        <v>1.3</v>
      </c>
      <c r="O582" s="198">
        <f>_1_54128456121462410464578910174567[[#This Row],[TOTAL]]*_1_54128456121462410464578910174567[[#This Row],[MARGIN]]</f>
        <v>0</v>
      </c>
      <c r="R582" s="41"/>
    </row>
    <row r="583" spans="1:18">
      <c r="D583" s="188"/>
      <c r="F583" s="168" t="s">
        <v>6202</v>
      </c>
      <c r="G583" s="193">
        <f>IF(_1_54128456121462410464578910174567[[#This Row],[Type]]&gt;0,VLOOKUP(_1_54128456121462410464578910174567[[#This Row],[Type]],Main[[#All],[TYPE]:[UNIT]],'Unit Price'!C$1,FALSE),0)</f>
        <v>0</v>
      </c>
      <c r="H583" s="197">
        <f>IF(_1_54128456121462410464578910174567[[#This Row],[Type]]&gt;0,VLOOKUP(_1_54128456121462410464578910174567[[#This Row],[Type]],Main[[#All],[TYPE]:[UNIT]],'Unit Price'!D$1,FALSE),0)</f>
        <v>0</v>
      </c>
      <c r="I583" s="194">
        <f>IF(_1_54128456121462410464578910174567[[#This Row],[Type]]&gt;0,VLOOKUP(_1_54128456121462410464578910174567[[#This Row],[Type]],Main[[#All],[TYPE]:[UNIT]],'Unit Price'!G$1,FALSE),0)</f>
        <v>0</v>
      </c>
      <c r="J583" s="194">
        <f>IF(_1_54128456121462410464578910174567[[#This Row],[Type]]&gt;0,VLOOKUP(_1_54128456121462410464578910174567[[#This Row],[Type]],Main[[#All],[TYPE]:[UNIT]],'Unit Price'!H$1,FALSE),0)</f>
        <v>0</v>
      </c>
      <c r="K583" s="194">
        <f>IF(_1_54128456121462410464578910174567[[#This Row],[Discount selection]]&gt;0,VLOOKUP(_1_54128456121462410464578910174567[[#This Row],[Discount selection]],'Discount Structure'!$A$2:$B$30,2,"false"),0)</f>
        <v>1</v>
      </c>
      <c r="L583" s="194">
        <f>_1_54128456121462410464578910174567[[#This Row],[LIST $]]*_1_54128456121462410464578910174567[[#This Row],[DISCOUNT]]*_1_54128456121462410464578910174567[[#This Row],[DISCOUNT 2]]</f>
        <v>0</v>
      </c>
      <c r="M583" s="194">
        <f>IF(OR(_1_54128456121462410464578910174567[[#This Row],[UNIT]]&gt;0,_1_54128456121462410464578910174567[[#This Row],[UNIT]]&lt;0),_1_54128456121462410464578910174567[[#This Row],[UNIT]]*_1_54128456121462410464578910174567[[#This Row],[COST]],0)</f>
        <v>0</v>
      </c>
      <c r="N583" s="194">
        <f t="shared" si="8"/>
        <v>1.3</v>
      </c>
      <c r="O583" s="198">
        <f>_1_54128456121462410464578910174567[[#This Row],[TOTAL]]*_1_54128456121462410464578910174567[[#This Row],[MARGIN]]</f>
        <v>0</v>
      </c>
      <c r="R583" s="41"/>
    </row>
    <row r="584" spans="1:18">
      <c r="D584" s="188"/>
      <c r="F584" s="168" t="s">
        <v>6202</v>
      </c>
      <c r="G584" s="193">
        <f>IF(_1_54128456121462410464578910174567[[#This Row],[Type]]&gt;0,VLOOKUP(_1_54128456121462410464578910174567[[#This Row],[Type]],Main[[#All],[TYPE]:[UNIT]],'Unit Price'!C$1,FALSE),0)</f>
        <v>0</v>
      </c>
      <c r="H584" s="197">
        <f>IF(_1_54128456121462410464578910174567[[#This Row],[Type]]&gt;0,VLOOKUP(_1_54128456121462410464578910174567[[#This Row],[Type]],Main[[#All],[TYPE]:[UNIT]],'Unit Price'!D$1,FALSE),0)</f>
        <v>0</v>
      </c>
      <c r="I584" s="194">
        <f>IF(_1_54128456121462410464578910174567[[#This Row],[Type]]&gt;0,VLOOKUP(_1_54128456121462410464578910174567[[#This Row],[Type]],Main[[#All],[TYPE]:[UNIT]],'Unit Price'!G$1,FALSE),0)</f>
        <v>0</v>
      </c>
      <c r="J584" s="194">
        <f>IF(_1_54128456121462410464578910174567[[#This Row],[Type]]&gt;0,VLOOKUP(_1_54128456121462410464578910174567[[#This Row],[Type]],Main[[#All],[TYPE]:[UNIT]],'Unit Price'!H$1,FALSE),0)</f>
        <v>0</v>
      </c>
      <c r="K584" s="194">
        <f>IF(_1_54128456121462410464578910174567[[#This Row],[Discount selection]]&gt;0,VLOOKUP(_1_54128456121462410464578910174567[[#This Row],[Discount selection]],'Discount Structure'!$A$2:$B$30,2,"false"),0)</f>
        <v>1</v>
      </c>
      <c r="L584" s="194">
        <f>_1_54128456121462410464578910174567[[#This Row],[LIST $]]*_1_54128456121462410464578910174567[[#This Row],[DISCOUNT]]*_1_54128456121462410464578910174567[[#This Row],[DISCOUNT 2]]</f>
        <v>0</v>
      </c>
      <c r="M584" s="194">
        <f>IF(OR(_1_54128456121462410464578910174567[[#This Row],[UNIT]]&gt;0,_1_54128456121462410464578910174567[[#This Row],[UNIT]]&lt;0),_1_54128456121462410464578910174567[[#This Row],[UNIT]]*_1_54128456121462410464578910174567[[#This Row],[COST]],0)</f>
        <v>0</v>
      </c>
      <c r="N584" s="194">
        <f t="shared" si="8"/>
        <v>1.3</v>
      </c>
      <c r="O584" s="198">
        <f>_1_54128456121462410464578910174567[[#This Row],[TOTAL]]*_1_54128456121462410464578910174567[[#This Row],[MARGIN]]</f>
        <v>0</v>
      </c>
      <c r="R584" s="41"/>
    </row>
    <row r="585" spans="1:18">
      <c r="D585" s="188"/>
      <c r="F585" s="168" t="s">
        <v>6202</v>
      </c>
      <c r="G585" s="193">
        <f>IF(_1_54128456121462410464578910174567[[#This Row],[Type]]&gt;0,VLOOKUP(_1_54128456121462410464578910174567[[#This Row],[Type]],Main[[#All],[TYPE]:[UNIT]],'Unit Price'!C$1,FALSE),0)</f>
        <v>0</v>
      </c>
      <c r="H585" s="197">
        <f>IF(_1_54128456121462410464578910174567[[#This Row],[Type]]&gt;0,VLOOKUP(_1_54128456121462410464578910174567[[#This Row],[Type]],Main[[#All],[TYPE]:[UNIT]],'Unit Price'!D$1,FALSE),0)</f>
        <v>0</v>
      </c>
      <c r="I585" s="194">
        <f>IF(_1_54128456121462410464578910174567[[#This Row],[Type]]&gt;0,VLOOKUP(_1_54128456121462410464578910174567[[#This Row],[Type]],Main[[#All],[TYPE]:[UNIT]],'Unit Price'!G$1,FALSE),0)</f>
        <v>0</v>
      </c>
      <c r="J585" s="194">
        <f>IF(_1_54128456121462410464578910174567[[#This Row],[Type]]&gt;0,VLOOKUP(_1_54128456121462410464578910174567[[#This Row],[Type]],Main[[#All],[TYPE]:[UNIT]],'Unit Price'!H$1,FALSE),0)</f>
        <v>0</v>
      </c>
      <c r="K585" s="194">
        <f>IF(_1_54128456121462410464578910174567[[#This Row],[Discount selection]]&gt;0,VLOOKUP(_1_54128456121462410464578910174567[[#This Row],[Discount selection]],'Discount Structure'!$A$2:$B$30,2,"false"),0)</f>
        <v>1</v>
      </c>
      <c r="L585" s="194">
        <f>_1_54128456121462410464578910174567[[#This Row],[LIST $]]*_1_54128456121462410464578910174567[[#This Row],[DISCOUNT]]*_1_54128456121462410464578910174567[[#This Row],[DISCOUNT 2]]</f>
        <v>0</v>
      </c>
      <c r="M585" s="194">
        <f>IF(OR(_1_54128456121462410464578910174567[[#This Row],[UNIT]]&gt;0,_1_54128456121462410464578910174567[[#This Row],[UNIT]]&lt;0),_1_54128456121462410464578910174567[[#This Row],[UNIT]]*_1_54128456121462410464578910174567[[#This Row],[COST]],0)</f>
        <v>0</v>
      </c>
      <c r="N585" s="194">
        <f t="shared" si="8"/>
        <v>1.3</v>
      </c>
      <c r="O585" s="198">
        <f>_1_54128456121462410464578910174567[[#This Row],[TOTAL]]*_1_54128456121462410464578910174567[[#This Row],[MARGIN]]</f>
        <v>0</v>
      </c>
      <c r="R585" s="41"/>
    </row>
    <row r="586" spans="1:18">
      <c r="D586" s="188"/>
      <c r="F586" s="168" t="s">
        <v>6202</v>
      </c>
      <c r="G586" s="193">
        <f>IF(_1_54128456121462410464578910174567[[#This Row],[Type]]&gt;0,VLOOKUP(_1_54128456121462410464578910174567[[#This Row],[Type]],Main[[#All],[TYPE]:[UNIT]],'Unit Price'!C$1,FALSE),0)</f>
        <v>0</v>
      </c>
      <c r="H586" s="197">
        <f>IF(_1_54128456121462410464578910174567[[#This Row],[Type]]&gt;0,VLOOKUP(_1_54128456121462410464578910174567[[#This Row],[Type]],Main[[#All],[TYPE]:[UNIT]],'Unit Price'!D$1,FALSE),0)</f>
        <v>0</v>
      </c>
      <c r="I586" s="194">
        <f>IF(_1_54128456121462410464578910174567[[#This Row],[Type]]&gt;0,VLOOKUP(_1_54128456121462410464578910174567[[#This Row],[Type]],Main[[#All],[TYPE]:[UNIT]],'Unit Price'!G$1,FALSE),0)</f>
        <v>0</v>
      </c>
      <c r="J586" s="194">
        <f>IF(_1_54128456121462410464578910174567[[#This Row],[Type]]&gt;0,VLOOKUP(_1_54128456121462410464578910174567[[#This Row],[Type]],Main[[#All],[TYPE]:[UNIT]],'Unit Price'!H$1,FALSE),0)</f>
        <v>0</v>
      </c>
      <c r="K586" s="194">
        <f>IF(_1_54128456121462410464578910174567[[#This Row],[Discount selection]]&gt;0,VLOOKUP(_1_54128456121462410464578910174567[[#This Row],[Discount selection]],'Discount Structure'!$A$2:$B$30,2,"false"),0)</f>
        <v>1</v>
      </c>
      <c r="L586" s="194">
        <f>_1_54128456121462410464578910174567[[#This Row],[LIST $]]*_1_54128456121462410464578910174567[[#This Row],[DISCOUNT]]*_1_54128456121462410464578910174567[[#This Row],[DISCOUNT 2]]</f>
        <v>0</v>
      </c>
      <c r="M586" s="194">
        <f>IF(OR(_1_54128456121462410464578910174567[[#This Row],[UNIT]]&gt;0,_1_54128456121462410464578910174567[[#This Row],[UNIT]]&lt;0),_1_54128456121462410464578910174567[[#This Row],[UNIT]]*_1_54128456121462410464578910174567[[#This Row],[COST]],0)</f>
        <v>0</v>
      </c>
      <c r="N586" s="194">
        <f t="shared" ref="N586:N649" si="9">$N$7</f>
        <v>1.3</v>
      </c>
      <c r="O586" s="198">
        <f>_1_54128456121462410464578910174567[[#This Row],[TOTAL]]*_1_54128456121462410464578910174567[[#This Row],[MARGIN]]</f>
        <v>0</v>
      </c>
      <c r="R586" s="41"/>
    </row>
    <row r="587" spans="1:18">
      <c r="D587" s="188"/>
      <c r="F587" s="168" t="s">
        <v>6202</v>
      </c>
      <c r="G587" s="193">
        <f>IF(_1_54128456121462410464578910174567[[#This Row],[Type]]&gt;0,VLOOKUP(_1_54128456121462410464578910174567[[#This Row],[Type]],Main[[#All],[TYPE]:[UNIT]],'Unit Price'!C$1,FALSE),0)</f>
        <v>0</v>
      </c>
      <c r="H587" s="197">
        <f>IF(_1_54128456121462410464578910174567[[#This Row],[Type]]&gt;0,VLOOKUP(_1_54128456121462410464578910174567[[#This Row],[Type]],Main[[#All],[TYPE]:[UNIT]],'Unit Price'!D$1,FALSE),0)</f>
        <v>0</v>
      </c>
      <c r="I587" s="194">
        <f>IF(_1_54128456121462410464578910174567[[#This Row],[Type]]&gt;0,VLOOKUP(_1_54128456121462410464578910174567[[#This Row],[Type]],Main[[#All],[TYPE]:[UNIT]],'Unit Price'!G$1,FALSE),0)</f>
        <v>0</v>
      </c>
      <c r="J587" s="194">
        <f>IF(_1_54128456121462410464578910174567[[#This Row],[Type]]&gt;0,VLOOKUP(_1_54128456121462410464578910174567[[#This Row],[Type]],Main[[#All],[TYPE]:[UNIT]],'Unit Price'!H$1,FALSE),0)</f>
        <v>0</v>
      </c>
      <c r="K587" s="194">
        <f>IF(_1_54128456121462410464578910174567[[#This Row],[Discount selection]]&gt;0,VLOOKUP(_1_54128456121462410464578910174567[[#This Row],[Discount selection]],'Discount Structure'!$A$2:$B$30,2,"false"),0)</f>
        <v>1</v>
      </c>
      <c r="L587" s="194">
        <f>_1_54128456121462410464578910174567[[#This Row],[LIST $]]*_1_54128456121462410464578910174567[[#This Row],[DISCOUNT]]*_1_54128456121462410464578910174567[[#This Row],[DISCOUNT 2]]</f>
        <v>0</v>
      </c>
      <c r="M587" s="194">
        <f>IF(OR(_1_54128456121462410464578910174567[[#This Row],[UNIT]]&gt;0,_1_54128456121462410464578910174567[[#This Row],[UNIT]]&lt;0),_1_54128456121462410464578910174567[[#This Row],[UNIT]]*_1_54128456121462410464578910174567[[#This Row],[COST]],0)</f>
        <v>0</v>
      </c>
      <c r="N587" s="194">
        <f t="shared" si="9"/>
        <v>1.3</v>
      </c>
      <c r="O587" s="198">
        <f>_1_54128456121462410464578910174567[[#This Row],[TOTAL]]*_1_54128456121462410464578910174567[[#This Row],[MARGIN]]</f>
        <v>0</v>
      </c>
      <c r="R587" s="41"/>
    </row>
    <row r="588" spans="1:18">
      <c r="D588" s="188"/>
      <c r="F588" s="168" t="s">
        <v>6202</v>
      </c>
      <c r="G588" s="193">
        <f>IF(_1_54128456121462410464578910174567[[#This Row],[Type]]&gt;0,VLOOKUP(_1_54128456121462410464578910174567[[#This Row],[Type]],Main[[#All],[TYPE]:[UNIT]],'Unit Price'!C$1,FALSE),0)</f>
        <v>0</v>
      </c>
      <c r="H588" s="197">
        <f>IF(_1_54128456121462410464578910174567[[#This Row],[Type]]&gt;0,VLOOKUP(_1_54128456121462410464578910174567[[#This Row],[Type]],Main[[#All],[TYPE]:[UNIT]],'Unit Price'!D$1,FALSE),0)</f>
        <v>0</v>
      </c>
      <c r="I588" s="194">
        <f>IF(_1_54128456121462410464578910174567[[#This Row],[Type]]&gt;0,VLOOKUP(_1_54128456121462410464578910174567[[#This Row],[Type]],Main[[#All],[TYPE]:[UNIT]],'Unit Price'!G$1,FALSE),0)</f>
        <v>0</v>
      </c>
      <c r="J588" s="194">
        <f>IF(_1_54128456121462410464578910174567[[#This Row],[Type]]&gt;0,VLOOKUP(_1_54128456121462410464578910174567[[#This Row],[Type]],Main[[#All],[TYPE]:[UNIT]],'Unit Price'!H$1,FALSE),0)</f>
        <v>0</v>
      </c>
      <c r="K588" s="194">
        <f>IF(_1_54128456121462410464578910174567[[#This Row],[Discount selection]]&gt;0,VLOOKUP(_1_54128456121462410464578910174567[[#This Row],[Discount selection]],'Discount Structure'!$A$2:$B$30,2,"false"),0)</f>
        <v>1</v>
      </c>
      <c r="L588" s="194">
        <f>_1_54128456121462410464578910174567[[#This Row],[LIST $]]*_1_54128456121462410464578910174567[[#This Row],[DISCOUNT]]*_1_54128456121462410464578910174567[[#This Row],[DISCOUNT 2]]</f>
        <v>0</v>
      </c>
      <c r="M588" s="194">
        <f>IF(OR(_1_54128456121462410464578910174567[[#This Row],[UNIT]]&gt;0,_1_54128456121462410464578910174567[[#This Row],[UNIT]]&lt;0),_1_54128456121462410464578910174567[[#This Row],[UNIT]]*_1_54128456121462410464578910174567[[#This Row],[COST]],0)</f>
        <v>0</v>
      </c>
      <c r="N588" s="194">
        <f t="shared" si="9"/>
        <v>1.3</v>
      </c>
      <c r="O588" s="198">
        <f>_1_54128456121462410464578910174567[[#This Row],[TOTAL]]*_1_54128456121462410464578910174567[[#This Row],[MARGIN]]</f>
        <v>0</v>
      </c>
      <c r="R588" s="41"/>
    </row>
    <row r="589" spans="1:18">
      <c r="D589" s="188"/>
      <c r="F589" s="168" t="s">
        <v>6202</v>
      </c>
      <c r="G589" s="193">
        <f>IF(_1_54128456121462410464578910174567[[#This Row],[Type]]&gt;0,VLOOKUP(_1_54128456121462410464578910174567[[#This Row],[Type]],Main[[#All],[TYPE]:[UNIT]],'Unit Price'!C$1,FALSE),0)</f>
        <v>0</v>
      </c>
      <c r="H589" s="197">
        <f>IF(_1_54128456121462410464578910174567[[#This Row],[Type]]&gt;0,VLOOKUP(_1_54128456121462410464578910174567[[#This Row],[Type]],Main[[#All],[TYPE]:[UNIT]],'Unit Price'!D$1,FALSE),0)</f>
        <v>0</v>
      </c>
      <c r="I589" s="194">
        <f>IF(_1_54128456121462410464578910174567[[#This Row],[Type]]&gt;0,VLOOKUP(_1_54128456121462410464578910174567[[#This Row],[Type]],Main[[#All],[TYPE]:[UNIT]],'Unit Price'!G$1,FALSE),0)</f>
        <v>0</v>
      </c>
      <c r="J589" s="194">
        <f>IF(_1_54128456121462410464578910174567[[#This Row],[Type]]&gt;0,VLOOKUP(_1_54128456121462410464578910174567[[#This Row],[Type]],Main[[#All],[TYPE]:[UNIT]],'Unit Price'!H$1,FALSE),0)</f>
        <v>0</v>
      </c>
      <c r="K589" s="194">
        <f>IF(_1_54128456121462410464578910174567[[#This Row],[Discount selection]]&gt;0,VLOOKUP(_1_54128456121462410464578910174567[[#This Row],[Discount selection]],'Discount Structure'!$A$2:$B$30,2,"false"),0)</f>
        <v>1</v>
      </c>
      <c r="L589" s="194">
        <f>_1_54128456121462410464578910174567[[#This Row],[LIST $]]*_1_54128456121462410464578910174567[[#This Row],[DISCOUNT]]*_1_54128456121462410464578910174567[[#This Row],[DISCOUNT 2]]</f>
        <v>0</v>
      </c>
      <c r="M589" s="194">
        <f>IF(OR(_1_54128456121462410464578910174567[[#This Row],[UNIT]]&gt;0,_1_54128456121462410464578910174567[[#This Row],[UNIT]]&lt;0),_1_54128456121462410464578910174567[[#This Row],[UNIT]]*_1_54128456121462410464578910174567[[#This Row],[COST]],0)</f>
        <v>0</v>
      </c>
      <c r="N589" s="194">
        <f t="shared" si="9"/>
        <v>1.3</v>
      </c>
      <c r="O589" s="198">
        <f>_1_54128456121462410464578910174567[[#This Row],[TOTAL]]*_1_54128456121462410464578910174567[[#This Row],[MARGIN]]</f>
        <v>0</v>
      </c>
      <c r="R589" s="41"/>
    </row>
    <row r="590" spans="1:18">
      <c r="D590" s="188"/>
      <c r="F590" s="168" t="s">
        <v>6202</v>
      </c>
      <c r="G590" s="193">
        <f>IF(_1_54128456121462410464578910174567[[#This Row],[Type]]&gt;0,VLOOKUP(_1_54128456121462410464578910174567[[#This Row],[Type]],Main[[#All],[TYPE]:[UNIT]],'Unit Price'!C$1,FALSE),0)</f>
        <v>0</v>
      </c>
      <c r="H590" s="197">
        <f>IF(_1_54128456121462410464578910174567[[#This Row],[Type]]&gt;0,VLOOKUP(_1_54128456121462410464578910174567[[#This Row],[Type]],Main[[#All],[TYPE]:[UNIT]],'Unit Price'!D$1,FALSE),0)</f>
        <v>0</v>
      </c>
      <c r="I590" s="194">
        <f>IF(_1_54128456121462410464578910174567[[#This Row],[Type]]&gt;0,VLOOKUP(_1_54128456121462410464578910174567[[#This Row],[Type]],Main[[#All],[TYPE]:[UNIT]],'Unit Price'!G$1,FALSE),0)</f>
        <v>0</v>
      </c>
      <c r="J590" s="194">
        <f>IF(_1_54128456121462410464578910174567[[#This Row],[Type]]&gt;0,VLOOKUP(_1_54128456121462410464578910174567[[#This Row],[Type]],Main[[#All],[TYPE]:[UNIT]],'Unit Price'!H$1,FALSE),0)</f>
        <v>0</v>
      </c>
      <c r="K590" s="194">
        <f>IF(_1_54128456121462410464578910174567[[#This Row],[Discount selection]]&gt;0,VLOOKUP(_1_54128456121462410464578910174567[[#This Row],[Discount selection]],'Discount Structure'!$A$2:$B$30,2,"false"),0)</f>
        <v>1</v>
      </c>
      <c r="L590" s="194">
        <f>_1_54128456121462410464578910174567[[#This Row],[LIST $]]*_1_54128456121462410464578910174567[[#This Row],[DISCOUNT]]*_1_54128456121462410464578910174567[[#This Row],[DISCOUNT 2]]</f>
        <v>0</v>
      </c>
      <c r="M590" s="194">
        <f>IF(OR(_1_54128456121462410464578910174567[[#This Row],[UNIT]]&gt;0,_1_54128456121462410464578910174567[[#This Row],[UNIT]]&lt;0),_1_54128456121462410464578910174567[[#This Row],[UNIT]]*_1_54128456121462410464578910174567[[#This Row],[COST]],0)</f>
        <v>0</v>
      </c>
      <c r="N590" s="194">
        <f t="shared" si="9"/>
        <v>1.3</v>
      </c>
      <c r="O590" s="198">
        <f>_1_54128456121462410464578910174567[[#This Row],[TOTAL]]*_1_54128456121462410464578910174567[[#This Row],[MARGIN]]</f>
        <v>0</v>
      </c>
      <c r="R590" s="41"/>
    </row>
    <row r="591" spans="1:18">
      <c r="D591" s="188"/>
      <c r="F591" s="168" t="s">
        <v>6202</v>
      </c>
      <c r="G591" s="193">
        <f>IF(_1_54128456121462410464578910174567[[#This Row],[Type]]&gt;0,VLOOKUP(_1_54128456121462410464578910174567[[#This Row],[Type]],Main[[#All],[TYPE]:[UNIT]],'Unit Price'!C$1,FALSE),0)</f>
        <v>0</v>
      </c>
      <c r="H591" s="197">
        <f>IF(_1_54128456121462410464578910174567[[#This Row],[Type]]&gt;0,VLOOKUP(_1_54128456121462410464578910174567[[#This Row],[Type]],Main[[#All],[TYPE]:[UNIT]],'Unit Price'!D$1,FALSE),0)</f>
        <v>0</v>
      </c>
      <c r="I591" s="194">
        <f>IF(_1_54128456121462410464578910174567[[#This Row],[Type]]&gt;0,VLOOKUP(_1_54128456121462410464578910174567[[#This Row],[Type]],Main[[#All],[TYPE]:[UNIT]],'Unit Price'!G$1,FALSE),0)</f>
        <v>0</v>
      </c>
      <c r="J591" s="194">
        <f>IF(_1_54128456121462410464578910174567[[#This Row],[Type]]&gt;0,VLOOKUP(_1_54128456121462410464578910174567[[#This Row],[Type]],Main[[#All],[TYPE]:[UNIT]],'Unit Price'!H$1,FALSE),0)</f>
        <v>0</v>
      </c>
      <c r="K591" s="194">
        <f>IF(_1_54128456121462410464578910174567[[#This Row],[Discount selection]]&gt;0,VLOOKUP(_1_54128456121462410464578910174567[[#This Row],[Discount selection]],'Discount Structure'!$A$2:$B$30,2,"false"),0)</f>
        <v>1</v>
      </c>
      <c r="L591" s="194">
        <f>_1_54128456121462410464578910174567[[#This Row],[LIST $]]*_1_54128456121462410464578910174567[[#This Row],[DISCOUNT]]*_1_54128456121462410464578910174567[[#This Row],[DISCOUNT 2]]</f>
        <v>0</v>
      </c>
      <c r="M591" s="194">
        <f>IF(OR(_1_54128456121462410464578910174567[[#This Row],[UNIT]]&gt;0,_1_54128456121462410464578910174567[[#This Row],[UNIT]]&lt;0),_1_54128456121462410464578910174567[[#This Row],[UNIT]]*_1_54128456121462410464578910174567[[#This Row],[COST]],0)</f>
        <v>0</v>
      </c>
      <c r="N591" s="194">
        <f t="shared" si="9"/>
        <v>1.3</v>
      </c>
      <c r="O591" s="198">
        <f>_1_54128456121462410464578910174567[[#This Row],[TOTAL]]*_1_54128456121462410464578910174567[[#This Row],[MARGIN]]</f>
        <v>0</v>
      </c>
      <c r="R591" s="41"/>
    </row>
    <row r="592" spans="1:18">
      <c r="D592" s="188"/>
      <c r="F592" s="168" t="s">
        <v>6202</v>
      </c>
      <c r="G592" s="193">
        <f>IF(_1_54128456121462410464578910174567[[#This Row],[Type]]&gt;0,VLOOKUP(_1_54128456121462410464578910174567[[#This Row],[Type]],Main[[#All],[TYPE]:[UNIT]],'Unit Price'!C$1,FALSE),0)</f>
        <v>0</v>
      </c>
      <c r="H592" s="197">
        <f>IF(_1_54128456121462410464578910174567[[#This Row],[Type]]&gt;0,VLOOKUP(_1_54128456121462410464578910174567[[#This Row],[Type]],Main[[#All],[TYPE]:[UNIT]],'Unit Price'!D$1,FALSE),0)</f>
        <v>0</v>
      </c>
      <c r="I592" s="194">
        <f>IF(_1_54128456121462410464578910174567[[#This Row],[Type]]&gt;0,VLOOKUP(_1_54128456121462410464578910174567[[#This Row],[Type]],Main[[#All],[TYPE]:[UNIT]],'Unit Price'!G$1,FALSE),0)</f>
        <v>0</v>
      </c>
      <c r="J592" s="194">
        <f>IF(_1_54128456121462410464578910174567[[#This Row],[Type]]&gt;0,VLOOKUP(_1_54128456121462410464578910174567[[#This Row],[Type]],Main[[#All],[TYPE]:[UNIT]],'Unit Price'!H$1,FALSE),0)</f>
        <v>0</v>
      </c>
      <c r="K592" s="194">
        <f>IF(_1_54128456121462410464578910174567[[#This Row],[Discount selection]]&gt;0,VLOOKUP(_1_54128456121462410464578910174567[[#This Row],[Discount selection]],'Discount Structure'!$A$2:$B$30,2,"false"),0)</f>
        <v>1</v>
      </c>
      <c r="L592" s="194">
        <f>_1_54128456121462410464578910174567[[#This Row],[LIST $]]*_1_54128456121462410464578910174567[[#This Row],[DISCOUNT]]*_1_54128456121462410464578910174567[[#This Row],[DISCOUNT 2]]</f>
        <v>0</v>
      </c>
      <c r="M592" s="194">
        <f>IF(OR(_1_54128456121462410464578910174567[[#This Row],[UNIT]]&gt;0,_1_54128456121462410464578910174567[[#This Row],[UNIT]]&lt;0),_1_54128456121462410464578910174567[[#This Row],[UNIT]]*_1_54128456121462410464578910174567[[#This Row],[COST]],0)</f>
        <v>0</v>
      </c>
      <c r="N592" s="194">
        <f t="shared" si="9"/>
        <v>1.3</v>
      </c>
      <c r="O592" s="198">
        <f>_1_54128456121462410464578910174567[[#This Row],[TOTAL]]*_1_54128456121462410464578910174567[[#This Row],[MARGIN]]</f>
        <v>0</v>
      </c>
      <c r="R592" s="41"/>
    </row>
    <row r="593" spans="4:18">
      <c r="D593" s="188"/>
      <c r="F593" s="168" t="s">
        <v>6202</v>
      </c>
      <c r="G593" s="193">
        <f>IF(_1_54128456121462410464578910174567[[#This Row],[Type]]&gt;0,VLOOKUP(_1_54128456121462410464578910174567[[#This Row],[Type]],Main[[#All],[TYPE]:[UNIT]],'Unit Price'!C$1,FALSE),0)</f>
        <v>0</v>
      </c>
      <c r="H593" s="197">
        <f>IF(_1_54128456121462410464578910174567[[#This Row],[Type]]&gt;0,VLOOKUP(_1_54128456121462410464578910174567[[#This Row],[Type]],Main[[#All],[TYPE]:[UNIT]],'Unit Price'!D$1,FALSE),0)</f>
        <v>0</v>
      </c>
      <c r="I593" s="194">
        <f>IF(_1_54128456121462410464578910174567[[#This Row],[Type]]&gt;0,VLOOKUP(_1_54128456121462410464578910174567[[#This Row],[Type]],Main[[#All],[TYPE]:[UNIT]],'Unit Price'!G$1,FALSE),0)</f>
        <v>0</v>
      </c>
      <c r="J593" s="194">
        <f>IF(_1_54128456121462410464578910174567[[#This Row],[Type]]&gt;0,VLOOKUP(_1_54128456121462410464578910174567[[#This Row],[Type]],Main[[#All],[TYPE]:[UNIT]],'Unit Price'!H$1,FALSE),0)</f>
        <v>0</v>
      </c>
      <c r="K593" s="194">
        <f>IF(_1_54128456121462410464578910174567[[#This Row],[Discount selection]]&gt;0,VLOOKUP(_1_54128456121462410464578910174567[[#This Row],[Discount selection]],'Discount Structure'!$A$2:$B$30,2,"false"),0)</f>
        <v>1</v>
      </c>
      <c r="L593" s="194">
        <f>_1_54128456121462410464578910174567[[#This Row],[LIST $]]*_1_54128456121462410464578910174567[[#This Row],[DISCOUNT]]*_1_54128456121462410464578910174567[[#This Row],[DISCOUNT 2]]</f>
        <v>0</v>
      </c>
      <c r="M593" s="194">
        <f>IF(OR(_1_54128456121462410464578910174567[[#This Row],[UNIT]]&gt;0,_1_54128456121462410464578910174567[[#This Row],[UNIT]]&lt;0),_1_54128456121462410464578910174567[[#This Row],[UNIT]]*_1_54128456121462410464578910174567[[#This Row],[COST]],0)</f>
        <v>0</v>
      </c>
      <c r="N593" s="194">
        <f t="shared" si="9"/>
        <v>1.3</v>
      </c>
      <c r="O593" s="198">
        <f>_1_54128456121462410464578910174567[[#This Row],[TOTAL]]*_1_54128456121462410464578910174567[[#This Row],[MARGIN]]</f>
        <v>0</v>
      </c>
      <c r="R593" s="41"/>
    </row>
    <row r="594" spans="4:18">
      <c r="D594" s="188"/>
      <c r="F594" s="168" t="s">
        <v>6202</v>
      </c>
      <c r="G594" s="193">
        <f>IF(_1_54128456121462410464578910174567[[#This Row],[Type]]&gt;0,VLOOKUP(_1_54128456121462410464578910174567[[#This Row],[Type]],Main[[#All],[TYPE]:[UNIT]],'Unit Price'!C$1,FALSE),0)</f>
        <v>0</v>
      </c>
      <c r="H594" s="197">
        <f>IF(_1_54128456121462410464578910174567[[#This Row],[Type]]&gt;0,VLOOKUP(_1_54128456121462410464578910174567[[#This Row],[Type]],Main[[#All],[TYPE]:[UNIT]],'Unit Price'!D$1,FALSE),0)</f>
        <v>0</v>
      </c>
      <c r="I594" s="194">
        <f>IF(_1_54128456121462410464578910174567[[#This Row],[Type]]&gt;0,VLOOKUP(_1_54128456121462410464578910174567[[#This Row],[Type]],Main[[#All],[TYPE]:[UNIT]],'Unit Price'!G$1,FALSE),0)</f>
        <v>0</v>
      </c>
      <c r="J594" s="194">
        <f>IF(_1_54128456121462410464578910174567[[#This Row],[Type]]&gt;0,VLOOKUP(_1_54128456121462410464578910174567[[#This Row],[Type]],Main[[#All],[TYPE]:[UNIT]],'Unit Price'!H$1,FALSE),0)</f>
        <v>0</v>
      </c>
      <c r="K594" s="194">
        <f>IF(_1_54128456121462410464578910174567[[#This Row],[Discount selection]]&gt;0,VLOOKUP(_1_54128456121462410464578910174567[[#This Row],[Discount selection]],'Discount Structure'!$A$2:$B$30,2,"false"),0)</f>
        <v>1</v>
      </c>
      <c r="L594" s="194">
        <f>_1_54128456121462410464578910174567[[#This Row],[LIST $]]*_1_54128456121462410464578910174567[[#This Row],[DISCOUNT]]*_1_54128456121462410464578910174567[[#This Row],[DISCOUNT 2]]</f>
        <v>0</v>
      </c>
      <c r="M594" s="194">
        <f>IF(OR(_1_54128456121462410464578910174567[[#This Row],[UNIT]]&gt;0,_1_54128456121462410464578910174567[[#This Row],[UNIT]]&lt;0),_1_54128456121462410464578910174567[[#This Row],[UNIT]]*_1_54128456121462410464578910174567[[#This Row],[COST]],0)</f>
        <v>0</v>
      </c>
      <c r="N594" s="194">
        <f t="shared" si="9"/>
        <v>1.3</v>
      </c>
      <c r="O594" s="198">
        <f>_1_54128456121462410464578910174567[[#This Row],[TOTAL]]*_1_54128456121462410464578910174567[[#This Row],[MARGIN]]</f>
        <v>0</v>
      </c>
      <c r="R594" s="41"/>
    </row>
    <row r="595" spans="4:18">
      <c r="D595" s="188"/>
      <c r="F595" s="168" t="s">
        <v>6202</v>
      </c>
      <c r="G595" s="193">
        <f>IF(_1_54128456121462410464578910174567[[#This Row],[Type]]&gt;0,VLOOKUP(_1_54128456121462410464578910174567[[#This Row],[Type]],Main[[#All],[TYPE]:[UNIT]],'Unit Price'!C$1,FALSE),0)</f>
        <v>0</v>
      </c>
      <c r="H595" s="197">
        <f>IF(_1_54128456121462410464578910174567[[#This Row],[Type]]&gt;0,VLOOKUP(_1_54128456121462410464578910174567[[#This Row],[Type]],Main[[#All],[TYPE]:[UNIT]],'Unit Price'!D$1,FALSE),0)</f>
        <v>0</v>
      </c>
      <c r="I595" s="194">
        <f>IF(_1_54128456121462410464578910174567[[#This Row],[Type]]&gt;0,VLOOKUP(_1_54128456121462410464578910174567[[#This Row],[Type]],Main[[#All],[TYPE]:[UNIT]],'Unit Price'!G$1,FALSE),0)</f>
        <v>0</v>
      </c>
      <c r="J595" s="194">
        <f>IF(_1_54128456121462410464578910174567[[#This Row],[Type]]&gt;0,VLOOKUP(_1_54128456121462410464578910174567[[#This Row],[Type]],Main[[#All],[TYPE]:[UNIT]],'Unit Price'!H$1,FALSE),0)</f>
        <v>0</v>
      </c>
      <c r="K595" s="194">
        <f>IF(_1_54128456121462410464578910174567[[#This Row],[Discount selection]]&gt;0,VLOOKUP(_1_54128456121462410464578910174567[[#This Row],[Discount selection]],'Discount Structure'!$A$2:$B$30,2,"false"),0)</f>
        <v>1</v>
      </c>
      <c r="L595" s="194">
        <f>_1_54128456121462410464578910174567[[#This Row],[LIST $]]*_1_54128456121462410464578910174567[[#This Row],[DISCOUNT]]*_1_54128456121462410464578910174567[[#This Row],[DISCOUNT 2]]</f>
        <v>0</v>
      </c>
      <c r="M595" s="194">
        <f>IF(OR(_1_54128456121462410464578910174567[[#This Row],[UNIT]]&gt;0,_1_54128456121462410464578910174567[[#This Row],[UNIT]]&lt;0),_1_54128456121462410464578910174567[[#This Row],[UNIT]]*_1_54128456121462410464578910174567[[#This Row],[COST]],0)</f>
        <v>0</v>
      </c>
      <c r="N595" s="194">
        <f t="shared" si="9"/>
        <v>1.3</v>
      </c>
      <c r="O595" s="198">
        <f>_1_54128456121462410464578910174567[[#This Row],[TOTAL]]*_1_54128456121462410464578910174567[[#This Row],[MARGIN]]</f>
        <v>0</v>
      </c>
      <c r="R595" s="41"/>
    </row>
    <row r="596" spans="4:18">
      <c r="D596" s="188"/>
      <c r="F596" s="168" t="s">
        <v>6202</v>
      </c>
      <c r="G596" s="193">
        <f>IF(_1_54128456121462410464578910174567[[#This Row],[Type]]&gt;0,VLOOKUP(_1_54128456121462410464578910174567[[#This Row],[Type]],Main[[#All],[TYPE]:[UNIT]],'Unit Price'!C$1,FALSE),0)</f>
        <v>0</v>
      </c>
      <c r="H596" s="197">
        <f>IF(_1_54128456121462410464578910174567[[#This Row],[Type]]&gt;0,VLOOKUP(_1_54128456121462410464578910174567[[#This Row],[Type]],Main[[#All],[TYPE]:[UNIT]],'Unit Price'!D$1,FALSE),0)</f>
        <v>0</v>
      </c>
      <c r="I596" s="194">
        <f>IF(_1_54128456121462410464578910174567[[#This Row],[Type]]&gt;0,VLOOKUP(_1_54128456121462410464578910174567[[#This Row],[Type]],Main[[#All],[TYPE]:[UNIT]],'Unit Price'!G$1,FALSE),0)</f>
        <v>0</v>
      </c>
      <c r="J596" s="194">
        <f>IF(_1_54128456121462410464578910174567[[#This Row],[Type]]&gt;0,VLOOKUP(_1_54128456121462410464578910174567[[#This Row],[Type]],Main[[#All],[TYPE]:[UNIT]],'Unit Price'!H$1,FALSE),0)</f>
        <v>0</v>
      </c>
      <c r="K596" s="194">
        <f>IF(_1_54128456121462410464578910174567[[#This Row],[Discount selection]]&gt;0,VLOOKUP(_1_54128456121462410464578910174567[[#This Row],[Discount selection]],'Discount Structure'!$A$2:$B$30,2,"false"),0)</f>
        <v>1</v>
      </c>
      <c r="L596" s="194">
        <f>_1_54128456121462410464578910174567[[#This Row],[LIST $]]*_1_54128456121462410464578910174567[[#This Row],[DISCOUNT]]*_1_54128456121462410464578910174567[[#This Row],[DISCOUNT 2]]</f>
        <v>0</v>
      </c>
      <c r="M596" s="194">
        <f>IF(OR(_1_54128456121462410464578910174567[[#This Row],[UNIT]]&gt;0,_1_54128456121462410464578910174567[[#This Row],[UNIT]]&lt;0),_1_54128456121462410464578910174567[[#This Row],[UNIT]]*_1_54128456121462410464578910174567[[#This Row],[COST]],0)</f>
        <v>0</v>
      </c>
      <c r="N596" s="194">
        <f t="shared" si="9"/>
        <v>1.3</v>
      </c>
      <c r="O596" s="198">
        <f>_1_54128456121462410464578910174567[[#This Row],[TOTAL]]*_1_54128456121462410464578910174567[[#This Row],[MARGIN]]</f>
        <v>0</v>
      </c>
      <c r="R596" s="41"/>
    </row>
    <row r="597" spans="4:18">
      <c r="D597" s="188"/>
      <c r="F597" s="168" t="s">
        <v>6202</v>
      </c>
      <c r="G597" s="193">
        <f>IF(_1_54128456121462410464578910174567[[#This Row],[Type]]&gt;0,VLOOKUP(_1_54128456121462410464578910174567[[#This Row],[Type]],Main[[#All],[TYPE]:[UNIT]],'Unit Price'!C$1,FALSE),0)</f>
        <v>0</v>
      </c>
      <c r="H597" s="197">
        <f>IF(_1_54128456121462410464578910174567[[#This Row],[Type]]&gt;0,VLOOKUP(_1_54128456121462410464578910174567[[#This Row],[Type]],Main[[#All],[TYPE]:[UNIT]],'Unit Price'!D$1,FALSE),0)</f>
        <v>0</v>
      </c>
      <c r="I597" s="194">
        <f>IF(_1_54128456121462410464578910174567[[#This Row],[Type]]&gt;0,VLOOKUP(_1_54128456121462410464578910174567[[#This Row],[Type]],Main[[#All],[TYPE]:[UNIT]],'Unit Price'!G$1,FALSE),0)</f>
        <v>0</v>
      </c>
      <c r="J597" s="194">
        <f>IF(_1_54128456121462410464578910174567[[#This Row],[Type]]&gt;0,VLOOKUP(_1_54128456121462410464578910174567[[#This Row],[Type]],Main[[#All],[TYPE]:[UNIT]],'Unit Price'!H$1,FALSE),0)</f>
        <v>0</v>
      </c>
      <c r="K597" s="194">
        <f>IF(_1_54128456121462410464578910174567[[#This Row],[Discount selection]]&gt;0,VLOOKUP(_1_54128456121462410464578910174567[[#This Row],[Discount selection]],'Discount Structure'!$A$2:$B$30,2,"false"),0)</f>
        <v>1</v>
      </c>
      <c r="L597" s="194">
        <f>_1_54128456121462410464578910174567[[#This Row],[LIST $]]*_1_54128456121462410464578910174567[[#This Row],[DISCOUNT]]*_1_54128456121462410464578910174567[[#This Row],[DISCOUNT 2]]</f>
        <v>0</v>
      </c>
      <c r="M597" s="194">
        <f>IF(OR(_1_54128456121462410464578910174567[[#This Row],[UNIT]]&gt;0,_1_54128456121462410464578910174567[[#This Row],[UNIT]]&lt;0),_1_54128456121462410464578910174567[[#This Row],[UNIT]]*_1_54128456121462410464578910174567[[#This Row],[COST]],0)</f>
        <v>0</v>
      </c>
      <c r="N597" s="194">
        <f t="shared" si="9"/>
        <v>1.3</v>
      </c>
      <c r="O597" s="198">
        <f>_1_54128456121462410464578910174567[[#This Row],[TOTAL]]*_1_54128456121462410464578910174567[[#This Row],[MARGIN]]</f>
        <v>0</v>
      </c>
      <c r="R597" s="41"/>
    </row>
    <row r="598" spans="4:18">
      <c r="D598" s="188"/>
      <c r="F598" s="168" t="s">
        <v>6202</v>
      </c>
      <c r="G598" s="193">
        <f>IF(_1_54128456121462410464578910174567[[#This Row],[Type]]&gt;0,VLOOKUP(_1_54128456121462410464578910174567[[#This Row],[Type]],Main[[#All],[TYPE]:[UNIT]],'Unit Price'!C$1,FALSE),0)</f>
        <v>0</v>
      </c>
      <c r="H598" s="197">
        <f>IF(_1_54128456121462410464578910174567[[#This Row],[Type]]&gt;0,VLOOKUP(_1_54128456121462410464578910174567[[#This Row],[Type]],Main[[#All],[TYPE]:[UNIT]],'Unit Price'!D$1,FALSE),0)</f>
        <v>0</v>
      </c>
      <c r="I598" s="194">
        <f>IF(_1_54128456121462410464578910174567[[#This Row],[Type]]&gt;0,VLOOKUP(_1_54128456121462410464578910174567[[#This Row],[Type]],Main[[#All],[TYPE]:[UNIT]],'Unit Price'!G$1,FALSE),0)</f>
        <v>0</v>
      </c>
      <c r="J598" s="194">
        <f>IF(_1_54128456121462410464578910174567[[#This Row],[Type]]&gt;0,VLOOKUP(_1_54128456121462410464578910174567[[#This Row],[Type]],Main[[#All],[TYPE]:[UNIT]],'Unit Price'!H$1,FALSE),0)</f>
        <v>0</v>
      </c>
      <c r="K598" s="194">
        <f>IF(_1_54128456121462410464578910174567[[#This Row],[Discount selection]]&gt;0,VLOOKUP(_1_54128456121462410464578910174567[[#This Row],[Discount selection]],'Discount Structure'!$A$2:$B$30,2,"false"),0)</f>
        <v>1</v>
      </c>
      <c r="L598" s="194">
        <f>_1_54128456121462410464578910174567[[#This Row],[LIST $]]*_1_54128456121462410464578910174567[[#This Row],[DISCOUNT]]*_1_54128456121462410464578910174567[[#This Row],[DISCOUNT 2]]</f>
        <v>0</v>
      </c>
      <c r="M598" s="194">
        <f>IF(OR(_1_54128456121462410464578910174567[[#This Row],[UNIT]]&gt;0,_1_54128456121462410464578910174567[[#This Row],[UNIT]]&lt;0),_1_54128456121462410464578910174567[[#This Row],[UNIT]]*_1_54128456121462410464578910174567[[#This Row],[COST]],0)</f>
        <v>0</v>
      </c>
      <c r="N598" s="194">
        <f t="shared" si="9"/>
        <v>1.3</v>
      </c>
      <c r="O598" s="198">
        <f>_1_54128456121462410464578910174567[[#This Row],[TOTAL]]*_1_54128456121462410464578910174567[[#This Row],[MARGIN]]</f>
        <v>0</v>
      </c>
      <c r="R598" s="41"/>
    </row>
    <row r="599" spans="4:18">
      <c r="D599" s="188"/>
      <c r="F599" s="168" t="s">
        <v>6202</v>
      </c>
      <c r="G599" s="193">
        <f>IF(_1_54128456121462410464578910174567[[#This Row],[Type]]&gt;0,VLOOKUP(_1_54128456121462410464578910174567[[#This Row],[Type]],Main[[#All],[TYPE]:[UNIT]],'Unit Price'!C$1,FALSE),0)</f>
        <v>0</v>
      </c>
      <c r="H599" s="197">
        <f>IF(_1_54128456121462410464578910174567[[#This Row],[Type]]&gt;0,VLOOKUP(_1_54128456121462410464578910174567[[#This Row],[Type]],Main[[#All],[TYPE]:[UNIT]],'Unit Price'!D$1,FALSE),0)</f>
        <v>0</v>
      </c>
      <c r="I599" s="194">
        <f>IF(_1_54128456121462410464578910174567[[#This Row],[Type]]&gt;0,VLOOKUP(_1_54128456121462410464578910174567[[#This Row],[Type]],Main[[#All],[TYPE]:[UNIT]],'Unit Price'!G$1,FALSE),0)</f>
        <v>0</v>
      </c>
      <c r="J599" s="194">
        <f>IF(_1_54128456121462410464578910174567[[#This Row],[Type]]&gt;0,VLOOKUP(_1_54128456121462410464578910174567[[#This Row],[Type]],Main[[#All],[TYPE]:[UNIT]],'Unit Price'!H$1,FALSE),0)</f>
        <v>0</v>
      </c>
      <c r="K599" s="194">
        <f>IF(_1_54128456121462410464578910174567[[#This Row],[Discount selection]]&gt;0,VLOOKUP(_1_54128456121462410464578910174567[[#This Row],[Discount selection]],'Discount Structure'!$A$2:$B$30,2,"false"),0)</f>
        <v>1</v>
      </c>
      <c r="L599" s="194">
        <f>_1_54128456121462410464578910174567[[#This Row],[LIST $]]*_1_54128456121462410464578910174567[[#This Row],[DISCOUNT]]*_1_54128456121462410464578910174567[[#This Row],[DISCOUNT 2]]</f>
        <v>0</v>
      </c>
      <c r="M599" s="194">
        <f>IF(OR(_1_54128456121462410464578910174567[[#This Row],[UNIT]]&gt;0,_1_54128456121462410464578910174567[[#This Row],[UNIT]]&lt;0),_1_54128456121462410464578910174567[[#This Row],[UNIT]]*_1_54128456121462410464578910174567[[#This Row],[COST]],0)</f>
        <v>0</v>
      </c>
      <c r="N599" s="194">
        <f t="shared" si="9"/>
        <v>1.3</v>
      </c>
      <c r="O599" s="198">
        <f>_1_54128456121462410464578910174567[[#This Row],[TOTAL]]*_1_54128456121462410464578910174567[[#This Row],[MARGIN]]</f>
        <v>0</v>
      </c>
      <c r="R599" s="41"/>
    </row>
    <row r="600" spans="4:18">
      <c r="D600" s="188"/>
      <c r="F600" s="168" t="s">
        <v>6202</v>
      </c>
      <c r="G600" s="193">
        <f>IF(_1_54128456121462410464578910174567[[#This Row],[Type]]&gt;0,VLOOKUP(_1_54128456121462410464578910174567[[#This Row],[Type]],Main[[#All],[TYPE]:[UNIT]],'Unit Price'!C$1,FALSE),0)</f>
        <v>0</v>
      </c>
      <c r="H600" s="197">
        <f>IF(_1_54128456121462410464578910174567[[#This Row],[Type]]&gt;0,VLOOKUP(_1_54128456121462410464578910174567[[#This Row],[Type]],Main[[#All],[TYPE]:[UNIT]],'Unit Price'!D$1,FALSE),0)</f>
        <v>0</v>
      </c>
      <c r="I600" s="194">
        <f>IF(_1_54128456121462410464578910174567[[#This Row],[Type]]&gt;0,VLOOKUP(_1_54128456121462410464578910174567[[#This Row],[Type]],Main[[#All],[TYPE]:[UNIT]],'Unit Price'!G$1,FALSE),0)</f>
        <v>0</v>
      </c>
      <c r="J600" s="194">
        <f>IF(_1_54128456121462410464578910174567[[#This Row],[Type]]&gt;0,VLOOKUP(_1_54128456121462410464578910174567[[#This Row],[Type]],Main[[#All],[TYPE]:[UNIT]],'Unit Price'!H$1,FALSE),0)</f>
        <v>0</v>
      </c>
      <c r="K600" s="194">
        <f>IF(_1_54128456121462410464578910174567[[#This Row],[Discount selection]]&gt;0,VLOOKUP(_1_54128456121462410464578910174567[[#This Row],[Discount selection]],'Discount Structure'!$A$2:$B$30,2,"false"),0)</f>
        <v>1</v>
      </c>
      <c r="L600" s="194">
        <f>_1_54128456121462410464578910174567[[#This Row],[LIST $]]*_1_54128456121462410464578910174567[[#This Row],[DISCOUNT]]*_1_54128456121462410464578910174567[[#This Row],[DISCOUNT 2]]</f>
        <v>0</v>
      </c>
      <c r="M600" s="194">
        <f>IF(OR(_1_54128456121462410464578910174567[[#This Row],[UNIT]]&gt;0,_1_54128456121462410464578910174567[[#This Row],[UNIT]]&lt;0),_1_54128456121462410464578910174567[[#This Row],[UNIT]]*_1_54128456121462410464578910174567[[#This Row],[COST]],0)</f>
        <v>0</v>
      </c>
      <c r="N600" s="194">
        <f t="shared" si="9"/>
        <v>1.3</v>
      </c>
      <c r="O600" s="198">
        <f>_1_54128456121462410464578910174567[[#This Row],[TOTAL]]*_1_54128456121462410464578910174567[[#This Row],[MARGIN]]</f>
        <v>0</v>
      </c>
      <c r="R600" s="41"/>
    </row>
    <row r="601" spans="4:18">
      <c r="D601" s="188"/>
      <c r="F601" s="168" t="s">
        <v>6202</v>
      </c>
      <c r="G601" s="193">
        <f>IF(_1_54128456121462410464578910174567[[#This Row],[Type]]&gt;0,VLOOKUP(_1_54128456121462410464578910174567[[#This Row],[Type]],Main[[#All],[TYPE]:[UNIT]],'Unit Price'!C$1,FALSE),0)</f>
        <v>0</v>
      </c>
      <c r="H601" s="197">
        <f>IF(_1_54128456121462410464578910174567[[#This Row],[Type]]&gt;0,VLOOKUP(_1_54128456121462410464578910174567[[#This Row],[Type]],Main[[#All],[TYPE]:[UNIT]],'Unit Price'!D$1,FALSE),0)</f>
        <v>0</v>
      </c>
      <c r="I601" s="194">
        <f>IF(_1_54128456121462410464578910174567[[#This Row],[Type]]&gt;0,VLOOKUP(_1_54128456121462410464578910174567[[#This Row],[Type]],Main[[#All],[TYPE]:[UNIT]],'Unit Price'!G$1,FALSE),0)</f>
        <v>0</v>
      </c>
      <c r="J601" s="194">
        <f>IF(_1_54128456121462410464578910174567[[#This Row],[Type]]&gt;0,VLOOKUP(_1_54128456121462410464578910174567[[#This Row],[Type]],Main[[#All],[TYPE]:[UNIT]],'Unit Price'!H$1,FALSE),0)</f>
        <v>0</v>
      </c>
      <c r="K601" s="194">
        <f>IF(_1_54128456121462410464578910174567[[#This Row],[Discount selection]]&gt;0,VLOOKUP(_1_54128456121462410464578910174567[[#This Row],[Discount selection]],'Discount Structure'!$A$2:$B$30,2,"false"),0)</f>
        <v>1</v>
      </c>
      <c r="L601" s="194">
        <f>_1_54128456121462410464578910174567[[#This Row],[LIST $]]*_1_54128456121462410464578910174567[[#This Row],[DISCOUNT]]*_1_54128456121462410464578910174567[[#This Row],[DISCOUNT 2]]</f>
        <v>0</v>
      </c>
      <c r="M601" s="194">
        <f>IF(OR(_1_54128456121462410464578910174567[[#This Row],[UNIT]]&gt;0,_1_54128456121462410464578910174567[[#This Row],[UNIT]]&lt;0),_1_54128456121462410464578910174567[[#This Row],[UNIT]]*_1_54128456121462410464578910174567[[#This Row],[COST]],0)</f>
        <v>0</v>
      </c>
      <c r="N601" s="194">
        <f t="shared" si="9"/>
        <v>1.3</v>
      </c>
      <c r="O601" s="198">
        <f>_1_54128456121462410464578910174567[[#This Row],[TOTAL]]*_1_54128456121462410464578910174567[[#This Row],[MARGIN]]</f>
        <v>0</v>
      </c>
      <c r="R601" s="41"/>
    </row>
    <row r="602" spans="4:18">
      <c r="D602" s="188"/>
      <c r="F602" s="168" t="s">
        <v>6202</v>
      </c>
      <c r="G602" s="193">
        <f>IF(_1_54128456121462410464578910174567[[#This Row],[Type]]&gt;0,VLOOKUP(_1_54128456121462410464578910174567[[#This Row],[Type]],Main[[#All],[TYPE]:[UNIT]],'Unit Price'!C$1,FALSE),0)</f>
        <v>0</v>
      </c>
      <c r="H602" s="197">
        <f>IF(_1_54128456121462410464578910174567[[#This Row],[Type]]&gt;0,VLOOKUP(_1_54128456121462410464578910174567[[#This Row],[Type]],Main[[#All],[TYPE]:[UNIT]],'Unit Price'!D$1,FALSE),0)</f>
        <v>0</v>
      </c>
      <c r="I602" s="194">
        <f>IF(_1_54128456121462410464578910174567[[#This Row],[Type]]&gt;0,VLOOKUP(_1_54128456121462410464578910174567[[#This Row],[Type]],Main[[#All],[TYPE]:[UNIT]],'Unit Price'!G$1,FALSE),0)</f>
        <v>0</v>
      </c>
      <c r="J602" s="194">
        <f>IF(_1_54128456121462410464578910174567[[#This Row],[Type]]&gt;0,VLOOKUP(_1_54128456121462410464578910174567[[#This Row],[Type]],Main[[#All],[TYPE]:[UNIT]],'Unit Price'!H$1,FALSE),0)</f>
        <v>0</v>
      </c>
      <c r="K602" s="194">
        <f>IF(_1_54128456121462410464578910174567[[#This Row],[Discount selection]]&gt;0,VLOOKUP(_1_54128456121462410464578910174567[[#This Row],[Discount selection]],'Discount Structure'!$A$2:$B$30,2,"false"),0)</f>
        <v>1</v>
      </c>
      <c r="L602" s="194">
        <f>_1_54128456121462410464578910174567[[#This Row],[LIST $]]*_1_54128456121462410464578910174567[[#This Row],[DISCOUNT]]*_1_54128456121462410464578910174567[[#This Row],[DISCOUNT 2]]</f>
        <v>0</v>
      </c>
      <c r="M602" s="194">
        <f>IF(OR(_1_54128456121462410464578910174567[[#This Row],[UNIT]]&gt;0,_1_54128456121462410464578910174567[[#This Row],[UNIT]]&lt;0),_1_54128456121462410464578910174567[[#This Row],[UNIT]]*_1_54128456121462410464578910174567[[#This Row],[COST]],0)</f>
        <v>0</v>
      </c>
      <c r="N602" s="194">
        <f t="shared" si="9"/>
        <v>1.3</v>
      </c>
      <c r="O602" s="198">
        <f>_1_54128456121462410464578910174567[[#This Row],[TOTAL]]*_1_54128456121462410464578910174567[[#This Row],[MARGIN]]</f>
        <v>0</v>
      </c>
      <c r="R602" s="41"/>
    </row>
    <row r="603" spans="4:18">
      <c r="D603" s="188"/>
      <c r="F603" s="168" t="s">
        <v>6202</v>
      </c>
      <c r="G603" s="193">
        <f>IF(_1_54128456121462410464578910174567[[#This Row],[Type]]&gt;0,VLOOKUP(_1_54128456121462410464578910174567[[#This Row],[Type]],Main[[#All],[TYPE]:[UNIT]],'Unit Price'!C$1,FALSE),0)</f>
        <v>0</v>
      </c>
      <c r="H603" s="197">
        <f>IF(_1_54128456121462410464578910174567[[#This Row],[Type]]&gt;0,VLOOKUP(_1_54128456121462410464578910174567[[#This Row],[Type]],Main[[#All],[TYPE]:[UNIT]],'Unit Price'!D$1,FALSE),0)</f>
        <v>0</v>
      </c>
      <c r="I603" s="194">
        <f>IF(_1_54128456121462410464578910174567[[#This Row],[Type]]&gt;0,VLOOKUP(_1_54128456121462410464578910174567[[#This Row],[Type]],Main[[#All],[TYPE]:[UNIT]],'Unit Price'!G$1,FALSE),0)</f>
        <v>0</v>
      </c>
      <c r="J603" s="194">
        <f>IF(_1_54128456121462410464578910174567[[#This Row],[Type]]&gt;0,VLOOKUP(_1_54128456121462410464578910174567[[#This Row],[Type]],Main[[#All],[TYPE]:[UNIT]],'Unit Price'!H$1,FALSE),0)</f>
        <v>0</v>
      </c>
      <c r="K603" s="194">
        <f>IF(_1_54128456121462410464578910174567[[#This Row],[Discount selection]]&gt;0,VLOOKUP(_1_54128456121462410464578910174567[[#This Row],[Discount selection]],'Discount Structure'!$A$2:$B$30,2,"false"),0)</f>
        <v>1</v>
      </c>
      <c r="L603" s="194">
        <f>_1_54128456121462410464578910174567[[#This Row],[LIST $]]*_1_54128456121462410464578910174567[[#This Row],[DISCOUNT]]*_1_54128456121462410464578910174567[[#This Row],[DISCOUNT 2]]</f>
        <v>0</v>
      </c>
      <c r="M603" s="194">
        <f>IF(OR(_1_54128456121462410464578910174567[[#This Row],[UNIT]]&gt;0,_1_54128456121462410464578910174567[[#This Row],[UNIT]]&lt;0),_1_54128456121462410464578910174567[[#This Row],[UNIT]]*_1_54128456121462410464578910174567[[#This Row],[COST]],0)</f>
        <v>0</v>
      </c>
      <c r="N603" s="194">
        <f t="shared" si="9"/>
        <v>1.3</v>
      </c>
      <c r="O603" s="198">
        <f>_1_54128456121462410464578910174567[[#This Row],[TOTAL]]*_1_54128456121462410464578910174567[[#This Row],[MARGIN]]</f>
        <v>0</v>
      </c>
      <c r="R603" s="41"/>
    </row>
    <row r="604" spans="4:18">
      <c r="D604" s="188"/>
      <c r="F604" s="168" t="s">
        <v>6202</v>
      </c>
      <c r="G604" s="193">
        <f>IF(_1_54128456121462410464578910174567[[#This Row],[Type]]&gt;0,VLOOKUP(_1_54128456121462410464578910174567[[#This Row],[Type]],Main[[#All],[TYPE]:[UNIT]],'Unit Price'!C$1,FALSE),0)</f>
        <v>0</v>
      </c>
      <c r="H604" s="197">
        <f>IF(_1_54128456121462410464578910174567[[#This Row],[Type]]&gt;0,VLOOKUP(_1_54128456121462410464578910174567[[#This Row],[Type]],Main[[#All],[TYPE]:[UNIT]],'Unit Price'!D$1,FALSE),0)</f>
        <v>0</v>
      </c>
      <c r="I604" s="194">
        <f>IF(_1_54128456121462410464578910174567[[#This Row],[Type]]&gt;0,VLOOKUP(_1_54128456121462410464578910174567[[#This Row],[Type]],Main[[#All],[TYPE]:[UNIT]],'Unit Price'!G$1,FALSE),0)</f>
        <v>0</v>
      </c>
      <c r="J604" s="194">
        <f>IF(_1_54128456121462410464578910174567[[#This Row],[Type]]&gt;0,VLOOKUP(_1_54128456121462410464578910174567[[#This Row],[Type]],Main[[#All],[TYPE]:[UNIT]],'Unit Price'!H$1,FALSE),0)</f>
        <v>0</v>
      </c>
      <c r="K604" s="194">
        <f>IF(_1_54128456121462410464578910174567[[#This Row],[Discount selection]]&gt;0,VLOOKUP(_1_54128456121462410464578910174567[[#This Row],[Discount selection]],'Discount Structure'!$A$2:$B$30,2,"false"),0)</f>
        <v>1</v>
      </c>
      <c r="L604" s="194">
        <f>_1_54128456121462410464578910174567[[#This Row],[LIST $]]*_1_54128456121462410464578910174567[[#This Row],[DISCOUNT]]*_1_54128456121462410464578910174567[[#This Row],[DISCOUNT 2]]</f>
        <v>0</v>
      </c>
      <c r="M604" s="194">
        <f>IF(OR(_1_54128456121462410464578910174567[[#This Row],[UNIT]]&gt;0,_1_54128456121462410464578910174567[[#This Row],[UNIT]]&lt;0),_1_54128456121462410464578910174567[[#This Row],[UNIT]]*_1_54128456121462410464578910174567[[#This Row],[COST]],0)</f>
        <v>0</v>
      </c>
      <c r="N604" s="194">
        <f t="shared" si="9"/>
        <v>1.3</v>
      </c>
      <c r="O604" s="198">
        <f>_1_54128456121462410464578910174567[[#This Row],[TOTAL]]*_1_54128456121462410464578910174567[[#This Row],[MARGIN]]</f>
        <v>0</v>
      </c>
      <c r="R604" s="41"/>
    </row>
    <row r="605" spans="4:18">
      <c r="D605" s="188"/>
      <c r="F605" s="168" t="s">
        <v>6202</v>
      </c>
      <c r="G605" s="193">
        <f>IF(_1_54128456121462410464578910174567[[#This Row],[Type]]&gt;0,VLOOKUP(_1_54128456121462410464578910174567[[#This Row],[Type]],Main[[#All],[TYPE]:[UNIT]],'Unit Price'!C$1,FALSE),0)</f>
        <v>0</v>
      </c>
      <c r="H605" s="197">
        <f>IF(_1_54128456121462410464578910174567[[#This Row],[Type]]&gt;0,VLOOKUP(_1_54128456121462410464578910174567[[#This Row],[Type]],Main[[#All],[TYPE]:[UNIT]],'Unit Price'!D$1,FALSE),0)</f>
        <v>0</v>
      </c>
      <c r="I605" s="194">
        <f>IF(_1_54128456121462410464578910174567[[#This Row],[Type]]&gt;0,VLOOKUP(_1_54128456121462410464578910174567[[#This Row],[Type]],Main[[#All],[TYPE]:[UNIT]],'Unit Price'!G$1,FALSE),0)</f>
        <v>0</v>
      </c>
      <c r="J605" s="194">
        <f>IF(_1_54128456121462410464578910174567[[#This Row],[Type]]&gt;0,VLOOKUP(_1_54128456121462410464578910174567[[#This Row],[Type]],Main[[#All],[TYPE]:[UNIT]],'Unit Price'!H$1,FALSE),0)</f>
        <v>0</v>
      </c>
      <c r="K605" s="194">
        <f>IF(_1_54128456121462410464578910174567[[#This Row],[Discount selection]]&gt;0,VLOOKUP(_1_54128456121462410464578910174567[[#This Row],[Discount selection]],'Discount Structure'!$A$2:$B$30,2,"false"),0)</f>
        <v>1</v>
      </c>
      <c r="L605" s="194">
        <f>_1_54128456121462410464578910174567[[#This Row],[LIST $]]*_1_54128456121462410464578910174567[[#This Row],[DISCOUNT]]*_1_54128456121462410464578910174567[[#This Row],[DISCOUNT 2]]</f>
        <v>0</v>
      </c>
      <c r="M605" s="194">
        <f>IF(OR(_1_54128456121462410464578910174567[[#This Row],[UNIT]]&gt;0,_1_54128456121462410464578910174567[[#This Row],[UNIT]]&lt;0),_1_54128456121462410464578910174567[[#This Row],[UNIT]]*_1_54128456121462410464578910174567[[#This Row],[COST]],0)</f>
        <v>0</v>
      </c>
      <c r="N605" s="194">
        <f t="shared" si="9"/>
        <v>1.3</v>
      </c>
      <c r="O605" s="198">
        <f>_1_54128456121462410464578910174567[[#This Row],[TOTAL]]*_1_54128456121462410464578910174567[[#This Row],[MARGIN]]</f>
        <v>0</v>
      </c>
      <c r="R605" s="41"/>
    </row>
    <row r="606" spans="4:18">
      <c r="D606" s="188"/>
      <c r="F606" s="168" t="s">
        <v>6202</v>
      </c>
      <c r="G606" s="193">
        <f>IF(_1_54128456121462410464578910174567[[#This Row],[Type]]&gt;0,VLOOKUP(_1_54128456121462410464578910174567[[#This Row],[Type]],Main[[#All],[TYPE]:[UNIT]],'Unit Price'!C$1,FALSE),0)</f>
        <v>0</v>
      </c>
      <c r="H606" s="197">
        <f>IF(_1_54128456121462410464578910174567[[#This Row],[Type]]&gt;0,VLOOKUP(_1_54128456121462410464578910174567[[#This Row],[Type]],Main[[#All],[TYPE]:[UNIT]],'Unit Price'!D$1,FALSE),0)</f>
        <v>0</v>
      </c>
      <c r="I606" s="194">
        <f>IF(_1_54128456121462410464578910174567[[#This Row],[Type]]&gt;0,VLOOKUP(_1_54128456121462410464578910174567[[#This Row],[Type]],Main[[#All],[TYPE]:[UNIT]],'Unit Price'!G$1,FALSE),0)</f>
        <v>0</v>
      </c>
      <c r="J606" s="194">
        <f>IF(_1_54128456121462410464578910174567[[#This Row],[Type]]&gt;0,VLOOKUP(_1_54128456121462410464578910174567[[#This Row],[Type]],Main[[#All],[TYPE]:[UNIT]],'Unit Price'!H$1,FALSE),0)</f>
        <v>0</v>
      </c>
      <c r="K606" s="194">
        <f>IF(_1_54128456121462410464578910174567[[#This Row],[Discount selection]]&gt;0,VLOOKUP(_1_54128456121462410464578910174567[[#This Row],[Discount selection]],'Discount Structure'!$A$2:$B$30,2,"false"),0)</f>
        <v>1</v>
      </c>
      <c r="L606" s="194">
        <f>_1_54128456121462410464578910174567[[#This Row],[LIST $]]*_1_54128456121462410464578910174567[[#This Row],[DISCOUNT]]*_1_54128456121462410464578910174567[[#This Row],[DISCOUNT 2]]</f>
        <v>0</v>
      </c>
      <c r="M606" s="194">
        <f>IF(OR(_1_54128456121462410464578910174567[[#This Row],[UNIT]]&gt;0,_1_54128456121462410464578910174567[[#This Row],[UNIT]]&lt;0),_1_54128456121462410464578910174567[[#This Row],[UNIT]]*_1_54128456121462410464578910174567[[#This Row],[COST]],0)</f>
        <v>0</v>
      </c>
      <c r="N606" s="194">
        <f t="shared" si="9"/>
        <v>1.3</v>
      </c>
      <c r="O606" s="198">
        <f>_1_54128456121462410464578910174567[[#This Row],[TOTAL]]*_1_54128456121462410464578910174567[[#This Row],[MARGIN]]</f>
        <v>0</v>
      </c>
      <c r="R606" s="41"/>
    </row>
    <row r="607" spans="4:18">
      <c r="D607" s="188"/>
      <c r="F607" s="168" t="s">
        <v>6202</v>
      </c>
      <c r="G607" s="193">
        <f>IF(_1_54128456121462410464578910174567[[#This Row],[Type]]&gt;0,VLOOKUP(_1_54128456121462410464578910174567[[#This Row],[Type]],Main[[#All],[TYPE]:[UNIT]],'Unit Price'!C$1,FALSE),0)</f>
        <v>0</v>
      </c>
      <c r="H607" s="197">
        <f>IF(_1_54128456121462410464578910174567[[#This Row],[Type]]&gt;0,VLOOKUP(_1_54128456121462410464578910174567[[#This Row],[Type]],Main[[#All],[TYPE]:[UNIT]],'Unit Price'!D$1,FALSE),0)</f>
        <v>0</v>
      </c>
      <c r="I607" s="194">
        <f>IF(_1_54128456121462410464578910174567[[#This Row],[Type]]&gt;0,VLOOKUP(_1_54128456121462410464578910174567[[#This Row],[Type]],Main[[#All],[TYPE]:[UNIT]],'Unit Price'!G$1,FALSE),0)</f>
        <v>0</v>
      </c>
      <c r="J607" s="194">
        <f>IF(_1_54128456121462410464578910174567[[#This Row],[Type]]&gt;0,VLOOKUP(_1_54128456121462410464578910174567[[#This Row],[Type]],Main[[#All],[TYPE]:[UNIT]],'Unit Price'!H$1,FALSE),0)</f>
        <v>0</v>
      </c>
      <c r="K607" s="194">
        <f>IF(_1_54128456121462410464578910174567[[#This Row],[Discount selection]]&gt;0,VLOOKUP(_1_54128456121462410464578910174567[[#This Row],[Discount selection]],'Discount Structure'!$A$2:$B$30,2,"false"),0)</f>
        <v>1</v>
      </c>
      <c r="L607" s="194">
        <f>_1_54128456121462410464578910174567[[#This Row],[LIST $]]*_1_54128456121462410464578910174567[[#This Row],[DISCOUNT]]*_1_54128456121462410464578910174567[[#This Row],[DISCOUNT 2]]</f>
        <v>0</v>
      </c>
      <c r="M607" s="194">
        <f>IF(OR(_1_54128456121462410464578910174567[[#This Row],[UNIT]]&gt;0,_1_54128456121462410464578910174567[[#This Row],[UNIT]]&lt;0),_1_54128456121462410464578910174567[[#This Row],[UNIT]]*_1_54128456121462410464578910174567[[#This Row],[COST]],0)</f>
        <v>0</v>
      </c>
      <c r="N607" s="194">
        <f t="shared" si="9"/>
        <v>1.3</v>
      </c>
      <c r="O607" s="198">
        <f>_1_54128456121462410464578910174567[[#This Row],[TOTAL]]*_1_54128456121462410464578910174567[[#This Row],[MARGIN]]</f>
        <v>0</v>
      </c>
      <c r="R607" s="41"/>
    </row>
    <row r="608" spans="4:18">
      <c r="D608" s="188"/>
      <c r="F608" s="168" t="s">
        <v>6202</v>
      </c>
      <c r="G608" s="193">
        <f>IF(_1_54128456121462410464578910174567[[#This Row],[Type]]&gt;0,VLOOKUP(_1_54128456121462410464578910174567[[#This Row],[Type]],Main[[#All],[TYPE]:[UNIT]],'Unit Price'!C$1,FALSE),0)</f>
        <v>0</v>
      </c>
      <c r="H608" s="197">
        <f>IF(_1_54128456121462410464578910174567[[#This Row],[Type]]&gt;0,VLOOKUP(_1_54128456121462410464578910174567[[#This Row],[Type]],Main[[#All],[TYPE]:[UNIT]],'Unit Price'!D$1,FALSE),0)</f>
        <v>0</v>
      </c>
      <c r="I608" s="194">
        <f>IF(_1_54128456121462410464578910174567[[#This Row],[Type]]&gt;0,VLOOKUP(_1_54128456121462410464578910174567[[#This Row],[Type]],Main[[#All],[TYPE]:[UNIT]],'Unit Price'!G$1,FALSE),0)</f>
        <v>0</v>
      </c>
      <c r="J608" s="194">
        <f>IF(_1_54128456121462410464578910174567[[#This Row],[Type]]&gt;0,VLOOKUP(_1_54128456121462410464578910174567[[#This Row],[Type]],Main[[#All],[TYPE]:[UNIT]],'Unit Price'!H$1,FALSE),0)</f>
        <v>0</v>
      </c>
      <c r="K608" s="194">
        <f>IF(_1_54128456121462410464578910174567[[#This Row],[Discount selection]]&gt;0,VLOOKUP(_1_54128456121462410464578910174567[[#This Row],[Discount selection]],'Discount Structure'!$A$2:$B$30,2,"false"),0)</f>
        <v>1</v>
      </c>
      <c r="L608" s="194">
        <f>_1_54128456121462410464578910174567[[#This Row],[LIST $]]*_1_54128456121462410464578910174567[[#This Row],[DISCOUNT]]*_1_54128456121462410464578910174567[[#This Row],[DISCOUNT 2]]</f>
        <v>0</v>
      </c>
      <c r="M608" s="194">
        <f>IF(OR(_1_54128456121462410464578910174567[[#This Row],[UNIT]]&gt;0,_1_54128456121462410464578910174567[[#This Row],[UNIT]]&lt;0),_1_54128456121462410464578910174567[[#This Row],[UNIT]]*_1_54128456121462410464578910174567[[#This Row],[COST]],0)</f>
        <v>0</v>
      </c>
      <c r="N608" s="194">
        <f t="shared" si="9"/>
        <v>1.3</v>
      </c>
      <c r="O608" s="198">
        <f>_1_54128456121462410464578910174567[[#This Row],[TOTAL]]*_1_54128456121462410464578910174567[[#This Row],[MARGIN]]</f>
        <v>0</v>
      </c>
      <c r="R608" s="41"/>
    </row>
    <row r="609" spans="4:18">
      <c r="D609" s="188"/>
      <c r="F609" s="168" t="s">
        <v>6202</v>
      </c>
      <c r="G609" s="193">
        <f>IF(_1_54128456121462410464578910174567[[#This Row],[Type]]&gt;0,VLOOKUP(_1_54128456121462410464578910174567[[#This Row],[Type]],Main[[#All],[TYPE]:[UNIT]],'Unit Price'!C$1,FALSE),0)</f>
        <v>0</v>
      </c>
      <c r="H609" s="197">
        <f>IF(_1_54128456121462410464578910174567[[#This Row],[Type]]&gt;0,VLOOKUP(_1_54128456121462410464578910174567[[#This Row],[Type]],Main[[#All],[TYPE]:[UNIT]],'Unit Price'!D$1,FALSE),0)</f>
        <v>0</v>
      </c>
      <c r="I609" s="194">
        <f>IF(_1_54128456121462410464578910174567[[#This Row],[Type]]&gt;0,VLOOKUP(_1_54128456121462410464578910174567[[#This Row],[Type]],Main[[#All],[TYPE]:[UNIT]],'Unit Price'!G$1,FALSE),0)</f>
        <v>0</v>
      </c>
      <c r="J609" s="194">
        <f>IF(_1_54128456121462410464578910174567[[#This Row],[Type]]&gt;0,VLOOKUP(_1_54128456121462410464578910174567[[#This Row],[Type]],Main[[#All],[TYPE]:[UNIT]],'Unit Price'!H$1,FALSE),0)</f>
        <v>0</v>
      </c>
      <c r="K609" s="194">
        <f>IF(_1_54128456121462410464578910174567[[#This Row],[Discount selection]]&gt;0,VLOOKUP(_1_54128456121462410464578910174567[[#This Row],[Discount selection]],'Discount Structure'!$A$2:$B$30,2,"false"),0)</f>
        <v>1</v>
      </c>
      <c r="L609" s="194">
        <f>_1_54128456121462410464578910174567[[#This Row],[LIST $]]*_1_54128456121462410464578910174567[[#This Row],[DISCOUNT]]*_1_54128456121462410464578910174567[[#This Row],[DISCOUNT 2]]</f>
        <v>0</v>
      </c>
      <c r="M609" s="194">
        <f>IF(OR(_1_54128456121462410464578910174567[[#This Row],[UNIT]]&gt;0,_1_54128456121462410464578910174567[[#This Row],[UNIT]]&lt;0),_1_54128456121462410464578910174567[[#This Row],[UNIT]]*_1_54128456121462410464578910174567[[#This Row],[COST]],0)</f>
        <v>0</v>
      </c>
      <c r="N609" s="194">
        <f t="shared" si="9"/>
        <v>1.3</v>
      </c>
      <c r="O609" s="198">
        <f>_1_54128456121462410464578910174567[[#This Row],[TOTAL]]*_1_54128456121462410464578910174567[[#This Row],[MARGIN]]</f>
        <v>0</v>
      </c>
      <c r="R609" s="41"/>
    </row>
    <row r="610" spans="4:18">
      <c r="D610" s="188"/>
      <c r="F610" s="168" t="s">
        <v>6202</v>
      </c>
      <c r="G610" s="193">
        <f>IF(_1_54128456121462410464578910174567[[#This Row],[Type]]&gt;0,VLOOKUP(_1_54128456121462410464578910174567[[#This Row],[Type]],Main[[#All],[TYPE]:[UNIT]],'Unit Price'!C$1,FALSE),0)</f>
        <v>0</v>
      </c>
      <c r="H610" s="197">
        <f>IF(_1_54128456121462410464578910174567[[#This Row],[Type]]&gt;0,VLOOKUP(_1_54128456121462410464578910174567[[#This Row],[Type]],Main[[#All],[TYPE]:[UNIT]],'Unit Price'!D$1,FALSE),0)</f>
        <v>0</v>
      </c>
      <c r="I610" s="194">
        <f>IF(_1_54128456121462410464578910174567[[#This Row],[Type]]&gt;0,VLOOKUP(_1_54128456121462410464578910174567[[#This Row],[Type]],Main[[#All],[TYPE]:[UNIT]],'Unit Price'!G$1,FALSE),0)</f>
        <v>0</v>
      </c>
      <c r="J610" s="194">
        <f>IF(_1_54128456121462410464578910174567[[#This Row],[Type]]&gt;0,VLOOKUP(_1_54128456121462410464578910174567[[#This Row],[Type]],Main[[#All],[TYPE]:[UNIT]],'Unit Price'!H$1,FALSE),0)</f>
        <v>0</v>
      </c>
      <c r="K610" s="194">
        <f>IF(_1_54128456121462410464578910174567[[#This Row],[Discount selection]]&gt;0,VLOOKUP(_1_54128456121462410464578910174567[[#This Row],[Discount selection]],'Discount Structure'!$A$2:$B$30,2,"false"),0)</f>
        <v>1</v>
      </c>
      <c r="L610" s="194">
        <f>_1_54128456121462410464578910174567[[#This Row],[LIST $]]*_1_54128456121462410464578910174567[[#This Row],[DISCOUNT]]*_1_54128456121462410464578910174567[[#This Row],[DISCOUNT 2]]</f>
        <v>0</v>
      </c>
      <c r="M610" s="194">
        <f>IF(OR(_1_54128456121462410464578910174567[[#This Row],[UNIT]]&gt;0,_1_54128456121462410464578910174567[[#This Row],[UNIT]]&lt;0),_1_54128456121462410464578910174567[[#This Row],[UNIT]]*_1_54128456121462410464578910174567[[#This Row],[COST]],0)</f>
        <v>0</v>
      </c>
      <c r="N610" s="194">
        <f t="shared" si="9"/>
        <v>1.3</v>
      </c>
      <c r="O610" s="198">
        <f>_1_54128456121462410464578910174567[[#This Row],[TOTAL]]*_1_54128456121462410464578910174567[[#This Row],[MARGIN]]</f>
        <v>0</v>
      </c>
      <c r="R610" s="41"/>
    </row>
    <row r="611" spans="4:18">
      <c r="D611" s="188"/>
      <c r="F611" s="168" t="s">
        <v>6202</v>
      </c>
      <c r="G611" s="193">
        <f>IF(_1_54128456121462410464578910174567[[#This Row],[Type]]&gt;0,VLOOKUP(_1_54128456121462410464578910174567[[#This Row],[Type]],Main[[#All],[TYPE]:[UNIT]],'Unit Price'!C$1,FALSE),0)</f>
        <v>0</v>
      </c>
      <c r="H611" s="197">
        <f>IF(_1_54128456121462410464578910174567[[#This Row],[Type]]&gt;0,VLOOKUP(_1_54128456121462410464578910174567[[#This Row],[Type]],Main[[#All],[TYPE]:[UNIT]],'Unit Price'!D$1,FALSE),0)</f>
        <v>0</v>
      </c>
      <c r="I611" s="194">
        <f>IF(_1_54128456121462410464578910174567[[#This Row],[Type]]&gt;0,VLOOKUP(_1_54128456121462410464578910174567[[#This Row],[Type]],Main[[#All],[TYPE]:[UNIT]],'Unit Price'!G$1,FALSE),0)</f>
        <v>0</v>
      </c>
      <c r="J611" s="194">
        <f>IF(_1_54128456121462410464578910174567[[#This Row],[Type]]&gt;0,VLOOKUP(_1_54128456121462410464578910174567[[#This Row],[Type]],Main[[#All],[TYPE]:[UNIT]],'Unit Price'!H$1,FALSE),0)</f>
        <v>0</v>
      </c>
      <c r="K611" s="194">
        <f>IF(_1_54128456121462410464578910174567[[#This Row],[Discount selection]]&gt;0,VLOOKUP(_1_54128456121462410464578910174567[[#This Row],[Discount selection]],'Discount Structure'!$A$2:$B$30,2,"false"),0)</f>
        <v>1</v>
      </c>
      <c r="L611" s="194">
        <f>_1_54128456121462410464578910174567[[#This Row],[LIST $]]*_1_54128456121462410464578910174567[[#This Row],[DISCOUNT]]*_1_54128456121462410464578910174567[[#This Row],[DISCOUNT 2]]</f>
        <v>0</v>
      </c>
      <c r="M611" s="194">
        <f>IF(OR(_1_54128456121462410464578910174567[[#This Row],[UNIT]]&gt;0,_1_54128456121462410464578910174567[[#This Row],[UNIT]]&lt;0),_1_54128456121462410464578910174567[[#This Row],[UNIT]]*_1_54128456121462410464578910174567[[#This Row],[COST]],0)</f>
        <v>0</v>
      </c>
      <c r="N611" s="194">
        <f t="shared" si="9"/>
        <v>1.3</v>
      </c>
      <c r="O611" s="198">
        <f>_1_54128456121462410464578910174567[[#This Row],[TOTAL]]*_1_54128456121462410464578910174567[[#This Row],[MARGIN]]</f>
        <v>0</v>
      </c>
      <c r="R611" s="41"/>
    </row>
    <row r="612" spans="4:18">
      <c r="D612" s="188"/>
      <c r="F612" s="168" t="s">
        <v>6202</v>
      </c>
      <c r="G612" s="193">
        <f>IF(_1_54128456121462410464578910174567[[#This Row],[Type]]&gt;0,VLOOKUP(_1_54128456121462410464578910174567[[#This Row],[Type]],Main[[#All],[TYPE]:[UNIT]],'Unit Price'!C$1,FALSE),0)</f>
        <v>0</v>
      </c>
      <c r="H612" s="197">
        <f>IF(_1_54128456121462410464578910174567[[#This Row],[Type]]&gt;0,VLOOKUP(_1_54128456121462410464578910174567[[#This Row],[Type]],Main[[#All],[TYPE]:[UNIT]],'Unit Price'!D$1,FALSE),0)</f>
        <v>0</v>
      </c>
      <c r="I612" s="194">
        <f>IF(_1_54128456121462410464578910174567[[#This Row],[Type]]&gt;0,VLOOKUP(_1_54128456121462410464578910174567[[#This Row],[Type]],Main[[#All],[TYPE]:[UNIT]],'Unit Price'!G$1,FALSE),0)</f>
        <v>0</v>
      </c>
      <c r="J612" s="194">
        <f>IF(_1_54128456121462410464578910174567[[#This Row],[Type]]&gt;0,VLOOKUP(_1_54128456121462410464578910174567[[#This Row],[Type]],Main[[#All],[TYPE]:[UNIT]],'Unit Price'!H$1,FALSE),0)</f>
        <v>0</v>
      </c>
      <c r="K612" s="194">
        <f>IF(_1_54128456121462410464578910174567[[#This Row],[Discount selection]]&gt;0,VLOOKUP(_1_54128456121462410464578910174567[[#This Row],[Discount selection]],'Discount Structure'!$A$2:$B$30,2,"false"),0)</f>
        <v>1</v>
      </c>
      <c r="L612" s="194">
        <f>_1_54128456121462410464578910174567[[#This Row],[LIST $]]*_1_54128456121462410464578910174567[[#This Row],[DISCOUNT]]*_1_54128456121462410464578910174567[[#This Row],[DISCOUNT 2]]</f>
        <v>0</v>
      </c>
      <c r="M612" s="194">
        <f>IF(OR(_1_54128456121462410464578910174567[[#This Row],[UNIT]]&gt;0,_1_54128456121462410464578910174567[[#This Row],[UNIT]]&lt;0),_1_54128456121462410464578910174567[[#This Row],[UNIT]]*_1_54128456121462410464578910174567[[#This Row],[COST]],0)</f>
        <v>0</v>
      </c>
      <c r="N612" s="194">
        <f t="shared" si="9"/>
        <v>1.3</v>
      </c>
      <c r="O612" s="198">
        <f>_1_54128456121462410464578910174567[[#This Row],[TOTAL]]*_1_54128456121462410464578910174567[[#This Row],[MARGIN]]</f>
        <v>0</v>
      </c>
      <c r="R612" s="41"/>
    </row>
    <row r="613" spans="4:18">
      <c r="D613" s="188"/>
      <c r="F613" s="168" t="s">
        <v>6202</v>
      </c>
      <c r="G613" s="193">
        <f>IF(_1_54128456121462410464578910174567[[#This Row],[Type]]&gt;0,VLOOKUP(_1_54128456121462410464578910174567[[#This Row],[Type]],Main[[#All],[TYPE]:[UNIT]],'Unit Price'!C$1,FALSE),0)</f>
        <v>0</v>
      </c>
      <c r="H613" s="197">
        <f>IF(_1_54128456121462410464578910174567[[#This Row],[Type]]&gt;0,VLOOKUP(_1_54128456121462410464578910174567[[#This Row],[Type]],Main[[#All],[TYPE]:[UNIT]],'Unit Price'!D$1,FALSE),0)</f>
        <v>0</v>
      </c>
      <c r="I613" s="194">
        <f>IF(_1_54128456121462410464578910174567[[#This Row],[Type]]&gt;0,VLOOKUP(_1_54128456121462410464578910174567[[#This Row],[Type]],Main[[#All],[TYPE]:[UNIT]],'Unit Price'!G$1,FALSE),0)</f>
        <v>0</v>
      </c>
      <c r="J613" s="194">
        <f>IF(_1_54128456121462410464578910174567[[#This Row],[Type]]&gt;0,VLOOKUP(_1_54128456121462410464578910174567[[#This Row],[Type]],Main[[#All],[TYPE]:[UNIT]],'Unit Price'!H$1,FALSE),0)</f>
        <v>0</v>
      </c>
      <c r="K613" s="194">
        <f>IF(_1_54128456121462410464578910174567[[#This Row],[Discount selection]]&gt;0,VLOOKUP(_1_54128456121462410464578910174567[[#This Row],[Discount selection]],'Discount Structure'!$A$2:$B$30,2,"false"),0)</f>
        <v>1</v>
      </c>
      <c r="L613" s="194">
        <f>_1_54128456121462410464578910174567[[#This Row],[LIST $]]*_1_54128456121462410464578910174567[[#This Row],[DISCOUNT]]*_1_54128456121462410464578910174567[[#This Row],[DISCOUNT 2]]</f>
        <v>0</v>
      </c>
      <c r="M613" s="194">
        <f>IF(OR(_1_54128456121462410464578910174567[[#This Row],[UNIT]]&gt;0,_1_54128456121462410464578910174567[[#This Row],[UNIT]]&lt;0),_1_54128456121462410464578910174567[[#This Row],[UNIT]]*_1_54128456121462410464578910174567[[#This Row],[COST]],0)</f>
        <v>0</v>
      </c>
      <c r="N613" s="194">
        <f t="shared" si="9"/>
        <v>1.3</v>
      </c>
      <c r="O613" s="198">
        <f>_1_54128456121462410464578910174567[[#This Row],[TOTAL]]*_1_54128456121462410464578910174567[[#This Row],[MARGIN]]</f>
        <v>0</v>
      </c>
      <c r="R613" s="41"/>
    </row>
    <row r="614" spans="4:18">
      <c r="D614" s="188"/>
      <c r="F614" s="168" t="s">
        <v>6202</v>
      </c>
      <c r="G614" s="193">
        <f>IF(_1_54128456121462410464578910174567[[#This Row],[Type]]&gt;0,VLOOKUP(_1_54128456121462410464578910174567[[#This Row],[Type]],Main[[#All],[TYPE]:[UNIT]],'Unit Price'!C$1,FALSE),0)</f>
        <v>0</v>
      </c>
      <c r="H614" s="197">
        <f>IF(_1_54128456121462410464578910174567[[#This Row],[Type]]&gt;0,VLOOKUP(_1_54128456121462410464578910174567[[#This Row],[Type]],Main[[#All],[TYPE]:[UNIT]],'Unit Price'!D$1,FALSE),0)</f>
        <v>0</v>
      </c>
      <c r="I614" s="194">
        <f>IF(_1_54128456121462410464578910174567[[#This Row],[Type]]&gt;0,VLOOKUP(_1_54128456121462410464578910174567[[#This Row],[Type]],Main[[#All],[TYPE]:[UNIT]],'Unit Price'!G$1,FALSE),0)</f>
        <v>0</v>
      </c>
      <c r="J614" s="194">
        <f>IF(_1_54128456121462410464578910174567[[#This Row],[Type]]&gt;0,VLOOKUP(_1_54128456121462410464578910174567[[#This Row],[Type]],Main[[#All],[TYPE]:[UNIT]],'Unit Price'!H$1,FALSE),0)</f>
        <v>0</v>
      </c>
      <c r="K614" s="194">
        <f>IF(_1_54128456121462410464578910174567[[#This Row],[Discount selection]]&gt;0,VLOOKUP(_1_54128456121462410464578910174567[[#This Row],[Discount selection]],'Discount Structure'!$A$2:$B$30,2,"false"),0)</f>
        <v>1</v>
      </c>
      <c r="L614" s="194">
        <f>_1_54128456121462410464578910174567[[#This Row],[LIST $]]*_1_54128456121462410464578910174567[[#This Row],[DISCOUNT]]*_1_54128456121462410464578910174567[[#This Row],[DISCOUNT 2]]</f>
        <v>0</v>
      </c>
      <c r="M614" s="194">
        <f>IF(OR(_1_54128456121462410464578910174567[[#This Row],[UNIT]]&gt;0,_1_54128456121462410464578910174567[[#This Row],[UNIT]]&lt;0),_1_54128456121462410464578910174567[[#This Row],[UNIT]]*_1_54128456121462410464578910174567[[#This Row],[COST]],0)</f>
        <v>0</v>
      </c>
      <c r="N614" s="194">
        <f t="shared" si="9"/>
        <v>1.3</v>
      </c>
      <c r="O614" s="198">
        <f>_1_54128456121462410464578910174567[[#This Row],[TOTAL]]*_1_54128456121462410464578910174567[[#This Row],[MARGIN]]</f>
        <v>0</v>
      </c>
      <c r="R614" s="41"/>
    </row>
    <row r="615" spans="4:18">
      <c r="D615" s="188"/>
      <c r="F615" s="168" t="s">
        <v>6202</v>
      </c>
      <c r="G615" s="193">
        <f>IF(_1_54128456121462410464578910174567[[#This Row],[Type]]&gt;0,VLOOKUP(_1_54128456121462410464578910174567[[#This Row],[Type]],Main[[#All],[TYPE]:[UNIT]],'Unit Price'!C$1,FALSE),0)</f>
        <v>0</v>
      </c>
      <c r="H615" s="197">
        <f>IF(_1_54128456121462410464578910174567[[#This Row],[Type]]&gt;0,VLOOKUP(_1_54128456121462410464578910174567[[#This Row],[Type]],Main[[#All],[TYPE]:[UNIT]],'Unit Price'!D$1,FALSE),0)</f>
        <v>0</v>
      </c>
      <c r="I615" s="194">
        <f>IF(_1_54128456121462410464578910174567[[#This Row],[Type]]&gt;0,VLOOKUP(_1_54128456121462410464578910174567[[#This Row],[Type]],Main[[#All],[TYPE]:[UNIT]],'Unit Price'!G$1,FALSE),0)</f>
        <v>0</v>
      </c>
      <c r="J615" s="194">
        <f>IF(_1_54128456121462410464578910174567[[#This Row],[Type]]&gt;0,VLOOKUP(_1_54128456121462410464578910174567[[#This Row],[Type]],Main[[#All],[TYPE]:[UNIT]],'Unit Price'!H$1,FALSE),0)</f>
        <v>0</v>
      </c>
      <c r="K615" s="194">
        <f>IF(_1_54128456121462410464578910174567[[#This Row],[Discount selection]]&gt;0,VLOOKUP(_1_54128456121462410464578910174567[[#This Row],[Discount selection]],'Discount Structure'!$A$2:$B$30,2,"false"),0)</f>
        <v>1</v>
      </c>
      <c r="L615" s="194">
        <f>_1_54128456121462410464578910174567[[#This Row],[LIST $]]*_1_54128456121462410464578910174567[[#This Row],[DISCOUNT]]*_1_54128456121462410464578910174567[[#This Row],[DISCOUNT 2]]</f>
        <v>0</v>
      </c>
      <c r="M615" s="194">
        <f>IF(OR(_1_54128456121462410464578910174567[[#This Row],[UNIT]]&gt;0,_1_54128456121462410464578910174567[[#This Row],[UNIT]]&lt;0),_1_54128456121462410464578910174567[[#This Row],[UNIT]]*_1_54128456121462410464578910174567[[#This Row],[COST]],0)</f>
        <v>0</v>
      </c>
      <c r="N615" s="194">
        <f t="shared" si="9"/>
        <v>1.3</v>
      </c>
      <c r="O615" s="198">
        <f>_1_54128456121462410464578910174567[[#This Row],[TOTAL]]*_1_54128456121462410464578910174567[[#This Row],[MARGIN]]</f>
        <v>0</v>
      </c>
      <c r="R615" s="41"/>
    </row>
    <row r="616" spans="4:18">
      <c r="D616" s="188"/>
      <c r="F616" s="168" t="s">
        <v>6202</v>
      </c>
      <c r="G616" s="193">
        <f>IF(_1_54128456121462410464578910174567[[#This Row],[Type]]&gt;0,VLOOKUP(_1_54128456121462410464578910174567[[#This Row],[Type]],Main[[#All],[TYPE]:[UNIT]],'Unit Price'!C$1,FALSE),0)</f>
        <v>0</v>
      </c>
      <c r="H616" s="197">
        <f>IF(_1_54128456121462410464578910174567[[#This Row],[Type]]&gt;0,VLOOKUP(_1_54128456121462410464578910174567[[#This Row],[Type]],Main[[#All],[TYPE]:[UNIT]],'Unit Price'!D$1,FALSE),0)</f>
        <v>0</v>
      </c>
      <c r="I616" s="194">
        <f>IF(_1_54128456121462410464578910174567[[#This Row],[Type]]&gt;0,VLOOKUP(_1_54128456121462410464578910174567[[#This Row],[Type]],Main[[#All],[TYPE]:[UNIT]],'Unit Price'!G$1,FALSE),0)</f>
        <v>0</v>
      </c>
      <c r="J616" s="194">
        <f>IF(_1_54128456121462410464578910174567[[#This Row],[Type]]&gt;0,VLOOKUP(_1_54128456121462410464578910174567[[#This Row],[Type]],Main[[#All],[TYPE]:[UNIT]],'Unit Price'!H$1,FALSE),0)</f>
        <v>0</v>
      </c>
      <c r="K616" s="194">
        <f>IF(_1_54128456121462410464578910174567[[#This Row],[Discount selection]]&gt;0,VLOOKUP(_1_54128456121462410464578910174567[[#This Row],[Discount selection]],'Discount Structure'!$A$2:$B$30,2,"false"),0)</f>
        <v>1</v>
      </c>
      <c r="L616" s="194">
        <f>_1_54128456121462410464578910174567[[#This Row],[LIST $]]*_1_54128456121462410464578910174567[[#This Row],[DISCOUNT]]*_1_54128456121462410464578910174567[[#This Row],[DISCOUNT 2]]</f>
        <v>0</v>
      </c>
      <c r="M616" s="194">
        <f>IF(OR(_1_54128456121462410464578910174567[[#This Row],[UNIT]]&gt;0,_1_54128456121462410464578910174567[[#This Row],[UNIT]]&lt;0),_1_54128456121462410464578910174567[[#This Row],[UNIT]]*_1_54128456121462410464578910174567[[#This Row],[COST]],0)</f>
        <v>0</v>
      </c>
      <c r="N616" s="194">
        <f t="shared" si="9"/>
        <v>1.3</v>
      </c>
      <c r="O616" s="198">
        <f>_1_54128456121462410464578910174567[[#This Row],[TOTAL]]*_1_54128456121462410464578910174567[[#This Row],[MARGIN]]</f>
        <v>0</v>
      </c>
      <c r="R616" s="41"/>
    </row>
    <row r="617" spans="4:18">
      <c r="D617" s="188"/>
      <c r="F617" s="168" t="s">
        <v>6202</v>
      </c>
      <c r="G617" s="193">
        <f>IF(_1_54128456121462410464578910174567[[#This Row],[Type]]&gt;0,VLOOKUP(_1_54128456121462410464578910174567[[#This Row],[Type]],Main[[#All],[TYPE]:[UNIT]],'Unit Price'!C$1,FALSE),0)</f>
        <v>0</v>
      </c>
      <c r="H617" s="197">
        <f>IF(_1_54128456121462410464578910174567[[#This Row],[Type]]&gt;0,VLOOKUP(_1_54128456121462410464578910174567[[#This Row],[Type]],Main[[#All],[TYPE]:[UNIT]],'Unit Price'!D$1,FALSE),0)</f>
        <v>0</v>
      </c>
      <c r="I617" s="194">
        <f>IF(_1_54128456121462410464578910174567[[#This Row],[Type]]&gt;0,VLOOKUP(_1_54128456121462410464578910174567[[#This Row],[Type]],Main[[#All],[TYPE]:[UNIT]],'Unit Price'!G$1,FALSE),0)</f>
        <v>0</v>
      </c>
      <c r="J617" s="194">
        <f>IF(_1_54128456121462410464578910174567[[#This Row],[Type]]&gt;0,VLOOKUP(_1_54128456121462410464578910174567[[#This Row],[Type]],Main[[#All],[TYPE]:[UNIT]],'Unit Price'!H$1,FALSE),0)</f>
        <v>0</v>
      </c>
      <c r="K617" s="194">
        <f>IF(_1_54128456121462410464578910174567[[#This Row],[Discount selection]]&gt;0,VLOOKUP(_1_54128456121462410464578910174567[[#This Row],[Discount selection]],'Discount Structure'!$A$2:$B$30,2,"false"),0)</f>
        <v>1</v>
      </c>
      <c r="L617" s="194">
        <f>_1_54128456121462410464578910174567[[#This Row],[LIST $]]*_1_54128456121462410464578910174567[[#This Row],[DISCOUNT]]*_1_54128456121462410464578910174567[[#This Row],[DISCOUNT 2]]</f>
        <v>0</v>
      </c>
      <c r="M617" s="194">
        <f>IF(OR(_1_54128456121462410464578910174567[[#This Row],[UNIT]]&gt;0,_1_54128456121462410464578910174567[[#This Row],[UNIT]]&lt;0),_1_54128456121462410464578910174567[[#This Row],[UNIT]]*_1_54128456121462410464578910174567[[#This Row],[COST]],0)</f>
        <v>0</v>
      </c>
      <c r="N617" s="194">
        <f t="shared" si="9"/>
        <v>1.3</v>
      </c>
      <c r="O617" s="198">
        <f>_1_54128456121462410464578910174567[[#This Row],[TOTAL]]*_1_54128456121462410464578910174567[[#This Row],[MARGIN]]</f>
        <v>0</v>
      </c>
      <c r="R617" s="41"/>
    </row>
    <row r="618" spans="4:18">
      <c r="D618" s="188"/>
      <c r="F618" s="168" t="s">
        <v>6202</v>
      </c>
      <c r="G618" s="193">
        <f>IF(_1_54128456121462410464578910174567[[#This Row],[Type]]&gt;0,VLOOKUP(_1_54128456121462410464578910174567[[#This Row],[Type]],Main[[#All],[TYPE]:[UNIT]],'Unit Price'!C$1,FALSE),0)</f>
        <v>0</v>
      </c>
      <c r="H618" s="197">
        <f>IF(_1_54128456121462410464578910174567[[#This Row],[Type]]&gt;0,VLOOKUP(_1_54128456121462410464578910174567[[#This Row],[Type]],Main[[#All],[TYPE]:[UNIT]],'Unit Price'!D$1,FALSE),0)</f>
        <v>0</v>
      </c>
      <c r="I618" s="194">
        <f>IF(_1_54128456121462410464578910174567[[#This Row],[Type]]&gt;0,VLOOKUP(_1_54128456121462410464578910174567[[#This Row],[Type]],Main[[#All],[TYPE]:[UNIT]],'Unit Price'!G$1,FALSE),0)</f>
        <v>0</v>
      </c>
      <c r="J618" s="194">
        <f>IF(_1_54128456121462410464578910174567[[#This Row],[Type]]&gt;0,VLOOKUP(_1_54128456121462410464578910174567[[#This Row],[Type]],Main[[#All],[TYPE]:[UNIT]],'Unit Price'!H$1,FALSE),0)</f>
        <v>0</v>
      </c>
      <c r="K618" s="194">
        <f>IF(_1_54128456121462410464578910174567[[#This Row],[Discount selection]]&gt;0,VLOOKUP(_1_54128456121462410464578910174567[[#This Row],[Discount selection]],'Discount Structure'!$A$2:$B$30,2,"false"),0)</f>
        <v>1</v>
      </c>
      <c r="L618" s="194">
        <f>_1_54128456121462410464578910174567[[#This Row],[LIST $]]*_1_54128456121462410464578910174567[[#This Row],[DISCOUNT]]*_1_54128456121462410464578910174567[[#This Row],[DISCOUNT 2]]</f>
        <v>0</v>
      </c>
      <c r="M618" s="194">
        <f>IF(OR(_1_54128456121462410464578910174567[[#This Row],[UNIT]]&gt;0,_1_54128456121462410464578910174567[[#This Row],[UNIT]]&lt;0),_1_54128456121462410464578910174567[[#This Row],[UNIT]]*_1_54128456121462410464578910174567[[#This Row],[COST]],0)</f>
        <v>0</v>
      </c>
      <c r="N618" s="194">
        <f t="shared" si="9"/>
        <v>1.3</v>
      </c>
      <c r="O618" s="198">
        <f>_1_54128456121462410464578910174567[[#This Row],[TOTAL]]*_1_54128456121462410464578910174567[[#This Row],[MARGIN]]</f>
        <v>0</v>
      </c>
      <c r="R618" s="41"/>
    </row>
    <row r="619" spans="4:18">
      <c r="D619" s="188"/>
      <c r="F619" s="168" t="s">
        <v>6202</v>
      </c>
      <c r="G619" s="193">
        <f>IF(_1_54128456121462410464578910174567[[#This Row],[Type]]&gt;0,VLOOKUP(_1_54128456121462410464578910174567[[#This Row],[Type]],Main[[#All],[TYPE]:[UNIT]],'Unit Price'!C$1,FALSE),0)</f>
        <v>0</v>
      </c>
      <c r="H619" s="197">
        <f>IF(_1_54128456121462410464578910174567[[#This Row],[Type]]&gt;0,VLOOKUP(_1_54128456121462410464578910174567[[#This Row],[Type]],Main[[#All],[TYPE]:[UNIT]],'Unit Price'!D$1,FALSE),0)</f>
        <v>0</v>
      </c>
      <c r="I619" s="194">
        <f>IF(_1_54128456121462410464578910174567[[#This Row],[Type]]&gt;0,VLOOKUP(_1_54128456121462410464578910174567[[#This Row],[Type]],Main[[#All],[TYPE]:[UNIT]],'Unit Price'!G$1,FALSE),0)</f>
        <v>0</v>
      </c>
      <c r="J619" s="194">
        <f>IF(_1_54128456121462410464578910174567[[#This Row],[Type]]&gt;0,VLOOKUP(_1_54128456121462410464578910174567[[#This Row],[Type]],Main[[#All],[TYPE]:[UNIT]],'Unit Price'!H$1,FALSE),0)</f>
        <v>0</v>
      </c>
      <c r="K619" s="194">
        <f>IF(_1_54128456121462410464578910174567[[#This Row],[Discount selection]]&gt;0,VLOOKUP(_1_54128456121462410464578910174567[[#This Row],[Discount selection]],'Discount Structure'!$A$2:$B$30,2,"false"),0)</f>
        <v>1</v>
      </c>
      <c r="L619" s="194">
        <f>_1_54128456121462410464578910174567[[#This Row],[LIST $]]*_1_54128456121462410464578910174567[[#This Row],[DISCOUNT]]*_1_54128456121462410464578910174567[[#This Row],[DISCOUNT 2]]</f>
        <v>0</v>
      </c>
      <c r="M619" s="194">
        <f>IF(OR(_1_54128456121462410464578910174567[[#This Row],[UNIT]]&gt;0,_1_54128456121462410464578910174567[[#This Row],[UNIT]]&lt;0),_1_54128456121462410464578910174567[[#This Row],[UNIT]]*_1_54128456121462410464578910174567[[#This Row],[COST]],0)</f>
        <v>0</v>
      </c>
      <c r="N619" s="194">
        <f t="shared" si="9"/>
        <v>1.3</v>
      </c>
      <c r="O619" s="198">
        <f>_1_54128456121462410464578910174567[[#This Row],[TOTAL]]*_1_54128456121462410464578910174567[[#This Row],[MARGIN]]</f>
        <v>0</v>
      </c>
      <c r="R619" s="41"/>
    </row>
    <row r="620" spans="4:18">
      <c r="D620" s="188"/>
      <c r="F620" s="168" t="s">
        <v>6202</v>
      </c>
      <c r="G620" s="193">
        <f>IF(_1_54128456121462410464578910174567[[#This Row],[Type]]&gt;0,VLOOKUP(_1_54128456121462410464578910174567[[#This Row],[Type]],Main[[#All],[TYPE]:[UNIT]],'Unit Price'!C$1,FALSE),0)</f>
        <v>0</v>
      </c>
      <c r="H620" s="197">
        <f>IF(_1_54128456121462410464578910174567[[#This Row],[Type]]&gt;0,VLOOKUP(_1_54128456121462410464578910174567[[#This Row],[Type]],Main[[#All],[TYPE]:[UNIT]],'Unit Price'!D$1,FALSE),0)</f>
        <v>0</v>
      </c>
      <c r="I620" s="194">
        <f>IF(_1_54128456121462410464578910174567[[#This Row],[Type]]&gt;0,VLOOKUP(_1_54128456121462410464578910174567[[#This Row],[Type]],Main[[#All],[TYPE]:[UNIT]],'Unit Price'!G$1,FALSE),0)</f>
        <v>0</v>
      </c>
      <c r="J620" s="194">
        <f>IF(_1_54128456121462410464578910174567[[#This Row],[Type]]&gt;0,VLOOKUP(_1_54128456121462410464578910174567[[#This Row],[Type]],Main[[#All],[TYPE]:[UNIT]],'Unit Price'!H$1,FALSE),0)</f>
        <v>0</v>
      </c>
      <c r="K620" s="194">
        <f>IF(_1_54128456121462410464578910174567[[#This Row],[Discount selection]]&gt;0,VLOOKUP(_1_54128456121462410464578910174567[[#This Row],[Discount selection]],'Discount Structure'!$A$2:$B$30,2,"false"),0)</f>
        <v>1</v>
      </c>
      <c r="L620" s="194">
        <f>_1_54128456121462410464578910174567[[#This Row],[LIST $]]*_1_54128456121462410464578910174567[[#This Row],[DISCOUNT]]*_1_54128456121462410464578910174567[[#This Row],[DISCOUNT 2]]</f>
        <v>0</v>
      </c>
      <c r="M620" s="194">
        <f>IF(OR(_1_54128456121462410464578910174567[[#This Row],[UNIT]]&gt;0,_1_54128456121462410464578910174567[[#This Row],[UNIT]]&lt;0),_1_54128456121462410464578910174567[[#This Row],[UNIT]]*_1_54128456121462410464578910174567[[#This Row],[COST]],0)</f>
        <v>0</v>
      </c>
      <c r="N620" s="194">
        <f t="shared" si="9"/>
        <v>1.3</v>
      </c>
      <c r="O620" s="198">
        <f>_1_54128456121462410464578910174567[[#This Row],[TOTAL]]*_1_54128456121462410464578910174567[[#This Row],[MARGIN]]</f>
        <v>0</v>
      </c>
      <c r="R620" s="41"/>
    </row>
    <row r="621" spans="4:18">
      <c r="D621" s="188"/>
      <c r="F621" s="168" t="s">
        <v>6202</v>
      </c>
      <c r="G621" s="193">
        <f>IF(_1_54128456121462410464578910174567[[#This Row],[Type]]&gt;0,VLOOKUP(_1_54128456121462410464578910174567[[#This Row],[Type]],Main[[#All],[TYPE]:[UNIT]],'Unit Price'!C$1,FALSE),0)</f>
        <v>0</v>
      </c>
      <c r="H621" s="197">
        <f>IF(_1_54128456121462410464578910174567[[#This Row],[Type]]&gt;0,VLOOKUP(_1_54128456121462410464578910174567[[#This Row],[Type]],Main[[#All],[TYPE]:[UNIT]],'Unit Price'!D$1,FALSE),0)</f>
        <v>0</v>
      </c>
      <c r="I621" s="194">
        <f>IF(_1_54128456121462410464578910174567[[#This Row],[Type]]&gt;0,VLOOKUP(_1_54128456121462410464578910174567[[#This Row],[Type]],Main[[#All],[TYPE]:[UNIT]],'Unit Price'!G$1,FALSE),0)</f>
        <v>0</v>
      </c>
      <c r="J621" s="194">
        <f>IF(_1_54128456121462410464578910174567[[#This Row],[Type]]&gt;0,VLOOKUP(_1_54128456121462410464578910174567[[#This Row],[Type]],Main[[#All],[TYPE]:[UNIT]],'Unit Price'!H$1,FALSE),0)</f>
        <v>0</v>
      </c>
      <c r="K621" s="194">
        <f>IF(_1_54128456121462410464578910174567[[#This Row],[Discount selection]]&gt;0,VLOOKUP(_1_54128456121462410464578910174567[[#This Row],[Discount selection]],'Discount Structure'!$A$2:$B$30,2,"false"),0)</f>
        <v>1</v>
      </c>
      <c r="L621" s="194">
        <f>_1_54128456121462410464578910174567[[#This Row],[LIST $]]*_1_54128456121462410464578910174567[[#This Row],[DISCOUNT]]*_1_54128456121462410464578910174567[[#This Row],[DISCOUNT 2]]</f>
        <v>0</v>
      </c>
      <c r="M621" s="194">
        <f>IF(OR(_1_54128456121462410464578910174567[[#This Row],[UNIT]]&gt;0,_1_54128456121462410464578910174567[[#This Row],[UNIT]]&lt;0),_1_54128456121462410464578910174567[[#This Row],[UNIT]]*_1_54128456121462410464578910174567[[#This Row],[COST]],0)</f>
        <v>0</v>
      </c>
      <c r="N621" s="194">
        <f t="shared" si="9"/>
        <v>1.3</v>
      </c>
      <c r="O621" s="198">
        <f>_1_54128456121462410464578910174567[[#This Row],[TOTAL]]*_1_54128456121462410464578910174567[[#This Row],[MARGIN]]</f>
        <v>0</v>
      </c>
      <c r="R621" s="41"/>
    </row>
    <row r="622" spans="4:18">
      <c r="D622" s="188"/>
      <c r="F622" s="168" t="s">
        <v>6202</v>
      </c>
      <c r="G622" s="193">
        <f>IF(_1_54128456121462410464578910174567[[#This Row],[Type]]&gt;0,VLOOKUP(_1_54128456121462410464578910174567[[#This Row],[Type]],Main[[#All],[TYPE]:[UNIT]],'Unit Price'!C$1,FALSE),0)</f>
        <v>0</v>
      </c>
      <c r="H622" s="197">
        <f>IF(_1_54128456121462410464578910174567[[#This Row],[Type]]&gt;0,VLOOKUP(_1_54128456121462410464578910174567[[#This Row],[Type]],Main[[#All],[TYPE]:[UNIT]],'Unit Price'!D$1,FALSE),0)</f>
        <v>0</v>
      </c>
      <c r="I622" s="194">
        <f>IF(_1_54128456121462410464578910174567[[#This Row],[Type]]&gt;0,VLOOKUP(_1_54128456121462410464578910174567[[#This Row],[Type]],Main[[#All],[TYPE]:[UNIT]],'Unit Price'!G$1,FALSE),0)</f>
        <v>0</v>
      </c>
      <c r="J622" s="194">
        <f>IF(_1_54128456121462410464578910174567[[#This Row],[Type]]&gt;0,VLOOKUP(_1_54128456121462410464578910174567[[#This Row],[Type]],Main[[#All],[TYPE]:[UNIT]],'Unit Price'!H$1,FALSE),0)</f>
        <v>0</v>
      </c>
      <c r="K622" s="194">
        <f>IF(_1_54128456121462410464578910174567[[#This Row],[Discount selection]]&gt;0,VLOOKUP(_1_54128456121462410464578910174567[[#This Row],[Discount selection]],'Discount Structure'!$A$2:$B$30,2,"false"),0)</f>
        <v>1</v>
      </c>
      <c r="L622" s="194">
        <f>_1_54128456121462410464578910174567[[#This Row],[LIST $]]*_1_54128456121462410464578910174567[[#This Row],[DISCOUNT]]*_1_54128456121462410464578910174567[[#This Row],[DISCOUNT 2]]</f>
        <v>0</v>
      </c>
      <c r="M622" s="194">
        <f>IF(OR(_1_54128456121462410464578910174567[[#This Row],[UNIT]]&gt;0,_1_54128456121462410464578910174567[[#This Row],[UNIT]]&lt;0),_1_54128456121462410464578910174567[[#This Row],[UNIT]]*_1_54128456121462410464578910174567[[#This Row],[COST]],0)</f>
        <v>0</v>
      </c>
      <c r="N622" s="194">
        <f t="shared" si="9"/>
        <v>1.3</v>
      </c>
      <c r="O622" s="198">
        <f>_1_54128456121462410464578910174567[[#This Row],[TOTAL]]*_1_54128456121462410464578910174567[[#This Row],[MARGIN]]</f>
        <v>0</v>
      </c>
      <c r="R622" s="41"/>
    </row>
    <row r="623" spans="4:18">
      <c r="D623" s="188"/>
      <c r="F623" s="168" t="s">
        <v>6202</v>
      </c>
      <c r="G623" s="193">
        <f>IF(_1_54128456121462410464578910174567[[#This Row],[Type]]&gt;0,VLOOKUP(_1_54128456121462410464578910174567[[#This Row],[Type]],Main[[#All],[TYPE]:[UNIT]],'Unit Price'!C$1,FALSE),0)</f>
        <v>0</v>
      </c>
      <c r="H623" s="197">
        <f>IF(_1_54128456121462410464578910174567[[#This Row],[Type]]&gt;0,VLOOKUP(_1_54128456121462410464578910174567[[#This Row],[Type]],Main[[#All],[TYPE]:[UNIT]],'Unit Price'!D$1,FALSE),0)</f>
        <v>0</v>
      </c>
      <c r="I623" s="194">
        <f>IF(_1_54128456121462410464578910174567[[#This Row],[Type]]&gt;0,VLOOKUP(_1_54128456121462410464578910174567[[#This Row],[Type]],Main[[#All],[TYPE]:[UNIT]],'Unit Price'!G$1,FALSE),0)</f>
        <v>0</v>
      </c>
      <c r="J623" s="194">
        <f>IF(_1_54128456121462410464578910174567[[#This Row],[Type]]&gt;0,VLOOKUP(_1_54128456121462410464578910174567[[#This Row],[Type]],Main[[#All],[TYPE]:[UNIT]],'Unit Price'!H$1,FALSE),0)</f>
        <v>0</v>
      </c>
      <c r="K623" s="194">
        <f>IF(_1_54128456121462410464578910174567[[#This Row],[Discount selection]]&gt;0,VLOOKUP(_1_54128456121462410464578910174567[[#This Row],[Discount selection]],'Discount Structure'!$A$2:$B$30,2,"false"),0)</f>
        <v>1</v>
      </c>
      <c r="L623" s="194">
        <f>_1_54128456121462410464578910174567[[#This Row],[LIST $]]*_1_54128456121462410464578910174567[[#This Row],[DISCOUNT]]*_1_54128456121462410464578910174567[[#This Row],[DISCOUNT 2]]</f>
        <v>0</v>
      </c>
      <c r="M623" s="194">
        <f>IF(OR(_1_54128456121462410464578910174567[[#This Row],[UNIT]]&gt;0,_1_54128456121462410464578910174567[[#This Row],[UNIT]]&lt;0),_1_54128456121462410464578910174567[[#This Row],[UNIT]]*_1_54128456121462410464578910174567[[#This Row],[COST]],0)</f>
        <v>0</v>
      </c>
      <c r="N623" s="194">
        <f t="shared" si="9"/>
        <v>1.3</v>
      </c>
      <c r="O623" s="198">
        <f>_1_54128456121462410464578910174567[[#This Row],[TOTAL]]*_1_54128456121462410464578910174567[[#This Row],[MARGIN]]</f>
        <v>0</v>
      </c>
      <c r="R623" s="41"/>
    </row>
    <row r="624" spans="4:18">
      <c r="D624" s="188"/>
      <c r="F624" s="168" t="s">
        <v>6202</v>
      </c>
      <c r="G624" s="193">
        <f>IF(_1_54128456121462410464578910174567[[#This Row],[Type]]&gt;0,VLOOKUP(_1_54128456121462410464578910174567[[#This Row],[Type]],Main[[#All],[TYPE]:[UNIT]],'Unit Price'!C$1,FALSE),0)</f>
        <v>0</v>
      </c>
      <c r="H624" s="197">
        <f>IF(_1_54128456121462410464578910174567[[#This Row],[Type]]&gt;0,VLOOKUP(_1_54128456121462410464578910174567[[#This Row],[Type]],Main[[#All],[TYPE]:[UNIT]],'Unit Price'!D$1,FALSE),0)</f>
        <v>0</v>
      </c>
      <c r="I624" s="194">
        <f>IF(_1_54128456121462410464578910174567[[#This Row],[Type]]&gt;0,VLOOKUP(_1_54128456121462410464578910174567[[#This Row],[Type]],Main[[#All],[TYPE]:[UNIT]],'Unit Price'!G$1,FALSE),0)</f>
        <v>0</v>
      </c>
      <c r="J624" s="194">
        <f>IF(_1_54128456121462410464578910174567[[#This Row],[Type]]&gt;0,VLOOKUP(_1_54128456121462410464578910174567[[#This Row],[Type]],Main[[#All],[TYPE]:[UNIT]],'Unit Price'!H$1,FALSE),0)</f>
        <v>0</v>
      </c>
      <c r="K624" s="194">
        <f>IF(_1_54128456121462410464578910174567[[#This Row],[Discount selection]]&gt;0,VLOOKUP(_1_54128456121462410464578910174567[[#This Row],[Discount selection]],'Discount Structure'!$A$2:$B$30,2,"false"),0)</f>
        <v>1</v>
      </c>
      <c r="L624" s="194">
        <f>_1_54128456121462410464578910174567[[#This Row],[LIST $]]*_1_54128456121462410464578910174567[[#This Row],[DISCOUNT]]*_1_54128456121462410464578910174567[[#This Row],[DISCOUNT 2]]</f>
        <v>0</v>
      </c>
      <c r="M624" s="194">
        <f>IF(OR(_1_54128456121462410464578910174567[[#This Row],[UNIT]]&gt;0,_1_54128456121462410464578910174567[[#This Row],[UNIT]]&lt;0),_1_54128456121462410464578910174567[[#This Row],[UNIT]]*_1_54128456121462410464578910174567[[#This Row],[COST]],0)</f>
        <v>0</v>
      </c>
      <c r="N624" s="194">
        <f t="shared" si="9"/>
        <v>1.3</v>
      </c>
      <c r="O624" s="198">
        <f>_1_54128456121462410464578910174567[[#This Row],[TOTAL]]*_1_54128456121462410464578910174567[[#This Row],[MARGIN]]</f>
        <v>0</v>
      </c>
      <c r="R624" s="41"/>
    </row>
    <row r="625" spans="4:18">
      <c r="D625" s="188"/>
      <c r="F625" s="168" t="s">
        <v>6202</v>
      </c>
      <c r="G625" s="193">
        <f>IF(_1_54128456121462410464578910174567[[#This Row],[Type]]&gt;0,VLOOKUP(_1_54128456121462410464578910174567[[#This Row],[Type]],Main[[#All],[TYPE]:[UNIT]],'Unit Price'!C$1,FALSE),0)</f>
        <v>0</v>
      </c>
      <c r="H625" s="197">
        <f>IF(_1_54128456121462410464578910174567[[#This Row],[Type]]&gt;0,VLOOKUP(_1_54128456121462410464578910174567[[#This Row],[Type]],Main[[#All],[TYPE]:[UNIT]],'Unit Price'!D$1,FALSE),0)</f>
        <v>0</v>
      </c>
      <c r="I625" s="194">
        <f>IF(_1_54128456121462410464578910174567[[#This Row],[Type]]&gt;0,VLOOKUP(_1_54128456121462410464578910174567[[#This Row],[Type]],Main[[#All],[TYPE]:[UNIT]],'Unit Price'!G$1,FALSE),0)</f>
        <v>0</v>
      </c>
      <c r="J625" s="194">
        <f>IF(_1_54128456121462410464578910174567[[#This Row],[Type]]&gt;0,VLOOKUP(_1_54128456121462410464578910174567[[#This Row],[Type]],Main[[#All],[TYPE]:[UNIT]],'Unit Price'!H$1,FALSE),0)</f>
        <v>0</v>
      </c>
      <c r="K625" s="194">
        <f>IF(_1_54128456121462410464578910174567[[#This Row],[Discount selection]]&gt;0,VLOOKUP(_1_54128456121462410464578910174567[[#This Row],[Discount selection]],'Discount Structure'!$A$2:$B$30,2,"false"),0)</f>
        <v>1</v>
      </c>
      <c r="L625" s="194">
        <f>_1_54128456121462410464578910174567[[#This Row],[LIST $]]*_1_54128456121462410464578910174567[[#This Row],[DISCOUNT]]*_1_54128456121462410464578910174567[[#This Row],[DISCOUNT 2]]</f>
        <v>0</v>
      </c>
      <c r="M625" s="194">
        <f>IF(OR(_1_54128456121462410464578910174567[[#This Row],[UNIT]]&gt;0,_1_54128456121462410464578910174567[[#This Row],[UNIT]]&lt;0),_1_54128456121462410464578910174567[[#This Row],[UNIT]]*_1_54128456121462410464578910174567[[#This Row],[COST]],0)</f>
        <v>0</v>
      </c>
      <c r="N625" s="194">
        <f t="shared" si="9"/>
        <v>1.3</v>
      </c>
      <c r="O625" s="198">
        <f>_1_54128456121462410464578910174567[[#This Row],[TOTAL]]*_1_54128456121462410464578910174567[[#This Row],[MARGIN]]</f>
        <v>0</v>
      </c>
      <c r="R625" s="41"/>
    </row>
    <row r="626" spans="4:18">
      <c r="D626" s="188"/>
      <c r="F626" s="168" t="s">
        <v>6202</v>
      </c>
      <c r="G626" s="193">
        <f>IF(_1_54128456121462410464578910174567[[#This Row],[Type]]&gt;0,VLOOKUP(_1_54128456121462410464578910174567[[#This Row],[Type]],Main[[#All],[TYPE]:[UNIT]],'Unit Price'!C$1,FALSE),0)</f>
        <v>0</v>
      </c>
      <c r="H626" s="197">
        <f>IF(_1_54128456121462410464578910174567[[#This Row],[Type]]&gt;0,VLOOKUP(_1_54128456121462410464578910174567[[#This Row],[Type]],Main[[#All],[TYPE]:[UNIT]],'Unit Price'!D$1,FALSE),0)</f>
        <v>0</v>
      </c>
      <c r="I626" s="194">
        <f>IF(_1_54128456121462410464578910174567[[#This Row],[Type]]&gt;0,VLOOKUP(_1_54128456121462410464578910174567[[#This Row],[Type]],Main[[#All],[TYPE]:[UNIT]],'Unit Price'!G$1,FALSE),0)</f>
        <v>0</v>
      </c>
      <c r="J626" s="194">
        <f>IF(_1_54128456121462410464578910174567[[#This Row],[Type]]&gt;0,VLOOKUP(_1_54128456121462410464578910174567[[#This Row],[Type]],Main[[#All],[TYPE]:[UNIT]],'Unit Price'!H$1,FALSE),0)</f>
        <v>0</v>
      </c>
      <c r="K626" s="194">
        <f>IF(_1_54128456121462410464578910174567[[#This Row],[Discount selection]]&gt;0,VLOOKUP(_1_54128456121462410464578910174567[[#This Row],[Discount selection]],'Discount Structure'!$A$2:$B$30,2,"false"),0)</f>
        <v>1</v>
      </c>
      <c r="L626" s="194">
        <f>_1_54128456121462410464578910174567[[#This Row],[LIST $]]*_1_54128456121462410464578910174567[[#This Row],[DISCOUNT]]*_1_54128456121462410464578910174567[[#This Row],[DISCOUNT 2]]</f>
        <v>0</v>
      </c>
      <c r="M626" s="194">
        <f>IF(OR(_1_54128456121462410464578910174567[[#This Row],[UNIT]]&gt;0,_1_54128456121462410464578910174567[[#This Row],[UNIT]]&lt;0),_1_54128456121462410464578910174567[[#This Row],[UNIT]]*_1_54128456121462410464578910174567[[#This Row],[COST]],0)</f>
        <v>0</v>
      </c>
      <c r="N626" s="194">
        <f t="shared" si="9"/>
        <v>1.3</v>
      </c>
      <c r="O626" s="198">
        <f>_1_54128456121462410464578910174567[[#This Row],[TOTAL]]*_1_54128456121462410464578910174567[[#This Row],[MARGIN]]</f>
        <v>0</v>
      </c>
      <c r="R626" s="41"/>
    </row>
    <row r="627" spans="4:18">
      <c r="D627" s="188"/>
      <c r="F627" s="168" t="s">
        <v>6202</v>
      </c>
      <c r="G627" s="193">
        <f>IF(_1_54128456121462410464578910174567[[#This Row],[Type]]&gt;0,VLOOKUP(_1_54128456121462410464578910174567[[#This Row],[Type]],Main[[#All],[TYPE]:[UNIT]],'Unit Price'!C$1,FALSE),0)</f>
        <v>0</v>
      </c>
      <c r="H627" s="197">
        <f>IF(_1_54128456121462410464578910174567[[#This Row],[Type]]&gt;0,VLOOKUP(_1_54128456121462410464578910174567[[#This Row],[Type]],Main[[#All],[TYPE]:[UNIT]],'Unit Price'!D$1,FALSE),0)</f>
        <v>0</v>
      </c>
      <c r="I627" s="194">
        <f>IF(_1_54128456121462410464578910174567[[#This Row],[Type]]&gt;0,VLOOKUP(_1_54128456121462410464578910174567[[#This Row],[Type]],Main[[#All],[TYPE]:[UNIT]],'Unit Price'!G$1,FALSE),0)</f>
        <v>0</v>
      </c>
      <c r="J627" s="194">
        <f>IF(_1_54128456121462410464578910174567[[#This Row],[Type]]&gt;0,VLOOKUP(_1_54128456121462410464578910174567[[#This Row],[Type]],Main[[#All],[TYPE]:[UNIT]],'Unit Price'!H$1,FALSE),0)</f>
        <v>0</v>
      </c>
      <c r="K627" s="194">
        <f>IF(_1_54128456121462410464578910174567[[#This Row],[Discount selection]]&gt;0,VLOOKUP(_1_54128456121462410464578910174567[[#This Row],[Discount selection]],'Discount Structure'!$A$2:$B$30,2,"false"),0)</f>
        <v>1</v>
      </c>
      <c r="L627" s="194">
        <f>_1_54128456121462410464578910174567[[#This Row],[LIST $]]*_1_54128456121462410464578910174567[[#This Row],[DISCOUNT]]*_1_54128456121462410464578910174567[[#This Row],[DISCOUNT 2]]</f>
        <v>0</v>
      </c>
      <c r="M627" s="194">
        <f>IF(OR(_1_54128456121462410464578910174567[[#This Row],[UNIT]]&gt;0,_1_54128456121462410464578910174567[[#This Row],[UNIT]]&lt;0),_1_54128456121462410464578910174567[[#This Row],[UNIT]]*_1_54128456121462410464578910174567[[#This Row],[COST]],0)</f>
        <v>0</v>
      </c>
      <c r="N627" s="194">
        <f t="shared" si="9"/>
        <v>1.3</v>
      </c>
      <c r="O627" s="198">
        <f>_1_54128456121462410464578910174567[[#This Row],[TOTAL]]*_1_54128456121462410464578910174567[[#This Row],[MARGIN]]</f>
        <v>0</v>
      </c>
      <c r="R627" s="41"/>
    </row>
    <row r="628" spans="4:18">
      <c r="D628" s="188"/>
      <c r="F628" s="168" t="s">
        <v>6202</v>
      </c>
      <c r="G628" s="193">
        <f>IF(_1_54128456121462410464578910174567[[#This Row],[Type]]&gt;0,VLOOKUP(_1_54128456121462410464578910174567[[#This Row],[Type]],Main[[#All],[TYPE]:[UNIT]],'Unit Price'!C$1,FALSE),0)</f>
        <v>0</v>
      </c>
      <c r="H628" s="197">
        <f>IF(_1_54128456121462410464578910174567[[#This Row],[Type]]&gt;0,VLOOKUP(_1_54128456121462410464578910174567[[#This Row],[Type]],Main[[#All],[TYPE]:[UNIT]],'Unit Price'!D$1,FALSE),0)</f>
        <v>0</v>
      </c>
      <c r="I628" s="194">
        <f>IF(_1_54128456121462410464578910174567[[#This Row],[Type]]&gt;0,VLOOKUP(_1_54128456121462410464578910174567[[#This Row],[Type]],Main[[#All],[TYPE]:[UNIT]],'Unit Price'!G$1,FALSE),0)</f>
        <v>0</v>
      </c>
      <c r="J628" s="194">
        <f>IF(_1_54128456121462410464578910174567[[#This Row],[Type]]&gt;0,VLOOKUP(_1_54128456121462410464578910174567[[#This Row],[Type]],Main[[#All],[TYPE]:[UNIT]],'Unit Price'!H$1,FALSE),0)</f>
        <v>0</v>
      </c>
      <c r="K628" s="194">
        <f>IF(_1_54128456121462410464578910174567[[#This Row],[Discount selection]]&gt;0,VLOOKUP(_1_54128456121462410464578910174567[[#This Row],[Discount selection]],'Discount Structure'!$A$2:$B$30,2,"false"),0)</f>
        <v>1</v>
      </c>
      <c r="L628" s="194">
        <f>_1_54128456121462410464578910174567[[#This Row],[LIST $]]*_1_54128456121462410464578910174567[[#This Row],[DISCOUNT]]*_1_54128456121462410464578910174567[[#This Row],[DISCOUNT 2]]</f>
        <v>0</v>
      </c>
      <c r="M628" s="194">
        <f>IF(OR(_1_54128456121462410464578910174567[[#This Row],[UNIT]]&gt;0,_1_54128456121462410464578910174567[[#This Row],[UNIT]]&lt;0),_1_54128456121462410464578910174567[[#This Row],[UNIT]]*_1_54128456121462410464578910174567[[#This Row],[COST]],0)</f>
        <v>0</v>
      </c>
      <c r="N628" s="194">
        <f t="shared" si="9"/>
        <v>1.3</v>
      </c>
      <c r="O628" s="198">
        <f>_1_54128456121462410464578910174567[[#This Row],[TOTAL]]*_1_54128456121462410464578910174567[[#This Row],[MARGIN]]</f>
        <v>0</v>
      </c>
      <c r="R628" s="41"/>
    </row>
    <row r="629" spans="4:18">
      <c r="D629" s="188"/>
      <c r="F629" s="168" t="s">
        <v>6202</v>
      </c>
      <c r="G629" s="193">
        <f>IF(_1_54128456121462410464578910174567[[#This Row],[Type]]&gt;0,VLOOKUP(_1_54128456121462410464578910174567[[#This Row],[Type]],Main[[#All],[TYPE]:[UNIT]],'Unit Price'!C$1,FALSE),0)</f>
        <v>0</v>
      </c>
      <c r="H629" s="197">
        <f>IF(_1_54128456121462410464578910174567[[#This Row],[Type]]&gt;0,VLOOKUP(_1_54128456121462410464578910174567[[#This Row],[Type]],Main[[#All],[TYPE]:[UNIT]],'Unit Price'!D$1,FALSE),0)</f>
        <v>0</v>
      </c>
      <c r="I629" s="194">
        <f>IF(_1_54128456121462410464578910174567[[#This Row],[Type]]&gt;0,VLOOKUP(_1_54128456121462410464578910174567[[#This Row],[Type]],Main[[#All],[TYPE]:[UNIT]],'Unit Price'!G$1,FALSE),0)</f>
        <v>0</v>
      </c>
      <c r="J629" s="194">
        <f>IF(_1_54128456121462410464578910174567[[#This Row],[Type]]&gt;0,VLOOKUP(_1_54128456121462410464578910174567[[#This Row],[Type]],Main[[#All],[TYPE]:[UNIT]],'Unit Price'!H$1,FALSE),0)</f>
        <v>0</v>
      </c>
      <c r="K629" s="194">
        <f>IF(_1_54128456121462410464578910174567[[#This Row],[Discount selection]]&gt;0,VLOOKUP(_1_54128456121462410464578910174567[[#This Row],[Discount selection]],'Discount Structure'!$A$2:$B$30,2,"false"),0)</f>
        <v>1</v>
      </c>
      <c r="L629" s="194">
        <f>_1_54128456121462410464578910174567[[#This Row],[LIST $]]*_1_54128456121462410464578910174567[[#This Row],[DISCOUNT]]*_1_54128456121462410464578910174567[[#This Row],[DISCOUNT 2]]</f>
        <v>0</v>
      </c>
      <c r="M629" s="194">
        <f>IF(OR(_1_54128456121462410464578910174567[[#This Row],[UNIT]]&gt;0,_1_54128456121462410464578910174567[[#This Row],[UNIT]]&lt;0),_1_54128456121462410464578910174567[[#This Row],[UNIT]]*_1_54128456121462410464578910174567[[#This Row],[COST]],0)</f>
        <v>0</v>
      </c>
      <c r="N629" s="194">
        <f t="shared" si="9"/>
        <v>1.3</v>
      </c>
      <c r="O629" s="198">
        <f>_1_54128456121462410464578910174567[[#This Row],[TOTAL]]*_1_54128456121462410464578910174567[[#This Row],[MARGIN]]</f>
        <v>0</v>
      </c>
      <c r="R629" s="41"/>
    </row>
    <row r="630" spans="4:18">
      <c r="D630" s="188"/>
      <c r="F630" s="168" t="s">
        <v>6202</v>
      </c>
      <c r="G630" s="193">
        <f>IF(_1_54128456121462410464578910174567[[#This Row],[Type]]&gt;0,VLOOKUP(_1_54128456121462410464578910174567[[#This Row],[Type]],Main[[#All],[TYPE]:[UNIT]],'Unit Price'!C$1,FALSE),0)</f>
        <v>0</v>
      </c>
      <c r="H630" s="197">
        <f>IF(_1_54128456121462410464578910174567[[#This Row],[Type]]&gt;0,VLOOKUP(_1_54128456121462410464578910174567[[#This Row],[Type]],Main[[#All],[TYPE]:[UNIT]],'Unit Price'!D$1,FALSE),0)</f>
        <v>0</v>
      </c>
      <c r="I630" s="194">
        <f>IF(_1_54128456121462410464578910174567[[#This Row],[Type]]&gt;0,VLOOKUP(_1_54128456121462410464578910174567[[#This Row],[Type]],Main[[#All],[TYPE]:[UNIT]],'Unit Price'!G$1,FALSE),0)</f>
        <v>0</v>
      </c>
      <c r="J630" s="194">
        <f>IF(_1_54128456121462410464578910174567[[#This Row],[Type]]&gt;0,VLOOKUP(_1_54128456121462410464578910174567[[#This Row],[Type]],Main[[#All],[TYPE]:[UNIT]],'Unit Price'!H$1,FALSE),0)</f>
        <v>0</v>
      </c>
      <c r="K630" s="194">
        <f>IF(_1_54128456121462410464578910174567[[#This Row],[Discount selection]]&gt;0,VLOOKUP(_1_54128456121462410464578910174567[[#This Row],[Discount selection]],'Discount Structure'!$A$2:$B$30,2,"false"),0)</f>
        <v>1</v>
      </c>
      <c r="L630" s="194">
        <f>_1_54128456121462410464578910174567[[#This Row],[LIST $]]*_1_54128456121462410464578910174567[[#This Row],[DISCOUNT]]*_1_54128456121462410464578910174567[[#This Row],[DISCOUNT 2]]</f>
        <v>0</v>
      </c>
      <c r="M630" s="194">
        <f>IF(OR(_1_54128456121462410464578910174567[[#This Row],[UNIT]]&gt;0,_1_54128456121462410464578910174567[[#This Row],[UNIT]]&lt;0),_1_54128456121462410464578910174567[[#This Row],[UNIT]]*_1_54128456121462410464578910174567[[#This Row],[COST]],0)</f>
        <v>0</v>
      </c>
      <c r="N630" s="194">
        <f t="shared" si="9"/>
        <v>1.3</v>
      </c>
      <c r="O630" s="198">
        <f>_1_54128456121462410464578910174567[[#This Row],[TOTAL]]*_1_54128456121462410464578910174567[[#This Row],[MARGIN]]</f>
        <v>0</v>
      </c>
      <c r="R630" s="41"/>
    </row>
    <row r="631" spans="4:18">
      <c r="D631" s="188"/>
      <c r="F631" s="168" t="s">
        <v>6202</v>
      </c>
      <c r="G631" s="193">
        <f>IF(_1_54128456121462410464578910174567[[#This Row],[Type]]&gt;0,VLOOKUP(_1_54128456121462410464578910174567[[#This Row],[Type]],Main[[#All],[TYPE]:[UNIT]],'Unit Price'!C$1,FALSE),0)</f>
        <v>0</v>
      </c>
      <c r="H631" s="197">
        <f>IF(_1_54128456121462410464578910174567[[#This Row],[Type]]&gt;0,VLOOKUP(_1_54128456121462410464578910174567[[#This Row],[Type]],Main[[#All],[TYPE]:[UNIT]],'Unit Price'!D$1,FALSE),0)</f>
        <v>0</v>
      </c>
      <c r="I631" s="194">
        <f>IF(_1_54128456121462410464578910174567[[#This Row],[Type]]&gt;0,VLOOKUP(_1_54128456121462410464578910174567[[#This Row],[Type]],Main[[#All],[TYPE]:[UNIT]],'Unit Price'!G$1,FALSE),0)</f>
        <v>0</v>
      </c>
      <c r="J631" s="194">
        <f>IF(_1_54128456121462410464578910174567[[#This Row],[Type]]&gt;0,VLOOKUP(_1_54128456121462410464578910174567[[#This Row],[Type]],Main[[#All],[TYPE]:[UNIT]],'Unit Price'!H$1,FALSE),0)</f>
        <v>0</v>
      </c>
      <c r="K631" s="194">
        <f>IF(_1_54128456121462410464578910174567[[#This Row],[Discount selection]]&gt;0,VLOOKUP(_1_54128456121462410464578910174567[[#This Row],[Discount selection]],'Discount Structure'!$A$2:$B$30,2,"false"),0)</f>
        <v>1</v>
      </c>
      <c r="L631" s="194">
        <f>_1_54128456121462410464578910174567[[#This Row],[LIST $]]*_1_54128456121462410464578910174567[[#This Row],[DISCOUNT]]*_1_54128456121462410464578910174567[[#This Row],[DISCOUNT 2]]</f>
        <v>0</v>
      </c>
      <c r="M631" s="194">
        <f>IF(OR(_1_54128456121462410464578910174567[[#This Row],[UNIT]]&gt;0,_1_54128456121462410464578910174567[[#This Row],[UNIT]]&lt;0),_1_54128456121462410464578910174567[[#This Row],[UNIT]]*_1_54128456121462410464578910174567[[#This Row],[COST]],0)</f>
        <v>0</v>
      </c>
      <c r="N631" s="194">
        <f t="shared" si="9"/>
        <v>1.3</v>
      </c>
      <c r="O631" s="198">
        <f>_1_54128456121462410464578910174567[[#This Row],[TOTAL]]*_1_54128456121462410464578910174567[[#This Row],[MARGIN]]</f>
        <v>0</v>
      </c>
      <c r="R631" s="41"/>
    </row>
    <row r="632" spans="4:18">
      <c r="D632" s="188"/>
      <c r="F632" s="168" t="s">
        <v>6202</v>
      </c>
      <c r="G632" s="193">
        <f>IF(_1_54128456121462410464578910174567[[#This Row],[Type]]&gt;0,VLOOKUP(_1_54128456121462410464578910174567[[#This Row],[Type]],Main[[#All],[TYPE]:[UNIT]],'Unit Price'!C$1,FALSE),0)</f>
        <v>0</v>
      </c>
      <c r="H632" s="197">
        <f>IF(_1_54128456121462410464578910174567[[#This Row],[Type]]&gt;0,VLOOKUP(_1_54128456121462410464578910174567[[#This Row],[Type]],Main[[#All],[TYPE]:[UNIT]],'Unit Price'!D$1,FALSE),0)</f>
        <v>0</v>
      </c>
      <c r="I632" s="194">
        <f>IF(_1_54128456121462410464578910174567[[#This Row],[Type]]&gt;0,VLOOKUP(_1_54128456121462410464578910174567[[#This Row],[Type]],Main[[#All],[TYPE]:[UNIT]],'Unit Price'!G$1,FALSE),0)</f>
        <v>0</v>
      </c>
      <c r="J632" s="194">
        <f>IF(_1_54128456121462410464578910174567[[#This Row],[Type]]&gt;0,VLOOKUP(_1_54128456121462410464578910174567[[#This Row],[Type]],Main[[#All],[TYPE]:[UNIT]],'Unit Price'!H$1,FALSE),0)</f>
        <v>0</v>
      </c>
      <c r="K632" s="194">
        <f>IF(_1_54128456121462410464578910174567[[#This Row],[Discount selection]]&gt;0,VLOOKUP(_1_54128456121462410464578910174567[[#This Row],[Discount selection]],'Discount Structure'!$A$2:$B$30,2,"false"),0)</f>
        <v>1</v>
      </c>
      <c r="L632" s="194">
        <f>_1_54128456121462410464578910174567[[#This Row],[LIST $]]*_1_54128456121462410464578910174567[[#This Row],[DISCOUNT]]*_1_54128456121462410464578910174567[[#This Row],[DISCOUNT 2]]</f>
        <v>0</v>
      </c>
      <c r="M632" s="194">
        <f>IF(OR(_1_54128456121462410464578910174567[[#This Row],[UNIT]]&gt;0,_1_54128456121462410464578910174567[[#This Row],[UNIT]]&lt;0),_1_54128456121462410464578910174567[[#This Row],[UNIT]]*_1_54128456121462410464578910174567[[#This Row],[COST]],0)</f>
        <v>0</v>
      </c>
      <c r="N632" s="194">
        <f t="shared" si="9"/>
        <v>1.3</v>
      </c>
      <c r="O632" s="198">
        <f>_1_54128456121462410464578910174567[[#This Row],[TOTAL]]*_1_54128456121462410464578910174567[[#This Row],[MARGIN]]</f>
        <v>0</v>
      </c>
      <c r="R632" s="41"/>
    </row>
    <row r="633" spans="4:18">
      <c r="D633" s="188"/>
      <c r="F633" s="168" t="s">
        <v>6202</v>
      </c>
      <c r="G633" s="193">
        <f>IF(_1_54128456121462410464578910174567[[#This Row],[Type]]&gt;0,VLOOKUP(_1_54128456121462410464578910174567[[#This Row],[Type]],Main[[#All],[TYPE]:[UNIT]],'Unit Price'!C$1,FALSE),0)</f>
        <v>0</v>
      </c>
      <c r="H633" s="197">
        <f>IF(_1_54128456121462410464578910174567[[#This Row],[Type]]&gt;0,VLOOKUP(_1_54128456121462410464578910174567[[#This Row],[Type]],Main[[#All],[TYPE]:[UNIT]],'Unit Price'!D$1,FALSE),0)</f>
        <v>0</v>
      </c>
      <c r="I633" s="194">
        <f>IF(_1_54128456121462410464578910174567[[#This Row],[Type]]&gt;0,VLOOKUP(_1_54128456121462410464578910174567[[#This Row],[Type]],Main[[#All],[TYPE]:[UNIT]],'Unit Price'!G$1,FALSE),0)</f>
        <v>0</v>
      </c>
      <c r="J633" s="194">
        <f>IF(_1_54128456121462410464578910174567[[#This Row],[Type]]&gt;0,VLOOKUP(_1_54128456121462410464578910174567[[#This Row],[Type]],Main[[#All],[TYPE]:[UNIT]],'Unit Price'!H$1,FALSE),0)</f>
        <v>0</v>
      </c>
      <c r="K633" s="194">
        <f>IF(_1_54128456121462410464578910174567[[#This Row],[Discount selection]]&gt;0,VLOOKUP(_1_54128456121462410464578910174567[[#This Row],[Discount selection]],'Discount Structure'!$A$2:$B$30,2,"false"),0)</f>
        <v>1</v>
      </c>
      <c r="L633" s="194">
        <f>_1_54128456121462410464578910174567[[#This Row],[LIST $]]*_1_54128456121462410464578910174567[[#This Row],[DISCOUNT]]*_1_54128456121462410464578910174567[[#This Row],[DISCOUNT 2]]</f>
        <v>0</v>
      </c>
      <c r="M633" s="194">
        <f>IF(OR(_1_54128456121462410464578910174567[[#This Row],[UNIT]]&gt;0,_1_54128456121462410464578910174567[[#This Row],[UNIT]]&lt;0),_1_54128456121462410464578910174567[[#This Row],[UNIT]]*_1_54128456121462410464578910174567[[#This Row],[COST]],0)</f>
        <v>0</v>
      </c>
      <c r="N633" s="194">
        <f t="shared" si="9"/>
        <v>1.3</v>
      </c>
      <c r="O633" s="198">
        <f>_1_54128456121462410464578910174567[[#This Row],[TOTAL]]*_1_54128456121462410464578910174567[[#This Row],[MARGIN]]</f>
        <v>0</v>
      </c>
      <c r="R633" s="41"/>
    </row>
    <row r="634" spans="4:18">
      <c r="D634" s="188"/>
      <c r="F634" s="168" t="s">
        <v>6202</v>
      </c>
      <c r="G634" s="193">
        <f>IF(_1_54128456121462410464578910174567[[#This Row],[Type]]&gt;0,VLOOKUP(_1_54128456121462410464578910174567[[#This Row],[Type]],Main[[#All],[TYPE]:[UNIT]],'Unit Price'!C$1,FALSE),0)</f>
        <v>0</v>
      </c>
      <c r="H634" s="197">
        <f>IF(_1_54128456121462410464578910174567[[#This Row],[Type]]&gt;0,VLOOKUP(_1_54128456121462410464578910174567[[#This Row],[Type]],Main[[#All],[TYPE]:[UNIT]],'Unit Price'!D$1,FALSE),0)</f>
        <v>0</v>
      </c>
      <c r="I634" s="194">
        <f>IF(_1_54128456121462410464578910174567[[#This Row],[Type]]&gt;0,VLOOKUP(_1_54128456121462410464578910174567[[#This Row],[Type]],Main[[#All],[TYPE]:[UNIT]],'Unit Price'!G$1,FALSE),0)</f>
        <v>0</v>
      </c>
      <c r="J634" s="194">
        <f>IF(_1_54128456121462410464578910174567[[#This Row],[Type]]&gt;0,VLOOKUP(_1_54128456121462410464578910174567[[#This Row],[Type]],Main[[#All],[TYPE]:[UNIT]],'Unit Price'!H$1,FALSE),0)</f>
        <v>0</v>
      </c>
      <c r="K634" s="194">
        <f>IF(_1_54128456121462410464578910174567[[#This Row],[Discount selection]]&gt;0,VLOOKUP(_1_54128456121462410464578910174567[[#This Row],[Discount selection]],'Discount Structure'!$A$2:$B$30,2,"false"),0)</f>
        <v>1</v>
      </c>
      <c r="L634" s="194">
        <f>_1_54128456121462410464578910174567[[#This Row],[LIST $]]*_1_54128456121462410464578910174567[[#This Row],[DISCOUNT]]*_1_54128456121462410464578910174567[[#This Row],[DISCOUNT 2]]</f>
        <v>0</v>
      </c>
      <c r="M634" s="194">
        <f>IF(OR(_1_54128456121462410464578910174567[[#This Row],[UNIT]]&gt;0,_1_54128456121462410464578910174567[[#This Row],[UNIT]]&lt;0),_1_54128456121462410464578910174567[[#This Row],[UNIT]]*_1_54128456121462410464578910174567[[#This Row],[COST]],0)</f>
        <v>0</v>
      </c>
      <c r="N634" s="194">
        <f t="shared" si="9"/>
        <v>1.3</v>
      </c>
      <c r="O634" s="198">
        <f>_1_54128456121462410464578910174567[[#This Row],[TOTAL]]*_1_54128456121462410464578910174567[[#This Row],[MARGIN]]</f>
        <v>0</v>
      </c>
      <c r="R634" s="41"/>
    </row>
    <row r="635" spans="4:18">
      <c r="D635" s="188"/>
      <c r="F635" s="168" t="s">
        <v>6202</v>
      </c>
      <c r="G635" s="193">
        <f>IF(_1_54128456121462410464578910174567[[#This Row],[Type]]&gt;0,VLOOKUP(_1_54128456121462410464578910174567[[#This Row],[Type]],Main[[#All],[TYPE]:[UNIT]],'Unit Price'!C$1,FALSE),0)</f>
        <v>0</v>
      </c>
      <c r="H635" s="197">
        <f>IF(_1_54128456121462410464578910174567[[#This Row],[Type]]&gt;0,VLOOKUP(_1_54128456121462410464578910174567[[#This Row],[Type]],Main[[#All],[TYPE]:[UNIT]],'Unit Price'!D$1,FALSE),0)</f>
        <v>0</v>
      </c>
      <c r="I635" s="194">
        <f>IF(_1_54128456121462410464578910174567[[#This Row],[Type]]&gt;0,VLOOKUP(_1_54128456121462410464578910174567[[#This Row],[Type]],Main[[#All],[TYPE]:[UNIT]],'Unit Price'!G$1,FALSE),0)</f>
        <v>0</v>
      </c>
      <c r="J635" s="194">
        <f>IF(_1_54128456121462410464578910174567[[#This Row],[Type]]&gt;0,VLOOKUP(_1_54128456121462410464578910174567[[#This Row],[Type]],Main[[#All],[TYPE]:[UNIT]],'Unit Price'!H$1,FALSE),0)</f>
        <v>0</v>
      </c>
      <c r="K635" s="194">
        <f>IF(_1_54128456121462410464578910174567[[#This Row],[Discount selection]]&gt;0,VLOOKUP(_1_54128456121462410464578910174567[[#This Row],[Discount selection]],'Discount Structure'!$A$2:$B$30,2,"false"),0)</f>
        <v>1</v>
      </c>
      <c r="L635" s="194">
        <f>_1_54128456121462410464578910174567[[#This Row],[LIST $]]*_1_54128456121462410464578910174567[[#This Row],[DISCOUNT]]*_1_54128456121462410464578910174567[[#This Row],[DISCOUNT 2]]</f>
        <v>0</v>
      </c>
      <c r="M635" s="194">
        <f>IF(OR(_1_54128456121462410464578910174567[[#This Row],[UNIT]]&gt;0,_1_54128456121462410464578910174567[[#This Row],[UNIT]]&lt;0),_1_54128456121462410464578910174567[[#This Row],[UNIT]]*_1_54128456121462410464578910174567[[#This Row],[COST]],0)</f>
        <v>0</v>
      </c>
      <c r="N635" s="194">
        <f t="shared" si="9"/>
        <v>1.3</v>
      </c>
      <c r="O635" s="198">
        <f>_1_54128456121462410464578910174567[[#This Row],[TOTAL]]*_1_54128456121462410464578910174567[[#This Row],[MARGIN]]</f>
        <v>0</v>
      </c>
      <c r="R635" s="41"/>
    </row>
    <row r="636" spans="4:18">
      <c r="D636" s="188"/>
      <c r="F636" s="168" t="s">
        <v>6202</v>
      </c>
      <c r="G636" s="193">
        <f>IF(_1_54128456121462410464578910174567[[#This Row],[Type]]&gt;0,VLOOKUP(_1_54128456121462410464578910174567[[#This Row],[Type]],Main[[#All],[TYPE]:[UNIT]],'Unit Price'!C$1,FALSE),0)</f>
        <v>0</v>
      </c>
      <c r="H636" s="197">
        <f>IF(_1_54128456121462410464578910174567[[#This Row],[Type]]&gt;0,VLOOKUP(_1_54128456121462410464578910174567[[#This Row],[Type]],Main[[#All],[TYPE]:[UNIT]],'Unit Price'!D$1,FALSE),0)</f>
        <v>0</v>
      </c>
      <c r="I636" s="194">
        <f>IF(_1_54128456121462410464578910174567[[#This Row],[Type]]&gt;0,VLOOKUP(_1_54128456121462410464578910174567[[#This Row],[Type]],Main[[#All],[TYPE]:[UNIT]],'Unit Price'!G$1,FALSE),0)</f>
        <v>0</v>
      </c>
      <c r="J636" s="194">
        <f>IF(_1_54128456121462410464578910174567[[#This Row],[Type]]&gt;0,VLOOKUP(_1_54128456121462410464578910174567[[#This Row],[Type]],Main[[#All],[TYPE]:[UNIT]],'Unit Price'!H$1,FALSE),0)</f>
        <v>0</v>
      </c>
      <c r="K636" s="194">
        <f>IF(_1_54128456121462410464578910174567[[#This Row],[Discount selection]]&gt;0,VLOOKUP(_1_54128456121462410464578910174567[[#This Row],[Discount selection]],'Discount Structure'!$A$2:$B$30,2,"false"),0)</f>
        <v>1</v>
      </c>
      <c r="L636" s="194">
        <f>_1_54128456121462410464578910174567[[#This Row],[LIST $]]*_1_54128456121462410464578910174567[[#This Row],[DISCOUNT]]*_1_54128456121462410464578910174567[[#This Row],[DISCOUNT 2]]</f>
        <v>0</v>
      </c>
      <c r="M636" s="194">
        <f>IF(OR(_1_54128456121462410464578910174567[[#This Row],[UNIT]]&gt;0,_1_54128456121462410464578910174567[[#This Row],[UNIT]]&lt;0),_1_54128456121462410464578910174567[[#This Row],[UNIT]]*_1_54128456121462410464578910174567[[#This Row],[COST]],0)</f>
        <v>0</v>
      </c>
      <c r="N636" s="194">
        <f t="shared" si="9"/>
        <v>1.3</v>
      </c>
      <c r="O636" s="198">
        <f>_1_54128456121462410464578910174567[[#This Row],[TOTAL]]*_1_54128456121462410464578910174567[[#This Row],[MARGIN]]</f>
        <v>0</v>
      </c>
      <c r="R636" s="41"/>
    </row>
    <row r="637" spans="4:18">
      <c r="D637" s="188"/>
      <c r="F637" s="168" t="s">
        <v>6202</v>
      </c>
      <c r="G637" s="193">
        <f>IF(_1_54128456121462410464578910174567[[#This Row],[Type]]&gt;0,VLOOKUP(_1_54128456121462410464578910174567[[#This Row],[Type]],Main[[#All],[TYPE]:[UNIT]],'Unit Price'!C$1,FALSE),0)</f>
        <v>0</v>
      </c>
      <c r="H637" s="197">
        <f>IF(_1_54128456121462410464578910174567[[#This Row],[Type]]&gt;0,VLOOKUP(_1_54128456121462410464578910174567[[#This Row],[Type]],Main[[#All],[TYPE]:[UNIT]],'Unit Price'!D$1,FALSE),0)</f>
        <v>0</v>
      </c>
      <c r="I637" s="194">
        <f>IF(_1_54128456121462410464578910174567[[#This Row],[Type]]&gt;0,VLOOKUP(_1_54128456121462410464578910174567[[#This Row],[Type]],Main[[#All],[TYPE]:[UNIT]],'Unit Price'!G$1,FALSE),0)</f>
        <v>0</v>
      </c>
      <c r="J637" s="194">
        <f>IF(_1_54128456121462410464578910174567[[#This Row],[Type]]&gt;0,VLOOKUP(_1_54128456121462410464578910174567[[#This Row],[Type]],Main[[#All],[TYPE]:[UNIT]],'Unit Price'!H$1,FALSE),0)</f>
        <v>0</v>
      </c>
      <c r="K637" s="194">
        <f>IF(_1_54128456121462410464578910174567[[#This Row],[Discount selection]]&gt;0,VLOOKUP(_1_54128456121462410464578910174567[[#This Row],[Discount selection]],'Discount Structure'!$A$2:$B$30,2,"false"),0)</f>
        <v>1</v>
      </c>
      <c r="L637" s="194">
        <f>_1_54128456121462410464578910174567[[#This Row],[LIST $]]*_1_54128456121462410464578910174567[[#This Row],[DISCOUNT]]*_1_54128456121462410464578910174567[[#This Row],[DISCOUNT 2]]</f>
        <v>0</v>
      </c>
      <c r="M637" s="194">
        <f>IF(OR(_1_54128456121462410464578910174567[[#This Row],[UNIT]]&gt;0,_1_54128456121462410464578910174567[[#This Row],[UNIT]]&lt;0),_1_54128456121462410464578910174567[[#This Row],[UNIT]]*_1_54128456121462410464578910174567[[#This Row],[COST]],0)</f>
        <v>0</v>
      </c>
      <c r="N637" s="194">
        <f t="shared" si="9"/>
        <v>1.3</v>
      </c>
      <c r="O637" s="198">
        <f>_1_54128456121462410464578910174567[[#This Row],[TOTAL]]*_1_54128456121462410464578910174567[[#This Row],[MARGIN]]</f>
        <v>0</v>
      </c>
      <c r="R637" s="41"/>
    </row>
    <row r="638" spans="4:18">
      <c r="D638" s="188"/>
      <c r="F638" s="168" t="s">
        <v>6202</v>
      </c>
      <c r="G638" s="193">
        <f>IF(_1_54128456121462410464578910174567[[#This Row],[Type]]&gt;0,VLOOKUP(_1_54128456121462410464578910174567[[#This Row],[Type]],Main[[#All],[TYPE]:[UNIT]],'Unit Price'!C$1,FALSE),0)</f>
        <v>0</v>
      </c>
      <c r="H638" s="197">
        <f>IF(_1_54128456121462410464578910174567[[#This Row],[Type]]&gt;0,VLOOKUP(_1_54128456121462410464578910174567[[#This Row],[Type]],Main[[#All],[TYPE]:[UNIT]],'Unit Price'!D$1,FALSE),0)</f>
        <v>0</v>
      </c>
      <c r="I638" s="194">
        <f>IF(_1_54128456121462410464578910174567[[#This Row],[Type]]&gt;0,VLOOKUP(_1_54128456121462410464578910174567[[#This Row],[Type]],Main[[#All],[TYPE]:[UNIT]],'Unit Price'!G$1,FALSE),0)</f>
        <v>0</v>
      </c>
      <c r="J638" s="194">
        <f>IF(_1_54128456121462410464578910174567[[#This Row],[Type]]&gt;0,VLOOKUP(_1_54128456121462410464578910174567[[#This Row],[Type]],Main[[#All],[TYPE]:[UNIT]],'Unit Price'!H$1,FALSE),0)</f>
        <v>0</v>
      </c>
      <c r="K638" s="194">
        <f>IF(_1_54128456121462410464578910174567[[#This Row],[Discount selection]]&gt;0,VLOOKUP(_1_54128456121462410464578910174567[[#This Row],[Discount selection]],'Discount Structure'!$A$2:$B$30,2,"false"),0)</f>
        <v>1</v>
      </c>
      <c r="L638" s="194">
        <f>_1_54128456121462410464578910174567[[#This Row],[LIST $]]*_1_54128456121462410464578910174567[[#This Row],[DISCOUNT]]*_1_54128456121462410464578910174567[[#This Row],[DISCOUNT 2]]</f>
        <v>0</v>
      </c>
      <c r="M638" s="194">
        <f>IF(OR(_1_54128456121462410464578910174567[[#This Row],[UNIT]]&gt;0,_1_54128456121462410464578910174567[[#This Row],[UNIT]]&lt;0),_1_54128456121462410464578910174567[[#This Row],[UNIT]]*_1_54128456121462410464578910174567[[#This Row],[COST]],0)</f>
        <v>0</v>
      </c>
      <c r="N638" s="194">
        <f t="shared" si="9"/>
        <v>1.3</v>
      </c>
      <c r="O638" s="198">
        <f>_1_54128456121462410464578910174567[[#This Row],[TOTAL]]*_1_54128456121462410464578910174567[[#This Row],[MARGIN]]</f>
        <v>0</v>
      </c>
      <c r="R638" s="41"/>
    </row>
    <row r="639" spans="4:18">
      <c r="D639" s="188"/>
      <c r="F639" s="168" t="s">
        <v>6202</v>
      </c>
      <c r="G639" s="193">
        <f>IF(_1_54128456121462410464578910174567[[#This Row],[Type]]&gt;0,VLOOKUP(_1_54128456121462410464578910174567[[#This Row],[Type]],Main[[#All],[TYPE]:[UNIT]],'Unit Price'!C$1,FALSE),0)</f>
        <v>0</v>
      </c>
      <c r="H639" s="197">
        <f>IF(_1_54128456121462410464578910174567[[#This Row],[Type]]&gt;0,VLOOKUP(_1_54128456121462410464578910174567[[#This Row],[Type]],Main[[#All],[TYPE]:[UNIT]],'Unit Price'!D$1,FALSE),0)</f>
        <v>0</v>
      </c>
      <c r="I639" s="194">
        <f>IF(_1_54128456121462410464578910174567[[#This Row],[Type]]&gt;0,VLOOKUP(_1_54128456121462410464578910174567[[#This Row],[Type]],Main[[#All],[TYPE]:[UNIT]],'Unit Price'!G$1,FALSE),0)</f>
        <v>0</v>
      </c>
      <c r="J639" s="194">
        <f>IF(_1_54128456121462410464578910174567[[#This Row],[Type]]&gt;0,VLOOKUP(_1_54128456121462410464578910174567[[#This Row],[Type]],Main[[#All],[TYPE]:[UNIT]],'Unit Price'!H$1,FALSE),0)</f>
        <v>0</v>
      </c>
      <c r="K639" s="194">
        <f>IF(_1_54128456121462410464578910174567[[#This Row],[Discount selection]]&gt;0,VLOOKUP(_1_54128456121462410464578910174567[[#This Row],[Discount selection]],'Discount Structure'!$A$2:$B$30,2,"false"),0)</f>
        <v>1</v>
      </c>
      <c r="L639" s="194">
        <f>_1_54128456121462410464578910174567[[#This Row],[LIST $]]*_1_54128456121462410464578910174567[[#This Row],[DISCOUNT]]*_1_54128456121462410464578910174567[[#This Row],[DISCOUNT 2]]</f>
        <v>0</v>
      </c>
      <c r="M639" s="194">
        <f>IF(OR(_1_54128456121462410464578910174567[[#This Row],[UNIT]]&gt;0,_1_54128456121462410464578910174567[[#This Row],[UNIT]]&lt;0),_1_54128456121462410464578910174567[[#This Row],[UNIT]]*_1_54128456121462410464578910174567[[#This Row],[COST]],0)</f>
        <v>0</v>
      </c>
      <c r="N639" s="194">
        <f t="shared" si="9"/>
        <v>1.3</v>
      </c>
      <c r="O639" s="198">
        <f>_1_54128456121462410464578910174567[[#This Row],[TOTAL]]*_1_54128456121462410464578910174567[[#This Row],[MARGIN]]</f>
        <v>0</v>
      </c>
      <c r="R639" s="41"/>
    </row>
    <row r="640" spans="4:18">
      <c r="D640" s="188"/>
      <c r="F640" s="168" t="s">
        <v>6202</v>
      </c>
      <c r="G640" s="193">
        <f>IF(_1_54128456121462410464578910174567[[#This Row],[Type]]&gt;0,VLOOKUP(_1_54128456121462410464578910174567[[#This Row],[Type]],Main[[#All],[TYPE]:[UNIT]],'Unit Price'!C$1,FALSE),0)</f>
        <v>0</v>
      </c>
      <c r="H640" s="197">
        <f>IF(_1_54128456121462410464578910174567[[#This Row],[Type]]&gt;0,VLOOKUP(_1_54128456121462410464578910174567[[#This Row],[Type]],Main[[#All],[TYPE]:[UNIT]],'Unit Price'!D$1,FALSE),0)</f>
        <v>0</v>
      </c>
      <c r="I640" s="194">
        <f>IF(_1_54128456121462410464578910174567[[#This Row],[Type]]&gt;0,VLOOKUP(_1_54128456121462410464578910174567[[#This Row],[Type]],Main[[#All],[TYPE]:[UNIT]],'Unit Price'!G$1,FALSE),0)</f>
        <v>0</v>
      </c>
      <c r="J640" s="194">
        <f>IF(_1_54128456121462410464578910174567[[#This Row],[Type]]&gt;0,VLOOKUP(_1_54128456121462410464578910174567[[#This Row],[Type]],Main[[#All],[TYPE]:[UNIT]],'Unit Price'!H$1,FALSE),0)</f>
        <v>0</v>
      </c>
      <c r="K640" s="194">
        <f>IF(_1_54128456121462410464578910174567[[#This Row],[Discount selection]]&gt;0,VLOOKUP(_1_54128456121462410464578910174567[[#This Row],[Discount selection]],'Discount Structure'!$A$2:$B$30,2,"false"),0)</f>
        <v>1</v>
      </c>
      <c r="L640" s="194">
        <f>_1_54128456121462410464578910174567[[#This Row],[LIST $]]*_1_54128456121462410464578910174567[[#This Row],[DISCOUNT]]*_1_54128456121462410464578910174567[[#This Row],[DISCOUNT 2]]</f>
        <v>0</v>
      </c>
      <c r="M640" s="194">
        <f>IF(OR(_1_54128456121462410464578910174567[[#This Row],[UNIT]]&gt;0,_1_54128456121462410464578910174567[[#This Row],[UNIT]]&lt;0),_1_54128456121462410464578910174567[[#This Row],[UNIT]]*_1_54128456121462410464578910174567[[#This Row],[COST]],0)</f>
        <v>0</v>
      </c>
      <c r="N640" s="194">
        <f t="shared" si="9"/>
        <v>1.3</v>
      </c>
      <c r="O640" s="198">
        <f>_1_54128456121462410464578910174567[[#This Row],[TOTAL]]*_1_54128456121462410464578910174567[[#This Row],[MARGIN]]</f>
        <v>0</v>
      </c>
      <c r="R640" s="41"/>
    </row>
    <row r="641" spans="4:18">
      <c r="D641" s="188"/>
      <c r="F641" s="168" t="s">
        <v>6202</v>
      </c>
      <c r="G641" s="193">
        <f>IF(_1_54128456121462410464578910174567[[#This Row],[Type]]&gt;0,VLOOKUP(_1_54128456121462410464578910174567[[#This Row],[Type]],Main[[#All],[TYPE]:[UNIT]],'Unit Price'!C$1,FALSE),0)</f>
        <v>0</v>
      </c>
      <c r="H641" s="197">
        <f>IF(_1_54128456121462410464578910174567[[#This Row],[Type]]&gt;0,VLOOKUP(_1_54128456121462410464578910174567[[#This Row],[Type]],Main[[#All],[TYPE]:[UNIT]],'Unit Price'!D$1,FALSE),0)</f>
        <v>0</v>
      </c>
      <c r="I641" s="194">
        <f>IF(_1_54128456121462410464578910174567[[#This Row],[Type]]&gt;0,VLOOKUP(_1_54128456121462410464578910174567[[#This Row],[Type]],Main[[#All],[TYPE]:[UNIT]],'Unit Price'!G$1,FALSE),0)</f>
        <v>0</v>
      </c>
      <c r="J641" s="194">
        <f>IF(_1_54128456121462410464578910174567[[#This Row],[Type]]&gt;0,VLOOKUP(_1_54128456121462410464578910174567[[#This Row],[Type]],Main[[#All],[TYPE]:[UNIT]],'Unit Price'!H$1,FALSE),0)</f>
        <v>0</v>
      </c>
      <c r="K641" s="194">
        <f>IF(_1_54128456121462410464578910174567[[#This Row],[Discount selection]]&gt;0,VLOOKUP(_1_54128456121462410464578910174567[[#This Row],[Discount selection]],'Discount Structure'!$A$2:$B$30,2,"false"),0)</f>
        <v>1</v>
      </c>
      <c r="L641" s="194">
        <f>_1_54128456121462410464578910174567[[#This Row],[LIST $]]*_1_54128456121462410464578910174567[[#This Row],[DISCOUNT]]*_1_54128456121462410464578910174567[[#This Row],[DISCOUNT 2]]</f>
        <v>0</v>
      </c>
      <c r="M641" s="194">
        <f>IF(OR(_1_54128456121462410464578910174567[[#This Row],[UNIT]]&gt;0,_1_54128456121462410464578910174567[[#This Row],[UNIT]]&lt;0),_1_54128456121462410464578910174567[[#This Row],[UNIT]]*_1_54128456121462410464578910174567[[#This Row],[COST]],0)</f>
        <v>0</v>
      </c>
      <c r="N641" s="194">
        <f t="shared" si="9"/>
        <v>1.3</v>
      </c>
      <c r="O641" s="198">
        <f>_1_54128456121462410464578910174567[[#This Row],[TOTAL]]*_1_54128456121462410464578910174567[[#This Row],[MARGIN]]</f>
        <v>0</v>
      </c>
      <c r="R641" s="41"/>
    </row>
    <row r="642" spans="4:18">
      <c r="D642" s="188"/>
      <c r="F642" s="168" t="s">
        <v>6202</v>
      </c>
      <c r="G642" s="193">
        <f>IF(_1_54128456121462410464578910174567[[#This Row],[Type]]&gt;0,VLOOKUP(_1_54128456121462410464578910174567[[#This Row],[Type]],Main[[#All],[TYPE]:[UNIT]],'Unit Price'!C$1,FALSE),0)</f>
        <v>0</v>
      </c>
      <c r="H642" s="197">
        <f>IF(_1_54128456121462410464578910174567[[#This Row],[Type]]&gt;0,VLOOKUP(_1_54128456121462410464578910174567[[#This Row],[Type]],Main[[#All],[TYPE]:[UNIT]],'Unit Price'!D$1,FALSE),0)</f>
        <v>0</v>
      </c>
      <c r="I642" s="194">
        <f>IF(_1_54128456121462410464578910174567[[#This Row],[Type]]&gt;0,VLOOKUP(_1_54128456121462410464578910174567[[#This Row],[Type]],Main[[#All],[TYPE]:[UNIT]],'Unit Price'!G$1,FALSE),0)</f>
        <v>0</v>
      </c>
      <c r="J642" s="194">
        <f>IF(_1_54128456121462410464578910174567[[#This Row],[Type]]&gt;0,VLOOKUP(_1_54128456121462410464578910174567[[#This Row],[Type]],Main[[#All],[TYPE]:[UNIT]],'Unit Price'!H$1,FALSE),0)</f>
        <v>0</v>
      </c>
      <c r="K642" s="194">
        <f>IF(_1_54128456121462410464578910174567[[#This Row],[Discount selection]]&gt;0,VLOOKUP(_1_54128456121462410464578910174567[[#This Row],[Discount selection]],'Discount Structure'!$A$2:$B$30,2,"false"),0)</f>
        <v>1</v>
      </c>
      <c r="L642" s="194">
        <f>_1_54128456121462410464578910174567[[#This Row],[LIST $]]*_1_54128456121462410464578910174567[[#This Row],[DISCOUNT]]*_1_54128456121462410464578910174567[[#This Row],[DISCOUNT 2]]</f>
        <v>0</v>
      </c>
      <c r="M642" s="194">
        <f>IF(OR(_1_54128456121462410464578910174567[[#This Row],[UNIT]]&gt;0,_1_54128456121462410464578910174567[[#This Row],[UNIT]]&lt;0),_1_54128456121462410464578910174567[[#This Row],[UNIT]]*_1_54128456121462410464578910174567[[#This Row],[COST]],0)</f>
        <v>0</v>
      </c>
      <c r="N642" s="194">
        <f t="shared" si="9"/>
        <v>1.3</v>
      </c>
      <c r="O642" s="198">
        <f>_1_54128456121462410464578910174567[[#This Row],[TOTAL]]*_1_54128456121462410464578910174567[[#This Row],[MARGIN]]</f>
        <v>0</v>
      </c>
      <c r="R642" s="41"/>
    </row>
    <row r="643" spans="4:18">
      <c r="D643" s="188"/>
      <c r="F643" s="168" t="s">
        <v>6202</v>
      </c>
      <c r="G643" s="193">
        <f>IF(_1_54128456121462410464578910174567[[#This Row],[Type]]&gt;0,VLOOKUP(_1_54128456121462410464578910174567[[#This Row],[Type]],Main[[#All],[TYPE]:[UNIT]],'Unit Price'!C$1,FALSE),0)</f>
        <v>0</v>
      </c>
      <c r="H643" s="197">
        <f>IF(_1_54128456121462410464578910174567[[#This Row],[Type]]&gt;0,VLOOKUP(_1_54128456121462410464578910174567[[#This Row],[Type]],Main[[#All],[TYPE]:[UNIT]],'Unit Price'!D$1,FALSE),0)</f>
        <v>0</v>
      </c>
      <c r="I643" s="194">
        <f>IF(_1_54128456121462410464578910174567[[#This Row],[Type]]&gt;0,VLOOKUP(_1_54128456121462410464578910174567[[#This Row],[Type]],Main[[#All],[TYPE]:[UNIT]],'Unit Price'!G$1,FALSE),0)</f>
        <v>0</v>
      </c>
      <c r="J643" s="194">
        <f>IF(_1_54128456121462410464578910174567[[#This Row],[Type]]&gt;0,VLOOKUP(_1_54128456121462410464578910174567[[#This Row],[Type]],Main[[#All],[TYPE]:[UNIT]],'Unit Price'!H$1,FALSE),0)</f>
        <v>0</v>
      </c>
      <c r="K643" s="194">
        <f>IF(_1_54128456121462410464578910174567[[#This Row],[Discount selection]]&gt;0,VLOOKUP(_1_54128456121462410464578910174567[[#This Row],[Discount selection]],'Discount Structure'!$A$2:$B$30,2,"false"),0)</f>
        <v>1</v>
      </c>
      <c r="L643" s="194">
        <f>_1_54128456121462410464578910174567[[#This Row],[LIST $]]*_1_54128456121462410464578910174567[[#This Row],[DISCOUNT]]*_1_54128456121462410464578910174567[[#This Row],[DISCOUNT 2]]</f>
        <v>0</v>
      </c>
      <c r="M643" s="194">
        <f>IF(OR(_1_54128456121462410464578910174567[[#This Row],[UNIT]]&gt;0,_1_54128456121462410464578910174567[[#This Row],[UNIT]]&lt;0),_1_54128456121462410464578910174567[[#This Row],[UNIT]]*_1_54128456121462410464578910174567[[#This Row],[COST]],0)</f>
        <v>0</v>
      </c>
      <c r="N643" s="194">
        <f t="shared" si="9"/>
        <v>1.3</v>
      </c>
      <c r="O643" s="198">
        <f>_1_54128456121462410464578910174567[[#This Row],[TOTAL]]*_1_54128456121462410464578910174567[[#This Row],[MARGIN]]</f>
        <v>0</v>
      </c>
      <c r="R643" s="41"/>
    </row>
    <row r="644" spans="4:18">
      <c r="D644" s="188"/>
      <c r="F644" s="168" t="s">
        <v>6202</v>
      </c>
      <c r="G644" s="193">
        <f>IF(_1_54128456121462410464578910174567[[#This Row],[Type]]&gt;0,VLOOKUP(_1_54128456121462410464578910174567[[#This Row],[Type]],Main[[#All],[TYPE]:[UNIT]],'Unit Price'!C$1,FALSE),0)</f>
        <v>0</v>
      </c>
      <c r="H644" s="197">
        <f>IF(_1_54128456121462410464578910174567[[#This Row],[Type]]&gt;0,VLOOKUP(_1_54128456121462410464578910174567[[#This Row],[Type]],Main[[#All],[TYPE]:[UNIT]],'Unit Price'!D$1,FALSE),0)</f>
        <v>0</v>
      </c>
      <c r="I644" s="194">
        <f>IF(_1_54128456121462410464578910174567[[#This Row],[Type]]&gt;0,VLOOKUP(_1_54128456121462410464578910174567[[#This Row],[Type]],Main[[#All],[TYPE]:[UNIT]],'Unit Price'!G$1,FALSE),0)</f>
        <v>0</v>
      </c>
      <c r="J644" s="194">
        <f>IF(_1_54128456121462410464578910174567[[#This Row],[Type]]&gt;0,VLOOKUP(_1_54128456121462410464578910174567[[#This Row],[Type]],Main[[#All],[TYPE]:[UNIT]],'Unit Price'!H$1,FALSE),0)</f>
        <v>0</v>
      </c>
      <c r="K644" s="194">
        <f>IF(_1_54128456121462410464578910174567[[#This Row],[Discount selection]]&gt;0,VLOOKUP(_1_54128456121462410464578910174567[[#This Row],[Discount selection]],'Discount Structure'!$A$2:$B$30,2,"false"),0)</f>
        <v>1</v>
      </c>
      <c r="L644" s="194">
        <f>_1_54128456121462410464578910174567[[#This Row],[LIST $]]*_1_54128456121462410464578910174567[[#This Row],[DISCOUNT]]*_1_54128456121462410464578910174567[[#This Row],[DISCOUNT 2]]</f>
        <v>0</v>
      </c>
      <c r="M644" s="194">
        <f>IF(OR(_1_54128456121462410464578910174567[[#This Row],[UNIT]]&gt;0,_1_54128456121462410464578910174567[[#This Row],[UNIT]]&lt;0),_1_54128456121462410464578910174567[[#This Row],[UNIT]]*_1_54128456121462410464578910174567[[#This Row],[COST]],0)</f>
        <v>0</v>
      </c>
      <c r="N644" s="194">
        <f t="shared" si="9"/>
        <v>1.3</v>
      </c>
      <c r="O644" s="198">
        <f>_1_54128456121462410464578910174567[[#This Row],[TOTAL]]*_1_54128456121462410464578910174567[[#This Row],[MARGIN]]</f>
        <v>0</v>
      </c>
      <c r="R644" s="41"/>
    </row>
    <row r="645" spans="4:18">
      <c r="D645" s="188"/>
      <c r="F645" s="168" t="s">
        <v>6202</v>
      </c>
      <c r="G645" s="193">
        <f>IF(_1_54128456121462410464578910174567[[#This Row],[Type]]&gt;0,VLOOKUP(_1_54128456121462410464578910174567[[#This Row],[Type]],Main[[#All],[TYPE]:[UNIT]],'Unit Price'!C$1,FALSE),0)</f>
        <v>0</v>
      </c>
      <c r="H645" s="197">
        <f>IF(_1_54128456121462410464578910174567[[#This Row],[Type]]&gt;0,VLOOKUP(_1_54128456121462410464578910174567[[#This Row],[Type]],Main[[#All],[TYPE]:[UNIT]],'Unit Price'!D$1,FALSE),0)</f>
        <v>0</v>
      </c>
      <c r="I645" s="194">
        <f>IF(_1_54128456121462410464578910174567[[#This Row],[Type]]&gt;0,VLOOKUP(_1_54128456121462410464578910174567[[#This Row],[Type]],Main[[#All],[TYPE]:[UNIT]],'Unit Price'!G$1,FALSE),0)</f>
        <v>0</v>
      </c>
      <c r="J645" s="194">
        <f>IF(_1_54128456121462410464578910174567[[#This Row],[Type]]&gt;0,VLOOKUP(_1_54128456121462410464578910174567[[#This Row],[Type]],Main[[#All],[TYPE]:[UNIT]],'Unit Price'!H$1,FALSE),0)</f>
        <v>0</v>
      </c>
      <c r="K645" s="194">
        <f>IF(_1_54128456121462410464578910174567[[#This Row],[Discount selection]]&gt;0,VLOOKUP(_1_54128456121462410464578910174567[[#This Row],[Discount selection]],'Discount Structure'!$A$2:$B$30,2,"false"),0)</f>
        <v>1</v>
      </c>
      <c r="L645" s="194">
        <f>_1_54128456121462410464578910174567[[#This Row],[LIST $]]*_1_54128456121462410464578910174567[[#This Row],[DISCOUNT]]*_1_54128456121462410464578910174567[[#This Row],[DISCOUNT 2]]</f>
        <v>0</v>
      </c>
      <c r="M645" s="194">
        <f>IF(OR(_1_54128456121462410464578910174567[[#This Row],[UNIT]]&gt;0,_1_54128456121462410464578910174567[[#This Row],[UNIT]]&lt;0),_1_54128456121462410464578910174567[[#This Row],[UNIT]]*_1_54128456121462410464578910174567[[#This Row],[COST]],0)</f>
        <v>0</v>
      </c>
      <c r="N645" s="194">
        <f t="shared" si="9"/>
        <v>1.3</v>
      </c>
      <c r="O645" s="198">
        <f>_1_54128456121462410464578910174567[[#This Row],[TOTAL]]*_1_54128456121462410464578910174567[[#This Row],[MARGIN]]</f>
        <v>0</v>
      </c>
      <c r="R645" s="41"/>
    </row>
    <row r="646" spans="4:18">
      <c r="D646" s="188"/>
      <c r="F646" s="168" t="s">
        <v>6202</v>
      </c>
      <c r="G646" s="193">
        <f>IF(_1_54128456121462410464578910174567[[#This Row],[Type]]&gt;0,VLOOKUP(_1_54128456121462410464578910174567[[#This Row],[Type]],Main[[#All],[TYPE]:[UNIT]],'Unit Price'!C$1,FALSE),0)</f>
        <v>0</v>
      </c>
      <c r="H646" s="197">
        <f>IF(_1_54128456121462410464578910174567[[#This Row],[Type]]&gt;0,VLOOKUP(_1_54128456121462410464578910174567[[#This Row],[Type]],Main[[#All],[TYPE]:[UNIT]],'Unit Price'!D$1,FALSE),0)</f>
        <v>0</v>
      </c>
      <c r="I646" s="194">
        <f>IF(_1_54128456121462410464578910174567[[#This Row],[Type]]&gt;0,VLOOKUP(_1_54128456121462410464578910174567[[#This Row],[Type]],Main[[#All],[TYPE]:[UNIT]],'Unit Price'!G$1,FALSE),0)</f>
        <v>0</v>
      </c>
      <c r="J646" s="194">
        <f>IF(_1_54128456121462410464578910174567[[#This Row],[Type]]&gt;0,VLOOKUP(_1_54128456121462410464578910174567[[#This Row],[Type]],Main[[#All],[TYPE]:[UNIT]],'Unit Price'!H$1,FALSE),0)</f>
        <v>0</v>
      </c>
      <c r="K646" s="194">
        <f>IF(_1_54128456121462410464578910174567[[#This Row],[Discount selection]]&gt;0,VLOOKUP(_1_54128456121462410464578910174567[[#This Row],[Discount selection]],'Discount Structure'!$A$2:$B$30,2,"false"),0)</f>
        <v>1</v>
      </c>
      <c r="L646" s="194">
        <f>_1_54128456121462410464578910174567[[#This Row],[LIST $]]*_1_54128456121462410464578910174567[[#This Row],[DISCOUNT]]*_1_54128456121462410464578910174567[[#This Row],[DISCOUNT 2]]</f>
        <v>0</v>
      </c>
      <c r="M646" s="194">
        <f>IF(OR(_1_54128456121462410464578910174567[[#This Row],[UNIT]]&gt;0,_1_54128456121462410464578910174567[[#This Row],[UNIT]]&lt;0),_1_54128456121462410464578910174567[[#This Row],[UNIT]]*_1_54128456121462410464578910174567[[#This Row],[COST]],0)</f>
        <v>0</v>
      </c>
      <c r="N646" s="194">
        <f t="shared" si="9"/>
        <v>1.3</v>
      </c>
      <c r="O646" s="198">
        <f>_1_54128456121462410464578910174567[[#This Row],[TOTAL]]*_1_54128456121462410464578910174567[[#This Row],[MARGIN]]</f>
        <v>0</v>
      </c>
      <c r="R646" s="41"/>
    </row>
    <row r="647" spans="4:18">
      <c r="D647" s="188"/>
      <c r="F647" s="168" t="s">
        <v>6202</v>
      </c>
      <c r="G647" s="193">
        <f>IF(_1_54128456121462410464578910174567[[#This Row],[Type]]&gt;0,VLOOKUP(_1_54128456121462410464578910174567[[#This Row],[Type]],Main[[#All],[TYPE]:[UNIT]],'Unit Price'!C$1,FALSE),0)</f>
        <v>0</v>
      </c>
      <c r="H647" s="197">
        <f>IF(_1_54128456121462410464578910174567[[#This Row],[Type]]&gt;0,VLOOKUP(_1_54128456121462410464578910174567[[#This Row],[Type]],Main[[#All],[TYPE]:[UNIT]],'Unit Price'!D$1,FALSE),0)</f>
        <v>0</v>
      </c>
      <c r="I647" s="194">
        <f>IF(_1_54128456121462410464578910174567[[#This Row],[Type]]&gt;0,VLOOKUP(_1_54128456121462410464578910174567[[#This Row],[Type]],Main[[#All],[TYPE]:[UNIT]],'Unit Price'!G$1,FALSE),0)</f>
        <v>0</v>
      </c>
      <c r="J647" s="194">
        <f>IF(_1_54128456121462410464578910174567[[#This Row],[Type]]&gt;0,VLOOKUP(_1_54128456121462410464578910174567[[#This Row],[Type]],Main[[#All],[TYPE]:[UNIT]],'Unit Price'!H$1,FALSE),0)</f>
        <v>0</v>
      </c>
      <c r="K647" s="194">
        <f>IF(_1_54128456121462410464578910174567[[#This Row],[Discount selection]]&gt;0,VLOOKUP(_1_54128456121462410464578910174567[[#This Row],[Discount selection]],'Discount Structure'!$A$2:$B$30,2,"false"),0)</f>
        <v>1</v>
      </c>
      <c r="L647" s="194">
        <f>_1_54128456121462410464578910174567[[#This Row],[LIST $]]*_1_54128456121462410464578910174567[[#This Row],[DISCOUNT]]*_1_54128456121462410464578910174567[[#This Row],[DISCOUNT 2]]</f>
        <v>0</v>
      </c>
      <c r="M647" s="194">
        <f>IF(OR(_1_54128456121462410464578910174567[[#This Row],[UNIT]]&gt;0,_1_54128456121462410464578910174567[[#This Row],[UNIT]]&lt;0),_1_54128456121462410464578910174567[[#This Row],[UNIT]]*_1_54128456121462410464578910174567[[#This Row],[COST]],0)</f>
        <v>0</v>
      </c>
      <c r="N647" s="194">
        <f t="shared" si="9"/>
        <v>1.3</v>
      </c>
      <c r="O647" s="198">
        <f>_1_54128456121462410464578910174567[[#This Row],[TOTAL]]*_1_54128456121462410464578910174567[[#This Row],[MARGIN]]</f>
        <v>0</v>
      </c>
      <c r="R647" s="41"/>
    </row>
    <row r="648" spans="4:18">
      <c r="D648" s="188"/>
      <c r="F648" s="168" t="s">
        <v>6202</v>
      </c>
      <c r="G648" s="193">
        <f>IF(_1_54128456121462410464578910174567[[#This Row],[Type]]&gt;0,VLOOKUP(_1_54128456121462410464578910174567[[#This Row],[Type]],Main[[#All],[TYPE]:[UNIT]],'Unit Price'!C$1,FALSE),0)</f>
        <v>0</v>
      </c>
      <c r="H648" s="197">
        <f>IF(_1_54128456121462410464578910174567[[#This Row],[Type]]&gt;0,VLOOKUP(_1_54128456121462410464578910174567[[#This Row],[Type]],Main[[#All],[TYPE]:[UNIT]],'Unit Price'!D$1,FALSE),0)</f>
        <v>0</v>
      </c>
      <c r="I648" s="194">
        <f>IF(_1_54128456121462410464578910174567[[#This Row],[Type]]&gt;0,VLOOKUP(_1_54128456121462410464578910174567[[#This Row],[Type]],Main[[#All],[TYPE]:[UNIT]],'Unit Price'!G$1,FALSE),0)</f>
        <v>0</v>
      </c>
      <c r="J648" s="194">
        <f>IF(_1_54128456121462410464578910174567[[#This Row],[Type]]&gt;0,VLOOKUP(_1_54128456121462410464578910174567[[#This Row],[Type]],Main[[#All],[TYPE]:[UNIT]],'Unit Price'!H$1,FALSE),0)</f>
        <v>0</v>
      </c>
      <c r="K648" s="194">
        <f>IF(_1_54128456121462410464578910174567[[#This Row],[Discount selection]]&gt;0,VLOOKUP(_1_54128456121462410464578910174567[[#This Row],[Discount selection]],'Discount Structure'!$A$2:$B$30,2,"false"),0)</f>
        <v>1</v>
      </c>
      <c r="L648" s="194">
        <f>_1_54128456121462410464578910174567[[#This Row],[LIST $]]*_1_54128456121462410464578910174567[[#This Row],[DISCOUNT]]*_1_54128456121462410464578910174567[[#This Row],[DISCOUNT 2]]</f>
        <v>0</v>
      </c>
      <c r="M648" s="194">
        <f>IF(OR(_1_54128456121462410464578910174567[[#This Row],[UNIT]]&gt;0,_1_54128456121462410464578910174567[[#This Row],[UNIT]]&lt;0),_1_54128456121462410464578910174567[[#This Row],[UNIT]]*_1_54128456121462410464578910174567[[#This Row],[COST]],0)</f>
        <v>0</v>
      </c>
      <c r="N648" s="194">
        <f t="shared" si="9"/>
        <v>1.3</v>
      </c>
      <c r="O648" s="198">
        <f>_1_54128456121462410464578910174567[[#This Row],[TOTAL]]*_1_54128456121462410464578910174567[[#This Row],[MARGIN]]</f>
        <v>0</v>
      </c>
      <c r="R648" s="41"/>
    </row>
    <row r="649" spans="4:18">
      <c r="D649" s="188"/>
      <c r="F649" s="168" t="s">
        <v>6202</v>
      </c>
      <c r="G649" s="193">
        <f>IF(_1_54128456121462410464578910174567[[#This Row],[Type]]&gt;0,VLOOKUP(_1_54128456121462410464578910174567[[#This Row],[Type]],Main[[#All],[TYPE]:[UNIT]],'Unit Price'!C$1,FALSE),0)</f>
        <v>0</v>
      </c>
      <c r="H649" s="197">
        <f>IF(_1_54128456121462410464578910174567[[#This Row],[Type]]&gt;0,VLOOKUP(_1_54128456121462410464578910174567[[#This Row],[Type]],Main[[#All],[TYPE]:[UNIT]],'Unit Price'!D$1,FALSE),0)</f>
        <v>0</v>
      </c>
      <c r="I649" s="194">
        <f>IF(_1_54128456121462410464578910174567[[#This Row],[Type]]&gt;0,VLOOKUP(_1_54128456121462410464578910174567[[#This Row],[Type]],Main[[#All],[TYPE]:[UNIT]],'Unit Price'!G$1,FALSE),0)</f>
        <v>0</v>
      </c>
      <c r="J649" s="194">
        <f>IF(_1_54128456121462410464578910174567[[#This Row],[Type]]&gt;0,VLOOKUP(_1_54128456121462410464578910174567[[#This Row],[Type]],Main[[#All],[TYPE]:[UNIT]],'Unit Price'!H$1,FALSE),0)</f>
        <v>0</v>
      </c>
      <c r="K649" s="194">
        <f>IF(_1_54128456121462410464578910174567[[#This Row],[Discount selection]]&gt;0,VLOOKUP(_1_54128456121462410464578910174567[[#This Row],[Discount selection]],'Discount Structure'!$A$2:$B$30,2,"false"),0)</f>
        <v>1</v>
      </c>
      <c r="L649" s="194">
        <f>_1_54128456121462410464578910174567[[#This Row],[LIST $]]*_1_54128456121462410464578910174567[[#This Row],[DISCOUNT]]*_1_54128456121462410464578910174567[[#This Row],[DISCOUNT 2]]</f>
        <v>0</v>
      </c>
      <c r="M649" s="194">
        <f>IF(OR(_1_54128456121462410464578910174567[[#This Row],[UNIT]]&gt;0,_1_54128456121462410464578910174567[[#This Row],[UNIT]]&lt;0),_1_54128456121462410464578910174567[[#This Row],[UNIT]]*_1_54128456121462410464578910174567[[#This Row],[COST]],0)</f>
        <v>0</v>
      </c>
      <c r="N649" s="194">
        <f t="shared" si="9"/>
        <v>1.3</v>
      </c>
      <c r="O649" s="198">
        <f>_1_54128456121462410464578910174567[[#This Row],[TOTAL]]*_1_54128456121462410464578910174567[[#This Row],[MARGIN]]</f>
        <v>0</v>
      </c>
      <c r="R649" s="41"/>
    </row>
    <row r="650" spans="4:18">
      <c r="D650" s="188"/>
      <c r="F650" s="168" t="s">
        <v>6202</v>
      </c>
      <c r="G650" s="193">
        <f>IF(_1_54128456121462410464578910174567[[#This Row],[Type]]&gt;0,VLOOKUP(_1_54128456121462410464578910174567[[#This Row],[Type]],Main[[#All],[TYPE]:[UNIT]],'Unit Price'!C$1,FALSE),0)</f>
        <v>0</v>
      </c>
      <c r="H650" s="197">
        <f>IF(_1_54128456121462410464578910174567[[#This Row],[Type]]&gt;0,VLOOKUP(_1_54128456121462410464578910174567[[#This Row],[Type]],Main[[#All],[TYPE]:[UNIT]],'Unit Price'!D$1,FALSE),0)</f>
        <v>0</v>
      </c>
      <c r="I650" s="194">
        <f>IF(_1_54128456121462410464578910174567[[#This Row],[Type]]&gt;0,VLOOKUP(_1_54128456121462410464578910174567[[#This Row],[Type]],Main[[#All],[TYPE]:[UNIT]],'Unit Price'!G$1,FALSE),0)</f>
        <v>0</v>
      </c>
      <c r="J650" s="194">
        <f>IF(_1_54128456121462410464578910174567[[#This Row],[Type]]&gt;0,VLOOKUP(_1_54128456121462410464578910174567[[#This Row],[Type]],Main[[#All],[TYPE]:[UNIT]],'Unit Price'!H$1,FALSE),0)</f>
        <v>0</v>
      </c>
      <c r="K650" s="194">
        <f>IF(_1_54128456121462410464578910174567[[#This Row],[Discount selection]]&gt;0,VLOOKUP(_1_54128456121462410464578910174567[[#This Row],[Discount selection]],'Discount Structure'!$A$2:$B$30,2,"false"),0)</f>
        <v>1</v>
      </c>
      <c r="L650" s="194">
        <f>_1_54128456121462410464578910174567[[#This Row],[LIST $]]*_1_54128456121462410464578910174567[[#This Row],[DISCOUNT]]*_1_54128456121462410464578910174567[[#This Row],[DISCOUNT 2]]</f>
        <v>0</v>
      </c>
      <c r="M650" s="194">
        <f>IF(OR(_1_54128456121462410464578910174567[[#This Row],[UNIT]]&gt;0,_1_54128456121462410464578910174567[[#This Row],[UNIT]]&lt;0),_1_54128456121462410464578910174567[[#This Row],[UNIT]]*_1_54128456121462410464578910174567[[#This Row],[COST]],0)</f>
        <v>0</v>
      </c>
      <c r="N650" s="194">
        <f t="shared" ref="N650:N713" si="10">$N$7</f>
        <v>1.3</v>
      </c>
      <c r="O650" s="198">
        <f>_1_54128456121462410464578910174567[[#This Row],[TOTAL]]*_1_54128456121462410464578910174567[[#This Row],[MARGIN]]</f>
        <v>0</v>
      </c>
      <c r="R650" s="41"/>
    </row>
    <row r="651" spans="4:18">
      <c r="D651" s="188"/>
      <c r="F651" s="168" t="s">
        <v>6202</v>
      </c>
      <c r="G651" s="193">
        <f>IF(_1_54128456121462410464578910174567[[#This Row],[Type]]&gt;0,VLOOKUP(_1_54128456121462410464578910174567[[#This Row],[Type]],Main[[#All],[TYPE]:[UNIT]],'Unit Price'!C$1,FALSE),0)</f>
        <v>0</v>
      </c>
      <c r="H651" s="197">
        <f>IF(_1_54128456121462410464578910174567[[#This Row],[Type]]&gt;0,VLOOKUP(_1_54128456121462410464578910174567[[#This Row],[Type]],Main[[#All],[TYPE]:[UNIT]],'Unit Price'!D$1,FALSE),0)</f>
        <v>0</v>
      </c>
      <c r="I651" s="194">
        <f>IF(_1_54128456121462410464578910174567[[#This Row],[Type]]&gt;0,VLOOKUP(_1_54128456121462410464578910174567[[#This Row],[Type]],Main[[#All],[TYPE]:[UNIT]],'Unit Price'!G$1,FALSE),0)</f>
        <v>0</v>
      </c>
      <c r="J651" s="194">
        <f>IF(_1_54128456121462410464578910174567[[#This Row],[Type]]&gt;0,VLOOKUP(_1_54128456121462410464578910174567[[#This Row],[Type]],Main[[#All],[TYPE]:[UNIT]],'Unit Price'!H$1,FALSE),0)</f>
        <v>0</v>
      </c>
      <c r="K651" s="194">
        <f>IF(_1_54128456121462410464578910174567[[#This Row],[Discount selection]]&gt;0,VLOOKUP(_1_54128456121462410464578910174567[[#This Row],[Discount selection]],'Discount Structure'!$A$2:$B$30,2,"false"),0)</f>
        <v>1</v>
      </c>
      <c r="L651" s="194">
        <f>_1_54128456121462410464578910174567[[#This Row],[LIST $]]*_1_54128456121462410464578910174567[[#This Row],[DISCOUNT]]*_1_54128456121462410464578910174567[[#This Row],[DISCOUNT 2]]</f>
        <v>0</v>
      </c>
      <c r="M651" s="194">
        <f>IF(OR(_1_54128456121462410464578910174567[[#This Row],[UNIT]]&gt;0,_1_54128456121462410464578910174567[[#This Row],[UNIT]]&lt;0),_1_54128456121462410464578910174567[[#This Row],[UNIT]]*_1_54128456121462410464578910174567[[#This Row],[COST]],0)</f>
        <v>0</v>
      </c>
      <c r="N651" s="194">
        <f t="shared" si="10"/>
        <v>1.3</v>
      </c>
      <c r="O651" s="198">
        <f>_1_54128456121462410464578910174567[[#This Row],[TOTAL]]*_1_54128456121462410464578910174567[[#This Row],[MARGIN]]</f>
        <v>0</v>
      </c>
      <c r="R651" s="41"/>
    </row>
    <row r="652" spans="4:18">
      <c r="D652" s="188"/>
      <c r="F652" s="168" t="s">
        <v>6202</v>
      </c>
      <c r="G652" s="193">
        <f>IF(_1_54128456121462410464578910174567[[#This Row],[Type]]&gt;0,VLOOKUP(_1_54128456121462410464578910174567[[#This Row],[Type]],Main[[#All],[TYPE]:[UNIT]],'Unit Price'!C$1,FALSE),0)</f>
        <v>0</v>
      </c>
      <c r="H652" s="197">
        <f>IF(_1_54128456121462410464578910174567[[#This Row],[Type]]&gt;0,VLOOKUP(_1_54128456121462410464578910174567[[#This Row],[Type]],Main[[#All],[TYPE]:[UNIT]],'Unit Price'!D$1,FALSE),0)</f>
        <v>0</v>
      </c>
      <c r="I652" s="194">
        <f>IF(_1_54128456121462410464578910174567[[#This Row],[Type]]&gt;0,VLOOKUP(_1_54128456121462410464578910174567[[#This Row],[Type]],Main[[#All],[TYPE]:[UNIT]],'Unit Price'!G$1,FALSE),0)</f>
        <v>0</v>
      </c>
      <c r="J652" s="194">
        <f>IF(_1_54128456121462410464578910174567[[#This Row],[Type]]&gt;0,VLOOKUP(_1_54128456121462410464578910174567[[#This Row],[Type]],Main[[#All],[TYPE]:[UNIT]],'Unit Price'!H$1,FALSE),0)</f>
        <v>0</v>
      </c>
      <c r="K652" s="194">
        <f>IF(_1_54128456121462410464578910174567[[#This Row],[Discount selection]]&gt;0,VLOOKUP(_1_54128456121462410464578910174567[[#This Row],[Discount selection]],'Discount Structure'!$A$2:$B$30,2,"false"),0)</f>
        <v>1</v>
      </c>
      <c r="L652" s="194">
        <f>_1_54128456121462410464578910174567[[#This Row],[LIST $]]*_1_54128456121462410464578910174567[[#This Row],[DISCOUNT]]*_1_54128456121462410464578910174567[[#This Row],[DISCOUNT 2]]</f>
        <v>0</v>
      </c>
      <c r="M652" s="194">
        <f>IF(OR(_1_54128456121462410464578910174567[[#This Row],[UNIT]]&gt;0,_1_54128456121462410464578910174567[[#This Row],[UNIT]]&lt;0),_1_54128456121462410464578910174567[[#This Row],[UNIT]]*_1_54128456121462410464578910174567[[#This Row],[COST]],0)</f>
        <v>0</v>
      </c>
      <c r="N652" s="194">
        <f t="shared" si="10"/>
        <v>1.3</v>
      </c>
      <c r="O652" s="198">
        <f>_1_54128456121462410464578910174567[[#This Row],[TOTAL]]*_1_54128456121462410464578910174567[[#This Row],[MARGIN]]</f>
        <v>0</v>
      </c>
      <c r="R652" s="41"/>
    </row>
    <row r="653" spans="4:18">
      <c r="D653" s="188"/>
      <c r="F653" s="168" t="s">
        <v>6202</v>
      </c>
      <c r="G653" s="193">
        <f>IF(_1_54128456121462410464578910174567[[#This Row],[Type]]&gt;0,VLOOKUP(_1_54128456121462410464578910174567[[#This Row],[Type]],Main[[#All],[TYPE]:[UNIT]],'Unit Price'!C$1,FALSE),0)</f>
        <v>0</v>
      </c>
      <c r="H653" s="197">
        <f>IF(_1_54128456121462410464578910174567[[#This Row],[Type]]&gt;0,VLOOKUP(_1_54128456121462410464578910174567[[#This Row],[Type]],Main[[#All],[TYPE]:[UNIT]],'Unit Price'!D$1,FALSE),0)</f>
        <v>0</v>
      </c>
      <c r="I653" s="194">
        <f>IF(_1_54128456121462410464578910174567[[#This Row],[Type]]&gt;0,VLOOKUP(_1_54128456121462410464578910174567[[#This Row],[Type]],Main[[#All],[TYPE]:[UNIT]],'Unit Price'!G$1,FALSE),0)</f>
        <v>0</v>
      </c>
      <c r="J653" s="194">
        <f>IF(_1_54128456121462410464578910174567[[#This Row],[Type]]&gt;0,VLOOKUP(_1_54128456121462410464578910174567[[#This Row],[Type]],Main[[#All],[TYPE]:[UNIT]],'Unit Price'!H$1,FALSE),0)</f>
        <v>0</v>
      </c>
      <c r="K653" s="194">
        <f>IF(_1_54128456121462410464578910174567[[#This Row],[Discount selection]]&gt;0,VLOOKUP(_1_54128456121462410464578910174567[[#This Row],[Discount selection]],'Discount Structure'!$A$2:$B$30,2,"false"),0)</f>
        <v>1</v>
      </c>
      <c r="L653" s="194">
        <f>_1_54128456121462410464578910174567[[#This Row],[LIST $]]*_1_54128456121462410464578910174567[[#This Row],[DISCOUNT]]*_1_54128456121462410464578910174567[[#This Row],[DISCOUNT 2]]</f>
        <v>0</v>
      </c>
      <c r="M653" s="194">
        <f>IF(OR(_1_54128456121462410464578910174567[[#This Row],[UNIT]]&gt;0,_1_54128456121462410464578910174567[[#This Row],[UNIT]]&lt;0),_1_54128456121462410464578910174567[[#This Row],[UNIT]]*_1_54128456121462410464578910174567[[#This Row],[COST]],0)</f>
        <v>0</v>
      </c>
      <c r="N653" s="194">
        <f t="shared" si="10"/>
        <v>1.3</v>
      </c>
      <c r="O653" s="198">
        <f>_1_54128456121462410464578910174567[[#This Row],[TOTAL]]*_1_54128456121462410464578910174567[[#This Row],[MARGIN]]</f>
        <v>0</v>
      </c>
      <c r="R653" s="41"/>
    </row>
    <row r="654" spans="4:18">
      <c r="D654" s="188"/>
      <c r="F654" s="168" t="s">
        <v>6202</v>
      </c>
      <c r="G654" s="193">
        <f>IF(_1_54128456121462410464578910174567[[#This Row],[Type]]&gt;0,VLOOKUP(_1_54128456121462410464578910174567[[#This Row],[Type]],Main[[#All],[TYPE]:[UNIT]],'Unit Price'!C$1,FALSE),0)</f>
        <v>0</v>
      </c>
      <c r="H654" s="197">
        <f>IF(_1_54128456121462410464578910174567[[#This Row],[Type]]&gt;0,VLOOKUP(_1_54128456121462410464578910174567[[#This Row],[Type]],Main[[#All],[TYPE]:[UNIT]],'Unit Price'!D$1,FALSE),0)</f>
        <v>0</v>
      </c>
      <c r="I654" s="194">
        <f>IF(_1_54128456121462410464578910174567[[#This Row],[Type]]&gt;0,VLOOKUP(_1_54128456121462410464578910174567[[#This Row],[Type]],Main[[#All],[TYPE]:[UNIT]],'Unit Price'!G$1,FALSE),0)</f>
        <v>0</v>
      </c>
      <c r="J654" s="194">
        <f>IF(_1_54128456121462410464578910174567[[#This Row],[Type]]&gt;0,VLOOKUP(_1_54128456121462410464578910174567[[#This Row],[Type]],Main[[#All],[TYPE]:[UNIT]],'Unit Price'!H$1,FALSE),0)</f>
        <v>0</v>
      </c>
      <c r="K654" s="194">
        <f>IF(_1_54128456121462410464578910174567[[#This Row],[Discount selection]]&gt;0,VLOOKUP(_1_54128456121462410464578910174567[[#This Row],[Discount selection]],'Discount Structure'!$A$2:$B$30,2,"false"),0)</f>
        <v>1</v>
      </c>
      <c r="L654" s="194">
        <f>_1_54128456121462410464578910174567[[#This Row],[LIST $]]*_1_54128456121462410464578910174567[[#This Row],[DISCOUNT]]*_1_54128456121462410464578910174567[[#This Row],[DISCOUNT 2]]</f>
        <v>0</v>
      </c>
      <c r="M654" s="194">
        <f>IF(OR(_1_54128456121462410464578910174567[[#This Row],[UNIT]]&gt;0,_1_54128456121462410464578910174567[[#This Row],[UNIT]]&lt;0),_1_54128456121462410464578910174567[[#This Row],[UNIT]]*_1_54128456121462410464578910174567[[#This Row],[COST]],0)</f>
        <v>0</v>
      </c>
      <c r="N654" s="194">
        <f t="shared" si="10"/>
        <v>1.3</v>
      </c>
      <c r="O654" s="198">
        <f>_1_54128456121462410464578910174567[[#This Row],[TOTAL]]*_1_54128456121462410464578910174567[[#This Row],[MARGIN]]</f>
        <v>0</v>
      </c>
      <c r="R654" s="41"/>
    </row>
    <row r="655" spans="4:18">
      <c r="D655" s="188"/>
      <c r="F655" s="168" t="s">
        <v>6202</v>
      </c>
      <c r="G655" s="193">
        <f>IF(_1_54128456121462410464578910174567[[#This Row],[Type]]&gt;0,VLOOKUP(_1_54128456121462410464578910174567[[#This Row],[Type]],Main[[#All],[TYPE]:[UNIT]],'Unit Price'!C$1,FALSE),0)</f>
        <v>0</v>
      </c>
      <c r="H655" s="197">
        <f>IF(_1_54128456121462410464578910174567[[#This Row],[Type]]&gt;0,VLOOKUP(_1_54128456121462410464578910174567[[#This Row],[Type]],Main[[#All],[TYPE]:[UNIT]],'Unit Price'!D$1,FALSE),0)</f>
        <v>0</v>
      </c>
      <c r="I655" s="194">
        <f>IF(_1_54128456121462410464578910174567[[#This Row],[Type]]&gt;0,VLOOKUP(_1_54128456121462410464578910174567[[#This Row],[Type]],Main[[#All],[TYPE]:[UNIT]],'Unit Price'!G$1,FALSE),0)</f>
        <v>0</v>
      </c>
      <c r="J655" s="194">
        <f>IF(_1_54128456121462410464578910174567[[#This Row],[Type]]&gt;0,VLOOKUP(_1_54128456121462410464578910174567[[#This Row],[Type]],Main[[#All],[TYPE]:[UNIT]],'Unit Price'!H$1,FALSE),0)</f>
        <v>0</v>
      </c>
      <c r="K655" s="194">
        <f>IF(_1_54128456121462410464578910174567[[#This Row],[Discount selection]]&gt;0,VLOOKUP(_1_54128456121462410464578910174567[[#This Row],[Discount selection]],'Discount Structure'!$A$2:$B$30,2,"false"),0)</f>
        <v>1</v>
      </c>
      <c r="L655" s="194">
        <f>_1_54128456121462410464578910174567[[#This Row],[LIST $]]*_1_54128456121462410464578910174567[[#This Row],[DISCOUNT]]*_1_54128456121462410464578910174567[[#This Row],[DISCOUNT 2]]</f>
        <v>0</v>
      </c>
      <c r="M655" s="194">
        <f>IF(OR(_1_54128456121462410464578910174567[[#This Row],[UNIT]]&gt;0,_1_54128456121462410464578910174567[[#This Row],[UNIT]]&lt;0),_1_54128456121462410464578910174567[[#This Row],[UNIT]]*_1_54128456121462410464578910174567[[#This Row],[COST]],0)</f>
        <v>0</v>
      </c>
      <c r="N655" s="194">
        <f t="shared" si="10"/>
        <v>1.3</v>
      </c>
      <c r="O655" s="198">
        <f>_1_54128456121462410464578910174567[[#This Row],[TOTAL]]*_1_54128456121462410464578910174567[[#This Row],[MARGIN]]</f>
        <v>0</v>
      </c>
      <c r="R655" s="41"/>
    </row>
    <row r="656" spans="4:18">
      <c r="D656" s="188"/>
      <c r="F656" s="168" t="s">
        <v>6202</v>
      </c>
      <c r="G656" s="193">
        <f>IF(_1_54128456121462410464578910174567[[#This Row],[Type]]&gt;0,VLOOKUP(_1_54128456121462410464578910174567[[#This Row],[Type]],Main[[#All],[TYPE]:[UNIT]],'Unit Price'!C$1,FALSE),0)</f>
        <v>0</v>
      </c>
      <c r="H656" s="197">
        <f>IF(_1_54128456121462410464578910174567[[#This Row],[Type]]&gt;0,VLOOKUP(_1_54128456121462410464578910174567[[#This Row],[Type]],Main[[#All],[TYPE]:[UNIT]],'Unit Price'!D$1,FALSE),0)</f>
        <v>0</v>
      </c>
      <c r="I656" s="194">
        <f>IF(_1_54128456121462410464578910174567[[#This Row],[Type]]&gt;0,VLOOKUP(_1_54128456121462410464578910174567[[#This Row],[Type]],Main[[#All],[TYPE]:[UNIT]],'Unit Price'!G$1,FALSE),0)</f>
        <v>0</v>
      </c>
      <c r="J656" s="194">
        <f>IF(_1_54128456121462410464578910174567[[#This Row],[Type]]&gt;0,VLOOKUP(_1_54128456121462410464578910174567[[#This Row],[Type]],Main[[#All],[TYPE]:[UNIT]],'Unit Price'!H$1,FALSE),0)</f>
        <v>0</v>
      </c>
      <c r="K656" s="194">
        <f>IF(_1_54128456121462410464578910174567[[#This Row],[Discount selection]]&gt;0,VLOOKUP(_1_54128456121462410464578910174567[[#This Row],[Discount selection]],'Discount Structure'!$A$2:$B$30,2,"false"),0)</f>
        <v>1</v>
      </c>
      <c r="L656" s="194">
        <f>_1_54128456121462410464578910174567[[#This Row],[LIST $]]*_1_54128456121462410464578910174567[[#This Row],[DISCOUNT]]*_1_54128456121462410464578910174567[[#This Row],[DISCOUNT 2]]</f>
        <v>0</v>
      </c>
      <c r="M656" s="194">
        <f>IF(OR(_1_54128456121462410464578910174567[[#This Row],[UNIT]]&gt;0,_1_54128456121462410464578910174567[[#This Row],[UNIT]]&lt;0),_1_54128456121462410464578910174567[[#This Row],[UNIT]]*_1_54128456121462410464578910174567[[#This Row],[COST]],0)</f>
        <v>0</v>
      </c>
      <c r="N656" s="194">
        <f t="shared" si="10"/>
        <v>1.3</v>
      </c>
      <c r="O656" s="198">
        <f>_1_54128456121462410464578910174567[[#This Row],[TOTAL]]*_1_54128456121462410464578910174567[[#This Row],[MARGIN]]</f>
        <v>0</v>
      </c>
      <c r="R656" s="41"/>
    </row>
    <row r="657" spans="4:18">
      <c r="D657" s="188"/>
      <c r="F657" s="168" t="s">
        <v>6202</v>
      </c>
      <c r="G657" s="193">
        <f>IF(_1_54128456121462410464578910174567[[#This Row],[Type]]&gt;0,VLOOKUP(_1_54128456121462410464578910174567[[#This Row],[Type]],Main[[#All],[TYPE]:[UNIT]],'Unit Price'!C$1,FALSE),0)</f>
        <v>0</v>
      </c>
      <c r="H657" s="197">
        <f>IF(_1_54128456121462410464578910174567[[#This Row],[Type]]&gt;0,VLOOKUP(_1_54128456121462410464578910174567[[#This Row],[Type]],Main[[#All],[TYPE]:[UNIT]],'Unit Price'!D$1,FALSE),0)</f>
        <v>0</v>
      </c>
      <c r="I657" s="194">
        <f>IF(_1_54128456121462410464578910174567[[#This Row],[Type]]&gt;0,VLOOKUP(_1_54128456121462410464578910174567[[#This Row],[Type]],Main[[#All],[TYPE]:[UNIT]],'Unit Price'!G$1,FALSE),0)</f>
        <v>0</v>
      </c>
      <c r="J657" s="194">
        <f>IF(_1_54128456121462410464578910174567[[#This Row],[Type]]&gt;0,VLOOKUP(_1_54128456121462410464578910174567[[#This Row],[Type]],Main[[#All],[TYPE]:[UNIT]],'Unit Price'!H$1,FALSE),0)</f>
        <v>0</v>
      </c>
      <c r="K657" s="194">
        <f>IF(_1_54128456121462410464578910174567[[#This Row],[Discount selection]]&gt;0,VLOOKUP(_1_54128456121462410464578910174567[[#This Row],[Discount selection]],'Discount Structure'!$A$2:$B$30,2,"false"),0)</f>
        <v>1</v>
      </c>
      <c r="L657" s="194">
        <f>_1_54128456121462410464578910174567[[#This Row],[LIST $]]*_1_54128456121462410464578910174567[[#This Row],[DISCOUNT]]*_1_54128456121462410464578910174567[[#This Row],[DISCOUNT 2]]</f>
        <v>0</v>
      </c>
      <c r="M657" s="194">
        <f>IF(OR(_1_54128456121462410464578910174567[[#This Row],[UNIT]]&gt;0,_1_54128456121462410464578910174567[[#This Row],[UNIT]]&lt;0),_1_54128456121462410464578910174567[[#This Row],[UNIT]]*_1_54128456121462410464578910174567[[#This Row],[COST]],0)</f>
        <v>0</v>
      </c>
      <c r="N657" s="194">
        <f t="shared" si="10"/>
        <v>1.3</v>
      </c>
      <c r="O657" s="198">
        <f>_1_54128456121462410464578910174567[[#This Row],[TOTAL]]*_1_54128456121462410464578910174567[[#This Row],[MARGIN]]</f>
        <v>0</v>
      </c>
      <c r="R657" s="41"/>
    </row>
    <row r="658" spans="4:18">
      <c r="D658" s="188"/>
      <c r="F658" s="168" t="s">
        <v>6202</v>
      </c>
      <c r="G658" s="193">
        <f>IF(_1_54128456121462410464578910174567[[#This Row],[Type]]&gt;0,VLOOKUP(_1_54128456121462410464578910174567[[#This Row],[Type]],Main[[#All],[TYPE]:[UNIT]],'Unit Price'!C$1,FALSE),0)</f>
        <v>0</v>
      </c>
      <c r="H658" s="197">
        <f>IF(_1_54128456121462410464578910174567[[#This Row],[Type]]&gt;0,VLOOKUP(_1_54128456121462410464578910174567[[#This Row],[Type]],Main[[#All],[TYPE]:[UNIT]],'Unit Price'!D$1,FALSE),0)</f>
        <v>0</v>
      </c>
      <c r="I658" s="194">
        <f>IF(_1_54128456121462410464578910174567[[#This Row],[Type]]&gt;0,VLOOKUP(_1_54128456121462410464578910174567[[#This Row],[Type]],Main[[#All],[TYPE]:[UNIT]],'Unit Price'!G$1,FALSE),0)</f>
        <v>0</v>
      </c>
      <c r="J658" s="194">
        <f>IF(_1_54128456121462410464578910174567[[#This Row],[Type]]&gt;0,VLOOKUP(_1_54128456121462410464578910174567[[#This Row],[Type]],Main[[#All],[TYPE]:[UNIT]],'Unit Price'!H$1,FALSE),0)</f>
        <v>0</v>
      </c>
      <c r="K658" s="194">
        <f>IF(_1_54128456121462410464578910174567[[#This Row],[Discount selection]]&gt;0,VLOOKUP(_1_54128456121462410464578910174567[[#This Row],[Discount selection]],'Discount Structure'!$A$2:$B$30,2,"false"),0)</f>
        <v>1</v>
      </c>
      <c r="L658" s="194">
        <f>_1_54128456121462410464578910174567[[#This Row],[LIST $]]*_1_54128456121462410464578910174567[[#This Row],[DISCOUNT]]*_1_54128456121462410464578910174567[[#This Row],[DISCOUNT 2]]</f>
        <v>0</v>
      </c>
      <c r="M658" s="194">
        <f>IF(OR(_1_54128456121462410464578910174567[[#This Row],[UNIT]]&gt;0,_1_54128456121462410464578910174567[[#This Row],[UNIT]]&lt;0),_1_54128456121462410464578910174567[[#This Row],[UNIT]]*_1_54128456121462410464578910174567[[#This Row],[COST]],0)</f>
        <v>0</v>
      </c>
      <c r="N658" s="194">
        <f t="shared" si="10"/>
        <v>1.3</v>
      </c>
      <c r="O658" s="198">
        <f>_1_54128456121462410464578910174567[[#This Row],[TOTAL]]*_1_54128456121462410464578910174567[[#This Row],[MARGIN]]</f>
        <v>0</v>
      </c>
      <c r="R658" s="41"/>
    </row>
    <row r="659" spans="4:18">
      <c r="D659" s="188"/>
      <c r="F659" s="168" t="s">
        <v>6202</v>
      </c>
      <c r="G659" s="193">
        <f>IF(_1_54128456121462410464578910174567[[#This Row],[Type]]&gt;0,VLOOKUP(_1_54128456121462410464578910174567[[#This Row],[Type]],Main[[#All],[TYPE]:[UNIT]],'Unit Price'!C$1,FALSE),0)</f>
        <v>0</v>
      </c>
      <c r="H659" s="197">
        <f>IF(_1_54128456121462410464578910174567[[#This Row],[Type]]&gt;0,VLOOKUP(_1_54128456121462410464578910174567[[#This Row],[Type]],Main[[#All],[TYPE]:[UNIT]],'Unit Price'!D$1,FALSE),0)</f>
        <v>0</v>
      </c>
      <c r="I659" s="194">
        <f>IF(_1_54128456121462410464578910174567[[#This Row],[Type]]&gt;0,VLOOKUP(_1_54128456121462410464578910174567[[#This Row],[Type]],Main[[#All],[TYPE]:[UNIT]],'Unit Price'!G$1,FALSE),0)</f>
        <v>0</v>
      </c>
      <c r="J659" s="194">
        <f>IF(_1_54128456121462410464578910174567[[#This Row],[Type]]&gt;0,VLOOKUP(_1_54128456121462410464578910174567[[#This Row],[Type]],Main[[#All],[TYPE]:[UNIT]],'Unit Price'!H$1,FALSE),0)</f>
        <v>0</v>
      </c>
      <c r="K659" s="194">
        <f>IF(_1_54128456121462410464578910174567[[#This Row],[Discount selection]]&gt;0,VLOOKUP(_1_54128456121462410464578910174567[[#This Row],[Discount selection]],'Discount Structure'!$A$2:$B$30,2,"false"),0)</f>
        <v>1</v>
      </c>
      <c r="L659" s="194">
        <f>_1_54128456121462410464578910174567[[#This Row],[LIST $]]*_1_54128456121462410464578910174567[[#This Row],[DISCOUNT]]*_1_54128456121462410464578910174567[[#This Row],[DISCOUNT 2]]</f>
        <v>0</v>
      </c>
      <c r="M659" s="194">
        <f>IF(OR(_1_54128456121462410464578910174567[[#This Row],[UNIT]]&gt;0,_1_54128456121462410464578910174567[[#This Row],[UNIT]]&lt;0),_1_54128456121462410464578910174567[[#This Row],[UNIT]]*_1_54128456121462410464578910174567[[#This Row],[COST]],0)</f>
        <v>0</v>
      </c>
      <c r="N659" s="194">
        <f t="shared" si="10"/>
        <v>1.3</v>
      </c>
      <c r="O659" s="198">
        <f>_1_54128456121462410464578910174567[[#This Row],[TOTAL]]*_1_54128456121462410464578910174567[[#This Row],[MARGIN]]</f>
        <v>0</v>
      </c>
      <c r="R659" s="41"/>
    </row>
    <row r="660" spans="4:18">
      <c r="D660" s="188"/>
      <c r="F660" s="168" t="s">
        <v>6202</v>
      </c>
      <c r="G660" s="193">
        <f>IF(_1_54128456121462410464578910174567[[#This Row],[Type]]&gt;0,VLOOKUP(_1_54128456121462410464578910174567[[#This Row],[Type]],Main[[#All],[TYPE]:[UNIT]],'Unit Price'!C$1,FALSE),0)</f>
        <v>0</v>
      </c>
      <c r="H660" s="197">
        <f>IF(_1_54128456121462410464578910174567[[#This Row],[Type]]&gt;0,VLOOKUP(_1_54128456121462410464578910174567[[#This Row],[Type]],Main[[#All],[TYPE]:[UNIT]],'Unit Price'!D$1,FALSE),0)</f>
        <v>0</v>
      </c>
      <c r="I660" s="194">
        <f>IF(_1_54128456121462410464578910174567[[#This Row],[Type]]&gt;0,VLOOKUP(_1_54128456121462410464578910174567[[#This Row],[Type]],Main[[#All],[TYPE]:[UNIT]],'Unit Price'!G$1,FALSE),0)</f>
        <v>0</v>
      </c>
      <c r="J660" s="194">
        <f>IF(_1_54128456121462410464578910174567[[#This Row],[Type]]&gt;0,VLOOKUP(_1_54128456121462410464578910174567[[#This Row],[Type]],Main[[#All],[TYPE]:[UNIT]],'Unit Price'!H$1,FALSE),0)</f>
        <v>0</v>
      </c>
      <c r="K660" s="194">
        <f>IF(_1_54128456121462410464578910174567[[#This Row],[Discount selection]]&gt;0,VLOOKUP(_1_54128456121462410464578910174567[[#This Row],[Discount selection]],'Discount Structure'!$A$2:$B$30,2,"false"),0)</f>
        <v>1</v>
      </c>
      <c r="L660" s="194">
        <f>_1_54128456121462410464578910174567[[#This Row],[LIST $]]*_1_54128456121462410464578910174567[[#This Row],[DISCOUNT]]*_1_54128456121462410464578910174567[[#This Row],[DISCOUNT 2]]</f>
        <v>0</v>
      </c>
      <c r="M660" s="194">
        <f>IF(OR(_1_54128456121462410464578910174567[[#This Row],[UNIT]]&gt;0,_1_54128456121462410464578910174567[[#This Row],[UNIT]]&lt;0),_1_54128456121462410464578910174567[[#This Row],[UNIT]]*_1_54128456121462410464578910174567[[#This Row],[COST]],0)</f>
        <v>0</v>
      </c>
      <c r="N660" s="194">
        <f t="shared" si="10"/>
        <v>1.3</v>
      </c>
      <c r="O660" s="198">
        <f>_1_54128456121462410464578910174567[[#This Row],[TOTAL]]*_1_54128456121462410464578910174567[[#This Row],[MARGIN]]</f>
        <v>0</v>
      </c>
      <c r="R660" s="41"/>
    </row>
    <row r="661" spans="4:18">
      <c r="D661" s="188"/>
      <c r="F661" s="168" t="s">
        <v>6202</v>
      </c>
      <c r="G661" s="193">
        <f>IF(_1_54128456121462410464578910174567[[#This Row],[Type]]&gt;0,VLOOKUP(_1_54128456121462410464578910174567[[#This Row],[Type]],Main[[#All],[TYPE]:[UNIT]],'Unit Price'!C$1,FALSE),0)</f>
        <v>0</v>
      </c>
      <c r="H661" s="197">
        <f>IF(_1_54128456121462410464578910174567[[#This Row],[Type]]&gt;0,VLOOKUP(_1_54128456121462410464578910174567[[#This Row],[Type]],Main[[#All],[TYPE]:[UNIT]],'Unit Price'!D$1,FALSE),0)</f>
        <v>0</v>
      </c>
      <c r="I661" s="194">
        <f>IF(_1_54128456121462410464578910174567[[#This Row],[Type]]&gt;0,VLOOKUP(_1_54128456121462410464578910174567[[#This Row],[Type]],Main[[#All],[TYPE]:[UNIT]],'Unit Price'!G$1,FALSE),0)</f>
        <v>0</v>
      </c>
      <c r="J661" s="194">
        <f>IF(_1_54128456121462410464578910174567[[#This Row],[Type]]&gt;0,VLOOKUP(_1_54128456121462410464578910174567[[#This Row],[Type]],Main[[#All],[TYPE]:[UNIT]],'Unit Price'!H$1,FALSE),0)</f>
        <v>0</v>
      </c>
      <c r="K661" s="194">
        <f>IF(_1_54128456121462410464578910174567[[#This Row],[Discount selection]]&gt;0,VLOOKUP(_1_54128456121462410464578910174567[[#This Row],[Discount selection]],'Discount Structure'!$A$2:$B$30,2,"false"),0)</f>
        <v>1</v>
      </c>
      <c r="L661" s="194">
        <f>_1_54128456121462410464578910174567[[#This Row],[LIST $]]*_1_54128456121462410464578910174567[[#This Row],[DISCOUNT]]*_1_54128456121462410464578910174567[[#This Row],[DISCOUNT 2]]</f>
        <v>0</v>
      </c>
      <c r="M661" s="194">
        <f>IF(OR(_1_54128456121462410464578910174567[[#This Row],[UNIT]]&gt;0,_1_54128456121462410464578910174567[[#This Row],[UNIT]]&lt;0),_1_54128456121462410464578910174567[[#This Row],[UNIT]]*_1_54128456121462410464578910174567[[#This Row],[COST]],0)</f>
        <v>0</v>
      </c>
      <c r="N661" s="194">
        <f t="shared" si="10"/>
        <v>1.3</v>
      </c>
      <c r="O661" s="198">
        <f>_1_54128456121462410464578910174567[[#This Row],[TOTAL]]*_1_54128456121462410464578910174567[[#This Row],[MARGIN]]</f>
        <v>0</v>
      </c>
      <c r="R661" s="41"/>
    </row>
    <row r="662" spans="4:18">
      <c r="D662" s="188"/>
      <c r="F662" s="168" t="s">
        <v>6202</v>
      </c>
      <c r="G662" s="193">
        <f>IF(_1_54128456121462410464578910174567[[#This Row],[Type]]&gt;0,VLOOKUP(_1_54128456121462410464578910174567[[#This Row],[Type]],Main[[#All],[TYPE]:[UNIT]],'Unit Price'!C$1,FALSE),0)</f>
        <v>0</v>
      </c>
      <c r="H662" s="197">
        <f>IF(_1_54128456121462410464578910174567[[#This Row],[Type]]&gt;0,VLOOKUP(_1_54128456121462410464578910174567[[#This Row],[Type]],Main[[#All],[TYPE]:[UNIT]],'Unit Price'!D$1,FALSE),0)</f>
        <v>0</v>
      </c>
      <c r="I662" s="194">
        <f>IF(_1_54128456121462410464578910174567[[#This Row],[Type]]&gt;0,VLOOKUP(_1_54128456121462410464578910174567[[#This Row],[Type]],Main[[#All],[TYPE]:[UNIT]],'Unit Price'!G$1,FALSE),0)</f>
        <v>0</v>
      </c>
      <c r="J662" s="194">
        <f>IF(_1_54128456121462410464578910174567[[#This Row],[Type]]&gt;0,VLOOKUP(_1_54128456121462410464578910174567[[#This Row],[Type]],Main[[#All],[TYPE]:[UNIT]],'Unit Price'!H$1,FALSE),0)</f>
        <v>0</v>
      </c>
      <c r="K662" s="194">
        <f>IF(_1_54128456121462410464578910174567[[#This Row],[Discount selection]]&gt;0,VLOOKUP(_1_54128456121462410464578910174567[[#This Row],[Discount selection]],'Discount Structure'!$A$2:$B$30,2,"false"),0)</f>
        <v>1</v>
      </c>
      <c r="L662" s="194">
        <f>_1_54128456121462410464578910174567[[#This Row],[LIST $]]*_1_54128456121462410464578910174567[[#This Row],[DISCOUNT]]*_1_54128456121462410464578910174567[[#This Row],[DISCOUNT 2]]</f>
        <v>0</v>
      </c>
      <c r="M662" s="194">
        <f>IF(OR(_1_54128456121462410464578910174567[[#This Row],[UNIT]]&gt;0,_1_54128456121462410464578910174567[[#This Row],[UNIT]]&lt;0),_1_54128456121462410464578910174567[[#This Row],[UNIT]]*_1_54128456121462410464578910174567[[#This Row],[COST]],0)</f>
        <v>0</v>
      </c>
      <c r="N662" s="194">
        <f t="shared" si="10"/>
        <v>1.3</v>
      </c>
      <c r="O662" s="198">
        <f>_1_54128456121462410464578910174567[[#This Row],[TOTAL]]*_1_54128456121462410464578910174567[[#This Row],[MARGIN]]</f>
        <v>0</v>
      </c>
      <c r="R662" s="41"/>
    </row>
    <row r="663" spans="4:18">
      <c r="D663" s="188"/>
      <c r="F663" s="168" t="s">
        <v>6202</v>
      </c>
      <c r="G663" s="193">
        <f>IF(_1_54128456121462410464578910174567[[#This Row],[Type]]&gt;0,VLOOKUP(_1_54128456121462410464578910174567[[#This Row],[Type]],Main[[#All],[TYPE]:[UNIT]],'Unit Price'!C$1,FALSE),0)</f>
        <v>0</v>
      </c>
      <c r="H663" s="197">
        <f>IF(_1_54128456121462410464578910174567[[#This Row],[Type]]&gt;0,VLOOKUP(_1_54128456121462410464578910174567[[#This Row],[Type]],Main[[#All],[TYPE]:[UNIT]],'Unit Price'!D$1,FALSE),0)</f>
        <v>0</v>
      </c>
      <c r="I663" s="194">
        <f>IF(_1_54128456121462410464578910174567[[#This Row],[Type]]&gt;0,VLOOKUP(_1_54128456121462410464578910174567[[#This Row],[Type]],Main[[#All],[TYPE]:[UNIT]],'Unit Price'!G$1,FALSE),0)</f>
        <v>0</v>
      </c>
      <c r="J663" s="194">
        <f>IF(_1_54128456121462410464578910174567[[#This Row],[Type]]&gt;0,VLOOKUP(_1_54128456121462410464578910174567[[#This Row],[Type]],Main[[#All],[TYPE]:[UNIT]],'Unit Price'!H$1,FALSE),0)</f>
        <v>0</v>
      </c>
      <c r="K663" s="194">
        <f>IF(_1_54128456121462410464578910174567[[#This Row],[Discount selection]]&gt;0,VLOOKUP(_1_54128456121462410464578910174567[[#This Row],[Discount selection]],'Discount Structure'!$A$2:$B$30,2,"false"),0)</f>
        <v>1</v>
      </c>
      <c r="L663" s="194">
        <f>_1_54128456121462410464578910174567[[#This Row],[LIST $]]*_1_54128456121462410464578910174567[[#This Row],[DISCOUNT]]*_1_54128456121462410464578910174567[[#This Row],[DISCOUNT 2]]</f>
        <v>0</v>
      </c>
      <c r="M663" s="194">
        <f>IF(OR(_1_54128456121462410464578910174567[[#This Row],[UNIT]]&gt;0,_1_54128456121462410464578910174567[[#This Row],[UNIT]]&lt;0),_1_54128456121462410464578910174567[[#This Row],[UNIT]]*_1_54128456121462410464578910174567[[#This Row],[COST]],0)</f>
        <v>0</v>
      </c>
      <c r="N663" s="194">
        <f t="shared" si="10"/>
        <v>1.3</v>
      </c>
      <c r="O663" s="198">
        <f>_1_54128456121462410464578910174567[[#This Row],[TOTAL]]*_1_54128456121462410464578910174567[[#This Row],[MARGIN]]</f>
        <v>0</v>
      </c>
      <c r="R663" s="41"/>
    </row>
    <row r="664" spans="4:18">
      <c r="D664" s="188"/>
      <c r="F664" s="168" t="s">
        <v>6202</v>
      </c>
      <c r="G664" s="193">
        <f>IF(_1_54128456121462410464578910174567[[#This Row],[Type]]&gt;0,VLOOKUP(_1_54128456121462410464578910174567[[#This Row],[Type]],Main[[#All],[TYPE]:[UNIT]],'Unit Price'!C$1,FALSE),0)</f>
        <v>0</v>
      </c>
      <c r="H664" s="197">
        <f>IF(_1_54128456121462410464578910174567[[#This Row],[Type]]&gt;0,VLOOKUP(_1_54128456121462410464578910174567[[#This Row],[Type]],Main[[#All],[TYPE]:[UNIT]],'Unit Price'!D$1,FALSE),0)</f>
        <v>0</v>
      </c>
      <c r="I664" s="194">
        <f>IF(_1_54128456121462410464578910174567[[#This Row],[Type]]&gt;0,VLOOKUP(_1_54128456121462410464578910174567[[#This Row],[Type]],Main[[#All],[TYPE]:[UNIT]],'Unit Price'!G$1,FALSE),0)</f>
        <v>0</v>
      </c>
      <c r="J664" s="194">
        <f>IF(_1_54128456121462410464578910174567[[#This Row],[Type]]&gt;0,VLOOKUP(_1_54128456121462410464578910174567[[#This Row],[Type]],Main[[#All],[TYPE]:[UNIT]],'Unit Price'!H$1,FALSE),0)</f>
        <v>0</v>
      </c>
      <c r="K664" s="194">
        <f>IF(_1_54128456121462410464578910174567[[#This Row],[Discount selection]]&gt;0,VLOOKUP(_1_54128456121462410464578910174567[[#This Row],[Discount selection]],'Discount Structure'!$A$2:$B$30,2,"false"),0)</f>
        <v>1</v>
      </c>
      <c r="L664" s="194">
        <f>_1_54128456121462410464578910174567[[#This Row],[LIST $]]*_1_54128456121462410464578910174567[[#This Row],[DISCOUNT]]*_1_54128456121462410464578910174567[[#This Row],[DISCOUNT 2]]</f>
        <v>0</v>
      </c>
      <c r="M664" s="194">
        <f>IF(OR(_1_54128456121462410464578910174567[[#This Row],[UNIT]]&gt;0,_1_54128456121462410464578910174567[[#This Row],[UNIT]]&lt;0),_1_54128456121462410464578910174567[[#This Row],[UNIT]]*_1_54128456121462410464578910174567[[#This Row],[COST]],0)</f>
        <v>0</v>
      </c>
      <c r="N664" s="194">
        <f t="shared" si="10"/>
        <v>1.3</v>
      </c>
      <c r="O664" s="198">
        <f>_1_54128456121462410464578910174567[[#This Row],[TOTAL]]*_1_54128456121462410464578910174567[[#This Row],[MARGIN]]</f>
        <v>0</v>
      </c>
      <c r="R664" s="41"/>
    </row>
    <row r="665" spans="4:18">
      <c r="D665" s="188"/>
      <c r="F665" s="168" t="s">
        <v>6202</v>
      </c>
      <c r="G665" s="193">
        <f>IF(_1_54128456121462410464578910174567[[#This Row],[Type]]&gt;0,VLOOKUP(_1_54128456121462410464578910174567[[#This Row],[Type]],Main[[#All],[TYPE]:[UNIT]],'Unit Price'!C$1,FALSE),0)</f>
        <v>0</v>
      </c>
      <c r="H665" s="197">
        <f>IF(_1_54128456121462410464578910174567[[#This Row],[Type]]&gt;0,VLOOKUP(_1_54128456121462410464578910174567[[#This Row],[Type]],Main[[#All],[TYPE]:[UNIT]],'Unit Price'!D$1,FALSE),0)</f>
        <v>0</v>
      </c>
      <c r="I665" s="194">
        <f>IF(_1_54128456121462410464578910174567[[#This Row],[Type]]&gt;0,VLOOKUP(_1_54128456121462410464578910174567[[#This Row],[Type]],Main[[#All],[TYPE]:[UNIT]],'Unit Price'!G$1,FALSE),0)</f>
        <v>0</v>
      </c>
      <c r="J665" s="194">
        <f>IF(_1_54128456121462410464578910174567[[#This Row],[Type]]&gt;0,VLOOKUP(_1_54128456121462410464578910174567[[#This Row],[Type]],Main[[#All],[TYPE]:[UNIT]],'Unit Price'!H$1,FALSE),0)</f>
        <v>0</v>
      </c>
      <c r="K665" s="194">
        <f>IF(_1_54128456121462410464578910174567[[#This Row],[Discount selection]]&gt;0,VLOOKUP(_1_54128456121462410464578910174567[[#This Row],[Discount selection]],'Discount Structure'!$A$2:$B$30,2,"false"),0)</f>
        <v>1</v>
      </c>
      <c r="L665" s="194">
        <f>_1_54128456121462410464578910174567[[#This Row],[LIST $]]*_1_54128456121462410464578910174567[[#This Row],[DISCOUNT]]*_1_54128456121462410464578910174567[[#This Row],[DISCOUNT 2]]</f>
        <v>0</v>
      </c>
      <c r="M665" s="194">
        <f>IF(OR(_1_54128456121462410464578910174567[[#This Row],[UNIT]]&gt;0,_1_54128456121462410464578910174567[[#This Row],[UNIT]]&lt;0),_1_54128456121462410464578910174567[[#This Row],[UNIT]]*_1_54128456121462410464578910174567[[#This Row],[COST]],0)</f>
        <v>0</v>
      </c>
      <c r="N665" s="194">
        <f t="shared" si="10"/>
        <v>1.3</v>
      </c>
      <c r="O665" s="198">
        <f>_1_54128456121462410464578910174567[[#This Row],[TOTAL]]*_1_54128456121462410464578910174567[[#This Row],[MARGIN]]</f>
        <v>0</v>
      </c>
      <c r="R665" s="41"/>
    </row>
    <row r="666" spans="4:18">
      <c r="D666" s="188"/>
      <c r="F666" s="168" t="s">
        <v>6202</v>
      </c>
      <c r="G666" s="193">
        <f>IF(_1_54128456121462410464578910174567[[#This Row],[Type]]&gt;0,VLOOKUP(_1_54128456121462410464578910174567[[#This Row],[Type]],Main[[#All],[TYPE]:[UNIT]],'Unit Price'!C$1,FALSE),0)</f>
        <v>0</v>
      </c>
      <c r="H666" s="197">
        <f>IF(_1_54128456121462410464578910174567[[#This Row],[Type]]&gt;0,VLOOKUP(_1_54128456121462410464578910174567[[#This Row],[Type]],Main[[#All],[TYPE]:[UNIT]],'Unit Price'!D$1,FALSE),0)</f>
        <v>0</v>
      </c>
      <c r="I666" s="194">
        <f>IF(_1_54128456121462410464578910174567[[#This Row],[Type]]&gt;0,VLOOKUP(_1_54128456121462410464578910174567[[#This Row],[Type]],Main[[#All],[TYPE]:[UNIT]],'Unit Price'!G$1,FALSE),0)</f>
        <v>0</v>
      </c>
      <c r="J666" s="194">
        <f>IF(_1_54128456121462410464578910174567[[#This Row],[Type]]&gt;0,VLOOKUP(_1_54128456121462410464578910174567[[#This Row],[Type]],Main[[#All],[TYPE]:[UNIT]],'Unit Price'!H$1,FALSE),0)</f>
        <v>0</v>
      </c>
      <c r="K666" s="194">
        <f>IF(_1_54128456121462410464578910174567[[#This Row],[Discount selection]]&gt;0,VLOOKUP(_1_54128456121462410464578910174567[[#This Row],[Discount selection]],'Discount Structure'!$A$2:$B$30,2,"false"),0)</f>
        <v>1</v>
      </c>
      <c r="L666" s="194">
        <f>_1_54128456121462410464578910174567[[#This Row],[LIST $]]*_1_54128456121462410464578910174567[[#This Row],[DISCOUNT]]*_1_54128456121462410464578910174567[[#This Row],[DISCOUNT 2]]</f>
        <v>0</v>
      </c>
      <c r="M666" s="194">
        <f>IF(OR(_1_54128456121462410464578910174567[[#This Row],[UNIT]]&gt;0,_1_54128456121462410464578910174567[[#This Row],[UNIT]]&lt;0),_1_54128456121462410464578910174567[[#This Row],[UNIT]]*_1_54128456121462410464578910174567[[#This Row],[COST]],0)</f>
        <v>0</v>
      </c>
      <c r="N666" s="194">
        <f t="shared" si="10"/>
        <v>1.3</v>
      </c>
      <c r="O666" s="198">
        <f>_1_54128456121462410464578910174567[[#This Row],[TOTAL]]*_1_54128456121462410464578910174567[[#This Row],[MARGIN]]</f>
        <v>0</v>
      </c>
      <c r="R666" s="41"/>
    </row>
    <row r="667" spans="4:18">
      <c r="D667" s="188"/>
      <c r="F667" s="168" t="s">
        <v>6202</v>
      </c>
      <c r="G667" s="193">
        <f>IF(_1_54128456121462410464578910174567[[#This Row],[Type]]&gt;0,VLOOKUP(_1_54128456121462410464578910174567[[#This Row],[Type]],Main[[#All],[TYPE]:[UNIT]],'Unit Price'!C$1,FALSE),0)</f>
        <v>0</v>
      </c>
      <c r="H667" s="197">
        <f>IF(_1_54128456121462410464578910174567[[#This Row],[Type]]&gt;0,VLOOKUP(_1_54128456121462410464578910174567[[#This Row],[Type]],Main[[#All],[TYPE]:[UNIT]],'Unit Price'!D$1,FALSE),0)</f>
        <v>0</v>
      </c>
      <c r="I667" s="194">
        <f>IF(_1_54128456121462410464578910174567[[#This Row],[Type]]&gt;0,VLOOKUP(_1_54128456121462410464578910174567[[#This Row],[Type]],Main[[#All],[TYPE]:[UNIT]],'Unit Price'!G$1,FALSE),0)</f>
        <v>0</v>
      </c>
      <c r="J667" s="194">
        <f>IF(_1_54128456121462410464578910174567[[#This Row],[Type]]&gt;0,VLOOKUP(_1_54128456121462410464578910174567[[#This Row],[Type]],Main[[#All],[TYPE]:[UNIT]],'Unit Price'!H$1,FALSE),0)</f>
        <v>0</v>
      </c>
      <c r="K667" s="194">
        <f>IF(_1_54128456121462410464578910174567[[#This Row],[Discount selection]]&gt;0,VLOOKUP(_1_54128456121462410464578910174567[[#This Row],[Discount selection]],'Discount Structure'!$A$2:$B$30,2,"false"),0)</f>
        <v>1</v>
      </c>
      <c r="L667" s="194">
        <f>_1_54128456121462410464578910174567[[#This Row],[LIST $]]*_1_54128456121462410464578910174567[[#This Row],[DISCOUNT]]*_1_54128456121462410464578910174567[[#This Row],[DISCOUNT 2]]</f>
        <v>0</v>
      </c>
      <c r="M667" s="194">
        <f>IF(OR(_1_54128456121462410464578910174567[[#This Row],[UNIT]]&gt;0,_1_54128456121462410464578910174567[[#This Row],[UNIT]]&lt;0),_1_54128456121462410464578910174567[[#This Row],[UNIT]]*_1_54128456121462410464578910174567[[#This Row],[COST]],0)</f>
        <v>0</v>
      </c>
      <c r="N667" s="194">
        <f t="shared" si="10"/>
        <v>1.3</v>
      </c>
      <c r="O667" s="198">
        <f>_1_54128456121462410464578910174567[[#This Row],[TOTAL]]*_1_54128456121462410464578910174567[[#This Row],[MARGIN]]</f>
        <v>0</v>
      </c>
      <c r="R667" s="41"/>
    </row>
    <row r="668" spans="4:18">
      <c r="D668" s="188"/>
      <c r="F668" s="168" t="s">
        <v>6202</v>
      </c>
      <c r="G668" s="193">
        <f>IF(_1_54128456121462410464578910174567[[#This Row],[Type]]&gt;0,VLOOKUP(_1_54128456121462410464578910174567[[#This Row],[Type]],Main[[#All],[TYPE]:[UNIT]],'Unit Price'!C$1,FALSE),0)</f>
        <v>0</v>
      </c>
      <c r="H668" s="197">
        <f>IF(_1_54128456121462410464578910174567[[#This Row],[Type]]&gt;0,VLOOKUP(_1_54128456121462410464578910174567[[#This Row],[Type]],Main[[#All],[TYPE]:[UNIT]],'Unit Price'!D$1,FALSE),0)</f>
        <v>0</v>
      </c>
      <c r="I668" s="194">
        <f>IF(_1_54128456121462410464578910174567[[#This Row],[Type]]&gt;0,VLOOKUP(_1_54128456121462410464578910174567[[#This Row],[Type]],Main[[#All],[TYPE]:[UNIT]],'Unit Price'!G$1,FALSE),0)</f>
        <v>0</v>
      </c>
      <c r="J668" s="194">
        <f>IF(_1_54128456121462410464578910174567[[#This Row],[Type]]&gt;0,VLOOKUP(_1_54128456121462410464578910174567[[#This Row],[Type]],Main[[#All],[TYPE]:[UNIT]],'Unit Price'!H$1,FALSE),0)</f>
        <v>0</v>
      </c>
      <c r="K668" s="194">
        <f>IF(_1_54128456121462410464578910174567[[#This Row],[Discount selection]]&gt;0,VLOOKUP(_1_54128456121462410464578910174567[[#This Row],[Discount selection]],'Discount Structure'!$A$2:$B$30,2,"false"),0)</f>
        <v>1</v>
      </c>
      <c r="L668" s="194">
        <f>_1_54128456121462410464578910174567[[#This Row],[LIST $]]*_1_54128456121462410464578910174567[[#This Row],[DISCOUNT]]*_1_54128456121462410464578910174567[[#This Row],[DISCOUNT 2]]</f>
        <v>0</v>
      </c>
      <c r="M668" s="194">
        <f>IF(OR(_1_54128456121462410464578910174567[[#This Row],[UNIT]]&gt;0,_1_54128456121462410464578910174567[[#This Row],[UNIT]]&lt;0),_1_54128456121462410464578910174567[[#This Row],[UNIT]]*_1_54128456121462410464578910174567[[#This Row],[COST]],0)</f>
        <v>0</v>
      </c>
      <c r="N668" s="194">
        <f t="shared" si="10"/>
        <v>1.3</v>
      </c>
      <c r="O668" s="198">
        <f>_1_54128456121462410464578910174567[[#This Row],[TOTAL]]*_1_54128456121462410464578910174567[[#This Row],[MARGIN]]</f>
        <v>0</v>
      </c>
      <c r="R668" s="41"/>
    </row>
    <row r="669" spans="4:18">
      <c r="D669" s="188"/>
      <c r="F669" s="168" t="s">
        <v>6202</v>
      </c>
      <c r="G669" s="193">
        <f>IF(_1_54128456121462410464578910174567[[#This Row],[Type]]&gt;0,VLOOKUP(_1_54128456121462410464578910174567[[#This Row],[Type]],Main[[#All],[TYPE]:[UNIT]],'Unit Price'!C$1,FALSE),0)</f>
        <v>0</v>
      </c>
      <c r="H669" s="197">
        <f>IF(_1_54128456121462410464578910174567[[#This Row],[Type]]&gt;0,VLOOKUP(_1_54128456121462410464578910174567[[#This Row],[Type]],Main[[#All],[TYPE]:[UNIT]],'Unit Price'!D$1,FALSE),0)</f>
        <v>0</v>
      </c>
      <c r="I669" s="194">
        <f>IF(_1_54128456121462410464578910174567[[#This Row],[Type]]&gt;0,VLOOKUP(_1_54128456121462410464578910174567[[#This Row],[Type]],Main[[#All],[TYPE]:[UNIT]],'Unit Price'!G$1,FALSE),0)</f>
        <v>0</v>
      </c>
      <c r="J669" s="194">
        <f>IF(_1_54128456121462410464578910174567[[#This Row],[Type]]&gt;0,VLOOKUP(_1_54128456121462410464578910174567[[#This Row],[Type]],Main[[#All],[TYPE]:[UNIT]],'Unit Price'!H$1,FALSE),0)</f>
        <v>0</v>
      </c>
      <c r="K669" s="194">
        <f>IF(_1_54128456121462410464578910174567[[#This Row],[Discount selection]]&gt;0,VLOOKUP(_1_54128456121462410464578910174567[[#This Row],[Discount selection]],'Discount Structure'!$A$2:$B$30,2,"false"),0)</f>
        <v>1</v>
      </c>
      <c r="L669" s="194">
        <f>_1_54128456121462410464578910174567[[#This Row],[LIST $]]*_1_54128456121462410464578910174567[[#This Row],[DISCOUNT]]*_1_54128456121462410464578910174567[[#This Row],[DISCOUNT 2]]</f>
        <v>0</v>
      </c>
      <c r="M669" s="194">
        <f>IF(OR(_1_54128456121462410464578910174567[[#This Row],[UNIT]]&gt;0,_1_54128456121462410464578910174567[[#This Row],[UNIT]]&lt;0),_1_54128456121462410464578910174567[[#This Row],[UNIT]]*_1_54128456121462410464578910174567[[#This Row],[COST]],0)</f>
        <v>0</v>
      </c>
      <c r="N669" s="194">
        <f t="shared" si="10"/>
        <v>1.3</v>
      </c>
      <c r="O669" s="198">
        <f>_1_54128456121462410464578910174567[[#This Row],[TOTAL]]*_1_54128456121462410464578910174567[[#This Row],[MARGIN]]</f>
        <v>0</v>
      </c>
      <c r="R669" s="41"/>
    </row>
    <row r="670" spans="4:18">
      <c r="D670" s="188"/>
      <c r="F670" s="168" t="s">
        <v>6202</v>
      </c>
      <c r="G670" s="193">
        <f>IF(_1_54128456121462410464578910174567[[#This Row],[Type]]&gt;0,VLOOKUP(_1_54128456121462410464578910174567[[#This Row],[Type]],Main[[#All],[TYPE]:[UNIT]],'Unit Price'!C$1,FALSE),0)</f>
        <v>0</v>
      </c>
      <c r="H670" s="197">
        <f>IF(_1_54128456121462410464578910174567[[#This Row],[Type]]&gt;0,VLOOKUP(_1_54128456121462410464578910174567[[#This Row],[Type]],Main[[#All],[TYPE]:[UNIT]],'Unit Price'!D$1,FALSE),0)</f>
        <v>0</v>
      </c>
      <c r="I670" s="194">
        <f>IF(_1_54128456121462410464578910174567[[#This Row],[Type]]&gt;0,VLOOKUP(_1_54128456121462410464578910174567[[#This Row],[Type]],Main[[#All],[TYPE]:[UNIT]],'Unit Price'!G$1,FALSE),0)</f>
        <v>0</v>
      </c>
      <c r="J670" s="194">
        <f>IF(_1_54128456121462410464578910174567[[#This Row],[Type]]&gt;0,VLOOKUP(_1_54128456121462410464578910174567[[#This Row],[Type]],Main[[#All],[TYPE]:[UNIT]],'Unit Price'!H$1,FALSE),0)</f>
        <v>0</v>
      </c>
      <c r="K670" s="194">
        <f>IF(_1_54128456121462410464578910174567[[#This Row],[Discount selection]]&gt;0,VLOOKUP(_1_54128456121462410464578910174567[[#This Row],[Discount selection]],'Discount Structure'!$A$2:$B$30,2,"false"),0)</f>
        <v>1</v>
      </c>
      <c r="L670" s="194">
        <f>_1_54128456121462410464578910174567[[#This Row],[LIST $]]*_1_54128456121462410464578910174567[[#This Row],[DISCOUNT]]*_1_54128456121462410464578910174567[[#This Row],[DISCOUNT 2]]</f>
        <v>0</v>
      </c>
      <c r="M670" s="194">
        <f>IF(OR(_1_54128456121462410464578910174567[[#This Row],[UNIT]]&gt;0,_1_54128456121462410464578910174567[[#This Row],[UNIT]]&lt;0),_1_54128456121462410464578910174567[[#This Row],[UNIT]]*_1_54128456121462410464578910174567[[#This Row],[COST]],0)</f>
        <v>0</v>
      </c>
      <c r="N670" s="194">
        <f t="shared" si="10"/>
        <v>1.3</v>
      </c>
      <c r="O670" s="198">
        <f>_1_54128456121462410464578910174567[[#This Row],[TOTAL]]*_1_54128456121462410464578910174567[[#This Row],[MARGIN]]</f>
        <v>0</v>
      </c>
      <c r="R670" s="41"/>
    </row>
    <row r="671" spans="4:18">
      <c r="D671" s="188"/>
      <c r="F671" s="168" t="s">
        <v>6202</v>
      </c>
      <c r="G671" s="193">
        <f>IF(_1_54128456121462410464578910174567[[#This Row],[Type]]&gt;0,VLOOKUP(_1_54128456121462410464578910174567[[#This Row],[Type]],Main[[#All],[TYPE]:[UNIT]],'Unit Price'!C$1,FALSE),0)</f>
        <v>0</v>
      </c>
      <c r="H671" s="197">
        <f>IF(_1_54128456121462410464578910174567[[#This Row],[Type]]&gt;0,VLOOKUP(_1_54128456121462410464578910174567[[#This Row],[Type]],Main[[#All],[TYPE]:[UNIT]],'Unit Price'!D$1,FALSE),0)</f>
        <v>0</v>
      </c>
      <c r="I671" s="194">
        <f>IF(_1_54128456121462410464578910174567[[#This Row],[Type]]&gt;0,VLOOKUP(_1_54128456121462410464578910174567[[#This Row],[Type]],Main[[#All],[TYPE]:[UNIT]],'Unit Price'!G$1,FALSE),0)</f>
        <v>0</v>
      </c>
      <c r="J671" s="194">
        <f>IF(_1_54128456121462410464578910174567[[#This Row],[Type]]&gt;0,VLOOKUP(_1_54128456121462410464578910174567[[#This Row],[Type]],Main[[#All],[TYPE]:[UNIT]],'Unit Price'!H$1,FALSE),0)</f>
        <v>0</v>
      </c>
      <c r="K671" s="194">
        <f>IF(_1_54128456121462410464578910174567[[#This Row],[Discount selection]]&gt;0,VLOOKUP(_1_54128456121462410464578910174567[[#This Row],[Discount selection]],'Discount Structure'!$A$2:$B$30,2,"false"),0)</f>
        <v>1</v>
      </c>
      <c r="L671" s="194">
        <f>_1_54128456121462410464578910174567[[#This Row],[LIST $]]*_1_54128456121462410464578910174567[[#This Row],[DISCOUNT]]*_1_54128456121462410464578910174567[[#This Row],[DISCOUNT 2]]</f>
        <v>0</v>
      </c>
      <c r="M671" s="194">
        <f>IF(OR(_1_54128456121462410464578910174567[[#This Row],[UNIT]]&gt;0,_1_54128456121462410464578910174567[[#This Row],[UNIT]]&lt;0),_1_54128456121462410464578910174567[[#This Row],[UNIT]]*_1_54128456121462410464578910174567[[#This Row],[COST]],0)</f>
        <v>0</v>
      </c>
      <c r="N671" s="194">
        <f t="shared" si="10"/>
        <v>1.3</v>
      </c>
      <c r="O671" s="198">
        <f>_1_54128456121462410464578910174567[[#This Row],[TOTAL]]*_1_54128456121462410464578910174567[[#This Row],[MARGIN]]</f>
        <v>0</v>
      </c>
      <c r="R671" s="41"/>
    </row>
    <row r="672" spans="4:18">
      <c r="D672" s="188"/>
      <c r="F672" s="168" t="s">
        <v>6202</v>
      </c>
      <c r="G672" s="193">
        <f>IF(_1_54128456121462410464578910174567[[#This Row],[Type]]&gt;0,VLOOKUP(_1_54128456121462410464578910174567[[#This Row],[Type]],Main[[#All],[TYPE]:[UNIT]],'Unit Price'!C$1,FALSE),0)</f>
        <v>0</v>
      </c>
      <c r="H672" s="197">
        <f>IF(_1_54128456121462410464578910174567[[#This Row],[Type]]&gt;0,VLOOKUP(_1_54128456121462410464578910174567[[#This Row],[Type]],Main[[#All],[TYPE]:[UNIT]],'Unit Price'!D$1,FALSE),0)</f>
        <v>0</v>
      </c>
      <c r="I672" s="194">
        <f>IF(_1_54128456121462410464578910174567[[#This Row],[Type]]&gt;0,VLOOKUP(_1_54128456121462410464578910174567[[#This Row],[Type]],Main[[#All],[TYPE]:[UNIT]],'Unit Price'!G$1,FALSE),0)</f>
        <v>0</v>
      </c>
      <c r="J672" s="194">
        <f>IF(_1_54128456121462410464578910174567[[#This Row],[Type]]&gt;0,VLOOKUP(_1_54128456121462410464578910174567[[#This Row],[Type]],Main[[#All],[TYPE]:[UNIT]],'Unit Price'!H$1,FALSE),0)</f>
        <v>0</v>
      </c>
      <c r="K672" s="194">
        <f>IF(_1_54128456121462410464578910174567[[#This Row],[Discount selection]]&gt;0,VLOOKUP(_1_54128456121462410464578910174567[[#This Row],[Discount selection]],'Discount Structure'!$A$2:$B$30,2,"false"),0)</f>
        <v>1</v>
      </c>
      <c r="L672" s="194">
        <f>_1_54128456121462410464578910174567[[#This Row],[LIST $]]*_1_54128456121462410464578910174567[[#This Row],[DISCOUNT]]*_1_54128456121462410464578910174567[[#This Row],[DISCOUNT 2]]</f>
        <v>0</v>
      </c>
      <c r="M672" s="194">
        <f>IF(OR(_1_54128456121462410464578910174567[[#This Row],[UNIT]]&gt;0,_1_54128456121462410464578910174567[[#This Row],[UNIT]]&lt;0),_1_54128456121462410464578910174567[[#This Row],[UNIT]]*_1_54128456121462410464578910174567[[#This Row],[COST]],0)</f>
        <v>0</v>
      </c>
      <c r="N672" s="194">
        <f t="shared" si="10"/>
        <v>1.3</v>
      </c>
      <c r="O672" s="198">
        <f>_1_54128456121462410464578910174567[[#This Row],[TOTAL]]*_1_54128456121462410464578910174567[[#This Row],[MARGIN]]</f>
        <v>0</v>
      </c>
      <c r="R672" s="41"/>
    </row>
    <row r="673" spans="4:18">
      <c r="D673" s="188"/>
      <c r="F673" s="168" t="s">
        <v>6202</v>
      </c>
      <c r="G673" s="193">
        <f>IF(_1_54128456121462410464578910174567[[#This Row],[Type]]&gt;0,VLOOKUP(_1_54128456121462410464578910174567[[#This Row],[Type]],Main[[#All],[TYPE]:[UNIT]],'Unit Price'!C$1,FALSE),0)</f>
        <v>0</v>
      </c>
      <c r="H673" s="197">
        <f>IF(_1_54128456121462410464578910174567[[#This Row],[Type]]&gt;0,VLOOKUP(_1_54128456121462410464578910174567[[#This Row],[Type]],Main[[#All],[TYPE]:[UNIT]],'Unit Price'!D$1,FALSE),0)</f>
        <v>0</v>
      </c>
      <c r="I673" s="194">
        <f>IF(_1_54128456121462410464578910174567[[#This Row],[Type]]&gt;0,VLOOKUP(_1_54128456121462410464578910174567[[#This Row],[Type]],Main[[#All],[TYPE]:[UNIT]],'Unit Price'!G$1,FALSE),0)</f>
        <v>0</v>
      </c>
      <c r="J673" s="194">
        <f>IF(_1_54128456121462410464578910174567[[#This Row],[Type]]&gt;0,VLOOKUP(_1_54128456121462410464578910174567[[#This Row],[Type]],Main[[#All],[TYPE]:[UNIT]],'Unit Price'!H$1,FALSE),0)</f>
        <v>0</v>
      </c>
      <c r="K673" s="194">
        <f>IF(_1_54128456121462410464578910174567[[#This Row],[Discount selection]]&gt;0,VLOOKUP(_1_54128456121462410464578910174567[[#This Row],[Discount selection]],'Discount Structure'!$A$2:$B$30,2,"false"),0)</f>
        <v>1</v>
      </c>
      <c r="L673" s="194">
        <f>_1_54128456121462410464578910174567[[#This Row],[LIST $]]*_1_54128456121462410464578910174567[[#This Row],[DISCOUNT]]*_1_54128456121462410464578910174567[[#This Row],[DISCOUNT 2]]</f>
        <v>0</v>
      </c>
      <c r="M673" s="194">
        <f>IF(OR(_1_54128456121462410464578910174567[[#This Row],[UNIT]]&gt;0,_1_54128456121462410464578910174567[[#This Row],[UNIT]]&lt;0),_1_54128456121462410464578910174567[[#This Row],[UNIT]]*_1_54128456121462410464578910174567[[#This Row],[COST]],0)</f>
        <v>0</v>
      </c>
      <c r="N673" s="194">
        <f t="shared" si="10"/>
        <v>1.3</v>
      </c>
      <c r="O673" s="198">
        <f>_1_54128456121462410464578910174567[[#This Row],[TOTAL]]*_1_54128456121462410464578910174567[[#This Row],[MARGIN]]</f>
        <v>0</v>
      </c>
      <c r="R673" s="41"/>
    </row>
    <row r="674" spans="4:18">
      <c r="D674" s="188"/>
      <c r="F674" s="168" t="s">
        <v>6202</v>
      </c>
      <c r="G674" s="193">
        <f>IF(_1_54128456121462410464578910174567[[#This Row],[Type]]&gt;0,VLOOKUP(_1_54128456121462410464578910174567[[#This Row],[Type]],Main[[#All],[TYPE]:[UNIT]],'Unit Price'!C$1,FALSE),0)</f>
        <v>0</v>
      </c>
      <c r="H674" s="197">
        <f>IF(_1_54128456121462410464578910174567[[#This Row],[Type]]&gt;0,VLOOKUP(_1_54128456121462410464578910174567[[#This Row],[Type]],Main[[#All],[TYPE]:[UNIT]],'Unit Price'!D$1,FALSE),0)</f>
        <v>0</v>
      </c>
      <c r="I674" s="194">
        <f>IF(_1_54128456121462410464578910174567[[#This Row],[Type]]&gt;0,VLOOKUP(_1_54128456121462410464578910174567[[#This Row],[Type]],Main[[#All],[TYPE]:[UNIT]],'Unit Price'!G$1,FALSE),0)</f>
        <v>0</v>
      </c>
      <c r="J674" s="194">
        <f>IF(_1_54128456121462410464578910174567[[#This Row],[Type]]&gt;0,VLOOKUP(_1_54128456121462410464578910174567[[#This Row],[Type]],Main[[#All],[TYPE]:[UNIT]],'Unit Price'!H$1,FALSE),0)</f>
        <v>0</v>
      </c>
      <c r="K674" s="194">
        <f>IF(_1_54128456121462410464578910174567[[#This Row],[Discount selection]]&gt;0,VLOOKUP(_1_54128456121462410464578910174567[[#This Row],[Discount selection]],'Discount Structure'!$A$2:$B$30,2,"false"),0)</f>
        <v>1</v>
      </c>
      <c r="L674" s="194">
        <f>_1_54128456121462410464578910174567[[#This Row],[LIST $]]*_1_54128456121462410464578910174567[[#This Row],[DISCOUNT]]*_1_54128456121462410464578910174567[[#This Row],[DISCOUNT 2]]</f>
        <v>0</v>
      </c>
      <c r="M674" s="194">
        <f>IF(OR(_1_54128456121462410464578910174567[[#This Row],[UNIT]]&gt;0,_1_54128456121462410464578910174567[[#This Row],[UNIT]]&lt;0),_1_54128456121462410464578910174567[[#This Row],[UNIT]]*_1_54128456121462410464578910174567[[#This Row],[COST]],0)</f>
        <v>0</v>
      </c>
      <c r="N674" s="194">
        <f t="shared" si="10"/>
        <v>1.3</v>
      </c>
      <c r="O674" s="198">
        <f>_1_54128456121462410464578910174567[[#This Row],[TOTAL]]*_1_54128456121462410464578910174567[[#This Row],[MARGIN]]</f>
        <v>0</v>
      </c>
      <c r="R674" s="41"/>
    </row>
    <row r="675" spans="4:18">
      <c r="D675" s="188"/>
      <c r="F675" s="168" t="s">
        <v>6202</v>
      </c>
      <c r="G675" s="193">
        <f>IF(_1_54128456121462410464578910174567[[#This Row],[Type]]&gt;0,VLOOKUP(_1_54128456121462410464578910174567[[#This Row],[Type]],Main[[#All],[TYPE]:[UNIT]],'Unit Price'!C$1,FALSE),0)</f>
        <v>0</v>
      </c>
      <c r="H675" s="197">
        <f>IF(_1_54128456121462410464578910174567[[#This Row],[Type]]&gt;0,VLOOKUP(_1_54128456121462410464578910174567[[#This Row],[Type]],Main[[#All],[TYPE]:[UNIT]],'Unit Price'!D$1,FALSE),0)</f>
        <v>0</v>
      </c>
      <c r="I675" s="194">
        <f>IF(_1_54128456121462410464578910174567[[#This Row],[Type]]&gt;0,VLOOKUP(_1_54128456121462410464578910174567[[#This Row],[Type]],Main[[#All],[TYPE]:[UNIT]],'Unit Price'!G$1,FALSE),0)</f>
        <v>0</v>
      </c>
      <c r="J675" s="194">
        <f>IF(_1_54128456121462410464578910174567[[#This Row],[Type]]&gt;0,VLOOKUP(_1_54128456121462410464578910174567[[#This Row],[Type]],Main[[#All],[TYPE]:[UNIT]],'Unit Price'!H$1,FALSE),0)</f>
        <v>0</v>
      </c>
      <c r="K675" s="194">
        <f>IF(_1_54128456121462410464578910174567[[#This Row],[Discount selection]]&gt;0,VLOOKUP(_1_54128456121462410464578910174567[[#This Row],[Discount selection]],'Discount Structure'!$A$2:$B$30,2,"false"),0)</f>
        <v>1</v>
      </c>
      <c r="L675" s="194">
        <f>_1_54128456121462410464578910174567[[#This Row],[LIST $]]*_1_54128456121462410464578910174567[[#This Row],[DISCOUNT]]*_1_54128456121462410464578910174567[[#This Row],[DISCOUNT 2]]</f>
        <v>0</v>
      </c>
      <c r="M675" s="194">
        <f>IF(OR(_1_54128456121462410464578910174567[[#This Row],[UNIT]]&gt;0,_1_54128456121462410464578910174567[[#This Row],[UNIT]]&lt;0),_1_54128456121462410464578910174567[[#This Row],[UNIT]]*_1_54128456121462410464578910174567[[#This Row],[COST]],0)</f>
        <v>0</v>
      </c>
      <c r="N675" s="194">
        <f t="shared" si="10"/>
        <v>1.3</v>
      </c>
      <c r="O675" s="198">
        <f>_1_54128456121462410464578910174567[[#This Row],[TOTAL]]*_1_54128456121462410464578910174567[[#This Row],[MARGIN]]</f>
        <v>0</v>
      </c>
      <c r="R675" s="41"/>
    </row>
    <row r="676" spans="4:18">
      <c r="D676" s="188"/>
      <c r="F676" s="168" t="s">
        <v>6202</v>
      </c>
      <c r="G676" s="193">
        <f>IF(_1_54128456121462410464578910174567[[#This Row],[Type]]&gt;0,VLOOKUP(_1_54128456121462410464578910174567[[#This Row],[Type]],Main[[#All],[TYPE]:[UNIT]],'Unit Price'!C$1,FALSE),0)</f>
        <v>0</v>
      </c>
      <c r="H676" s="197">
        <f>IF(_1_54128456121462410464578910174567[[#This Row],[Type]]&gt;0,VLOOKUP(_1_54128456121462410464578910174567[[#This Row],[Type]],Main[[#All],[TYPE]:[UNIT]],'Unit Price'!D$1,FALSE),0)</f>
        <v>0</v>
      </c>
      <c r="I676" s="194">
        <f>IF(_1_54128456121462410464578910174567[[#This Row],[Type]]&gt;0,VLOOKUP(_1_54128456121462410464578910174567[[#This Row],[Type]],Main[[#All],[TYPE]:[UNIT]],'Unit Price'!G$1,FALSE),0)</f>
        <v>0</v>
      </c>
      <c r="J676" s="194">
        <f>IF(_1_54128456121462410464578910174567[[#This Row],[Type]]&gt;0,VLOOKUP(_1_54128456121462410464578910174567[[#This Row],[Type]],Main[[#All],[TYPE]:[UNIT]],'Unit Price'!H$1,FALSE),0)</f>
        <v>0</v>
      </c>
      <c r="K676" s="194">
        <f>IF(_1_54128456121462410464578910174567[[#This Row],[Discount selection]]&gt;0,VLOOKUP(_1_54128456121462410464578910174567[[#This Row],[Discount selection]],'Discount Structure'!$A$2:$B$30,2,"false"),0)</f>
        <v>1</v>
      </c>
      <c r="L676" s="194">
        <f>_1_54128456121462410464578910174567[[#This Row],[LIST $]]*_1_54128456121462410464578910174567[[#This Row],[DISCOUNT]]*_1_54128456121462410464578910174567[[#This Row],[DISCOUNT 2]]</f>
        <v>0</v>
      </c>
      <c r="M676" s="194">
        <f>IF(OR(_1_54128456121462410464578910174567[[#This Row],[UNIT]]&gt;0,_1_54128456121462410464578910174567[[#This Row],[UNIT]]&lt;0),_1_54128456121462410464578910174567[[#This Row],[UNIT]]*_1_54128456121462410464578910174567[[#This Row],[COST]],0)</f>
        <v>0</v>
      </c>
      <c r="N676" s="194">
        <f t="shared" si="10"/>
        <v>1.3</v>
      </c>
      <c r="O676" s="198">
        <f>_1_54128456121462410464578910174567[[#This Row],[TOTAL]]*_1_54128456121462410464578910174567[[#This Row],[MARGIN]]</f>
        <v>0</v>
      </c>
      <c r="R676" s="41"/>
    </row>
    <row r="677" spans="4:18">
      <c r="D677" s="188"/>
      <c r="F677" s="168" t="s">
        <v>6202</v>
      </c>
      <c r="G677" s="193">
        <f>IF(_1_54128456121462410464578910174567[[#This Row],[Type]]&gt;0,VLOOKUP(_1_54128456121462410464578910174567[[#This Row],[Type]],Main[[#All],[TYPE]:[UNIT]],'Unit Price'!C$1,FALSE),0)</f>
        <v>0</v>
      </c>
      <c r="H677" s="197">
        <f>IF(_1_54128456121462410464578910174567[[#This Row],[Type]]&gt;0,VLOOKUP(_1_54128456121462410464578910174567[[#This Row],[Type]],Main[[#All],[TYPE]:[UNIT]],'Unit Price'!D$1,FALSE),0)</f>
        <v>0</v>
      </c>
      <c r="I677" s="194">
        <f>IF(_1_54128456121462410464578910174567[[#This Row],[Type]]&gt;0,VLOOKUP(_1_54128456121462410464578910174567[[#This Row],[Type]],Main[[#All],[TYPE]:[UNIT]],'Unit Price'!G$1,FALSE),0)</f>
        <v>0</v>
      </c>
      <c r="J677" s="194">
        <f>IF(_1_54128456121462410464578910174567[[#This Row],[Type]]&gt;0,VLOOKUP(_1_54128456121462410464578910174567[[#This Row],[Type]],Main[[#All],[TYPE]:[UNIT]],'Unit Price'!H$1,FALSE),0)</f>
        <v>0</v>
      </c>
      <c r="K677" s="194">
        <f>IF(_1_54128456121462410464578910174567[[#This Row],[Discount selection]]&gt;0,VLOOKUP(_1_54128456121462410464578910174567[[#This Row],[Discount selection]],'Discount Structure'!$A$2:$B$30,2,"false"),0)</f>
        <v>1</v>
      </c>
      <c r="L677" s="194">
        <f>_1_54128456121462410464578910174567[[#This Row],[LIST $]]*_1_54128456121462410464578910174567[[#This Row],[DISCOUNT]]*_1_54128456121462410464578910174567[[#This Row],[DISCOUNT 2]]</f>
        <v>0</v>
      </c>
      <c r="M677" s="194">
        <f>IF(OR(_1_54128456121462410464578910174567[[#This Row],[UNIT]]&gt;0,_1_54128456121462410464578910174567[[#This Row],[UNIT]]&lt;0),_1_54128456121462410464578910174567[[#This Row],[UNIT]]*_1_54128456121462410464578910174567[[#This Row],[COST]],0)</f>
        <v>0</v>
      </c>
      <c r="N677" s="194">
        <f t="shared" si="10"/>
        <v>1.3</v>
      </c>
      <c r="O677" s="198">
        <f>_1_54128456121462410464578910174567[[#This Row],[TOTAL]]*_1_54128456121462410464578910174567[[#This Row],[MARGIN]]</f>
        <v>0</v>
      </c>
      <c r="R677" s="41"/>
    </row>
    <row r="678" spans="4:18">
      <c r="D678" s="188"/>
      <c r="F678" s="168" t="s">
        <v>6202</v>
      </c>
      <c r="G678" s="193">
        <f>IF(_1_54128456121462410464578910174567[[#This Row],[Type]]&gt;0,VLOOKUP(_1_54128456121462410464578910174567[[#This Row],[Type]],Main[[#All],[TYPE]:[UNIT]],'Unit Price'!C$1,FALSE),0)</f>
        <v>0</v>
      </c>
      <c r="H678" s="197">
        <f>IF(_1_54128456121462410464578910174567[[#This Row],[Type]]&gt;0,VLOOKUP(_1_54128456121462410464578910174567[[#This Row],[Type]],Main[[#All],[TYPE]:[UNIT]],'Unit Price'!D$1,FALSE),0)</f>
        <v>0</v>
      </c>
      <c r="I678" s="194">
        <f>IF(_1_54128456121462410464578910174567[[#This Row],[Type]]&gt;0,VLOOKUP(_1_54128456121462410464578910174567[[#This Row],[Type]],Main[[#All],[TYPE]:[UNIT]],'Unit Price'!G$1,FALSE),0)</f>
        <v>0</v>
      </c>
      <c r="J678" s="194">
        <f>IF(_1_54128456121462410464578910174567[[#This Row],[Type]]&gt;0,VLOOKUP(_1_54128456121462410464578910174567[[#This Row],[Type]],Main[[#All],[TYPE]:[UNIT]],'Unit Price'!H$1,FALSE),0)</f>
        <v>0</v>
      </c>
      <c r="K678" s="194">
        <f>IF(_1_54128456121462410464578910174567[[#This Row],[Discount selection]]&gt;0,VLOOKUP(_1_54128456121462410464578910174567[[#This Row],[Discount selection]],'Discount Structure'!$A$2:$B$30,2,"false"),0)</f>
        <v>1</v>
      </c>
      <c r="L678" s="194">
        <f>_1_54128456121462410464578910174567[[#This Row],[LIST $]]*_1_54128456121462410464578910174567[[#This Row],[DISCOUNT]]*_1_54128456121462410464578910174567[[#This Row],[DISCOUNT 2]]</f>
        <v>0</v>
      </c>
      <c r="M678" s="194">
        <f>IF(OR(_1_54128456121462410464578910174567[[#This Row],[UNIT]]&gt;0,_1_54128456121462410464578910174567[[#This Row],[UNIT]]&lt;0),_1_54128456121462410464578910174567[[#This Row],[UNIT]]*_1_54128456121462410464578910174567[[#This Row],[COST]],0)</f>
        <v>0</v>
      </c>
      <c r="N678" s="194">
        <f t="shared" si="10"/>
        <v>1.3</v>
      </c>
      <c r="O678" s="198">
        <f>_1_54128456121462410464578910174567[[#This Row],[TOTAL]]*_1_54128456121462410464578910174567[[#This Row],[MARGIN]]</f>
        <v>0</v>
      </c>
      <c r="R678" s="41"/>
    </row>
    <row r="679" spans="4:18">
      <c r="D679" s="188"/>
      <c r="F679" s="168" t="s">
        <v>6202</v>
      </c>
      <c r="G679" s="193">
        <f>IF(_1_54128456121462410464578910174567[[#This Row],[Type]]&gt;0,VLOOKUP(_1_54128456121462410464578910174567[[#This Row],[Type]],Main[[#All],[TYPE]:[UNIT]],'Unit Price'!C$1,FALSE),0)</f>
        <v>0</v>
      </c>
      <c r="H679" s="197">
        <f>IF(_1_54128456121462410464578910174567[[#This Row],[Type]]&gt;0,VLOOKUP(_1_54128456121462410464578910174567[[#This Row],[Type]],Main[[#All],[TYPE]:[UNIT]],'Unit Price'!D$1,FALSE),0)</f>
        <v>0</v>
      </c>
      <c r="I679" s="194">
        <f>IF(_1_54128456121462410464578910174567[[#This Row],[Type]]&gt;0,VLOOKUP(_1_54128456121462410464578910174567[[#This Row],[Type]],Main[[#All],[TYPE]:[UNIT]],'Unit Price'!G$1,FALSE),0)</f>
        <v>0</v>
      </c>
      <c r="J679" s="194">
        <f>IF(_1_54128456121462410464578910174567[[#This Row],[Type]]&gt;0,VLOOKUP(_1_54128456121462410464578910174567[[#This Row],[Type]],Main[[#All],[TYPE]:[UNIT]],'Unit Price'!H$1,FALSE),0)</f>
        <v>0</v>
      </c>
      <c r="K679" s="194">
        <f>IF(_1_54128456121462410464578910174567[[#This Row],[Discount selection]]&gt;0,VLOOKUP(_1_54128456121462410464578910174567[[#This Row],[Discount selection]],'Discount Structure'!$A$2:$B$30,2,"false"),0)</f>
        <v>1</v>
      </c>
      <c r="L679" s="194">
        <f>_1_54128456121462410464578910174567[[#This Row],[LIST $]]*_1_54128456121462410464578910174567[[#This Row],[DISCOUNT]]*_1_54128456121462410464578910174567[[#This Row],[DISCOUNT 2]]</f>
        <v>0</v>
      </c>
      <c r="M679" s="194">
        <f>IF(OR(_1_54128456121462410464578910174567[[#This Row],[UNIT]]&gt;0,_1_54128456121462410464578910174567[[#This Row],[UNIT]]&lt;0),_1_54128456121462410464578910174567[[#This Row],[UNIT]]*_1_54128456121462410464578910174567[[#This Row],[COST]],0)</f>
        <v>0</v>
      </c>
      <c r="N679" s="194">
        <f t="shared" si="10"/>
        <v>1.3</v>
      </c>
      <c r="O679" s="198">
        <f>_1_54128456121462410464578910174567[[#This Row],[TOTAL]]*_1_54128456121462410464578910174567[[#This Row],[MARGIN]]</f>
        <v>0</v>
      </c>
      <c r="R679" s="41"/>
    </row>
    <row r="680" spans="4:18">
      <c r="D680" s="188"/>
      <c r="F680" s="168" t="s">
        <v>6202</v>
      </c>
      <c r="G680" s="193">
        <f>IF(_1_54128456121462410464578910174567[[#This Row],[Type]]&gt;0,VLOOKUP(_1_54128456121462410464578910174567[[#This Row],[Type]],Main[[#All],[TYPE]:[UNIT]],'Unit Price'!C$1,FALSE),0)</f>
        <v>0</v>
      </c>
      <c r="H680" s="197">
        <f>IF(_1_54128456121462410464578910174567[[#This Row],[Type]]&gt;0,VLOOKUP(_1_54128456121462410464578910174567[[#This Row],[Type]],Main[[#All],[TYPE]:[UNIT]],'Unit Price'!D$1,FALSE),0)</f>
        <v>0</v>
      </c>
      <c r="I680" s="194">
        <f>IF(_1_54128456121462410464578910174567[[#This Row],[Type]]&gt;0,VLOOKUP(_1_54128456121462410464578910174567[[#This Row],[Type]],Main[[#All],[TYPE]:[UNIT]],'Unit Price'!G$1,FALSE),0)</f>
        <v>0</v>
      </c>
      <c r="J680" s="194">
        <f>IF(_1_54128456121462410464578910174567[[#This Row],[Type]]&gt;0,VLOOKUP(_1_54128456121462410464578910174567[[#This Row],[Type]],Main[[#All],[TYPE]:[UNIT]],'Unit Price'!H$1,FALSE),0)</f>
        <v>0</v>
      </c>
      <c r="K680" s="194">
        <f>IF(_1_54128456121462410464578910174567[[#This Row],[Discount selection]]&gt;0,VLOOKUP(_1_54128456121462410464578910174567[[#This Row],[Discount selection]],'Discount Structure'!$A$2:$B$30,2,"false"),0)</f>
        <v>1</v>
      </c>
      <c r="L680" s="194">
        <f>_1_54128456121462410464578910174567[[#This Row],[LIST $]]*_1_54128456121462410464578910174567[[#This Row],[DISCOUNT]]*_1_54128456121462410464578910174567[[#This Row],[DISCOUNT 2]]</f>
        <v>0</v>
      </c>
      <c r="M680" s="194">
        <f>IF(OR(_1_54128456121462410464578910174567[[#This Row],[UNIT]]&gt;0,_1_54128456121462410464578910174567[[#This Row],[UNIT]]&lt;0),_1_54128456121462410464578910174567[[#This Row],[UNIT]]*_1_54128456121462410464578910174567[[#This Row],[COST]],0)</f>
        <v>0</v>
      </c>
      <c r="N680" s="194">
        <f t="shared" si="10"/>
        <v>1.3</v>
      </c>
      <c r="O680" s="198">
        <f>_1_54128456121462410464578910174567[[#This Row],[TOTAL]]*_1_54128456121462410464578910174567[[#This Row],[MARGIN]]</f>
        <v>0</v>
      </c>
      <c r="R680" s="41"/>
    </row>
    <row r="681" spans="4:18">
      <c r="D681" s="188"/>
      <c r="F681" s="168" t="s">
        <v>6202</v>
      </c>
      <c r="G681" s="193">
        <f>IF(_1_54128456121462410464578910174567[[#This Row],[Type]]&gt;0,VLOOKUP(_1_54128456121462410464578910174567[[#This Row],[Type]],Main[[#All],[TYPE]:[UNIT]],'Unit Price'!C$1,FALSE),0)</f>
        <v>0</v>
      </c>
      <c r="H681" s="197">
        <f>IF(_1_54128456121462410464578910174567[[#This Row],[Type]]&gt;0,VLOOKUP(_1_54128456121462410464578910174567[[#This Row],[Type]],Main[[#All],[TYPE]:[UNIT]],'Unit Price'!D$1,FALSE),0)</f>
        <v>0</v>
      </c>
      <c r="I681" s="194">
        <f>IF(_1_54128456121462410464578910174567[[#This Row],[Type]]&gt;0,VLOOKUP(_1_54128456121462410464578910174567[[#This Row],[Type]],Main[[#All],[TYPE]:[UNIT]],'Unit Price'!G$1,FALSE),0)</f>
        <v>0</v>
      </c>
      <c r="J681" s="194">
        <f>IF(_1_54128456121462410464578910174567[[#This Row],[Type]]&gt;0,VLOOKUP(_1_54128456121462410464578910174567[[#This Row],[Type]],Main[[#All],[TYPE]:[UNIT]],'Unit Price'!H$1,FALSE),0)</f>
        <v>0</v>
      </c>
      <c r="K681" s="194">
        <f>IF(_1_54128456121462410464578910174567[[#This Row],[Discount selection]]&gt;0,VLOOKUP(_1_54128456121462410464578910174567[[#This Row],[Discount selection]],'Discount Structure'!$A$2:$B$30,2,"false"),0)</f>
        <v>1</v>
      </c>
      <c r="L681" s="194">
        <f>_1_54128456121462410464578910174567[[#This Row],[LIST $]]*_1_54128456121462410464578910174567[[#This Row],[DISCOUNT]]*_1_54128456121462410464578910174567[[#This Row],[DISCOUNT 2]]</f>
        <v>0</v>
      </c>
      <c r="M681" s="194">
        <f>IF(OR(_1_54128456121462410464578910174567[[#This Row],[UNIT]]&gt;0,_1_54128456121462410464578910174567[[#This Row],[UNIT]]&lt;0),_1_54128456121462410464578910174567[[#This Row],[UNIT]]*_1_54128456121462410464578910174567[[#This Row],[COST]],0)</f>
        <v>0</v>
      </c>
      <c r="N681" s="194">
        <f t="shared" si="10"/>
        <v>1.3</v>
      </c>
      <c r="O681" s="198">
        <f>_1_54128456121462410464578910174567[[#This Row],[TOTAL]]*_1_54128456121462410464578910174567[[#This Row],[MARGIN]]</f>
        <v>0</v>
      </c>
      <c r="R681" s="41"/>
    </row>
    <row r="682" spans="4:18">
      <c r="D682" s="188"/>
      <c r="F682" s="168" t="s">
        <v>6202</v>
      </c>
      <c r="G682" s="193">
        <f>IF(_1_54128456121462410464578910174567[[#This Row],[Type]]&gt;0,VLOOKUP(_1_54128456121462410464578910174567[[#This Row],[Type]],Main[[#All],[TYPE]:[UNIT]],'Unit Price'!C$1,FALSE),0)</f>
        <v>0</v>
      </c>
      <c r="H682" s="197">
        <f>IF(_1_54128456121462410464578910174567[[#This Row],[Type]]&gt;0,VLOOKUP(_1_54128456121462410464578910174567[[#This Row],[Type]],Main[[#All],[TYPE]:[UNIT]],'Unit Price'!D$1,FALSE),0)</f>
        <v>0</v>
      </c>
      <c r="I682" s="194">
        <f>IF(_1_54128456121462410464578910174567[[#This Row],[Type]]&gt;0,VLOOKUP(_1_54128456121462410464578910174567[[#This Row],[Type]],Main[[#All],[TYPE]:[UNIT]],'Unit Price'!G$1,FALSE),0)</f>
        <v>0</v>
      </c>
      <c r="J682" s="194">
        <f>IF(_1_54128456121462410464578910174567[[#This Row],[Type]]&gt;0,VLOOKUP(_1_54128456121462410464578910174567[[#This Row],[Type]],Main[[#All],[TYPE]:[UNIT]],'Unit Price'!H$1,FALSE),0)</f>
        <v>0</v>
      </c>
      <c r="K682" s="194">
        <f>IF(_1_54128456121462410464578910174567[[#This Row],[Discount selection]]&gt;0,VLOOKUP(_1_54128456121462410464578910174567[[#This Row],[Discount selection]],'Discount Structure'!$A$2:$B$30,2,"false"),0)</f>
        <v>1</v>
      </c>
      <c r="L682" s="194">
        <f>_1_54128456121462410464578910174567[[#This Row],[LIST $]]*_1_54128456121462410464578910174567[[#This Row],[DISCOUNT]]*_1_54128456121462410464578910174567[[#This Row],[DISCOUNT 2]]</f>
        <v>0</v>
      </c>
      <c r="M682" s="194">
        <f>IF(OR(_1_54128456121462410464578910174567[[#This Row],[UNIT]]&gt;0,_1_54128456121462410464578910174567[[#This Row],[UNIT]]&lt;0),_1_54128456121462410464578910174567[[#This Row],[UNIT]]*_1_54128456121462410464578910174567[[#This Row],[COST]],0)</f>
        <v>0</v>
      </c>
      <c r="N682" s="194">
        <f t="shared" si="10"/>
        <v>1.3</v>
      </c>
      <c r="O682" s="198">
        <f>_1_54128456121462410464578910174567[[#This Row],[TOTAL]]*_1_54128456121462410464578910174567[[#This Row],[MARGIN]]</f>
        <v>0</v>
      </c>
      <c r="R682" s="41"/>
    </row>
    <row r="683" spans="4:18">
      <c r="D683" s="188"/>
      <c r="F683" s="168" t="s">
        <v>6202</v>
      </c>
      <c r="G683" s="193">
        <f>IF(_1_54128456121462410464578910174567[[#This Row],[Type]]&gt;0,VLOOKUP(_1_54128456121462410464578910174567[[#This Row],[Type]],Main[[#All],[TYPE]:[UNIT]],'Unit Price'!C$1,FALSE),0)</f>
        <v>0</v>
      </c>
      <c r="H683" s="197">
        <f>IF(_1_54128456121462410464578910174567[[#This Row],[Type]]&gt;0,VLOOKUP(_1_54128456121462410464578910174567[[#This Row],[Type]],Main[[#All],[TYPE]:[UNIT]],'Unit Price'!D$1,FALSE),0)</f>
        <v>0</v>
      </c>
      <c r="I683" s="194">
        <f>IF(_1_54128456121462410464578910174567[[#This Row],[Type]]&gt;0,VLOOKUP(_1_54128456121462410464578910174567[[#This Row],[Type]],Main[[#All],[TYPE]:[UNIT]],'Unit Price'!G$1,FALSE),0)</f>
        <v>0</v>
      </c>
      <c r="J683" s="194">
        <f>IF(_1_54128456121462410464578910174567[[#This Row],[Type]]&gt;0,VLOOKUP(_1_54128456121462410464578910174567[[#This Row],[Type]],Main[[#All],[TYPE]:[UNIT]],'Unit Price'!H$1,FALSE),0)</f>
        <v>0</v>
      </c>
      <c r="K683" s="194">
        <f>IF(_1_54128456121462410464578910174567[[#This Row],[Discount selection]]&gt;0,VLOOKUP(_1_54128456121462410464578910174567[[#This Row],[Discount selection]],'Discount Structure'!$A$2:$B$30,2,"false"),0)</f>
        <v>1</v>
      </c>
      <c r="L683" s="194">
        <f>_1_54128456121462410464578910174567[[#This Row],[LIST $]]*_1_54128456121462410464578910174567[[#This Row],[DISCOUNT]]*_1_54128456121462410464578910174567[[#This Row],[DISCOUNT 2]]</f>
        <v>0</v>
      </c>
      <c r="M683" s="194">
        <f>IF(OR(_1_54128456121462410464578910174567[[#This Row],[UNIT]]&gt;0,_1_54128456121462410464578910174567[[#This Row],[UNIT]]&lt;0),_1_54128456121462410464578910174567[[#This Row],[UNIT]]*_1_54128456121462410464578910174567[[#This Row],[COST]],0)</f>
        <v>0</v>
      </c>
      <c r="N683" s="194">
        <f t="shared" si="10"/>
        <v>1.3</v>
      </c>
      <c r="O683" s="198">
        <f>_1_54128456121462410464578910174567[[#This Row],[TOTAL]]*_1_54128456121462410464578910174567[[#This Row],[MARGIN]]</f>
        <v>0</v>
      </c>
      <c r="R683" s="41"/>
    </row>
    <row r="684" spans="4:18">
      <c r="D684" s="188"/>
      <c r="F684" s="168" t="s">
        <v>6202</v>
      </c>
      <c r="G684" s="193">
        <f>IF(_1_54128456121462410464578910174567[[#This Row],[Type]]&gt;0,VLOOKUP(_1_54128456121462410464578910174567[[#This Row],[Type]],Main[[#All],[TYPE]:[UNIT]],'Unit Price'!C$1,FALSE),0)</f>
        <v>0</v>
      </c>
      <c r="H684" s="197">
        <f>IF(_1_54128456121462410464578910174567[[#This Row],[Type]]&gt;0,VLOOKUP(_1_54128456121462410464578910174567[[#This Row],[Type]],Main[[#All],[TYPE]:[UNIT]],'Unit Price'!D$1,FALSE),0)</f>
        <v>0</v>
      </c>
      <c r="I684" s="194">
        <f>IF(_1_54128456121462410464578910174567[[#This Row],[Type]]&gt;0,VLOOKUP(_1_54128456121462410464578910174567[[#This Row],[Type]],Main[[#All],[TYPE]:[UNIT]],'Unit Price'!G$1,FALSE),0)</f>
        <v>0</v>
      </c>
      <c r="J684" s="194">
        <f>IF(_1_54128456121462410464578910174567[[#This Row],[Type]]&gt;0,VLOOKUP(_1_54128456121462410464578910174567[[#This Row],[Type]],Main[[#All],[TYPE]:[UNIT]],'Unit Price'!H$1,FALSE),0)</f>
        <v>0</v>
      </c>
      <c r="K684" s="194">
        <f>IF(_1_54128456121462410464578910174567[[#This Row],[Discount selection]]&gt;0,VLOOKUP(_1_54128456121462410464578910174567[[#This Row],[Discount selection]],'Discount Structure'!$A$2:$B$30,2,"false"),0)</f>
        <v>1</v>
      </c>
      <c r="L684" s="194">
        <f>_1_54128456121462410464578910174567[[#This Row],[LIST $]]*_1_54128456121462410464578910174567[[#This Row],[DISCOUNT]]*_1_54128456121462410464578910174567[[#This Row],[DISCOUNT 2]]</f>
        <v>0</v>
      </c>
      <c r="M684" s="194">
        <f>IF(OR(_1_54128456121462410464578910174567[[#This Row],[UNIT]]&gt;0,_1_54128456121462410464578910174567[[#This Row],[UNIT]]&lt;0),_1_54128456121462410464578910174567[[#This Row],[UNIT]]*_1_54128456121462410464578910174567[[#This Row],[COST]],0)</f>
        <v>0</v>
      </c>
      <c r="N684" s="194">
        <f t="shared" si="10"/>
        <v>1.3</v>
      </c>
      <c r="O684" s="198">
        <f>_1_54128456121462410464578910174567[[#This Row],[TOTAL]]*_1_54128456121462410464578910174567[[#This Row],[MARGIN]]</f>
        <v>0</v>
      </c>
      <c r="R684" s="41"/>
    </row>
    <row r="685" spans="4:18">
      <c r="D685" s="188"/>
      <c r="F685" s="168" t="s">
        <v>6202</v>
      </c>
      <c r="G685" s="193">
        <f>IF(_1_54128456121462410464578910174567[[#This Row],[Type]]&gt;0,VLOOKUP(_1_54128456121462410464578910174567[[#This Row],[Type]],Main[[#All],[TYPE]:[UNIT]],'Unit Price'!C$1,FALSE),0)</f>
        <v>0</v>
      </c>
      <c r="H685" s="197">
        <f>IF(_1_54128456121462410464578910174567[[#This Row],[Type]]&gt;0,VLOOKUP(_1_54128456121462410464578910174567[[#This Row],[Type]],Main[[#All],[TYPE]:[UNIT]],'Unit Price'!D$1,FALSE),0)</f>
        <v>0</v>
      </c>
      <c r="I685" s="194">
        <f>IF(_1_54128456121462410464578910174567[[#This Row],[Type]]&gt;0,VLOOKUP(_1_54128456121462410464578910174567[[#This Row],[Type]],Main[[#All],[TYPE]:[UNIT]],'Unit Price'!G$1,FALSE),0)</f>
        <v>0</v>
      </c>
      <c r="J685" s="194">
        <f>IF(_1_54128456121462410464578910174567[[#This Row],[Type]]&gt;0,VLOOKUP(_1_54128456121462410464578910174567[[#This Row],[Type]],Main[[#All],[TYPE]:[UNIT]],'Unit Price'!H$1,FALSE),0)</f>
        <v>0</v>
      </c>
      <c r="K685" s="194">
        <f>IF(_1_54128456121462410464578910174567[[#This Row],[Discount selection]]&gt;0,VLOOKUP(_1_54128456121462410464578910174567[[#This Row],[Discount selection]],'Discount Structure'!$A$2:$B$30,2,"false"),0)</f>
        <v>1</v>
      </c>
      <c r="L685" s="194">
        <f>_1_54128456121462410464578910174567[[#This Row],[LIST $]]*_1_54128456121462410464578910174567[[#This Row],[DISCOUNT]]*_1_54128456121462410464578910174567[[#This Row],[DISCOUNT 2]]</f>
        <v>0</v>
      </c>
      <c r="M685" s="194">
        <f>IF(OR(_1_54128456121462410464578910174567[[#This Row],[UNIT]]&gt;0,_1_54128456121462410464578910174567[[#This Row],[UNIT]]&lt;0),_1_54128456121462410464578910174567[[#This Row],[UNIT]]*_1_54128456121462410464578910174567[[#This Row],[COST]],0)</f>
        <v>0</v>
      </c>
      <c r="N685" s="194">
        <f t="shared" si="10"/>
        <v>1.3</v>
      </c>
      <c r="O685" s="198">
        <f>_1_54128456121462410464578910174567[[#This Row],[TOTAL]]*_1_54128456121462410464578910174567[[#This Row],[MARGIN]]</f>
        <v>0</v>
      </c>
      <c r="R685" s="41"/>
    </row>
    <row r="686" spans="4:18">
      <c r="D686" s="188"/>
      <c r="F686" s="168" t="s">
        <v>6202</v>
      </c>
      <c r="G686" s="193">
        <f>IF(_1_54128456121462410464578910174567[[#This Row],[Type]]&gt;0,VLOOKUP(_1_54128456121462410464578910174567[[#This Row],[Type]],Main[[#All],[TYPE]:[UNIT]],'Unit Price'!C$1,FALSE),0)</f>
        <v>0</v>
      </c>
      <c r="H686" s="197">
        <f>IF(_1_54128456121462410464578910174567[[#This Row],[Type]]&gt;0,VLOOKUP(_1_54128456121462410464578910174567[[#This Row],[Type]],Main[[#All],[TYPE]:[UNIT]],'Unit Price'!D$1,FALSE),0)</f>
        <v>0</v>
      </c>
      <c r="I686" s="194">
        <f>IF(_1_54128456121462410464578910174567[[#This Row],[Type]]&gt;0,VLOOKUP(_1_54128456121462410464578910174567[[#This Row],[Type]],Main[[#All],[TYPE]:[UNIT]],'Unit Price'!G$1,FALSE),0)</f>
        <v>0</v>
      </c>
      <c r="J686" s="194">
        <f>IF(_1_54128456121462410464578910174567[[#This Row],[Type]]&gt;0,VLOOKUP(_1_54128456121462410464578910174567[[#This Row],[Type]],Main[[#All],[TYPE]:[UNIT]],'Unit Price'!H$1,FALSE),0)</f>
        <v>0</v>
      </c>
      <c r="K686" s="194">
        <f>IF(_1_54128456121462410464578910174567[[#This Row],[Discount selection]]&gt;0,VLOOKUP(_1_54128456121462410464578910174567[[#This Row],[Discount selection]],'Discount Structure'!$A$2:$B$30,2,"false"),0)</f>
        <v>1</v>
      </c>
      <c r="L686" s="194">
        <f>_1_54128456121462410464578910174567[[#This Row],[LIST $]]*_1_54128456121462410464578910174567[[#This Row],[DISCOUNT]]*_1_54128456121462410464578910174567[[#This Row],[DISCOUNT 2]]</f>
        <v>0</v>
      </c>
      <c r="M686" s="194">
        <f>IF(OR(_1_54128456121462410464578910174567[[#This Row],[UNIT]]&gt;0,_1_54128456121462410464578910174567[[#This Row],[UNIT]]&lt;0),_1_54128456121462410464578910174567[[#This Row],[UNIT]]*_1_54128456121462410464578910174567[[#This Row],[COST]],0)</f>
        <v>0</v>
      </c>
      <c r="N686" s="194">
        <f t="shared" si="10"/>
        <v>1.3</v>
      </c>
      <c r="O686" s="198">
        <f>_1_54128456121462410464578910174567[[#This Row],[TOTAL]]*_1_54128456121462410464578910174567[[#This Row],[MARGIN]]</f>
        <v>0</v>
      </c>
      <c r="R686" s="41"/>
    </row>
    <row r="687" spans="4:18">
      <c r="D687" s="188"/>
      <c r="F687" s="168" t="s">
        <v>6202</v>
      </c>
      <c r="G687" s="193">
        <f>IF(_1_54128456121462410464578910174567[[#This Row],[Type]]&gt;0,VLOOKUP(_1_54128456121462410464578910174567[[#This Row],[Type]],Main[[#All],[TYPE]:[UNIT]],'Unit Price'!C$1,FALSE),0)</f>
        <v>0</v>
      </c>
      <c r="H687" s="197">
        <f>IF(_1_54128456121462410464578910174567[[#This Row],[Type]]&gt;0,VLOOKUP(_1_54128456121462410464578910174567[[#This Row],[Type]],Main[[#All],[TYPE]:[UNIT]],'Unit Price'!D$1,FALSE),0)</f>
        <v>0</v>
      </c>
      <c r="I687" s="194">
        <f>IF(_1_54128456121462410464578910174567[[#This Row],[Type]]&gt;0,VLOOKUP(_1_54128456121462410464578910174567[[#This Row],[Type]],Main[[#All],[TYPE]:[UNIT]],'Unit Price'!G$1,FALSE),0)</f>
        <v>0</v>
      </c>
      <c r="J687" s="194">
        <f>IF(_1_54128456121462410464578910174567[[#This Row],[Type]]&gt;0,VLOOKUP(_1_54128456121462410464578910174567[[#This Row],[Type]],Main[[#All],[TYPE]:[UNIT]],'Unit Price'!H$1,FALSE),0)</f>
        <v>0</v>
      </c>
      <c r="K687" s="194">
        <f>IF(_1_54128456121462410464578910174567[[#This Row],[Discount selection]]&gt;0,VLOOKUP(_1_54128456121462410464578910174567[[#This Row],[Discount selection]],'Discount Structure'!$A$2:$B$30,2,"false"),0)</f>
        <v>1</v>
      </c>
      <c r="L687" s="194">
        <f>_1_54128456121462410464578910174567[[#This Row],[LIST $]]*_1_54128456121462410464578910174567[[#This Row],[DISCOUNT]]*_1_54128456121462410464578910174567[[#This Row],[DISCOUNT 2]]</f>
        <v>0</v>
      </c>
      <c r="M687" s="194">
        <f>IF(OR(_1_54128456121462410464578910174567[[#This Row],[UNIT]]&gt;0,_1_54128456121462410464578910174567[[#This Row],[UNIT]]&lt;0),_1_54128456121462410464578910174567[[#This Row],[UNIT]]*_1_54128456121462410464578910174567[[#This Row],[COST]],0)</f>
        <v>0</v>
      </c>
      <c r="N687" s="194">
        <f t="shared" si="10"/>
        <v>1.3</v>
      </c>
      <c r="O687" s="198">
        <f>_1_54128456121462410464578910174567[[#This Row],[TOTAL]]*_1_54128456121462410464578910174567[[#This Row],[MARGIN]]</f>
        <v>0</v>
      </c>
      <c r="R687" s="41"/>
    </row>
    <row r="688" spans="4:18">
      <c r="D688" s="188"/>
      <c r="F688" s="168" t="s">
        <v>6202</v>
      </c>
      <c r="G688" s="193">
        <f>IF(_1_54128456121462410464578910174567[[#This Row],[Type]]&gt;0,VLOOKUP(_1_54128456121462410464578910174567[[#This Row],[Type]],Main[[#All],[TYPE]:[UNIT]],'Unit Price'!C$1,FALSE),0)</f>
        <v>0</v>
      </c>
      <c r="H688" s="197">
        <f>IF(_1_54128456121462410464578910174567[[#This Row],[Type]]&gt;0,VLOOKUP(_1_54128456121462410464578910174567[[#This Row],[Type]],Main[[#All],[TYPE]:[UNIT]],'Unit Price'!D$1,FALSE),0)</f>
        <v>0</v>
      </c>
      <c r="I688" s="194">
        <f>IF(_1_54128456121462410464578910174567[[#This Row],[Type]]&gt;0,VLOOKUP(_1_54128456121462410464578910174567[[#This Row],[Type]],Main[[#All],[TYPE]:[UNIT]],'Unit Price'!G$1,FALSE),0)</f>
        <v>0</v>
      </c>
      <c r="J688" s="194">
        <f>IF(_1_54128456121462410464578910174567[[#This Row],[Type]]&gt;0,VLOOKUP(_1_54128456121462410464578910174567[[#This Row],[Type]],Main[[#All],[TYPE]:[UNIT]],'Unit Price'!H$1,FALSE),0)</f>
        <v>0</v>
      </c>
      <c r="K688" s="194">
        <f>IF(_1_54128456121462410464578910174567[[#This Row],[Discount selection]]&gt;0,VLOOKUP(_1_54128456121462410464578910174567[[#This Row],[Discount selection]],'Discount Structure'!$A$2:$B$30,2,"false"),0)</f>
        <v>1</v>
      </c>
      <c r="L688" s="194">
        <f>_1_54128456121462410464578910174567[[#This Row],[LIST $]]*_1_54128456121462410464578910174567[[#This Row],[DISCOUNT]]*_1_54128456121462410464578910174567[[#This Row],[DISCOUNT 2]]</f>
        <v>0</v>
      </c>
      <c r="M688" s="194">
        <f>IF(OR(_1_54128456121462410464578910174567[[#This Row],[UNIT]]&gt;0,_1_54128456121462410464578910174567[[#This Row],[UNIT]]&lt;0),_1_54128456121462410464578910174567[[#This Row],[UNIT]]*_1_54128456121462410464578910174567[[#This Row],[COST]],0)</f>
        <v>0</v>
      </c>
      <c r="N688" s="194">
        <f t="shared" si="10"/>
        <v>1.3</v>
      </c>
      <c r="O688" s="198">
        <f>_1_54128456121462410464578910174567[[#This Row],[TOTAL]]*_1_54128456121462410464578910174567[[#This Row],[MARGIN]]</f>
        <v>0</v>
      </c>
      <c r="R688" s="41"/>
    </row>
    <row r="689" spans="4:18">
      <c r="D689" s="188"/>
      <c r="F689" s="168" t="s">
        <v>6202</v>
      </c>
      <c r="G689" s="193">
        <f>IF(_1_54128456121462410464578910174567[[#This Row],[Type]]&gt;0,VLOOKUP(_1_54128456121462410464578910174567[[#This Row],[Type]],Main[[#All],[TYPE]:[UNIT]],'Unit Price'!C$1,FALSE),0)</f>
        <v>0</v>
      </c>
      <c r="H689" s="197">
        <f>IF(_1_54128456121462410464578910174567[[#This Row],[Type]]&gt;0,VLOOKUP(_1_54128456121462410464578910174567[[#This Row],[Type]],Main[[#All],[TYPE]:[UNIT]],'Unit Price'!D$1,FALSE),0)</f>
        <v>0</v>
      </c>
      <c r="I689" s="194">
        <f>IF(_1_54128456121462410464578910174567[[#This Row],[Type]]&gt;0,VLOOKUP(_1_54128456121462410464578910174567[[#This Row],[Type]],Main[[#All],[TYPE]:[UNIT]],'Unit Price'!G$1,FALSE),0)</f>
        <v>0</v>
      </c>
      <c r="J689" s="194">
        <f>IF(_1_54128456121462410464578910174567[[#This Row],[Type]]&gt;0,VLOOKUP(_1_54128456121462410464578910174567[[#This Row],[Type]],Main[[#All],[TYPE]:[UNIT]],'Unit Price'!H$1,FALSE),0)</f>
        <v>0</v>
      </c>
      <c r="K689" s="194">
        <f>IF(_1_54128456121462410464578910174567[[#This Row],[Discount selection]]&gt;0,VLOOKUP(_1_54128456121462410464578910174567[[#This Row],[Discount selection]],'Discount Structure'!$A$2:$B$30,2,"false"),0)</f>
        <v>1</v>
      </c>
      <c r="L689" s="194">
        <f>_1_54128456121462410464578910174567[[#This Row],[LIST $]]*_1_54128456121462410464578910174567[[#This Row],[DISCOUNT]]*_1_54128456121462410464578910174567[[#This Row],[DISCOUNT 2]]</f>
        <v>0</v>
      </c>
      <c r="M689" s="194">
        <f>IF(OR(_1_54128456121462410464578910174567[[#This Row],[UNIT]]&gt;0,_1_54128456121462410464578910174567[[#This Row],[UNIT]]&lt;0),_1_54128456121462410464578910174567[[#This Row],[UNIT]]*_1_54128456121462410464578910174567[[#This Row],[COST]],0)</f>
        <v>0</v>
      </c>
      <c r="N689" s="194">
        <f t="shared" si="10"/>
        <v>1.3</v>
      </c>
      <c r="O689" s="198">
        <f>_1_54128456121462410464578910174567[[#This Row],[TOTAL]]*_1_54128456121462410464578910174567[[#This Row],[MARGIN]]</f>
        <v>0</v>
      </c>
      <c r="R689" s="41"/>
    </row>
    <row r="690" spans="4:18">
      <c r="D690" s="188"/>
      <c r="F690" s="168" t="s">
        <v>6202</v>
      </c>
      <c r="G690" s="193">
        <f>IF(_1_54128456121462410464578910174567[[#This Row],[Type]]&gt;0,VLOOKUP(_1_54128456121462410464578910174567[[#This Row],[Type]],Main[[#All],[TYPE]:[UNIT]],'Unit Price'!C$1,FALSE),0)</f>
        <v>0</v>
      </c>
      <c r="H690" s="197">
        <f>IF(_1_54128456121462410464578910174567[[#This Row],[Type]]&gt;0,VLOOKUP(_1_54128456121462410464578910174567[[#This Row],[Type]],Main[[#All],[TYPE]:[UNIT]],'Unit Price'!D$1,FALSE),0)</f>
        <v>0</v>
      </c>
      <c r="I690" s="194">
        <f>IF(_1_54128456121462410464578910174567[[#This Row],[Type]]&gt;0,VLOOKUP(_1_54128456121462410464578910174567[[#This Row],[Type]],Main[[#All],[TYPE]:[UNIT]],'Unit Price'!G$1,FALSE),0)</f>
        <v>0</v>
      </c>
      <c r="J690" s="194">
        <f>IF(_1_54128456121462410464578910174567[[#This Row],[Type]]&gt;0,VLOOKUP(_1_54128456121462410464578910174567[[#This Row],[Type]],Main[[#All],[TYPE]:[UNIT]],'Unit Price'!H$1,FALSE),0)</f>
        <v>0</v>
      </c>
      <c r="K690" s="194">
        <f>IF(_1_54128456121462410464578910174567[[#This Row],[Discount selection]]&gt;0,VLOOKUP(_1_54128456121462410464578910174567[[#This Row],[Discount selection]],'Discount Structure'!$A$2:$B$30,2,"false"),0)</f>
        <v>1</v>
      </c>
      <c r="L690" s="194">
        <f>_1_54128456121462410464578910174567[[#This Row],[LIST $]]*_1_54128456121462410464578910174567[[#This Row],[DISCOUNT]]*_1_54128456121462410464578910174567[[#This Row],[DISCOUNT 2]]</f>
        <v>0</v>
      </c>
      <c r="M690" s="194">
        <f>IF(OR(_1_54128456121462410464578910174567[[#This Row],[UNIT]]&gt;0,_1_54128456121462410464578910174567[[#This Row],[UNIT]]&lt;0),_1_54128456121462410464578910174567[[#This Row],[UNIT]]*_1_54128456121462410464578910174567[[#This Row],[COST]],0)</f>
        <v>0</v>
      </c>
      <c r="N690" s="194">
        <f t="shared" si="10"/>
        <v>1.3</v>
      </c>
      <c r="O690" s="198">
        <f>_1_54128456121462410464578910174567[[#This Row],[TOTAL]]*_1_54128456121462410464578910174567[[#This Row],[MARGIN]]</f>
        <v>0</v>
      </c>
      <c r="R690" s="41"/>
    </row>
    <row r="691" spans="4:18">
      <c r="D691" s="188"/>
      <c r="F691" s="168" t="s">
        <v>6202</v>
      </c>
      <c r="G691" s="193">
        <f>IF(_1_54128456121462410464578910174567[[#This Row],[Type]]&gt;0,VLOOKUP(_1_54128456121462410464578910174567[[#This Row],[Type]],Main[[#All],[TYPE]:[UNIT]],'Unit Price'!C$1,FALSE),0)</f>
        <v>0</v>
      </c>
      <c r="H691" s="197">
        <f>IF(_1_54128456121462410464578910174567[[#This Row],[Type]]&gt;0,VLOOKUP(_1_54128456121462410464578910174567[[#This Row],[Type]],Main[[#All],[TYPE]:[UNIT]],'Unit Price'!D$1,FALSE),0)</f>
        <v>0</v>
      </c>
      <c r="I691" s="194">
        <f>IF(_1_54128456121462410464578910174567[[#This Row],[Type]]&gt;0,VLOOKUP(_1_54128456121462410464578910174567[[#This Row],[Type]],Main[[#All],[TYPE]:[UNIT]],'Unit Price'!G$1,FALSE),0)</f>
        <v>0</v>
      </c>
      <c r="J691" s="194">
        <f>IF(_1_54128456121462410464578910174567[[#This Row],[Type]]&gt;0,VLOOKUP(_1_54128456121462410464578910174567[[#This Row],[Type]],Main[[#All],[TYPE]:[UNIT]],'Unit Price'!H$1,FALSE),0)</f>
        <v>0</v>
      </c>
      <c r="K691" s="194">
        <f>IF(_1_54128456121462410464578910174567[[#This Row],[Discount selection]]&gt;0,VLOOKUP(_1_54128456121462410464578910174567[[#This Row],[Discount selection]],'Discount Structure'!$A$2:$B$30,2,"false"),0)</f>
        <v>1</v>
      </c>
      <c r="L691" s="194">
        <f>_1_54128456121462410464578910174567[[#This Row],[LIST $]]*_1_54128456121462410464578910174567[[#This Row],[DISCOUNT]]*_1_54128456121462410464578910174567[[#This Row],[DISCOUNT 2]]</f>
        <v>0</v>
      </c>
      <c r="M691" s="194">
        <f>IF(OR(_1_54128456121462410464578910174567[[#This Row],[UNIT]]&gt;0,_1_54128456121462410464578910174567[[#This Row],[UNIT]]&lt;0),_1_54128456121462410464578910174567[[#This Row],[UNIT]]*_1_54128456121462410464578910174567[[#This Row],[COST]],0)</f>
        <v>0</v>
      </c>
      <c r="N691" s="194">
        <f t="shared" si="10"/>
        <v>1.3</v>
      </c>
      <c r="O691" s="198">
        <f>_1_54128456121462410464578910174567[[#This Row],[TOTAL]]*_1_54128456121462410464578910174567[[#This Row],[MARGIN]]</f>
        <v>0</v>
      </c>
      <c r="R691" s="41"/>
    </row>
    <row r="692" spans="4:18">
      <c r="D692" s="188"/>
      <c r="F692" s="168" t="s">
        <v>6202</v>
      </c>
      <c r="G692" s="193">
        <f>IF(_1_54128456121462410464578910174567[[#This Row],[Type]]&gt;0,VLOOKUP(_1_54128456121462410464578910174567[[#This Row],[Type]],Main[[#All],[TYPE]:[UNIT]],'Unit Price'!C$1,FALSE),0)</f>
        <v>0</v>
      </c>
      <c r="H692" s="197">
        <f>IF(_1_54128456121462410464578910174567[[#This Row],[Type]]&gt;0,VLOOKUP(_1_54128456121462410464578910174567[[#This Row],[Type]],Main[[#All],[TYPE]:[UNIT]],'Unit Price'!D$1,FALSE),0)</f>
        <v>0</v>
      </c>
      <c r="I692" s="194">
        <f>IF(_1_54128456121462410464578910174567[[#This Row],[Type]]&gt;0,VLOOKUP(_1_54128456121462410464578910174567[[#This Row],[Type]],Main[[#All],[TYPE]:[UNIT]],'Unit Price'!G$1,FALSE),0)</f>
        <v>0</v>
      </c>
      <c r="J692" s="194">
        <f>IF(_1_54128456121462410464578910174567[[#This Row],[Type]]&gt;0,VLOOKUP(_1_54128456121462410464578910174567[[#This Row],[Type]],Main[[#All],[TYPE]:[UNIT]],'Unit Price'!H$1,FALSE),0)</f>
        <v>0</v>
      </c>
      <c r="K692" s="194">
        <f>IF(_1_54128456121462410464578910174567[[#This Row],[Discount selection]]&gt;0,VLOOKUP(_1_54128456121462410464578910174567[[#This Row],[Discount selection]],'Discount Structure'!$A$2:$B$30,2,"false"),0)</f>
        <v>1</v>
      </c>
      <c r="L692" s="194">
        <f>_1_54128456121462410464578910174567[[#This Row],[LIST $]]*_1_54128456121462410464578910174567[[#This Row],[DISCOUNT]]*_1_54128456121462410464578910174567[[#This Row],[DISCOUNT 2]]</f>
        <v>0</v>
      </c>
      <c r="M692" s="194">
        <f>IF(OR(_1_54128456121462410464578910174567[[#This Row],[UNIT]]&gt;0,_1_54128456121462410464578910174567[[#This Row],[UNIT]]&lt;0),_1_54128456121462410464578910174567[[#This Row],[UNIT]]*_1_54128456121462410464578910174567[[#This Row],[COST]],0)</f>
        <v>0</v>
      </c>
      <c r="N692" s="194">
        <f t="shared" si="10"/>
        <v>1.3</v>
      </c>
      <c r="O692" s="198">
        <f>_1_54128456121462410464578910174567[[#This Row],[TOTAL]]*_1_54128456121462410464578910174567[[#This Row],[MARGIN]]</f>
        <v>0</v>
      </c>
      <c r="R692" s="41"/>
    </row>
    <row r="693" spans="4:18">
      <c r="D693" s="188"/>
      <c r="F693" s="168" t="s">
        <v>6202</v>
      </c>
      <c r="G693" s="193">
        <f>IF(_1_54128456121462410464578910174567[[#This Row],[Type]]&gt;0,VLOOKUP(_1_54128456121462410464578910174567[[#This Row],[Type]],Main[[#All],[TYPE]:[UNIT]],'Unit Price'!C$1,FALSE),0)</f>
        <v>0</v>
      </c>
      <c r="H693" s="197">
        <f>IF(_1_54128456121462410464578910174567[[#This Row],[Type]]&gt;0,VLOOKUP(_1_54128456121462410464578910174567[[#This Row],[Type]],Main[[#All],[TYPE]:[UNIT]],'Unit Price'!D$1,FALSE),0)</f>
        <v>0</v>
      </c>
      <c r="I693" s="194">
        <f>IF(_1_54128456121462410464578910174567[[#This Row],[Type]]&gt;0,VLOOKUP(_1_54128456121462410464578910174567[[#This Row],[Type]],Main[[#All],[TYPE]:[UNIT]],'Unit Price'!G$1,FALSE),0)</f>
        <v>0</v>
      </c>
      <c r="J693" s="194">
        <f>IF(_1_54128456121462410464578910174567[[#This Row],[Type]]&gt;0,VLOOKUP(_1_54128456121462410464578910174567[[#This Row],[Type]],Main[[#All],[TYPE]:[UNIT]],'Unit Price'!H$1,FALSE),0)</f>
        <v>0</v>
      </c>
      <c r="K693" s="194">
        <f>IF(_1_54128456121462410464578910174567[[#This Row],[Discount selection]]&gt;0,VLOOKUP(_1_54128456121462410464578910174567[[#This Row],[Discount selection]],'Discount Structure'!$A$2:$B$30,2,"false"),0)</f>
        <v>1</v>
      </c>
      <c r="L693" s="194">
        <f>_1_54128456121462410464578910174567[[#This Row],[LIST $]]*_1_54128456121462410464578910174567[[#This Row],[DISCOUNT]]*_1_54128456121462410464578910174567[[#This Row],[DISCOUNT 2]]</f>
        <v>0</v>
      </c>
      <c r="M693" s="194">
        <f>IF(OR(_1_54128456121462410464578910174567[[#This Row],[UNIT]]&gt;0,_1_54128456121462410464578910174567[[#This Row],[UNIT]]&lt;0),_1_54128456121462410464578910174567[[#This Row],[UNIT]]*_1_54128456121462410464578910174567[[#This Row],[COST]],0)</f>
        <v>0</v>
      </c>
      <c r="N693" s="194">
        <f t="shared" si="10"/>
        <v>1.3</v>
      </c>
      <c r="O693" s="198">
        <f>_1_54128456121462410464578910174567[[#This Row],[TOTAL]]*_1_54128456121462410464578910174567[[#This Row],[MARGIN]]</f>
        <v>0</v>
      </c>
      <c r="R693" s="41"/>
    </row>
    <row r="694" spans="4:18">
      <c r="D694" s="188"/>
      <c r="F694" s="168" t="s">
        <v>6202</v>
      </c>
      <c r="G694" s="193">
        <f>IF(_1_54128456121462410464578910174567[[#This Row],[Type]]&gt;0,VLOOKUP(_1_54128456121462410464578910174567[[#This Row],[Type]],Main[[#All],[TYPE]:[UNIT]],'Unit Price'!C$1,FALSE),0)</f>
        <v>0</v>
      </c>
      <c r="H694" s="197">
        <f>IF(_1_54128456121462410464578910174567[[#This Row],[Type]]&gt;0,VLOOKUP(_1_54128456121462410464578910174567[[#This Row],[Type]],Main[[#All],[TYPE]:[UNIT]],'Unit Price'!D$1,FALSE),0)</f>
        <v>0</v>
      </c>
      <c r="I694" s="194">
        <f>IF(_1_54128456121462410464578910174567[[#This Row],[Type]]&gt;0,VLOOKUP(_1_54128456121462410464578910174567[[#This Row],[Type]],Main[[#All],[TYPE]:[UNIT]],'Unit Price'!G$1,FALSE),0)</f>
        <v>0</v>
      </c>
      <c r="J694" s="194">
        <f>IF(_1_54128456121462410464578910174567[[#This Row],[Type]]&gt;0,VLOOKUP(_1_54128456121462410464578910174567[[#This Row],[Type]],Main[[#All],[TYPE]:[UNIT]],'Unit Price'!H$1,FALSE),0)</f>
        <v>0</v>
      </c>
      <c r="K694" s="194">
        <f>IF(_1_54128456121462410464578910174567[[#This Row],[Discount selection]]&gt;0,VLOOKUP(_1_54128456121462410464578910174567[[#This Row],[Discount selection]],'Discount Structure'!$A$2:$B$30,2,"false"),0)</f>
        <v>1</v>
      </c>
      <c r="L694" s="194">
        <f>_1_54128456121462410464578910174567[[#This Row],[LIST $]]*_1_54128456121462410464578910174567[[#This Row],[DISCOUNT]]*_1_54128456121462410464578910174567[[#This Row],[DISCOUNT 2]]</f>
        <v>0</v>
      </c>
      <c r="M694" s="194">
        <f>IF(OR(_1_54128456121462410464578910174567[[#This Row],[UNIT]]&gt;0,_1_54128456121462410464578910174567[[#This Row],[UNIT]]&lt;0),_1_54128456121462410464578910174567[[#This Row],[UNIT]]*_1_54128456121462410464578910174567[[#This Row],[COST]],0)</f>
        <v>0</v>
      </c>
      <c r="N694" s="194">
        <f t="shared" si="10"/>
        <v>1.3</v>
      </c>
      <c r="O694" s="198">
        <f>_1_54128456121462410464578910174567[[#This Row],[TOTAL]]*_1_54128456121462410464578910174567[[#This Row],[MARGIN]]</f>
        <v>0</v>
      </c>
      <c r="R694" s="41"/>
    </row>
    <row r="695" spans="4:18">
      <c r="D695" s="188"/>
      <c r="F695" s="168" t="s">
        <v>6202</v>
      </c>
      <c r="G695" s="193">
        <f>IF(_1_54128456121462410464578910174567[[#This Row],[Type]]&gt;0,VLOOKUP(_1_54128456121462410464578910174567[[#This Row],[Type]],Main[[#All],[TYPE]:[UNIT]],'Unit Price'!C$1,FALSE),0)</f>
        <v>0</v>
      </c>
      <c r="H695" s="197">
        <f>IF(_1_54128456121462410464578910174567[[#This Row],[Type]]&gt;0,VLOOKUP(_1_54128456121462410464578910174567[[#This Row],[Type]],Main[[#All],[TYPE]:[UNIT]],'Unit Price'!D$1,FALSE),0)</f>
        <v>0</v>
      </c>
      <c r="I695" s="194">
        <f>IF(_1_54128456121462410464578910174567[[#This Row],[Type]]&gt;0,VLOOKUP(_1_54128456121462410464578910174567[[#This Row],[Type]],Main[[#All],[TYPE]:[UNIT]],'Unit Price'!G$1,FALSE),0)</f>
        <v>0</v>
      </c>
      <c r="J695" s="194">
        <f>IF(_1_54128456121462410464578910174567[[#This Row],[Type]]&gt;0,VLOOKUP(_1_54128456121462410464578910174567[[#This Row],[Type]],Main[[#All],[TYPE]:[UNIT]],'Unit Price'!H$1,FALSE),0)</f>
        <v>0</v>
      </c>
      <c r="K695" s="194">
        <f>IF(_1_54128456121462410464578910174567[[#This Row],[Discount selection]]&gt;0,VLOOKUP(_1_54128456121462410464578910174567[[#This Row],[Discount selection]],'Discount Structure'!$A$2:$B$30,2,"false"),0)</f>
        <v>1</v>
      </c>
      <c r="L695" s="194">
        <f>_1_54128456121462410464578910174567[[#This Row],[LIST $]]*_1_54128456121462410464578910174567[[#This Row],[DISCOUNT]]*_1_54128456121462410464578910174567[[#This Row],[DISCOUNT 2]]</f>
        <v>0</v>
      </c>
      <c r="M695" s="194">
        <f>IF(OR(_1_54128456121462410464578910174567[[#This Row],[UNIT]]&gt;0,_1_54128456121462410464578910174567[[#This Row],[UNIT]]&lt;0),_1_54128456121462410464578910174567[[#This Row],[UNIT]]*_1_54128456121462410464578910174567[[#This Row],[COST]],0)</f>
        <v>0</v>
      </c>
      <c r="N695" s="194">
        <f t="shared" si="10"/>
        <v>1.3</v>
      </c>
      <c r="O695" s="198">
        <f>_1_54128456121462410464578910174567[[#This Row],[TOTAL]]*_1_54128456121462410464578910174567[[#This Row],[MARGIN]]</f>
        <v>0</v>
      </c>
      <c r="R695" s="41"/>
    </row>
    <row r="696" spans="4:18">
      <c r="D696" s="188"/>
      <c r="F696" s="168" t="s">
        <v>6202</v>
      </c>
      <c r="G696" s="193">
        <f>IF(_1_54128456121462410464578910174567[[#This Row],[Type]]&gt;0,VLOOKUP(_1_54128456121462410464578910174567[[#This Row],[Type]],Main[[#All],[TYPE]:[UNIT]],'Unit Price'!C$1,FALSE),0)</f>
        <v>0</v>
      </c>
      <c r="H696" s="197">
        <f>IF(_1_54128456121462410464578910174567[[#This Row],[Type]]&gt;0,VLOOKUP(_1_54128456121462410464578910174567[[#This Row],[Type]],Main[[#All],[TYPE]:[UNIT]],'Unit Price'!D$1,FALSE),0)</f>
        <v>0</v>
      </c>
      <c r="I696" s="194">
        <f>IF(_1_54128456121462410464578910174567[[#This Row],[Type]]&gt;0,VLOOKUP(_1_54128456121462410464578910174567[[#This Row],[Type]],Main[[#All],[TYPE]:[UNIT]],'Unit Price'!G$1,FALSE),0)</f>
        <v>0</v>
      </c>
      <c r="J696" s="194">
        <f>IF(_1_54128456121462410464578910174567[[#This Row],[Type]]&gt;0,VLOOKUP(_1_54128456121462410464578910174567[[#This Row],[Type]],Main[[#All],[TYPE]:[UNIT]],'Unit Price'!H$1,FALSE),0)</f>
        <v>0</v>
      </c>
      <c r="K696" s="194">
        <f>IF(_1_54128456121462410464578910174567[[#This Row],[Discount selection]]&gt;0,VLOOKUP(_1_54128456121462410464578910174567[[#This Row],[Discount selection]],'Discount Structure'!$A$2:$B$30,2,"false"),0)</f>
        <v>1</v>
      </c>
      <c r="L696" s="194">
        <f>_1_54128456121462410464578910174567[[#This Row],[LIST $]]*_1_54128456121462410464578910174567[[#This Row],[DISCOUNT]]*_1_54128456121462410464578910174567[[#This Row],[DISCOUNT 2]]</f>
        <v>0</v>
      </c>
      <c r="M696" s="194">
        <f>IF(OR(_1_54128456121462410464578910174567[[#This Row],[UNIT]]&gt;0,_1_54128456121462410464578910174567[[#This Row],[UNIT]]&lt;0),_1_54128456121462410464578910174567[[#This Row],[UNIT]]*_1_54128456121462410464578910174567[[#This Row],[COST]],0)</f>
        <v>0</v>
      </c>
      <c r="N696" s="194">
        <f t="shared" si="10"/>
        <v>1.3</v>
      </c>
      <c r="O696" s="198">
        <f>_1_54128456121462410464578910174567[[#This Row],[TOTAL]]*_1_54128456121462410464578910174567[[#This Row],[MARGIN]]</f>
        <v>0</v>
      </c>
      <c r="R696" s="41"/>
    </row>
    <row r="697" spans="4:18">
      <c r="D697" s="188"/>
      <c r="F697" s="168" t="s">
        <v>6202</v>
      </c>
      <c r="G697" s="193">
        <f>IF(_1_54128456121462410464578910174567[[#This Row],[Type]]&gt;0,VLOOKUP(_1_54128456121462410464578910174567[[#This Row],[Type]],Main[[#All],[TYPE]:[UNIT]],'Unit Price'!C$1,FALSE),0)</f>
        <v>0</v>
      </c>
      <c r="H697" s="197">
        <f>IF(_1_54128456121462410464578910174567[[#This Row],[Type]]&gt;0,VLOOKUP(_1_54128456121462410464578910174567[[#This Row],[Type]],Main[[#All],[TYPE]:[UNIT]],'Unit Price'!D$1,FALSE),0)</f>
        <v>0</v>
      </c>
      <c r="I697" s="194">
        <f>IF(_1_54128456121462410464578910174567[[#This Row],[Type]]&gt;0,VLOOKUP(_1_54128456121462410464578910174567[[#This Row],[Type]],Main[[#All],[TYPE]:[UNIT]],'Unit Price'!G$1,FALSE),0)</f>
        <v>0</v>
      </c>
      <c r="J697" s="194">
        <f>IF(_1_54128456121462410464578910174567[[#This Row],[Type]]&gt;0,VLOOKUP(_1_54128456121462410464578910174567[[#This Row],[Type]],Main[[#All],[TYPE]:[UNIT]],'Unit Price'!H$1,FALSE),0)</f>
        <v>0</v>
      </c>
      <c r="K697" s="194">
        <f>IF(_1_54128456121462410464578910174567[[#This Row],[Discount selection]]&gt;0,VLOOKUP(_1_54128456121462410464578910174567[[#This Row],[Discount selection]],'Discount Structure'!$A$2:$B$30,2,"false"),0)</f>
        <v>1</v>
      </c>
      <c r="L697" s="194">
        <f>_1_54128456121462410464578910174567[[#This Row],[LIST $]]*_1_54128456121462410464578910174567[[#This Row],[DISCOUNT]]*_1_54128456121462410464578910174567[[#This Row],[DISCOUNT 2]]</f>
        <v>0</v>
      </c>
      <c r="M697" s="194">
        <f>IF(OR(_1_54128456121462410464578910174567[[#This Row],[UNIT]]&gt;0,_1_54128456121462410464578910174567[[#This Row],[UNIT]]&lt;0),_1_54128456121462410464578910174567[[#This Row],[UNIT]]*_1_54128456121462410464578910174567[[#This Row],[COST]],0)</f>
        <v>0</v>
      </c>
      <c r="N697" s="194">
        <f t="shared" si="10"/>
        <v>1.3</v>
      </c>
      <c r="O697" s="198">
        <f>_1_54128456121462410464578910174567[[#This Row],[TOTAL]]*_1_54128456121462410464578910174567[[#This Row],[MARGIN]]</f>
        <v>0</v>
      </c>
      <c r="R697" s="41"/>
    </row>
    <row r="698" spans="4:18">
      <c r="D698" s="188"/>
      <c r="F698" s="168" t="s">
        <v>6202</v>
      </c>
      <c r="G698" s="193">
        <f>IF(_1_54128456121462410464578910174567[[#This Row],[Type]]&gt;0,VLOOKUP(_1_54128456121462410464578910174567[[#This Row],[Type]],Main[[#All],[TYPE]:[UNIT]],'Unit Price'!C$1,FALSE),0)</f>
        <v>0</v>
      </c>
      <c r="H698" s="197">
        <f>IF(_1_54128456121462410464578910174567[[#This Row],[Type]]&gt;0,VLOOKUP(_1_54128456121462410464578910174567[[#This Row],[Type]],Main[[#All],[TYPE]:[UNIT]],'Unit Price'!D$1,FALSE),0)</f>
        <v>0</v>
      </c>
      <c r="I698" s="194">
        <f>IF(_1_54128456121462410464578910174567[[#This Row],[Type]]&gt;0,VLOOKUP(_1_54128456121462410464578910174567[[#This Row],[Type]],Main[[#All],[TYPE]:[UNIT]],'Unit Price'!G$1,FALSE),0)</f>
        <v>0</v>
      </c>
      <c r="J698" s="194">
        <f>IF(_1_54128456121462410464578910174567[[#This Row],[Type]]&gt;0,VLOOKUP(_1_54128456121462410464578910174567[[#This Row],[Type]],Main[[#All],[TYPE]:[UNIT]],'Unit Price'!H$1,FALSE),0)</f>
        <v>0</v>
      </c>
      <c r="K698" s="194">
        <f>IF(_1_54128456121462410464578910174567[[#This Row],[Discount selection]]&gt;0,VLOOKUP(_1_54128456121462410464578910174567[[#This Row],[Discount selection]],'Discount Structure'!$A$2:$B$30,2,"false"),0)</f>
        <v>1</v>
      </c>
      <c r="L698" s="194">
        <f>_1_54128456121462410464578910174567[[#This Row],[LIST $]]*_1_54128456121462410464578910174567[[#This Row],[DISCOUNT]]*_1_54128456121462410464578910174567[[#This Row],[DISCOUNT 2]]</f>
        <v>0</v>
      </c>
      <c r="M698" s="194">
        <f>IF(OR(_1_54128456121462410464578910174567[[#This Row],[UNIT]]&gt;0,_1_54128456121462410464578910174567[[#This Row],[UNIT]]&lt;0),_1_54128456121462410464578910174567[[#This Row],[UNIT]]*_1_54128456121462410464578910174567[[#This Row],[COST]],0)</f>
        <v>0</v>
      </c>
      <c r="N698" s="194">
        <f t="shared" si="10"/>
        <v>1.3</v>
      </c>
      <c r="O698" s="198">
        <f>_1_54128456121462410464578910174567[[#This Row],[TOTAL]]*_1_54128456121462410464578910174567[[#This Row],[MARGIN]]</f>
        <v>0</v>
      </c>
      <c r="R698" s="41"/>
    </row>
    <row r="699" spans="4:18">
      <c r="D699" s="188"/>
      <c r="F699" s="168" t="s">
        <v>6202</v>
      </c>
      <c r="G699" s="193">
        <f>IF(_1_54128456121462410464578910174567[[#This Row],[Type]]&gt;0,VLOOKUP(_1_54128456121462410464578910174567[[#This Row],[Type]],Main[[#All],[TYPE]:[UNIT]],'Unit Price'!C$1,FALSE),0)</f>
        <v>0</v>
      </c>
      <c r="H699" s="197">
        <f>IF(_1_54128456121462410464578910174567[[#This Row],[Type]]&gt;0,VLOOKUP(_1_54128456121462410464578910174567[[#This Row],[Type]],Main[[#All],[TYPE]:[UNIT]],'Unit Price'!D$1,FALSE),0)</f>
        <v>0</v>
      </c>
      <c r="I699" s="194">
        <f>IF(_1_54128456121462410464578910174567[[#This Row],[Type]]&gt;0,VLOOKUP(_1_54128456121462410464578910174567[[#This Row],[Type]],Main[[#All],[TYPE]:[UNIT]],'Unit Price'!G$1,FALSE),0)</f>
        <v>0</v>
      </c>
      <c r="J699" s="194">
        <f>IF(_1_54128456121462410464578910174567[[#This Row],[Type]]&gt;0,VLOOKUP(_1_54128456121462410464578910174567[[#This Row],[Type]],Main[[#All],[TYPE]:[UNIT]],'Unit Price'!H$1,FALSE),0)</f>
        <v>0</v>
      </c>
      <c r="K699" s="194">
        <f>IF(_1_54128456121462410464578910174567[[#This Row],[Discount selection]]&gt;0,VLOOKUP(_1_54128456121462410464578910174567[[#This Row],[Discount selection]],'Discount Structure'!$A$2:$B$30,2,"false"),0)</f>
        <v>1</v>
      </c>
      <c r="L699" s="194">
        <f>_1_54128456121462410464578910174567[[#This Row],[LIST $]]*_1_54128456121462410464578910174567[[#This Row],[DISCOUNT]]*_1_54128456121462410464578910174567[[#This Row],[DISCOUNT 2]]</f>
        <v>0</v>
      </c>
      <c r="M699" s="194">
        <f>IF(OR(_1_54128456121462410464578910174567[[#This Row],[UNIT]]&gt;0,_1_54128456121462410464578910174567[[#This Row],[UNIT]]&lt;0),_1_54128456121462410464578910174567[[#This Row],[UNIT]]*_1_54128456121462410464578910174567[[#This Row],[COST]],0)</f>
        <v>0</v>
      </c>
      <c r="N699" s="194">
        <f t="shared" si="10"/>
        <v>1.3</v>
      </c>
      <c r="O699" s="198">
        <f>_1_54128456121462410464578910174567[[#This Row],[TOTAL]]*_1_54128456121462410464578910174567[[#This Row],[MARGIN]]</f>
        <v>0</v>
      </c>
      <c r="R699" s="41"/>
    </row>
    <row r="700" spans="4:18">
      <c r="D700" s="188"/>
      <c r="F700" s="168" t="s">
        <v>6202</v>
      </c>
      <c r="G700" s="193">
        <f>IF(_1_54128456121462410464578910174567[[#This Row],[Type]]&gt;0,VLOOKUP(_1_54128456121462410464578910174567[[#This Row],[Type]],Main[[#All],[TYPE]:[UNIT]],'Unit Price'!C$1,FALSE),0)</f>
        <v>0</v>
      </c>
      <c r="H700" s="197">
        <f>IF(_1_54128456121462410464578910174567[[#This Row],[Type]]&gt;0,VLOOKUP(_1_54128456121462410464578910174567[[#This Row],[Type]],Main[[#All],[TYPE]:[UNIT]],'Unit Price'!D$1,FALSE),0)</f>
        <v>0</v>
      </c>
      <c r="I700" s="194">
        <f>IF(_1_54128456121462410464578910174567[[#This Row],[Type]]&gt;0,VLOOKUP(_1_54128456121462410464578910174567[[#This Row],[Type]],Main[[#All],[TYPE]:[UNIT]],'Unit Price'!G$1,FALSE),0)</f>
        <v>0</v>
      </c>
      <c r="J700" s="194">
        <f>IF(_1_54128456121462410464578910174567[[#This Row],[Type]]&gt;0,VLOOKUP(_1_54128456121462410464578910174567[[#This Row],[Type]],Main[[#All],[TYPE]:[UNIT]],'Unit Price'!H$1,FALSE),0)</f>
        <v>0</v>
      </c>
      <c r="K700" s="194">
        <f>IF(_1_54128456121462410464578910174567[[#This Row],[Discount selection]]&gt;0,VLOOKUP(_1_54128456121462410464578910174567[[#This Row],[Discount selection]],'Discount Structure'!$A$2:$B$30,2,"false"),0)</f>
        <v>1</v>
      </c>
      <c r="L700" s="194">
        <f>_1_54128456121462410464578910174567[[#This Row],[LIST $]]*_1_54128456121462410464578910174567[[#This Row],[DISCOUNT]]*_1_54128456121462410464578910174567[[#This Row],[DISCOUNT 2]]</f>
        <v>0</v>
      </c>
      <c r="M700" s="194">
        <f>IF(OR(_1_54128456121462410464578910174567[[#This Row],[UNIT]]&gt;0,_1_54128456121462410464578910174567[[#This Row],[UNIT]]&lt;0),_1_54128456121462410464578910174567[[#This Row],[UNIT]]*_1_54128456121462410464578910174567[[#This Row],[COST]],0)</f>
        <v>0</v>
      </c>
      <c r="N700" s="194">
        <f t="shared" si="10"/>
        <v>1.3</v>
      </c>
      <c r="O700" s="198">
        <f>_1_54128456121462410464578910174567[[#This Row],[TOTAL]]*_1_54128456121462410464578910174567[[#This Row],[MARGIN]]</f>
        <v>0</v>
      </c>
      <c r="R700" s="41"/>
    </row>
    <row r="701" spans="4:18">
      <c r="D701" s="188"/>
      <c r="F701" s="168" t="s">
        <v>6202</v>
      </c>
      <c r="G701" s="193">
        <f>IF(_1_54128456121462410464578910174567[[#This Row],[Type]]&gt;0,VLOOKUP(_1_54128456121462410464578910174567[[#This Row],[Type]],Main[[#All],[TYPE]:[UNIT]],'Unit Price'!C$1,FALSE),0)</f>
        <v>0</v>
      </c>
      <c r="H701" s="197">
        <f>IF(_1_54128456121462410464578910174567[[#This Row],[Type]]&gt;0,VLOOKUP(_1_54128456121462410464578910174567[[#This Row],[Type]],Main[[#All],[TYPE]:[UNIT]],'Unit Price'!D$1,FALSE),0)</f>
        <v>0</v>
      </c>
      <c r="I701" s="194">
        <f>IF(_1_54128456121462410464578910174567[[#This Row],[Type]]&gt;0,VLOOKUP(_1_54128456121462410464578910174567[[#This Row],[Type]],Main[[#All],[TYPE]:[UNIT]],'Unit Price'!G$1,FALSE),0)</f>
        <v>0</v>
      </c>
      <c r="J701" s="194">
        <f>IF(_1_54128456121462410464578910174567[[#This Row],[Type]]&gt;0,VLOOKUP(_1_54128456121462410464578910174567[[#This Row],[Type]],Main[[#All],[TYPE]:[UNIT]],'Unit Price'!H$1,FALSE),0)</f>
        <v>0</v>
      </c>
      <c r="K701" s="194">
        <f>IF(_1_54128456121462410464578910174567[[#This Row],[Discount selection]]&gt;0,VLOOKUP(_1_54128456121462410464578910174567[[#This Row],[Discount selection]],'Discount Structure'!$A$2:$B$30,2,"false"),0)</f>
        <v>1</v>
      </c>
      <c r="L701" s="194">
        <f>_1_54128456121462410464578910174567[[#This Row],[LIST $]]*_1_54128456121462410464578910174567[[#This Row],[DISCOUNT]]*_1_54128456121462410464578910174567[[#This Row],[DISCOUNT 2]]</f>
        <v>0</v>
      </c>
      <c r="M701" s="194">
        <f>IF(OR(_1_54128456121462410464578910174567[[#This Row],[UNIT]]&gt;0,_1_54128456121462410464578910174567[[#This Row],[UNIT]]&lt;0),_1_54128456121462410464578910174567[[#This Row],[UNIT]]*_1_54128456121462410464578910174567[[#This Row],[COST]],0)</f>
        <v>0</v>
      </c>
      <c r="N701" s="194">
        <f t="shared" si="10"/>
        <v>1.3</v>
      </c>
      <c r="O701" s="198">
        <f>_1_54128456121462410464578910174567[[#This Row],[TOTAL]]*_1_54128456121462410464578910174567[[#This Row],[MARGIN]]</f>
        <v>0</v>
      </c>
      <c r="R701" s="41"/>
    </row>
    <row r="702" spans="4:18">
      <c r="D702" s="188"/>
      <c r="F702" s="168" t="s">
        <v>6202</v>
      </c>
      <c r="G702" s="193">
        <f>IF(_1_54128456121462410464578910174567[[#This Row],[Type]]&gt;0,VLOOKUP(_1_54128456121462410464578910174567[[#This Row],[Type]],Main[[#All],[TYPE]:[UNIT]],'Unit Price'!C$1,FALSE),0)</f>
        <v>0</v>
      </c>
      <c r="H702" s="197">
        <f>IF(_1_54128456121462410464578910174567[[#This Row],[Type]]&gt;0,VLOOKUP(_1_54128456121462410464578910174567[[#This Row],[Type]],Main[[#All],[TYPE]:[UNIT]],'Unit Price'!D$1,FALSE),0)</f>
        <v>0</v>
      </c>
      <c r="I702" s="194">
        <f>IF(_1_54128456121462410464578910174567[[#This Row],[Type]]&gt;0,VLOOKUP(_1_54128456121462410464578910174567[[#This Row],[Type]],Main[[#All],[TYPE]:[UNIT]],'Unit Price'!G$1,FALSE),0)</f>
        <v>0</v>
      </c>
      <c r="J702" s="194">
        <f>IF(_1_54128456121462410464578910174567[[#This Row],[Type]]&gt;0,VLOOKUP(_1_54128456121462410464578910174567[[#This Row],[Type]],Main[[#All],[TYPE]:[UNIT]],'Unit Price'!H$1,FALSE),0)</f>
        <v>0</v>
      </c>
      <c r="K702" s="194">
        <f>IF(_1_54128456121462410464578910174567[[#This Row],[Discount selection]]&gt;0,VLOOKUP(_1_54128456121462410464578910174567[[#This Row],[Discount selection]],'Discount Structure'!$A$2:$B$30,2,"false"),0)</f>
        <v>1</v>
      </c>
      <c r="L702" s="194">
        <f>_1_54128456121462410464578910174567[[#This Row],[LIST $]]*_1_54128456121462410464578910174567[[#This Row],[DISCOUNT]]*_1_54128456121462410464578910174567[[#This Row],[DISCOUNT 2]]</f>
        <v>0</v>
      </c>
      <c r="M702" s="194">
        <f>IF(OR(_1_54128456121462410464578910174567[[#This Row],[UNIT]]&gt;0,_1_54128456121462410464578910174567[[#This Row],[UNIT]]&lt;0),_1_54128456121462410464578910174567[[#This Row],[UNIT]]*_1_54128456121462410464578910174567[[#This Row],[COST]],0)</f>
        <v>0</v>
      </c>
      <c r="N702" s="194">
        <f t="shared" si="10"/>
        <v>1.3</v>
      </c>
      <c r="O702" s="198">
        <f>_1_54128456121462410464578910174567[[#This Row],[TOTAL]]*_1_54128456121462410464578910174567[[#This Row],[MARGIN]]</f>
        <v>0</v>
      </c>
      <c r="R702" s="41"/>
    </row>
    <row r="703" spans="4:18">
      <c r="D703" s="188"/>
      <c r="F703" s="168" t="s">
        <v>6202</v>
      </c>
      <c r="G703" s="193">
        <f>IF(_1_54128456121462410464578910174567[[#This Row],[Type]]&gt;0,VLOOKUP(_1_54128456121462410464578910174567[[#This Row],[Type]],Main[[#All],[TYPE]:[UNIT]],'Unit Price'!C$1,FALSE),0)</f>
        <v>0</v>
      </c>
      <c r="H703" s="197">
        <f>IF(_1_54128456121462410464578910174567[[#This Row],[Type]]&gt;0,VLOOKUP(_1_54128456121462410464578910174567[[#This Row],[Type]],Main[[#All],[TYPE]:[UNIT]],'Unit Price'!D$1,FALSE),0)</f>
        <v>0</v>
      </c>
      <c r="I703" s="194">
        <f>IF(_1_54128456121462410464578910174567[[#This Row],[Type]]&gt;0,VLOOKUP(_1_54128456121462410464578910174567[[#This Row],[Type]],Main[[#All],[TYPE]:[UNIT]],'Unit Price'!G$1,FALSE),0)</f>
        <v>0</v>
      </c>
      <c r="J703" s="194">
        <f>IF(_1_54128456121462410464578910174567[[#This Row],[Type]]&gt;0,VLOOKUP(_1_54128456121462410464578910174567[[#This Row],[Type]],Main[[#All],[TYPE]:[UNIT]],'Unit Price'!H$1,FALSE),0)</f>
        <v>0</v>
      </c>
      <c r="K703" s="194">
        <f>IF(_1_54128456121462410464578910174567[[#This Row],[Discount selection]]&gt;0,VLOOKUP(_1_54128456121462410464578910174567[[#This Row],[Discount selection]],'Discount Structure'!$A$2:$B$30,2,"false"),0)</f>
        <v>1</v>
      </c>
      <c r="L703" s="194">
        <f>_1_54128456121462410464578910174567[[#This Row],[LIST $]]*_1_54128456121462410464578910174567[[#This Row],[DISCOUNT]]*_1_54128456121462410464578910174567[[#This Row],[DISCOUNT 2]]</f>
        <v>0</v>
      </c>
      <c r="M703" s="194">
        <f>IF(OR(_1_54128456121462410464578910174567[[#This Row],[UNIT]]&gt;0,_1_54128456121462410464578910174567[[#This Row],[UNIT]]&lt;0),_1_54128456121462410464578910174567[[#This Row],[UNIT]]*_1_54128456121462410464578910174567[[#This Row],[COST]],0)</f>
        <v>0</v>
      </c>
      <c r="N703" s="194">
        <f t="shared" si="10"/>
        <v>1.3</v>
      </c>
      <c r="O703" s="198">
        <f>_1_54128456121462410464578910174567[[#This Row],[TOTAL]]*_1_54128456121462410464578910174567[[#This Row],[MARGIN]]</f>
        <v>0</v>
      </c>
      <c r="R703" s="41"/>
    </row>
    <row r="704" spans="4:18">
      <c r="D704" s="188"/>
      <c r="F704" s="168" t="s">
        <v>6202</v>
      </c>
      <c r="G704" s="193">
        <f>IF(_1_54128456121462410464578910174567[[#This Row],[Type]]&gt;0,VLOOKUP(_1_54128456121462410464578910174567[[#This Row],[Type]],Main[[#All],[TYPE]:[UNIT]],'Unit Price'!C$1,FALSE),0)</f>
        <v>0</v>
      </c>
      <c r="H704" s="197">
        <f>IF(_1_54128456121462410464578910174567[[#This Row],[Type]]&gt;0,VLOOKUP(_1_54128456121462410464578910174567[[#This Row],[Type]],Main[[#All],[TYPE]:[UNIT]],'Unit Price'!D$1,FALSE),0)</f>
        <v>0</v>
      </c>
      <c r="I704" s="194">
        <f>IF(_1_54128456121462410464578910174567[[#This Row],[Type]]&gt;0,VLOOKUP(_1_54128456121462410464578910174567[[#This Row],[Type]],Main[[#All],[TYPE]:[UNIT]],'Unit Price'!G$1,FALSE),0)</f>
        <v>0</v>
      </c>
      <c r="J704" s="194">
        <f>IF(_1_54128456121462410464578910174567[[#This Row],[Type]]&gt;0,VLOOKUP(_1_54128456121462410464578910174567[[#This Row],[Type]],Main[[#All],[TYPE]:[UNIT]],'Unit Price'!H$1,FALSE),0)</f>
        <v>0</v>
      </c>
      <c r="K704" s="194">
        <f>IF(_1_54128456121462410464578910174567[[#This Row],[Discount selection]]&gt;0,VLOOKUP(_1_54128456121462410464578910174567[[#This Row],[Discount selection]],'Discount Structure'!$A$2:$B$30,2,"false"),0)</f>
        <v>1</v>
      </c>
      <c r="L704" s="194">
        <f>_1_54128456121462410464578910174567[[#This Row],[LIST $]]*_1_54128456121462410464578910174567[[#This Row],[DISCOUNT]]*_1_54128456121462410464578910174567[[#This Row],[DISCOUNT 2]]</f>
        <v>0</v>
      </c>
      <c r="M704" s="194">
        <f>IF(OR(_1_54128456121462410464578910174567[[#This Row],[UNIT]]&gt;0,_1_54128456121462410464578910174567[[#This Row],[UNIT]]&lt;0),_1_54128456121462410464578910174567[[#This Row],[UNIT]]*_1_54128456121462410464578910174567[[#This Row],[COST]],0)</f>
        <v>0</v>
      </c>
      <c r="N704" s="194">
        <f t="shared" si="10"/>
        <v>1.3</v>
      </c>
      <c r="O704" s="198">
        <f>_1_54128456121462410464578910174567[[#This Row],[TOTAL]]*_1_54128456121462410464578910174567[[#This Row],[MARGIN]]</f>
        <v>0</v>
      </c>
      <c r="R704" s="41"/>
    </row>
    <row r="705" spans="4:18">
      <c r="D705" s="188"/>
      <c r="F705" s="168" t="s">
        <v>6202</v>
      </c>
      <c r="G705" s="193">
        <f>IF(_1_54128456121462410464578910174567[[#This Row],[Type]]&gt;0,VLOOKUP(_1_54128456121462410464578910174567[[#This Row],[Type]],Main[[#All],[TYPE]:[UNIT]],'Unit Price'!C$1,FALSE),0)</f>
        <v>0</v>
      </c>
      <c r="H705" s="197">
        <f>IF(_1_54128456121462410464578910174567[[#This Row],[Type]]&gt;0,VLOOKUP(_1_54128456121462410464578910174567[[#This Row],[Type]],Main[[#All],[TYPE]:[UNIT]],'Unit Price'!D$1,FALSE),0)</f>
        <v>0</v>
      </c>
      <c r="I705" s="194">
        <f>IF(_1_54128456121462410464578910174567[[#This Row],[Type]]&gt;0,VLOOKUP(_1_54128456121462410464578910174567[[#This Row],[Type]],Main[[#All],[TYPE]:[UNIT]],'Unit Price'!G$1,FALSE),0)</f>
        <v>0</v>
      </c>
      <c r="J705" s="194">
        <f>IF(_1_54128456121462410464578910174567[[#This Row],[Type]]&gt;0,VLOOKUP(_1_54128456121462410464578910174567[[#This Row],[Type]],Main[[#All],[TYPE]:[UNIT]],'Unit Price'!H$1,FALSE),0)</f>
        <v>0</v>
      </c>
      <c r="K705" s="194">
        <f>IF(_1_54128456121462410464578910174567[[#This Row],[Discount selection]]&gt;0,VLOOKUP(_1_54128456121462410464578910174567[[#This Row],[Discount selection]],'Discount Structure'!$A$2:$B$30,2,"false"),0)</f>
        <v>1</v>
      </c>
      <c r="L705" s="194">
        <f>_1_54128456121462410464578910174567[[#This Row],[LIST $]]*_1_54128456121462410464578910174567[[#This Row],[DISCOUNT]]*_1_54128456121462410464578910174567[[#This Row],[DISCOUNT 2]]</f>
        <v>0</v>
      </c>
      <c r="M705" s="194">
        <f>IF(OR(_1_54128456121462410464578910174567[[#This Row],[UNIT]]&gt;0,_1_54128456121462410464578910174567[[#This Row],[UNIT]]&lt;0),_1_54128456121462410464578910174567[[#This Row],[UNIT]]*_1_54128456121462410464578910174567[[#This Row],[COST]],0)</f>
        <v>0</v>
      </c>
      <c r="N705" s="194">
        <f t="shared" si="10"/>
        <v>1.3</v>
      </c>
      <c r="O705" s="198">
        <f>_1_54128456121462410464578910174567[[#This Row],[TOTAL]]*_1_54128456121462410464578910174567[[#This Row],[MARGIN]]</f>
        <v>0</v>
      </c>
      <c r="R705" s="41"/>
    </row>
    <row r="706" spans="4:18">
      <c r="D706" s="188"/>
      <c r="F706" s="168" t="s">
        <v>6202</v>
      </c>
      <c r="G706" s="193">
        <f>IF(_1_54128456121462410464578910174567[[#This Row],[Type]]&gt;0,VLOOKUP(_1_54128456121462410464578910174567[[#This Row],[Type]],Main[[#All],[TYPE]:[UNIT]],'Unit Price'!C$1,FALSE),0)</f>
        <v>0</v>
      </c>
      <c r="H706" s="197">
        <f>IF(_1_54128456121462410464578910174567[[#This Row],[Type]]&gt;0,VLOOKUP(_1_54128456121462410464578910174567[[#This Row],[Type]],Main[[#All],[TYPE]:[UNIT]],'Unit Price'!D$1,FALSE),0)</f>
        <v>0</v>
      </c>
      <c r="I706" s="194">
        <f>IF(_1_54128456121462410464578910174567[[#This Row],[Type]]&gt;0,VLOOKUP(_1_54128456121462410464578910174567[[#This Row],[Type]],Main[[#All],[TYPE]:[UNIT]],'Unit Price'!G$1,FALSE),0)</f>
        <v>0</v>
      </c>
      <c r="J706" s="194">
        <f>IF(_1_54128456121462410464578910174567[[#This Row],[Type]]&gt;0,VLOOKUP(_1_54128456121462410464578910174567[[#This Row],[Type]],Main[[#All],[TYPE]:[UNIT]],'Unit Price'!H$1,FALSE),0)</f>
        <v>0</v>
      </c>
      <c r="K706" s="194">
        <f>IF(_1_54128456121462410464578910174567[[#This Row],[Discount selection]]&gt;0,VLOOKUP(_1_54128456121462410464578910174567[[#This Row],[Discount selection]],'Discount Structure'!$A$2:$B$30,2,"false"),0)</f>
        <v>1</v>
      </c>
      <c r="L706" s="194">
        <f>_1_54128456121462410464578910174567[[#This Row],[LIST $]]*_1_54128456121462410464578910174567[[#This Row],[DISCOUNT]]*_1_54128456121462410464578910174567[[#This Row],[DISCOUNT 2]]</f>
        <v>0</v>
      </c>
      <c r="M706" s="194">
        <f>IF(OR(_1_54128456121462410464578910174567[[#This Row],[UNIT]]&gt;0,_1_54128456121462410464578910174567[[#This Row],[UNIT]]&lt;0),_1_54128456121462410464578910174567[[#This Row],[UNIT]]*_1_54128456121462410464578910174567[[#This Row],[COST]],0)</f>
        <v>0</v>
      </c>
      <c r="N706" s="194">
        <f t="shared" si="10"/>
        <v>1.3</v>
      </c>
      <c r="O706" s="198">
        <f>_1_54128456121462410464578910174567[[#This Row],[TOTAL]]*_1_54128456121462410464578910174567[[#This Row],[MARGIN]]</f>
        <v>0</v>
      </c>
      <c r="R706" s="41"/>
    </row>
    <row r="707" spans="4:18">
      <c r="D707" s="188"/>
      <c r="F707" s="168" t="s">
        <v>6202</v>
      </c>
      <c r="G707" s="193">
        <f>IF(_1_54128456121462410464578910174567[[#This Row],[Type]]&gt;0,VLOOKUP(_1_54128456121462410464578910174567[[#This Row],[Type]],Main[[#All],[TYPE]:[UNIT]],'Unit Price'!C$1,FALSE),0)</f>
        <v>0</v>
      </c>
      <c r="H707" s="197">
        <f>IF(_1_54128456121462410464578910174567[[#This Row],[Type]]&gt;0,VLOOKUP(_1_54128456121462410464578910174567[[#This Row],[Type]],Main[[#All],[TYPE]:[UNIT]],'Unit Price'!D$1,FALSE),0)</f>
        <v>0</v>
      </c>
      <c r="I707" s="194">
        <f>IF(_1_54128456121462410464578910174567[[#This Row],[Type]]&gt;0,VLOOKUP(_1_54128456121462410464578910174567[[#This Row],[Type]],Main[[#All],[TYPE]:[UNIT]],'Unit Price'!G$1,FALSE),0)</f>
        <v>0</v>
      </c>
      <c r="J707" s="194">
        <f>IF(_1_54128456121462410464578910174567[[#This Row],[Type]]&gt;0,VLOOKUP(_1_54128456121462410464578910174567[[#This Row],[Type]],Main[[#All],[TYPE]:[UNIT]],'Unit Price'!H$1,FALSE),0)</f>
        <v>0</v>
      </c>
      <c r="K707" s="194">
        <f>IF(_1_54128456121462410464578910174567[[#This Row],[Discount selection]]&gt;0,VLOOKUP(_1_54128456121462410464578910174567[[#This Row],[Discount selection]],'Discount Structure'!$A$2:$B$30,2,"false"),0)</f>
        <v>1</v>
      </c>
      <c r="L707" s="194">
        <f>_1_54128456121462410464578910174567[[#This Row],[LIST $]]*_1_54128456121462410464578910174567[[#This Row],[DISCOUNT]]*_1_54128456121462410464578910174567[[#This Row],[DISCOUNT 2]]</f>
        <v>0</v>
      </c>
      <c r="M707" s="194">
        <f>IF(OR(_1_54128456121462410464578910174567[[#This Row],[UNIT]]&gt;0,_1_54128456121462410464578910174567[[#This Row],[UNIT]]&lt;0),_1_54128456121462410464578910174567[[#This Row],[UNIT]]*_1_54128456121462410464578910174567[[#This Row],[COST]],0)</f>
        <v>0</v>
      </c>
      <c r="N707" s="194">
        <f t="shared" si="10"/>
        <v>1.3</v>
      </c>
      <c r="O707" s="198">
        <f>_1_54128456121462410464578910174567[[#This Row],[TOTAL]]*_1_54128456121462410464578910174567[[#This Row],[MARGIN]]</f>
        <v>0</v>
      </c>
      <c r="R707" s="41"/>
    </row>
    <row r="708" spans="4:18">
      <c r="D708" s="188"/>
      <c r="F708" s="168" t="s">
        <v>6202</v>
      </c>
      <c r="G708" s="193">
        <f>IF(_1_54128456121462410464578910174567[[#This Row],[Type]]&gt;0,VLOOKUP(_1_54128456121462410464578910174567[[#This Row],[Type]],Main[[#All],[TYPE]:[UNIT]],'Unit Price'!C$1,FALSE),0)</f>
        <v>0</v>
      </c>
      <c r="H708" s="197">
        <f>IF(_1_54128456121462410464578910174567[[#This Row],[Type]]&gt;0,VLOOKUP(_1_54128456121462410464578910174567[[#This Row],[Type]],Main[[#All],[TYPE]:[UNIT]],'Unit Price'!D$1,FALSE),0)</f>
        <v>0</v>
      </c>
      <c r="I708" s="194">
        <f>IF(_1_54128456121462410464578910174567[[#This Row],[Type]]&gt;0,VLOOKUP(_1_54128456121462410464578910174567[[#This Row],[Type]],Main[[#All],[TYPE]:[UNIT]],'Unit Price'!G$1,FALSE),0)</f>
        <v>0</v>
      </c>
      <c r="J708" s="194">
        <f>IF(_1_54128456121462410464578910174567[[#This Row],[Type]]&gt;0,VLOOKUP(_1_54128456121462410464578910174567[[#This Row],[Type]],Main[[#All],[TYPE]:[UNIT]],'Unit Price'!H$1,FALSE),0)</f>
        <v>0</v>
      </c>
      <c r="K708" s="194">
        <f>IF(_1_54128456121462410464578910174567[[#This Row],[Discount selection]]&gt;0,VLOOKUP(_1_54128456121462410464578910174567[[#This Row],[Discount selection]],'Discount Structure'!$A$2:$B$30,2,"false"),0)</f>
        <v>1</v>
      </c>
      <c r="L708" s="194">
        <f>_1_54128456121462410464578910174567[[#This Row],[LIST $]]*_1_54128456121462410464578910174567[[#This Row],[DISCOUNT]]*_1_54128456121462410464578910174567[[#This Row],[DISCOUNT 2]]</f>
        <v>0</v>
      </c>
      <c r="M708" s="194">
        <f>IF(OR(_1_54128456121462410464578910174567[[#This Row],[UNIT]]&gt;0,_1_54128456121462410464578910174567[[#This Row],[UNIT]]&lt;0),_1_54128456121462410464578910174567[[#This Row],[UNIT]]*_1_54128456121462410464578910174567[[#This Row],[COST]],0)</f>
        <v>0</v>
      </c>
      <c r="N708" s="194">
        <f t="shared" si="10"/>
        <v>1.3</v>
      </c>
      <c r="O708" s="198">
        <f>_1_54128456121462410464578910174567[[#This Row],[TOTAL]]*_1_54128456121462410464578910174567[[#This Row],[MARGIN]]</f>
        <v>0</v>
      </c>
      <c r="R708" s="41"/>
    </row>
    <row r="709" spans="4:18">
      <c r="D709" s="188"/>
      <c r="F709" s="168" t="s">
        <v>6202</v>
      </c>
      <c r="G709" s="193">
        <f>IF(_1_54128456121462410464578910174567[[#This Row],[Type]]&gt;0,VLOOKUP(_1_54128456121462410464578910174567[[#This Row],[Type]],Main[[#All],[TYPE]:[UNIT]],'Unit Price'!C$1,FALSE),0)</f>
        <v>0</v>
      </c>
      <c r="H709" s="197">
        <f>IF(_1_54128456121462410464578910174567[[#This Row],[Type]]&gt;0,VLOOKUP(_1_54128456121462410464578910174567[[#This Row],[Type]],Main[[#All],[TYPE]:[UNIT]],'Unit Price'!D$1,FALSE),0)</f>
        <v>0</v>
      </c>
      <c r="I709" s="194">
        <f>IF(_1_54128456121462410464578910174567[[#This Row],[Type]]&gt;0,VLOOKUP(_1_54128456121462410464578910174567[[#This Row],[Type]],Main[[#All],[TYPE]:[UNIT]],'Unit Price'!G$1,FALSE),0)</f>
        <v>0</v>
      </c>
      <c r="J709" s="194">
        <f>IF(_1_54128456121462410464578910174567[[#This Row],[Type]]&gt;0,VLOOKUP(_1_54128456121462410464578910174567[[#This Row],[Type]],Main[[#All],[TYPE]:[UNIT]],'Unit Price'!H$1,FALSE),0)</f>
        <v>0</v>
      </c>
      <c r="K709" s="194">
        <f>IF(_1_54128456121462410464578910174567[[#This Row],[Discount selection]]&gt;0,VLOOKUP(_1_54128456121462410464578910174567[[#This Row],[Discount selection]],'Discount Structure'!$A$2:$B$30,2,"false"),0)</f>
        <v>1</v>
      </c>
      <c r="L709" s="194">
        <f>_1_54128456121462410464578910174567[[#This Row],[LIST $]]*_1_54128456121462410464578910174567[[#This Row],[DISCOUNT]]*_1_54128456121462410464578910174567[[#This Row],[DISCOUNT 2]]</f>
        <v>0</v>
      </c>
      <c r="M709" s="194">
        <f>IF(OR(_1_54128456121462410464578910174567[[#This Row],[UNIT]]&gt;0,_1_54128456121462410464578910174567[[#This Row],[UNIT]]&lt;0),_1_54128456121462410464578910174567[[#This Row],[UNIT]]*_1_54128456121462410464578910174567[[#This Row],[COST]],0)</f>
        <v>0</v>
      </c>
      <c r="N709" s="194">
        <f t="shared" si="10"/>
        <v>1.3</v>
      </c>
      <c r="O709" s="198">
        <f>_1_54128456121462410464578910174567[[#This Row],[TOTAL]]*_1_54128456121462410464578910174567[[#This Row],[MARGIN]]</f>
        <v>0</v>
      </c>
      <c r="R709" s="41"/>
    </row>
    <row r="710" spans="4:18">
      <c r="D710" s="188"/>
      <c r="F710" s="168" t="s">
        <v>6202</v>
      </c>
      <c r="G710" s="193">
        <f>IF(_1_54128456121462410464578910174567[[#This Row],[Type]]&gt;0,VLOOKUP(_1_54128456121462410464578910174567[[#This Row],[Type]],Main[[#All],[TYPE]:[UNIT]],'Unit Price'!C$1,FALSE),0)</f>
        <v>0</v>
      </c>
      <c r="H710" s="197">
        <f>IF(_1_54128456121462410464578910174567[[#This Row],[Type]]&gt;0,VLOOKUP(_1_54128456121462410464578910174567[[#This Row],[Type]],Main[[#All],[TYPE]:[UNIT]],'Unit Price'!D$1,FALSE),0)</f>
        <v>0</v>
      </c>
      <c r="I710" s="194">
        <f>IF(_1_54128456121462410464578910174567[[#This Row],[Type]]&gt;0,VLOOKUP(_1_54128456121462410464578910174567[[#This Row],[Type]],Main[[#All],[TYPE]:[UNIT]],'Unit Price'!G$1,FALSE),0)</f>
        <v>0</v>
      </c>
      <c r="J710" s="194">
        <f>IF(_1_54128456121462410464578910174567[[#This Row],[Type]]&gt;0,VLOOKUP(_1_54128456121462410464578910174567[[#This Row],[Type]],Main[[#All],[TYPE]:[UNIT]],'Unit Price'!H$1,FALSE),0)</f>
        <v>0</v>
      </c>
      <c r="K710" s="194">
        <f>IF(_1_54128456121462410464578910174567[[#This Row],[Discount selection]]&gt;0,VLOOKUP(_1_54128456121462410464578910174567[[#This Row],[Discount selection]],'Discount Structure'!$A$2:$B$30,2,"false"),0)</f>
        <v>1</v>
      </c>
      <c r="L710" s="194">
        <f>_1_54128456121462410464578910174567[[#This Row],[LIST $]]*_1_54128456121462410464578910174567[[#This Row],[DISCOUNT]]*_1_54128456121462410464578910174567[[#This Row],[DISCOUNT 2]]</f>
        <v>0</v>
      </c>
      <c r="M710" s="194">
        <f>IF(OR(_1_54128456121462410464578910174567[[#This Row],[UNIT]]&gt;0,_1_54128456121462410464578910174567[[#This Row],[UNIT]]&lt;0),_1_54128456121462410464578910174567[[#This Row],[UNIT]]*_1_54128456121462410464578910174567[[#This Row],[COST]],0)</f>
        <v>0</v>
      </c>
      <c r="N710" s="194">
        <f t="shared" si="10"/>
        <v>1.3</v>
      </c>
      <c r="O710" s="198">
        <f>_1_54128456121462410464578910174567[[#This Row],[TOTAL]]*_1_54128456121462410464578910174567[[#This Row],[MARGIN]]</f>
        <v>0</v>
      </c>
      <c r="R710" s="41"/>
    </row>
    <row r="711" spans="4:18">
      <c r="D711" s="188"/>
      <c r="F711" s="168" t="s">
        <v>6202</v>
      </c>
      <c r="G711" s="193">
        <f>IF(_1_54128456121462410464578910174567[[#This Row],[Type]]&gt;0,VLOOKUP(_1_54128456121462410464578910174567[[#This Row],[Type]],Main[[#All],[TYPE]:[UNIT]],'Unit Price'!C$1,FALSE),0)</f>
        <v>0</v>
      </c>
      <c r="H711" s="197">
        <f>IF(_1_54128456121462410464578910174567[[#This Row],[Type]]&gt;0,VLOOKUP(_1_54128456121462410464578910174567[[#This Row],[Type]],Main[[#All],[TYPE]:[UNIT]],'Unit Price'!D$1,FALSE),0)</f>
        <v>0</v>
      </c>
      <c r="I711" s="194">
        <f>IF(_1_54128456121462410464578910174567[[#This Row],[Type]]&gt;0,VLOOKUP(_1_54128456121462410464578910174567[[#This Row],[Type]],Main[[#All],[TYPE]:[UNIT]],'Unit Price'!G$1,FALSE),0)</f>
        <v>0</v>
      </c>
      <c r="J711" s="194">
        <f>IF(_1_54128456121462410464578910174567[[#This Row],[Type]]&gt;0,VLOOKUP(_1_54128456121462410464578910174567[[#This Row],[Type]],Main[[#All],[TYPE]:[UNIT]],'Unit Price'!H$1,FALSE),0)</f>
        <v>0</v>
      </c>
      <c r="K711" s="194">
        <f>IF(_1_54128456121462410464578910174567[[#This Row],[Discount selection]]&gt;0,VLOOKUP(_1_54128456121462410464578910174567[[#This Row],[Discount selection]],'Discount Structure'!$A$2:$B$30,2,"false"),0)</f>
        <v>1</v>
      </c>
      <c r="L711" s="194">
        <f>_1_54128456121462410464578910174567[[#This Row],[LIST $]]*_1_54128456121462410464578910174567[[#This Row],[DISCOUNT]]*_1_54128456121462410464578910174567[[#This Row],[DISCOUNT 2]]</f>
        <v>0</v>
      </c>
      <c r="M711" s="194">
        <f>IF(OR(_1_54128456121462410464578910174567[[#This Row],[UNIT]]&gt;0,_1_54128456121462410464578910174567[[#This Row],[UNIT]]&lt;0),_1_54128456121462410464578910174567[[#This Row],[UNIT]]*_1_54128456121462410464578910174567[[#This Row],[COST]],0)</f>
        <v>0</v>
      </c>
      <c r="N711" s="194">
        <f t="shared" si="10"/>
        <v>1.3</v>
      </c>
      <c r="O711" s="198">
        <f>_1_54128456121462410464578910174567[[#This Row],[TOTAL]]*_1_54128456121462410464578910174567[[#This Row],[MARGIN]]</f>
        <v>0</v>
      </c>
      <c r="R711" s="41"/>
    </row>
    <row r="712" spans="4:18">
      <c r="D712" s="188"/>
      <c r="F712" s="168" t="s">
        <v>6202</v>
      </c>
      <c r="G712" s="193">
        <f>IF(_1_54128456121462410464578910174567[[#This Row],[Type]]&gt;0,VLOOKUP(_1_54128456121462410464578910174567[[#This Row],[Type]],Main[[#All],[TYPE]:[UNIT]],'Unit Price'!C$1,FALSE),0)</f>
        <v>0</v>
      </c>
      <c r="H712" s="197">
        <f>IF(_1_54128456121462410464578910174567[[#This Row],[Type]]&gt;0,VLOOKUP(_1_54128456121462410464578910174567[[#This Row],[Type]],Main[[#All],[TYPE]:[UNIT]],'Unit Price'!D$1,FALSE),0)</f>
        <v>0</v>
      </c>
      <c r="I712" s="194">
        <f>IF(_1_54128456121462410464578910174567[[#This Row],[Type]]&gt;0,VLOOKUP(_1_54128456121462410464578910174567[[#This Row],[Type]],Main[[#All],[TYPE]:[UNIT]],'Unit Price'!G$1,FALSE),0)</f>
        <v>0</v>
      </c>
      <c r="J712" s="194">
        <f>IF(_1_54128456121462410464578910174567[[#This Row],[Type]]&gt;0,VLOOKUP(_1_54128456121462410464578910174567[[#This Row],[Type]],Main[[#All],[TYPE]:[UNIT]],'Unit Price'!H$1,FALSE),0)</f>
        <v>0</v>
      </c>
      <c r="K712" s="194">
        <f>IF(_1_54128456121462410464578910174567[[#This Row],[Discount selection]]&gt;0,VLOOKUP(_1_54128456121462410464578910174567[[#This Row],[Discount selection]],'Discount Structure'!$A$2:$B$30,2,"false"),0)</f>
        <v>1</v>
      </c>
      <c r="L712" s="194">
        <f>_1_54128456121462410464578910174567[[#This Row],[LIST $]]*_1_54128456121462410464578910174567[[#This Row],[DISCOUNT]]*_1_54128456121462410464578910174567[[#This Row],[DISCOUNT 2]]</f>
        <v>0</v>
      </c>
      <c r="M712" s="194">
        <f>IF(OR(_1_54128456121462410464578910174567[[#This Row],[UNIT]]&gt;0,_1_54128456121462410464578910174567[[#This Row],[UNIT]]&lt;0),_1_54128456121462410464578910174567[[#This Row],[UNIT]]*_1_54128456121462410464578910174567[[#This Row],[COST]],0)</f>
        <v>0</v>
      </c>
      <c r="N712" s="194">
        <f t="shared" si="10"/>
        <v>1.3</v>
      </c>
      <c r="O712" s="198">
        <f>_1_54128456121462410464578910174567[[#This Row],[TOTAL]]*_1_54128456121462410464578910174567[[#This Row],[MARGIN]]</f>
        <v>0</v>
      </c>
      <c r="R712" s="41"/>
    </row>
    <row r="713" spans="4:18">
      <c r="D713" s="188"/>
      <c r="F713" s="168" t="s">
        <v>6202</v>
      </c>
      <c r="G713" s="193">
        <f>IF(_1_54128456121462410464578910174567[[#This Row],[Type]]&gt;0,VLOOKUP(_1_54128456121462410464578910174567[[#This Row],[Type]],Main[[#All],[TYPE]:[UNIT]],'Unit Price'!C$1,FALSE),0)</f>
        <v>0</v>
      </c>
      <c r="H713" s="197">
        <f>IF(_1_54128456121462410464578910174567[[#This Row],[Type]]&gt;0,VLOOKUP(_1_54128456121462410464578910174567[[#This Row],[Type]],Main[[#All],[TYPE]:[UNIT]],'Unit Price'!D$1,FALSE),0)</f>
        <v>0</v>
      </c>
      <c r="I713" s="194">
        <f>IF(_1_54128456121462410464578910174567[[#This Row],[Type]]&gt;0,VLOOKUP(_1_54128456121462410464578910174567[[#This Row],[Type]],Main[[#All],[TYPE]:[UNIT]],'Unit Price'!G$1,FALSE),0)</f>
        <v>0</v>
      </c>
      <c r="J713" s="194">
        <f>IF(_1_54128456121462410464578910174567[[#This Row],[Type]]&gt;0,VLOOKUP(_1_54128456121462410464578910174567[[#This Row],[Type]],Main[[#All],[TYPE]:[UNIT]],'Unit Price'!H$1,FALSE),0)</f>
        <v>0</v>
      </c>
      <c r="K713" s="194">
        <f>IF(_1_54128456121462410464578910174567[[#This Row],[Discount selection]]&gt;0,VLOOKUP(_1_54128456121462410464578910174567[[#This Row],[Discount selection]],'Discount Structure'!$A$2:$B$30,2,"false"),0)</f>
        <v>1</v>
      </c>
      <c r="L713" s="194">
        <f>_1_54128456121462410464578910174567[[#This Row],[LIST $]]*_1_54128456121462410464578910174567[[#This Row],[DISCOUNT]]*_1_54128456121462410464578910174567[[#This Row],[DISCOUNT 2]]</f>
        <v>0</v>
      </c>
      <c r="M713" s="194">
        <f>IF(OR(_1_54128456121462410464578910174567[[#This Row],[UNIT]]&gt;0,_1_54128456121462410464578910174567[[#This Row],[UNIT]]&lt;0),_1_54128456121462410464578910174567[[#This Row],[UNIT]]*_1_54128456121462410464578910174567[[#This Row],[COST]],0)</f>
        <v>0</v>
      </c>
      <c r="N713" s="194">
        <f t="shared" si="10"/>
        <v>1.3</v>
      </c>
      <c r="O713" s="198">
        <f>_1_54128456121462410464578910174567[[#This Row],[TOTAL]]*_1_54128456121462410464578910174567[[#This Row],[MARGIN]]</f>
        <v>0</v>
      </c>
      <c r="R713" s="41"/>
    </row>
    <row r="714" spans="4:18">
      <c r="D714" s="188"/>
      <c r="F714" s="168" t="s">
        <v>6202</v>
      </c>
      <c r="G714" s="193">
        <f>IF(_1_54128456121462410464578910174567[[#This Row],[Type]]&gt;0,VLOOKUP(_1_54128456121462410464578910174567[[#This Row],[Type]],Main[[#All],[TYPE]:[UNIT]],'Unit Price'!C$1,FALSE),0)</f>
        <v>0</v>
      </c>
      <c r="H714" s="197">
        <f>IF(_1_54128456121462410464578910174567[[#This Row],[Type]]&gt;0,VLOOKUP(_1_54128456121462410464578910174567[[#This Row],[Type]],Main[[#All],[TYPE]:[UNIT]],'Unit Price'!D$1,FALSE),0)</f>
        <v>0</v>
      </c>
      <c r="I714" s="194">
        <f>IF(_1_54128456121462410464578910174567[[#This Row],[Type]]&gt;0,VLOOKUP(_1_54128456121462410464578910174567[[#This Row],[Type]],Main[[#All],[TYPE]:[UNIT]],'Unit Price'!G$1,FALSE),0)</f>
        <v>0</v>
      </c>
      <c r="J714" s="194">
        <f>IF(_1_54128456121462410464578910174567[[#This Row],[Type]]&gt;0,VLOOKUP(_1_54128456121462410464578910174567[[#This Row],[Type]],Main[[#All],[TYPE]:[UNIT]],'Unit Price'!H$1,FALSE),0)</f>
        <v>0</v>
      </c>
      <c r="K714" s="194">
        <f>IF(_1_54128456121462410464578910174567[[#This Row],[Discount selection]]&gt;0,VLOOKUP(_1_54128456121462410464578910174567[[#This Row],[Discount selection]],'Discount Structure'!$A$2:$B$30,2,"false"),0)</f>
        <v>1</v>
      </c>
      <c r="L714" s="194">
        <f>_1_54128456121462410464578910174567[[#This Row],[LIST $]]*_1_54128456121462410464578910174567[[#This Row],[DISCOUNT]]*_1_54128456121462410464578910174567[[#This Row],[DISCOUNT 2]]</f>
        <v>0</v>
      </c>
      <c r="M714" s="194">
        <f>IF(OR(_1_54128456121462410464578910174567[[#This Row],[UNIT]]&gt;0,_1_54128456121462410464578910174567[[#This Row],[UNIT]]&lt;0),_1_54128456121462410464578910174567[[#This Row],[UNIT]]*_1_54128456121462410464578910174567[[#This Row],[COST]],0)</f>
        <v>0</v>
      </c>
      <c r="N714" s="194">
        <f t="shared" ref="N714:N777" si="11">$N$7</f>
        <v>1.3</v>
      </c>
      <c r="O714" s="198">
        <f>_1_54128456121462410464578910174567[[#This Row],[TOTAL]]*_1_54128456121462410464578910174567[[#This Row],[MARGIN]]</f>
        <v>0</v>
      </c>
      <c r="R714" s="41"/>
    </row>
    <row r="715" spans="4:18">
      <c r="D715" s="188"/>
      <c r="F715" s="168" t="s">
        <v>6202</v>
      </c>
      <c r="G715" s="193">
        <f>IF(_1_54128456121462410464578910174567[[#This Row],[Type]]&gt;0,VLOOKUP(_1_54128456121462410464578910174567[[#This Row],[Type]],Main[[#All],[TYPE]:[UNIT]],'Unit Price'!C$1,FALSE),0)</f>
        <v>0</v>
      </c>
      <c r="H715" s="197">
        <f>IF(_1_54128456121462410464578910174567[[#This Row],[Type]]&gt;0,VLOOKUP(_1_54128456121462410464578910174567[[#This Row],[Type]],Main[[#All],[TYPE]:[UNIT]],'Unit Price'!D$1,FALSE),0)</f>
        <v>0</v>
      </c>
      <c r="I715" s="194">
        <f>IF(_1_54128456121462410464578910174567[[#This Row],[Type]]&gt;0,VLOOKUP(_1_54128456121462410464578910174567[[#This Row],[Type]],Main[[#All],[TYPE]:[UNIT]],'Unit Price'!G$1,FALSE),0)</f>
        <v>0</v>
      </c>
      <c r="J715" s="194">
        <f>IF(_1_54128456121462410464578910174567[[#This Row],[Type]]&gt;0,VLOOKUP(_1_54128456121462410464578910174567[[#This Row],[Type]],Main[[#All],[TYPE]:[UNIT]],'Unit Price'!H$1,FALSE),0)</f>
        <v>0</v>
      </c>
      <c r="K715" s="194">
        <f>IF(_1_54128456121462410464578910174567[[#This Row],[Discount selection]]&gt;0,VLOOKUP(_1_54128456121462410464578910174567[[#This Row],[Discount selection]],'Discount Structure'!$A$2:$B$30,2,"false"),0)</f>
        <v>1</v>
      </c>
      <c r="L715" s="194">
        <f>_1_54128456121462410464578910174567[[#This Row],[LIST $]]*_1_54128456121462410464578910174567[[#This Row],[DISCOUNT]]*_1_54128456121462410464578910174567[[#This Row],[DISCOUNT 2]]</f>
        <v>0</v>
      </c>
      <c r="M715" s="194">
        <f>IF(OR(_1_54128456121462410464578910174567[[#This Row],[UNIT]]&gt;0,_1_54128456121462410464578910174567[[#This Row],[UNIT]]&lt;0),_1_54128456121462410464578910174567[[#This Row],[UNIT]]*_1_54128456121462410464578910174567[[#This Row],[COST]],0)</f>
        <v>0</v>
      </c>
      <c r="N715" s="194">
        <f t="shared" si="11"/>
        <v>1.3</v>
      </c>
      <c r="O715" s="198">
        <f>_1_54128456121462410464578910174567[[#This Row],[TOTAL]]*_1_54128456121462410464578910174567[[#This Row],[MARGIN]]</f>
        <v>0</v>
      </c>
      <c r="R715" s="41"/>
    </row>
    <row r="716" spans="4:18">
      <c r="D716" s="188"/>
      <c r="F716" s="168" t="s">
        <v>6202</v>
      </c>
      <c r="G716" s="193">
        <f>IF(_1_54128456121462410464578910174567[[#This Row],[Type]]&gt;0,VLOOKUP(_1_54128456121462410464578910174567[[#This Row],[Type]],Main[[#All],[TYPE]:[UNIT]],'Unit Price'!C$1,FALSE),0)</f>
        <v>0</v>
      </c>
      <c r="H716" s="197">
        <f>IF(_1_54128456121462410464578910174567[[#This Row],[Type]]&gt;0,VLOOKUP(_1_54128456121462410464578910174567[[#This Row],[Type]],Main[[#All],[TYPE]:[UNIT]],'Unit Price'!D$1,FALSE),0)</f>
        <v>0</v>
      </c>
      <c r="I716" s="194">
        <f>IF(_1_54128456121462410464578910174567[[#This Row],[Type]]&gt;0,VLOOKUP(_1_54128456121462410464578910174567[[#This Row],[Type]],Main[[#All],[TYPE]:[UNIT]],'Unit Price'!G$1,FALSE),0)</f>
        <v>0</v>
      </c>
      <c r="J716" s="194">
        <f>IF(_1_54128456121462410464578910174567[[#This Row],[Type]]&gt;0,VLOOKUP(_1_54128456121462410464578910174567[[#This Row],[Type]],Main[[#All],[TYPE]:[UNIT]],'Unit Price'!H$1,FALSE),0)</f>
        <v>0</v>
      </c>
      <c r="K716" s="194">
        <f>IF(_1_54128456121462410464578910174567[[#This Row],[Discount selection]]&gt;0,VLOOKUP(_1_54128456121462410464578910174567[[#This Row],[Discount selection]],'Discount Structure'!$A$2:$B$30,2,"false"),0)</f>
        <v>1</v>
      </c>
      <c r="L716" s="194">
        <f>_1_54128456121462410464578910174567[[#This Row],[LIST $]]*_1_54128456121462410464578910174567[[#This Row],[DISCOUNT]]*_1_54128456121462410464578910174567[[#This Row],[DISCOUNT 2]]</f>
        <v>0</v>
      </c>
      <c r="M716" s="194">
        <f>IF(OR(_1_54128456121462410464578910174567[[#This Row],[UNIT]]&gt;0,_1_54128456121462410464578910174567[[#This Row],[UNIT]]&lt;0),_1_54128456121462410464578910174567[[#This Row],[UNIT]]*_1_54128456121462410464578910174567[[#This Row],[COST]],0)</f>
        <v>0</v>
      </c>
      <c r="N716" s="194">
        <f t="shared" si="11"/>
        <v>1.3</v>
      </c>
      <c r="O716" s="198">
        <f>_1_54128456121462410464578910174567[[#This Row],[TOTAL]]*_1_54128456121462410464578910174567[[#This Row],[MARGIN]]</f>
        <v>0</v>
      </c>
      <c r="R716" s="41"/>
    </row>
    <row r="717" spans="4:18">
      <c r="D717" s="188"/>
      <c r="F717" s="168" t="s">
        <v>6202</v>
      </c>
      <c r="G717" s="193">
        <f>IF(_1_54128456121462410464578910174567[[#This Row],[Type]]&gt;0,VLOOKUP(_1_54128456121462410464578910174567[[#This Row],[Type]],Main[[#All],[TYPE]:[UNIT]],'Unit Price'!C$1,FALSE),0)</f>
        <v>0</v>
      </c>
      <c r="H717" s="197">
        <f>IF(_1_54128456121462410464578910174567[[#This Row],[Type]]&gt;0,VLOOKUP(_1_54128456121462410464578910174567[[#This Row],[Type]],Main[[#All],[TYPE]:[UNIT]],'Unit Price'!D$1,FALSE),0)</f>
        <v>0</v>
      </c>
      <c r="I717" s="194">
        <f>IF(_1_54128456121462410464578910174567[[#This Row],[Type]]&gt;0,VLOOKUP(_1_54128456121462410464578910174567[[#This Row],[Type]],Main[[#All],[TYPE]:[UNIT]],'Unit Price'!G$1,FALSE),0)</f>
        <v>0</v>
      </c>
      <c r="J717" s="194">
        <f>IF(_1_54128456121462410464578910174567[[#This Row],[Type]]&gt;0,VLOOKUP(_1_54128456121462410464578910174567[[#This Row],[Type]],Main[[#All],[TYPE]:[UNIT]],'Unit Price'!H$1,FALSE),0)</f>
        <v>0</v>
      </c>
      <c r="K717" s="194">
        <f>IF(_1_54128456121462410464578910174567[[#This Row],[Discount selection]]&gt;0,VLOOKUP(_1_54128456121462410464578910174567[[#This Row],[Discount selection]],'Discount Structure'!$A$2:$B$30,2,"false"),0)</f>
        <v>1</v>
      </c>
      <c r="L717" s="194">
        <f>_1_54128456121462410464578910174567[[#This Row],[LIST $]]*_1_54128456121462410464578910174567[[#This Row],[DISCOUNT]]*_1_54128456121462410464578910174567[[#This Row],[DISCOUNT 2]]</f>
        <v>0</v>
      </c>
      <c r="M717" s="194">
        <f>IF(OR(_1_54128456121462410464578910174567[[#This Row],[UNIT]]&gt;0,_1_54128456121462410464578910174567[[#This Row],[UNIT]]&lt;0),_1_54128456121462410464578910174567[[#This Row],[UNIT]]*_1_54128456121462410464578910174567[[#This Row],[COST]],0)</f>
        <v>0</v>
      </c>
      <c r="N717" s="194">
        <f t="shared" si="11"/>
        <v>1.3</v>
      </c>
      <c r="O717" s="198">
        <f>_1_54128456121462410464578910174567[[#This Row],[TOTAL]]*_1_54128456121462410464578910174567[[#This Row],[MARGIN]]</f>
        <v>0</v>
      </c>
      <c r="R717" s="41"/>
    </row>
    <row r="718" spans="4:18">
      <c r="D718" s="188"/>
      <c r="F718" s="168" t="s">
        <v>6202</v>
      </c>
      <c r="G718" s="193">
        <f>IF(_1_54128456121462410464578910174567[[#This Row],[Type]]&gt;0,VLOOKUP(_1_54128456121462410464578910174567[[#This Row],[Type]],Main[[#All],[TYPE]:[UNIT]],'Unit Price'!C$1,FALSE),0)</f>
        <v>0</v>
      </c>
      <c r="H718" s="197">
        <f>IF(_1_54128456121462410464578910174567[[#This Row],[Type]]&gt;0,VLOOKUP(_1_54128456121462410464578910174567[[#This Row],[Type]],Main[[#All],[TYPE]:[UNIT]],'Unit Price'!D$1,FALSE),0)</f>
        <v>0</v>
      </c>
      <c r="I718" s="194">
        <f>IF(_1_54128456121462410464578910174567[[#This Row],[Type]]&gt;0,VLOOKUP(_1_54128456121462410464578910174567[[#This Row],[Type]],Main[[#All],[TYPE]:[UNIT]],'Unit Price'!G$1,FALSE),0)</f>
        <v>0</v>
      </c>
      <c r="J718" s="194">
        <f>IF(_1_54128456121462410464578910174567[[#This Row],[Type]]&gt;0,VLOOKUP(_1_54128456121462410464578910174567[[#This Row],[Type]],Main[[#All],[TYPE]:[UNIT]],'Unit Price'!H$1,FALSE),0)</f>
        <v>0</v>
      </c>
      <c r="K718" s="194">
        <f>IF(_1_54128456121462410464578910174567[[#This Row],[Discount selection]]&gt;0,VLOOKUP(_1_54128456121462410464578910174567[[#This Row],[Discount selection]],'Discount Structure'!$A$2:$B$30,2,"false"),0)</f>
        <v>1</v>
      </c>
      <c r="L718" s="194">
        <f>_1_54128456121462410464578910174567[[#This Row],[LIST $]]*_1_54128456121462410464578910174567[[#This Row],[DISCOUNT]]*_1_54128456121462410464578910174567[[#This Row],[DISCOUNT 2]]</f>
        <v>0</v>
      </c>
      <c r="M718" s="194">
        <f>IF(OR(_1_54128456121462410464578910174567[[#This Row],[UNIT]]&gt;0,_1_54128456121462410464578910174567[[#This Row],[UNIT]]&lt;0),_1_54128456121462410464578910174567[[#This Row],[UNIT]]*_1_54128456121462410464578910174567[[#This Row],[COST]],0)</f>
        <v>0</v>
      </c>
      <c r="N718" s="194">
        <f t="shared" si="11"/>
        <v>1.3</v>
      </c>
      <c r="O718" s="198">
        <f>_1_54128456121462410464578910174567[[#This Row],[TOTAL]]*_1_54128456121462410464578910174567[[#This Row],[MARGIN]]</f>
        <v>0</v>
      </c>
      <c r="R718" s="41"/>
    </row>
    <row r="719" spans="4:18">
      <c r="D719" s="188"/>
      <c r="F719" s="168" t="s">
        <v>6202</v>
      </c>
      <c r="G719" s="193">
        <f>IF(_1_54128456121462410464578910174567[[#This Row],[Type]]&gt;0,VLOOKUP(_1_54128456121462410464578910174567[[#This Row],[Type]],Main[[#All],[TYPE]:[UNIT]],'Unit Price'!C$1,FALSE),0)</f>
        <v>0</v>
      </c>
      <c r="H719" s="197">
        <f>IF(_1_54128456121462410464578910174567[[#This Row],[Type]]&gt;0,VLOOKUP(_1_54128456121462410464578910174567[[#This Row],[Type]],Main[[#All],[TYPE]:[UNIT]],'Unit Price'!D$1,FALSE),0)</f>
        <v>0</v>
      </c>
      <c r="I719" s="194">
        <f>IF(_1_54128456121462410464578910174567[[#This Row],[Type]]&gt;0,VLOOKUP(_1_54128456121462410464578910174567[[#This Row],[Type]],Main[[#All],[TYPE]:[UNIT]],'Unit Price'!G$1,FALSE),0)</f>
        <v>0</v>
      </c>
      <c r="J719" s="194">
        <f>IF(_1_54128456121462410464578910174567[[#This Row],[Type]]&gt;0,VLOOKUP(_1_54128456121462410464578910174567[[#This Row],[Type]],Main[[#All],[TYPE]:[UNIT]],'Unit Price'!H$1,FALSE),0)</f>
        <v>0</v>
      </c>
      <c r="K719" s="194">
        <f>IF(_1_54128456121462410464578910174567[[#This Row],[Discount selection]]&gt;0,VLOOKUP(_1_54128456121462410464578910174567[[#This Row],[Discount selection]],'Discount Structure'!$A$2:$B$30,2,"false"),0)</f>
        <v>1</v>
      </c>
      <c r="L719" s="194">
        <f>_1_54128456121462410464578910174567[[#This Row],[LIST $]]*_1_54128456121462410464578910174567[[#This Row],[DISCOUNT]]*_1_54128456121462410464578910174567[[#This Row],[DISCOUNT 2]]</f>
        <v>0</v>
      </c>
      <c r="M719" s="194">
        <f>IF(OR(_1_54128456121462410464578910174567[[#This Row],[UNIT]]&gt;0,_1_54128456121462410464578910174567[[#This Row],[UNIT]]&lt;0),_1_54128456121462410464578910174567[[#This Row],[UNIT]]*_1_54128456121462410464578910174567[[#This Row],[COST]],0)</f>
        <v>0</v>
      </c>
      <c r="N719" s="194">
        <f t="shared" si="11"/>
        <v>1.3</v>
      </c>
      <c r="O719" s="198">
        <f>_1_54128456121462410464578910174567[[#This Row],[TOTAL]]*_1_54128456121462410464578910174567[[#This Row],[MARGIN]]</f>
        <v>0</v>
      </c>
      <c r="R719" s="41"/>
    </row>
    <row r="720" spans="4:18">
      <c r="D720" s="188"/>
      <c r="F720" s="168" t="s">
        <v>6202</v>
      </c>
      <c r="G720" s="193">
        <f>IF(_1_54128456121462410464578910174567[[#This Row],[Type]]&gt;0,VLOOKUP(_1_54128456121462410464578910174567[[#This Row],[Type]],Main[[#All],[TYPE]:[UNIT]],'Unit Price'!C$1,FALSE),0)</f>
        <v>0</v>
      </c>
      <c r="H720" s="197">
        <f>IF(_1_54128456121462410464578910174567[[#This Row],[Type]]&gt;0,VLOOKUP(_1_54128456121462410464578910174567[[#This Row],[Type]],Main[[#All],[TYPE]:[UNIT]],'Unit Price'!D$1,FALSE),0)</f>
        <v>0</v>
      </c>
      <c r="I720" s="194">
        <f>IF(_1_54128456121462410464578910174567[[#This Row],[Type]]&gt;0,VLOOKUP(_1_54128456121462410464578910174567[[#This Row],[Type]],Main[[#All],[TYPE]:[UNIT]],'Unit Price'!G$1,FALSE),0)</f>
        <v>0</v>
      </c>
      <c r="J720" s="194">
        <f>IF(_1_54128456121462410464578910174567[[#This Row],[Type]]&gt;0,VLOOKUP(_1_54128456121462410464578910174567[[#This Row],[Type]],Main[[#All],[TYPE]:[UNIT]],'Unit Price'!H$1,FALSE),0)</f>
        <v>0</v>
      </c>
      <c r="K720" s="194">
        <f>IF(_1_54128456121462410464578910174567[[#This Row],[Discount selection]]&gt;0,VLOOKUP(_1_54128456121462410464578910174567[[#This Row],[Discount selection]],'Discount Structure'!$A$2:$B$30,2,"false"),0)</f>
        <v>1</v>
      </c>
      <c r="L720" s="194">
        <f>_1_54128456121462410464578910174567[[#This Row],[LIST $]]*_1_54128456121462410464578910174567[[#This Row],[DISCOUNT]]*_1_54128456121462410464578910174567[[#This Row],[DISCOUNT 2]]</f>
        <v>0</v>
      </c>
      <c r="M720" s="194">
        <f>IF(OR(_1_54128456121462410464578910174567[[#This Row],[UNIT]]&gt;0,_1_54128456121462410464578910174567[[#This Row],[UNIT]]&lt;0),_1_54128456121462410464578910174567[[#This Row],[UNIT]]*_1_54128456121462410464578910174567[[#This Row],[COST]],0)</f>
        <v>0</v>
      </c>
      <c r="N720" s="194">
        <f t="shared" si="11"/>
        <v>1.3</v>
      </c>
      <c r="O720" s="198">
        <f>_1_54128456121462410464578910174567[[#This Row],[TOTAL]]*_1_54128456121462410464578910174567[[#This Row],[MARGIN]]</f>
        <v>0</v>
      </c>
      <c r="R720" s="41"/>
    </row>
    <row r="721" spans="4:18">
      <c r="D721" s="188"/>
      <c r="F721" s="168" t="s">
        <v>6202</v>
      </c>
      <c r="G721" s="193">
        <f>IF(_1_54128456121462410464578910174567[[#This Row],[Type]]&gt;0,VLOOKUP(_1_54128456121462410464578910174567[[#This Row],[Type]],Main[[#All],[TYPE]:[UNIT]],'Unit Price'!C$1,FALSE),0)</f>
        <v>0</v>
      </c>
      <c r="H721" s="197">
        <f>IF(_1_54128456121462410464578910174567[[#This Row],[Type]]&gt;0,VLOOKUP(_1_54128456121462410464578910174567[[#This Row],[Type]],Main[[#All],[TYPE]:[UNIT]],'Unit Price'!D$1,FALSE),0)</f>
        <v>0</v>
      </c>
      <c r="I721" s="194">
        <f>IF(_1_54128456121462410464578910174567[[#This Row],[Type]]&gt;0,VLOOKUP(_1_54128456121462410464578910174567[[#This Row],[Type]],Main[[#All],[TYPE]:[UNIT]],'Unit Price'!G$1,FALSE),0)</f>
        <v>0</v>
      </c>
      <c r="J721" s="194">
        <f>IF(_1_54128456121462410464578910174567[[#This Row],[Type]]&gt;0,VLOOKUP(_1_54128456121462410464578910174567[[#This Row],[Type]],Main[[#All],[TYPE]:[UNIT]],'Unit Price'!H$1,FALSE),0)</f>
        <v>0</v>
      </c>
      <c r="K721" s="194">
        <f>IF(_1_54128456121462410464578910174567[[#This Row],[Discount selection]]&gt;0,VLOOKUP(_1_54128456121462410464578910174567[[#This Row],[Discount selection]],'Discount Structure'!$A$2:$B$30,2,"false"),0)</f>
        <v>1</v>
      </c>
      <c r="L721" s="194">
        <f>_1_54128456121462410464578910174567[[#This Row],[LIST $]]*_1_54128456121462410464578910174567[[#This Row],[DISCOUNT]]*_1_54128456121462410464578910174567[[#This Row],[DISCOUNT 2]]</f>
        <v>0</v>
      </c>
      <c r="M721" s="194">
        <f>IF(OR(_1_54128456121462410464578910174567[[#This Row],[UNIT]]&gt;0,_1_54128456121462410464578910174567[[#This Row],[UNIT]]&lt;0),_1_54128456121462410464578910174567[[#This Row],[UNIT]]*_1_54128456121462410464578910174567[[#This Row],[COST]],0)</f>
        <v>0</v>
      </c>
      <c r="N721" s="194">
        <f t="shared" si="11"/>
        <v>1.3</v>
      </c>
      <c r="O721" s="198">
        <f>_1_54128456121462410464578910174567[[#This Row],[TOTAL]]*_1_54128456121462410464578910174567[[#This Row],[MARGIN]]</f>
        <v>0</v>
      </c>
      <c r="R721" s="41"/>
    </row>
    <row r="722" spans="4:18">
      <c r="D722" s="188"/>
      <c r="F722" s="168" t="s">
        <v>6202</v>
      </c>
      <c r="G722" s="193">
        <f>IF(_1_54128456121462410464578910174567[[#This Row],[Type]]&gt;0,VLOOKUP(_1_54128456121462410464578910174567[[#This Row],[Type]],Main[[#All],[TYPE]:[UNIT]],'Unit Price'!C$1,FALSE),0)</f>
        <v>0</v>
      </c>
      <c r="H722" s="197">
        <f>IF(_1_54128456121462410464578910174567[[#This Row],[Type]]&gt;0,VLOOKUP(_1_54128456121462410464578910174567[[#This Row],[Type]],Main[[#All],[TYPE]:[UNIT]],'Unit Price'!D$1,FALSE),0)</f>
        <v>0</v>
      </c>
      <c r="I722" s="194">
        <f>IF(_1_54128456121462410464578910174567[[#This Row],[Type]]&gt;0,VLOOKUP(_1_54128456121462410464578910174567[[#This Row],[Type]],Main[[#All],[TYPE]:[UNIT]],'Unit Price'!G$1,FALSE),0)</f>
        <v>0</v>
      </c>
      <c r="J722" s="194">
        <f>IF(_1_54128456121462410464578910174567[[#This Row],[Type]]&gt;0,VLOOKUP(_1_54128456121462410464578910174567[[#This Row],[Type]],Main[[#All],[TYPE]:[UNIT]],'Unit Price'!H$1,FALSE),0)</f>
        <v>0</v>
      </c>
      <c r="K722" s="194">
        <f>IF(_1_54128456121462410464578910174567[[#This Row],[Discount selection]]&gt;0,VLOOKUP(_1_54128456121462410464578910174567[[#This Row],[Discount selection]],'Discount Structure'!$A$2:$B$30,2,"false"),0)</f>
        <v>1</v>
      </c>
      <c r="L722" s="194">
        <f>_1_54128456121462410464578910174567[[#This Row],[LIST $]]*_1_54128456121462410464578910174567[[#This Row],[DISCOUNT]]*_1_54128456121462410464578910174567[[#This Row],[DISCOUNT 2]]</f>
        <v>0</v>
      </c>
      <c r="M722" s="194">
        <f>IF(OR(_1_54128456121462410464578910174567[[#This Row],[UNIT]]&gt;0,_1_54128456121462410464578910174567[[#This Row],[UNIT]]&lt;0),_1_54128456121462410464578910174567[[#This Row],[UNIT]]*_1_54128456121462410464578910174567[[#This Row],[COST]],0)</f>
        <v>0</v>
      </c>
      <c r="N722" s="194">
        <f t="shared" si="11"/>
        <v>1.3</v>
      </c>
      <c r="O722" s="198">
        <f>_1_54128456121462410464578910174567[[#This Row],[TOTAL]]*_1_54128456121462410464578910174567[[#This Row],[MARGIN]]</f>
        <v>0</v>
      </c>
      <c r="R722" s="41"/>
    </row>
    <row r="723" spans="4:18">
      <c r="D723" s="188"/>
      <c r="F723" s="168" t="s">
        <v>6202</v>
      </c>
      <c r="G723" s="193">
        <f>IF(_1_54128456121462410464578910174567[[#This Row],[Type]]&gt;0,VLOOKUP(_1_54128456121462410464578910174567[[#This Row],[Type]],Main[[#All],[TYPE]:[UNIT]],'Unit Price'!C$1,FALSE),0)</f>
        <v>0</v>
      </c>
      <c r="H723" s="197">
        <f>IF(_1_54128456121462410464578910174567[[#This Row],[Type]]&gt;0,VLOOKUP(_1_54128456121462410464578910174567[[#This Row],[Type]],Main[[#All],[TYPE]:[UNIT]],'Unit Price'!D$1,FALSE),0)</f>
        <v>0</v>
      </c>
      <c r="I723" s="194">
        <f>IF(_1_54128456121462410464578910174567[[#This Row],[Type]]&gt;0,VLOOKUP(_1_54128456121462410464578910174567[[#This Row],[Type]],Main[[#All],[TYPE]:[UNIT]],'Unit Price'!G$1,FALSE),0)</f>
        <v>0</v>
      </c>
      <c r="J723" s="194">
        <f>IF(_1_54128456121462410464578910174567[[#This Row],[Type]]&gt;0,VLOOKUP(_1_54128456121462410464578910174567[[#This Row],[Type]],Main[[#All],[TYPE]:[UNIT]],'Unit Price'!H$1,FALSE),0)</f>
        <v>0</v>
      </c>
      <c r="K723" s="194">
        <f>IF(_1_54128456121462410464578910174567[[#This Row],[Discount selection]]&gt;0,VLOOKUP(_1_54128456121462410464578910174567[[#This Row],[Discount selection]],'Discount Structure'!$A$2:$B$30,2,"false"),0)</f>
        <v>1</v>
      </c>
      <c r="L723" s="194">
        <f>_1_54128456121462410464578910174567[[#This Row],[LIST $]]*_1_54128456121462410464578910174567[[#This Row],[DISCOUNT]]*_1_54128456121462410464578910174567[[#This Row],[DISCOUNT 2]]</f>
        <v>0</v>
      </c>
      <c r="M723" s="194">
        <f>IF(OR(_1_54128456121462410464578910174567[[#This Row],[UNIT]]&gt;0,_1_54128456121462410464578910174567[[#This Row],[UNIT]]&lt;0),_1_54128456121462410464578910174567[[#This Row],[UNIT]]*_1_54128456121462410464578910174567[[#This Row],[COST]],0)</f>
        <v>0</v>
      </c>
      <c r="N723" s="194">
        <f t="shared" si="11"/>
        <v>1.3</v>
      </c>
      <c r="O723" s="198">
        <f>_1_54128456121462410464578910174567[[#This Row],[TOTAL]]*_1_54128456121462410464578910174567[[#This Row],[MARGIN]]</f>
        <v>0</v>
      </c>
      <c r="R723" s="41"/>
    </row>
    <row r="724" spans="4:18">
      <c r="D724" s="188"/>
      <c r="F724" s="168" t="s">
        <v>6202</v>
      </c>
      <c r="G724" s="193">
        <f>IF(_1_54128456121462410464578910174567[[#This Row],[Type]]&gt;0,VLOOKUP(_1_54128456121462410464578910174567[[#This Row],[Type]],Main[[#All],[TYPE]:[UNIT]],'Unit Price'!C$1,FALSE),0)</f>
        <v>0</v>
      </c>
      <c r="H724" s="197">
        <f>IF(_1_54128456121462410464578910174567[[#This Row],[Type]]&gt;0,VLOOKUP(_1_54128456121462410464578910174567[[#This Row],[Type]],Main[[#All],[TYPE]:[UNIT]],'Unit Price'!D$1,FALSE),0)</f>
        <v>0</v>
      </c>
      <c r="I724" s="194">
        <f>IF(_1_54128456121462410464578910174567[[#This Row],[Type]]&gt;0,VLOOKUP(_1_54128456121462410464578910174567[[#This Row],[Type]],Main[[#All],[TYPE]:[UNIT]],'Unit Price'!G$1,FALSE),0)</f>
        <v>0</v>
      </c>
      <c r="J724" s="194">
        <f>IF(_1_54128456121462410464578910174567[[#This Row],[Type]]&gt;0,VLOOKUP(_1_54128456121462410464578910174567[[#This Row],[Type]],Main[[#All],[TYPE]:[UNIT]],'Unit Price'!H$1,FALSE),0)</f>
        <v>0</v>
      </c>
      <c r="K724" s="194">
        <f>IF(_1_54128456121462410464578910174567[[#This Row],[Discount selection]]&gt;0,VLOOKUP(_1_54128456121462410464578910174567[[#This Row],[Discount selection]],'Discount Structure'!$A$2:$B$30,2,"false"),0)</f>
        <v>1</v>
      </c>
      <c r="L724" s="194">
        <f>_1_54128456121462410464578910174567[[#This Row],[LIST $]]*_1_54128456121462410464578910174567[[#This Row],[DISCOUNT]]*_1_54128456121462410464578910174567[[#This Row],[DISCOUNT 2]]</f>
        <v>0</v>
      </c>
      <c r="M724" s="194">
        <f>IF(OR(_1_54128456121462410464578910174567[[#This Row],[UNIT]]&gt;0,_1_54128456121462410464578910174567[[#This Row],[UNIT]]&lt;0),_1_54128456121462410464578910174567[[#This Row],[UNIT]]*_1_54128456121462410464578910174567[[#This Row],[COST]],0)</f>
        <v>0</v>
      </c>
      <c r="N724" s="194">
        <f t="shared" si="11"/>
        <v>1.3</v>
      </c>
      <c r="O724" s="198">
        <f>_1_54128456121462410464578910174567[[#This Row],[TOTAL]]*_1_54128456121462410464578910174567[[#This Row],[MARGIN]]</f>
        <v>0</v>
      </c>
      <c r="R724" s="41"/>
    </row>
    <row r="725" spans="4:18">
      <c r="D725" s="188"/>
      <c r="F725" s="168" t="s">
        <v>6202</v>
      </c>
      <c r="G725" s="193">
        <f>IF(_1_54128456121462410464578910174567[[#This Row],[Type]]&gt;0,VLOOKUP(_1_54128456121462410464578910174567[[#This Row],[Type]],Main[[#All],[TYPE]:[UNIT]],'Unit Price'!C$1,FALSE),0)</f>
        <v>0</v>
      </c>
      <c r="H725" s="197">
        <f>IF(_1_54128456121462410464578910174567[[#This Row],[Type]]&gt;0,VLOOKUP(_1_54128456121462410464578910174567[[#This Row],[Type]],Main[[#All],[TYPE]:[UNIT]],'Unit Price'!D$1,FALSE),0)</f>
        <v>0</v>
      </c>
      <c r="I725" s="194">
        <f>IF(_1_54128456121462410464578910174567[[#This Row],[Type]]&gt;0,VLOOKUP(_1_54128456121462410464578910174567[[#This Row],[Type]],Main[[#All],[TYPE]:[UNIT]],'Unit Price'!G$1,FALSE),0)</f>
        <v>0</v>
      </c>
      <c r="J725" s="194">
        <f>IF(_1_54128456121462410464578910174567[[#This Row],[Type]]&gt;0,VLOOKUP(_1_54128456121462410464578910174567[[#This Row],[Type]],Main[[#All],[TYPE]:[UNIT]],'Unit Price'!H$1,FALSE),0)</f>
        <v>0</v>
      </c>
      <c r="K725" s="194">
        <f>IF(_1_54128456121462410464578910174567[[#This Row],[Discount selection]]&gt;0,VLOOKUP(_1_54128456121462410464578910174567[[#This Row],[Discount selection]],'Discount Structure'!$A$2:$B$30,2,"false"),0)</f>
        <v>1</v>
      </c>
      <c r="L725" s="194">
        <f>_1_54128456121462410464578910174567[[#This Row],[LIST $]]*_1_54128456121462410464578910174567[[#This Row],[DISCOUNT]]*_1_54128456121462410464578910174567[[#This Row],[DISCOUNT 2]]</f>
        <v>0</v>
      </c>
      <c r="M725" s="194">
        <f>IF(OR(_1_54128456121462410464578910174567[[#This Row],[UNIT]]&gt;0,_1_54128456121462410464578910174567[[#This Row],[UNIT]]&lt;0),_1_54128456121462410464578910174567[[#This Row],[UNIT]]*_1_54128456121462410464578910174567[[#This Row],[COST]],0)</f>
        <v>0</v>
      </c>
      <c r="N725" s="194">
        <f t="shared" si="11"/>
        <v>1.3</v>
      </c>
      <c r="O725" s="198">
        <f>_1_54128456121462410464578910174567[[#This Row],[TOTAL]]*_1_54128456121462410464578910174567[[#This Row],[MARGIN]]</f>
        <v>0</v>
      </c>
      <c r="R725" s="41"/>
    </row>
    <row r="726" spans="4:18">
      <c r="D726" s="188"/>
      <c r="F726" s="168" t="s">
        <v>6202</v>
      </c>
      <c r="G726" s="193">
        <f>IF(_1_54128456121462410464578910174567[[#This Row],[Type]]&gt;0,VLOOKUP(_1_54128456121462410464578910174567[[#This Row],[Type]],Main[[#All],[TYPE]:[UNIT]],'Unit Price'!C$1,FALSE),0)</f>
        <v>0</v>
      </c>
      <c r="H726" s="197">
        <f>IF(_1_54128456121462410464578910174567[[#This Row],[Type]]&gt;0,VLOOKUP(_1_54128456121462410464578910174567[[#This Row],[Type]],Main[[#All],[TYPE]:[UNIT]],'Unit Price'!D$1,FALSE),0)</f>
        <v>0</v>
      </c>
      <c r="I726" s="194">
        <f>IF(_1_54128456121462410464578910174567[[#This Row],[Type]]&gt;0,VLOOKUP(_1_54128456121462410464578910174567[[#This Row],[Type]],Main[[#All],[TYPE]:[UNIT]],'Unit Price'!G$1,FALSE),0)</f>
        <v>0</v>
      </c>
      <c r="J726" s="194">
        <f>IF(_1_54128456121462410464578910174567[[#This Row],[Type]]&gt;0,VLOOKUP(_1_54128456121462410464578910174567[[#This Row],[Type]],Main[[#All],[TYPE]:[UNIT]],'Unit Price'!H$1,FALSE),0)</f>
        <v>0</v>
      </c>
      <c r="K726" s="194">
        <f>IF(_1_54128456121462410464578910174567[[#This Row],[Discount selection]]&gt;0,VLOOKUP(_1_54128456121462410464578910174567[[#This Row],[Discount selection]],'Discount Structure'!$A$2:$B$30,2,"false"),0)</f>
        <v>1</v>
      </c>
      <c r="L726" s="194">
        <f>_1_54128456121462410464578910174567[[#This Row],[LIST $]]*_1_54128456121462410464578910174567[[#This Row],[DISCOUNT]]*_1_54128456121462410464578910174567[[#This Row],[DISCOUNT 2]]</f>
        <v>0</v>
      </c>
      <c r="M726" s="194">
        <f>IF(OR(_1_54128456121462410464578910174567[[#This Row],[UNIT]]&gt;0,_1_54128456121462410464578910174567[[#This Row],[UNIT]]&lt;0),_1_54128456121462410464578910174567[[#This Row],[UNIT]]*_1_54128456121462410464578910174567[[#This Row],[COST]],0)</f>
        <v>0</v>
      </c>
      <c r="N726" s="194">
        <f t="shared" si="11"/>
        <v>1.3</v>
      </c>
      <c r="O726" s="198">
        <f>_1_54128456121462410464578910174567[[#This Row],[TOTAL]]*_1_54128456121462410464578910174567[[#This Row],[MARGIN]]</f>
        <v>0</v>
      </c>
      <c r="R726" s="41"/>
    </row>
    <row r="727" spans="4:18">
      <c r="D727" s="188"/>
      <c r="F727" s="168" t="s">
        <v>6202</v>
      </c>
      <c r="G727" s="193">
        <f>IF(_1_54128456121462410464578910174567[[#This Row],[Type]]&gt;0,VLOOKUP(_1_54128456121462410464578910174567[[#This Row],[Type]],Main[[#All],[TYPE]:[UNIT]],'Unit Price'!C$1,FALSE),0)</f>
        <v>0</v>
      </c>
      <c r="H727" s="197">
        <f>IF(_1_54128456121462410464578910174567[[#This Row],[Type]]&gt;0,VLOOKUP(_1_54128456121462410464578910174567[[#This Row],[Type]],Main[[#All],[TYPE]:[UNIT]],'Unit Price'!D$1,FALSE),0)</f>
        <v>0</v>
      </c>
      <c r="I727" s="194">
        <f>IF(_1_54128456121462410464578910174567[[#This Row],[Type]]&gt;0,VLOOKUP(_1_54128456121462410464578910174567[[#This Row],[Type]],Main[[#All],[TYPE]:[UNIT]],'Unit Price'!G$1,FALSE),0)</f>
        <v>0</v>
      </c>
      <c r="J727" s="194">
        <f>IF(_1_54128456121462410464578910174567[[#This Row],[Type]]&gt;0,VLOOKUP(_1_54128456121462410464578910174567[[#This Row],[Type]],Main[[#All],[TYPE]:[UNIT]],'Unit Price'!H$1,FALSE),0)</f>
        <v>0</v>
      </c>
      <c r="K727" s="194">
        <f>IF(_1_54128456121462410464578910174567[[#This Row],[Discount selection]]&gt;0,VLOOKUP(_1_54128456121462410464578910174567[[#This Row],[Discount selection]],'Discount Structure'!$A$2:$B$30,2,"false"),0)</f>
        <v>1</v>
      </c>
      <c r="L727" s="194">
        <f>_1_54128456121462410464578910174567[[#This Row],[LIST $]]*_1_54128456121462410464578910174567[[#This Row],[DISCOUNT]]*_1_54128456121462410464578910174567[[#This Row],[DISCOUNT 2]]</f>
        <v>0</v>
      </c>
      <c r="M727" s="194">
        <f>IF(OR(_1_54128456121462410464578910174567[[#This Row],[UNIT]]&gt;0,_1_54128456121462410464578910174567[[#This Row],[UNIT]]&lt;0),_1_54128456121462410464578910174567[[#This Row],[UNIT]]*_1_54128456121462410464578910174567[[#This Row],[COST]],0)</f>
        <v>0</v>
      </c>
      <c r="N727" s="194">
        <f t="shared" si="11"/>
        <v>1.3</v>
      </c>
      <c r="O727" s="198">
        <f>_1_54128456121462410464578910174567[[#This Row],[TOTAL]]*_1_54128456121462410464578910174567[[#This Row],[MARGIN]]</f>
        <v>0</v>
      </c>
      <c r="R727" s="41"/>
    </row>
    <row r="728" spans="4:18">
      <c r="D728" s="188"/>
      <c r="F728" s="168" t="s">
        <v>6202</v>
      </c>
      <c r="G728" s="193">
        <f>IF(_1_54128456121462410464578910174567[[#This Row],[Type]]&gt;0,VLOOKUP(_1_54128456121462410464578910174567[[#This Row],[Type]],Main[[#All],[TYPE]:[UNIT]],'Unit Price'!C$1,FALSE),0)</f>
        <v>0</v>
      </c>
      <c r="H728" s="197">
        <f>IF(_1_54128456121462410464578910174567[[#This Row],[Type]]&gt;0,VLOOKUP(_1_54128456121462410464578910174567[[#This Row],[Type]],Main[[#All],[TYPE]:[UNIT]],'Unit Price'!D$1,FALSE),0)</f>
        <v>0</v>
      </c>
      <c r="I728" s="194">
        <f>IF(_1_54128456121462410464578910174567[[#This Row],[Type]]&gt;0,VLOOKUP(_1_54128456121462410464578910174567[[#This Row],[Type]],Main[[#All],[TYPE]:[UNIT]],'Unit Price'!G$1,FALSE),0)</f>
        <v>0</v>
      </c>
      <c r="J728" s="194">
        <f>IF(_1_54128456121462410464578910174567[[#This Row],[Type]]&gt;0,VLOOKUP(_1_54128456121462410464578910174567[[#This Row],[Type]],Main[[#All],[TYPE]:[UNIT]],'Unit Price'!H$1,FALSE),0)</f>
        <v>0</v>
      </c>
      <c r="K728" s="194">
        <f>IF(_1_54128456121462410464578910174567[[#This Row],[Discount selection]]&gt;0,VLOOKUP(_1_54128456121462410464578910174567[[#This Row],[Discount selection]],'Discount Structure'!$A$2:$B$30,2,"false"),0)</f>
        <v>1</v>
      </c>
      <c r="L728" s="194">
        <f>_1_54128456121462410464578910174567[[#This Row],[LIST $]]*_1_54128456121462410464578910174567[[#This Row],[DISCOUNT]]*_1_54128456121462410464578910174567[[#This Row],[DISCOUNT 2]]</f>
        <v>0</v>
      </c>
      <c r="M728" s="194">
        <f>IF(OR(_1_54128456121462410464578910174567[[#This Row],[UNIT]]&gt;0,_1_54128456121462410464578910174567[[#This Row],[UNIT]]&lt;0),_1_54128456121462410464578910174567[[#This Row],[UNIT]]*_1_54128456121462410464578910174567[[#This Row],[COST]],0)</f>
        <v>0</v>
      </c>
      <c r="N728" s="194">
        <f t="shared" si="11"/>
        <v>1.3</v>
      </c>
      <c r="O728" s="198">
        <f>_1_54128456121462410464578910174567[[#This Row],[TOTAL]]*_1_54128456121462410464578910174567[[#This Row],[MARGIN]]</f>
        <v>0</v>
      </c>
      <c r="R728" s="41"/>
    </row>
    <row r="729" spans="4:18">
      <c r="D729" s="188"/>
      <c r="F729" s="168" t="s">
        <v>6202</v>
      </c>
      <c r="G729" s="193">
        <f>IF(_1_54128456121462410464578910174567[[#This Row],[Type]]&gt;0,VLOOKUP(_1_54128456121462410464578910174567[[#This Row],[Type]],Main[[#All],[TYPE]:[UNIT]],'Unit Price'!C$1,FALSE),0)</f>
        <v>0</v>
      </c>
      <c r="H729" s="197">
        <f>IF(_1_54128456121462410464578910174567[[#This Row],[Type]]&gt;0,VLOOKUP(_1_54128456121462410464578910174567[[#This Row],[Type]],Main[[#All],[TYPE]:[UNIT]],'Unit Price'!D$1,FALSE),0)</f>
        <v>0</v>
      </c>
      <c r="I729" s="194">
        <f>IF(_1_54128456121462410464578910174567[[#This Row],[Type]]&gt;0,VLOOKUP(_1_54128456121462410464578910174567[[#This Row],[Type]],Main[[#All],[TYPE]:[UNIT]],'Unit Price'!G$1,FALSE),0)</f>
        <v>0</v>
      </c>
      <c r="J729" s="194">
        <f>IF(_1_54128456121462410464578910174567[[#This Row],[Type]]&gt;0,VLOOKUP(_1_54128456121462410464578910174567[[#This Row],[Type]],Main[[#All],[TYPE]:[UNIT]],'Unit Price'!H$1,FALSE),0)</f>
        <v>0</v>
      </c>
      <c r="K729" s="194">
        <f>IF(_1_54128456121462410464578910174567[[#This Row],[Discount selection]]&gt;0,VLOOKUP(_1_54128456121462410464578910174567[[#This Row],[Discount selection]],'Discount Structure'!$A$2:$B$30,2,"false"),0)</f>
        <v>1</v>
      </c>
      <c r="L729" s="194">
        <f>_1_54128456121462410464578910174567[[#This Row],[LIST $]]*_1_54128456121462410464578910174567[[#This Row],[DISCOUNT]]*_1_54128456121462410464578910174567[[#This Row],[DISCOUNT 2]]</f>
        <v>0</v>
      </c>
      <c r="M729" s="194">
        <f>IF(OR(_1_54128456121462410464578910174567[[#This Row],[UNIT]]&gt;0,_1_54128456121462410464578910174567[[#This Row],[UNIT]]&lt;0),_1_54128456121462410464578910174567[[#This Row],[UNIT]]*_1_54128456121462410464578910174567[[#This Row],[COST]],0)</f>
        <v>0</v>
      </c>
      <c r="N729" s="194">
        <f t="shared" si="11"/>
        <v>1.3</v>
      </c>
      <c r="O729" s="198">
        <f>_1_54128456121462410464578910174567[[#This Row],[TOTAL]]*_1_54128456121462410464578910174567[[#This Row],[MARGIN]]</f>
        <v>0</v>
      </c>
      <c r="R729" s="41"/>
    </row>
    <row r="730" spans="4:18">
      <c r="D730" s="188"/>
      <c r="F730" s="168" t="s">
        <v>6202</v>
      </c>
      <c r="G730" s="193">
        <f>IF(_1_54128456121462410464578910174567[[#This Row],[Type]]&gt;0,VLOOKUP(_1_54128456121462410464578910174567[[#This Row],[Type]],Main[[#All],[TYPE]:[UNIT]],'Unit Price'!C$1,FALSE),0)</f>
        <v>0</v>
      </c>
      <c r="H730" s="197">
        <f>IF(_1_54128456121462410464578910174567[[#This Row],[Type]]&gt;0,VLOOKUP(_1_54128456121462410464578910174567[[#This Row],[Type]],Main[[#All],[TYPE]:[UNIT]],'Unit Price'!D$1,FALSE),0)</f>
        <v>0</v>
      </c>
      <c r="I730" s="194">
        <f>IF(_1_54128456121462410464578910174567[[#This Row],[Type]]&gt;0,VLOOKUP(_1_54128456121462410464578910174567[[#This Row],[Type]],Main[[#All],[TYPE]:[UNIT]],'Unit Price'!G$1,FALSE),0)</f>
        <v>0</v>
      </c>
      <c r="J730" s="194">
        <f>IF(_1_54128456121462410464578910174567[[#This Row],[Type]]&gt;0,VLOOKUP(_1_54128456121462410464578910174567[[#This Row],[Type]],Main[[#All],[TYPE]:[UNIT]],'Unit Price'!H$1,FALSE),0)</f>
        <v>0</v>
      </c>
      <c r="K730" s="194">
        <f>IF(_1_54128456121462410464578910174567[[#This Row],[Discount selection]]&gt;0,VLOOKUP(_1_54128456121462410464578910174567[[#This Row],[Discount selection]],'Discount Structure'!$A$2:$B$30,2,"false"),0)</f>
        <v>1</v>
      </c>
      <c r="L730" s="194">
        <f>_1_54128456121462410464578910174567[[#This Row],[LIST $]]*_1_54128456121462410464578910174567[[#This Row],[DISCOUNT]]*_1_54128456121462410464578910174567[[#This Row],[DISCOUNT 2]]</f>
        <v>0</v>
      </c>
      <c r="M730" s="194">
        <f>IF(OR(_1_54128456121462410464578910174567[[#This Row],[UNIT]]&gt;0,_1_54128456121462410464578910174567[[#This Row],[UNIT]]&lt;0),_1_54128456121462410464578910174567[[#This Row],[UNIT]]*_1_54128456121462410464578910174567[[#This Row],[COST]],0)</f>
        <v>0</v>
      </c>
      <c r="N730" s="194">
        <f t="shared" si="11"/>
        <v>1.3</v>
      </c>
      <c r="O730" s="198">
        <f>_1_54128456121462410464578910174567[[#This Row],[TOTAL]]*_1_54128456121462410464578910174567[[#This Row],[MARGIN]]</f>
        <v>0</v>
      </c>
      <c r="R730" s="41"/>
    </row>
    <row r="731" spans="4:18">
      <c r="D731" s="188"/>
      <c r="F731" s="168" t="s">
        <v>6202</v>
      </c>
      <c r="G731" s="193">
        <f>IF(_1_54128456121462410464578910174567[[#This Row],[Type]]&gt;0,VLOOKUP(_1_54128456121462410464578910174567[[#This Row],[Type]],Main[[#All],[TYPE]:[UNIT]],'Unit Price'!C$1,FALSE),0)</f>
        <v>0</v>
      </c>
      <c r="H731" s="197">
        <f>IF(_1_54128456121462410464578910174567[[#This Row],[Type]]&gt;0,VLOOKUP(_1_54128456121462410464578910174567[[#This Row],[Type]],Main[[#All],[TYPE]:[UNIT]],'Unit Price'!D$1,FALSE),0)</f>
        <v>0</v>
      </c>
      <c r="I731" s="194">
        <f>IF(_1_54128456121462410464578910174567[[#This Row],[Type]]&gt;0,VLOOKUP(_1_54128456121462410464578910174567[[#This Row],[Type]],Main[[#All],[TYPE]:[UNIT]],'Unit Price'!G$1,FALSE),0)</f>
        <v>0</v>
      </c>
      <c r="J731" s="194">
        <f>IF(_1_54128456121462410464578910174567[[#This Row],[Type]]&gt;0,VLOOKUP(_1_54128456121462410464578910174567[[#This Row],[Type]],Main[[#All],[TYPE]:[UNIT]],'Unit Price'!H$1,FALSE),0)</f>
        <v>0</v>
      </c>
      <c r="K731" s="194">
        <f>IF(_1_54128456121462410464578910174567[[#This Row],[Discount selection]]&gt;0,VLOOKUP(_1_54128456121462410464578910174567[[#This Row],[Discount selection]],'Discount Structure'!$A$2:$B$30,2,"false"),0)</f>
        <v>1</v>
      </c>
      <c r="L731" s="194">
        <f>_1_54128456121462410464578910174567[[#This Row],[LIST $]]*_1_54128456121462410464578910174567[[#This Row],[DISCOUNT]]*_1_54128456121462410464578910174567[[#This Row],[DISCOUNT 2]]</f>
        <v>0</v>
      </c>
      <c r="M731" s="194">
        <f>IF(OR(_1_54128456121462410464578910174567[[#This Row],[UNIT]]&gt;0,_1_54128456121462410464578910174567[[#This Row],[UNIT]]&lt;0),_1_54128456121462410464578910174567[[#This Row],[UNIT]]*_1_54128456121462410464578910174567[[#This Row],[COST]],0)</f>
        <v>0</v>
      </c>
      <c r="N731" s="194">
        <f t="shared" si="11"/>
        <v>1.3</v>
      </c>
      <c r="O731" s="198">
        <f>_1_54128456121462410464578910174567[[#This Row],[TOTAL]]*_1_54128456121462410464578910174567[[#This Row],[MARGIN]]</f>
        <v>0</v>
      </c>
      <c r="R731" s="41"/>
    </row>
    <row r="732" spans="4:18">
      <c r="D732" s="188"/>
      <c r="F732" s="168" t="s">
        <v>6202</v>
      </c>
      <c r="G732" s="193">
        <f>IF(_1_54128456121462410464578910174567[[#This Row],[Type]]&gt;0,VLOOKUP(_1_54128456121462410464578910174567[[#This Row],[Type]],Main[[#All],[TYPE]:[UNIT]],'Unit Price'!C$1,FALSE),0)</f>
        <v>0</v>
      </c>
      <c r="H732" s="197">
        <f>IF(_1_54128456121462410464578910174567[[#This Row],[Type]]&gt;0,VLOOKUP(_1_54128456121462410464578910174567[[#This Row],[Type]],Main[[#All],[TYPE]:[UNIT]],'Unit Price'!D$1,FALSE),0)</f>
        <v>0</v>
      </c>
      <c r="I732" s="194">
        <f>IF(_1_54128456121462410464578910174567[[#This Row],[Type]]&gt;0,VLOOKUP(_1_54128456121462410464578910174567[[#This Row],[Type]],Main[[#All],[TYPE]:[UNIT]],'Unit Price'!G$1,FALSE),0)</f>
        <v>0</v>
      </c>
      <c r="J732" s="194">
        <f>IF(_1_54128456121462410464578910174567[[#This Row],[Type]]&gt;0,VLOOKUP(_1_54128456121462410464578910174567[[#This Row],[Type]],Main[[#All],[TYPE]:[UNIT]],'Unit Price'!H$1,FALSE),0)</f>
        <v>0</v>
      </c>
      <c r="K732" s="194">
        <f>IF(_1_54128456121462410464578910174567[[#This Row],[Discount selection]]&gt;0,VLOOKUP(_1_54128456121462410464578910174567[[#This Row],[Discount selection]],'Discount Structure'!$A$2:$B$30,2,"false"),0)</f>
        <v>1</v>
      </c>
      <c r="L732" s="194">
        <f>_1_54128456121462410464578910174567[[#This Row],[LIST $]]*_1_54128456121462410464578910174567[[#This Row],[DISCOUNT]]*_1_54128456121462410464578910174567[[#This Row],[DISCOUNT 2]]</f>
        <v>0</v>
      </c>
      <c r="M732" s="194">
        <f>IF(OR(_1_54128456121462410464578910174567[[#This Row],[UNIT]]&gt;0,_1_54128456121462410464578910174567[[#This Row],[UNIT]]&lt;0),_1_54128456121462410464578910174567[[#This Row],[UNIT]]*_1_54128456121462410464578910174567[[#This Row],[COST]],0)</f>
        <v>0</v>
      </c>
      <c r="N732" s="194">
        <f t="shared" si="11"/>
        <v>1.3</v>
      </c>
      <c r="O732" s="198">
        <f>_1_54128456121462410464578910174567[[#This Row],[TOTAL]]*_1_54128456121462410464578910174567[[#This Row],[MARGIN]]</f>
        <v>0</v>
      </c>
      <c r="R732" s="41"/>
    </row>
    <row r="733" spans="4:18">
      <c r="D733" s="188"/>
      <c r="F733" s="168" t="s">
        <v>6202</v>
      </c>
      <c r="G733" s="193">
        <f>IF(_1_54128456121462410464578910174567[[#This Row],[Type]]&gt;0,VLOOKUP(_1_54128456121462410464578910174567[[#This Row],[Type]],Main[[#All],[TYPE]:[UNIT]],'Unit Price'!C$1,FALSE),0)</f>
        <v>0</v>
      </c>
      <c r="H733" s="197">
        <f>IF(_1_54128456121462410464578910174567[[#This Row],[Type]]&gt;0,VLOOKUP(_1_54128456121462410464578910174567[[#This Row],[Type]],Main[[#All],[TYPE]:[UNIT]],'Unit Price'!D$1,FALSE),0)</f>
        <v>0</v>
      </c>
      <c r="I733" s="194">
        <f>IF(_1_54128456121462410464578910174567[[#This Row],[Type]]&gt;0,VLOOKUP(_1_54128456121462410464578910174567[[#This Row],[Type]],Main[[#All],[TYPE]:[UNIT]],'Unit Price'!G$1,FALSE),0)</f>
        <v>0</v>
      </c>
      <c r="J733" s="194">
        <f>IF(_1_54128456121462410464578910174567[[#This Row],[Type]]&gt;0,VLOOKUP(_1_54128456121462410464578910174567[[#This Row],[Type]],Main[[#All],[TYPE]:[UNIT]],'Unit Price'!H$1,FALSE),0)</f>
        <v>0</v>
      </c>
      <c r="K733" s="194">
        <f>IF(_1_54128456121462410464578910174567[[#This Row],[Discount selection]]&gt;0,VLOOKUP(_1_54128456121462410464578910174567[[#This Row],[Discount selection]],'Discount Structure'!$A$2:$B$30,2,"false"),0)</f>
        <v>1</v>
      </c>
      <c r="L733" s="194">
        <f>_1_54128456121462410464578910174567[[#This Row],[LIST $]]*_1_54128456121462410464578910174567[[#This Row],[DISCOUNT]]*_1_54128456121462410464578910174567[[#This Row],[DISCOUNT 2]]</f>
        <v>0</v>
      </c>
      <c r="M733" s="194">
        <f>IF(OR(_1_54128456121462410464578910174567[[#This Row],[UNIT]]&gt;0,_1_54128456121462410464578910174567[[#This Row],[UNIT]]&lt;0),_1_54128456121462410464578910174567[[#This Row],[UNIT]]*_1_54128456121462410464578910174567[[#This Row],[COST]],0)</f>
        <v>0</v>
      </c>
      <c r="N733" s="194">
        <f t="shared" si="11"/>
        <v>1.3</v>
      </c>
      <c r="O733" s="198">
        <f>_1_54128456121462410464578910174567[[#This Row],[TOTAL]]*_1_54128456121462410464578910174567[[#This Row],[MARGIN]]</f>
        <v>0</v>
      </c>
      <c r="R733" s="41"/>
    </row>
    <row r="734" spans="4:18">
      <c r="D734" s="188"/>
      <c r="F734" s="168" t="s">
        <v>6202</v>
      </c>
      <c r="G734" s="193">
        <f>IF(_1_54128456121462410464578910174567[[#This Row],[Type]]&gt;0,VLOOKUP(_1_54128456121462410464578910174567[[#This Row],[Type]],Main[[#All],[TYPE]:[UNIT]],'Unit Price'!C$1,FALSE),0)</f>
        <v>0</v>
      </c>
      <c r="H734" s="197">
        <f>IF(_1_54128456121462410464578910174567[[#This Row],[Type]]&gt;0,VLOOKUP(_1_54128456121462410464578910174567[[#This Row],[Type]],Main[[#All],[TYPE]:[UNIT]],'Unit Price'!D$1,FALSE),0)</f>
        <v>0</v>
      </c>
      <c r="I734" s="194">
        <f>IF(_1_54128456121462410464578910174567[[#This Row],[Type]]&gt;0,VLOOKUP(_1_54128456121462410464578910174567[[#This Row],[Type]],Main[[#All],[TYPE]:[UNIT]],'Unit Price'!G$1,FALSE),0)</f>
        <v>0</v>
      </c>
      <c r="J734" s="194">
        <f>IF(_1_54128456121462410464578910174567[[#This Row],[Type]]&gt;0,VLOOKUP(_1_54128456121462410464578910174567[[#This Row],[Type]],Main[[#All],[TYPE]:[UNIT]],'Unit Price'!H$1,FALSE),0)</f>
        <v>0</v>
      </c>
      <c r="K734" s="194">
        <f>IF(_1_54128456121462410464578910174567[[#This Row],[Discount selection]]&gt;0,VLOOKUP(_1_54128456121462410464578910174567[[#This Row],[Discount selection]],'Discount Structure'!$A$2:$B$30,2,"false"),0)</f>
        <v>1</v>
      </c>
      <c r="L734" s="194">
        <f>_1_54128456121462410464578910174567[[#This Row],[LIST $]]*_1_54128456121462410464578910174567[[#This Row],[DISCOUNT]]*_1_54128456121462410464578910174567[[#This Row],[DISCOUNT 2]]</f>
        <v>0</v>
      </c>
      <c r="M734" s="194">
        <f>IF(OR(_1_54128456121462410464578910174567[[#This Row],[UNIT]]&gt;0,_1_54128456121462410464578910174567[[#This Row],[UNIT]]&lt;0),_1_54128456121462410464578910174567[[#This Row],[UNIT]]*_1_54128456121462410464578910174567[[#This Row],[COST]],0)</f>
        <v>0</v>
      </c>
      <c r="N734" s="194">
        <f t="shared" si="11"/>
        <v>1.3</v>
      </c>
      <c r="O734" s="198">
        <f>_1_54128456121462410464578910174567[[#This Row],[TOTAL]]*_1_54128456121462410464578910174567[[#This Row],[MARGIN]]</f>
        <v>0</v>
      </c>
      <c r="R734" s="41"/>
    </row>
    <row r="735" spans="4:18">
      <c r="D735" s="188"/>
      <c r="F735" s="168" t="s">
        <v>6202</v>
      </c>
      <c r="G735" s="193">
        <f>IF(_1_54128456121462410464578910174567[[#This Row],[Type]]&gt;0,VLOOKUP(_1_54128456121462410464578910174567[[#This Row],[Type]],Main[[#All],[TYPE]:[UNIT]],'Unit Price'!C$1,FALSE),0)</f>
        <v>0</v>
      </c>
      <c r="H735" s="197">
        <f>IF(_1_54128456121462410464578910174567[[#This Row],[Type]]&gt;0,VLOOKUP(_1_54128456121462410464578910174567[[#This Row],[Type]],Main[[#All],[TYPE]:[UNIT]],'Unit Price'!D$1,FALSE),0)</f>
        <v>0</v>
      </c>
      <c r="I735" s="194">
        <f>IF(_1_54128456121462410464578910174567[[#This Row],[Type]]&gt;0,VLOOKUP(_1_54128456121462410464578910174567[[#This Row],[Type]],Main[[#All],[TYPE]:[UNIT]],'Unit Price'!G$1,FALSE),0)</f>
        <v>0</v>
      </c>
      <c r="J735" s="194">
        <f>IF(_1_54128456121462410464578910174567[[#This Row],[Type]]&gt;0,VLOOKUP(_1_54128456121462410464578910174567[[#This Row],[Type]],Main[[#All],[TYPE]:[UNIT]],'Unit Price'!H$1,FALSE),0)</f>
        <v>0</v>
      </c>
      <c r="K735" s="194">
        <f>IF(_1_54128456121462410464578910174567[[#This Row],[Discount selection]]&gt;0,VLOOKUP(_1_54128456121462410464578910174567[[#This Row],[Discount selection]],'Discount Structure'!$A$2:$B$30,2,"false"),0)</f>
        <v>1</v>
      </c>
      <c r="L735" s="194">
        <f>_1_54128456121462410464578910174567[[#This Row],[LIST $]]*_1_54128456121462410464578910174567[[#This Row],[DISCOUNT]]*_1_54128456121462410464578910174567[[#This Row],[DISCOUNT 2]]</f>
        <v>0</v>
      </c>
      <c r="M735" s="194">
        <f>IF(OR(_1_54128456121462410464578910174567[[#This Row],[UNIT]]&gt;0,_1_54128456121462410464578910174567[[#This Row],[UNIT]]&lt;0),_1_54128456121462410464578910174567[[#This Row],[UNIT]]*_1_54128456121462410464578910174567[[#This Row],[COST]],0)</f>
        <v>0</v>
      </c>
      <c r="N735" s="194">
        <f t="shared" si="11"/>
        <v>1.3</v>
      </c>
      <c r="O735" s="198">
        <f>_1_54128456121462410464578910174567[[#This Row],[TOTAL]]*_1_54128456121462410464578910174567[[#This Row],[MARGIN]]</f>
        <v>0</v>
      </c>
      <c r="R735" s="41"/>
    </row>
    <row r="736" spans="4:18">
      <c r="D736" s="188"/>
      <c r="F736" s="168" t="s">
        <v>6202</v>
      </c>
      <c r="G736" s="193">
        <f>IF(_1_54128456121462410464578910174567[[#This Row],[Type]]&gt;0,VLOOKUP(_1_54128456121462410464578910174567[[#This Row],[Type]],Main[[#All],[TYPE]:[UNIT]],'Unit Price'!C$1,FALSE),0)</f>
        <v>0</v>
      </c>
      <c r="H736" s="197">
        <f>IF(_1_54128456121462410464578910174567[[#This Row],[Type]]&gt;0,VLOOKUP(_1_54128456121462410464578910174567[[#This Row],[Type]],Main[[#All],[TYPE]:[UNIT]],'Unit Price'!D$1,FALSE),0)</f>
        <v>0</v>
      </c>
      <c r="I736" s="194">
        <f>IF(_1_54128456121462410464578910174567[[#This Row],[Type]]&gt;0,VLOOKUP(_1_54128456121462410464578910174567[[#This Row],[Type]],Main[[#All],[TYPE]:[UNIT]],'Unit Price'!G$1,FALSE),0)</f>
        <v>0</v>
      </c>
      <c r="J736" s="194">
        <f>IF(_1_54128456121462410464578910174567[[#This Row],[Type]]&gt;0,VLOOKUP(_1_54128456121462410464578910174567[[#This Row],[Type]],Main[[#All],[TYPE]:[UNIT]],'Unit Price'!H$1,FALSE),0)</f>
        <v>0</v>
      </c>
      <c r="K736" s="194">
        <f>IF(_1_54128456121462410464578910174567[[#This Row],[Discount selection]]&gt;0,VLOOKUP(_1_54128456121462410464578910174567[[#This Row],[Discount selection]],'Discount Structure'!$A$2:$B$30,2,"false"),0)</f>
        <v>1</v>
      </c>
      <c r="L736" s="194">
        <f>_1_54128456121462410464578910174567[[#This Row],[LIST $]]*_1_54128456121462410464578910174567[[#This Row],[DISCOUNT]]*_1_54128456121462410464578910174567[[#This Row],[DISCOUNT 2]]</f>
        <v>0</v>
      </c>
      <c r="M736" s="194">
        <f>IF(OR(_1_54128456121462410464578910174567[[#This Row],[UNIT]]&gt;0,_1_54128456121462410464578910174567[[#This Row],[UNIT]]&lt;0),_1_54128456121462410464578910174567[[#This Row],[UNIT]]*_1_54128456121462410464578910174567[[#This Row],[COST]],0)</f>
        <v>0</v>
      </c>
      <c r="N736" s="194">
        <f t="shared" si="11"/>
        <v>1.3</v>
      </c>
      <c r="O736" s="198">
        <f>_1_54128456121462410464578910174567[[#This Row],[TOTAL]]*_1_54128456121462410464578910174567[[#This Row],[MARGIN]]</f>
        <v>0</v>
      </c>
      <c r="R736" s="41"/>
    </row>
    <row r="737" spans="4:18">
      <c r="D737" s="188"/>
      <c r="F737" s="168" t="s">
        <v>6202</v>
      </c>
      <c r="G737" s="193">
        <f>IF(_1_54128456121462410464578910174567[[#This Row],[Type]]&gt;0,VLOOKUP(_1_54128456121462410464578910174567[[#This Row],[Type]],Main[[#All],[TYPE]:[UNIT]],'Unit Price'!C$1,FALSE),0)</f>
        <v>0</v>
      </c>
      <c r="H737" s="197">
        <f>IF(_1_54128456121462410464578910174567[[#This Row],[Type]]&gt;0,VLOOKUP(_1_54128456121462410464578910174567[[#This Row],[Type]],Main[[#All],[TYPE]:[UNIT]],'Unit Price'!D$1,FALSE),0)</f>
        <v>0</v>
      </c>
      <c r="I737" s="194">
        <f>IF(_1_54128456121462410464578910174567[[#This Row],[Type]]&gt;0,VLOOKUP(_1_54128456121462410464578910174567[[#This Row],[Type]],Main[[#All],[TYPE]:[UNIT]],'Unit Price'!G$1,FALSE),0)</f>
        <v>0</v>
      </c>
      <c r="J737" s="194">
        <f>IF(_1_54128456121462410464578910174567[[#This Row],[Type]]&gt;0,VLOOKUP(_1_54128456121462410464578910174567[[#This Row],[Type]],Main[[#All],[TYPE]:[UNIT]],'Unit Price'!H$1,FALSE),0)</f>
        <v>0</v>
      </c>
      <c r="K737" s="194">
        <f>IF(_1_54128456121462410464578910174567[[#This Row],[Discount selection]]&gt;0,VLOOKUP(_1_54128456121462410464578910174567[[#This Row],[Discount selection]],'Discount Structure'!$A$2:$B$30,2,"false"),0)</f>
        <v>1</v>
      </c>
      <c r="L737" s="194">
        <f>_1_54128456121462410464578910174567[[#This Row],[LIST $]]*_1_54128456121462410464578910174567[[#This Row],[DISCOUNT]]*_1_54128456121462410464578910174567[[#This Row],[DISCOUNT 2]]</f>
        <v>0</v>
      </c>
      <c r="M737" s="194">
        <f>IF(OR(_1_54128456121462410464578910174567[[#This Row],[UNIT]]&gt;0,_1_54128456121462410464578910174567[[#This Row],[UNIT]]&lt;0),_1_54128456121462410464578910174567[[#This Row],[UNIT]]*_1_54128456121462410464578910174567[[#This Row],[COST]],0)</f>
        <v>0</v>
      </c>
      <c r="N737" s="194">
        <f t="shared" si="11"/>
        <v>1.3</v>
      </c>
      <c r="O737" s="198">
        <f>_1_54128456121462410464578910174567[[#This Row],[TOTAL]]*_1_54128456121462410464578910174567[[#This Row],[MARGIN]]</f>
        <v>0</v>
      </c>
      <c r="R737" s="41"/>
    </row>
    <row r="738" spans="4:18">
      <c r="D738" s="188"/>
      <c r="F738" s="168" t="s">
        <v>6202</v>
      </c>
      <c r="G738" s="193">
        <f>IF(_1_54128456121462410464578910174567[[#This Row],[Type]]&gt;0,VLOOKUP(_1_54128456121462410464578910174567[[#This Row],[Type]],Main[[#All],[TYPE]:[UNIT]],'Unit Price'!C$1,FALSE),0)</f>
        <v>0</v>
      </c>
      <c r="H738" s="197">
        <f>IF(_1_54128456121462410464578910174567[[#This Row],[Type]]&gt;0,VLOOKUP(_1_54128456121462410464578910174567[[#This Row],[Type]],Main[[#All],[TYPE]:[UNIT]],'Unit Price'!D$1,FALSE),0)</f>
        <v>0</v>
      </c>
      <c r="I738" s="194">
        <f>IF(_1_54128456121462410464578910174567[[#This Row],[Type]]&gt;0,VLOOKUP(_1_54128456121462410464578910174567[[#This Row],[Type]],Main[[#All],[TYPE]:[UNIT]],'Unit Price'!G$1,FALSE),0)</f>
        <v>0</v>
      </c>
      <c r="J738" s="194">
        <f>IF(_1_54128456121462410464578910174567[[#This Row],[Type]]&gt;0,VLOOKUP(_1_54128456121462410464578910174567[[#This Row],[Type]],Main[[#All],[TYPE]:[UNIT]],'Unit Price'!H$1,FALSE),0)</f>
        <v>0</v>
      </c>
      <c r="K738" s="194">
        <f>IF(_1_54128456121462410464578910174567[[#This Row],[Discount selection]]&gt;0,VLOOKUP(_1_54128456121462410464578910174567[[#This Row],[Discount selection]],'Discount Structure'!$A$2:$B$30,2,"false"),0)</f>
        <v>1</v>
      </c>
      <c r="L738" s="194">
        <f>_1_54128456121462410464578910174567[[#This Row],[LIST $]]*_1_54128456121462410464578910174567[[#This Row],[DISCOUNT]]*_1_54128456121462410464578910174567[[#This Row],[DISCOUNT 2]]</f>
        <v>0</v>
      </c>
      <c r="M738" s="194">
        <f>IF(OR(_1_54128456121462410464578910174567[[#This Row],[UNIT]]&gt;0,_1_54128456121462410464578910174567[[#This Row],[UNIT]]&lt;0),_1_54128456121462410464578910174567[[#This Row],[UNIT]]*_1_54128456121462410464578910174567[[#This Row],[COST]],0)</f>
        <v>0</v>
      </c>
      <c r="N738" s="194">
        <f t="shared" si="11"/>
        <v>1.3</v>
      </c>
      <c r="O738" s="198">
        <f>_1_54128456121462410464578910174567[[#This Row],[TOTAL]]*_1_54128456121462410464578910174567[[#This Row],[MARGIN]]</f>
        <v>0</v>
      </c>
      <c r="R738" s="41"/>
    </row>
    <row r="739" spans="4:18">
      <c r="D739" s="188"/>
      <c r="F739" s="168" t="s">
        <v>6202</v>
      </c>
      <c r="G739" s="193">
        <f>IF(_1_54128456121462410464578910174567[[#This Row],[Type]]&gt;0,VLOOKUP(_1_54128456121462410464578910174567[[#This Row],[Type]],Main[[#All],[TYPE]:[UNIT]],'Unit Price'!C$1,FALSE),0)</f>
        <v>0</v>
      </c>
      <c r="H739" s="197">
        <f>IF(_1_54128456121462410464578910174567[[#This Row],[Type]]&gt;0,VLOOKUP(_1_54128456121462410464578910174567[[#This Row],[Type]],Main[[#All],[TYPE]:[UNIT]],'Unit Price'!D$1,FALSE),0)</f>
        <v>0</v>
      </c>
      <c r="I739" s="194">
        <f>IF(_1_54128456121462410464578910174567[[#This Row],[Type]]&gt;0,VLOOKUP(_1_54128456121462410464578910174567[[#This Row],[Type]],Main[[#All],[TYPE]:[UNIT]],'Unit Price'!G$1,FALSE),0)</f>
        <v>0</v>
      </c>
      <c r="J739" s="194">
        <f>IF(_1_54128456121462410464578910174567[[#This Row],[Type]]&gt;0,VLOOKUP(_1_54128456121462410464578910174567[[#This Row],[Type]],Main[[#All],[TYPE]:[UNIT]],'Unit Price'!H$1,FALSE),0)</f>
        <v>0</v>
      </c>
      <c r="K739" s="194">
        <f>IF(_1_54128456121462410464578910174567[[#This Row],[Discount selection]]&gt;0,VLOOKUP(_1_54128456121462410464578910174567[[#This Row],[Discount selection]],'Discount Structure'!$A$2:$B$30,2,"false"),0)</f>
        <v>1</v>
      </c>
      <c r="L739" s="194">
        <f>_1_54128456121462410464578910174567[[#This Row],[LIST $]]*_1_54128456121462410464578910174567[[#This Row],[DISCOUNT]]*_1_54128456121462410464578910174567[[#This Row],[DISCOUNT 2]]</f>
        <v>0</v>
      </c>
      <c r="M739" s="194">
        <f>IF(OR(_1_54128456121462410464578910174567[[#This Row],[UNIT]]&gt;0,_1_54128456121462410464578910174567[[#This Row],[UNIT]]&lt;0),_1_54128456121462410464578910174567[[#This Row],[UNIT]]*_1_54128456121462410464578910174567[[#This Row],[COST]],0)</f>
        <v>0</v>
      </c>
      <c r="N739" s="194">
        <f t="shared" si="11"/>
        <v>1.3</v>
      </c>
      <c r="O739" s="198">
        <f>_1_54128456121462410464578910174567[[#This Row],[TOTAL]]*_1_54128456121462410464578910174567[[#This Row],[MARGIN]]</f>
        <v>0</v>
      </c>
      <c r="R739" s="41"/>
    </row>
    <row r="740" spans="4:18">
      <c r="D740" s="188"/>
      <c r="F740" s="168" t="s">
        <v>6202</v>
      </c>
      <c r="G740" s="193">
        <f>IF(_1_54128456121462410464578910174567[[#This Row],[Type]]&gt;0,VLOOKUP(_1_54128456121462410464578910174567[[#This Row],[Type]],Main[[#All],[TYPE]:[UNIT]],'Unit Price'!C$1,FALSE),0)</f>
        <v>0</v>
      </c>
      <c r="H740" s="197">
        <f>IF(_1_54128456121462410464578910174567[[#This Row],[Type]]&gt;0,VLOOKUP(_1_54128456121462410464578910174567[[#This Row],[Type]],Main[[#All],[TYPE]:[UNIT]],'Unit Price'!D$1,FALSE),0)</f>
        <v>0</v>
      </c>
      <c r="I740" s="194">
        <f>IF(_1_54128456121462410464578910174567[[#This Row],[Type]]&gt;0,VLOOKUP(_1_54128456121462410464578910174567[[#This Row],[Type]],Main[[#All],[TYPE]:[UNIT]],'Unit Price'!G$1,FALSE),0)</f>
        <v>0</v>
      </c>
      <c r="J740" s="194">
        <f>IF(_1_54128456121462410464578910174567[[#This Row],[Type]]&gt;0,VLOOKUP(_1_54128456121462410464578910174567[[#This Row],[Type]],Main[[#All],[TYPE]:[UNIT]],'Unit Price'!H$1,FALSE),0)</f>
        <v>0</v>
      </c>
      <c r="K740" s="194">
        <f>IF(_1_54128456121462410464578910174567[[#This Row],[Discount selection]]&gt;0,VLOOKUP(_1_54128456121462410464578910174567[[#This Row],[Discount selection]],'Discount Structure'!$A$2:$B$30,2,"false"),0)</f>
        <v>1</v>
      </c>
      <c r="L740" s="194">
        <f>_1_54128456121462410464578910174567[[#This Row],[LIST $]]*_1_54128456121462410464578910174567[[#This Row],[DISCOUNT]]*_1_54128456121462410464578910174567[[#This Row],[DISCOUNT 2]]</f>
        <v>0</v>
      </c>
      <c r="M740" s="194">
        <f>IF(OR(_1_54128456121462410464578910174567[[#This Row],[UNIT]]&gt;0,_1_54128456121462410464578910174567[[#This Row],[UNIT]]&lt;0),_1_54128456121462410464578910174567[[#This Row],[UNIT]]*_1_54128456121462410464578910174567[[#This Row],[COST]],0)</f>
        <v>0</v>
      </c>
      <c r="N740" s="194">
        <f t="shared" si="11"/>
        <v>1.3</v>
      </c>
      <c r="O740" s="198">
        <f>_1_54128456121462410464578910174567[[#This Row],[TOTAL]]*_1_54128456121462410464578910174567[[#This Row],[MARGIN]]</f>
        <v>0</v>
      </c>
      <c r="R740" s="41"/>
    </row>
    <row r="741" spans="4:18">
      <c r="D741" s="188"/>
      <c r="F741" s="168" t="s">
        <v>6202</v>
      </c>
      <c r="G741" s="193">
        <f>IF(_1_54128456121462410464578910174567[[#This Row],[Type]]&gt;0,VLOOKUP(_1_54128456121462410464578910174567[[#This Row],[Type]],Main[[#All],[TYPE]:[UNIT]],'Unit Price'!C$1,FALSE),0)</f>
        <v>0</v>
      </c>
      <c r="H741" s="197">
        <f>IF(_1_54128456121462410464578910174567[[#This Row],[Type]]&gt;0,VLOOKUP(_1_54128456121462410464578910174567[[#This Row],[Type]],Main[[#All],[TYPE]:[UNIT]],'Unit Price'!D$1,FALSE),0)</f>
        <v>0</v>
      </c>
      <c r="I741" s="194">
        <f>IF(_1_54128456121462410464578910174567[[#This Row],[Type]]&gt;0,VLOOKUP(_1_54128456121462410464578910174567[[#This Row],[Type]],Main[[#All],[TYPE]:[UNIT]],'Unit Price'!G$1,FALSE),0)</f>
        <v>0</v>
      </c>
      <c r="J741" s="194">
        <f>IF(_1_54128456121462410464578910174567[[#This Row],[Type]]&gt;0,VLOOKUP(_1_54128456121462410464578910174567[[#This Row],[Type]],Main[[#All],[TYPE]:[UNIT]],'Unit Price'!H$1,FALSE),0)</f>
        <v>0</v>
      </c>
      <c r="K741" s="194">
        <f>IF(_1_54128456121462410464578910174567[[#This Row],[Discount selection]]&gt;0,VLOOKUP(_1_54128456121462410464578910174567[[#This Row],[Discount selection]],'Discount Structure'!$A$2:$B$30,2,"false"),0)</f>
        <v>1</v>
      </c>
      <c r="L741" s="194">
        <f>_1_54128456121462410464578910174567[[#This Row],[LIST $]]*_1_54128456121462410464578910174567[[#This Row],[DISCOUNT]]*_1_54128456121462410464578910174567[[#This Row],[DISCOUNT 2]]</f>
        <v>0</v>
      </c>
      <c r="M741" s="194">
        <f>IF(OR(_1_54128456121462410464578910174567[[#This Row],[UNIT]]&gt;0,_1_54128456121462410464578910174567[[#This Row],[UNIT]]&lt;0),_1_54128456121462410464578910174567[[#This Row],[UNIT]]*_1_54128456121462410464578910174567[[#This Row],[COST]],0)</f>
        <v>0</v>
      </c>
      <c r="N741" s="194">
        <f t="shared" si="11"/>
        <v>1.3</v>
      </c>
      <c r="O741" s="198">
        <f>_1_54128456121462410464578910174567[[#This Row],[TOTAL]]*_1_54128456121462410464578910174567[[#This Row],[MARGIN]]</f>
        <v>0</v>
      </c>
      <c r="R741" s="41"/>
    </row>
    <row r="742" spans="4:18">
      <c r="D742" s="188"/>
      <c r="F742" s="168" t="s">
        <v>6202</v>
      </c>
      <c r="G742" s="193">
        <f>IF(_1_54128456121462410464578910174567[[#This Row],[Type]]&gt;0,VLOOKUP(_1_54128456121462410464578910174567[[#This Row],[Type]],Main[[#All],[TYPE]:[UNIT]],'Unit Price'!C$1,FALSE),0)</f>
        <v>0</v>
      </c>
      <c r="H742" s="197">
        <f>IF(_1_54128456121462410464578910174567[[#This Row],[Type]]&gt;0,VLOOKUP(_1_54128456121462410464578910174567[[#This Row],[Type]],Main[[#All],[TYPE]:[UNIT]],'Unit Price'!D$1,FALSE),0)</f>
        <v>0</v>
      </c>
      <c r="I742" s="194">
        <f>IF(_1_54128456121462410464578910174567[[#This Row],[Type]]&gt;0,VLOOKUP(_1_54128456121462410464578910174567[[#This Row],[Type]],Main[[#All],[TYPE]:[UNIT]],'Unit Price'!G$1,FALSE),0)</f>
        <v>0</v>
      </c>
      <c r="J742" s="194">
        <f>IF(_1_54128456121462410464578910174567[[#This Row],[Type]]&gt;0,VLOOKUP(_1_54128456121462410464578910174567[[#This Row],[Type]],Main[[#All],[TYPE]:[UNIT]],'Unit Price'!H$1,FALSE),0)</f>
        <v>0</v>
      </c>
      <c r="K742" s="194">
        <f>IF(_1_54128456121462410464578910174567[[#This Row],[Discount selection]]&gt;0,VLOOKUP(_1_54128456121462410464578910174567[[#This Row],[Discount selection]],'Discount Structure'!$A$2:$B$30,2,"false"),0)</f>
        <v>1</v>
      </c>
      <c r="L742" s="194">
        <f>_1_54128456121462410464578910174567[[#This Row],[LIST $]]*_1_54128456121462410464578910174567[[#This Row],[DISCOUNT]]*_1_54128456121462410464578910174567[[#This Row],[DISCOUNT 2]]</f>
        <v>0</v>
      </c>
      <c r="M742" s="194">
        <f>IF(OR(_1_54128456121462410464578910174567[[#This Row],[UNIT]]&gt;0,_1_54128456121462410464578910174567[[#This Row],[UNIT]]&lt;0),_1_54128456121462410464578910174567[[#This Row],[UNIT]]*_1_54128456121462410464578910174567[[#This Row],[COST]],0)</f>
        <v>0</v>
      </c>
      <c r="N742" s="194">
        <f t="shared" si="11"/>
        <v>1.3</v>
      </c>
      <c r="O742" s="198">
        <f>_1_54128456121462410464578910174567[[#This Row],[TOTAL]]*_1_54128456121462410464578910174567[[#This Row],[MARGIN]]</f>
        <v>0</v>
      </c>
      <c r="R742" s="41"/>
    </row>
    <row r="743" spans="4:18">
      <c r="D743" s="188"/>
      <c r="F743" s="168" t="s">
        <v>6202</v>
      </c>
      <c r="G743" s="193">
        <f>IF(_1_54128456121462410464578910174567[[#This Row],[Type]]&gt;0,VLOOKUP(_1_54128456121462410464578910174567[[#This Row],[Type]],Main[[#All],[TYPE]:[UNIT]],'Unit Price'!C$1,FALSE),0)</f>
        <v>0</v>
      </c>
      <c r="H743" s="197">
        <f>IF(_1_54128456121462410464578910174567[[#This Row],[Type]]&gt;0,VLOOKUP(_1_54128456121462410464578910174567[[#This Row],[Type]],Main[[#All],[TYPE]:[UNIT]],'Unit Price'!D$1,FALSE),0)</f>
        <v>0</v>
      </c>
      <c r="I743" s="194">
        <f>IF(_1_54128456121462410464578910174567[[#This Row],[Type]]&gt;0,VLOOKUP(_1_54128456121462410464578910174567[[#This Row],[Type]],Main[[#All],[TYPE]:[UNIT]],'Unit Price'!G$1,FALSE),0)</f>
        <v>0</v>
      </c>
      <c r="J743" s="194">
        <f>IF(_1_54128456121462410464578910174567[[#This Row],[Type]]&gt;0,VLOOKUP(_1_54128456121462410464578910174567[[#This Row],[Type]],Main[[#All],[TYPE]:[UNIT]],'Unit Price'!H$1,FALSE),0)</f>
        <v>0</v>
      </c>
      <c r="K743" s="194">
        <f>IF(_1_54128456121462410464578910174567[[#This Row],[Discount selection]]&gt;0,VLOOKUP(_1_54128456121462410464578910174567[[#This Row],[Discount selection]],'Discount Structure'!$A$2:$B$30,2,"false"),0)</f>
        <v>1</v>
      </c>
      <c r="L743" s="194">
        <f>_1_54128456121462410464578910174567[[#This Row],[LIST $]]*_1_54128456121462410464578910174567[[#This Row],[DISCOUNT]]*_1_54128456121462410464578910174567[[#This Row],[DISCOUNT 2]]</f>
        <v>0</v>
      </c>
      <c r="M743" s="194">
        <f>IF(OR(_1_54128456121462410464578910174567[[#This Row],[UNIT]]&gt;0,_1_54128456121462410464578910174567[[#This Row],[UNIT]]&lt;0),_1_54128456121462410464578910174567[[#This Row],[UNIT]]*_1_54128456121462410464578910174567[[#This Row],[COST]],0)</f>
        <v>0</v>
      </c>
      <c r="N743" s="194">
        <f t="shared" si="11"/>
        <v>1.3</v>
      </c>
      <c r="O743" s="198">
        <f>_1_54128456121462410464578910174567[[#This Row],[TOTAL]]*_1_54128456121462410464578910174567[[#This Row],[MARGIN]]</f>
        <v>0</v>
      </c>
      <c r="R743" s="41"/>
    </row>
    <row r="744" spans="4:18">
      <c r="D744" s="188"/>
      <c r="F744" s="168" t="s">
        <v>6202</v>
      </c>
      <c r="G744" s="193">
        <f>IF(_1_54128456121462410464578910174567[[#This Row],[Type]]&gt;0,VLOOKUP(_1_54128456121462410464578910174567[[#This Row],[Type]],Main[[#All],[TYPE]:[UNIT]],'Unit Price'!C$1,FALSE),0)</f>
        <v>0</v>
      </c>
      <c r="H744" s="197">
        <f>IF(_1_54128456121462410464578910174567[[#This Row],[Type]]&gt;0,VLOOKUP(_1_54128456121462410464578910174567[[#This Row],[Type]],Main[[#All],[TYPE]:[UNIT]],'Unit Price'!D$1,FALSE),0)</f>
        <v>0</v>
      </c>
      <c r="I744" s="194">
        <f>IF(_1_54128456121462410464578910174567[[#This Row],[Type]]&gt;0,VLOOKUP(_1_54128456121462410464578910174567[[#This Row],[Type]],Main[[#All],[TYPE]:[UNIT]],'Unit Price'!G$1,FALSE),0)</f>
        <v>0</v>
      </c>
      <c r="J744" s="194">
        <f>IF(_1_54128456121462410464578910174567[[#This Row],[Type]]&gt;0,VLOOKUP(_1_54128456121462410464578910174567[[#This Row],[Type]],Main[[#All],[TYPE]:[UNIT]],'Unit Price'!H$1,FALSE),0)</f>
        <v>0</v>
      </c>
      <c r="K744" s="194">
        <f>IF(_1_54128456121462410464578910174567[[#This Row],[Discount selection]]&gt;0,VLOOKUP(_1_54128456121462410464578910174567[[#This Row],[Discount selection]],'Discount Structure'!$A$2:$B$30,2,"false"),0)</f>
        <v>1</v>
      </c>
      <c r="L744" s="194">
        <f>_1_54128456121462410464578910174567[[#This Row],[LIST $]]*_1_54128456121462410464578910174567[[#This Row],[DISCOUNT]]*_1_54128456121462410464578910174567[[#This Row],[DISCOUNT 2]]</f>
        <v>0</v>
      </c>
      <c r="M744" s="194">
        <f>IF(OR(_1_54128456121462410464578910174567[[#This Row],[UNIT]]&gt;0,_1_54128456121462410464578910174567[[#This Row],[UNIT]]&lt;0),_1_54128456121462410464578910174567[[#This Row],[UNIT]]*_1_54128456121462410464578910174567[[#This Row],[COST]],0)</f>
        <v>0</v>
      </c>
      <c r="N744" s="194">
        <f t="shared" si="11"/>
        <v>1.3</v>
      </c>
      <c r="O744" s="198">
        <f>_1_54128456121462410464578910174567[[#This Row],[TOTAL]]*_1_54128456121462410464578910174567[[#This Row],[MARGIN]]</f>
        <v>0</v>
      </c>
      <c r="R744" s="41"/>
    </row>
    <row r="745" spans="4:18">
      <c r="D745" s="188"/>
      <c r="F745" s="168" t="s">
        <v>6202</v>
      </c>
      <c r="G745" s="193">
        <f>IF(_1_54128456121462410464578910174567[[#This Row],[Type]]&gt;0,VLOOKUP(_1_54128456121462410464578910174567[[#This Row],[Type]],Main[[#All],[TYPE]:[UNIT]],'Unit Price'!C$1,FALSE),0)</f>
        <v>0</v>
      </c>
      <c r="H745" s="197">
        <f>IF(_1_54128456121462410464578910174567[[#This Row],[Type]]&gt;0,VLOOKUP(_1_54128456121462410464578910174567[[#This Row],[Type]],Main[[#All],[TYPE]:[UNIT]],'Unit Price'!D$1,FALSE),0)</f>
        <v>0</v>
      </c>
      <c r="I745" s="194">
        <f>IF(_1_54128456121462410464578910174567[[#This Row],[Type]]&gt;0,VLOOKUP(_1_54128456121462410464578910174567[[#This Row],[Type]],Main[[#All],[TYPE]:[UNIT]],'Unit Price'!G$1,FALSE),0)</f>
        <v>0</v>
      </c>
      <c r="J745" s="194">
        <f>IF(_1_54128456121462410464578910174567[[#This Row],[Type]]&gt;0,VLOOKUP(_1_54128456121462410464578910174567[[#This Row],[Type]],Main[[#All],[TYPE]:[UNIT]],'Unit Price'!H$1,FALSE),0)</f>
        <v>0</v>
      </c>
      <c r="K745" s="194">
        <f>IF(_1_54128456121462410464578910174567[[#This Row],[Discount selection]]&gt;0,VLOOKUP(_1_54128456121462410464578910174567[[#This Row],[Discount selection]],'Discount Structure'!$A$2:$B$30,2,"false"),0)</f>
        <v>1</v>
      </c>
      <c r="L745" s="194">
        <f>_1_54128456121462410464578910174567[[#This Row],[LIST $]]*_1_54128456121462410464578910174567[[#This Row],[DISCOUNT]]*_1_54128456121462410464578910174567[[#This Row],[DISCOUNT 2]]</f>
        <v>0</v>
      </c>
      <c r="M745" s="194">
        <f>IF(OR(_1_54128456121462410464578910174567[[#This Row],[UNIT]]&gt;0,_1_54128456121462410464578910174567[[#This Row],[UNIT]]&lt;0),_1_54128456121462410464578910174567[[#This Row],[UNIT]]*_1_54128456121462410464578910174567[[#This Row],[COST]],0)</f>
        <v>0</v>
      </c>
      <c r="N745" s="194">
        <f t="shared" si="11"/>
        <v>1.3</v>
      </c>
      <c r="O745" s="198">
        <f>_1_54128456121462410464578910174567[[#This Row],[TOTAL]]*_1_54128456121462410464578910174567[[#This Row],[MARGIN]]</f>
        <v>0</v>
      </c>
      <c r="R745" s="41"/>
    </row>
    <row r="746" spans="4:18">
      <c r="D746" s="188"/>
      <c r="F746" s="168" t="s">
        <v>6202</v>
      </c>
      <c r="G746" s="193">
        <f>IF(_1_54128456121462410464578910174567[[#This Row],[Type]]&gt;0,VLOOKUP(_1_54128456121462410464578910174567[[#This Row],[Type]],Main[[#All],[TYPE]:[UNIT]],'Unit Price'!C$1,FALSE),0)</f>
        <v>0</v>
      </c>
      <c r="H746" s="197">
        <f>IF(_1_54128456121462410464578910174567[[#This Row],[Type]]&gt;0,VLOOKUP(_1_54128456121462410464578910174567[[#This Row],[Type]],Main[[#All],[TYPE]:[UNIT]],'Unit Price'!D$1,FALSE),0)</f>
        <v>0</v>
      </c>
      <c r="I746" s="194">
        <f>IF(_1_54128456121462410464578910174567[[#This Row],[Type]]&gt;0,VLOOKUP(_1_54128456121462410464578910174567[[#This Row],[Type]],Main[[#All],[TYPE]:[UNIT]],'Unit Price'!G$1,FALSE),0)</f>
        <v>0</v>
      </c>
      <c r="J746" s="194">
        <f>IF(_1_54128456121462410464578910174567[[#This Row],[Type]]&gt;0,VLOOKUP(_1_54128456121462410464578910174567[[#This Row],[Type]],Main[[#All],[TYPE]:[UNIT]],'Unit Price'!H$1,FALSE),0)</f>
        <v>0</v>
      </c>
      <c r="K746" s="194">
        <f>IF(_1_54128456121462410464578910174567[[#This Row],[Discount selection]]&gt;0,VLOOKUP(_1_54128456121462410464578910174567[[#This Row],[Discount selection]],'Discount Structure'!$A$2:$B$30,2,"false"),0)</f>
        <v>1</v>
      </c>
      <c r="L746" s="194">
        <f>_1_54128456121462410464578910174567[[#This Row],[LIST $]]*_1_54128456121462410464578910174567[[#This Row],[DISCOUNT]]*_1_54128456121462410464578910174567[[#This Row],[DISCOUNT 2]]</f>
        <v>0</v>
      </c>
      <c r="M746" s="194">
        <f>IF(OR(_1_54128456121462410464578910174567[[#This Row],[UNIT]]&gt;0,_1_54128456121462410464578910174567[[#This Row],[UNIT]]&lt;0),_1_54128456121462410464578910174567[[#This Row],[UNIT]]*_1_54128456121462410464578910174567[[#This Row],[COST]],0)</f>
        <v>0</v>
      </c>
      <c r="N746" s="194">
        <f t="shared" si="11"/>
        <v>1.3</v>
      </c>
      <c r="O746" s="198">
        <f>_1_54128456121462410464578910174567[[#This Row],[TOTAL]]*_1_54128456121462410464578910174567[[#This Row],[MARGIN]]</f>
        <v>0</v>
      </c>
      <c r="R746" s="41"/>
    </row>
    <row r="747" spans="4:18">
      <c r="D747" s="188"/>
      <c r="F747" s="168" t="s">
        <v>6202</v>
      </c>
      <c r="G747" s="193">
        <f>IF(_1_54128456121462410464578910174567[[#This Row],[Type]]&gt;0,VLOOKUP(_1_54128456121462410464578910174567[[#This Row],[Type]],Main[[#All],[TYPE]:[UNIT]],'Unit Price'!C$1,FALSE),0)</f>
        <v>0</v>
      </c>
      <c r="H747" s="197">
        <f>IF(_1_54128456121462410464578910174567[[#This Row],[Type]]&gt;0,VLOOKUP(_1_54128456121462410464578910174567[[#This Row],[Type]],Main[[#All],[TYPE]:[UNIT]],'Unit Price'!D$1,FALSE),0)</f>
        <v>0</v>
      </c>
      <c r="I747" s="194">
        <f>IF(_1_54128456121462410464578910174567[[#This Row],[Type]]&gt;0,VLOOKUP(_1_54128456121462410464578910174567[[#This Row],[Type]],Main[[#All],[TYPE]:[UNIT]],'Unit Price'!G$1,FALSE),0)</f>
        <v>0</v>
      </c>
      <c r="J747" s="194">
        <f>IF(_1_54128456121462410464578910174567[[#This Row],[Type]]&gt;0,VLOOKUP(_1_54128456121462410464578910174567[[#This Row],[Type]],Main[[#All],[TYPE]:[UNIT]],'Unit Price'!H$1,FALSE),0)</f>
        <v>0</v>
      </c>
      <c r="K747" s="194">
        <f>IF(_1_54128456121462410464578910174567[[#This Row],[Discount selection]]&gt;0,VLOOKUP(_1_54128456121462410464578910174567[[#This Row],[Discount selection]],'Discount Structure'!$A$2:$B$30,2,"false"),0)</f>
        <v>1</v>
      </c>
      <c r="L747" s="194">
        <f>_1_54128456121462410464578910174567[[#This Row],[LIST $]]*_1_54128456121462410464578910174567[[#This Row],[DISCOUNT]]*_1_54128456121462410464578910174567[[#This Row],[DISCOUNT 2]]</f>
        <v>0</v>
      </c>
      <c r="M747" s="194">
        <f>IF(OR(_1_54128456121462410464578910174567[[#This Row],[UNIT]]&gt;0,_1_54128456121462410464578910174567[[#This Row],[UNIT]]&lt;0),_1_54128456121462410464578910174567[[#This Row],[UNIT]]*_1_54128456121462410464578910174567[[#This Row],[COST]],0)</f>
        <v>0</v>
      </c>
      <c r="N747" s="194">
        <f t="shared" si="11"/>
        <v>1.3</v>
      </c>
      <c r="O747" s="198">
        <f>_1_54128456121462410464578910174567[[#This Row],[TOTAL]]*_1_54128456121462410464578910174567[[#This Row],[MARGIN]]</f>
        <v>0</v>
      </c>
      <c r="R747" s="41"/>
    </row>
    <row r="748" spans="4:18">
      <c r="D748" s="188"/>
      <c r="F748" s="168" t="s">
        <v>6202</v>
      </c>
      <c r="G748" s="193">
        <f>IF(_1_54128456121462410464578910174567[[#This Row],[Type]]&gt;0,VLOOKUP(_1_54128456121462410464578910174567[[#This Row],[Type]],Main[[#All],[TYPE]:[UNIT]],'Unit Price'!C$1,FALSE),0)</f>
        <v>0</v>
      </c>
      <c r="H748" s="197">
        <f>IF(_1_54128456121462410464578910174567[[#This Row],[Type]]&gt;0,VLOOKUP(_1_54128456121462410464578910174567[[#This Row],[Type]],Main[[#All],[TYPE]:[UNIT]],'Unit Price'!D$1,FALSE),0)</f>
        <v>0</v>
      </c>
      <c r="I748" s="194">
        <f>IF(_1_54128456121462410464578910174567[[#This Row],[Type]]&gt;0,VLOOKUP(_1_54128456121462410464578910174567[[#This Row],[Type]],Main[[#All],[TYPE]:[UNIT]],'Unit Price'!G$1,FALSE),0)</f>
        <v>0</v>
      </c>
      <c r="J748" s="194">
        <f>IF(_1_54128456121462410464578910174567[[#This Row],[Type]]&gt;0,VLOOKUP(_1_54128456121462410464578910174567[[#This Row],[Type]],Main[[#All],[TYPE]:[UNIT]],'Unit Price'!H$1,FALSE),0)</f>
        <v>0</v>
      </c>
      <c r="K748" s="194">
        <f>IF(_1_54128456121462410464578910174567[[#This Row],[Discount selection]]&gt;0,VLOOKUP(_1_54128456121462410464578910174567[[#This Row],[Discount selection]],'Discount Structure'!$A$2:$B$30,2,"false"),0)</f>
        <v>1</v>
      </c>
      <c r="L748" s="194">
        <f>_1_54128456121462410464578910174567[[#This Row],[LIST $]]*_1_54128456121462410464578910174567[[#This Row],[DISCOUNT]]*_1_54128456121462410464578910174567[[#This Row],[DISCOUNT 2]]</f>
        <v>0</v>
      </c>
      <c r="M748" s="194">
        <f>IF(OR(_1_54128456121462410464578910174567[[#This Row],[UNIT]]&gt;0,_1_54128456121462410464578910174567[[#This Row],[UNIT]]&lt;0),_1_54128456121462410464578910174567[[#This Row],[UNIT]]*_1_54128456121462410464578910174567[[#This Row],[COST]],0)</f>
        <v>0</v>
      </c>
      <c r="N748" s="194">
        <f t="shared" si="11"/>
        <v>1.3</v>
      </c>
      <c r="O748" s="198">
        <f>_1_54128456121462410464578910174567[[#This Row],[TOTAL]]*_1_54128456121462410464578910174567[[#This Row],[MARGIN]]</f>
        <v>0</v>
      </c>
      <c r="R748" s="41"/>
    </row>
    <row r="749" spans="4:18">
      <c r="D749" s="188"/>
      <c r="F749" s="168" t="s">
        <v>6202</v>
      </c>
      <c r="G749" s="193">
        <f>IF(_1_54128456121462410464578910174567[[#This Row],[Type]]&gt;0,VLOOKUP(_1_54128456121462410464578910174567[[#This Row],[Type]],Main[[#All],[TYPE]:[UNIT]],'Unit Price'!C$1,FALSE),0)</f>
        <v>0</v>
      </c>
      <c r="H749" s="197">
        <f>IF(_1_54128456121462410464578910174567[[#This Row],[Type]]&gt;0,VLOOKUP(_1_54128456121462410464578910174567[[#This Row],[Type]],Main[[#All],[TYPE]:[UNIT]],'Unit Price'!D$1,FALSE),0)</f>
        <v>0</v>
      </c>
      <c r="I749" s="194">
        <f>IF(_1_54128456121462410464578910174567[[#This Row],[Type]]&gt;0,VLOOKUP(_1_54128456121462410464578910174567[[#This Row],[Type]],Main[[#All],[TYPE]:[UNIT]],'Unit Price'!G$1,FALSE),0)</f>
        <v>0</v>
      </c>
      <c r="J749" s="194">
        <f>IF(_1_54128456121462410464578910174567[[#This Row],[Type]]&gt;0,VLOOKUP(_1_54128456121462410464578910174567[[#This Row],[Type]],Main[[#All],[TYPE]:[UNIT]],'Unit Price'!H$1,FALSE),0)</f>
        <v>0</v>
      </c>
      <c r="K749" s="194">
        <f>IF(_1_54128456121462410464578910174567[[#This Row],[Discount selection]]&gt;0,VLOOKUP(_1_54128456121462410464578910174567[[#This Row],[Discount selection]],'Discount Structure'!$A$2:$B$30,2,"false"),0)</f>
        <v>1</v>
      </c>
      <c r="L749" s="194">
        <f>_1_54128456121462410464578910174567[[#This Row],[LIST $]]*_1_54128456121462410464578910174567[[#This Row],[DISCOUNT]]*_1_54128456121462410464578910174567[[#This Row],[DISCOUNT 2]]</f>
        <v>0</v>
      </c>
      <c r="M749" s="194">
        <f>IF(OR(_1_54128456121462410464578910174567[[#This Row],[UNIT]]&gt;0,_1_54128456121462410464578910174567[[#This Row],[UNIT]]&lt;0),_1_54128456121462410464578910174567[[#This Row],[UNIT]]*_1_54128456121462410464578910174567[[#This Row],[COST]],0)</f>
        <v>0</v>
      </c>
      <c r="N749" s="194">
        <f t="shared" si="11"/>
        <v>1.3</v>
      </c>
      <c r="O749" s="198">
        <f>_1_54128456121462410464578910174567[[#This Row],[TOTAL]]*_1_54128456121462410464578910174567[[#This Row],[MARGIN]]</f>
        <v>0</v>
      </c>
      <c r="R749" s="41"/>
    </row>
    <row r="750" spans="4:18">
      <c r="D750" s="188"/>
      <c r="F750" s="168" t="s">
        <v>6202</v>
      </c>
      <c r="G750" s="193">
        <f>IF(_1_54128456121462410464578910174567[[#This Row],[Type]]&gt;0,VLOOKUP(_1_54128456121462410464578910174567[[#This Row],[Type]],Main[[#All],[TYPE]:[UNIT]],'Unit Price'!C$1,FALSE),0)</f>
        <v>0</v>
      </c>
      <c r="H750" s="197">
        <f>IF(_1_54128456121462410464578910174567[[#This Row],[Type]]&gt;0,VLOOKUP(_1_54128456121462410464578910174567[[#This Row],[Type]],Main[[#All],[TYPE]:[UNIT]],'Unit Price'!D$1,FALSE),0)</f>
        <v>0</v>
      </c>
      <c r="I750" s="194">
        <f>IF(_1_54128456121462410464578910174567[[#This Row],[Type]]&gt;0,VLOOKUP(_1_54128456121462410464578910174567[[#This Row],[Type]],Main[[#All],[TYPE]:[UNIT]],'Unit Price'!G$1,FALSE),0)</f>
        <v>0</v>
      </c>
      <c r="J750" s="194">
        <f>IF(_1_54128456121462410464578910174567[[#This Row],[Type]]&gt;0,VLOOKUP(_1_54128456121462410464578910174567[[#This Row],[Type]],Main[[#All],[TYPE]:[UNIT]],'Unit Price'!H$1,FALSE),0)</f>
        <v>0</v>
      </c>
      <c r="K750" s="194">
        <f>IF(_1_54128456121462410464578910174567[[#This Row],[Discount selection]]&gt;0,VLOOKUP(_1_54128456121462410464578910174567[[#This Row],[Discount selection]],'Discount Structure'!$A$2:$B$30,2,"false"),0)</f>
        <v>1</v>
      </c>
      <c r="L750" s="194">
        <f>_1_54128456121462410464578910174567[[#This Row],[LIST $]]*_1_54128456121462410464578910174567[[#This Row],[DISCOUNT]]*_1_54128456121462410464578910174567[[#This Row],[DISCOUNT 2]]</f>
        <v>0</v>
      </c>
      <c r="M750" s="194">
        <f>IF(OR(_1_54128456121462410464578910174567[[#This Row],[UNIT]]&gt;0,_1_54128456121462410464578910174567[[#This Row],[UNIT]]&lt;0),_1_54128456121462410464578910174567[[#This Row],[UNIT]]*_1_54128456121462410464578910174567[[#This Row],[COST]],0)</f>
        <v>0</v>
      </c>
      <c r="N750" s="194">
        <f t="shared" si="11"/>
        <v>1.3</v>
      </c>
      <c r="O750" s="198">
        <f>_1_54128456121462410464578910174567[[#This Row],[TOTAL]]*_1_54128456121462410464578910174567[[#This Row],[MARGIN]]</f>
        <v>0</v>
      </c>
      <c r="R750" s="41"/>
    </row>
    <row r="751" spans="4:18">
      <c r="D751" s="188"/>
      <c r="F751" s="168" t="s">
        <v>6202</v>
      </c>
      <c r="G751" s="193">
        <f>IF(_1_54128456121462410464578910174567[[#This Row],[Type]]&gt;0,VLOOKUP(_1_54128456121462410464578910174567[[#This Row],[Type]],Main[[#All],[TYPE]:[UNIT]],'Unit Price'!C$1,FALSE),0)</f>
        <v>0</v>
      </c>
      <c r="H751" s="197">
        <f>IF(_1_54128456121462410464578910174567[[#This Row],[Type]]&gt;0,VLOOKUP(_1_54128456121462410464578910174567[[#This Row],[Type]],Main[[#All],[TYPE]:[UNIT]],'Unit Price'!D$1,FALSE),0)</f>
        <v>0</v>
      </c>
      <c r="I751" s="194">
        <f>IF(_1_54128456121462410464578910174567[[#This Row],[Type]]&gt;0,VLOOKUP(_1_54128456121462410464578910174567[[#This Row],[Type]],Main[[#All],[TYPE]:[UNIT]],'Unit Price'!G$1,FALSE),0)</f>
        <v>0</v>
      </c>
      <c r="J751" s="194">
        <f>IF(_1_54128456121462410464578910174567[[#This Row],[Type]]&gt;0,VLOOKUP(_1_54128456121462410464578910174567[[#This Row],[Type]],Main[[#All],[TYPE]:[UNIT]],'Unit Price'!H$1,FALSE),0)</f>
        <v>0</v>
      </c>
      <c r="K751" s="194">
        <f>IF(_1_54128456121462410464578910174567[[#This Row],[Discount selection]]&gt;0,VLOOKUP(_1_54128456121462410464578910174567[[#This Row],[Discount selection]],'Discount Structure'!$A$2:$B$30,2,"false"),0)</f>
        <v>1</v>
      </c>
      <c r="L751" s="194">
        <f>_1_54128456121462410464578910174567[[#This Row],[LIST $]]*_1_54128456121462410464578910174567[[#This Row],[DISCOUNT]]*_1_54128456121462410464578910174567[[#This Row],[DISCOUNT 2]]</f>
        <v>0</v>
      </c>
      <c r="M751" s="194">
        <f>IF(OR(_1_54128456121462410464578910174567[[#This Row],[UNIT]]&gt;0,_1_54128456121462410464578910174567[[#This Row],[UNIT]]&lt;0),_1_54128456121462410464578910174567[[#This Row],[UNIT]]*_1_54128456121462410464578910174567[[#This Row],[COST]],0)</f>
        <v>0</v>
      </c>
      <c r="N751" s="194">
        <f t="shared" si="11"/>
        <v>1.3</v>
      </c>
      <c r="O751" s="198">
        <f>_1_54128456121462410464578910174567[[#This Row],[TOTAL]]*_1_54128456121462410464578910174567[[#This Row],[MARGIN]]</f>
        <v>0</v>
      </c>
      <c r="R751" s="41"/>
    </row>
    <row r="752" spans="4:18">
      <c r="D752" s="188"/>
      <c r="F752" s="168" t="s">
        <v>6202</v>
      </c>
      <c r="G752" s="193">
        <f>IF(_1_54128456121462410464578910174567[[#This Row],[Type]]&gt;0,VLOOKUP(_1_54128456121462410464578910174567[[#This Row],[Type]],Main[[#All],[TYPE]:[UNIT]],'Unit Price'!C$1,FALSE),0)</f>
        <v>0</v>
      </c>
      <c r="H752" s="197">
        <f>IF(_1_54128456121462410464578910174567[[#This Row],[Type]]&gt;0,VLOOKUP(_1_54128456121462410464578910174567[[#This Row],[Type]],Main[[#All],[TYPE]:[UNIT]],'Unit Price'!D$1,FALSE),0)</f>
        <v>0</v>
      </c>
      <c r="I752" s="194">
        <f>IF(_1_54128456121462410464578910174567[[#This Row],[Type]]&gt;0,VLOOKUP(_1_54128456121462410464578910174567[[#This Row],[Type]],Main[[#All],[TYPE]:[UNIT]],'Unit Price'!G$1,FALSE),0)</f>
        <v>0</v>
      </c>
      <c r="J752" s="194">
        <f>IF(_1_54128456121462410464578910174567[[#This Row],[Type]]&gt;0,VLOOKUP(_1_54128456121462410464578910174567[[#This Row],[Type]],Main[[#All],[TYPE]:[UNIT]],'Unit Price'!H$1,FALSE),0)</f>
        <v>0</v>
      </c>
      <c r="K752" s="194">
        <f>IF(_1_54128456121462410464578910174567[[#This Row],[Discount selection]]&gt;0,VLOOKUP(_1_54128456121462410464578910174567[[#This Row],[Discount selection]],'Discount Structure'!$A$2:$B$30,2,"false"),0)</f>
        <v>1</v>
      </c>
      <c r="L752" s="194">
        <f>_1_54128456121462410464578910174567[[#This Row],[LIST $]]*_1_54128456121462410464578910174567[[#This Row],[DISCOUNT]]*_1_54128456121462410464578910174567[[#This Row],[DISCOUNT 2]]</f>
        <v>0</v>
      </c>
      <c r="M752" s="194">
        <f>IF(OR(_1_54128456121462410464578910174567[[#This Row],[UNIT]]&gt;0,_1_54128456121462410464578910174567[[#This Row],[UNIT]]&lt;0),_1_54128456121462410464578910174567[[#This Row],[UNIT]]*_1_54128456121462410464578910174567[[#This Row],[COST]],0)</f>
        <v>0</v>
      </c>
      <c r="N752" s="194">
        <f t="shared" si="11"/>
        <v>1.3</v>
      </c>
      <c r="O752" s="198">
        <f>_1_54128456121462410464578910174567[[#This Row],[TOTAL]]*_1_54128456121462410464578910174567[[#This Row],[MARGIN]]</f>
        <v>0</v>
      </c>
      <c r="R752" s="41"/>
    </row>
    <row r="753" spans="4:18">
      <c r="D753" s="188"/>
      <c r="F753" s="168" t="s">
        <v>6202</v>
      </c>
      <c r="G753" s="193">
        <f>IF(_1_54128456121462410464578910174567[[#This Row],[Type]]&gt;0,VLOOKUP(_1_54128456121462410464578910174567[[#This Row],[Type]],Main[[#All],[TYPE]:[UNIT]],'Unit Price'!C$1,FALSE),0)</f>
        <v>0</v>
      </c>
      <c r="H753" s="197">
        <f>IF(_1_54128456121462410464578910174567[[#This Row],[Type]]&gt;0,VLOOKUP(_1_54128456121462410464578910174567[[#This Row],[Type]],Main[[#All],[TYPE]:[UNIT]],'Unit Price'!D$1,FALSE),0)</f>
        <v>0</v>
      </c>
      <c r="I753" s="194">
        <f>IF(_1_54128456121462410464578910174567[[#This Row],[Type]]&gt;0,VLOOKUP(_1_54128456121462410464578910174567[[#This Row],[Type]],Main[[#All],[TYPE]:[UNIT]],'Unit Price'!G$1,FALSE),0)</f>
        <v>0</v>
      </c>
      <c r="J753" s="194">
        <f>IF(_1_54128456121462410464578910174567[[#This Row],[Type]]&gt;0,VLOOKUP(_1_54128456121462410464578910174567[[#This Row],[Type]],Main[[#All],[TYPE]:[UNIT]],'Unit Price'!H$1,FALSE),0)</f>
        <v>0</v>
      </c>
      <c r="K753" s="194">
        <f>IF(_1_54128456121462410464578910174567[[#This Row],[Discount selection]]&gt;0,VLOOKUP(_1_54128456121462410464578910174567[[#This Row],[Discount selection]],'Discount Structure'!$A$2:$B$30,2,"false"),0)</f>
        <v>1</v>
      </c>
      <c r="L753" s="194">
        <f>_1_54128456121462410464578910174567[[#This Row],[LIST $]]*_1_54128456121462410464578910174567[[#This Row],[DISCOUNT]]*_1_54128456121462410464578910174567[[#This Row],[DISCOUNT 2]]</f>
        <v>0</v>
      </c>
      <c r="M753" s="194">
        <f>IF(OR(_1_54128456121462410464578910174567[[#This Row],[UNIT]]&gt;0,_1_54128456121462410464578910174567[[#This Row],[UNIT]]&lt;0),_1_54128456121462410464578910174567[[#This Row],[UNIT]]*_1_54128456121462410464578910174567[[#This Row],[COST]],0)</f>
        <v>0</v>
      </c>
      <c r="N753" s="194">
        <f t="shared" si="11"/>
        <v>1.3</v>
      </c>
      <c r="O753" s="198">
        <f>_1_54128456121462410464578910174567[[#This Row],[TOTAL]]*_1_54128456121462410464578910174567[[#This Row],[MARGIN]]</f>
        <v>0</v>
      </c>
      <c r="R753" s="41"/>
    </row>
    <row r="754" spans="4:18">
      <c r="D754" s="188"/>
      <c r="F754" s="168" t="s">
        <v>6202</v>
      </c>
      <c r="G754" s="193">
        <f>IF(_1_54128456121462410464578910174567[[#This Row],[Type]]&gt;0,VLOOKUP(_1_54128456121462410464578910174567[[#This Row],[Type]],Main[[#All],[TYPE]:[UNIT]],'Unit Price'!C$1,FALSE),0)</f>
        <v>0</v>
      </c>
      <c r="H754" s="197">
        <f>IF(_1_54128456121462410464578910174567[[#This Row],[Type]]&gt;0,VLOOKUP(_1_54128456121462410464578910174567[[#This Row],[Type]],Main[[#All],[TYPE]:[UNIT]],'Unit Price'!D$1,FALSE),0)</f>
        <v>0</v>
      </c>
      <c r="I754" s="194">
        <f>IF(_1_54128456121462410464578910174567[[#This Row],[Type]]&gt;0,VLOOKUP(_1_54128456121462410464578910174567[[#This Row],[Type]],Main[[#All],[TYPE]:[UNIT]],'Unit Price'!G$1,FALSE),0)</f>
        <v>0</v>
      </c>
      <c r="J754" s="194">
        <f>IF(_1_54128456121462410464578910174567[[#This Row],[Type]]&gt;0,VLOOKUP(_1_54128456121462410464578910174567[[#This Row],[Type]],Main[[#All],[TYPE]:[UNIT]],'Unit Price'!H$1,FALSE),0)</f>
        <v>0</v>
      </c>
      <c r="K754" s="194">
        <f>IF(_1_54128456121462410464578910174567[[#This Row],[Discount selection]]&gt;0,VLOOKUP(_1_54128456121462410464578910174567[[#This Row],[Discount selection]],'Discount Structure'!$A$2:$B$30,2,"false"),0)</f>
        <v>1</v>
      </c>
      <c r="L754" s="194">
        <f>_1_54128456121462410464578910174567[[#This Row],[LIST $]]*_1_54128456121462410464578910174567[[#This Row],[DISCOUNT]]*_1_54128456121462410464578910174567[[#This Row],[DISCOUNT 2]]</f>
        <v>0</v>
      </c>
      <c r="M754" s="194">
        <f>IF(OR(_1_54128456121462410464578910174567[[#This Row],[UNIT]]&gt;0,_1_54128456121462410464578910174567[[#This Row],[UNIT]]&lt;0),_1_54128456121462410464578910174567[[#This Row],[UNIT]]*_1_54128456121462410464578910174567[[#This Row],[COST]],0)</f>
        <v>0</v>
      </c>
      <c r="N754" s="194">
        <f t="shared" si="11"/>
        <v>1.3</v>
      </c>
      <c r="O754" s="198">
        <f>_1_54128456121462410464578910174567[[#This Row],[TOTAL]]*_1_54128456121462410464578910174567[[#This Row],[MARGIN]]</f>
        <v>0</v>
      </c>
      <c r="R754" s="41"/>
    </row>
    <row r="755" spans="4:18">
      <c r="D755" s="188"/>
      <c r="F755" s="168" t="s">
        <v>6202</v>
      </c>
      <c r="G755" s="193">
        <f>IF(_1_54128456121462410464578910174567[[#This Row],[Type]]&gt;0,VLOOKUP(_1_54128456121462410464578910174567[[#This Row],[Type]],Main[[#All],[TYPE]:[UNIT]],'Unit Price'!C$1,FALSE),0)</f>
        <v>0</v>
      </c>
      <c r="H755" s="197">
        <f>IF(_1_54128456121462410464578910174567[[#This Row],[Type]]&gt;0,VLOOKUP(_1_54128456121462410464578910174567[[#This Row],[Type]],Main[[#All],[TYPE]:[UNIT]],'Unit Price'!D$1,FALSE),0)</f>
        <v>0</v>
      </c>
      <c r="I755" s="194">
        <f>IF(_1_54128456121462410464578910174567[[#This Row],[Type]]&gt;0,VLOOKUP(_1_54128456121462410464578910174567[[#This Row],[Type]],Main[[#All],[TYPE]:[UNIT]],'Unit Price'!G$1,FALSE),0)</f>
        <v>0</v>
      </c>
      <c r="J755" s="194">
        <f>IF(_1_54128456121462410464578910174567[[#This Row],[Type]]&gt;0,VLOOKUP(_1_54128456121462410464578910174567[[#This Row],[Type]],Main[[#All],[TYPE]:[UNIT]],'Unit Price'!H$1,FALSE),0)</f>
        <v>0</v>
      </c>
      <c r="K755" s="194">
        <f>IF(_1_54128456121462410464578910174567[[#This Row],[Discount selection]]&gt;0,VLOOKUP(_1_54128456121462410464578910174567[[#This Row],[Discount selection]],'Discount Structure'!$A$2:$B$30,2,"false"),0)</f>
        <v>1</v>
      </c>
      <c r="L755" s="194">
        <f>_1_54128456121462410464578910174567[[#This Row],[LIST $]]*_1_54128456121462410464578910174567[[#This Row],[DISCOUNT]]*_1_54128456121462410464578910174567[[#This Row],[DISCOUNT 2]]</f>
        <v>0</v>
      </c>
      <c r="M755" s="194">
        <f>IF(OR(_1_54128456121462410464578910174567[[#This Row],[UNIT]]&gt;0,_1_54128456121462410464578910174567[[#This Row],[UNIT]]&lt;0),_1_54128456121462410464578910174567[[#This Row],[UNIT]]*_1_54128456121462410464578910174567[[#This Row],[COST]],0)</f>
        <v>0</v>
      </c>
      <c r="N755" s="194">
        <f t="shared" si="11"/>
        <v>1.3</v>
      </c>
      <c r="O755" s="198">
        <f>_1_54128456121462410464578910174567[[#This Row],[TOTAL]]*_1_54128456121462410464578910174567[[#This Row],[MARGIN]]</f>
        <v>0</v>
      </c>
      <c r="R755" s="41"/>
    </row>
    <row r="756" spans="4:18">
      <c r="D756" s="188"/>
      <c r="F756" s="168" t="s">
        <v>6202</v>
      </c>
      <c r="G756" s="193">
        <f>IF(_1_54128456121462410464578910174567[[#This Row],[Type]]&gt;0,VLOOKUP(_1_54128456121462410464578910174567[[#This Row],[Type]],Main[[#All],[TYPE]:[UNIT]],'Unit Price'!C$1,FALSE),0)</f>
        <v>0</v>
      </c>
      <c r="H756" s="197">
        <f>IF(_1_54128456121462410464578910174567[[#This Row],[Type]]&gt;0,VLOOKUP(_1_54128456121462410464578910174567[[#This Row],[Type]],Main[[#All],[TYPE]:[UNIT]],'Unit Price'!D$1,FALSE),0)</f>
        <v>0</v>
      </c>
      <c r="I756" s="194">
        <f>IF(_1_54128456121462410464578910174567[[#This Row],[Type]]&gt;0,VLOOKUP(_1_54128456121462410464578910174567[[#This Row],[Type]],Main[[#All],[TYPE]:[UNIT]],'Unit Price'!G$1,FALSE),0)</f>
        <v>0</v>
      </c>
      <c r="J756" s="194">
        <f>IF(_1_54128456121462410464578910174567[[#This Row],[Type]]&gt;0,VLOOKUP(_1_54128456121462410464578910174567[[#This Row],[Type]],Main[[#All],[TYPE]:[UNIT]],'Unit Price'!H$1,FALSE),0)</f>
        <v>0</v>
      </c>
      <c r="K756" s="194">
        <f>IF(_1_54128456121462410464578910174567[[#This Row],[Discount selection]]&gt;0,VLOOKUP(_1_54128456121462410464578910174567[[#This Row],[Discount selection]],'Discount Structure'!$A$2:$B$30,2,"false"),0)</f>
        <v>1</v>
      </c>
      <c r="L756" s="194">
        <f>_1_54128456121462410464578910174567[[#This Row],[LIST $]]*_1_54128456121462410464578910174567[[#This Row],[DISCOUNT]]*_1_54128456121462410464578910174567[[#This Row],[DISCOUNT 2]]</f>
        <v>0</v>
      </c>
      <c r="M756" s="194">
        <f>IF(OR(_1_54128456121462410464578910174567[[#This Row],[UNIT]]&gt;0,_1_54128456121462410464578910174567[[#This Row],[UNIT]]&lt;0),_1_54128456121462410464578910174567[[#This Row],[UNIT]]*_1_54128456121462410464578910174567[[#This Row],[COST]],0)</f>
        <v>0</v>
      </c>
      <c r="N756" s="194">
        <f t="shared" si="11"/>
        <v>1.3</v>
      </c>
      <c r="O756" s="198">
        <f>_1_54128456121462410464578910174567[[#This Row],[TOTAL]]*_1_54128456121462410464578910174567[[#This Row],[MARGIN]]</f>
        <v>0</v>
      </c>
      <c r="R756" s="41"/>
    </row>
    <row r="757" spans="4:18">
      <c r="D757" s="188"/>
      <c r="F757" s="168" t="s">
        <v>6202</v>
      </c>
      <c r="G757" s="193">
        <f>IF(_1_54128456121462410464578910174567[[#This Row],[Type]]&gt;0,VLOOKUP(_1_54128456121462410464578910174567[[#This Row],[Type]],Main[[#All],[TYPE]:[UNIT]],'Unit Price'!C$1,FALSE),0)</f>
        <v>0</v>
      </c>
      <c r="H757" s="197">
        <f>IF(_1_54128456121462410464578910174567[[#This Row],[Type]]&gt;0,VLOOKUP(_1_54128456121462410464578910174567[[#This Row],[Type]],Main[[#All],[TYPE]:[UNIT]],'Unit Price'!D$1,FALSE),0)</f>
        <v>0</v>
      </c>
      <c r="I757" s="194">
        <f>IF(_1_54128456121462410464578910174567[[#This Row],[Type]]&gt;0,VLOOKUP(_1_54128456121462410464578910174567[[#This Row],[Type]],Main[[#All],[TYPE]:[UNIT]],'Unit Price'!G$1,FALSE),0)</f>
        <v>0</v>
      </c>
      <c r="J757" s="194">
        <f>IF(_1_54128456121462410464578910174567[[#This Row],[Type]]&gt;0,VLOOKUP(_1_54128456121462410464578910174567[[#This Row],[Type]],Main[[#All],[TYPE]:[UNIT]],'Unit Price'!H$1,FALSE),0)</f>
        <v>0</v>
      </c>
      <c r="K757" s="194">
        <f>IF(_1_54128456121462410464578910174567[[#This Row],[Discount selection]]&gt;0,VLOOKUP(_1_54128456121462410464578910174567[[#This Row],[Discount selection]],'Discount Structure'!$A$2:$B$30,2,"false"),0)</f>
        <v>1</v>
      </c>
      <c r="L757" s="194">
        <f>_1_54128456121462410464578910174567[[#This Row],[LIST $]]*_1_54128456121462410464578910174567[[#This Row],[DISCOUNT]]*_1_54128456121462410464578910174567[[#This Row],[DISCOUNT 2]]</f>
        <v>0</v>
      </c>
      <c r="M757" s="194">
        <f>IF(OR(_1_54128456121462410464578910174567[[#This Row],[UNIT]]&gt;0,_1_54128456121462410464578910174567[[#This Row],[UNIT]]&lt;0),_1_54128456121462410464578910174567[[#This Row],[UNIT]]*_1_54128456121462410464578910174567[[#This Row],[COST]],0)</f>
        <v>0</v>
      </c>
      <c r="N757" s="194">
        <f t="shared" si="11"/>
        <v>1.3</v>
      </c>
      <c r="O757" s="198">
        <f>_1_54128456121462410464578910174567[[#This Row],[TOTAL]]*_1_54128456121462410464578910174567[[#This Row],[MARGIN]]</f>
        <v>0</v>
      </c>
      <c r="R757" s="41"/>
    </row>
    <row r="758" spans="4:18">
      <c r="D758" s="188"/>
      <c r="F758" s="168" t="s">
        <v>6202</v>
      </c>
      <c r="G758" s="193">
        <f>IF(_1_54128456121462410464578910174567[[#This Row],[Type]]&gt;0,VLOOKUP(_1_54128456121462410464578910174567[[#This Row],[Type]],Main[[#All],[TYPE]:[UNIT]],'Unit Price'!C$1,FALSE),0)</f>
        <v>0</v>
      </c>
      <c r="H758" s="197">
        <f>IF(_1_54128456121462410464578910174567[[#This Row],[Type]]&gt;0,VLOOKUP(_1_54128456121462410464578910174567[[#This Row],[Type]],Main[[#All],[TYPE]:[UNIT]],'Unit Price'!D$1,FALSE),0)</f>
        <v>0</v>
      </c>
      <c r="I758" s="194">
        <f>IF(_1_54128456121462410464578910174567[[#This Row],[Type]]&gt;0,VLOOKUP(_1_54128456121462410464578910174567[[#This Row],[Type]],Main[[#All],[TYPE]:[UNIT]],'Unit Price'!G$1,FALSE),0)</f>
        <v>0</v>
      </c>
      <c r="J758" s="194">
        <f>IF(_1_54128456121462410464578910174567[[#This Row],[Type]]&gt;0,VLOOKUP(_1_54128456121462410464578910174567[[#This Row],[Type]],Main[[#All],[TYPE]:[UNIT]],'Unit Price'!H$1,FALSE),0)</f>
        <v>0</v>
      </c>
      <c r="K758" s="194">
        <f>IF(_1_54128456121462410464578910174567[[#This Row],[Discount selection]]&gt;0,VLOOKUP(_1_54128456121462410464578910174567[[#This Row],[Discount selection]],'Discount Structure'!$A$2:$B$30,2,"false"),0)</f>
        <v>1</v>
      </c>
      <c r="L758" s="194">
        <f>_1_54128456121462410464578910174567[[#This Row],[LIST $]]*_1_54128456121462410464578910174567[[#This Row],[DISCOUNT]]*_1_54128456121462410464578910174567[[#This Row],[DISCOUNT 2]]</f>
        <v>0</v>
      </c>
      <c r="M758" s="194">
        <f>IF(OR(_1_54128456121462410464578910174567[[#This Row],[UNIT]]&gt;0,_1_54128456121462410464578910174567[[#This Row],[UNIT]]&lt;0),_1_54128456121462410464578910174567[[#This Row],[UNIT]]*_1_54128456121462410464578910174567[[#This Row],[COST]],0)</f>
        <v>0</v>
      </c>
      <c r="N758" s="194">
        <f t="shared" si="11"/>
        <v>1.3</v>
      </c>
      <c r="O758" s="198">
        <f>_1_54128456121462410464578910174567[[#This Row],[TOTAL]]*_1_54128456121462410464578910174567[[#This Row],[MARGIN]]</f>
        <v>0</v>
      </c>
      <c r="R758" s="41"/>
    </row>
    <row r="759" spans="4:18">
      <c r="D759" s="188"/>
      <c r="F759" s="168" t="s">
        <v>6202</v>
      </c>
      <c r="G759" s="193">
        <f>IF(_1_54128456121462410464578910174567[[#This Row],[Type]]&gt;0,VLOOKUP(_1_54128456121462410464578910174567[[#This Row],[Type]],Main[[#All],[TYPE]:[UNIT]],'Unit Price'!C$1,FALSE),0)</f>
        <v>0</v>
      </c>
      <c r="H759" s="197">
        <f>IF(_1_54128456121462410464578910174567[[#This Row],[Type]]&gt;0,VLOOKUP(_1_54128456121462410464578910174567[[#This Row],[Type]],Main[[#All],[TYPE]:[UNIT]],'Unit Price'!D$1,FALSE),0)</f>
        <v>0</v>
      </c>
      <c r="I759" s="194">
        <f>IF(_1_54128456121462410464578910174567[[#This Row],[Type]]&gt;0,VLOOKUP(_1_54128456121462410464578910174567[[#This Row],[Type]],Main[[#All],[TYPE]:[UNIT]],'Unit Price'!G$1,FALSE),0)</f>
        <v>0</v>
      </c>
      <c r="J759" s="194">
        <f>IF(_1_54128456121462410464578910174567[[#This Row],[Type]]&gt;0,VLOOKUP(_1_54128456121462410464578910174567[[#This Row],[Type]],Main[[#All],[TYPE]:[UNIT]],'Unit Price'!H$1,FALSE),0)</f>
        <v>0</v>
      </c>
      <c r="K759" s="194">
        <f>IF(_1_54128456121462410464578910174567[[#This Row],[Discount selection]]&gt;0,VLOOKUP(_1_54128456121462410464578910174567[[#This Row],[Discount selection]],'Discount Structure'!$A$2:$B$30,2,"false"),0)</f>
        <v>1</v>
      </c>
      <c r="L759" s="194">
        <f>_1_54128456121462410464578910174567[[#This Row],[LIST $]]*_1_54128456121462410464578910174567[[#This Row],[DISCOUNT]]*_1_54128456121462410464578910174567[[#This Row],[DISCOUNT 2]]</f>
        <v>0</v>
      </c>
      <c r="M759" s="194">
        <f>IF(OR(_1_54128456121462410464578910174567[[#This Row],[UNIT]]&gt;0,_1_54128456121462410464578910174567[[#This Row],[UNIT]]&lt;0),_1_54128456121462410464578910174567[[#This Row],[UNIT]]*_1_54128456121462410464578910174567[[#This Row],[COST]],0)</f>
        <v>0</v>
      </c>
      <c r="N759" s="194">
        <f t="shared" si="11"/>
        <v>1.3</v>
      </c>
      <c r="O759" s="198">
        <f>_1_54128456121462410464578910174567[[#This Row],[TOTAL]]*_1_54128456121462410464578910174567[[#This Row],[MARGIN]]</f>
        <v>0</v>
      </c>
      <c r="R759" s="41"/>
    </row>
    <row r="760" spans="4:18">
      <c r="D760" s="188"/>
      <c r="F760" s="168" t="s">
        <v>6202</v>
      </c>
      <c r="G760" s="193">
        <f>IF(_1_54128456121462410464578910174567[[#This Row],[Type]]&gt;0,VLOOKUP(_1_54128456121462410464578910174567[[#This Row],[Type]],Main[[#All],[TYPE]:[UNIT]],'Unit Price'!C$1,FALSE),0)</f>
        <v>0</v>
      </c>
      <c r="H760" s="197">
        <f>IF(_1_54128456121462410464578910174567[[#This Row],[Type]]&gt;0,VLOOKUP(_1_54128456121462410464578910174567[[#This Row],[Type]],Main[[#All],[TYPE]:[UNIT]],'Unit Price'!D$1,FALSE),0)</f>
        <v>0</v>
      </c>
      <c r="I760" s="194">
        <f>IF(_1_54128456121462410464578910174567[[#This Row],[Type]]&gt;0,VLOOKUP(_1_54128456121462410464578910174567[[#This Row],[Type]],Main[[#All],[TYPE]:[UNIT]],'Unit Price'!G$1,FALSE),0)</f>
        <v>0</v>
      </c>
      <c r="J760" s="194">
        <f>IF(_1_54128456121462410464578910174567[[#This Row],[Type]]&gt;0,VLOOKUP(_1_54128456121462410464578910174567[[#This Row],[Type]],Main[[#All],[TYPE]:[UNIT]],'Unit Price'!H$1,FALSE),0)</f>
        <v>0</v>
      </c>
      <c r="K760" s="194">
        <f>IF(_1_54128456121462410464578910174567[[#This Row],[Discount selection]]&gt;0,VLOOKUP(_1_54128456121462410464578910174567[[#This Row],[Discount selection]],'Discount Structure'!$A$2:$B$30,2,"false"),0)</f>
        <v>1</v>
      </c>
      <c r="L760" s="194">
        <f>_1_54128456121462410464578910174567[[#This Row],[LIST $]]*_1_54128456121462410464578910174567[[#This Row],[DISCOUNT]]*_1_54128456121462410464578910174567[[#This Row],[DISCOUNT 2]]</f>
        <v>0</v>
      </c>
      <c r="M760" s="194">
        <f>IF(OR(_1_54128456121462410464578910174567[[#This Row],[UNIT]]&gt;0,_1_54128456121462410464578910174567[[#This Row],[UNIT]]&lt;0),_1_54128456121462410464578910174567[[#This Row],[UNIT]]*_1_54128456121462410464578910174567[[#This Row],[COST]],0)</f>
        <v>0</v>
      </c>
      <c r="N760" s="194">
        <f t="shared" si="11"/>
        <v>1.3</v>
      </c>
      <c r="O760" s="198">
        <f>_1_54128456121462410464578910174567[[#This Row],[TOTAL]]*_1_54128456121462410464578910174567[[#This Row],[MARGIN]]</f>
        <v>0</v>
      </c>
      <c r="R760" s="41"/>
    </row>
    <row r="761" spans="4:18">
      <c r="D761" s="188"/>
      <c r="F761" s="168" t="s">
        <v>6202</v>
      </c>
      <c r="G761" s="193">
        <f>IF(_1_54128456121462410464578910174567[[#This Row],[Type]]&gt;0,VLOOKUP(_1_54128456121462410464578910174567[[#This Row],[Type]],Main[[#All],[TYPE]:[UNIT]],'Unit Price'!C$1,FALSE),0)</f>
        <v>0</v>
      </c>
      <c r="H761" s="197">
        <f>IF(_1_54128456121462410464578910174567[[#This Row],[Type]]&gt;0,VLOOKUP(_1_54128456121462410464578910174567[[#This Row],[Type]],Main[[#All],[TYPE]:[UNIT]],'Unit Price'!D$1,FALSE),0)</f>
        <v>0</v>
      </c>
      <c r="I761" s="194">
        <f>IF(_1_54128456121462410464578910174567[[#This Row],[Type]]&gt;0,VLOOKUP(_1_54128456121462410464578910174567[[#This Row],[Type]],Main[[#All],[TYPE]:[UNIT]],'Unit Price'!G$1,FALSE),0)</f>
        <v>0</v>
      </c>
      <c r="J761" s="194">
        <f>IF(_1_54128456121462410464578910174567[[#This Row],[Type]]&gt;0,VLOOKUP(_1_54128456121462410464578910174567[[#This Row],[Type]],Main[[#All],[TYPE]:[UNIT]],'Unit Price'!H$1,FALSE),0)</f>
        <v>0</v>
      </c>
      <c r="K761" s="194">
        <f>IF(_1_54128456121462410464578910174567[[#This Row],[Discount selection]]&gt;0,VLOOKUP(_1_54128456121462410464578910174567[[#This Row],[Discount selection]],'Discount Structure'!$A$2:$B$30,2,"false"),0)</f>
        <v>1</v>
      </c>
      <c r="L761" s="194">
        <f>_1_54128456121462410464578910174567[[#This Row],[LIST $]]*_1_54128456121462410464578910174567[[#This Row],[DISCOUNT]]*_1_54128456121462410464578910174567[[#This Row],[DISCOUNT 2]]</f>
        <v>0</v>
      </c>
      <c r="M761" s="194">
        <f>IF(OR(_1_54128456121462410464578910174567[[#This Row],[UNIT]]&gt;0,_1_54128456121462410464578910174567[[#This Row],[UNIT]]&lt;0),_1_54128456121462410464578910174567[[#This Row],[UNIT]]*_1_54128456121462410464578910174567[[#This Row],[COST]],0)</f>
        <v>0</v>
      </c>
      <c r="N761" s="194">
        <f t="shared" si="11"/>
        <v>1.3</v>
      </c>
      <c r="O761" s="198">
        <f>_1_54128456121462410464578910174567[[#This Row],[TOTAL]]*_1_54128456121462410464578910174567[[#This Row],[MARGIN]]</f>
        <v>0</v>
      </c>
      <c r="R761" s="41"/>
    </row>
    <row r="762" spans="4:18">
      <c r="D762" s="188"/>
      <c r="F762" s="168" t="s">
        <v>6202</v>
      </c>
      <c r="G762" s="193">
        <f>IF(_1_54128456121462410464578910174567[[#This Row],[Type]]&gt;0,VLOOKUP(_1_54128456121462410464578910174567[[#This Row],[Type]],Main[[#All],[TYPE]:[UNIT]],'Unit Price'!C$1,FALSE),0)</f>
        <v>0</v>
      </c>
      <c r="H762" s="197">
        <f>IF(_1_54128456121462410464578910174567[[#This Row],[Type]]&gt;0,VLOOKUP(_1_54128456121462410464578910174567[[#This Row],[Type]],Main[[#All],[TYPE]:[UNIT]],'Unit Price'!D$1,FALSE),0)</f>
        <v>0</v>
      </c>
      <c r="I762" s="194">
        <f>IF(_1_54128456121462410464578910174567[[#This Row],[Type]]&gt;0,VLOOKUP(_1_54128456121462410464578910174567[[#This Row],[Type]],Main[[#All],[TYPE]:[UNIT]],'Unit Price'!G$1,FALSE),0)</f>
        <v>0</v>
      </c>
      <c r="J762" s="194">
        <f>IF(_1_54128456121462410464578910174567[[#This Row],[Type]]&gt;0,VLOOKUP(_1_54128456121462410464578910174567[[#This Row],[Type]],Main[[#All],[TYPE]:[UNIT]],'Unit Price'!H$1,FALSE),0)</f>
        <v>0</v>
      </c>
      <c r="K762" s="194">
        <f>IF(_1_54128456121462410464578910174567[[#This Row],[Discount selection]]&gt;0,VLOOKUP(_1_54128456121462410464578910174567[[#This Row],[Discount selection]],'Discount Structure'!$A$2:$B$30,2,"false"),0)</f>
        <v>1</v>
      </c>
      <c r="L762" s="194">
        <f>_1_54128456121462410464578910174567[[#This Row],[LIST $]]*_1_54128456121462410464578910174567[[#This Row],[DISCOUNT]]*_1_54128456121462410464578910174567[[#This Row],[DISCOUNT 2]]</f>
        <v>0</v>
      </c>
      <c r="M762" s="194">
        <f>IF(OR(_1_54128456121462410464578910174567[[#This Row],[UNIT]]&gt;0,_1_54128456121462410464578910174567[[#This Row],[UNIT]]&lt;0),_1_54128456121462410464578910174567[[#This Row],[UNIT]]*_1_54128456121462410464578910174567[[#This Row],[COST]],0)</f>
        <v>0</v>
      </c>
      <c r="N762" s="194">
        <f t="shared" si="11"/>
        <v>1.3</v>
      </c>
      <c r="O762" s="198">
        <f>_1_54128456121462410464578910174567[[#This Row],[TOTAL]]*_1_54128456121462410464578910174567[[#This Row],[MARGIN]]</f>
        <v>0</v>
      </c>
      <c r="R762" s="41"/>
    </row>
    <row r="763" spans="4:18">
      <c r="D763" s="188"/>
      <c r="F763" s="168" t="s">
        <v>6202</v>
      </c>
      <c r="G763" s="193">
        <f>IF(_1_54128456121462410464578910174567[[#This Row],[Type]]&gt;0,VLOOKUP(_1_54128456121462410464578910174567[[#This Row],[Type]],Main[[#All],[TYPE]:[UNIT]],'Unit Price'!C$1,FALSE),0)</f>
        <v>0</v>
      </c>
      <c r="H763" s="197">
        <f>IF(_1_54128456121462410464578910174567[[#This Row],[Type]]&gt;0,VLOOKUP(_1_54128456121462410464578910174567[[#This Row],[Type]],Main[[#All],[TYPE]:[UNIT]],'Unit Price'!D$1,FALSE),0)</f>
        <v>0</v>
      </c>
      <c r="I763" s="194">
        <f>IF(_1_54128456121462410464578910174567[[#This Row],[Type]]&gt;0,VLOOKUP(_1_54128456121462410464578910174567[[#This Row],[Type]],Main[[#All],[TYPE]:[UNIT]],'Unit Price'!G$1,FALSE),0)</f>
        <v>0</v>
      </c>
      <c r="J763" s="194">
        <f>IF(_1_54128456121462410464578910174567[[#This Row],[Type]]&gt;0,VLOOKUP(_1_54128456121462410464578910174567[[#This Row],[Type]],Main[[#All],[TYPE]:[UNIT]],'Unit Price'!H$1,FALSE),0)</f>
        <v>0</v>
      </c>
      <c r="K763" s="194">
        <f>IF(_1_54128456121462410464578910174567[[#This Row],[Discount selection]]&gt;0,VLOOKUP(_1_54128456121462410464578910174567[[#This Row],[Discount selection]],'Discount Structure'!$A$2:$B$30,2,"false"),0)</f>
        <v>1</v>
      </c>
      <c r="L763" s="194">
        <f>_1_54128456121462410464578910174567[[#This Row],[LIST $]]*_1_54128456121462410464578910174567[[#This Row],[DISCOUNT]]*_1_54128456121462410464578910174567[[#This Row],[DISCOUNT 2]]</f>
        <v>0</v>
      </c>
      <c r="M763" s="194">
        <f>IF(OR(_1_54128456121462410464578910174567[[#This Row],[UNIT]]&gt;0,_1_54128456121462410464578910174567[[#This Row],[UNIT]]&lt;0),_1_54128456121462410464578910174567[[#This Row],[UNIT]]*_1_54128456121462410464578910174567[[#This Row],[COST]],0)</f>
        <v>0</v>
      </c>
      <c r="N763" s="194">
        <f t="shared" si="11"/>
        <v>1.3</v>
      </c>
      <c r="O763" s="198">
        <f>_1_54128456121462410464578910174567[[#This Row],[TOTAL]]*_1_54128456121462410464578910174567[[#This Row],[MARGIN]]</f>
        <v>0</v>
      </c>
      <c r="R763" s="41"/>
    </row>
    <row r="764" spans="4:18">
      <c r="D764" s="188"/>
      <c r="F764" s="168" t="s">
        <v>6202</v>
      </c>
      <c r="G764" s="193">
        <f>IF(_1_54128456121462410464578910174567[[#This Row],[Type]]&gt;0,VLOOKUP(_1_54128456121462410464578910174567[[#This Row],[Type]],Main[[#All],[TYPE]:[UNIT]],'Unit Price'!C$1,FALSE),0)</f>
        <v>0</v>
      </c>
      <c r="H764" s="197">
        <f>IF(_1_54128456121462410464578910174567[[#This Row],[Type]]&gt;0,VLOOKUP(_1_54128456121462410464578910174567[[#This Row],[Type]],Main[[#All],[TYPE]:[UNIT]],'Unit Price'!D$1,FALSE),0)</f>
        <v>0</v>
      </c>
      <c r="I764" s="194">
        <f>IF(_1_54128456121462410464578910174567[[#This Row],[Type]]&gt;0,VLOOKUP(_1_54128456121462410464578910174567[[#This Row],[Type]],Main[[#All],[TYPE]:[UNIT]],'Unit Price'!G$1,FALSE),0)</f>
        <v>0</v>
      </c>
      <c r="J764" s="194">
        <f>IF(_1_54128456121462410464578910174567[[#This Row],[Type]]&gt;0,VLOOKUP(_1_54128456121462410464578910174567[[#This Row],[Type]],Main[[#All],[TYPE]:[UNIT]],'Unit Price'!H$1,FALSE),0)</f>
        <v>0</v>
      </c>
      <c r="K764" s="194">
        <f>IF(_1_54128456121462410464578910174567[[#This Row],[Discount selection]]&gt;0,VLOOKUP(_1_54128456121462410464578910174567[[#This Row],[Discount selection]],'Discount Structure'!$A$2:$B$30,2,"false"),0)</f>
        <v>1</v>
      </c>
      <c r="L764" s="194">
        <f>_1_54128456121462410464578910174567[[#This Row],[LIST $]]*_1_54128456121462410464578910174567[[#This Row],[DISCOUNT]]*_1_54128456121462410464578910174567[[#This Row],[DISCOUNT 2]]</f>
        <v>0</v>
      </c>
      <c r="M764" s="194">
        <f>IF(OR(_1_54128456121462410464578910174567[[#This Row],[UNIT]]&gt;0,_1_54128456121462410464578910174567[[#This Row],[UNIT]]&lt;0),_1_54128456121462410464578910174567[[#This Row],[UNIT]]*_1_54128456121462410464578910174567[[#This Row],[COST]],0)</f>
        <v>0</v>
      </c>
      <c r="N764" s="194">
        <f t="shared" si="11"/>
        <v>1.3</v>
      </c>
      <c r="O764" s="198">
        <f>_1_54128456121462410464578910174567[[#This Row],[TOTAL]]*_1_54128456121462410464578910174567[[#This Row],[MARGIN]]</f>
        <v>0</v>
      </c>
      <c r="R764" s="41"/>
    </row>
    <row r="765" spans="4:18">
      <c r="D765" s="188"/>
      <c r="F765" s="168" t="s">
        <v>6202</v>
      </c>
      <c r="G765" s="193">
        <f>IF(_1_54128456121462410464578910174567[[#This Row],[Type]]&gt;0,VLOOKUP(_1_54128456121462410464578910174567[[#This Row],[Type]],Main[[#All],[TYPE]:[UNIT]],'Unit Price'!C$1,FALSE),0)</f>
        <v>0</v>
      </c>
      <c r="H765" s="197">
        <f>IF(_1_54128456121462410464578910174567[[#This Row],[Type]]&gt;0,VLOOKUP(_1_54128456121462410464578910174567[[#This Row],[Type]],Main[[#All],[TYPE]:[UNIT]],'Unit Price'!D$1,FALSE),0)</f>
        <v>0</v>
      </c>
      <c r="I765" s="194">
        <f>IF(_1_54128456121462410464578910174567[[#This Row],[Type]]&gt;0,VLOOKUP(_1_54128456121462410464578910174567[[#This Row],[Type]],Main[[#All],[TYPE]:[UNIT]],'Unit Price'!G$1,FALSE),0)</f>
        <v>0</v>
      </c>
      <c r="J765" s="194">
        <f>IF(_1_54128456121462410464578910174567[[#This Row],[Type]]&gt;0,VLOOKUP(_1_54128456121462410464578910174567[[#This Row],[Type]],Main[[#All],[TYPE]:[UNIT]],'Unit Price'!H$1,FALSE),0)</f>
        <v>0</v>
      </c>
      <c r="K765" s="194">
        <f>IF(_1_54128456121462410464578910174567[[#This Row],[Discount selection]]&gt;0,VLOOKUP(_1_54128456121462410464578910174567[[#This Row],[Discount selection]],'Discount Structure'!$A$2:$B$30,2,"false"),0)</f>
        <v>1</v>
      </c>
      <c r="L765" s="194">
        <f>_1_54128456121462410464578910174567[[#This Row],[LIST $]]*_1_54128456121462410464578910174567[[#This Row],[DISCOUNT]]*_1_54128456121462410464578910174567[[#This Row],[DISCOUNT 2]]</f>
        <v>0</v>
      </c>
      <c r="M765" s="194">
        <f>IF(OR(_1_54128456121462410464578910174567[[#This Row],[UNIT]]&gt;0,_1_54128456121462410464578910174567[[#This Row],[UNIT]]&lt;0),_1_54128456121462410464578910174567[[#This Row],[UNIT]]*_1_54128456121462410464578910174567[[#This Row],[COST]],0)</f>
        <v>0</v>
      </c>
      <c r="N765" s="194">
        <f t="shared" si="11"/>
        <v>1.3</v>
      </c>
      <c r="O765" s="198">
        <f>_1_54128456121462410464578910174567[[#This Row],[TOTAL]]*_1_54128456121462410464578910174567[[#This Row],[MARGIN]]</f>
        <v>0</v>
      </c>
      <c r="R765" s="41"/>
    </row>
    <row r="766" spans="4:18">
      <c r="D766" s="188"/>
      <c r="F766" s="168" t="s">
        <v>6202</v>
      </c>
      <c r="G766" s="193">
        <f>IF(_1_54128456121462410464578910174567[[#This Row],[Type]]&gt;0,VLOOKUP(_1_54128456121462410464578910174567[[#This Row],[Type]],Main[[#All],[TYPE]:[UNIT]],'Unit Price'!C$1,FALSE),0)</f>
        <v>0</v>
      </c>
      <c r="H766" s="197">
        <f>IF(_1_54128456121462410464578910174567[[#This Row],[Type]]&gt;0,VLOOKUP(_1_54128456121462410464578910174567[[#This Row],[Type]],Main[[#All],[TYPE]:[UNIT]],'Unit Price'!D$1,FALSE),0)</f>
        <v>0</v>
      </c>
      <c r="I766" s="194">
        <f>IF(_1_54128456121462410464578910174567[[#This Row],[Type]]&gt;0,VLOOKUP(_1_54128456121462410464578910174567[[#This Row],[Type]],Main[[#All],[TYPE]:[UNIT]],'Unit Price'!G$1,FALSE),0)</f>
        <v>0</v>
      </c>
      <c r="J766" s="194">
        <f>IF(_1_54128456121462410464578910174567[[#This Row],[Type]]&gt;0,VLOOKUP(_1_54128456121462410464578910174567[[#This Row],[Type]],Main[[#All],[TYPE]:[UNIT]],'Unit Price'!H$1,FALSE),0)</f>
        <v>0</v>
      </c>
      <c r="K766" s="194">
        <f>IF(_1_54128456121462410464578910174567[[#This Row],[Discount selection]]&gt;0,VLOOKUP(_1_54128456121462410464578910174567[[#This Row],[Discount selection]],'Discount Structure'!$A$2:$B$30,2,"false"),0)</f>
        <v>1</v>
      </c>
      <c r="L766" s="194">
        <f>_1_54128456121462410464578910174567[[#This Row],[LIST $]]*_1_54128456121462410464578910174567[[#This Row],[DISCOUNT]]*_1_54128456121462410464578910174567[[#This Row],[DISCOUNT 2]]</f>
        <v>0</v>
      </c>
      <c r="M766" s="194">
        <f>IF(OR(_1_54128456121462410464578910174567[[#This Row],[UNIT]]&gt;0,_1_54128456121462410464578910174567[[#This Row],[UNIT]]&lt;0),_1_54128456121462410464578910174567[[#This Row],[UNIT]]*_1_54128456121462410464578910174567[[#This Row],[COST]],0)</f>
        <v>0</v>
      </c>
      <c r="N766" s="194">
        <f t="shared" si="11"/>
        <v>1.3</v>
      </c>
      <c r="O766" s="198">
        <f>_1_54128456121462410464578910174567[[#This Row],[TOTAL]]*_1_54128456121462410464578910174567[[#This Row],[MARGIN]]</f>
        <v>0</v>
      </c>
      <c r="R766" s="41"/>
    </row>
    <row r="767" spans="4:18">
      <c r="D767" s="188"/>
      <c r="F767" s="168" t="s">
        <v>6202</v>
      </c>
      <c r="G767" s="193">
        <f>IF(_1_54128456121462410464578910174567[[#This Row],[Type]]&gt;0,VLOOKUP(_1_54128456121462410464578910174567[[#This Row],[Type]],Main[[#All],[TYPE]:[UNIT]],'Unit Price'!C$1,FALSE),0)</f>
        <v>0</v>
      </c>
      <c r="H767" s="197">
        <f>IF(_1_54128456121462410464578910174567[[#This Row],[Type]]&gt;0,VLOOKUP(_1_54128456121462410464578910174567[[#This Row],[Type]],Main[[#All],[TYPE]:[UNIT]],'Unit Price'!D$1,FALSE),0)</f>
        <v>0</v>
      </c>
      <c r="I767" s="194">
        <f>IF(_1_54128456121462410464578910174567[[#This Row],[Type]]&gt;0,VLOOKUP(_1_54128456121462410464578910174567[[#This Row],[Type]],Main[[#All],[TYPE]:[UNIT]],'Unit Price'!G$1,FALSE),0)</f>
        <v>0</v>
      </c>
      <c r="J767" s="194">
        <f>IF(_1_54128456121462410464578910174567[[#This Row],[Type]]&gt;0,VLOOKUP(_1_54128456121462410464578910174567[[#This Row],[Type]],Main[[#All],[TYPE]:[UNIT]],'Unit Price'!H$1,FALSE),0)</f>
        <v>0</v>
      </c>
      <c r="K767" s="194">
        <f>IF(_1_54128456121462410464578910174567[[#This Row],[Discount selection]]&gt;0,VLOOKUP(_1_54128456121462410464578910174567[[#This Row],[Discount selection]],'Discount Structure'!$A$2:$B$30,2,"false"),0)</f>
        <v>1</v>
      </c>
      <c r="L767" s="194">
        <f>_1_54128456121462410464578910174567[[#This Row],[LIST $]]*_1_54128456121462410464578910174567[[#This Row],[DISCOUNT]]*_1_54128456121462410464578910174567[[#This Row],[DISCOUNT 2]]</f>
        <v>0</v>
      </c>
      <c r="M767" s="194">
        <f>IF(OR(_1_54128456121462410464578910174567[[#This Row],[UNIT]]&gt;0,_1_54128456121462410464578910174567[[#This Row],[UNIT]]&lt;0),_1_54128456121462410464578910174567[[#This Row],[UNIT]]*_1_54128456121462410464578910174567[[#This Row],[COST]],0)</f>
        <v>0</v>
      </c>
      <c r="N767" s="194">
        <f t="shared" si="11"/>
        <v>1.3</v>
      </c>
      <c r="O767" s="198">
        <f>_1_54128456121462410464578910174567[[#This Row],[TOTAL]]*_1_54128456121462410464578910174567[[#This Row],[MARGIN]]</f>
        <v>0</v>
      </c>
      <c r="R767" s="41"/>
    </row>
    <row r="768" spans="4:18">
      <c r="D768" s="188"/>
      <c r="F768" s="168" t="s">
        <v>6202</v>
      </c>
      <c r="G768" s="193">
        <f>IF(_1_54128456121462410464578910174567[[#This Row],[Type]]&gt;0,VLOOKUP(_1_54128456121462410464578910174567[[#This Row],[Type]],Main[[#All],[TYPE]:[UNIT]],'Unit Price'!C$1,FALSE),0)</f>
        <v>0</v>
      </c>
      <c r="H768" s="197">
        <f>IF(_1_54128456121462410464578910174567[[#This Row],[Type]]&gt;0,VLOOKUP(_1_54128456121462410464578910174567[[#This Row],[Type]],Main[[#All],[TYPE]:[UNIT]],'Unit Price'!D$1,FALSE),0)</f>
        <v>0</v>
      </c>
      <c r="I768" s="194">
        <f>IF(_1_54128456121462410464578910174567[[#This Row],[Type]]&gt;0,VLOOKUP(_1_54128456121462410464578910174567[[#This Row],[Type]],Main[[#All],[TYPE]:[UNIT]],'Unit Price'!G$1,FALSE),0)</f>
        <v>0</v>
      </c>
      <c r="J768" s="194">
        <f>IF(_1_54128456121462410464578910174567[[#This Row],[Type]]&gt;0,VLOOKUP(_1_54128456121462410464578910174567[[#This Row],[Type]],Main[[#All],[TYPE]:[UNIT]],'Unit Price'!H$1,FALSE),0)</f>
        <v>0</v>
      </c>
      <c r="K768" s="194">
        <f>IF(_1_54128456121462410464578910174567[[#This Row],[Discount selection]]&gt;0,VLOOKUP(_1_54128456121462410464578910174567[[#This Row],[Discount selection]],'Discount Structure'!$A$2:$B$30,2,"false"),0)</f>
        <v>1</v>
      </c>
      <c r="L768" s="194">
        <f>_1_54128456121462410464578910174567[[#This Row],[LIST $]]*_1_54128456121462410464578910174567[[#This Row],[DISCOUNT]]*_1_54128456121462410464578910174567[[#This Row],[DISCOUNT 2]]</f>
        <v>0</v>
      </c>
      <c r="M768" s="194">
        <f>IF(OR(_1_54128456121462410464578910174567[[#This Row],[UNIT]]&gt;0,_1_54128456121462410464578910174567[[#This Row],[UNIT]]&lt;0),_1_54128456121462410464578910174567[[#This Row],[UNIT]]*_1_54128456121462410464578910174567[[#This Row],[COST]],0)</f>
        <v>0</v>
      </c>
      <c r="N768" s="194">
        <f t="shared" si="11"/>
        <v>1.3</v>
      </c>
      <c r="O768" s="198">
        <f>_1_54128456121462410464578910174567[[#This Row],[TOTAL]]*_1_54128456121462410464578910174567[[#This Row],[MARGIN]]</f>
        <v>0</v>
      </c>
      <c r="R768" s="41"/>
    </row>
    <row r="769" spans="4:18">
      <c r="D769" s="188"/>
      <c r="F769" s="168" t="s">
        <v>6202</v>
      </c>
      <c r="G769" s="193">
        <f>IF(_1_54128456121462410464578910174567[[#This Row],[Type]]&gt;0,VLOOKUP(_1_54128456121462410464578910174567[[#This Row],[Type]],Main[[#All],[TYPE]:[UNIT]],'Unit Price'!C$1,FALSE),0)</f>
        <v>0</v>
      </c>
      <c r="H769" s="197">
        <f>IF(_1_54128456121462410464578910174567[[#This Row],[Type]]&gt;0,VLOOKUP(_1_54128456121462410464578910174567[[#This Row],[Type]],Main[[#All],[TYPE]:[UNIT]],'Unit Price'!D$1,FALSE),0)</f>
        <v>0</v>
      </c>
      <c r="I769" s="194">
        <f>IF(_1_54128456121462410464578910174567[[#This Row],[Type]]&gt;0,VLOOKUP(_1_54128456121462410464578910174567[[#This Row],[Type]],Main[[#All],[TYPE]:[UNIT]],'Unit Price'!G$1,FALSE),0)</f>
        <v>0</v>
      </c>
      <c r="J769" s="194">
        <f>IF(_1_54128456121462410464578910174567[[#This Row],[Type]]&gt;0,VLOOKUP(_1_54128456121462410464578910174567[[#This Row],[Type]],Main[[#All],[TYPE]:[UNIT]],'Unit Price'!H$1,FALSE),0)</f>
        <v>0</v>
      </c>
      <c r="K769" s="194">
        <f>IF(_1_54128456121462410464578910174567[[#This Row],[Discount selection]]&gt;0,VLOOKUP(_1_54128456121462410464578910174567[[#This Row],[Discount selection]],'Discount Structure'!$A$2:$B$30,2,"false"),0)</f>
        <v>1</v>
      </c>
      <c r="L769" s="194">
        <f>_1_54128456121462410464578910174567[[#This Row],[LIST $]]*_1_54128456121462410464578910174567[[#This Row],[DISCOUNT]]*_1_54128456121462410464578910174567[[#This Row],[DISCOUNT 2]]</f>
        <v>0</v>
      </c>
      <c r="M769" s="194">
        <f>IF(OR(_1_54128456121462410464578910174567[[#This Row],[UNIT]]&gt;0,_1_54128456121462410464578910174567[[#This Row],[UNIT]]&lt;0),_1_54128456121462410464578910174567[[#This Row],[UNIT]]*_1_54128456121462410464578910174567[[#This Row],[COST]],0)</f>
        <v>0</v>
      </c>
      <c r="N769" s="194">
        <f t="shared" si="11"/>
        <v>1.3</v>
      </c>
      <c r="O769" s="198">
        <f>_1_54128456121462410464578910174567[[#This Row],[TOTAL]]*_1_54128456121462410464578910174567[[#This Row],[MARGIN]]</f>
        <v>0</v>
      </c>
      <c r="R769" s="41"/>
    </row>
    <row r="770" spans="4:18">
      <c r="D770" s="188"/>
      <c r="F770" s="168" t="s">
        <v>6202</v>
      </c>
      <c r="G770" s="193">
        <f>IF(_1_54128456121462410464578910174567[[#This Row],[Type]]&gt;0,VLOOKUP(_1_54128456121462410464578910174567[[#This Row],[Type]],Main[[#All],[TYPE]:[UNIT]],'Unit Price'!C$1,FALSE),0)</f>
        <v>0</v>
      </c>
      <c r="H770" s="197">
        <f>IF(_1_54128456121462410464578910174567[[#This Row],[Type]]&gt;0,VLOOKUP(_1_54128456121462410464578910174567[[#This Row],[Type]],Main[[#All],[TYPE]:[UNIT]],'Unit Price'!D$1,FALSE),0)</f>
        <v>0</v>
      </c>
      <c r="I770" s="194">
        <f>IF(_1_54128456121462410464578910174567[[#This Row],[Type]]&gt;0,VLOOKUP(_1_54128456121462410464578910174567[[#This Row],[Type]],Main[[#All],[TYPE]:[UNIT]],'Unit Price'!G$1,FALSE),0)</f>
        <v>0</v>
      </c>
      <c r="J770" s="194">
        <f>IF(_1_54128456121462410464578910174567[[#This Row],[Type]]&gt;0,VLOOKUP(_1_54128456121462410464578910174567[[#This Row],[Type]],Main[[#All],[TYPE]:[UNIT]],'Unit Price'!H$1,FALSE),0)</f>
        <v>0</v>
      </c>
      <c r="K770" s="194">
        <f>IF(_1_54128456121462410464578910174567[[#This Row],[Discount selection]]&gt;0,VLOOKUP(_1_54128456121462410464578910174567[[#This Row],[Discount selection]],'Discount Structure'!$A$2:$B$30,2,"false"),0)</f>
        <v>1</v>
      </c>
      <c r="L770" s="194">
        <f>_1_54128456121462410464578910174567[[#This Row],[LIST $]]*_1_54128456121462410464578910174567[[#This Row],[DISCOUNT]]*_1_54128456121462410464578910174567[[#This Row],[DISCOUNT 2]]</f>
        <v>0</v>
      </c>
      <c r="M770" s="194">
        <f>IF(OR(_1_54128456121462410464578910174567[[#This Row],[UNIT]]&gt;0,_1_54128456121462410464578910174567[[#This Row],[UNIT]]&lt;0),_1_54128456121462410464578910174567[[#This Row],[UNIT]]*_1_54128456121462410464578910174567[[#This Row],[COST]],0)</f>
        <v>0</v>
      </c>
      <c r="N770" s="194">
        <f t="shared" si="11"/>
        <v>1.3</v>
      </c>
      <c r="O770" s="198">
        <f>_1_54128456121462410464578910174567[[#This Row],[TOTAL]]*_1_54128456121462410464578910174567[[#This Row],[MARGIN]]</f>
        <v>0</v>
      </c>
      <c r="R770" s="41"/>
    </row>
    <row r="771" spans="4:18">
      <c r="D771" s="188"/>
      <c r="F771" s="168" t="s">
        <v>6202</v>
      </c>
      <c r="G771" s="193">
        <f>IF(_1_54128456121462410464578910174567[[#This Row],[Type]]&gt;0,VLOOKUP(_1_54128456121462410464578910174567[[#This Row],[Type]],Main[[#All],[TYPE]:[UNIT]],'Unit Price'!C$1,FALSE),0)</f>
        <v>0</v>
      </c>
      <c r="H771" s="197">
        <f>IF(_1_54128456121462410464578910174567[[#This Row],[Type]]&gt;0,VLOOKUP(_1_54128456121462410464578910174567[[#This Row],[Type]],Main[[#All],[TYPE]:[UNIT]],'Unit Price'!D$1,FALSE),0)</f>
        <v>0</v>
      </c>
      <c r="I771" s="194">
        <f>IF(_1_54128456121462410464578910174567[[#This Row],[Type]]&gt;0,VLOOKUP(_1_54128456121462410464578910174567[[#This Row],[Type]],Main[[#All],[TYPE]:[UNIT]],'Unit Price'!G$1,FALSE),0)</f>
        <v>0</v>
      </c>
      <c r="J771" s="194">
        <f>IF(_1_54128456121462410464578910174567[[#This Row],[Type]]&gt;0,VLOOKUP(_1_54128456121462410464578910174567[[#This Row],[Type]],Main[[#All],[TYPE]:[UNIT]],'Unit Price'!H$1,FALSE),0)</f>
        <v>0</v>
      </c>
      <c r="K771" s="194">
        <f>IF(_1_54128456121462410464578910174567[[#This Row],[Discount selection]]&gt;0,VLOOKUP(_1_54128456121462410464578910174567[[#This Row],[Discount selection]],'Discount Structure'!$A$2:$B$30,2,"false"),0)</f>
        <v>1</v>
      </c>
      <c r="L771" s="194">
        <f>_1_54128456121462410464578910174567[[#This Row],[LIST $]]*_1_54128456121462410464578910174567[[#This Row],[DISCOUNT]]*_1_54128456121462410464578910174567[[#This Row],[DISCOUNT 2]]</f>
        <v>0</v>
      </c>
      <c r="M771" s="194">
        <f>IF(OR(_1_54128456121462410464578910174567[[#This Row],[UNIT]]&gt;0,_1_54128456121462410464578910174567[[#This Row],[UNIT]]&lt;0),_1_54128456121462410464578910174567[[#This Row],[UNIT]]*_1_54128456121462410464578910174567[[#This Row],[COST]],0)</f>
        <v>0</v>
      </c>
      <c r="N771" s="194">
        <f t="shared" si="11"/>
        <v>1.3</v>
      </c>
      <c r="O771" s="198">
        <f>_1_54128456121462410464578910174567[[#This Row],[TOTAL]]*_1_54128456121462410464578910174567[[#This Row],[MARGIN]]</f>
        <v>0</v>
      </c>
      <c r="R771" s="41"/>
    </row>
    <row r="772" spans="4:18">
      <c r="D772" s="188"/>
      <c r="F772" s="168" t="s">
        <v>6202</v>
      </c>
      <c r="G772" s="193">
        <f>IF(_1_54128456121462410464578910174567[[#This Row],[Type]]&gt;0,VLOOKUP(_1_54128456121462410464578910174567[[#This Row],[Type]],Main[[#All],[TYPE]:[UNIT]],'Unit Price'!C$1,FALSE),0)</f>
        <v>0</v>
      </c>
      <c r="H772" s="197">
        <f>IF(_1_54128456121462410464578910174567[[#This Row],[Type]]&gt;0,VLOOKUP(_1_54128456121462410464578910174567[[#This Row],[Type]],Main[[#All],[TYPE]:[UNIT]],'Unit Price'!D$1,FALSE),0)</f>
        <v>0</v>
      </c>
      <c r="I772" s="194">
        <f>IF(_1_54128456121462410464578910174567[[#This Row],[Type]]&gt;0,VLOOKUP(_1_54128456121462410464578910174567[[#This Row],[Type]],Main[[#All],[TYPE]:[UNIT]],'Unit Price'!G$1,FALSE),0)</f>
        <v>0</v>
      </c>
      <c r="J772" s="194">
        <f>IF(_1_54128456121462410464578910174567[[#This Row],[Type]]&gt;0,VLOOKUP(_1_54128456121462410464578910174567[[#This Row],[Type]],Main[[#All],[TYPE]:[UNIT]],'Unit Price'!H$1,FALSE),0)</f>
        <v>0</v>
      </c>
      <c r="K772" s="194">
        <f>IF(_1_54128456121462410464578910174567[[#This Row],[Discount selection]]&gt;0,VLOOKUP(_1_54128456121462410464578910174567[[#This Row],[Discount selection]],'Discount Structure'!$A$2:$B$30,2,"false"),0)</f>
        <v>1</v>
      </c>
      <c r="L772" s="194">
        <f>_1_54128456121462410464578910174567[[#This Row],[LIST $]]*_1_54128456121462410464578910174567[[#This Row],[DISCOUNT]]*_1_54128456121462410464578910174567[[#This Row],[DISCOUNT 2]]</f>
        <v>0</v>
      </c>
      <c r="M772" s="194">
        <f>IF(OR(_1_54128456121462410464578910174567[[#This Row],[UNIT]]&gt;0,_1_54128456121462410464578910174567[[#This Row],[UNIT]]&lt;0),_1_54128456121462410464578910174567[[#This Row],[UNIT]]*_1_54128456121462410464578910174567[[#This Row],[COST]],0)</f>
        <v>0</v>
      </c>
      <c r="N772" s="194">
        <f t="shared" si="11"/>
        <v>1.3</v>
      </c>
      <c r="O772" s="198">
        <f>_1_54128456121462410464578910174567[[#This Row],[TOTAL]]*_1_54128456121462410464578910174567[[#This Row],[MARGIN]]</f>
        <v>0</v>
      </c>
      <c r="R772" s="41"/>
    </row>
    <row r="773" spans="4:18">
      <c r="D773" s="188"/>
      <c r="F773" s="168" t="s">
        <v>6202</v>
      </c>
      <c r="G773" s="193">
        <f>IF(_1_54128456121462410464578910174567[[#This Row],[Type]]&gt;0,VLOOKUP(_1_54128456121462410464578910174567[[#This Row],[Type]],Main[[#All],[TYPE]:[UNIT]],'Unit Price'!C$1,FALSE),0)</f>
        <v>0</v>
      </c>
      <c r="H773" s="197">
        <f>IF(_1_54128456121462410464578910174567[[#This Row],[Type]]&gt;0,VLOOKUP(_1_54128456121462410464578910174567[[#This Row],[Type]],Main[[#All],[TYPE]:[UNIT]],'Unit Price'!D$1,FALSE),0)</f>
        <v>0</v>
      </c>
      <c r="I773" s="194">
        <f>IF(_1_54128456121462410464578910174567[[#This Row],[Type]]&gt;0,VLOOKUP(_1_54128456121462410464578910174567[[#This Row],[Type]],Main[[#All],[TYPE]:[UNIT]],'Unit Price'!G$1,FALSE),0)</f>
        <v>0</v>
      </c>
      <c r="J773" s="194">
        <f>IF(_1_54128456121462410464578910174567[[#This Row],[Type]]&gt;0,VLOOKUP(_1_54128456121462410464578910174567[[#This Row],[Type]],Main[[#All],[TYPE]:[UNIT]],'Unit Price'!H$1,FALSE),0)</f>
        <v>0</v>
      </c>
      <c r="K773" s="194">
        <f>IF(_1_54128456121462410464578910174567[[#This Row],[Discount selection]]&gt;0,VLOOKUP(_1_54128456121462410464578910174567[[#This Row],[Discount selection]],'Discount Structure'!$A$2:$B$30,2,"false"),0)</f>
        <v>1</v>
      </c>
      <c r="L773" s="194">
        <f>_1_54128456121462410464578910174567[[#This Row],[LIST $]]*_1_54128456121462410464578910174567[[#This Row],[DISCOUNT]]*_1_54128456121462410464578910174567[[#This Row],[DISCOUNT 2]]</f>
        <v>0</v>
      </c>
      <c r="M773" s="194">
        <f>IF(OR(_1_54128456121462410464578910174567[[#This Row],[UNIT]]&gt;0,_1_54128456121462410464578910174567[[#This Row],[UNIT]]&lt;0),_1_54128456121462410464578910174567[[#This Row],[UNIT]]*_1_54128456121462410464578910174567[[#This Row],[COST]],0)</f>
        <v>0</v>
      </c>
      <c r="N773" s="194">
        <f t="shared" si="11"/>
        <v>1.3</v>
      </c>
      <c r="O773" s="198">
        <f>_1_54128456121462410464578910174567[[#This Row],[TOTAL]]*_1_54128456121462410464578910174567[[#This Row],[MARGIN]]</f>
        <v>0</v>
      </c>
      <c r="R773" s="41"/>
    </row>
    <row r="774" spans="4:18">
      <c r="D774" s="188"/>
      <c r="F774" s="168" t="s">
        <v>6202</v>
      </c>
      <c r="G774" s="193">
        <f>IF(_1_54128456121462410464578910174567[[#This Row],[Type]]&gt;0,VLOOKUP(_1_54128456121462410464578910174567[[#This Row],[Type]],Main[[#All],[TYPE]:[UNIT]],'Unit Price'!C$1,FALSE),0)</f>
        <v>0</v>
      </c>
      <c r="H774" s="197">
        <f>IF(_1_54128456121462410464578910174567[[#This Row],[Type]]&gt;0,VLOOKUP(_1_54128456121462410464578910174567[[#This Row],[Type]],Main[[#All],[TYPE]:[UNIT]],'Unit Price'!D$1,FALSE),0)</f>
        <v>0</v>
      </c>
      <c r="I774" s="194">
        <f>IF(_1_54128456121462410464578910174567[[#This Row],[Type]]&gt;0,VLOOKUP(_1_54128456121462410464578910174567[[#This Row],[Type]],Main[[#All],[TYPE]:[UNIT]],'Unit Price'!G$1,FALSE),0)</f>
        <v>0</v>
      </c>
      <c r="J774" s="194">
        <f>IF(_1_54128456121462410464578910174567[[#This Row],[Type]]&gt;0,VLOOKUP(_1_54128456121462410464578910174567[[#This Row],[Type]],Main[[#All],[TYPE]:[UNIT]],'Unit Price'!H$1,FALSE),0)</f>
        <v>0</v>
      </c>
      <c r="K774" s="194">
        <f>IF(_1_54128456121462410464578910174567[[#This Row],[Discount selection]]&gt;0,VLOOKUP(_1_54128456121462410464578910174567[[#This Row],[Discount selection]],'Discount Structure'!$A$2:$B$30,2,"false"),0)</f>
        <v>1</v>
      </c>
      <c r="L774" s="194">
        <f>_1_54128456121462410464578910174567[[#This Row],[LIST $]]*_1_54128456121462410464578910174567[[#This Row],[DISCOUNT]]*_1_54128456121462410464578910174567[[#This Row],[DISCOUNT 2]]</f>
        <v>0</v>
      </c>
      <c r="M774" s="194">
        <f>IF(OR(_1_54128456121462410464578910174567[[#This Row],[UNIT]]&gt;0,_1_54128456121462410464578910174567[[#This Row],[UNIT]]&lt;0),_1_54128456121462410464578910174567[[#This Row],[UNIT]]*_1_54128456121462410464578910174567[[#This Row],[COST]],0)</f>
        <v>0</v>
      </c>
      <c r="N774" s="194">
        <f t="shared" si="11"/>
        <v>1.3</v>
      </c>
      <c r="O774" s="198">
        <f>_1_54128456121462410464578910174567[[#This Row],[TOTAL]]*_1_54128456121462410464578910174567[[#This Row],[MARGIN]]</f>
        <v>0</v>
      </c>
      <c r="R774" s="41"/>
    </row>
    <row r="775" spans="4:18">
      <c r="D775" s="188"/>
      <c r="F775" s="168" t="s">
        <v>6202</v>
      </c>
      <c r="G775" s="193">
        <f>IF(_1_54128456121462410464578910174567[[#This Row],[Type]]&gt;0,VLOOKUP(_1_54128456121462410464578910174567[[#This Row],[Type]],Main[[#All],[TYPE]:[UNIT]],'Unit Price'!C$1,FALSE),0)</f>
        <v>0</v>
      </c>
      <c r="H775" s="197">
        <f>IF(_1_54128456121462410464578910174567[[#This Row],[Type]]&gt;0,VLOOKUP(_1_54128456121462410464578910174567[[#This Row],[Type]],Main[[#All],[TYPE]:[UNIT]],'Unit Price'!D$1,FALSE),0)</f>
        <v>0</v>
      </c>
      <c r="I775" s="194">
        <f>IF(_1_54128456121462410464578910174567[[#This Row],[Type]]&gt;0,VLOOKUP(_1_54128456121462410464578910174567[[#This Row],[Type]],Main[[#All],[TYPE]:[UNIT]],'Unit Price'!G$1,FALSE),0)</f>
        <v>0</v>
      </c>
      <c r="J775" s="194">
        <f>IF(_1_54128456121462410464578910174567[[#This Row],[Type]]&gt;0,VLOOKUP(_1_54128456121462410464578910174567[[#This Row],[Type]],Main[[#All],[TYPE]:[UNIT]],'Unit Price'!H$1,FALSE),0)</f>
        <v>0</v>
      </c>
      <c r="K775" s="194">
        <f>IF(_1_54128456121462410464578910174567[[#This Row],[Discount selection]]&gt;0,VLOOKUP(_1_54128456121462410464578910174567[[#This Row],[Discount selection]],'Discount Structure'!$A$2:$B$30,2,"false"),0)</f>
        <v>1</v>
      </c>
      <c r="L775" s="194">
        <f>_1_54128456121462410464578910174567[[#This Row],[LIST $]]*_1_54128456121462410464578910174567[[#This Row],[DISCOUNT]]*_1_54128456121462410464578910174567[[#This Row],[DISCOUNT 2]]</f>
        <v>0</v>
      </c>
      <c r="M775" s="194">
        <f>IF(OR(_1_54128456121462410464578910174567[[#This Row],[UNIT]]&gt;0,_1_54128456121462410464578910174567[[#This Row],[UNIT]]&lt;0),_1_54128456121462410464578910174567[[#This Row],[UNIT]]*_1_54128456121462410464578910174567[[#This Row],[COST]],0)</f>
        <v>0</v>
      </c>
      <c r="N775" s="194">
        <f t="shared" si="11"/>
        <v>1.3</v>
      </c>
      <c r="O775" s="198">
        <f>_1_54128456121462410464578910174567[[#This Row],[TOTAL]]*_1_54128456121462410464578910174567[[#This Row],[MARGIN]]</f>
        <v>0</v>
      </c>
      <c r="R775" s="41"/>
    </row>
    <row r="776" spans="4:18">
      <c r="D776" s="188"/>
      <c r="F776" s="168" t="s">
        <v>6202</v>
      </c>
      <c r="G776" s="193">
        <f>IF(_1_54128456121462410464578910174567[[#This Row],[Type]]&gt;0,VLOOKUP(_1_54128456121462410464578910174567[[#This Row],[Type]],Main[[#All],[TYPE]:[UNIT]],'Unit Price'!C$1,FALSE),0)</f>
        <v>0</v>
      </c>
      <c r="H776" s="197">
        <f>IF(_1_54128456121462410464578910174567[[#This Row],[Type]]&gt;0,VLOOKUP(_1_54128456121462410464578910174567[[#This Row],[Type]],Main[[#All],[TYPE]:[UNIT]],'Unit Price'!D$1,FALSE),0)</f>
        <v>0</v>
      </c>
      <c r="I776" s="194">
        <f>IF(_1_54128456121462410464578910174567[[#This Row],[Type]]&gt;0,VLOOKUP(_1_54128456121462410464578910174567[[#This Row],[Type]],Main[[#All],[TYPE]:[UNIT]],'Unit Price'!G$1,FALSE),0)</f>
        <v>0</v>
      </c>
      <c r="J776" s="194">
        <f>IF(_1_54128456121462410464578910174567[[#This Row],[Type]]&gt;0,VLOOKUP(_1_54128456121462410464578910174567[[#This Row],[Type]],Main[[#All],[TYPE]:[UNIT]],'Unit Price'!H$1,FALSE),0)</f>
        <v>0</v>
      </c>
      <c r="K776" s="194">
        <f>IF(_1_54128456121462410464578910174567[[#This Row],[Discount selection]]&gt;0,VLOOKUP(_1_54128456121462410464578910174567[[#This Row],[Discount selection]],'Discount Structure'!$A$2:$B$30,2,"false"),0)</f>
        <v>1</v>
      </c>
      <c r="L776" s="194">
        <f>_1_54128456121462410464578910174567[[#This Row],[LIST $]]*_1_54128456121462410464578910174567[[#This Row],[DISCOUNT]]*_1_54128456121462410464578910174567[[#This Row],[DISCOUNT 2]]</f>
        <v>0</v>
      </c>
      <c r="M776" s="194">
        <f>IF(OR(_1_54128456121462410464578910174567[[#This Row],[UNIT]]&gt;0,_1_54128456121462410464578910174567[[#This Row],[UNIT]]&lt;0),_1_54128456121462410464578910174567[[#This Row],[UNIT]]*_1_54128456121462410464578910174567[[#This Row],[COST]],0)</f>
        <v>0</v>
      </c>
      <c r="N776" s="194">
        <f t="shared" si="11"/>
        <v>1.3</v>
      </c>
      <c r="O776" s="198">
        <f>_1_54128456121462410464578910174567[[#This Row],[TOTAL]]*_1_54128456121462410464578910174567[[#This Row],[MARGIN]]</f>
        <v>0</v>
      </c>
      <c r="R776" s="41"/>
    </row>
    <row r="777" spans="4:18">
      <c r="D777" s="188"/>
      <c r="F777" s="168" t="s">
        <v>6202</v>
      </c>
      <c r="G777" s="193">
        <f>IF(_1_54128456121462410464578910174567[[#This Row],[Type]]&gt;0,VLOOKUP(_1_54128456121462410464578910174567[[#This Row],[Type]],Main[[#All],[TYPE]:[UNIT]],'Unit Price'!C$1,FALSE),0)</f>
        <v>0</v>
      </c>
      <c r="H777" s="197">
        <f>IF(_1_54128456121462410464578910174567[[#This Row],[Type]]&gt;0,VLOOKUP(_1_54128456121462410464578910174567[[#This Row],[Type]],Main[[#All],[TYPE]:[UNIT]],'Unit Price'!D$1,FALSE),0)</f>
        <v>0</v>
      </c>
      <c r="I777" s="194">
        <f>IF(_1_54128456121462410464578910174567[[#This Row],[Type]]&gt;0,VLOOKUP(_1_54128456121462410464578910174567[[#This Row],[Type]],Main[[#All],[TYPE]:[UNIT]],'Unit Price'!G$1,FALSE),0)</f>
        <v>0</v>
      </c>
      <c r="J777" s="194">
        <f>IF(_1_54128456121462410464578910174567[[#This Row],[Type]]&gt;0,VLOOKUP(_1_54128456121462410464578910174567[[#This Row],[Type]],Main[[#All],[TYPE]:[UNIT]],'Unit Price'!H$1,FALSE),0)</f>
        <v>0</v>
      </c>
      <c r="K777" s="194">
        <f>IF(_1_54128456121462410464578910174567[[#This Row],[Discount selection]]&gt;0,VLOOKUP(_1_54128456121462410464578910174567[[#This Row],[Discount selection]],'Discount Structure'!$A$2:$B$30,2,"false"),0)</f>
        <v>1</v>
      </c>
      <c r="L777" s="194">
        <f>_1_54128456121462410464578910174567[[#This Row],[LIST $]]*_1_54128456121462410464578910174567[[#This Row],[DISCOUNT]]*_1_54128456121462410464578910174567[[#This Row],[DISCOUNT 2]]</f>
        <v>0</v>
      </c>
      <c r="M777" s="194">
        <f>IF(OR(_1_54128456121462410464578910174567[[#This Row],[UNIT]]&gt;0,_1_54128456121462410464578910174567[[#This Row],[UNIT]]&lt;0),_1_54128456121462410464578910174567[[#This Row],[UNIT]]*_1_54128456121462410464578910174567[[#This Row],[COST]],0)</f>
        <v>0</v>
      </c>
      <c r="N777" s="194">
        <f t="shared" si="11"/>
        <v>1.3</v>
      </c>
      <c r="O777" s="198">
        <f>_1_54128456121462410464578910174567[[#This Row],[TOTAL]]*_1_54128456121462410464578910174567[[#This Row],[MARGIN]]</f>
        <v>0</v>
      </c>
      <c r="R777" s="41"/>
    </row>
    <row r="778" spans="4:18">
      <c r="D778" s="188"/>
      <c r="F778" s="168" t="s">
        <v>6202</v>
      </c>
      <c r="G778" s="193">
        <f>IF(_1_54128456121462410464578910174567[[#This Row],[Type]]&gt;0,VLOOKUP(_1_54128456121462410464578910174567[[#This Row],[Type]],Main[[#All],[TYPE]:[UNIT]],'Unit Price'!C$1,FALSE),0)</f>
        <v>0</v>
      </c>
      <c r="H778" s="197">
        <f>IF(_1_54128456121462410464578910174567[[#This Row],[Type]]&gt;0,VLOOKUP(_1_54128456121462410464578910174567[[#This Row],[Type]],Main[[#All],[TYPE]:[UNIT]],'Unit Price'!D$1,FALSE),0)</f>
        <v>0</v>
      </c>
      <c r="I778" s="194">
        <f>IF(_1_54128456121462410464578910174567[[#This Row],[Type]]&gt;0,VLOOKUP(_1_54128456121462410464578910174567[[#This Row],[Type]],Main[[#All],[TYPE]:[UNIT]],'Unit Price'!G$1,FALSE),0)</f>
        <v>0</v>
      </c>
      <c r="J778" s="194">
        <f>IF(_1_54128456121462410464578910174567[[#This Row],[Type]]&gt;0,VLOOKUP(_1_54128456121462410464578910174567[[#This Row],[Type]],Main[[#All],[TYPE]:[UNIT]],'Unit Price'!H$1,FALSE),0)</f>
        <v>0</v>
      </c>
      <c r="K778" s="194">
        <f>IF(_1_54128456121462410464578910174567[[#This Row],[Discount selection]]&gt;0,VLOOKUP(_1_54128456121462410464578910174567[[#This Row],[Discount selection]],'Discount Structure'!$A$2:$B$30,2,"false"),0)</f>
        <v>1</v>
      </c>
      <c r="L778" s="194">
        <f>_1_54128456121462410464578910174567[[#This Row],[LIST $]]*_1_54128456121462410464578910174567[[#This Row],[DISCOUNT]]*_1_54128456121462410464578910174567[[#This Row],[DISCOUNT 2]]</f>
        <v>0</v>
      </c>
      <c r="M778" s="194">
        <f>IF(OR(_1_54128456121462410464578910174567[[#This Row],[UNIT]]&gt;0,_1_54128456121462410464578910174567[[#This Row],[UNIT]]&lt;0),_1_54128456121462410464578910174567[[#This Row],[UNIT]]*_1_54128456121462410464578910174567[[#This Row],[COST]],0)</f>
        <v>0</v>
      </c>
      <c r="N778" s="194">
        <f t="shared" ref="N778:N841" si="12">$N$7</f>
        <v>1.3</v>
      </c>
      <c r="O778" s="198">
        <f>_1_54128456121462410464578910174567[[#This Row],[TOTAL]]*_1_54128456121462410464578910174567[[#This Row],[MARGIN]]</f>
        <v>0</v>
      </c>
      <c r="R778" s="41"/>
    </row>
    <row r="779" spans="4:18">
      <c r="D779" s="188"/>
      <c r="F779" s="168" t="s">
        <v>6202</v>
      </c>
      <c r="G779" s="193">
        <f>IF(_1_54128456121462410464578910174567[[#This Row],[Type]]&gt;0,VLOOKUP(_1_54128456121462410464578910174567[[#This Row],[Type]],Main[[#All],[TYPE]:[UNIT]],'Unit Price'!C$1,FALSE),0)</f>
        <v>0</v>
      </c>
      <c r="H779" s="197">
        <f>IF(_1_54128456121462410464578910174567[[#This Row],[Type]]&gt;0,VLOOKUP(_1_54128456121462410464578910174567[[#This Row],[Type]],Main[[#All],[TYPE]:[UNIT]],'Unit Price'!D$1,FALSE),0)</f>
        <v>0</v>
      </c>
      <c r="I779" s="194">
        <f>IF(_1_54128456121462410464578910174567[[#This Row],[Type]]&gt;0,VLOOKUP(_1_54128456121462410464578910174567[[#This Row],[Type]],Main[[#All],[TYPE]:[UNIT]],'Unit Price'!G$1,FALSE),0)</f>
        <v>0</v>
      </c>
      <c r="J779" s="194">
        <f>IF(_1_54128456121462410464578910174567[[#This Row],[Type]]&gt;0,VLOOKUP(_1_54128456121462410464578910174567[[#This Row],[Type]],Main[[#All],[TYPE]:[UNIT]],'Unit Price'!H$1,FALSE),0)</f>
        <v>0</v>
      </c>
      <c r="K779" s="194">
        <f>IF(_1_54128456121462410464578910174567[[#This Row],[Discount selection]]&gt;0,VLOOKUP(_1_54128456121462410464578910174567[[#This Row],[Discount selection]],'Discount Structure'!$A$2:$B$30,2,"false"),0)</f>
        <v>1</v>
      </c>
      <c r="L779" s="194">
        <f>_1_54128456121462410464578910174567[[#This Row],[LIST $]]*_1_54128456121462410464578910174567[[#This Row],[DISCOUNT]]*_1_54128456121462410464578910174567[[#This Row],[DISCOUNT 2]]</f>
        <v>0</v>
      </c>
      <c r="M779" s="194">
        <f>IF(OR(_1_54128456121462410464578910174567[[#This Row],[UNIT]]&gt;0,_1_54128456121462410464578910174567[[#This Row],[UNIT]]&lt;0),_1_54128456121462410464578910174567[[#This Row],[UNIT]]*_1_54128456121462410464578910174567[[#This Row],[COST]],0)</f>
        <v>0</v>
      </c>
      <c r="N779" s="194">
        <f t="shared" si="12"/>
        <v>1.3</v>
      </c>
      <c r="O779" s="198">
        <f>_1_54128456121462410464578910174567[[#This Row],[TOTAL]]*_1_54128456121462410464578910174567[[#This Row],[MARGIN]]</f>
        <v>0</v>
      </c>
      <c r="R779" s="41"/>
    </row>
    <row r="780" spans="4:18">
      <c r="D780" s="188"/>
      <c r="F780" s="168" t="s">
        <v>6202</v>
      </c>
      <c r="G780" s="193">
        <f>IF(_1_54128456121462410464578910174567[[#This Row],[Type]]&gt;0,VLOOKUP(_1_54128456121462410464578910174567[[#This Row],[Type]],Main[[#All],[TYPE]:[UNIT]],'Unit Price'!C$1,FALSE),0)</f>
        <v>0</v>
      </c>
      <c r="H780" s="197">
        <f>IF(_1_54128456121462410464578910174567[[#This Row],[Type]]&gt;0,VLOOKUP(_1_54128456121462410464578910174567[[#This Row],[Type]],Main[[#All],[TYPE]:[UNIT]],'Unit Price'!D$1,FALSE),0)</f>
        <v>0</v>
      </c>
      <c r="I780" s="194">
        <f>IF(_1_54128456121462410464578910174567[[#This Row],[Type]]&gt;0,VLOOKUP(_1_54128456121462410464578910174567[[#This Row],[Type]],Main[[#All],[TYPE]:[UNIT]],'Unit Price'!G$1,FALSE),0)</f>
        <v>0</v>
      </c>
      <c r="J780" s="194">
        <f>IF(_1_54128456121462410464578910174567[[#This Row],[Type]]&gt;0,VLOOKUP(_1_54128456121462410464578910174567[[#This Row],[Type]],Main[[#All],[TYPE]:[UNIT]],'Unit Price'!H$1,FALSE),0)</f>
        <v>0</v>
      </c>
      <c r="K780" s="194">
        <f>IF(_1_54128456121462410464578910174567[[#This Row],[Discount selection]]&gt;0,VLOOKUP(_1_54128456121462410464578910174567[[#This Row],[Discount selection]],'Discount Structure'!$A$2:$B$30,2,"false"),0)</f>
        <v>1</v>
      </c>
      <c r="L780" s="194">
        <f>_1_54128456121462410464578910174567[[#This Row],[LIST $]]*_1_54128456121462410464578910174567[[#This Row],[DISCOUNT]]*_1_54128456121462410464578910174567[[#This Row],[DISCOUNT 2]]</f>
        <v>0</v>
      </c>
      <c r="M780" s="194">
        <f>IF(OR(_1_54128456121462410464578910174567[[#This Row],[UNIT]]&gt;0,_1_54128456121462410464578910174567[[#This Row],[UNIT]]&lt;0),_1_54128456121462410464578910174567[[#This Row],[UNIT]]*_1_54128456121462410464578910174567[[#This Row],[COST]],0)</f>
        <v>0</v>
      </c>
      <c r="N780" s="194">
        <f t="shared" si="12"/>
        <v>1.3</v>
      </c>
      <c r="O780" s="198">
        <f>_1_54128456121462410464578910174567[[#This Row],[TOTAL]]*_1_54128456121462410464578910174567[[#This Row],[MARGIN]]</f>
        <v>0</v>
      </c>
      <c r="R780" s="41"/>
    </row>
    <row r="781" spans="4:18">
      <c r="D781" s="188"/>
      <c r="F781" s="168" t="s">
        <v>6202</v>
      </c>
      <c r="G781" s="193">
        <f>IF(_1_54128456121462410464578910174567[[#This Row],[Type]]&gt;0,VLOOKUP(_1_54128456121462410464578910174567[[#This Row],[Type]],Main[[#All],[TYPE]:[UNIT]],'Unit Price'!C$1,FALSE),0)</f>
        <v>0</v>
      </c>
      <c r="H781" s="197">
        <f>IF(_1_54128456121462410464578910174567[[#This Row],[Type]]&gt;0,VLOOKUP(_1_54128456121462410464578910174567[[#This Row],[Type]],Main[[#All],[TYPE]:[UNIT]],'Unit Price'!D$1,FALSE),0)</f>
        <v>0</v>
      </c>
      <c r="I781" s="194">
        <f>IF(_1_54128456121462410464578910174567[[#This Row],[Type]]&gt;0,VLOOKUP(_1_54128456121462410464578910174567[[#This Row],[Type]],Main[[#All],[TYPE]:[UNIT]],'Unit Price'!G$1,FALSE),0)</f>
        <v>0</v>
      </c>
      <c r="J781" s="194">
        <f>IF(_1_54128456121462410464578910174567[[#This Row],[Type]]&gt;0,VLOOKUP(_1_54128456121462410464578910174567[[#This Row],[Type]],Main[[#All],[TYPE]:[UNIT]],'Unit Price'!H$1,FALSE),0)</f>
        <v>0</v>
      </c>
      <c r="K781" s="194">
        <f>IF(_1_54128456121462410464578910174567[[#This Row],[Discount selection]]&gt;0,VLOOKUP(_1_54128456121462410464578910174567[[#This Row],[Discount selection]],'Discount Structure'!$A$2:$B$30,2,"false"),0)</f>
        <v>1</v>
      </c>
      <c r="L781" s="194">
        <f>_1_54128456121462410464578910174567[[#This Row],[LIST $]]*_1_54128456121462410464578910174567[[#This Row],[DISCOUNT]]*_1_54128456121462410464578910174567[[#This Row],[DISCOUNT 2]]</f>
        <v>0</v>
      </c>
      <c r="M781" s="194">
        <f>IF(OR(_1_54128456121462410464578910174567[[#This Row],[UNIT]]&gt;0,_1_54128456121462410464578910174567[[#This Row],[UNIT]]&lt;0),_1_54128456121462410464578910174567[[#This Row],[UNIT]]*_1_54128456121462410464578910174567[[#This Row],[COST]],0)</f>
        <v>0</v>
      </c>
      <c r="N781" s="194">
        <f t="shared" si="12"/>
        <v>1.3</v>
      </c>
      <c r="O781" s="198">
        <f>_1_54128456121462410464578910174567[[#This Row],[TOTAL]]*_1_54128456121462410464578910174567[[#This Row],[MARGIN]]</f>
        <v>0</v>
      </c>
      <c r="R781" s="41"/>
    </row>
    <row r="782" spans="4:18">
      <c r="D782" s="188"/>
      <c r="F782" s="168" t="s">
        <v>6202</v>
      </c>
      <c r="G782" s="193">
        <f>IF(_1_54128456121462410464578910174567[[#This Row],[Type]]&gt;0,VLOOKUP(_1_54128456121462410464578910174567[[#This Row],[Type]],Main[[#All],[TYPE]:[UNIT]],'Unit Price'!C$1,FALSE),0)</f>
        <v>0</v>
      </c>
      <c r="H782" s="197">
        <f>IF(_1_54128456121462410464578910174567[[#This Row],[Type]]&gt;0,VLOOKUP(_1_54128456121462410464578910174567[[#This Row],[Type]],Main[[#All],[TYPE]:[UNIT]],'Unit Price'!D$1,FALSE),0)</f>
        <v>0</v>
      </c>
      <c r="I782" s="194">
        <f>IF(_1_54128456121462410464578910174567[[#This Row],[Type]]&gt;0,VLOOKUP(_1_54128456121462410464578910174567[[#This Row],[Type]],Main[[#All],[TYPE]:[UNIT]],'Unit Price'!G$1,FALSE),0)</f>
        <v>0</v>
      </c>
      <c r="J782" s="194">
        <f>IF(_1_54128456121462410464578910174567[[#This Row],[Type]]&gt;0,VLOOKUP(_1_54128456121462410464578910174567[[#This Row],[Type]],Main[[#All],[TYPE]:[UNIT]],'Unit Price'!H$1,FALSE),0)</f>
        <v>0</v>
      </c>
      <c r="K782" s="194">
        <f>IF(_1_54128456121462410464578910174567[[#This Row],[Discount selection]]&gt;0,VLOOKUP(_1_54128456121462410464578910174567[[#This Row],[Discount selection]],'Discount Structure'!$A$2:$B$30,2,"false"),0)</f>
        <v>1</v>
      </c>
      <c r="L782" s="194">
        <f>_1_54128456121462410464578910174567[[#This Row],[LIST $]]*_1_54128456121462410464578910174567[[#This Row],[DISCOUNT]]*_1_54128456121462410464578910174567[[#This Row],[DISCOUNT 2]]</f>
        <v>0</v>
      </c>
      <c r="M782" s="194">
        <f>IF(OR(_1_54128456121462410464578910174567[[#This Row],[UNIT]]&gt;0,_1_54128456121462410464578910174567[[#This Row],[UNIT]]&lt;0),_1_54128456121462410464578910174567[[#This Row],[UNIT]]*_1_54128456121462410464578910174567[[#This Row],[COST]],0)</f>
        <v>0</v>
      </c>
      <c r="N782" s="194">
        <f t="shared" si="12"/>
        <v>1.3</v>
      </c>
      <c r="O782" s="198">
        <f>_1_54128456121462410464578910174567[[#This Row],[TOTAL]]*_1_54128456121462410464578910174567[[#This Row],[MARGIN]]</f>
        <v>0</v>
      </c>
      <c r="R782" s="41"/>
    </row>
    <row r="783" spans="4:18">
      <c r="D783" s="188"/>
      <c r="F783" s="168" t="s">
        <v>6202</v>
      </c>
      <c r="G783" s="193">
        <f>IF(_1_54128456121462410464578910174567[[#This Row],[Type]]&gt;0,VLOOKUP(_1_54128456121462410464578910174567[[#This Row],[Type]],Main[[#All],[TYPE]:[UNIT]],'Unit Price'!C$1,FALSE),0)</f>
        <v>0</v>
      </c>
      <c r="H783" s="197">
        <f>IF(_1_54128456121462410464578910174567[[#This Row],[Type]]&gt;0,VLOOKUP(_1_54128456121462410464578910174567[[#This Row],[Type]],Main[[#All],[TYPE]:[UNIT]],'Unit Price'!D$1,FALSE),0)</f>
        <v>0</v>
      </c>
      <c r="I783" s="194">
        <f>IF(_1_54128456121462410464578910174567[[#This Row],[Type]]&gt;0,VLOOKUP(_1_54128456121462410464578910174567[[#This Row],[Type]],Main[[#All],[TYPE]:[UNIT]],'Unit Price'!G$1,FALSE),0)</f>
        <v>0</v>
      </c>
      <c r="J783" s="194">
        <f>IF(_1_54128456121462410464578910174567[[#This Row],[Type]]&gt;0,VLOOKUP(_1_54128456121462410464578910174567[[#This Row],[Type]],Main[[#All],[TYPE]:[UNIT]],'Unit Price'!H$1,FALSE),0)</f>
        <v>0</v>
      </c>
      <c r="K783" s="194">
        <f>IF(_1_54128456121462410464578910174567[[#This Row],[Discount selection]]&gt;0,VLOOKUP(_1_54128456121462410464578910174567[[#This Row],[Discount selection]],'Discount Structure'!$A$2:$B$30,2,"false"),0)</f>
        <v>1</v>
      </c>
      <c r="L783" s="194">
        <f>_1_54128456121462410464578910174567[[#This Row],[LIST $]]*_1_54128456121462410464578910174567[[#This Row],[DISCOUNT]]*_1_54128456121462410464578910174567[[#This Row],[DISCOUNT 2]]</f>
        <v>0</v>
      </c>
      <c r="M783" s="194">
        <f>IF(OR(_1_54128456121462410464578910174567[[#This Row],[UNIT]]&gt;0,_1_54128456121462410464578910174567[[#This Row],[UNIT]]&lt;0),_1_54128456121462410464578910174567[[#This Row],[UNIT]]*_1_54128456121462410464578910174567[[#This Row],[COST]],0)</f>
        <v>0</v>
      </c>
      <c r="N783" s="194">
        <f t="shared" si="12"/>
        <v>1.3</v>
      </c>
      <c r="O783" s="198">
        <f>_1_54128456121462410464578910174567[[#This Row],[TOTAL]]*_1_54128456121462410464578910174567[[#This Row],[MARGIN]]</f>
        <v>0</v>
      </c>
      <c r="R783" s="41"/>
    </row>
    <row r="784" spans="4:18">
      <c r="D784" s="188"/>
      <c r="F784" s="168" t="s">
        <v>6202</v>
      </c>
      <c r="G784" s="193">
        <f>IF(_1_54128456121462410464578910174567[[#This Row],[Type]]&gt;0,VLOOKUP(_1_54128456121462410464578910174567[[#This Row],[Type]],Main[[#All],[TYPE]:[UNIT]],'Unit Price'!C$1,FALSE),0)</f>
        <v>0</v>
      </c>
      <c r="H784" s="197">
        <f>IF(_1_54128456121462410464578910174567[[#This Row],[Type]]&gt;0,VLOOKUP(_1_54128456121462410464578910174567[[#This Row],[Type]],Main[[#All],[TYPE]:[UNIT]],'Unit Price'!D$1,FALSE),0)</f>
        <v>0</v>
      </c>
      <c r="I784" s="194">
        <f>IF(_1_54128456121462410464578910174567[[#This Row],[Type]]&gt;0,VLOOKUP(_1_54128456121462410464578910174567[[#This Row],[Type]],Main[[#All],[TYPE]:[UNIT]],'Unit Price'!G$1,FALSE),0)</f>
        <v>0</v>
      </c>
      <c r="J784" s="194">
        <f>IF(_1_54128456121462410464578910174567[[#This Row],[Type]]&gt;0,VLOOKUP(_1_54128456121462410464578910174567[[#This Row],[Type]],Main[[#All],[TYPE]:[UNIT]],'Unit Price'!H$1,FALSE),0)</f>
        <v>0</v>
      </c>
      <c r="K784" s="194">
        <f>IF(_1_54128456121462410464578910174567[[#This Row],[Discount selection]]&gt;0,VLOOKUP(_1_54128456121462410464578910174567[[#This Row],[Discount selection]],'Discount Structure'!$A$2:$B$30,2,"false"),0)</f>
        <v>1</v>
      </c>
      <c r="L784" s="194">
        <f>_1_54128456121462410464578910174567[[#This Row],[LIST $]]*_1_54128456121462410464578910174567[[#This Row],[DISCOUNT]]*_1_54128456121462410464578910174567[[#This Row],[DISCOUNT 2]]</f>
        <v>0</v>
      </c>
      <c r="M784" s="194">
        <f>IF(OR(_1_54128456121462410464578910174567[[#This Row],[UNIT]]&gt;0,_1_54128456121462410464578910174567[[#This Row],[UNIT]]&lt;0),_1_54128456121462410464578910174567[[#This Row],[UNIT]]*_1_54128456121462410464578910174567[[#This Row],[COST]],0)</f>
        <v>0</v>
      </c>
      <c r="N784" s="194">
        <f t="shared" si="12"/>
        <v>1.3</v>
      </c>
      <c r="O784" s="198">
        <f>_1_54128456121462410464578910174567[[#This Row],[TOTAL]]*_1_54128456121462410464578910174567[[#This Row],[MARGIN]]</f>
        <v>0</v>
      </c>
      <c r="R784" s="41"/>
    </row>
    <row r="785" spans="4:18">
      <c r="D785" s="188"/>
      <c r="F785" s="168" t="s">
        <v>6202</v>
      </c>
      <c r="G785" s="193">
        <f>IF(_1_54128456121462410464578910174567[[#This Row],[Type]]&gt;0,VLOOKUP(_1_54128456121462410464578910174567[[#This Row],[Type]],Main[[#All],[TYPE]:[UNIT]],'Unit Price'!C$1,FALSE),0)</f>
        <v>0</v>
      </c>
      <c r="H785" s="197">
        <f>IF(_1_54128456121462410464578910174567[[#This Row],[Type]]&gt;0,VLOOKUP(_1_54128456121462410464578910174567[[#This Row],[Type]],Main[[#All],[TYPE]:[UNIT]],'Unit Price'!D$1,FALSE),0)</f>
        <v>0</v>
      </c>
      <c r="I785" s="194">
        <f>IF(_1_54128456121462410464578910174567[[#This Row],[Type]]&gt;0,VLOOKUP(_1_54128456121462410464578910174567[[#This Row],[Type]],Main[[#All],[TYPE]:[UNIT]],'Unit Price'!G$1,FALSE),0)</f>
        <v>0</v>
      </c>
      <c r="J785" s="194">
        <f>IF(_1_54128456121462410464578910174567[[#This Row],[Type]]&gt;0,VLOOKUP(_1_54128456121462410464578910174567[[#This Row],[Type]],Main[[#All],[TYPE]:[UNIT]],'Unit Price'!H$1,FALSE),0)</f>
        <v>0</v>
      </c>
      <c r="K785" s="194">
        <f>IF(_1_54128456121462410464578910174567[[#This Row],[Discount selection]]&gt;0,VLOOKUP(_1_54128456121462410464578910174567[[#This Row],[Discount selection]],'Discount Structure'!$A$2:$B$30,2,"false"),0)</f>
        <v>1</v>
      </c>
      <c r="L785" s="194">
        <f>_1_54128456121462410464578910174567[[#This Row],[LIST $]]*_1_54128456121462410464578910174567[[#This Row],[DISCOUNT]]*_1_54128456121462410464578910174567[[#This Row],[DISCOUNT 2]]</f>
        <v>0</v>
      </c>
      <c r="M785" s="194">
        <f>IF(OR(_1_54128456121462410464578910174567[[#This Row],[UNIT]]&gt;0,_1_54128456121462410464578910174567[[#This Row],[UNIT]]&lt;0),_1_54128456121462410464578910174567[[#This Row],[UNIT]]*_1_54128456121462410464578910174567[[#This Row],[COST]],0)</f>
        <v>0</v>
      </c>
      <c r="N785" s="194">
        <f t="shared" si="12"/>
        <v>1.3</v>
      </c>
      <c r="O785" s="198">
        <f>_1_54128456121462410464578910174567[[#This Row],[TOTAL]]*_1_54128456121462410464578910174567[[#This Row],[MARGIN]]</f>
        <v>0</v>
      </c>
      <c r="R785" s="41"/>
    </row>
    <row r="786" spans="4:18">
      <c r="D786" s="188"/>
      <c r="F786" s="168" t="s">
        <v>6202</v>
      </c>
      <c r="G786" s="193">
        <f>IF(_1_54128456121462410464578910174567[[#This Row],[Type]]&gt;0,VLOOKUP(_1_54128456121462410464578910174567[[#This Row],[Type]],Main[[#All],[TYPE]:[UNIT]],'Unit Price'!C$1,FALSE),0)</f>
        <v>0</v>
      </c>
      <c r="H786" s="197">
        <f>IF(_1_54128456121462410464578910174567[[#This Row],[Type]]&gt;0,VLOOKUP(_1_54128456121462410464578910174567[[#This Row],[Type]],Main[[#All],[TYPE]:[UNIT]],'Unit Price'!D$1,FALSE),0)</f>
        <v>0</v>
      </c>
      <c r="I786" s="194">
        <f>IF(_1_54128456121462410464578910174567[[#This Row],[Type]]&gt;0,VLOOKUP(_1_54128456121462410464578910174567[[#This Row],[Type]],Main[[#All],[TYPE]:[UNIT]],'Unit Price'!G$1,FALSE),0)</f>
        <v>0</v>
      </c>
      <c r="J786" s="194">
        <f>IF(_1_54128456121462410464578910174567[[#This Row],[Type]]&gt;0,VLOOKUP(_1_54128456121462410464578910174567[[#This Row],[Type]],Main[[#All],[TYPE]:[UNIT]],'Unit Price'!H$1,FALSE),0)</f>
        <v>0</v>
      </c>
      <c r="K786" s="194">
        <f>IF(_1_54128456121462410464578910174567[[#This Row],[Discount selection]]&gt;0,VLOOKUP(_1_54128456121462410464578910174567[[#This Row],[Discount selection]],'Discount Structure'!$A$2:$B$30,2,"false"),0)</f>
        <v>1</v>
      </c>
      <c r="L786" s="194">
        <f>_1_54128456121462410464578910174567[[#This Row],[LIST $]]*_1_54128456121462410464578910174567[[#This Row],[DISCOUNT]]*_1_54128456121462410464578910174567[[#This Row],[DISCOUNT 2]]</f>
        <v>0</v>
      </c>
      <c r="M786" s="194">
        <f>IF(OR(_1_54128456121462410464578910174567[[#This Row],[UNIT]]&gt;0,_1_54128456121462410464578910174567[[#This Row],[UNIT]]&lt;0),_1_54128456121462410464578910174567[[#This Row],[UNIT]]*_1_54128456121462410464578910174567[[#This Row],[COST]],0)</f>
        <v>0</v>
      </c>
      <c r="N786" s="194">
        <f t="shared" si="12"/>
        <v>1.3</v>
      </c>
      <c r="O786" s="198">
        <f>_1_54128456121462410464578910174567[[#This Row],[TOTAL]]*_1_54128456121462410464578910174567[[#This Row],[MARGIN]]</f>
        <v>0</v>
      </c>
      <c r="R786" s="41"/>
    </row>
    <row r="787" spans="4:18">
      <c r="D787" s="188"/>
      <c r="F787" s="168" t="s">
        <v>6202</v>
      </c>
      <c r="G787" s="193">
        <f>IF(_1_54128456121462410464578910174567[[#This Row],[Type]]&gt;0,VLOOKUP(_1_54128456121462410464578910174567[[#This Row],[Type]],Main[[#All],[TYPE]:[UNIT]],'Unit Price'!C$1,FALSE),0)</f>
        <v>0</v>
      </c>
      <c r="H787" s="197">
        <f>IF(_1_54128456121462410464578910174567[[#This Row],[Type]]&gt;0,VLOOKUP(_1_54128456121462410464578910174567[[#This Row],[Type]],Main[[#All],[TYPE]:[UNIT]],'Unit Price'!D$1,FALSE),0)</f>
        <v>0</v>
      </c>
      <c r="I787" s="194">
        <f>IF(_1_54128456121462410464578910174567[[#This Row],[Type]]&gt;0,VLOOKUP(_1_54128456121462410464578910174567[[#This Row],[Type]],Main[[#All],[TYPE]:[UNIT]],'Unit Price'!G$1,FALSE),0)</f>
        <v>0</v>
      </c>
      <c r="J787" s="194">
        <f>IF(_1_54128456121462410464578910174567[[#This Row],[Type]]&gt;0,VLOOKUP(_1_54128456121462410464578910174567[[#This Row],[Type]],Main[[#All],[TYPE]:[UNIT]],'Unit Price'!H$1,FALSE),0)</f>
        <v>0</v>
      </c>
      <c r="K787" s="194">
        <f>IF(_1_54128456121462410464578910174567[[#This Row],[Discount selection]]&gt;0,VLOOKUP(_1_54128456121462410464578910174567[[#This Row],[Discount selection]],'Discount Structure'!$A$2:$B$30,2,"false"),0)</f>
        <v>1</v>
      </c>
      <c r="L787" s="194">
        <f>_1_54128456121462410464578910174567[[#This Row],[LIST $]]*_1_54128456121462410464578910174567[[#This Row],[DISCOUNT]]*_1_54128456121462410464578910174567[[#This Row],[DISCOUNT 2]]</f>
        <v>0</v>
      </c>
      <c r="M787" s="194">
        <f>IF(OR(_1_54128456121462410464578910174567[[#This Row],[UNIT]]&gt;0,_1_54128456121462410464578910174567[[#This Row],[UNIT]]&lt;0),_1_54128456121462410464578910174567[[#This Row],[UNIT]]*_1_54128456121462410464578910174567[[#This Row],[COST]],0)</f>
        <v>0</v>
      </c>
      <c r="N787" s="194">
        <f t="shared" si="12"/>
        <v>1.3</v>
      </c>
      <c r="O787" s="198">
        <f>_1_54128456121462410464578910174567[[#This Row],[TOTAL]]*_1_54128456121462410464578910174567[[#This Row],[MARGIN]]</f>
        <v>0</v>
      </c>
      <c r="R787" s="41"/>
    </row>
    <row r="788" spans="4:18">
      <c r="D788" s="188"/>
      <c r="F788" s="168" t="s">
        <v>6202</v>
      </c>
      <c r="G788" s="193">
        <f>IF(_1_54128456121462410464578910174567[[#This Row],[Type]]&gt;0,VLOOKUP(_1_54128456121462410464578910174567[[#This Row],[Type]],Main[[#All],[TYPE]:[UNIT]],'Unit Price'!C$1,FALSE),0)</f>
        <v>0</v>
      </c>
      <c r="H788" s="197">
        <f>IF(_1_54128456121462410464578910174567[[#This Row],[Type]]&gt;0,VLOOKUP(_1_54128456121462410464578910174567[[#This Row],[Type]],Main[[#All],[TYPE]:[UNIT]],'Unit Price'!D$1,FALSE),0)</f>
        <v>0</v>
      </c>
      <c r="I788" s="194">
        <f>IF(_1_54128456121462410464578910174567[[#This Row],[Type]]&gt;0,VLOOKUP(_1_54128456121462410464578910174567[[#This Row],[Type]],Main[[#All],[TYPE]:[UNIT]],'Unit Price'!G$1,FALSE),0)</f>
        <v>0</v>
      </c>
      <c r="J788" s="194">
        <f>IF(_1_54128456121462410464578910174567[[#This Row],[Type]]&gt;0,VLOOKUP(_1_54128456121462410464578910174567[[#This Row],[Type]],Main[[#All],[TYPE]:[UNIT]],'Unit Price'!H$1,FALSE),0)</f>
        <v>0</v>
      </c>
      <c r="K788" s="194">
        <f>IF(_1_54128456121462410464578910174567[[#This Row],[Discount selection]]&gt;0,VLOOKUP(_1_54128456121462410464578910174567[[#This Row],[Discount selection]],'Discount Structure'!$A$2:$B$30,2,"false"),0)</f>
        <v>1</v>
      </c>
      <c r="L788" s="194">
        <f>_1_54128456121462410464578910174567[[#This Row],[LIST $]]*_1_54128456121462410464578910174567[[#This Row],[DISCOUNT]]*_1_54128456121462410464578910174567[[#This Row],[DISCOUNT 2]]</f>
        <v>0</v>
      </c>
      <c r="M788" s="194">
        <f>IF(OR(_1_54128456121462410464578910174567[[#This Row],[UNIT]]&gt;0,_1_54128456121462410464578910174567[[#This Row],[UNIT]]&lt;0),_1_54128456121462410464578910174567[[#This Row],[UNIT]]*_1_54128456121462410464578910174567[[#This Row],[COST]],0)</f>
        <v>0</v>
      </c>
      <c r="N788" s="194">
        <f t="shared" si="12"/>
        <v>1.3</v>
      </c>
      <c r="O788" s="198">
        <f>_1_54128456121462410464578910174567[[#This Row],[TOTAL]]*_1_54128456121462410464578910174567[[#This Row],[MARGIN]]</f>
        <v>0</v>
      </c>
      <c r="R788" s="41"/>
    </row>
    <row r="789" spans="4:18">
      <c r="D789" s="188"/>
      <c r="F789" s="168" t="s">
        <v>6202</v>
      </c>
      <c r="G789" s="193">
        <f>IF(_1_54128456121462410464578910174567[[#This Row],[Type]]&gt;0,VLOOKUP(_1_54128456121462410464578910174567[[#This Row],[Type]],Main[[#All],[TYPE]:[UNIT]],'Unit Price'!C$1,FALSE),0)</f>
        <v>0</v>
      </c>
      <c r="H789" s="197">
        <f>IF(_1_54128456121462410464578910174567[[#This Row],[Type]]&gt;0,VLOOKUP(_1_54128456121462410464578910174567[[#This Row],[Type]],Main[[#All],[TYPE]:[UNIT]],'Unit Price'!D$1,FALSE),0)</f>
        <v>0</v>
      </c>
      <c r="I789" s="194">
        <f>IF(_1_54128456121462410464578910174567[[#This Row],[Type]]&gt;0,VLOOKUP(_1_54128456121462410464578910174567[[#This Row],[Type]],Main[[#All],[TYPE]:[UNIT]],'Unit Price'!G$1,FALSE),0)</f>
        <v>0</v>
      </c>
      <c r="J789" s="194">
        <f>IF(_1_54128456121462410464578910174567[[#This Row],[Type]]&gt;0,VLOOKUP(_1_54128456121462410464578910174567[[#This Row],[Type]],Main[[#All],[TYPE]:[UNIT]],'Unit Price'!H$1,FALSE),0)</f>
        <v>0</v>
      </c>
      <c r="K789" s="194">
        <f>IF(_1_54128456121462410464578910174567[[#This Row],[Discount selection]]&gt;0,VLOOKUP(_1_54128456121462410464578910174567[[#This Row],[Discount selection]],'Discount Structure'!$A$2:$B$30,2,"false"),0)</f>
        <v>1</v>
      </c>
      <c r="L789" s="194">
        <f>_1_54128456121462410464578910174567[[#This Row],[LIST $]]*_1_54128456121462410464578910174567[[#This Row],[DISCOUNT]]*_1_54128456121462410464578910174567[[#This Row],[DISCOUNT 2]]</f>
        <v>0</v>
      </c>
      <c r="M789" s="194">
        <f>IF(OR(_1_54128456121462410464578910174567[[#This Row],[UNIT]]&gt;0,_1_54128456121462410464578910174567[[#This Row],[UNIT]]&lt;0),_1_54128456121462410464578910174567[[#This Row],[UNIT]]*_1_54128456121462410464578910174567[[#This Row],[COST]],0)</f>
        <v>0</v>
      </c>
      <c r="N789" s="194">
        <f t="shared" si="12"/>
        <v>1.3</v>
      </c>
      <c r="O789" s="198">
        <f>_1_54128456121462410464578910174567[[#This Row],[TOTAL]]*_1_54128456121462410464578910174567[[#This Row],[MARGIN]]</f>
        <v>0</v>
      </c>
      <c r="R789" s="41"/>
    </row>
    <row r="790" spans="4:18">
      <c r="D790" s="188"/>
      <c r="F790" s="168" t="s">
        <v>6202</v>
      </c>
      <c r="G790" s="193">
        <f>IF(_1_54128456121462410464578910174567[[#This Row],[Type]]&gt;0,VLOOKUP(_1_54128456121462410464578910174567[[#This Row],[Type]],Main[[#All],[TYPE]:[UNIT]],'Unit Price'!C$1,FALSE),0)</f>
        <v>0</v>
      </c>
      <c r="H790" s="197">
        <f>IF(_1_54128456121462410464578910174567[[#This Row],[Type]]&gt;0,VLOOKUP(_1_54128456121462410464578910174567[[#This Row],[Type]],Main[[#All],[TYPE]:[UNIT]],'Unit Price'!D$1,FALSE),0)</f>
        <v>0</v>
      </c>
      <c r="I790" s="194">
        <f>IF(_1_54128456121462410464578910174567[[#This Row],[Type]]&gt;0,VLOOKUP(_1_54128456121462410464578910174567[[#This Row],[Type]],Main[[#All],[TYPE]:[UNIT]],'Unit Price'!G$1,FALSE),0)</f>
        <v>0</v>
      </c>
      <c r="J790" s="194">
        <f>IF(_1_54128456121462410464578910174567[[#This Row],[Type]]&gt;0,VLOOKUP(_1_54128456121462410464578910174567[[#This Row],[Type]],Main[[#All],[TYPE]:[UNIT]],'Unit Price'!H$1,FALSE),0)</f>
        <v>0</v>
      </c>
      <c r="K790" s="194">
        <f>IF(_1_54128456121462410464578910174567[[#This Row],[Discount selection]]&gt;0,VLOOKUP(_1_54128456121462410464578910174567[[#This Row],[Discount selection]],'Discount Structure'!$A$2:$B$30,2,"false"),0)</f>
        <v>1</v>
      </c>
      <c r="L790" s="194">
        <f>_1_54128456121462410464578910174567[[#This Row],[LIST $]]*_1_54128456121462410464578910174567[[#This Row],[DISCOUNT]]*_1_54128456121462410464578910174567[[#This Row],[DISCOUNT 2]]</f>
        <v>0</v>
      </c>
      <c r="M790" s="194">
        <f>IF(OR(_1_54128456121462410464578910174567[[#This Row],[UNIT]]&gt;0,_1_54128456121462410464578910174567[[#This Row],[UNIT]]&lt;0),_1_54128456121462410464578910174567[[#This Row],[UNIT]]*_1_54128456121462410464578910174567[[#This Row],[COST]],0)</f>
        <v>0</v>
      </c>
      <c r="N790" s="194">
        <f t="shared" si="12"/>
        <v>1.3</v>
      </c>
      <c r="O790" s="198">
        <f>_1_54128456121462410464578910174567[[#This Row],[TOTAL]]*_1_54128456121462410464578910174567[[#This Row],[MARGIN]]</f>
        <v>0</v>
      </c>
      <c r="R790" s="41"/>
    </row>
    <row r="791" spans="4:18">
      <c r="D791" s="188"/>
      <c r="F791" s="168" t="s">
        <v>6202</v>
      </c>
      <c r="G791" s="193">
        <f>IF(_1_54128456121462410464578910174567[[#This Row],[Type]]&gt;0,VLOOKUP(_1_54128456121462410464578910174567[[#This Row],[Type]],Main[[#All],[TYPE]:[UNIT]],'Unit Price'!C$1,FALSE),0)</f>
        <v>0</v>
      </c>
      <c r="H791" s="197">
        <f>IF(_1_54128456121462410464578910174567[[#This Row],[Type]]&gt;0,VLOOKUP(_1_54128456121462410464578910174567[[#This Row],[Type]],Main[[#All],[TYPE]:[UNIT]],'Unit Price'!D$1,FALSE),0)</f>
        <v>0</v>
      </c>
      <c r="I791" s="194">
        <f>IF(_1_54128456121462410464578910174567[[#This Row],[Type]]&gt;0,VLOOKUP(_1_54128456121462410464578910174567[[#This Row],[Type]],Main[[#All],[TYPE]:[UNIT]],'Unit Price'!G$1,FALSE),0)</f>
        <v>0</v>
      </c>
      <c r="J791" s="194">
        <f>IF(_1_54128456121462410464578910174567[[#This Row],[Type]]&gt;0,VLOOKUP(_1_54128456121462410464578910174567[[#This Row],[Type]],Main[[#All],[TYPE]:[UNIT]],'Unit Price'!H$1,FALSE),0)</f>
        <v>0</v>
      </c>
      <c r="K791" s="194">
        <f>IF(_1_54128456121462410464578910174567[[#This Row],[Discount selection]]&gt;0,VLOOKUP(_1_54128456121462410464578910174567[[#This Row],[Discount selection]],'Discount Structure'!$A$2:$B$30,2,"false"),0)</f>
        <v>1</v>
      </c>
      <c r="L791" s="194">
        <f>_1_54128456121462410464578910174567[[#This Row],[LIST $]]*_1_54128456121462410464578910174567[[#This Row],[DISCOUNT]]*_1_54128456121462410464578910174567[[#This Row],[DISCOUNT 2]]</f>
        <v>0</v>
      </c>
      <c r="M791" s="194">
        <f>IF(OR(_1_54128456121462410464578910174567[[#This Row],[UNIT]]&gt;0,_1_54128456121462410464578910174567[[#This Row],[UNIT]]&lt;0),_1_54128456121462410464578910174567[[#This Row],[UNIT]]*_1_54128456121462410464578910174567[[#This Row],[COST]],0)</f>
        <v>0</v>
      </c>
      <c r="N791" s="194">
        <f t="shared" si="12"/>
        <v>1.3</v>
      </c>
      <c r="O791" s="198">
        <f>_1_54128456121462410464578910174567[[#This Row],[TOTAL]]*_1_54128456121462410464578910174567[[#This Row],[MARGIN]]</f>
        <v>0</v>
      </c>
      <c r="R791" s="41"/>
    </row>
    <row r="792" spans="4:18">
      <c r="D792" s="188"/>
      <c r="F792" s="168" t="s">
        <v>6202</v>
      </c>
      <c r="G792" s="193">
        <f>IF(_1_54128456121462410464578910174567[[#This Row],[Type]]&gt;0,VLOOKUP(_1_54128456121462410464578910174567[[#This Row],[Type]],Main[[#All],[TYPE]:[UNIT]],'Unit Price'!C$1,FALSE),0)</f>
        <v>0</v>
      </c>
      <c r="H792" s="197">
        <f>IF(_1_54128456121462410464578910174567[[#This Row],[Type]]&gt;0,VLOOKUP(_1_54128456121462410464578910174567[[#This Row],[Type]],Main[[#All],[TYPE]:[UNIT]],'Unit Price'!D$1,FALSE),0)</f>
        <v>0</v>
      </c>
      <c r="I792" s="194">
        <f>IF(_1_54128456121462410464578910174567[[#This Row],[Type]]&gt;0,VLOOKUP(_1_54128456121462410464578910174567[[#This Row],[Type]],Main[[#All],[TYPE]:[UNIT]],'Unit Price'!G$1,FALSE),0)</f>
        <v>0</v>
      </c>
      <c r="J792" s="194">
        <f>IF(_1_54128456121462410464578910174567[[#This Row],[Type]]&gt;0,VLOOKUP(_1_54128456121462410464578910174567[[#This Row],[Type]],Main[[#All],[TYPE]:[UNIT]],'Unit Price'!H$1,FALSE),0)</f>
        <v>0</v>
      </c>
      <c r="K792" s="194">
        <f>IF(_1_54128456121462410464578910174567[[#This Row],[Discount selection]]&gt;0,VLOOKUP(_1_54128456121462410464578910174567[[#This Row],[Discount selection]],'Discount Structure'!$A$2:$B$30,2,"false"),0)</f>
        <v>1</v>
      </c>
      <c r="L792" s="194">
        <f>_1_54128456121462410464578910174567[[#This Row],[LIST $]]*_1_54128456121462410464578910174567[[#This Row],[DISCOUNT]]*_1_54128456121462410464578910174567[[#This Row],[DISCOUNT 2]]</f>
        <v>0</v>
      </c>
      <c r="M792" s="194">
        <f>IF(OR(_1_54128456121462410464578910174567[[#This Row],[UNIT]]&gt;0,_1_54128456121462410464578910174567[[#This Row],[UNIT]]&lt;0),_1_54128456121462410464578910174567[[#This Row],[UNIT]]*_1_54128456121462410464578910174567[[#This Row],[COST]],0)</f>
        <v>0</v>
      </c>
      <c r="N792" s="194">
        <f t="shared" si="12"/>
        <v>1.3</v>
      </c>
      <c r="O792" s="198">
        <f>_1_54128456121462410464578910174567[[#This Row],[TOTAL]]*_1_54128456121462410464578910174567[[#This Row],[MARGIN]]</f>
        <v>0</v>
      </c>
      <c r="R792" s="41"/>
    </row>
    <row r="793" spans="4:18">
      <c r="D793" s="188"/>
      <c r="F793" s="168" t="s">
        <v>6202</v>
      </c>
      <c r="G793" s="193">
        <f>IF(_1_54128456121462410464578910174567[[#This Row],[Type]]&gt;0,VLOOKUP(_1_54128456121462410464578910174567[[#This Row],[Type]],Main[[#All],[TYPE]:[UNIT]],'Unit Price'!C$1,FALSE),0)</f>
        <v>0</v>
      </c>
      <c r="H793" s="197">
        <f>IF(_1_54128456121462410464578910174567[[#This Row],[Type]]&gt;0,VLOOKUP(_1_54128456121462410464578910174567[[#This Row],[Type]],Main[[#All],[TYPE]:[UNIT]],'Unit Price'!D$1,FALSE),0)</f>
        <v>0</v>
      </c>
      <c r="I793" s="194">
        <f>IF(_1_54128456121462410464578910174567[[#This Row],[Type]]&gt;0,VLOOKUP(_1_54128456121462410464578910174567[[#This Row],[Type]],Main[[#All],[TYPE]:[UNIT]],'Unit Price'!G$1,FALSE),0)</f>
        <v>0</v>
      </c>
      <c r="J793" s="194">
        <f>IF(_1_54128456121462410464578910174567[[#This Row],[Type]]&gt;0,VLOOKUP(_1_54128456121462410464578910174567[[#This Row],[Type]],Main[[#All],[TYPE]:[UNIT]],'Unit Price'!H$1,FALSE),0)</f>
        <v>0</v>
      </c>
      <c r="K793" s="194">
        <f>IF(_1_54128456121462410464578910174567[[#This Row],[Discount selection]]&gt;0,VLOOKUP(_1_54128456121462410464578910174567[[#This Row],[Discount selection]],'Discount Structure'!$A$2:$B$30,2,"false"),0)</f>
        <v>1</v>
      </c>
      <c r="L793" s="194">
        <f>_1_54128456121462410464578910174567[[#This Row],[LIST $]]*_1_54128456121462410464578910174567[[#This Row],[DISCOUNT]]*_1_54128456121462410464578910174567[[#This Row],[DISCOUNT 2]]</f>
        <v>0</v>
      </c>
      <c r="M793" s="194">
        <f>IF(OR(_1_54128456121462410464578910174567[[#This Row],[UNIT]]&gt;0,_1_54128456121462410464578910174567[[#This Row],[UNIT]]&lt;0),_1_54128456121462410464578910174567[[#This Row],[UNIT]]*_1_54128456121462410464578910174567[[#This Row],[COST]],0)</f>
        <v>0</v>
      </c>
      <c r="N793" s="194">
        <f t="shared" si="12"/>
        <v>1.3</v>
      </c>
      <c r="O793" s="198">
        <f>_1_54128456121462410464578910174567[[#This Row],[TOTAL]]*_1_54128456121462410464578910174567[[#This Row],[MARGIN]]</f>
        <v>0</v>
      </c>
      <c r="R793" s="41"/>
    </row>
    <row r="794" spans="4:18">
      <c r="D794" s="188"/>
      <c r="F794" s="168" t="s">
        <v>6202</v>
      </c>
      <c r="G794" s="193">
        <f>IF(_1_54128456121462410464578910174567[[#This Row],[Type]]&gt;0,VLOOKUP(_1_54128456121462410464578910174567[[#This Row],[Type]],Main[[#All],[TYPE]:[UNIT]],'Unit Price'!C$1,FALSE),0)</f>
        <v>0</v>
      </c>
      <c r="H794" s="197">
        <f>IF(_1_54128456121462410464578910174567[[#This Row],[Type]]&gt;0,VLOOKUP(_1_54128456121462410464578910174567[[#This Row],[Type]],Main[[#All],[TYPE]:[UNIT]],'Unit Price'!D$1,FALSE),0)</f>
        <v>0</v>
      </c>
      <c r="I794" s="194">
        <f>IF(_1_54128456121462410464578910174567[[#This Row],[Type]]&gt;0,VLOOKUP(_1_54128456121462410464578910174567[[#This Row],[Type]],Main[[#All],[TYPE]:[UNIT]],'Unit Price'!G$1,FALSE),0)</f>
        <v>0</v>
      </c>
      <c r="J794" s="194">
        <f>IF(_1_54128456121462410464578910174567[[#This Row],[Type]]&gt;0,VLOOKUP(_1_54128456121462410464578910174567[[#This Row],[Type]],Main[[#All],[TYPE]:[UNIT]],'Unit Price'!H$1,FALSE),0)</f>
        <v>0</v>
      </c>
      <c r="K794" s="194">
        <f>IF(_1_54128456121462410464578910174567[[#This Row],[Discount selection]]&gt;0,VLOOKUP(_1_54128456121462410464578910174567[[#This Row],[Discount selection]],'Discount Structure'!$A$2:$B$30,2,"false"),0)</f>
        <v>1</v>
      </c>
      <c r="L794" s="194">
        <f>_1_54128456121462410464578910174567[[#This Row],[LIST $]]*_1_54128456121462410464578910174567[[#This Row],[DISCOUNT]]*_1_54128456121462410464578910174567[[#This Row],[DISCOUNT 2]]</f>
        <v>0</v>
      </c>
      <c r="M794" s="194">
        <f>IF(OR(_1_54128456121462410464578910174567[[#This Row],[UNIT]]&gt;0,_1_54128456121462410464578910174567[[#This Row],[UNIT]]&lt;0),_1_54128456121462410464578910174567[[#This Row],[UNIT]]*_1_54128456121462410464578910174567[[#This Row],[COST]],0)</f>
        <v>0</v>
      </c>
      <c r="N794" s="194">
        <f t="shared" si="12"/>
        <v>1.3</v>
      </c>
      <c r="O794" s="198">
        <f>_1_54128456121462410464578910174567[[#This Row],[TOTAL]]*_1_54128456121462410464578910174567[[#This Row],[MARGIN]]</f>
        <v>0</v>
      </c>
      <c r="R794" s="41"/>
    </row>
    <row r="795" spans="4:18">
      <c r="D795" s="188"/>
      <c r="F795" s="168" t="s">
        <v>6202</v>
      </c>
      <c r="G795" s="193">
        <f>IF(_1_54128456121462410464578910174567[[#This Row],[Type]]&gt;0,VLOOKUP(_1_54128456121462410464578910174567[[#This Row],[Type]],Main[[#All],[TYPE]:[UNIT]],'Unit Price'!C$1,FALSE),0)</f>
        <v>0</v>
      </c>
      <c r="H795" s="197">
        <f>IF(_1_54128456121462410464578910174567[[#This Row],[Type]]&gt;0,VLOOKUP(_1_54128456121462410464578910174567[[#This Row],[Type]],Main[[#All],[TYPE]:[UNIT]],'Unit Price'!D$1,FALSE),0)</f>
        <v>0</v>
      </c>
      <c r="I795" s="194">
        <f>IF(_1_54128456121462410464578910174567[[#This Row],[Type]]&gt;0,VLOOKUP(_1_54128456121462410464578910174567[[#This Row],[Type]],Main[[#All],[TYPE]:[UNIT]],'Unit Price'!G$1,FALSE),0)</f>
        <v>0</v>
      </c>
      <c r="J795" s="194">
        <f>IF(_1_54128456121462410464578910174567[[#This Row],[Type]]&gt;0,VLOOKUP(_1_54128456121462410464578910174567[[#This Row],[Type]],Main[[#All],[TYPE]:[UNIT]],'Unit Price'!H$1,FALSE),0)</f>
        <v>0</v>
      </c>
      <c r="K795" s="194">
        <f>IF(_1_54128456121462410464578910174567[[#This Row],[Discount selection]]&gt;0,VLOOKUP(_1_54128456121462410464578910174567[[#This Row],[Discount selection]],'Discount Structure'!$A$2:$B$30,2,"false"),0)</f>
        <v>1</v>
      </c>
      <c r="L795" s="194">
        <f>_1_54128456121462410464578910174567[[#This Row],[LIST $]]*_1_54128456121462410464578910174567[[#This Row],[DISCOUNT]]*_1_54128456121462410464578910174567[[#This Row],[DISCOUNT 2]]</f>
        <v>0</v>
      </c>
      <c r="M795" s="194">
        <f>IF(OR(_1_54128456121462410464578910174567[[#This Row],[UNIT]]&gt;0,_1_54128456121462410464578910174567[[#This Row],[UNIT]]&lt;0),_1_54128456121462410464578910174567[[#This Row],[UNIT]]*_1_54128456121462410464578910174567[[#This Row],[COST]],0)</f>
        <v>0</v>
      </c>
      <c r="N795" s="194">
        <f t="shared" si="12"/>
        <v>1.3</v>
      </c>
      <c r="O795" s="198">
        <f>_1_54128456121462410464578910174567[[#This Row],[TOTAL]]*_1_54128456121462410464578910174567[[#This Row],[MARGIN]]</f>
        <v>0</v>
      </c>
      <c r="R795" s="41"/>
    </row>
    <row r="796" spans="4:18">
      <c r="D796" s="188"/>
      <c r="F796" s="168" t="s">
        <v>6202</v>
      </c>
      <c r="G796" s="193">
        <f>IF(_1_54128456121462410464578910174567[[#This Row],[Type]]&gt;0,VLOOKUP(_1_54128456121462410464578910174567[[#This Row],[Type]],Main[[#All],[TYPE]:[UNIT]],'Unit Price'!C$1,FALSE),0)</f>
        <v>0</v>
      </c>
      <c r="H796" s="197">
        <f>IF(_1_54128456121462410464578910174567[[#This Row],[Type]]&gt;0,VLOOKUP(_1_54128456121462410464578910174567[[#This Row],[Type]],Main[[#All],[TYPE]:[UNIT]],'Unit Price'!D$1,FALSE),0)</f>
        <v>0</v>
      </c>
      <c r="I796" s="194">
        <f>IF(_1_54128456121462410464578910174567[[#This Row],[Type]]&gt;0,VLOOKUP(_1_54128456121462410464578910174567[[#This Row],[Type]],Main[[#All],[TYPE]:[UNIT]],'Unit Price'!G$1,FALSE),0)</f>
        <v>0</v>
      </c>
      <c r="J796" s="194">
        <f>IF(_1_54128456121462410464578910174567[[#This Row],[Type]]&gt;0,VLOOKUP(_1_54128456121462410464578910174567[[#This Row],[Type]],Main[[#All],[TYPE]:[UNIT]],'Unit Price'!H$1,FALSE),0)</f>
        <v>0</v>
      </c>
      <c r="K796" s="194">
        <f>IF(_1_54128456121462410464578910174567[[#This Row],[Discount selection]]&gt;0,VLOOKUP(_1_54128456121462410464578910174567[[#This Row],[Discount selection]],'Discount Structure'!$A$2:$B$30,2,"false"),0)</f>
        <v>1</v>
      </c>
      <c r="L796" s="194">
        <f>_1_54128456121462410464578910174567[[#This Row],[LIST $]]*_1_54128456121462410464578910174567[[#This Row],[DISCOUNT]]*_1_54128456121462410464578910174567[[#This Row],[DISCOUNT 2]]</f>
        <v>0</v>
      </c>
      <c r="M796" s="194">
        <f>IF(OR(_1_54128456121462410464578910174567[[#This Row],[UNIT]]&gt;0,_1_54128456121462410464578910174567[[#This Row],[UNIT]]&lt;0),_1_54128456121462410464578910174567[[#This Row],[UNIT]]*_1_54128456121462410464578910174567[[#This Row],[COST]],0)</f>
        <v>0</v>
      </c>
      <c r="N796" s="194">
        <f t="shared" si="12"/>
        <v>1.3</v>
      </c>
      <c r="O796" s="198">
        <f>_1_54128456121462410464578910174567[[#This Row],[TOTAL]]*_1_54128456121462410464578910174567[[#This Row],[MARGIN]]</f>
        <v>0</v>
      </c>
      <c r="R796" s="41"/>
    </row>
    <row r="797" spans="4:18">
      <c r="D797" s="188"/>
      <c r="F797" s="168" t="s">
        <v>6202</v>
      </c>
      <c r="G797" s="193">
        <f>IF(_1_54128456121462410464578910174567[[#This Row],[Type]]&gt;0,VLOOKUP(_1_54128456121462410464578910174567[[#This Row],[Type]],Main[[#All],[TYPE]:[UNIT]],'Unit Price'!C$1,FALSE),0)</f>
        <v>0</v>
      </c>
      <c r="H797" s="197">
        <f>IF(_1_54128456121462410464578910174567[[#This Row],[Type]]&gt;0,VLOOKUP(_1_54128456121462410464578910174567[[#This Row],[Type]],Main[[#All],[TYPE]:[UNIT]],'Unit Price'!D$1,FALSE),0)</f>
        <v>0</v>
      </c>
      <c r="I797" s="194">
        <f>IF(_1_54128456121462410464578910174567[[#This Row],[Type]]&gt;0,VLOOKUP(_1_54128456121462410464578910174567[[#This Row],[Type]],Main[[#All],[TYPE]:[UNIT]],'Unit Price'!G$1,FALSE),0)</f>
        <v>0</v>
      </c>
      <c r="J797" s="194">
        <f>IF(_1_54128456121462410464578910174567[[#This Row],[Type]]&gt;0,VLOOKUP(_1_54128456121462410464578910174567[[#This Row],[Type]],Main[[#All],[TYPE]:[UNIT]],'Unit Price'!H$1,FALSE),0)</f>
        <v>0</v>
      </c>
      <c r="K797" s="194">
        <f>IF(_1_54128456121462410464578910174567[[#This Row],[Discount selection]]&gt;0,VLOOKUP(_1_54128456121462410464578910174567[[#This Row],[Discount selection]],'Discount Structure'!$A$2:$B$30,2,"false"),0)</f>
        <v>1</v>
      </c>
      <c r="L797" s="194">
        <f>_1_54128456121462410464578910174567[[#This Row],[LIST $]]*_1_54128456121462410464578910174567[[#This Row],[DISCOUNT]]*_1_54128456121462410464578910174567[[#This Row],[DISCOUNT 2]]</f>
        <v>0</v>
      </c>
      <c r="M797" s="194">
        <f>IF(OR(_1_54128456121462410464578910174567[[#This Row],[UNIT]]&gt;0,_1_54128456121462410464578910174567[[#This Row],[UNIT]]&lt;0),_1_54128456121462410464578910174567[[#This Row],[UNIT]]*_1_54128456121462410464578910174567[[#This Row],[COST]],0)</f>
        <v>0</v>
      </c>
      <c r="N797" s="194">
        <f t="shared" si="12"/>
        <v>1.3</v>
      </c>
      <c r="O797" s="198">
        <f>_1_54128456121462410464578910174567[[#This Row],[TOTAL]]*_1_54128456121462410464578910174567[[#This Row],[MARGIN]]</f>
        <v>0</v>
      </c>
      <c r="R797" s="41"/>
    </row>
    <row r="798" spans="4:18">
      <c r="D798" s="188"/>
      <c r="F798" s="168" t="s">
        <v>6202</v>
      </c>
      <c r="G798" s="193">
        <f>IF(_1_54128456121462410464578910174567[[#This Row],[Type]]&gt;0,VLOOKUP(_1_54128456121462410464578910174567[[#This Row],[Type]],Main[[#All],[TYPE]:[UNIT]],'Unit Price'!C$1,FALSE),0)</f>
        <v>0</v>
      </c>
      <c r="H798" s="197">
        <f>IF(_1_54128456121462410464578910174567[[#This Row],[Type]]&gt;0,VLOOKUP(_1_54128456121462410464578910174567[[#This Row],[Type]],Main[[#All],[TYPE]:[UNIT]],'Unit Price'!D$1,FALSE),0)</f>
        <v>0</v>
      </c>
      <c r="I798" s="194">
        <f>IF(_1_54128456121462410464578910174567[[#This Row],[Type]]&gt;0,VLOOKUP(_1_54128456121462410464578910174567[[#This Row],[Type]],Main[[#All],[TYPE]:[UNIT]],'Unit Price'!G$1,FALSE),0)</f>
        <v>0</v>
      </c>
      <c r="J798" s="194">
        <f>IF(_1_54128456121462410464578910174567[[#This Row],[Type]]&gt;0,VLOOKUP(_1_54128456121462410464578910174567[[#This Row],[Type]],Main[[#All],[TYPE]:[UNIT]],'Unit Price'!H$1,FALSE),0)</f>
        <v>0</v>
      </c>
      <c r="K798" s="194">
        <f>IF(_1_54128456121462410464578910174567[[#This Row],[Discount selection]]&gt;0,VLOOKUP(_1_54128456121462410464578910174567[[#This Row],[Discount selection]],'Discount Structure'!$A$2:$B$30,2,"false"),0)</f>
        <v>1</v>
      </c>
      <c r="L798" s="194">
        <f>_1_54128456121462410464578910174567[[#This Row],[LIST $]]*_1_54128456121462410464578910174567[[#This Row],[DISCOUNT]]*_1_54128456121462410464578910174567[[#This Row],[DISCOUNT 2]]</f>
        <v>0</v>
      </c>
      <c r="M798" s="194">
        <f>IF(OR(_1_54128456121462410464578910174567[[#This Row],[UNIT]]&gt;0,_1_54128456121462410464578910174567[[#This Row],[UNIT]]&lt;0),_1_54128456121462410464578910174567[[#This Row],[UNIT]]*_1_54128456121462410464578910174567[[#This Row],[COST]],0)</f>
        <v>0</v>
      </c>
      <c r="N798" s="194">
        <f t="shared" si="12"/>
        <v>1.3</v>
      </c>
      <c r="O798" s="198">
        <f>_1_54128456121462410464578910174567[[#This Row],[TOTAL]]*_1_54128456121462410464578910174567[[#This Row],[MARGIN]]</f>
        <v>0</v>
      </c>
      <c r="R798" s="41"/>
    </row>
    <row r="799" spans="4:18">
      <c r="D799" s="188"/>
      <c r="F799" s="168" t="s">
        <v>6202</v>
      </c>
      <c r="G799" s="193">
        <f>IF(_1_54128456121462410464578910174567[[#This Row],[Type]]&gt;0,VLOOKUP(_1_54128456121462410464578910174567[[#This Row],[Type]],Main[[#All],[TYPE]:[UNIT]],'Unit Price'!C$1,FALSE),0)</f>
        <v>0</v>
      </c>
      <c r="H799" s="197">
        <f>IF(_1_54128456121462410464578910174567[[#This Row],[Type]]&gt;0,VLOOKUP(_1_54128456121462410464578910174567[[#This Row],[Type]],Main[[#All],[TYPE]:[UNIT]],'Unit Price'!D$1,FALSE),0)</f>
        <v>0</v>
      </c>
      <c r="I799" s="194">
        <f>IF(_1_54128456121462410464578910174567[[#This Row],[Type]]&gt;0,VLOOKUP(_1_54128456121462410464578910174567[[#This Row],[Type]],Main[[#All],[TYPE]:[UNIT]],'Unit Price'!G$1,FALSE),0)</f>
        <v>0</v>
      </c>
      <c r="J799" s="194">
        <f>IF(_1_54128456121462410464578910174567[[#This Row],[Type]]&gt;0,VLOOKUP(_1_54128456121462410464578910174567[[#This Row],[Type]],Main[[#All],[TYPE]:[UNIT]],'Unit Price'!H$1,FALSE),0)</f>
        <v>0</v>
      </c>
      <c r="K799" s="194">
        <f>IF(_1_54128456121462410464578910174567[[#This Row],[Discount selection]]&gt;0,VLOOKUP(_1_54128456121462410464578910174567[[#This Row],[Discount selection]],'Discount Structure'!$A$2:$B$30,2,"false"),0)</f>
        <v>1</v>
      </c>
      <c r="L799" s="194">
        <f>_1_54128456121462410464578910174567[[#This Row],[LIST $]]*_1_54128456121462410464578910174567[[#This Row],[DISCOUNT]]*_1_54128456121462410464578910174567[[#This Row],[DISCOUNT 2]]</f>
        <v>0</v>
      </c>
      <c r="M799" s="194">
        <f>IF(OR(_1_54128456121462410464578910174567[[#This Row],[UNIT]]&gt;0,_1_54128456121462410464578910174567[[#This Row],[UNIT]]&lt;0),_1_54128456121462410464578910174567[[#This Row],[UNIT]]*_1_54128456121462410464578910174567[[#This Row],[COST]],0)</f>
        <v>0</v>
      </c>
      <c r="N799" s="194">
        <f t="shared" si="12"/>
        <v>1.3</v>
      </c>
      <c r="O799" s="198">
        <f>_1_54128456121462410464578910174567[[#This Row],[TOTAL]]*_1_54128456121462410464578910174567[[#This Row],[MARGIN]]</f>
        <v>0</v>
      </c>
      <c r="R799" s="41"/>
    </row>
    <row r="800" spans="4:18">
      <c r="D800" s="188"/>
      <c r="F800" s="168" t="s">
        <v>6202</v>
      </c>
      <c r="G800" s="193">
        <f>IF(_1_54128456121462410464578910174567[[#This Row],[Type]]&gt;0,VLOOKUP(_1_54128456121462410464578910174567[[#This Row],[Type]],Main[[#All],[TYPE]:[UNIT]],'Unit Price'!C$1,FALSE),0)</f>
        <v>0</v>
      </c>
      <c r="H800" s="197">
        <f>IF(_1_54128456121462410464578910174567[[#This Row],[Type]]&gt;0,VLOOKUP(_1_54128456121462410464578910174567[[#This Row],[Type]],Main[[#All],[TYPE]:[UNIT]],'Unit Price'!D$1,FALSE),0)</f>
        <v>0</v>
      </c>
      <c r="I800" s="194">
        <f>IF(_1_54128456121462410464578910174567[[#This Row],[Type]]&gt;0,VLOOKUP(_1_54128456121462410464578910174567[[#This Row],[Type]],Main[[#All],[TYPE]:[UNIT]],'Unit Price'!G$1,FALSE),0)</f>
        <v>0</v>
      </c>
      <c r="J800" s="194">
        <f>IF(_1_54128456121462410464578910174567[[#This Row],[Type]]&gt;0,VLOOKUP(_1_54128456121462410464578910174567[[#This Row],[Type]],Main[[#All],[TYPE]:[UNIT]],'Unit Price'!H$1,FALSE),0)</f>
        <v>0</v>
      </c>
      <c r="K800" s="194">
        <f>IF(_1_54128456121462410464578910174567[[#This Row],[Discount selection]]&gt;0,VLOOKUP(_1_54128456121462410464578910174567[[#This Row],[Discount selection]],'Discount Structure'!$A$2:$B$30,2,"false"),0)</f>
        <v>1</v>
      </c>
      <c r="L800" s="194">
        <f>_1_54128456121462410464578910174567[[#This Row],[LIST $]]*_1_54128456121462410464578910174567[[#This Row],[DISCOUNT]]*_1_54128456121462410464578910174567[[#This Row],[DISCOUNT 2]]</f>
        <v>0</v>
      </c>
      <c r="M800" s="194">
        <f>IF(OR(_1_54128456121462410464578910174567[[#This Row],[UNIT]]&gt;0,_1_54128456121462410464578910174567[[#This Row],[UNIT]]&lt;0),_1_54128456121462410464578910174567[[#This Row],[UNIT]]*_1_54128456121462410464578910174567[[#This Row],[COST]],0)</f>
        <v>0</v>
      </c>
      <c r="N800" s="194">
        <f t="shared" si="12"/>
        <v>1.3</v>
      </c>
      <c r="O800" s="198">
        <f>_1_54128456121462410464578910174567[[#This Row],[TOTAL]]*_1_54128456121462410464578910174567[[#This Row],[MARGIN]]</f>
        <v>0</v>
      </c>
      <c r="R800" s="41"/>
    </row>
    <row r="801" spans="4:18">
      <c r="D801" s="188"/>
      <c r="F801" s="168" t="s">
        <v>6202</v>
      </c>
      <c r="G801" s="193">
        <f>IF(_1_54128456121462410464578910174567[[#This Row],[Type]]&gt;0,VLOOKUP(_1_54128456121462410464578910174567[[#This Row],[Type]],Main[[#All],[TYPE]:[UNIT]],'Unit Price'!C$1,FALSE),0)</f>
        <v>0</v>
      </c>
      <c r="H801" s="197">
        <f>IF(_1_54128456121462410464578910174567[[#This Row],[Type]]&gt;0,VLOOKUP(_1_54128456121462410464578910174567[[#This Row],[Type]],Main[[#All],[TYPE]:[UNIT]],'Unit Price'!D$1,FALSE),0)</f>
        <v>0</v>
      </c>
      <c r="I801" s="194">
        <f>IF(_1_54128456121462410464578910174567[[#This Row],[Type]]&gt;0,VLOOKUP(_1_54128456121462410464578910174567[[#This Row],[Type]],Main[[#All],[TYPE]:[UNIT]],'Unit Price'!G$1,FALSE),0)</f>
        <v>0</v>
      </c>
      <c r="J801" s="194">
        <f>IF(_1_54128456121462410464578910174567[[#This Row],[Type]]&gt;0,VLOOKUP(_1_54128456121462410464578910174567[[#This Row],[Type]],Main[[#All],[TYPE]:[UNIT]],'Unit Price'!H$1,FALSE),0)</f>
        <v>0</v>
      </c>
      <c r="K801" s="194">
        <f>IF(_1_54128456121462410464578910174567[[#This Row],[Discount selection]]&gt;0,VLOOKUP(_1_54128456121462410464578910174567[[#This Row],[Discount selection]],'Discount Structure'!$A$2:$B$30,2,"false"),0)</f>
        <v>1</v>
      </c>
      <c r="L801" s="194">
        <f>_1_54128456121462410464578910174567[[#This Row],[LIST $]]*_1_54128456121462410464578910174567[[#This Row],[DISCOUNT]]*_1_54128456121462410464578910174567[[#This Row],[DISCOUNT 2]]</f>
        <v>0</v>
      </c>
      <c r="M801" s="194">
        <f>IF(OR(_1_54128456121462410464578910174567[[#This Row],[UNIT]]&gt;0,_1_54128456121462410464578910174567[[#This Row],[UNIT]]&lt;0),_1_54128456121462410464578910174567[[#This Row],[UNIT]]*_1_54128456121462410464578910174567[[#This Row],[COST]],0)</f>
        <v>0</v>
      </c>
      <c r="N801" s="194">
        <f t="shared" si="12"/>
        <v>1.3</v>
      </c>
      <c r="O801" s="198">
        <f>_1_54128456121462410464578910174567[[#This Row],[TOTAL]]*_1_54128456121462410464578910174567[[#This Row],[MARGIN]]</f>
        <v>0</v>
      </c>
      <c r="R801" s="41"/>
    </row>
    <row r="802" spans="4:18">
      <c r="D802" s="188"/>
      <c r="F802" s="168" t="s">
        <v>6202</v>
      </c>
      <c r="G802" s="193">
        <f>IF(_1_54128456121462410464578910174567[[#This Row],[Type]]&gt;0,VLOOKUP(_1_54128456121462410464578910174567[[#This Row],[Type]],Main[[#All],[TYPE]:[UNIT]],'Unit Price'!C$1,FALSE),0)</f>
        <v>0</v>
      </c>
      <c r="H802" s="197">
        <f>IF(_1_54128456121462410464578910174567[[#This Row],[Type]]&gt;0,VLOOKUP(_1_54128456121462410464578910174567[[#This Row],[Type]],Main[[#All],[TYPE]:[UNIT]],'Unit Price'!D$1,FALSE),0)</f>
        <v>0</v>
      </c>
      <c r="I802" s="194">
        <f>IF(_1_54128456121462410464578910174567[[#This Row],[Type]]&gt;0,VLOOKUP(_1_54128456121462410464578910174567[[#This Row],[Type]],Main[[#All],[TYPE]:[UNIT]],'Unit Price'!G$1,FALSE),0)</f>
        <v>0</v>
      </c>
      <c r="J802" s="194">
        <f>IF(_1_54128456121462410464578910174567[[#This Row],[Type]]&gt;0,VLOOKUP(_1_54128456121462410464578910174567[[#This Row],[Type]],Main[[#All],[TYPE]:[UNIT]],'Unit Price'!H$1,FALSE),0)</f>
        <v>0</v>
      </c>
      <c r="K802" s="194">
        <f>IF(_1_54128456121462410464578910174567[[#This Row],[Discount selection]]&gt;0,VLOOKUP(_1_54128456121462410464578910174567[[#This Row],[Discount selection]],'Discount Structure'!$A$2:$B$30,2,"false"),0)</f>
        <v>1</v>
      </c>
      <c r="L802" s="194">
        <f>_1_54128456121462410464578910174567[[#This Row],[LIST $]]*_1_54128456121462410464578910174567[[#This Row],[DISCOUNT]]*_1_54128456121462410464578910174567[[#This Row],[DISCOUNT 2]]</f>
        <v>0</v>
      </c>
      <c r="M802" s="194">
        <f>IF(OR(_1_54128456121462410464578910174567[[#This Row],[UNIT]]&gt;0,_1_54128456121462410464578910174567[[#This Row],[UNIT]]&lt;0),_1_54128456121462410464578910174567[[#This Row],[UNIT]]*_1_54128456121462410464578910174567[[#This Row],[COST]],0)</f>
        <v>0</v>
      </c>
      <c r="N802" s="194">
        <f t="shared" si="12"/>
        <v>1.3</v>
      </c>
      <c r="O802" s="198">
        <f>_1_54128456121462410464578910174567[[#This Row],[TOTAL]]*_1_54128456121462410464578910174567[[#This Row],[MARGIN]]</f>
        <v>0</v>
      </c>
      <c r="R802" s="41"/>
    </row>
    <row r="803" spans="4:18">
      <c r="D803" s="188"/>
      <c r="F803" s="168" t="s">
        <v>6202</v>
      </c>
      <c r="G803" s="193">
        <f>IF(_1_54128456121462410464578910174567[[#This Row],[Type]]&gt;0,VLOOKUP(_1_54128456121462410464578910174567[[#This Row],[Type]],Main[[#All],[TYPE]:[UNIT]],'Unit Price'!C$1,FALSE),0)</f>
        <v>0</v>
      </c>
      <c r="H803" s="197">
        <f>IF(_1_54128456121462410464578910174567[[#This Row],[Type]]&gt;0,VLOOKUP(_1_54128456121462410464578910174567[[#This Row],[Type]],Main[[#All],[TYPE]:[UNIT]],'Unit Price'!D$1,FALSE),0)</f>
        <v>0</v>
      </c>
      <c r="I803" s="194">
        <f>IF(_1_54128456121462410464578910174567[[#This Row],[Type]]&gt;0,VLOOKUP(_1_54128456121462410464578910174567[[#This Row],[Type]],Main[[#All],[TYPE]:[UNIT]],'Unit Price'!G$1,FALSE),0)</f>
        <v>0</v>
      </c>
      <c r="J803" s="194">
        <f>IF(_1_54128456121462410464578910174567[[#This Row],[Type]]&gt;0,VLOOKUP(_1_54128456121462410464578910174567[[#This Row],[Type]],Main[[#All],[TYPE]:[UNIT]],'Unit Price'!H$1,FALSE),0)</f>
        <v>0</v>
      </c>
      <c r="K803" s="194">
        <f>IF(_1_54128456121462410464578910174567[[#This Row],[Discount selection]]&gt;0,VLOOKUP(_1_54128456121462410464578910174567[[#This Row],[Discount selection]],'Discount Structure'!$A$2:$B$30,2,"false"),0)</f>
        <v>1</v>
      </c>
      <c r="L803" s="194">
        <f>_1_54128456121462410464578910174567[[#This Row],[LIST $]]*_1_54128456121462410464578910174567[[#This Row],[DISCOUNT]]*_1_54128456121462410464578910174567[[#This Row],[DISCOUNT 2]]</f>
        <v>0</v>
      </c>
      <c r="M803" s="194">
        <f>IF(OR(_1_54128456121462410464578910174567[[#This Row],[UNIT]]&gt;0,_1_54128456121462410464578910174567[[#This Row],[UNIT]]&lt;0),_1_54128456121462410464578910174567[[#This Row],[UNIT]]*_1_54128456121462410464578910174567[[#This Row],[COST]],0)</f>
        <v>0</v>
      </c>
      <c r="N803" s="194">
        <f t="shared" si="12"/>
        <v>1.3</v>
      </c>
      <c r="O803" s="198">
        <f>_1_54128456121462410464578910174567[[#This Row],[TOTAL]]*_1_54128456121462410464578910174567[[#This Row],[MARGIN]]</f>
        <v>0</v>
      </c>
      <c r="R803" s="41"/>
    </row>
    <row r="804" spans="4:18">
      <c r="D804" s="188"/>
      <c r="F804" s="168" t="s">
        <v>6202</v>
      </c>
      <c r="G804" s="193">
        <f>IF(_1_54128456121462410464578910174567[[#This Row],[Type]]&gt;0,VLOOKUP(_1_54128456121462410464578910174567[[#This Row],[Type]],Main[[#All],[TYPE]:[UNIT]],'Unit Price'!C$1,FALSE),0)</f>
        <v>0</v>
      </c>
      <c r="H804" s="197">
        <f>IF(_1_54128456121462410464578910174567[[#This Row],[Type]]&gt;0,VLOOKUP(_1_54128456121462410464578910174567[[#This Row],[Type]],Main[[#All],[TYPE]:[UNIT]],'Unit Price'!D$1,FALSE),0)</f>
        <v>0</v>
      </c>
      <c r="I804" s="194">
        <f>IF(_1_54128456121462410464578910174567[[#This Row],[Type]]&gt;0,VLOOKUP(_1_54128456121462410464578910174567[[#This Row],[Type]],Main[[#All],[TYPE]:[UNIT]],'Unit Price'!G$1,FALSE),0)</f>
        <v>0</v>
      </c>
      <c r="J804" s="194">
        <f>IF(_1_54128456121462410464578910174567[[#This Row],[Type]]&gt;0,VLOOKUP(_1_54128456121462410464578910174567[[#This Row],[Type]],Main[[#All],[TYPE]:[UNIT]],'Unit Price'!H$1,FALSE),0)</f>
        <v>0</v>
      </c>
      <c r="K804" s="194">
        <f>IF(_1_54128456121462410464578910174567[[#This Row],[Discount selection]]&gt;0,VLOOKUP(_1_54128456121462410464578910174567[[#This Row],[Discount selection]],'Discount Structure'!$A$2:$B$30,2,"false"),0)</f>
        <v>1</v>
      </c>
      <c r="L804" s="194">
        <f>_1_54128456121462410464578910174567[[#This Row],[LIST $]]*_1_54128456121462410464578910174567[[#This Row],[DISCOUNT]]*_1_54128456121462410464578910174567[[#This Row],[DISCOUNT 2]]</f>
        <v>0</v>
      </c>
      <c r="M804" s="194">
        <f>IF(OR(_1_54128456121462410464578910174567[[#This Row],[UNIT]]&gt;0,_1_54128456121462410464578910174567[[#This Row],[UNIT]]&lt;0),_1_54128456121462410464578910174567[[#This Row],[UNIT]]*_1_54128456121462410464578910174567[[#This Row],[COST]],0)</f>
        <v>0</v>
      </c>
      <c r="N804" s="194">
        <f t="shared" si="12"/>
        <v>1.3</v>
      </c>
      <c r="O804" s="198">
        <f>_1_54128456121462410464578910174567[[#This Row],[TOTAL]]*_1_54128456121462410464578910174567[[#This Row],[MARGIN]]</f>
        <v>0</v>
      </c>
      <c r="R804" s="41"/>
    </row>
    <row r="805" spans="4:18">
      <c r="D805" s="188"/>
      <c r="F805" s="168" t="s">
        <v>6202</v>
      </c>
      <c r="G805" s="193">
        <f>IF(_1_54128456121462410464578910174567[[#This Row],[Type]]&gt;0,VLOOKUP(_1_54128456121462410464578910174567[[#This Row],[Type]],Main[[#All],[TYPE]:[UNIT]],'Unit Price'!C$1,FALSE),0)</f>
        <v>0</v>
      </c>
      <c r="H805" s="197">
        <f>IF(_1_54128456121462410464578910174567[[#This Row],[Type]]&gt;0,VLOOKUP(_1_54128456121462410464578910174567[[#This Row],[Type]],Main[[#All],[TYPE]:[UNIT]],'Unit Price'!D$1,FALSE),0)</f>
        <v>0</v>
      </c>
      <c r="I805" s="194">
        <f>IF(_1_54128456121462410464578910174567[[#This Row],[Type]]&gt;0,VLOOKUP(_1_54128456121462410464578910174567[[#This Row],[Type]],Main[[#All],[TYPE]:[UNIT]],'Unit Price'!G$1,FALSE),0)</f>
        <v>0</v>
      </c>
      <c r="J805" s="194">
        <f>IF(_1_54128456121462410464578910174567[[#This Row],[Type]]&gt;0,VLOOKUP(_1_54128456121462410464578910174567[[#This Row],[Type]],Main[[#All],[TYPE]:[UNIT]],'Unit Price'!H$1,FALSE),0)</f>
        <v>0</v>
      </c>
      <c r="K805" s="194">
        <f>IF(_1_54128456121462410464578910174567[[#This Row],[Discount selection]]&gt;0,VLOOKUP(_1_54128456121462410464578910174567[[#This Row],[Discount selection]],'Discount Structure'!$A$2:$B$30,2,"false"),0)</f>
        <v>1</v>
      </c>
      <c r="L805" s="194">
        <f>_1_54128456121462410464578910174567[[#This Row],[LIST $]]*_1_54128456121462410464578910174567[[#This Row],[DISCOUNT]]*_1_54128456121462410464578910174567[[#This Row],[DISCOUNT 2]]</f>
        <v>0</v>
      </c>
      <c r="M805" s="194">
        <f>IF(OR(_1_54128456121462410464578910174567[[#This Row],[UNIT]]&gt;0,_1_54128456121462410464578910174567[[#This Row],[UNIT]]&lt;0),_1_54128456121462410464578910174567[[#This Row],[UNIT]]*_1_54128456121462410464578910174567[[#This Row],[COST]],0)</f>
        <v>0</v>
      </c>
      <c r="N805" s="194">
        <f t="shared" si="12"/>
        <v>1.3</v>
      </c>
      <c r="O805" s="198">
        <f>_1_54128456121462410464578910174567[[#This Row],[TOTAL]]*_1_54128456121462410464578910174567[[#This Row],[MARGIN]]</f>
        <v>0</v>
      </c>
      <c r="R805" s="41"/>
    </row>
    <row r="806" spans="4:18">
      <c r="D806" s="188"/>
      <c r="F806" s="168" t="s">
        <v>6202</v>
      </c>
      <c r="G806" s="193">
        <f>IF(_1_54128456121462410464578910174567[[#This Row],[Type]]&gt;0,VLOOKUP(_1_54128456121462410464578910174567[[#This Row],[Type]],Main[[#All],[TYPE]:[UNIT]],'Unit Price'!C$1,FALSE),0)</f>
        <v>0</v>
      </c>
      <c r="H806" s="197">
        <f>IF(_1_54128456121462410464578910174567[[#This Row],[Type]]&gt;0,VLOOKUP(_1_54128456121462410464578910174567[[#This Row],[Type]],Main[[#All],[TYPE]:[UNIT]],'Unit Price'!D$1,FALSE),0)</f>
        <v>0</v>
      </c>
      <c r="I806" s="194">
        <f>IF(_1_54128456121462410464578910174567[[#This Row],[Type]]&gt;0,VLOOKUP(_1_54128456121462410464578910174567[[#This Row],[Type]],Main[[#All],[TYPE]:[UNIT]],'Unit Price'!G$1,FALSE),0)</f>
        <v>0</v>
      </c>
      <c r="J806" s="194">
        <f>IF(_1_54128456121462410464578910174567[[#This Row],[Type]]&gt;0,VLOOKUP(_1_54128456121462410464578910174567[[#This Row],[Type]],Main[[#All],[TYPE]:[UNIT]],'Unit Price'!H$1,FALSE),0)</f>
        <v>0</v>
      </c>
      <c r="K806" s="194">
        <f>IF(_1_54128456121462410464578910174567[[#This Row],[Discount selection]]&gt;0,VLOOKUP(_1_54128456121462410464578910174567[[#This Row],[Discount selection]],'Discount Structure'!$A$2:$B$30,2,"false"),0)</f>
        <v>1</v>
      </c>
      <c r="L806" s="194">
        <f>_1_54128456121462410464578910174567[[#This Row],[LIST $]]*_1_54128456121462410464578910174567[[#This Row],[DISCOUNT]]*_1_54128456121462410464578910174567[[#This Row],[DISCOUNT 2]]</f>
        <v>0</v>
      </c>
      <c r="M806" s="194">
        <f>IF(OR(_1_54128456121462410464578910174567[[#This Row],[UNIT]]&gt;0,_1_54128456121462410464578910174567[[#This Row],[UNIT]]&lt;0),_1_54128456121462410464578910174567[[#This Row],[UNIT]]*_1_54128456121462410464578910174567[[#This Row],[COST]],0)</f>
        <v>0</v>
      </c>
      <c r="N806" s="194">
        <f t="shared" si="12"/>
        <v>1.3</v>
      </c>
      <c r="O806" s="198">
        <f>_1_54128456121462410464578910174567[[#This Row],[TOTAL]]*_1_54128456121462410464578910174567[[#This Row],[MARGIN]]</f>
        <v>0</v>
      </c>
      <c r="R806" s="41"/>
    </row>
    <row r="807" spans="4:18">
      <c r="D807" s="188"/>
      <c r="F807" s="168" t="s">
        <v>6202</v>
      </c>
      <c r="G807" s="193">
        <f>IF(_1_54128456121462410464578910174567[[#This Row],[Type]]&gt;0,VLOOKUP(_1_54128456121462410464578910174567[[#This Row],[Type]],Main[[#All],[TYPE]:[UNIT]],'Unit Price'!C$1,FALSE),0)</f>
        <v>0</v>
      </c>
      <c r="H807" s="197">
        <f>IF(_1_54128456121462410464578910174567[[#This Row],[Type]]&gt;0,VLOOKUP(_1_54128456121462410464578910174567[[#This Row],[Type]],Main[[#All],[TYPE]:[UNIT]],'Unit Price'!D$1,FALSE),0)</f>
        <v>0</v>
      </c>
      <c r="I807" s="194">
        <f>IF(_1_54128456121462410464578910174567[[#This Row],[Type]]&gt;0,VLOOKUP(_1_54128456121462410464578910174567[[#This Row],[Type]],Main[[#All],[TYPE]:[UNIT]],'Unit Price'!G$1,FALSE),0)</f>
        <v>0</v>
      </c>
      <c r="J807" s="194">
        <f>IF(_1_54128456121462410464578910174567[[#This Row],[Type]]&gt;0,VLOOKUP(_1_54128456121462410464578910174567[[#This Row],[Type]],Main[[#All],[TYPE]:[UNIT]],'Unit Price'!H$1,FALSE),0)</f>
        <v>0</v>
      </c>
      <c r="K807" s="194">
        <f>IF(_1_54128456121462410464578910174567[[#This Row],[Discount selection]]&gt;0,VLOOKUP(_1_54128456121462410464578910174567[[#This Row],[Discount selection]],'Discount Structure'!$A$2:$B$30,2,"false"),0)</f>
        <v>1</v>
      </c>
      <c r="L807" s="194">
        <f>_1_54128456121462410464578910174567[[#This Row],[LIST $]]*_1_54128456121462410464578910174567[[#This Row],[DISCOUNT]]*_1_54128456121462410464578910174567[[#This Row],[DISCOUNT 2]]</f>
        <v>0</v>
      </c>
      <c r="M807" s="194">
        <f>IF(OR(_1_54128456121462410464578910174567[[#This Row],[UNIT]]&gt;0,_1_54128456121462410464578910174567[[#This Row],[UNIT]]&lt;0),_1_54128456121462410464578910174567[[#This Row],[UNIT]]*_1_54128456121462410464578910174567[[#This Row],[COST]],0)</f>
        <v>0</v>
      </c>
      <c r="N807" s="194">
        <f t="shared" si="12"/>
        <v>1.3</v>
      </c>
      <c r="O807" s="198">
        <f>_1_54128456121462410464578910174567[[#This Row],[TOTAL]]*_1_54128456121462410464578910174567[[#This Row],[MARGIN]]</f>
        <v>0</v>
      </c>
      <c r="R807" s="41"/>
    </row>
    <row r="808" spans="4:18">
      <c r="D808" s="188"/>
      <c r="F808" s="168" t="s">
        <v>6202</v>
      </c>
      <c r="G808" s="193">
        <f>IF(_1_54128456121462410464578910174567[[#This Row],[Type]]&gt;0,VLOOKUP(_1_54128456121462410464578910174567[[#This Row],[Type]],Main[[#All],[TYPE]:[UNIT]],'Unit Price'!C$1,FALSE),0)</f>
        <v>0</v>
      </c>
      <c r="H808" s="197">
        <f>IF(_1_54128456121462410464578910174567[[#This Row],[Type]]&gt;0,VLOOKUP(_1_54128456121462410464578910174567[[#This Row],[Type]],Main[[#All],[TYPE]:[UNIT]],'Unit Price'!D$1,FALSE),0)</f>
        <v>0</v>
      </c>
      <c r="I808" s="194">
        <f>IF(_1_54128456121462410464578910174567[[#This Row],[Type]]&gt;0,VLOOKUP(_1_54128456121462410464578910174567[[#This Row],[Type]],Main[[#All],[TYPE]:[UNIT]],'Unit Price'!G$1,FALSE),0)</f>
        <v>0</v>
      </c>
      <c r="J808" s="194">
        <f>IF(_1_54128456121462410464578910174567[[#This Row],[Type]]&gt;0,VLOOKUP(_1_54128456121462410464578910174567[[#This Row],[Type]],Main[[#All],[TYPE]:[UNIT]],'Unit Price'!H$1,FALSE),0)</f>
        <v>0</v>
      </c>
      <c r="K808" s="194">
        <f>IF(_1_54128456121462410464578910174567[[#This Row],[Discount selection]]&gt;0,VLOOKUP(_1_54128456121462410464578910174567[[#This Row],[Discount selection]],'Discount Structure'!$A$2:$B$30,2,"false"),0)</f>
        <v>1</v>
      </c>
      <c r="L808" s="194">
        <f>_1_54128456121462410464578910174567[[#This Row],[LIST $]]*_1_54128456121462410464578910174567[[#This Row],[DISCOUNT]]*_1_54128456121462410464578910174567[[#This Row],[DISCOUNT 2]]</f>
        <v>0</v>
      </c>
      <c r="M808" s="194">
        <f>IF(OR(_1_54128456121462410464578910174567[[#This Row],[UNIT]]&gt;0,_1_54128456121462410464578910174567[[#This Row],[UNIT]]&lt;0),_1_54128456121462410464578910174567[[#This Row],[UNIT]]*_1_54128456121462410464578910174567[[#This Row],[COST]],0)</f>
        <v>0</v>
      </c>
      <c r="N808" s="194">
        <f t="shared" si="12"/>
        <v>1.3</v>
      </c>
      <c r="O808" s="198">
        <f>_1_54128456121462410464578910174567[[#This Row],[TOTAL]]*_1_54128456121462410464578910174567[[#This Row],[MARGIN]]</f>
        <v>0</v>
      </c>
      <c r="R808" s="41"/>
    </row>
    <row r="809" spans="4:18">
      <c r="D809" s="188"/>
      <c r="F809" s="168" t="s">
        <v>6202</v>
      </c>
      <c r="G809" s="193">
        <f>IF(_1_54128456121462410464578910174567[[#This Row],[Type]]&gt;0,VLOOKUP(_1_54128456121462410464578910174567[[#This Row],[Type]],Main[[#All],[TYPE]:[UNIT]],'Unit Price'!C$1,FALSE),0)</f>
        <v>0</v>
      </c>
      <c r="H809" s="197">
        <f>IF(_1_54128456121462410464578910174567[[#This Row],[Type]]&gt;0,VLOOKUP(_1_54128456121462410464578910174567[[#This Row],[Type]],Main[[#All],[TYPE]:[UNIT]],'Unit Price'!D$1,FALSE),0)</f>
        <v>0</v>
      </c>
      <c r="I809" s="194">
        <f>IF(_1_54128456121462410464578910174567[[#This Row],[Type]]&gt;0,VLOOKUP(_1_54128456121462410464578910174567[[#This Row],[Type]],Main[[#All],[TYPE]:[UNIT]],'Unit Price'!G$1,FALSE),0)</f>
        <v>0</v>
      </c>
      <c r="J809" s="194">
        <f>IF(_1_54128456121462410464578910174567[[#This Row],[Type]]&gt;0,VLOOKUP(_1_54128456121462410464578910174567[[#This Row],[Type]],Main[[#All],[TYPE]:[UNIT]],'Unit Price'!H$1,FALSE),0)</f>
        <v>0</v>
      </c>
      <c r="K809" s="194">
        <f>IF(_1_54128456121462410464578910174567[[#This Row],[Discount selection]]&gt;0,VLOOKUP(_1_54128456121462410464578910174567[[#This Row],[Discount selection]],'Discount Structure'!$A$2:$B$30,2,"false"),0)</f>
        <v>1</v>
      </c>
      <c r="L809" s="194">
        <f>_1_54128456121462410464578910174567[[#This Row],[LIST $]]*_1_54128456121462410464578910174567[[#This Row],[DISCOUNT]]*_1_54128456121462410464578910174567[[#This Row],[DISCOUNT 2]]</f>
        <v>0</v>
      </c>
      <c r="M809" s="194">
        <f>IF(OR(_1_54128456121462410464578910174567[[#This Row],[UNIT]]&gt;0,_1_54128456121462410464578910174567[[#This Row],[UNIT]]&lt;0),_1_54128456121462410464578910174567[[#This Row],[UNIT]]*_1_54128456121462410464578910174567[[#This Row],[COST]],0)</f>
        <v>0</v>
      </c>
      <c r="N809" s="194">
        <f t="shared" si="12"/>
        <v>1.3</v>
      </c>
      <c r="O809" s="198">
        <f>_1_54128456121462410464578910174567[[#This Row],[TOTAL]]*_1_54128456121462410464578910174567[[#This Row],[MARGIN]]</f>
        <v>0</v>
      </c>
      <c r="R809" s="41"/>
    </row>
    <row r="810" spans="4:18">
      <c r="D810" s="188"/>
      <c r="F810" s="168" t="s">
        <v>6202</v>
      </c>
      <c r="G810" s="193">
        <f>IF(_1_54128456121462410464578910174567[[#This Row],[Type]]&gt;0,VLOOKUP(_1_54128456121462410464578910174567[[#This Row],[Type]],Main[[#All],[TYPE]:[UNIT]],'Unit Price'!C$1,FALSE),0)</f>
        <v>0</v>
      </c>
      <c r="H810" s="197">
        <f>IF(_1_54128456121462410464578910174567[[#This Row],[Type]]&gt;0,VLOOKUP(_1_54128456121462410464578910174567[[#This Row],[Type]],Main[[#All],[TYPE]:[UNIT]],'Unit Price'!D$1,FALSE),0)</f>
        <v>0</v>
      </c>
      <c r="I810" s="194">
        <f>IF(_1_54128456121462410464578910174567[[#This Row],[Type]]&gt;0,VLOOKUP(_1_54128456121462410464578910174567[[#This Row],[Type]],Main[[#All],[TYPE]:[UNIT]],'Unit Price'!G$1,FALSE),0)</f>
        <v>0</v>
      </c>
      <c r="J810" s="194">
        <f>IF(_1_54128456121462410464578910174567[[#This Row],[Type]]&gt;0,VLOOKUP(_1_54128456121462410464578910174567[[#This Row],[Type]],Main[[#All],[TYPE]:[UNIT]],'Unit Price'!H$1,FALSE),0)</f>
        <v>0</v>
      </c>
      <c r="K810" s="194">
        <f>IF(_1_54128456121462410464578910174567[[#This Row],[Discount selection]]&gt;0,VLOOKUP(_1_54128456121462410464578910174567[[#This Row],[Discount selection]],'Discount Structure'!$A$2:$B$30,2,"false"),0)</f>
        <v>1</v>
      </c>
      <c r="L810" s="194">
        <f>_1_54128456121462410464578910174567[[#This Row],[LIST $]]*_1_54128456121462410464578910174567[[#This Row],[DISCOUNT]]*_1_54128456121462410464578910174567[[#This Row],[DISCOUNT 2]]</f>
        <v>0</v>
      </c>
      <c r="M810" s="194">
        <f>IF(OR(_1_54128456121462410464578910174567[[#This Row],[UNIT]]&gt;0,_1_54128456121462410464578910174567[[#This Row],[UNIT]]&lt;0),_1_54128456121462410464578910174567[[#This Row],[UNIT]]*_1_54128456121462410464578910174567[[#This Row],[COST]],0)</f>
        <v>0</v>
      </c>
      <c r="N810" s="194">
        <f t="shared" si="12"/>
        <v>1.3</v>
      </c>
      <c r="O810" s="198">
        <f>_1_54128456121462410464578910174567[[#This Row],[TOTAL]]*_1_54128456121462410464578910174567[[#This Row],[MARGIN]]</f>
        <v>0</v>
      </c>
      <c r="R810" s="41"/>
    </row>
    <row r="811" spans="4:18">
      <c r="D811" s="188"/>
      <c r="F811" s="168" t="s">
        <v>6202</v>
      </c>
      <c r="G811" s="193">
        <f>IF(_1_54128456121462410464578910174567[[#This Row],[Type]]&gt;0,VLOOKUP(_1_54128456121462410464578910174567[[#This Row],[Type]],Main[[#All],[TYPE]:[UNIT]],'Unit Price'!C$1,FALSE),0)</f>
        <v>0</v>
      </c>
      <c r="H811" s="197">
        <f>IF(_1_54128456121462410464578910174567[[#This Row],[Type]]&gt;0,VLOOKUP(_1_54128456121462410464578910174567[[#This Row],[Type]],Main[[#All],[TYPE]:[UNIT]],'Unit Price'!D$1,FALSE),0)</f>
        <v>0</v>
      </c>
      <c r="I811" s="194">
        <f>IF(_1_54128456121462410464578910174567[[#This Row],[Type]]&gt;0,VLOOKUP(_1_54128456121462410464578910174567[[#This Row],[Type]],Main[[#All],[TYPE]:[UNIT]],'Unit Price'!G$1,FALSE),0)</f>
        <v>0</v>
      </c>
      <c r="J811" s="194">
        <f>IF(_1_54128456121462410464578910174567[[#This Row],[Type]]&gt;0,VLOOKUP(_1_54128456121462410464578910174567[[#This Row],[Type]],Main[[#All],[TYPE]:[UNIT]],'Unit Price'!H$1,FALSE),0)</f>
        <v>0</v>
      </c>
      <c r="K811" s="194">
        <f>IF(_1_54128456121462410464578910174567[[#This Row],[Discount selection]]&gt;0,VLOOKUP(_1_54128456121462410464578910174567[[#This Row],[Discount selection]],'Discount Structure'!$A$2:$B$30,2,"false"),0)</f>
        <v>1</v>
      </c>
      <c r="L811" s="194">
        <f>_1_54128456121462410464578910174567[[#This Row],[LIST $]]*_1_54128456121462410464578910174567[[#This Row],[DISCOUNT]]*_1_54128456121462410464578910174567[[#This Row],[DISCOUNT 2]]</f>
        <v>0</v>
      </c>
      <c r="M811" s="194">
        <f>IF(OR(_1_54128456121462410464578910174567[[#This Row],[UNIT]]&gt;0,_1_54128456121462410464578910174567[[#This Row],[UNIT]]&lt;0),_1_54128456121462410464578910174567[[#This Row],[UNIT]]*_1_54128456121462410464578910174567[[#This Row],[COST]],0)</f>
        <v>0</v>
      </c>
      <c r="N811" s="194">
        <f t="shared" si="12"/>
        <v>1.3</v>
      </c>
      <c r="O811" s="198">
        <f>_1_54128456121462410464578910174567[[#This Row],[TOTAL]]*_1_54128456121462410464578910174567[[#This Row],[MARGIN]]</f>
        <v>0</v>
      </c>
      <c r="R811" s="41"/>
    </row>
    <row r="812" spans="4:18">
      <c r="D812" s="188"/>
      <c r="F812" s="168" t="s">
        <v>6202</v>
      </c>
      <c r="G812" s="193">
        <f>IF(_1_54128456121462410464578910174567[[#This Row],[Type]]&gt;0,VLOOKUP(_1_54128456121462410464578910174567[[#This Row],[Type]],Main[[#All],[TYPE]:[UNIT]],'Unit Price'!C$1,FALSE),0)</f>
        <v>0</v>
      </c>
      <c r="H812" s="197">
        <f>IF(_1_54128456121462410464578910174567[[#This Row],[Type]]&gt;0,VLOOKUP(_1_54128456121462410464578910174567[[#This Row],[Type]],Main[[#All],[TYPE]:[UNIT]],'Unit Price'!D$1,FALSE),0)</f>
        <v>0</v>
      </c>
      <c r="I812" s="194">
        <f>IF(_1_54128456121462410464578910174567[[#This Row],[Type]]&gt;0,VLOOKUP(_1_54128456121462410464578910174567[[#This Row],[Type]],Main[[#All],[TYPE]:[UNIT]],'Unit Price'!G$1,FALSE),0)</f>
        <v>0</v>
      </c>
      <c r="J812" s="194">
        <f>IF(_1_54128456121462410464578910174567[[#This Row],[Type]]&gt;0,VLOOKUP(_1_54128456121462410464578910174567[[#This Row],[Type]],Main[[#All],[TYPE]:[UNIT]],'Unit Price'!H$1,FALSE),0)</f>
        <v>0</v>
      </c>
      <c r="K812" s="194">
        <f>IF(_1_54128456121462410464578910174567[[#This Row],[Discount selection]]&gt;0,VLOOKUP(_1_54128456121462410464578910174567[[#This Row],[Discount selection]],'Discount Structure'!$A$2:$B$30,2,"false"),0)</f>
        <v>1</v>
      </c>
      <c r="L812" s="194">
        <f>_1_54128456121462410464578910174567[[#This Row],[LIST $]]*_1_54128456121462410464578910174567[[#This Row],[DISCOUNT]]*_1_54128456121462410464578910174567[[#This Row],[DISCOUNT 2]]</f>
        <v>0</v>
      </c>
      <c r="M812" s="194">
        <f>IF(OR(_1_54128456121462410464578910174567[[#This Row],[UNIT]]&gt;0,_1_54128456121462410464578910174567[[#This Row],[UNIT]]&lt;0),_1_54128456121462410464578910174567[[#This Row],[UNIT]]*_1_54128456121462410464578910174567[[#This Row],[COST]],0)</f>
        <v>0</v>
      </c>
      <c r="N812" s="194">
        <f t="shared" si="12"/>
        <v>1.3</v>
      </c>
      <c r="O812" s="198">
        <f>_1_54128456121462410464578910174567[[#This Row],[TOTAL]]*_1_54128456121462410464578910174567[[#This Row],[MARGIN]]</f>
        <v>0</v>
      </c>
      <c r="R812" s="41"/>
    </row>
    <row r="813" spans="4:18">
      <c r="D813" s="188"/>
      <c r="F813" s="168" t="s">
        <v>6202</v>
      </c>
      <c r="G813" s="193">
        <f>IF(_1_54128456121462410464578910174567[[#This Row],[Type]]&gt;0,VLOOKUP(_1_54128456121462410464578910174567[[#This Row],[Type]],Main[[#All],[TYPE]:[UNIT]],'Unit Price'!C$1,FALSE),0)</f>
        <v>0</v>
      </c>
      <c r="H813" s="197">
        <f>IF(_1_54128456121462410464578910174567[[#This Row],[Type]]&gt;0,VLOOKUP(_1_54128456121462410464578910174567[[#This Row],[Type]],Main[[#All],[TYPE]:[UNIT]],'Unit Price'!D$1,FALSE),0)</f>
        <v>0</v>
      </c>
      <c r="I813" s="194">
        <f>IF(_1_54128456121462410464578910174567[[#This Row],[Type]]&gt;0,VLOOKUP(_1_54128456121462410464578910174567[[#This Row],[Type]],Main[[#All],[TYPE]:[UNIT]],'Unit Price'!G$1,FALSE),0)</f>
        <v>0</v>
      </c>
      <c r="J813" s="194">
        <f>IF(_1_54128456121462410464578910174567[[#This Row],[Type]]&gt;0,VLOOKUP(_1_54128456121462410464578910174567[[#This Row],[Type]],Main[[#All],[TYPE]:[UNIT]],'Unit Price'!H$1,FALSE),0)</f>
        <v>0</v>
      </c>
      <c r="K813" s="194">
        <f>IF(_1_54128456121462410464578910174567[[#This Row],[Discount selection]]&gt;0,VLOOKUP(_1_54128456121462410464578910174567[[#This Row],[Discount selection]],'Discount Structure'!$A$2:$B$30,2,"false"),0)</f>
        <v>1</v>
      </c>
      <c r="L813" s="194">
        <f>_1_54128456121462410464578910174567[[#This Row],[LIST $]]*_1_54128456121462410464578910174567[[#This Row],[DISCOUNT]]*_1_54128456121462410464578910174567[[#This Row],[DISCOUNT 2]]</f>
        <v>0</v>
      </c>
      <c r="M813" s="194">
        <f>IF(OR(_1_54128456121462410464578910174567[[#This Row],[UNIT]]&gt;0,_1_54128456121462410464578910174567[[#This Row],[UNIT]]&lt;0),_1_54128456121462410464578910174567[[#This Row],[UNIT]]*_1_54128456121462410464578910174567[[#This Row],[COST]],0)</f>
        <v>0</v>
      </c>
      <c r="N813" s="194">
        <f t="shared" si="12"/>
        <v>1.3</v>
      </c>
      <c r="O813" s="198">
        <f>_1_54128456121462410464578910174567[[#This Row],[TOTAL]]*_1_54128456121462410464578910174567[[#This Row],[MARGIN]]</f>
        <v>0</v>
      </c>
      <c r="R813" s="41"/>
    </row>
    <row r="814" spans="4:18">
      <c r="D814" s="188"/>
      <c r="F814" s="168" t="s">
        <v>6202</v>
      </c>
      <c r="G814" s="193">
        <f>IF(_1_54128456121462410464578910174567[[#This Row],[Type]]&gt;0,VLOOKUP(_1_54128456121462410464578910174567[[#This Row],[Type]],Main[[#All],[TYPE]:[UNIT]],'Unit Price'!C$1,FALSE),0)</f>
        <v>0</v>
      </c>
      <c r="H814" s="197">
        <f>IF(_1_54128456121462410464578910174567[[#This Row],[Type]]&gt;0,VLOOKUP(_1_54128456121462410464578910174567[[#This Row],[Type]],Main[[#All],[TYPE]:[UNIT]],'Unit Price'!D$1,FALSE),0)</f>
        <v>0</v>
      </c>
      <c r="I814" s="194">
        <f>IF(_1_54128456121462410464578910174567[[#This Row],[Type]]&gt;0,VLOOKUP(_1_54128456121462410464578910174567[[#This Row],[Type]],Main[[#All],[TYPE]:[UNIT]],'Unit Price'!G$1,FALSE),0)</f>
        <v>0</v>
      </c>
      <c r="J814" s="194">
        <f>IF(_1_54128456121462410464578910174567[[#This Row],[Type]]&gt;0,VLOOKUP(_1_54128456121462410464578910174567[[#This Row],[Type]],Main[[#All],[TYPE]:[UNIT]],'Unit Price'!H$1,FALSE),0)</f>
        <v>0</v>
      </c>
      <c r="K814" s="194">
        <f>IF(_1_54128456121462410464578910174567[[#This Row],[Discount selection]]&gt;0,VLOOKUP(_1_54128456121462410464578910174567[[#This Row],[Discount selection]],'Discount Structure'!$A$2:$B$30,2,"false"),0)</f>
        <v>1</v>
      </c>
      <c r="L814" s="194">
        <f>_1_54128456121462410464578910174567[[#This Row],[LIST $]]*_1_54128456121462410464578910174567[[#This Row],[DISCOUNT]]*_1_54128456121462410464578910174567[[#This Row],[DISCOUNT 2]]</f>
        <v>0</v>
      </c>
      <c r="M814" s="194">
        <f>IF(OR(_1_54128456121462410464578910174567[[#This Row],[UNIT]]&gt;0,_1_54128456121462410464578910174567[[#This Row],[UNIT]]&lt;0),_1_54128456121462410464578910174567[[#This Row],[UNIT]]*_1_54128456121462410464578910174567[[#This Row],[COST]],0)</f>
        <v>0</v>
      </c>
      <c r="N814" s="194">
        <f t="shared" si="12"/>
        <v>1.3</v>
      </c>
      <c r="O814" s="198">
        <f>_1_54128456121462410464578910174567[[#This Row],[TOTAL]]*_1_54128456121462410464578910174567[[#This Row],[MARGIN]]</f>
        <v>0</v>
      </c>
      <c r="R814" s="41"/>
    </row>
    <row r="815" spans="4:18">
      <c r="D815" s="188"/>
      <c r="F815" s="168" t="s">
        <v>6202</v>
      </c>
      <c r="G815" s="193">
        <f>IF(_1_54128456121462410464578910174567[[#This Row],[Type]]&gt;0,VLOOKUP(_1_54128456121462410464578910174567[[#This Row],[Type]],Main[[#All],[TYPE]:[UNIT]],'Unit Price'!C$1,FALSE),0)</f>
        <v>0</v>
      </c>
      <c r="H815" s="197">
        <f>IF(_1_54128456121462410464578910174567[[#This Row],[Type]]&gt;0,VLOOKUP(_1_54128456121462410464578910174567[[#This Row],[Type]],Main[[#All],[TYPE]:[UNIT]],'Unit Price'!D$1,FALSE),0)</f>
        <v>0</v>
      </c>
      <c r="I815" s="194">
        <f>IF(_1_54128456121462410464578910174567[[#This Row],[Type]]&gt;0,VLOOKUP(_1_54128456121462410464578910174567[[#This Row],[Type]],Main[[#All],[TYPE]:[UNIT]],'Unit Price'!G$1,FALSE),0)</f>
        <v>0</v>
      </c>
      <c r="J815" s="194">
        <f>IF(_1_54128456121462410464578910174567[[#This Row],[Type]]&gt;0,VLOOKUP(_1_54128456121462410464578910174567[[#This Row],[Type]],Main[[#All],[TYPE]:[UNIT]],'Unit Price'!H$1,FALSE),0)</f>
        <v>0</v>
      </c>
      <c r="K815" s="194">
        <f>IF(_1_54128456121462410464578910174567[[#This Row],[Discount selection]]&gt;0,VLOOKUP(_1_54128456121462410464578910174567[[#This Row],[Discount selection]],'Discount Structure'!$A$2:$B$30,2,"false"),0)</f>
        <v>1</v>
      </c>
      <c r="L815" s="194">
        <f>_1_54128456121462410464578910174567[[#This Row],[LIST $]]*_1_54128456121462410464578910174567[[#This Row],[DISCOUNT]]*_1_54128456121462410464578910174567[[#This Row],[DISCOUNT 2]]</f>
        <v>0</v>
      </c>
      <c r="M815" s="194">
        <f>IF(OR(_1_54128456121462410464578910174567[[#This Row],[UNIT]]&gt;0,_1_54128456121462410464578910174567[[#This Row],[UNIT]]&lt;0),_1_54128456121462410464578910174567[[#This Row],[UNIT]]*_1_54128456121462410464578910174567[[#This Row],[COST]],0)</f>
        <v>0</v>
      </c>
      <c r="N815" s="194">
        <f t="shared" si="12"/>
        <v>1.3</v>
      </c>
      <c r="O815" s="198">
        <f>_1_54128456121462410464578910174567[[#This Row],[TOTAL]]*_1_54128456121462410464578910174567[[#This Row],[MARGIN]]</f>
        <v>0</v>
      </c>
      <c r="R815" s="41"/>
    </row>
    <row r="816" spans="4:18">
      <c r="D816" s="188"/>
      <c r="F816" s="168" t="s">
        <v>6202</v>
      </c>
      <c r="G816" s="193">
        <f>IF(_1_54128456121462410464578910174567[[#This Row],[Type]]&gt;0,VLOOKUP(_1_54128456121462410464578910174567[[#This Row],[Type]],Main[[#All],[TYPE]:[UNIT]],'Unit Price'!C$1,FALSE),0)</f>
        <v>0</v>
      </c>
      <c r="H816" s="197">
        <f>IF(_1_54128456121462410464578910174567[[#This Row],[Type]]&gt;0,VLOOKUP(_1_54128456121462410464578910174567[[#This Row],[Type]],Main[[#All],[TYPE]:[UNIT]],'Unit Price'!D$1,FALSE),0)</f>
        <v>0</v>
      </c>
      <c r="I816" s="194">
        <f>IF(_1_54128456121462410464578910174567[[#This Row],[Type]]&gt;0,VLOOKUP(_1_54128456121462410464578910174567[[#This Row],[Type]],Main[[#All],[TYPE]:[UNIT]],'Unit Price'!G$1,FALSE),0)</f>
        <v>0</v>
      </c>
      <c r="J816" s="194">
        <f>IF(_1_54128456121462410464578910174567[[#This Row],[Type]]&gt;0,VLOOKUP(_1_54128456121462410464578910174567[[#This Row],[Type]],Main[[#All],[TYPE]:[UNIT]],'Unit Price'!H$1,FALSE),0)</f>
        <v>0</v>
      </c>
      <c r="K816" s="194">
        <f>IF(_1_54128456121462410464578910174567[[#This Row],[Discount selection]]&gt;0,VLOOKUP(_1_54128456121462410464578910174567[[#This Row],[Discount selection]],'Discount Structure'!$A$2:$B$30,2,"false"),0)</f>
        <v>1</v>
      </c>
      <c r="L816" s="194">
        <f>_1_54128456121462410464578910174567[[#This Row],[LIST $]]*_1_54128456121462410464578910174567[[#This Row],[DISCOUNT]]*_1_54128456121462410464578910174567[[#This Row],[DISCOUNT 2]]</f>
        <v>0</v>
      </c>
      <c r="M816" s="194">
        <f>IF(OR(_1_54128456121462410464578910174567[[#This Row],[UNIT]]&gt;0,_1_54128456121462410464578910174567[[#This Row],[UNIT]]&lt;0),_1_54128456121462410464578910174567[[#This Row],[UNIT]]*_1_54128456121462410464578910174567[[#This Row],[COST]],0)</f>
        <v>0</v>
      </c>
      <c r="N816" s="194">
        <f t="shared" si="12"/>
        <v>1.3</v>
      </c>
      <c r="O816" s="198">
        <f>_1_54128456121462410464578910174567[[#This Row],[TOTAL]]*_1_54128456121462410464578910174567[[#This Row],[MARGIN]]</f>
        <v>0</v>
      </c>
      <c r="R816" s="41"/>
    </row>
    <row r="817" spans="4:18">
      <c r="D817" s="188"/>
      <c r="F817" s="168" t="s">
        <v>6202</v>
      </c>
      <c r="G817" s="193">
        <f>IF(_1_54128456121462410464578910174567[[#This Row],[Type]]&gt;0,VLOOKUP(_1_54128456121462410464578910174567[[#This Row],[Type]],Main[[#All],[TYPE]:[UNIT]],'Unit Price'!C$1,FALSE),0)</f>
        <v>0</v>
      </c>
      <c r="H817" s="197">
        <f>IF(_1_54128456121462410464578910174567[[#This Row],[Type]]&gt;0,VLOOKUP(_1_54128456121462410464578910174567[[#This Row],[Type]],Main[[#All],[TYPE]:[UNIT]],'Unit Price'!D$1,FALSE),0)</f>
        <v>0</v>
      </c>
      <c r="I817" s="194">
        <f>IF(_1_54128456121462410464578910174567[[#This Row],[Type]]&gt;0,VLOOKUP(_1_54128456121462410464578910174567[[#This Row],[Type]],Main[[#All],[TYPE]:[UNIT]],'Unit Price'!G$1,FALSE),0)</f>
        <v>0</v>
      </c>
      <c r="J817" s="194">
        <f>IF(_1_54128456121462410464578910174567[[#This Row],[Type]]&gt;0,VLOOKUP(_1_54128456121462410464578910174567[[#This Row],[Type]],Main[[#All],[TYPE]:[UNIT]],'Unit Price'!H$1,FALSE),0)</f>
        <v>0</v>
      </c>
      <c r="K817" s="194">
        <f>IF(_1_54128456121462410464578910174567[[#This Row],[Discount selection]]&gt;0,VLOOKUP(_1_54128456121462410464578910174567[[#This Row],[Discount selection]],'Discount Structure'!$A$2:$B$30,2,"false"),0)</f>
        <v>1</v>
      </c>
      <c r="L817" s="194">
        <f>_1_54128456121462410464578910174567[[#This Row],[LIST $]]*_1_54128456121462410464578910174567[[#This Row],[DISCOUNT]]*_1_54128456121462410464578910174567[[#This Row],[DISCOUNT 2]]</f>
        <v>0</v>
      </c>
      <c r="M817" s="194">
        <f>IF(OR(_1_54128456121462410464578910174567[[#This Row],[UNIT]]&gt;0,_1_54128456121462410464578910174567[[#This Row],[UNIT]]&lt;0),_1_54128456121462410464578910174567[[#This Row],[UNIT]]*_1_54128456121462410464578910174567[[#This Row],[COST]],0)</f>
        <v>0</v>
      </c>
      <c r="N817" s="194">
        <f t="shared" si="12"/>
        <v>1.3</v>
      </c>
      <c r="O817" s="198">
        <f>_1_54128456121462410464578910174567[[#This Row],[TOTAL]]*_1_54128456121462410464578910174567[[#This Row],[MARGIN]]</f>
        <v>0</v>
      </c>
      <c r="R817" s="41"/>
    </row>
    <row r="818" spans="4:18">
      <c r="D818" s="188"/>
      <c r="F818" s="168" t="s">
        <v>6202</v>
      </c>
      <c r="G818" s="193">
        <f>IF(_1_54128456121462410464578910174567[[#This Row],[Type]]&gt;0,VLOOKUP(_1_54128456121462410464578910174567[[#This Row],[Type]],Main[[#All],[TYPE]:[UNIT]],'Unit Price'!C$1,FALSE),0)</f>
        <v>0</v>
      </c>
      <c r="H818" s="197">
        <f>IF(_1_54128456121462410464578910174567[[#This Row],[Type]]&gt;0,VLOOKUP(_1_54128456121462410464578910174567[[#This Row],[Type]],Main[[#All],[TYPE]:[UNIT]],'Unit Price'!D$1,FALSE),0)</f>
        <v>0</v>
      </c>
      <c r="I818" s="194">
        <f>IF(_1_54128456121462410464578910174567[[#This Row],[Type]]&gt;0,VLOOKUP(_1_54128456121462410464578910174567[[#This Row],[Type]],Main[[#All],[TYPE]:[UNIT]],'Unit Price'!G$1,FALSE),0)</f>
        <v>0</v>
      </c>
      <c r="J818" s="194">
        <f>IF(_1_54128456121462410464578910174567[[#This Row],[Type]]&gt;0,VLOOKUP(_1_54128456121462410464578910174567[[#This Row],[Type]],Main[[#All],[TYPE]:[UNIT]],'Unit Price'!H$1,FALSE),0)</f>
        <v>0</v>
      </c>
      <c r="K818" s="194">
        <f>IF(_1_54128456121462410464578910174567[[#This Row],[Discount selection]]&gt;0,VLOOKUP(_1_54128456121462410464578910174567[[#This Row],[Discount selection]],'Discount Structure'!$A$2:$B$30,2,"false"),0)</f>
        <v>1</v>
      </c>
      <c r="L818" s="194">
        <f>_1_54128456121462410464578910174567[[#This Row],[LIST $]]*_1_54128456121462410464578910174567[[#This Row],[DISCOUNT]]*_1_54128456121462410464578910174567[[#This Row],[DISCOUNT 2]]</f>
        <v>0</v>
      </c>
      <c r="M818" s="194">
        <f>IF(OR(_1_54128456121462410464578910174567[[#This Row],[UNIT]]&gt;0,_1_54128456121462410464578910174567[[#This Row],[UNIT]]&lt;0),_1_54128456121462410464578910174567[[#This Row],[UNIT]]*_1_54128456121462410464578910174567[[#This Row],[COST]],0)</f>
        <v>0</v>
      </c>
      <c r="N818" s="194">
        <f t="shared" si="12"/>
        <v>1.3</v>
      </c>
      <c r="O818" s="198">
        <f>_1_54128456121462410464578910174567[[#This Row],[TOTAL]]*_1_54128456121462410464578910174567[[#This Row],[MARGIN]]</f>
        <v>0</v>
      </c>
      <c r="R818" s="41"/>
    </row>
    <row r="819" spans="4:18">
      <c r="D819" s="188"/>
      <c r="F819" s="168" t="s">
        <v>6202</v>
      </c>
      <c r="G819" s="193">
        <f>IF(_1_54128456121462410464578910174567[[#This Row],[Type]]&gt;0,VLOOKUP(_1_54128456121462410464578910174567[[#This Row],[Type]],Main[[#All],[TYPE]:[UNIT]],'Unit Price'!C$1,FALSE),0)</f>
        <v>0</v>
      </c>
      <c r="H819" s="197">
        <f>IF(_1_54128456121462410464578910174567[[#This Row],[Type]]&gt;0,VLOOKUP(_1_54128456121462410464578910174567[[#This Row],[Type]],Main[[#All],[TYPE]:[UNIT]],'Unit Price'!D$1,FALSE),0)</f>
        <v>0</v>
      </c>
      <c r="I819" s="194">
        <f>IF(_1_54128456121462410464578910174567[[#This Row],[Type]]&gt;0,VLOOKUP(_1_54128456121462410464578910174567[[#This Row],[Type]],Main[[#All],[TYPE]:[UNIT]],'Unit Price'!G$1,FALSE),0)</f>
        <v>0</v>
      </c>
      <c r="J819" s="194">
        <f>IF(_1_54128456121462410464578910174567[[#This Row],[Type]]&gt;0,VLOOKUP(_1_54128456121462410464578910174567[[#This Row],[Type]],Main[[#All],[TYPE]:[UNIT]],'Unit Price'!H$1,FALSE),0)</f>
        <v>0</v>
      </c>
      <c r="K819" s="194">
        <f>IF(_1_54128456121462410464578910174567[[#This Row],[Discount selection]]&gt;0,VLOOKUP(_1_54128456121462410464578910174567[[#This Row],[Discount selection]],'Discount Structure'!$A$2:$B$30,2,"false"),0)</f>
        <v>1</v>
      </c>
      <c r="L819" s="194">
        <f>_1_54128456121462410464578910174567[[#This Row],[LIST $]]*_1_54128456121462410464578910174567[[#This Row],[DISCOUNT]]*_1_54128456121462410464578910174567[[#This Row],[DISCOUNT 2]]</f>
        <v>0</v>
      </c>
      <c r="M819" s="194">
        <f>IF(OR(_1_54128456121462410464578910174567[[#This Row],[UNIT]]&gt;0,_1_54128456121462410464578910174567[[#This Row],[UNIT]]&lt;0),_1_54128456121462410464578910174567[[#This Row],[UNIT]]*_1_54128456121462410464578910174567[[#This Row],[COST]],0)</f>
        <v>0</v>
      </c>
      <c r="N819" s="194">
        <f t="shared" si="12"/>
        <v>1.3</v>
      </c>
      <c r="O819" s="198">
        <f>_1_54128456121462410464578910174567[[#This Row],[TOTAL]]*_1_54128456121462410464578910174567[[#This Row],[MARGIN]]</f>
        <v>0</v>
      </c>
      <c r="R819" s="41"/>
    </row>
    <row r="820" spans="4:18">
      <c r="D820" s="188"/>
      <c r="F820" s="168" t="s">
        <v>6202</v>
      </c>
      <c r="G820" s="193">
        <f>IF(_1_54128456121462410464578910174567[[#This Row],[Type]]&gt;0,VLOOKUP(_1_54128456121462410464578910174567[[#This Row],[Type]],Main[[#All],[TYPE]:[UNIT]],'Unit Price'!C$1,FALSE),0)</f>
        <v>0</v>
      </c>
      <c r="H820" s="197">
        <f>IF(_1_54128456121462410464578910174567[[#This Row],[Type]]&gt;0,VLOOKUP(_1_54128456121462410464578910174567[[#This Row],[Type]],Main[[#All],[TYPE]:[UNIT]],'Unit Price'!D$1,FALSE),0)</f>
        <v>0</v>
      </c>
      <c r="I820" s="194">
        <f>IF(_1_54128456121462410464578910174567[[#This Row],[Type]]&gt;0,VLOOKUP(_1_54128456121462410464578910174567[[#This Row],[Type]],Main[[#All],[TYPE]:[UNIT]],'Unit Price'!G$1,FALSE),0)</f>
        <v>0</v>
      </c>
      <c r="J820" s="194">
        <f>IF(_1_54128456121462410464578910174567[[#This Row],[Type]]&gt;0,VLOOKUP(_1_54128456121462410464578910174567[[#This Row],[Type]],Main[[#All],[TYPE]:[UNIT]],'Unit Price'!H$1,FALSE),0)</f>
        <v>0</v>
      </c>
      <c r="K820" s="194">
        <f>IF(_1_54128456121462410464578910174567[[#This Row],[Discount selection]]&gt;0,VLOOKUP(_1_54128456121462410464578910174567[[#This Row],[Discount selection]],'Discount Structure'!$A$2:$B$30,2,"false"),0)</f>
        <v>1</v>
      </c>
      <c r="L820" s="194">
        <f>_1_54128456121462410464578910174567[[#This Row],[LIST $]]*_1_54128456121462410464578910174567[[#This Row],[DISCOUNT]]*_1_54128456121462410464578910174567[[#This Row],[DISCOUNT 2]]</f>
        <v>0</v>
      </c>
      <c r="M820" s="194">
        <f>IF(OR(_1_54128456121462410464578910174567[[#This Row],[UNIT]]&gt;0,_1_54128456121462410464578910174567[[#This Row],[UNIT]]&lt;0),_1_54128456121462410464578910174567[[#This Row],[UNIT]]*_1_54128456121462410464578910174567[[#This Row],[COST]],0)</f>
        <v>0</v>
      </c>
      <c r="N820" s="194">
        <f t="shared" si="12"/>
        <v>1.3</v>
      </c>
      <c r="O820" s="198">
        <f>_1_54128456121462410464578910174567[[#This Row],[TOTAL]]*_1_54128456121462410464578910174567[[#This Row],[MARGIN]]</f>
        <v>0</v>
      </c>
      <c r="R820" s="41"/>
    </row>
    <row r="821" spans="4:18">
      <c r="D821" s="188"/>
      <c r="F821" s="168" t="s">
        <v>6202</v>
      </c>
      <c r="G821" s="193">
        <f>IF(_1_54128456121462410464578910174567[[#This Row],[Type]]&gt;0,VLOOKUP(_1_54128456121462410464578910174567[[#This Row],[Type]],Main[[#All],[TYPE]:[UNIT]],'Unit Price'!C$1,FALSE),0)</f>
        <v>0</v>
      </c>
      <c r="H821" s="197">
        <f>IF(_1_54128456121462410464578910174567[[#This Row],[Type]]&gt;0,VLOOKUP(_1_54128456121462410464578910174567[[#This Row],[Type]],Main[[#All],[TYPE]:[UNIT]],'Unit Price'!D$1,FALSE),0)</f>
        <v>0</v>
      </c>
      <c r="I821" s="194">
        <f>IF(_1_54128456121462410464578910174567[[#This Row],[Type]]&gt;0,VLOOKUP(_1_54128456121462410464578910174567[[#This Row],[Type]],Main[[#All],[TYPE]:[UNIT]],'Unit Price'!G$1,FALSE),0)</f>
        <v>0</v>
      </c>
      <c r="J821" s="194">
        <f>IF(_1_54128456121462410464578910174567[[#This Row],[Type]]&gt;0,VLOOKUP(_1_54128456121462410464578910174567[[#This Row],[Type]],Main[[#All],[TYPE]:[UNIT]],'Unit Price'!H$1,FALSE),0)</f>
        <v>0</v>
      </c>
      <c r="K821" s="194">
        <f>IF(_1_54128456121462410464578910174567[[#This Row],[Discount selection]]&gt;0,VLOOKUP(_1_54128456121462410464578910174567[[#This Row],[Discount selection]],'Discount Structure'!$A$2:$B$30,2,"false"),0)</f>
        <v>1</v>
      </c>
      <c r="L821" s="194">
        <f>_1_54128456121462410464578910174567[[#This Row],[LIST $]]*_1_54128456121462410464578910174567[[#This Row],[DISCOUNT]]*_1_54128456121462410464578910174567[[#This Row],[DISCOUNT 2]]</f>
        <v>0</v>
      </c>
      <c r="M821" s="194">
        <f>IF(OR(_1_54128456121462410464578910174567[[#This Row],[UNIT]]&gt;0,_1_54128456121462410464578910174567[[#This Row],[UNIT]]&lt;0),_1_54128456121462410464578910174567[[#This Row],[UNIT]]*_1_54128456121462410464578910174567[[#This Row],[COST]],0)</f>
        <v>0</v>
      </c>
      <c r="N821" s="194">
        <f t="shared" si="12"/>
        <v>1.3</v>
      </c>
      <c r="O821" s="198">
        <f>_1_54128456121462410464578910174567[[#This Row],[TOTAL]]*_1_54128456121462410464578910174567[[#This Row],[MARGIN]]</f>
        <v>0</v>
      </c>
      <c r="R821" s="41"/>
    </row>
    <row r="822" spans="4:18">
      <c r="D822" s="188"/>
      <c r="F822" s="168" t="s">
        <v>6202</v>
      </c>
      <c r="G822" s="193">
        <f>IF(_1_54128456121462410464578910174567[[#This Row],[Type]]&gt;0,VLOOKUP(_1_54128456121462410464578910174567[[#This Row],[Type]],Main[[#All],[TYPE]:[UNIT]],'Unit Price'!C$1,FALSE),0)</f>
        <v>0</v>
      </c>
      <c r="H822" s="197">
        <f>IF(_1_54128456121462410464578910174567[[#This Row],[Type]]&gt;0,VLOOKUP(_1_54128456121462410464578910174567[[#This Row],[Type]],Main[[#All],[TYPE]:[UNIT]],'Unit Price'!D$1,FALSE),0)</f>
        <v>0</v>
      </c>
      <c r="I822" s="194">
        <f>IF(_1_54128456121462410464578910174567[[#This Row],[Type]]&gt;0,VLOOKUP(_1_54128456121462410464578910174567[[#This Row],[Type]],Main[[#All],[TYPE]:[UNIT]],'Unit Price'!G$1,FALSE),0)</f>
        <v>0</v>
      </c>
      <c r="J822" s="194">
        <f>IF(_1_54128456121462410464578910174567[[#This Row],[Type]]&gt;0,VLOOKUP(_1_54128456121462410464578910174567[[#This Row],[Type]],Main[[#All],[TYPE]:[UNIT]],'Unit Price'!H$1,FALSE),0)</f>
        <v>0</v>
      </c>
      <c r="K822" s="194">
        <f>IF(_1_54128456121462410464578910174567[[#This Row],[Discount selection]]&gt;0,VLOOKUP(_1_54128456121462410464578910174567[[#This Row],[Discount selection]],'Discount Structure'!$A$2:$B$30,2,"false"),0)</f>
        <v>1</v>
      </c>
      <c r="L822" s="194">
        <f>_1_54128456121462410464578910174567[[#This Row],[LIST $]]*_1_54128456121462410464578910174567[[#This Row],[DISCOUNT]]*_1_54128456121462410464578910174567[[#This Row],[DISCOUNT 2]]</f>
        <v>0</v>
      </c>
      <c r="M822" s="194">
        <f>IF(OR(_1_54128456121462410464578910174567[[#This Row],[UNIT]]&gt;0,_1_54128456121462410464578910174567[[#This Row],[UNIT]]&lt;0),_1_54128456121462410464578910174567[[#This Row],[UNIT]]*_1_54128456121462410464578910174567[[#This Row],[COST]],0)</f>
        <v>0</v>
      </c>
      <c r="N822" s="194">
        <f t="shared" si="12"/>
        <v>1.3</v>
      </c>
      <c r="O822" s="198">
        <f>_1_54128456121462410464578910174567[[#This Row],[TOTAL]]*_1_54128456121462410464578910174567[[#This Row],[MARGIN]]</f>
        <v>0</v>
      </c>
      <c r="R822" s="41"/>
    </row>
    <row r="823" spans="4:18">
      <c r="D823" s="188"/>
      <c r="F823" s="168" t="s">
        <v>6202</v>
      </c>
      <c r="G823" s="193">
        <f>IF(_1_54128456121462410464578910174567[[#This Row],[Type]]&gt;0,VLOOKUP(_1_54128456121462410464578910174567[[#This Row],[Type]],Main[[#All],[TYPE]:[UNIT]],'Unit Price'!C$1,FALSE),0)</f>
        <v>0</v>
      </c>
      <c r="H823" s="197">
        <f>IF(_1_54128456121462410464578910174567[[#This Row],[Type]]&gt;0,VLOOKUP(_1_54128456121462410464578910174567[[#This Row],[Type]],Main[[#All],[TYPE]:[UNIT]],'Unit Price'!D$1,FALSE),0)</f>
        <v>0</v>
      </c>
      <c r="I823" s="194">
        <f>IF(_1_54128456121462410464578910174567[[#This Row],[Type]]&gt;0,VLOOKUP(_1_54128456121462410464578910174567[[#This Row],[Type]],Main[[#All],[TYPE]:[UNIT]],'Unit Price'!G$1,FALSE),0)</f>
        <v>0</v>
      </c>
      <c r="J823" s="194">
        <f>IF(_1_54128456121462410464578910174567[[#This Row],[Type]]&gt;0,VLOOKUP(_1_54128456121462410464578910174567[[#This Row],[Type]],Main[[#All],[TYPE]:[UNIT]],'Unit Price'!H$1,FALSE),0)</f>
        <v>0</v>
      </c>
      <c r="K823" s="194">
        <f>IF(_1_54128456121462410464578910174567[[#This Row],[Discount selection]]&gt;0,VLOOKUP(_1_54128456121462410464578910174567[[#This Row],[Discount selection]],'Discount Structure'!$A$2:$B$30,2,"false"),0)</f>
        <v>1</v>
      </c>
      <c r="L823" s="194">
        <f>_1_54128456121462410464578910174567[[#This Row],[LIST $]]*_1_54128456121462410464578910174567[[#This Row],[DISCOUNT]]*_1_54128456121462410464578910174567[[#This Row],[DISCOUNT 2]]</f>
        <v>0</v>
      </c>
      <c r="M823" s="194">
        <f>IF(OR(_1_54128456121462410464578910174567[[#This Row],[UNIT]]&gt;0,_1_54128456121462410464578910174567[[#This Row],[UNIT]]&lt;0),_1_54128456121462410464578910174567[[#This Row],[UNIT]]*_1_54128456121462410464578910174567[[#This Row],[COST]],0)</f>
        <v>0</v>
      </c>
      <c r="N823" s="194">
        <f t="shared" si="12"/>
        <v>1.3</v>
      </c>
      <c r="O823" s="198">
        <f>_1_54128456121462410464578910174567[[#This Row],[TOTAL]]*_1_54128456121462410464578910174567[[#This Row],[MARGIN]]</f>
        <v>0</v>
      </c>
      <c r="R823" s="41"/>
    </row>
    <row r="824" spans="4:18">
      <c r="D824" s="188"/>
      <c r="F824" s="168" t="s">
        <v>6202</v>
      </c>
      <c r="G824" s="193">
        <f>IF(_1_54128456121462410464578910174567[[#This Row],[Type]]&gt;0,VLOOKUP(_1_54128456121462410464578910174567[[#This Row],[Type]],Main[[#All],[TYPE]:[UNIT]],'Unit Price'!C$1,FALSE),0)</f>
        <v>0</v>
      </c>
      <c r="H824" s="197">
        <f>IF(_1_54128456121462410464578910174567[[#This Row],[Type]]&gt;0,VLOOKUP(_1_54128456121462410464578910174567[[#This Row],[Type]],Main[[#All],[TYPE]:[UNIT]],'Unit Price'!D$1,FALSE),0)</f>
        <v>0</v>
      </c>
      <c r="I824" s="194">
        <f>IF(_1_54128456121462410464578910174567[[#This Row],[Type]]&gt;0,VLOOKUP(_1_54128456121462410464578910174567[[#This Row],[Type]],Main[[#All],[TYPE]:[UNIT]],'Unit Price'!G$1,FALSE),0)</f>
        <v>0</v>
      </c>
      <c r="J824" s="194">
        <f>IF(_1_54128456121462410464578910174567[[#This Row],[Type]]&gt;0,VLOOKUP(_1_54128456121462410464578910174567[[#This Row],[Type]],Main[[#All],[TYPE]:[UNIT]],'Unit Price'!H$1,FALSE),0)</f>
        <v>0</v>
      </c>
      <c r="K824" s="194">
        <f>IF(_1_54128456121462410464578910174567[[#This Row],[Discount selection]]&gt;0,VLOOKUP(_1_54128456121462410464578910174567[[#This Row],[Discount selection]],'Discount Structure'!$A$2:$B$30,2,"false"),0)</f>
        <v>1</v>
      </c>
      <c r="L824" s="194">
        <f>_1_54128456121462410464578910174567[[#This Row],[LIST $]]*_1_54128456121462410464578910174567[[#This Row],[DISCOUNT]]*_1_54128456121462410464578910174567[[#This Row],[DISCOUNT 2]]</f>
        <v>0</v>
      </c>
      <c r="M824" s="194">
        <f>IF(OR(_1_54128456121462410464578910174567[[#This Row],[UNIT]]&gt;0,_1_54128456121462410464578910174567[[#This Row],[UNIT]]&lt;0),_1_54128456121462410464578910174567[[#This Row],[UNIT]]*_1_54128456121462410464578910174567[[#This Row],[COST]],0)</f>
        <v>0</v>
      </c>
      <c r="N824" s="194">
        <f t="shared" si="12"/>
        <v>1.3</v>
      </c>
      <c r="O824" s="198">
        <f>_1_54128456121462410464578910174567[[#This Row],[TOTAL]]*_1_54128456121462410464578910174567[[#This Row],[MARGIN]]</f>
        <v>0</v>
      </c>
      <c r="R824" s="41"/>
    </row>
    <row r="825" spans="4:18">
      <c r="D825" s="188"/>
      <c r="F825" s="168" t="s">
        <v>6202</v>
      </c>
      <c r="G825" s="193">
        <f>IF(_1_54128456121462410464578910174567[[#This Row],[Type]]&gt;0,VLOOKUP(_1_54128456121462410464578910174567[[#This Row],[Type]],Main[[#All],[TYPE]:[UNIT]],'Unit Price'!C$1,FALSE),0)</f>
        <v>0</v>
      </c>
      <c r="H825" s="197">
        <f>IF(_1_54128456121462410464578910174567[[#This Row],[Type]]&gt;0,VLOOKUP(_1_54128456121462410464578910174567[[#This Row],[Type]],Main[[#All],[TYPE]:[UNIT]],'Unit Price'!D$1,FALSE),0)</f>
        <v>0</v>
      </c>
      <c r="I825" s="194">
        <f>IF(_1_54128456121462410464578910174567[[#This Row],[Type]]&gt;0,VLOOKUP(_1_54128456121462410464578910174567[[#This Row],[Type]],Main[[#All],[TYPE]:[UNIT]],'Unit Price'!G$1,FALSE),0)</f>
        <v>0</v>
      </c>
      <c r="J825" s="194">
        <f>IF(_1_54128456121462410464578910174567[[#This Row],[Type]]&gt;0,VLOOKUP(_1_54128456121462410464578910174567[[#This Row],[Type]],Main[[#All],[TYPE]:[UNIT]],'Unit Price'!H$1,FALSE),0)</f>
        <v>0</v>
      </c>
      <c r="K825" s="194">
        <f>IF(_1_54128456121462410464578910174567[[#This Row],[Discount selection]]&gt;0,VLOOKUP(_1_54128456121462410464578910174567[[#This Row],[Discount selection]],'Discount Structure'!$A$2:$B$30,2,"false"),0)</f>
        <v>1</v>
      </c>
      <c r="L825" s="194">
        <f>_1_54128456121462410464578910174567[[#This Row],[LIST $]]*_1_54128456121462410464578910174567[[#This Row],[DISCOUNT]]*_1_54128456121462410464578910174567[[#This Row],[DISCOUNT 2]]</f>
        <v>0</v>
      </c>
      <c r="M825" s="194">
        <f>IF(OR(_1_54128456121462410464578910174567[[#This Row],[UNIT]]&gt;0,_1_54128456121462410464578910174567[[#This Row],[UNIT]]&lt;0),_1_54128456121462410464578910174567[[#This Row],[UNIT]]*_1_54128456121462410464578910174567[[#This Row],[COST]],0)</f>
        <v>0</v>
      </c>
      <c r="N825" s="194">
        <f t="shared" si="12"/>
        <v>1.3</v>
      </c>
      <c r="O825" s="198">
        <f>_1_54128456121462410464578910174567[[#This Row],[TOTAL]]*_1_54128456121462410464578910174567[[#This Row],[MARGIN]]</f>
        <v>0</v>
      </c>
      <c r="R825" s="41"/>
    </row>
    <row r="826" spans="4:18">
      <c r="D826" s="188"/>
      <c r="F826" s="168" t="s">
        <v>6202</v>
      </c>
      <c r="G826" s="193">
        <f>IF(_1_54128456121462410464578910174567[[#This Row],[Type]]&gt;0,VLOOKUP(_1_54128456121462410464578910174567[[#This Row],[Type]],Main[[#All],[TYPE]:[UNIT]],'Unit Price'!C$1,FALSE),0)</f>
        <v>0</v>
      </c>
      <c r="H826" s="197">
        <f>IF(_1_54128456121462410464578910174567[[#This Row],[Type]]&gt;0,VLOOKUP(_1_54128456121462410464578910174567[[#This Row],[Type]],Main[[#All],[TYPE]:[UNIT]],'Unit Price'!D$1,FALSE),0)</f>
        <v>0</v>
      </c>
      <c r="I826" s="194">
        <f>IF(_1_54128456121462410464578910174567[[#This Row],[Type]]&gt;0,VLOOKUP(_1_54128456121462410464578910174567[[#This Row],[Type]],Main[[#All],[TYPE]:[UNIT]],'Unit Price'!G$1,FALSE),0)</f>
        <v>0</v>
      </c>
      <c r="J826" s="194">
        <f>IF(_1_54128456121462410464578910174567[[#This Row],[Type]]&gt;0,VLOOKUP(_1_54128456121462410464578910174567[[#This Row],[Type]],Main[[#All],[TYPE]:[UNIT]],'Unit Price'!H$1,FALSE),0)</f>
        <v>0</v>
      </c>
      <c r="K826" s="194">
        <f>IF(_1_54128456121462410464578910174567[[#This Row],[Discount selection]]&gt;0,VLOOKUP(_1_54128456121462410464578910174567[[#This Row],[Discount selection]],'Discount Structure'!$A$2:$B$30,2,"false"),0)</f>
        <v>1</v>
      </c>
      <c r="L826" s="194">
        <f>_1_54128456121462410464578910174567[[#This Row],[LIST $]]*_1_54128456121462410464578910174567[[#This Row],[DISCOUNT]]*_1_54128456121462410464578910174567[[#This Row],[DISCOUNT 2]]</f>
        <v>0</v>
      </c>
      <c r="M826" s="194">
        <f>IF(OR(_1_54128456121462410464578910174567[[#This Row],[UNIT]]&gt;0,_1_54128456121462410464578910174567[[#This Row],[UNIT]]&lt;0),_1_54128456121462410464578910174567[[#This Row],[UNIT]]*_1_54128456121462410464578910174567[[#This Row],[COST]],0)</f>
        <v>0</v>
      </c>
      <c r="N826" s="194">
        <f t="shared" si="12"/>
        <v>1.3</v>
      </c>
      <c r="O826" s="198">
        <f>_1_54128456121462410464578910174567[[#This Row],[TOTAL]]*_1_54128456121462410464578910174567[[#This Row],[MARGIN]]</f>
        <v>0</v>
      </c>
      <c r="R826" s="41"/>
    </row>
    <row r="827" spans="4:18">
      <c r="D827" s="188"/>
      <c r="F827" s="168" t="s">
        <v>6202</v>
      </c>
      <c r="G827" s="193">
        <f>IF(_1_54128456121462410464578910174567[[#This Row],[Type]]&gt;0,VLOOKUP(_1_54128456121462410464578910174567[[#This Row],[Type]],Main[[#All],[TYPE]:[UNIT]],'Unit Price'!C$1,FALSE),0)</f>
        <v>0</v>
      </c>
      <c r="H827" s="197">
        <f>IF(_1_54128456121462410464578910174567[[#This Row],[Type]]&gt;0,VLOOKUP(_1_54128456121462410464578910174567[[#This Row],[Type]],Main[[#All],[TYPE]:[UNIT]],'Unit Price'!D$1,FALSE),0)</f>
        <v>0</v>
      </c>
      <c r="I827" s="194">
        <f>IF(_1_54128456121462410464578910174567[[#This Row],[Type]]&gt;0,VLOOKUP(_1_54128456121462410464578910174567[[#This Row],[Type]],Main[[#All],[TYPE]:[UNIT]],'Unit Price'!G$1,FALSE),0)</f>
        <v>0</v>
      </c>
      <c r="J827" s="194">
        <f>IF(_1_54128456121462410464578910174567[[#This Row],[Type]]&gt;0,VLOOKUP(_1_54128456121462410464578910174567[[#This Row],[Type]],Main[[#All],[TYPE]:[UNIT]],'Unit Price'!H$1,FALSE),0)</f>
        <v>0</v>
      </c>
      <c r="K827" s="194">
        <f>IF(_1_54128456121462410464578910174567[[#This Row],[Discount selection]]&gt;0,VLOOKUP(_1_54128456121462410464578910174567[[#This Row],[Discount selection]],'Discount Structure'!$A$2:$B$30,2,"false"),0)</f>
        <v>1</v>
      </c>
      <c r="L827" s="194">
        <f>_1_54128456121462410464578910174567[[#This Row],[LIST $]]*_1_54128456121462410464578910174567[[#This Row],[DISCOUNT]]*_1_54128456121462410464578910174567[[#This Row],[DISCOUNT 2]]</f>
        <v>0</v>
      </c>
      <c r="M827" s="194">
        <f>IF(OR(_1_54128456121462410464578910174567[[#This Row],[UNIT]]&gt;0,_1_54128456121462410464578910174567[[#This Row],[UNIT]]&lt;0),_1_54128456121462410464578910174567[[#This Row],[UNIT]]*_1_54128456121462410464578910174567[[#This Row],[COST]],0)</f>
        <v>0</v>
      </c>
      <c r="N827" s="194">
        <f t="shared" si="12"/>
        <v>1.3</v>
      </c>
      <c r="O827" s="198">
        <f>_1_54128456121462410464578910174567[[#This Row],[TOTAL]]*_1_54128456121462410464578910174567[[#This Row],[MARGIN]]</f>
        <v>0</v>
      </c>
      <c r="R827" s="41"/>
    </row>
    <row r="828" spans="4:18">
      <c r="D828" s="188"/>
      <c r="F828" s="168" t="s">
        <v>6202</v>
      </c>
      <c r="G828" s="193">
        <f>IF(_1_54128456121462410464578910174567[[#This Row],[Type]]&gt;0,VLOOKUP(_1_54128456121462410464578910174567[[#This Row],[Type]],Main[[#All],[TYPE]:[UNIT]],'Unit Price'!C$1,FALSE),0)</f>
        <v>0</v>
      </c>
      <c r="H828" s="197">
        <f>IF(_1_54128456121462410464578910174567[[#This Row],[Type]]&gt;0,VLOOKUP(_1_54128456121462410464578910174567[[#This Row],[Type]],Main[[#All],[TYPE]:[UNIT]],'Unit Price'!D$1,FALSE),0)</f>
        <v>0</v>
      </c>
      <c r="I828" s="194">
        <f>IF(_1_54128456121462410464578910174567[[#This Row],[Type]]&gt;0,VLOOKUP(_1_54128456121462410464578910174567[[#This Row],[Type]],Main[[#All],[TYPE]:[UNIT]],'Unit Price'!G$1,FALSE),0)</f>
        <v>0</v>
      </c>
      <c r="J828" s="194">
        <f>IF(_1_54128456121462410464578910174567[[#This Row],[Type]]&gt;0,VLOOKUP(_1_54128456121462410464578910174567[[#This Row],[Type]],Main[[#All],[TYPE]:[UNIT]],'Unit Price'!H$1,FALSE),0)</f>
        <v>0</v>
      </c>
      <c r="K828" s="194">
        <f>IF(_1_54128456121462410464578910174567[[#This Row],[Discount selection]]&gt;0,VLOOKUP(_1_54128456121462410464578910174567[[#This Row],[Discount selection]],'Discount Structure'!$A$2:$B$30,2,"false"),0)</f>
        <v>1</v>
      </c>
      <c r="L828" s="194">
        <f>_1_54128456121462410464578910174567[[#This Row],[LIST $]]*_1_54128456121462410464578910174567[[#This Row],[DISCOUNT]]*_1_54128456121462410464578910174567[[#This Row],[DISCOUNT 2]]</f>
        <v>0</v>
      </c>
      <c r="M828" s="194">
        <f>IF(OR(_1_54128456121462410464578910174567[[#This Row],[UNIT]]&gt;0,_1_54128456121462410464578910174567[[#This Row],[UNIT]]&lt;0),_1_54128456121462410464578910174567[[#This Row],[UNIT]]*_1_54128456121462410464578910174567[[#This Row],[COST]],0)</f>
        <v>0</v>
      </c>
      <c r="N828" s="194">
        <f t="shared" si="12"/>
        <v>1.3</v>
      </c>
      <c r="O828" s="198">
        <f>_1_54128456121462410464578910174567[[#This Row],[TOTAL]]*_1_54128456121462410464578910174567[[#This Row],[MARGIN]]</f>
        <v>0</v>
      </c>
      <c r="R828" s="41"/>
    </row>
    <row r="829" spans="4:18">
      <c r="D829" s="188"/>
      <c r="F829" s="168" t="s">
        <v>6202</v>
      </c>
      <c r="G829" s="193">
        <f>IF(_1_54128456121462410464578910174567[[#This Row],[Type]]&gt;0,VLOOKUP(_1_54128456121462410464578910174567[[#This Row],[Type]],Main[[#All],[TYPE]:[UNIT]],'Unit Price'!C$1,FALSE),0)</f>
        <v>0</v>
      </c>
      <c r="H829" s="197">
        <f>IF(_1_54128456121462410464578910174567[[#This Row],[Type]]&gt;0,VLOOKUP(_1_54128456121462410464578910174567[[#This Row],[Type]],Main[[#All],[TYPE]:[UNIT]],'Unit Price'!D$1,FALSE),0)</f>
        <v>0</v>
      </c>
      <c r="I829" s="194">
        <f>IF(_1_54128456121462410464578910174567[[#This Row],[Type]]&gt;0,VLOOKUP(_1_54128456121462410464578910174567[[#This Row],[Type]],Main[[#All],[TYPE]:[UNIT]],'Unit Price'!G$1,FALSE),0)</f>
        <v>0</v>
      </c>
      <c r="J829" s="194">
        <f>IF(_1_54128456121462410464578910174567[[#This Row],[Type]]&gt;0,VLOOKUP(_1_54128456121462410464578910174567[[#This Row],[Type]],Main[[#All],[TYPE]:[UNIT]],'Unit Price'!H$1,FALSE),0)</f>
        <v>0</v>
      </c>
      <c r="K829" s="194">
        <f>IF(_1_54128456121462410464578910174567[[#This Row],[Discount selection]]&gt;0,VLOOKUP(_1_54128456121462410464578910174567[[#This Row],[Discount selection]],'Discount Structure'!$A$2:$B$30,2,"false"),0)</f>
        <v>1</v>
      </c>
      <c r="L829" s="194">
        <f>_1_54128456121462410464578910174567[[#This Row],[LIST $]]*_1_54128456121462410464578910174567[[#This Row],[DISCOUNT]]*_1_54128456121462410464578910174567[[#This Row],[DISCOUNT 2]]</f>
        <v>0</v>
      </c>
      <c r="M829" s="194">
        <f>IF(OR(_1_54128456121462410464578910174567[[#This Row],[UNIT]]&gt;0,_1_54128456121462410464578910174567[[#This Row],[UNIT]]&lt;0),_1_54128456121462410464578910174567[[#This Row],[UNIT]]*_1_54128456121462410464578910174567[[#This Row],[COST]],0)</f>
        <v>0</v>
      </c>
      <c r="N829" s="194">
        <f t="shared" si="12"/>
        <v>1.3</v>
      </c>
      <c r="O829" s="198">
        <f>_1_54128456121462410464578910174567[[#This Row],[TOTAL]]*_1_54128456121462410464578910174567[[#This Row],[MARGIN]]</f>
        <v>0</v>
      </c>
      <c r="R829" s="41"/>
    </row>
    <row r="830" spans="4:18">
      <c r="D830" s="188"/>
      <c r="F830" s="168" t="s">
        <v>6202</v>
      </c>
      <c r="G830" s="193">
        <f>IF(_1_54128456121462410464578910174567[[#This Row],[Type]]&gt;0,VLOOKUP(_1_54128456121462410464578910174567[[#This Row],[Type]],Main[[#All],[TYPE]:[UNIT]],'Unit Price'!C$1,FALSE),0)</f>
        <v>0</v>
      </c>
      <c r="H830" s="197">
        <f>IF(_1_54128456121462410464578910174567[[#This Row],[Type]]&gt;0,VLOOKUP(_1_54128456121462410464578910174567[[#This Row],[Type]],Main[[#All],[TYPE]:[UNIT]],'Unit Price'!D$1,FALSE),0)</f>
        <v>0</v>
      </c>
      <c r="I830" s="194">
        <f>IF(_1_54128456121462410464578910174567[[#This Row],[Type]]&gt;0,VLOOKUP(_1_54128456121462410464578910174567[[#This Row],[Type]],Main[[#All],[TYPE]:[UNIT]],'Unit Price'!G$1,FALSE),0)</f>
        <v>0</v>
      </c>
      <c r="J830" s="194">
        <f>IF(_1_54128456121462410464578910174567[[#This Row],[Type]]&gt;0,VLOOKUP(_1_54128456121462410464578910174567[[#This Row],[Type]],Main[[#All],[TYPE]:[UNIT]],'Unit Price'!H$1,FALSE),0)</f>
        <v>0</v>
      </c>
      <c r="K830" s="194">
        <f>IF(_1_54128456121462410464578910174567[[#This Row],[Discount selection]]&gt;0,VLOOKUP(_1_54128456121462410464578910174567[[#This Row],[Discount selection]],'Discount Structure'!$A$2:$B$30,2,"false"),0)</f>
        <v>1</v>
      </c>
      <c r="L830" s="194">
        <f>_1_54128456121462410464578910174567[[#This Row],[LIST $]]*_1_54128456121462410464578910174567[[#This Row],[DISCOUNT]]*_1_54128456121462410464578910174567[[#This Row],[DISCOUNT 2]]</f>
        <v>0</v>
      </c>
      <c r="M830" s="194">
        <f>IF(OR(_1_54128456121462410464578910174567[[#This Row],[UNIT]]&gt;0,_1_54128456121462410464578910174567[[#This Row],[UNIT]]&lt;0),_1_54128456121462410464578910174567[[#This Row],[UNIT]]*_1_54128456121462410464578910174567[[#This Row],[COST]],0)</f>
        <v>0</v>
      </c>
      <c r="N830" s="194">
        <f t="shared" si="12"/>
        <v>1.3</v>
      </c>
      <c r="O830" s="198">
        <f>_1_54128456121462410464578910174567[[#This Row],[TOTAL]]*_1_54128456121462410464578910174567[[#This Row],[MARGIN]]</f>
        <v>0</v>
      </c>
      <c r="R830" s="41"/>
    </row>
    <row r="831" spans="4:18">
      <c r="D831" s="188"/>
      <c r="F831" s="168" t="s">
        <v>6202</v>
      </c>
      <c r="G831" s="193">
        <f>IF(_1_54128456121462410464578910174567[[#This Row],[Type]]&gt;0,VLOOKUP(_1_54128456121462410464578910174567[[#This Row],[Type]],Main[[#All],[TYPE]:[UNIT]],'Unit Price'!C$1,FALSE),0)</f>
        <v>0</v>
      </c>
      <c r="H831" s="197">
        <f>IF(_1_54128456121462410464578910174567[[#This Row],[Type]]&gt;0,VLOOKUP(_1_54128456121462410464578910174567[[#This Row],[Type]],Main[[#All],[TYPE]:[UNIT]],'Unit Price'!D$1,FALSE),0)</f>
        <v>0</v>
      </c>
      <c r="I831" s="194">
        <f>IF(_1_54128456121462410464578910174567[[#This Row],[Type]]&gt;0,VLOOKUP(_1_54128456121462410464578910174567[[#This Row],[Type]],Main[[#All],[TYPE]:[UNIT]],'Unit Price'!G$1,FALSE),0)</f>
        <v>0</v>
      </c>
      <c r="J831" s="194">
        <f>IF(_1_54128456121462410464578910174567[[#This Row],[Type]]&gt;0,VLOOKUP(_1_54128456121462410464578910174567[[#This Row],[Type]],Main[[#All],[TYPE]:[UNIT]],'Unit Price'!H$1,FALSE),0)</f>
        <v>0</v>
      </c>
      <c r="K831" s="194">
        <f>IF(_1_54128456121462410464578910174567[[#This Row],[Discount selection]]&gt;0,VLOOKUP(_1_54128456121462410464578910174567[[#This Row],[Discount selection]],'Discount Structure'!$A$2:$B$30,2,"false"),0)</f>
        <v>1</v>
      </c>
      <c r="L831" s="194">
        <f>_1_54128456121462410464578910174567[[#This Row],[LIST $]]*_1_54128456121462410464578910174567[[#This Row],[DISCOUNT]]*_1_54128456121462410464578910174567[[#This Row],[DISCOUNT 2]]</f>
        <v>0</v>
      </c>
      <c r="M831" s="194">
        <f>IF(OR(_1_54128456121462410464578910174567[[#This Row],[UNIT]]&gt;0,_1_54128456121462410464578910174567[[#This Row],[UNIT]]&lt;0),_1_54128456121462410464578910174567[[#This Row],[UNIT]]*_1_54128456121462410464578910174567[[#This Row],[COST]],0)</f>
        <v>0</v>
      </c>
      <c r="N831" s="194">
        <f t="shared" si="12"/>
        <v>1.3</v>
      </c>
      <c r="O831" s="198">
        <f>_1_54128456121462410464578910174567[[#This Row],[TOTAL]]*_1_54128456121462410464578910174567[[#This Row],[MARGIN]]</f>
        <v>0</v>
      </c>
      <c r="R831" s="41"/>
    </row>
    <row r="832" spans="4:18">
      <c r="D832" s="188"/>
      <c r="F832" s="168" t="s">
        <v>6202</v>
      </c>
      <c r="G832" s="193">
        <f>IF(_1_54128456121462410464578910174567[[#This Row],[Type]]&gt;0,VLOOKUP(_1_54128456121462410464578910174567[[#This Row],[Type]],Main[[#All],[TYPE]:[UNIT]],'Unit Price'!C$1,FALSE),0)</f>
        <v>0</v>
      </c>
      <c r="H832" s="197">
        <f>IF(_1_54128456121462410464578910174567[[#This Row],[Type]]&gt;0,VLOOKUP(_1_54128456121462410464578910174567[[#This Row],[Type]],Main[[#All],[TYPE]:[UNIT]],'Unit Price'!D$1,FALSE),0)</f>
        <v>0</v>
      </c>
      <c r="I832" s="194">
        <f>IF(_1_54128456121462410464578910174567[[#This Row],[Type]]&gt;0,VLOOKUP(_1_54128456121462410464578910174567[[#This Row],[Type]],Main[[#All],[TYPE]:[UNIT]],'Unit Price'!G$1,FALSE),0)</f>
        <v>0</v>
      </c>
      <c r="J832" s="194">
        <f>IF(_1_54128456121462410464578910174567[[#This Row],[Type]]&gt;0,VLOOKUP(_1_54128456121462410464578910174567[[#This Row],[Type]],Main[[#All],[TYPE]:[UNIT]],'Unit Price'!H$1,FALSE),0)</f>
        <v>0</v>
      </c>
      <c r="K832" s="194">
        <f>IF(_1_54128456121462410464578910174567[[#This Row],[Discount selection]]&gt;0,VLOOKUP(_1_54128456121462410464578910174567[[#This Row],[Discount selection]],'Discount Structure'!$A$2:$B$30,2,"false"),0)</f>
        <v>1</v>
      </c>
      <c r="L832" s="194">
        <f>_1_54128456121462410464578910174567[[#This Row],[LIST $]]*_1_54128456121462410464578910174567[[#This Row],[DISCOUNT]]*_1_54128456121462410464578910174567[[#This Row],[DISCOUNT 2]]</f>
        <v>0</v>
      </c>
      <c r="M832" s="194">
        <f>IF(OR(_1_54128456121462410464578910174567[[#This Row],[UNIT]]&gt;0,_1_54128456121462410464578910174567[[#This Row],[UNIT]]&lt;0),_1_54128456121462410464578910174567[[#This Row],[UNIT]]*_1_54128456121462410464578910174567[[#This Row],[COST]],0)</f>
        <v>0</v>
      </c>
      <c r="N832" s="194">
        <f t="shared" si="12"/>
        <v>1.3</v>
      </c>
      <c r="O832" s="198">
        <f>_1_54128456121462410464578910174567[[#This Row],[TOTAL]]*_1_54128456121462410464578910174567[[#This Row],[MARGIN]]</f>
        <v>0</v>
      </c>
      <c r="R832" s="41"/>
    </row>
    <row r="833" spans="4:18">
      <c r="D833" s="188"/>
      <c r="F833" s="168" t="s">
        <v>6202</v>
      </c>
      <c r="G833" s="193">
        <f>IF(_1_54128456121462410464578910174567[[#This Row],[Type]]&gt;0,VLOOKUP(_1_54128456121462410464578910174567[[#This Row],[Type]],Main[[#All],[TYPE]:[UNIT]],'Unit Price'!C$1,FALSE),0)</f>
        <v>0</v>
      </c>
      <c r="H833" s="197">
        <f>IF(_1_54128456121462410464578910174567[[#This Row],[Type]]&gt;0,VLOOKUP(_1_54128456121462410464578910174567[[#This Row],[Type]],Main[[#All],[TYPE]:[UNIT]],'Unit Price'!D$1,FALSE),0)</f>
        <v>0</v>
      </c>
      <c r="I833" s="194">
        <f>IF(_1_54128456121462410464578910174567[[#This Row],[Type]]&gt;0,VLOOKUP(_1_54128456121462410464578910174567[[#This Row],[Type]],Main[[#All],[TYPE]:[UNIT]],'Unit Price'!G$1,FALSE),0)</f>
        <v>0</v>
      </c>
      <c r="J833" s="194">
        <f>IF(_1_54128456121462410464578910174567[[#This Row],[Type]]&gt;0,VLOOKUP(_1_54128456121462410464578910174567[[#This Row],[Type]],Main[[#All],[TYPE]:[UNIT]],'Unit Price'!H$1,FALSE),0)</f>
        <v>0</v>
      </c>
      <c r="K833" s="194">
        <f>IF(_1_54128456121462410464578910174567[[#This Row],[Discount selection]]&gt;0,VLOOKUP(_1_54128456121462410464578910174567[[#This Row],[Discount selection]],'Discount Structure'!$A$2:$B$30,2,"false"),0)</f>
        <v>1</v>
      </c>
      <c r="L833" s="194">
        <f>_1_54128456121462410464578910174567[[#This Row],[LIST $]]*_1_54128456121462410464578910174567[[#This Row],[DISCOUNT]]*_1_54128456121462410464578910174567[[#This Row],[DISCOUNT 2]]</f>
        <v>0</v>
      </c>
      <c r="M833" s="194">
        <f>IF(OR(_1_54128456121462410464578910174567[[#This Row],[UNIT]]&gt;0,_1_54128456121462410464578910174567[[#This Row],[UNIT]]&lt;0),_1_54128456121462410464578910174567[[#This Row],[UNIT]]*_1_54128456121462410464578910174567[[#This Row],[COST]],0)</f>
        <v>0</v>
      </c>
      <c r="N833" s="194">
        <f t="shared" si="12"/>
        <v>1.3</v>
      </c>
      <c r="O833" s="198">
        <f>_1_54128456121462410464578910174567[[#This Row],[TOTAL]]*_1_54128456121462410464578910174567[[#This Row],[MARGIN]]</f>
        <v>0</v>
      </c>
      <c r="R833" s="41"/>
    </row>
    <row r="834" spans="4:18">
      <c r="D834" s="188"/>
      <c r="F834" s="168" t="s">
        <v>6202</v>
      </c>
      <c r="G834" s="193">
        <f>IF(_1_54128456121462410464578910174567[[#This Row],[Type]]&gt;0,VLOOKUP(_1_54128456121462410464578910174567[[#This Row],[Type]],Main[[#All],[TYPE]:[UNIT]],'Unit Price'!C$1,FALSE),0)</f>
        <v>0</v>
      </c>
      <c r="H834" s="197">
        <f>IF(_1_54128456121462410464578910174567[[#This Row],[Type]]&gt;0,VLOOKUP(_1_54128456121462410464578910174567[[#This Row],[Type]],Main[[#All],[TYPE]:[UNIT]],'Unit Price'!D$1,FALSE),0)</f>
        <v>0</v>
      </c>
      <c r="I834" s="194">
        <f>IF(_1_54128456121462410464578910174567[[#This Row],[Type]]&gt;0,VLOOKUP(_1_54128456121462410464578910174567[[#This Row],[Type]],Main[[#All],[TYPE]:[UNIT]],'Unit Price'!G$1,FALSE),0)</f>
        <v>0</v>
      </c>
      <c r="J834" s="194">
        <f>IF(_1_54128456121462410464578910174567[[#This Row],[Type]]&gt;0,VLOOKUP(_1_54128456121462410464578910174567[[#This Row],[Type]],Main[[#All],[TYPE]:[UNIT]],'Unit Price'!H$1,FALSE),0)</f>
        <v>0</v>
      </c>
      <c r="K834" s="194">
        <f>IF(_1_54128456121462410464578910174567[[#This Row],[Discount selection]]&gt;0,VLOOKUP(_1_54128456121462410464578910174567[[#This Row],[Discount selection]],'Discount Structure'!$A$2:$B$30,2,"false"),0)</f>
        <v>1</v>
      </c>
      <c r="L834" s="194">
        <f>_1_54128456121462410464578910174567[[#This Row],[LIST $]]*_1_54128456121462410464578910174567[[#This Row],[DISCOUNT]]*_1_54128456121462410464578910174567[[#This Row],[DISCOUNT 2]]</f>
        <v>0</v>
      </c>
      <c r="M834" s="194">
        <f>IF(OR(_1_54128456121462410464578910174567[[#This Row],[UNIT]]&gt;0,_1_54128456121462410464578910174567[[#This Row],[UNIT]]&lt;0),_1_54128456121462410464578910174567[[#This Row],[UNIT]]*_1_54128456121462410464578910174567[[#This Row],[COST]],0)</f>
        <v>0</v>
      </c>
      <c r="N834" s="194">
        <f t="shared" si="12"/>
        <v>1.3</v>
      </c>
      <c r="O834" s="198">
        <f>_1_54128456121462410464578910174567[[#This Row],[TOTAL]]*_1_54128456121462410464578910174567[[#This Row],[MARGIN]]</f>
        <v>0</v>
      </c>
      <c r="R834" s="41"/>
    </row>
    <row r="835" spans="4:18">
      <c r="D835" s="188"/>
      <c r="F835" s="168" t="s">
        <v>6202</v>
      </c>
      <c r="G835" s="193">
        <f>IF(_1_54128456121462410464578910174567[[#This Row],[Type]]&gt;0,VLOOKUP(_1_54128456121462410464578910174567[[#This Row],[Type]],Main[[#All],[TYPE]:[UNIT]],'Unit Price'!C$1,FALSE),0)</f>
        <v>0</v>
      </c>
      <c r="H835" s="197">
        <f>IF(_1_54128456121462410464578910174567[[#This Row],[Type]]&gt;0,VLOOKUP(_1_54128456121462410464578910174567[[#This Row],[Type]],Main[[#All],[TYPE]:[UNIT]],'Unit Price'!D$1,FALSE),0)</f>
        <v>0</v>
      </c>
      <c r="I835" s="194">
        <f>IF(_1_54128456121462410464578910174567[[#This Row],[Type]]&gt;0,VLOOKUP(_1_54128456121462410464578910174567[[#This Row],[Type]],Main[[#All],[TYPE]:[UNIT]],'Unit Price'!G$1,FALSE),0)</f>
        <v>0</v>
      </c>
      <c r="J835" s="194">
        <f>IF(_1_54128456121462410464578910174567[[#This Row],[Type]]&gt;0,VLOOKUP(_1_54128456121462410464578910174567[[#This Row],[Type]],Main[[#All],[TYPE]:[UNIT]],'Unit Price'!H$1,FALSE),0)</f>
        <v>0</v>
      </c>
      <c r="K835" s="194">
        <f>IF(_1_54128456121462410464578910174567[[#This Row],[Discount selection]]&gt;0,VLOOKUP(_1_54128456121462410464578910174567[[#This Row],[Discount selection]],'Discount Structure'!$A$2:$B$30,2,"false"),0)</f>
        <v>1</v>
      </c>
      <c r="L835" s="194">
        <f>_1_54128456121462410464578910174567[[#This Row],[LIST $]]*_1_54128456121462410464578910174567[[#This Row],[DISCOUNT]]*_1_54128456121462410464578910174567[[#This Row],[DISCOUNT 2]]</f>
        <v>0</v>
      </c>
      <c r="M835" s="194">
        <f>IF(OR(_1_54128456121462410464578910174567[[#This Row],[UNIT]]&gt;0,_1_54128456121462410464578910174567[[#This Row],[UNIT]]&lt;0),_1_54128456121462410464578910174567[[#This Row],[UNIT]]*_1_54128456121462410464578910174567[[#This Row],[COST]],0)</f>
        <v>0</v>
      </c>
      <c r="N835" s="194">
        <f t="shared" si="12"/>
        <v>1.3</v>
      </c>
      <c r="O835" s="198">
        <f>_1_54128456121462410464578910174567[[#This Row],[TOTAL]]*_1_54128456121462410464578910174567[[#This Row],[MARGIN]]</f>
        <v>0</v>
      </c>
      <c r="R835" s="41"/>
    </row>
    <row r="836" spans="4:18">
      <c r="D836" s="188"/>
      <c r="F836" s="168" t="s">
        <v>6202</v>
      </c>
      <c r="G836" s="193">
        <f>IF(_1_54128456121462410464578910174567[[#This Row],[Type]]&gt;0,VLOOKUP(_1_54128456121462410464578910174567[[#This Row],[Type]],Main[[#All],[TYPE]:[UNIT]],'Unit Price'!C$1,FALSE),0)</f>
        <v>0</v>
      </c>
      <c r="H836" s="197">
        <f>IF(_1_54128456121462410464578910174567[[#This Row],[Type]]&gt;0,VLOOKUP(_1_54128456121462410464578910174567[[#This Row],[Type]],Main[[#All],[TYPE]:[UNIT]],'Unit Price'!D$1,FALSE),0)</f>
        <v>0</v>
      </c>
      <c r="I836" s="194">
        <f>IF(_1_54128456121462410464578910174567[[#This Row],[Type]]&gt;0,VLOOKUP(_1_54128456121462410464578910174567[[#This Row],[Type]],Main[[#All],[TYPE]:[UNIT]],'Unit Price'!G$1,FALSE),0)</f>
        <v>0</v>
      </c>
      <c r="J836" s="194">
        <f>IF(_1_54128456121462410464578910174567[[#This Row],[Type]]&gt;0,VLOOKUP(_1_54128456121462410464578910174567[[#This Row],[Type]],Main[[#All],[TYPE]:[UNIT]],'Unit Price'!H$1,FALSE),0)</f>
        <v>0</v>
      </c>
      <c r="K836" s="194">
        <f>IF(_1_54128456121462410464578910174567[[#This Row],[Discount selection]]&gt;0,VLOOKUP(_1_54128456121462410464578910174567[[#This Row],[Discount selection]],'Discount Structure'!$A$2:$B$30,2,"false"),0)</f>
        <v>1</v>
      </c>
      <c r="L836" s="194">
        <f>_1_54128456121462410464578910174567[[#This Row],[LIST $]]*_1_54128456121462410464578910174567[[#This Row],[DISCOUNT]]*_1_54128456121462410464578910174567[[#This Row],[DISCOUNT 2]]</f>
        <v>0</v>
      </c>
      <c r="M836" s="194">
        <f>IF(OR(_1_54128456121462410464578910174567[[#This Row],[UNIT]]&gt;0,_1_54128456121462410464578910174567[[#This Row],[UNIT]]&lt;0),_1_54128456121462410464578910174567[[#This Row],[UNIT]]*_1_54128456121462410464578910174567[[#This Row],[COST]],0)</f>
        <v>0</v>
      </c>
      <c r="N836" s="194">
        <f t="shared" si="12"/>
        <v>1.3</v>
      </c>
      <c r="O836" s="198">
        <f>_1_54128456121462410464578910174567[[#This Row],[TOTAL]]*_1_54128456121462410464578910174567[[#This Row],[MARGIN]]</f>
        <v>0</v>
      </c>
      <c r="R836" s="41"/>
    </row>
    <row r="837" spans="4:18">
      <c r="D837" s="188"/>
      <c r="F837" s="168" t="s">
        <v>6202</v>
      </c>
      <c r="G837" s="193">
        <f>IF(_1_54128456121462410464578910174567[[#This Row],[Type]]&gt;0,VLOOKUP(_1_54128456121462410464578910174567[[#This Row],[Type]],Main[[#All],[TYPE]:[UNIT]],'Unit Price'!C$1,FALSE),0)</f>
        <v>0</v>
      </c>
      <c r="H837" s="197">
        <f>IF(_1_54128456121462410464578910174567[[#This Row],[Type]]&gt;0,VLOOKUP(_1_54128456121462410464578910174567[[#This Row],[Type]],Main[[#All],[TYPE]:[UNIT]],'Unit Price'!D$1,FALSE),0)</f>
        <v>0</v>
      </c>
      <c r="I837" s="194">
        <f>IF(_1_54128456121462410464578910174567[[#This Row],[Type]]&gt;0,VLOOKUP(_1_54128456121462410464578910174567[[#This Row],[Type]],Main[[#All],[TYPE]:[UNIT]],'Unit Price'!G$1,FALSE),0)</f>
        <v>0</v>
      </c>
      <c r="J837" s="194">
        <f>IF(_1_54128456121462410464578910174567[[#This Row],[Type]]&gt;0,VLOOKUP(_1_54128456121462410464578910174567[[#This Row],[Type]],Main[[#All],[TYPE]:[UNIT]],'Unit Price'!H$1,FALSE),0)</f>
        <v>0</v>
      </c>
      <c r="K837" s="194">
        <f>IF(_1_54128456121462410464578910174567[[#This Row],[Discount selection]]&gt;0,VLOOKUP(_1_54128456121462410464578910174567[[#This Row],[Discount selection]],'Discount Structure'!$A$2:$B$30,2,"false"),0)</f>
        <v>1</v>
      </c>
      <c r="L837" s="194">
        <f>_1_54128456121462410464578910174567[[#This Row],[LIST $]]*_1_54128456121462410464578910174567[[#This Row],[DISCOUNT]]*_1_54128456121462410464578910174567[[#This Row],[DISCOUNT 2]]</f>
        <v>0</v>
      </c>
      <c r="M837" s="194">
        <f>IF(OR(_1_54128456121462410464578910174567[[#This Row],[UNIT]]&gt;0,_1_54128456121462410464578910174567[[#This Row],[UNIT]]&lt;0),_1_54128456121462410464578910174567[[#This Row],[UNIT]]*_1_54128456121462410464578910174567[[#This Row],[COST]],0)</f>
        <v>0</v>
      </c>
      <c r="N837" s="194">
        <f t="shared" si="12"/>
        <v>1.3</v>
      </c>
      <c r="O837" s="198">
        <f>_1_54128456121462410464578910174567[[#This Row],[TOTAL]]*_1_54128456121462410464578910174567[[#This Row],[MARGIN]]</f>
        <v>0</v>
      </c>
      <c r="R837" s="41"/>
    </row>
    <row r="838" spans="4:18">
      <c r="D838" s="188"/>
      <c r="F838" s="168" t="s">
        <v>6202</v>
      </c>
      <c r="G838" s="193">
        <f>IF(_1_54128456121462410464578910174567[[#This Row],[Type]]&gt;0,VLOOKUP(_1_54128456121462410464578910174567[[#This Row],[Type]],Main[[#All],[TYPE]:[UNIT]],'Unit Price'!C$1,FALSE),0)</f>
        <v>0</v>
      </c>
      <c r="H838" s="197">
        <f>IF(_1_54128456121462410464578910174567[[#This Row],[Type]]&gt;0,VLOOKUP(_1_54128456121462410464578910174567[[#This Row],[Type]],Main[[#All],[TYPE]:[UNIT]],'Unit Price'!D$1,FALSE),0)</f>
        <v>0</v>
      </c>
      <c r="I838" s="194">
        <f>IF(_1_54128456121462410464578910174567[[#This Row],[Type]]&gt;0,VLOOKUP(_1_54128456121462410464578910174567[[#This Row],[Type]],Main[[#All],[TYPE]:[UNIT]],'Unit Price'!G$1,FALSE),0)</f>
        <v>0</v>
      </c>
      <c r="J838" s="194">
        <f>IF(_1_54128456121462410464578910174567[[#This Row],[Type]]&gt;0,VLOOKUP(_1_54128456121462410464578910174567[[#This Row],[Type]],Main[[#All],[TYPE]:[UNIT]],'Unit Price'!H$1,FALSE),0)</f>
        <v>0</v>
      </c>
      <c r="K838" s="194">
        <f>IF(_1_54128456121462410464578910174567[[#This Row],[Discount selection]]&gt;0,VLOOKUP(_1_54128456121462410464578910174567[[#This Row],[Discount selection]],'Discount Structure'!$A$2:$B$30,2,"false"),0)</f>
        <v>1</v>
      </c>
      <c r="L838" s="194">
        <f>_1_54128456121462410464578910174567[[#This Row],[LIST $]]*_1_54128456121462410464578910174567[[#This Row],[DISCOUNT]]*_1_54128456121462410464578910174567[[#This Row],[DISCOUNT 2]]</f>
        <v>0</v>
      </c>
      <c r="M838" s="194">
        <f>IF(OR(_1_54128456121462410464578910174567[[#This Row],[UNIT]]&gt;0,_1_54128456121462410464578910174567[[#This Row],[UNIT]]&lt;0),_1_54128456121462410464578910174567[[#This Row],[UNIT]]*_1_54128456121462410464578910174567[[#This Row],[COST]],0)</f>
        <v>0</v>
      </c>
      <c r="N838" s="194">
        <f t="shared" si="12"/>
        <v>1.3</v>
      </c>
      <c r="O838" s="198">
        <f>_1_54128456121462410464578910174567[[#This Row],[TOTAL]]*_1_54128456121462410464578910174567[[#This Row],[MARGIN]]</f>
        <v>0</v>
      </c>
      <c r="R838" s="41"/>
    </row>
    <row r="839" spans="4:18">
      <c r="D839" s="188"/>
      <c r="F839" s="168" t="s">
        <v>6202</v>
      </c>
      <c r="G839" s="193">
        <f>IF(_1_54128456121462410464578910174567[[#This Row],[Type]]&gt;0,VLOOKUP(_1_54128456121462410464578910174567[[#This Row],[Type]],Main[[#All],[TYPE]:[UNIT]],'Unit Price'!C$1,FALSE),0)</f>
        <v>0</v>
      </c>
      <c r="H839" s="197">
        <f>IF(_1_54128456121462410464578910174567[[#This Row],[Type]]&gt;0,VLOOKUP(_1_54128456121462410464578910174567[[#This Row],[Type]],Main[[#All],[TYPE]:[UNIT]],'Unit Price'!D$1,FALSE),0)</f>
        <v>0</v>
      </c>
      <c r="I839" s="194">
        <f>IF(_1_54128456121462410464578910174567[[#This Row],[Type]]&gt;0,VLOOKUP(_1_54128456121462410464578910174567[[#This Row],[Type]],Main[[#All],[TYPE]:[UNIT]],'Unit Price'!G$1,FALSE),0)</f>
        <v>0</v>
      </c>
      <c r="J839" s="194">
        <f>IF(_1_54128456121462410464578910174567[[#This Row],[Type]]&gt;0,VLOOKUP(_1_54128456121462410464578910174567[[#This Row],[Type]],Main[[#All],[TYPE]:[UNIT]],'Unit Price'!H$1,FALSE),0)</f>
        <v>0</v>
      </c>
      <c r="K839" s="194">
        <f>IF(_1_54128456121462410464578910174567[[#This Row],[Discount selection]]&gt;0,VLOOKUP(_1_54128456121462410464578910174567[[#This Row],[Discount selection]],'Discount Structure'!$A$2:$B$30,2,"false"),0)</f>
        <v>1</v>
      </c>
      <c r="L839" s="194">
        <f>_1_54128456121462410464578910174567[[#This Row],[LIST $]]*_1_54128456121462410464578910174567[[#This Row],[DISCOUNT]]*_1_54128456121462410464578910174567[[#This Row],[DISCOUNT 2]]</f>
        <v>0</v>
      </c>
      <c r="M839" s="194">
        <f>IF(OR(_1_54128456121462410464578910174567[[#This Row],[UNIT]]&gt;0,_1_54128456121462410464578910174567[[#This Row],[UNIT]]&lt;0),_1_54128456121462410464578910174567[[#This Row],[UNIT]]*_1_54128456121462410464578910174567[[#This Row],[COST]],0)</f>
        <v>0</v>
      </c>
      <c r="N839" s="194">
        <f t="shared" si="12"/>
        <v>1.3</v>
      </c>
      <c r="O839" s="198">
        <f>_1_54128456121462410464578910174567[[#This Row],[TOTAL]]*_1_54128456121462410464578910174567[[#This Row],[MARGIN]]</f>
        <v>0</v>
      </c>
      <c r="R839" s="41"/>
    </row>
    <row r="840" spans="4:18">
      <c r="D840" s="188"/>
      <c r="F840" s="168" t="s">
        <v>6202</v>
      </c>
      <c r="G840" s="193">
        <f>IF(_1_54128456121462410464578910174567[[#This Row],[Type]]&gt;0,VLOOKUP(_1_54128456121462410464578910174567[[#This Row],[Type]],Main[[#All],[TYPE]:[UNIT]],'Unit Price'!C$1,FALSE),0)</f>
        <v>0</v>
      </c>
      <c r="H840" s="197">
        <f>IF(_1_54128456121462410464578910174567[[#This Row],[Type]]&gt;0,VLOOKUP(_1_54128456121462410464578910174567[[#This Row],[Type]],Main[[#All],[TYPE]:[UNIT]],'Unit Price'!D$1,FALSE),0)</f>
        <v>0</v>
      </c>
      <c r="I840" s="194">
        <f>IF(_1_54128456121462410464578910174567[[#This Row],[Type]]&gt;0,VLOOKUP(_1_54128456121462410464578910174567[[#This Row],[Type]],Main[[#All],[TYPE]:[UNIT]],'Unit Price'!G$1,FALSE),0)</f>
        <v>0</v>
      </c>
      <c r="J840" s="194">
        <f>IF(_1_54128456121462410464578910174567[[#This Row],[Type]]&gt;0,VLOOKUP(_1_54128456121462410464578910174567[[#This Row],[Type]],Main[[#All],[TYPE]:[UNIT]],'Unit Price'!H$1,FALSE),0)</f>
        <v>0</v>
      </c>
      <c r="K840" s="194">
        <f>IF(_1_54128456121462410464578910174567[[#This Row],[Discount selection]]&gt;0,VLOOKUP(_1_54128456121462410464578910174567[[#This Row],[Discount selection]],'Discount Structure'!$A$2:$B$30,2,"false"),0)</f>
        <v>1</v>
      </c>
      <c r="L840" s="194">
        <f>_1_54128456121462410464578910174567[[#This Row],[LIST $]]*_1_54128456121462410464578910174567[[#This Row],[DISCOUNT]]*_1_54128456121462410464578910174567[[#This Row],[DISCOUNT 2]]</f>
        <v>0</v>
      </c>
      <c r="M840" s="194">
        <f>IF(OR(_1_54128456121462410464578910174567[[#This Row],[UNIT]]&gt;0,_1_54128456121462410464578910174567[[#This Row],[UNIT]]&lt;0),_1_54128456121462410464578910174567[[#This Row],[UNIT]]*_1_54128456121462410464578910174567[[#This Row],[COST]],0)</f>
        <v>0</v>
      </c>
      <c r="N840" s="194">
        <f t="shared" si="12"/>
        <v>1.3</v>
      </c>
      <c r="O840" s="198">
        <f>_1_54128456121462410464578910174567[[#This Row],[TOTAL]]*_1_54128456121462410464578910174567[[#This Row],[MARGIN]]</f>
        <v>0</v>
      </c>
      <c r="R840" s="41"/>
    </row>
    <row r="841" spans="4:18">
      <c r="D841" s="188"/>
      <c r="F841" s="168" t="s">
        <v>6202</v>
      </c>
      <c r="G841" s="193">
        <f>IF(_1_54128456121462410464578910174567[[#This Row],[Type]]&gt;0,VLOOKUP(_1_54128456121462410464578910174567[[#This Row],[Type]],Main[[#All],[TYPE]:[UNIT]],'Unit Price'!C$1,FALSE),0)</f>
        <v>0</v>
      </c>
      <c r="H841" s="197">
        <f>IF(_1_54128456121462410464578910174567[[#This Row],[Type]]&gt;0,VLOOKUP(_1_54128456121462410464578910174567[[#This Row],[Type]],Main[[#All],[TYPE]:[UNIT]],'Unit Price'!D$1,FALSE),0)</f>
        <v>0</v>
      </c>
      <c r="I841" s="194">
        <f>IF(_1_54128456121462410464578910174567[[#This Row],[Type]]&gt;0,VLOOKUP(_1_54128456121462410464578910174567[[#This Row],[Type]],Main[[#All],[TYPE]:[UNIT]],'Unit Price'!G$1,FALSE),0)</f>
        <v>0</v>
      </c>
      <c r="J841" s="194">
        <f>IF(_1_54128456121462410464578910174567[[#This Row],[Type]]&gt;0,VLOOKUP(_1_54128456121462410464578910174567[[#This Row],[Type]],Main[[#All],[TYPE]:[UNIT]],'Unit Price'!H$1,FALSE),0)</f>
        <v>0</v>
      </c>
      <c r="K841" s="194">
        <f>IF(_1_54128456121462410464578910174567[[#This Row],[Discount selection]]&gt;0,VLOOKUP(_1_54128456121462410464578910174567[[#This Row],[Discount selection]],'Discount Structure'!$A$2:$B$30,2,"false"),0)</f>
        <v>1</v>
      </c>
      <c r="L841" s="194">
        <f>_1_54128456121462410464578910174567[[#This Row],[LIST $]]*_1_54128456121462410464578910174567[[#This Row],[DISCOUNT]]*_1_54128456121462410464578910174567[[#This Row],[DISCOUNT 2]]</f>
        <v>0</v>
      </c>
      <c r="M841" s="194">
        <f>IF(OR(_1_54128456121462410464578910174567[[#This Row],[UNIT]]&gt;0,_1_54128456121462410464578910174567[[#This Row],[UNIT]]&lt;0),_1_54128456121462410464578910174567[[#This Row],[UNIT]]*_1_54128456121462410464578910174567[[#This Row],[COST]],0)</f>
        <v>0</v>
      </c>
      <c r="N841" s="194">
        <f t="shared" si="12"/>
        <v>1.3</v>
      </c>
      <c r="O841" s="198">
        <f>_1_54128456121462410464578910174567[[#This Row],[TOTAL]]*_1_54128456121462410464578910174567[[#This Row],[MARGIN]]</f>
        <v>0</v>
      </c>
      <c r="R841" s="41"/>
    </row>
    <row r="842" spans="4:18">
      <c r="D842" s="188"/>
      <c r="F842" s="168" t="s">
        <v>6202</v>
      </c>
      <c r="G842" s="193">
        <f>IF(_1_54128456121462410464578910174567[[#This Row],[Type]]&gt;0,VLOOKUP(_1_54128456121462410464578910174567[[#This Row],[Type]],Main[[#All],[TYPE]:[UNIT]],'Unit Price'!C$1,FALSE),0)</f>
        <v>0</v>
      </c>
      <c r="H842" s="197">
        <f>IF(_1_54128456121462410464578910174567[[#This Row],[Type]]&gt;0,VLOOKUP(_1_54128456121462410464578910174567[[#This Row],[Type]],Main[[#All],[TYPE]:[UNIT]],'Unit Price'!D$1,FALSE),0)</f>
        <v>0</v>
      </c>
      <c r="I842" s="194">
        <f>IF(_1_54128456121462410464578910174567[[#This Row],[Type]]&gt;0,VLOOKUP(_1_54128456121462410464578910174567[[#This Row],[Type]],Main[[#All],[TYPE]:[UNIT]],'Unit Price'!G$1,FALSE),0)</f>
        <v>0</v>
      </c>
      <c r="J842" s="194">
        <f>IF(_1_54128456121462410464578910174567[[#This Row],[Type]]&gt;0,VLOOKUP(_1_54128456121462410464578910174567[[#This Row],[Type]],Main[[#All],[TYPE]:[UNIT]],'Unit Price'!H$1,FALSE),0)</f>
        <v>0</v>
      </c>
      <c r="K842" s="194">
        <f>IF(_1_54128456121462410464578910174567[[#This Row],[Discount selection]]&gt;0,VLOOKUP(_1_54128456121462410464578910174567[[#This Row],[Discount selection]],'Discount Structure'!$A$2:$B$30,2,"false"),0)</f>
        <v>1</v>
      </c>
      <c r="L842" s="194">
        <f>_1_54128456121462410464578910174567[[#This Row],[LIST $]]*_1_54128456121462410464578910174567[[#This Row],[DISCOUNT]]*_1_54128456121462410464578910174567[[#This Row],[DISCOUNT 2]]</f>
        <v>0</v>
      </c>
      <c r="M842" s="194">
        <f>IF(OR(_1_54128456121462410464578910174567[[#This Row],[UNIT]]&gt;0,_1_54128456121462410464578910174567[[#This Row],[UNIT]]&lt;0),_1_54128456121462410464578910174567[[#This Row],[UNIT]]*_1_54128456121462410464578910174567[[#This Row],[COST]],0)</f>
        <v>0</v>
      </c>
      <c r="N842" s="194">
        <f t="shared" ref="N842:N905" si="13">$N$7</f>
        <v>1.3</v>
      </c>
      <c r="O842" s="198">
        <f>_1_54128456121462410464578910174567[[#This Row],[TOTAL]]*_1_54128456121462410464578910174567[[#This Row],[MARGIN]]</f>
        <v>0</v>
      </c>
      <c r="R842" s="41"/>
    </row>
    <row r="843" spans="4:18">
      <c r="D843" s="188"/>
      <c r="F843" s="168" t="s">
        <v>6202</v>
      </c>
      <c r="G843" s="193">
        <f>IF(_1_54128456121462410464578910174567[[#This Row],[Type]]&gt;0,VLOOKUP(_1_54128456121462410464578910174567[[#This Row],[Type]],Main[[#All],[TYPE]:[UNIT]],'Unit Price'!C$1,FALSE),0)</f>
        <v>0</v>
      </c>
      <c r="H843" s="197">
        <f>IF(_1_54128456121462410464578910174567[[#This Row],[Type]]&gt;0,VLOOKUP(_1_54128456121462410464578910174567[[#This Row],[Type]],Main[[#All],[TYPE]:[UNIT]],'Unit Price'!D$1,FALSE),0)</f>
        <v>0</v>
      </c>
      <c r="I843" s="194">
        <f>IF(_1_54128456121462410464578910174567[[#This Row],[Type]]&gt;0,VLOOKUP(_1_54128456121462410464578910174567[[#This Row],[Type]],Main[[#All],[TYPE]:[UNIT]],'Unit Price'!G$1,FALSE),0)</f>
        <v>0</v>
      </c>
      <c r="J843" s="194">
        <f>IF(_1_54128456121462410464578910174567[[#This Row],[Type]]&gt;0,VLOOKUP(_1_54128456121462410464578910174567[[#This Row],[Type]],Main[[#All],[TYPE]:[UNIT]],'Unit Price'!H$1,FALSE),0)</f>
        <v>0</v>
      </c>
      <c r="K843" s="194">
        <f>IF(_1_54128456121462410464578910174567[[#This Row],[Discount selection]]&gt;0,VLOOKUP(_1_54128456121462410464578910174567[[#This Row],[Discount selection]],'Discount Structure'!$A$2:$B$30,2,"false"),0)</f>
        <v>1</v>
      </c>
      <c r="L843" s="194">
        <f>_1_54128456121462410464578910174567[[#This Row],[LIST $]]*_1_54128456121462410464578910174567[[#This Row],[DISCOUNT]]*_1_54128456121462410464578910174567[[#This Row],[DISCOUNT 2]]</f>
        <v>0</v>
      </c>
      <c r="M843" s="194">
        <f>IF(OR(_1_54128456121462410464578910174567[[#This Row],[UNIT]]&gt;0,_1_54128456121462410464578910174567[[#This Row],[UNIT]]&lt;0),_1_54128456121462410464578910174567[[#This Row],[UNIT]]*_1_54128456121462410464578910174567[[#This Row],[COST]],0)</f>
        <v>0</v>
      </c>
      <c r="N843" s="194">
        <f t="shared" si="13"/>
        <v>1.3</v>
      </c>
      <c r="O843" s="198">
        <f>_1_54128456121462410464578910174567[[#This Row],[TOTAL]]*_1_54128456121462410464578910174567[[#This Row],[MARGIN]]</f>
        <v>0</v>
      </c>
      <c r="R843" s="41"/>
    </row>
    <row r="844" spans="4:18">
      <c r="D844" s="188"/>
      <c r="F844" s="168" t="s">
        <v>6202</v>
      </c>
      <c r="G844" s="193">
        <f>IF(_1_54128456121462410464578910174567[[#This Row],[Type]]&gt;0,VLOOKUP(_1_54128456121462410464578910174567[[#This Row],[Type]],Main[[#All],[TYPE]:[UNIT]],'Unit Price'!C$1,FALSE),0)</f>
        <v>0</v>
      </c>
      <c r="H844" s="197">
        <f>IF(_1_54128456121462410464578910174567[[#This Row],[Type]]&gt;0,VLOOKUP(_1_54128456121462410464578910174567[[#This Row],[Type]],Main[[#All],[TYPE]:[UNIT]],'Unit Price'!D$1,FALSE),0)</f>
        <v>0</v>
      </c>
      <c r="I844" s="194">
        <f>IF(_1_54128456121462410464578910174567[[#This Row],[Type]]&gt;0,VLOOKUP(_1_54128456121462410464578910174567[[#This Row],[Type]],Main[[#All],[TYPE]:[UNIT]],'Unit Price'!G$1,FALSE),0)</f>
        <v>0</v>
      </c>
      <c r="J844" s="194">
        <f>IF(_1_54128456121462410464578910174567[[#This Row],[Type]]&gt;0,VLOOKUP(_1_54128456121462410464578910174567[[#This Row],[Type]],Main[[#All],[TYPE]:[UNIT]],'Unit Price'!H$1,FALSE),0)</f>
        <v>0</v>
      </c>
      <c r="K844" s="194">
        <f>IF(_1_54128456121462410464578910174567[[#This Row],[Discount selection]]&gt;0,VLOOKUP(_1_54128456121462410464578910174567[[#This Row],[Discount selection]],'Discount Structure'!$A$2:$B$30,2,"false"),0)</f>
        <v>1</v>
      </c>
      <c r="L844" s="194">
        <f>_1_54128456121462410464578910174567[[#This Row],[LIST $]]*_1_54128456121462410464578910174567[[#This Row],[DISCOUNT]]*_1_54128456121462410464578910174567[[#This Row],[DISCOUNT 2]]</f>
        <v>0</v>
      </c>
      <c r="M844" s="194">
        <f>IF(OR(_1_54128456121462410464578910174567[[#This Row],[UNIT]]&gt;0,_1_54128456121462410464578910174567[[#This Row],[UNIT]]&lt;0),_1_54128456121462410464578910174567[[#This Row],[UNIT]]*_1_54128456121462410464578910174567[[#This Row],[COST]],0)</f>
        <v>0</v>
      </c>
      <c r="N844" s="194">
        <f t="shared" si="13"/>
        <v>1.3</v>
      </c>
      <c r="O844" s="198">
        <f>_1_54128456121462410464578910174567[[#This Row],[TOTAL]]*_1_54128456121462410464578910174567[[#This Row],[MARGIN]]</f>
        <v>0</v>
      </c>
      <c r="R844" s="41"/>
    </row>
    <row r="845" spans="4:18">
      <c r="D845" s="188"/>
      <c r="F845" s="168" t="s">
        <v>6202</v>
      </c>
      <c r="G845" s="193">
        <f>IF(_1_54128456121462410464578910174567[[#This Row],[Type]]&gt;0,VLOOKUP(_1_54128456121462410464578910174567[[#This Row],[Type]],Main[[#All],[TYPE]:[UNIT]],'Unit Price'!C$1,FALSE),0)</f>
        <v>0</v>
      </c>
      <c r="H845" s="197">
        <f>IF(_1_54128456121462410464578910174567[[#This Row],[Type]]&gt;0,VLOOKUP(_1_54128456121462410464578910174567[[#This Row],[Type]],Main[[#All],[TYPE]:[UNIT]],'Unit Price'!D$1,FALSE),0)</f>
        <v>0</v>
      </c>
      <c r="I845" s="194">
        <f>IF(_1_54128456121462410464578910174567[[#This Row],[Type]]&gt;0,VLOOKUP(_1_54128456121462410464578910174567[[#This Row],[Type]],Main[[#All],[TYPE]:[UNIT]],'Unit Price'!G$1,FALSE),0)</f>
        <v>0</v>
      </c>
      <c r="J845" s="194">
        <f>IF(_1_54128456121462410464578910174567[[#This Row],[Type]]&gt;0,VLOOKUP(_1_54128456121462410464578910174567[[#This Row],[Type]],Main[[#All],[TYPE]:[UNIT]],'Unit Price'!H$1,FALSE),0)</f>
        <v>0</v>
      </c>
      <c r="K845" s="194">
        <f>IF(_1_54128456121462410464578910174567[[#This Row],[Discount selection]]&gt;0,VLOOKUP(_1_54128456121462410464578910174567[[#This Row],[Discount selection]],'Discount Structure'!$A$2:$B$30,2,"false"),0)</f>
        <v>1</v>
      </c>
      <c r="L845" s="194">
        <f>_1_54128456121462410464578910174567[[#This Row],[LIST $]]*_1_54128456121462410464578910174567[[#This Row],[DISCOUNT]]*_1_54128456121462410464578910174567[[#This Row],[DISCOUNT 2]]</f>
        <v>0</v>
      </c>
      <c r="M845" s="194">
        <f>IF(OR(_1_54128456121462410464578910174567[[#This Row],[UNIT]]&gt;0,_1_54128456121462410464578910174567[[#This Row],[UNIT]]&lt;0),_1_54128456121462410464578910174567[[#This Row],[UNIT]]*_1_54128456121462410464578910174567[[#This Row],[COST]],0)</f>
        <v>0</v>
      </c>
      <c r="N845" s="194">
        <f t="shared" si="13"/>
        <v>1.3</v>
      </c>
      <c r="O845" s="198">
        <f>_1_54128456121462410464578910174567[[#This Row],[TOTAL]]*_1_54128456121462410464578910174567[[#This Row],[MARGIN]]</f>
        <v>0</v>
      </c>
      <c r="R845" s="41"/>
    </row>
    <row r="846" spans="4:18">
      <c r="D846" s="188"/>
      <c r="F846" s="168" t="s">
        <v>6202</v>
      </c>
      <c r="G846" s="193">
        <f>IF(_1_54128456121462410464578910174567[[#This Row],[Type]]&gt;0,VLOOKUP(_1_54128456121462410464578910174567[[#This Row],[Type]],Main[[#All],[TYPE]:[UNIT]],'Unit Price'!C$1,FALSE),0)</f>
        <v>0</v>
      </c>
      <c r="H846" s="197">
        <f>IF(_1_54128456121462410464578910174567[[#This Row],[Type]]&gt;0,VLOOKUP(_1_54128456121462410464578910174567[[#This Row],[Type]],Main[[#All],[TYPE]:[UNIT]],'Unit Price'!D$1,FALSE),0)</f>
        <v>0</v>
      </c>
      <c r="I846" s="194">
        <f>IF(_1_54128456121462410464578910174567[[#This Row],[Type]]&gt;0,VLOOKUP(_1_54128456121462410464578910174567[[#This Row],[Type]],Main[[#All],[TYPE]:[UNIT]],'Unit Price'!G$1,FALSE),0)</f>
        <v>0</v>
      </c>
      <c r="J846" s="194">
        <f>IF(_1_54128456121462410464578910174567[[#This Row],[Type]]&gt;0,VLOOKUP(_1_54128456121462410464578910174567[[#This Row],[Type]],Main[[#All],[TYPE]:[UNIT]],'Unit Price'!H$1,FALSE),0)</f>
        <v>0</v>
      </c>
      <c r="K846" s="194">
        <f>IF(_1_54128456121462410464578910174567[[#This Row],[Discount selection]]&gt;0,VLOOKUP(_1_54128456121462410464578910174567[[#This Row],[Discount selection]],'Discount Structure'!$A$2:$B$30,2,"false"),0)</f>
        <v>1</v>
      </c>
      <c r="L846" s="194">
        <f>_1_54128456121462410464578910174567[[#This Row],[LIST $]]*_1_54128456121462410464578910174567[[#This Row],[DISCOUNT]]*_1_54128456121462410464578910174567[[#This Row],[DISCOUNT 2]]</f>
        <v>0</v>
      </c>
      <c r="M846" s="194">
        <f>IF(OR(_1_54128456121462410464578910174567[[#This Row],[UNIT]]&gt;0,_1_54128456121462410464578910174567[[#This Row],[UNIT]]&lt;0),_1_54128456121462410464578910174567[[#This Row],[UNIT]]*_1_54128456121462410464578910174567[[#This Row],[COST]],0)</f>
        <v>0</v>
      </c>
      <c r="N846" s="194">
        <f t="shared" si="13"/>
        <v>1.3</v>
      </c>
      <c r="O846" s="198">
        <f>_1_54128456121462410464578910174567[[#This Row],[TOTAL]]*_1_54128456121462410464578910174567[[#This Row],[MARGIN]]</f>
        <v>0</v>
      </c>
      <c r="R846" s="41"/>
    </row>
    <row r="847" spans="4:18">
      <c r="D847" s="188"/>
      <c r="F847" s="168" t="s">
        <v>6202</v>
      </c>
      <c r="G847" s="193">
        <f>IF(_1_54128456121462410464578910174567[[#This Row],[Type]]&gt;0,VLOOKUP(_1_54128456121462410464578910174567[[#This Row],[Type]],Main[[#All],[TYPE]:[UNIT]],'Unit Price'!C$1,FALSE),0)</f>
        <v>0</v>
      </c>
      <c r="H847" s="197">
        <f>IF(_1_54128456121462410464578910174567[[#This Row],[Type]]&gt;0,VLOOKUP(_1_54128456121462410464578910174567[[#This Row],[Type]],Main[[#All],[TYPE]:[UNIT]],'Unit Price'!D$1,FALSE),0)</f>
        <v>0</v>
      </c>
      <c r="I847" s="194">
        <f>IF(_1_54128456121462410464578910174567[[#This Row],[Type]]&gt;0,VLOOKUP(_1_54128456121462410464578910174567[[#This Row],[Type]],Main[[#All],[TYPE]:[UNIT]],'Unit Price'!G$1,FALSE),0)</f>
        <v>0</v>
      </c>
      <c r="J847" s="194">
        <f>IF(_1_54128456121462410464578910174567[[#This Row],[Type]]&gt;0,VLOOKUP(_1_54128456121462410464578910174567[[#This Row],[Type]],Main[[#All],[TYPE]:[UNIT]],'Unit Price'!H$1,FALSE),0)</f>
        <v>0</v>
      </c>
      <c r="K847" s="194">
        <f>IF(_1_54128456121462410464578910174567[[#This Row],[Discount selection]]&gt;0,VLOOKUP(_1_54128456121462410464578910174567[[#This Row],[Discount selection]],'Discount Structure'!$A$2:$B$30,2,"false"),0)</f>
        <v>1</v>
      </c>
      <c r="L847" s="194">
        <f>_1_54128456121462410464578910174567[[#This Row],[LIST $]]*_1_54128456121462410464578910174567[[#This Row],[DISCOUNT]]*_1_54128456121462410464578910174567[[#This Row],[DISCOUNT 2]]</f>
        <v>0</v>
      </c>
      <c r="M847" s="194">
        <f>IF(OR(_1_54128456121462410464578910174567[[#This Row],[UNIT]]&gt;0,_1_54128456121462410464578910174567[[#This Row],[UNIT]]&lt;0),_1_54128456121462410464578910174567[[#This Row],[UNIT]]*_1_54128456121462410464578910174567[[#This Row],[COST]],0)</f>
        <v>0</v>
      </c>
      <c r="N847" s="194">
        <f t="shared" si="13"/>
        <v>1.3</v>
      </c>
      <c r="O847" s="198">
        <f>_1_54128456121462410464578910174567[[#This Row],[TOTAL]]*_1_54128456121462410464578910174567[[#This Row],[MARGIN]]</f>
        <v>0</v>
      </c>
      <c r="R847" s="41"/>
    </row>
    <row r="848" spans="4:18">
      <c r="D848" s="188"/>
      <c r="F848" s="168" t="s">
        <v>6202</v>
      </c>
      <c r="G848" s="193">
        <f>IF(_1_54128456121462410464578910174567[[#This Row],[Type]]&gt;0,VLOOKUP(_1_54128456121462410464578910174567[[#This Row],[Type]],Main[[#All],[TYPE]:[UNIT]],'Unit Price'!C$1,FALSE),0)</f>
        <v>0</v>
      </c>
      <c r="H848" s="197">
        <f>IF(_1_54128456121462410464578910174567[[#This Row],[Type]]&gt;0,VLOOKUP(_1_54128456121462410464578910174567[[#This Row],[Type]],Main[[#All],[TYPE]:[UNIT]],'Unit Price'!D$1,FALSE),0)</f>
        <v>0</v>
      </c>
      <c r="I848" s="194">
        <f>IF(_1_54128456121462410464578910174567[[#This Row],[Type]]&gt;0,VLOOKUP(_1_54128456121462410464578910174567[[#This Row],[Type]],Main[[#All],[TYPE]:[UNIT]],'Unit Price'!G$1,FALSE),0)</f>
        <v>0</v>
      </c>
      <c r="J848" s="194">
        <f>IF(_1_54128456121462410464578910174567[[#This Row],[Type]]&gt;0,VLOOKUP(_1_54128456121462410464578910174567[[#This Row],[Type]],Main[[#All],[TYPE]:[UNIT]],'Unit Price'!H$1,FALSE),0)</f>
        <v>0</v>
      </c>
      <c r="K848" s="194">
        <f>IF(_1_54128456121462410464578910174567[[#This Row],[Discount selection]]&gt;0,VLOOKUP(_1_54128456121462410464578910174567[[#This Row],[Discount selection]],'Discount Structure'!$A$2:$B$30,2,"false"),0)</f>
        <v>1</v>
      </c>
      <c r="L848" s="194">
        <f>_1_54128456121462410464578910174567[[#This Row],[LIST $]]*_1_54128456121462410464578910174567[[#This Row],[DISCOUNT]]*_1_54128456121462410464578910174567[[#This Row],[DISCOUNT 2]]</f>
        <v>0</v>
      </c>
      <c r="M848" s="194">
        <f>IF(OR(_1_54128456121462410464578910174567[[#This Row],[UNIT]]&gt;0,_1_54128456121462410464578910174567[[#This Row],[UNIT]]&lt;0),_1_54128456121462410464578910174567[[#This Row],[UNIT]]*_1_54128456121462410464578910174567[[#This Row],[COST]],0)</f>
        <v>0</v>
      </c>
      <c r="N848" s="194">
        <f t="shared" si="13"/>
        <v>1.3</v>
      </c>
      <c r="O848" s="198">
        <f>_1_54128456121462410464578910174567[[#This Row],[TOTAL]]*_1_54128456121462410464578910174567[[#This Row],[MARGIN]]</f>
        <v>0</v>
      </c>
      <c r="R848" s="41"/>
    </row>
    <row r="849" spans="4:18">
      <c r="D849" s="188"/>
      <c r="F849" s="168" t="s">
        <v>6202</v>
      </c>
      <c r="G849" s="193">
        <f>IF(_1_54128456121462410464578910174567[[#This Row],[Type]]&gt;0,VLOOKUP(_1_54128456121462410464578910174567[[#This Row],[Type]],Main[[#All],[TYPE]:[UNIT]],'Unit Price'!C$1,FALSE),0)</f>
        <v>0</v>
      </c>
      <c r="H849" s="197">
        <f>IF(_1_54128456121462410464578910174567[[#This Row],[Type]]&gt;0,VLOOKUP(_1_54128456121462410464578910174567[[#This Row],[Type]],Main[[#All],[TYPE]:[UNIT]],'Unit Price'!D$1,FALSE),0)</f>
        <v>0</v>
      </c>
      <c r="I849" s="194">
        <f>IF(_1_54128456121462410464578910174567[[#This Row],[Type]]&gt;0,VLOOKUP(_1_54128456121462410464578910174567[[#This Row],[Type]],Main[[#All],[TYPE]:[UNIT]],'Unit Price'!G$1,FALSE),0)</f>
        <v>0</v>
      </c>
      <c r="J849" s="194">
        <f>IF(_1_54128456121462410464578910174567[[#This Row],[Type]]&gt;0,VLOOKUP(_1_54128456121462410464578910174567[[#This Row],[Type]],Main[[#All],[TYPE]:[UNIT]],'Unit Price'!H$1,FALSE),0)</f>
        <v>0</v>
      </c>
      <c r="K849" s="194">
        <f>IF(_1_54128456121462410464578910174567[[#This Row],[Discount selection]]&gt;0,VLOOKUP(_1_54128456121462410464578910174567[[#This Row],[Discount selection]],'Discount Structure'!$A$2:$B$30,2,"false"),0)</f>
        <v>1</v>
      </c>
      <c r="L849" s="194">
        <f>_1_54128456121462410464578910174567[[#This Row],[LIST $]]*_1_54128456121462410464578910174567[[#This Row],[DISCOUNT]]*_1_54128456121462410464578910174567[[#This Row],[DISCOUNT 2]]</f>
        <v>0</v>
      </c>
      <c r="M849" s="194">
        <f>IF(OR(_1_54128456121462410464578910174567[[#This Row],[UNIT]]&gt;0,_1_54128456121462410464578910174567[[#This Row],[UNIT]]&lt;0),_1_54128456121462410464578910174567[[#This Row],[UNIT]]*_1_54128456121462410464578910174567[[#This Row],[COST]],0)</f>
        <v>0</v>
      </c>
      <c r="N849" s="194">
        <f t="shared" si="13"/>
        <v>1.3</v>
      </c>
      <c r="O849" s="198">
        <f>_1_54128456121462410464578910174567[[#This Row],[TOTAL]]*_1_54128456121462410464578910174567[[#This Row],[MARGIN]]</f>
        <v>0</v>
      </c>
      <c r="R849" s="41"/>
    </row>
    <row r="850" spans="4:18">
      <c r="D850" s="188"/>
      <c r="F850" s="168" t="s">
        <v>6202</v>
      </c>
      <c r="G850" s="193">
        <f>IF(_1_54128456121462410464578910174567[[#This Row],[Type]]&gt;0,VLOOKUP(_1_54128456121462410464578910174567[[#This Row],[Type]],Main[[#All],[TYPE]:[UNIT]],'Unit Price'!C$1,FALSE),0)</f>
        <v>0</v>
      </c>
      <c r="H850" s="197">
        <f>IF(_1_54128456121462410464578910174567[[#This Row],[Type]]&gt;0,VLOOKUP(_1_54128456121462410464578910174567[[#This Row],[Type]],Main[[#All],[TYPE]:[UNIT]],'Unit Price'!D$1,FALSE),0)</f>
        <v>0</v>
      </c>
      <c r="I850" s="194">
        <f>IF(_1_54128456121462410464578910174567[[#This Row],[Type]]&gt;0,VLOOKUP(_1_54128456121462410464578910174567[[#This Row],[Type]],Main[[#All],[TYPE]:[UNIT]],'Unit Price'!G$1,FALSE),0)</f>
        <v>0</v>
      </c>
      <c r="J850" s="194">
        <f>IF(_1_54128456121462410464578910174567[[#This Row],[Type]]&gt;0,VLOOKUP(_1_54128456121462410464578910174567[[#This Row],[Type]],Main[[#All],[TYPE]:[UNIT]],'Unit Price'!H$1,FALSE),0)</f>
        <v>0</v>
      </c>
      <c r="K850" s="194">
        <f>IF(_1_54128456121462410464578910174567[[#This Row],[Discount selection]]&gt;0,VLOOKUP(_1_54128456121462410464578910174567[[#This Row],[Discount selection]],'Discount Structure'!$A$2:$B$30,2,"false"),0)</f>
        <v>1</v>
      </c>
      <c r="L850" s="194">
        <f>_1_54128456121462410464578910174567[[#This Row],[LIST $]]*_1_54128456121462410464578910174567[[#This Row],[DISCOUNT]]*_1_54128456121462410464578910174567[[#This Row],[DISCOUNT 2]]</f>
        <v>0</v>
      </c>
      <c r="M850" s="194">
        <f>IF(OR(_1_54128456121462410464578910174567[[#This Row],[UNIT]]&gt;0,_1_54128456121462410464578910174567[[#This Row],[UNIT]]&lt;0),_1_54128456121462410464578910174567[[#This Row],[UNIT]]*_1_54128456121462410464578910174567[[#This Row],[COST]],0)</f>
        <v>0</v>
      </c>
      <c r="N850" s="194">
        <f t="shared" si="13"/>
        <v>1.3</v>
      </c>
      <c r="O850" s="198">
        <f>_1_54128456121462410464578910174567[[#This Row],[TOTAL]]*_1_54128456121462410464578910174567[[#This Row],[MARGIN]]</f>
        <v>0</v>
      </c>
      <c r="R850" s="41"/>
    </row>
    <row r="851" spans="4:18">
      <c r="D851" s="188"/>
      <c r="F851" s="168" t="s">
        <v>6202</v>
      </c>
      <c r="G851" s="193">
        <f>IF(_1_54128456121462410464578910174567[[#This Row],[Type]]&gt;0,VLOOKUP(_1_54128456121462410464578910174567[[#This Row],[Type]],Main[[#All],[TYPE]:[UNIT]],'Unit Price'!C$1,FALSE),0)</f>
        <v>0</v>
      </c>
      <c r="H851" s="197">
        <f>IF(_1_54128456121462410464578910174567[[#This Row],[Type]]&gt;0,VLOOKUP(_1_54128456121462410464578910174567[[#This Row],[Type]],Main[[#All],[TYPE]:[UNIT]],'Unit Price'!D$1,FALSE),0)</f>
        <v>0</v>
      </c>
      <c r="I851" s="194">
        <f>IF(_1_54128456121462410464578910174567[[#This Row],[Type]]&gt;0,VLOOKUP(_1_54128456121462410464578910174567[[#This Row],[Type]],Main[[#All],[TYPE]:[UNIT]],'Unit Price'!G$1,FALSE),0)</f>
        <v>0</v>
      </c>
      <c r="J851" s="194">
        <f>IF(_1_54128456121462410464578910174567[[#This Row],[Type]]&gt;0,VLOOKUP(_1_54128456121462410464578910174567[[#This Row],[Type]],Main[[#All],[TYPE]:[UNIT]],'Unit Price'!H$1,FALSE),0)</f>
        <v>0</v>
      </c>
      <c r="K851" s="194">
        <f>IF(_1_54128456121462410464578910174567[[#This Row],[Discount selection]]&gt;0,VLOOKUP(_1_54128456121462410464578910174567[[#This Row],[Discount selection]],'Discount Structure'!$A$2:$B$30,2,"false"),0)</f>
        <v>1</v>
      </c>
      <c r="L851" s="194">
        <f>_1_54128456121462410464578910174567[[#This Row],[LIST $]]*_1_54128456121462410464578910174567[[#This Row],[DISCOUNT]]*_1_54128456121462410464578910174567[[#This Row],[DISCOUNT 2]]</f>
        <v>0</v>
      </c>
      <c r="M851" s="194">
        <f>IF(OR(_1_54128456121462410464578910174567[[#This Row],[UNIT]]&gt;0,_1_54128456121462410464578910174567[[#This Row],[UNIT]]&lt;0),_1_54128456121462410464578910174567[[#This Row],[UNIT]]*_1_54128456121462410464578910174567[[#This Row],[COST]],0)</f>
        <v>0</v>
      </c>
      <c r="N851" s="194">
        <f t="shared" si="13"/>
        <v>1.3</v>
      </c>
      <c r="O851" s="198">
        <f>_1_54128456121462410464578910174567[[#This Row],[TOTAL]]*_1_54128456121462410464578910174567[[#This Row],[MARGIN]]</f>
        <v>0</v>
      </c>
      <c r="R851" s="41"/>
    </row>
    <row r="852" spans="4:18">
      <c r="D852" s="188"/>
      <c r="F852" s="168" t="s">
        <v>6202</v>
      </c>
      <c r="G852" s="193">
        <f>IF(_1_54128456121462410464578910174567[[#This Row],[Type]]&gt;0,VLOOKUP(_1_54128456121462410464578910174567[[#This Row],[Type]],Main[[#All],[TYPE]:[UNIT]],'Unit Price'!C$1,FALSE),0)</f>
        <v>0</v>
      </c>
      <c r="H852" s="197">
        <f>IF(_1_54128456121462410464578910174567[[#This Row],[Type]]&gt;0,VLOOKUP(_1_54128456121462410464578910174567[[#This Row],[Type]],Main[[#All],[TYPE]:[UNIT]],'Unit Price'!D$1,FALSE),0)</f>
        <v>0</v>
      </c>
      <c r="I852" s="194">
        <f>IF(_1_54128456121462410464578910174567[[#This Row],[Type]]&gt;0,VLOOKUP(_1_54128456121462410464578910174567[[#This Row],[Type]],Main[[#All],[TYPE]:[UNIT]],'Unit Price'!G$1,FALSE),0)</f>
        <v>0</v>
      </c>
      <c r="J852" s="194">
        <f>IF(_1_54128456121462410464578910174567[[#This Row],[Type]]&gt;0,VLOOKUP(_1_54128456121462410464578910174567[[#This Row],[Type]],Main[[#All],[TYPE]:[UNIT]],'Unit Price'!H$1,FALSE),0)</f>
        <v>0</v>
      </c>
      <c r="K852" s="194">
        <f>IF(_1_54128456121462410464578910174567[[#This Row],[Discount selection]]&gt;0,VLOOKUP(_1_54128456121462410464578910174567[[#This Row],[Discount selection]],'Discount Structure'!$A$2:$B$30,2,"false"),0)</f>
        <v>1</v>
      </c>
      <c r="L852" s="194">
        <f>_1_54128456121462410464578910174567[[#This Row],[LIST $]]*_1_54128456121462410464578910174567[[#This Row],[DISCOUNT]]*_1_54128456121462410464578910174567[[#This Row],[DISCOUNT 2]]</f>
        <v>0</v>
      </c>
      <c r="M852" s="194">
        <f>IF(OR(_1_54128456121462410464578910174567[[#This Row],[UNIT]]&gt;0,_1_54128456121462410464578910174567[[#This Row],[UNIT]]&lt;0),_1_54128456121462410464578910174567[[#This Row],[UNIT]]*_1_54128456121462410464578910174567[[#This Row],[COST]],0)</f>
        <v>0</v>
      </c>
      <c r="N852" s="194">
        <f t="shared" si="13"/>
        <v>1.3</v>
      </c>
      <c r="O852" s="198">
        <f>_1_54128456121462410464578910174567[[#This Row],[TOTAL]]*_1_54128456121462410464578910174567[[#This Row],[MARGIN]]</f>
        <v>0</v>
      </c>
      <c r="R852" s="41"/>
    </row>
    <row r="853" spans="4:18">
      <c r="D853" s="188"/>
      <c r="F853" s="168" t="s">
        <v>6202</v>
      </c>
      <c r="G853" s="193">
        <f>IF(_1_54128456121462410464578910174567[[#This Row],[Type]]&gt;0,VLOOKUP(_1_54128456121462410464578910174567[[#This Row],[Type]],Main[[#All],[TYPE]:[UNIT]],'Unit Price'!C$1,FALSE),0)</f>
        <v>0</v>
      </c>
      <c r="H853" s="197">
        <f>IF(_1_54128456121462410464578910174567[[#This Row],[Type]]&gt;0,VLOOKUP(_1_54128456121462410464578910174567[[#This Row],[Type]],Main[[#All],[TYPE]:[UNIT]],'Unit Price'!D$1,FALSE),0)</f>
        <v>0</v>
      </c>
      <c r="I853" s="194">
        <f>IF(_1_54128456121462410464578910174567[[#This Row],[Type]]&gt;0,VLOOKUP(_1_54128456121462410464578910174567[[#This Row],[Type]],Main[[#All],[TYPE]:[UNIT]],'Unit Price'!G$1,FALSE),0)</f>
        <v>0</v>
      </c>
      <c r="J853" s="194">
        <f>IF(_1_54128456121462410464578910174567[[#This Row],[Type]]&gt;0,VLOOKUP(_1_54128456121462410464578910174567[[#This Row],[Type]],Main[[#All],[TYPE]:[UNIT]],'Unit Price'!H$1,FALSE),0)</f>
        <v>0</v>
      </c>
      <c r="K853" s="194">
        <f>IF(_1_54128456121462410464578910174567[[#This Row],[Discount selection]]&gt;0,VLOOKUP(_1_54128456121462410464578910174567[[#This Row],[Discount selection]],'Discount Structure'!$A$2:$B$30,2,"false"),0)</f>
        <v>1</v>
      </c>
      <c r="L853" s="194">
        <f>_1_54128456121462410464578910174567[[#This Row],[LIST $]]*_1_54128456121462410464578910174567[[#This Row],[DISCOUNT]]*_1_54128456121462410464578910174567[[#This Row],[DISCOUNT 2]]</f>
        <v>0</v>
      </c>
      <c r="M853" s="194">
        <f>IF(OR(_1_54128456121462410464578910174567[[#This Row],[UNIT]]&gt;0,_1_54128456121462410464578910174567[[#This Row],[UNIT]]&lt;0),_1_54128456121462410464578910174567[[#This Row],[UNIT]]*_1_54128456121462410464578910174567[[#This Row],[COST]],0)</f>
        <v>0</v>
      </c>
      <c r="N853" s="194">
        <f t="shared" si="13"/>
        <v>1.3</v>
      </c>
      <c r="O853" s="198">
        <f>_1_54128456121462410464578910174567[[#This Row],[TOTAL]]*_1_54128456121462410464578910174567[[#This Row],[MARGIN]]</f>
        <v>0</v>
      </c>
      <c r="R853" s="41"/>
    </row>
    <row r="854" spans="4:18">
      <c r="D854" s="188"/>
      <c r="F854" s="168" t="s">
        <v>6202</v>
      </c>
      <c r="G854" s="193">
        <f>IF(_1_54128456121462410464578910174567[[#This Row],[Type]]&gt;0,VLOOKUP(_1_54128456121462410464578910174567[[#This Row],[Type]],Main[[#All],[TYPE]:[UNIT]],'Unit Price'!C$1,FALSE),0)</f>
        <v>0</v>
      </c>
      <c r="H854" s="197">
        <f>IF(_1_54128456121462410464578910174567[[#This Row],[Type]]&gt;0,VLOOKUP(_1_54128456121462410464578910174567[[#This Row],[Type]],Main[[#All],[TYPE]:[UNIT]],'Unit Price'!D$1,FALSE),0)</f>
        <v>0</v>
      </c>
      <c r="I854" s="194">
        <f>IF(_1_54128456121462410464578910174567[[#This Row],[Type]]&gt;0,VLOOKUP(_1_54128456121462410464578910174567[[#This Row],[Type]],Main[[#All],[TYPE]:[UNIT]],'Unit Price'!G$1,FALSE),0)</f>
        <v>0</v>
      </c>
      <c r="J854" s="194">
        <f>IF(_1_54128456121462410464578910174567[[#This Row],[Type]]&gt;0,VLOOKUP(_1_54128456121462410464578910174567[[#This Row],[Type]],Main[[#All],[TYPE]:[UNIT]],'Unit Price'!H$1,FALSE),0)</f>
        <v>0</v>
      </c>
      <c r="K854" s="194">
        <f>IF(_1_54128456121462410464578910174567[[#This Row],[Discount selection]]&gt;0,VLOOKUP(_1_54128456121462410464578910174567[[#This Row],[Discount selection]],'Discount Structure'!$A$2:$B$30,2,"false"),0)</f>
        <v>1</v>
      </c>
      <c r="L854" s="194">
        <f>_1_54128456121462410464578910174567[[#This Row],[LIST $]]*_1_54128456121462410464578910174567[[#This Row],[DISCOUNT]]*_1_54128456121462410464578910174567[[#This Row],[DISCOUNT 2]]</f>
        <v>0</v>
      </c>
      <c r="M854" s="194">
        <f>IF(OR(_1_54128456121462410464578910174567[[#This Row],[UNIT]]&gt;0,_1_54128456121462410464578910174567[[#This Row],[UNIT]]&lt;0),_1_54128456121462410464578910174567[[#This Row],[UNIT]]*_1_54128456121462410464578910174567[[#This Row],[COST]],0)</f>
        <v>0</v>
      </c>
      <c r="N854" s="194">
        <f t="shared" si="13"/>
        <v>1.3</v>
      </c>
      <c r="O854" s="198">
        <f>_1_54128456121462410464578910174567[[#This Row],[TOTAL]]*_1_54128456121462410464578910174567[[#This Row],[MARGIN]]</f>
        <v>0</v>
      </c>
      <c r="R854" s="41"/>
    </row>
    <row r="855" spans="4:18">
      <c r="D855" s="188"/>
      <c r="F855" s="168" t="s">
        <v>6202</v>
      </c>
      <c r="G855" s="193">
        <f>IF(_1_54128456121462410464578910174567[[#This Row],[Type]]&gt;0,VLOOKUP(_1_54128456121462410464578910174567[[#This Row],[Type]],Main[[#All],[TYPE]:[UNIT]],'Unit Price'!C$1,FALSE),0)</f>
        <v>0</v>
      </c>
      <c r="H855" s="197">
        <f>IF(_1_54128456121462410464578910174567[[#This Row],[Type]]&gt;0,VLOOKUP(_1_54128456121462410464578910174567[[#This Row],[Type]],Main[[#All],[TYPE]:[UNIT]],'Unit Price'!D$1,FALSE),0)</f>
        <v>0</v>
      </c>
      <c r="I855" s="194">
        <f>IF(_1_54128456121462410464578910174567[[#This Row],[Type]]&gt;0,VLOOKUP(_1_54128456121462410464578910174567[[#This Row],[Type]],Main[[#All],[TYPE]:[UNIT]],'Unit Price'!G$1,FALSE),0)</f>
        <v>0</v>
      </c>
      <c r="J855" s="194">
        <f>IF(_1_54128456121462410464578910174567[[#This Row],[Type]]&gt;0,VLOOKUP(_1_54128456121462410464578910174567[[#This Row],[Type]],Main[[#All],[TYPE]:[UNIT]],'Unit Price'!H$1,FALSE),0)</f>
        <v>0</v>
      </c>
      <c r="K855" s="194">
        <f>IF(_1_54128456121462410464578910174567[[#This Row],[Discount selection]]&gt;0,VLOOKUP(_1_54128456121462410464578910174567[[#This Row],[Discount selection]],'Discount Structure'!$A$2:$B$30,2,"false"),0)</f>
        <v>1</v>
      </c>
      <c r="L855" s="194">
        <f>_1_54128456121462410464578910174567[[#This Row],[LIST $]]*_1_54128456121462410464578910174567[[#This Row],[DISCOUNT]]*_1_54128456121462410464578910174567[[#This Row],[DISCOUNT 2]]</f>
        <v>0</v>
      </c>
      <c r="M855" s="194">
        <f>IF(OR(_1_54128456121462410464578910174567[[#This Row],[UNIT]]&gt;0,_1_54128456121462410464578910174567[[#This Row],[UNIT]]&lt;0),_1_54128456121462410464578910174567[[#This Row],[UNIT]]*_1_54128456121462410464578910174567[[#This Row],[COST]],0)</f>
        <v>0</v>
      </c>
      <c r="N855" s="194">
        <f t="shared" si="13"/>
        <v>1.3</v>
      </c>
      <c r="O855" s="198">
        <f>_1_54128456121462410464578910174567[[#This Row],[TOTAL]]*_1_54128456121462410464578910174567[[#This Row],[MARGIN]]</f>
        <v>0</v>
      </c>
      <c r="R855" s="41"/>
    </row>
    <row r="856" spans="4:18">
      <c r="D856" s="188"/>
      <c r="F856" s="168" t="s">
        <v>6202</v>
      </c>
      <c r="G856" s="193">
        <f>IF(_1_54128456121462410464578910174567[[#This Row],[Type]]&gt;0,VLOOKUP(_1_54128456121462410464578910174567[[#This Row],[Type]],Main[[#All],[TYPE]:[UNIT]],'Unit Price'!C$1,FALSE),0)</f>
        <v>0</v>
      </c>
      <c r="H856" s="197">
        <f>IF(_1_54128456121462410464578910174567[[#This Row],[Type]]&gt;0,VLOOKUP(_1_54128456121462410464578910174567[[#This Row],[Type]],Main[[#All],[TYPE]:[UNIT]],'Unit Price'!D$1,FALSE),0)</f>
        <v>0</v>
      </c>
      <c r="I856" s="194">
        <f>IF(_1_54128456121462410464578910174567[[#This Row],[Type]]&gt;0,VLOOKUP(_1_54128456121462410464578910174567[[#This Row],[Type]],Main[[#All],[TYPE]:[UNIT]],'Unit Price'!G$1,FALSE),0)</f>
        <v>0</v>
      </c>
      <c r="J856" s="194">
        <f>IF(_1_54128456121462410464578910174567[[#This Row],[Type]]&gt;0,VLOOKUP(_1_54128456121462410464578910174567[[#This Row],[Type]],Main[[#All],[TYPE]:[UNIT]],'Unit Price'!H$1,FALSE),0)</f>
        <v>0</v>
      </c>
      <c r="K856" s="194">
        <f>IF(_1_54128456121462410464578910174567[[#This Row],[Discount selection]]&gt;0,VLOOKUP(_1_54128456121462410464578910174567[[#This Row],[Discount selection]],'Discount Structure'!$A$2:$B$30,2,"false"),0)</f>
        <v>1</v>
      </c>
      <c r="L856" s="194">
        <f>_1_54128456121462410464578910174567[[#This Row],[LIST $]]*_1_54128456121462410464578910174567[[#This Row],[DISCOUNT]]*_1_54128456121462410464578910174567[[#This Row],[DISCOUNT 2]]</f>
        <v>0</v>
      </c>
      <c r="M856" s="194">
        <f>IF(OR(_1_54128456121462410464578910174567[[#This Row],[UNIT]]&gt;0,_1_54128456121462410464578910174567[[#This Row],[UNIT]]&lt;0),_1_54128456121462410464578910174567[[#This Row],[UNIT]]*_1_54128456121462410464578910174567[[#This Row],[COST]],0)</f>
        <v>0</v>
      </c>
      <c r="N856" s="194">
        <f t="shared" si="13"/>
        <v>1.3</v>
      </c>
      <c r="O856" s="198">
        <f>_1_54128456121462410464578910174567[[#This Row],[TOTAL]]*_1_54128456121462410464578910174567[[#This Row],[MARGIN]]</f>
        <v>0</v>
      </c>
      <c r="R856" s="41"/>
    </row>
    <row r="857" spans="4:18">
      <c r="D857" s="188"/>
      <c r="F857" s="168" t="s">
        <v>6202</v>
      </c>
      <c r="G857" s="193">
        <f>IF(_1_54128456121462410464578910174567[[#This Row],[Type]]&gt;0,VLOOKUP(_1_54128456121462410464578910174567[[#This Row],[Type]],Main[[#All],[TYPE]:[UNIT]],'Unit Price'!C$1,FALSE),0)</f>
        <v>0</v>
      </c>
      <c r="H857" s="197">
        <f>IF(_1_54128456121462410464578910174567[[#This Row],[Type]]&gt;0,VLOOKUP(_1_54128456121462410464578910174567[[#This Row],[Type]],Main[[#All],[TYPE]:[UNIT]],'Unit Price'!D$1,FALSE),0)</f>
        <v>0</v>
      </c>
      <c r="I857" s="194">
        <f>IF(_1_54128456121462410464578910174567[[#This Row],[Type]]&gt;0,VLOOKUP(_1_54128456121462410464578910174567[[#This Row],[Type]],Main[[#All],[TYPE]:[UNIT]],'Unit Price'!G$1,FALSE),0)</f>
        <v>0</v>
      </c>
      <c r="J857" s="194">
        <f>IF(_1_54128456121462410464578910174567[[#This Row],[Type]]&gt;0,VLOOKUP(_1_54128456121462410464578910174567[[#This Row],[Type]],Main[[#All],[TYPE]:[UNIT]],'Unit Price'!H$1,FALSE),0)</f>
        <v>0</v>
      </c>
      <c r="K857" s="194">
        <f>IF(_1_54128456121462410464578910174567[[#This Row],[Discount selection]]&gt;0,VLOOKUP(_1_54128456121462410464578910174567[[#This Row],[Discount selection]],'Discount Structure'!$A$2:$B$30,2,"false"),0)</f>
        <v>1</v>
      </c>
      <c r="L857" s="194">
        <f>_1_54128456121462410464578910174567[[#This Row],[LIST $]]*_1_54128456121462410464578910174567[[#This Row],[DISCOUNT]]*_1_54128456121462410464578910174567[[#This Row],[DISCOUNT 2]]</f>
        <v>0</v>
      </c>
      <c r="M857" s="194">
        <f>IF(OR(_1_54128456121462410464578910174567[[#This Row],[UNIT]]&gt;0,_1_54128456121462410464578910174567[[#This Row],[UNIT]]&lt;0),_1_54128456121462410464578910174567[[#This Row],[UNIT]]*_1_54128456121462410464578910174567[[#This Row],[COST]],0)</f>
        <v>0</v>
      </c>
      <c r="N857" s="194">
        <f t="shared" si="13"/>
        <v>1.3</v>
      </c>
      <c r="O857" s="198">
        <f>_1_54128456121462410464578910174567[[#This Row],[TOTAL]]*_1_54128456121462410464578910174567[[#This Row],[MARGIN]]</f>
        <v>0</v>
      </c>
      <c r="R857" s="41"/>
    </row>
    <row r="858" spans="4:18">
      <c r="D858" s="188"/>
      <c r="F858" s="168" t="s">
        <v>6202</v>
      </c>
      <c r="G858" s="193">
        <f>IF(_1_54128456121462410464578910174567[[#This Row],[Type]]&gt;0,VLOOKUP(_1_54128456121462410464578910174567[[#This Row],[Type]],Main[[#All],[TYPE]:[UNIT]],'Unit Price'!C$1,FALSE),0)</f>
        <v>0</v>
      </c>
      <c r="H858" s="197">
        <f>IF(_1_54128456121462410464578910174567[[#This Row],[Type]]&gt;0,VLOOKUP(_1_54128456121462410464578910174567[[#This Row],[Type]],Main[[#All],[TYPE]:[UNIT]],'Unit Price'!D$1,FALSE),0)</f>
        <v>0</v>
      </c>
      <c r="I858" s="194">
        <f>IF(_1_54128456121462410464578910174567[[#This Row],[Type]]&gt;0,VLOOKUP(_1_54128456121462410464578910174567[[#This Row],[Type]],Main[[#All],[TYPE]:[UNIT]],'Unit Price'!G$1,FALSE),0)</f>
        <v>0</v>
      </c>
      <c r="J858" s="194">
        <f>IF(_1_54128456121462410464578910174567[[#This Row],[Type]]&gt;0,VLOOKUP(_1_54128456121462410464578910174567[[#This Row],[Type]],Main[[#All],[TYPE]:[UNIT]],'Unit Price'!H$1,FALSE),0)</f>
        <v>0</v>
      </c>
      <c r="K858" s="194">
        <f>IF(_1_54128456121462410464578910174567[[#This Row],[Discount selection]]&gt;0,VLOOKUP(_1_54128456121462410464578910174567[[#This Row],[Discount selection]],'Discount Structure'!$A$2:$B$30,2,"false"),0)</f>
        <v>1</v>
      </c>
      <c r="L858" s="194">
        <f>_1_54128456121462410464578910174567[[#This Row],[LIST $]]*_1_54128456121462410464578910174567[[#This Row],[DISCOUNT]]*_1_54128456121462410464578910174567[[#This Row],[DISCOUNT 2]]</f>
        <v>0</v>
      </c>
      <c r="M858" s="194">
        <f>IF(OR(_1_54128456121462410464578910174567[[#This Row],[UNIT]]&gt;0,_1_54128456121462410464578910174567[[#This Row],[UNIT]]&lt;0),_1_54128456121462410464578910174567[[#This Row],[UNIT]]*_1_54128456121462410464578910174567[[#This Row],[COST]],0)</f>
        <v>0</v>
      </c>
      <c r="N858" s="194">
        <f t="shared" si="13"/>
        <v>1.3</v>
      </c>
      <c r="O858" s="198">
        <f>_1_54128456121462410464578910174567[[#This Row],[TOTAL]]*_1_54128456121462410464578910174567[[#This Row],[MARGIN]]</f>
        <v>0</v>
      </c>
      <c r="R858" s="41"/>
    </row>
    <row r="859" spans="4:18">
      <c r="D859" s="188"/>
      <c r="F859" s="168" t="s">
        <v>6202</v>
      </c>
      <c r="G859" s="193">
        <f>IF(_1_54128456121462410464578910174567[[#This Row],[Type]]&gt;0,VLOOKUP(_1_54128456121462410464578910174567[[#This Row],[Type]],Main[[#All],[TYPE]:[UNIT]],'Unit Price'!C$1,FALSE),0)</f>
        <v>0</v>
      </c>
      <c r="H859" s="197">
        <f>IF(_1_54128456121462410464578910174567[[#This Row],[Type]]&gt;0,VLOOKUP(_1_54128456121462410464578910174567[[#This Row],[Type]],Main[[#All],[TYPE]:[UNIT]],'Unit Price'!D$1,FALSE),0)</f>
        <v>0</v>
      </c>
      <c r="I859" s="194">
        <f>IF(_1_54128456121462410464578910174567[[#This Row],[Type]]&gt;0,VLOOKUP(_1_54128456121462410464578910174567[[#This Row],[Type]],Main[[#All],[TYPE]:[UNIT]],'Unit Price'!G$1,FALSE),0)</f>
        <v>0</v>
      </c>
      <c r="J859" s="194">
        <f>IF(_1_54128456121462410464578910174567[[#This Row],[Type]]&gt;0,VLOOKUP(_1_54128456121462410464578910174567[[#This Row],[Type]],Main[[#All],[TYPE]:[UNIT]],'Unit Price'!H$1,FALSE),0)</f>
        <v>0</v>
      </c>
      <c r="K859" s="194">
        <f>IF(_1_54128456121462410464578910174567[[#This Row],[Discount selection]]&gt;0,VLOOKUP(_1_54128456121462410464578910174567[[#This Row],[Discount selection]],'Discount Structure'!$A$2:$B$30,2,"false"),0)</f>
        <v>1</v>
      </c>
      <c r="L859" s="194">
        <f>_1_54128456121462410464578910174567[[#This Row],[LIST $]]*_1_54128456121462410464578910174567[[#This Row],[DISCOUNT]]*_1_54128456121462410464578910174567[[#This Row],[DISCOUNT 2]]</f>
        <v>0</v>
      </c>
      <c r="M859" s="194">
        <f>IF(OR(_1_54128456121462410464578910174567[[#This Row],[UNIT]]&gt;0,_1_54128456121462410464578910174567[[#This Row],[UNIT]]&lt;0),_1_54128456121462410464578910174567[[#This Row],[UNIT]]*_1_54128456121462410464578910174567[[#This Row],[COST]],0)</f>
        <v>0</v>
      </c>
      <c r="N859" s="194">
        <f t="shared" si="13"/>
        <v>1.3</v>
      </c>
      <c r="O859" s="198">
        <f>_1_54128456121462410464578910174567[[#This Row],[TOTAL]]*_1_54128456121462410464578910174567[[#This Row],[MARGIN]]</f>
        <v>0</v>
      </c>
      <c r="R859" s="41"/>
    </row>
    <row r="860" spans="4:18">
      <c r="D860" s="188"/>
      <c r="F860" s="168" t="s">
        <v>6202</v>
      </c>
      <c r="G860" s="193">
        <f>IF(_1_54128456121462410464578910174567[[#This Row],[Type]]&gt;0,VLOOKUP(_1_54128456121462410464578910174567[[#This Row],[Type]],Main[[#All],[TYPE]:[UNIT]],'Unit Price'!C$1,FALSE),0)</f>
        <v>0</v>
      </c>
      <c r="H860" s="197">
        <f>IF(_1_54128456121462410464578910174567[[#This Row],[Type]]&gt;0,VLOOKUP(_1_54128456121462410464578910174567[[#This Row],[Type]],Main[[#All],[TYPE]:[UNIT]],'Unit Price'!D$1,FALSE),0)</f>
        <v>0</v>
      </c>
      <c r="I860" s="194">
        <f>IF(_1_54128456121462410464578910174567[[#This Row],[Type]]&gt;0,VLOOKUP(_1_54128456121462410464578910174567[[#This Row],[Type]],Main[[#All],[TYPE]:[UNIT]],'Unit Price'!G$1,FALSE),0)</f>
        <v>0</v>
      </c>
      <c r="J860" s="194">
        <f>IF(_1_54128456121462410464578910174567[[#This Row],[Type]]&gt;0,VLOOKUP(_1_54128456121462410464578910174567[[#This Row],[Type]],Main[[#All],[TYPE]:[UNIT]],'Unit Price'!H$1,FALSE),0)</f>
        <v>0</v>
      </c>
      <c r="K860" s="194">
        <f>IF(_1_54128456121462410464578910174567[[#This Row],[Discount selection]]&gt;0,VLOOKUP(_1_54128456121462410464578910174567[[#This Row],[Discount selection]],'Discount Structure'!$A$2:$B$30,2,"false"),0)</f>
        <v>1</v>
      </c>
      <c r="L860" s="194">
        <f>_1_54128456121462410464578910174567[[#This Row],[LIST $]]*_1_54128456121462410464578910174567[[#This Row],[DISCOUNT]]*_1_54128456121462410464578910174567[[#This Row],[DISCOUNT 2]]</f>
        <v>0</v>
      </c>
      <c r="M860" s="194">
        <f>IF(OR(_1_54128456121462410464578910174567[[#This Row],[UNIT]]&gt;0,_1_54128456121462410464578910174567[[#This Row],[UNIT]]&lt;0),_1_54128456121462410464578910174567[[#This Row],[UNIT]]*_1_54128456121462410464578910174567[[#This Row],[COST]],0)</f>
        <v>0</v>
      </c>
      <c r="N860" s="194">
        <f t="shared" si="13"/>
        <v>1.3</v>
      </c>
      <c r="O860" s="198">
        <f>_1_54128456121462410464578910174567[[#This Row],[TOTAL]]*_1_54128456121462410464578910174567[[#This Row],[MARGIN]]</f>
        <v>0</v>
      </c>
      <c r="R860" s="41"/>
    </row>
    <row r="861" spans="4:18">
      <c r="D861" s="188"/>
      <c r="F861" s="168" t="s">
        <v>6202</v>
      </c>
      <c r="G861" s="193">
        <f>IF(_1_54128456121462410464578910174567[[#This Row],[Type]]&gt;0,VLOOKUP(_1_54128456121462410464578910174567[[#This Row],[Type]],Main[[#All],[TYPE]:[UNIT]],'Unit Price'!C$1,FALSE),0)</f>
        <v>0</v>
      </c>
      <c r="H861" s="197">
        <f>IF(_1_54128456121462410464578910174567[[#This Row],[Type]]&gt;0,VLOOKUP(_1_54128456121462410464578910174567[[#This Row],[Type]],Main[[#All],[TYPE]:[UNIT]],'Unit Price'!D$1,FALSE),0)</f>
        <v>0</v>
      </c>
      <c r="I861" s="194">
        <f>IF(_1_54128456121462410464578910174567[[#This Row],[Type]]&gt;0,VLOOKUP(_1_54128456121462410464578910174567[[#This Row],[Type]],Main[[#All],[TYPE]:[UNIT]],'Unit Price'!G$1,FALSE),0)</f>
        <v>0</v>
      </c>
      <c r="J861" s="194">
        <f>IF(_1_54128456121462410464578910174567[[#This Row],[Type]]&gt;0,VLOOKUP(_1_54128456121462410464578910174567[[#This Row],[Type]],Main[[#All],[TYPE]:[UNIT]],'Unit Price'!H$1,FALSE),0)</f>
        <v>0</v>
      </c>
      <c r="K861" s="194">
        <f>IF(_1_54128456121462410464578910174567[[#This Row],[Discount selection]]&gt;0,VLOOKUP(_1_54128456121462410464578910174567[[#This Row],[Discount selection]],'Discount Structure'!$A$2:$B$30,2,"false"),0)</f>
        <v>1</v>
      </c>
      <c r="L861" s="194">
        <f>_1_54128456121462410464578910174567[[#This Row],[LIST $]]*_1_54128456121462410464578910174567[[#This Row],[DISCOUNT]]*_1_54128456121462410464578910174567[[#This Row],[DISCOUNT 2]]</f>
        <v>0</v>
      </c>
      <c r="M861" s="194">
        <f>IF(OR(_1_54128456121462410464578910174567[[#This Row],[UNIT]]&gt;0,_1_54128456121462410464578910174567[[#This Row],[UNIT]]&lt;0),_1_54128456121462410464578910174567[[#This Row],[UNIT]]*_1_54128456121462410464578910174567[[#This Row],[COST]],0)</f>
        <v>0</v>
      </c>
      <c r="N861" s="194">
        <f t="shared" si="13"/>
        <v>1.3</v>
      </c>
      <c r="O861" s="198">
        <f>_1_54128456121462410464578910174567[[#This Row],[TOTAL]]*_1_54128456121462410464578910174567[[#This Row],[MARGIN]]</f>
        <v>0</v>
      </c>
      <c r="R861" s="41"/>
    </row>
    <row r="862" spans="4:18">
      <c r="D862" s="188"/>
      <c r="F862" s="168" t="s">
        <v>6202</v>
      </c>
      <c r="G862" s="193">
        <f>IF(_1_54128456121462410464578910174567[[#This Row],[Type]]&gt;0,VLOOKUP(_1_54128456121462410464578910174567[[#This Row],[Type]],Main[[#All],[TYPE]:[UNIT]],'Unit Price'!C$1,FALSE),0)</f>
        <v>0</v>
      </c>
      <c r="H862" s="197">
        <f>IF(_1_54128456121462410464578910174567[[#This Row],[Type]]&gt;0,VLOOKUP(_1_54128456121462410464578910174567[[#This Row],[Type]],Main[[#All],[TYPE]:[UNIT]],'Unit Price'!D$1,FALSE),0)</f>
        <v>0</v>
      </c>
      <c r="I862" s="194">
        <f>IF(_1_54128456121462410464578910174567[[#This Row],[Type]]&gt;0,VLOOKUP(_1_54128456121462410464578910174567[[#This Row],[Type]],Main[[#All],[TYPE]:[UNIT]],'Unit Price'!G$1,FALSE),0)</f>
        <v>0</v>
      </c>
      <c r="J862" s="194">
        <f>IF(_1_54128456121462410464578910174567[[#This Row],[Type]]&gt;0,VLOOKUP(_1_54128456121462410464578910174567[[#This Row],[Type]],Main[[#All],[TYPE]:[UNIT]],'Unit Price'!H$1,FALSE),0)</f>
        <v>0</v>
      </c>
      <c r="K862" s="194">
        <f>IF(_1_54128456121462410464578910174567[[#This Row],[Discount selection]]&gt;0,VLOOKUP(_1_54128456121462410464578910174567[[#This Row],[Discount selection]],'Discount Structure'!$A$2:$B$30,2,"false"),0)</f>
        <v>1</v>
      </c>
      <c r="L862" s="194">
        <f>_1_54128456121462410464578910174567[[#This Row],[LIST $]]*_1_54128456121462410464578910174567[[#This Row],[DISCOUNT]]*_1_54128456121462410464578910174567[[#This Row],[DISCOUNT 2]]</f>
        <v>0</v>
      </c>
      <c r="M862" s="194">
        <f>IF(OR(_1_54128456121462410464578910174567[[#This Row],[UNIT]]&gt;0,_1_54128456121462410464578910174567[[#This Row],[UNIT]]&lt;0),_1_54128456121462410464578910174567[[#This Row],[UNIT]]*_1_54128456121462410464578910174567[[#This Row],[COST]],0)</f>
        <v>0</v>
      </c>
      <c r="N862" s="194">
        <f t="shared" si="13"/>
        <v>1.3</v>
      </c>
      <c r="O862" s="198">
        <f>_1_54128456121462410464578910174567[[#This Row],[TOTAL]]*_1_54128456121462410464578910174567[[#This Row],[MARGIN]]</f>
        <v>0</v>
      </c>
      <c r="R862" s="41"/>
    </row>
    <row r="863" spans="4:18">
      <c r="D863" s="188"/>
      <c r="F863" s="168" t="s">
        <v>6202</v>
      </c>
      <c r="G863" s="193">
        <f>IF(_1_54128456121462410464578910174567[[#This Row],[Type]]&gt;0,VLOOKUP(_1_54128456121462410464578910174567[[#This Row],[Type]],Main[[#All],[TYPE]:[UNIT]],'Unit Price'!C$1,FALSE),0)</f>
        <v>0</v>
      </c>
      <c r="H863" s="197">
        <f>IF(_1_54128456121462410464578910174567[[#This Row],[Type]]&gt;0,VLOOKUP(_1_54128456121462410464578910174567[[#This Row],[Type]],Main[[#All],[TYPE]:[UNIT]],'Unit Price'!D$1,FALSE),0)</f>
        <v>0</v>
      </c>
      <c r="I863" s="194">
        <f>IF(_1_54128456121462410464578910174567[[#This Row],[Type]]&gt;0,VLOOKUP(_1_54128456121462410464578910174567[[#This Row],[Type]],Main[[#All],[TYPE]:[UNIT]],'Unit Price'!G$1,FALSE),0)</f>
        <v>0</v>
      </c>
      <c r="J863" s="194">
        <f>IF(_1_54128456121462410464578910174567[[#This Row],[Type]]&gt;0,VLOOKUP(_1_54128456121462410464578910174567[[#This Row],[Type]],Main[[#All],[TYPE]:[UNIT]],'Unit Price'!H$1,FALSE),0)</f>
        <v>0</v>
      </c>
      <c r="K863" s="194">
        <f>IF(_1_54128456121462410464578910174567[[#This Row],[Discount selection]]&gt;0,VLOOKUP(_1_54128456121462410464578910174567[[#This Row],[Discount selection]],'Discount Structure'!$A$2:$B$30,2,"false"),0)</f>
        <v>1</v>
      </c>
      <c r="L863" s="194">
        <f>_1_54128456121462410464578910174567[[#This Row],[LIST $]]*_1_54128456121462410464578910174567[[#This Row],[DISCOUNT]]*_1_54128456121462410464578910174567[[#This Row],[DISCOUNT 2]]</f>
        <v>0</v>
      </c>
      <c r="M863" s="194">
        <f>IF(OR(_1_54128456121462410464578910174567[[#This Row],[UNIT]]&gt;0,_1_54128456121462410464578910174567[[#This Row],[UNIT]]&lt;0),_1_54128456121462410464578910174567[[#This Row],[UNIT]]*_1_54128456121462410464578910174567[[#This Row],[COST]],0)</f>
        <v>0</v>
      </c>
      <c r="N863" s="194">
        <f t="shared" si="13"/>
        <v>1.3</v>
      </c>
      <c r="O863" s="198">
        <f>_1_54128456121462410464578910174567[[#This Row],[TOTAL]]*_1_54128456121462410464578910174567[[#This Row],[MARGIN]]</f>
        <v>0</v>
      </c>
      <c r="R863" s="41"/>
    </row>
    <row r="864" spans="4:18">
      <c r="D864" s="188"/>
      <c r="F864" s="168" t="s">
        <v>6202</v>
      </c>
      <c r="G864" s="193">
        <f>IF(_1_54128456121462410464578910174567[[#This Row],[Type]]&gt;0,VLOOKUP(_1_54128456121462410464578910174567[[#This Row],[Type]],Main[[#All],[TYPE]:[UNIT]],'Unit Price'!C$1,FALSE),0)</f>
        <v>0</v>
      </c>
      <c r="H864" s="197">
        <f>IF(_1_54128456121462410464578910174567[[#This Row],[Type]]&gt;0,VLOOKUP(_1_54128456121462410464578910174567[[#This Row],[Type]],Main[[#All],[TYPE]:[UNIT]],'Unit Price'!D$1,FALSE),0)</f>
        <v>0</v>
      </c>
      <c r="I864" s="194">
        <f>IF(_1_54128456121462410464578910174567[[#This Row],[Type]]&gt;0,VLOOKUP(_1_54128456121462410464578910174567[[#This Row],[Type]],Main[[#All],[TYPE]:[UNIT]],'Unit Price'!G$1,FALSE),0)</f>
        <v>0</v>
      </c>
      <c r="J864" s="194">
        <f>IF(_1_54128456121462410464578910174567[[#This Row],[Type]]&gt;0,VLOOKUP(_1_54128456121462410464578910174567[[#This Row],[Type]],Main[[#All],[TYPE]:[UNIT]],'Unit Price'!H$1,FALSE),0)</f>
        <v>0</v>
      </c>
      <c r="K864" s="194">
        <f>IF(_1_54128456121462410464578910174567[[#This Row],[Discount selection]]&gt;0,VLOOKUP(_1_54128456121462410464578910174567[[#This Row],[Discount selection]],'Discount Structure'!$A$2:$B$30,2,"false"),0)</f>
        <v>1</v>
      </c>
      <c r="L864" s="194">
        <f>_1_54128456121462410464578910174567[[#This Row],[LIST $]]*_1_54128456121462410464578910174567[[#This Row],[DISCOUNT]]*_1_54128456121462410464578910174567[[#This Row],[DISCOUNT 2]]</f>
        <v>0</v>
      </c>
      <c r="M864" s="194">
        <f>IF(OR(_1_54128456121462410464578910174567[[#This Row],[UNIT]]&gt;0,_1_54128456121462410464578910174567[[#This Row],[UNIT]]&lt;0),_1_54128456121462410464578910174567[[#This Row],[UNIT]]*_1_54128456121462410464578910174567[[#This Row],[COST]],0)</f>
        <v>0</v>
      </c>
      <c r="N864" s="194">
        <f t="shared" si="13"/>
        <v>1.3</v>
      </c>
      <c r="O864" s="198">
        <f>_1_54128456121462410464578910174567[[#This Row],[TOTAL]]*_1_54128456121462410464578910174567[[#This Row],[MARGIN]]</f>
        <v>0</v>
      </c>
      <c r="R864" s="41"/>
    </row>
    <row r="865" spans="4:18">
      <c r="D865" s="188"/>
      <c r="E865" s="42"/>
      <c r="F865" s="168" t="s">
        <v>6202</v>
      </c>
      <c r="G865" s="193">
        <f>IF(_1_54128456121462410464578910174567[[#This Row],[Type]]&gt;0,VLOOKUP(_1_54128456121462410464578910174567[[#This Row],[Type]],Main[[#All],[TYPE]:[UNIT]],'Unit Price'!C$1,FALSE),0)</f>
        <v>0</v>
      </c>
      <c r="H865" s="197">
        <f>IF(_1_54128456121462410464578910174567[[#This Row],[Type]]&gt;0,VLOOKUP(_1_54128456121462410464578910174567[[#This Row],[Type]],Main[[#All],[TYPE]:[UNIT]],'Unit Price'!D$1,FALSE),0)</f>
        <v>0</v>
      </c>
      <c r="I865" s="194">
        <f>IF(_1_54128456121462410464578910174567[[#This Row],[Type]]&gt;0,VLOOKUP(_1_54128456121462410464578910174567[[#This Row],[Type]],Main[[#All],[TYPE]:[UNIT]],'Unit Price'!G$1,FALSE),0)</f>
        <v>0</v>
      </c>
      <c r="J865" s="194">
        <f>IF(_1_54128456121462410464578910174567[[#This Row],[Type]]&gt;0,VLOOKUP(_1_54128456121462410464578910174567[[#This Row],[Type]],Main[[#All],[TYPE]:[UNIT]],'Unit Price'!H$1,FALSE),0)</f>
        <v>0</v>
      </c>
      <c r="K865" s="194">
        <f>IF(_1_54128456121462410464578910174567[[#This Row],[Discount selection]]&gt;0,VLOOKUP(_1_54128456121462410464578910174567[[#This Row],[Discount selection]],'Discount Structure'!$A$2:$B$30,2,"false"),0)</f>
        <v>1</v>
      </c>
      <c r="L865" s="194">
        <f>_1_54128456121462410464578910174567[[#This Row],[LIST $]]*_1_54128456121462410464578910174567[[#This Row],[DISCOUNT]]*_1_54128456121462410464578910174567[[#This Row],[DISCOUNT 2]]</f>
        <v>0</v>
      </c>
      <c r="M865" s="194">
        <f>IF(OR(_1_54128456121462410464578910174567[[#This Row],[UNIT]]&gt;0,_1_54128456121462410464578910174567[[#This Row],[UNIT]]&lt;0),_1_54128456121462410464578910174567[[#This Row],[UNIT]]*_1_54128456121462410464578910174567[[#This Row],[COST]],0)</f>
        <v>0</v>
      </c>
      <c r="N865" s="194">
        <f t="shared" si="13"/>
        <v>1.3</v>
      </c>
      <c r="O865" s="198">
        <f>_1_54128456121462410464578910174567[[#This Row],[TOTAL]]*_1_54128456121462410464578910174567[[#This Row],[MARGIN]]</f>
        <v>0</v>
      </c>
      <c r="P865" s="198"/>
      <c r="R865" s="41"/>
    </row>
    <row r="866" spans="4:18">
      <c r="D866" s="188"/>
      <c r="E866" s="42"/>
      <c r="F866" s="168" t="s">
        <v>6202</v>
      </c>
      <c r="G866" s="193">
        <f>IF(_1_54128456121462410464578910174567[[#This Row],[Type]]&gt;0,VLOOKUP(_1_54128456121462410464578910174567[[#This Row],[Type]],Main[[#All],[TYPE]:[UNIT]],'Unit Price'!C$1,FALSE),0)</f>
        <v>0</v>
      </c>
      <c r="H866" s="197">
        <f>IF(_1_54128456121462410464578910174567[[#This Row],[Type]]&gt;0,VLOOKUP(_1_54128456121462410464578910174567[[#This Row],[Type]],Main[[#All],[TYPE]:[UNIT]],'Unit Price'!D$1,FALSE),0)</f>
        <v>0</v>
      </c>
      <c r="I866" s="194">
        <f>IF(_1_54128456121462410464578910174567[[#This Row],[Type]]&gt;0,VLOOKUP(_1_54128456121462410464578910174567[[#This Row],[Type]],Main[[#All],[TYPE]:[UNIT]],'Unit Price'!G$1,FALSE),0)</f>
        <v>0</v>
      </c>
      <c r="J866" s="194">
        <f>IF(_1_54128456121462410464578910174567[[#This Row],[Type]]&gt;0,VLOOKUP(_1_54128456121462410464578910174567[[#This Row],[Type]],Main[[#All],[TYPE]:[UNIT]],'Unit Price'!H$1,FALSE),0)</f>
        <v>0</v>
      </c>
      <c r="K866" s="194">
        <f>IF(_1_54128456121462410464578910174567[[#This Row],[Discount selection]]&gt;0,VLOOKUP(_1_54128456121462410464578910174567[[#This Row],[Discount selection]],'Discount Structure'!$A$2:$B$30,2,"false"),0)</f>
        <v>1</v>
      </c>
      <c r="L866" s="194">
        <f>_1_54128456121462410464578910174567[[#This Row],[LIST $]]*_1_54128456121462410464578910174567[[#This Row],[DISCOUNT]]*_1_54128456121462410464578910174567[[#This Row],[DISCOUNT 2]]</f>
        <v>0</v>
      </c>
      <c r="M866" s="194">
        <f>IF(OR(_1_54128456121462410464578910174567[[#This Row],[UNIT]]&gt;0,_1_54128456121462410464578910174567[[#This Row],[UNIT]]&lt;0),_1_54128456121462410464578910174567[[#This Row],[UNIT]]*_1_54128456121462410464578910174567[[#This Row],[COST]],0)</f>
        <v>0</v>
      </c>
      <c r="N866" s="194">
        <f t="shared" si="13"/>
        <v>1.3</v>
      </c>
      <c r="O866" s="198">
        <f>_1_54128456121462410464578910174567[[#This Row],[TOTAL]]*_1_54128456121462410464578910174567[[#This Row],[MARGIN]]</f>
        <v>0</v>
      </c>
      <c r="P866" s="198"/>
      <c r="R866" s="41"/>
    </row>
    <row r="867" spans="4:18">
      <c r="D867" s="188"/>
      <c r="E867" s="42"/>
      <c r="F867" s="168" t="s">
        <v>6202</v>
      </c>
      <c r="G867" s="193">
        <f>IF(_1_54128456121462410464578910174567[[#This Row],[Type]]&gt;0,VLOOKUP(_1_54128456121462410464578910174567[[#This Row],[Type]],Main[[#All],[TYPE]:[UNIT]],'Unit Price'!C$1,FALSE),0)</f>
        <v>0</v>
      </c>
      <c r="H867" s="197">
        <f>IF(_1_54128456121462410464578910174567[[#This Row],[Type]]&gt;0,VLOOKUP(_1_54128456121462410464578910174567[[#This Row],[Type]],Main[[#All],[TYPE]:[UNIT]],'Unit Price'!D$1,FALSE),0)</f>
        <v>0</v>
      </c>
      <c r="I867" s="194">
        <f>IF(_1_54128456121462410464578910174567[[#This Row],[Type]]&gt;0,VLOOKUP(_1_54128456121462410464578910174567[[#This Row],[Type]],Main[[#All],[TYPE]:[UNIT]],'Unit Price'!G$1,FALSE),0)</f>
        <v>0</v>
      </c>
      <c r="J867" s="194">
        <f>IF(_1_54128456121462410464578910174567[[#This Row],[Type]]&gt;0,VLOOKUP(_1_54128456121462410464578910174567[[#This Row],[Type]],Main[[#All],[TYPE]:[UNIT]],'Unit Price'!H$1,FALSE),0)</f>
        <v>0</v>
      </c>
      <c r="K867" s="194">
        <f>IF(_1_54128456121462410464578910174567[[#This Row],[Discount selection]]&gt;0,VLOOKUP(_1_54128456121462410464578910174567[[#This Row],[Discount selection]],'Discount Structure'!$A$2:$B$30,2,"false"),0)</f>
        <v>1</v>
      </c>
      <c r="L867" s="194">
        <f>_1_54128456121462410464578910174567[[#This Row],[LIST $]]*_1_54128456121462410464578910174567[[#This Row],[DISCOUNT]]*_1_54128456121462410464578910174567[[#This Row],[DISCOUNT 2]]</f>
        <v>0</v>
      </c>
      <c r="M867" s="194">
        <f>IF(OR(_1_54128456121462410464578910174567[[#This Row],[UNIT]]&gt;0,_1_54128456121462410464578910174567[[#This Row],[UNIT]]&lt;0),_1_54128456121462410464578910174567[[#This Row],[UNIT]]*_1_54128456121462410464578910174567[[#This Row],[COST]],0)</f>
        <v>0</v>
      </c>
      <c r="N867" s="194">
        <f t="shared" si="13"/>
        <v>1.3</v>
      </c>
      <c r="O867" s="198">
        <f>_1_54128456121462410464578910174567[[#This Row],[TOTAL]]*_1_54128456121462410464578910174567[[#This Row],[MARGIN]]</f>
        <v>0</v>
      </c>
      <c r="P867" s="198"/>
      <c r="R867" s="41"/>
    </row>
    <row r="868" spans="4:18">
      <c r="D868" s="188"/>
      <c r="E868" s="42"/>
      <c r="F868" s="168" t="s">
        <v>6202</v>
      </c>
      <c r="G868" s="193">
        <f>IF(_1_54128456121462410464578910174567[[#This Row],[Type]]&gt;0,VLOOKUP(_1_54128456121462410464578910174567[[#This Row],[Type]],Main[[#All],[TYPE]:[UNIT]],'Unit Price'!C$1,FALSE),0)</f>
        <v>0</v>
      </c>
      <c r="H868" s="197">
        <f>IF(_1_54128456121462410464578910174567[[#This Row],[Type]]&gt;0,VLOOKUP(_1_54128456121462410464578910174567[[#This Row],[Type]],Main[[#All],[TYPE]:[UNIT]],'Unit Price'!D$1,FALSE),0)</f>
        <v>0</v>
      </c>
      <c r="I868" s="194">
        <f>IF(_1_54128456121462410464578910174567[[#This Row],[Type]]&gt;0,VLOOKUP(_1_54128456121462410464578910174567[[#This Row],[Type]],Main[[#All],[TYPE]:[UNIT]],'Unit Price'!G$1,FALSE),0)</f>
        <v>0</v>
      </c>
      <c r="J868" s="194">
        <f>IF(_1_54128456121462410464578910174567[[#This Row],[Type]]&gt;0,VLOOKUP(_1_54128456121462410464578910174567[[#This Row],[Type]],Main[[#All],[TYPE]:[UNIT]],'Unit Price'!H$1,FALSE),0)</f>
        <v>0</v>
      </c>
      <c r="K868" s="194">
        <f>IF(_1_54128456121462410464578910174567[[#This Row],[Discount selection]]&gt;0,VLOOKUP(_1_54128456121462410464578910174567[[#This Row],[Discount selection]],'Discount Structure'!$A$2:$B$30,2,"false"),0)</f>
        <v>1</v>
      </c>
      <c r="L868" s="194">
        <f>_1_54128456121462410464578910174567[[#This Row],[LIST $]]*_1_54128456121462410464578910174567[[#This Row],[DISCOUNT]]*_1_54128456121462410464578910174567[[#This Row],[DISCOUNT 2]]</f>
        <v>0</v>
      </c>
      <c r="M868" s="194">
        <f>IF(OR(_1_54128456121462410464578910174567[[#This Row],[UNIT]]&gt;0,_1_54128456121462410464578910174567[[#This Row],[UNIT]]&lt;0),_1_54128456121462410464578910174567[[#This Row],[UNIT]]*_1_54128456121462410464578910174567[[#This Row],[COST]],0)</f>
        <v>0</v>
      </c>
      <c r="N868" s="194">
        <f t="shared" si="13"/>
        <v>1.3</v>
      </c>
      <c r="O868" s="198">
        <f>_1_54128456121462410464578910174567[[#This Row],[TOTAL]]*_1_54128456121462410464578910174567[[#This Row],[MARGIN]]</f>
        <v>0</v>
      </c>
      <c r="P868" s="198"/>
      <c r="R868" s="41"/>
    </row>
    <row r="869" spans="4:18">
      <c r="D869" s="188"/>
      <c r="E869" s="42"/>
      <c r="F869" s="168" t="s">
        <v>6202</v>
      </c>
      <c r="G869" s="193">
        <f>IF(_1_54128456121462410464578910174567[[#This Row],[Type]]&gt;0,VLOOKUP(_1_54128456121462410464578910174567[[#This Row],[Type]],Main[[#All],[TYPE]:[UNIT]],'Unit Price'!C$1,FALSE),0)</f>
        <v>0</v>
      </c>
      <c r="H869" s="197">
        <f>IF(_1_54128456121462410464578910174567[[#This Row],[Type]]&gt;0,VLOOKUP(_1_54128456121462410464578910174567[[#This Row],[Type]],Main[[#All],[TYPE]:[UNIT]],'Unit Price'!D$1,FALSE),0)</f>
        <v>0</v>
      </c>
      <c r="I869" s="194">
        <f>IF(_1_54128456121462410464578910174567[[#This Row],[Type]]&gt;0,VLOOKUP(_1_54128456121462410464578910174567[[#This Row],[Type]],Main[[#All],[TYPE]:[UNIT]],'Unit Price'!G$1,FALSE),0)</f>
        <v>0</v>
      </c>
      <c r="J869" s="194">
        <f>IF(_1_54128456121462410464578910174567[[#This Row],[Type]]&gt;0,VLOOKUP(_1_54128456121462410464578910174567[[#This Row],[Type]],Main[[#All],[TYPE]:[UNIT]],'Unit Price'!H$1,FALSE),0)</f>
        <v>0</v>
      </c>
      <c r="K869" s="194">
        <f>IF(_1_54128456121462410464578910174567[[#This Row],[Discount selection]]&gt;0,VLOOKUP(_1_54128456121462410464578910174567[[#This Row],[Discount selection]],'Discount Structure'!$A$2:$B$30,2,"false"),0)</f>
        <v>1</v>
      </c>
      <c r="L869" s="194">
        <f>_1_54128456121462410464578910174567[[#This Row],[LIST $]]*_1_54128456121462410464578910174567[[#This Row],[DISCOUNT]]*_1_54128456121462410464578910174567[[#This Row],[DISCOUNT 2]]</f>
        <v>0</v>
      </c>
      <c r="M869" s="194">
        <f>IF(OR(_1_54128456121462410464578910174567[[#This Row],[UNIT]]&gt;0,_1_54128456121462410464578910174567[[#This Row],[UNIT]]&lt;0),_1_54128456121462410464578910174567[[#This Row],[UNIT]]*_1_54128456121462410464578910174567[[#This Row],[COST]],0)</f>
        <v>0</v>
      </c>
      <c r="N869" s="194">
        <f t="shared" si="13"/>
        <v>1.3</v>
      </c>
      <c r="O869" s="198">
        <f>_1_54128456121462410464578910174567[[#This Row],[TOTAL]]*_1_54128456121462410464578910174567[[#This Row],[MARGIN]]</f>
        <v>0</v>
      </c>
      <c r="P869" s="198"/>
      <c r="R869" s="41"/>
    </row>
    <row r="870" spans="4:18">
      <c r="D870" s="188"/>
      <c r="E870" s="42"/>
      <c r="F870" s="168" t="s">
        <v>6202</v>
      </c>
      <c r="G870" s="193">
        <f>IF(_1_54128456121462410464578910174567[[#This Row],[Type]]&gt;0,VLOOKUP(_1_54128456121462410464578910174567[[#This Row],[Type]],Main[[#All],[TYPE]:[UNIT]],'Unit Price'!C$1,FALSE),0)</f>
        <v>0</v>
      </c>
      <c r="H870" s="197">
        <f>IF(_1_54128456121462410464578910174567[[#This Row],[Type]]&gt;0,VLOOKUP(_1_54128456121462410464578910174567[[#This Row],[Type]],Main[[#All],[TYPE]:[UNIT]],'Unit Price'!D$1,FALSE),0)</f>
        <v>0</v>
      </c>
      <c r="I870" s="194">
        <f>IF(_1_54128456121462410464578910174567[[#This Row],[Type]]&gt;0,VLOOKUP(_1_54128456121462410464578910174567[[#This Row],[Type]],Main[[#All],[TYPE]:[UNIT]],'Unit Price'!G$1,FALSE),0)</f>
        <v>0</v>
      </c>
      <c r="J870" s="194">
        <f>IF(_1_54128456121462410464578910174567[[#This Row],[Type]]&gt;0,VLOOKUP(_1_54128456121462410464578910174567[[#This Row],[Type]],Main[[#All],[TYPE]:[UNIT]],'Unit Price'!H$1,FALSE),0)</f>
        <v>0</v>
      </c>
      <c r="K870" s="194">
        <f>IF(_1_54128456121462410464578910174567[[#This Row],[Discount selection]]&gt;0,VLOOKUP(_1_54128456121462410464578910174567[[#This Row],[Discount selection]],'Discount Structure'!$A$2:$B$30,2,"false"),0)</f>
        <v>1</v>
      </c>
      <c r="L870" s="194">
        <f>_1_54128456121462410464578910174567[[#This Row],[LIST $]]*_1_54128456121462410464578910174567[[#This Row],[DISCOUNT]]*_1_54128456121462410464578910174567[[#This Row],[DISCOUNT 2]]</f>
        <v>0</v>
      </c>
      <c r="M870" s="194">
        <f>IF(OR(_1_54128456121462410464578910174567[[#This Row],[UNIT]]&gt;0,_1_54128456121462410464578910174567[[#This Row],[UNIT]]&lt;0),_1_54128456121462410464578910174567[[#This Row],[UNIT]]*_1_54128456121462410464578910174567[[#This Row],[COST]],0)</f>
        <v>0</v>
      </c>
      <c r="N870" s="194">
        <f t="shared" si="13"/>
        <v>1.3</v>
      </c>
      <c r="O870" s="198">
        <f>_1_54128456121462410464578910174567[[#This Row],[TOTAL]]*_1_54128456121462410464578910174567[[#This Row],[MARGIN]]</f>
        <v>0</v>
      </c>
      <c r="P870" s="198"/>
      <c r="R870" s="41"/>
    </row>
    <row r="871" spans="4:18">
      <c r="D871" s="188"/>
      <c r="E871" s="42"/>
      <c r="F871" s="168" t="s">
        <v>6202</v>
      </c>
      <c r="G871" s="193">
        <f>IF(_1_54128456121462410464578910174567[[#This Row],[Type]]&gt;0,VLOOKUP(_1_54128456121462410464578910174567[[#This Row],[Type]],Main[[#All],[TYPE]:[UNIT]],'Unit Price'!C$1,FALSE),0)</f>
        <v>0</v>
      </c>
      <c r="H871" s="197">
        <f>IF(_1_54128456121462410464578910174567[[#This Row],[Type]]&gt;0,VLOOKUP(_1_54128456121462410464578910174567[[#This Row],[Type]],Main[[#All],[TYPE]:[UNIT]],'Unit Price'!D$1,FALSE),0)</f>
        <v>0</v>
      </c>
      <c r="I871" s="194">
        <f>IF(_1_54128456121462410464578910174567[[#This Row],[Type]]&gt;0,VLOOKUP(_1_54128456121462410464578910174567[[#This Row],[Type]],Main[[#All],[TYPE]:[UNIT]],'Unit Price'!G$1,FALSE),0)</f>
        <v>0</v>
      </c>
      <c r="J871" s="194">
        <f>IF(_1_54128456121462410464578910174567[[#This Row],[Type]]&gt;0,VLOOKUP(_1_54128456121462410464578910174567[[#This Row],[Type]],Main[[#All],[TYPE]:[UNIT]],'Unit Price'!H$1,FALSE),0)</f>
        <v>0</v>
      </c>
      <c r="K871" s="194">
        <f>IF(_1_54128456121462410464578910174567[[#This Row],[Discount selection]]&gt;0,VLOOKUP(_1_54128456121462410464578910174567[[#This Row],[Discount selection]],'Discount Structure'!$A$2:$B$30,2,"false"),0)</f>
        <v>1</v>
      </c>
      <c r="L871" s="194">
        <f>_1_54128456121462410464578910174567[[#This Row],[LIST $]]*_1_54128456121462410464578910174567[[#This Row],[DISCOUNT]]*_1_54128456121462410464578910174567[[#This Row],[DISCOUNT 2]]</f>
        <v>0</v>
      </c>
      <c r="M871" s="194">
        <f>IF(OR(_1_54128456121462410464578910174567[[#This Row],[UNIT]]&gt;0,_1_54128456121462410464578910174567[[#This Row],[UNIT]]&lt;0),_1_54128456121462410464578910174567[[#This Row],[UNIT]]*_1_54128456121462410464578910174567[[#This Row],[COST]],0)</f>
        <v>0</v>
      </c>
      <c r="N871" s="194">
        <f t="shared" si="13"/>
        <v>1.3</v>
      </c>
      <c r="O871" s="198">
        <f>_1_54128456121462410464578910174567[[#This Row],[TOTAL]]*_1_54128456121462410464578910174567[[#This Row],[MARGIN]]</f>
        <v>0</v>
      </c>
      <c r="P871" s="198"/>
      <c r="R871" s="41"/>
    </row>
    <row r="872" spans="4:18">
      <c r="D872" s="188"/>
      <c r="E872" s="42"/>
      <c r="F872" s="168" t="s">
        <v>6202</v>
      </c>
      <c r="G872" s="193">
        <f>IF(_1_54128456121462410464578910174567[[#This Row],[Type]]&gt;0,VLOOKUP(_1_54128456121462410464578910174567[[#This Row],[Type]],Main[[#All],[TYPE]:[UNIT]],'Unit Price'!C$1,FALSE),0)</f>
        <v>0</v>
      </c>
      <c r="H872" s="197">
        <f>IF(_1_54128456121462410464578910174567[[#This Row],[Type]]&gt;0,VLOOKUP(_1_54128456121462410464578910174567[[#This Row],[Type]],Main[[#All],[TYPE]:[UNIT]],'Unit Price'!D$1,FALSE),0)</f>
        <v>0</v>
      </c>
      <c r="I872" s="194">
        <f>IF(_1_54128456121462410464578910174567[[#This Row],[Type]]&gt;0,VLOOKUP(_1_54128456121462410464578910174567[[#This Row],[Type]],Main[[#All],[TYPE]:[UNIT]],'Unit Price'!G$1,FALSE),0)</f>
        <v>0</v>
      </c>
      <c r="J872" s="194">
        <f>IF(_1_54128456121462410464578910174567[[#This Row],[Type]]&gt;0,VLOOKUP(_1_54128456121462410464578910174567[[#This Row],[Type]],Main[[#All],[TYPE]:[UNIT]],'Unit Price'!H$1,FALSE),0)</f>
        <v>0</v>
      </c>
      <c r="K872" s="194">
        <f>IF(_1_54128456121462410464578910174567[[#This Row],[Discount selection]]&gt;0,VLOOKUP(_1_54128456121462410464578910174567[[#This Row],[Discount selection]],'Discount Structure'!$A$2:$B$30,2,"false"),0)</f>
        <v>1</v>
      </c>
      <c r="L872" s="194">
        <f>_1_54128456121462410464578910174567[[#This Row],[LIST $]]*_1_54128456121462410464578910174567[[#This Row],[DISCOUNT]]*_1_54128456121462410464578910174567[[#This Row],[DISCOUNT 2]]</f>
        <v>0</v>
      </c>
      <c r="M872" s="194">
        <f>IF(OR(_1_54128456121462410464578910174567[[#This Row],[UNIT]]&gt;0,_1_54128456121462410464578910174567[[#This Row],[UNIT]]&lt;0),_1_54128456121462410464578910174567[[#This Row],[UNIT]]*_1_54128456121462410464578910174567[[#This Row],[COST]],0)</f>
        <v>0</v>
      </c>
      <c r="N872" s="194">
        <f t="shared" si="13"/>
        <v>1.3</v>
      </c>
      <c r="O872" s="198">
        <f>_1_54128456121462410464578910174567[[#This Row],[TOTAL]]*_1_54128456121462410464578910174567[[#This Row],[MARGIN]]</f>
        <v>0</v>
      </c>
      <c r="P872" s="198"/>
      <c r="R872" s="41"/>
    </row>
    <row r="873" spans="4:18">
      <c r="D873" s="188"/>
      <c r="E873" s="42"/>
      <c r="F873" s="168" t="s">
        <v>6202</v>
      </c>
      <c r="G873" s="193">
        <f>IF(_1_54128456121462410464578910174567[[#This Row],[Type]]&gt;0,VLOOKUP(_1_54128456121462410464578910174567[[#This Row],[Type]],Main[[#All],[TYPE]:[UNIT]],'Unit Price'!C$1,FALSE),0)</f>
        <v>0</v>
      </c>
      <c r="H873" s="197">
        <f>IF(_1_54128456121462410464578910174567[[#This Row],[Type]]&gt;0,VLOOKUP(_1_54128456121462410464578910174567[[#This Row],[Type]],Main[[#All],[TYPE]:[UNIT]],'Unit Price'!D$1,FALSE),0)</f>
        <v>0</v>
      </c>
      <c r="I873" s="194">
        <f>IF(_1_54128456121462410464578910174567[[#This Row],[Type]]&gt;0,VLOOKUP(_1_54128456121462410464578910174567[[#This Row],[Type]],Main[[#All],[TYPE]:[UNIT]],'Unit Price'!G$1,FALSE),0)</f>
        <v>0</v>
      </c>
      <c r="J873" s="194">
        <f>IF(_1_54128456121462410464578910174567[[#This Row],[Type]]&gt;0,VLOOKUP(_1_54128456121462410464578910174567[[#This Row],[Type]],Main[[#All],[TYPE]:[UNIT]],'Unit Price'!H$1,FALSE),0)</f>
        <v>0</v>
      </c>
      <c r="K873" s="194">
        <f>IF(_1_54128456121462410464578910174567[[#This Row],[Discount selection]]&gt;0,VLOOKUP(_1_54128456121462410464578910174567[[#This Row],[Discount selection]],'Discount Structure'!$A$2:$B$30,2,"false"),0)</f>
        <v>1</v>
      </c>
      <c r="L873" s="194">
        <f>_1_54128456121462410464578910174567[[#This Row],[LIST $]]*_1_54128456121462410464578910174567[[#This Row],[DISCOUNT]]*_1_54128456121462410464578910174567[[#This Row],[DISCOUNT 2]]</f>
        <v>0</v>
      </c>
      <c r="M873" s="194">
        <f>IF(OR(_1_54128456121462410464578910174567[[#This Row],[UNIT]]&gt;0,_1_54128456121462410464578910174567[[#This Row],[UNIT]]&lt;0),_1_54128456121462410464578910174567[[#This Row],[UNIT]]*_1_54128456121462410464578910174567[[#This Row],[COST]],0)</f>
        <v>0</v>
      </c>
      <c r="N873" s="194">
        <f t="shared" si="13"/>
        <v>1.3</v>
      </c>
      <c r="O873" s="198">
        <f>_1_54128456121462410464578910174567[[#This Row],[TOTAL]]*_1_54128456121462410464578910174567[[#This Row],[MARGIN]]</f>
        <v>0</v>
      </c>
      <c r="P873" s="198"/>
      <c r="R873" s="41"/>
    </row>
    <row r="874" spans="4:18">
      <c r="D874" s="188"/>
      <c r="E874" s="42"/>
      <c r="F874" s="168" t="s">
        <v>6202</v>
      </c>
      <c r="G874" s="193">
        <f>IF(_1_54128456121462410464578910174567[[#This Row],[Type]]&gt;0,VLOOKUP(_1_54128456121462410464578910174567[[#This Row],[Type]],Main[[#All],[TYPE]:[UNIT]],'Unit Price'!C$1,FALSE),0)</f>
        <v>0</v>
      </c>
      <c r="H874" s="197">
        <f>IF(_1_54128456121462410464578910174567[[#This Row],[Type]]&gt;0,VLOOKUP(_1_54128456121462410464578910174567[[#This Row],[Type]],Main[[#All],[TYPE]:[UNIT]],'Unit Price'!D$1,FALSE),0)</f>
        <v>0</v>
      </c>
      <c r="I874" s="194">
        <f>IF(_1_54128456121462410464578910174567[[#This Row],[Type]]&gt;0,VLOOKUP(_1_54128456121462410464578910174567[[#This Row],[Type]],Main[[#All],[TYPE]:[UNIT]],'Unit Price'!G$1,FALSE),0)</f>
        <v>0</v>
      </c>
      <c r="J874" s="194">
        <f>IF(_1_54128456121462410464578910174567[[#This Row],[Type]]&gt;0,VLOOKUP(_1_54128456121462410464578910174567[[#This Row],[Type]],Main[[#All],[TYPE]:[UNIT]],'Unit Price'!H$1,FALSE),0)</f>
        <v>0</v>
      </c>
      <c r="K874" s="194">
        <f>IF(_1_54128456121462410464578910174567[[#This Row],[Discount selection]]&gt;0,VLOOKUP(_1_54128456121462410464578910174567[[#This Row],[Discount selection]],'Discount Structure'!$A$2:$B$30,2,"false"),0)</f>
        <v>1</v>
      </c>
      <c r="L874" s="194">
        <f>_1_54128456121462410464578910174567[[#This Row],[LIST $]]*_1_54128456121462410464578910174567[[#This Row],[DISCOUNT]]*_1_54128456121462410464578910174567[[#This Row],[DISCOUNT 2]]</f>
        <v>0</v>
      </c>
      <c r="M874" s="194">
        <f>IF(OR(_1_54128456121462410464578910174567[[#This Row],[UNIT]]&gt;0,_1_54128456121462410464578910174567[[#This Row],[UNIT]]&lt;0),_1_54128456121462410464578910174567[[#This Row],[UNIT]]*_1_54128456121462410464578910174567[[#This Row],[COST]],0)</f>
        <v>0</v>
      </c>
      <c r="N874" s="194">
        <f t="shared" si="13"/>
        <v>1.3</v>
      </c>
      <c r="O874" s="198">
        <f>_1_54128456121462410464578910174567[[#This Row],[TOTAL]]*_1_54128456121462410464578910174567[[#This Row],[MARGIN]]</f>
        <v>0</v>
      </c>
      <c r="P874" s="198"/>
      <c r="R874" s="41"/>
    </row>
    <row r="875" spans="4:18">
      <c r="D875" s="188"/>
      <c r="E875" s="42"/>
      <c r="F875" s="168" t="s">
        <v>6202</v>
      </c>
      <c r="G875" s="193">
        <f>IF(_1_54128456121462410464578910174567[[#This Row],[Type]]&gt;0,VLOOKUP(_1_54128456121462410464578910174567[[#This Row],[Type]],Main[[#All],[TYPE]:[UNIT]],'Unit Price'!C$1,FALSE),0)</f>
        <v>0</v>
      </c>
      <c r="H875" s="197">
        <f>IF(_1_54128456121462410464578910174567[[#This Row],[Type]]&gt;0,VLOOKUP(_1_54128456121462410464578910174567[[#This Row],[Type]],Main[[#All],[TYPE]:[UNIT]],'Unit Price'!D$1,FALSE),0)</f>
        <v>0</v>
      </c>
      <c r="I875" s="194">
        <f>IF(_1_54128456121462410464578910174567[[#This Row],[Type]]&gt;0,VLOOKUP(_1_54128456121462410464578910174567[[#This Row],[Type]],Main[[#All],[TYPE]:[UNIT]],'Unit Price'!G$1,FALSE),0)</f>
        <v>0</v>
      </c>
      <c r="J875" s="194">
        <f>IF(_1_54128456121462410464578910174567[[#This Row],[Type]]&gt;0,VLOOKUP(_1_54128456121462410464578910174567[[#This Row],[Type]],Main[[#All],[TYPE]:[UNIT]],'Unit Price'!H$1,FALSE),0)</f>
        <v>0</v>
      </c>
      <c r="K875" s="194">
        <f>IF(_1_54128456121462410464578910174567[[#This Row],[Discount selection]]&gt;0,VLOOKUP(_1_54128456121462410464578910174567[[#This Row],[Discount selection]],'Discount Structure'!$A$2:$B$30,2,"false"),0)</f>
        <v>1</v>
      </c>
      <c r="L875" s="194">
        <f>_1_54128456121462410464578910174567[[#This Row],[LIST $]]*_1_54128456121462410464578910174567[[#This Row],[DISCOUNT]]*_1_54128456121462410464578910174567[[#This Row],[DISCOUNT 2]]</f>
        <v>0</v>
      </c>
      <c r="M875" s="194">
        <f>IF(OR(_1_54128456121462410464578910174567[[#This Row],[UNIT]]&gt;0,_1_54128456121462410464578910174567[[#This Row],[UNIT]]&lt;0),_1_54128456121462410464578910174567[[#This Row],[UNIT]]*_1_54128456121462410464578910174567[[#This Row],[COST]],0)</f>
        <v>0</v>
      </c>
      <c r="N875" s="194">
        <f t="shared" si="13"/>
        <v>1.3</v>
      </c>
      <c r="O875" s="198">
        <f>_1_54128456121462410464578910174567[[#This Row],[TOTAL]]*_1_54128456121462410464578910174567[[#This Row],[MARGIN]]</f>
        <v>0</v>
      </c>
      <c r="P875" s="198"/>
      <c r="R875" s="41"/>
    </row>
    <row r="876" spans="4:18">
      <c r="D876" s="188"/>
      <c r="E876" s="42"/>
      <c r="F876" s="168" t="s">
        <v>6202</v>
      </c>
      <c r="G876" s="193">
        <f>IF(_1_54128456121462410464578910174567[[#This Row],[Type]]&gt;0,VLOOKUP(_1_54128456121462410464578910174567[[#This Row],[Type]],Main[[#All],[TYPE]:[UNIT]],'Unit Price'!C$1,FALSE),0)</f>
        <v>0</v>
      </c>
      <c r="H876" s="197">
        <f>IF(_1_54128456121462410464578910174567[[#This Row],[Type]]&gt;0,VLOOKUP(_1_54128456121462410464578910174567[[#This Row],[Type]],Main[[#All],[TYPE]:[UNIT]],'Unit Price'!D$1,FALSE),0)</f>
        <v>0</v>
      </c>
      <c r="I876" s="194">
        <f>IF(_1_54128456121462410464578910174567[[#This Row],[Type]]&gt;0,VLOOKUP(_1_54128456121462410464578910174567[[#This Row],[Type]],Main[[#All],[TYPE]:[UNIT]],'Unit Price'!G$1,FALSE),0)</f>
        <v>0</v>
      </c>
      <c r="J876" s="194">
        <f>IF(_1_54128456121462410464578910174567[[#This Row],[Type]]&gt;0,VLOOKUP(_1_54128456121462410464578910174567[[#This Row],[Type]],Main[[#All],[TYPE]:[UNIT]],'Unit Price'!H$1,FALSE),0)</f>
        <v>0</v>
      </c>
      <c r="K876" s="194">
        <f>IF(_1_54128456121462410464578910174567[[#This Row],[Discount selection]]&gt;0,VLOOKUP(_1_54128456121462410464578910174567[[#This Row],[Discount selection]],'Discount Structure'!$A$2:$B$30,2,"false"),0)</f>
        <v>1</v>
      </c>
      <c r="L876" s="194">
        <f>_1_54128456121462410464578910174567[[#This Row],[LIST $]]*_1_54128456121462410464578910174567[[#This Row],[DISCOUNT]]*_1_54128456121462410464578910174567[[#This Row],[DISCOUNT 2]]</f>
        <v>0</v>
      </c>
      <c r="M876" s="194">
        <f>IF(OR(_1_54128456121462410464578910174567[[#This Row],[UNIT]]&gt;0,_1_54128456121462410464578910174567[[#This Row],[UNIT]]&lt;0),_1_54128456121462410464578910174567[[#This Row],[UNIT]]*_1_54128456121462410464578910174567[[#This Row],[COST]],0)</f>
        <v>0</v>
      </c>
      <c r="N876" s="194">
        <f t="shared" si="13"/>
        <v>1.3</v>
      </c>
      <c r="O876" s="198">
        <f>_1_54128456121462410464578910174567[[#This Row],[TOTAL]]*_1_54128456121462410464578910174567[[#This Row],[MARGIN]]</f>
        <v>0</v>
      </c>
      <c r="P876" s="198"/>
      <c r="R876" s="41"/>
    </row>
    <row r="877" spans="4:18">
      <c r="D877" s="188"/>
      <c r="E877" s="42"/>
      <c r="F877" s="168" t="s">
        <v>6202</v>
      </c>
      <c r="G877" s="193">
        <f>IF(_1_54128456121462410464578910174567[[#This Row],[Type]]&gt;0,VLOOKUP(_1_54128456121462410464578910174567[[#This Row],[Type]],Main[[#All],[TYPE]:[UNIT]],'Unit Price'!C$1,FALSE),0)</f>
        <v>0</v>
      </c>
      <c r="H877" s="197">
        <f>IF(_1_54128456121462410464578910174567[[#This Row],[Type]]&gt;0,VLOOKUP(_1_54128456121462410464578910174567[[#This Row],[Type]],Main[[#All],[TYPE]:[UNIT]],'Unit Price'!D$1,FALSE),0)</f>
        <v>0</v>
      </c>
      <c r="I877" s="194">
        <f>IF(_1_54128456121462410464578910174567[[#This Row],[Type]]&gt;0,VLOOKUP(_1_54128456121462410464578910174567[[#This Row],[Type]],Main[[#All],[TYPE]:[UNIT]],'Unit Price'!G$1,FALSE),0)</f>
        <v>0</v>
      </c>
      <c r="J877" s="194">
        <f>IF(_1_54128456121462410464578910174567[[#This Row],[Type]]&gt;0,VLOOKUP(_1_54128456121462410464578910174567[[#This Row],[Type]],Main[[#All],[TYPE]:[UNIT]],'Unit Price'!H$1,FALSE),0)</f>
        <v>0</v>
      </c>
      <c r="K877" s="194">
        <f>IF(_1_54128456121462410464578910174567[[#This Row],[Discount selection]]&gt;0,VLOOKUP(_1_54128456121462410464578910174567[[#This Row],[Discount selection]],'Discount Structure'!$A$2:$B$30,2,"false"),0)</f>
        <v>1</v>
      </c>
      <c r="L877" s="194">
        <f>_1_54128456121462410464578910174567[[#This Row],[LIST $]]*_1_54128456121462410464578910174567[[#This Row],[DISCOUNT]]*_1_54128456121462410464578910174567[[#This Row],[DISCOUNT 2]]</f>
        <v>0</v>
      </c>
      <c r="M877" s="194">
        <f>IF(OR(_1_54128456121462410464578910174567[[#This Row],[UNIT]]&gt;0,_1_54128456121462410464578910174567[[#This Row],[UNIT]]&lt;0),_1_54128456121462410464578910174567[[#This Row],[UNIT]]*_1_54128456121462410464578910174567[[#This Row],[COST]],0)</f>
        <v>0</v>
      </c>
      <c r="N877" s="194">
        <f t="shared" si="13"/>
        <v>1.3</v>
      </c>
      <c r="O877" s="198">
        <f>_1_54128456121462410464578910174567[[#This Row],[TOTAL]]*_1_54128456121462410464578910174567[[#This Row],[MARGIN]]</f>
        <v>0</v>
      </c>
      <c r="P877" s="198"/>
      <c r="R877" s="41"/>
    </row>
    <row r="878" spans="4:18">
      <c r="D878" s="188"/>
      <c r="E878" s="42"/>
      <c r="F878" s="168" t="s">
        <v>6202</v>
      </c>
      <c r="G878" s="193">
        <f>IF(_1_54128456121462410464578910174567[[#This Row],[Type]]&gt;0,VLOOKUP(_1_54128456121462410464578910174567[[#This Row],[Type]],Main[[#All],[TYPE]:[UNIT]],'Unit Price'!C$1,FALSE),0)</f>
        <v>0</v>
      </c>
      <c r="H878" s="197">
        <f>IF(_1_54128456121462410464578910174567[[#This Row],[Type]]&gt;0,VLOOKUP(_1_54128456121462410464578910174567[[#This Row],[Type]],Main[[#All],[TYPE]:[UNIT]],'Unit Price'!D$1,FALSE),0)</f>
        <v>0</v>
      </c>
      <c r="I878" s="194">
        <f>IF(_1_54128456121462410464578910174567[[#This Row],[Type]]&gt;0,VLOOKUP(_1_54128456121462410464578910174567[[#This Row],[Type]],Main[[#All],[TYPE]:[UNIT]],'Unit Price'!G$1,FALSE),0)</f>
        <v>0</v>
      </c>
      <c r="J878" s="194">
        <f>IF(_1_54128456121462410464578910174567[[#This Row],[Type]]&gt;0,VLOOKUP(_1_54128456121462410464578910174567[[#This Row],[Type]],Main[[#All],[TYPE]:[UNIT]],'Unit Price'!H$1,FALSE),0)</f>
        <v>0</v>
      </c>
      <c r="K878" s="194">
        <f>IF(_1_54128456121462410464578910174567[[#This Row],[Discount selection]]&gt;0,VLOOKUP(_1_54128456121462410464578910174567[[#This Row],[Discount selection]],'Discount Structure'!$A$2:$B$30,2,"false"),0)</f>
        <v>1</v>
      </c>
      <c r="L878" s="194">
        <f>_1_54128456121462410464578910174567[[#This Row],[LIST $]]*_1_54128456121462410464578910174567[[#This Row],[DISCOUNT]]*_1_54128456121462410464578910174567[[#This Row],[DISCOUNT 2]]</f>
        <v>0</v>
      </c>
      <c r="M878" s="194">
        <f>IF(OR(_1_54128456121462410464578910174567[[#This Row],[UNIT]]&gt;0,_1_54128456121462410464578910174567[[#This Row],[UNIT]]&lt;0),_1_54128456121462410464578910174567[[#This Row],[UNIT]]*_1_54128456121462410464578910174567[[#This Row],[COST]],0)</f>
        <v>0</v>
      </c>
      <c r="N878" s="194">
        <f t="shared" si="13"/>
        <v>1.3</v>
      </c>
      <c r="O878" s="198">
        <f>_1_54128456121462410464578910174567[[#This Row],[TOTAL]]*_1_54128456121462410464578910174567[[#This Row],[MARGIN]]</f>
        <v>0</v>
      </c>
      <c r="P878" s="198"/>
      <c r="R878" s="41"/>
    </row>
    <row r="879" spans="4:18">
      <c r="D879" s="188"/>
      <c r="E879" s="42"/>
      <c r="F879" s="168" t="s">
        <v>6202</v>
      </c>
      <c r="G879" s="193">
        <f>IF(_1_54128456121462410464578910174567[[#This Row],[Type]]&gt;0,VLOOKUP(_1_54128456121462410464578910174567[[#This Row],[Type]],Main[[#All],[TYPE]:[UNIT]],'Unit Price'!C$1,FALSE),0)</f>
        <v>0</v>
      </c>
      <c r="H879" s="197">
        <f>IF(_1_54128456121462410464578910174567[[#This Row],[Type]]&gt;0,VLOOKUP(_1_54128456121462410464578910174567[[#This Row],[Type]],Main[[#All],[TYPE]:[UNIT]],'Unit Price'!D$1,FALSE),0)</f>
        <v>0</v>
      </c>
      <c r="I879" s="194">
        <f>IF(_1_54128456121462410464578910174567[[#This Row],[Type]]&gt;0,VLOOKUP(_1_54128456121462410464578910174567[[#This Row],[Type]],Main[[#All],[TYPE]:[UNIT]],'Unit Price'!G$1,FALSE),0)</f>
        <v>0</v>
      </c>
      <c r="J879" s="194">
        <f>IF(_1_54128456121462410464578910174567[[#This Row],[Type]]&gt;0,VLOOKUP(_1_54128456121462410464578910174567[[#This Row],[Type]],Main[[#All],[TYPE]:[UNIT]],'Unit Price'!H$1,FALSE),0)</f>
        <v>0</v>
      </c>
      <c r="K879" s="194">
        <f>IF(_1_54128456121462410464578910174567[[#This Row],[Discount selection]]&gt;0,VLOOKUP(_1_54128456121462410464578910174567[[#This Row],[Discount selection]],'Discount Structure'!$A$2:$B$30,2,"false"),0)</f>
        <v>1</v>
      </c>
      <c r="L879" s="194">
        <f>_1_54128456121462410464578910174567[[#This Row],[LIST $]]*_1_54128456121462410464578910174567[[#This Row],[DISCOUNT]]*_1_54128456121462410464578910174567[[#This Row],[DISCOUNT 2]]</f>
        <v>0</v>
      </c>
      <c r="M879" s="194">
        <f>IF(OR(_1_54128456121462410464578910174567[[#This Row],[UNIT]]&gt;0,_1_54128456121462410464578910174567[[#This Row],[UNIT]]&lt;0),_1_54128456121462410464578910174567[[#This Row],[UNIT]]*_1_54128456121462410464578910174567[[#This Row],[COST]],0)</f>
        <v>0</v>
      </c>
      <c r="N879" s="194">
        <f t="shared" si="13"/>
        <v>1.3</v>
      </c>
      <c r="O879" s="198">
        <f>_1_54128456121462410464578910174567[[#This Row],[TOTAL]]*_1_54128456121462410464578910174567[[#This Row],[MARGIN]]</f>
        <v>0</v>
      </c>
      <c r="P879" s="198"/>
      <c r="R879" s="41"/>
    </row>
    <row r="880" spans="4:18">
      <c r="D880" s="188"/>
      <c r="E880" s="42"/>
      <c r="F880" s="168" t="s">
        <v>6202</v>
      </c>
      <c r="G880" s="193">
        <f>IF(_1_54128456121462410464578910174567[[#This Row],[Type]]&gt;0,VLOOKUP(_1_54128456121462410464578910174567[[#This Row],[Type]],Main[[#All],[TYPE]:[UNIT]],'Unit Price'!C$1,FALSE),0)</f>
        <v>0</v>
      </c>
      <c r="H880" s="197">
        <f>IF(_1_54128456121462410464578910174567[[#This Row],[Type]]&gt;0,VLOOKUP(_1_54128456121462410464578910174567[[#This Row],[Type]],Main[[#All],[TYPE]:[UNIT]],'Unit Price'!D$1,FALSE),0)</f>
        <v>0</v>
      </c>
      <c r="I880" s="194">
        <f>IF(_1_54128456121462410464578910174567[[#This Row],[Type]]&gt;0,VLOOKUP(_1_54128456121462410464578910174567[[#This Row],[Type]],Main[[#All],[TYPE]:[UNIT]],'Unit Price'!G$1,FALSE),0)</f>
        <v>0</v>
      </c>
      <c r="J880" s="194">
        <f>IF(_1_54128456121462410464578910174567[[#This Row],[Type]]&gt;0,VLOOKUP(_1_54128456121462410464578910174567[[#This Row],[Type]],Main[[#All],[TYPE]:[UNIT]],'Unit Price'!H$1,FALSE),0)</f>
        <v>0</v>
      </c>
      <c r="K880" s="194">
        <f>IF(_1_54128456121462410464578910174567[[#This Row],[Discount selection]]&gt;0,VLOOKUP(_1_54128456121462410464578910174567[[#This Row],[Discount selection]],'Discount Structure'!$A$2:$B$30,2,"false"),0)</f>
        <v>1</v>
      </c>
      <c r="L880" s="194">
        <f>_1_54128456121462410464578910174567[[#This Row],[LIST $]]*_1_54128456121462410464578910174567[[#This Row],[DISCOUNT]]*_1_54128456121462410464578910174567[[#This Row],[DISCOUNT 2]]</f>
        <v>0</v>
      </c>
      <c r="M880" s="194">
        <f>IF(OR(_1_54128456121462410464578910174567[[#This Row],[UNIT]]&gt;0,_1_54128456121462410464578910174567[[#This Row],[UNIT]]&lt;0),_1_54128456121462410464578910174567[[#This Row],[UNIT]]*_1_54128456121462410464578910174567[[#This Row],[COST]],0)</f>
        <v>0</v>
      </c>
      <c r="N880" s="194">
        <f t="shared" si="13"/>
        <v>1.3</v>
      </c>
      <c r="O880" s="198">
        <f>_1_54128456121462410464578910174567[[#This Row],[TOTAL]]*_1_54128456121462410464578910174567[[#This Row],[MARGIN]]</f>
        <v>0</v>
      </c>
      <c r="P880" s="198"/>
      <c r="R880" s="41"/>
    </row>
    <row r="881" spans="4:18">
      <c r="D881" s="188"/>
      <c r="E881" s="42"/>
      <c r="F881" s="168" t="s">
        <v>6202</v>
      </c>
      <c r="G881" s="193">
        <f>IF(_1_54128456121462410464578910174567[[#This Row],[Type]]&gt;0,VLOOKUP(_1_54128456121462410464578910174567[[#This Row],[Type]],Main[[#All],[TYPE]:[UNIT]],'Unit Price'!C$1,FALSE),0)</f>
        <v>0</v>
      </c>
      <c r="H881" s="197">
        <f>IF(_1_54128456121462410464578910174567[[#This Row],[Type]]&gt;0,VLOOKUP(_1_54128456121462410464578910174567[[#This Row],[Type]],Main[[#All],[TYPE]:[UNIT]],'Unit Price'!D$1,FALSE),0)</f>
        <v>0</v>
      </c>
      <c r="I881" s="194">
        <f>IF(_1_54128456121462410464578910174567[[#This Row],[Type]]&gt;0,VLOOKUP(_1_54128456121462410464578910174567[[#This Row],[Type]],Main[[#All],[TYPE]:[UNIT]],'Unit Price'!G$1,FALSE),0)</f>
        <v>0</v>
      </c>
      <c r="J881" s="194">
        <f>IF(_1_54128456121462410464578910174567[[#This Row],[Type]]&gt;0,VLOOKUP(_1_54128456121462410464578910174567[[#This Row],[Type]],Main[[#All],[TYPE]:[UNIT]],'Unit Price'!H$1,FALSE),0)</f>
        <v>0</v>
      </c>
      <c r="K881" s="194">
        <f>IF(_1_54128456121462410464578910174567[[#This Row],[Discount selection]]&gt;0,VLOOKUP(_1_54128456121462410464578910174567[[#This Row],[Discount selection]],'Discount Structure'!$A$2:$B$30,2,"false"),0)</f>
        <v>1</v>
      </c>
      <c r="L881" s="194">
        <f>_1_54128456121462410464578910174567[[#This Row],[LIST $]]*_1_54128456121462410464578910174567[[#This Row],[DISCOUNT]]*_1_54128456121462410464578910174567[[#This Row],[DISCOUNT 2]]</f>
        <v>0</v>
      </c>
      <c r="M881" s="194">
        <f>IF(OR(_1_54128456121462410464578910174567[[#This Row],[UNIT]]&gt;0,_1_54128456121462410464578910174567[[#This Row],[UNIT]]&lt;0),_1_54128456121462410464578910174567[[#This Row],[UNIT]]*_1_54128456121462410464578910174567[[#This Row],[COST]],0)</f>
        <v>0</v>
      </c>
      <c r="N881" s="194">
        <f t="shared" si="13"/>
        <v>1.3</v>
      </c>
      <c r="O881" s="198">
        <f>_1_54128456121462410464578910174567[[#This Row],[TOTAL]]*_1_54128456121462410464578910174567[[#This Row],[MARGIN]]</f>
        <v>0</v>
      </c>
      <c r="P881" s="198"/>
      <c r="R881" s="41"/>
    </row>
    <row r="882" spans="4:18">
      <c r="D882" s="188"/>
      <c r="E882" s="42"/>
      <c r="F882" s="168" t="s">
        <v>6202</v>
      </c>
      <c r="G882" s="193">
        <f>IF(_1_54128456121462410464578910174567[[#This Row],[Type]]&gt;0,VLOOKUP(_1_54128456121462410464578910174567[[#This Row],[Type]],Main[[#All],[TYPE]:[UNIT]],'Unit Price'!C$1,FALSE),0)</f>
        <v>0</v>
      </c>
      <c r="H882" s="197">
        <f>IF(_1_54128456121462410464578910174567[[#This Row],[Type]]&gt;0,VLOOKUP(_1_54128456121462410464578910174567[[#This Row],[Type]],Main[[#All],[TYPE]:[UNIT]],'Unit Price'!D$1,FALSE),0)</f>
        <v>0</v>
      </c>
      <c r="I882" s="194">
        <f>IF(_1_54128456121462410464578910174567[[#This Row],[Type]]&gt;0,VLOOKUP(_1_54128456121462410464578910174567[[#This Row],[Type]],Main[[#All],[TYPE]:[UNIT]],'Unit Price'!G$1,FALSE),0)</f>
        <v>0</v>
      </c>
      <c r="J882" s="194">
        <f>IF(_1_54128456121462410464578910174567[[#This Row],[Type]]&gt;0,VLOOKUP(_1_54128456121462410464578910174567[[#This Row],[Type]],Main[[#All],[TYPE]:[UNIT]],'Unit Price'!H$1,FALSE),0)</f>
        <v>0</v>
      </c>
      <c r="K882" s="194">
        <f>IF(_1_54128456121462410464578910174567[[#This Row],[Discount selection]]&gt;0,VLOOKUP(_1_54128456121462410464578910174567[[#This Row],[Discount selection]],'Discount Structure'!$A$2:$B$30,2,"false"),0)</f>
        <v>1</v>
      </c>
      <c r="L882" s="194">
        <f>_1_54128456121462410464578910174567[[#This Row],[LIST $]]*_1_54128456121462410464578910174567[[#This Row],[DISCOUNT]]*_1_54128456121462410464578910174567[[#This Row],[DISCOUNT 2]]</f>
        <v>0</v>
      </c>
      <c r="M882" s="194">
        <f>IF(OR(_1_54128456121462410464578910174567[[#This Row],[UNIT]]&gt;0,_1_54128456121462410464578910174567[[#This Row],[UNIT]]&lt;0),_1_54128456121462410464578910174567[[#This Row],[UNIT]]*_1_54128456121462410464578910174567[[#This Row],[COST]],0)</f>
        <v>0</v>
      </c>
      <c r="N882" s="194">
        <f t="shared" si="13"/>
        <v>1.3</v>
      </c>
      <c r="O882" s="198">
        <f>_1_54128456121462410464578910174567[[#This Row],[TOTAL]]*_1_54128456121462410464578910174567[[#This Row],[MARGIN]]</f>
        <v>0</v>
      </c>
      <c r="P882" s="198"/>
      <c r="R882" s="41"/>
    </row>
    <row r="883" spans="4:18">
      <c r="D883" s="188"/>
      <c r="E883" s="42"/>
      <c r="F883" s="168" t="s">
        <v>6202</v>
      </c>
      <c r="G883" s="193">
        <f>IF(_1_54128456121462410464578910174567[[#This Row],[Type]]&gt;0,VLOOKUP(_1_54128456121462410464578910174567[[#This Row],[Type]],Main[[#All],[TYPE]:[UNIT]],'Unit Price'!C$1,FALSE),0)</f>
        <v>0</v>
      </c>
      <c r="H883" s="197">
        <f>IF(_1_54128456121462410464578910174567[[#This Row],[Type]]&gt;0,VLOOKUP(_1_54128456121462410464578910174567[[#This Row],[Type]],Main[[#All],[TYPE]:[UNIT]],'Unit Price'!D$1,FALSE),0)</f>
        <v>0</v>
      </c>
      <c r="I883" s="194">
        <f>IF(_1_54128456121462410464578910174567[[#This Row],[Type]]&gt;0,VLOOKUP(_1_54128456121462410464578910174567[[#This Row],[Type]],Main[[#All],[TYPE]:[UNIT]],'Unit Price'!G$1,FALSE),0)</f>
        <v>0</v>
      </c>
      <c r="J883" s="194">
        <f>IF(_1_54128456121462410464578910174567[[#This Row],[Type]]&gt;0,VLOOKUP(_1_54128456121462410464578910174567[[#This Row],[Type]],Main[[#All],[TYPE]:[UNIT]],'Unit Price'!H$1,FALSE),0)</f>
        <v>0</v>
      </c>
      <c r="K883" s="194">
        <f>IF(_1_54128456121462410464578910174567[[#This Row],[Discount selection]]&gt;0,VLOOKUP(_1_54128456121462410464578910174567[[#This Row],[Discount selection]],'Discount Structure'!$A$2:$B$30,2,"false"),0)</f>
        <v>1</v>
      </c>
      <c r="L883" s="194">
        <f>_1_54128456121462410464578910174567[[#This Row],[LIST $]]*_1_54128456121462410464578910174567[[#This Row],[DISCOUNT]]*_1_54128456121462410464578910174567[[#This Row],[DISCOUNT 2]]</f>
        <v>0</v>
      </c>
      <c r="M883" s="194">
        <f>IF(OR(_1_54128456121462410464578910174567[[#This Row],[UNIT]]&gt;0,_1_54128456121462410464578910174567[[#This Row],[UNIT]]&lt;0),_1_54128456121462410464578910174567[[#This Row],[UNIT]]*_1_54128456121462410464578910174567[[#This Row],[COST]],0)</f>
        <v>0</v>
      </c>
      <c r="N883" s="194">
        <f t="shared" si="13"/>
        <v>1.3</v>
      </c>
      <c r="O883" s="198">
        <f>_1_54128456121462410464578910174567[[#This Row],[TOTAL]]*_1_54128456121462410464578910174567[[#This Row],[MARGIN]]</f>
        <v>0</v>
      </c>
      <c r="P883" s="198"/>
      <c r="R883" s="41"/>
    </row>
    <row r="884" spans="4:18">
      <c r="D884" s="188"/>
      <c r="E884" s="42"/>
      <c r="F884" s="168" t="s">
        <v>6202</v>
      </c>
      <c r="G884" s="193">
        <f>IF(_1_54128456121462410464578910174567[[#This Row],[Type]]&gt;0,VLOOKUP(_1_54128456121462410464578910174567[[#This Row],[Type]],Main[[#All],[TYPE]:[UNIT]],'Unit Price'!C$1,FALSE),0)</f>
        <v>0</v>
      </c>
      <c r="H884" s="197">
        <f>IF(_1_54128456121462410464578910174567[[#This Row],[Type]]&gt;0,VLOOKUP(_1_54128456121462410464578910174567[[#This Row],[Type]],Main[[#All],[TYPE]:[UNIT]],'Unit Price'!D$1,FALSE),0)</f>
        <v>0</v>
      </c>
      <c r="I884" s="194">
        <f>IF(_1_54128456121462410464578910174567[[#This Row],[Type]]&gt;0,VLOOKUP(_1_54128456121462410464578910174567[[#This Row],[Type]],Main[[#All],[TYPE]:[UNIT]],'Unit Price'!G$1,FALSE),0)</f>
        <v>0</v>
      </c>
      <c r="J884" s="194">
        <f>IF(_1_54128456121462410464578910174567[[#This Row],[Type]]&gt;0,VLOOKUP(_1_54128456121462410464578910174567[[#This Row],[Type]],Main[[#All],[TYPE]:[UNIT]],'Unit Price'!H$1,FALSE),0)</f>
        <v>0</v>
      </c>
      <c r="K884" s="194">
        <f>IF(_1_54128456121462410464578910174567[[#This Row],[Discount selection]]&gt;0,VLOOKUP(_1_54128456121462410464578910174567[[#This Row],[Discount selection]],'Discount Structure'!$A$2:$B$30,2,"false"),0)</f>
        <v>1</v>
      </c>
      <c r="L884" s="194">
        <f>_1_54128456121462410464578910174567[[#This Row],[LIST $]]*_1_54128456121462410464578910174567[[#This Row],[DISCOUNT]]*_1_54128456121462410464578910174567[[#This Row],[DISCOUNT 2]]</f>
        <v>0</v>
      </c>
      <c r="M884" s="194">
        <f>IF(OR(_1_54128456121462410464578910174567[[#This Row],[UNIT]]&gt;0,_1_54128456121462410464578910174567[[#This Row],[UNIT]]&lt;0),_1_54128456121462410464578910174567[[#This Row],[UNIT]]*_1_54128456121462410464578910174567[[#This Row],[COST]],0)</f>
        <v>0</v>
      </c>
      <c r="N884" s="194">
        <f t="shared" si="13"/>
        <v>1.3</v>
      </c>
      <c r="O884" s="198">
        <f>_1_54128456121462410464578910174567[[#This Row],[TOTAL]]*_1_54128456121462410464578910174567[[#This Row],[MARGIN]]</f>
        <v>0</v>
      </c>
      <c r="P884" s="198"/>
      <c r="R884" s="41"/>
    </row>
    <row r="885" spans="4:18">
      <c r="D885" s="188"/>
      <c r="E885" s="42"/>
      <c r="F885" s="168" t="s">
        <v>6202</v>
      </c>
      <c r="G885" s="193">
        <f>IF(_1_54128456121462410464578910174567[[#This Row],[Type]]&gt;0,VLOOKUP(_1_54128456121462410464578910174567[[#This Row],[Type]],Main[[#All],[TYPE]:[UNIT]],'Unit Price'!C$1,FALSE),0)</f>
        <v>0</v>
      </c>
      <c r="H885" s="197">
        <f>IF(_1_54128456121462410464578910174567[[#This Row],[Type]]&gt;0,VLOOKUP(_1_54128456121462410464578910174567[[#This Row],[Type]],Main[[#All],[TYPE]:[UNIT]],'Unit Price'!D$1,FALSE),0)</f>
        <v>0</v>
      </c>
      <c r="I885" s="194">
        <f>IF(_1_54128456121462410464578910174567[[#This Row],[Type]]&gt;0,VLOOKUP(_1_54128456121462410464578910174567[[#This Row],[Type]],Main[[#All],[TYPE]:[UNIT]],'Unit Price'!G$1,FALSE),0)</f>
        <v>0</v>
      </c>
      <c r="J885" s="194">
        <f>IF(_1_54128456121462410464578910174567[[#This Row],[Type]]&gt;0,VLOOKUP(_1_54128456121462410464578910174567[[#This Row],[Type]],Main[[#All],[TYPE]:[UNIT]],'Unit Price'!H$1,FALSE),0)</f>
        <v>0</v>
      </c>
      <c r="K885" s="194">
        <f>IF(_1_54128456121462410464578910174567[[#This Row],[Discount selection]]&gt;0,VLOOKUP(_1_54128456121462410464578910174567[[#This Row],[Discount selection]],'Discount Structure'!$A$2:$B$30,2,"false"),0)</f>
        <v>1</v>
      </c>
      <c r="L885" s="194">
        <f>_1_54128456121462410464578910174567[[#This Row],[LIST $]]*_1_54128456121462410464578910174567[[#This Row],[DISCOUNT]]*_1_54128456121462410464578910174567[[#This Row],[DISCOUNT 2]]</f>
        <v>0</v>
      </c>
      <c r="M885" s="194">
        <f>IF(OR(_1_54128456121462410464578910174567[[#This Row],[UNIT]]&gt;0,_1_54128456121462410464578910174567[[#This Row],[UNIT]]&lt;0),_1_54128456121462410464578910174567[[#This Row],[UNIT]]*_1_54128456121462410464578910174567[[#This Row],[COST]],0)</f>
        <v>0</v>
      </c>
      <c r="N885" s="194">
        <f t="shared" si="13"/>
        <v>1.3</v>
      </c>
      <c r="O885" s="198">
        <f>_1_54128456121462410464578910174567[[#This Row],[TOTAL]]*_1_54128456121462410464578910174567[[#This Row],[MARGIN]]</f>
        <v>0</v>
      </c>
      <c r="P885" s="198"/>
      <c r="R885" s="41"/>
    </row>
    <row r="886" spans="4:18">
      <c r="D886" s="188"/>
      <c r="E886" s="42"/>
      <c r="F886" s="168" t="s">
        <v>6202</v>
      </c>
      <c r="G886" s="193">
        <f>IF(_1_54128456121462410464578910174567[[#This Row],[Type]]&gt;0,VLOOKUP(_1_54128456121462410464578910174567[[#This Row],[Type]],Main[[#All],[TYPE]:[UNIT]],'Unit Price'!C$1,FALSE),0)</f>
        <v>0</v>
      </c>
      <c r="H886" s="197">
        <f>IF(_1_54128456121462410464578910174567[[#This Row],[Type]]&gt;0,VLOOKUP(_1_54128456121462410464578910174567[[#This Row],[Type]],Main[[#All],[TYPE]:[UNIT]],'Unit Price'!D$1,FALSE),0)</f>
        <v>0</v>
      </c>
      <c r="I886" s="194">
        <f>IF(_1_54128456121462410464578910174567[[#This Row],[Type]]&gt;0,VLOOKUP(_1_54128456121462410464578910174567[[#This Row],[Type]],Main[[#All],[TYPE]:[UNIT]],'Unit Price'!G$1,FALSE),0)</f>
        <v>0</v>
      </c>
      <c r="J886" s="194">
        <f>IF(_1_54128456121462410464578910174567[[#This Row],[Type]]&gt;0,VLOOKUP(_1_54128456121462410464578910174567[[#This Row],[Type]],Main[[#All],[TYPE]:[UNIT]],'Unit Price'!H$1,FALSE),0)</f>
        <v>0</v>
      </c>
      <c r="K886" s="194">
        <f>IF(_1_54128456121462410464578910174567[[#This Row],[Discount selection]]&gt;0,VLOOKUP(_1_54128456121462410464578910174567[[#This Row],[Discount selection]],'Discount Structure'!$A$2:$B$30,2,"false"),0)</f>
        <v>1</v>
      </c>
      <c r="L886" s="194">
        <f>_1_54128456121462410464578910174567[[#This Row],[LIST $]]*_1_54128456121462410464578910174567[[#This Row],[DISCOUNT]]*_1_54128456121462410464578910174567[[#This Row],[DISCOUNT 2]]</f>
        <v>0</v>
      </c>
      <c r="M886" s="194">
        <f>IF(OR(_1_54128456121462410464578910174567[[#This Row],[UNIT]]&gt;0,_1_54128456121462410464578910174567[[#This Row],[UNIT]]&lt;0),_1_54128456121462410464578910174567[[#This Row],[UNIT]]*_1_54128456121462410464578910174567[[#This Row],[COST]],0)</f>
        <v>0</v>
      </c>
      <c r="N886" s="194">
        <f t="shared" si="13"/>
        <v>1.3</v>
      </c>
      <c r="O886" s="198">
        <f>_1_54128456121462410464578910174567[[#This Row],[TOTAL]]*_1_54128456121462410464578910174567[[#This Row],[MARGIN]]</f>
        <v>0</v>
      </c>
      <c r="P886" s="198"/>
      <c r="R886" s="41"/>
    </row>
    <row r="887" spans="4:18">
      <c r="D887" s="188"/>
      <c r="E887" s="42"/>
      <c r="F887" s="168" t="s">
        <v>6202</v>
      </c>
      <c r="G887" s="193">
        <f>IF(_1_54128456121462410464578910174567[[#This Row],[Type]]&gt;0,VLOOKUP(_1_54128456121462410464578910174567[[#This Row],[Type]],Main[[#All],[TYPE]:[UNIT]],'Unit Price'!C$1,FALSE),0)</f>
        <v>0</v>
      </c>
      <c r="H887" s="197">
        <f>IF(_1_54128456121462410464578910174567[[#This Row],[Type]]&gt;0,VLOOKUP(_1_54128456121462410464578910174567[[#This Row],[Type]],Main[[#All],[TYPE]:[UNIT]],'Unit Price'!D$1,FALSE),0)</f>
        <v>0</v>
      </c>
      <c r="I887" s="194">
        <f>IF(_1_54128456121462410464578910174567[[#This Row],[Type]]&gt;0,VLOOKUP(_1_54128456121462410464578910174567[[#This Row],[Type]],Main[[#All],[TYPE]:[UNIT]],'Unit Price'!G$1,FALSE),0)</f>
        <v>0</v>
      </c>
      <c r="J887" s="194">
        <f>IF(_1_54128456121462410464578910174567[[#This Row],[Type]]&gt;0,VLOOKUP(_1_54128456121462410464578910174567[[#This Row],[Type]],Main[[#All],[TYPE]:[UNIT]],'Unit Price'!H$1,FALSE),0)</f>
        <v>0</v>
      </c>
      <c r="K887" s="194">
        <f>IF(_1_54128456121462410464578910174567[[#This Row],[Discount selection]]&gt;0,VLOOKUP(_1_54128456121462410464578910174567[[#This Row],[Discount selection]],'Discount Structure'!$A$2:$B$30,2,"false"),0)</f>
        <v>1</v>
      </c>
      <c r="L887" s="194">
        <f>_1_54128456121462410464578910174567[[#This Row],[LIST $]]*_1_54128456121462410464578910174567[[#This Row],[DISCOUNT]]*_1_54128456121462410464578910174567[[#This Row],[DISCOUNT 2]]</f>
        <v>0</v>
      </c>
      <c r="M887" s="194">
        <f>IF(OR(_1_54128456121462410464578910174567[[#This Row],[UNIT]]&gt;0,_1_54128456121462410464578910174567[[#This Row],[UNIT]]&lt;0),_1_54128456121462410464578910174567[[#This Row],[UNIT]]*_1_54128456121462410464578910174567[[#This Row],[COST]],0)</f>
        <v>0</v>
      </c>
      <c r="N887" s="194">
        <f t="shared" si="13"/>
        <v>1.3</v>
      </c>
      <c r="O887" s="198">
        <f>_1_54128456121462410464578910174567[[#This Row],[TOTAL]]*_1_54128456121462410464578910174567[[#This Row],[MARGIN]]</f>
        <v>0</v>
      </c>
      <c r="P887" s="198"/>
      <c r="R887" s="41"/>
    </row>
    <row r="888" spans="4:18">
      <c r="D888" s="188"/>
      <c r="E888" s="42"/>
      <c r="F888" s="168" t="s">
        <v>6202</v>
      </c>
      <c r="G888" s="193">
        <f>IF(_1_54128456121462410464578910174567[[#This Row],[Type]]&gt;0,VLOOKUP(_1_54128456121462410464578910174567[[#This Row],[Type]],Main[[#All],[TYPE]:[UNIT]],'Unit Price'!C$1,FALSE),0)</f>
        <v>0</v>
      </c>
      <c r="H888" s="197">
        <f>IF(_1_54128456121462410464578910174567[[#This Row],[Type]]&gt;0,VLOOKUP(_1_54128456121462410464578910174567[[#This Row],[Type]],Main[[#All],[TYPE]:[UNIT]],'Unit Price'!D$1,FALSE),0)</f>
        <v>0</v>
      </c>
      <c r="I888" s="194">
        <f>IF(_1_54128456121462410464578910174567[[#This Row],[Type]]&gt;0,VLOOKUP(_1_54128456121462410464578910174567[[#This Row],[Type]],Main[[#All],[TYPE]:[UNIT]],'Unit Price'!G$1,FALSE),0)</f>
        <v>0</v>
      </c>
      <c r="J888" s="194">
        <f>IF(_1_54128456121462410464578910174567[[#This Row],[Type]]&gt;0,VLOOKUP(_1_54128456121462410464578910174567[[#This Row],[Type]],Main[[#All],[TYPE]:[UNIT]],'Unit Price'!H$1,FALSE),0)</f>
        <v>0</v>
      </c>
      <c r="K888" s="194">
        <f>IF(_1_54128456121462410464578910174567[[#This Row],[Discount selection]]&gt;0,VLOOKUP(_1_54128456121462410464578910174567[[#This Row],[Discount selection]],'Discount Structure'!$A$2:$B$30,2,"false"),0)</f>
        <v>1</v>
      </c>
      <c r="L888" s="194">
        <f>_1_54128456121462410464578910174567[[#This Row],[LIST $]]*_1_54128456121462410464578910174567[[#This Row],[DISCOUNT]]*_1_54128456121462410464578910174567[[#This Row],[DISCOUNT 2]]</f>
        <v>0</v>
      </c>
      <c r="M888" s="194">
        <f>IF(OR(_1_54128456121462410464578910174567[[#This Row],[UNIT]]&gt;0,_1_54128456121462410464578910174567[[#This Row],[UNIT]]&lt;0),_1_54128456121462410464578910174567[[#This Row],[UNIT]]*_1_54128456121462410464578910174567[[#This Row],[COST]],0)</f>
        <v>0</v>
      </c>
      <c r="N888" s="194">
        <f t="shared" si="13"/>
        <v>1.3</v>
      </c>
      <c r="O888" s="198">
        <f>_1_54128456121462410464578910174567[[#This Row],[TOTAL]]*_1_54128456121462410464578910174567[[#This Row],[MARGIN]]</f>
        <v>0</v>
      </c>
      <c r="P888" s="198"/>
      <c r="R888" s="41"/>
    </row>
    <row r="889" spans="4:18">
      <c r="D889" s="188"/>
      <c r="E889" s="42"/>
      <c r="F889" s="168" t="s">
        <v>6202</v>
      </c>
      <c r="G889" s="193">
        <f>IF(_1_54128456121462410464578910174567[[#This Row],[Type]]&gt;0,VLOOKUP(_1_54128456121462410464578910174567[[#This Row],[Type]],Main[[#All],[TYPE]:[UNIT]],'Unit Price'!C$1,FALSE),0)</f>
        <v>0</v>
      </c>
      <c r="H889" s="197">
        <f>IF(_1_54128456121462410464578910174567[[#This Row],[Type]]&gt;0,VLOOKUP(_1_54128456121462410464578910174567[[#This Row],[Type]],Main[[#All],[TYPE]:[UNIT]],'Unit Price'!D$1,FALSE),0)</f>
        <v>0</v>
      </c>
      <c r="I889" s="194">
        <f>IF(_1_54128456121462410464578910174567[[#This Row],[Type]]&gt;0,VLOOKUP(_1_54128456121462410464578910174567[[#This Row],[Type]],Main[[#All],[TYPE]:[UNIT]],'Unit Price'!G$1,FALSE),0)</f>
        <v>0</v>
      </c>
      <c r="J889" s="194">
        <f>IF(_1_54128456121462410464578910174567[[#This Row],[Type]]&gt;0,VLOOKUP(_1_54128456121462410464578910174567[[#This Row],[Type]],Main[[#All],[TYPE]:[UNIT]],'Unit Price'!H$1,FALSE),0)</f>
        <v>0</v>
      </c>
      <c r="K889" s="194">
        <f>IF(_1_54128456121462410464578910174567[[#This Row],[Discount selection]]&gt;0,VLOOKUP(_1_54128456121462410464578910174567[[#This Row],[Discount selection]],'Discount Structure'!$A$2:$B$30,2,"false"),0)</f>
        <v>1</v>
      </c>
      <c r="L889" s="194">
        <f>_1_54128456121462410464578910174567[[#This Row],[LIST $]]*_1_54128456121462410464578910174567[[#This Row],[DISCOUNT]]*_1_54128456121462410464578910174567[[#This Row],[DISCOUNT 2]]</f>
        <v>0</v>
      </c>
      <c r="M889" s="194">
        <f>IF(OR(_1_54128456121462410464578910174567[[#This Row],[UNIT]]&gt;0,_1_54128456121462410464578910174567[[#This Row],[UNIT]]&lt;0),_1_54128456121462410464578910174567[[#This Row],[UNIT]]*_1_54128456121462410464578910174567[[#This Row],[COST]],0)</f>
        <v>0</v>
      </c>
      <c r="N889" s="194">
        <f t="shared" si="13"/>
        <v>1.3</v>
      </c>
      <c r="O889" s="198">
        <f>_1_54128456121462410464578910174567[[#This Row],[TOTAL]]*_1_54128456121462410464578910174567[[#This Row],[MARGIN]]</f>
        <v>0</v>
      </c>
      <c r="P889" s="198"/>
      <c r="R889" s="41"/>
    </row>
    <row r="890" spans="4:18">
      <c r="D890" s="188"/>
      <c r="E890" s="42"/>
      <c r="F890" s="168" t="s">
        <v>6202</v>
      </c>
      <c r="G890" s="193">
        <f>IF(_1_54128456121462410464578910174567[[#This Row],[Type]]&gt;0,VLOOKUP(_1_54128456121462410464578910174567[[#This Row],[Type]],Main[[#All],[TYPE]:[UNIT]],'Unit Price'!C$1,FALSE),0)</f>
        <v>0</v>
      </c>
      <c r="H890" s="197">
        <f>IF(_1_54128456121462410464578910174567[[#This Row],[Type]]&gt;0,VLOOKUP(_1_54128456121462410464578910174567[[#This Row],[Type]],Main[[#All],[TYPE]:[UNIT]],'Unit Price'!D$1,FALSE),0)</f>
        <v>0</v>
      </c>
      <c r="I890" s="194">
        <f>IF(_1_54128456121462410464578910174567[[#This Row],[Type]]&gt;0,VLOOKUP(_1_54128456121462410464578910174567[[#This Row],[Type]],Main[[#All],[TYPE]:[UNIT]],'Unit Price'!G$1,FALSE),0)</f>
        <v>0</v>
      </c>
      <c r="J890" s="194">
        <f>IF(_1_54128456121462410464578910174567[[#This Row],[Type]]&gt;0,VLOOKUP(_1_54128456121462410464578910174567[[#This Row],[Type]],Main[[#All],[TYPE]:[UNIT]],'Unit Price'!H$1,FALSE),0)</f>
        <v>0</v>
      </c>
      <c r="K890" s="194">
        <f>IF(_1_54128456121462410464578910174567[[#This Row],[Discount selection]]&gt;0,VLOOKUP(_1_54128456121462410464578910174567[[#This Row],[Discount selection]],'Discount Structure'!$A$2:$B$30,2,"false"),0)</f>
        <v>1</v>
      </c>
      <c r="L890" s="194">
        <f>_1_54128456121462410464578910174567[[#This Row],[LIST $]]*_1_54128456121462410464578910174567[[#This Row],[DISCOUNT]]*_1_54128456121462410464578910174567[[#This Row],[DISCOUNT 2]]</f>
        <v>0</v>
      </c>
      <c r="M890" s="194">
        <f>IF(OR(_1_54128456121462410464578910174567[[#This Row],[UNIT]]&gt;0,_1_54128456121462410464578910174567[[#This Row],[UNIT]]&lt;0),_1_54128456121462410464578910174567[[#This Row],[UNIT]]*_1_54128456121462410464578910174567[[#This Row],[COST]],0)</f>
        <v>0</v>
      </c>
      <c r="N890" s="194">
        <f t="shared" si="13"/>
        <v>1.3</v>
      </c>
      <c r="O890" s="198">
        <f>_1_54128456121462410464578910174567[[#This Row],[TOTAL]]*_1_54128456121462410464578910174567[[#This Row],[MARGIN]]</f>
        <v>0</v>
      </c>
      <c r="P890" s="198"/>
      <c r="R890" s="41"/>
    </row>
    <row r="891" spans="4:18">
      <c r="D891" s="188"/>
      <c r="E891" s="42"/>
      <c r="F891" s="168" t="s">
        <v>6202</v>
      </c>
      <c r="G891" s="193">
        <f>IF(_1_54128456121462410464578910174567[[#This Row],[Type]]&gt;0,VLOOKUP(_1_54128456121462410464578910174567[[#This Row],[Type]],Main[[#All],[TYPE]:[UNIT]],'Unit Price'!C$1,FALSE),0)</f>
        <v>0</v>
      </c>
      <c r="H891" s="197">
        <f>IF(_1_54128456121462410464578910174567[[#This Row],[Type]]&gt;0,VLOOKUP(_1_54128456121462410464578910174567[[#This Row],[Type]],Main[[#All],[TYPE]:[UNIT]],'Unit Price'!D$1,FALSE),0)</f>
        <v>0</v>
      </c>
      <c r="I891" s="194">
        <f>IF(_1_54128456121462410464578910174567[[#This Row],[Type]]&gt;0,VLOOKUP(_1_54128456121462410464578910174567[[#This Row],[Type]],Main[[#All],[TYPE]:[UNIT]],'Unit Price'!G$1,FALSE),0)</f>
        <v>0</v>
      </c>
      <c r="J891" s="194">
        <f>IF(_1_54128456121462410464578910174567[[#This Row],[Type]]&gt;0,VLOOKUP(_1_54128456121462410464578910174567[[#This Row],[Type]],Main[[#All],[TYPE]:[UNIT]],'Unit Price'!H$1,FALSE),0)</f>
        <v>0</v>
      </c>
      <c r="K891" s="194">
        <f>IF(_1_54128456121462410464578910174567[[#This Row],[Discount selection]]&gt;0,VLOOKUP(_1_54128456121462410464578910174567[[#This Row],[Discount selection]],'Discount Structure'!$A$2:$B$30,2,"false"),0)</f>
        <v>1</v>
      </c>
      <c r="L891" s="194">
        <f>_1_54128456121462410464578910174567[[#This Row],[LIST $]]*_1_54128456121462410464578910174567[[#This Row],[DISCOUNT]]*_1_54128456121462410464578910174567[[#This Row],[DISCOUNT 2]]</f>
        <v>0</v>
      </c>
      <c r="M891" s="194">
        <f>IF(OR(_1_54128456121462410464578910174567[[#This Row],[UNIT]]&gt;0,_1_54128456121462410464578910174567[[#This Row],[UNIT]]&lt;0),_1_54128456121462410464578910174567[[#This Row],[UNIT]]*_1_54128456121462410464578910174567[[#This Row],[COST]],0)</f>
        <v>0</v>
      </c>
      <c r="N891" s="194">
        <f t="shared" si="13"/>
        <v>1.3</v>
      </c>
      <c r="O891" s="198">
        <f>_1_54128456121462410464578910174567[[#This Row],[TOTAL]]*_1_54128456121462410464578910174567[[#This Row],[MARGIN]]</f>
        <v>0</v>
      </c>
      <c r="P891" s="198"/>
      <c r="R891" s="41"/>
    </row>
    <row r="892" spans="4:18">
      <c r="D892" s="188"/>
      <c r="E892" s="42"/>
      <c r="F892" s="168" t="s">
        <v>6202</v>
      </c>
      <c r="G892" s="193">
        <f>IF(_1_54128456121462410464578910174567[[#This Row],[Type]]&gt;0,VLOOKUP(_1_54128456121462410464578910174567[[#This Row],[Type]],Main[[#All],[TYPE]:[UNIT]],'Unit Price'!C$1,FALSE),0)</f>
        <v>0</v>
      </c>
      <c r="H892" s="197">
        <f>IF(_1_54128456121462410464578910174567[[#This Row],[Type]]&gt;0,VLOOKUP(_1_54128456121462410464578910174567[[#This Row],[Type]],Main[[#All],[TYPE]:[UNIT]],'Unit Price'!D$1,FALSE),0)</f>
        <v>0</v>
      </c>
      <c r="I892" s="194">
        <f>IF(_1_54128456121462410464578910174567[[#This Row],[Type]]&gt;0,VLOOKUP(_1_54128456121462410464578910174567[[#This Row],[Type]],Main[[#All],[TYPE]:[UNIT]],'Unit Price'!G$1,FALSE),0)</f>
        <v>0</v>
      </c>
      <c r="J892" s="194">
        <f>IF(_1_54128456121462410464578910174567[[#This Row],[Type]]&gt;0,VLOOKUP(_1_54128456121462410464578910174567[[#This Row],[Type]],Main[[#All],[TYPE]:[UNIT]],'Unit Price'!H$1,FALSE),0)</f>
        <v>0</v>
      </c>
      <c r="K892" s="194">
        <f>IF(_1_54128456121462410464578910174567[[#This Row],[Discount selection]]&gt;0,VLOOKUP(_1_54128456121462410464578910174567[[#This Row],[Discount selection]],'Discount Structure'!$A$2:$B$30,2,"false"),0)</f>
        <v>1</v>
      </c>
      <c r="L892" s="194">
        <f>_1_54128456121462410464578910174567[[#This Row],[LIST $]]*_1_54128456121462410464578910174567[[#This Row],[DISCOUNT]]*_1_54128456121462410464578910174567[[#This Row],[DISCOUNT 2]]</f>
        <v>0</v>
      </c>
      <c r="M892" s="194">
        <f>IF(OR(_1_54128456121462410464578910174567[[#This Row],[UNIT]]&gt;0,_1_54128456121462410464578910174567[[#This Row],[UNIT]]&lt;0),_1_54128456121462410464578910174567[[#This Row],[UNIT]]*_1_54128456121462410464578910174567[[#This Row],[COST]],0)</f>
        <v>0</v>
      </c>
      <c r="N892" s="194">
        <f t="shared" si="13"/>
        <v>1.3</v>
      </c>
      <c r="O892" s="198">
        <f>_1_54128456121462410464578910174567[[#This Row],[TOTAL]]*_1_54128456121462410464578910174567[[#This Row],[MARGIN]]</f>
        <v>0</v>
      </c>
      <c r="P892" s="198"/>
      <c r="R892" s="41"/>
    </row>
    <row r="893" spans="4:18">
      <c r="D893" s="188"/>
      <c r="E893" s="42"/>
      <c r="F893" s="168" t="s">
        <v>6202</v>
      </c>
      <c r="G893" s="193">
        <f>IF(_1_54128456121462410464578910174567[[#This Row],[Type]]&gt;0,VLOOKUP(_1_54128456121462410464578910174567[[#This Row],[Type]],Main[[#All],[TYPE]:[UNIT]],'Unit Price'!C$1,FALSE),0)</f>
        <v>0</v>
      </c>
      <c r="H893" s="197">
        <f>IF(_1_54128456121462410464578910174567[[#This Row],[Type]]&gt;0,VLOOKUP(_1_54128456121462410464578910174567[[#This Row],[Type]],Main[[#All],[TYPE]:[UNIT]],'Unit Price'!D$1,FALSE),0)</f>
        <v>0</v>
      </c>
      <c r="I893" s="194">
        <f>IF(_1_54128456121462410464578910174567[[#This Row],[Type]]&gt;0,VLOOKUP(_1_54128456121462410464578910174567[[#This Row],[Type]],Main[[#All],[TYPE]:[UNIT]],'Unit Price'!G$1,FALSE),0)</f>
        <v>0</v>
      </c>
      <c r="J893" s="194">
        <f>IF(_1_54128456121462410464578910174567[[#This Row],[Type]]&gt;0,VLOOKUP(_1_54128456121462410464578910174567[[#This Row],[Type]],Main[[#All],[TYPE]:[UNIT]],'Unit Price'!H$1,FALSE),0)</f>
        <v>0</v>
      </c>
      <c r="K893" s="194">
        <f>IF(_1_54128456121462410464578910174567[[#This Row],[Discount selection]]&gt;0,VLOOKUP(_1_54128456121462410464578910174567[[#This Row],[Discount selection]],'Discount Structure'!$A$2:$B$30,2,"false"),0)</f>
        <v>1</v>
      </c>
      <c r="L893" s="194">
        <f>_1_54128456121462410464578910174567[[#This Row],[LIST $]]*_1_54128456121462410464578910174567[[#This Row],[DISCOUNT]]*_1_54128456121462410464578910174567[[#This Row],[DISCOUNT 2]]</f>
        <v>0</v>
      </c>
      <c r="M893" s="194">
        <f>IF(OR(_1_54128456121462410464578910174567[[#This Row],[UNIT]]&gt;0,_1_54128456121462410464578910174567[[#This Row],[UNIT]]&lt;0),_1_54128456121462410464578910174567[[#This Row],[UNIT]]*_1_54128456121462410464578910174567[[#This Row],[COST]],0)</f>
        <v>0</v>
      </c>
      <c r="N893" s="194">
        <f t="shared" si="13"/>
        <v>1.3</v>
      </c>
      <c r="O893" s="198">
        <f>_1_54128456121462410464578910174567[[#This Row],[TOTAL]]*_1_54128456121462410464578910174567[[#This Row],[MARGIN]]</f>
        <v>0</v>
      </c>
      <c r="P893" s="198"/>
      <c r="R893" s="41"/>
    </row>
    <row r="894" spans="4:18">
      <c r="D894" s="188"/>
      <c r="E894" s="42"/>
      <c r="F894" s="168" t="s">
        <v>6202</v>
      </c>
      <c r="G894" s="193">
        <f>IF(_1_54128456121462410464578910174567[[#This Row],[Type]]&gt;0,VLOOKUP(_1_54128456121462410464578910174567[[#This Row],[Type]],Main[[#All],[TYPE]:[UNIT]],'Unit Price'!C$1,FALSE),0)</f>
        <v>0</v>
      </c>
      <c r="H894" s="197">
        <f>IF(_1_54128456121462410464578910174567[[#This Row],[Type]]&gt;0,VLOOKUP(_1_54128456121462410464578910174567[[#This Row],[Type]],Main[[#All],[TYPE]:[UNIT]],'Unit Price'!D$1,FALSE),0)</f>
        <v>0</v>
      </c>
      <c r="I894" s="194">
        <f>IF(_1_54128456121462410464578910174567[[#This Row],[Type]]&gt;0,VLOOKUP(_1_54128456121462410464578910174567[[#This Row],[Type]],Main[[#All],[TYPE]:[UNIT]],'Unit Price'!G$1,FALSE),0)</f>
        <v>0</v>
      </c>
      <c r="J894" s="194">
        <f>IF(_1_54128456121462410464578910174567[[#This Row],[Type]]&gt;0,VLOOKUP(_1_54128456121462410464578910174567[[#This Row],[Type]],Main[[#All],[TYPE]:[UNIT]],'Unit Price'!H$1,FALSE),0)</f>
        <v>0</v>
      </c>
      <c r="K894" s="194">
        <f>IF(_1_54128456121462410464578910174567[[#This Row],[Discount selection]]&gt;0,VLOOKUP(_1_54128456121462410464578910174567[[#This Row],[Discount selection]],'Discount Structure'!$A$2:$B$30,2,"false"),0)</f>
        <v>1</v>
      </c>
      <c r="L894" s="194">
        <f>_1_54128456121462410464578910174567[[#This Row],[LIST $]]*_1_54128456121462410464578910174567[[#This Row],[DISCOUNT]]*_1_54128456121462410464578910174567[[#This Row],[DISCOUNT 2]]</f>
        <v>0</v>
      </c>
      <c r="M894" s="194">
        <f>IF(OR(_1_54128456121462410464578910174567[[#This Row],[UNIT]]&gt;0,_1_54128456121462410464578910174567[[#This Row],[UNIT]]&lt;0),_1_54128456121462410464578910174567[[#This Row],[UNIT]]*_1_54128456121462410464578910174567[[#This Row],[COST]],0)</f>
        <v>0</v>
      </c>
      <c r="N894" s="194">
        <f t="shared" si="13"/>
        <v>1.3</v>
      </c>
      <c r="O894" s="198">
        <f>_1_54128456121462410464578910174567[[#This Row],[TOTAL]]*_1_54128456121462410464578910174567[[#This Row],[MARGIN]]</f>
        <v>0</v>
      </c>
      <c r="P894" s="198"/>
      <c r="R894" s="41"/>
    </row>
    <row r="895" spans="4:18">
      <c r="D895" s="188"/>
      <c r="E895" s="42"/>
      <c r="F895" s="168" t="s">
        <v>6202</v>
      </c>
      <c r="G895" s="193">
        <f>IF(_1_54128456121462410464578910174567[[#This Row],[Type]]&gt;0,VLOOKUP(_1_54128456121462410464578910174567[[#This Row],[Type]],Main[[#All],[TYPE]:[UNIT]],'Unit Price'!C$1,FALSE),0)</f>
        <v>0</v>
      </c>
      <c r="H895" s="197">
        <f>IF(_1_54128456121462410464578910174567[[#This Row],[Type]]&gt;0,VLOOKUP(_1_54128456121462410464578910174567[[#This Row],[Type]],Main[[#All],[TYPE]:[UNIT]],'Unit Price'!D$1,FALSE),0)</f>
        <v>0</v>
      </c>
      <c r="I895" s="194">
        <f>IF(_1_54128456121462410464578910174567[[#This Row],[Type]]&gt;0,VLOOKUP(_1_54128456121462410464578910174567[[#This Row],[Type]],Main[[#All],[TYPE]:[UNIT]],'Unit Price'!G$1,FALSE),0)</f>
        <v>0</v>
      </c>
      <c r="J895" s="194">
        <f>IF(_1_54128456121462410464578910174567[[#This Row],[Type]]&gt;0,VLOOKUP(_1_54128456121462410464578910174567[[#This Row],[Type]],Main[[#All],[TYPE]:[UNIT]],'Unit Price'!H$1,FALSE),0)</f>
        <v>0</v>
      </c>
      <c r="K895" s="194">
        <f>IF(_1_54128456121462410464578910174567[[#This Row],[Discount selection]]&gt;0,VLOOKUP(_1_54128456121462410464578910174567[[#This Row],[Discount selection]],'Discount Structure'!$A$2:$B$30,2,"false"),0)</f>
        <v>1</v>
      </c>
      <c r="L895" s="194">
        <f>_1_54128456121462410464578910174567[[#This Row],[LIST $]]*_1_54128456121462410464578910174567[[#This Row],[DISCOUNT]]*_1_54128456121462410464578910174567[[#This Row],[DISCOUNT 2]]</f>
        <v>0</v>
      </c>
      <c r="M895" s="194">
        <f>IF(OR(_1_54128456121462410464578910174567[[#This Row],[UNIT]]&gt;0,_1_54128456121462410464578910174567[[#This Row],[UNIT]]&lt;0),_1_54128456121462410464578910174567[[#This Row],[UNIT]]*_1_54128456121462410464578910174567[[#This Row],[COST]],0)</f>
        <v>0</v>
      </c>
      <c r="N895" s="194">
        <f t="shared" si="13"/>
        <v>1.3</v>
      </c>
      <c r="O895" s="198">
        <f>_1_54128456121462410464578910174567[[#This Row],[TOTAL]]*_1_54128456121462410464578910174567[[#This Row],[MARGIN]]</f>
        <v>0</v>
      </c>
      <c r="P895" s="198"/>
      <c r="R895" s="41"/>
    </row>
    <row r="896" spans="4:18">
      <c r="D896" s="188"/>
      <c r="E896" s="42"/>
      <c r="F896" s="168" t="s">
        <v>6202</v>
      </c>
      <c r="G896" s="193">
        <f>IF(_1_54128456121462410464578910174567[[#This Row],[Type]]&gt;0,VLOOKUP(_1_54128456121462410464578910174567[[#This Row],[Type]],Main[[#All],[TYPE]:[UNIT]],'Unit Price'!C$1,FALSE),0)</f>
        <v>0</v>
      </c>
      <c r="H896" s="197">
        <f>IF(_1_54128456121462410464578910174567[[#This Row],[Type]]&gt;0,VLOOKUP(_1_54128456121462410464578910174567[[#This Row],[Type]],Main[[#All],[TYPE]:[UNIT]],'Unit Price'!D$1,FALSE),0)</f>
        <v>0</v>
      </c>
      <c r="I896" s="194">
        <f>IF(_1_54128456121462410464578910174567[[#This Row],[Type]]&gt;0,VLOOKUP(_1_54128456121462410464578910174567[[#This Row],[Type]],Main[[#All],[TYPE]:[UNIT]],'Unit Price'!G$1,FALSE),0)</f>
        <v>0</v>
      </c>
      <c r="J896" s="194">
        <f>IF(_1_54128456121462410464578910174567[[#This Row],[Type]]&gt;0,VLOOKUP(_1_54128456121462410464578910174567[[#This Row],[Type]],Main[[#All],[TYPE]:[UNIT]],'Unit Price'!H$1,FALSE),0)</f>
        <v>0</v>
      </c>
      <c r="K896" s="194">
        <f>IF(_1_54128456121462410464578910174567[[#This Row],[Discount selection]]&gt;0,VLOOKUP(_1_54128456121462410464578910174567[[#This Row],[Discount selection]],'Discount Structure'!$A$2:$B$30,2,"false"),0)</f>
        <v>1</v>
      </c>
      <c r="L896" s="194">
        <f>_1_54128456121462410464578910174567[[#This Row],[LIST $]]*_1_54128456121462410464578910174567[[#This Row],[DISCOUNT]]*_1_54128456121462410464578910174567[[#This Row],[DISCOUNT 2]]</f>
        <v>0</v>
      </c>
      <c r="M896" s="194">
        <f>IF(OR(_1_54128456121462410464578910174567[[#This Row],[UNIT]]&gt;0,_1_54128456121462410464578910174567[[#This Row],[UNIT]]&lt;0),_1_54128456121462410464578910174567[[#This Row],[UNIT]]*_1_54128456121462410464578910174567[[#This Row],[COST]],0)</f>
        <v>0</v>
      </c>
      <c r="N896" s="194">
        <f t="shared" si="13"/>
        <v>1.3</v>
      </c>
      <c r="O896" s="198">
        <f>_1_54128456121462410464578910174567[[#This Row],[TOTAL]]*_1_54128456121462410464578910174567[[#This Row],[MARGIN]]</f>
        <v>0</v>
      </c>
      <c r="P896" s="198"/>
      <c r="R896" s="41"/>
    </row>
    <row r="897" spans="4:18">
      <c r="D897" s="188"/>
      <c r="E897" s="42"/>
      <c r="F897" s="168" t="s">
        <v>6202</v>
      </c>
      <c r="G897" s="193">
        <f>IF(_1_54128456121462410464578910174567[[#This Row],[Type]]&gt;0,VLOOKUP(_1_54128456121462410464578910174567[[#This Row],[Type]],Main[[#All],[TYPE]:[UNIT]],'Unit Price'!C$1,FALSE),0)</f>
        <v>0</v>
      </c>
      <c r="H897" s="197">
        <f>IF(_1_54128456121462410464578910174567[[#This Row],[Type]]&gt;0,VLOOKUP(_1_54128456121462410464578910174567[[#This Row],[Type]],Main[[#All],[TYPE]:[UNIT]],'Unit Price'!D$1,FALSE),0)</f>
        <v>0</v>
      </c>
      <c r="I897" s="194">
        <f>IF(_1_54128456121462410464578910174567[[#This Row],[Type]]&gt;0,VLOOKUP(_1_54128456121462410464578910174567[[#This Row],[Type]],Main[[#All],[TYPE]:[UNIT]],'Unit Price'!G$1,FALSE),0)</f>
        <v>0</v>
      </c>
      <c r="J897" s="194">
        <f>IF(_1_54128456121462410464578910174567[[#This Row],[Type]]&gt;0,VLOOKUP(_1_54128456121462410464578910174567[[#This Row],[Type]],Main[[#All],[TYPE]:[UNIT]],'Unit Price'!H$1,FALSE),0)</f>
        <v>0</v>
      </c>
      <c r="K897" s="194">
        <f>IF(_1_54128456121462410464578910174567[[#This Row],[Discount selection]]&gt;0,VLOOKUP(_1_54128456121462410464578910174567[[#This Row],[Discount selection]],'Discount Structure'!$A$2:$B$30,2,"false"),0)</f>
        <v>1</v>
      </c>
      <c r="L897" s="194">
        <f>_1_54128456121462410464578910174567[[#This Row],[LIST $]]*_1_54128456121462410464578910174567[[#This Row],[DISCOUNT]]*_1_54128456121462410464578910174567[[#This Row],[DISCOUNT 2]]</f>
        <v>0</v>
      </c>
      <c r="M897" s="194">
        <f>IF(OR(_1_54128456121462410464578910174567[[#This Row],[UNIT]]&gt;0,_1_54128456121462410464578910174567[[#This Row],[UNIT]]&lt;0),_1_54128456121462410464578910174567[[#This Row],[UNIT]]*_1_54128456121462410464578910174567[[#This Row],[COST]],0)</f>
        <v>0</v>
      </c>
      <c r="N897" s="194">
        <f t="shared" si="13"/>
        <v>1.3</v>
      </c>
      <c r="O897" s="198">
        <f>_1_54128456121462410464578910174567[[#This Row],[TOTAL]]*_1_54128456121462410464578910174567[[#This Row],[MARGIN]]</f>
        <v>0</v>
      </c>
      <c r="P897" s="198"/>
      <c r="R897" s="41"/>
    </row>
    <row r="898" spans="4:18">
      <c r="D898" s="188"/>
      <c r="E898" s="42"/>
      <c r="F898" s="168" t="s">
        <v>6202</v>
      </c>
      <c r="G898" s="193">
        <f>IF(_1_54128456121462410464578910174567[[#This Row],[Type]]&gt;0,VLOOKUP(_1_54128456121462410464578910174567[[#This Row],[Type]],Main[[#All],[TYPE]:[UNIT]],'Unit Price'!C$1,FALSE),0)</f>
        <v>0</v>
      </c>
      <c r="H898" s="197">
        <f>IF(_1_54128456121462410464578910174567[[#This Row],[Type]]&gt;0,VLOOKUP(_1_54128456121462410464578910174567[[#This Row],[Type]],Main[[#All],[TYPE]:[UNIT]],'Unit Price'!D$1,FALSE),0)</f>
        <v>0</v>
      </c>
      <c r="I898" s="194">
        <f>IF(_1_54128456121462410464578910174567[[#This Row],[Type]]&gt;0,VLOOKUP(_1_54128456121462410464578910174567[[#This Row],[Type]],Main[[#All],[TYPE]:[UNIT]],'Unit Price'!G$1,FALSE),0)</f>
        <v>0</v>
      </c>
      <c r="J898" s="194">
        <f>IF(_1_54128456121462410464578910174567[[#This Row],[Type]]&gt;0,VLOOKUP(_1_54128456121462410464578910174567[[#This Row],[Type]],Main[[#All],[TYPE]:[UNIT]],'Unit Price'!H$1,FALSE),0)</f>
        <v>0</v>
      </c>
      <c r="K898" s="194">
        <f>IF(_1_54128456121462410464578910174567[[#This Row],[Discount selection]]&gt;0,VLOOKUP(_1_54128456121462410464578910174567[[#This Row],[Discount selection]],'Discount Structure'!$A$2:$B$30,2,"false"),0)</f>
        <v>1</v>
      </c>
      <c r="L898" s="194">
        <f>_1_54128456121462410464578910174567[[#This Row],[LIST $]]*_1_54128456121462410464578910174567[[#This Row],[DISCOUNT]]*_1_54128456121462410464578910174567[[#This Row],[DISCOUNT 2]]</f>
        <v>0</v>
      </c>
      <c r="M898" s="194">
        <f>IF(OR(_1_54128456121462410464578910174567[[#This Row],[UNIT]]&gt;0,_1_54128456121462410464578910174567[[#This Row],[UNIT]]&lt;0),_1_54128456121462410464578910174567[[#This Row],[UNIT]]*_1_54128456121462410464578910174567[[#This Row],[COST]],0)</f>
        <v>0</v>
      </c>
      <c r="N898" s="194">
        <f t="shared" si="13"/>
        <v>1.3</v>
      </c>
      <c r="O898" s="198">
        <f>_1_54128456121462410464578910174567[[#This Row],[TOTAL]]*_1_54128456121462410464578910174567[[#This Row],[MARGIN]]</f>
        <v>0</v>
      </c>
      <c r="P898" s="198"/>
      <c r="R898" s="41"/>
    </row>
    <row r="899" spans="4:18">
      <c r="D899" s="188"/>
      <c r="E899" s="42"/>
      <c r="F899" s="168" t="s">
        <v>6202</v>
      </c>
      <c r="G899" s="193">
        <f>IF(_1_54128456121462410464578910174567[[#This Row],[Type]]&gt;0,VLOOKUP(_1_54128456121462410464578910174567[[#This Row],[Type]],Main[[#All],[TYPE]:[UNIT]],'Unit Price'!C$1,FALSE),0)</f>
        <v>0</v>
      </c>
      <c r="H899" s="197">
        <f>IF(_1_54128456121462410464578910174567[[#This Row],[Type]]&gt;0,VLOOKUP(_1_54128456121462410464578910174567[[#This Row],[Type]],Main[[#All],[TYPE]:[UNIT]],'Unit Price'!D$1,FALSE),0)</f>
        <v>0</v>
      </c>
      <c r="I899" s="194">
        <f>IF(_1_54128456121462410464578910174567[[#This Row],[Type]]&gt;0,VLOOKUP(_1_54128456121462410464578910174567[[#This Row],[Type]],Main[[#All],[TYPE]:[UNIT]],'Unit Price'!G$1,FALSE),0)</f>
        <v>0</v>
      </c>
      <c r="J899" s="194">
        <f>IF(_1_54128456121462410464578910174567[[#This Row],[Type]]&gt;0,VLOOKUP(_1_54128456121462410464578910174567[[#This Row],[Type]],Main[[#All],[TYPE]:[UNIT]],'Unit Price'!H$1,FALSE),0)</f>
        <v>0</v>
      </c>
      <c r="K899" s="194">
        <f>IF(_1_54128456121462410464578910174567[[#This Row],[Discount selection]]&gt;0,VLOOKUP(_1_54128456121462410464578910174567[[#This Row],[Discount selection]],'Discount Structure'!$A$2:$B$30,2,"false"),0)</f>
        <v>1</v>
      </c>
      <c r="L899" s="194">
        <f>_1_54128456121462410464578910174567[[#This Row],[LIST $]]*_1_54128456121462410464578910174567[[#This Row],[DISCOUNT]]*_1_54128456121462410464578910174567[[#This Row],[DISCOUNT 2]]</f>
        <v>0</v>
      </c>
      <c r="M899" s="194">
        <f>IF(OR(_1_54128456121462410464578910174567[[#This Row],[UNIT]]&gt;0,_1_54128456121462410464578910174567[[#This Row],[UNIT]]&lt;0),_1_54128456121462410464578910174567[[#This Row],[UNIT]]*_1_54128456121462410464578910174567[[#This Row],[COST]],0)</f>
        <v>0</v>
      </c>
      <c r="N899" s="194">
        <f t="shared" si="13"/>
        <v>1.3</v>
      </c>
      <c r="O899" s="198">
        <f>_1_54128456121462410464578910174567[[#This Row],[TOTAL]]*_1_54128456121462410464578910174567[[#This Row],[MARGIN]]</f>
        <v>0</v>
      </c>
      <c r="P899" s="198"/>
      <c r="R899" s="41"/>
    </row>
    <row r="900" spans="4:18">
      <c r="D900" s="188"/>
      <c r="E900" s="42"/>
      <c r="F900" s="168" t="s">
        <v>6202</v>
      </c>
      <c r="G900" s="193">
        <f>IF(_1_54128456121462410464578910174567[[#This Row],[Type]]&gt;0,VLOOKUP(_1_54128456121462410464578910174567[[#This Row],[Type]],Main[[#All],[TYPE]:[UNIT]],'Unit Price'!C$1,FALSE),0)</f>
        <v>0</v>
      </c>
      <c r="H900" s="197">
        <f>IF(_1_54128456121462410464578910174567[[#This Row],[Type]]&gt;0,VLOOKUP(_1_54128456121462410464578910174567[[#This Row],[Type]],Main[[#All],[TYPE]:[UNIT]],'Unit Price'!D$1,FALSE),0)</f>
        <v>0</v>
      </c>
      <c r="I900" s="194">
        <f>IF(_1_54128456121462410464578910174567[[#This Row],[Type]]&gt;0,VLOOKUP(_1_54128456121462410464578910174567[[#This Row],[Type]],Main[[#All],[TYPE]:[UNIT]],'Unit Price'!G$1,FALSE),0)</f>
        <v>0</v>
      </c>
      <c r="J900" s="194">
        <f>IF(_1_54128456121462410464578910174567[[#This Row],[Type]]&gt;0,VLOOKUP(_1_54128456121462410464578910174567[[#This Row],[Type]],Main[[#All],[TYPE]:[UNIT]],'Unit Price'!H$1,FALSE),0)</f>
        <v>0</v>
      </c>
      <c r="K900" s="194">
        <f>IF(_1_54128456121462410464578910174567[[#This Row],[Discount selection]]&gt;0,VLOOKUP(_1_54128456121462410464578910174567[[#This Row],[Discount selection]],'Discount Structure'!$A$2:$B$30,2,"false"),0)</f>
        <v>1</v>
      </c>
      <c r="L900" s="194">
        <f>_1_54128456121462410464578910174567[[#This Row],[LIST $]]*_1_54128456121462410464578910174567[[#This Row],[DISCOUNT]]*_1_54128456121462410464578910174567[[#This Row],[DISCOUNT 2]]</f>
        <v>0</v>
      </c>
      <c r="M900" s="194">
        <f>IF(OR(_1_54128456121462410464578910174567[[#This Row],[UNIT]]&gt;0,_1_54128456121462410464578910174567[[#This Row],[UNIT]]&lt;0),_1_54128456121462410464578910174567[[#This Row],[UNIT]]*_1_54128456121462410464578910174567[[#This Row],[COST]],0)</f>
        <v>0</v>
      </c>
      <c r="N900" s="194">
        <f t="shared" si="13"/>
        <v>1.3</v>
      </c>
      <c r="O900" s="198">
        <f>_1_54128456121462410464578910174567[[#This Row],[TOTAL]]*_1_54128456121462410464578910174567[[#This Row],[MARGIN]]</f>
        <v>0</v>
      </c>
      <c r="P900" s="198"/>
      <c r="R900" s="41"/>
    </row>
    <row r="901" spans="4:18">
      <c r="D901" s="188"/>
      <c r="E901" s="42"/>
      <c r="F901" s="168" t="s">
        <v>6202</v>
      </c>
      <c r="G901" s="193">
        <f>IF(_1_54128456121462410464578910174567[[#This Row],[Type]]&gt;0,VLOOKUP(_1_54128456121462410464578910174567[[#This Row],[Type]],Main[[#All],[TYPE]:[UNIT]],'Unit Price'!C$1,FALSE),0)</f>
        <v>0</v>
      </c>
      <c r="H901" s="197">
        <f>IF(_1_54128456121462410464578910174567[[#This Row],[Type]]&gt;0,VLOOKUP(_1_54128456121462410464578910174567[[#This Row],[Type]],Main[[#All],[TYPE]:[UNIT]],'Unit Price'!D$1,FALSE),0)</f>
        <v>0</v>
      </c>
      <c r="I901" s="194">
        <f>IF(_1_54128456121462410464578910174567[[#This Row],[Type]]&gt;0,VLOOKUP(_1_54128456121462410464578910174567[[#This Row],[Type]],Main[[#All],[TYPE]:[UNIT]],'Unit Price'!G$1,FALSE),0)</f>
        <v>0</v>
      </c>
      <c r="J901" s="194">
        <f>IF(_1_54128456121462410464578910174567[[#This Row],[Type]]&gt;0,VLOOKUP(_1_54128456121462410464578910174567[[#This Row],[Type]],Main[[#All],[TYPE]:[UNIT]],'Unit Price'!H$1,FALSE),0)</f>
        <v>0</v>
      </c>
      <c r="K901" s="194">
        <f>IF(_1_54128456121462410464578910174567[[#This Row],[Discount selection]]&gt;0,VLOOKUP(_1_54128456121462410464578910174567[[#This Row],[Discount selection]],'Discount Structure'!$A$2:$B$30,2,"false"),0)</f>
        <v>1</v>
      </c>
      <c r="L901" s="194">
        <f>_1_54128456121462410464578910174567[[#This Row],[LIST $]]*_1_54128456121462410464578910174567[[#This Row],[DISCOUNT]]*_1_54128456121462410464578910174567[[#This Row],[DISCOUNT 2]]</f>
        <v>0</v>
      </c>
      <c r="M901" s="194">
        <f>IF(OR(_1_54128456121462410464578910174567[[#This Row],[UNIT]]&gt;0,_1_54128456121462410464578910174567[[#This Row],[UNIT]]&lt;0),_1_54128456121462410464578910174567[[#This Row],[UNIT]]*_1_54128456121462410464578910174567[[#This Row],[COST]],0)</f>
        <v>0</v>
      </c>
      <c r="N901" s="194">
        <f t="shared" si="13"/>
        <v>1.3</v>
      </c>
      <c r="O901" s="198">
        <f>_1_54128456121462410464578910174567[[#This Row],[TOTAL]]*_1_54128456121462410464578910174567[[#This Row],[MARGIN]]</f>
        <v>0</v>
      </c>
      <c r="P901" s="198"/>
      <c r="R901" s="41"/>
    </row>
    <row r="902" spans="4:18">
      <c r="D902" s="188"/>
      <c r="E902" s="42"/>
      <c r="F902" s="168" t="s">
        <v>6202</v>
      </c>
      <c r="G902" s="193">
        <f>IF(_1_54128456121462410464578910174567[[#This Row],[Type]]&gt;0,VLOOKUP(_1_54128456121462410464578910174567[[#This Row],[Type]],Main[[#All],[TYPE]:[UNIT]],'Unit Price'!C$1,FALSE),0)</f>
        <v>0</v>
      </c>
      <c r="H902" s="197">
        <f>IF(_1_54128456121462410464578910174567[[#This Row],[Type]]&gt;0,VLOOKUP(_1_54128456121462410464578910174567[[#This Row],[Type]],Main[[#All],[TYPE]:[UNIT]],'Unit Price'!D$1,FALSE),0)</f>
        <v>0</v>
      </c>
      <c r="I902" s="194">
        <f>IF(_1_54128456121462410464578910174567[[#This Row],[Type]]&gt;0,VLOOKUP(_1_54128456121462410464578910174567[[#This Row],[Type]],Main[[#All],[TYPE]:[UNIT]],'Unit Price'!G$1,FALSE),0)</f>
        <v>0</v>
      </c>
      <c r="J902" s="194">
        <f>IF(_1_54128456121462410464578910174567[[#This Row],[Type]]&gt;0,VLOOKUP(_1_54128456121462410464578910174567[[#This Row],[Type]],Main[[#All],[TYPE]:[UNIT]],'Unit Price'!H$1,FALSE),0)</f>
        <v>0</v>
      </c>
      <c r="K902" s="194">
        <f>IF(_1_54128456121462410464578910174567[[#This Row],[Discount selection]]&gt;0,VLOOKUP(_1_54128456121462410464578910174567[[#This Row],[Discount selection]],'Discount Structure'!$A$2:$B$30,2,"false"),0)</f>
        <v>1</v>
      </c>
      <c r="L902" s="194">
        <f>_1_54128456121462410464578910174567[[#This Row],[LIST $]]*_1_54128456121462410464578910174567[[#This Row],[DISCOUNT]]*_1_54128456121462410464578910174567[[#This Row],[DISCOUNT 2]]</f>
        <v>0</v>
      </c>
      <c r="M902" s="194">
        <f>IF(OR(_1_54128456121462410464578910174567[[#This Row],[UNIT]]&gt;0,_1_54128456121462410464578910174567[[#This Row],[UNIT]]&lt;0),_1_54128456121462410464578910174567[[#This Row],[UNIT]]*_1_54128456121462410464578910174567[[#This Row],[COST]],0)</f>
        <v>0</v>
      </c>
      <c r="N902" s="194">
        <f t="shared" si="13"/>
        <v>1.3</v>
      </c>
      <c r="O902" s="198">
        <f>_1_54128456121462410464578910174567[[#This Row],[TOTAL]]*_1_54128456121462410464578910174567[[#This Row],[MARGIN]]</f>
        <v>0</v>
      </c>
      <c r="P902" s="198"/>
      <c r="R902" s="41"/>
    </row>
    <row r="903" spans="4:18">
      <c r="D903" s="188"/>
      <c r="E903" s="42"/>
      <c r="F903" s="168" t="s">
        <v>6202</v>
      </c>
      <c r="G903" s="193">
        <f>IF(_1_54128456121462410464578910174567[[#This Row],[Type]]&gt;0,VLOOKUP(_1_54128456121462410464578910174567[[#This Row],[Type]],Main[[#All],[TYPE]:[UNIT]],'Unit Price'!C$1,FALSE),0)</f>
        <v>0</v>
      </c>
      <c r="H903" s="197">
        <f>IF(_1_54128456121462410464578910174567[[#This Row],[Type]]&gt;0,VLOOKUP(_1_54128456121462410464578910174567[[#This Row],[Type]],Main[[#All],[TYPE]:[UNIT]],'Unit Price'!D$1,FALSE),0)</f>
        <v>0</v>
      </c>
      <c r="I903" s="194">
        <f>IF(_1_54128456121462410464578910174567[[#This Row],[Type]]&gt;0,VLOOKUP(_1_54128456121462410464578910174567[[#This Row],[Type]],Main[[#All],[TYPE]:[UNIT]],'Unit Price'!G$1,FALSE),0)</f>
        <v>0</v>
      </c>
      <c r="J903" s="194">
        <f>IF(_1_54128456121462410464578910174567[[#This Row],[Type]]&gt;0,VLOOKUP(_1_54128456121462410464578910174567[[#This Row],[Type]],Main[[#All],[TYPE]:[UNIT]],'Unit Price'!H$1,FALSE),0)</f>
        <v>0</v>
      </c>
      <c r="K903" s="194">
        <f>IF(_1_54128456121462410464578910174567[[#This Row],[Discount selection]]&gt;0,VLOOKUP(_1_54128456121462410464578910174567[[#This Row],[Discount selection]],'Discount Structure'!$A$2:$B$30,2,"false"),0)</f>
        <v>1</v>
      </c>
      <c r="L903" s="194">
        <f>_1_54128456121462410464578910174567[[#This Row],[LIST $]]*_1_54128456121462410464578910174567[[#This Row],[DISCOUNT]]*_1_54128456121462410464578910174567[[#This Row],[DISCOUNT 2]]</f>
        <v>0</v>
      </c>
      <c r="M903" s="194">
        <f>IF(OR(_1_54128456121462410464578910174567[[#This Row],[UNIT]]&gt;0,_1_54128456121462410464578910174567[[#This Row],[UNIT]]&lt;0),_1_54128456121462410464578910174567[[#This Row],[UNIT]]*_1_54128456121462410464578910174567[[#This Row],[COST]],0)</f>
        <v>0</v>
      </c>
      <c r="N903" s="194">
        <f t="shared" si="13"/>
        <v>1.3</v>
      </c>
      <c r="O903" s="198">
        <f>_1_54128456121462410464578910174567[[#This Row],[TOTAL]]*_1_54128456121462410464578910174567[[#This Row],[MARGIN]]</f>
        <v>0</v>
      </c>
      <c r="P903" s="198"/>
      <c r="R903" s="41"/>
    </row>
    <row r="904" spans="4:18">
      <c r="D904" s="188"/>
      <c r="E904" s="42"/>
      <c r="F904" s="168" t="s">
        <v>6202</v>
      </c>
      <c r="G904" s="193">
        <f>IF(_1_54128456121462410464578910174567[[#This Row],[Type]]&gt;0,VLOOKUP(_1_54128456121462410464578910174567[[#This Row],[Type]],Main[[#All],[TYPE]:[UNIT]],'Unit Price'!C$1,FALSE),0)</f>
        <v>0</v>
      </c>
      <c r="H904" s="197">
        <f>IF(_1_54128456121462410464578910174567[[#This Row],[Type]]&gt;0,VLOOKUP(_1_54128456121462410464578910174567[[#This Row],[Type]],Main[[#All],[TYPE]:[UNIT]],'Unit Price'!D$1,FALSE),0)</f>
        <v>0</v>
      </c>
      <c r="I904" s="194">
        <f>IF(_1_54128456121462410464578910174567[[#This Row],[Type]]&gt;0,VLOOKUP(_1_54128456121462410464578910174567[[#This Row],[Type]],Main[[#All],[TYPE]:[UNIT]],'Unit Price'!G$1,FALSE),0)</f>
        <v>0</v>
      </c>
      <c r="J904" s="194">
        <f>IF(_1_54128456121462410464578910174567[[#This Row],[Type]]&gt;0,VLOOKUP(_1_54128456121462410464578910174567[[#This Row],[Type]],Main[[#All],[TYPE]:[UNIT]],'Unit Price'!H$1,FALSE),0)</f>
        <v>0</v>
      </c>
      <c r="K904" s="194">
        <f>IF(_1_54128456121462410464578910174567[[#This Row],[Discount selection]]&gt;0,VLOOKUP(_1_54128456121462410464578910174567[[#This Row],[Discount selection]],'Discount Structure'!$A$2:$B$30,2,"false"),0)</f>
        <v>1</v>
      </c>
      <c r="L904" s="194">
        <f>_1_54128456121462410464578910174567[[#This Row],[LIST $]]*_1_54128456121462410464578910174567[[#This Row],[DISCOUNT]]*_1_54128456121462410464578910174567[[#This Row],[DISCOUNT 2]]</f>
        <v>0</v>
      </c>
      <c r="M904" s="194">
        <f>IF(OR(_1_54128456121462410464578910174567[[#This Row],[UNIT]]&gt;0,_1_54128456121462410464578910174567[[#This Row],[UNIT]]&lt;0),_1_54128456121462410464578910174567[[#This Row],[UNIT]]*_1_54128456121462410464578910174567[[#This Row],[COST]],0)</f>
        <v>0</v>
      </c>
      <c r="N904" s="194">
        <f t="shared" si="13"/>
        <v>1.3</v>
      </c>
      <c r="O904" s="198">
        <f>_1_54128456121462410464578910174567[[#This Row],[TOTAL]]*_1_54128456121462410464578910174567[[#This Row],[MARGIN]]</f>
        <v>0</v>
      </c>
      <c r="P904" s="198"/>
      <c r="R904" s="41"/>
    </row>
    <row r="905" spans="4:18">
      <c r="D905" s="188"/>
      <c r="E905" s="42"/>
      <c r="F905" s="168" t="s">
        <v>6202</v>
      </c>
      <c r="G905" s="193">
        <f>IF(_1_54128456121462410464578910174567[[#This Row],[Type]]&gt;0,VLOOKUP(_1_54128456121462410464578910174567[[#This Row],[Type]],Main[[#All],[TYPE]:[UNIT]],'Unit Price'!C$1,FALSE),0)</f>
        <v>0</v>
      </c>
      <c r="H905" s="197">
        <f>IF(_1_54128456121462410464578910174567[[#This Row],[Type]]&gt;0,VLOOKUP(_1_54128456121462410464578910174567[[#This Row],[Type]],Main[[#All],[TYPE]:[UNIT]],'Unit Price'!D$1,FALSE),0)</f>
        <v>0</v>
      </c>
      <c r="I905" s="194">
        <f>IF(_1_54128456121462410464578910174567[[#This Row],[Type]]&gt;0,VLOOKUP(_1_54128456121462410464578910174567[[#This Row],[Type]],Main[[#All],[TYPE]:[UNIT]],'Unit Price'!G$1,FALSE),0)</f>
        <v>0</v>
      </c>
      <c r="J905" s="194">
        <f>IF(_1_54128456121462410464578910174567[[#This Row],[Type]]&gt;0,VLOOKUP(_1_54128456121462410464578910174567[[#This Row],[Type]],Main[[#All],[TYPE]:[UNIT]],'Unit Price'!H$1,FALSE),0)</f>
        <v>0</v>
      </c>
      <c r="K905" s="194">
        <f>IF(_1_54128456121462410464578910174567[[#This Row],[Discount selection]]&gt;0,VLOOKUP(_1_54128456121462410464578910174567[[#This Row],[Discount selection]],'Discount Structure'!$A$2:$B$30,2,"false"),0)</f>
        <v>1</v>
      </c>
      <c r="L905" s="194">
        <f>_1_54128456121462410464578910174567[[#This Row],[LIST $]]*_1_54128456121462410464578910174567[[#This Row],[DISCOUNT]]*_1_54128456121462410464578910174567[[#This Row],[DISCOUNT 2]]</f>
        <v>0</v>
      </c>
      <c r="M905" s="194">
        <f>IF(OR(_1_54128456121462410464578910174567[[#This Row],[UNIT]]&gt;0,_1_54128456121462410464578910174567[[#This Row],[UNIT]]&lt;0),_1_54128456121462410464578910174567[[#This Row],[UNIT]]*_1_54128456121462410464578910174567[[#This Row],[COST]],0)</f>
        <v>0</v>
      </c>
      <c r="N905" s="194">
        <f t="shared" si="13"/>
        <v>1.3</v>
      </c>
      <c r="O905" s="198">
        <f>_1_54128456121462410464578910174567[[#This Row],[TOTAL]]*_1_54128456121462410464578910174567[[#This Row],[MARGIN]]</f>
        <v>0</v>
      </c>
      <c r="P905" s="198"/>
      <c r="R905" s="41"/>
    </row>
    <row r="906" spans="4:18">
      <c r="D906" s="188"/>
      <c r="E906" s="42"/>
      <c r="F906" s="168" t="s">
        <v>6202</v>
      </c>
      <c r="G906" s="193">
        <f>IF(_1_54128456121462410464578910174567[[#This Row],[Type]]&gt;0,VLOOKUP(_1_54128456121462410464578910174567[[#This Row],[Type]],Main[[#All],[TYPE]:[UNIT]],'Unit Price'!C$1,FALSE),0)</f>
        <v>0</v>
      </c>
      <c r="H906" s="197">
        <f>IF(_1_54128456121462410464578910174567[[#This Row],[Type]]&gt;0,VLOOKUP(_1_54128456121462410464578910174567[[#This Row],[Type]],Main[[#All],[TYPE]:[UNIT]],'Unit Price'!D$1,FALSE),0)</f>
        <v>0</v>
      </c>
      <c r="I906" s="194">
        <f>IF(_1_54128456121462410464578910174567[[#This Row],[Type]]&gt;0,VLOOKUP(_1_54128456121462410464578910174567[[#This Row],[Type]],Main[[#All],[TYPE]:[UNIT]],'Unit Price'!G$1,FALSE),0)</f>
        <v>0</v>
      </c>
      <c r="J906" s="194">
        <f>IF(_1_54128456121462410464578910174567[[#This Row],[Type]]&gt;0,VLOOKUP(_1_54128456121462410464578910174567[[#This Row],[Type]],Main[[#All],[TYPE]:[UNIT]],'Unit Price'!H$1,FALSE),0)</f>
        <v>0</v>
      </c>
      <c r="K906" s="194">
        <f>IF(_1_54128456121462410464578910174567[[#This Row],[Discount selection]]&gt;0,VLOOKUP(_1_54128456121462410464578910174567[[#This Row],[Discount selection]],'Discount Structure'!$A$2:$B$30,2,"false"),0)</f>
        <v>1</v>
      </c>
      <c r="L906" s="194">
        <f>_1_54128456121462410464578910174567[[#This Row],[LIST $]]*_1_54128456121462410464578910174567[[#This Row],[DISCOUNT]]*_1_54128456121462410464578910174567[[#This Row],[DISCOUNT 2]]</f>
        <v>0</v>
      </c>
      <c r="M906" s="194">
        <f>IF(OR(_1_54128456121462410464578910174567[[#This Row],[UNIT]]&gt;0,_1_54128456121462410464578910174567[[#This Row],[UNIT]]&lt;0),_1_54128456121462410464578910174567[[#This Row],[UNIT]]*_1_54128456121462410464578910174567[[#This Row],[COST]],0)</f>
        <v>0</v>
      </c>
      <c r="N906" s="194">
        <f t="shared" ref="N906:N969" si="14">$N$7</f>
        <v>1.3</v>
      </c>
      <c r="O906" s="198">
        <f>_1_54128456121462410464578910174567[[#This Row],[TOTAL]]*_1_54128456121462410464578910174567[[#This Row],[MARGIN]]</f>
        <v>0</v>
      </c>
      <c r="P906" s="198"/>
      <c r="R906" s="41"/>
    </row>
    <row r="907" spans="4:18">
      <c r="D907" s="188"/>
      <c r="E907" s="42"/>
      <c r="F907" s="168" t="s">
        <v>6202</v>
      </c>
      <c r="G907" s="193">
        <f>IF(_1_54128456121462410464578910174567[[#This Row],[Type]]&gt;0,VLOOKUP(_1_54128456121462410464578910174567[[#This Row],[Type]],Main[[#All],[TYPE]:[UNIT]],'Unit Price'!C$1,FALSE),0)</f>
        <v>0</v>
      </c>
      <c r="H907" s="197">
        <f>IF(_1_54128456121462410464578910174567[[#This Row],[Type]]&gt;0,VLOOKUP(_1_54128456121462410464578910174567[[#This Row],[Type]],Main[[#All],[TYPE]:[UNIT]],'Unit Price'!D$1,FALSE),0)</f>
        <v>0</v>
      </c>
      <c r="I907" s="194">
        <f>IF(_1_54128456121462410464578910174567[[#This Row],[Type]]&gt;0,VLOOKUP(_1_54128456121462410464578910174567[[#This Row],[Type]],Main[[#All],[TYPE]:[UNIT]],'Unit Price'!G$1,FALSE),0)</f>
        <v>0</v>
      </c>
      <c r="J907" s="194">
        <f>IF(_1_54128456121462410464578910174567[[#This Row],[Type]]&gt;0,VLOOKUP(_1_54128456121462410464578910174567[[#This Row],[Type]],Main[[#All],[TYPE]:[UNIT]],'Unit Price'!H$1,FALSE),0)</f>
        <v>0</v>
      </c>
      <c r="K907" s="194">
        <f>IF(_1_54128456121462410464578910174567[[#This Row],[Discount selection]]&gt;0,VLOOKUP(_1_54128456121462410464578910174567[[#This Row],[Discount selection]],'Discount Structure'!$A$2:$B$30,2,"false"),0)</f>
        <v>1</v>
      </c>
      <c r="L907" s="194">
        <f>_1_54128456121462410464578910174567[[#This Row],[LIST $]]*_1_54128456121462410464578910174567[[#This Row],[DISCOUNT]]*_1_54128456121462410464578910174567[[#This Row],[DISCOUNT 2]]</f>
        <v>0</v>
      </c>
      <c r="M907" s="194">
        <f>IF(OR(_1_54128456121462410464578910174567[[#This Row],[UNIT]]&gt;0,_1_54128456121462410464578910174567[[#This Row],[UNIT]]&lt;0),_1_54128456121462410464578910174567[[#This Row],[UNIT]]*_1_54128456121462410464578910174567[[#This Row],[COST]],0)</f>
        <v>0</v>
      </c>
      <c r="N907" s="194">
        <f t="shared" si="14"/>
        <v>1.3</v>
      </c>
      <c r="O907" s="198">
        <f>_1_54128456121462410464578910174567[[#This Row],[TOTAL]]*_1_54128456121462410464578910174567[[#This Row],[MARGIN]]</f>
        <v>0</v>
      </c>
      <c r="P907" s="198"/>
      <c r="R907" s="41"/>
    </row>
    <row r="908" spans="4:18">
      <c r="D908" s="188"/>
      <c r="E908" s="42"/>
      <c r="F908" s="168" t="s">
        <v>6202</v>
      </c>
      <c r="G908" s="193">
        <f>IF(_1_54128456121462410464578910174567[[#This Row],[Type]]&gt;0,VLOOKUP(_1_54128456121462410464578910174567[[#This Row],[Type]],Main[[#All],[TYPE]:[UNIT]],'Unit Price'!C$1,FALSE),0)</f>
        <v>0</v>
      </c>
      <c r="H908" s="197">
        <f>IF(_1_54128456121462410464578910174567[[#This Row],[Type]]&gt;0,VLOOKUP(_1_54128456121462410464578910174567[[#This Row],[Type]],Main[[#All],[TYPE]:[UNIT]],'Unit Price'!D$1,FALSE),0)</f>
        <v>0</v>
      </c>
      <c r="I908" s="194">
        <f>IF(_1_54128456121462410464578910174567[[#This Row],[Type]]&gt;0,VLOOKUP(_1_54128456121462410464578910174567[[#This Row],[Type]],Main[[#All],[TYPE]:[UNIT]],'Unit Price'!G$1,FALSE),0)</f>
        <v>0</v>
      </c>
      <c r="J908" s="194">
        <f>IF(_1_54128456121462410464578910174567[[#This Row],[Type]]&gt;0,VLOOKUP(_1_54128456121462410464578910174567[[#This Row],[Type]],Main[[#All],[TYPE]:[UNIT]],'Unit Price'!H$1,FALSE),0)</f>
        <v>0</v>
      </c>
      <c r="K908" s="194">
        <f>IF(_1_54128456121462410464578910174567[[#This Row],[Discount selection]]&gt;0,VLOOKUP(_1_54128456121462410464578910174567[[#This Row],[Discount selection]],'Discount Structure'!$A$2:$B$30,2,"false"),0)</f>
        <v>1</v>
      </c>
      <c r="L908" s="194">
        <f>_1_54128456121462410464578910174567[[#This Row],[LIST $]]*_1_54128456121462410464578910174567[[#This Row],[DISCOUNT]]*_1_54128456121462410464578910174567[[#This Row],[DISCOUNT 2]]</f>
        <v>0</v>
      </c>
      <c r="M908" s="194">
        <f>IF(OR(_1_54128456121462410464578910174567[[#This Row],[UNIT]]&gt;0,_1_54128456121462410464578910174567[[#This Row],[UNIT]]&lt;0),_1_54128456121462410464578910174567[[#This Row],[UNIT]]*_1_54128456121462410464578910174567[[#This Row],[COST]],0)</f>
        <v>0</v>
      </c>
      <c r="N908" s="194">
        <f t="shared" si="14"/>
        <v>1.3</v>
      </c>
      <c r="O908" s="198">
        <f>_1_54128456121462410464578910174567[[#This Row],[TOTAL]]*_1_54128456121462410464578910174567[[#This Row],[MARGIN]]</f>
        <v>0</v>
      </c>
      <c r="P908" s="198"/>
      <c r="R908" s="41"/>
    </row>
    <row r="909" spans="4:18">
      <c r="D909" s="188"/>
      <c r="E909" s="42"/>
      <c r="F909" s="168" t="s">
        <v>6202</v>
      </c>
      <c r="G909" s="193">
        <f>IF(_1_54128456121462410464578910174567[[#This Row],[Type]]&gt;0,VLOOKUP(_1_54128456121462410464578910174567[[#This Row],[Type]],Main[[#All],[TYPE]:[UNIT]],'Unit Price'!C$1,FALSE),0)</f>
        <v>0</v>
      </c>
      <c r="H909" s="197">
        <f>IF(_1_54128456121462410464578910174567[[#This Row],[Type]]&gt;0,VLOOKUP(_1_54128456121462410464578910174567[[#This Row],[Type]],Main[[#All],[TYPE]:[UNIT]],'Unit Price'!D$1,FALSE),0)</f>
        <v>0</v>
      </c>
      <c r="I909" s="194">
        <f>IF(_1_54128456121462410464578910174567[[#This Row],[Type]]&gt;0,VLOOKUP(_1_54128456121462410464578910174567[[#This Row],[Type]],Main[[#All],[TYPE]:[UNIT]],'Unit Price'!G$1,FALSE),0)</f>
        <v>0</v>
      </c>
      <c r="J909" s="194">
        <f>IF(_1_54128456121462410464578910174567[[#This Row],[Type]]&gt;0,VLOOKUP(_1_54128456121462410464578910174567[[#This Row],[Type]],Main[[#All],[TYPE]:[UNIT]],'Unit Price'!H$1,FALSE),0)</f>
        <v>0</v>
      </c>
      <c r="K909" s="194">
        <f>IF(_1_54128456121462410464578910174567[[#This Row],[Discount selection]]&gt;0,VLOOKUP(_1_54128456121462410464578910174567[[#This Row],[Discount selection]],'Discount Structure'!$A$2:$B$30,2,"false"),0)</f>
        <v>1</v>
      </c>
      <c r="L909" s="194">
        <f>_1_54128456121462410464578910174567[[#This Row],[LIST $]]*_1_54128456121462410464578910174567[[#This Row],[DISCOUNT]]*_1_54128456121462410464578910174567[[#This Row],[DISCOUNT 2]]</f>
        <v>0</v>
      </c>
      <c r="M909" s="194">
        <f>IF(OR(_1_54128456121462410464578910174567[[#This Row],[UNIT]]&gt;0,_1_54128456121462410464578910174567[[#This Row],[UNIT]]&lt;0),_1_54128456121462410464578910174567[[#This Row],[UNIT]]*_1_54128456121462410464578910174567[[#This Row],[COST]],0)</f>
        <v>0</v>
      </c>
      <c r="N909" s="194">
        <f t="shared" si="14"/>
        <v>1.3</v>
      </c>
      <c r="O909" s="198">
        <f>_1_54128456121462410464578910174567[[#This Row],[TOTAL]]*_1_54128456121462410464578910174567[[#This Row],[MARGIN]]</f>
        <v>0</v>
      </c>
      <c r="P909" s="198"/>
      <c r="R909" s="41"/>
    </row>
    <row r="910" spans="4:18">
      <c r="D910" s="188"/>
      <c r="E910" s="42"/>
      <c r="F910" s="168" t="s">
        <v>6202</v>
      </c>
      <c r="G910" s="193">
        <f>IF(_1_54128456121462410464578910174567[[#This Row],[Type]]&gt;0,VLOOKUP(_1_54128456121462410464578910174567[[#This Row],[Type]],Main[[#All],[TYPE]:[UNIT]],'Unit Price'!C$1,FALSE),0)</f>
        <v>0</v>
      </c>
      <c r="H910" s="197">
        <f>IF(_1_54128456121462410464578910174567[[#This Row],[Type]]&gt;0,VLOOKUP(_1_54128456121462410464578910174567[[#This Row],[Type]],Main[[#All],[TYPE]:[UNIT]],'Unit Price'!D$1,FALSE),0)</f>
        <v>0</v>
      </c>
      <c r="I910" s="194">
        <f>IF(_1_54128456121462410464578910174567[[#This Row],[Type]]&gt;0,VLOOKUP(_1_54128456121462410464578910174567[[#This Row],[Type]],Main[[#All],[TYPE]:[UNIT]],'Unit Price'!G$1,FALSE),0)</f>
        <v>0</v>
      </c>
      <c r="J910" s="194">
        <f>IF(_1_54128456121462410464578910174567[[#This Row],[Type]]&gt;0,VLOOKUP(_1_54128456121462410464578910174567[[#This Row],[Type]],Main[[#All],[TYPE]:[UNIT]],'Unit Price'!H$1,FALSE),0)</f>
        <v>0</v>
      </c>
      <c r="K910" s="194">
        <f>IF(_1_54128456121462410464578910174567[[#This Row],[Discount selection]]&gt;0,VLOOKUP(_1_54128456121462410464578910174567[[#This Row],[Discount selection]],'Discount Structure'!$A$2:$B$30,2,"false"),0)</f>
        <v>1</v>
      </c>
      <c r="L910" s="194">
        <f>_1_54128456121462410464578910174567[[#This Row],[LIST $]]*_1_54128456121462410464578910174567[[#This Row],[DISCOUNT]]*_1_54128456121462410464578910174567[[#This Row],[DISCOUNT 2]]</f>
        <v>0</v>
      </c>
      <c r="M910" s="194">
        <f>IF(OR(_1_54128456121462410464578910174567[[#This Row],[UNIT]]&gt;0,_1_54128456121462410464578910174567[[#This Row],[UNIT]]&lt;0),_1_54128456121462410464578910174567[[#This Row],[UNIT]]*_1_54128456121462410464578910174567[[#This Row],[COST]],0)</f>
        <v>0</v>
      </c>
      <c r="N910" s="194">
        <f t="shared" si="14"/>
        <v>1.3</v>
      </c>
      <c r="O910" s="198">
        <f>_1_54128456121462410464578910174567[[#This Row],[TOTAL]]*_1_54128456121462410464578910174567[[#This Row],[MARGIN]]</f>
        <v>0</v>
      </c>
      <c r="P910" s="198"/>
      <c r="R910" s="41"/>
    </row>
    <row r="911" spans="4:18">
      <c r="D911" s="188"/>
      <c r="E911" s="42"/>
      <c r="F911" s="168" t="s">
        <v>6202</v>
      </c>
      <c r="G911" s="193">
        <f>IF(_1_54128456121462410464578910174567[[#This Row],[Type]]&gt;0,VLOOKUP(_1_54128456121462410464578910174567[[#This Row],[Type]],Main[[#All],[TYPE]:[UNIT]],'Unit Price'!C$1,FALSE),0)</f>
        <v>0</v>
      </c>
      <c r="H911" s="197">
        <f>IF(_1_54128456121462410464578910174567[[#This Row],[Type]]&gt;0,VLOOKUP(_1_54128456121462410464578910174567[[#This Row],[Type]],Main[[#All],[TYPE]:[UNIT]],'Unit Price'!D$1,FALSE),0)</f>
        <v>0</v>
      </c>
      <c r="I911" s="194">
        <f>IF(_1_54128456121462410464578910174567[[#This Row],[Type]]&gt;0,VLOOKUP(_1_54128456121462410464578910174567[[#This Row],[Type]],Main[[#All],[TYPE]:[UNIT]],'Unit Price'!G$1,FALSE),0)</f>
        <v>0</v>
      </c>
      <c r="J911" s="194">
        <f>IF(_1_54128456121462410464578910174567[[#This Row],[Type]]&gt;0,VLOOKUP(_1_54128456121462410464578910174567[[#This Row],[Type]],Main[[#All],[TYPE]:[UNIT]],'Unit Price'!H$1,FALSE),0)</f>
        <v>0</v>
      </c>
      <c r="K911" s="194">
        <f>IF(_1_54128456121462410464578910174567[[#This Row],[Discount selection]]&gt;0,VLOOKUP(_1_54128456121462410464578910174567[[#This Row],[Discount selection]],'Discount Structure'!$A$2:$B$30,2,"false"),0)</f>
        <v>1</v>
      </c>
      <c r="L911" s="194">
        <f>_1_54128456121462410464578910174567[[#This Row],[LIST $]]*_1_54128456121462410464578910174567[[#This Row],[DISCOUNT]]*_1_54128456121462410464578910174567[[#This Row],[DISCOUNT 2]]</f>
        <v>0</v>
      </c>
      <c r="M911" s="194">
        <f>IF(OR(_1_54128456121462410464578910174567[[#This Row],[UNIT]]&gt;0,_1_54128456121462410464578910174567[[#This Row],[UNIT]]&lt;0),_1_54128456121462410464578910174567[[#This Row],[UNIT]]*_1_54128456121462410464578910174567[[#This Row],[COST]],0)</f>
        <v>0</v>
      </c>
      <c r="N911" s="194">
        <f t="shared" si="14"/>
        <v>1.3</v>
      </c>
      <c r="O911" s="198">
        <f>_1_54128456121462410464578910174567[[#This Row],[TOTAL]]*_1_54128456121462410464578910174567[[#This Row],[MARGIN]]</f>
        <v>0</v>
      </c>
      <c r="P911" s="198"/>
      <c r="R911" s="41"/>
    </row>
    <row r="912" spans="4:18">
      <c r="D912" s="188"/>
      <c r="E912" s="42"/>
      <c r="F912" s="168" t="s">
        <v>6202</v>
      </c>
      <c r="G912" s="193">
        <f>IF(_1_54128456121462410464578910174567[[#This Row],[Type]]&gt;0,VLOOKUP(_1_54128456121462410464578910174567[[#This Row],[Type]],Main[[#All],[TYPE]:[UNIT]],'Unit Price'!C$1,FALSE),0)</f>
        <v>0</v>
      </c>
      <c r="H912" s="197">
        <f>IF(_1_54128456121462410464578910174567[[#This Row],[Type]]&gt;0,VLOOKUP(_1_54128456121462410464578910174567[[#This Row],[Type]],Main[[#All],[TYPE]:[UNIT]],'Unit Price'!D$1,FALSE),0)</f>
        <v>0</v>
      </c>
      <c r="I912" s="194">
        <f>IF(_1_54128456121462410464578910174567[[#This Row],[Type]]&gt;0,VLOOKUP(_1_54128456121462410464578910174567[[#This Row],[Type]],Main[[#All],[TYPE]:[UNIT]],'Unit Price'!G$1,FALSE),0)</f>
        <v>0</v>
      </c>
      <c r="J912" s="194">
        <f>IF(_1_54128456121462410464578910174567[[#This Row],[Type]]&gt;0,VLOOKUP(_1_54128456121462410464578910174567[[#This Row],[Type]],Main[[#All],[TYPE]:[UNIT]],'Unit Price'!H$1,FALSE),0)</f>
        <v>0</v>
      </c>
      <c r="K912" s="194">
        <f>IF(_1_54128456121462410464578910174567[[#This Row],[Discount selection]]&gt;0,VLOOKUP(_1_54128456121462410464578910174567[[#This Row],[Discount selection]],'Discount Structure'!$A$2:$B$30,2,"false"),0)</f>
        <v>1</v>
      </c>
      <c r="L912" s="194">
        <f>_1_54128456121462410464578910174567[[#This Row],[LIST $]]*_1_54128456121462410464578910174567[[#This Row],[DISCOUNT]]*_1_54128456121462410464578910174567[[#This Row],[DISCOUNT 2]]</f>
        <v>0</v>
      </c>
      <c r="M912" s="194">
        <f>IF(OR(_1_54128456121462410464578910174567[[#This Row],[UNIT]]&gt;0,_1_54128456121462410464578910174567[[#This Row],[UNIT]]&lt;0),_1_54128456121462410464578910174567[[#This Row],[UNIT]]*_1_54128456121462410464578910174567[[#This Row],[COST]],0)</f>
        <v>0</v>
      </c>
      <c r="N912" s="194">
        <f t="shared" si="14"/>
        <v>1.3</v>
      </c>
      <c r="O912" s="198">
        <f>_1_54128456121462410464578910174567[[#This Row],[TOTAL]]*_1_54128456121462410464578910174567[[#This Row],[MARGIN]]</f>
        <v>0</v>
      </c>
      <c r="P912" s="198"/>
      <c r="R912" s="41"/>
    </row>
    <row r="913" spans="4:18">
      <c r="D913" s="188"/>
      <c r="E913" s="42"/>
      <c r="F913" s="168" t="s">
        <v>6202</v>
      </c>
      <c r="G913" s="193">
        <f>IF(_1_54128456121462410464578910174567[[#This Row],[Type]]&gt;0,VLOOKUP(_1_54128456121462410464578910174567[[#This Row],[Type]],Main[[#All],[TYPE]:[UNIT]],'Unit Price'!C$1,FALSE),0)</f>
        <v>0</v>
      </c>
      <c r="H913" s="197">
        <f>IF(_1_54128456121462410464578910174567[[#This Row],[Type]]&gt;0,VLOOKUP(_1_54128456121462410464578910174567[[#This Row],[Type]],Main[[#All],[TYPE]:[UNIT]],'Unit Price'!D$1,FALSE),0)</f>
        <v>0</v>
      </c>
      <c r="I913" s="194">
        <f>IF(_1_54128456121462410464578910174567[[#This Row],[Type]]&gt;0,VLOOKUP(_1_54128456121462410464578910174567[[#This Row],[Type]],Main[[#All],[TYPE]:[UNIT]],'Unit Price'!G$1,FALSE),0)</f>
        <v>0</v>
      </c>
      <c r="J913" s="194">
        <f>IF(_1_54128456121462410464578910174567[[#This Row],[Type]]&gt;0,VLOOKUP(_1_54128456121462410464578910174567[[#This Row],[Type]],Main[[#All],[TYPE]:[UNIT]],'Unit Price'!H$1,FALSE),0)</f>
        <v>0</v>
      </c>
      <c r="K913" s="194">
        <f>IF(_1_54128456121462410464578910174567[[#This Row],[Discount selection]]&gt;0,VLOOKUP(_1_54128456121462410464578910174567[[#This Row],[Discount selection]],'Discount Structure'!$A$2:$B$30,2,"false"),0)</f>
        <v>1</v>
      </c>
      <c r="L913" s="194">
        <f>_1_54128456121462410464578910174567[[#This Row],[LIST $]]*_1_54128456121462410464578910174567[[#This Row],[DISCOUNT]]*_1_54128456121462410464578910174567[[#This Row],[DISCOUNT 2]]</f>
        <v>0</v>
      </c>
      <c r="M913" s="194">
        <f>IF(OR(_1_54128456121462410464578910174567[[#This Row],[UNIT]]&gt;0,_1_54128456121462410464578910174567[[#This Row],[UNIT]]&lt;0),_1_54128456121462410464578910174567[[#This Row],[UNIT]]*_1_54128456121462410464578910174567[[#This Row],[COST]],0)</f>
        <v>0</v>
      </c>
      <c r="N913" s="194">
        <f t="shared" si="14"/>
        <v>1.3</v>
      </c>
      <c r="O913" s="198">
        <f>_1_54128456121462410464578910174567[[#This Row],[TOTAL]]*_1_54128456121462410464578910174567[[#This Row],[MARGIN]]</f>
        <v>0</v>
      </c>
      <c r="P913" s="198"/>
      <c r="R913" s="41"/>
    </row>
    <row r="914" spans="4:18">
      <c r="D914" s="188"/>
      <c r="E914" s="42"/>
      <c r="F914" s="168" t="s">
        <v>6202</v>
      </c>
      <c r="G914" s="193">
        <f>IF(_1_54128456121462410464578910174567[[#This Row],[Type]]&gt;0,VLOOKUP(_1_54128456121462410464578910174567[[#This Row],[Type]],Main[[#All],[TYPE]:[UNIT]],'Unit Price'!C$1,FALSE),0)</f>
        <v>0</v>
      </c>
      <c r="H914" s="197">
        <f>IF(_1_54128456121462410464578910174567[[#This Row],[Type]]&gt;0,VLOOKUP(_1_54128456121462410464578910174567[[#This Row],[Type]],Main[[#All],[TYPE]:[UNIT]],'Unit Price'!D$1,FALSE),0)</f>
        <v>0</v>
      </c>
      <c r="I914" s="194">
        <f>IF(_1_54128456121462410464578910174567[[#This Row],[Type]]&gt;0,VLOOKUP(_1_54128456121462410464578910174567[[#This Row],[Type]],Main[[#All],[TYPE]:[UNIT]],'Unit Price'!G$1,FALSE),0)</f>
        <v>0</v>
      </c>
      <c r="J914" s="194">
        <f>IF(_1_54128456121462410464578910174567[[#This Row],[Type]]&gt;0,VLOOKUP(_1_54128456121462410464578910174567[[#This Row],[Type]],Main[[#All],[TYPE]:[UNIT]],'Unit Price'!H$1,FALSE),0)</f>
        <v>0</v>
      </c>
      <c r="K914" s="194">
        <f>IF(_1_54128456121462410464578910174567[[#This Row],[Discount selection]]&gt;0,VLOOKUP(_1_54128456121462410464578910174567[[#This Row],[Discount selection]],'Discount Structure'!$A$2:$B$30,2,"false"),0)</f>
        <v>1</v>
      </c>
      <c r="L914" s="194">
        <f>_1_54128456121462410464578910174567[[#This Row],[LIST $]]*_1_54128456121462410464578910174567[[#This Row],[DISCOUNT]]*_1_54128456121462410464578910174567[[#This Row],[DISCOUNT 2]]</f>
        <v>0</v>
      </c>
      <c r="M914" s="194">
        <f>IF(OR(_1_54128456121462410464578910174567[[#This Row],[UNIT]]&gt;0,_1_54128456121462410464578910174567[[#This Row],[UNIT]]&lt;0),_1_54128456121462410464578910174567[[#This Row],[UNIT]]*_1_54128456121462410464578910174567[[#This Row],[COST]],0)</f>
        <v>0</v>
      </c>
      <c r="N914" s="194">
        <f t="shared" si="14"/>
        <v>1.3</v>
      </c>
      <c r="O914" s="198">
        <f>_1_54128456121462410464578910174567[[#This Row],[TOTAL]]*_1_54128456121462410464578910174567[[#This Row],[MARGIN]]</f>
        <v>0</v>
      </c>
      <c r="P914" s="198"/>
      <c r="R914" s="41"/>
    </row>
    <row r="915" spans="4:18">
      <c r="D915" s="188"/>
      <c r="E915" s="42"/>
      <c r="F915" s="168" t="s">
        <v>6202</v>
      </c>
      <c r="G915" s="193">
        <f>IF(_1_54128456121462410464578910174567[[#This Row],[Type]]&gt;0,VLOOKUP(_1_54128456121462410464578910174567[[#This Row],[Type]],Main[[#All],[TYPE]:[UNIT]],'Unit Price'!C$1,FALSE),0)</f>
        <v>0</v>
      </c>
      <c r="H915" s="197">
        <f>IF(_1_54128456121462410464578910174567[[#This Row],[Type]]&gt;0,VLOOKUP(_1_54128456121462410464578910174567[[#This Row],[Type]],Main[[#All],[TYPE]:[UNIT]],'Unit Price'!D$1,FALSE),0)</f>
        <v>0</v>
      </c>
      <c r="I915" s="194">
        <f>IF(_1_54128456121462410464578910174567[[#This Row],[Type]]&gt;0,VLOOKUP(_1_54128456121462410464578910174567[[#This Row],[Type]],Main[[#All],[TYPE]:[UNIT]],'Unit Price'!G$1,FALSE),0)</f>
        <v>0</v>
      </c>
      <c r="J915" s="194">
        <f>IF(_1_54128456121462410464578910174567[[#This Row],[Type]]&gt;0,VLOOKUP(_1_54128456121462410464578910174567[[#This Row],[Type]],Main[[#All],[TYPE]:[UNIT]],'Unit Price'!H$1,FALSE),0)</f>
        <v>0</v>
      </c>
      <c r="K915" s="194">
        <f>IF(_1_54128456121462410464578910174567[[#This Row],[Discount selection]]&gt;0,VLOOKUP(_1_54128456121462410464578910174567[[#This Row],[Discount selection]],'Discount Structure'!$A$2:$B$30,2,"false"),0)</f>
        <v>1</v>
      </c>
      <c r="L915" s="194">
        <f>_1_54128456121462410464578910174567[[#This Row],[LIST $]]*_1_54128456121462410464578910174567[[#This Row],[DISCOUNT]]*_1_54128456121462410464578910174567[[#This Row],[DISCOUNT 2]]</f>
        <v>0</v>
      </c>
      <c r="M915" s="194">
        <f>IF(OR(_1_54128456121462410464578910174567[[#This Row],[UNIT]]&gt;0,_1_54128456121462410464578910174567[[#This Row],[UNIT]]&lt;0),_1_54128456121462410464578910174567[[#This Row],[UNIT]]*_1_54128456121462410464578910174567[[#This Row],[COST]],0)</f>
        <v>0</v>
      </c>
      <c r="N915" s="194">
        <f t="shared" si="14"/>
        <v>1.3</v>
      </c>
      <c r="O915" s="198">
        <f>_1_54128456121462410464578910174567[[#This Row],[TOTAL]]*_1_54128456121462410464578910174567[[#This Row],[MARGIN]]</f>
        <v>0</v>
      </c>
      <c r="P915" s="198"/>
      <c r="R915" s="41"/>
    </row>
    <row r="916" spans="4:18">
      <c r="D916" s="188"/>
      <c r="E916" s="42"/>
      <c r="F916" s="168" t="s">
        <v>6202</v>
      </c>
      <c r="G916" s="193">
        <f>IF(_1_54128456121462410464578910174567[[#This Row],[Type]]&gt;0,VLOOKUP(_1_54128456121462410464578910174567[[#This Row],[Type]],Main[[#All],[TYPE]:[UNIT]],'Unit Price'!C$1,FALSE),0)</f>
        <v>0</v>
      </c>
      <c r="H916" s="197">
        <f>IF(_1_54128456121462410464578910174567[[#This Row],[Type]]&gt;0,VLOOKUP(_1_54128456121462410464578910174567[[#This Row],[Type]],Main[[#All],[TYPE]:[UNIT]],'Unit Price'!D$1,FALSE),0)</f>
        <v>0</v>
      </c>
      <c r="I916" s="194">
        <f>IF(_1_54128456121462410464578910174567[[#This Row],[Type]]&gt;0,VLOOKUP(_1_54128456121462410464578910174567[[#This Row],[Type]],Main[[#All],[TYPE]:[UNIT]],'Unit Price'!G$1,FALSE),0)</f>
        <v>0</v>
      </c>
      <c r="J916" s="194">
        <f>IF(_1_54128456121462410464578910174567[[#This Row],[Type]]&gt;0,VLOOKUP(_1_54128456121462410464578910174567[[#This Row],[Type]],Main[[#All],[TYPE]:[UNIT]],'Unit Price'!H$1,FALSE),0)</f>
        <v>0</v>
      </c>
      <c r="K916" s="194">
        <f>IF(_1_54128456121462410464578910174567[[#This Row],[Discount selection]]&gt;0,VLOOKUP(_1_54128456121462410464578910174567[[#This Row],[Discount selection]],'Discount Structure'!$A$2:$B$30,2,"false"),0)</f>
        <v>1</v>
      </c>
      <c r="L916" s="194">
        <f>_1_54128456121462410464578910174567[[#This Row],[LIST $]]*_1_54128456121462410464578910174567[[#This Row],[DISCOUNT]]*_1_54128456121462410464578910174567[[#This Row],[DISCOUNT 2]]</f>
        <v>0</v>
      </c>
      <c r="M916" s="194">
        <f>IF(OR(_1_54128456121462410464578910174567[[#This Row],[UNIT]]&gt;0,_1_54128456121462410464578910174567[[#This Row],[UNIT]]&lt;0),_1_54128456121462410464578910174567[[#This Row],[UNIT]]*_1_54128456121462410464578910174567[[#This Row],[COST]],0)</f>
        <v>0</v>
      </c>
      <c r="N916" s="194">
        <f t="shared" si="14"/>
        <v>1.3</v>
      </c>
      <c r="O916" s="198">
        <f>_1_54128456121462410464578910174567[[#This Row],[TOTAL]]*_1_54128456121462410464578910174567[[#This Row],[MARGIN]]</f>
        <v>0</v>
      </c>
      <c r="P916" s="198"/>
      <c r="R916" s="41"/>
    </row>
    <row r="917" spans="4:18">
      <c r="D917" s="188"/>
      <c r="E917" s="42"/>
      <c r="F917" s="168" t="s">
        <v>6202</v>
      </c>
      <c r="G917" s="193">
        <f>IF(_1_54128456121462410464578910174567[[#This Row],[Type]]&gt;0,VLOOKUP(_1_54128456121462410464578910174567[[#This Row],[Type]],Main[[#All],[TYPE]:[UNIT]],'Unit Price'!C$1,FALSE),0)</f>
        <v>0</v>
      </c>
      <c r="H917" s="197">
        <f>IF(_1_54128456121462410464578910174567[[#This Row],[Type]]&gt;0,VLOOKUP(_1_54128456121462410464578910174567[[#This Row],[Type]],Main[[#All],[TYPE]:[UNIT]],'Unit Price'!D$1,FALSE),0)</f>
        <v>0</v>
      </c>
      <c r="I917" s="194">
        <f>IF(_1_54128456121462410464578910174567[[#This Row],[Type]]&gt;0,VLOOKUP(_1_54128456121462410464578910174567[[#This Row],[Type]],Main[[#All],[TYPE]:[UNIT]],'Unit Price'!G$1,FALSE),0)</f>
        <v>0</v>
      </c>
      <c r="J917" s="194">
        <f>IF(_1_54128456121462410464578910174567[[#This Row],[Type]]&gt;0,VLOOKUP(_1_54128456121462410464578910174567[[#This Row],[Type]],Main[[#All],[TYPE]:[UNIT]],'Unit Price'!H$1,FALSE),0)</f>
        <v>0</v>
      </c>
      <c r="K917" s="194">
        <f>IF(_1_54128456121462410464578910174567[[#This Row],[Discount selection]]&gt;0,VLOOKUP(_1_54128456121462410464578910174567[[#This Row],[Discount selection]],'Discount Structure'!$A$2:$B$30,2,"false"),0)</f>
        <v>1</v>
      </c>
      <c r="L917" s="194">
        <f>_1_54128456121462410464578910174567[[#This Row],[LIST $]]*_1_54128456121462410464578910174567[[#This Row],[DISCOUNT]]*_1_54128456121462410464578910174567[[#This Row],[DISCOUNT 2]]</f>
        <v>0</v>
      </c>
      <c r="M917" s="194">
        <f>IF(OR(_1_54128456121462410464578910174567[[#This Row],[UNIT]]&gt;0,_1_54128456121462410464578910174567[[#This Row],[UNIT]]&lt;0),_1_54128456121462410464578910174567[[#This Row],[UNIT]]*_1_54128456121462410464578910174567[[#This Row],[COST]],0)</f>
        <v>0</v>
      </c>
      <c r="N917" s="194">
        <f t="shared" si="14"/>
        <v>1.3</v>
      </c>
      <c r="O917" s="198">
        <f>_1_54128456121462410464578910174567[[#This Row],[TOTAL]]*_1_54128456121462410464578910174567[[#This Row],[MARGIN]]</f>
        <v>0</v>
      </c>
      <c r="P917" s="198"/>
      <c r="R917" s="41"/>
    </row>
    <row r="918" spans="4:18">
      <c r="D918" s="188"/>
      <c r="E918" s="42"/>
      <c r="F918" s="168" t="s">
        <v>6202</v>
      </c>
      <c r="G918" s="193">
        <f>IF(_1_54128456121462410464578910174567[[#This Row],[Type]]&gt;0,VLOOKUP(_1_54128456121462410464578910174567[[#This Row],[Type]],Main[[#All],[TYPE]:[UNIT]],'Unit Price'!C$1,FALSE),0)</f>
        <v>0</v>
      </c>
      <c r="H918" s="197">
        <f>IF(_1_54128456121462410464578910174567[[#This Row],[Type]]&gt;0,VLOOKUP(_1_54128456121462410464578910174567[[#This Row],[Type]],Main[[#All],[TYPE]:[UNIT]],'Unit Price'!D$1,FALSE),0)</f>
        <v>0</v>
      </c>
      <c r="I918" s="194">
        <f>IF(_1_54128456121462410464578910174567[[#This Row],[Type]]&gt;0,VLOOKUP(_1_54128456121462410464578910174567[[#This Row],[Type]],Main[[#All],[TYPE]:[UNIT]],'Unit Price'!G$1,FALSE),0)</f>
        <v>0</v>
      </c>
      <c r="J918" s="194">
        <f>IF(_1_54128456121462410464578910174567[[#This Row],[Type]]&gt;0,VLOOKUP(_1_54128456121462410464578910174567[[#This Row],[Type]],Main[[#All],[TYPE]:[UNIT]],'Unit Price'!H$1,FALSE),0)</f>
        <v>0</v>
      </c>
      <c r="K918" s="194">
        <f>IF(_1_54128456121462410464578910174567[[#This Row],[Discount selection]]&gt;0,VLOOKUP(_1_54128456121462410464578910174567[[#This Row],[Discount selection]],'Discount Structure'!$A$2:$B$30,2,"false"),0)</f>
        <v>1</v>
      </c>
      <c r="L918" s="194">
        <f>_1_54128456121462410464578910174567[[#This Row],[LIST $]]*_1_54128456121462410464578910174567[[#This Row],[DISCOUNT]]*_1_54128456121462410464578910174567[[#This Row],[DISCOUNT 2]]</f>
        <v>0</v>
      </c>
      <c r="M918" s="194">
        <f>IF(OR(_1_54128456121462410464578910174567[[#This Row],[UNIT]]&gt;0,_1_54128456121462410464578910174567[[#This Row],[UNIT]]&lt;0),_1_54128456121462410464578910174567[[#This Row],[UNIT]]*_1_54128456121462410464578910174567[[#This Row],[COST]],0)</f>
        <v>0</v>
      </c>
      <c r="N918" s="194">
        <f t="shared" si="14"/>
        <v>1.3</v>
      </c>
      <c r="O918" s="198">
        <f>_1_54128456121462410464578910174567[[#This Row],[TOTAL]]*_1_54128456121462410464578910174567[[#This Row],[MARGIN]]</f>
        <v>0</v>
      </c>
      <c r="P918" s="198"/>
      <c r="R918" s="41"/>
    </row>
    <row r="919" spans="4:18">
      <c r="D919" s="188"/>
      <c r="E919" s="42"/>
      <c r="F919" s="168" t="s">
        <v>6202</v>
      </c>
      <c r="G919" s="193">
        <f>IF(_1_54128456121462410464578910174567[[#This Row],[Type]]&gt;0,VLOOKUP(_1_54128456121462410464578910174567[[#This Row],[Type]],Main[[#All],[TYPE]:[UNIT]],'Unit Price'!C$1,FALSE),0)</f>
        <v>0</v>
      </c>
      <c r="H919" s="197">
        <f>IF(_1_54128456121462410464578910174567[[#This Row],[Type]]&gt;0,VLOOKUP(_1_54128456121462410464578910174567[[#This Row],[Type]],Main[[#All],[TYPE]:[UNIT]],'Unit Price'!D$1,FALSE),0)</f>
        <v>0</v>
      </c>
      <c r="I919" s="194">
        <f>IF(_1_54128456121462410464578910174567[[#This Row],[Type]]&gt;0,VLOOKUP(_1_54128456121462410464578910174567[[#This Row],[Type]],Main[[#All],[TYPE]:[UNIT]],'Unit Price'!G$1,FALSE),0)</f>
        <v>0</v>
      </c>
      <c r="J919" s="194">
        <f>IF(_1_54128456121462410464578910174567[[#This Row],[Type]]&gt;0,VLOOKUP(_1_54128456121462410464578910174567[[#This Row],[Type]],Main[[#All],[TYPE]:[UNIT]],'Unit Price'!H$1,FALSE),0)</f>
        <v>0</v>
      </c>
      <c r="K919" s="194">
        <f>IF(_1_54128456121462410464578910174567[[#This Row],[Discount selection]]&gt;0,VLOOKUP(_1_54128456121462410464578910174567[[#This Row],[Discount selection]],'Discount Structure'!$A$2:$B$30,2,"false"),0)</f>
        <v>1</v>
      </c>
      <c r="L919" s="194">
        <f>_1_54128456121462410464578910174567[[#This Row],[LIST $]]*_1_54128456121462410464578910174567[[#This Row],[DISCOUNT]]*_1_54128456121462410464578910174567[[#This Row],[DISCOUNT 2]]</f>
        <v>0</v>
      </c>
      <c r="M919" s="194">
        <f>IF(OR(_1_54128456121462410464578910174567[[#This Row],[UNIT]]&gt;0,_1_54128456121462410464578910174567[[#This Row],[UNIT]]&lt;0),_1_54128456121462410464578910174567[[#This Row],[UNIT]]*_1_54128456121462410464578910174567[[#This Row],[COST]],0)</f>
        <v>0</v>
      </c>
      <c r="N919" s="194">
        <f t="shared" si="14"/>
        <v>1.3</v>
      </c>
      <c r="O919" s="198">
        <f>_1_54128456121462410464578910174567[[#This Row],[TOTAL]]*_1_54128456121462410464578910174567[[#This Row],[MARGIN]]</f>
        <v>0</v>
      </c>
      <c r="P919" s="198"/>
      <c r="R919" s="41"/>
    </row>
    <row r="920" spans="4:18">
      <c r="D920" s="188"/>
      <c r="E920" s="42"/>
      <c r="F920" s="168" t="s">
        <v>6202</v>
      </c>
      <c r="G920" s="193">
        <f>IF(_1_54128456121462410464578910174567[[#This Row],[Type]]&gt;0,VLOOKUP(_1_54128456121462410464578910174567[[#This Row],[Type]],Main[[#All],[TYPE]:[UNIT]],'Unit Price'!C$1,FALSE),0)</f>
        <v>0</v>
      </c>
      <c r="H920" s="197">
        <f>IF(_1_54128456121462410464578910174567[[#This Row],[Type]]&gt;0,VLOOKUP(_1_54128456121462410464578910174567[[#This Row],[Type]],Main[[#All],[TYPE]:[UNIT]],'Unit Price'!D$1,FALSE),0)</f>
        <v>0</v>
      </c>
      <c r="I920" s="194">
        <f>IF(_1_54128456121462410464578910174567[[#This Row],[Type]]&gt;0,VLOOKUP(_1_54128456121462410464578910174567[[#This Row],[Type]],Main[[#All],[TYPE]:[UNIT]],'Unit Price'!G$1,FALSE),0)</f>
        <v>0</v>
      </c>
      <c r="J920" s="194">
        <f>IF(_1_54128456121462410464578910174567[[#This Row],[Type]]&gt;0,VLOOKUP(_1_54128456121462410464578910174567[[#This Row],[Type]],Main[[#All],[TYPE]:[UNIT]],'Unit Price'!H$1,FALSE),0)</f>
        <v>0</v>
      </c>
      <c r="K920" s="194">
        <f>IF(_1_54128456121462410464578910174567[[#This Row],[Discount selection]]&gt;0,VLOOKUP(_1_54128456121462410464578910174567[[#This Row],[Discount selection]],'Discount Structure'!$A$2:$B$30,2,"false"),0)</f>
        <v>1</v>
      </c>
      <c r="L920" s="194">
        <f>_1_54128456121462410464578910174567[[#This Row],[LIST $]]*_1_54128456121462410464578910174567[[#This Row],[DISCOUNT]]*_1_54128456121462410464578910174567[[#This Row],[DISCOUNT 2]]</f>
        <v>0</v>
      </c>
      <c r="M920" s="194">
        <f>IF(OR(_1_54128456121462410464578910174567[[#This Row],[UNIT]]&gt;0,_1_54128456121462410464578910174567[[#This Row],[UNIT]]&lt;0),_1_54128456121462410464578910174567[[#This Row],[UNIT]]*_1_54128456121462410464578910174567[[#This Row],[COST]],0)</f>
        <v>0</v>
      </c>
      <c r="N920" s="194">
        <f t="shared" si="14"/>
        <v>1.3</v>
      </c>
      <c r="O920" s="198">
        <f>_1_54128456121462410464578910174567[[#This Row],[TOTAL]]*_1_54128456121462410464578910174567[[#This Row],[MARGIN]]</f>
        <v>0</v>
      </c>
      <c r="P920" s="198"/>
      <c r="R920" s="41"/>
    </row>
    <row r="921" spans="4:18">
      <c r="D921" s="188"/>
      <c r="E921" s="42"/>
      <c r="F921" s="168" t="s">
        <v>6202</v>
      </c>
      <c r="G921" s="193">
        <f>IF(_1_54128456121462410464578910174567[[#This Row],[Type]]&gt;0,VLOOKUP(_1_54128456121462410464578910174567[[#This Row],[Type]],Main[[#All],[TYPE]:[UNIT]],'Unit Price'!C$1,FALSE),0)</f>
        <v>0</v>
      </c>
      <c r="H921" s="197">
        <f>IF(_1_54128456121462410464578910174567[[#This Row],[Type]]&gt;0,VLOOKUP(_1_54128456121462410464578910174567[[#This Row],[Type]],Main[[#All],[TYPE]:[UNIT]],'Unit Price'!D$1,FALSE),0)</f>
        <v>0</v>
      </c>
      <c r="I921" s="194">
        <f>IF(_1_54128456121462410464578910174567[[#This Row],[Type]]&gt;0,VLOOKUP(_1_54128456121462410464578910174567[[#This Row],[Type]],Main[[#All],[TYPE]:[UNIT]],'Unit Price'!G$1,FALSE),0)</f>
        <v>0</v>
      </c>
      <c r="J921" s="194">
        <f>IF(_1_54128456121462410464578910174567[[#This Row],[Type]]&gt;0,VLOOKUP(_1_54128456121462410464578910174567[[#This Row],[Type]],Main[[#All],[TYPE]:[UNIT]],'Unit Price'!H$1,FALSE),0)</f>
        <v>0</v>
      </c>
      <c r="K921" s="194">
        <f>IF(_1_54128456121462410464578910174567[[#This Row],[Discount selection]]&gt;0,VLOOKUP(_1_54128456121462410464578910174567[[#This Row],[Discount selection]],'Discount Structure'!$A$2:$B$30,2,"false"),0)</f>
        <v>1</v>
      </c>
      <c r="L921" s="194">
        <f>_1_54128456121462410464578910174567[[#This Row],[LIST $]]*_1_54128456121462410464578910174567[[#This Row],[DISCOUNT]]*_1_54128456121462410464578910174567[[#This Row],[DISCOUNT 2]]</f>
        <v>0</v>
      </c>
      <c r="M921" s="194">
        <f>IF(OR(_1_54128456121462410464578910174567[[#This Row],[UNIT]]&gt;0,_1_54128456121462410464578910174567[[#This Row],[UNIT]]&lt;0),_1_54128456121462410464578910174567[[#This Row],[UNIT]]*_1_54128456121462410464578910174567[[#This Row],[COST]],0)</f>
        <v>0</v>
      </c>
      <c r="N921" s="194">
        <f t="shared" si="14"/>
        <v>1.3</v>
      </c>
      <c r="O921" s="198">
        <f>_1_54128456121462410464578910174567[[#This Row],[TOTAL]]*_1_54128456121462410464578910174567[[#This Row],[MARGIN]]</f>
        <v>0</v>
      </c>
      <c r="P921" s="198"/>
      <c r="R921" s="41"/>
    </row>
    <row r="922" spans="4:18">
      <c r="D922" s="188"/>
      <c r="E922" s="42"/>
      <c r="F922" s="168" t="s">
        <v>6202</v>
      </c>
      <c r="G922" s="193">
        <f>IF(_1_54128456121462410464578910174567[[#This Row],[Type]]&gt;0,VLOOKUP(_1_54128456121462410464578910174567[[#This Row],[Type]],Main[[#All],[TYPE]:[UNIT]],'Unit Price'!C$1,FALSE),0)</f>
        <v>0</v>
      </c>
      <c r="H922" s="197">
        <f>IF(_1_54128456121462410464578910174567[[#This Row],[Type]]&gt;0,VLOOKUP(_1_54128456121462410464578910174567[[#This Row],[Type]],Main[[#All],[TYPE]:[UNIT]],'Unit Price'!D$1,FALSE),0)</f>
        <v>0</v>
      </c>
      <c r="I922" s="194">
        <f>IF(_1_54128456121462410464578910174567[[#This Row],[Type]]&gt;0,VLOOKUP(_1_54128456121462410464578910174567[[#This Row],[Type]],Main[[#All],[TYPE]:[UNIT]],'Unit Price'!G$1,FALSE),0)</f>
        <v>0</v>
      </c>
      <c r="J922" s="194">
        <f>IF(_1_54128456121462410464578910174567[[#This Row],[Type]]&gt;0,VLOOKUP(_1_54128456121462410464578910174567[[#This Row],[Type]],Main[[#All],[TYPE]:[UNIT]],'Unit Price'!H$1,FALSE),0)</f>
        <v>0</v>
      </c>
      <c r="K922" s="194">
        <f>IF(_1_54128456121462410464578910174567[[#This Row],[Discount selection]]&gt;0,VLOOKUP(_1_54128456121462410464578910174567[[#This Row],[Discount selection]],'Discount Structure'!$A$2:$B$30,2,"false"),0)</f>
        <v>1</v>
      </c>
      <c r="L922" s="194">
        <f>_1_54128456121462410464578910174567[[#This Row],[LIST $]]*_1_54128456121462410464578910174567[[#This Row],[DISCOUNT]]*_1_54128456121462410464578910174567[[#This Row],[DISCOUNT 2]]</f>
        <v>0</v>
      </c>
      <c r="M922" s="194">
        <f>IF(OR(_1_54128456121462410464578910174567[[#This Row],[UNIT]]&gt;0,_1_54128456121462410464578910174567[[#This Row],[UNIT]]&lt;0),_1_54128456121462410464578910174567[[#This Row],[UNIT]]*_1_54128456121462410464578910174567[[#This Row],[COST]],0)</f>
        <v>0</v>
      </c>
      <c r="N922" s="194">
        <f t="shared" si="14"/>
        <v>1.3</v>
      </c>
      <c r="O922" s="198">
        <f>_1_54128456121462410464578910174567[[#This Row],[TOTAL]]*_1_54128456121462410464578910174567[[#This Row],[MARGIN]]</f>
        <v>0</v>
      </c>
      <c r="P922" s="198"/>
      <c r="R922" s="41"/>
    </row>
    <row r="923" spans="4:18">
      <c r="D923" s="188"/>
      <c r="E923" s="42"/>
      <c r="F923" s="168" t="s">
        <v>6202</v>
      </c>
      <c r="G923" s="193">
        <f>IF(_1_54128456121462410464578910174567[[#This Row],[Type]]&gt;0,VLOOKUP(_1_54128456121462410464578910174567[[#This Row],[Type]],Main[[#All],[TYPE]:[UNIT]],'Unit Price'!C$1,FALSE),0)</f>
        <v>0</v>
      </c>
      <c r="H923" s="197">
        <f>IF(_1_54128456121462410464578910174567[[#This Row],[Type]]&gt;0,VLOOKUP(_1_54128456121462410464578910174567[[#This Row],[Type]],Main[[#All],[TYPE]:[UNIT]],'Unit Price'!D$1,FALSE),0)</f>
        <v>0</v>
      </c>
      <c r="I923" s="194">
        <f>IF(_1_54128456121462410464578910174567[[#This Row],[Type]]&gt;0,VLOOKUP(_1_54128456121462410464578910174567[[#This Row],[Type]],Main[[#All],[TYPE]:[UNIT]],'Unit Price'!G$1,FALSE),0)</f>
        <v>0</v>
      </c>
      <c r="J923" s="194">
        <f>IF(_1_54128456121462410464578910174567[[#This Row],[Type]]&gt;0,VLOOKUP(_1_54128456121462410464578910174567[[#This Row],[Type]],Main[[#All],[TYPE]:[UNIT]],'Unit Price'!H$1,FALSE),0)</f>
        <v>0</v>
      </c>
      <c r="K923" s="194">
        <f>IF(_1_54128456121462410464578910174567[[#This Row],[Discount selection]]&gt;0,VLOOKUP(_1_54128456121462410464578910174567[[#This Row],[Discount selection]],'Discount Structure'!$A$2:$B$30,2,"false"),0)</f>
        <v>1</v>
      </c>
      <c r="L923" s="194">
        <f>_1_54128456121462410464578910174567[[#This Row],[LIST $]]*_1_54128456121462410464578910174567[[#This Row],[DISCOUNT]]*_1_54128456121462410464578910174567[[#This Row],[DISCOUNT 2]]</f>
        <v>0</v>
      </c>
      <c r="M923" s="194">
        <f>IF(OR(_1_54128456121462410464578910174567[[#This Row],[UNIT]]&gt;0,_1_54128456121462410464578910174567[[#This Row],[UNIT]]&lt;0),_1_54128456121462410464578910174567[[#This Row],[UNIT]]*_1_54128456121462410464578910174567[[#This Row],[COST]],0)</f>
        <v>0</v>
      </c>
      <c r="N923" s="194">
        <f t="shared" si="14"/>
        <v>1.3</v>
      </c>
      <c r="O923" s="198">
        <f>_1_54128456121462410464578910174567[[#This Row],[TOTAL]]*_1_54128456121462410464578910174567[[#This Row],[MARGIN]]</f>
        <v>0</v>
      </c>
      <c r="P923" s="198"/>
      <c r="R923" s="41"/>
    </row>
    <row r="924" spans="4:18">
      <c r="D924" s="188"/>
      <c r="E924" s="42"/>
      <c r="F924" s="168" t="s">
        <v>6202</v>
      </c>
      <c r="G924" s="193">
        <f>IF(_1_54128456121462410464578910174567[[#This Row],[Type]]&gt;0,VLOOKUP(_1_54128456121462410464578910174567[[#This Row],[Type]],Main[[#All],[TYPE]:[UNIT]],'Unit Price'!C$1,FALSE),0)</f>
        <v>0</v>
      </c>
      <c r="H924" s="197">
        <f>IF(_1_54128456121462410464578910174567[[#This Row],[Type]]&gt;0,VLOOKUP(_1_54128456121462410464578910174567[[#This Row],[Type]],Main[[#All],[TYPE]:[UNIT]],'Unit Price'!D$1,FALSE),0)</f>
        <v>0</v>
      </c>
      <c r="I924" s="194">
        <f>IF(_1_54128456121462410464578910174567[[#This Row],[Type]]&gt;0,VLOOKUP(_1_54128456121462410464578910174567[[#This Row],[Type]],Main[[#All],[TYPE]:[UNIT]],'Unit Price'!G$1,FALSE),0)</f>
        <v>0</v>
      </c>
      <c r="J924" s="194">
        <f>IF(_1_54128456121462410464578910174567[[#This Row],[Type]]&gt;0,VLOOKUP(_1_54128456121462410464578910174567[[#This Row],[Type]],Main[[#All],[TYPE]:[UNIT]],'Unit Price'!H$1,FALSE),0)</f>
        <v>0</v>
      </c>
      <c r="K924" s="194">
        <f>IF(_1_54128456121462410464578910174567[[#This Row],[Discount selection]]&gt;0,VLOOKUP(_1_54128456121462410464578910174567[[#This Row],[Discount selection]],'Discount Structure'!$A$2:$B$30,2,"false"),0)</f>
        <v>1</v>
      </c>
      <c r="L924" s="194">
        <f>_1_54128456121462410464578910174567[[#This Row],[LIST $]]*_1_54128456121462410464578910174567[[#This Row],[DISCOUNT]]*_1_54128456121462410464578910174567[[#This Row],[DISCOUNT 2]]</f>
        <v>0</v>
      </c>
      <c r="M924" s="194">
        <f>IF(OR(_1_54128456121462410464578910174567[[#This Row],[UNIT]]&gt;0,_1_54128456121462410464578910174567[[#This Row],[UNIT]]&lt;0),_1_54128456121462410464578910174567[[#This Row],[UNIT]]*_1_54128456121462410464578910174567[[#This Row],[COST]],0)</f>
        <v>0</v>
      </c>
      <c r="N924" s="194">
        <f t="shared" si="14"/>
        <v>1.3</v>
      </c>
      <c r="O924" s="198">
        <f>_1_54128456121462410464578910174567[[#This Row],[TOTAL]]*_1_54128456121462410464578910174567[[#This Row],[MARGIN]]</f>
        <v>0</v>
      </c>
      <c r="P924" s="198"/>
      <c r="R924" s="41"/>
    </row>
    <row r="925" spans="4:18">
      <c r="D925" s="188"/>
      <c r="E925" s="42"/>
      <c r="F925" s="168" t="s">
        <v>6202</v>
      </c>
      <c r="G925" s="193">
        <f>IF(_1_54128456121462410464578910174567[[#This Row],[Type]]&gt;0,VLOOKUP(_1_54128456121462410464578910174567[[#This Row],[Type]],Main[[#All],[TYPE]:[UNIT]],'Unit Price'!C$1,FALSE),0)</f>
        <v>0</v>
      </c>
      <c r="H925" s="197">
        <f>IF(_1_54128456121462410464578910174567[[#This Row],[Type]]&gt;0,VLOOKUP(_1_54128456121462410464578910174567[[#This Row],[Type]],Main[[#All],[TYPE]:[UNIT]],'Unit Price'!D$1,FALSE),0)</f>
        <v>0</v>
      </c>
      <c r="I925" s="194">
        <f>IF(_1_54128456121462410464578910174567[[#This Row],[Type]]&gt;0,VLOOKUP(_1_54128456121462410464578910174567[[#This Row],[Type]],Main[[#All],[TYPE]:[UNIT]],'Unit Price'!G$1,FALSE),0)</f>
        <v>0</v>
      </c>
      <c r="J925" s="194">
        <f>IF(_1_54128456121462410464578910174567[[#This Row],[Type]]&gt;0,VLOOKUP(_1_54128456121462410464578910174567[[#This Row],[Type]],Main[[#All],[TYPE]:[UNIT]],'Unit Price'!H$1,FALSE),0)</f>
        <v>0</v>
      </c>
      <c r="K925" s="194">
        <f>IF(_1_54128456121462410464578910174567[[#This Row],[Discount selection]]&gt;0,VLOOKUP(_1_54128456121462410464578910174567[[#This Row],[Discount selection]],'Discount Structure'!$A$2:$B$30,2,"false"),0)</f>
        <v>1</v>
      </c>
      <c r="L925" s="194">
        <f>_1_54128456121462410464578910174567[[#This Row],[LIST $]]*_1_54128456121462410464578910174567[[#This Row],[DISCOUNT]]*_1_54128456121462410464578910174567[[#This Row],[DISCOUNT 2]]</f>
        <v>0</v>
      </c>
      <c r="M925" s="194">
        <f>IF(OR(_1_54128456121462410464578910174567[[#This Row],[UNIT]]&gt;0,_1_54128456121462410464578910174567[[#This Row],[UNIT]]&lt;0),_1_54128456121462410464578910174567[[#This Row],[UNIT]]*_1_54128456121462410464578910174567[[#This Row],[COST]],0)</f>
        <v>0</v>
      </c>
      <c r="N925" s="194">
        <f t="shared" si="14"/>
        <v>1.3</v>
      </c>
      <c r="O925" s="198">
        <f>_1_54128456121462410464578910174567[[#This Row],[TOTAL]]*_1_54128456121462410464578910174567[[#This Row],[MARGIN]]</f>
        <v>0</v>
      </c>
      <c r="P925" s="198"/>
      <c r="R925" s="41"/>
    </row>
    <row r="926" spans="4:18">
      <c r="D926" s="188"/>
      <c r="E926" s="42"/>
      <c r="F926" s="168" t="s">
        <v>6202</v>
      </c>
      <c r="G926" s="193">
        <f>IF(_1_54128456121462410464578910174567[[#This Row],[Type]]&gt;0,VLOOKUP(_1_54128456121462410464578910174567[[#This Row],[Type]],Main[[#All],[TYPE]:[UNIT]],'Unit Price'!C$1,FALSE),0)</f>
        <v>0</v>
      </c>
      <c r="H926" s="197">
        <f>IF(_1_54128456121462410464578910174567[[#This Row],[Type]]&gt;0,VLOOKUP(_1_54128456121462410464578910174567[[#This Row],[Type]],Main[[#All],[TYPE]:[UNIT]],'Unit Price'!D$1,FALSE),0)</f>
        <v>0</v>
      </c>
      <c r="I926" s="194">
        <f>IF(_1_54128456121462410464578910174567[[#This Row],[Type]]&gt;0,VLOOKUP(_1_54128456121462410464578910174567[[#This Row],[Type]],Main[[#All],[TYPE]:[UNIT]],'Unit Price'!G$1,FALSE),0)</f>
        <v>0</v>
      </c>
      <c r="J926" s="194">
        <f>IF(_1_54128456121462410464578910174567[[#This Row],[Type]]&gt;0,VLOOKUP(_1_54128456121462410464578910174567[[#This Row],[Type]],Main[[#All],[TYPE]:[UNIT]],'Unit Price'!H$1,FALSE),0)</f>
        <v>0</v>
      </c>
      <c r="K926" s="194">
        <f>IF(_1_54128456121462410464578910174567[[#This Row],[Discount selection]]&gt;0,VLOOKUP(_1_54128456121462410464578910174567[[#This Row],[Discount selection]],'Discount Structure'!$A$2:$B$30,2,"false"),0)</f>
        <v>1</v>
      </c>
      <c r="L926" s="194">
        <f>_1_54128456121462410464578910174567[[#This Row],[LIST $]]*_1_54128456121462410464578910174567[[#This Row],[DISCOUNT]]*_1_54128456121462410464578910174567[[#This Row],[DISCOUNT 2]]</f>
        <v>0</v>
      </c>
      <c r="M926" s="194">
        <f>IF(OR(_1_54128456121462410464578910174567[[#This Row],[UNIT]]&gt;0,_1_54128456121462410464578910174567[[#This Row],[UNIT]]&lt;0),_1_54128456121462410464578910174567[[#This Row],[UNIT]]*_1_54128456121462410464578910174567[[#This Row],[COST]],0)</f>
        <v>0</v>
      </c>
      <c r="N926" s="194">
        <f t="shared" si="14"/>
        <v>1.3</v>
      </c>
      <c r="O926" s="198">
        <f>_1_54128456121462410464578910174567[[#This Row],[TOTAL]]*_1_54128456121462410464578910174567[[#This Row],[MARGIN]]</f>
        <v>0</v>
      </c>
      <c r="P926" s="198"/>
      <c r="R926" s="41"/>
    </row>
    <row r="927" spans="4:18">
      <c r="D927" s="188"/>
      <c r="E927" s="42"/>
      <c r="F927" s="168" t="s">
        <v>6202</v>
      </c>
      <c r="G927" s="193">
        <f>IF(_1_54128456121462410464578910174567[[#This Row],[Type]]&gt;0,VLOOKUP(_1_54128456121462410464578910174567[[#This Row],[Type]],Main[[#All],[TYPE]:[UNIT]],'Unit Price'!C$1,FALSE),0)</f>
        <v>0</v>
      </c>
      <c r="H927" s="197">
        <f>IF(_1_54128456121462410464578910174567[[#This Row],[Type]]&gt;0,VLOOKUP(_1_54128456121462410464578910174567[[#This Row],[Type]],Main[[#All],[TYPE]:[UNIT]],'Unit Price'!D$1,FALSE),0)</f>
        <v>0</v>
      </c>
      <c r="I927" s="194">
        <f>IF(_1_54128456121462410464578910174567[[#This Row],[Type]]&gt;0,VLOOKUP(_1_54128456121462410464578910174567[[#This Row],[Type]],Main[[#All],[TYPE]:[UNIT]],'Unit Price'!G$1,FALSE),0)</f>
        <v>0</v>
      </c>
      <c r="J927" s="194">
        <f>IF(_1_54128456121462410464578910174567[[#This Row],[Type]]&gt;0,VLOOKUP(_1_54128456121462410464578910174567[[#This Row],[Type]],Main[[#All],[TYPE]:[UNIT]],'Unit Price'!H$1,FALSE),0)</f>
        <v>0</v>
      </c>
      <c r="K927" s="194">
        <f>IF(_1_54128456121462410464578910174567[[#This Row],[Discount selection]]&gt;0,VLOOKUP(_1_54128456121462410464578910174567[[#This Row],[Discount selection]],'Discount Structure'!$A$2:$B$30,2,"false"),0)</f>
        <v>1</v>
      </c>
      <c r="L927" s="194">
        <f>_1_54128456121462410464578910174567[[#This Row],[LIST $]]*_1_54128456121462410464578910174567[[#This Row],[DISCOUNT]]*_1_54128456121462410464578910174567[[#This Row],[DISCOUNT 2]]</f>
        <v>0</v>
      </c>
      <c r="M927" s="194">
        <f>IF(OR(_1_54128456121462410464578910174567[[#This Row],[UNIT]]&gt;0,_1_54128456121462410464578910174567[[#This Row],[UNIT]]&lt;0),_1_54128456121462410464578910174567[[#This Row],[UNIT]]*_1_54128456121462410464578910174567[[#This Row],[COST]],0)</f>
        <v>0</v>
      </c>
      <c r="N927" s="194">
        <f t="shared" si="14"/>
        <v>1.3</v>
      </c>
      <c r="O927" s="198">
        <f>_1_54128456121462410464578910174567[[#This Row],[TOTAL]]*_1_54128456121462410464578910174567[[#This Row],[MARGIN]]</f>
        <v>0</v>
      </c>
      <c r="P927" s="198"/>
      <c r="R927" s="41"/>
    </row>
    <row r="928" spans="4:18">
      <c r="D928" s="188"/>
      <c r="E928" s="42"/>
      <c r="F928" s="168" t="s">
        <v>6202</v>
      </c>
      <c r="G928" s="193">
        <f>IF(_1_54128456121462410464578910174567[[#This Row],[Type]]&gt;0,VLOOKUP(_1_54128456121462410464578910174567[[#This Row],[Type]],Main[[#All],[TYPE]:[UNIT]],'Unit Price'!C$1,FALSE),0)</f>
        <v>0</v>
      </c>
      <c r="H928" s="197">
        <f>IF(_1_54128456121462410464578910174567[[#This Row],[Type]]&gt;0,VLOOKUP(_1_54128456121462410464578910174567[[#This Row],[Type]],Main[[#All],[TYPE]:[UNIT]],'Unit Price'!D$1,FALSE),0)</f>
        <v>0</v>
      </c>
      <c r="I928" s="194">
        <f>IF(_1_54128456121462410464578910174567[[#This Row],[Type]]&gt;0,VLOOKUP(_1_54128456121462410464578910174567[[#This Row],[Type]],Main[[#All],[TYPE]:[UNIT]],'Unit Price'!G$1,FALSE),0)</f>
        <v>0</v>
      </c>
      <c r="J928" s="194">
        <f>IF(_1_54128456121462410464578910174567[[#This Row],[Type]]&gt;0,VLOOKUP(_1_54128456121462410464578910174567[[#This Row],[Type]],Main[[#All],[TYPE]:[UNIT]],'Unit Price'!H$1,FALSE),0)</f>
        <v>0</v>
      </c>
      <c r="K928" s="194">
        <f>IF(_1_54128456121462410464578910174567[[#This Row],[Discount selection]]&gt;0,VLOOKUP(_1_54128456121462410464578910174567[[#This Row],[Discount selection]],'Discount Structure'!$A$2:$B$30,2,"false"),0)</f>
        <v>1</v>
      </c>
      <c r="L928" s="194">
        <f>_1_54128456121462410464578910174567[[#This Row],[LIST $]]*_1_54128456121462410464578910174567[[#This Row],[DISCOUNT]]*_1_54128456121462410464578910174567[[#This Row],[DISCOUNT 2]]</f>
        <v>0</v>
      </c>
      <c r="M928" s="194">
        <f>IF(OR(_1_54128456121462410464578910174567[[#This Row],[UNIT]]&gt;0,_1_54128456121462410464578910174567[[#This Row],[UNIT]]&lt;0),_1_54128456121462410464578910174567[[#This Row],[UNIT]]*_1_54128456121462410464578910174567[[#This Row],[COST]],0)</f>
        <v>0</v>
      </c>
      <c r="N928" s="194">
        <f t="shared" si="14"/>
        <v>1.3</v>
      </c>
      <c r="O928" s="198">
        <f>_1_54128456121462410464578910174567[[#This Row],[TOTAL]]*_1_54128456121462410464578910174567[[#This Row],[MARGIN]]</f>
        <v>0</v>
      </c>
      <c r="P928" s="198"/>
      <c r="R928" s="41"/>
    </row>
    <row r="929" spans="4:18">
      <c r="D929" s="188"/>
      <c r="E929" s="42"/>
      <c r="F929" s="168" t="s">
        <v>6202</v>
      </c>
      <c r="G929" s="193">
        <f>IF(_1_54128456121462410464578910174567[[#This Row],[Type]]&gt;0,VLOOKUP(_1_54128456121462410464578910174567[[#This Row],[Type]],Main[[#All],[TYPE]:[UNIT]],'Unit Price'!C$1,FALSE),0)</f>
        <v>0</v>
      </c>
      <c r="H929" s="197">
        <f>IF(_1_54128456121462410464578910174567[[#This Row],[Type]]&gt;0,VLOOKUP(_1_54128456121462410464578910174567[[#This Row],[Type]],Main[[#All],[TYPE]:[UNIT]],'Unit Price'!D$1,FALSE),0)</f>
        <v>0</v>
      </c>
      <c r="I929" s="194">
        <f>IF(_1_54128456121462410464578910174567[[#This Row],[Type]]&gt;0,VLOOKUP(_1_54128456121462410464578910174567[[#This Row],[Type]],Main[[#All],[TYPE]:[UNIT]],'Unit Price'!G$1,FALSE),0)</f>
        <v>0</v>
      </c>
      <c r="J929" s="194">
        <f>IF(_1_54128456121462410464578910174567[[#This Row],[Type]]&gt;0,VLOOKUP(_1_54128456121462410464578910174567[[#This Row],[Type]],Main[[#All],[TYPE]:[UNIT]],'Unit Price'!H$1,FALSE),0)</f>
        <v>0</v>
      </c>
      <c r="K929" s="194">
        <f>IF(_1_54128456121462410464578910174567[[#This Row],[Discount selection]]&gt;0,VLOOKUP(_1_54128456121462410464578910174567[[#This Row],[Discount selection]],'Discount Structure'!$A$2:$B$30,2,"false"),0)</f>
        <v>1</v>
      </c>
      <c r="L929" s="194">
        <f>_1_54128456121462410464578910174567[[#This Row],[LIST $]]*_1_54128456121462410464578910174567[[#This Row],[DISCOUNT]]*_1_54128456121462410464578910174567[[#This Row],[DISCOUNT 2]]</f>
        <v>0</v>
      </c>
      <c r="M929" s="194">
        <f>IF(OR(_1_54128456121462410464578910174567[[#This Row],[UNIT]]&gt;0,_1_54128456121462410464578910174567[[#This Row],[UNIT]]&lt;0),_1_54128456121462410464578910174567[[#This Row],[UNIT]]*_1_54128456121462410464578910174567[[#This Row],[COST]],0)</f>
        <v>0</v>
      </c>
      <c r="N929" s="194">
        <f t="shared" si="14"/>
        <v>1.3</v>
      </c>
      <c r="O929" s="198">
        <f>_1_54128456121462410464578910174567[[#This Row],[TOTAL]]*_1_54128456121462410464578910174567[[#This Row],[MARGIN]]</f>
        <v>0</v>
      </c>
      <c r="P929" s="198"/>
      <c r="R929" s="41"/>
    </row>
    <row r="930" spans="4:18">
      <c r="D930" s="188"/>
      <c r="E930" s="42"/>
      <c r="F930" s="168" t="s">
        <v>6202</v>
      </c>
      <c r="G930" s="193">
        <f>IF(_1_54128456121462410464578910174567[[#This Row],[Type]]&gt;0,VLOOKUP(_1_54128456121462410464578910174567[[#This Row],[Type]],Main[[#All],[TYPE]:[UNIT]],'Unit Price'!C$1,FALSE),0)</f>
        <v>0</v>
      </c>
      <c r="H930" s="197">
        <f>IF(_1_54128456121462410464578910174567[[#This Row],[Type]]&gt;0,VLOOKUP(_1_54128456121462410464578910174567[[#This Row],[Type]],Main[[#All],[TYPE]:[UNIT]],'Unit Price'!D$1,FALSE),0)</f>
        <v>0</v>
      </c>
      <c r="I930" s="194">
        <f>IF(_1_54128456121462410464578910174567[[#This Row],[Type]]&gt;0,VLOOKUP(_1_54128456121462410464578910174567[[#This Row],[Type]],Main[[#All],[TYPE]:[UNIT]],'Unit Price'!G$1,FALSE),0)</f>
        <v>0</v>
      </c>
      <c r="J930" s="194">
        <f>IF(_1_54128456121462410464578910174567[[#This Row],[Type]]&gt;0,VLOOKUP(_1_54128456121462410464578910174567[[#This Row],[Type]],Main[[#All],[TYPE]:[UNIT]],'Unit Price'!H$1,FALSE),0)</f>
        <v>0</v>
      </c>
      <c r="K930" s="194">
        <f>IF(_1_54128456121462410464578910174567[[#This Row],[Discount selection]]&gt;0,VLOOKUP(_1_54128456121462410464578910174567[[#This Row],[Discount selection]],'Discount Structure'!$A$2:$B$30,2,"false"),0)</f>
        <v>1</v>
      </c>
      <c r="L930" s="194">
        <f>_1_54128456121462410464578910174567[[#This Row],[LIST $]]*_1_54128456121462410464578910174567[[#This Row],[DISCOUNT]]*_1_54128456121462410464578910174567[[#This Row],[DISCOUNT 2]]</f>
        <v>0</v>
      </c>
      <c r="M930" s="194">
        <f>IF(OR(_1_54128456121462410464578910174567[[#This Row],[UNIT]]&gt;0,_1_54128456121462410464578910174567[[#This Row],[UNIT]]&lt;0),_1_54128456121462410464578910174567[[#This Row],[UNIT]]*_1_54128456121462410464578910174567[[#This Row],[COST]],0)</f>
        <v>0</v>
      </c>
      <c r="N930" s="194">
        <f t="shared" si="14"/>
        <v>1.3</v>
      </c>
      <c r="O930" s="198">
        <f>_1_54128456121462410464578910174567[[#This Row],[TOTAL]]*_1_54128456121462410464578910174567[[#This Row],[MARGIN]]</f>
        <v>0</v>
      </c>
      <c r="P930" s="198"/>
      <c r="R930" s="41"/>
    </row>
    <row r="931" spans="4:18">
      <c r="D931" s="188"/>
      <c r="E931" s="42"/>
      <c r="F931" s="168" t="s">
        <v>6202</v>
      </c>
      <c r="G931" s="193">
        <f>IF(_1_54128456121462410464578910174567[[#This Row],[Type]]&gt;0,VLOOKUP(_1_54128456121462410464578910174567[[#This Row],[Type]],Main[[#All],[TYPE]:[UNIT]],'Unit Price'!C$1,FALSE),0)</f>
        <v>0</v>
      </c>
      <c r="H931" s="197">
        <f>IF(_1_54128456121462410464578910174567[[#This Row],[Type]]&gt;0,VLOOKUP(_1_54128456121462410464578910174567[[#This Row],[Type]],Main[[#All],[TYPE]:[UNIT]],'Unit Price'!D$1,FALSE),0)</f>
        <v>0</v>
      </c>
      <c r="I931" s="194">
        <f>IF(_1_54128456121462410464578910174567[[#This Row],[Type]]&gt;0,VLOOKUP(_1_54128456121462410464578910174567[[#This Row],[Type]],Main[[#All],[TYPE]:[UNIT]],'Unit Price'!G$1,FALSE),0)</f>
        <v>0</v>
      </c>
      <c r="J931" s="194">
        <f>IF(_1_54128456121462410464578910174567[[#This Row],[Type]]&gt;0,VLOOKUP(_1_54128456121462410464578910174567[[#This Row],[Type]],Main[[#All],[TYPE]:[UNIT]],'Unit Price'!H$1,FALSE),0)</f>
        <v>0</v>
      </c>
      <c r="K931" s="194">
        <f>IF(_1_54128456121462410464578910174567[[#This Row],[Discount selection]]&gt;0,VLOOKUP(_1_54128456121462410464578910174567[[#This Row],[Discount selection]],'Discount Structure'!$A$2:$B$30,2,"false"),0)</f>
        <v>1</v>
      </c>
      <c r="L931" s="194">
        <f>_1_54128456121462410464578910174567[[#This Row],[LIST $]]*_1_54128456121462410464578910174567[[#This Row],[DISCOUNT]]*_1_54128456121462410464578910174567[[#This Row],[DISCOUNT 2]]</f>
        <v>0</v>
      </c>
      <c r="M931" s="194">
        <f>IF(OR(_1_54128456121462410464578910174567[[#This Row],[UNIT]]&gt;0,_1_54128456121462410464578910174567[[#This Row],[UNIT]]&lt;0),_1_54128456121462410464578910174567[[#This Row],[UNIT]]*_1_54128456121462410464578910174567[[#This Row],[COST]],0)</f>
        <v>0</v>
      </c>
      <c r="N931" s="194">
        <f t="shared" si="14"/>
        <v>1.3</v>
      </c>
      <c r="O931" s="198">
        <f>_1_54128456121462410464578910174567[[#This Row],[TOTAL]]*_1_54128456121462410464578910174567[[#This Row],[MARGIN]]</f>
        <v>0</v>
      </c>
      <c r="P931" s="198"/>
      <c r="R931" s="41"/>
    </row>
    <row r="932" spans="4:18">
      <c r="D932" s="188"/>
      <c r="E932" s="42"/>
      <c r="F932" s="168" t="s">
        <v>6202</v>
      </c>
      <c r="G932" s="193">
        <f>IF(_1_54128456121462410464578910174567[[#This Row],[Type]]&gt;0,VLOOKUP(_1_54128456121462410464578910174567[[#This Row],[Type]],Main[[#All],[TYPE]:[UNIT]],'Unit Price'!C$1,FALSE),0)</f>
        <v>0</v>
      </c>
      <c r="H932" s="197">
        <f>IF(_1_54128456121462410464578910174567[[#This Row],[Type]]&gt;0,VLOOKUP(_1_54128456121462410464578910174567[[#This Row],[Type]],Main[[#All],[TYPE]:[UNIT]],'Unit Price'!D$1,FALSE),0)</f>
        <v>0</v>
      </c>
      <c r="I932" s="194">
        <f>IF(_1_54128456121462410464578910174567[[#This Row],[Type]]&gt;0,VLOOKUP(_1_54128456121462410464578910174567[[#This Row],[Type]],Main[[#All],[TYPE]:[UNIT]],'Unit Price'!G$1,FALSE),0)</f>
        <v>0</v>
      </c>
      <c r="J932" s="194">
        <f>IF(_1_54128456121462410464578910174567[[#This Row],[Type]]&gt;0,VLOOKUP(_1_54128456121462410464578910174567[[#This Row],[Type]],Main[[#All],[TYPE]:[UNIT]],'Unit Price'!H$1,FALSE),0)</f>
        <v>0</v>
      </c>
      <c r="K932" s="194">
        <f>IF(_1_54128456121462410464578910174567[[#This Row],[Discount selection]]&gt;0,VLOOKUP(_1_54128456121462410464578910174567[[#This Row],[Discount selection]],'Discount Structure'!$A$2:$B$30,2,"false"),0)</f>
        <v>1</v>
      </c>
      <c r="L932" s="194">
        <f>_1_54128456121462410464578910174567[[#This Row],[LIST $]]*_1_54128456121462410464578910174567[[#This Row],[DISCOUNT]]*_1_54128456121462410464578910174567[[#This Row],[DISCOUNT 2]]</f>
        <v>0</v>
      </c>
      <c r="M932" s="194">
        <f>IF(OR(_1_54128456121462410464578910174567[[#This Row],[UNIT]]&gt;0,_1_54128456121462410464578910174567[[#This Row],[UNIT]]&lt;0),_1_54128456121462410464578910174567[[#This Row],[UNIT]]*_1_54128456121462410464578910174567[[#This Row],[COST]],0)</f>
        <v>0</v>
      </c>
      <c r="N932" s="194">
        <f t="shared" si="14"/>
        <v>1.3</v>
      </c>
      <c r="O932" s="198">
        <f>_1_54128456121462410464578910174567[[#This Row],[TOTAL]]*_1_54128456121462410464578910174567[[#This Row],[MARGIN]]</f>
        <v>0</v>
      </c>
      <c r="P932" s="198"/>
      <c r="R932" s="41"/>
    </row>
    <row r="933" spans="4:18">
      <c r="D933" s="188"/>
      <c r="E933" s="42"/>
      <c r="F933" s="168" t="s">
        <v>6202</v>
      </c>
      <c r="G933" s="193">
        <f>IF(_1_54128456121462410464578910174567[[#This Row],[Type]]&gt;0,VLOOKUP(_1_54128456121462410464578910174567[[#This Row],[Type]],Main[[#All],[TYPE]:[UNIT]],'Unit Price'!C$1,FALSE),0)</f>
        <v>0</v>
      </c>
      <c r="H933" s="197">
        <f>IF(_1_54128456121462410464578910174567[[#This Row],[Type]]&gt;0,VLOOKUP(_1_54128456121462410464578910174567[[#This Row],[Type]],Main[[#All],[TYPE]:[UNIT]],'Unit Price'!D$1,FALSE),0)</f>
        <v>0</v>
      </c>
      <c r="I933" s="194">
        <f>IF(_1_54128456121462410464578910174567[[#This Row],[Type]]&gt;0,VLOOKUP(_1_54128456121462410464578910174567[[#This Row],[Type]],Main[[#All],[TYPE]:[UNIT]],'Unit Price'!G$1,FALSE),0)</f>
        <v>0</v>
      </c>
      <c r="J933" s="194">
        <f>IF(_1_54128456121462410464578910174567[[#This Row],[Type]]&gt;0,VLOOKUP(_1_54128456121462410464578910174567[[#This Row],[Type]],Main[[#All],[TYPE]:[UNIT]],'Unit Price'!H$1,FALSE),0)</f>
        <v>0</v>
      </c>
      <c r="K933" s="194">
        <f>IF(_1_54128456121462410464578910174567[[#This Row],[Discount selection]]&gt;0,VLOOKUP(_1_54128456121462410464578910174567[[#This Row],[Discount selection]],'Discount Structure'!$A$2:$B$30,2,"false"),0)</f>
        <v>1</v>
      </c>
      <c r="L933" s="194">
        <f>_1_54128456121462410464578910174567[[#This Row],[LIST $]]*_1_54128456121462410464578910174567[[#This Row],[DISCOUNT]]*_1_54128456121462410464578910174567[[#This Row],[DISCOUNT 2]]</f>
        <v>0</v>
      </c>
      <c r="M933" s="194">
        <f>IF(OR(_1_54128456121462410464578910174567[[#This Row],[UNIT]]&gt;0,_1_54128456121462410464578910174567[[#This Row],[UNIT]]&lt;0),_1_54128456121462410464578910174567[[#This Row],[UNIT]]*_1_54128456121462410464578910174567[[#This Row],[COST]],0)</f>
        <v>0</v>
      </c>
      <c r="N933" s="194">
        <f t="shared" si="14"/>
        <v>1.3</v>
      </c>
      <c r="O933" s="198">
        <f>_1_54128456121462410464578910174567[[#This Row],[TOTAL]]*_1_54128456121462410464578910174567[[#This Row],[MARGIN]]</f>
        <v>0</v>
      </c>
      <c r="P933" s="198"/>
      <c r="R933" s="41"/>
    </row>
    <row r="934" spans="4:18">
      <c r="D934" s="188"/>
      <c r="E934" s="42"/>
      <c r="F934" s="168" t="s">
        <v>6202</v>
      </c>
      <c r="G934" s="193">
        <f>IF(_1_54128456121462410464578910174567[[#This Row],[Type]]&gt;0,VLOOKUP(_1_54128456121462410464578910174567[[#This Row],[Type]],Main[[#All],[TYPE]:[UNIT]],'Unit Price'!C$1,FALSE),0)</f>
        <v>0</v>
      </c>
      <c r="H934" s="197">
        <f>IF(_1_54128456121462410464578910174567[[#This Row],[Type]]&gt;0,VLOOKUP(_1_54128456121462410464578910174567[[#This Row],[Type]],Main[[#All],[TYPE]:[UNIT]],'Unit Price'!D$1,FALSE),0)</f>
        <v>0</v>
      </c>
      <c r="I934" s="194">
        <f>IF(_1_54128456121462410464578910174567[[#This Row],[Type]]&gt;0,VLOOKUP(_1_54128456121462410464578910174567[[#This Row],[Type]],Main[[#All],[TYPE]:[UNIT]],'Unit Price'!G$1,FALSE),0)</f>
        <v>0</v>
      </c>
      <c r="J934" s="194">
        <f>IF(_1_54128456121462410464578910174567[[#This Row],[Type]]&gt;0,VLOOKUP(_1_54128456121462410464578910174567[[#This Row],[Type]],Main[[#All],[TYPE]:[UNIT]],'Unit Price'!H$1,FALSE),0)</f>
        <v>0</v>
      </c>
      <c r="K934" s="194">
        <f>IF(_1_54128456121462410464578910174567[[#This Row],[Discount selection]]&gt;0,VLOOKUP(_1_54128456121462410464578910174567[[#This Row],[Discount selection]],'Discount Structure'!$A$2:$B$30,2,"false"),0)</f>
        <v>1</v>
      </c>
      <c r="L934" s="194">
        <f>_1_54128456121462410464578910174567[[#This Row],[LIST $]]*_1_54128456121462410464578910174567[[#This Row],[DISCOUNT]]*_1_54128456121462410464578910174567[[#This Row],[DISCOUNT 2]]</f>
        <v>0</v>
      </c>
      <c r="M934" s="194">
        <f>IF(OR(_1_54128456121462410464578910174567[[#This Row],[UNIT]]&gt;0,_1_54128456121462410464578910174567[[#This Row],[UNIT]]&lt;0),_1_54128456121462410464578910174567[[#This Row],[UNIT]]*_1_54128456121462410464578910174567[[#This Row],[COST]],0)</f>
        <v>0</v>
      </c>
      <c r="N934" s="194">
        <f t="shared" si="14"/>
        <v>1.3</v>
      </c>
      <c r="O934" s="198">
        <f>_1_54128456121462410464578910174567[[#This Row],[TOTAL]]*_1_54128456121462410464578910174567[[#This Row],[MARGIN]]</f>
        <v>0</v>
      </c>
      <c r="P934" s="198"/>
      <c r="R934" s="41"/>
    </row>
    <row r="935" spans="4:18">
      <c r="D935" s="188"/>
      <c r="E935" s="42"/>
      <c r="F935" s="168" t="s">
        <v>6202</v>
      </c>
      <c r="G935" s="193">
        <f>IF(_1_54128456121462410464578910174567[[#This Row],[Type]]&gt;0,VLOOKUP(_1_54128456121462410464578910174567[[#This Row],[Type]],Main[[#All],[TYPE]:[UNIT]],'Unit Price'!C$1,FALSE),0)</f>
        <v>0</v>
      </c>
      <c r="H935" s="197">
        <f>IF(_1_54128456121462410464578910174567[[#This Row],[Type]]&gt;0,VLOOKUP(_1_54128456121462410464578910174567[[#This Row],[Type]],Main[[#All],[TYPE]:[UNIT]],'Unit Price'!D$1,FALSE),0)</f>
        <v>0</v>
      </c>
      <c r="I935" s="194">
        <f>IF(_1_54128456121462410464578910174567[[#This Row],[Type]]&gt;0,VLOOKUP(_1_54128456121462410464578910174567[[#This Row],[Type]],Main[[#All],[TYPE]:[UNIT]],'Unit Price'!G$1,FALSE),0)</f>
        <v>0</v>
      </c>
      <c r="J935" s="194">
        <f>IF(_1_54128456121462410464578910174567[[#This Row],[Type]]&gt;0,VLOOKUP(_1_54128456121462410464578910174567[[#This Row],[Type]],Main[[#All],[TYPE]:[UNIT]],'Unit Price'!H$1,FALSE),0)</f>
        <v>0</v>
      </c>
      <c r="K935" s="194">
        <f>IF(_1_54128456121462410464578910174567[[#This Row],[Discount selection]]&gt;0,VLOOKUP(_1_54128456121462410464578910174567[[#This Row],[Discount selection]],'Discount Structure'!$A$2:$B$30,2,"false"),0)</f>
        <v>1</v>
      </c>
      <c r="L935" s="194">
        <f>_1_54128456121462410464578910174567[[#This Row],[LIST $]]*_1_54128456121462410464578910174567[[#This Row],[DISCOUNT]]*_1_54128456121462410464578910174567[[#This Row],[DISCOUNT 2]]</f>
        <v>0</v>
      </c>
      <c r="M935" s="194">
        <f>IF(OR(_1_54128456121462410464578910174567[[#This Row],[UNIT]]&gt;0,_1_54128456121462410464578910174567[[#This Row],[UNIT]]&lt;0),_1_54128456121462410464578910174567[[#This Row],[UNIT]]*_1_54128456121462410464578910174567[[#This Row],[COST]],0)</f>
        <v>0</v>
      </c>
      <c r="N935" s="194">
        <f t="shared" si="14"/>
        <v>1.3</v>
      </c>
      <c r="O935" s="198">
        <f>_1_54128456121462410464578910174567[[#This Row],[TOTAL]]*_1_54128456121462410464578910174567[[#This Row],[MARGIN]]</f>
        <v>0</v>
      </c>
      <c r="P935" s="198"/>
      <c r="R935" s="41"/>
    </row>
    <row r="936" spans="4:18">
      <c r="D936" s="188"/>
      <c r="E936" s="42"/>
      <c r="F936" s="168" t="s">
        <v>6202</v>
      </c>
      <c r="G936" s="193">
        <f>IF(_1_54128456121462410464578910174567[[#This Row],[Type]]&gt;0,VLOOKUP(_1_54128456121462410464578910174567[[#This Row],[Type]],Main[[#All],[TYPE]:[UNIT]],'Unit Price'!C$1,FALSE),0)</f>
        <v>0</v>
      </c>
      <c r="H936" s="197">
        <f>IF(_1_54128456121462410464578910174567[[#This Row],[Type]]&gt;0,VLOOKUP(_1_54128456121462410464578910174567[[#This Row],[Type]],Main[[#All],[TYPE]:[UNIT]],'Unit Price'!D$1,FALSE),0)</f>
        <v>0</v>
      </c>
      <c r="I936" s="194">
        <f>IF(_1_54128456121462410464578910174567[[#This Row],[Type]]&gt;0,VLOOKUP(_1_54128456121462410464578910174567[[#This Row],[Type]],Main[[#All],[TYPE]:[UNIT]],'Unit Price'!G$1,FALSE),0)</f>
        <v>0</v>
      </c>
      <c r="J936" s="194">
        <f>IF(_1_54128456121462410464578910174567[[#This Row],[Type]]&gt;0,VLOOKUP(_1_54128456121462410464578910174567[[#This Row],[Type]],Main[[#All],[TYPE]:[UNIT]],'Unit Price'!H$1,FALSE),0)</f>
        <v>0</v>
      </c>
      <c r="K936" s="194">
        <f>IF(_1_54128456121462410464578910174567[[#This Row],[Discount selection]]&gt;0,VLOOKUP(_1_54128456121462410464578910174567[[#This Row],[Discount selection]],'Discount Structure'!$A$2:$B$30,2,"false"),0)</f>
        <v>1</v>
      </c>
      <c r="L936" s="194">
        <f>_1_54128456121462410464578910174567[[#This Row],[LIST $]]*_1_54128456121462410464578910174567[[#This Row],[DISCOUNT]]*_1_54128456121462410464578910174567[[#This Row],[DISCOUNT 2]]</f>
        <v>0</v>
      </c>
      <c r="M936" s="194">
        <f>IF(OR(_1_54128456121462410464578910174567[[#This Row],[UNIT]]&gt;0,_1_54128456121462410464578910174567[[#This Row],[UNIT]]&lt;0),_1_54128456121462410464578910174567[[#This Row],[UNIT]]*_1_54128456121462410464578910174567[[#This Row],[COST]],0)</f>
        <v>0</v>
      </c>
      <c r="N936" s="194">
        <f t="shared" si="14"/>
        <v>1.3</v>
      </c>
      <c r="O936" s="198">
        <f>_1_54128456121462410464578910174567[[#This Row],[TOTAL]]*_1_54128456121462410464578910174567[[#This Row],[MARGIN]]</f>
        <v>0</v>
      </c>
      <c r="P936" s="198"/>
      <c r="R936" s="41"/>
    </row>
    <row r="937" spans="4:18">
      <c r="D937" s="188"/>
      <c r="E937" s="42"/>
      <c r="F937" s="168" t="s">
        <v>6202</v>
      </c>
      <c r="G937" s="193">
        <f>IF(_1_54128456121462410464578910174567[[#This Row],[Type]]&gt;0,VLOOKUP(_1_54128456121462410464578910174567[[#This Row],[Type]],Main[[#All],[TYPE]:[UNIT]],'Unit Price'!C$1,FALSE),0)</f>
        <v>0</v>
      </c>
      <c r="H937" s="197">
        <f>IF(_1_54128456121462410464578910174567[[#This Row],[Type]]&gt;0,VLOOKUP(_1_54128456121462410464578910174567[[#This Row],[Type]],Main[[#All],[TYPE]:[UNIT]],'Unit Price'!D$1,FALSE),0)</f>
        <v>0</v>
      </c>
      <c r="I937" s="194">
        <f>IF(_1_54128456121462410464578910174567[[#This Row],[Type]]&gt;0,VLOOKUP(_1_54128456121462410464578910174567[[#This Row],[Type]],Main[[#All],[TYPE]:[UNIT]],'Unit Price'!G$1,FALSE),0)</f>
        <v>0</v>
      </c>
      <c r="J937" s="194">
        <f>IF(_1_54128456121462410464578910174567[[#This Row],[Type]]&gt;0,VLOOKUP(_1_54128456121462410464578910174567[[#This Row],[Type]],Main[[#All],[TYPE]:[UNIT]],'Unit Price'!H$1,FALSE),0)</f>
        <v>0</v>
      </c>
      <c r="K937" s="194">
        <f>IF(_1_54128456121462410464578910174567[[#This Row],[Discount selection]]&gt;0,VLOOKUP(_1_54128456121462410464578910174567[[#This Row],[Discount selection]],'Discount Structure'!$A$2:$B$30,2,"false"),0)</f>
        <v>1</v>
      </c>
      <c r="L937" s="194">
        <f>_1_54128456121462410464578910174567[[#This Row],[LIST $]]*_1_54128456121462410464578910174567[[#This Row],[DISCOUNT]]*_1_54128456121462410464578910174567[[#This Row],[DISCOUNT 2]]</f>
        <v>0</v>
      </c>
      <c r="M937" s="194">
        <f>IF(OR(_1_54128456121462410464578910174567[[#This Row],[UNIT]]&gt;0,_1_54128456121462410464578910174567[[#This Row],[UNIT]]&lt;0),_1_54128456121462410464578910174567[[#This Row],[UNIT]]*_1_54128456121462410464578910174567[[#This Row],[COST]],0)</f>
        <v>0</v>
      </c>
      <c r="N937" s="194">
        <f t="shared" si="14"/>
        <v>1.3</v>
      </c>
      <c r="O937" s="198">
        <f>_1_54128456121462410464578910174567[[#This Row],[TOTAL]]*_1_54128456121462410464578910174567[[#This Row],[MARGIN]]</f>
        <v>0</v>
      </c>
      <c r="P937" s="198"/>
      <c r="R937" s="41"/>
    </row>
    <row r="938" spans="4:18">
      <c r="D938" s="188"/>
      <c r="E938" s="42"/>
      <c r="F938" s="168" t="s">
        <v>6202</v>
      </c>
      <c r="G938" s="193">
        <f>IF(_1_54128456121462410464578910174567[[#This Row],[Type]]&gt;0,VLOOKUP(_1_54128456121462410464578910174567[[#This Row],[Type]],Main[[#All],[TYPE]:[UNIT]],'Unit Price'!C$1,FALSE),0)</f>
        <v>0</v>
      </c>
      <c r="H938" s="197">
        <f>IF(_1_54128456121462410464578910174567[[#This Row],[Type]]&gt;0,VLOOKUP(_1_54128456121462410464578910174567[[#This Row],[Type]],Main[[#All],[TYPE]:[UNIT]],'Unit Price'!D$1,FALSE),0)</f>
        <v>0</v>
      </c>
      <c r="I938" s="194">
        <f>IF(_1_54128456121462410464578910174567[[#This Row],[Type]]&gt;0,VLOOKUP(_1_54128456121462410464578910174567[[#This Row],[Type]],Main[[#All],[TYPE]:[UNIT]],'Unit Price'!G$1,FALSE),0)</f>
        <v>0</v>
      </c>
      <c r="J938" s="194">
        <f>IF(_1_54128456121462410464578910174567[[#This Row],[Type]]&gt;0,VLOOKUP(_1_54128456121462410464578910174567[[#This Row],[Type]],Main[[#All],[TYPE]:[UNIT]],'Unit Price'!H$1,FALSE),0)</f>
        <v>0</v>
      </c>
      <c r="K938" s="194">
        <f>IF(_1_54128456121462410464578910174567[[#This Row],[Discount selection]]&gt;0,VLOOKUP(_1_54128456121462410464578910174567[[#This Row],[Discount selection]],'Discount Structure'!$A$2:$B$30,2,"false"),0)</f>
        <v>1</v>
      </c>
      <c r="L938" s="194">
        <f>_1_54128456121462410464578910174567[[#This Row],[LIST $]]*_1_54128456121462410464578910174567[[#This Row],[DISCOUNT]]*_1_54128456121462410464578910174567[[#This Row],[DISCOUNT 2]]</f>
        <v>0</v>
      </c>
      <c r="M938" s="194">
        <f>IF(OR(_1_54128456121462410464578910174567[[#This Row],[UNIT]]&gt;0,_1_54128456121462410464578910174567[[#This Row],[UNIT]]&lt;0),_1_54128456121462410464578910174567[[#This Row],[UNIT]]*_1_54128456121462410464578910174567[[#This Row],[COST]],0)</f>
        <v>0</v>
      </c>
      <c r="N938" s="194">
        <f t="shared" si="14"/>
        <v>1.3</v>
      </c>
      <c r="O938" s="198">
        <f>_1_54128456121462410464578910174567[[#This Row],[TOTAL]]*_1_54128456121462410464578910174567[[#This Row],[MARGIN]]</f>
        <v>0</v>
      </c>
      <c r="P938" s="198"/>
      <c r="R938" s="41"/>
    </row>
    <row r="939" spans="4:18">
      <c r="D939" s="188"/>
      <c r="E939" s="42"/>
      <c r="F939" s="168" t="s">
        <v>6202</v>
      </c>
      <c r="G939" s="193">
        <f>IF(_1_54128456121462410464578910174567[[#This Row],[Type]]&gt;0,VLOOKUP(_1_54128456121462410464578910174567[[#This Row],[Type]],Main[[#All],[TYPE]:[UNIT]],'Unit Price'!C$1,FALSE),0)</f>
        <v>0</v>
      </c>
      <c r="H939" s="197">
        <f>IF(_1_54128456121462410464578910174567[[#This Row],[Type]]&gt;0,VLOOKUP(_1_54128456121462410464578910174567[[#This Row],[Type]],Main[[#All],[TYPE]:[UNIT]],'Unit Price'!D$1,FALSE),0)</f>
        <v>0</v>
      </c>
      <c r="I939" s="194">
        <f>IF(_1_54128456121462410464578910174567[[#This Row],[Type]]&gt;0,VLOOKUP(_1_54128456121462410464578910174567[[#This Row],[Type]],Main[[#All],[TYPE]:[UNIT]],'Unit Price'!G$1,FALSE),0)</f>
        <v>0</v>
      </c>
      <c r="J939" s="194">
        <f>IF(_1_54128456121462410464578910174567[[#This Row],[Type]]&gt;0,VLOOKUP(_1_54128456121462410464578910174567[[#This Row],[Type]],Main[[#All],[TYPE]:[UNIT]],'Unit Price'!H$1,FALSE),0)</f>
        <v>0</v>
      </c>
      <c r="K939" s="194">
        <f>IF(_1_54128456121462410464578910174567[[#This Row],[Discount selection]]&gt;0,VLOOKUP(_1_54128456121462410464578910174567[[#This Row],[Discount selection]],'Discount Structure'!$A$2:$B$30,2,"false"),0)</f>
        <v>1</v>
      </c>
      <c r="L939" s="194">
        <f>_1_54128456121462410464578910174567[[#This Row],[LIST $]]*_1_54128456121462410464578910174567[[#This Row],[DISCOUNT]]*_1_54128456121462410464578910174567[[#This Row],[DISCOUNT 2]]</f>
        <v>0</v>
      </c>
      <c r="M939" s="194">
        <f>IF(OR(_1_54128456121462410464578910174567[[#This Row],[UNIT]]&gt;0,_1_54128456121462410464578910174567[[#This Row],[UNIT]]&lt;0),_1_54128456121462410464578910174567[[#This Row],[UNIT]]*_1_54128456121462410464578910174567[[#This Row],[COST]],0)</f>
        <v>0</v>
      </c>
      <c r="N939" s="194">
        <f t="shared" si="14"/>
        <v>1.3</v>
      </c>
      <c r="O939" s="198">
        <f>_1_54128456121462410464578910174567[[#This Row],[TOTAL]]*_1_54128456121462410464578910174567[[#This Row],[MARGIN]]</f>
        <v>0</v>
      </c>
      <c r="P939" s="198"/>
      <c r="R939" s="41"/>
    </row>
    <row r="940" spans="4:18">
      <c r="D940" s="188"/>
      <c r="E940" s="42"/>
      <c r="F940" s="168" t="s">
        <v>6202</v>
      </c>
      <c r="G940" s="193">
        <f>IF(_1_54128456121462410464578910174567[[#This Row],[Type]]&gt;0,VLOOKUP(_1_54128456121462410464578910174567[[#This Row],[Type]],Main[[#All],[TYPE]:[UNIT]],'Unit Price'!C$1,FALSE),0)</f>
        <v>0</v>
      </c>
      <c r="H940" s="197">
        <f>IF(_1_54128456121462410464578910174567[[#This Row],[Type]]&gt;0,VLOOKUP(_1_54128456121462410464578910174567[[#This Row],[Type]],Main[[#All],[TYPE]:[UNIT]],'Unit Price'!D$1,FALSE),0)</f>
        <v>0</v>
      </c>
      <c r="I940" s="194">
        <f>IF(_1_54128456121462410464578910174567[[#This Row],[Type]]&gt;0,VLOOKUP(_1_54128456121462410464578910174567[[#This Row],[Type]],Main[[#All],[TYPE]:[UNIT]],'Unit Price'!G$1,FALSE),0)</f>
        <v>0</v>
      </c>
      <c r="J940" s="194">
        <f>IF(_1_54128456121462410464578910174567[[#This Row],[Type]]&gt;0,VLOOKUP(_1_54128456121462410464578910174567[[#This Row],[Type]],Main[[#All],[TYPE]:[UNIT]],'Unit Price'!H$1,FALSE),0)</f>
        <v>0</v>
      </c>
      <c r="K940" s="194">
        <f>IF(_1_54128456121462410464578910174567[[#This Row],[Discount selection]]&gt;0,VLOOKUP(_1_54128456121462410464578910174567[[#This Row],[Discount selection]],'Discount Structure'!$A$2:$B$30,2,"false"),0)</f>
        <v>1</v>
      </c>
      <c r="L940" s="194">
        <f>_1_54128456121462410464578910174567[[#This Row],[LIST $]]*_1_54128456121462410464578910174567[[#This Row],[DISCOUNT]]*_1_54128456121462410464578910174567[[#This Row],[DISCOUNT 2]]</f>
        <v>0</v>
      </c>
      <c r="M940" s="194">
        <f>IF(OR(_1_54128456121462410464578910174567[[#This Row],[UNIT]]&gt;0,_1_54128456121462410464578910174567[[#This Row],[UNIT]]&lt;0),_1_54128456121462410464578910174567[[#This Row],[UNIT]]*_1_54128456121462410464578910174567[[#This Row],[COST]],0)</f>
        <v>0</v>
      </c>
      <c r="N940" s="194">
        <f t="shared" si="14"/>
        <v>1.3</v>
      </c>
      <c r="O940" s="198">
        <f>_1_54128456121462410464578910174567[[#This Row],[TOTAL]]*_1_54128456121462410464578910174567[[#This Row],[MARGIN]]</f>
        <v>0</v>
      </c>
      <c r="P940" s="198"/>
      <c r="R940" s="41"/>
    </row>
    <row r="941" spans="4:18">
      <c r="D941" s="188"/>
      <c r="E941" s="42"/>
      <c r="F941" s="168" t="s">
        <v>6202</v>
      </c>
      <c r="G941" s="193">
        <f>IF(_1_54128456121462410464578910174567[[#This Row],[Type]]&gt;0,VLOOKUP(_1_54128456121462410464578910174567[[#This Row],[Type]],Main[[#All],[TYPE]:[UNIT]],'Unit Price'!C$1,FALSE),0)</f>
        <v>0</v>
      </c>
      <c r="H941" s="197">
        <f>IF(_1_54128456121462410464578910174567[[#This Row],[Type]]&gt;0,VLOOKUP(_1_54128456121462410464578910174567[[#This Row],[Type]],Main[[#All],[TYPE]:[UNIT]],'Unit Price'!D$1,FALSE),0)</f>
        <v>0</v>
      </c>
      <c r="I941" s="194">
        <f>IF(_1_54128456121462410464578910174567[[#This Row],[Type]]&gt;0,VLOOKUP(_1_54128456121462410464578910174567[[#This Row],[Type]],Main[[#All],[TYPE]:[UNIT]],'Unit Price'!G$1,FALSE),0)</f>
        <v>0</v>
      </c>
      <c r="J941" s="194">
        <f>IF(_1_54128456121462410464578910174567[[#This Row],[Type]]&gt;0,VLOOKUP(_1_54128456121462410464578910174567[[#This Row],[Type]],Main[[#All],[TYPE]:[UNIT]],'Unit Price'!H$1,FALSE),0)</f>
        <v>0</v>
      </c>
      <c r="K941" s="194">
        <f>IF(_1_54128456121462410464578910174567[[#This Row],[Discount selection]]&gt;0,VLOOKUP(_1_54128456121462410464578910174567[[#This Row],[Discount selection]],'Discount Structure'!$A$2:$B$30,2,"false"),0)</f>
        <v>1</v>
      </c>
      <c r="L941" s="194">
        <f>_1_54128456121462410464578910174567[[#This Row],[LIST $]]*_1_54128456121462410464578910174567[[#This Row],[DISCOUNT]]*_1_54128456121462410464578910174567[[#This Row],[DISCOUNT 2]]</f>
        <v>0</v>
      </c>
      <c r="M941" s="194">
        <f>IF(OR(_1_54128456121462410464578910174567[[#This Row],[UNIT]]&gt;0,_1_54128456121462410464578910174567[[#This Row],[UNIT]]&lt;0),_1_54128456121462410464578910174567[[#This Row],[UNIT]]*_1_54128456121462410464578910174567[[#This Row],[COST]],0)</f>
        <v>0</v>
      </c>
      <c r="N941" s="194">
        <f t="shared" si="14"/>
        <v>1.3</v>
      </c>
      <c r="O941" s="198">
        <f>_1_54128456121462410464578910174567[[#This Row],[TOTAL]]*_1_54128456121462410464578910174567[[#This Row],[MARGIN]]</f>
        <v>0</v>
      </c>
      <c r="P941" s="198"/>
      <c r="R941" s="41"/>
    </row>
    <row r="942" spans="4:18">
      <c r="D942" s="188"/>
      <c r="E942" s="42"/>
      <c r="F942" s="168" t="s">
        <v>6202</v>
      </c>
      <c r="G942" s="193">
        <f>IF(_1_54128456121462410464578910174567[[#This Row],[Type]]&gt;0,VLOOKUP(_1_54128456121462410464578910174567[[#This Row],[Type]],Main[[#All],[TYPE]:[UNIT]],'Unit Price'!C$1,FALSE),0)</f>
        <v>0</v>
      </c>
      <c r="H942" s="197">
        <f>IF(_1_54128456121462410464578910174567[[#This Row],[Type]]&gt;0,VLOOKUP(_1_54128456121462410464578910174567[[#This Row],[Type]],Main[[#All],[TYPE]:[UNIT]],'Unit Price'!D$1,FALSE),0)</f>
        <v>0</v>
      </c>
      <c r="I942" s="194">
        <f>IF(_1_54128456121462410464578910174567[[#This Row],[Type]]&gt;0,VLOOKUP(_1_54128456121462410464578910174567[[#This Row],[Type]],Main[[#All],[TYPE]:[UNIT]],'Unit Price'!G$1,FALSE),0)</f>
        <v>0</v>
      </c>
      <c r="J942" s="194">
        <f>IF(_1_54128456121462410464578910174567[[#This Row],[Type]]&gt;0,VLOOKUP(_1_54128456121462410464578910174567[[#This Row],[Type]],Main[[#All],[TYPE]:[UNIT]],'Unit Price'!H$1,FALSE),0)</f>
        <v>0</v>
      </c>
      <c r="K942" s="194">
        <f>IF(_1_54128456121462410464578910174567[[#This Row],[Discount selection]]&gt;0,VLOOKUP(_1_54128456121462410464578910174567[[#This Row],[Discount selection]],'Discount Structure'!$A$2:$B$30,2,"false"),0)</f>
        <v>1</v>
      </c>
      <c r="L942" s="194">
        <f>_1_54128456121462410464578910174567[[#This Row],[LIST $]]*_1_54128456121462410464578910174567[[#This Row],[DISCOUNT]]*_1_54128456121462410464578910174567[[#This Row],[DISCOUNT 2]]</f>
        <v>0</v>
      </c>
      <c r="M942" s="194">
        <f>IF(OR(_1_54128456121462410464578910174567[[#This Row],[UNIT]]&gt;0,_1_54128456121462410464578910174567[[#This Row],[UNIT]]&lt;0),_1_54128456121462410464578910174567[[#This Row],[UNIT]]*_1_54128456121462410464578910174567[[#This Row],[COST]],0)</f>
        <v>0</v>
      </c>
      <c r="N942" s="194">
        <f t="shared" si="14"/>
        <v>1.3</v>
      </c>
      <c r="O942" s="198">
        <f>_1_54128456121462410464578910174567[[#This Row],[TOTAL]]*_1_54128456121462410464578910174567[[#This Row],[MARGIN]]</f>
        <v>0</v>
      </c>
      <c r="P942" s="198"/>
      <c r="R942" s="41"/>
    </row>
    <row r="943" spans="4:18">
      <c r="D943" s="188"/>
      <c r="E943" s="42"/>
      <c r="F943" s="168" t="s">
        <v>6202</v>
      </c>
      <c r="G943" s="193">
        <f>IF(_1_54128456121462410464578910174567[[#This Row],[Type]]&gt;0,VLOOKUP(_1_54128456121462410464578910174567[[#This Row],[Type]],Main[[#All],[TYPE]:[UNIT]],'Unit Price'!C$1,FALSE),0)</f>
        <v>0</v>
      </c>
      <c r="H943" s="197">
        <f>IF(_1_54128456121462410464578910174567[[#This Row],[Type]]&gt;0,VLOOKUP(_1_54128456121462410464578910174567[[#This Row],[Type]],Main[[#All],[TYPE]:[UNIT]],'Unit Price'!D$1,FALSE),0)</f>
        <v>0</v>
      </c>
      <c r="I943" s="194">
        <f>IF(_1_54128456121462410464578910174567[[#This Row],[Type]]&gt;0,VLOOKUP(_1_54128456121462410464578910174567[[#This Row],[Type]],Main[[#All],[TYPE]:[UNIT]],'Unit Price'!G$1,FALSE),0)</f>
        <v>0</v>
      </c>
      <c r="J943" s="194">
        <f>IF(_1_54128456121462410464578910174567[[#This Row],[Type]]&gt;0,VLOOKUP(_1_54128456121462410464578910174567[[#This Row],[Type]],Main[[#All],[TYPE]:[UNIT]],'Unit Price'!H$1,FALSE),0)</f>
        <v>0</v>
      </c>
      <c r="K943" s="194">
        <f>IF(_1_54128456121462410464578910174567[[#This Row],[Discount selection]]&gt;0,VLOOKUP(_1_54128456121462410464578910174567[[#This Row],[Discount selection]],'Discount Structure'!$A$2:$B$30,2,"false"),0)</f>
        <v>1</v>
      </c>
      <c r="L943" s="194">
        <f>_1_54128456121462410464578910174567[[#This Row],[LIST $]]*_1_54128456121462410464578910174567[[#This Row],[DISCOUNT]]*_1_54128456121462410464578910174567[[#This Row],[DISCOUNT 2]]</f>
        <v>0</v>
      </c>
      <c r="M943" s="194">
        <f>IF(OR(_1_54128456121462410464578910174567[[#This Row],[UNIT]]&gt;0,_1_54128456121462410464578910174567[[#This Row],[UNIT]]&lt;0),_1_54128456121462410464578910174567[[#This Row],[UNIT]]*_1_54128456121462410464578910174567[[#This Row],[COST]],0)</f>
        <v>0</v>
      </c>
      <c r="N943" s="194">
        <f t="shared" si="14"/>
        <v>1.3</v>
      </c>
      <c r="O943" s="198">
        <f>_1_54128456121462410464578910174567[[#This Row],[TOTAL]]*_1_54128456121462410464578910174567[[#This Row],[MARGIN]]</f>
        <v>0</v>
      </c>
      <c r="P943" s="198"/>
      <c r="R943" s="41"/>
    </row>
    <row r="944" spans="4:18">
      <c r="D944" s="188"/>
      <c r="E944" s="42"/>
      <c r="F944" s="168" t="s">
        <v>6202</v>
      </c>
      <c r="G944" s="193">
        <f>IF(_1_54128456121462410464578910174567[[#This Row],[Type]]&gt;0,VLOOKUP(_1_54128456121462410464578910174567[[#This Row],[Type]],Main[[#All],[TYPE]:[UNIT]],'Unit Price'!C$1,FALSE),0)</f>
        <v>0</v>
      </c>
      <c r="H944" s="197">
        <f>IF(_1_54128456121462410464578910174567[[#This Row],[Type]]&gt;0,VLOOKUP(_1_54128456121462410464578910174567[[#This Row],[Type]],Main[[#All],[TYPE]:[UNIT]],'Unit Price'!D$1,FALSE),0)</f>
        <v>0</v>
      </c>
      <c r="I944" s="194">
        <f>IF(_1_54128456121462410464578910174567[[#This Row],[Type]]&gt;0,VLOOKUP(_1_54128456121462410464578910174567[[#This Row],[Type]],Main[[#All],[TYPE]:[UNIT]],'Unit Price'!G$1,FALSE),0)</f>
        <v>0</v>
      </c>
      <c r="J944" s="194">
        <f>IF(_1_54128456121462410464578910174567[[#This Row],[Type]]&gt;0,VLOOKUP(_1_54128456121462410464578910174567[[#This Row],[Type]],Main[[#All],[TYPE]:[UNIT]],'Unit Price'!H$1,FALSE),0)</f>
        <v>0</v>
      </c>
      <c r="K944" s="194">
        <f>IF(_1_54128456121462410464578910174567[[#This Row],[Discount selection]]&gt;0,VLOOKUP(_1_54128456121462410464578910174567[[#This Row],[Discount selection]],'Discount Structure'!$A$2:$B$30,2,"false"),0)</f>
        <v>1</v>
      </c>
      <c r="L944" s="194">
        <f>_1_54128456121462410464578910174567[[#This Row],[LIST $]]*_1_54128456121462410464578910174567[[#This Row],[DISCOUNT]]*_1_54128456121462410464578910174567[[#This Row],[DISCOUNT 2]]</f>
        <v>0</v>
      </c>
      <c r="M944" s="194">
        <f>IF(OR(_1_54128456121462410464578910174567[[#This Row],[UNIT]]&gt;0,_1_54128456121462410464578910174567[[#This Row],[UNIT]]&lt;0),_1_54128456121462410464578910174567[[#This Row],[UNIT]]*_1_54128456121462410464578910174567[[#This Row],[COST]],0)</f>
        <v>0</v>
      </c>
      <c r="N944" s="194">
        <f t="shared" si="14"/>
        <v>1.3</v>
      </c>
      <c r="O944" s="198">
        <f>_1_54128456121462410464578910174567[[#This Row],[TOTAL]]*_1_54128456121462410464578910174567[[#This Row],[MARGIN]]</f>
        <v>0</v>
      </c>
      <c r="P944" s="198"/>
      <c r="R944" s="41"/>
    </row>
    <row r="945" spans="4:18">
      <c r="D945" s="188"/>
      <c r="E945" s="42"/>
      <c r="F945" s="168" t="s">
        <v>6202</v>
      </c>
      <c r="G945" s="193">
        <f>IF(_1_54128456121462410464578910174567[[#This Row],[Type]]&gt;0,VLOOKUP(_1_54128456121462410464578910174567[[#This Row],[Type]],Main[[#All],[TYPE]:[UNIT]],'Unit Price'!C$1,FALSE),0)</f>
        <v>0</v>
      </c>
      <c r="H945" s="197">
        <f>IF(_1_54128456121462410464578910174567[[#This Row],[Type]]&gt;0,VLOOKUP(_1_54128456121462410464578910174567[[#This Row],[Type]],Main[[#All],[TYPE]:[UNIT]],'Unit Price'!D$1,FALSE),0)</f>
        <v>0</v>
      </c>
      <c r="I945" s="194">
        <f>IF(_1_54128456121462410464578910174567[[#This Row],[Type]]&gt;0,VLOOKUP(_1_54128456121462410464578910174567[[#This Row],[Type]],Main[[#All],[TYPE]:[UNIT]],'Unit Price'!G$1,FALSE),0)</f>
        <v>0</v>
      </c>
      <c r="J945" s="194">
        <f>IF(_1_54128456121462410464578910174567[[#This Row],[Type]]&gt;0,VLOOKUP(_1_54128456121462410464578910174567[[#This Row],[Type]],Main[[#All],[TYPE]:[UNIT]],'Unit Price'!H$1,FALSE),0)</f>
        <v>0</v>
      </c>
      <c r="K945" s="194">
        <f>IF(_1_54128456121462410464578910174567[[#This Row],[Discount selection]]&gt;0,VLOOKUP(_1_54128456121462410464578910174567[[#This Row],[Discount selection]],'Discount Structure'!$A$2:$B$30,2,"false"),0)</f>
        <v>1</v>
      </c>
      <c r="L945" s="194">
        <f>_1_54128456121462410464578910174567[[#This Row],[LIST $]]*_1_54128456121462410464578910174567[[#This Row],[DISCOUNT]]*_1_54128456121462410464578910174567[[#This Row],[DISCOUNT 2]]</f>
        <v>0</v>
      </c>
      <c r="M945" s="194">
        <f>IF(OR(_1_54128456121462410464578910174567[[#This Row],[UNIT]]&gt;0,_1_54128456121462410464578910174567[[#This Row],[UNIT]]&lt;0),_1_54128456121462410464578910174567[[#This Row],[UNIT]]*_1_54128456121462410464578910174567[[#This Row],[COST]],0)</f>
        <v>0</v>
      </c>
      <c r="N945" s="194">
        <f t="shared" si="14"/>
        <v>1.3</v>
      </c>
      <c r="O945" s="198">
        <f>_1_54128456121462410464578910174567[[#This Row],[TOTAL]]*_1_54128456121462410464578910174567[[#This Row],[MARGIN]]</f>
        <v>0</v>
      </c>
      <c r="P945" s="198"/>
      <c r="R945" s="41"/>
    </row>
    <row r="946" spans="4:18">
      <c r="D946" s="188"/>
      <c r="E946" s="42"/>
      <c r="F946" s="168" t="s">
        <v>6202</v>
      </c>
      <c r="G946" s="193">
        <f>IF(_1_54128456121462410464578910174567[[#This Row],[Type]]&gt;0,VLOOKUP(_1_54128456121462410464578910174567[[#This Row],[Type]],Main[[#All],[TYPE]:[UNIT]],'Unit Price'!C$1,FALSE),0)</f>
        <v>0</v>
      </c>
      <c r="H946" s="197">
        <f>IF(_1_54128456121462410464578910174567[[#This Row],[Type]]&gt;0,VLOOKUP(_1_54128456121462410464578910174567[[#This Row],[Type]],Main[[#All],[TYPE]:[UNIT]],'Unit Price'!D$1,FALSE),0)</f>
        <v>0</v>
      </c>
      <c r="I946" s="194">
        <f>IF(_1_54128456121462410464578910174567[[#This Row],[Type]]&gt;0,VLOOKUP(_1_54128456121462410464578910174567[[#This Row],[Type]],Main[[#All],[TYPE]:[UNIT]],'Unit Price'!G$1,FALSE),0)</f>
        <v>0</v>
      </c>
      <c r="J946" s="194">
        <f>IF(_1_54128456121462410464578910174567[[#This Row],[Type]]&gt;0,VLOOKUP(_1_54128456121462410464578910174567[[#This Row],[Type]],Main[[#All],[TYPE]:[UNIT]],'Unit Price'!H$1,FALSE),0)</f>
        <v>0</v>
      </c>
      <c r="K946" s="194">
        <f>IF(_1_54128456121462410464578910174567[[#This Row],[Discount selection]]&gt;0,VLOOKUP(_1_54128456121462410464578910174567[[#This Row],[Discount selection]],'Discount Structure'!$A$2:$B$30,2,"false"),0)</f>
        <v>1</v>
      </c>
      <c r="L946" s="194">
        <f>_1_54128456121462410464578910174567[[#This Row],[LIST $]]*_1_54128456121462410464578910174567[[#This Row],[DISCOUNT]]*_1_54128456121462410464578910174567[[#This Row],[DISCOUNT 2]]</f>
        <v>0</v>
      </c>
      <c r="M946" s="194">
        <f>IF(OR(_1_54128456121462410464578910174567[[#This Row],[UNIT]]&gt;0,_1_54128456121462410464578910174567[[#This Row],[UNIT]]&lt;0),_1_54128456121462410464578910174567[[#This Row],[UNIT]]*_1_54128456121462410464578910174567[[#This Row],[COST]],0)</f>
        <v>0</v>
      </c>
      <c r="N946" s="194">
        <f t="shared" si="14"/>
        <v>1.3</v>
      </c>
      <c r="O946" s="198">
        <f>_1_54128456121462410464578910174567[[#This Row],[TOTAL]]*_1_54128456121462410464578910174567[[#This Row],[MARGIN]]</f>
        <v>0</v>
      </c>
      <c r="P946" s="198"/>
      <c r="R946" s="41"/>
    </row>
    <row r="947" spans="4:18">
      <c r="D947" s="188"/>
      <c r="E947" s="42"/>
      <c r="F947" s="168" t="s">
        <v>6202</v>
      </c>
      <c r="G947" s="193">
        <f>IF(_1_54128456121462410464578910174567[[#This Row],[Type]]&gt;0,VLOOKUP(_1_54128456121462410464578910174567[[#This Row],[Type]],Main[[#All],[TYPE]:[UNIT]],'Unit Price'!C$1,FALSE),0)</f>
        <v>0</v>
      </c>
      <c r="H947" s="197">
        <f>IF(_1_54128456121462410464578910174567[[#This Row],[Type]]&gt;0,VLOOKUP(_1_54128456121462410464578910174567[[#This Row],[Type]],Main[[#All],[TYPE]:[UNIT]],'Unit Price'!D$1,FALSE),0)</f>
        <v>0</v>
      </c>
      <c r="I947" s="194">
        <f>IF(_1_54128456121462410464578910174567[[#This Row],[Type]]&gt;0,VLOOKUP(_1_54128456121462410464578910174567[[#This Row],[Type]],Main[[#All],[TYPE]:[UNIT]],'Unit Price'!G$1,FALSE),0)</f>
        <v>0</v>
      </c>
      <c r="J947" s="194">
        <f>IF(_1_54128456121462410464578910174567[[#This Row],[Type]]&gt;0,VLOOKUP(_1_54128456121462410464578910174567[[#This Row],[Type]],Main[[#All],[TYPE]:[UNIT]],'Unit Price'!H$1,FALSE),0)</f>
        <v>0</v>
      </c>
      <c r="K947" s="194">
        <f>IF(_1_54128456121462410464578910174567[[#This Row],[Discount selection]]&gt;0,VLOOKUP(_1_54128456121462410464578910174567[[#This Row],[Discount selection]],'Discount Structure'!$A$2:$B$30,2,"false"),0)</f>
        <v>1</v>
      </c>
      <c r="L947" s="194">
        <f>_1_54128456121462410464578910174567[[#This Row],[LIST $]]*_1_54128456121462410464578910174567[[#This Row],[DISCOUNT]]*_1_54128456121462410464578910174567[[#This Row],[DISCOUNT 2]]</f>
        <v>0</v>
      </c>
      <c r="M947" s="194">
        <f>IF(OR(_1_54128456121462410464578910174567[[#This Row],[UNIT]]&gt;0,_1_54128456121462410464578910174567[[#This Row],[UNIT]]&lt;0),_1_54128456121462410464578910174567[[#This Row],[UNIT]]*_1_54128456121462410464578910174567[[#This Row],[COST]],0)</f>
        <v>0</v>
      </c>
      <c r="N947" s="194">
        <f t="shared" si="14"/>
        <v>1.3</v>
      </c>
      <c r="O947" s="198">
        <f>_1_54128456121462410464578910174567[[#This Row],[TOTAL]]*_1_54128456121462410464578910174567[[#This Row],[MARGIN]]</f>
        <v>0</v>
      </c>
      <c r="P947" s="198"/>
      <c r="R947" s="41"/>
    </row>
    <row r="948" spans="4:18">
      <c r="D948" s="188"/>
      <c r="E948" s="42"/>
      <c r="F948" s="168" t="s">
        <v>6202</v>
      </c>
      <c r="G948" s="193">
        <f>IF(_1_54128456121462410464578910174567[[#This Row],[Type]]&gt;0,VLOOKUP(_1_54128456121462410464578910174567[[#This Row],[Type]],Main[[#All],[TYPE]:[UNIT]],'Unit Price'!C$1,FALSE),0)</f>
        <v>0</v>
      </c>
      <c r="H948" s="197">
        <f>IF(_1_54128456121462410464578910174567[[#This Row],[Type]]&gt;0,VLOOKUP(_1_54128456121462410464578910174567[[#This Row],[Type]],Main[[#All],[TYPE]:[UNIT]],'Unit Price'!D$1,FALSE),0)</f>
        <v>0</v>
      </c>
      <c r="I948" s="194">
        <f>IF(_1_54128456121462410464578910174567[[#This Row],[Type]]&gt;0,VLOOKUP(_1_54128456121462410464578910174567[[#This Row],[Type]],Main[[#All],[TYPE]:[UNIT]],'Unit Price'!G$1,FALSE),0)</f>
        <v>0</v>
      </c>
      <c r="J948" s="194">
        <f>IF(_1_54128456121462410464578910174567[[#This Row],[Type]]&gt;0,VLOOKUP(_1_54128456121462410464578910174567[[#This Row],[Type]],Main[[#All],[TYPE]:[UNIT]],'Unit Price'!H$1,FALSE),0)</f>
        <v>0</v>
      </c>
      <c r="K948" s="194">
        <f>IF(_1_54128456121462410464578910174567[[#This Row],[Discount selection]]&gt;0,VLOOKUP(_1_54128456121462410464578910174567[[#This Row],[Discount selection]],'Discount Structure'!$A$2:$B$30,2,"false"),0)</f>
        <v>1</v>
      </c>
      <c r="L948" s="194">
        <f>_1_54128456121462410464578910174567[[#This Row],[LIST $]]*_1_54128456121462410464578910174567[[#This Row],[DISCOUNT]]*_1_54128456121462410464578910174567[[#This Row],[DISCOUNT 2]]</f>
        <v>0</v>
      </c>
      <c r="M948" s="194">
        <f>IF(OR(_1_54128456121462410464578910174567[[#This Row],[UNIT]]&gt;0,_1_54128456121462410464578910174567[[#This Row],[UNIT]]&lt;0),_1_54128456121462410464578910174567[[#This Row],[UNIT]]*_1_54128456121462410464578910174567[[#This Row],[COST]],0)</f>
        <v>0</v>
      </c>
      <c r="N948" s="194">
        <f t="shared" si="14"/>
        <v>1.3</v>
      </c>
      <c r="O948" s="198">
        <f>_1_54128456121462410464578910174567[[#This Row],[TOTAL]]*_1_54128456121462410464578910174567[[#This Row],[MARGIN]]</f>
        <v>0</v>
      </c>
      <c r="P948" s="198"/>
      <c r="R948" s="41"/>
    </row>
    <row r="949" spans="4:18">
      <c r="D949" s="188"/>
      <c r="E949" s="42"/>
      <c r="F949" s="168" t="s">
        <v>6202</v>
      </c>
      <c r="G949" s="193">
        <f>IF(_1_54128456121462410464578910174567[[#This Row],[Type]]&gt;0,VLOOKUP(_1_54128456121462410464578910174567[[#This Row],[Type]],Main[[#All],[TYPE]:[UNIT]],'Unit Price'!C$1,FALSE),0)</f>
        <v>0</v>
      </c>
      <c r="H949" s="197">
        <f>IF(_1_54128456121462410464578910174567[[#This Row],[Type]]&gt;0,VLOOKUP(_1_54128456121462410464578910174567[[#This Row],[Type]],Main[[#All],[TYPE]:[UNIT]],'Unit Price'!D$1,FALSE),0)</f>
        <v>0</v>
      </c>
      <c r="I949" s="194">
        <f>IF(_1_54128456121462410464578910174567[[#This Row],[Type]]&gt;0,VLOOKUP(_1_54128456121462410464578910174567[[#This Row],[Type]],Main[[#All],[TYPE]:[UNIT]],'Unit Price'!G$1,FALSE),0)</f>
        <v>0</v>
      </c>
      <c r="J949" s="194">
        <f>IF(_1_54128456121462410464578910174567[[#This Row],[Type]]&gt;0,VLOOKUP(_1_54128456121462410464578910174567[[#This Row],[Type]],Main[[#All],[TYPE]:[UNIT]],'Unit Price'!H$1,FALSE),0)</f>
        <v>0</v>
      </c>
      <c r="K949" s="194">
        <f>IF(_1_54128456121462410464578910174567[[#This Row],[Discount selection]]&gt;0,VLOOKUP(_1_54128456121462410464578910174567[[#This Row],[Discount selection]],'Discount Structure'!$A$2:$B$30,2,"false"),0)</f>
        <v>1</v>
      </c>
      <c r="L949" s="194">
        <f>_1_54128456121462410464578910174567[[#This Row],[LIST $]]*_1_54128456121462410464578910174567[[#This Row],[DISCOUNT]]*_1_54128456121462410464578910174567[[#This Row],[DISCOUNT 2]]</f>
        <v>0</v>
      </c>
      <c r="M949" s="194">
        <f>IF(OR(_1_54128456121462410464578910174567[[#This Row],[UNIT]]&gt;0,_1_54128456121462410464578910174567[[#This Row],[UNIT]]&lt;0),_1_54128456121462410464578910174567[[#This Row],[UNIT]]*_1_54128456121462410464578910174567[[#This Row],[COST]],0)</f>
        <v>0</v>
      </c>
      <c r="N949" s="194">
        <f t="shared" si="14"/>
        <v>1.3</v>
      </c>
      <c r="O949" s="198">
        <f>_1_54128456121462410464578910174567[[#This Row],[TOTAL]]*_1_54128456121462410464578910174567[[#This Row],[MARGIN]]</f>
        <v>0</v>
      </c>
      <c r="P949" s="198"/>
      <c r="R949" s="41"/>
    </row>
    <row r="950" spans="4:18">
      <c r="D950" s="188"/>
      <c r="E950" s="42"/>
      <c r="F950" s="168" t="s">
        <v>6202</v>
      </c>
      <c r="G950" s="193">
        <f>IF(_1_54128456121462410464578910174567[[#This Row],[Type]]&gt;0,VLOOKUP(_1_54128456121462410464578910174567[[#This Row],[Type]],Main[[#All],[TYPE]:[UNIT]],'Unit Price'!C$1,FALSE),0)</f>
        <v>0</v>
      </c>
      <c r="H950" s="197">
        <f>IF(_1_54128456121462410464578910174567[[#This Row],[Type]]&gt;0,VLOOKUP(_1_54128456121462410464578910174567[[#This Row],[Type]],Main[[#All],[TYPE]:[UNIT]],'Unit Price'!D$1,FALSE),0)</f>
        <v>0</v>
      </c>
      <c r="I950" s="194">
        <f>IF(_1_54128456121462410464578910174567[[#This Row],[Type]]&gt;0,VLOOKUP(_1_54128456121462410464578910174567[[#This Row],[Type]],Main[[#All],[TYPE]:[UNIT]],'Unit Price'!G$1,FALSE),0)</f>
        <v>0</v>
      </c>
      <c r="J950" s="194">
        <f>IF(_1_54128456121462410464578910174567[[#This Row],[Type]]&gt;0,VLOOKUP(_1_54128456121462410464578910174567[[#This Row],[Type]],Main[[#All],[TYPE]:[UNIT]],'Unit Price'!H$1,FALSE),0)</f>
        <v>0</v>
      </c>
      <c r="K950" s="194">
        <f>IF(_1_54128456121462410464578910174567[[#This Row],[Discount selection]]&gt;0,VLOOKUP(_1_54128456121462410464578910174567[[#This Row],[Discount selection]],'Discount Structure'!$A$2:$B$30,2,"false"),0)</f>
        <v>1</v>
      </c>
      <c r="L950" s="194">
        <f>_1_54128456121462410464578910174567[[#This Row],[LIST $]]*_1_54128456121462410464578910174567[[#This Row],[DISCOUNT]]*_1_54128456121462410464578910174567[[#This Row],[DISCOUNT 2]]</f>
        <v>0</v>
      </c>
      <c r="M950" s="194">
        <f>IF(OR(_1_54128456121462410464578910174567[[#This Row],[UNIT]]&gt;0,_1_54128456121462410464578910174567[[#This Row],[UNIT]]&lt;0),_1_54128456121462410464578910174567[[#This Row],[UNIT]]*_1_54128456121462410464578910174567[[#This Row],[COST]],0)</f>
        <v>0</v>
      </c>
      <c r="N950" s="194">
        <f t="shared" si="14"/>
        <v>1.3</v>
      </c>
      <c r="O950" s="198">
        <f>_1_54128456121462410464578910174567[[#This Row],[TOTAL]]*_1_54128456121462410464578910174567[[#This Row],[MARGIN]]</f>
        <v>0</v>
      </c>
      <c r="P950" s="198"/>
      <c r="R950" s="41"/>
    </row>
    <row r="951" spans="4:18">
      <c r="D951" s="188"/>
      <c r="E951" s="42"/>
      <c r="F951" s="168" t="s">
        <v>6202</v>
      </c>
      <c r="G951" s="193">
        <f>IF(_1_54128456121462410464578910174567[[#This Row],[Type]]&gt;0,VLOOKUP(_1_54128456121462410464578910174567[[#This Row],[Type]],Main[[#All],[TYPE]:[UNIT]],'Unit Price'!C$1,FALSE),0)</f>
        <v>0</v>
      </c>
      <c r="H951" s="197">
        <f>IF(_1_54128456121462410464578910174567[[#This Row],[Type]]&gt;0,VLOOKUP(_1_54128456121462410464578910174567[[#This Row],[Type]],Main[[#All],[TYPE]:[UNIT]],'Unit Price'!D$1,FALSE),0)</f>
        <v>0</v>
      </c>
      <c r="I951" s="194">
        <f>IF(_1_54128456121462410464578910174567[[#This Row],[Type]]&gt;0,VLOOKUP(_1_54128456121462410464578910174567[[#This Row],[Type]],Main[[#All],[TYPE]:[UNIT]],'Unit Price'!G$1,FALSE),0)</f>
        <v>0</v>
      </c>
      <c r="J951" s="194">
        <f>IF(_1_54128456121462410464578910174567[[#This Row],[Type]]&gt;0,VLOOKUP(_1_54128456121462410464578910174567[[#This Row],[Type]],Main[[#All],[TYPE]:[UNIT]],'Unit Price'!H$1,FALSE),0)</f>
        <v>0</v>
      </c>
      <c r="K951" s="194">
        <f>IF(_1_54128456121462410464578910174567[[#This Row],[Discount selection]]&gt;0,VLOOKUP(_1_54128456121462410464578910174567[[#This Row],[Discount selection]],'Discount Structure'!$A$2:$B$30,2,"false"),0)</f>
        <v>1</v>
      </c>
      <c r="L951" s="194">
        <f>_1_54128456121462410464578910174567[[#This Row],[LIST $]]*_1_54128456121462410464578910174567[[#This Row],[DISCOUNT]]*_1_54128456121462410464578910174567[[#This Row],[DISCOUNT 2]]</f>
        <v>0</v>
      </c>
      <c r="M951" s="194">
        <f>IF(OR(_1_54128456121462410464578910174567[[#This Row],[UNIT]]&gt;0,_1_54128456121462410464578910174567[[#This Row],[UNIT]]&lt;0),_1_54128456121462410464578910174567[[#This Row],[UNIT]]*_1_54128456121462410464578910174567[[#This Row],[COST]],0)</f>
        <v>0</v>
      </c>
      <c r="N951" s="194">
        <f t="shared" si="14"/>
        <v>1.3</v>
      </c>
      <c r="O951" s="198">
        <f>_1_54128456121462410464578910174567[[#This Row],[TOTAL]]*_1_54128456121462410464578910174567[[#This Row],[MARGIN]]</f>
        <v>0</v>
      </c>
      <c r="P951" s="198"/>
      <c r="R951" s="41"/>
    </row>
    <row r="952" spans="4:18">
      <c r="D952" s="188"/>
      <c r="E952" s="42"/>
      <c r="F952" s="168" t="s">
        <v>6202</v>
      </c>
      <c r="G952" s="193">
        <f>IF(_1_54128456121462410464578910174567[[#This Row],[Type]]&gt;0,VLOOKUP(_1_54128456121462410464578910174567[[#This Row],[Type]],Main[[#All],[TYPE]:[UNIT]],'Unit Price'!C$1,FALSE),0)</f>
        <v>0</v>
      </c>
      <c r="H952" s="197">
        <f>IF(_1_54128456121462410464578910174567[[#This Row],[Type]]&gt;0,VLOOKUP(_1_54128456121462410464578910174567[[#This Row],[Type]],Main[[#All],[TYPE]:[UNIT]],'Unit Price'!D$1,FALSE),0)</f>
        <v>0</v>
      </c>
      <c r="I952" s="194">
        <f>IF(_1_54128456121462410464578910174567[[#This Row],[Type]]&gt;0,VLOOKUP(_1_54128456121462410464578910174567[[#This Row],[Type]],Main[[#All],[TYPE]:[UNIT]],'Unit Price'!G$1,FALSE),0)</f>
        <v>0</v>
      </c>
      <c r="J952" s="194">
        <f>IF(_1_54128456121462410464578910174567[[#This Row],[Type]]&gt;0,VLOOKUP(_1_54128456121462410464578910174567[[#This Row],[Type]],Main[[#All],[TYPE]:[UNIT]],'Unit Price'!H$1,FALSE),0)</f>
        <v>0</v>
      </c>
      <c r="K952" s="194">
        <f>IF(_1_54128456121462410464578910174567[[#This Row],[Discount selection]]&gt;0,VLOOKUP(_1_54128456121462410464578910174567[[#This Row],[Discount selection]],'Discount Structure'!$A$2:$B$30,2,"false"),0)</f>
        <v>1</v>
      </c>
      <c r="L952" s="194">
        <f>_1_54128456121462410464578910174567[[#This Row],[LIST $]]*_1_54128456121462410464578910174567[[#This Row],[DISCOUNT]]*_1_54128456121462410464578910174567[[#This Row],[DISCOUNT 2]]</f>
        <v>0</v>
      </c>
      <c r="M952" s="194">
        <f>IF(OR(_1_54128456121462410464578910174567[[#This Row],[UNIT]]&gt;0,_1_54128456121462410464578910174567[[#This Row],[UNIT]]&lt;0),_1_54128456121462410464578910174567[[#This Row],[UNIT]]*_1_54128456121462410464578910174567[[#This Row],[COST]],0)</f>
        <v>0</v>
      </c>
      <c r="N952" s="194">
        <f t="shared" si="14"/>
        <v>1.3</v>
      </c>
      <c r="O952" s="198">
        <f>_1_54128456121462410464578910174567[[#This Row],[TOTAL]]*_1_54128456121462410464578910174567[[#This Row],[MARGIN]]</f>
        <v>0</v>
      </c>
      <c r="P952" s="198"/>
      <c r="R952" s="41"/>
    </row>
    <row r="953" spans="4:18">
      <c r="D953" s="188"/>
      <c r="E953" s="42"/>
      <c r="F953" s="168" t="s">
        <v>6202</v>
      </c>
      <c r="G953" s="193">
        <f>IF(_1_54128456121462410464578910174567[[#This Row],[Type]]&gt;0,VLOOKUP(_1_54128456121462410464578910174567[[#This Row],[Type]],Main[[#All],[TYPE]:[UNIT]],'Unit Price'!C$1,FALSE),0)</f>
        <v>0</v>
      </c>
      <c r="H953" s="197">
        <f>IF(_1_54128456121462410464578910174567[[#This Row],[Type]]&gt;0,VLOOKUP(_1_54128456121462410464578910174567[[#This Row],[Type]],Main[[#All],[TYPE]:[UNIT]],'Unit Price'!D$1,FALSE),0)</f>
        <v>0</v>
      </c>
      <c r="I953" s="194">
        <f>IF(_1_54128456121462410464578910174567[[#This Row],[Type]]&gt;0,VLOOKUP(_1_54128456121462410464578910174567[[#This Row],[Type]],Main[[#All],[TYPE]:[UNIT]],'Unit Price'!G$1,FALSE),0)</f>
        <v>0</v>
      </c>
      <c r="J953" s="194">
        <f>IF(_1_54128456121462410464578910174567[[#This Row],[Type]]&gt;0,VLOOKUP(_1_54128456121462410464578910174567[[#This Row],[Type]],Main[[#All],[TYPE]:[UNIT]],'Unit Price'!H$1,FALSE),0)</f>
        <v>0</v>
      </c>
      <c r="K953" s="194">
        <f>IF(_1_54128456121462410464578910174567[[#This Row],[Discount selection]]&gt;0,VLOOKUP(_1_54128456121462410464578910174567[[#This Row],[Discount selection]],'Discount Structure'!$A$2:$B$30,2,"false"),0)</f>
        <v>1</v>
      </c>
      <c r="L953" s="194">
        <f>_1_54128456121462410464578910174567[[#This Row],[LIST $]]*_1_54128456121462410464578910174567[[#This Row],[DISCOUNT]]*_1_54128456121462410464578910174567[[#This Row],[DISCOUNT 2]]</f>
        <v>0</v>
      </c>
      <c r="M953" s="194">
        <f>IF(OR(_1_54128456121462410464578910174567[[#This Row],[UNIT]]&gt;0,_1_54128456121462410464578910174567[[#This Row],[UNIT]]&lt;0),_1_54128456121462410464578910174567[[#This Row],[UNIT]]*_1_54128456121462410464578910174567[[#This Row],[COST]],0)</f>
        <v>0</v>
      </c>
      <c r="N953" s="194">
        <f t="shared" si="14"/>
        <v>1.3</v>
      </c>
      <c r="O953" s="198">
        <f>_1_54128456121462410464578910174567[[#This Row],[TOTAL]]*_1_54128456121462410464578910174567[[#This Row],[MARGIN]]</f>
        <v>0</v>
      </c>
      <c r="P953" s="198"/>
      <c r="R953" s="41"/>
    </row>
    <row r="954" spans="4:18">
      <c r="D954" s="188"/>
      <c r="E954" s="42"/>
      <c r="F954" s="168" t="s">
        <v>6202</v>
      </c>
      <c r="G954" s="193">
        <f>IF(_1_54128456121462410464578910174567[[#This Row],[Type]]&gt;0,VLOOKUP(_1_54128456121462410464578910174567[[#This Row],[Type]],Main[[#All],[TYPE]:[UNIT]],'Unit Price'!C$1,FALSE),0)</f>
        <v>0</v>
      </c>
      <c r="H954" s="197">
        <f>IF(_1_54128456121462410464578910174567[[#This Row],[Type]]&gt;0,VLOOKUP(_1_54128456121462410464578910174567[[#This Row],[Type]],Main[[#All],[TYPE]:[UNIT]],'Unit Price'!D$1,FALSE),0)</f>
        <v>0</v>
      </c>
      <c r="I954" s="194">
        <f>IF(_1_54128456121462410464578910174567[[#This Row],[Type]]&gt;0,VLOOKUP(_1_54128456121462410464578910174567[[#This Row],[Type]],Main[[#All],[TYPE]:[UNIT]],'Unit Price'!G$1,FALSE),0)</f>
        <v>0</v>
      </c>
      <c r="J954" s="194">
        <f>IF(_1_54128456121462410464578910174567[[#This Row],[Type]]&gt;0,VLOOKUP(_1_54128456121462410464578910174567[[#This Row],[Type]],Main[[#All],[TYPE]:[UNIT]],'Unit Price'!H$1,FALSE),0)</f>
        <v>0</v>
      </c>
      <c r="K954" s="194">
        <f>IF(_1_54128456121462410464578910174567[[#This Row],[Discount selection]]&gt;0,VLOOKUP(_1_54128456121462410464578910174567[[#This Row],[Discount selection]],'Discount Structure'!$A$2:$B$30,2,"false"),0)</f>
        <v>1</v>
      </c>
      <c r="L954" s="194">
        <f>_1_54128456121462410464578910174567[[#This Row],[LIST $]]*_1_54128456121462410464578910174567[[#This Row],[DISCOUNT]]*_1_54128456121462410464578910174567[[#This Row],[DISCOUNT 2]]</f>
        <v>0</v>
      </c>
      <c r="M954" s="194">
        <f>IF(OR(_1_54128456121462410464578910174567[[#This Row],[UNIT]]&gt;0,_1_54128456121462410464578910174567[[#This Row],[UNIT]]&lt;0),_1_54128456121462410464578910174567[[#This Row],[UNIT]]*_1_54128456121462410464578910174567[[#This Row],[COST]],0)</f>
        <v>0</v>
      </c>
      <c r="N954" s="194">
        <f t="shared" si="14"/>
        <v>1.3</v>
      </c>
      <c r="O954" s="198">
        <f>_1_54128456121462410464578910174567[[#This Row],[TOTAL]]*_1_54128456121462410464578910174567[[#This Row],[MARGIN]]</f>
        <v>0</v>
      </c>
      <c r="P954" s="198"/>
      <c r="R954" s="41"/>
    </row>
    <row r="955" spans="4:18">
      <c r="D955" s="188"/>
      <c r="E955" s="42"/>
      <c r="F955" s="168" t="s">
        <v>6202</v>
      </c>
      <c r="G955" s="193">
        <f>IF(_1_54128456121462410464578910174567[[#This Row],[Type]]&gt;0,VLOOKUP(_1_54128456121462410464578910174567[[#This Row],[Type]],Main[[#All],[TYPE]:[UNIT]],'Unit Price'!C$1,FALSE),0)</f>
        <v>0</v>
      </c>
      <c r="H955" s="197">
        <f>IF(_1_54128456121462410464578910174567[[#This Row],[Type]]&gt;0,VLOOKUP(_1_54128456121462410464578910174567[[#This Row],[Type]],Main[[#All],[TYPE]:[UNIT]],'Unit Price'!D$1,FALSE),0)</f>
        <v>0</v>
      </c>
      <c r="I955" s="194">
        <f>IF(_1_54128456121462410464578910174567[[#This Row],[Type]]&gt;0,VLOOKUP(_1_54128456121462410464578910174567[[#This Row],[Type]],Main[[#All],[TYPE]:[UNIT]],'Unit Price'!G$1,FALSE),0)</f>
        <v>0</v>
      </c>
      <c r="J955" s="194">
        <f>IF(_1_54128456121462410464578910174567[[#This Row],[Type]]&gt;0,VLOOKUP(_1_54128456121462410464578910174567[[#This Row],[Type]],Main[[#All],[TYPE]:[UNIT]],'Unit Price'!H$1,FALSE),0)</f>
        <v>0</v>
      </c>
      <c r="K955" s="194">
        <f>IF(_1_54128456121462410464578910174567[[#This Row],[Discount selection]]&gt;0,VLOOKUP(_1_54128456121462410464578910174567[[#This Row],[Discount selection]],'Discount Structure'!$A$2:$B$30,2,"false"),0)</f>
        <v>1</v>
      </c>
      <c r="L955" s="194">
        <f>_1_54128456121462410464578910174567[[#This Row],[LIST $]]*_1_54128456121462410464578910174567[[#This Row],[DISCOUNT]]*_1_54128456121462410464578910174567[[#This Row],[DISCOUNT 2]]</f>
        <v>0</v>
      </c>
      <c r="M955" s="194">
        <f>IF(OR(_1_54128456121462410464578910174567[[#This Row],[UNIT]]&gt;0,_1_54128456121462410464578910174567[[#This Row],[UNIT]]&lt;0),_1_54128456121462410464578910174567[[#This Row],[UNIT]]*_1_54128456121462410464578910174567[[#This Row],[COST]],0)</f>
        <v>0</v>
      </c>
      <c r="N955" s="194">
        <f t="shared" si="14"/>
        <v>1.3</v>
      </c>
      <c r="O955" s="198">
        <f>_1_54128456121462410464578910174567[[#This Row],[TOTAL]]*_1_54128456121462410464578910174567[[#This Row],[MARGIN]]</f>
        <v>0</v>
      </c>
      <c r="P955" s="198"/>
      <c r="R955" s="41"/>
    </row>
    <row r="956" spans="4:18">
      <c r="D956" s="188"/>
      <c r="E956" s="42"/>
      <c r="F956" s="168" t="s">
        <v>6202</v>
      </c>
      <c r="G956" s="193">
        <f>IF(_1_54128456121462410464578910174567[[#This Row],[Type]]&gt;0,VLOOKUP(_1_54128456121462410464578910174567[[#This Row],[Type]],Main[[#All],[TYPE]:[UNIT]],'Unit Price'!C$1,FALSE),0)</f>
        <v>0</v>
      </c>
      <c r="H956" s="197">
        <f>IF(_1_54128456121462410464578910174567[[#This Row],[Type]]&gt;0,VLOOKUP(_1_54128456121462410464578910174567[[#This Row],[Type]],Main[[#All],[TYPE]:[UNIT]],'Unit Price'!D$1,FALSE),0)</f>
        <v>0</v>
      </c>
      <c r="I956" s="194">
        <f>IF(_1_54128456121462410464578910174567[[#This Row],[Type]]&gt;0,VLOOKUP(_1_54128456121462410464578910174567[[#This Row],[Type]],Main[[#All],[TYPE]:[UNIT]],'Unit Price'!G$1,FALSE),0)</f>
        <v>0</v>
      </c>
      <c r="J956" s="194">
        <f>IF(_1_54128456121462410464578910174567[[#This Row],[Type]]&gt;0,VLOOKUP(_1_54128456121462410464578910174567[[#This Row],[Type]],Main[[#All],[TYPE]:[UNIT]],'Unit Price'!H$1,FALSE),0)</f>
        <v>0</v>
      </c>
      <c r="K956" s="194">
        <f>IF(_1_54128456121462410464578910174567[[#This Row],[Discount selection]]&gt;0,VLOOKUP(_1_54128456121462410464578910174567[[#This Row],[Discount selection]],'Discount Structure'!$A$2:$B$30,2,"false"),0)</f>
        <v>1</v>
      </c>
      <c r="L956" s="194">
        <f>_1_54128456121462410464578910174567[[#This Row],[LIST $]]*_1_54128456121462410464578910174567[[#This Row],[DISCOUNT]]*_1_54128456121462410464578910174567[[#This Row],[DISCOUNT 2]]</f>
        <v>0</v>
      </c>
      <c r="M956" s="194">
        <f>IF(OR(_1_54128456121462410464578910174567[[#This Row],[UNIT]]&gt;0,_1_54128456121462410464578910174567[[#This Row],[UNIT]]&lt;0),_1_54128456121462410464578910174567[[#This Row],[UNIT]]*_1_54128456121462410464578910174567[[#This Row],[COST]],0)</f>
        <v>0</v>
      </c>
      <c r="N956" s="194">
        <f t="shared" si="14"/>
        <v>1.3</v>
      </c>
      <c r="O956" s="198">
        <f>_1_54128456121462410464578910174567[[#This Row],[TOTAL]]*_1_54128456121462410464578910174567[[#This Row],[MARGIN]]</f>
        <v>0</v>
      </c>
      <c r="P956" s="198"/>
      <c r="R956" s="41"/>
    </row>
    <row r="957" spans="4:18">
      <c r="D957" s="188"/>
      <c r="E957" s="42"/>
      <c r="F957" s="168" t="s">
        <v>6202</v>
      </c>
      <c r="G957" s="193">
        <f>IF(_1_54128456121462410464578910174567[[#This Row],[Type]]&gt;0,VLOOKUP(_1_54128456121462410464578910174567[[#This Row],[Type]],Main[[#All],[TYPE]:[UNIT]],'Unit Price'!C$1,FALSE),0)</f>
        <v>0</v>
      </c>
      <c r="H957" s="197">
        <f>IF(_1_54128456121462410464578910174567[[#This Row],[Type]]&gt;0,VLOOKUP(_1_54128456121462410464578910174567[[#This Row],[Type]],Main[[#All],[TYPE]:[UNIT]],'Unit Price'!D$1,FALSE),0)</f>
        <v>0</v>
      </c>
      <c r="I957" s="194">
        <f>IF(_1_54128456121462410464578910174567[[#This Row],[Type]]&gt;0,VLOOKUP(_1_54128456121462410464578910174567[[#This Row],[Type]],Main[[#All],[TYPE]:[UNIT]],'Unit Price'!G$1,FALSE),0)</f>
        <v>0</v>
      </c>
      <c r="J957" s="194">
        <f>IF(_1_54128456121462410464578910174567[[#This Row],[Type]]&gt;0,VLOOKUP(_1_54128456121462410464578910174567[[#This Row],[Type]],Main[[#All],[TYPE]:[UNIT]],'Unit Price'!H$1,FALSE),0)</f>
        <v>0</v>
      </c>
      <c r="K957" s="194">
        <f>IF(_1_54128456121462410464578910174567[[#This Row],[Discount selection]]&gt;0,VLOOKUP(_1_54128456121462410464578910174567[[#This Row],[Discount selection]],'Discount Structure'!$A$2:$B$30,2,"false"),0)</f>
        <v>1</v>
      </c>
      <c r="L957" s="194">
        <f>_1_54128456121462410464578910174567[[#This Row],[LIST $]]*_1_54128456121462410464578910174567[[#This Row],[DISCOUNT]]*_1_54128456121462410464578910174567[[#This Row],[DISCOUNT 2]]</f>
        <v>0</v>
      </c>
      <c r="M957" s="194">
        <f>IF(OR(_1_54128456121462410464578910174567[[#This Row],[UNIT]]&gt;0,_1_54128456121462410464578910174567[[#This Row],[UNIT]]&lt;0),_1_54128456121462410464578910174567[[#This Row],[UNIT]]*_1_54128456121462410464578910174567[[#This Row],[COST]],0)</f>
        <v>0</v>
      </c>
      <c r="N957" s="194">
        <f t="shared" si="14"/>
        <v>1.3</v>
      </c>
      <c r="O957" s="198">
        <f>_1_54128456121462410464578910174567[[#This Row],[TOTAL]]*_1_54128456121462410464578910174567[[#This Row],[MARGIN]]</f>
        <v>0</v>
      </c>
      <c r="P957" s="198"/>
      <c r="R957" s="41"/>
    </row>
    <row r="958" spans="4:18">
      <c r="D958" s="188"/>
      <c r="E958" s="42"/>
      <c r="F958" s="168" t="s">
        <v>6202</v>
      </c>
      <c r="G958" s="193">
        <f>IF(_1_54128456121462410464578910174567[[#This Row],[Type]]&gt;0,VLOOKUP(_1_54128456121462410464578910174567[[#This Row],[Type]],Main[[#All],[TYPE]:[UNIT]],'Unit Price'!C$1,FALSE),0)</f>
        <v>0</v>
      </c>
      <c r="H958" s="197">
        <f>IF(_1_54128456121462410464578910174567[[#This Row],[Type]]&gt;0,VLOOKUP(_1_54128456121462410464578910174567[[#This Row],[Type]],Main[[#All],[TYPE]:[UNIT]],'Unit Price'!D$1,FALSE),0)</f>
        <v>0</v>
      </c>
      <c r="I958" s="194">
        <f>IF(_1_54128456121462410464578910174567[[#This Row],[Type]]&gt;0,VLOOKUP(_1_54128456121462410464578910174567[[#This Row],[Type]],Main[[#All],[TYPE]:[UNIT]],'Unit Price'!G$1,FALSE),0)</f>
        <v>0</v>
      </c>
      <c r="J958" s="194">
        <f>IF(_1_54128456121462410464578910174567[[#This Row],[Type]]&gt;0,VLOOKUP(_1_54128456121462410464578910174567[[#This Row],[Type]],Main[[#All],[TYPE]:[UNIT]],'Unit Price'!H$1,FALSE),0)</f>
        <v>0</v>
      </c>
      <c r="K958" s="194">
        <f>IF(_1_54128456121462410464578910174567[[#This Row],[Discount selection]]&gt;0,VLOOKUP(_1_54128456121462410464578910174567[[#This Row],[Discount selection]],'Discount Structure'!$A$2:$B$30,2,"false"),0)</f>
        <v>1</v>
      </c>
      <c r="L958" s="194">
        <f>_1_54128456121462410464578910174567[[#This Row],[LIST $]]*_1_54128456121462410464578910174567[[#This Row],[DISCOUNT]]*_1_54128456121462410464578910174567[[#This Row],[DISCOUNT 2]]</f>
        <v>0</v>
      </c>
      <c r="M958" s="194">
        <f>IF(OR(_1_54128456121462410464578910174567[[#This Row],[UNIT]]&gt;0,_1_54128456121462410464578910174567[[#This Row],[UNIT]]&lt;0),_1_54128456121462410464578910174567[[#This Row],[UNIT]]*_1_54128456121462410464578910174567[[#This Row],[COST]],0)</f>
        <v>0</v>
      </c>
      <c r="N958" s="194">
        <f t="shared" si="14"/>
        <v>1.3</v>
      </c>
      <c r="O958" s="198">
        <f>_1_54128456121462410464578910174567[[#This Row],[TOTAL]]*_1_54128456121462410464578910174567[[#This Row],[MARGIN]]</f>
        <v>0</v>
      </c>
      <c r="P958" s="198"/>
      <c r="R958" s="41"/>
    </row>
    <row r="959" spans="4:18">
      <c r="D959" s="188"/>
      <c r="E959" s="42"/>
      <c r="F959" s="168" t="s">
        <v>6202</v>
      </c>
      <c r="G959" s="193">
        <f>IF(_1_54128456121462410464578910174567[[#This Row],[Type]]&gt;0,VLOOKUP(_1_54128456121462410464578910174567[[#This Row],[Type]],Main[[#All],[TYPE]:[UNIT]],'Unit Price'!C$1,FALSE),0)</f>
        <v>0</v>
      </c>
      <c r="H959" s="197">
        <f>IF(_1_54128456121462410464578910174567[[#This Row],[Type]]&gt;0,VLOOKUP(_1_54128456121462410464578910174567[[#This Row],[Type]],Main[[#All],[TYPE]:[UNIT]],'Unit Price'!D$1,FALSE),0)</f>
        <v>0</v>
      </c>
      <c r="I959" s="194">
        <f>IF(_1_54128456121462410464578910174567[[#This Row],[Type]]&gt;0,VLOOKUP(_1_54128456121462410464578910174567[[#This Row],[Type]],Main[[#All],[TYPE]:[UNIT]],'Unit Price'!G$1,FALSE),0)</f>
        <v>0</v>
      </c>
      <c r="J959" s="194">
        <f>IF(_1_54128456121462410464578910174567[[#This Row],[Type]]&gt;0,VLOOKUP(_1_54128456121462410464578910174567[[#This Row],[Type]],Main[[#All],[TYPE]:[UNIT]],'Unit Price'!H$1,FALSE),0)</f>
        <v>0</v>
      </c>
      <c r="K959" s="194">
        <f>IF(_1_54128456121462410464578910174567[[#This Row],[Discount selection]]&gt;0,VLOOKUP(_1_54128456121462410464578910174567[[#This Row],[Discount selection]],'Discount Structure'!$A$2:$B$30,2,"false"),0)</f>
        <v>1</v>
      </c>
      <c r="L959" s="194">
        <f>_1_54128456121462410464578910174567[[#This Row],[LIST $]]*_1_54128456121462410464578910174567[[#This Row],[DISCOUNT]]*_1_54128456121462410464578910174567[[#This Row],[DISCOUNT 2]]</f>
        <v>0</v>
      </c>
      <c r="M959" s="194">
        <f>IF(OR(_1_54128456121462410464578910174567[[#This Row],[UNIT]]&gt;0,_1_54128456121462410464578910174567[[#This Row],[UNIT]]&lt;0),_1_54128456121462410464578910174567[[#This Row],[UNIT]]*_1_54128456121462410464578910174567[[#This Row],[COST]],0)</f>
        <v>0</v>
      </c>
      <c r="N959" s="194">
        <f t="shared" si="14"/>
        <v>1.3</v>
      </c>
      <c r="O959" s="198">
        <f>_1_54128456121462410464578910174567[[#This Row],[TOTAL]]*_1_54128456121462410464578910174567[[#This Row],[MARGIN]]</f>
        <v>0</v>
      </c>
      <c r="P959" s="198"/>
      <c r="R959" s="41"/>
    </row>
    <row r="960" spans="4:18">
      <c r="D960" s="188"/>
      <c r="E960" s="42"/>
      <c r="F960" s="168" t="s">
        <v>6202</v>
      </c>
      <c r="G960" s="193">
        <f>IF(_1_54128456121462410464578910174567[[#This Row],[Type]]&gt;0,VLOOKUP(_1_54128456121462410464578910174567[[#This Row],[Type]],Main[[#All],[TYPE]:[UNIT]],'Unit Price'!C$1,FALSE),0)</f>
        <v>0</v>
      </c>
      <c r="H960" s="197">
        <f>IF(_1_54128456121462410464578910174567[[#This Row],[Type]]&gt;0,VLOOKUP(_1_54128456121462410464578910174567[[#This Row],[Type]],Main[[#All],[TYPE]:[UNIT]],'Unit Price'!D$1,FALSE),0)</f>
        <v>0</v>
      </c>
      <c r="I960" s="194">
        <f>IF(_1_54128456121462410464578910174567[[#This Row],[Type]]&gt;0,VLOOKUP(_1_54128456121462410464578910174567[[#This Row],[Type]],Main[[#All],[TYPE]:[UNIT]],'Unit Price'!G$1,FALSE),0)</f>
        <v>0</v>
      </c>
      <c r="J960" s="194">
        <f>IF(_1_54128456121462410464578910174567[[#This Row],[Type]]&gt;0,VLOOKUP(_1_54128456121462410464578910174567[[#This Row],[Type]],Main[[#All],[TYPE]:[UNIT]],'Unit Price'!H$1,FALSE),0)</f>
        <v>0</v>
      </c>
      <c r="K960" s="194">
        <f>IF(_1_54128456121462410464578910174567[[#This Row],[Discount selection]]&gt;0,VLOOKUP(_1_54128456121462410464578910174567[[#This Row],[Discount selection]],'Discount Structure'!$A$2:$B$30,2,"false"),0)</f>
        <v>1</v>
      </c>
      <c r="L960" s="194">
        <f>_1_54128456121462410464578910174567[[#This Row],[LIST $]]*_1_54128456121462410464578910174567[[#This Row],[DISCOUNT]]*_1_54128456121462410464578910174567[[#This Row],[DISCOUNT 2]]</f>
        <v>0</v>
      </c>
      <c r="M960" s="194">
        <f>IF(OR(_1_54128456121462410464578910174567[[#This Row],[UNIT]]&gt;0,_1_54128456121462410464578910174567[[#This Row],[UNIT]]&lt;0),_1_54128456121462410464578910174567[[#This Row],[UNIT]]*_1_54128456121462410464578910174567[[#This Row],[COST]],0)</f>
        <v>0</v>
      </c>
      <c r="N960" s="194">
        <f t="shared" si="14"/>
        <v>1.3</v>
      </c>
      <c r="O960" s="198">
        <f>_1_54128456121462410464578910174567[[#This Row],[TOTAL]]*_1_54128456121462410464578910174567[[#This Row],[MARGIN]]</f>
        <v>0</v>
      </c>
      <c r="P960" s="198"/>
      <c r="R960" s="41"/>
    </row>
    <row r="961" spans="4:18">
      <c r="D961" s="188"/>
      <c r="E961" s="42"/>
      <c r="F961" s="168" t="s">
        <v>6202</v>
      </c>
      <c r="G961" s="193">
        <f>IF(_1_54128456121462410464578910174567[[#This Row],[Type]]&gt;0,VLOOKUP(_1_54128456121462410464578910174567[[#This Row],[Type]],Main[[#All],[TYPE]:[UNIT]],'Unit Price'!C$1,FALSE),0)</f>
        <v>0</v>
      </c>
      <c r="H961" s="197">
        <f>IF(_1_54128456121462410464578910174567[[#This Row],[Type]]&gt;0,VLOOKUP(_1_54128456121462410464578910174567[[#This Row],[Type]],Main[[#All],[TYPE]:[UNIT]],'Unit Price'!D$1,FALSE),0)</f>
        <v>0</v>
      </c>
      <c r="I961" s="194">
        <f>IF(_1_54128456121462410464578910174567[[#This Row],[Type]]&gt;0,VLOOKUP(_1_54128456121462410464578910174567[[#This Row],[Type]],Main[[#All],[TYPE]:[UNIT]],'Unit Price'!G$1,FALSE),0)</f>
        <v>0</v>
      </c>
      <c r="J961" s="194">
        <f>IF(_1_54128456121462410464578910174567[[#This Row],[Type]]&gt;0,VLOOKUP(_1_54128456121462410464578910174567[[#This Row],[Type]],Main[[#All],[TYPE]:[UNIT]],'Unit Price'!H$1,FALSE),0)</f>
        <v>0</v>
      </c>
      <c r="K961" s="194">
        <f>IF(_1_54128456121462410464578910174567[[#This Row],[Discount selection]]&gt;0,VLOOKUP(_1_54128456121462410464578910174567[[#This Row],[Discount selection]],'Discount Structure'!$A$2:$B$30,2,"false"),0)</f>
        <v>1</v>
      </c>
      <c r="L961" s="194">
        <f>_1_54128456121462410464578910174567[[#This Row],[LIST $]]*_1_54128456121462410464578910174567[[#This Row],[DISCOUNT]]*_1_54128456121462410464578910174567[[#This Row],[DISCOUNT 2]]</f>
        <v>0</v>
      </c>
      <c r="M961" s="194">
        <f>IF(OR(_1_54128456121462410464578910174567[[#This Row],[UNIT]]&gt;0,_1_54128456121462410464578910174567[[#This Row],[UNIT]]&lt;0),_1_54128456121462410464578910174567[[#This Row],[UNIT]]*_1_54128456121462410464578910174567[[#This Row],[COST]],0)</f>
        <v>0</v>
      </c>
      <c r="N961" s="194">
        <f t="shared" si="14"/>
        <v>1.3</v>
      </c>
      <c r="O961" s="198">
        <f>_1_54128456121462410464578910174567[[#This Row],[TOTAL]]*_1_54128456121462410464578910174567[[#This Row],[MARGIN]]</f>
        <v>0</v>
      </c>
      <c r="P961" s="198"/>
      <c r="R961" s="41"/>
    </row>
    <row r="962" spans="4:18">
      <c r="D962" s="188"/>
      <c r="E962" s="42"/>
      <c r="F962" s="168" t="s">
        <v>6202</v>
      </c>
      <c r="G962" s="193">
        <f>IF(_1_54128456121462410464578910174567[[#This Row],[Type]]&gt;0,VLOOKUP(_1_54128456121462410464578910174567[[#This Row],[Type]],Main[[#All],[TYPE]:[UNIT]],'Unit Price'!C$1,FALSE),0)</f>
        <v>0</v>
      </c>
      <c r="H962" s="197">
        <f>IF(_1_54128456121462410464578910174567[[#This Row],[Type]]&gt;0,VLOOKUP(_1_54128456121462410464578910174567[[#This Row],[Type]],Main[[#All],[TYPE]:[UNIT]],'Unit Price'!D$1,FALSE),0)</f>
        <v>0</v>
      </c>
      <c r="I962" s="194">
        <f>IF(_1_54128456121462410464578910174567[[#This Row],[Type]]&gt;0,VLOOKUP(_1_54128456121462410464578910174567[[#This Row],[Type]],Main[[#All],[TYPE]:[UNIT]],'Unit Price'!G$1,FALSE),0)</f>
        <v>0</v>
      </c>
      <c r="J962" s="194">
        <f>IF(_1_54128456121462410464578910174567[[#This Row],[Type]]&gt;0,VLOOKUP(_1_54128456121462410464578910174567[[#This Row],[Type]],Main[[#All],[TYPE]:[UNIT]],'Unit Price'!H$1,FALSE),0)</f>
        <v>0</v>
      </c>
      <c r="K962" s="194">
        <f>IF(_1_54128456121462410464578910174567[[#This Row],[Discount selection]]&gt;0,VLOOKUP(_1_54128456121462410464578910174567[[#This Row],[Discount selection]],'Discount Structure'!$A$2:$B$30,2,"false"),0)</f>
        <v>1</v>
      </c>
      <c r="L962" s="194">
        <f>_1_54128456121462410464578910174567[[#This Row],[LIST $]]*_1_54128456121462410464578910174567[[#This Row],[DISCOUNT]]*_1_54128456121462410464578910174567[[#This Row],[DISCOUNT 2]]</f>
        <v>0</v>
      </c>
      <c r="M962" s="194">
        <f>IF(OR(_1_54128456121462410464578910174567[[#This Row],[UNIT]]&gt;0,_1_54128456121462410464578910174567[[#This Row],[UNIT]]&lt;0),_1_54128456121462410464578910174567[[#This Row],[UNIT]]*_1_54128456121462410464578910174567[[#This Row],[COST]],0)</f>
        <v>0</v>
      </c>
      <c r="N962" s="194">
        <f t="shared" si="14"/>
        <v>1.3</v>
      </c>
      <c r="O962" s="198">
        <f>_1_54128456121462410464578910174567[[#This Row],[TOTAL]]*_1_54128456121462410464578910174567[[#This Row],[MARGIN]]</f>
        <v>0</v>
      </c>
      <c r="P962" s="198"/>
      <c r="R962" s="41"/>
    </row>
    <row r="963" spans="4:18">
      <c r="D963" s="188"/>
      <c r="E963" s="42"/>
      <c r="F963" s="168" t="s">
        <v>6202</v>
      </c>
      <c r="G963" s="193">
        <f>IF(_1_54128456121462410464578910174567[[#This Row],[Type]]&gt;0,VLOOKUP(_1_54128456121462410464578910174567[[#This Row],[Type]],Main[[#All],[TYPE]:[UNIT]],'Unit Price'!C$1,FALSE),0)</f>
        <v>0</v>
      </c>
      <c r="H963" s="197">
        <f>IF(_1_54128456121462410464578910174567[[#This Row],[Type]]&gt;0,VLOOKUP(_1_54128456121462410464578910174567[[#This Row],[Type]],Main[[#All],[TYPE]:[UNIT]],'Unit Price'!D$1,FALSE),0)</f>
        <v>0</v>
      </c>
      <c r="I963" s="194">
        <f>IF(_1_54128456121462410464578910174567[[#This Row],[Type]]&gt;0,VLOOKUP(_1_54128456121462410464578910174567[[#This Row],[Type]],Main[[#All],[TYPE]:[UNIT]],'Unit Price'!G$1,FALSE),0)</f>
        <v>0</v>
      </c>
      <c r="J963" s="194">
        <f>IF(_1_54128456121462410464578910174567[[#This Row],[Type]]&gt;0,VLOOKUP(_1_54128456121462410464578910174567[[#This Row],[Type]],Main[[#All],[TYPE]:[UNIT]],'Unit Price'!H$1,FALSE),0)</f>
        <v>0</v>
      </c>
      <c r="K963" s="194">
        <f>IF(_1_54128456121462410464578910174567[[#This Row],[Discount selection]]&gt;0,VLOOKUP(_1_54128456121462410464578910174567[[#This Row],[Discount selection]],'Discount Structure'!$A$2:$B$30,2,"false"),0)</f>
        <v>1</v>
      </c>
      <c r="L963" s="194">
        <f>_1_54128456121462410464578910174567[[#This Row],[LIST $]]*_1_54128456121462410464578910174567[[#This Row],[DISCOUNT]]*_1_54128456121462410464578910174567[[#This Row],[DISCOUNT 2]]</f>
        <v>0</v>
      </c>
      <c r="M963" s="194">
        <f>IF(OR(_1_54128456121462410464578910174567[[#This Row],[UNIT]]&gt;0,_1_54128456121462410464578910174567[[#This Row],[UNIT]]&lt;0),_1_54128456121462410464578910174567[[#This Row],[UNIT]]*_1_54128456121462410464578910174567[[#This Row],[COST]],0)</f>
        <v>0</v>
      </c>
      <c r="N963" s="194">
        <f t="shared" si="14"/>
        <v>1.3</v>
      </c>
      <c r="O963" s="198">
        <f>_1_54128456121462410464578910174567[[#This Row],[TOTAL]]*_1_54128456121462410464578910174567[[#This Row],[MARGIN]]</f>
        <v>0</v>
      </c>
      <c r="P963" s="198"/>
      <c r="R963" s="41"/>
    </row>
    <row r="964" spans="4:18">
      <c r="D964" s="188"/>
      <c r="E964" s="42"/>
      <c r="F964" s="168" t="s">
        <v>6202</v>
      </c>
      <c r="G964" s="193">
        <f>IF(_1_54128456121462410464578910174567[[#This Row],[Type]]&gt;0,VLOOKUP(_1_54128456121462410464578910174567[[#This Row],[Type]],Main[[#All],[TYPE]:[UNIT]],'Unit Price'!C$1,FALSE),0)</f>
        <v>0</v>
      </c>
      <c r="H964" s="197">
        <f>IF(_1_54128456121462410464578910174567[[#This Row],[Type]]&gt;0,VLOOKUP(_1_54128456121462410464578910174567[[#This Row],[Type]],Main[[#All],[TYPE]:[UNIT]],'Unit Price'!D$1,FALSE),0)</f>
        <v>0</v>
      </c>
      <c r="I964" s="194">
        <f>IF(_1_54128456121462410464578910174567[[#This Row],[Type]]&gt;0,VLOOKUP(_1_54128456121462410464578910174567[[#This Row],[Type]],Main[[#All],[TYPE]:[UNIT]],'Unit Price'!G$1,FALSE),0)</f>
        <v>0</v>
      </c>
      <c r="J964" s="194">
        <f>IF(_1_54128456121462410464578910174567[[#This Row],[Type]]&gt;0,VLOOKUP(_1_54128456121462410464578910174567[[#This Row],[Type]],Main[[#All],[TYPE]:[UNIT]],'Unit Price'!H$1,FALSE),0)</f>
        <v>0</v>
      </c>
      <c r="K964" s="194">
        <f>IF(_1_54128456121462410464578910174567[[#This Row],[Discount selection]]&gt;0,VLOOKUP(_1_54128456121462410464578910174567[[#This Row],[Discount selection]],'Discount Structure'!$A$2:$B$30,2,"false"),0)</f>
        <v>1</v>
      </c>
      <c r="L964" s="194">
        <f>_1_54128456121462410464578910174567[[#This Row],[LIST $]]*_1_54128456121462410464578910174567[[#This Row],[DISCOUNT]]*_1_54128456121462410464578910174567[[#This Row],[DISCOUNT 2]]</f>
        <v>0</v>
      </c>
      <c r="M964" s="194">
        <f>IF(OR(_1_54128456121462410464578910174567[[#This Row],[UNIT]]&gt;0,_1_54128456121462410464578910174567[[#This Row],[UNIT]]&lt;0),_1_54128456121462410464578910174567[[#This Row],[UNIT]]*_1_54128456121462410464578910174567[[#This Row],[COST]],0)</f>
        <v>0</v>
      </c>
      <c r="N964" s="194">
        <f t="shared" si="14"/>
        <v>1.3</v>
      </c>
      <c r="O964" s="198">
        <f>_1_54128456121462410464578910174567[[#This Row],[TOTAL]]*_1_54128456121462410464578910174567[[#This Row],[MARGIN]]</f>
        <v>0</v>
      </c>
      <c r="P964" s="198"/>
      <c r="R964" s="41"/>
    </row>
    <row r="965" spans="4:18">
      <c r="D965" s="188"/>
      <c r="E965" s="42"/>
      <c r="F965" s="168" t="s">
        <v>6202</v>
      </c>
      <c r="G965" s="193">
        <f>IF(_1_54128456121462410464578910174567[[#This Row],[Type]]&gt;0,VLOOKUP(_1_54128456121462410464578910174567[[#This Row],[Type]],Main[[#All],[TYPE]:[UNIT]],'Unit Price'!C$1,FALSE),0)</f>
        <v>0</v>
      </c>
      <c r="H965" s="197">
        <f>IF(_1_54128456121462410464578910174567[[#This Row],[Type]]&gt;0,VLOOKUP(_1_54128456121462410464578910174567[[#This Row],[Type]],Main[[#All],[TYPE]:[UNIT]],'Unit Price'!D$1,FALSE),0)</f>
        <v>0</v>
      </c>
      <c r="I965" s="194">
        <f>IF(_1_54128456121462410464578910174567[[#This Row],[Type]]&gt;0,VLOOKUP(_1_54128456121462410464578910174567[[#This Row],[Type]],Main[[#All],[TYPE]:[UNIT]],'Unit Price'!G$1,FALSE),0)</f>
        <v>0</v>
      </c>
      <c r="J965" s="194">
        <f>IF(_1_54128456121462410464578910174567[[#This Row],[Type]]&gt;0,VLOOKUP(_1_54128456121462410464578910174567[[#This Row],[Type]],Main[[#All],[TYPE]:[UNIT]],'Unit Price'!H$1,FALSE),0)</f>
        <v>0</v>
      </c>
      <c r="K965" s="194">
        <f>IF(_1_54128456121462410464578910174567[[#This Row],[Discount selection]]&gt;0,VLOOKUP(_1_54128456121462410464578910174567[[#This Row],[Discount selection]],'Discount Structure'!$A$2:$B$30,2,"false"),0)</f>
        <v>1</v>
      </c>
      <c r="L965" s="194">
        <f>_1_54128456121462410464578910174567[[#This Row],[LIST $]]*_1_54128456121462410464578910174567[[#This Row],[DISCOUNT]]*_1_54128456121462410464578910174567[[#This Row],[DISCOUNT 2]]</f>
        <v>0</v>
      </c>
      <c r="M965" s="194">
        <f>IF(OR(_1_54128456121462410464578910174567[[#This Row],[UNIT]]&gt;0,_1_54128456121462410464578910174567[[#This Row],[UNIT]]&lt;0),_1_54128456121462410464578910174567[[#This Row],[UNIT]]*_1_54128456121462410464578910174567[[#This Row],[COST]],0)</f>
        <v>0</v>
      </c>
      <c r="N965" s="194">
        <f t="shared" si="14"/>
        <v>1.3</v>
      </c>
      <c r="O965" s="198">
        <f>_1_54128456121462410464578910174567[[#This Row],[TOTAL]]*_1_54128456121462410464578910174567[[#This Row],[MARGIN]]</f>
        <v>0</v>
      </c>
      <c r="P965" s="198"/>
      <c r="R965" s="41"/>
    </row>
    <row r="966" spans="4:18">
      <c r="D966" s="188"/>
      <c r="E966" s="42"/>
      <c r="F966" s="168" t="s">
        <v>6202</v>
      </c>
      <c r="G966" s="193">
        <f>IF(_1_54128456121462410464578910174567[[#This Row],[Type]]&gt;0,VLOOKUP(_1_54128456121462410464578910174567[[#This Row],[Type]],Main[[#All],[TYPE]:[UNIT]],'Unit Price'!C$1,FALSE),0)</f>
        <v>0</v>
      </c>
      <c r="H966" s="197">
        <f>IF(_1_54128456121462410464578910174567[[#This Row],[Type]]&gt;0,VLOOKUP(_1_54128456121462410464578910174567[[#This Row],[Type]],Main[[#All],[TYPE]:[UNIT]],'Unit Price'!D$1,FALSE),0)</f>
        <v>0</v>
      </c>
      <c r="I966" s="194">
        <f>IF(_1_54128456121462410464578910174567[[#This Row],[Type]]&gt;0,VLOOKUP(_1_54128456121462410464578910174567[[#This Row],[Type]],Main[[#All],[TYPE]:[UNIT]],'Unit Price'!G$1,FALSE),0)</f>
        <v>0</v>
      </c>
      <c r="J966" s="194">
        <f>IF(_1_54128456121462410464578910174567[[#This Row],[Type]]&gt;0,VLOOKUP(_1_54128456121462410464578910174567[[#This Row],[Type]],Main[[#All],[TYPE]:[UNIT]],'Unit Price'!H$1,FALSE),0)</f>
        <v>0</v>
      </c>
      <c r="K966" s="194">
        <f>IF(_1_54128456121462410464578910174567[[#This Row],[Discount selection]]&gt;0,VLOOKUP(_1_54128456121462410464578910174567[[#This Row],[Discount selection]],'Discount Structure'!$A$2:$B$30,2,"false"),0)</f>
        <v>1</v>
      </c>
      <c r="L966" s="194">
        <f>_1_54128456121462410464578910174567[[#This Row],[LIST $]]*_1_54128456121462410464578910174567[[#This Row],[DISCOUNT]]*_1_54128456121462410464578910174567[[#This Row],[DISCOUNT 2]]</f>
        <v>0</v>
      </c>
      <c r="M966" s="194">
        <f>IF(OR(_1_54128456121462410464578910174567[[#This Row],[UNIT]]&gt;0,_1_54128456121462410464578910174567[[#This Row],[UNIT]]&lt;0),_1_54128456121462410464578910174567[[#This Row],[UNIT]]*_1_54128456121462410464578910174567[[#This Row],[COST]],0)</f>
        <v>0</v>
      </c>
      <c r="N966" s="194">
        <f t="shared" si="14"/>
        <v>1.3</v>
      </c>
      <c r="O966" s="198">
        <f>_1_54128456121462410464578910174567[[#This Row],[TOTAL]]*_1_54128456121462410464578910174567[[#This Row],[MARGIN]]</f>
        <v>0</v>
      </c>
      <c r="P966" s="198"/>
      <c r="R966" s="41"/>
    </row>
    <row r="967" spans="4:18">
      <c r="D967" s="188"/>
      <c r="E967" s="42"/>
      <c r="F967" s="168" t="s">
        <v>6202</v>
      </c>
      <c r="G967" s="193">
        <f>IF(_1_54128456121462410464578910174567[[#This Row],[Type]]&gt;0,VLOOKUP(_1_54128456121462410464578910174567[[#This Row],[Type]],Main[[#All],[TYPE]:[UNIT]],'Unit Price'!C$1,FALSE),0)</f>
        <v>0</v>
      </c>
      <c r="H967" s="197">
        <f>IF(_1_54128456121462410464578910174567[[#This Row],[Type]]&gt;0,VLOOKUP(_1_54128456121462410464578910174567[[#This Row],[Type]],Main[[#All],[TYPE]:[UNIT]],'Unit Price'!D$1,FALSE),0)</f>
        <v>0</v>
      </c>
      <c r="I967" s="194">
        <f>IF(_1_54128456121462410464578910174567[[#This Row],[Type]]&gt;0,VLOOKUP(_1_54128456121462410464578910174567[[#This Row],[Type]],Main[[#All],[TYPE]:[UNIT]],'Unit Price'!G$1,FALSE),0)</f>
        <v>0</v>
      </c>
      <c r="J967" s="194">
        <f>IF(_1_54128456121462410464578910174567[[#This Row],[Type]]&gt;0,VLOOKUP(_1_54128456121462410464578910174567[[#This Row],[Type]],Main[[#All],[TYPE]:[UNIT]],'Unit Price'!H$1,FALSE),0)</f>
        <v>0</v>
      </c>
      <c r="K967" s="194">
        <f>IF(_1_54128456121462410464578910174567[[#This Row],[Discount selection]]&gt;0,VLOOKUP(_1_54128456121462410464578910174567[[#This Row],[Discount selection]],'Discount Structure'!$A$2:$B$30,2,"false"),0)</f>
        <v>1</v>
      </c>
      <c r="L967" s="194">
        <f>_1_54128456121462410464578910174567[[#This Row],[LIST $]]*_1_54128456121462410464578910174567[[#This Row],[DISCOUNT]]*_1_54128456121462410464578910174567[[#This Row],[DISCOUNT 2]]</f>
        <v>0</v>
      </c>
      <c r="M967" s="194">
        <f>IF(OR(_1_54128456121462410464578910174567[[#This Row],[UNIT]]&gt;0,_1_54128456121462410464578910174567[[#This Row],[UNIT]]&lt;0),_1_54128456121462410464578910174567[[#This Row],[UNIT]]*_1_54128456121462410464578910174567[[#This Row],[COST]],0)</f>
        <v>0</v>
      </c>
      <c r="N967" s="194">
        <f t="shared" si="14"/>
        <v>1.3</v>
      </c>
      <c r="O967" s="198">
        <f>_1_54128456121462410464578910174567[[#This Row],[TOTAL]]*_1_54128456121462410464578910174567[[#This Row],[MARGIN]]</f>
        <v>0</v>
      </c>
      <c r="P967" s="198"/>
      <c r="R967" s="41"/>
    </row>
    <row r="968" spans="4:18">
      <c r="D968" s="188"/>
      <c r="E968" s="42"/>
      <c r="F968" s="168" t="s">
        <v>6202</v>
      </c>
      <c r="G968" s="193">
        <f>IF(_1_54128456121462410464578910174567[[#This Row],[Type]]&gt;0,VLOOKUP(_1_54128456121462410464578910174567[[#This Row],[Type]],Main[[#All],[TYPE]:[UNIT]],'Unit Price'!C$1,FALSE),0)</f>
        <v>0</v>
      </c>
      <c r="H968" s="197">
        <f>IF(_1_54128456121462410464578910174567[[#This Row],[Type]]&gt;0,VLOOKUP(_1_54128456121462410464578910174567[[#This Row],[Type]],Main[[#All],[TYPE]:[UNIT]],'Unit Price'!D$1,FALSE),0)</f>
        <v>0</v>
      </c>
      <c r="I968" s="194">
        <f>IF(_1_54128456121462410464578910174567[[#This Row],[Type]]&gt;0,VLOOKUP(_1_54128456121462410464578910174567[[#This Row],[Type]],Main[[#All],[TYPE]:[UNIT]],'Unit Price'!G$1,FALSE),0)</f>
        <v>0</v>
      </c>
      <c r="J968" s="194">
        <f>IF(_1_54128456121462410464578910174567[[#This Row],[Type]]&gt;0,VLOOKUP(_1_54128456121462410464578910174567[[#This Row],[Type]],Main[[#All],[TYPE]:[UNIT]],'Unit Price'!H$1,FALSE),0)</f>
        <v>0</v>
      </c>
      <c r="K968" s="194">
        <f>IF(_1_54128456121462410464578910174567[[#This Row],[Discount selection]]&gt;0,VLOOKUP(_1_54128456121462410464578910174567[[#This Row],[Discount selection]],'Discount Structure'!$A$2:$B$30,2,"false"),0)</f>
        <v>1</v>
      </c>
      <c r="L968" s="194">
        <f>_1_54128456121462410464578910174567[[#This Row],[LIST $]]*_1_54128456121462410464578910174567[[#This Row],[DISCOUNT]]*_1_54128456121462410464578910174567[[#This Row],[DISCOUNT 2]]</f>
        <v>0</v>
      </c>
      <c r="M968" s="194">
        <f>IF(OR(_1_54128456121462410464578910174567[[#This Row],[UNIT]]&gt;0,_1_54128456121462410464578910174567[[#This Row],[UNIT]]&lt;0),_1_54128456121462410464578910174567[[#This Row],[UNIT]]*_1_54128456121462410464578910174567[[#This Row],[COST]],0)</f>
        <v>0</v>
      </c>
      <c r="N968" s="194">
        <f t="shared" si="14"/>
        <v>1.3</v>
      </c>
      <c r="O968" s="198">
        <f>_1_54128456121462410464578910174567[[#This Row],[TOTAL]]*_1_54128456121462410464578910174567[[#This Row],[MARGIN]]</f>
        <v>0</v>
      </c>
      <c r="P968" s="198"/>
      <c r="R968" s="41"/>
    </row>
    <row r="969" spans="4:18">
      <c r="D969" s="188"/>
      <c r="E969" s="42"/>
      <c r="F969" s="168" t="s">
        <v>6202</v>
      </c>
      <c r="G969" s="193">
        <f>IF(_1_54128456121462410464578910174567[[#This Row],[Type]]&gt;0,VLOOKUP(_1_54128456121462410464578910174567[[#This Row],[Type]],Main[[#All],[TYPE]:[UNIT]],'Unit Price'!C$1,FALSE),0)</f>
        <v>0</v>
      </c>
      <c r="H969" s="197">
        <f>IF(_1_54128456121462410464578910174567[[#This Row],[Type]]&gt;0,VLOOKUP(_1_54128456121462410464578910174567[[#This Row],[Type]],Main[[#All],[TYPE]:[UNIT]],'Unit Price'!D$1,FALSE),0)</f>
        <v>0</v>
      </c>
      <c r="I969" s="194">
        <f>IF(_1_54128456121462410464578910174567[[#This Row],[Type]]&gt;0,VLOOKUP(_1_54128456121462410464578910174567[[#This Row],[Type]],Main[[#All],[TYPE]:[UNIT]],'Unit Price'!G$1,FALSE),0)</f>
        <v>0</v>
      </c>
      <c r="J969" s="194">
        <f>IF(_1_54128456121462410464578910174567[[#This Row],[Type]]&gt;0,VLOOKUP(_1_54128456121462410464578910174567[[#This Row],[Type]],Main[[#All],[TYPE]:[UNIT]],'Unit Price'!H$1,FALSE),0)</f>
        <v>0</v>
      </c>
      <c r="K969" s="194">
        <f>IF(_1_54128456121462410464578910174567[[#This Row],[Discount selection]]&gt;0,VLOOKUP(_1_54128456121462410464578910174567[[#This Row],[Discount selection]],'Discount Structure'!$A$2:$B$30,2,"false"),0)</f>
        <v>1</v>
      </c>
      <c r="L969" s="194">
        <f>_1_54128456121462410464578910174567[[#This Row],[LIST $]]*_1_54128456121462410464578910174567[[#This Row],[DISCOUNT]]*_1_54128456121462410464578910174567[[#This Row],[DISCOUNT 2]]</f>
        <v>0</v>
      </c>
      <c r="M969" s="194">
        <f>IF(OR(_1_54128456121462410464578910174567[[#This Row],[UNIT]]&gt;0,_1_54128456121462410464578910174567[[#This Row],[UNIT]]&lt;0),_1_54128456121462410464578910174567[[#This Row],[UNIT]]*_1_54128456121462410464578910174567[[#This Row],[COST]],0)</f>
        <v>0</v>
      </c>
      <c r="N969" s="194">
        <f t="shared" si="14"/>
        <v>1.3</v>
      </c>
      <c r="O969" s="198">
        <f>_1_54128456121462410464578910174567[[#This Row],[TOTAL]]*_1_54128456121462410464578910174567[[#This Row],[MARGIN]]</f>
        <v>0</v>
      </c>
      <c r="P969" s="198"/>
      <c r="R969" s="41"/>
    </row>
    <row r="970" spans="4:18">
      <c r="D970" s="188"/>
      <c r="E970" s="42"/>
      <c r="F970" s="168" t="s">
        <v>6202</v>
      </c>
      <c r="G970" s="193">
        <f>IF(_1_54128456121462410464578910174567[[#This Row],[Type]]&gt;0,VLOOKUP(_1_54128456121462410464578910174567[[#This Row],[Type]],Main[[#All],[TYPE]:[UNIT]],'Unit Price'!C$1,FALSE),0)</f>
        <v>0</v>
      </c>
      <c r="H970" s="197">
        <f>IF(_1_54128456121462410464578910174567[[#This Row],[Type]]&gt;0,VLOOKUP(_1_54128456121462410464578910174567[[#This Row],[Type]],Main[[#All],[TYPE]:[UNIT]],'Unit Price'!D$1,FALSE),0)</f>
        <v>0</v>
      </c>
      <c r="I970" s="194">
        <f>IF(_1_54128456121462410464578910174567[[#This Row],[Type]]&gt;0,VLOOKUP(_1_54128456121462410464578910174567[[#This Row],[Type]],Main[[#All],[TYPE]:[UNIT]],'Unit Price'!G$1,FALSE),0)</f>
        <v>0</v>
      </c>
      <c r="J970" s="194">
        <f>IF(_1_54128456121462410464578910174567[[#This Row],[Type]]&gt;0,VLOOKUP(_1_54128456121462410464578910174567[[#This Row],[Type]],Main[[#All],[TYPE]:[UNIT]],'Unit Price'!H$1,FALSE),0)</f>
        <v>0</v>
      </c>
      <c r="K970" s="194">
        <f>IF(_1_54128456121462410464578910174567[[#This Row],[Discount selection]]&gt;0,VLOOKUP(_1_54128456121462410464578910174567[[#This Row],[Discount selection]],'Discount Structure'!$A$2:$B$30,2,"false"),0)</f>
        <v>1</v>
      </c>
      <c r="L970" s="194">
        <f>_1_54128456121462410464578910174567[[#This Row],[LIST $]]*_1_54128456121462410464578910174567[[#This Row],[DISCOUNT]]*_1_54128456121462410464578910174567[[#This Row],[DISCOUNT 2]]</f>
        <v>0</v>
      </c>
      <c r="M970" s="194">
        <f>IF(OR(_1_54128456121462410464578910174567[[#This Row],[UNIT]]&gt;0,_1_54128456121462410464578910174567[[#This Row],[UNIT]]&lt;0),_1_54128456121462410464578910174567[[#This Row],[UNIT]]*_1_54128456121462410464578910174567[[#This Row],[COST]],0)</f>
        <v>0</v>
      </c>
      <c r="N970" s="194">
        <f t="shared" ref="N970:N999" si="15">$N$7</f>
        <v>1.3</v>
      </c>
      <c r="O970" s="198">
        <f>_1_54128456121462410464578910174567[[#This Row],[TOTAL]]*_1_54128456121462410464578910174567[[#This Row],[MARGIN]]</f>
        <v>0</v>
      </c>
      <c r="P970" s="198"/>
      <c r="R970" s="41"/>
    </row>
    <row r="971" spans="4:18">
      <c r="D971" s="188"/>
      <c r="E971" s="42"/>
      <c r="F971" s="168" t="s">
        <v>6202</v>
      </c>
      <c r="G971" s="193">
        <f>IF(_1_54128456121462410464578910174567[[#This Row],[Type]]&gt;0,VLOOKUP(_1_54128456121462410464578910174567[[#This Row],[Type]],Main[[#All],[TYPE]:[UNIT]],'Unit Price'!C$1,FALSE),0)</f>
        <v>0</v>
      </c>
      <c r="H971" s="197">
        <f>IF(_1_54128456121462410464578910174567[[#This Row],[Type]]&gt;0,VLOOKUP(_1_54128456121462410464578910174567[[#This Row],[Type]],Main[[#All],[TYPE]:[UNIT]],'Unit Price'!D$1,FALSE),0)</f>
        <v>0</v>
      </c>
      <c r="I971" s="194">
        <f>IF(_1_54128456121462410464578910174567[[#This Row],[Type]]&gt;0,VLOOKUP(_1_54128456121462410464578910174567[[#This Row],[Type]],Main[[#All],[TYPE]:[UNIT]],'Unit Price'!G$1,FALSE),0)</f>
        <v>0</v>
      </c>
      <c r="J971" s="194">
        <f>IF(_1_54128456121462410464578910174567[[#This Row],[Type]]&gt;0,VLOOKUP(_1_54128456121462410464578910174567[[#This Row],[Type]],Main[[#All],[TYPE]:[UNIT]],'Unit Price'!H$1,FALSE),0)</f>
        <v>0</v>
      </c>
      <c r="K971" s="194">
        <f>IF(_1_54128456121462410464578910174567[[#This Row],[Discount selection]]&gt;0,VLOOKUP(_1_54128456121462410464578910174567[[#This Row],[Discount selection]],'Discount Structure'!$A$2:$B$30,2,"false"),0)</f>
        <v>1</v>
      </c>
      <c r="L971" s="194">
        <f>_1_54128456121462410464578910174567[[#This Row],[LIST $]]*_1_54128456121462410464578910174567[[#This Row],[DISCOUNT]]*_1_54128456121462410464578910174567[[#This Row],[DISCOUNT 2]]</f>
        <v>0</v>
      </c>
      <c r="M971" s="194">
        <f>IF(OR(_1_54128456121462410464578910174567[[#This Row],[UNIT]]&gt;0,_1_54128456121462410464578910174567[[#This Row],[UNIT]]&lt;0),_1_54128456121462410464578910174567[[#This Row],[UNIT]]*_1_54128456121462410464578910174567[[#This Row],[COST]],0)</f>
        <v>0</v>
      </c>
      <c r="N971" s="194">
        <f t="shared" si="15"/>
        <v>1.3</v>
      </c>
      <c r="O971" s="198">
        <f>_1_54128456121462410464578910174567[[#This Row],[TOTAL]]*_1_54128456121462410464578910174567[[#This Row],[MARGIN]]</f>
        <v>0</v>
      </c>
      <c r="P971" s="198"/>
      <c r="R971" s="41"/>
    </row>
    <row r="972" spans="4:18">
      <c r="D972" s="188"/>
      <c r="E972" s="42"/>
      <c r="F972" s="168" t="s">
        <v>6202</v>
      </c>
      <c r="G972" s="193">
        <f>IF(_1_54128456121462410464578910174567[[#This Row],[Type]]&gt;0,VLOOKUP(_1_54128456121462410464578910174567[[#This Row],[Type]],Main[[#All],[TYPE]:[UNIT]],'Unit Price'!C$1,FALSE),0)</f>
        <v>0</v>
      </c>
      <c r="H972" s="197">
        <f>IF(_1_54128456121462410464578910174567[[#This Row],[Type]]&gt;0,VLOOKUP(_1_54128456121462410464578910174567[[#This Row],[Type]],Main[[#All],[TYPE]:[UNIT]],'Unit Price'!D$1,FALSE),0)</f>
        <v>0</v>
      </c>
      <c r="I972" s="194">
        <f>IF(_1_54128456121462410464578910174567[[#This Row],[Type]]&gt;0,VLOOKUP(_1_54128456121462410464578910174567[[#This Row],[Type]],Main[[#All],[TYPE]:[UNIT]],'Unit Price'!G$1,FALSE),0)</f>
        <v>0</v>
      </c>
      <c r="J972" s="194">
        <f>IF(_1_54128456121462410464578910174567[[#This Row],[Type]]&gt;0,VLOOKUP(_1_54128456121462410464578910174567[[#This Row],[Type]],Main[[#All],[TYPE]:[UNIT]],'Unit Price'!H$1,FALSE),0)</f>
        <v>0</v>
      </c>
      <c r="K972" s="194">
        <f>IF(_1_54128456121462410464578910174567[[#This Row],[Discount selection]]&gt;0,VLOOKUP(_1_54128456121462410464578910174567[[#This Row],[Discount selection]],'Discount Structure'!$A$2:$B$30,2,"false"),0)</f>
        <v>1</v>
      </c>
      <c r="L972" s="194">
        <f>_1_54128456121462410464578910174567[[#This Row],[LIST $]]*_1_54128456121462410464578910174567[[#This Row],[DISCOUNT]]*_1_54128456121462410464578910174567[[#This Row],[DISCOUNT 2]]</f>
        <v>0</v>
      </c>
      <c r="M972" s="194">
        <f>IF(OR(_1_54128456121462410464578910174567[[#This Row],[UNIT]]&gt;0,_1_54128456121462410464578910174567[[#This Row],[UNIT]]&lt;0),_1_54128456121462410464578910174567[[#This Row],[UNIT]]*_1_54128456121462410464578910174567[[#This Row],[COST]],0)</f>
        <v>0</v>
      </c>
      <c r="N972" s="194">
        <f t="shared" si="15"/>
        <v>1.3</v>
      </c>
      <c r="O972" s="198">
        <f>_1_54128456121462410464578910174567[[#This Row],[TOTAL]]*_1_54128456121462410464578910174567[[#This Row],[MARGIN]]</f>
        <v>0</v>
      </c>
      <c r="P972" s="198"/>
      <c r="R972" s="41"/>
    </row>
    <row r="973" spans="4:18">
      <c r="D973" s="188"/>
      <c r="E973" s="42"/>
      <c r="F973" s="168" t="s">
        <v>6202</v>
      </c>
      <c r="G973" s="193">
        <f>IF(_1_54128456121462410464578910174567[[#This Row],[Type]]&gt;0,VLOOKUP(_1_54128456121462410464578910174567[[#This Row],[Type]],Main[[#All],[TYPE]:[UNIT]],'Unit Price'!C$1,FALSE),0)</f>
        <v>0</v>
      </c>
      <c r="H973" s="197">
        <f>IF(_1_54128456121462410464578910174567[[#This Row],[Type]]&gt;0,VLOOKUP(_1_54128456121462410464578910174567[[#This Row],[Type]],Main[[#All],[TYPE]:[UNIT]],'Unit Price'!D$1,FALSE),0)</f>
        <v>0</v>
      </c>
      <c r="I973" s="194">
        <f>IF(_1_54128456121462410464578910174567[[#This Row],[Type]]&gt;0,VLOOKUP(_1_54128456121462410464578910174567[[#This Row],[Type]],Main[[#All],[TYPE]:[UNIT]],'Unit Price'!G$1,FALSE),0)</f>
        <v>0</v>
      </c>
      <c r="J973" s="194">
        <f>IF(_1_54128456121462410464578910174567[[#This Row],[Type]]&gt;0,VLOOKUP(_1_54128456121462410464578910174567[[#This Row],[Type]],Main[[#All],[TYPE]:[UNIT]],'Unit Price'!H$1,FALSE),0)</f>
        <v>0</v>
      </c>
      <c r="K973" s="194">
        <f>IF(_1_54128456121462410464578910174567[[#This Row],[Discount selection]]&gt;0,VLOOKUP(_1_54128456121462410464578910174567[[#This Row],[Discount selection]],'Discount Structure'!$A$2:$B$30,2,"false"),0)</f>
        <v>1</v>
      </c>
      <c r="L973" s="194">
        <f>_1_54128456121462410464578910174567[[#This Row],[LIST $]]*_1_54128456121462410464578910174567[[#This Row],[DISCOUNT]]*_1_54128456121462410464578910174567[[#This Row],[DISCOUNT 2]]</f>
        <v>0</v>
      </c>
      <c r="M973" s="194">
        <f>IF(OR(_1_54128456121462410464578910174567[[#This Row],[UNIT]]&gt;0,_1_54128456121462410464578910174567[[#This Row],[UNIT]]&lt;0),_1_54128456121462410464578910174567[[#This Row],[UNIT]]*_1_54128456121462410464578910174567[[#This Row],[COST]],0)</f>
        <v>0</v>
      </c>
      <c r="N973" s="194">
        <f t="shared" si="15"/>
        <v>1.3</v>
      </c>
      <c r="O973" s="198">
        <f>_1_54128456121462410464578910174567[[#This Row],[TOTAL]]*_1_54128456121462410464578910174567[[#This Row],[MARGIN]]</f>
        <v>0</v>
      </c>
      <c r="P973" s="198"/>
      <c r="R973" s="41"/>
    </row>
    <row r="974" spans="4:18">
      <c r="D974" s="188"/>
      <c r="E974" s="42"/>
      <c r="F974" s="168" t="s">
        <v>6202</v>
      </c>
      <c r="G974" s="193">
        <f>IF(_1_54128456121462410464578910174567[[#This Row],[Type]]&gt;0,VLOOKUP(_1_54128456121462410464578910174567[[#This Row],[Type]],Main[[#All],[TYPE]:[UNIT]],'Unit Price'!C$1,FALSE),0)</f>
        <v>0</v>
      </c>
      <c r="H974" s="197">
        <f>IF(_1_54128456121462410464578910174567[[#This Row],[Type]]&gt;0,VLOOKUP(_1_54128456121462410464578910174567[[#This Row],[Type]],Main[[#All],[TYPE]:[UNIT]],'Unit Price'!D$1,FALSE),0)</f>
        <v>0</v>
      </c>
      <c r="I974" s="194">
        <f>IF(_1_54128456121462410464578910174567[[#This Row],[Type]]&gt;0,VLOOKUP(_1_54128456121462410464578910174567[[#This Row],[Type]],Main[[#All],[TYPE]:[UNIT]],'Unit Price'!G$1,FALSE),0)</f>
        <v>0</v>
      </c>
      <c r="J974" s="194">
        <f>IF(_1_54128456121462410464578910174567[[#This Row],[Type]]&gt;0,VLOOKUP(_1_54128456121462410464578910174567[[#This Row],[Type]],Main[[#All],[TYPE]:[UNIT]],'Unit Price'!H$1,FALSE),0)</f>
        <v>0</v>
      </c>
      <c r="K974" s="194">
        <f>IF(_1_54128456121462410464578910174567[[#This Row],[Discount selection]]&gt;0,VLOOKUP(_1_54128456121462410464578910174567[[#This Row],[Discount selection]],'Discount Structure'!$A$2:$B$30,2,"false"),0)</f>
        <v>1</v>
      </c>
      <c r="L974" s="194">
        <f>_1_54128456121462410464578910174567[[#This Row],[LIST $]]*_1_54128456121462410464578910174567[[#This Row],[DISCOUNT]]*_1_54128456121462410464578910174567[[#This Row],[DISCOUNT 2]]</f>
        <v>0</v>
      </c>
      <c r="M974" s="194">
        <f>IF(OR(_1_54128456121462410464578910174567[[#This Row],[UNIT]]&gt;0,_1_54128456121462410464578910174567[[#This Row],[UNIT]]&lt;0),_1_54128456121462410464578910174567[[#This Row],[UNIT]]*_1_54128456121462410464578910174567[[#This Row],[COST]],0)</f>
        <v>0</v>
      </c>
      <c r="N974" s="194">
        <f t="shared" si="15"/>
        <v>1.3</v>
      </c>
      <c r="O974" s="198">
        <f>_1_54128456121462410464578910174567[[#This Row],[TOTAL]]*_1_54128456121462410464578910174567[[#This Row],[MARGIN]]</f>
        <v>0</v>
      </c>
      <c r="P974" s="198"/>
      <c r="R974" s="41"/>
    </row>
    <row r="975" spans="4:18">
      <c r="D975" s="188"/>
      <c r="E975" s="42"/>
      <c r="F975" s="168" t="s">
        <v>6202</v>
      </c>
      <c r="G975" s="193">
        <f>IF(_1_54128456121462410464578910174567[[#This Row],[Type]]&gt;0,VLOOKUP(_1_54128456121462410464578910174567[[#This Row],[Type]],Main[[#All],[TYPE]:[UNIT]],'Unit Price'!C$1,FALSE),0)</f>
        <v>0</v>
      </c>
      <c r="H975" s="197">
        <f>IF(_1_54128456121462410464578910174567[[#This Row],[Type]]&gt;0,VLOOKUP(_1_54128456121462410464578910174567[[#This Row],[Type]],Main[[#All],[TYPE]:[UNIT]],'Unit Price'!D$1,FALSE),0)</f>
        <v>0</v>
      </c>
      <c r="I975" s="194">
        <f>IF(_1_54128456121462410464578910174567[[#This Row],[Type]]&gt;0,VLOOKUP(_1_54128456121462410464578910174567[[#This Row],[Type]],Main[[#All],[TYPE]:[UNIT]],'Unit Price'!G$1,FALSE),0)</f>
        <v>0</v>
      </c>
      <c r="J975" s="194">
        <f>IF(_1_54128456121462410464578910174567[[#This Row],[Type]]&gt;0,VLOOKUP(_1_54128456121462410464578910174567[[#This Row],[Type]],Main[[#All],[TYPE]:[UNIT]],'Unit Price'!H$1,FALSE),0)</f>
        <v>0</v>
      </c>
      <c r="K975" s="194">
        <f>IF(_1_54128456121462410464578910174567[[#This Row],[Discount selection]]&gt;0,VLOOKUP(_1_54128456121462410464578910174567[[#This Row],[Discount selection]],'Discount Structure'!$A$2:$B$30,2,"false"),0)</f>
        <v>1</v>
      </c>
      <c r="L975" s="194">
        <f>_1_54128456121462410464578910174567[[#This Row],[LIST $]]*_1_54128456121462410464578910174567[[#This Row],[DISCOUNT]]*_1_54128456121462410464578910174567[[#This Row],[DISCOUNT 2]]</f>
        <v>0</v>
      </c>
      <c r="M975" s="194">
        <f>IF(OR(_1_54128456121462410464578910174567[[#This Row],[UNIT]]&gt;0,_1_54128456121462410464578910174567[[#This Row],[UNIT]]&lt;0),_1_54128456121462410464578910174567[[#This Row],[UNIT]]*_1_54128456121462410464578910174567[[#This Row],[COST]],0)</f>
        <v>0</v>
      </c>
      <c r="N975" s="194">
        <f t="shared" si="15"/>
        <v>1.3</v>
      </c>
      <c r="O975" s="198">
        <f>_1_54128456121462410464578910174567[[#This Row],[TOTAL]]*_1_54128456121462410464578910174567[[#This Row],[MARGIN]]</f>
        <v>0</v>
      </c>
      <c r="P975" s="198"/>
      <c r="R975" s="41"/>
    </row>
    <row r="976" spans="4:18">
      <c r="D976" s="188"/>
      <c r="E976" s="42"/>
      <c r="F976" s="168" t="s">
        <v>6202</v>
      </c>
      <c r="G976" s="193">
        <f>IF(_1_54128456121462410464578910174567[[#This Row],[Type]]&gt;0,VLOOKUP(_1_54128456121462410464578910174567[[#This Row],[Type]],Main[[#All],[TYPE]:[UNIT]],'Unit Price'!C$1,FALSE),0)</f>
        <v>0</v>
      </c>
      <c r="H976" s="197">
        <f>IF(_1_54128456121462410464578910174567[[#This Row],[Type]]&gt;0,VLOOKUP(_1_54128456121462410464578910174567[[#This Row],[Type]],Main[[#All],[TYPE]:[UNIT]],'Unit Price'!D$1,FALSE),0)</f>
        <v>0</v>
      </c>
      <c r="I976" s="194">
        <f>IF(_1_54128456121462410464578910174567[[#This Row],[Type]]&gt;0,VLOOKUP(_1_54128456121462410464578910174567[[#This Row],[Type]],Main[[#All],[TYPE]:[UNIT]],'Unit Price'!G$1,FALSE),0)</f>
        <v>0</v>
      </c>
      <c r="J976" s="194">
        <f>IF(_1_54128456121462410464578910174567[[#This Row],[Type]]&gt;0,VLOOKUP(_1_54128456121462410464578910174567[[#This Row],[Type]],Main[[#All],[TYPE]:[UNIT]],'Unit Price'!H$1,FALSE),0)</f>
        <v>0</v>
      </c>
      <c r="K976" s="194">
        <f>IF(_1_54128456121462410464578910174567[[#This Row],[Discount selection]]&gt;0,VLOOKUP(_1_54128456121462410464578910174567[[#This Row],[Discount selection]],'Discount Structure'!$A$2:$B$30,2,"false"),0)</f>
        <v>1</v>
      </c>
      <c r="L976" s="194">
        <f>_1_54128456121462410464578910174567[[#This Row],[LIST $]]*_1_54128456121462410464578910174567[[#This Row],[DISCOUNT]]*_1_54128456121462410464578910174567[[#This Row],[DISCOUNT 2]]</f>
        <v>0</v>
      </c>
      <c r="M976" s="194">
        <f>IF(OR(_1_54128456121462410464578910174567[[#This Row],[UNIT]]&gt;0,_1_54128456121462410464578910174567[[#This Row],[UNIT]]&lt;0),_1_54128456121462410464578910174567[[#This Row],[UNIT]]*_1_54128456121462410464578910174567[[#This Row],[COST]],0)</f>
        <v>0</v>
      </c>
      <c r="N976" s="194">
        <f t="shared" si="15"/>
        <v>1.3</v>
      </c>
      <c r="O976" s="198">
        <f>_1_54128456121462410464578910174567[[#This Row],[TOTAL]]*_1_54128456121462410464578910174567[[#This Row],[MARGIN]]</f>
        <v>0</v>
      </c>
      <c r="P976" s="198"/>
      <c r="R976" s="41"/>
    </row>
    <row r="977" spans="4:18">
      <c r="D977" s="188"/>
      <c r="E977" s="42"/>
      <c r="F977" s="168" t="s">
        <v>6202</v>
      </c>
      <c r="G977" s="193">
        <f>IF(_1_54128456121462410464578910174567[[#This Row],[Type]]&gt;0,VLOOKUP(_1_54128456121462410464578910174567[[#This Row],[Type]],Main[[#All],[TYPE]:[UNIT]],'Unit Price'!C$1,FALSE),0)</f>
        <v>0</v>
      </c>
      <c r="H977" s="197">
        <f>IF(_1_54128456121462410464578910174567[[#This Row],[Type]]&gt;0,VLOOKUP(_1_54128456121462410464578910174567[[#This Row],[Type]],Main[[#All],[TYPE]:[UNIT]],'Unit Price'!D$1,FALSE),0)</f>
        <v>0</v>
      </c>
      <c r="I977" s="194">
        <f>IF(_1_54128456121462410464578910174567[[#This Row],[Type]]&gt;0,VLOOKUP(_1_54128456121462410464578910174567[[#This Row],[Type]],Main[[#All],[TYPE]:[UNIT]],'Unit Price'!G$1,FALSE),0)</f>
        <v>0</v>
      </c>
      <c r="J977" s="194">
        <f>IF(_1_54128456121462410464578910174567[[#This Row],[Type]]&gt;0,VLOOKUP(_1_54128456121462410464578910174567[[#This Row],[Type]],Main[[#All],[TYPE]:[UNIT]],'Unit Price'!H$1,FALSE),0)</f>
        <v>0</v>
      </c>
      <c r="K977" s="194">
        <f>IF(_1_54128456121462410464578910174567[[#This Row],[Discount selection]]&gt;0,VLOOKUP(_1_54128456121462410464578910174567[[#This Row],[Discount selection]],'Discount Structure'!$A$2:$B$30,2,"false"),0)</f>
        <v>1</v>
      </c>
      <c r="L977" s="194">
        <f>_1_54128456121462410464578910174567[[#This Row],[LIST $]]*_1_54128456121462410464578910174567[[#This Row],[DISCOUNT]]*_1_54128456121462410464578910174567[[#This Row],[DISCOUNT 2]]</f>
        <v>0</v>
      </c>
      <c r="M977" s="194">
        <f>IF(OR(_1_54128456121462410464578910174567[[#This Row],[UNIT]]&gt;0,_1_54128456121462410464578910174567[[#This Row],[UNIT]]&lt;0),_1_54128456121462410464578910174567[[#This Row],[UNIT]]*_1_54128456121462410464578910174567[[#This Row],[COST]],0)</f>
        <v>0</v>
      </c>
      <c r="N977" s="194">
        <f t="shared" si="15"/>
        <v>1.3</v>
      </c>
      <c r="O977" s="198">
        <f>_1_54128456121462410464578910174567[[#This Row],[TOTAL]]*_1_54128456121462410464578910174567[[#This Row],[MARGIN]]</f>
        <v>0</v>
      </c>
      <c r="P977" s="198"/>
      <c r="R977" s="41"/>
    </row>
    <row r="978" spans="4:18">
      <c r="D978" s="188"/>
      <c r="E978" s="42"/>
      <c r="F978" s="168" t="s">
        <v>6202</v>
      </c>
      <c r="G978" s="193">
        <f>IF(_1_54128456121462410464578910174567[[#This Row],[Type]]&gt;0,VLOOKUP(_1_54128456121462410464578910174567[[#This Row],[Type]],Main[[#All],[TYPE]:[UNIT]],'Unit Price'!C$1,FALSE),0)</f>
        <v>0</v>
      </c>
      <c r="H978" s="197">
        <f>IF(_1_54128456121462410464578910174567[[#This Row],[Type]]&gt;0,VLOOKUP(_1_54128456121462410464578910174567[[#This Row],[Type]],Main[[#All],[TYPE]:[UNIT]],'Unit Price'!D$1,FALSE),0)</f>
        <v>0</v>
      </c>
      <c r="I978" s="194">
        <f>IF(_1_54128456121462410464578910174567[[#This Row],[Type]]&gt;0,VLOOKUP(_1_54128456121462410464578910174567[[#This Row],[Type]],Main[[#All],[TYPE]:[UNIT]],'Unit Price'!G$1,FALSE),0)</f>
        <v>0</v>
      </c>
      <c r="J978" s="194">
        <f>IF(_1_54128456121462410464578910174567[[#This Row],[Type]]&gt;0,VLOOKUP(_1_54128456121462410464578910174567[[#This Row],[Type]],Main[[#All],[TYPE]:[UNIT]],'Unit Price'!H$1,FALSE),0)</f>
        <v>0</v>
      </c>
      <c r="K978" s="194">
        <f>IF(_1_54128456121462410464578910174567[[#This Row],[Discount selection]]&gt;0,VLOOKUP(_1_54128456121462410464578910174567[[#This Row],[Discount selection]],'Discount Structure'!$A$2:$B$30,2,"false"),0)</f>
        <v>1</v>
      </c>
      <c r="L978" s="194">
        <f>_1_54128456121462410464578910174567[[#This Row],[LIST $]]*_1_54128456121462410464578910174567[[#This Row],[DISCOUNT]]*_1_54128456121462410464578910174567[[#This Row],[DISCOUNT 2]]</f>
        <v>0</v>
      </c>
      <c r="M978" s="194">
        <f>IF(OR(_1_54128456121462410464578910174567[[#This Row],[UNIT]]&gt;0,_1_54128456121462410464578910174567[[#This Row],[UNIT]]&lt;0),_1_54128456121462410464578910174567[[#This Row],[UNIT]]*_1_54128456121462410464578910174567[[#This Row],[COST]],0)</f>
        <v>0</v>
      </c>
      <c r="N978" s="194">
        <f t="shared" si="15"/>
        <v>1.3</v>
      </c>
      <c r="O978" s="198">
        <f>_1_54128456121462410464578910174567[[#This Row],[TOTAL]]*_1_54128456121462410464578910174567[[#This Row],[MARGIN]]</f>
        <v>0</v>
      </c>
      <c r="P978" s="198"/>
      <c r="R978" s="41"/>
    </row>
    <row r="979" spans="4:18">
      <c r="D979" s="188"/>
      <c r="E979" s="42"/>
      <c r="F979" s="168" t="s">
        <v>6202</v>
      </c>
      <c r="G979" s="193">
        <f>IF(_1_54128456121462410464578910174567[[#This Row],[Type]]&gt;0,VLOOKUP(_1_54128456121462410464578910174567[[#This Row],[Type]],Main[[#All],[TYPE]:[UNIT]],'Unit Price'!C$1,FALSE),0)</f>
        <v>0</v>
      </c>
      <c r="H979" s="197">
        <f>IF(_1_54128456121462410464578910174567[[#This Row],[Type]]&gt;0,VLOOKUP(_1_54128456121462410464578910174567[[#This Row],[Type]],Main[[#All],[TYPE]:[UNIT]],'Unit Price'!D$1,FALSE),0)</f>
        <v>0</v>
      </c>
      <c r="I979" s="194">
        <f>IF(_1_54128456121462410464578910174567[[#This Row],[Type]]&gt;0,VLOOKUP(_1_54128456121462410464578910174567[[#This Row],[Type]],Main[[#All],[TYPE]:[UNIT]],'Unit Price'!G$1,FALSE),0)</f>
        <v>0</v>
      </c>
      <c r="J979" s="194">
        <f>IF(_1_54128456121462410464578910174567[[#This Row],[Type]]&gt;0,VLOOKUP(_1_54128456121462410464578910174567[[#This Row],[Type]],Main[[#All],[TYPE]:[UNIT]],'Unit Price'!H$1,FALSE),0)</f>
        <v>0</v>
      </c>
      <c r="K979" s="194">
        <f>IF(_1_54128456121462410464578910174567[[#This Row],[Discount selection]]&gt;0,VLOOKUP(_1_54128456121462410464578910174567[[#This Row],[Discount selection]],'Discount Structure'!$A$2:$B$30,2,"false"),0)</f>
        <v>1</v>
      </c>
      <c r="L979" s="194">
        <f>_1_54128456121462410464578910174567[[#This Row],[LIST $]]*_1_54128456121462410464578910174567[[#This Row],[DISCOUNT]]*_1_54128456121462410464578910174567[[#This Row],[DISCOUNT 2]]</f>
        <v>0</v>
      </c>
      <c r="M979" s="194">
        <f>IF(OR(_1_54128456121462410464578910174567[[#This Row],[UNIT]]&gt;0,_1_54128456121462410464578910174567[[#This Row],[UNIT]]&lt;0),_1_54128456121462410464578910174567[[#This Row],[UNIT]]*_1_54128456121462410464578910174567[[#This Row],[COST]],0)</f>
        <v>0</v>
      </c>
      <c r="N979" s="194">
        <f t="shared" si="15"/>
        <v>1.3</v>
      </c>
      <c r="O979" s="198">
        <f>_1_54128456121462410464578910174567[[#This Row],[TOTAL]]*_1_54128456121462410464578910174567[[#This Row],[MARGIN]]</f>
        <v>0</v>
      </c>
      <c r="P979" s="198"/>
      <c r="R979" s="41"/>
    </row>
    <row r="980" spans="4:18">
      <c r="D980" s="188"/>
      <c r="E980" s="42"/>
      <c r="F980" s="168" t="s">
        <v>6202</v>
      </c>
      <c r="G980" s="193">
        <f>IF(_1_54128456121462410464578910174567[[#This Row],[Type]]&gt;0,VLOOKUP(_1_54128456121462410464578910174567[[#This Row],[Type]],Main[[#All],[TYPE]:[UNIT]],'Unit Price'!C$1,FALSE),0)</f>
        <v>0</v>
      </c>
      <c r="H980" s="197">
        <f>IF(_1_54128456121462410464578910174567[[#This Row],[Type]]&gt;0,VLOOKUP(_1_54128456121462410464578910174567[[#This Row],[Type]],Main[[#All],[TYPE]:[UNIT]],'Unit Price'!D$1,FALSE),0)</f>
        <v>0</v>
      </c>
      <c r="I980" s="194">
        <f>IF(_1_54128456121462410464578910174567[[#This Row],[Type]]&gt;0,VLOOKUP(_1_54128456121462410464578910174567[[#This Row],[Type]],Main[[#All],[TYPE]:[UNIT]],'Unit Price'!G$1,FALSE),0)</f>
        <v>0</v>
      </c>
      <c r="J980" s="194">
        <f>IF(_1_54128456121462410464578910174567[[#This Row],[Type]]&gt;0,VLOOKUP(_1_54128456121462410464578910174567[[#This Row],[Type]],Main[[#All],[TYPE]:[UNIT]],'Unit Price'!H$1,FALSE),0)</f>
        <v>0</v>
      </c>
      <c r="K980" s="194">
        <f>IF(_1_54128456121462410464578910174567[[#This Row],[Discount selection]]&gt;0,VLOOKUP(_1_54128456121462410464578910174567[[#This Row],[Discount selection]],'Discount Structure'!$A$2:$B$30,2,"false"),0)</f>
        <v>1</v>
      </c>
      <c r="L980" s="194">
        <f>_1_54128456121462410464578910174567[[#This Row],[LIST $]]*_1_54128456121462410464578910174567[[#This Row],[DISCOUNT]]*_1_54128456121462410464578910174567[[#This Row],[DISCOUNT 2]]</f>
        <v>0</v>
      </c>
      <c r="M980" s="194">
        <f>IF(OR(_1_54128456121462410464578910174567[[#This Row],[UNIT]]&gt;0,_1_54128456121462410464578910174567[[#This Row],[UNIT]]&lt;0),_1_54128456121462410464578910174567[[#This Row],[UNIT]]*_1_54128456121462410464578910174567[[#This Row],[COST]],0)</f>
        <v>0</v>
      </c>
      <c r="N980" s="194">
        <f t="shared" si="15"/>
        <v>1.3</v>
      </c>
      <c r="O980" s="198">
        <f>_1_54128456121462410464578910174567[[#This Row],[TOTAL]]*_1_54128456121462410464578910174567[[#This Row],[MARGIN]]</f>
        <v>0</v>
      </c>
      <c r="P980" s="198"/>
      <c r="R980" s="41"/>
    </row>
    <row r="981" spans="4:18">
      <c r="D981" s="188"/>
      <c r="E981" s="42"/>
      <c r="F981" s="168" t="s">
        <v>6202</v>
      </c>
      <c r="G981" s="193">
        <f>IF(_1_54128456121462410464578910174567[[#This Row],[Type]]&gt;0,VLOOKUP(_1_54128456121462410464578910174567[[#This Row],[Type]],Main[[#All],[TYPE]:[UNIT]],'Unit Price'!C$1,FALSE),0)</f>
        <v>0</v>
      </c>
      <c r="H981" s="197">
        <f>IF(_1_54128456121462410464578910174567[[#This Row],[Type]]&gt;0,VLOOKUP(_1_54128456121462410464578910174567[[#This Row],[Type]],Main[[#All],[TYPE]:[UNIT]],'Unit Price'!D$1,FALSE),0)</f>
        <v>0</v>
      </c>
      <c r="I981" s="194">
        <f>IF(_1_54128456121462410464578910174567[[#This Row],[Type]]&gt;0,VLOOKUP(_1_54128456121462410464578910174567[[#This Row],[Type]],Main[[#All],[TYPE]:[UNIT]],'Unit Price'!G$1,FALSE),0)</f>
        <v>0</v>
      </c>
      <c r="J981" s="194">
        <f>IF(_1_54128456121462410464578910174567[[#This Row],[Type]]&gt;0,VLOOKUP(_1_54128456121462410464578910174567[[#This Row],[Type]],Main[[#All],[TYPE]:[UNIT]],'Unit Price'!H$1,FALSE),0)</f>
        <v>0</v>
      </c>
      <c r="K981" s="194">
        <f>IF(_1_54128456121462410464578910174567[[#This Row],[Discount selection]]&gt;0,VLOOKUP(_1_54128456121462410464578910174567[[#This Row],[Discount selection]],'Discount Structure'!$A$2:$B$30,2,"false"),0)</f>
        <v>1</v>
      </c>
      <c r="L981" s="194">
        <f>_1_54128456121462410464578910174567[[#This Row],[LIST $]]*_1_54128456121462410464578910174567[[#This Row],[DISCOUNT]]*_1_54128456121462410464578910174567[[#This Row],[DISCOUNT 2]]</f>
        <v>0</v>
      </c>
      <c r="M981" s="194">
        <f>IF(OR(_1_54128456121462410464578910174567[[#This Row],[UNIT]]&gt;0,_1_54128456121462410464578910174567[[#This Row],[UNIT]]&lt;0),_1_54128456121462410464578910174567[[#This Row],[UNIT]]*_1_54128456121462410464578910174567[[#This Row],[COST]],0)</f>
        <v>0</v>
      </c>
      <c r="N981" s="194">
        <f t="shared" si="15"/>
        <v>1.3</v>
      </c>
      <c r="O981" s="198">
        <f>_1_54128456121462410464578910174567[[#This Row],[TOTAL]]*_1_54128456121462410464578910174567[[#This Row],[MARGIN]]</f>
        <v>0</v>
      </c>
      <c r="P981" s="198"/>
      <c r="R981" s="41"/>
    </row>
    <row r="982" spans="4:18">
      <c r="D982" s="188"/>
      <c r="E982" s="42"/>
      <c r="F982" s="168" t="s">
        <v>6202</v>
      </c>
      <c r="G982" s="193">
        <f>IF(_1_54128456121462410464578910174567[[#This Row],[Type]]&gt;0,VLOOKUP(_1_54128456121462410464578910174567[[#This Row],[Type]],Main[[#All],[TYPE]:[UNIT]],'Unit Price'!C$1,FALSE),0)</f>
        <v>0</v>
      </c>
      <c r="H982" s="197">
        <f>IF(_1_54128456121462410464578910174567[[#This Row],[Type]]&gt;0,VLOOKUP(_1_54128456121462410464578910174567[[#This Row],[Type]],Main[[#All],[TYPE]:[UNIT]],'Unit Price'!D$1,FALSE),0)</f>
        <v>0</v>
      </c>
      <c r="I982" s="194">
        <f>IF(_1_54128456121462410464578910174567[[#This Row],[Type]]&gt;0,VLOOKUP(_1_54128456121462410464578910174567[[#This Row],[Type]],Main[[#All],[TYPE]:[UNIT]],'Unit Price'!G$1,FALSE),0)</f>
        <v>0</v>
      </c>
      <c r="J982" s="194">
        <f>IF(_1_54128456121462410464578910174567[[#This Row],[Type]]&gt;0,VLOOKUP(_1_54128456121462410464578910174567[[#This Row],[Type]],Main[[#All],[TYPE]:[UNIT]],'Unit Price'!H$1,FALSE),0)</f>
        <v>0</v>
      </c>
      <c r="K982" s="194">
        <f>IF(_1_54128456121462410464578910174567[[#This Row],[Discount selection]]&gt;0,VLOOKUP(_1_54128456121462410464578910174567[[#This Row],[Discount selection]],'Discount Structure'!$A$2:$B$30,2,"false"),0)</f>
        <v>1</v>
      </c>
      <c r="L982" s="194">
        <f>_1_54128456121462410464578910174567[[#This Row],[LIST $]]*_1_54128456121462410464578910174567[[#This Row],[DISCOUNT]]*_1_54128456121462410464578910174567[[#This Row],[DISCOUNT 2]]</f>
        <v>0</v>
      </c>
      <c r="M982" s="194">
        <f>IF(OR(_1_54128456121462410464578910174567[[#This Row],[UNIT]]&gt;0,_1_54128456121462410464578910174567[[#This Row],[UNIT]]&lt;0),_1_54128456121462410464578910174567[[#This Row],[UNIT]]*_1_54128456121462410464578910174567[[#This Row],[COST]],0)</f>
        <v>0</v>
      </c>
      <c r="N982" s="194">
        <f t="shared" si="15"/>
        <v>1.3</v>
      </c>
      <c r="O982" s="198">
        <f>_1_54128456121462410464578910174567[[#This Row],[TOTAL]]*_1_54128456121462410464578910174567[[#This Row],[MARGIN]]</f>
        <v>0</v>
      </c>
      <c r="P982" s="198"/>
      <c r="R982" s="41"/>
    </row>
    <row r="983" spans="4:18">
      <c r="D983" s="188"/>
      <c r="E983" s="42"/>
      <c r="F983" s="168" t="s">
        <v>6202</v>
      </c>
      <c r="G983" s="193">
        <f>IF(_1_54128456121462410464578910174567[[#This Row],[Type]]&gt;0,VLOOKUP(_1_54128456121462410464578910174567[[#This Row],[Type]],Main[[#All],[TYPE]:[UNIT]],'Unit Price'!C$1,FALSE),0)</f>
        <v>0</v>
      </c>
      <c r="H983" s="197">
        <f>IF(_1_54128456121462410464578910174567[[#This Row],[Type]]&gt;0,VLOOKUP(_1_54128456121462410464578910174567[[#This Row],[Type]],Main[[#All],[TYPE]:[UNIT]],'Unit Price'!D$1,FALSE),0)</f>
        <v>0</v>
      </c>
      <c r="I983" s="194">
        <f>IF(_1_54128456121462410464578910174567[[#This Row],[Type]]&gt;0,VLOOKUP(_1_54128456121462410464578910174567[[#This Row],[Type]],Main[[#All],[TYPE]:[UNIT]],'Unit Price'!G$1,FALSE),0)</f>
        <v>0</v>
      </c>
      <c r="J983" s="194">
        <f>IF(_1_54128456121462410464578910174567[[#This Row],[Type]]&gt;0,VLOOKUP(_1_54128456121462410464578910174567[[#This Row],[Type]],Main[[#All],[TYPE]:[UNIT]],'Unit Price'!H$1,FALSE),0)</f>
        <v>0</v>
      </c>
      <c r="K983" s="194">
        <f>IF(_1_54128456121462410464578910174567[[#This Row],[Discount selection]]&gt;0,VLOOKUP(_1_54128456121462410464578910174567[[#This Row],[Discount selection]],'Discount Structure'!$A$2:$B$30,2,"false"),0)</f>
        <v>1</v>
      </c>
      <c r="L983" s="194">
        <f>_1_54128456121462410464578910174567[[#This Row],[LIST $]]*_1_54128456121462410464578910174567[[#This Row],[DISCOUNT]]*_1_54128456121462410464578910174567[[#This Row],[DISCOUNT 2]]</f>
        <v>0</v>
      </c>
      <c r="M983" s="194">
        <f>IF(OR(_1_54128456121462410464578910174567[[#This Row],[UNIT]]&gt;0,_1_54128456121462410464578910174567[[#This Row],[UNIT]]&lt;0),_1_54128456121462410464578910174567[[#This Row],[UNIT]]*_1_54128456121462410464578910174567[[#This Row],[COST]],0)</f>
        <v>0</v>
      </c>
      <c r="N983" s="194">
        <f t="shared" si="15"/>
        <v>1.3</v>
      </c>
      <c r="O983" s="198">
        <f>_1_54128456121462410464578910174567[[#This Row],[TOTAL]]*_1_54128456121462410464578910174567[[#This Row],[MARGIN]]</f>
        <v>0</v>
      </c>
      <c r="P983" s="198"/>
      <c r="R983" s="41"/>
    </row>
    <row r="984" spans="4:18">
      <c r="D984" s="188"/>
      <c r="E984" s="42"/>
      <c r="F984" s="168" t="s">
        <v>6202</v>
      </c>
      <c r="G984" s="193">
        <f>IF(_1_54128456121462410464578910174567[[#This Row],[Type]]&gt;0,VLOOKUP(_1_54128456121462410464578910174567[[#This Row],[Type]],Main[[#All],[TYPE]:[UNIT]],'Unit Price'!C$1,FALSE),0)</f>
        <v>0</v>
      </c>
      <c r="H984" s="197">
        <f>IF(_1_54128456121462410464578910174567[[#This Row],[Type]]&gt;0,VLOOKUP(_1_54128456121462410464578910174567[[#This Row],[Type]],Main[[#All],[TYPE]:[UNIT]],'Unit Price'!D$1,FALSE),0)</f>
        <v>0</v>
      </c>
      <c r="I984" s="194">
        <f>IF(_1_54128456121462410464578910174567[[#This Row],[Type]]&gt;0,VLOOKUP(_1_54128456121462410464578910174567[[#This Row],[Type]],Main[[#All],[TYPE]:[UNIT]],'Unit Price'!G$1,FALSE),0)</f>
        <v>0</v>
      </c>
      <c r="J984" s="194">
        <f>IF(_1_54128456121462410464578910174567[[#This Row],[Type]]&gt;0,VLOOKUP(_1_54128456121462410464578910174567[[#This Row],[Type]],Main[[#All],[TYPE]:[UNIT]],'Unit Price'!H$1,FALSE),0)</f>
        <v>0</v>
      </c>
      <c r="K984" s="194">
        <f>IF(_1_54128456121462410464578910174567[[#This Row],[Discount selection]]&gt;0,VLOOKUP(_1_54128456121462410464578910174567[[#This Row],[Discount selection]],'Discount Structure'!$A$2:$B$30,2,"false"),0)</f>
        <v>1</v>
      </c>
      <c r="L984" s="194">
        <f>_1_54128456121462410464578910174567[[#This Row],[LIST $]]*_1_54128456121462410464578910174567[[#This Row],[DISCOUNT]]*_1_54128456121462410464578910174567[[#This Row],[DISCOUNT 2]]</f>
        <v>0</v>
      </c>
      <c r="M984" s="194">
        <f>IF(OR(_1_54128456121462410464578910174567[[#This Row],[UNIT]]&gt;0,_1_54128456121462410464578910174567[[#This Row],[UNIT]]&lt;0),_1_54128456121462410464578910174567[[#This Row],[UNIT]]*_1_54128456121462410464578910174567[[#This Row],[COST]],0)</f>
        <v>0</v>
      </c>
      <c r="N984" s="194">
        <f t="shared" si="15"/>
        <v>1.3</v>
      </c>
      <c r="O984" s="198">
        <f>_1_54128456121462410464578910174567[[#This Row],[TOTAL]]*_1_54128456121462410464578910174567[[#This Row],[MARGIN]]</f>
        <v>0</v>
      </c>
      <c r="P984" s="198"/>
      <c r="R984" s="41"/>
    </row>
    <row r="985" spans="4:18">
      <c r="D985" s="188"/>
      <c r="E985" s="42"/>
      <c r="F985" s="168" t="s">
        <v>6202</v>
      </c>
      <c r="G985" s="193">
        <f>IF(_1_54128456121462410464578910174567[[#This Row],[Type]]&gt;0,VLOOKUP(_1_54128456121462410464578910174567[[#This Row],[Type]],Main[[#All],[TYPE]:[UNIT]],'Unit Price'!C$1,FALSE),0)</f>
        <v>0</v>
      </c>
      <c r="H985" s="197">
        <f>IF(_1_54128456121462410464578910174567[[#This Row],[Type]]&gt;0,VLOOKUP(_1_54128456121462410464578910174567[[#This Row],[Type]],Main[[#All],[TYPE]:[UNIT]],'Unit Price'!D$1,FALSE),0)</f>
        <v>0</v>
      </c>
      <c r="I985" s="194">
        <f>IF(_1_54128456121462410464578910174567[[#This Row],[Type]]&gt;0,VLOOKUP(_1_54128456121462410464578910174567[[#This Row],[Type]],Main[[#All],[TYPE]:[UNIT]],'Unit Price'!G$1,FALSE),0)</f>
        <v>0</v>
      </c>
      <c r="J985" s="194">
        <f>IF(_1_54128456121462410464578910174567[[#This Row],[Type]]&gt;0,VLOOKUP(_1_54128456121462410464578910174567[[#This Row],[Type]],Main[[#All],[TYPE]:[UNIT]],'Unit Price'!H$1,FALSE),0)</f>
        <v>0</v>
      </c>
      <c r="K985" s="194">
        <f>IF(_1_54128456121462410464578910174567[[#This Row],[Discount selection]]&gt;0,VLOOKUP(_1_54128456121462410464578910174567[[#This Row],[Discount selection]],'Discount Structure'!$A$2:$B$30,2,"false"),0)</f>
        <v>1</v>
      </c>
      <c r="L985" s="194">
        <f>_1_54128456121462410464578910174567[[#This Row],[LIST $]]*_1_54128456121462410464578910174567[[#This Row],[DISCOUNT]]*_1_54128456121462410464578910174567[[#This Row],[DISCOUNT 2]]</f>
        <v>0</v>
      </c>
      <c r="M985" s="194">
        <f>IF(OR(_1_54128456121462410464578910174567[[#This Row],[UNIT]]&gt;0,_1_54128456121462410464578910174567[[#This Row],[UNIT]]&lt;0),_1_54128456121462410464578910174567[[#This Row],[UNIT]]*_1_54128456121462410464578910174567[[#This Row],[COST]],0)</f>
        <v>0</v>
      </c>
      <c r="N985" s="194">
        <f t="shared" si="15"/>
        <v>1.3</v>
      </c>
      <c r="O985" s="198">
        <f>_1_54128456121462410464578910174567[[#This Row],[TOTAL]]*_1_54128456121462410464578910174567[[#This Row],[MARGIN]]</f>
        <v>0</v>
      </c>
      <c r="P985" s="198"/>
      <c r="R985" s="41"/>
    </row>
    <row r="986" spans="4:18">
      <c r="D986" s="188"/>
      <c r="E986" s="42"/>
      <c r="F986" s="168" t="s">
        <v>6202</v>
      </c>
      <c r="G986" s="193">
        <f>IF(_1_54128456121462410464578910174567[[#This Row],[Type]]&gt;0,VLOOKUP(_1_54128456121462410464578910174567[[#This Row],[Type]],Main[[#All],[TYPE]:[UNIT]],'Unit Price'!C$1,FALSE),0)</f>
        <v>0</v>
      </c>
      <c r="H986" s="197">
        <f>IF(_1_54128456121462410464578910174567[[#This Row],[Type]]&gt;0,VLOOKUP(_1_54128456121462410464578910174567[[#This Row],[Type]],Main[[#All],[TYPE]:[UNIT]],'Unit Price'!D$1,FALSE),0)</f>
        <v>0</v>
      </c>
      <c r="I986" s="194">
        <f>IF(_1_54128456121462410464578910174567[[#This Row],[Type]]&gt;0,VLOOKUP(_1_54128456121462410464578910174567[[#This Row],[Type]],Main[[#All],[TYPE]:[UNIT]],'Unit Price'!G$1,FALSE),0)</f>
        <v>0</v>
      </c>
      <c r="J986" s="194">
        <f>IF(_1_54128456121462410464578910174567[[#This Row],[Type]]&gt;0,VLOOKUP(_1_54128456121462410464578910174567[[#This Row],[Type]],Main[[#All],[TYPE]:[UNIT]],'Unit Price'!H$1,FALSE),0)</f>
        <v>0</v>
      </c>
      <c r="K986" s="194">
        <f>IF(_1_54128456121462410464578910174567[[#This Row],[Discount selection]]&gt;0,VLOOKUP(_1_54128456121462410464578910174567[[#This Row],[Discount selection]],'Discount Structure'!$A$2:$B$30,2,"false"),0)</f>
        <v>1</v>
      </c>
      <c r="L986" s="194">
        <f>_1_54128456121462410464578910174567[[#This Row],[LIST $]]*_1_54128456121462410464578910174567[[#This Row],[DISCOUNT]]*_1_54128456121462410464578910174567[[#This Row],[DISCOUNT 2]]</f>
        <v>0</v>
      </c>
      <c r="M986" s="194">
        <f>IF(OR(_1_54128456121462410464578910174567[[#This Row],[UNIT]]&gt;0,_1_54128456121462410464578910174567[[#This Row],[UNIT]]&lt;0),_1_54128456121462410464578910174567[[#This Row],[UNIT]]*_1_54128456121462410464578910174567[[#This Row],[COST]],0)</f>
        <v>0</v>
      </c>
      <c r="N986" s="194">
        <f t="shared" si="15"/>
        <v>1.3</v>
      </c>
      <c r="O986" s="198">
        <f>_1_54128456121462410464578910174567[[#This Row],[TOTAL]]*_1_54128456121462410464578910174567[[#This Row],[MARGIN]]</f>
        <v>0</v>
      </c>
      <c r="P986" s="198"/>
      <c r="R986" s="41"/>
    </row>
    <row r="987" spans="4:18">
      <c r="D987" s="188"/>
      <c r="E987" s="42"/>
      <c r="F987" s="168" t="s">
        <v>6202</v>
      </c>
      <c r="G987" s="193">
        <f>IF(_1_54128456121462410464578910174567[[#This Row],[Type]]&gt;0,VLOOKUP(_1_54128456121462410464578910174567[[#This Row],[Type]],Main[[#All],[TYPE]:[UNIT]],'Unit Price'!C$1,FALSE),0)</f>
        <v>0</v>
      </c>
      <c r="H987" s="197">
        <f>IF(_1_54128456121462410464578910174567[[#This Row],[Type]]&gt;0,VLOOKUP(_1_54128456121462410464578910174567[[#This Row],[Type]],Main[[#All],[TYPE]:[UNIT]],'Unit Price'!D$1,FALSE),0)</f>
        <v>0</v>
      </c>
      <c r="I987" s="194">
        <f>IF(_1_54128456121462410464578910174567[[#This Row],[Type]]&gt;0,VLOOKUP(_1_54128456121462410464578910174567[[#This Row],[Type]],Main[[#All],[TYPE]:[UNIT]],'Unit Price'!G$1,FALSE),0)</f>
        <v>0</v>
      </c>
      <c r="J987" s="194">
        <f>IF(_1_54128456121462410464578910174567[[#This Row],[Type]]&gt;0,VLOOKUP(_1_54128456121462410464578910174567[[#This Row],[Type]],Main[[#All],[TYPE]:[UNIT]],'Unit Price'!H$1,FALSE),0)</f>
        <v>0</v>
      </c>
      <c r="K987" s="194">
        <f>IF(_1_54128456121462410464578910174567[[#This Row],[Discount selection]]&gt;0,VLOOKUP(_1_54128456121462410464578910174567[[#This Row],[Discount selection]],'Discount Structure'!$A$2:$B$30,2,"false"),0)</f>
        <v>1</v>
      </c>
      <c r="L987" s="194">
        <f>_1_54128456121462410464578910174567[[#This Row],[LIST $]]*_1_54128456121462410464578910174567[[#This Row],[DISCOUNT]]*_1_54128456121462410464578910174567[[#This Row],[DISCOUNT 2]]</f>
        <v>0</v>
      </c>
      <c r="M987" s="194">
        <f>IF(OR(_1_54128456121462410464578910174567[[#This Row],[UNIT]]&gt;0,_1_54128456121462410464578910174567[[#This Row],[UNIT]]&lt;0),_1_54128456121462410464578910174567[[#This Row],[UNIT]]*_1_54128456121462410464578910174567[[#This Row],[COST]],0)</f>
        <v>0</v>
      </c>
      <c r="N987" s="194">
        <f t="shared" si="15"/>
        <v>1.3</v>
      </c>
      <c r="O987" s="198">
        <f>_1_54128456121462410464578910174567[[#This Row],[TOTAL]]*_1_54128456121462410464578910174567[[#This Row],[MARGIN]]</f>
        <v>0</v>
      </c>
      <c r="P987" s="198"/>
      <c r="R987" s="41"/>
    </row>
    <row r="988" spans="4:18">
      <c r="D988" s="188"/>
      <c r="E988" s="42"/>
      <c r="F988" s="168" t="s">
        <v>6202</v>
      </c>
      <c r="G988" s="193">
        <f>IF(_1_54128456121462410464578910174567[[#This Row],[Type]]&gt;0,VLOOKUP(_1_54128456121462410464578910174567[[#This Row],[Type]],Main[[#All],[TYPE]:[UNIT]],'Unit Price'!C$1,FALSE),0)</f>
        <v>0</v>
      </c>
      <c r="H988" s="197">
        <f>IF(_1_54128456121462410464578910174567[[#This Row],[Type]]&gt;0,VLOOKUP(_1_54128456121462410464578910174567[[#This Row],[Type]],Main[[#All],[TYPE]:[UNIT]],'Unit Price'!D$1,FALSE),0)</f>
        <v>0</v>
      </c>
      <c r="I988" s="194">
        <f>IF(_1_54128456121462410464578910174567[[#This Row],[Type]]&gt;0,VLOOKUP(_1_54128456121462410464578910174567[[#This Row],[Type]],Main[[#All],[TYPE]:[UNIT]],'Unit Price'!G$1,FALSE),0)</f>
        <v>0</v>
      </c>
      <c r="J988" s="194">
        <f>IF(_1_54128456121462410464578910174567[[#This Row],[Type]]&gt;0,VLOOKUP(_1_54128456121462410464578910174567[[#This Row],[Type]],Main[[#All],[TYPE]:[UNIT]],'Unit Price'!H$1,FALSE),0)</f>
        <v>0</v>
      </c>
      <c r="K988" s="194">
        <f>IF(_1_54128456121462410464578910174567[[#This Row],[Discount selection]]&gt;0,VLOOKUP(_1_54128456121462410464578910174567[[#This Row],[Discount selection]],'Discount Structure'!$A$2:$B$30,2,"false"),0)</f>
        <v>1</v>
      </c>
      <c r="L988" s="194">
        <f>_1_54128456121462410464578910174567[[#This Row],[LIST $]]*_1_54128456121462410464578910174567[[#This Row],[DISCOUNT]]*_1_54128456121462410464578910174567[[#This Row],[DISCOUNT 2]]</f>
        <v>0</v>
      </c>
      <c r="M988" s="194">
        <f>IF(OR(_1_54128456121462410464578910174567[[#This Row],[UNIT]]&gt;0,_1_54128456121462410464578910174567[[#This Row],[UNIT]]&lt;0),_1_54128456121462410464578910174567[[#This Row],[UNIT]]*_1_54128456121462410464578910174567[[#This Row],[COST]],0)</f>
        <v>0</v>
      </c>
      <c r="N988" s="194">
        <f t="shared" si="15"/>
        <v>1.3</v>
      </c>
      <c r="O988" s="198">
        <f>_1_54128456121462410464578910174567[[#This Row],[TOTAL]]*_1_54128456121462410464578910174567[[#This Row],[MARGIN]]</f>
        <v>0</v>
      </c>
      <c r="P988" s="198"/>
      <c r="R988" s="41"/>
    </row>
    <row r="989" spans="4:18">
      <c r="D989" s="188"/>
      <c r="E989" s="42"/>
      <c r="F989" s="168" t="s">
        <v>6202</v>
      </c>
      <c r="G989" s="193">
        <f>IF(_1_54128456121462410464578910174567[[#This Row],[Type]]&gt;0,VLOOKUP(_1_54128456121462410464578910174567[[#This Row],[Type]],Main[[#All],[TYPE]:[UNIT]],'Unit Price'!C$1,FALSE),0)</f>
        <v>0</v>
      </c>
      <c r="H989" s="197">
        <f>IF(_1_54128456121462410464578910174567[[#This Row],[Type]]&gt;0,VLOOKUP(_1_54128456121462410464578910174567[[#This Row],[Type]],Main[[#All],[TYPE]:[UNIT]],'Unit Price'!D$1,FALSE),0)</f>
        <v>0</v>
      </c>
      <c r="I989" s="194">
        <f>IF(_1_54128456121462410464578910174567[[#This Row],[Type]]&gt;0,VLOOKUP(_1_54128456121462410464578910174567[[#This Row],[Type]],Main[[#All],[TYPE]:[UNIT]],'Unit Price'!G$1,FALSE),0)</f>
        <v>0</v>
      </c>
      <c r="J989" s="194">
        <f>IF(_1_54128456121462410464578910174567[[#This Row],[Type]]&gt;0,VLOOKUP(_1_54128456121462410464578910174567[[#This Row],[Type]],Main[[#All],[TYPE]:[UNIT]],'Unit Price'!H$1,FALSE),0)</f>
        <v>0</v>
      </c>
      <c r="K989" s="194">
        <f>IF(_1_54128456121462410464578910174567[[#This Row],[Discount selection]]&gt;0,VLOOKUP(_1_54128456121462410464578910174567[[#This Row],[Discount selection]],'Discount Structure'!$A$2:$B$30,2,"false"),0)</f>
        <v>1</v>
      </c>
      <c r="L989" s="194">
        <f>_1_54128456121462410464578910174567[[#This Row],[LIST $]]*_1_54128456121462410464578910174567[[#This Row],[DISCOUNT]]*_1_54128456121462410464578910174567[[#This Row],[DISCOUNT 2]]</f>
        <v>0</v>
      </c>
      <c r="M989" s="194">
        <f>IF(OR(_1_54128456121462410464578910174567[[#This Row],[UNIT]]&gt;0,_1_54128456121462410464578910174567[[#This Row],[UNIT]]&lt;0),_1_54128456121462410464578910174567[[#This Row],[UNIT]]*_1_54128456121462410464578910174567[[#This Row],[COST]],0)</f>
        <v>0</v>
      </c>
      <c r="N989" s="194">
        <f t="shared" si="15"/>
        <v>1.3</v>
      </c>
      <c r="O989" s="198">
        <f>_1_54128456121462410464578910174567[[#This Row],[TOTAL]]*_1_54128456121462410464578910174567[[#This Row],[MARGIN]]</f>
        <v>0</v>
      </c>
      <c r="P989" s="198"/>
      <c r="R989" s="41"/>
    </row>
    <row r="990" spans="4:18">
      <c r="D990" s="188"/>
      <c r="E990" s="42"/>
      <c r="F990" s="168" t="s">
        <v>6202</v>
      </c>
      <c r="G990" s="193">
        <f>IF(_1_54128456121462410464578910174567[[#This Row],[Type]]&gt;0,VLOOKUP(_1_54128456121462410464578910174567[[#This Row],[Type]],Main[[#All],[TYPE]:[UNIT]],'Unit Price'!C$1,FALSE),0)</f>
        <v>0</v>
      </c>
      <c r="H990" s="197">
        <f>IF(_1_54128456121462410464578910174567[[#This Row],[Type]]&gt;0,VLOOKUP(_1_54128456121462410464578910174567[[#This Row],[Type]],Main[[#All],[TYPE]:[UNIT]],'Unit Price'!D$1,FALSE),0)</f>
        <v>0</v>
      </c>
      <c r="I990" s="194">
        <f>IF(_1_54128456121462410464578910174567[[#This Row],[Type]]&gt;0,VLOOKUP(_1_54128456121462410464578910174567[[#This Row],[Type]],Main[[#All],[TYPE]:[UNIT]],'Unit Price'!G$1,FALSE),0)</f>
        <v>0</v>
      </c>
      <c r="J990" s="194">
        <f>IF(_1_54128456121462410464578910174567[[#This Row],[Type]]&gt;0,VLOOKUP(_1_54128456121462410464578910174567[[#This Row],[Type]],Main[[#All],[TYPE]:[UNIT]],'Unit Price'!H$1,FALSE),0)</f>
        <v>0</v>
      </c>
      <c r="K990" s="194">
        <f>IF(_1_54128456121462410464578910174567[[#This Row],[Discount selection]]&gt;0,VLOOKUP(_1_54128456121462410464578910174567[[#This Row],[Discount selection]],'Discount Structure'!$A$2:$B$30,2,"false"),0)</f>
        <v>1</v>
      </c>
      <c r="L990" s="194">
        <f>_1_54128456121462410464578910174567[[#This Row],[LIST $]]*_1_54128456121462410464578910174567[[#This Row],[DISCOUNT]]*_1_54128456121462410464578910174567[[#This Row],[DISCOUNT 2]]</f>
        <v>0</v>
      </c>
      <c r="M990" s="194">
        <f>IF(OR(_1_54128456121462410464578910174567[[#This Row],[UNIT]]&gt;0,_1_54128456121462410464578910174567[[#This Row],[UNIT]]&lt;0),_1_54128456121462410464578910174567[[#This Row],[UNIT]]*_1_54128456121462410464578910174567[[#This Row],[COST]],0)</f>
        <v>0</v>
      </c>
      <c r="N990" s="194">
        <f t="shared" si="15"/>
        <v>1.3</v>
      </c>
      <c r="O990" s="198">
        <f>_1_54128456121462410464578910174567[[#This Row],[TOTAL]]*_1_54128456121462410464578910174567[[#This Row],[MARGIN]]</f>
        <v>0</v>
      </c>
      <c r="P990" s="198"/>
      <c r="R990" s="41"/>
    </row>
    <row r="991" spans="4:18">
      <c r="D991" s="188"/>
      <c r="E991" s="42"/>
      <c r="F991" s="168" t="s">
        <v>6202</v>
      </c>
      <c r="G991" s="193">
        <f>IF(_1_54128456121462410464578910174567[[#This Row],[Type]]&gt;0,VLOOKUP(_1_54128456121462410464578910174567[[#This Row],[Type]],Main[[#All],[TYPE]:[UNIT]],'Unit Price'!C$1,FALSE),0)</f>
        <v>0</v>
      </c>
      <c r="H991" s="197">
        <f>IF(_1_54128456121462410464578910174567[[#This Row],[Type]]&gt;0,VLOOKUP(_1_54128456121462410464578910174567[[#This Row],[Type]],Main[[#All],[TYPE]:[UNIT]],'Unit Price'!D$1,FALSE),0)</f>
        <v>0</v>
      </c>
      <c r="I991" s="194">
        <f>IF(_1_54128456121462410464578910174567[[#This Row],[Type]]&gt;0,VLOOKUP(_1_54128456121462410464578910174567[[#This Row],[Type]],Main[[#All],[TYPE]:[UNIT]],'Unit Price'!G$1,FALSE),0)</f>
        <v>0</v>
      </c>
      <c r="J991" s="194">
        <f>IF(_1_54128456121462410464578910174567[[#This Row],[Type]]&gt;0,VLOOKUP(_1_54128456121462410464578910174567[[#This Row],[Type]],Main[[#All],[TYPE]:[UNIT]],'Unit Price'!H$1,FALSE),0)</f>
        <v>0</v>
      </c>
      <c r="K991" s="194">
        <f>IF(_1_54128456121462410464578910174567[[#This Row],[Discount selection]]&gt;0,VLOOKUP(_1_54128456121462410464578910174567[[#This Row],[Discount selection]],'Discount Structure'!$A$2:$B$30,2,"false"),0)</f>
        <v>1</v>
      </c>
      <c r="L991" s="194">
        <f>_1_54128456121462410464578910174567[[#This Row],[LIST $]]*_1_54128456121462410464578910174567[[#This Row],[DISCOUNT]]*_1_54128456121462410464578910174567[[#This Row],[DISCOUNT 2]]</f>
        <v>0</v>
      </c>
      <c r="M991" s="194">
        <f>IF(OR(_1_54128456121462410464578910174567[[#This Row],[UNIT]]&gt;0,_1_54128456121462410464578910174567[[#This Row],[UNIT]]&lt;0),_1_54128456121462410464578910174567[[#This Row],[UNIT]]*_1_54128456121462410464578910174567[[#This Row],[COST]],0)</f>
        <v>0</v>
      </c>
      <c r="N991" s="194">
        <f t="shared" si="15"/>
        <v>1.3</v>
      </c>
      <c r="O991" s="198">
        <f>_1_54128456121462410464578910174567[[#This Row],[TOTAL]]*_1_54128456121462410464578910174567[[#This Row],[MARGIN]]</f>
        <v>0</v>
      </c>
      <c r="P991" s="198"/>
      <c r="R991" s="41"/>
    </row>
    <row r="992" spans="4:18">
      <c r="D992" s="188"/>
      <c r="E992" s="42"/>
      <c r="F992" s="168" t="s">
        <v>6202</v>
      </c>
      <c r="G992" s="193">
        <f>IF(_1_54128456121462410464578910174567[[#This Row],[Type]]&gt;0,VLOOKUP(_1_54128456121462410464578910174567[[#This Row],[Type]],Main[[#All],[TYPE]:[UNIT]],'Unit Price'!C$1,FALSE),0)</f>
        <v>0</v>
      </c>
      <c r="H992" s="197">
        <f>IF(_1_54128456121462410464578910174567[[#This Row],[Type]]&gt;0,VLOOKUP(_1_54128456121462410464578910174567[[#This Row],[Type]],Main[[#All],[TYPE]:[UNIT]],'Unit Price'!D$1,FALSE),0)</f>
        <v>0</v>
      </c>
      <c r="I992" s="194">
        <f>IF(_1_54128456121462410464578910174567[[#This Row],[Type]]&gt;0,VLOOKUP(_1_54128456121462410464578910174567[[#This Row],[Type]],Main[[#All],[TYPE]:[UNIT]],'Unit Price'!G$1,FALSE),0)</f>
        <v>0</v>
      </c>
      <c r="J992" s="194">
        <f>IF(_1_54128456121462410464578910174567[[#This Row],[Type]]&gt;0,VLOOKUP(_1_54128456121462410464578910174567[[#This Row],[Type]],Main[[#All],[TYPE]:[UNIT]],'Unit Price'!H$1,FALSE),0)</f>
        <v>0</v>
      </c>
      <c r="K992" s="194">
        <f>IF(_1_54128456121462410464578910174567[[#This Row],[Discount selection]]&gt;0,VLOOKUP(_1_54128456121462410464578910174567[[#This Row],[Discount selection]],'Discount Structure'!$A$2:$B$30,2,"false"),0)</f>
        <v>1</v>
      </c>
      <c r="L992" s="194">
        <f>_1_54128456121462410464578910174567[[#This Row],[LIST $]]*_1_54128456121462410464578910174567[[#This Row],[DISCOUNT]]*_1_54128456121462410464578910174567[[#This Row],[DISCOUNT 2]]</f>
        <v>0</v>
      </c>
      <c r="M992" s="194">
        <f>IF(OR(_1_54128456121462410464578910174567[[#This Row],[UNIT]]&gt;0,_1_54128456121462410464578910174567[[#This Row],[UNIT]]&lt;0),_1_54128456121462410464578910174567[[#This Row],[UNIT]]*_1_54128456121462410464578910174567[[#This Row],[COST]],0)</f>
        <v>0</v>
      </c>
      <c r="N992" s="194">
        <f t="shared" si="15"/>
        <v>1.3</v>
      </c>
      <c r="O992" s="198">
        <f>_1_54128456121462410464578910174567[[#This Row],[TOTAL]]*_1_54128456121462410464578910174567[[#This Row],[MARGIN]]</f>
        <v>0</v>
      </c>
      <c r="P992" s="198"/>
      <c r="R992" s="41"/>
    </row>
    <row r="993" spans="4:18">
      <c r="D993" s="188"/>
      <c r="E993" s="42"/>
      <c r="F993" s="168" t="s">
        <v>6202</v>
      </c>
      <c r="G993" s="193">
        <f>IF(_1_54128456121462410464578910174567[[#This Row],[Type]]&gt;0,VLOOKUP(_1_54128456121462410464578910174567[[#This Row],[Type]],Main[[#All],[TYPE]:[UNIT]],'Unit Price'!C$1,FALSE),0)</f>
        <v>0</v>
      </c>
      <c r="H993" s="197">
        <f>IF(_1_54128456121462410464578910174567[[#This Row],[Type]]&gt;0,VLOOKUP(_1_54128456121462410464578910174567[[#This Row],[Type]],Main[[#All],[TYPE]:[UNIT]],'Unit Price'!D$1,FALSE),0)</f>
        <v>0</v>
      </c>
      <c r="I993" s="194">
        <f>IF(_1_54128456121462410464578910174567[[#This Row],[Type]]&gt;0,VLOOKUP(_1_54128456121462410464578910174567[[#This Row],[Type]],Main[[#All],[TYPE]:[UNIT]],'Unit Price'!G$1,FALSE),0)</f>
        <v>0</v>
      </c>
      <c r="J993" s="194">
        <f>IF(_1_54128456121462410464578910174567[[#This Row],[Type]]&gt;0,VLOOKUP(_1_54128456121462410464578910174567[[#This Row],[Type]],Main[[#All],[TYPE]:[UNIT]],'Unit Price'!H$1,FALSE),0)</f>
        <v>0</v>
      </c>
      <c r="K993" s="194">
        <f>IF(_1_54128456121462410464578910174567[[#This Row],[Discount selection]]&gt;0,VLOOKUP(_1_54128456121462410464578910174567[[#This Row],[Discount selection]],'Discount Structure'!$A$2:$B$30,2,"false"),0)</f>
        <v>1</v>
      </c>
      <c r="L993" s="194">
        <f>_1_54128456121462410464578910174567[[#This Row],[LIST $]]*_1_54128456121462410464578910174567[[#This Row],[DISCOUNT]]*_1_54128456121462410464578910174567[[#This Row],[DISCOUNT 2]]</f>
        <v>0</v>
      </c>
      <c r="M993" s="194">
        <f>IF(OR(_1_54128456121462410464578910174567[[#This Row],[UNIT]]&gt;0,_1_54128456121462410464578910174567[[#This Row],[UNIT]]&lt;0),_1_54128456121462410464578910174567[[#This Row],[UNIT]]*_1_54128456121462410464578910174567[[#This Row],[COST]],0)</f>
        <v>0</v>
      </c>
      <c r="N993" s="194">
        <f t="shared" si="15"/>
        <v>1.3</v>
      </c>
      <c r="O993" s="198">
        <f>_1_54128456121462410464578910174567[[#This Row],[TOTAL]]*_1_54128456121462410464578910174567[[#This Row],[MARGIN]]</f>
        <v>0</v>
      </c>
      <c r="P993" s="198"/>
      <c r="R993" s="41"/>
    </row>
    <row r="994" spans="4:18">
      <c r="D994" s="188"/>
      <c r="E994" s="42"/>
      <c r="F994" s="168" t="s">
        <v>6202</v>
      </c>
      <c r="G994" s="193">
        <f>IF(_1_54128456121462410464578910174567[[#This Row],[Type]]&gt;0,VLOOKUP(_1_54128456121462410464578910174567[[#This Row],[Type]],Main[[#All],[TYPE]:[UNIT]],'Unit Price'!C$1,FALSE),0)</f>
        <v>0</v>
      </c>
      <c r="H994" s="197">
        <f>IF(_1_54128456121462410464578910174567[[#This Row],[Type]]&gt;0,VLOOKUP(_1_54128456121462410464578910174567[[#This Row],[Type]],Main[[#All],[TYPE]:[UNIT]],'Unit Price'!D$1,FALSE),0)</f>
        <v>0</v>
      </c>
      <c r="I994" s="194">
        <f>IF(_1_54128456121462410464578910174567[[#This Row],[Type]]&gt;0,VLOOKUP(_1_54128456121462410464578910174567[[#This Row],[Type]],Main[[#All],[TYPE]:[UNIT]],'Unit Price'!G$1,FALSE),0)</f>
        <v>0</v>
      </c>
      <c r="J994" s="194">
        <f>IF(_1_54128456121462410464578910174567[[#This Row],[Type]]&gt;0,VLOOKUP(_1_54128456121462410464578910174567[[#This Row],[Type]],Main[[#All],[TYPE]:[UNIT]],'Unit Price'!H$1,FALSE),0)</f>
        <v>0</v>
      </c>
      <c r="K994" s="194">
        <f>IF(_1_54128456121462410464578910174567[[#This Row],[Discount selection]]&gt;0,VLOOKUP(_1_54128456121462410464578910174567[[#This Row],[Discount selection]],'Discount Structure'!$A$2:$B$30,2,"false"),0)</f>
        <v>1</v>
      </c>
      <c r="L994" s="194">
        <f>_1_54128456121462410464578910174567[[#This Row],[LIST $]]*_1_54128456121462410464578910174567[[#This Row],[DISCOUNT]]*_1_54128456121462410464578910174567[[#This Row],[DISCOUNT 2]]</f>
        <v>0</v>
      </c>
      <c r="M994" s="194">
        <f>IF(OR(_1_54128456121462410464578910174567[[#This Row],[UNIT]]&gt;0,_1_54128456121462410464578910174567[[#This Row],[UNIT]]&lt;0),_1_54128456121462410464578910174567[[#This Row],[UNIT]]*_1_54128456121462410464578910174567[[#This Row],[COST]],0)</f>
        <v>0</v>
      </c>
      <c r="N994" s="194">
        <f t="shared" si="15"/>
        <v>1.3</v>
      </c>
      <c r="O994" s="198">
        <f>_1_54128456121462410464578910174567[[#This Row],[TOTAL]]*_1_54128456121462410464578910174567[[#This Row],[MARGIN]]</f>
        <v>0</v>
      </c>
      <c r="P994" s="198"/>
      <c r="R994" s="41"/>
    </row>
    <row r="995" spans="4:18">
      <c r="D995" s="188"/>
      <c r="E995" s="42"/>
      <c r="F995" s="168" t="s">
        <v>6202</v>
      </c>
      <c r="G995" s="193">
        <f>IF(_1_54128456121462410464578910174567[[#This Row],[Type]]&gt;0,VLOOKUP(_1_54128456121462410464578910174567[[#This Row],[Type]],Main[[#All],[TYPE]:[UNIT]],'Unit Price'!C$1,FALSE),0)</f>
        <v>0</v>
      </c>
      <c r="H995" s="197">
        <f>IF(_1_54128456121462410464578910174567[[#This Row],[Type]]&gt;0,VLOOKUP(_1_54128456121462410464578910174567[[#This Row],[Type]],Main[[#All],[TYPE]:[UNIT]],'Unit Price'!D$1,FALSE),0)</f>
        <v>0</v>
      </c>
      <c r="I995" s="194">
        <f>IF(_1_54128456121462410464578910174567[[#This Row],[Type]]&gt;0,VLOOKUP(_1_54128456121462410464578910174567[[#This Row],[Type]],Main[[#All],[TYPE]:[UNIT]],'Unit Price'!G$1,FALSE),0)</f>
        <v>0</v>
      </c>
      <c r="J995" s="194">
        <f>IF(_1_54128456121462410464578910174567[[#This Row],[Type]]&gt;0,VLOOKUP(_1_54128456121462410464578910174567[[#This Row],[Type]],Main[[#All],[TYPE]:[UNIT]],'Unit Price'!H$1,FALSE),0)</f>
        <v>0</v>
      </c>
      <c r="K995" s="194">
        <f>IF(_1_54128456121462410464578910174567[[#This Row],[Discount selection]]&gt;0,VLOOKUP(_1_54128456121462410464578910174567[[#This Row],[Discount selection]],'Discount Structure'!$A$2:$B$30,2,"false"),0)</f>
        <v>1</v>
      </c>
      <c r="L995" s="194">
        <f>_1_54128456121462410464578910174567[[#This Row],[LIST $]]*_1_54128456121462410464578910174567[[#This Row],[DISCOUNT]]*_1_54128456121462410464578910174567[[#This Row],[DISCOUNT 2]]</f>
        <v>0</v>
      </c>
      <c r="M995" s="194">
        <f>IF(OR(_1_54128456121462410464578910174567[[#This Row],[UNIT]]&gt;0,_1_54128456121462410464578910174567[[#This Row],[UNIT]]&lt;0),_1_54128456121462410464578910174567[[#This Row],[UNIT]]*_1_54128456121462410464578910174567[[#This Row],[COST]],0)</f>
        <v>0</v>
      </c>
      <c r="N995" s="194">
        <f t="shared" si="15"/>
        <v>1.3</v>
      </c>
      <c r="O995" s="198">
        <f>_1_54128456121462410464578910174567[[#This Row],[TOTAL]]*_1_54128456121462410464578910174567[[#This Row],[MARGIN]]</f>
        <v>0</v>
      </c>
      <c r="P995" s="198"/>
      <c r="R995" s="41"/>
    </row>
    <row r="996" spans="4:18">
      <c r="D996" s="188"/>
      <c r="E996" s="42"/>
      <c r="F996" s="168" t="s">
        <v>6202</v>
      </c>
      <c r="G996" s="193">
        <f>IF(_1_54128456121462410464578910174567[[#This Row],[Type]]&gt;0,VLOOKUP(_1_54128456121462410464578910174567[[#This Row],[Type]],Main[[#All],[TYPE]:[UNIT]],'Unit Price'!C$1,FALSE),0)</f>
        <v>0</v>
      </c>
      <c r="H996" s="197">
        <f>IF(_1_54128456121462410464578910174567[[#This Row],[Type]]&gt;0,VLOOKUP(_1_54128456121462410464578910174567[[#This Row],[Type]],Main[[#All],[TYPE]:[UNIT]],'Unit Price'!D$1,FALSE),0)</f>
        <v>0</v>
      </c>
      <c r="I996" s="194">
        <f>IF(_1_54128456121462410464578910174567[[#This Row],[Type]]&gt;0,VLOOKUP(_1_54128456121462410464578910174567[[#This Row],[Type]],Main[[#All],[TYPE]:[UNIT]],'Unit Price'!G$1,FALSE),0)</f>
        <v>0</v>
      </c>
      <c r="J996" s="194">
        <f>IF(_1_54128456121462410464578910174567[[#This Row],[Type]]&gt;0,VLOOKUP(_1_54128456121462410464578910174567[[#This Row],[Type]],Main[[#All],[TYPE]:[UNIT]],'Unit Price'!H$1,FALSE),0)</f>
        <v>0</v>
      </c>
      <c r="K996" s="194">
        <f>IF(_1_54128456121462410464578910174567[[#This Row],[Discount selection]]&gt;0,VLOOKUP(_1_54128456121462410464578910174567[[#This Row],[Discount selection]],'Discount Structure'!$A$2:$B$30,2,"false"),0)</f>
        <v>1</v>
      </c>
      <c r="L996" s="194">
        <f>_1_54128456121462410464578910174567[[#This Row],[LIST $]]*_1_54128456121462410464578910174567[[#This Row],[DISCOUNT]]*_1_54128456121462410464578910174567[[#This Row],[DISCOUNT 2]]</f>
        <v>0</v>
      </c>
      <c r="M996" s="194">
        <f>IF(OR(_1_54128456121462410464578910174567[[#This Row],[UNIT]]&gt;0,_1_54128456121462410464578910174567[[#This Row],[UNIT]]&lt;0),_1_54128456121462410464578910174567[[#This Row],[UNIT]]*_1_54128456121462410464578910174567[[#This Row],[COST]],0)</f>
        <v>0</v>
      </c>
      <c r="N996" s="194">
        <f t="shared" si="15"/>
        <v>1.3</v>
      </c>
      <c r="O996" s="198">
        <f>_1_54128456121462410464578910174567[[#This Row],[TOTAL]]*_1_54128456121462410464578910174567[[#This Row],[MARGIN]]</f>
        <v>0</v>
      </c>
      <c r="P996" s="198"/>
      <c r="R996" s="41"/>
    </row>
    <row r="997" spans="4:18">
      <c r="D997" s="188"/>
      <c r="E997" s="42"/>
      <c r="F997" s="168" t="s">
        <v>6202</v>
      </c>
      <c r="G997" s="193">
        <f>IF(_1_54128456121462410464578910174567[[#This Row],[Type]]&gt;0,VLOOKUP(_1_54128456121462410464578910174567[[#This Row],[Type]],Main[[#All],[TYPE]:[UNIT]],'Unit Price'!C$1,FALSE),0)</f>
        <v>0</v>
      </c>
      <c r="H997" s="197">
        <f>IF(_1_54128456121462410464578910174567[[#This Row],[Type]]&gt;0,VLOOKUP(_1_54128456121462410464578910174567[[#This Row],[Type]],Main[[#All],[TYPE]:[UNIT]],'Unit Price'!D$1,FALSE),0)</f>
        <v>0</v>
      </c>
      <c r="I997" s="194">
        <f>IF(_1_54128456121462410464578910174567[[#This Row],[Type]]&gt;0,VLOOKUP(_1_54128456121462410464578910174567[[#This Row],[Type]],Main[[#All],[TYPE]:[UNIT]],'Unit Price'!G$1,FALSE),0)</f>
        <v>0</v>
      </c>
      <c r="J997" s="194">
        <f>IF(_1_54128456121462410464578910174567[[#This Row],[Type]]&gt;0,VLOOKUP(_1_54128456121462410464578910174567[[#This Row],[Type]],Main[[#All],[TYPE]:[UNIT]],'Unit Price'!H$1,FALSE),0)</f>
        <v>0</v>
      </c>
      <c r="K997" s="194">
        <f>IF(_1_54128456121462410464578910174567[[#This Row],[Discount selection]]&gt;0,VLOOKUP(_1_54128456121462410464578910174567[[#This Row],[Discount selection]],'Discount Structure'!$A$2:$B$30,2,"false"),0)</f>
        <v>1</v>
      </c>
      <c r="L997" s="194">
        <f>_1_54128456121462410464578910174567[[#This Row],[LIST $]]*_1_54128456121462410464578910174567[[#This Row],[DISCOUNT]]*_1_54128456121462410464578910174567[[#This Row],[DISCOUNT 2]]</f>
        <v>0</v>
      </c>
      <c r="M997" s="194">
        <f>IF(OR(_1_54128456121462410464578910174567[[#This Row],[UNIT]]&gt;0,_1_54128456121462410464578910174567[[#This Row],[UNIT]]&lt;0),_1_54128456121462410464578910174567[[#This Row],[UNIT]]*_1_54128456121462410464578910174567[[#This Row],[COST]],0)</f>
        <v>0</v>
      </c>
      <c r="N997" s="194">
        <f t="shared" si="15"/>
        <v>1.3</v>
      </c>
      <c r="O997" s="198">
        <f>_1_54128456121462410464578910174567[[#This Row],[TOTAL]]*_1_54128456121462410464578910174567[[#This Row],[MARGIN]]</f>
        <v>0</v>
      </c>
      <c r="P997" s="198"/>
      <c r="R997" s="41"/>
    </row>
    <row r="998" spans="4:18">
      <c r="D998" s="188"/>
      <c r="E998" s="42"/>
      <c r="F998" s="168" t="s">
        <v>6202</v>
      </c>
      <c r="G998" s="193">
        <f>IF(_1_54128456121462410464578910174567[[#This Row],[Type]]&gt;0,VLOOKUP(_1_54128456121462410464578910174567[[#This Row],[Type]],Main[[#All],[TYPE]:[UNIT]],'Unit Price'!C$1,FALSE),0)</f>
        <v>0</v>
      </c>
      <c r="H998" s="197">
        <f>IF(_1_54128456121462410464578910174567[[#This Row],[Type]]&gt;0,VLOOKUP(_1_54128456121462410464578910174567[[#This Row],[Type]],Main[[#All],[TYPE]:[UNIT]],'Unit Price'!D$1,FALSE),0)</f>
        <v>0</v>
      </c>
      <c r="I998" s="194">
        <f>IF(_1_54128456121462410464578910174567[[#This Row],[Type]]&gt;0,VLOOKUP(_1_54128456121462410464578910174567[[#This Row],[Type]],Main[[#All],[TYPE]:[UNIT]],'Unit Price'!G$1,FALSE),0)</f>
        <v>0</v>
      </c>
      <c r="J998" s="194">
        <f>IF(_1_54128456121462410464578910174567[[#This Row],[Type]]&gt;0,VLOOKUP(_1_54128456121462410464578910174567[[#This Row],[Type]],Main[[#All],[TYPE]:[UNIT]],'Unit Price'!H$1,FALSE),0)</f>
        <v>0</v>
      </c>
      <c r="K998" s="194">
        <f>IF(_1_54128456121462410464578910174567[[#This Row],[Discount selection]]&gt;0,VLOOKUP(_1_54128456121462410464578910174567[[#This Row],[Discount selection]],'Discount Structure'!$A$2:$B$30,2,"false"),0)</f>
        <v>1</v>
      </c>
      <c r="L998" s="194">
        <f>_1_54128456121462410464578910174567[[#This Row],[LIST $]]*_1_54128456121462410464578910174567[[#This Row],[DISCOUNT]]*_1_54128456121462410464578910174567[[#This Row],[DISCOUNT 2]]</f>
        <v>0</v>
      </c>
      <c r="M998" s="194">
        <f>IF(OR(_1_54128456121462410464578910174567[[#This Row],[UNIT]]&gt;0,_1_54128456121462410464578910174567[[#This Row],[UNIT]]&lt;0),_1_54128456121462410464578910174567[[#This Row],[UNIT]]*_1_54128456121462410464578910174567[[#This Row],[COST]],0)</f>
        <v>0</v>
      </c>
      <c r="N998" s="194">
        <f t="shared" si="15"/>
        <v>1.3</v>
      </c>
      <c r="O998" s="198">
        <f>_1_54128456121462410464578910174567[[#This Row],[TOTAL]]*_1_54128456121462410464578910174567[[#This Row],[MARGIN]]</f>
        <v>0</v>
      </c>
      <c r="P998" s="198"/>
      <c r="R998" s="41"/>
    </row>
    <row r="999" spans="4:18">
      <c r="D999" s="188"/>
      <c r="E999" s="42"/>
      <c r="F999" s="168" t="s">
        <v>6202</v>
      </c>
      <c r="G999" s="193">
        <f>IF(_1_54128456121462410464578910174567[[#This Row],[Type]]&gt;0,VLOOKUP(_1_54128456121462410464578910174567[[#This Row],[Type]],Main[[#All],[TYPE]:[UNIT]],'Unit Price'!C$1,FALSE),0)</f>
        <v>0</v>
      </c>
      <c r="H999" s="197">
        <f>IF(_1_54128456121462410464578910174567[[#This Row],[Type]]&gt;0,VLOOKUP(_1_54128456121462410464578910174567[[#This Row],[Type]],Main[[#All],[TYPE]:[UNIT]],'Unit Price'!D$1,FALSE),0)</f>
        <v>0</v>
      </c>
      <c r="I999" s="194">
        <f>IF(_1_54128456121462410464578910174567[[#This Row],[Type]]&gt;0,VLOOKUP(_1_54128456121462410464578910174567[[#This Row],[Type]],Main[[#All],[TYPE]:[UNIT]],'Unit Price'!G$1,FALSE),0)</f>
        <v>0</v>
      </c>
      <c r="J999" s="194">
        <f>IF(_1_54128456121462410464578910174567[[#This Row],[Type]]&gt;0,VLOOKUP(_1_54128456121462410464578910174567[[#This Row],[Type]],Main[[#All],[TYPE]:[UNIT]],'Unit Price'!H$1,FALSE),0)</f>
        <v>0</v>
      </c>
      <c r="K999" s="194">
        <f>IF(_1_54128456121462410464578910174567[[#This Row],[Discount selection]]&gt;0,VLOOKUP(_1_54128456121462410464578910174567[[#This Row],[Discount selection]],'Discount Structure'!$A$2:$B$30,2,"false"),0)</f>
        <v>1</v>
      </c>
      <c r="L999" s="194">
        <f>_1_54128456121462410464578910174567[[#This Row],[LIST $]]*_1_54128456121462410464578910174567[[#This Row],[DISCOUNT]]*_1_54128456121462410464578910174567[[#This Row],[DISCOUNT 2]]</f>
        <v>0</v>
      </c>
      <c r="M999" s="194">
        <f>IF(OR(_1_54128456121462410464578910174567[[#This Row],[UNIT]]&gt;0,_1_54128456121462410464578910174567[[#This Row],[UNIT]]&lt;0),_1_54128456121462410464578910174567[[#This Row],[UNIT]]*_1_54128456121462410464578910174567[[#This Row],[COST]],0)</f>
        <v>0</v>
      </c>
      <c r="N999" s="194">
        <f t="shared" si="15"/>
        <v>1.3</v>
      </c>
      <c r="O999" s="198">
        <f>_1_54128456121462410464578910174567[[#This Row],[TOTAL]]*_1_54128456121462410464578910174567[[#This Row],[MARGIN]]</f>
        <v>0</v>
      </c>
      <c r="P999" s="198"/>
      <c r="R999" s="41"/>
    </row>
    <row r="1000" spans="4:18">
      <c r="D1000" s="188"/>
      <c r="E1000" s="42"/>
      <c r="F1000" s="168" t="s">
        <v>6202</v>
      </c>
      <c r="G1000" s="193">
        <f>IF(_1_54128456121462410464578910174567[[#This Row],[Type]]&gt;0,VLOOKUP(_1_54128456121462410464578910174567[[#This Row],[Type]],Main[[#All],[TYPE]:[UNIT]],'Unit Price'!C$1,FALSE),0)</f>
        <v>0</v>
      </c>
      <c r="H1000" s="197">
        <f>IF(_1_54128456121462410464578910174567[[#This Row],[Type]]&gt;0,VLOOKUP(_1_54128456121462410464578910174567[[#This Row],[Type]],Main[[#All],[TYPE]:[UNIT]],'Unit Price'!D$1,FALSE),0)</f>
        <v>0</v>
      </c>
      <c r="I1000" s="194">
        <f>IF(_1_54128456121462410464578910174567[[#This Row],[Type]]&gt;0,VLOOKUP(_1_54128456121462410464578910174567[[#This Row],[Type]],Main[[#All],[TYPE]:[UNIT]],'Unit Price'!G$1,FALSE),0)</f>
        <v>0</v>
      </c>
      <c r="J1000" s="194">
        <f>IF(_1_54128456121462410464578910174567[[#This Row],[Type]]&gt;0,VLOOKUP(_1_54128456121462410464578910174567[[#This Row],[Type]],Main[[#All],[TYPE]:[UNIT]],'Unit Price'!H$1,FALSE),0)</f>
        <v>0</v>
      </c>
      <c r="K1000" s="194">
        <f>IF(_1_54128456121462410464578910174567[[#This Row],[Discount selection]]&gt;0,VLOOKUP(_1_54128456121462410464578910174567[[#This Row],[Discount selection]],'Discount Structure'!$A$2:$B$30,2,"false"),0)</f>
        <v>1</v>
      </c>
      <c r="L1000" s="194">
        <f>_1_54128456121462410464578910174567[[#This Row],[LIST $]]*_1_54128456121462410464578910174567[[#This Row],[DISCOUNT]]*_1_54128456121462410464578910174567[[#This Row],[DISCOUNT 2]]</f>
        <v>0</v>
      </c>
      <c r="M1000" s="194">
        <f>IF(OR(_1_54128456121462410464578910174567[[#This Row],[UNIT]]&gt;0,_1_54128456121462410464578910174567[[#This Row],[UNIT]]&lt;0),_1_54128456121462410464578910174567[[#This Row],[UNIT]]*_1_54128456121462410464578910174567[[#This Row],[COST]],0)</f>
        <v>0</v>
      </c>
      <c r="N1000" s="194">
        <f>$N$7</f>
        <v>1.3</v>
      </c>
      <c r="O1000" s="198">
        <f>_1_54128456121462410464578910174567[[#This Row],[TOTAL]]*_1_54128456121462410464578910174567[[#This Row],[MARGIN]]</f>
        <v>0</v>
      </c>
      <c r="P1000" s="198"/>
      <c r="R1000" s="41"/>
    </row>
    <row r="1001" spans="4:18">
      <c r="D1001" s="188"/>
      <c r="E1001" s="42"/>
      <c r="F1001" s="168" t="s">
        <v>6202</v>
      </c>
      <c r="G1001" s="193">
        <f>IF(_1_54128456121462410464578910174567[[#This Row],[Type]]&gt;0,VLOOKUP(_1_54128456121462410464578910174567[[#This Row],[Type]],Main[[#All],[TYPE]:[UNIT]],'Unit Price'!C$1,FALSE),0)</f>
        <v>0</v>
      </c>
      <c r="H1001" s="197">
        <f>IF(_1_54128456121462410464578910174567[[#This Row],[Type]]&gt;0,VLOOKUP(_1_54128456121462410464578910174567[[#This Row],[Type]],Main[[#All],[TYPE]:[UNIT]],'Unit Price'!D$1,FALSE),0)</f>
        <v>0</v>
      </c>
      <c r="I1001" s="194">
        <f>IF(_1_54128456121462410464578910174567[[#This Row],[Type]]&gt;0,VLOOKUP(_1_54128456121462410464578910174567[[#This Row],[Type]],Main[[#All],[TYPE]:[UNIT]],'Unit Price'!G$1,FALSE),0)</f>
        <v>0</v>
      </c>
      <c r="J1001" s="194">
        <f>IF(_1_54128456121462410464578910174567[[#This Row],[Type]]&gt;0,VLOOKUP(_1_54128456121462410464578910174567[[#This Row],[Type]],Main[[#All],[TYPE]:[UNIT]],'Unit Price'!H$1,FALSE),0)</f>
        <v>0</v>
      </c>
      <c r="K1001" s="194">
        <f>IF(_1_54128456121462410464578910174567[[#This Row],[Discount selection]]&gt;0,VLOOKUP(_1_54128456121462410464578910174567[[#This Row],[Discount selection]],'Discount Structure'!$A$2:$B$30,2,"false"),0)</f>
        <v>1</v>
      </c>
      <c r="L1001" s="194">
        <f>_1_54128456121462410464578910174567[[#This Row],[LIST $]]*_1_54128456121462410464578910174567[[#This Row],[DISCOUNT]]*_1_54128456121462410464578910174567[[#This Row],[DISCOUNT 2]]</f>
        <v>0</v>
      </c>
      <c r="M1001" s="194">
        <f>IF(OR(_1_54128456121462410464578910174567[[#This Row],[UNIT]]&gt;0,_1_54128456121462410464578910174567[[#This Row],[UNIT]]&lt;0),_1_54128456121462410464578910174567[[#This Row],[UNIT]]*_1_54128456121462410464578910174567[[#This Row],[COST]],0)</f>
        <v>0</v>
      </c>
      <c r="N1001" s="194">
        <f>$N$7</f>
        <v>1.3</v>
      </c>
      <c r="O1001" s="198">
        <f>_1_54128456121462410464578910174567[[#This Row],[TOTAL]]*_1_54128456121462410464578910174567[[#This Row],[MARGIN]]</f>
        <v>0</v>
      </c>
      <c r="P1001" s="198"/>
      <c r="R1001" s="41"/>
    </row>
  </sheetData>
  <sheetProtection formatCells="0" formatColumns="0" formatRows="0" insertColumns="0" insertRows="0" deleteColumns="0" deleteRows="0"/>
  <conditionalFormatting sqref="E1:E1048576">
    <cfRule type="colorScale" priority="6">
      <colorScale>
        <cfvo type="min"/>
        <cfvo type="percentile" val="50"/>
        <cfvo type="max"/>
        <color rgb="FFFF7128"/>
        <color rgb="FFFFEB84"/>
        <color rgb="FFFFEF9C"/>
      </colorScale>
    </cfRule>
  </conditionalFormatting>
  <conditionalFormatting sqref="K1:K1048576">
    <cfRule type="cellIs" dxfId="15" priority="7" operator="equal">
      <formula>$K$7</formula>
    </cfRule>
  </conditionalFormatting>
  <conditionalFormatting sqref="N1:N1048576">
    <cfRule type="cellIs" dxfId="14" priority="8" operator="equal">
      <formula>$N$7</formula>
    </cfRule>
  </conditionalFormatting>
  <conditionalFormatting sqref="H1:H1048576">
    <cfRule type="containsText" dxfId="13" priority="1" operator="containsText" text="ABB">
      <formula>NOT(ISERROR(SEARCH("ABB",H1)))</formula>
    </cfRule>
    <cfRule type="containsText" dxfId="12" priority="2" operator="containsText" text="LS">
      <formula>NOT(ISERROR(SEARCH("LS",H1)))</formula>
    </cfRule>
    <cfRule type="containsText" dxfId="11" priority="3" operator="containsText" text="SCHNEIDER">
      <formula>NOT(ISERROR(SEARCH("SCHNEIDER",H1)))</formula>
    </cfRule>
    <cfRule type="containsText" dxfId="10" priority="4" operator="containsText" text="CHINT">
      <formula>NOT(ISERROR(SEARCH("CHINT",H1)))</formula>
    </cfRule>
    <cfRule type="containsText" dxfId="9" priority="5" operator="containsText" text="0">
      <formula>NOT(ISERROR(SEARCH("0",H1)))</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CACF1AFF-6BFE-49D7-9538-D524E0F1D588}">
          <x14:formula1>
            <xm:f>'Discount Structure'!$A$2:$A$30</xm:f>
          </x14:formula1>
          <xm:sqref>F9:F1001</xm:sqref>
        </x14:dataValidation>
        <x14:dataValidation type="list" allowBlank="1" showInputMessage="1" showErrorMessage="1" xr:uid="{88C9424F-42CC-41F2-8CE8-DA6738E268B2}">
          <x14:formula1>
            <xm:f>'Unit Price'!$B:$B</xm:f>
          </x14:formula1>
          <xm:sqref>D79:D1001 D9:D77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E4169-2326-4A0D-B968-F51F5876F2B8}">
  <sheetPr codeName="Sheet224"/>
  <dimension ref="A1:R1001"/>
  <sheetViews>
    <sheetView zoomScale="85" zoomScaleNormal="85" workbookViewId="0">
      <selection activeCell="E25" sqref="E25"/>
    </sheetView>
  </sheetViews>
  <sheetFormatPr defaultColWidth="21.28515625" defaultRowHeight="15"/>
  <cols>
    <col min="1" max="1" width="18.85546875" style="131" bestFit="1" customWidth="1"/>
    <col min="2" max="2" width="73.42578125" style="131" bestFit="1" customWidth="1"/>
    <col min="3" max="3" width="11.85546875" style="131" customWidth="1"/>
    <col min="4" max="4" width="33.7109375" style="40" customWidth="1"/>
    <col min="5" max="5" width="10.7109375" style="41" bestFit="1" customWidth="1"/>
    <col min="6" max="6" width="19.85546875" style="42" bestFit="1" customWidth="1"/>
    <col min="7" max="7" width="44.140625" style="192" bestFit="1" customWidth="1"/>
    <col min="8" max="8" width="11.85546875" style="197" bestFit="1" customWidth="1"/>
    <col min="9" max="9" width="8.7109375" style="194" bestFit="1" customWidth="1"/>
    <col min="10" max="10" width="12.7109375" style="194" bestFit="1" customWidth="1"/>
    <col min="11" max="11" width="14.28515625" style="194" bestFit="1" customWidth="1"/>
    <col min="12" max="12" width="10.28515625" style="194" bestFit="1" customWidth="1"/>
    <col min="13" max="13" width="12.85546875" style="194" bestFit="1" customWidth="1"/>
    <col min="14" max="14" width="11" style="194" bestFit="1" customWidth="1"/>
    <col min="15" max="15" width="15.140625" style="194" bestFit="1" customWidth="1"/>
    <col min="16" max="16" width="10.28515625" style="194" bestFit="1" customWidth="1"/>
    <col min="17" max="17" width="21.28515625" style="41"/>
    <col min="18" max="18" width="21.28515625" style="43"/>
    <col min="19" max="16384" width="21.28515625" style="41"/>
  </cols>
  <sheetData>
    <row r="1" spans="1:18" ht="46.5">
      <c r="A1" s="218" t="s">
        <v>5780</v>
      </c>
      <c r="B1" s="218" t="s">
        <v>29</v>
      </c>
      <c r="C1" s="219"/>
      <c r="F1" s="41"/>
      <c r="G1" s="39"/>
      <c r="H1" s="42"/>
      <c r="I1" s="41"/>
      <c r="J1" s="41"/>
      <c r="K1" s="41"/>
      <c r="L1" s="41"/>
      <c r="M1" s="41"/>
      <c r="N1" s="41"/>
      <c r="O1" s="43"/>
      <c r="P1" s="41"/>
      <c r="R1" s="41"/>
    </row>
    <row r="2" spans="1:18" ht="46.5">
      <c r="A2" s="161" t="s">
        <v>7839</v>
      </c>
      <c r="B2" s="161" t="s">
        <v>7824</v>
      </c>
      <c r="C2" s="184"/>
      <c r="F2" s="41"/>
      <c r="G2" s="39"/>
      <c r="H2" s="42"/>
      <c r="I2" s="41"/>
      <c r="J2" s="41"/>
      <c r="K2" s="41"/>
      <c r="L2" s="41"/>
      <c r="M2" s="41"/>
      <c r="N2" s="41"/>
      <c r="O2" s="43"/>
      <c r="P2" s="41"/>
      <c r="R2" s="41"/>
    </row>
    <row r="3" spans="1:18">
      <c r="A3" s="40"/>
      <c r="B3" s="40"/>
      <c r="C3" s="40"/>
      <c r="D3" s="41"/>
      <c r="F3" s="41"/>
      <c r="G3" s="39"/>
      <c r="H3" s="42"/>
      <c r="I3" s="41"/>
      <c r="J3" s="41"/>
      <c r="K3" s="41"/>
      <c r="L3" s="41"/>
      <c r="M3" s="41"/>
      <c r="N3" s="41"/>
      <c r="O3" s="43"/>
      <c r="P3" s="41"/>
      <c r="R3" s="41"/>
    </row>
    <row r="4" spans="1:18">
      <c r="A4" s="40"/>
      <c r="B4" s="40"/>
      <c r="C4" s="40"/>
      <c r="D4" s="41"/>
      <c r="F4" s="41"/>
      <c r="G4" s="39"/>
      <c r="H4" s="42"/>
      <c r="I4" s="41"/>
      <c r="J4" s="41"/>
      <c r="K4" s="41"/>
      <c r="L4" s="41"/>
      <c r="M4" s="41"/>
      <c r="N4" s="41"/>
      <c r="O4" s="43"/>
      <c r="P4" s="41"/>
      <c r="R4" s="41"/>
    </row>
    <row r="5" spans="1:18">
      <c r="A5" s="40"/>
      <c r="B5" s="40"/>
      <c r="C5" s="40"/>
      <c r="D5" s="41"/>
      <c r="F5" s="41"/>
      <c r="G5" s="39"/>
      <c r="H5" s="42"/>
      <c r="I5" s="41"/>
      <c r="J5" s="41"/>
      <c r="K5" s="41"/>
      <c r="L5" s="41"/>
      <c r="M5" s="41"/>
      <c r="N5" s="41"/>
      <c r="O5" s="43"/>
      <c r="P5" s="41"/>
      <c r="R5" s="41"/>
    </row>
    <row r="6" spans="1:18" ht="15.75">
      <c r="A6" s="40"/>
      <c r="B6" s="40"/>
      <c r="C6" s="40"/>
      <c r="D6" s="41"/>
      <c r="F6" s="41"/>
      <c r="G6" s="39"/>
      <c r="H6" s="42"/>
      <c r="I6" s="41"/>
      <c r="J6" s="41"/>
      <c r="K6" s="41"/>
      <c r="L6" s="41"/>
      <c r="M6" s="206" t="s">
        <v>279</v>
      </c>
      <c r="N6" s="207"/>
      <c r="O6" s="208" t="s">
        <v>280</v>
      </c>
      <c r="P6" s="206" t="s">
        <v>281</v>
      </c>
      <c r="R6" s="41"/>
    </row>
    <row r="7" spans="1:18">
      <c r="F7" s="40"/>
      <c r="G7" s="39"/>
      <c r="H7" s="42"/>
      <c r="I7" s="41"/>
      <c r="J7" s="41"/>
      <c r="K7" s="41">
        <v>1</v>
      </c>
      <c r="L7" s="41"/>
      <c r="M7" s="209">
        <f>SUM(_1_541284561214624104645789101745678[TOTAL])</f>
        <v>1581.9075175999999</v>
      </c>
      <c r="N7" s="41">
        <v>1.3</v>
      </c>
      <c r="O7" s="210">
        <f>SUM(_1_541284561214624104645789101745678[QUOTE])</f>
        <v>2056.4797728799999</v>
      </c>
      <c r="P7" s="209">
        <f>O7-M7</f>
        <v>474.57225528000004</v>
      </c>
      <c r="R7" s="41"/>
    </row>
    <row r="8" spans="1:18">
      <c r="A8" s="220" t="s">
        <v>6194</v>
      </c>
      <c r="B8" s="220" t="s">
        <v>6195</v>
      </c>
      <c r="C8" s="220" t="s">
        <v>6196</v>
      </c>
      <c r="D8" s="40" t="s">
        <v>283</v>
      </c>
      <c r="E8" s="191" t="s">
        <v>284</v>
      </c>
      <c r="F8" s="40" t="s">
        <v>6206</v>
      </c>
      <c r="G8" s="193" t="s">
        <v>278</v>
      </c>
      <c r="H8" s="199" t="s">
        <v>282</v>
      </c>
      <c r="I8" s="200" t="s">
        <v>285</v>
      </c>
      <c r="J8" s="200" t="s">
        <v>286</v>
      </c>
      <c r="K8" s="200" t="s">
        <v>287</v>
      </c>
      <c r="L8" s="201" t="s">
        <v>288</v>
      </c>
      <c r="M8" s="202" t="s">
        <v>289</v>
      </c>
      <c r="N8" s="200" t="s">
        <v>290</v>
      </c>
      <c r="O8" s="203" t="s">
        <v>291</v>
      </c>
      <c r="R8" s="41"/>
    </row>
    <row r="9" spans="1:18">
      <c r="A9" s="357"/>
      <c r="B9" s="354"/>
      <c r="C9" s="168"/>
      <c r="D9" s="311"/>
      <c r="F9" s="168" t="s">
        <v>6202</v>
      </c>
      <c r="G9" s="193">
        <f>IF(_1_541284561214624104645789101745678[[#This Row],[Type]]&gt;0,VLOOKUP(_1_541284561214624104645789101745678[[#This Row],[Type]],Main[[#All],[TYPE]:[UNIT]],'Unit Price'!C$1,FALSE),0)</f>
        <v>0</v>
      </c>
      <c r="H9" s="197">
        <f>IF(_1_541284561214624104645789101745678[[#This Row],[Type]]&gt;0,VLOOKUP(_1_541284561214624104645789101745678[[#This Row],[Type]],Main[[#All],[TYPE]:[UNIT]],'Unit Price'!D$1,FALSE),0)</f>
        <v>0</v>
      </c>
      <c r="I9" s="194">
        <f>IF(_1_541284561214624104645789101745678[[#This Row],[Type]]&gt;0,VLOOKUP(_1_541284561214624104645789101745678[[#This Row],[Type]],Main[[#All],[TYPE]:[UNIT]],'Unit Price'!G$1,FALSE),0)</f>
        <v>0</v>
      </c>
      <c r="J9" s="194">
        <f>IF(_1_541284561214624104645789101745678[[#This Row],[Type]]&gt;0,VLOOKUP(_1_541284561214624104645789101745678[[#This Row],[Type]],Main[[#All],[TYPE]:[UNIT]],'Unit Price'!H$1,FALSE),0)</f>
        <v>0</v>
      </c>
      <c r="K9" s="194">
        <f>IF(_1_541284561214624104645789101745678[[#This Row],[Discount selection]]&gt;0,VLOOKUP(_1_541284561214624104645789101745678[[#This Row],[Discount selection]],'Discount Structure'!$A$2:$B$30,2,"false"),0)</f>
        <v>1</v>
      </c>
      <c r="L9" s="194">
        <f>_1_541284561214624104645789101745678[[#This Row],[LIST $]]*_1_541284561214624104645789101745678[[#This Row],[DISCOUNT]]*_1_541284561214624104645789101745678[[#This Row],[DISCOUNT 2]]</f>
        <v>0</v>
      </c>
      <c r="M9" s="194">
        <f>IF(OR(_1_541284561214624104645789101745678[[#This Row],[UNIT]]&gt;0,_1_541284561214624104645789101745678[[#This Row],[UNIT]]&lt;0),_1_541284561214624104645789101745678[[#This Row],[UNIT]]*_1_541284561214624104645789101745678[[#This Row],[COST]],0)</f>
        <v>0</v>
      </c>
      <c r="N9" s="194">
        <f t="shared" ref="N9:N73" si="0">$N$7</f>
        <v>1.3</v>
      </c>
      <c r="O9" s="198">
        <f>_1_541284561214624104645789101745678[[#This Row],[TOTAL]]*_1_541284561214624104645789101745678[[#This Row],[MARGIN]]</f>
        <v>0</v>
      </c>
      <c r="P9" s="198"/>
      <c r="R9" s="41"/>
    </row>
    <row r="10" spans="1:18">
      <c r="B10" s="168"/>
      <c r="C10" s="312"/>
      <c r="D10" s="384" t="s">
        <v>1569</v>
      </c>
      <c r="E10" s="41">
        <v>1</v>
      </c>
      <c r="F10" s="168" t="s">
        <v>6202</v>
      </c>
      <c r="G10" s="193" t="str">
        <f>IF(_1_541284561214624104645789101745678[[#This Row],[Type]]&gt;0,VLOOKUP(_1_541284561214624104645789101745678[[#This Row],[Type]],Main[[#All],[TYPE]:[UNIT]],'Unit Price'!C$1,FALSE),0)</f>
        <v>40A 3P 50kA MCCB</v>
      </c>
      <c r="H10" s="197" t="str">
        <f>IF(_1_541284561214624104645789101745678[[#This Row],[Type]]&gt;0,VLOOKUP(_1_541284561214624104645789101745678[[#This Row],[Type]],Main[[#All],[TYPE]:[UNIT]],'Unit Price'!D$1,FALSE),0)</f>
        <v>CHINT</v>
      </c>
      <c r="I10" s="194">
        <f>IF(_1_541284561214624104645789101745678[[#This Row],[Type]]&gt;0,VLOOKUP(_1_541284561214624104645789101745678[[#This Row],[Type]],Main[[#All],[TYPE]:[UNIT]],'Unit Price'!G$1,FALSE),0)</f>
        <v>501</v>
      </c>
      <c r="J10" s="194">
        <f>IF(_1_541284561214624104645789101745678[[#This Row],[Type]]&gt;0,VLOOKUP(_1_541284561214624104645789101745678[[#This Row],[Type]],Main[[#All],[TYPE]:[UNIT]],'Unit Price'!H$1,FALSE),0)</f>
        <v>0.47155599999999998</v>
      </c>
      <c r="K10" s="194">
        <f>IF(_1_541284561214624104645789101745678[[#This Row],[Discount selection]]&gt;0,VLOOKUP(_1_541284561214624104645789101745678[[#This Row],[Discount selection]],'Discount Structure'!$A$2:$B$30,2,"false"),0)</f>
        <v>1</v>
      </c>
      <c r="L10" s="194">
        <f>_1_541284561214624104645789101745678[[#This Row],[LIST $]]*_1_541284561214624104645789101745678[[#This Row],[DISCOUNT]]*_1_541284561214624104645789101745678[[#This Row],[DISCOUNT 2]]</f>
        <v>236.24955599999998</v>
      </c>
      <c r="M10" s="194">
        <f>IF(OR(_1_541284561214624104645789101745678[[#This Row],[UNIT]]&gt;0,_1_541284561214624104645789101745678[[#This Row],[UNIT]]&lt;0),_1_541284561214624104645789101745678[[#This Row],[UNIT]]*_1_541284561214624104645789101745678[[#This Row],[COST]],0)</f>
        <v>236.24955599999998</v>
      </c>
      <c r="N10" s="194">
        <f t="shared" si="0"/>
        <v>1.3</v>
      </c>
      <c r="O10" s="198">
        <f>_1_541284561214624104645789101745678[[#This Row],[TOTAL]]*_1_541284561214624104645789101745678[[#This Row],[MARGIN]]</f>
        <v>307.12442279999999</v>
      </c>
      <c r="R10" s="41"/>
    </row>
    <row r="11" spans="1:18">
      <c r="D11" s="188" t="s">
        <v>1552</v>
      </c>
      <c r="E11" s="41">
        <v>2</v>
      </c>
      <c r="F11" s="168" t="s">
        <v>6202</v>
      </c>
      <c r="G11" s="193" t="str">
        <f>IF(_1_541284561214624104645789101745678[[#This Row],[Type]]&gt;0,VLOOKUP(_1_541284561214624104645789101745678[[#This Row],[Type]],Main[[#All],[TYPE]:[UNIT]],'Unit Price'!C$1,FALSE),0)</f>
        <v>40A 4P 30mA ELCB</v>
      </c>
      <c r="H11" s="197" t="str">
        <f>IF(_1_541284561214624104645789101745678[[#This Row],[Type]]&gt;0,VLOOKUP(_1_541284561214624104645789101745678[[#This Row],[Type]],Main[[#All],[TYPE]:[UNIT]],'Unit Price'!D$1,FALSE),0)</f>
        <v>CHINT</v>
      </c>
      <c r="I11" s="194">
        <f>IF(_1_541284561214624104645789101745678[[#This Row],[Type]]&gt;0,VLOOKUP(_1_541284561214624104645789101745678[[#This Row],[Type]],Main[[#All],[TYPE]:[UNIT]],'Unit Price'!G$1,FALSE),0)</f>
        <v>191</v>
      </c>
      <c r="J11" s="194">
        <f>IF(_1_541284561214624104645789101745678[[#This Row],[Type]]&gt;0,VLOOKUP(_1_541284561214624104645789101745678[[#This Row],[Type]],Main[[#All],[TYPE]:[UNIT]],'Unit Price'!H$1,FALSE),0)</f>
        <v>0.47155599999999998</v>
      </c>
      <c r="K11" s="194">
        <f>IF(_1_541284561214624104645789101745678[[#This Row],[Discount selection]]&gt;0,VLOOKUP(_1_541284561214624104645789101745678[[#This Row],[Discount selection]],'Discount Structure'!$A$2:$B$30,2,"false"),0)</f>
        <v>1</v>
      </c>
      <c r="L11" s="194">
        <f>_1_541284561214624104645789101745678[[#This Row],[LIST $]]*_1_541284561214624104645789101745678[[#This Row],[DISCOUNT]]*_1_541284561214624104645789101745678[[#This Row],[DISCOUNT 2]]</f>
        <v>90.067195999999996</v>
      </c>
      <c r="M11" s="194">
        <f>IF(OR(_1_541284561214624104645789101745678[[#This Row],[UNIT]]&gt;0,_1_541284561214624104645789101745678[[#This Row],[UNIT]]&lt;0),_1_541284561214624104645789101745678[[#This Row],[UNIT]]*_1_541284561214624104645789101745678[[#This Row],[COST]],0)</f>
        <v>180.13439199999999</v>
      </c>
      <c r="N11" s="194">
        <f t="shared" si="0"/>
        <v>1.3</v>
      </c>
      <c r="O11" s="198">
        <f>_1_541284561214624104645789101745678[[#This Row],[TOTAL]]*_1_541284561214624104645789101745678[[#This Row],[MARGIN]]</f>
        <v>234.1747096</v>
      </c>
      <c r="R11" s="41"/>
    </row>
    <row r="12" spans="1:18">
      <c r="D12" s="188" t="s">
        <v>299</v>
      </c>
      <c r="E12" s="313">
        <v>20</v>
      </c>
      <c r="F12" s="168" t="s">
        <v>6202</v>
      </c>
      <c r="G12" s="193" t="str">
        <f>IF(_1_541284561214624104645789101745678[[#This Row],[Type]]&gt;0,VLOOKUP(_1_541284561214624104645789101745678[[#This Row],[Type]],Main[[#All],[TYPE]:[UNIT]],'Unit Price'!C$1,FALSE),0)</f>
        <v>10MM SQ PVC CABLE (40A)</v>
      </c>
      <c r="H12" s="197" t="str">
        <f>IF(_1_541284561214624104645789101745678[[#This Row],[Type]]&gt;0,VLOOKUP(_1_541284561214624104645789101745678[[#This Row],[Type]],Main[[#All],[TYPE]:[UNIT]],'Unit Price'!D$1,FALSE),0)</f>
        <v>UC</v>
      </c>
      <c r="I12" s="194">
        <f>IF(_1_541284561214624104645789101745678[[#This Row],[Type]]&gt;0,VLOOKUP(_1_541284561214624104645789101745678[[#This Row],[Type]],Main[[#All],[TYPE]:[UNIT]],'Unit Price'!G$1,FALSE),0)</f>
        <v>6</v>
      </c>
      <c r="J12" s="194">
        <f>IF(_1_541284561214624104645789101745678[[#This Row],[Type]]&gt;0,VLOOKUP(_1_541284561214624104645789101745678[[#This Row],[Type]],Main[[#All],[TYPE]:[UNIT]],'Unit Price'!H$1,FALSE),0)</f>
        <v>1</v>
      </c>
      <c r="K12" s="194">
        <f>IF(_1_541284561214624104645789101745678[[#This Row],[Discount selection]]&gt;0,VLOOKUP(_1_541284561214624104645789101745678[[#This Row],[Discount selection]],'Discount Structure'!$A$2:$B$30,2,"false"),0)</f>
        <v>1</v>
      </c>
      <c r="L12" s="194">
        <f>_1_541284561214624104645789101745678[[#This Row],[LIST $]]*_1_541284561214624104645789101745678[[#This Row],[DISCOUNT]]*_1_541284561214624104645789101745678[[#This Row],[DISCOUNT 2]]</f>
        <v>6</v>
      </c>
      <c r="M12" s="194">
        <f>IF(OR(_1_541284561214624104645789101745678[[#This Row],[UNIT]]&gt;0,_1_541284561214624104645789101745678[[#This Row],[UNIT]]&lt;0),_1_541284561214624104645789101745678[[#This Row],[UNIT]]*_1_541284561214624104645789101745678[[#This Row],[COST]],0)</f>
        <v>120</v>
      </c>
      <c r="N12" s="194">
        <f>$N$7</f>
        <v>1.3</v>
      </c>
      <c r="O12" s="198">
        <f>_1_541284561214624104645789101745678[[#This Row],[TOTAL]]*_1_541284561214624104645789101745678[[#This Row],[MARGIN]]</f>
        <v>156</v>
      </c>
      <c r="R12" s="41"/>
    </row>
    <row r="13" spans="1:18">
      <c r="D13" s="188"/>
      <c r="F13" s="168" t="s">
        <v>6202</v>
      </c>
      <c r="G13" s="193">
        <f>IF(_1_541284561214624104645789101745678[[#This Row],[Type]]&gt;0,VLOOKUP(_1_541284561214624104645789101745678[[#This Row],[Type]],Main[[#All],[TYPE]:[UNIT]],'Unit Price'!C$1,FALSE),0)</f>
        <v>0</v>
      </c>
      <c r="H13" s="197">
        <f>IF(_1_541284561214624104645789101745678[[#This Row],[Type]]&gt;0,VLOOKUP(_1_541284561214624104645789101745678[[#This Row],[Type]],Main[[#All],[TYPE]:[UNIT]],'Unit Price'!D$1,FALSE),0)</f>
        <v>0</v>
      </c>
      <c r="I13" s="194">
        <f>IF(_1_541284561214624104645789101745678[[#This Row],[Type]]&gt;0,VLOOKUP(_1_541284561214624104645789101745678[[#This Row],[Type]],Main[[#All],[TYPE]:[UNIT]],'Unit Price'!G$1,FALSE),0)</f>
        <v>0</v>
      </c>
      <c r="J13" s="194">
        <f>IF(_1_541284561214624104645789101745678[[#This Row],[Type]]&gt;0,VLOOKUP(_1_541284561214624104645789101745678[[#This Row],[Type]],Main[[#All],[TYPE]:[UNIT]],'Unit Price'!H$1,FALSE),0)</f>
        <v>0</v>
      </c>
      <c r="K13" s="194">
        <f>IF(_1_541284561214624104645789101745678[[#This Row],[Discount selection]]&gt;0,VLOOKUP(_1_541284561214624104645789101745678[[#This Row],[Discount selection]],'Discount Structure'!$A$2:$B$30,2,"false"),0)</f>
        <v>1</v>
      </c>
      <c r="L13" s="194">
        <f>_1_541284561214624104645789101745678[[#This Row],[LIST $]]*_1_541284561214624104645789101745678[[#This Row],[DISCOUNT]]*_1_541284561214624104645789101745678[[#This Row],[DISCOUNT 2]]</f>
        <v>0</v>
      </c>
      <c r="M13" s="194">
        <f>IF(OR(_1_541284561214624104645789101745678[[#This Row],[UNIT]]&gt;0,_1_541284561214624104645789101745678[[#This Row],[UNIT]]&lt;0),_1_541284561214624104645789101745678[[#This Row],[UNIT]]*_1_541284561214624104645789101745678[[#This Row],[COST]],0)</f>
        <v>0</v>
      </c>
      <c r="N13" s="194">
        <f t="shared" si="0"/>
        <v>1.3</v>
      </c>
      <c r="O13" s="198">
        <f>_1_541284561214624104645789101745678[[#This Row],[TOTAL]]*_1_541284561214624104645789101745678[[#This Row],[MARGIN]]</f>
        <v>0</v>
      </c>
      <c r="R13" s="41"/>
    </row>
    <row r="14" spans="1:18">
      <c r="A14" s="168"/>
      <c r="C14" s="168"/>
      <c r="D14" s="188" t="s">
        <v>313</v>
      </c>
      <c r="E14" s="41">
        <v>21</v>
      </c>
      <c r="F14" s="168" t="s">
        <v>6202</v>
      </c>
      <c r="G14" s="193" t="str">
        <f>IF(_1_541284561214624104645789101745678[[#This Row],[Type]]&gt;0,VLOOKUP(_1_541284561214624104645789101745678[[#This Row],[Type]],Main[[#All],[TYPE]:[UNIT]],'Unit Price'!C$1,FALSE),0)</f>
        <v>6A ~ 40A 1P 6kA MCB</v>
      </c>
      <c r="H14" s="197" t="str">
        <f>IF(_1_541284561214624104645789101745678[[#This Row],[Type]]&gt;0,VLOOKUP(_1_541284561214624104645789101745678[[#This Row],[Type]],Main[[#All],[TYPE]:[UNIT]],'Unit Price'!D$1,FALSE),0)</f>
        <v>CHINT</v>
      </c>
      <c r="I14" s="194">
        <f>IF(_1_541284561214624104645789101745678[[#This Row],[Type]]&gt;0,VLOOKUP(_1_541284561214624104645789101745678[[#This Row],[Type]],Main[[#All],[TYPE]:[UNIT]],'Unit Price'!G$1,FALSE),0)</f>
        <v>17.3</v>
      </c>
      <c r="J14" s="194">
        <f>IF(_1_541284561214624104645789101745678[[#This Row],[Type]]&gt;0,VLOOKUP(_1_541284561214624104645789101745678[[#This Row],[Type]],Main[[#All],[TYPE]:[UNIT]],'Unit Price'!H$1,FALSE),0)</f>
        <v>0.47155599999999998</v>
      </c>
      <c r="K14" s="194">
        <f>IF(_1_541284561214624104645789101745678[[#This Row],[Discount selection]]&gt;0,VLOOKUP(_1_541284561214624104645789101745678[[#This Row],[Discount selection]],'Discount Structure'!$A$2:$B$30,2,"false"),0)</f>
        <v>1</v>
      </c>
      <c r="L14" s="194">
        <f>_1_541284561214624104645789101745678[[#This Row],[LIST $]]*_1_541284561214624104645789101745678[[#This Row],[DISCOUNT]]*_1_541284561214624104645789101745678[[#This Row],[DISCOUNT 2]]</f>
        <v>8.1579187999999991</v>
      </c>
      <c r="M14" s="194">
        <f>IF(OR(_1_541284561214624104645789101745678[[#This Row],[UNIT]]&gt;0,_1_541284561214624104645789101745678[[#This Row],[UNIT]]&lt;0),_1_541284561214624104645789101745678[[#This Row],[UNIT]]*_1_541284561214624104645789101745678[[#This Row],[COST]],0)</f>
        <v>171.31629479999998</v>
      </c>
      <c r="N14" s="194">
        <f t="shared" si="0"/>
        <v>1.3</v>
      </c>
      <c r="O14" s="198">
        <f>_1_541284561214624104645789101745678[[#This Row],[TOTAL]]*_1_541284561214624104645789101745678[[#This Row],[MARGIN]]</f>
        <v>222.71118323999997</v>
      </c>
      <c r="R14" s="41"/>
    </row>
    <row r="15" spans="1:18">
      <c r="C15" s="168"/>
      <c r="D15" s="188"/>
      <c r="F15" s="168" t="s">
        <v>6202</v>
      </c>
      <c r="G15" s="193">
        <f>IF(_1_541284561214624104645789101745678[[#This Row],[Type]]&gt;0,VLOOKUP(_1_541284561214624104645789101745678[[#This Row],[Type]],Main[[#All],[TYPE]:[UNIT]],'Unit Price'!C$1,FALSE),0)</f>
        <v>0</v>
      </c>
      <c r="H15" s="197">
        <f>IF(_1_541284561214624104645789101745678[[#This Row],[Type]]&gt;0,VLOOKUP(_1_541284561214624104645789101745678[[#This Row],[Type]],Main[[#All],[TYPE]:[UNIT]],'Unit Price'!D$1,FALSE),0)</f>
        <v>0</v>
      </c>
      <c r="I15" s="194">
        <f>IF(_1_541284561214624104645789101745678[[#This Row],[Type]]&gt;0,VLOOKUP(_1_541284561214624104645789101745678[[#This Row],[Type]],Main[[#All],[TYPE]:[UNIT]],'Unit Price'!G$1,FALSE),0)</f>
        <v>0</v>
      </c>
      <c r="J15" s="194">
        <f>IF(_1_541284561214624104645789101745678[[#This Row],[Type]]&gt;0,VLOOKUP(_1_541284561214624104645789101745678[[#This Row],[Type]],Main[[#All],[TYPE]:[UNIT]],'Unit Price'!H$1,FALSE),0)</f>
        <v>0</v>
      </c>
      <c r="K15" s="194">
        <f>IF(_1_541284561214624104645789101745678[[#This Row],[Discount selection]]&gt;0,VLOOKUP(_1_541284561214624104645789101745678[[#This Row],[Discount selection]],'Discount Structure'!$A$2:$B$30,2,"false"),0)</f>
        <v>1</v>
      </c>
      <c r="L15" s="194">
        <f>_1_541284561214624104645789101745678[[#This Row],[LIST $]]*_1_541284561214624104645789101745678[[#This Row],[DISCOUNT]]*_1_541284561214624104645789101745678[[#This Row],[DISCOUNT 2]]</f>
        <v>0</v>
      </c>
      <c r="M15" s="194">
        <f>IF(OR(_1_541284561214624104645789101745678[[#This Row],[UNIT]]&gt;0,_1_541284561214624104645789101745678[[#This Row],[UNIT]]&lt;0),_1_541284561214624104645789101745678[[#This Row],[UNIT]]*_1_541284561214624104645789101745678[[#This Row],[COST]],0)</f>
        <v>0</v>
      </c>
      <c r="N15" s="194">
        <f t="shared" si="0"/>
        <v>1.3</v>
      </c>
      <c r="O15" s="198">
        <f>_1_541284561214624104645789101745678[[#This Row],[TOTAL]]*_1_541284561214624104645789101745678[[#This Row],[MARGIN]]</f>
        <v>0</v>
      </c>
      <c r="R15" s="41"/>
    </row>
    <row r="16" spans="1:18">
      <c r="A16" s="168"/>
      <c r="C16" s="168"/>
      <c r="D16" s="188" t="s">
        <v>5814</v>
      </c>
      <c r="E16" s="313">
        <v>1</v>
      </c>
      <c r="F16" s="168" t="s">
        <v>6202</v>
      </c>
      <c r="G16" s="193" t="str">
        <f>IF(_1_541284561214624104645789101745678[[#This Row],[Type]]&gt;0,VLOOKUP(_1_541284561214624104645789101745678[[#This Row],[Type]],Main[[#All],[TYPE]:[UNIT]],'Unit Price'!C$1,FALSE),0)</f>
        <v>DB, MCCB incoming,
4R 3x20W+1x12W
850x500x150</v>
      </c>
      <c r="H16" s="197" t="str">
        <f>IF(_1_541284561214624104645789101745678[[#This Row],[Type]]&gt;0,VLOOKUP(_1_541284561214624104645789101745678[[#This Row],[Type]],Main[[#All],[TYPE]:[UNIT]],'Unit Price'!D$1,FALSE),0)</f>
        <v>TK</v>
      </c>
      <c r="I16" s="194">
        <f>IF(_1_541284561214624104645789101745678[[#This Row],[Type]]&gt;0,VLOOKUP(_1_541284561214624104645789101745678[[#This Row],[Type]],Main[[#All],[TYPE]:[UNIT]],'Unit Price'!G$1,FALSE),0)</f>
        <v>424</v>
      </c>
      <c r="J16" s="194">
        <f>IF(_1_541284561214624104645789101745678[[#This Row],[Type]]&gt;0,VLOOKUP(_1_541284561214624104645789101745678[[#This Row],[Type]],Main[[#All],[TYPE]:[UNIT]],'Unit Price'!H$1,FALSE),0)</f>
        <v>1</v>
      </c>
      <c r="K16" s="194">
        <f>IF(_1_541284561214624104645789101745678[[#This Row],[Discount selection]]&gt;0,VLOOKUP(_1_541284561214624104645789101745678[[#This Row],[Discount selection]],'Discount Structure'!$A$2:$B$30,2,"false"),0)</f>
        <v>1</v>
      </c>
      <c r="L16" s="194">
        <f>_1_541284561214624104645789101745678[[#This Row],[LIST $]]*_1_541284561214624104645789101745678[[#This Row],[DISCOUNT]]*_1_541284561214624104645789101745678[[#This Row],[DISCOUNT 2]]</f>
        <v>424</v>
      </c>
      <c r="M16" s="194">
        <f>IF(OR(_1_541284561214624104645789101745678[[#This Row],[UNIT]]&gt;0,_1_541284561214624104645789101745678[[#This Row],[UNIT]]&lt;0),_1_541284561214624104645789101745678[[#This Row],[UNIT]]*_1_541284561214624104645789101745678[[#This Row],[COST]],0)</f>
        <v>424</v>
      </c>
      <c r="N16" s="194">
        <f t="shared" si="0"/>
        <v>1.3</v>
      </c>
      <c r="O16" s="198">
        <f>_1_541284561214624104645789101745678[[#This Row],[TOTAL]]*_1_541284561214624104645789101745678[[#This Row],[MARGIN]]</f>
        <v>551.20000000000005</v>
      </c>
      <c r="R16" s="41"/>
    </row>
    <row r="17" spans="1:18">
      <c r="C17" s="168"/>
      <c r="D17" s="314"/>
      <c r="F17" s="168" t="s">
        <v>6202</v>
      </c>
      <c r="G17" s="193">
        <f>IF(_1_541284561214624104645789101745678[[#This Row],[Type]]&gt;0,VLOOKUP(_1_541284561214624104645789101745678[[#This Row],[Type]],Main[[#All],[TYPE]:[UNIT]],'Unit Price'!C$1,FALSE),0)</f>
        <v>0</v>
      </c>
      <c r="H17" s="197">
        <f>IF(_1_541284561214624104645789101745678[[#This Row],[Type]]&gt;0,VLOOKUP(_1_541284561214624104645789101745678[[#This Row],[Type]],Main[[#All],[TYPE]:[UNIT]],'Unit Price'!D$1,FALSE),0)</f>
        <v>0</v>
      </c>
      <c r="I17" s="194">
        <f>IF(_1_541284561214624104645789101745678[[#This Row],[Type]]&gt;0,VLOOKUP(_1_541284561214624104645789101745678[[#This Row],[Type]],Main[[#All],[TYPE]:[UNIT]],'Unit Price'!G$1,FALSE),0)</f>
        <v>0</v>
      </c>
      <c r="J17" s="194">
        <f>IF(_1_541284561214624104645789101745678[[#This Row],[Type]]&gt;0,VLOOKUP(_1_541284561214624104645789101745678[[#This Row],[Type]],Main[[#All],[TYPE]:[UNIT]],'Unit Price'!H$1,FALSE),0)</f>
        <v>0</v>
      </c>
      <c r="K17" s="194">
        <f>IF(_1_541284561214624104645789101745678[[#This Row],[Discount selection]]&gt;0,VLOOKUP(_1_541284561214624104645789101745678[[#This Row],[Discount selection]],'Discount Structure'!$A$2:$B$30,2,"false"),0)</f>
        <v>1</v>
      </c>
      <c r="L17" s="194">
        <f>_1_541284561214624104645789101745678[[#This Row],[LIST $]]*_1_541284561214624104645789101745678[[#This Row],[DISCOUNT]]*_1_541284561214624104645789101745678[[#This Row],[DISCOUNT 2]]</f>
        <v>0</v>
      </c>
      <c r="M17" s="194">
        <f>IF(OR(_1_541284561214624104645789101745678[[#This Row],[UNIT]]&gt;0,_1_541284561214624104645789101745678[[#This Row],[UNIT]]&lt;0),_1_541284561214624104645789101745678[[#This Row],[UNIT]]*_1_541284561214624104645789101745678[[#This Row],[COST]],0)</f>
        <v>0</v>
      </c>
      <c r="N17" s="194">
        <f t="shared" si="0"/>
        <v>1.3</v>
      </c>
      <c r="O17" s="198">
        <f>_1_541284561214624104645789101745678[[#This Row],[TOTAL]]*_1_541284561214624104645789101745678[[#This Row],[MARGIN]]</f>
        <v>0</v>
      </c>
      <c r="R17" s="41"/>
    </row>
    <row r="18" spans="1:18">
      <c r="A18" s="168"/>
      <c r="C18" s="168"/>
      <c r="D18" s="188" t="s">
        <v>313</v>
      </c>
      <c r="E18" s="41">
        <v>1</v>
      </c>
      <c r="F18" s="168" t="s">
        <v>6202</v>
      </c>
      <c r="G18" s="193" t="str">
        <f>IF(_1_541284561214624104645789101745678[[#This Row],[Type]]&gt;0,VLOOKUP(_1_541284561214624104645789101745678[[#This Row],[Type]],Main[[#All],[TYPE]:[UNIT]],'Unit Price'!C$1,FALSE),0)</f>
        <v>6A ~ 40A 1P 6kA MCB</v>
      </c>
      <c r="H18" s="197" t="str">
        <f>IF(_1_541284561214624104645789101745678[[#This Row],[Type]]&gt;0,VLOOKUP(_1_541284561214624104645789101745678[[#This Row],[Type]],Main[[#All],[TYPE]:[UNIT]],'Unit Price'!D$1,FALSE),0)</f>
        <v>CHINT</v>
      </c>
      <c r="I18" s="194">
        <f>IF(_1_541284561214624104645789101745678[[#This Row],[Type]]&gt;0,VLOOKUP(_1_541284561214624104645789101745678[[#This Row],[Type]],Main[[#All],[TYPE]:[UNIT]],'Unit Price'!G$1,FALSE),0)</f>
        <v>17.3</v>
      </c>
      <c r="J18" s="194">
        <f>IF(_1_541284561214624104645789101745678[[#This Row],[Type]]&gt;0,VLOOKUP(_1_541284561214624104645789101745678[[#This Row],[Type]],Main[[#All],[TYPE]:[UNIT]],'Unit Price'!H$1,FALSE),0)</f>
        <v>0.47155599999999998</v>
      </c>
      <c r="K18" s="194">
        <f>IF(_1_541284561214624104645789101745678[[#This Row],[Discount selection]]&gt;0,VLOOKUP(_1_541284561214624104645789101745678[[#This Row],[Discount selection]],'Discount Structure'!$A$2:$B$30,2,"false"),0)</f>
        <v>1</v>
      </c>
      <c r="L18" s="194">
        <f>_1_541284561214624104645789101745678[[#This Row],[LIST $]]*_1_541284561214624104645789101745678[[#This Row],[DISCOUNT]]*_1_541284561214624104645789101745678[[#This Row],[DISCOUNT 2]]</f>
        <v>8.1579187999999991</v>
      </c>
      <c r="M18" s="194">
        <f>IF(OR(_1_541284561214624104645789101745678[[#This Row],[UNIT]]&gt;0,_1_541284561214624104645789101745678[[#This Row],[UNIT]]&lt;0),_1_541284561214624104645789101745678[[#This Row],[UNIT]]*_1_541284561214624104645789101745678[[#This Row],[COST]],0)</f>
        <v>8.1579187999999991</v>
      </c>
      <c r="N18" s="194">
        <f t="shared" si="0"/>
        <v>1.3</v>
      </c>
      <c r="O18" s="198">
        <f>_1_541284561214624104645789101745678[[#This Row],[TOTAL]]*_1_541284561214624104645789101745678[[#This Row],[MARGIN]]</f>
        <v>10.60529444</v>
      </c>
      <c r="R18" s="41"/>
    </row>
    <row r="19" spans="1:18">
      <c r="C19" s="168"/>
      <c r="D19" s="188" t="s">
        <v>327</v>
      </c>
      <c r="E19" s="41">
        <v>1</v>
      </c>
      <c r="F19" s="168" t="s">
        <v>6202</v>
      </c>
      <c r="G19" s="193" t="str">
        <f>IF(_1_541284561214624104645789101745678[[#This Row],[Type]]&gt;0,VLOOKUP(_1_541284561214624104645789101745678[[#This Row],[Type]],Main[[#All],[TYPE]:[UNIT]],'Unit Price'!C$1,FALSE),0)</f>
        <v>9A 3P CONTACTOR</v>
      </c>
      <c r="H19" s="197" t="str">
        <f>IF(_1_541284561214624104645789101745678[[#This Row],[Type]]&gt;0,VLOOKUP(_1_541284561214624104645789101745678[[#This Row],[Type]],Main[[#All],[TYPE]:[UNIT]],'Unit Price'!D$1,FALSE),0)</f>
        <v>CHINT</v>
      </c>
      <c r="I19" s="194">
        <f>IF(_1_541284561214624104645789101745678[[#This Row],[Type]]&gt;0,VLOOKUP(_1_541284561214624104645789101745678[[#This Row],[Type]],Main[[#All],[TYPE]:[UNIT]],'Unit Price'!G$1,FALSE),0)</f>
        <v>51</v>
      </c>
      <c r="J19" s="194">
        <f>IF(_1_541284561214624104645789101745678[[#This Row],[Type]]&gt;0,VLOOKUP(_1_541284561214624104645789101745678[[#This Row],[Type]],Main[[#All],[TYPE]:[UNIT]],'Unit Price'!H$1,FALSE),0)</f>
        <v>0.47155599999999998</v>
      </c>
      <c r="K19" s="194">
        <f>IF(_1_541284561214624104645789101745678[[#This Row],[Discount selection]]&gt;0,VLOOKUP(_1_541284561214624104645789101745678[[#This Row],[Discount selection]],'Discount Structure'!$A$2:$B$30,2,"false"),0)</f>
        <v>1</v>
      </c>
      <c r="L19" s="194">
        <f>_1_541284561214624104645789101745678[[#This Row],[LIST $]]*_1_541284561214624104645789101745678[[#This Row],[DISCOUNT]]*_1_541284561214624104645789101745678[[#This Row],[DISCOUNT 2]]</f>
        <v>24.049356</v>
      </c>
      <c r="M19" s="194">
        <f>IF(OR(_1_541284561214624104645789101745678[[#This Row],[UNIT]]&gt;0,_1_541284561214624104645789101745678[[#This Row],[UNIT]]&lt;0),_1_541284561214624104645789101745678[[#This Row],[UNIT]]*_1_541284561214624104645789101745678[[#This Row],[COST]],0)</f>
        <v>24.049356</v>
      </c>
      <c r="N19" s="194">
        <f t="shared" si="0"/>
        <v>1.3</v>
      </c>
      <c r="O19" s="198">
        <f>_1_541284561214624104645789101745678[[#This Row],[TOTAL]]*_1_541284561214624104645789101745678[[#This Row],[MARGIN]]</f>
        <v>31.264162800000001</v>
      </c>
      <c r="R19" s="41"/>
    </row>
    <row r="20" spans="1:18">
      <c r="A20" s="168"/>
      <c r="B20" s="168"/>
      <c r="C20" s="168"/>
      <c r="D20" s="188" t="s">
        <v>1423</v>
      </c>
      <c r="E20" s="41">
        <v>1</v>
      </c>
      <c r="F20" s="168" t="s">
        <v>6202</v>
      </c>
      <c r="G20" s="193" t="str">
        <f>IF(_1_541284561214624104645789101745678[[#This Row],[Type]]&gt;0,VLOOKUP(_1_541284561214624104645789101745678[[#This Row],[Type]],Main[[#All],[TYPE]:[UNIT]],'Unit Price'!C$1,FALSE),0)</f>
        <v>N/O PUSH BUTTON</v>
      </c>
      <c r="H20" s="197" t="str">
        <f>IF(_1_541284561214624104645789101745678[[#This Row],[Type]]&gt;0,VLOOKUP(_1_541284561214624104645789101745678[[#This Row],[Type]],Main[[#All],[TYPE]:[UNIT]],'Unit Price'!D$1,FALSE),0)</f>
        <v>AMICO</v>
      </c>
      <c r="I20" s="194">
        <f>IF(_1_541284561214624104645789101745678[[#This Row],[Type]]&gt;0,VLOOKUP(_1_541284561214624104645789101745678[[#This Row],[Type]],Main[[#All],[TYPE]:[UNIT]],'Unit Price'!G$1,FALSE),0)</f>
        <v>6</v>
      </c>
      <c r="J20" s="194">
        <f>IF(_1_541284561214624104645789101745678[[#This Row],[Type]]&gt;0,VLOOKUP(_1_541284561214624104645789101745678[[#This Row],[Type]],Main[[#All],[TYPE]:[UNIT]],'Unit Price'!H$1,FALSE),0)</f>
        <v>1</v>
      </c>
      <c r="K20" s="194">
        <f>IF(_1_541284561214624104645789101745678[[#This Row],[Discount selection]]&gt;0,VLOOKUP(_1_541284561214624104645789101745678[[#This Row],[Discount selection]],'Discount Structure'!$A$2:$B$30,2,"false"),0)</f>
        <v>1</v>
      </c>
      <c r="L20" s="194">
        <f>_1_541284561214624104645789101745678[[#This Row],[LIST $]]*_1_541284561214624104645789101745678[[#This Row],[DISCOUNT]]*_1_541284561214624104645789101745678[[#This Row],[DISCOUNT 2]]</f>
        <v>6</v>
      </c>
      <c r="M20" s="194">
        <f>IF(OR(_1_541284561214624104645789101745678[[#This Row],[UNIT]]&gt;0,_1_541284561214624104645789101745678[[#This Row],[UNIT]]&lt;0),_1_541284561214624104645789101745678[[#This Row],[UNIT]]*_1_541284561214624104645789101745678[[#This Row],[COST]],0)</f>
        <v>6</v>
      </c>
      <c r="N20" s="194">
        <f t="shared" si="0"/>
        <v>1.3</v>
      </c>
      <c r="O20" s="198">
        <f>_1_541284561214624104645789101745678[[#This Row],[TOTAL]]*_1_541284561214624104645789101745678[[#This Row],[MARGIN]]</f>
        <v>7.8000000000000007</v>
      </c>
      <c r="R20" s="41"/>
    </row>
    <row r="21" spans="1:18">
      <c r="C21" s="168"/>
      <c r="D21" s="188" t="s">
        <v>2162</v>
      </c>
      <c r="E21" s="41">
        <v>1</v>
      </c>
      <c r="F21" s="168" t="s">
        <v>6202</v>
      </c>
      <c r="G21" s="193" t="str">
        <f>IF(_1_541284561214624104645789101745678[[#This Row],[Type]]&gt;0,VLOOKUP(_1_541284561214624104645789101745678[[#This Row],[Type]],Main[[#All],[TYPE]:[UNIT]],'Unit Price'!C$1,FALSE),0)</f>
        <v>PILOT LAMP,240VAC</v>
      </c>
      <c r="H21" s="197" t="str">
        <f>IF(_1_541284561214624104645789101745678[[#This Row],[Type]]&gt;0,VLOOKUP(_1_541284561214624104645789101745678[[#This Row],[Type]],Main[[#All],[TYPE]:[UNIT]],'Unit Price'!D$1,FALSE),0)</f>
        <v>FD</v>
      </c>
      <c r="I21" s="194">
        <f>IF(_1_541284561214624104645789101745678[[#This Row],[Type]]&gt;0,VLOOKUP(_1_541284561214624104645789101745678[[#This Row],[Type]],Main[[#All],[TYPE]:[UNIT]],'Unit Price'!G$1,FALSE),0)</f>
        <v>4</v>
      </c>
      <c r="J21" s="194">
        <f>IF(_1_541284561214624104645789101745678[[#This Row],[Type]]&gt;0,VLOOKUP(_1_541284561214624104645789101745678[[#This Row],[Type]],Main[[#All],[TYPE]:[UNIT]],'Unit Price'!H$1,FALSE),0)</f>
        <v>1</v>
      </c>
      <c r="K21" s="194">
        <f>IF(_1_541284561214624104645789101745678[[#This Row],[Discount selection]]&gt;0,VLOOKUP(_1_541284561214624104645789101745678[[#This Row],[Discount selection]],'Discount Structure'!$A$2:$B$30,2,"false"),0)</f>
        <v>1</v>
      </c>
      <c r="L21" s="194">
        <f>_1_541284561214624104645789101745678[[#This Row],[LIST $]]*_1_541284561214624104645789101745678[[#This Row],[DISCOUNT]]*_1_541284561214624104645789101745678[[#This Row],[DISCOUNT 2]]</f>
        <v>4</v>
      </c>
      <c r="M21" s="194">
        <f>IF(OR(_1_541284561214624104645789101745678[[#This Row],[UNIT]]&gt;0,_1_541284561214624104645789101745678[[#This Row],[UNIT]]&lt;0),_1_541284561214624104645789101745678[[#This Row],[UNIT]]*_1_541284561214624104645789101745678[[#This Row],[COST]],0)</f>
        <v>4</v>
      </c>
      <c r="N21" s="194">
        <f t="shared" si="0"/>
        <v>1.3</v>
      </c>
      <c r="O21" s="198">
        <f>_1_541284561214624104645789101745678[[#This Row],[TOTAL]]*_1_541284561214624104645789101745678[[#This Row],[MARGIN]]</f>
        <v>5.2</v>
      </c>
      <c r="R21" s="41"/>
    </row>
    <row r="22" spans="1:18">
      <c r="A22" s="168"/>
      <c r="C22" s="168"/>
      <c r="D22" s="188" t="s">
        <v>311</v>
      </c>
      <c r="E22" s="41">
        <v>50</v>
      </c>
      <c r="F22" s="168" t="s">
        <v>6202</v>
      </c>
      <c r="G22" s="193" t="str">
        <f>IF(_1_541284561214624104645789101745678[[#This Row],[Type]]&gt;0,VLOOKUP(_1_541284561214624104645789101745678[[#This Row],[Type]],Main[[#All],[TYPE]:[UNIT]],'Unit Price'!C$1,FALSE),0)</f>
        <v>CONTROL CABLE</v>
      </c>
      <c r="H22" s="197" t="str">
        <f>IF(_1_541284561214624104645789101745678[[#This Row],[Type]]&gt;0,VLOOKUP(_1_541284561214624104645789101745678[[#This Row],[Type]],Main[[#All],[TYPE]:[UNIT]],'Unit Price'!D$1,FALSE),0)</f>
        <v>UC</v>
      </c>
      <c r="I22" s="194">
        <f>IF(_1_541284561214624104645789101745678[[#This Row],[Type]]&gt;0,VLOOKUP(_1_541284561214624104645789101745678[[#This Row],[Type]],Main[[#All],[TYPE]:[UNIT]],'Unit Price'!G$1,FALSE),0)</f>
        <v>1</v>
      </c>
      <c r="J22" s="194">
        <f>IF(_1_541284561214624104645789101745678[[#This Row],[Type]]&gt;0,VLOOKUP(_1_541284561214624104645789101745678[[#This Row],[Type]],Main[[#All],[TYPE]:[UNIT]],'Unit Price'!H$1,FALSE),0)</f>
        <v>1</v>
      </c>
      <c r="K22" s="194">
        <f>IF(_1_541284561214624104645789101745678[[#This Row],[Discount selection]]&gt;0,VLOOKUP(_1_541284561214624104645789101745678[[#This Row],[Discount selection]],'Discount Structure'!$A$2:$B$30,2,"false"),0)</f>
        <v>1</v>
      </c>
      <c r="L22" s="194">
        <f>_1_541284561214624104645789101745678[[#This Row],[LIST $]]*_1_541284561214624104645789101745678[[#This Row],[DISCOUNT]]*_1_541284561214624104645789101745678[[#This Row],[DISCOUNT 2]]</f>
        <v>1</v>
      </c>
      <c r="M22" s="194">
        <f>IF(OR(_1_541284561214624104645789101745678[[#This Row],[UNIT]]&gt;0,_1_541284561214624104645789101745678[[#This Row],[UNIT]]&lt;0),_1_541284561214624104645789101745678[[#This Row],[UNIT]]*_1_541284561214624104645789101745678[[#This Row],[COST]],0)</f>
        <v>50</v>
      </c>
      <c r="N22" s="194">
        <f t="shared" si="0"/>
        <v>1.3</v>
      </c>
      <c r="O22" s="198">
        <f>_1_541284561214624104645789101745678[[#This Row],[TOTAL]]*_1_541284561214624104645789101745678[[#This Row],[MARGIN]]</f>
        <v>65</v>
      </c>
      <c r="R22" s="41"/>
    </row>
    <row r="23" spans="1:18">
      <c r="C23" s="168"/>
      <c r="D23" s="314"/>
      <c r="F23" s="168" t="s">
        <v>6202</v>
      </c>
      <c r="G23" s="193">
        <f>IF(_1_541284561214624104645789101745678[[#This Row],[Type]]&gt;0,VLOOKUP(_1_541284561214624104645789101745678[[#This Row],[Type]],Main[[#All],[TYPE]:[UNIT]],'Unit Price'!C$1,FALSE),0)</f>
        <v>0</v>
      </c>
      <c r="H23" s="197">
        <f>IF(_1_541284561214624104645789101745678[[#This Row],[Type]]&gt;0,VLOOKUP(_1_541284561214624104645789101745678[[#This Row],[Type]],Main[[#All],[TYPE]:[UNIT]],'Unit Price'!D$1,FALSE),0)</f>
        <v>0</v>
      </c>
      <c r="I23" s="194">
        <f>IF(_1_541284561214624104645789101745678[[#This Row],[Type]]&gt;0,VLOOKUP(_1_541284561214624104645789101745678[[#This Row],[Type]],Main[[#All],[TYPE]:[UNIT]],'Unit Price'!G$1,FALSE),0)</f>
        <v>0</v>
      </c>
      <c r="J23" s="194">
        <f>IF(_1_541284561214624104645789101745678[[#This Row],[Type]]&gt;0,VLOOKUP(_1_541284561214624104645789101745678[[#This Row],[Type]],Main[[#All],[TYPE]:[UNIT]],'Unit Price'!H$1,FALSE),0)</f>
        <v>0</v>
      </c>
      <c r="K23" s="194">
        <f>IF(_1_541284561214624104645789101745678[[#This Row],[Discount selection]]&gt;0,VLOOKUP(_1_541284561214624104645789101745678[[#This Row],[Discount selection]],'Discount Structure'!$A$2:$B$30,2,"false"),0)</f>
        <v>1</v>
      </c>
      <c r="L23" s="194">
        <f>_1_541284561214624104645789101745678[[#This Row],[LIST $]]*_1_541284561214624104645789101745678[[#This Row],[DISCOUNT]]*_1_541284561214624104645789101745678[[#This Row],[DISCOUNT 2]]</f>
        <v>0</v>
      </c>
      <c r="M23" s="194">
        <f>IF(OR(_1_541284561214624104645789101745678[[#This Row],[UNIT]]&gt;0,_1_541284561214624104645789101745678[[#This Row],[UNIT]]&lt;0),_1_541284561214624104645789101745678[[#This Row],[UNIT]]*_1_541284561214624104645789101745678[[#This Row],[COST]],0)</f>
        <v>0</v>
      </c>
      <c r="N23" s="194">
        <f t="shared" si="0"/>
        <v>1.3</v>
      </c>
      <c r="O23" s="198">
        <f>_1_541284561214624104645789101745678[[#This Row],[TOTAL]]*_1_541284561214624104645789101745678[[#This Row],[MARGIN]]</f>
        <v>0</v>
      </c>
      <c r="R23" s="41"/>
    </row>
    <row r="24" spans="1:18">
      <c r="C24" s="168"/>
      <c r="D24" s="188" t="s">
        <v>5812</v>
      </c>
      <c r="E24" s="41">
        <v>1</v>
      </c>
      <c r="F24" s="168" t="s">
        <v>6202</v>
      </c>
      <c r="G24" s="193" t="str">
        <f>IF(_1_541284561214624104645789101745678[[#This Row],[Type]]&gt;0,VLOOKUP(_1_541284561214624104645789101745678[[#This Row],[Type]],Main[[#All],[TYPE]:[UNIT]],'Unit Price'!C$1,FALSE),0)</f>
        <v>DB, MCCB incoming,
4R 3x16W+1x8W
850x400x150</v>
      </c>
      <c r="H24" s="197" t="str">
        <f>IF(_1_541284561214624104645789101745678[[#This Row],[Type]]&gt;0,VLOOKUP(_1_541284561214624104645789101745678[[#This Row],[Type]],Main[[#All],[TYPE]:[UNIT]],'Unit Price'!D$1,FALSE),0)</f>
        <v>TK</v>
      </c>
      <c r="I24" s="194">
        <f>IF(_1_541284561214624104645789101745678[[#This Row],[Type]]&gt;0,VLOOKUP(_1_541284561214624104645789101745678[[#This Row],[Type]],Main[[#All],[TYPE]:[UNIT]],'Unit Price'!G$1,FALSE),0)</f>
        <v>358</v>
      </c>
      <c r="J24" s="194">
        <f>IF(_1_541284561214624104645789101745678[[#This Row],[Type]]&gt;0,VLOOKUP(_1_541284561214624104645789101745678[[#This Row],[Type]],Main[[#All],[TYPE]:[UNIT]],'Unit Price'!H$1,FALSE),0)</f>
        <v>1</v>
      </c>
      <c r="K24" s="194">
        <f>IF(_1_541284561214624104645789101745678[[#This Row],[Discount selection]]&gt;0,VLOOKUP(_1_541284561214624104645789101745678[[#This Row],[Discount selection]],'Discount Structure'!$A$2:$B$30,2,"false"),0)</f>
        <v>1</v>
      </c>
      <c r="L24" s="194">
        <f>_1_541284561214624104645789101745678[[#This Row],[LIST $]]*_1_541284561214624104645789101745678[[#This Row],[DISCOUNT]]*_1_541284561214624104645789101745678[[#This Row],[DISCOUNT 2]]</f>
        <v>358</v>
      </c>
      <c r="M24" s="194">
        <f>IF(OR(_1_541284561214624104645789101745678[[#This Row],[UNIT]]&gt;0,_1_541284561214624104645789101745678[[#This Row],[UNIT]]&lt;0),_1_541284561214624104645789101745678[[#This Row],[UNIT]]*_1_541284561214624104645789101745678[[#This Row],[COST]],0)</f>
        <v>358</v>
      </c>
      <c r="N24" s="194">
        <f t="shared" si="0"/>
        <v>1.3</v>
      </c>
      <c r="O24" s="198">
        <f>_1_541284561214624104645789101745678[[#This Row],[TOTAL]]*_1_541284561214624104645789101745678[[#This Row],[MARGIN]]</f>
        <v>465.40000000000003</v>
      </c>
      <c r="R24" s="41"/>
    </row>
    <row r="25" spans="1:18">
      <c r="C25" s="168"/>
      <c r="D25" s="188"/>
      <c r="F25" s="168" t="s">
        <v>6202</v>
      </c>
      <c r="G25" s="193">
        <f>IF(_1_541284561214624104645789101745678[[#This Row],[Type]]&gt;0,VLOOKUP(_1_541284561214624104645789101745678[[#This Row],[Type]],Main[[#All],[TYPE]:[UNIT]],'Unit Price'!C$1,FALSE),0)</f>
        <v>0</v>
      </c>
      <c r="H25" s="197">
        <f>IF(_1_541284561214624104645789101745678[[#This Row],[Type]]&gt;0,VLOOKUP(_1_541284561214624104645789101745678[[#This Row],[Type]],Main[[#All],[TYPE]:[UNIT]],'Unit Price'!D$1,FALSE),0)</f>
        <v>0</v>
      </c>
      <c r="I25" s="194">
        <f>IF(_1_541284561214624104645789101745678[[#This Row],[Type]]&gt;0,VLOOKUP(_1_541284561214624104645789101745678[[#This Row],[Type]],Main[[#All],[TYPE]:[UNIT]],'Unit Price'!G$1,FALSE),0)</f>
        <v>0</v>
      </c>
      <c r="J25" s="194">
        <f>IF(_1_541284561214624104645789101745678[[#This Row],[Type]]&gt;0,VLOOKUP(_1_541284561214624104645789101745678[[#This Row],[Type]],Main[[#All],[TYPE]:[UNIT]],'Unit Price'!H$1,FALSE),0)</f>
        <v>0</v>
      </c>
      <c r="K25" s="194">
        <f>IF(_1_541284561214624104645789101745678[[#This Row],[Discount selection]]&gt;0,VLOOKUP(_1_541284561214624104645789101745678[[#This Row],[Discount selection]],'Discount Structure'!$A$2:$B$30,2,"false"),0)</f>
        <v>1</v>
      </c>
      <c r="L25" s="194">
        <f>_1_541284561214624104645789101745678[[#This Row],[LIST $]]*_1_541284561214624104645789101745678[[#This Row],[DISCOUNT]]*_1_541284561214624104645789101745678[[#This Row],[DISCOUNT 2]]</f>
        <v>0</v>
      </c>
      <c r="M25" s="194">
        <f>IF(OR(_1_541284561214624104645789101745678[[#This Row],[UNIT]]&gt;0,_1_541284561214624104645789101745678[[#This Row],[UNIT]]&lt;0),_1_541284561214624104645789101745678[[#This Row],[UNIT]]*_1_541284561214624104645789101745678[[#This Row],[COST]],0)</f>
        <v>0</v>
      </c>
      <c r="N25" s="194">
        <f t="shared" si="0"/>
        <v>1.3</v>
      </c>
      <c r="O25" s="198">
        <f>_1_541284561214624104645789101745678[[#This Row],[TOTAL]]*_1_541284561214624104645789101745678[[#This Row],[MARGIN]]</f>
        <v>0</v>
      </c>
      <c r="R25" s="41"/>
    </row>
    <row r="26" spans="1:18">
      <c r="C26" s="168"/>
      <c r="D26" s="188"/>
      <c r="F26" s="168" t="s">
        <v>6202</v>
      </c>
      <c r="G26" s="193">
        <f>IF(_1_541284561214624104645789101745678[[#This Row],[Type]]&gt;0,VLOOKUP(_1_541284561214624104645789101745678[[#This Row],[Type]],Main[[#All],[TYPE]:[UNIT]],'Unit Price'!C$1,FALSE),0)</f>
        <v>0</v>
      </c>
      <c r="H26" s="197">
        <f>IF(_1_541284561214624104645789101745678[[#This Row],[Type]]&gt;0,VLOOKUP(_1_541284561214624104645789101745678[[#This Row],[Type]],Main[[#All],[TYPE]:[UNIT]],'Unit Price'!D$1,FALSE),0)</f>
        <v>0</v>
      </c>
      <c r="I26" s="194">
        <f>IF(_1_541284561214624104645789101745678[[#This Row],[Type]]&gt;0,VLOOKUP(_1_541284561214624104645789101745678[[#This Row],[Type]],Main[[#All],[TYPE]:[UNIT]],'Unit Price'!G$1,FALSE),0)</f>
        <v>0</v>
      </c>
      <c r="J26" s="194">
        <f>IF(_1_541284561214624104645789101745678[[#This Row],[Type]]&gt;0,VLOOKUP(_1_541284561214624104645789101745678[[#This Row],[Type]],Main[[#All],[TYPE]:[UNIT]],'Unit Price'!H$1,FALSE),0)</f>
        <v>0</v>
      </c>
      <c r="K26" s="194">
        <f>IF(_1_541284561214624104645789101745678[[#This Row],[Discount selection]]&gt;0,VLOOKUP(_1_541284561214624104645789101745678[[#This Row],[Discount selection]],'Discount Structure'!$A$2:$B$30,2,"false"),0)</f>
        <v>1</v>
      </c>
      <c r="L26" s="194">
        <f>_1_541284561214624104645789101745678[[#This Row],[LIST $]]*_1_541284561214624104645789101745678[[#This Row],[DISCOUNT]]*_1_541284561214624104645789101745678[[#This Row],[DISCOUNT 2]]</f>
        <v>0</v>
      </c>
      <c r="M26" s="194">
        <f>IF(OR(_1_541284561214624104645789101745678[[#This Row],[UNIT]]&gt;0,_1_541284561214624104645789101745678[[#This Row],[UNIT]]&lt;0),_1_541284561214624104645789101745678[[#This Row],[UNIT]]*_1_541284561214624104645789101745678[[#This Row],[COST]],0)</f>
        <v>0</v>
      </c>
      <c r="N26" s="194">
        <f t="shared" si="0"/>
        <v>1.3</v>
      </c>
      <c r="O26" s="198">
        <f>_1_541284561214624104645789101745678[[#This Row],[TOTAL]]*_1_541284561214624104645789101745678[[#This Row],[MARGIN]]</f>
        <v>0</v>
      </c>
      <c r="R26" s="41"/>
    </row>
    <row r="27" spans="1:18">
      <c r="B27" s="168"/>
      <c r="C27" s="168"/>
      <c r="D27" s="188"/>
      <c r="F27" s="168" t="s">
        <v>6202</v>
      </c>
      <c r="G27" s="193">
        <f>IF(_1_541284561214624104645789101745678[[#This Row],[Type]]&gt;0,VLOOKUP(_1_541284561214624104645789101745678[[#This Row],[Type]],Main[[#All],[TYPE]:[UNIT]],'Unit Price'!C$1,FALSE),0)</f>
        <v>0</v>
      </c>
      <c r="H27" s="197">
        <f>IF(_1_541284561214624104645789101745678[[#This Row],[Type]]&gt;0,VLOOKUP(_1_541284561214624104645789101745678[[#This Row],[Type]],Main[[#All],[TYPE]:[UNIT]],'Unit Price'!D$1,FALSE),0)</f>
        <v>0</v>
      </c>
      <c r="I27" s="194">
        <f>IF(_1_541284561214624104645789101745678[[#This Row],[Type]]&gt;0,VLOOKUP(_1_541284561214624104645789101745678[[#This Row],[Type]],Main[[#All],[TYPE]:[UNIT]],'Unit Price'!G$1,FALSE),0)</f>
        <v>0</v>
      </c>
      <c r="J27" s="194">
        <f>IF(_1_541284561214624104645789101745678[[#This Row],[Type]]&gt;0,VLOOKUP(_1_541284561214624104645789101745678[[#This Row],[Type]],Main[[#All],[TYPE]:[UNIT]],'Unit Price'!H$1,FALSE),0)</f>
        <v>0</v>
      </c>
      <c r="K27" s="194">
        <f>IF(_1_541284561214624104645789101745678[[#This Row],[Discount selection]]&gt;0,VLOOKUP(_1_541284561214624104645789101745678[[#This Row],[Discount selection]],'Discount Structure'!$A$2:$B$30,2,"false"),0)</f>
        <v>1</v>
      </c>
      <c r="L27" s="194">
        <f>_1_541284561214624104645789101745678[[#This Row],[LIST $]]*_1_541284561214624104645789101745678[[#This Row],[DISCOUNT]]*_1_541284561214624104645789101745678[[#This Row],[DISCOUNT 2]]</f>
        <v>0</v>
      </c>
      <c r="M27" s="194">
        <f>IF(OR(_1_541284561214624104645789101745678[[#This Row],[UNIT]]&gt;0,_1_541284561214624104645789101745678[[#This Row],[UNIT]]&lt;0),_1_541284561214624104645789101745678[[#This Row],[UNIT]]*_1_541284561214624104645789101745678[[#This Row],[COST]],0)</f>
        <v>0</v>
      </c>
      <c r="N27" s="194">
        <f t="shared" si="0"/>
        <v>1.3</v>
      </c>
      <c r="O27" s="198">
        <f>_1_541284561214624104645789101745678[[#This Row],[TOTAL]]*_1_541284561214624104645789101745678[[#This Row],[MARGIN]]</f>
        <v>0</v>
      </c>
      <c r="R27" s="41"/>
    </row>
    <row r="28" spans="1:18">
      <c r="A28" s="168"/>
      <c r="C28" s="168"/>
      <c r="D28" s="188"/>
      <c r="F28" s="168" t="s">
        <v>6202</v>
      </c>
      <c r="G28" s="193">
        <f>IF(_1_541284561214624104645789101745678[[#This Row],[Type]]&gt;0,VLOOKUP(_1_541284561214624104645789101745678[[#This Row],[Type]],Main[[#All],[TYPE]:[UNIT]],'Unit Price'!C$1,FALSE),0)</f>
        <v>0</v>
      </c>
      <c r="H28" s="197">
        <f>IF(_1_541284561214624104645789101745678[[#This Row],[Type]]&gt;0,VLOOKUP(_1_541284561214624104645789101745678[[#This Row],[Type]],Main[[#All],[TYPE]:[UNIT]],'Unit Price'!D$1,FALSE),0)</f>
        <v>0</v>
      </c>
      <c r="I28" s="194">
        <f>IF(_1_541284561214624104645789101745678[[#This Row],[Type]]&gt;0,VLOOKUP(_1_541284561214624104645789101745678[[#This Row],[Type]],Main[[#All],[TYPE]:[UNIT]],'Unit Price'!G$1,FALSE),0)</f>
        <v>0</v>
      </c>
      <c r="J28" s="194">
        <f>IF(_1_541284561214624104645789101745678[[#This Row],[Type]]&gt;0,VLOOKUP(_1_541284561214624104645789101745678[[#This Row],[Type]],Main[[#All],[TYPE]:[UNIT]],'Unit Price'!H$1,FALSE),0)</f>
        <v>0</v>
      </c>
      <c r="K28" s="194">
        <f>IF(_1_541284561214624104645789101745678[[#This Row],[Discount selection]]&gt;0,VLOOKUP(_1_541284561214624104645789101745678[[#This Row],[Discount selection]],'Discount Structure'!$A$2:$B$30,2,"false"),0)</f>
        <v>1</v>
      </c>
      <c r="L28" s="194">
        <f>_1_541284561214624104645789101745678[[#This Row],[LIST $]]*_1_541284561214624104645789101745678[[#This Row],[DISCOUNT]]*_1_541284561214624104645789101745678[[#This Row],[DISCOUNT 2]]</f>
        <v>0</v>
      </c>
      <c r="M28" s="194">
        <f>IF(OR(_1_541284561214624104645789101745678[[#This Row],[UNIT]]&gt;0,_1_541284561214624104645789101745678[[#This Row],[UNIT]]&lt;0),_1_541284561214624104645789101745678[[#This Row],[UNIT]]*_1_541284561214624104645789101745678[[#This Row],[COST]],0)</f>
        <v>0</v>
      </c>
      <c r="N28" s="194">
        <f t="shared" si="0"/>
        <v>1.3</v>
      </c>
      <c r="O28" s="198">
        <f>_1_541284561214624104645789101745678[[#This Row],[TOTAL]]*_1_541284561214624104645789101745678[[#This Row],[MARGIN]]</f>
        <v>0</v>
      </c>
      <c r="R28" s="41"/>
    </row>
    <row r="29" spans="1:18">
      <c r="A29" s="168"/>
      <c r="C29" s="168"/>
      <c r="D29" s="188"/>
      <c r="F29" s="168" t="s">
        <v>6202</v>
      </c>
      <c r="G29" s="193">
        <f>IF(_1_541284561214624104645789101745678[[#This Row],[Type]]&gt;0,VLOOKUP(_1_541284561214624104645789101745678[[#This Row],[Type]],Main[[#All],[TYPE]:[UNIT]],'Unit Price'!C$1,FALSE),0)</f>
        <v>0</v>
      </c>
      <c r="H29" s="197">
        <f>IF(_1_541284561214624104645789101745678[[#This Row],[Type]]&gt;0,VLOOKUP(_1_541284561214624104645789101745678[[#This Row],[Type]],Main[[#All],[TYPE]:[UNIT]],'Unit Price'!D$1,FALSE),0)</f>
        <v>0</v>
      </c>
      <c r="I29" s="194">
        <f>IF(_1_541284561214624104645789101745678[[#This Row],[Type]]&gt;0,VLOOKUP(_1_541284561214624104645789101745678[[#This Row],[Type]],Main[[#All],[TYPE]:[UNIT]],'Unit Price'!G$1,FALSE),0)</f>
        <v>0</v>
      </c>
      <c r="J29" s="194">
        <f>IF(_1_541284561214624104645789101745678[[#This Row],[Type]]&gt;0,VLOOKUP(_1_541284561214624104645789101745678[[#This Row],[Type]],Main[[#All],[TYPE]:[UNIT]],'Unit Price'!H$1,FALSE),0)</f>
        <v>0</v>
      </c>
      <c r="K29" s="194">
        <f>IF(_1_541284561214624104645789101745678[[#This Row],[Discount selection]]&gt;0,VLOOKUP(_1_541284561214624104645789101745678[[#This Row],[Discount selection]],'Discount Structure'!$A$2:$B$30,2,"false"),0)</f>
        <v>1</v>
      </c>
      <c r="L29" s="194">
        <f>_1_541284561214624104645789101745678[[#This Row],[LIST $]]*_1_541284561214624104645789101745678[[#This Row],[DISCOUNT]]*_1_541284561214624104645789101745678[[#This Row],[DISCOUNT 2]]</f>
        <v>0</v>
      </c>
      <c r="M29" s="194">
        <f>IF(OR(_1_541284561214624104645789101745678[[#This Row],[UNIT]]&gt;0,_1_541284561214624104645789101745678[[#This Row],[UNIT]]&lt;0),_1_541284561214624104645789101745678[[#This Row],[UNIT]]*_1_541284561214624104645789101745678[[#This Row],[COST]],0)</f>
        <v>0</v>
      </c>
      <c r="N29" s="194">
        <f t="shared" si="0"/>
        <v>1.3</v>
      </c>
      <c r="O29" s="198">
        <f>_1_541284561214624104645789101745678[[#This Row],[TOTAL]]*_1_541284561214624104645789101745678[[#This Row],[MARGIN]]</f>
        <v>0</v>
      </c>
      <c r="R29" s="41"/>
    </row>
    <row r="30" spans="1:18">
      <c r="A30" s="168"/>
      <c r="C30" s="168"/>
      <c r="D30" s="188"/>
      <c r="F30" s="168" t="s">
        <v>6202</v>
      </c>
      <c r="G30" s="193">
        <f>IF(_1_541284561214624104645789101745678[[#This Row],[Type]]&gt;0,VLOOKUP(_1_541284561214624104645789101745678[[#This Row],[Type]],Main[[#All],[TYPE]:[UNIT]],'Unit Price'!C$1,FALSE),0)</f>
        <v>0</v>
      </c>
      <c r="H30" s="197">
        <f>IF(_1_541284561214624104645789101745678[[#This Row],[Type]]&gt;0,VLOOKUP(_1_541284561214624104645789101745678[[#This Row],[Type]],Main[[#All],[TYPE]:[UNIT]],'Unit Price'!D$1,FALSE),0)</f>
        <v>0</v>
      </c>
      <c r="I30" s="194">
        <f>IF(_1_541284561214624104645789101745678[[#This Row],[Type]]&gt;0,VLOOKUP(_1_541284561214624104645789101745678[[#This Row],[Type]],Main[[#All],[TYPE]:[UNIT]],'Unit Price'!G$1,FALSE),0)</f>
        <v>0</v>
      </c>
      <c r="J30" s="194">
        <f>IF(_1_541284561214624104645789101745678[[#This Row],[Type]]&gt;0,VLOOKUP(_1_541284561214624104645789101745678[[#This Row],[Type]],Main[[#All],[TYPE]:[UNIT]],'Unit Price'!H$1,FALSE),0)</f>
        <v>0</v>
      </c>
      <c r="K30" s="194">
        <f>IF(_1_541284561214624104645789101745678[[#This Row],[Discount selection]]&gt;0,VLOOKUP(_1_541284561214624104645789101745678[[#This Row],[Discount selection]],'Discount Structure'!$A$2:$B$30,2,"false"),0)</f>
        <v>1</v>
      </c>
      <c r="L30" s="194">
        <f>_1_541284561214624104645789101745678[[#This Row],[LIST $]]*_1_541284561214624104645789101745678[[#This Row],[DISCOUNT]]*_1_541284561214624104645789101745678[[#This Row],[DISCOUNT 2]]</f>
        <v>0</v>
      </c>
      <c r="M30" s="194">
        <f>IF(OR(_1_541284561214624104645789101745678[[#This Row],[UNIT]]&gt;0,_1_541284561214624104645789101745678[[#This Row],[UNIT]]&lt;0),_1_541284561214624104645789101745678[[#This Row],[UNIT]]*_1_541284561214624104645789101745678[[#This Row],[COST]],0)</f>
        <v>0</v>
      </c>
      <c r="N30" s="194">
        <f t="shared" si="0"/>
        <v>1.3</v>
      </c>
      <c r="O30" s="198">
        <f>_1_541284561214624104645789101745678[[#This Row],[TOTAL]]*_1_541284561214624104645789101745678[[#This Row],[MARGIN]]</f>
        <v>0</v>
      </c>
      <c r="R30" s="41"/>
    </row>
    <row r="31" spans="1:18">
      <c r="A31" s="168"/>
      <c r="C31" s="168"/>
      <c r="D31" s="188"/>
      <c r="F31" s="168" t="s">
        <v>6202</v>
      </c>
      <c r="G31" s="193">
        <f>IF(_1_541284561214624104645789101745678[[#This Row],[Type]]&gt;0,VLOOKUP(_1_541284561214624104645789101745678[[#This Row],[Type]],Main[[#All],[TYPE]:[UNIT]],'Unit Price'!C$1,FALSE),0)</f>
        <v>0</v>
      </c>
      <c r="H31" s="197">
        <f>IF(_1_541284561214624104645789101745678[[#This Row],[Type]]&gt;0,VLOOKUP(_1_541284561214624104645789101745678[[#This Row],[Type]],Main[[#All],[TYPE]:[UNIT]],'Unit Price'!D$1,FALSE),0)</f>
        <v>0</v>
      </c>
      <c r="I31" s="194">
        <f>IF(_1_541284561214624104645789101745678[[#This Row],[Type]]&gt;0,VLOOKUP(_1_541284561214624104645789101745678[[#This Row],[Type]],Main[[#All],[TYPE]:[UNIT]],'Unit Price'!G$1,FALSE),0)</f>
        <v>0</v>
      </c>
      <c r="J31" s="194">
        <f>IF(_1_541284561214624104645789101745678[[#This Row],[Type]]&gt;0,VLOOKUP(_1_541284561214624104645789101745678[[#This Row],[Type]],Main[[#All],[TYPE]:[UNIT]],'Unit Price'!H$1,FALSE),0)</f>
        <v>0</v>
      </c>
      <c r="K31" s="194">
        <f>IF(_1_541284561214624104645789101745678[[#This Row],[Discount selection]]&gt;0,VLOOKUP(_1_541284561214624104645789101745678[[#This Row],[Discount selection]],'Discount Structure'!$A$2:$B$30,2,"false"),0)</f>
        <v>1</v>
      </c>
      <c r="L31" s="194">
        <f>_1_541284561214624104645789101745678[[#This Row],[LIST $]]*_1_541284561214624104645789101745678[[#This Row],[DISCOUNT]]*_1_541284561214624104645789101745678[[#This Row],[DISCOUNT 2]]</f>
        <v>0</v>
      </c>
      <c r="M31" s="194">
        <f>IF(OR(_1_541284561214624104645789101745678[[#This Row],[UNIT]]&gt;0,_1_541284561214624104645789101745678[[#This Row],[UNIT]]&lt;0),_1_541284561214624104645789101745678[[#This Row],[UNIT]]*_1_541284561214624104645789101745678[[#This Row],[COST]],0)</f>
        <v>0</v>
      </c>
      <c r="N31" s="194">
        <f t="shared" si="0"/>
        <v>1.3</v>
      </c>
      <c r="O31" s="198">
        <f>_1_541284561214624104645789101745678[[#This Row],[TOTAL]]*_1_541284561214624104645789101745678[[#This Row],[MARGIN]]</f>
        <v>0</v>
      </c>
      <c r="R31" s="41"/>
    </row>
    <row r="32" spans="1:18">
      <c r="C32" s="168"/>
      <c r="D32" s="188"/>
      <c r="F32" s="168" t="s">
        <v>6202</v>
      </c>
      <c r="G32" s="193">
        <f>IF(_1_541284561214624104645789101745678[[#This Row],[Type]]&gt;0,VLOOKUP(_1_541284561214624104645789101745678[[#This Row],[Type]],Main[[#All],[TYPE]:[UNIT]],'Unit Price'!C$1,FALSE),0)</f>
        <v>0</v>
      </c>
      <c r="H32" s="197">
        <f>IF(_1_541284561214624104645789101745678[[#This Row],[Type]]&gt;0,VLOOKUP(_1_541284561214624104645789101745678[[#This Row],[Type]],Main[[#All],[TYPE]:[UNIT]],'Unit Price'!D$1,FALSE),0)</f>
        <v>0</v>
      </c>
      <c r="I32" s="194">
        <f>IF(_1_541284561214624104645789101745678[[#This Row],[Type]]&gt;0,VLOOKUP(_1_541284561214624104645789101745678[[#This Row],[Type]],Main[[#All],[TYPE]:[UNIT]],'Unit Price'!G$1,FALSE),0)</f>
        <v>0</v>
      </c>
      <c r="J32" s="194">
        <f>IF(_1_541284561214624104645789101745678[[#This Row],[Type]]&gt;0,VLOOKUP(_1_541284561214624104645789101745678[[#This Row],[Type]],Main[[#All],[TYPE]:[UNIT]],'Unit Price'!H$1,FALSE),0)</f>
        <v>0</v>
      </c>
      <c r="K32" s="194">
        <f>IF(_1_541284561214624104645789101745678[[#This Row],[Discount selection]]&gt;0,VLOOKUP(_1_541284561214624104645789101745678[[#This Row],[Discount selection]],'Discount Structure'!$A$2:$B$30,2,"false"),0)</f>
        <v>1</v>
      </c>
      <c r="L32" s="194">
        <f>_1_541284561214624104645789101745678[[#This Row],[LIST $]]*_1_541284561214624104645789101745678[[#This Row],[DISCOUNT]]*_1_541284561214624104645789101745678[[#This Row],[DISCOUNT 2]]</f>
        <v>0</v>
      </c>
      <c r="M32" s="194">
        <f>IF(OR(_1_541284561214624104645789101745678[[#This Row],[UNIT]]&gt;0,_1_541284561214624104645789101745678[[#This Row],[UNIT]]&lt;0),_1_541284561214624104645789101745678[[#This Row],[UNIT]]*_1_541284561214624104645789101745678[[#This Row],[COST]],0)</f>
        <v>0</v>
      </c>
      <c r="N32" s="194">
        <f t="shared" si="0"/>
        <v>1.3</v>
      </c>
      <c r="O32" s="198">
        <f>_1_541284561214624104645789101745678[[#This Row],[TOTAL]]*_1_541284561214624104645789101745678[[#This Row],[MARGIN]]</f>
        <v>0</v>
      </c>
      <c r="R32" s="41"/>
    </row>
    <row r="33" spans="1:18">
      <c r="A33" s="331"/>
      <c r="C33" s="168"/>
      <c r="D33" s="188"/>
      <c r="F33" s="168" t="s">
        <v>6202</v>
      </c>
      <c r="G33" s="193">
        <f>IF(_1_541284561214624104645789101745678[[#This Row],[Type]]&gt;0,VLOOKUP(_1_541284561214624104645789101745678[[#This Row],[Type]],Main[[#All],[TYPE]:[UNIT]],'Unit Price'!C$1,FALSE),0)</f>
        <v>0</v>
      </c>
      <c r="H33" s="197">
        <f>IF(_1_541284561214624104645789101745678[[#This Row],[Type]]&gt;0,VLOOKUP(_1_541284561214624104645789101745678[[#This Row],[Type]],Main[[#All],[TYPE]:[UNIT]],'Unit Price'!D$1,FALSE),0)</f>
        <v>0</v>
      </c>
      <c r="I33" s="194">
        <f>IF(_1_541284561214624104645789101745678[[#This Row],[Type]]&gt;0,VLOOKUP(_1_541284561214624104645789101745678[[#This Row],[Type]],Main[[#All],[TYPE]:[UNIT]],'Unit Price'!G$1,FALSE),0)</f>
        <v>0</v>
      </c>
      <c r="J33" s="194">
        <f>IF(_1_541284561214624104645789101745678[[#This Row],[Type]]&gt;0,VLOOKUP(_1_541284561214624104645789101745678[[#This Row],[Type]],Main[[#All],[TYPE]:[UNIT]],'Unit Price'!H$1,FALSE),0)</f>
        <v>0</v>
      </c>
      <c r="K33" s="194">
        <f>IF(_1_541284561214624104645789101745678[[#This Row],[Discount selection]]&gt;0,VLOOKUP(_1_541284561214624104645789101745678[[#This Row],[Discount selection]],'Discount Structure'!$A$2:$B$30,2,"false"),0)</f>
        <v>1</v>
      </c>
      <c r="L33" s="194">
        <f>_1_541284561214624104645789101745678[[#This Row],[LIST $]]*_1_541284561214624104645789101745678[[#This Row],[DISCOUNT]]*_1_541284561214624104645789101745678[[#This Row],[DISCOUNT 2]]</f>
        <v>0</v>
      </c>
      <c r="M33" s="194">
        <f>IF(OR(_1_541284561214624104645789101745678[[#This Row],[UNIT]]&gt;0,_1_541284561214624104645789101745678[[#This Row],[UNIT]]&lt;0),_1_541284561214624104645789101745678[[#This Row],[UNIT]]*_1_541284561214624104645789101745678[[#This Row],[COST]],0)</f>
        <v>0</v>
      </c>
      <c r="N33" s="194">
        <f t="shared" si="0"/>
        <v>1.3</v>
      </c>
      <c r="O33" s="198">
        <f>_1_541284561214624104645789101745678[[#This Row],[TOTAL]]*_1_541284561214624104645789101745678[[#This Row],[MARGIN]]</f>
        <v>0</v>
      </c>
      <c r="R33" s="41"/>
    </row>
    <row r="34" spans="1:18">
      <c r="C34" s="168"/>
      <c r="D34" s="188"/>
      <c r="F34" s="168" t="s">
        <v>6202</v>
      </c>
      <c r="G34" s="193">
        <f>IF(_1_541284561214624104645789101745678[[#This Row],[Type]]&gt;0,VLOOKUP(_1_541284561214624104645789101745678[[#This Row],[Type]],Main[[#All],[TYPE]:[UNIT]],'Unit Price'!C$1,FALSE),0)</f>
        <v>0</v>
      </c>
      <c r="H34" s="197">
        <f>IF(_1_541284561214624104645789101745678[[#This Row],[Type]]&gt;0,VLOOKUP(_1_541284561214624104645789101745678[[#This Row],[Type]],Main[[#All],[TYPE]:[UNIT]],'Unit Price'!D$1,FALSE),0)</f>
        <v>0</v>
      </c>
      <c r="I34" s="194">
        <f>IF(_1_541284561214624104645789101745678[[#This Row],[Type]]&gt;0,VLOOKUP(_1_541284561214624104645789101745678[[#This Row],[Type]],Main[[#All],[TYPE]:[UNIT]],'Unit Price'!G$1,FALSE),0)</f>
        <v>0</v>
      </c>
      <c r="J34" s="194">
        <f>IF(_1_541284561214624104645789101745678[[#This Row],[Type]]&gt;0,VLOOKUP(_1_541284561214624104645789101745678[[#This Row],[Type]],Main[[#All],[TYPE]:[UNIT]],'Unit Price'!H$1,FALSE),0)</f>
        <v>0</v>
      </c>
      <c r="K34" s="194">
        <f>IF(_1_541284561214624104645789101745678[[#This Row],[Discount selection]]&gt;0,VLOOKUP(_1_541284561214624104645789101745678[[#This Row],[Discount selection]],'Discount Structure'!$A$2:$B$30,2,"false"),0)</f>
        <v>1</v>
      </c>
      <c r="L34" s="194">
        <f>_1_541284561214624104645789101745678[[#This Row],[LIST $]]*_1_541284561214624104645789101745678[[#This Row],[DISCOUNT]]*_1_541284561214624104645789101745678[[#This Row],[DISCOUNT 2]]</f>
        <v>0</v>
      </c>
      <c r="M34" s="194">
        <f>IF(OR(_1_541284561214624104645789101745678[[#This Row],[UNIT]]&gt;0,_1_541284561214624104645789101745678[[#This Row],[UNIT]]&lt;0),_1_541284561214624104645789101745678[[#This Row],[UNIT]]*_1_541284561214624104645789101745678[[#This Row],[COST]],0)</f>
        <v>0</v>
      </c>
      <c r="N34" s="194">
        <f t="shared" si="0"/>
        <v>1.3</v>
      </c>
      <c r="O34" s="198">
        <f>_1_541284561214624104645789101745678[[#This Row],[TOTAL]]*_1_541284561214624104645789101745678[[#This Row],[MARGIN]]</f>
        <v>0</v>
      </c>
      <c r="R34" s="41"/>
    </row>
    <row r="35" spans="1:18">
      <c r="C35" s="168"/>
      <c r="D35" s="188"/>
      <c r="F35" s="168" t="s">
        <v>6202</v>
      </c>
      <c r="G35" s="193">
        <f>IF(_1_541284561214624104645789101745678[[#This Row],[Type]]&gt;0,VLOOKUP(_1_541284561214624104645789101745678[[#This Row],[Type]],Main[[#All],[TYPE]:[UNIT]],'Unit Price'!C$1,FALSE),0)</f>
        <v>0</v>
      </c>
      <c r="H35" s="197">
        <f>IF(_1_541284561214624104645789101745678[[#This Row],[Type]]&gt;0,VLOOKUP(_1_541284561214624104645789101745678[[#This Row],[Type]],Main[[#All],[TYPE]:[UNIT]],'Unit Price'!D$1,FALSE),0)</f>
        <v>0</v>
      </c>
      <c r="I35" s="194">
        <f>IF(_1_541284561214624104645789101745678[[#This Row],[Type]]&gt;0,VLOOKUP(_1_541284561214624104645789101745678[[#This Row],[Type]],Main[[#All],[TYPE]:[UNIT]],'Unit Price'!G$1,FALSE),0)</f>
        <v>0</v>
      </c>
      <c r="J35" s="194">
        <f>IF(_1_541284561214624104645789101745678[[#This Row],[Type]]&gt;0,VLOOKUP(_1_541284561214624104645789101745678[[#This Row],[Type]],Main[[#All],[TYPE]:[UNIT]],'Unit Price'!H$1,FALSE),0)</f>
        <v>0</v>
      </c>
      <c r="K35" s="194">
        <f>IF(_1_541284561214624104645789101745678[[#This Row],[Discount selection]]&gt;0,VLOOKUP(_1_541284561214624104645789101745678[[#This Row],[Discount selection]],'Discount Structure'!$A$2:$B$30,2,"false"),0)</f>
        <v>1</v>
      </c>
      <c r="L35" s="194">
        <f>_1_541284561214624104645789101745678[[#This Row],[LIST $]]*_1_541284561214624104645789101745678[[#This Row],[DISCOUNT]]*_1_541284561214624104645789101745678[[#This Row],[DISCOUNT 2]]</f>
        <v>0</v>
      </c>
      <c r="M35" s="194">
        <f>IF(OR(_1_541284561214624104645789101745678[[#This Row],[UNIT]]&gt;0,_1_541284561214624104645789101745678[[#This Row],[UNIT]]&lt;0),_1_541284561214624104645789101745678[[#This Row],[UNIT]]*_1_541284561214624104645789101745678[[#This Row],[COST]],0)</f>
        <v>0</v>
      </c>
      <c r="N35" s="194">
        <f t="shared" si="0"/>
        <v>1.3</v>
      </c>
      <c r="O35" s="198">
        <f>_1_541284561214624104645789101745678[[#This Row],[TOTAL]]*_1_541284561214624104645789101745678[[#This Row],[MARGIN]]</f>
        <v>0</v>
      </c>
      <c r="R35" s="41"/>
    </row>
    <row r="36" spans="1:18">
      <c r="A36" s="168"/>
      <c r="B36" s="315"/>
      <c r="C36" s="168"/>
      <c r="D36" s="188"/>
      <c r="F36" s="168" t="s">
        <v>6202</v>
      </c>
      <c r="G36" s="193">
        <f>IF(_1_541284561214624104645789101745678[[#This Row],[Type]]&gt;0,VLOOKUP(_1_541284561214624104645789101745678[[#This Row],[Type]],Main[[#All],[TYPE]:[UNIT]],'Unit Price'!C$1,FALSE),0)</f>
        <v>0</v>
      </c>
      <c r="H36" s="197">
        <f>IF(_1_541284561214624104645789101745678[[#This Row],[Type]]&gt;0,VLOOKUP(_1_541284561214624104645789101745678[[#This Row],[Type]],Main[[#All],[TYPE]:[UNIT]],'Unit Price'!D$1,FALSE),0)</f>
        <v>0</v>
      </c>
      <c r="I36" s="194">
        <f>IF(_1_541284561214624104645789101745678[[#This Row],[Type]]&gt;0,VLOOKUP(_1_541284561214624104645789101745678[[#This Row],[Type]],Main[[#All],[TYPE]:[UNIT]],'Unit Price'!G$1,FALSE),0)</f>
        <v>0</v>
      </c>
      <c r="J36" s="194">
        <f>IF(_1_541284561214624104645789101745678[[#This Row],[Type]]&gt;0,VLOOKUP(_1_541284561214624104645789101745678[[#This Row],[Type]],Main[[#All],[TYPE]:[UNIT]],'Unit Price'!H$1,FALSE),0)</f>
        <v>0</v>
      </c>
      <c r="K36" s="194">
        <f>IF(_1_541284561214624104645789101745678[[#This Row],[Discount selection]]&gt;0,VLOOKUP(_1_541284561214624104645789101745678[[#This Row],[Discount selection]],'Discount Structure'!$A$2:$B$30,2,"false"),0)</f>
        <v>1</v>
      </c>
      <c r="L36" s="194">
        <f>_1_541284561214624104645789101745678[[#This Row],[LIST $]]*_1_541284561214624104645789101745678[[#This Row],[DISCOUNT]]*_1_541284561214624104645789101745678[[#This Row],[DISCOUNT 2]]</f>
        <v>0</v>
      </c>
      <c r="M36" s="194">
        <f>IF(OR(_1_541284561214624104645789101745678[[#This Row],[UNIT]]&gt;0,_1_541284561214624104645789101745678[[#This Row],[UNIT]]&lt;0),_1_541284561214624104645789101745678[[#This Row],[UNIT]]*_1_541284561214624104645789101745678[[#This Row],[COST]],0)</f>
        <v>0</v>
      </c>
      <c r="N36" s="194">
        <f t="shared" si="0"/>
        <v>1.3</v>
      </c>
      <c r="O36" s="198">
        <f>_1_541284561214624104645789101745678[[#This Row],[TOTAL]]*_1_541284561214624104645789101745678[[#This Row],[MARGIN]]</f>
        <v>0</v>
      </c>
      <c r="R36" s="41"/>
    </row>
    <row r="37" spans="1:18">
      <c r="A37" s="168"/>
      <c r="C37" s="168"/>
      <c r="D37" s="188"/>
      <c r="F37" s="168" t="s">
        <v>6202</v>
      </c>
      <c r="G37" s="193">
        <f>IF(_1_541284561214624104645789101745678[[#This Row],[Type]]&gt;0,VLOOKUP(_1_541284561214624104645789101745678[[#This Row],[Type]],Main[[#All],[TYPE]:[UNIT]],'Unit Price'!C$1,FALSE),0)</f>
        <v>0</v>
      </c>
      <c r="H37" s="197">
        <f>IF(_1_541284561214624104645789101745678[[#This Row],[Type]]&gt;0,VLOOKUP(_1_541284561214624104645789101745678[[#This Row],[Type]],Main[[#All],[TYPE]:[UNIT]],'Unit Price'!D$1,FALSE),0)</f>
        <v>0</v>
      </c>
      <c r="I37" s="194">
        <f>IF(_1_541284561214624104645789101745678[[#This Row],[Type]]&gt;0,VLOOKUP(_1_541284561214624104645789101745678[[#This Row],[Type]],Main[[#All],[TYPE]:[UNIT]],'Unit Price'!G$1,FALSE),0)</f>
        <v>0</v>
      </c>
      <c r="J37" s="194">
        <f>IF(_1_541284561214624104645789101745678[[#This Row],[Type]]&gt;0,VLOOKUP(_1_541284561214624104645789101745678[[#This Row],[Type]],Main[[#All],[TYPE]:[UNIT]],'Unit Price'!H$1,FALSE),0)</f>
        <v>0</v>
      </c>
      <c r="K37" s="194">
        <f>IF(_1_541284561214624104645789101745678[[#This Row],[Discount selection]]&gt;0,VLOOKUP(_1_541284561214624104645789101745678[[#This Row],[Discount selection]],'Discount Structure'!$A$2:$B$30,2,"false"),0)</f>
        <v>1</v>
      </c>
      <c r="L37" s="194">
        <f>_1_541284561214624104645789101745678[[#This Row],[LIST $]]*_1_541284561214624104645789101745678[[#This Row],[DISCOUNT]]*_1_541284561214624104645789101745678[[#This Row],[DISCOUNT 2]]</f>
        <v>0</v>
      </c>
      <c r="M37" s="194">
        <f>IF(OR(_1_541284561214624104645789101745678[[#This Row],[UNIT]]&gt;0,_1_541284561214624104645789101745678[[#This Row],[UNIT]]&lt;0),_1_541284561214624104645789101745678[[#This Row],[UNIT]]*_1_541284561214624104645789101745678[[#This Row],[COST]],0)</f>
        <v>0</v>
      </c>
      <c r="N37" s="194">
        <f t="shared" si="0"/>
        <v>1.3</v>
      </c>
      <c r="O37" s="198">
        <f>_1_541284561214624104645789101745678[[#This Row],[TOTAL]]*_1_541284561214624104645789101745678[[#This Row],[MARGIN]]</f>
        <v>0</v>
      </c>
      <c r="R37" s="41"/>
    </row>
    <row r="38" spans="1:18">
      <c r="C38" s="168"/>
      <c r="D38" s="188"/>
      <c r="F38" s="168" t="s">
        <v>6202</v>
      </c>
      <c r="G38" s="193">
        <f>IF(_1_541284561214624104645789101745678[[#This Row],[Type]]&gt;0,VLOOKUP(_1_541284561214624104645789101745678[[#This Row],[Type]],Main[[#All],[TYPE]:[UNIT]],'Unit Price'!C$1,FALSE),0)</f>
        <v>0</v>
      </c>
      <c r="H38" s="197">
        <f>IF(_1_541284561214624104645789101745678[[#This Row],[Type]]&gt;0,VLOOKUP(_1_541284561214624104645789101745678[[#This Row],[Type]],Main[[#All],[TYPE]:[UNIT]],'Unit Price'!D$1,FALSE),0)</f>
        <v>0</v>
      </c>
      <c r="I38" s="194">
        <f>IF(_1_541284561214624104645789101745678[[#This Row],[Type]]&gt;0,VLOOKUP(_1_541284561214624104645789101745678[[#This Row],[Type]],Main[[#All],[TYPE]:[UNIT]],'Unit Price'!G$1,FALSE),0)</f>
        <v>0</v>
      </c>
      <c r="J38" s="194">
        <f>IF(_1_541284561214624104645789101745678[[#This Row],[Type]]&gt;0,VLOOKUP(_1_541284561214624104645789101745678[[#This Row],[Type]],Main[[#All],[TYPE]:[UNIT]],'Unit Price'!H$1,FALSE),0)</f>
        <v>0</v>
      </c>
      <c r="K38" s="194">
        <f>IF(_1_541284561214624104645789101745678[[#This Row],[Discount selection]]&gt;0,VLOOKUP(_1_541284561214624104645789101745678[[#This Row],[Discount selection]],'Discount Structure'!$A$2:$B$30,2,"false"),0)</f>
        <v>1</v>
      </c>
      <c r="L38" s="194">
        <f>_1_541284561214624104645789101745678[[#This Row],[LIST $]]*_1_541284561214624104645789101745678[[#This Row],[DISCOUNT]]*_1_541284561214624104645789101745678[[#This Row],[DISCOUNT 2]]</f>
        <v>0</v>
      </c>
      <c r="M38" s="194">
        <f>IF(OR(_1_541284561214624104645789101745678[[#This Row],[UNIT]]&gt;0,_1_541284561214624104645789101745678[[#This Row],[UNIT]]&lt;0),_1_541284561214624104645789101745678[[#This Row],[UNIT]]*_1_541284561214624104645789101745678[[#This Row],[COST]],0)</f>
        <v>0</v>
      </c>
      <c r="N38" s="194">
        <f t="shared" si="0"/>
        <v>1.3</v>
      </c>
      <c r="O38" s="198">
        <f>_1_541284561214624104645789101745678[[#This Row],[TOTAL]]*_1_541284561214624104645789101745678[[#This Row],[MARGIN]]</f>
        <v>0</v>
      </c>
      <c r="R38" s="41"/>
    </row>
    <row r="39" spans="1:18">
      <c r="C39" s="168"/>
      <c r="D39" s="188"/>
      <c r="F39" s="168" t="s">
        <v>6202</v>
      </c>
      <c r="G39" s="193">
        <f>IF(_1_541284561214624104645789101745678[[#This Row],[Type]]&gt;0,VLOOKUP(_1_541284561214624104645789101745678[[#This Row],[Type]],Main[[#All],[TYPE]:[UNIT]],'Unit Price'!C$1,FALSE),0)</f>
        <v>0</v>
      </c>
      <c r="H39" s="197">
        <f>IF(_1_541284561214624104645789101745678[[#This Row],[Type]]&gt;0,VLOOKUP(_1_541284561214624104645789101745678[[#This Row],[Type]],Main[[#All],[TYPE]:[UNIT]],'Unit Price'!D$1,FALSE),0)</f>
        <v>0</v>
      </c>
      <c r="I39" s="194">
        <f>IF(_1_541284561214624104645789101745678[[#This Row],[Type]]&gt;0,VLOOKUP(_1_541284561214624104645789101745678[[#This Row],[Type]],Main[[#All],[TYPE]:[UNIT]],'Unit Price'!G$1,FALSE),0)</f>
        <v>0</v>
      </c>
      <c r="J39" s="194">
        <f>IF(_1_541284561214624104645789101745678[[#This Row],[Type]]&gt;0,VLOOKUP(_1_541284561214624104645789101745678[[#This Row],[Type]],Main[[#All],[TYPE]:[UNIT]],'Unit Price'!H$1,FALSE),0)</f>
        <v>0</v>
      </c>
      <c r="K39" s="194">
        <f>IF(_1_541284561214624104645789101745678[[#This Row],[Discount selection]]&gt;0,VLOOKUP(_1_541284561214624104645789101745678[[#This Row],[Discount selection]],'Discount Structure'!$A$2:$B$30,2,"false"),0)</f>
        <v>1</v>
      </c>
      <c r="L39" s="194">
        <f>_1_541284561214624104645789101745678[[#This Row],[LIST $]]*_1_541284561214624104645789101745678[[#This Row],[DISCOUNT]]*_1_541284561214624104645789101745678[[#This Row],[DISCOUNT 2]]</f>
        <v>0</v>
      </c>
      <c r="M39" s="194">
        <f>IF(OR(_1_541284561214624104645789101745678[[#This Row],[UNIT]]&gt;0,_1_541284561214624104645789101745678[[#This Row],[UNIT]]&lt;0),_1_541284561214624104645789101745678[[#This Row],[UNIT]]*_1_541284561214624104645789101745678[[#This Row],[COST]],0)</f>
        <v>0</v>
      </c>
      <c r="N39" s="194">
        <f t="shared" si="0"/>
        <v>1.3</v>
      </c>
      <c r="O39" s="198">
        <f>_1_541284561214624104645789101745678[[#This Row],[TOTAL]]*_1_541284561214624104645789101745678[[#This Row],[MARGIN]]</f>
        <v>0</v>
      </c>
      <c r="R39" s="41"/>
    </row>
    <row r="40" spans="1:18">
      <c r="C40" s="168"/>
      <c r="D40" s="188"/>
      <c r="F40" s="168" t="s">
        <v>6202</v>
      </c>
      <c r="G40" s="193">
        <f>IF(_1_541284561214624104645789101745678[[#This Row],[Type]]&gt;0,VLOOKUP(_1_541284561214624104645789101745678[[#This Row],[Type]],Main[[#All],[TYPE]:[UNIT]],'Unit Price'!C$1,FALSE),0)</f>
        <v>0</v>
      </c>
      <c r="H40" s="197">
        <f>IF(_1_541284561214624104645789101745678[[#This Row],[Type]]&gt;0,VLOOKUP(_1_541284561214624104645789101745678[[#This Row],[Type]],Main[[#All],[TYPE]:[UNIT]],'Unit Price'!D$1,FALSE),0)</f>
        <v>0</v>
      </c>
      <c r="I40" s="194">
        <f>IF(_1_541284561214624104645789101745678[[#This Row],[Type]]&gt;0,VLOOKUP(_1_541284561214624104645789101745678[[#This Row],[Type]],Main[[#All],[TYPE]:[UNIT]],'Unit Price'!G$1,FALSE),0)</f>
        <v>0</v>
      </c>
      <c r="J40" s="194">
        <f>IF(_1_541284561214624104645789101745678[[#This Row],[Type]]&gt;0,VLOOKUP(_1_541284561214624104645789101745678[[#This Row],[Type]],Main[[#All],[TYPE]:[UNIT]],'Unit Price'!H$1,FALSE),0)</f>
        <v>0</v>
      </c>
      <c r="K40" s="194">
        <f>IF(_1_541284561214624104645789101745678[[#This Row],[Discount selection]]&gt;0,VLOOKUP(_1_541284561214624104645789101745678[[#This Row],[Discount selection]],'Discount Structure'!$A$2:$B$30,2,"false"),0)</f>
        <v>1</v>
      </c>
      <c r="L40" s="194">
        <f>_1_541284561214624104645789101745678[[#This Row],[LIST $]]*_1_541284561214624104645789101745678[[#This Row],[DISCOUNT]]*_1_541284561214624104645789101745678[[#This Row],[DISCOUNT 2]]</f>
        <v>0</v>
      </c>
      <c r="M40" s="194">
        <f>IF(OR(_1_541284561214624104645789101745678[[#This Row],[UNIT]]&gt;0,_1_541284561214624104645789101745678[[#This Row],[UNIT]]&lt;0),_1_541284561214624104645789101745678[[#This Row],[UNIT]]*_1_541284561214624104645789101745678[[#This Row],[COST]],0)</f>
        <v>0</v>
      </c>
      <c r="N40" s="194">
        <f t="shared" si="0"/>
        <v>1.3</v>
      </c>
      <c r="O40" s="198">
        <f>_1_541284561214624104645789101745678[[#This Row],[TOTAL]]*_1_541284561214624104645789101745678[[#This Row],[MARGIN]]</f>
        <v>0</v>
      </c>
      <c r="R40" s="41"/>
    </row>
    <row r="41" spans="1:18">
      <c r="A41" s="316"/>
      <c r="C41" s="168"/>
      <c r="D41" s="188"/>
      <c r="F41" s="168" t="s">
        <v>6202</v>
      </c>
      <c r="G41" s="193">
        <f>IF(_1_541284561214624104645789101745678[[#This Row],[Type]]&gt;0,VLOOKUP(_1_541284561214624104645789101745678[[#This Row],[Type]],Main[[#All],[TYPE]:[UNIT]],'Unit Price'!C$1,FALSE),0)</f>
        <v>0</v>
      </c>
      <c r="H41" s="197">
        <f>IF(_1_541284561214624104645789101745678[[#This Row],[Type]]&gt;0,VLOOKUP(_1_541284561214624104645789101745678[[#This Row],[Type]],Main[[#All],[TYPE]:[UNIT]],'Unit Price'!D$1,FALSE),0)</f>
        <v>0</v>
      </c>
      <c r="I41" s="194">
        <f>IF(_1_541284561214624104645789101745678[[#This Row],[Type]]&gt;0,VLOOKUP(_1_541284561214624104645789101745678[[#This Row],[Type]],Main[[#All],[TYPE]:[UNIT]],'Unit Price'!G$1,FALSE),0)</f>
        <v>0</v>
      </c>
      <c r="J41" s="194">
        <f>IF(_1_541284561214624104645789101745678[[#This Row],[Type]]&gt;0,VLOOKUP(_1_541284561214624104645789101745678[[#This Row],[Type]],Main[[#All],[TYPE]:[UNIT]],'Unit Price'!H$1,FALSE),0)</f>
        <v>0</v>
      </c>
      <c r="K41" s="194">
        <f>IF(_1_541284561214624104645789101745678[[#This Row],[Discount selection]]&gt;0,VLOOKUP(_1_541284561214624104645789101745678[[#This Row],[Discount selection]],'Discount Structure'!$A$2:$B$30,2,"false"),0)</f>
        <v>1</v>
      </c>
      <c r="L41" s="194">
        <f>_1_541284561214624104645789101745678[[#This Row],[LIST $]]*_1_541284561214624104645789101745678[[#This Row],[DISCOUNT]]*_1_541284561214624104645789101745678[[#This Row],[DISCOUNT 2]]</f>
        <v>0</v>
      </c>
      <c r="M41" s="194">
        <f>IF(OR(_1_541284561214624104645789101745678[[#This Row],[UNIT]]&gt;0,_1_541284561214624104645789101745678[[#This Row],[UNIT]]&lt;0),_1_541284561214624104645789101745678[[#This Row],[UNIT]]*_1_541284561214624104645789101745678[[#This Row],[COST]],0)</f>
        <v>0</v>
      </c>
      <c r="N41" s="194">
        <f t="shared" si="0"/>
        <v>1.3</v>
      </c>
      <c r="O41" s="198">
        <f>_1_541284561214624104645789101745678[[#This Row],[TOTAL]]*_1_541284561214624104645789101745678[[#This Row],[MARGIN]]</f>
        <v>0</v>
      </c>
      <c r="R41" s="41"/>
    </row>
    <row r="42" spans="1:18">
      <c r="C42" s="168"/>
      <c r="D42" s="188"/>
      <c r="F42" s="168" t="s">
        <v>6202</v>
      </c>
      <c r="G42" s="193">
        <f>IF(_1_541284561214624104645789101745678[[#This Row],[Type]]&gt;0,VLOOKUP(_1_541284561214624104645789101745678[[#This Row],[Type]],Main[[#All],[TYPE]:[UNIT]],'Unit Price'!C$1,FALSE),0)</f>
        <v>0</v>
      </c>
      <c r="H42" s="197">
        <f>IF(_1_541284561214624104645789101745678[[#This Row],[Type]]&gt;0,VLOOKUP(_1_541284561214624104645789101745678[[#This Row],[Type]],Main[[#All],[TYPE]:[UNIT]],'Unit Price'!D$1,FALSE),0)</f>
        <v>0</v>
      </c>
      <c r="I42" s="194">
        <f>IF(_1_541284561214624104645789101745678[[#This Row],[Type]]&gt;0,VLOOKUP(_1_541284561214624104645789101745678[[#This Row],[Type]],Main[[#All],[TYPE]:[UNIT]],'Unit Price'!G$1,FALSE),0)</f>
        <v>0</v>
      </c>
      <c r="J42" s="194">
        <f>IF(_1_541284561214624104645789101745678[[#This Row],[Type]]&gt;0,VLOOKUP(_1_541284561214624104645789101745678[[#This Row],[Type]],Main[[#All],[TYPE]:[UNIT]],'Unit Price'!H$1,FALSE),0)</f>
        <v>0</v>
      </c>
      <c r="K42" s="194">
        <f>IF(_1_541284561214624104645789101745678[[#This Row],[Discount selection]]&gt;0,VLOOKUP(_1_541284561214624104645789101745678[[#This Row],[Discount selection]],'Discount Structure'!$A$2:$B$30,2,"false"),0)</f>
        <v>1</v>
      </c>
      <c r="L42" s="194">
        <f>_1_541284561214624104645789101745678[[#This Row],[LIST $]]*_1_541284561214624104645789101745678[[#This Row],[DISCOUNT]]*_1_541284561214624104645789101745678[[#This Row],[DISCOUNT 2]]</f>
        <v>0</v>
      </c>
      <c r="M42" s="194">
        <f>IF(OR(_1_541284561214624104645789101745678[[#This Row],[UNIT]]&gt;0,_1_541284561214624104645789101745678[[#This Row],[UNIT]]&lt;0),_1_541284561214624104645789101745678[[#This Row],[UNIT]]*_1_541284561214624104645789101745678[[#This Row],[COST]],0)</f>
        <v>0</v>
      </c>
      <c r="N42" s="194">
        <f t="shared" si="0"/>
        <v>1.3</v>
      </c>
      <c r="O42" s="198">
        <f>_1_541284561214624104645789101745678[[#This Row],[TOTAL]]*_1_541284561214624104645789101745678[[#This Row],[MARGIN]]</f>
        <v>0</v>
      </c>
      <c r="R42" s="41"/>
    </row>
    <row r="43" spans="1:18">
      <c r="C43" s="168"/>
      <c r="D43" s="188"/>
      <c r="F43" s="168" t="s">
        <v>6202</v>
      </c>
      <c r="G43" s="193">
        <f>IF(_1_541284561214624104645789101745678[[#This Row],[Type]]&gt;0,VLOOKUP(_1_541284561214624104645789101745678[[#This Row],[Type]],Main[[#All],[TYPE]:[UNIT]],'Unit Price'!C$1,FALSE),0)</f>
        <v>0</v>
      </c>
      <c r="H43" s="197">
        <f>IF(_1_541284561214624104645789101745678[[#This Row],[Type]]&gt;0,VLOOKUP(_1_541284561214624104645789101745678[[#This Row],[Type]],Main[[#All],[TYPE]:[UNIT]],'Unit Price'!D$1,FALSE),0)</f>
        <v>0</v>
      </c>
      <c r="I43" s="194">
        <f>IF(_1_541284561214624104645789101745678[[#This Row],[Type]]&gt;0,VLOOKUP(_1_541284561214624104645789101745678[[#This Row],[Type]],Main[[#All],[TYPE]:[UNIT]],'Unit Price'!G$1,FALSE),0)</f>
        <v>0</v>
      </c>
      <c r="J43" s="194">
        <f>IF(_1_541284561214624104645789101745678[[#This Row],[Type]]&gt;0,VLOOKUP(_1_541284561214624104645789101745678[[#This Row],[Type]],Main[[#All],[TYPE]:[UNIT]],'Unit Price'!H$1,FALSE),0)</f>
        <v>0</v>
      </c>
      <c r="K43" s="194">
        <f>IF(_1_541284561214624104645789101745678[[#This Row],[Discount selection]]&gt;0,VLOOKUP(_1_541284561214624104645789101745678[[#This Row],[Discount selection]],'Discount Structure'!$A$2:$B$30,2,"false"),0)</f>
        <v>1</v>
      </c>
      <c r="L43" s="194">
        <f>_1_541284561214624104645789101745678[[#This Row],[LIST $]]*_1_541284561214624104645789101745678[[#This Row],[DISCOUNT]]*_1_541284561214624104645789101745678[[#This Row],[DISCOUNT 2]]</f>
        <v>0</v>
      </c>
      <c r="M43" s="194">
        <f>IF(OR(_1_541284561214624104645789101745678[[#This Row],[UNIT]]&gt;0,_1_541284561214624104645789101745678[[#This Row],[UNIT]]&lt;0),_1_541284561214624104645789101745678[[#This Row],[UNIT]]*_1_541284561214624104645789101745678[[#This Row],[COST]],0)</f>
        <v>0</v>
      </c>
      <c r="N43" s="194">
        <f t="shared" si="0"/>
        <v>1.3</v>
      </c>
      <c r="O43" s="198">
        <f>_1_541284561214624104645789101745678[[#This Row],[TOTAL]]*_1_541284561214624104645789101745678[[#This Row],[MARGIN]]</f>
        <v>0</v>
      </c>
      <c r="R43" s="41"/>
    </row>
    <row r="44" spans="1:18">
      <c r="C44" s="168"/>
      <c r="D44" s="188"/>
      <c r="F44" s="168" t="s">
        <v>6202</v>
      </c>
      <c r="G44" s="193">
        <f>IF(_1_541284561214624104645789101745678[[#This Row],[Type]]&gt;0,VLOOKUP(_1_541284561214624104645789101745678[[#This Row],[Type]],Main[[#All],[TYPE]:[UNIT]],'Unit Price'!C$1,FALSE),0)</f>
        <v>0</v>
      </c>
      <c r="H44" s="197">
        <f>IF(_1_541284561214624104645789101745678[[#This Row],[Type]]&gt;0,VLOOKUP(_1_541284561214624104645789101745678[[#This Row],[Type]],Main[[#All],[TYPE]:[UNIT]],'Unit Price'!D$1,FALSE),0)</f>
        <v>0</v>
      </c>
      <c r="I44" s="194">
        <f>IF(_1_541284561214624104645789101745678[[#This Row],[Type]]&gt;0,VLOOKUP(_1_541284561214624104645789101745678[[#This Row],[Type]],Main[[#All],[TYPE]:[UNIT]],'Unit Price'!G$1,FALSE),0)</f>
        <v>0</v>
      </c>
      <c r="J44" s="194">
        <f>IF(_1_541284561214624104645789101745678[[#This Row],[Type]]&gt;0,VLOOKUP(_1_541284561214624104645789101745678[[#This Row],[Type]],Main[[#All],[TYPE]:[UNIT]],'Unit Price'!H$1,FALSE),0)</f>
        <v>0</v>
      </c>
      <c r="K44" s="194">
        <f>IF(_1_541284561214624104645789101745678[[#This Row],[Discount selection]]&gt;0,VLOOKUP(_1_541284561214624104645789101745678[[#This Row],[Discount selection]],'Discount Structure'!$A$2:$B$30,2,"false"),0)</f>
        <v>1</v>
      </c>
      <c r="L44" s="194">
        <f>_1_541284561214624104645789101745678[[#This Row],[LIST $]]*_1_541284561214624104645789101745678[[#This Row],[DISCOUNT]]*_1_541284561214624104645789101745678[[#This Row],[DISCOUNT 2]]</f>
        <v>0</v>
      </c>
      <c r="M44" s="194">
        <f>IF(OR(_1_541284561214624104645789101745678[[#This Row],[UNIT]]&gt;0,_1_541284561214624104645789101745678[[#This Row],[UNIT]]&lt;0),_1_541284561214624104645789101745678[[#This Row],[UNIT]]*_1_541284561214624104645789101745678[[#This Row],[COST]],0)</f>
        <v>0</v>
      </c>
      <c r="N44" s="194">
        <f t="shared" si="0"/>
        <v>1.3</v>
      </c>
      <c r="O44" s="198">
        <f>_1_541284561214624104645789101745678[[#This Row],[TOTAL]]*_1_541284561214624104645789101745678[[#This Row],[MARGIN]]</f>
        <v>0</v>
      </c>
      <c r="R44" s="41"/>
    </row>
    <row r="45" spans="1:18">
      <c r="C45" s="168"/>
      <c r="D45" s="188"/>
      <c r="F45" s="168" t="s">
        <v>6202</v>
      </c>
      <c r="G45" s="193">
        <f>IF(_1_541284561214624104645789101745678[[#This Row],[Type]]&gt;0,VLOOKUP(_1_541284561214624104645789101745678[[#This Row],[Type]],Main[[#All],[TYPE]:[UNIT]],'Unit Price'!C$1,FALSE),0)</f>
        <v>0</v>
      </c>
      <c r="H45" s="197">
        <f>IF(_1_541284561214624104645789101745678[[#This Row],[Type]]&gt;0,VLOOKUP(_1_541284561214624104645789101745678[[#This Row],[Type]],Main[[#All],[TYPE]:[UNIT]],'Unit Price'!D$1,FALSE),0)</f>
        <v>0</v>
      </c>
      <c r="I45" s="194">
        <f>IF(_1_541284561214624104645789101745678[[#This Row],[Type]]&gt;0,VLOOKUP(_1_541284561214624104645789101745678[[#This Row],[Type]],Main[[#All],[TYPE]:[UNIT]],'Unit Price'!G$1,FALSE),0)</f>
        <v>0</v>
      </c>
      <c r="J45" s="194">
        <f>IF(_1_541284561214624104645789101745678[[#This Row],[Type]]&gt;0,VLOOKUP(_1_541284561214624104645789101745678[[#This Row],[Type]],Main[[#All],[TYPE]:[UNIT]],'Unit Price'!H$1,FALSE),0)</f>
        <v>0</v>
      </c>
      <c r="K45" s="194">
        <f>IF(_1_541284561214624104645789101745678[[#This Row],[Discount selection]]&gt;0,VLOOKUP(_1_541284561214624104645789101745678[[#This Row],[Discount selection]],'Discount Structure'!$A$2:$B$30,2,"false"),0)</f>
        <v>1</v>
      </c>
      <c r="L45" s="194">
        <f>_1_541284561214624104645789101745678[[#This Row],[LIST $]]*_1_541284561214624104645789101745678[[#This Row],[DISCOUNT]]*_1_541284561214624104645789101745678[[#This Row],[DISCOUNT 2]]</f>
        <v>0</v>
      </c>
      <c r="M45" s="194">
        <f>IF(OR(_1_541284561214624104645789101745678[[#This Row],[UNIT]]&gt;0,_1_541284561214624104645789101745678[[#This Row],[UNIT]]&lt;0),_1_541284561214624104645789101745678[[#This Row],[UNIT]]*_1_541284561214624104645789101745678[[#This Row],[COST]],0)</f>
        <v>0</v>
      </c>
      <c r="N45" s="194">
        <f t="shared" si="0"/>
        <v>1.3</v>
      </c>
      <c r="O45" s="198">
        <f>_1_541284561214624104645789101745678[[#This Row],[TOTAL]]*_1_541284561214624104645789101745678[[#This Row],[MARGIN]]</f>
        <v>0</v>
      </c>
      <c r="R45" s="41"/>
    </row>
    <row r="46" spans="1:18">
      <c r="C46" s="168"/>
      <c r="D46" s="188"/>
      <c r="F46" s="168" t="s">
        <v>6202</v>
      </c>
      <c r="G46" s="193">
        <f>IF(_1_541284561214624104645789101745678[[#This Row],[Type]]&gt;0,VLOOKUP(_1_541284561214624104645789101745678[[#This Row],[Type]],Main[[#All],[TYPE]:[UNIT]],'Unit Price'!C$1,FALSE),0)</f>
        <v>0</v>
      </c>
      <c r="H46" s="197">
        <f>IF(_1_541284561214624104645789101745678[[#This Row],[Type]]&gt;0,VLOOKUP(_1_541284561214624104645789101745678[[#This Row],[Type]],Main[[#All],[TYPE]:[UNIT]],'Unit Price'!D$1,FALSE),0)</f>
        <v>0</v>
      </c>
      <c r="I46" s="194">
        <f>IF(_1_541284561214624104645789101745678[[#This Row],[Type]]&gt;0,VLOOKUP(_1_541284561214624104645789101745678[[#This Row],[Type]],Main[[#All],[TYPE]:[UNIT]],'Unit Price'!G$1,FALSE),0)</f>
        <v>0</v>
      </c>
      <c r="J46" s="194">
        <f>IF(_1_541284561214624104645789101745678[[#This Row],[Type]]&gt;0,VLOOKUP(_1_541284561214624104645789101745678[[#This Row],[Type]],Main[[#All],[TYPE]:[UNIT]],'Unit Price'!H$1,FALSE),0)</f>
        <v>0</v>
      </c>
      <c r="K46" s="194">
        <f>IF(_1_541284561214624104645789101745678[[#This Row],[Discount selection]]&gt;0,VLOOKUP(_1_541284561214624104645789101745678[[#This Row],[Discount selection]],'Discount Structure'!$A$2:$B$30,2,"false"),0)</f>
        <v>1</v>
      </c>
      <c r="L46" s="194">
        <f>_1_541284561214624104645789101745678[[#This Row],[LIST $]]*_1_541284561214624104645789101745678[[#This Row],[DISCOUNT]]*_1_541284561214624104645789101745678[[#This Row],[DISCOUNT 2]]</f>
        <v>0</v>
      </c>
      <c r="M46" s="194">
        <f>IF(OR(_1_541284561214624104645789101745678[[#This Row],[UNIT]]&gt;0,_1_541284561214624104645789101745678[[#This Row],[UNIT]]&lt;0),_1_541284561214624104645789101745678[[#This Row],[UNIT]]*_1_541284561214624104645789101745678[[#This Row],[COST]],0)</f>
        <v>0</v>
      </c>
      <c r="N46" s="194">
        <f t="shared" si="0"/>
        <v>1.3</v>
      </c>
      <c r="O46" s="198">
        <f>_1_541284561214624104645789101745678[[#This Row],[TOTAL]]*_1_541284561214624104645789101745678[[#This Row],[MARGIN]]</f>
        <v>0</v>
      </c>
      <c r="R46" s="41"/>
    </row>
    <row r="47" spans="1:18">
      <c r="C47" s="168"/>
      <c r="D47" s="188"/>
      <c r="F47" s="168" t="s">
        <v>6202</v>
      </c>
      <c r="G47" s="193">
        <f>IF(_1_541284561214624104645789101745678[[#This Row],[Type]]&gt;0,VLOOKUP(_1_541284561214624104645789101745678[[#This Row],[Type]],Main[[#All],[TYPE]:[UNIT]],'Unit Price'!C$1,FALSE),0)</f>
        <v>0</v>
      </c>
      <c r="H47" s="197">
        <f>IF(_1_541284561214624104645789101745678[[#This Row],[Type]]&gt;0,VLOOKUP(_1_541284561214624104645789101745678[[#This Row],[Type]],Main[[#All],[TYPE]:[UNIT]],'Unit Price'!D$1,FALSE),0)</f>
        <v>0</v>
      </c>
      <c r="I47" s="194">
        <f>IF(_1_541284561214624104645789101745678[[#This Row],[Type]]&gt;0,VLOOKUP(_1_541284561214624104645789101745678[[#This Row],[Type]],Main[[#All],[TYPE]:[UNIT]],'Unit Price'!G$1,FALSE),0)</f>
        <v>0</v>
      </c>
      <c r="J47" s="194">
        <f>IF(_1_541284561214624104645789101745678[[#This Row],[Type]]&gt;0,VLOOKUP(_1_541284561214624104645789101745678[[#This Row],[Type]],Main[[#All],[TYPE]:[UNIT]],'Unit Price'!H$1,FALSE),0)</f>
        <v>0</v>
      </c>
      <c r="K47" s="194">
        <f>IF(_1_541284561214624104645789101745678[[#This Row],[Discount selection]]&gt;0,VLOOKUP(_1_541284561214624104645789101745678[[#This Row],[Discount selection]],'Discount Structure'!$A$2:$B$30,2,"false"),0)</f>
        <v>1</v>
      </c>
      <c r="L47" s="194">
        <f>_1_541284561214624104645789101745678[[#This Row],[LIST $]]*_1_541284561214624104645789101745678[[#This Row],[DISCOUNT]]*_1_541284561214624104645789101745678[[#This Row],[DISCOUNT 2]]</f>
        <v>0</v>
      </c>
      <c r="M47" s="194">
        <f>IF(OR(_1_541284561214624104645789101745678[[#This Row],[UNIT]]&gt;0,_1_541284561214624104645789101745678[[#This Row],[UNIT]]&lt;0),_1_541284561214624104645789101745678[[#This Row],[UNIT]]*_1_541284561214624104645789101745678[[#This Row],[COST]],0)</f>
        <v>0</v>
      </c>
      <c r="N47" s="194">
        <f t="shared" si="0"/>
        <v>1.3</v>
      </c>
      <c r="O47" s="198">
        <f>_1_541284561214624104645789101745678[[#This Row],[TOTAL]]*_1_541284561214624104645789101745678[[#This Row],[MARGIN]]</f>
        <v>0</v>
      </c>
      <c r="R47" s="41"/>
    </row>
    <row r="48" spans="1:18">
      <c r="C48" s="168"/>
      <c r="D48" s="188"/>
      <c r="F48" s="168" t="s">
        <v>6202</v>
      </c>
      <c r="G48" s="193">
        <f>IF(_1_541284561214624104645789101745678[[#This Row],[Type]]&gt;0,VLOOKUP(_1_541284561214624104645789101745678[[#This Row],[Type]],Main[[#All],[TYPE]:[UNIT]],'Unit Price'!C$1,FALSE),0)</f>
        <v>0</v>
      </c>
      <c r="H48" s="197">
        <f>IF(_1_541284561214624104645789101745678[[#This Row],[Type]]&gt;0,VLOOKUP(_1_541284561214624104645789101745678[[#This Row],[Type]],Main[[#All],[TYPE]:[UNIT]],'Unit Price'!D$1,FALSE),0)</f>
        <v>0</v>
      </c>
      <c r="I48" s="194">
        <f>IF(_1_541284561214624104645789101745678[[#This Row],[Type]]&gt;0,VLOOKUP(_1_541284561214624104645789101745678[[#This Row],[Type]],Main[[#All],[TYPE]:[UNIT]],'Unit Price'!G$1,FALSE),0)</f>
        <v>0</v>
      </c>
      <c r="J48" s="194">
        <f>IF(_1_541284561214624104645789101745678[[#This Row],[Type]]&gt;0,VLOOKUP(_1_541284561214624104645789101745678[[#This Row],[Type]],Main[[#All],[TYPE]:[UNIT]],'Unit Price'!H$1,FALSE),0)</f>
        <v>0</v>
      </c>
      <c r="K48" s="194">
        <f>IF(_1_541284561214624104645789101745678[[#This Row],[Discount selection]]&gt;0,VLOOKUP(_1_541284561214624104645789101745678[[#This Row],[Discount selection]],'Discount Structure'!$A$2:$B$30,2,"false"),0)</f>
        <v>1</v>
      </c>
      <c r="L48" s="194">
        <f>_1_541284561214624104645789101745678[[#This Row],[LIST $]]*_1_541284561214624104645789101745678[[#This Row],[DISCOUNT]]*_1_541284561214624104645789101745678[[#This Row],[DISCOUNT 2]]</f>
        <v>0</v>
      </c>
      <c r="M48" s="194">
        <f>IF(OR(_1_541284561214624104645789101745678[[#This Row],[UNIT]]&gt;0,_1_541284561214624104645789101745678[[#This Row],[UNIT]]&lt;0),_1_541284561214624104645789101745678[[#This Row],[UNIT]]*_1_541284561214624104645789101745678[[#This Row],[COST]],0)</f>
        <v>0</v>
      </c>
      <c r="N48" s="194">
        <f t="shared" si="0"/>
        <v>1.3</v>
      </c>
      <c r="O48" s="198">
        <f>_1_541284561214624104645789101745678[[#This Row],[TOTAL]]*_1_541284561214624104645789101745678[[#This Row],[MARGIN]]</f>
        <v>0</v>
      </c>
      <c r="R48" s="41"/>
    </row>
    <row r="49" spans="1:18">
      <c r="C49" s="168"/>
      <c r="D49" s="188"/>
      <c r="F49" s="168" t="s">
        <v>6202</v>
      </c>
      <c r="G49" s="193">
        <f>IF(_1_541284561214624104645789101745678[[#This Row],[Type]]&gt;0,VLOOKUP(_1_541284561214624104645789101745678[[#This Row],[Type]],Main[[#All],[TYPE]:[UNIT]],'Unit Price'!C$1,FALSE),0)</f>
        <v>0</v>
      </c>
      <c r="H49" s="197">
        <f>IF(_1_541284561214624104645789101745678[[#This Row],[Type]]&gt;0,VLOOKUP(_1_541284561214624104645789101745678[[#This Row],[Type]],Main[[#All],[TYPE]:[UNIT]],'Unit Price'!D$1,FALSE),0)</f>
        <v>0</v>
      </c>
      <c r="I49" s="194">
        <f>IF(_1_541284561214624104645789101745678[[#This Row],[Type]]&gt;0,VLOOKUP(_1_541284561214624104645789101745678[[#This Row],[Type]],Main[[#All],[TYPE]:[UNIT]],'Unit Price'!G$1,FALSE),0)</f>
        <v>0</v>
      </c>
      <c r="J49" s="194">
        <f>IF(_1_541284561214624104645789101745678[[#This Row],[Type]]&gt;0,VLOOKUP(_1_541284561214624104645789101745678[[#This Row],[Type]],Main[[#All],[TYPE]:[UNIT]],'Unit Price'!H$1,FALSE),0)</f>
        <v>0</v>
      </c>
      <c r="K49" s="194">
        <f>IF(_1_541284561214624104645789101745678[[#This Row],[Discount selection]]&gt;0,VLOOKUP(_1_541284561214624104645789101745678[[#This Row],[Discount selection]],'Discount Structure'!$A$2:$B$30,2,"false"),0)</f>
        <v>1</v>
      </c>
      <c r="L49" s="194">
        <f>_1_541284561214624104645789101745678[[#This Row],[LIST $]]*_1_541284561214624104645789101745678[[#This Row],[DISCOUNT]]*_1_541284561214624104645789101745678[[#This Row],[DISCOUNT 2]]</f>
        <v>0</v>
      </c>
      <c r="M49" s="194">
        <f>IF(OR(_1_541284561214624104645789101745678[[#This Row],[UNIT]]&gt;0,_1_541284561214624104645789101745678[[#This Row],[UNIT]]&lt;0),_1_541284561214624104645789101745678[[#This Row],[UNIT]]*_1_541284561214624104645789101745678[[#This Row],[COST]],0)</f>
        <v>0</v>
      </c>
      <c r="N49" s="194">
        <f t="shared" si="0"/>
        <v>1.3</v>
      </c>
      <c r="O49" s="198">
        <f>_1_541284561214624104645789101745678[[#This Row],[TOTAL]]*_1_541284561214624104645789101745678[[#This Row],[MARGIN]]</f>
        <v>0</v>
      </c>
      <c r="R49" s="41"/>
    </row>
    <row r="50" spans="1:18">
      <c r="C50" s="168"/>
      <c r="D50" s="188"/>
      <c r="F50" s="168" t="s">
        <v>6202</v>
      </c>
      <c r="G50" s="193">
        <f>IF(_1_541284561214624104645789101745678[[#This Row],[Type]]&gt;0,VLOOKUP(_1_541284561214624104645789101745678[[#This Row],[Type]],Main[[#All],[TYPE]:[UNIT]],'Unit Price'!C$1,FALSE),0)</f>
        <v>0</v>
      </c>
      <c r="H50" s="197">
        <f>IF(_1_541284561214624104645789101745678[[#This Row],[Type]]&gt;0,VLOOKUP(_1_541284561214624104645789101745678[[#This Row],[Type]],Main[[#All],[TYPE]:[UNIT]],'Unit Price'!D$1,FALSE),0)</f>
        <v>0</v>
      </c>
      <c r="I50" s="194">
        <f>IF(_1_541284561214624104645789101745678[[#This Row],[Type]]&gt;0,VLOOKUP(_1_541284561214624104645789101745678[[#This Row],[Type]],Main[[#All],[TYPE]:[UNIT]],'Unit Price'!G$1,FALSE),0)</f>
        <v>0</v>
      </c>
      <c r="J50" s="194">
        <f>IF(_1_541284561214624104645789101745678[[#This Row],[Type]]&gt;0,VLOOKUP(_1_541284561214624104645789101745678[[#This Row],[Type]],Main[[#All],[TYPE]:[UNIT]],'Unit Price'!H$1,FALSE),0)</f>
        <v>0</v>
      </c>
      <c r="K50" s="194">
        <f>IF(_1_541284561214624104645789101745678[[#This Row],[Discount selection]]&gt;0,VLOOKUP(_1_541284561214624104645789101745678[[#This Row],[Discount selection]],'Discount Structure'!$A$2:$B$30,2,"false"),0)</f>
        <v>1</v>
      </c>
      <c r="L50" s="194">
        <f>_1_541284561214624104645789101745678[[#This Row],[LIST $]]*_1_541284561214624104645789101745678[[#This Row],[DISCOUNT]]*_1_541284561214624104645789101745678[[#This Row],[DISCOUNT 2]]</f>
        <v>0</v>
      </c>
      <c r="M50" s="194">
        <f>IF(OR(_1_541284561214624104645789101745678[[#This Row],[UNIT]]&gt;0,_1_541284561214624104645789101745678[[#This Row],[UNIT]]&lt;0),_1_541284561214624104645789101745678[[#This Row],[UNIT]]*_1_541284561214624104645789101745678[[#This Row],[COST]],0)</f>
        <v>0</v>
      </c>
      <c r="N50" s="194">
        <f t="shared" si="0"/>
        <v>1.3</v>
      </c>
      <c r="O50" s="198">
        <f>_1_541284561214624104645789101745678[[#This Row],[TOTAL]]*_1_541284561214624104645789101745678[[#This Row],[MARGIN]]</f>
        <v>0</v>
      </c>
      <c r="R50" s="41"/>
    </row>
    <row r="51" spans="1:18">
      <c r="C51" s="168"/>
      <c r="D51" s="188"/>
      <c r="F51" s="168" t="s">
        <v>6202</v>
      </c>
      <c r="G51" s="193">
        <f>IF(_1_541284561214624104645789101745678[[#This Row],[Type]]&gt;0,VLOOKUP(_1_541284561214624104645789101745678[[#This Row],[Type]],Main[[#All],[TYPE]:[UNIT]],'Unit Price'!C$1,FALSE),0)</f>
        <v>0</v>
      </c>
      <c r="H51" s="197">
        <f>IF(_1_541284561214624104645789101745678[[#This Row],[Type]]&gt;0,VLOOKUP(_1_541284561214624104645789101745678[[#This Row],[Type]],Main[[#All],[TYPE]:[UNIT]],'Unit Price'!D$1,FALSE),0)</f>
        <v>0</v>
      </c>
      <c r="I51" s="194">
        <f>IF(_1_541284561214624104645789101745678[[#This Row],[Type]]&gt;0,VLOOKUP(_1_541284561214624104645789101745678[[#This Row],[Type]],Main[[#All],[TYPE]:[UNIT]],'Unit Price'!G$1,FALSE),0)</f>
        <v>0</v>
      </c>
      <c r="J51" s="194">
        <f>IF(_1_541284561214624104645789101745678[[#This Row],[Type]]&gt;0,VLOOKUP(_1_541284561214624104645789101745678[[#This Row],[Type]],Main[[#All],[TYPE]:[UNIT]],'Unit Price'!H$1,FALSE),0)</f>
        <v>0</v>
      </c>
      <c r="K51" s="194">
        <f>IF(_1_541284561214624104645789101745678[[#This Row],[Discount selection]]&gt;0,VLOOKUP(_1_541284561214624104645789101745678[[#This Row],[Discount selection]],'Discount Structure'!$A$2:$B$30,2,"false"),0)</f>
        <v>1</v>
      </c>
      <c r="L51" s="194">
        <f>_1_541284561214624104645789101745678[[#This Row],[LIST $]]*_1_541284561214624104645789101745678[[#This Row],[DISCOUNT]]*_1_541284561214624104645789101745678[[#This Row],[DISCOUNT 2]]</f>
        <v>0</v>
      </c>
      <c r="M51" s="194">
        <f>IF(OR(_1_541284561214624104645789101745678[[#This Row],[UNIT]]&gt;0,_1_541284561214624104645789101745678[[#This Row],[UNIT]]&lt;0),_1_541284561214624104645789101745678[[#This Row],[UNIT]]*_1_541284561214624104645789101745678[[#This Row],[COST]],0)</f>
        <v>0</v>
      </c>
      <c r="N51" s="194">
        <f t="shared" si="0"/>
        <v>1.3</v>
      </c>
      <c r="O51" s="198">
        <f>_1_541284561214624104645789101745678[[#This Row],[TOTAL]]*_1_541284561214624104645789101745678[[#This Row],[MARGIN]]</f>
        <v>0</v>
      </c>
      <c r="R51" s="41"/>
    </row>
    <row r="52" spans="1:18">
      <c r="C52" s="168"/>
      <c r="D52" s="188"/>
      <c r="F52" s="168" t="s">
        <v>6202</v>
      </c>
      <c r="G52" s="193">
        <f>IF(_1_541284561214624104645789101745678[[#This Row],[Type]]&gt;0,VLOOKUP(_1_541284561214624104645789101745678[[#This Row],[Type]],Main[[#All],[TYPE]:[UNIT]],'Unit Price'!C$1,FALSE),0)</f>
        <v>0</v>
      </c>
      <c r="H52" s="197">
        <f>IF(_1_541284561214624104645789101745678[[#This Row],[Type]]&gt;0,VLOOKUP(_1_541284561214624104645789101745678[[#This Row],[Type]],Main[[#All],[TYPE]:[UNIT]],'Unit Price'!D$1,FALSE),0)</f>
        <v>0</v>
      </c>
      <c r="I52" s="194">
        <f>IF(_1_541284561214624104645789101745678[[#This Row],[Type]]&gt;0,VLOOKUP(_1_541284561214624104645789101745678[[#This Row],[Type]],Main[[#All],[TYPE]:[UNIT]],'Unit Price'!G$1,FALSE),0)</f>
        <v>0</v>
      </c>
      <c r="J52" s="194">
        <f>IF(_1_541284561214624104645789101745678[[#This Row],[Type]]&gt;0,VLOOKUP(_1_541284561214624104645789101745678[[#This Row],[Type]],Main[[#All],[TYPE]:[UNIT]],'Unit Price'!H$1,FALSE),0)</f>
        <v>0</v>
      </c>
      <c r="K52" s="194">
        <f>IF(_1_541284561214624104645789101745678[[#This Row],[Discount selection]]&gt;0,VLOOKUP(_1_541284561214624104645789101745678[[#This Row],[Discount selection]],'Discount Structure'!$A$2:$B$30,2,"false"),0)</f>
        <v>1</v>
      </c>
      <c r="L52" s="194">
        <f>_1_541284561214624104645789101745678[[#This Row],[LIST $]]*_1_541284561214624104645789101745678[[#This Row],[DISCOUNT]]*_1_541284561214624104645789101745678[[#This Row],[DISCOUNT 2]]</f>
        <v>0</v>
      </c>
      <c r="M52" s="194">
        <f>IF(OR(_1_541284561214624104645789101745678[[#This Row],[UNIT]]&gt;0,_1_541284561214624104645789101745678[[#This Row],[UNIT]]&lt;0),_1_541284561214624104645789101745678[[#This Row],[UNIT]]*_1_541284561214624104645789101745678[[#This Row],[COST]],0)</f>
        <v>0</v>
      </c>
      <c r="N52" s="194">
        <f t="shared" si="0"/>
        <v>1.3</v>
      </c>
      <c r="O52" s="198">
        <f>_1_541284561214624104645789101745678[[#This Row],[TOTAL]]*_1_541284561214624104645789101745678[[#This Row],[MARGIN]]</f>
        <v>0</v>
      </c>
      <c r="R52" s="41"/>
    </row>
    <row r="53" spans="1:18">
      <c r="C53" s="168"/>
      <c r="D53" s="188"/>
      <c r="F53" s="168" t="s">
        <v>6202</v>
      </c>
      <c r="G53" s="193">
        <f>IF(_1_541284561214624104645789101745678[[#This Row],[Type]]&gt;0,VLOOKUP(_1_541284561214624104645789101745678[[#This Row],[Type]],Main[[#All],[TYPE]:[UNIT]],'Unit Price'!C$1,FALSE),0)</f>
        <v>0</v>
      </c>
      <c r="H53" s="197">
        <f>IF(_1_541284561214624104645789101745678[[#This Row],[Type]]&gt;0,VLOOKUP(_1_541284561214624104645789101745678[[#This Row],[Type]],Main[[#All],[TYPE]:[UNIT]],'Unit Price'!D$1,FALSE),0)</f>
        <v>0</v>
      </c>
      <c r="I53" s="194">
        <f>IF(_1_541284561214624104645789101745678[[#This Row],[Type]]&gt;0,VLOOKUP(_1_541284561214624104645789101745678[[#This Row],[Type]],Main[[#All],[TYPE]:[UNIT]],'Unit Price'!G$1,FALSE),0)</f>
        <v>0</v>
      </c>
      <c r="J53" s="194">
        <f>IF(_1_541284561214624104645789101745678[[#This Row],[Type]]&gt;0,VLOOKUP(_1_541284561214624104645789101745678[[#This Row],[Type]],Main[[#All],[TYPE]:[UNIT]],'Unit Price'!H$1,FALSE),0)</f>
        <v>0</v>
      </c>
      <c r="K53" s="194">
        <f>IF(_1_541284561214624104645789101745678[[#This Row],[Discount selection]]&gt;0,VLOOKUP(_1_541284561214624104645789101745678[[#This Row],[Discount selection]],'Discount Structure'!$A$2:$B$30,2,"false"),0)</f>
        <v>1</v>
      </c>
      <c r="L53" s="194">
        <f>_1_541284561214624104645789101745678[[#This Row],[LIST $]]*_1_541284561214624104645789101745678[[#This Row],[DISCOUNT]]*_1_541284561214624104645789101745678[[#This Row],[DISCOUNT 2]]</f>
        <v>0</v>
      </c>
      <c r="M53" s="194">
        <f>IF(OR(_1_541284561214624104645789101745678[[#This Row],[UNIT]]&gt;0,_1_541284561214624104645789101745678[[#This Row],[UNIT]]&lt;0),_1_541284561214624104645789101745678[[#This Row],[UNIT]]*_1_541284561214624104645789101745678[[#This Row],[COST]],0)</f>
        <v>0</v>
      </c>
      <c r="N53" s="194">
        <f t="shared" si="0"/>
        <v>1.3</v>
      </c>
      <c r="O53" s="198">
        <f>_1_541284561214624104645789101745678[[#This Row],[TOTAL]]*_1_541284561214624104645789101745678[[#This Row],[MARGIN]]</f>
        <v>0</v>
      </c>
      <c r="R53" s="41"/>
    </row>
    <row r="54" spans="1:18">
      <c r="C54" s="168"/>
      <c r="D54" s="188"/>
      <c r="F54" s="168" t="s">
        <v>6202</v>
      </c>
      <c r="G54" s="193">
        <f>IF(_1_541284561214624104645789101745678[[#This Row],[Type]]&gt;0,VLOOKUP(_1_541284561214624104645789101745678[[#This Row],[Type]],Main[[#All],[TYPE]:[UNIT]],'Unit Price'!C$1,FALSE),0)</f>
        <v>0</v>
      </c>
      <c r="H54" s="197">
        <f>IF(_1_541284561214624104645789101745678[[#This Row],[Type]]&gt;0,VLOOKUP(_1_541284561214624104645789101745678[[#This Row],[Type]],Main[[#All],[TYPE]:[UNIT]],'Unit Price'!D$1,FALSE),0)</f>
        <v>0</v>
      </c>
      <c r="I54" s="194">
        <f>IF(_1_541284561214624104645789101745678[[#This Row],[Type]]&gt;0,VLOOKUP(_1_541284561214624104645789101745678[[#This Row],[Type]],Main[[#All],[TYPE]:[UNIT]],'Unit Price'!G$1,FALSE),0)</f>
        <v>0</v>
      </c>
      <c r="J54" s="194">
        <f>IF(_1_541284561214624104645789101745678[[#This Row],[Type]]&gt;0,VLOOKUP(_1_541284561214624104645789101745678[[#This Row],[Type]],Main[[#All],[TYPE]:[UNIT]],'Unit Price'!H$1,FALSE),0)</f>
        <v>0</v>
      </c>
      <c r="K54" s="194">
        <f>IF(_1_541284561214624104645789101745678[[#This Row],[Discount selection]]&gt;0,VLOOKUP(_1_541284561214624104645789101745678[[#This Row],[Discount selection]],'Discount Structure'!$A$2:$B$30,2,"false"),0)</f>
        <v>1</v>
      </c>
      <c r="L54" s="194">
        <f>_1_541284561214624104645789101745678[[#This Row],[LIST $]]*_1_541284561214624104645789101745678[[#This Row],[DISCOUNT]]*_1_541284561214624104645789101745678[[#This Row],[DISCOUNT 2]]</f>
        <v>0</v>
      </c>
      <c r="M54" s="194">
        <f>IF(OR(_1_541284561214624104645789101745678[[#This Row],[UNIT]]&gt;0,_1_541284561214624104645789101745678[[#This Row],[UNIT]]&lt;0),_1_541284561214624104645789101745678[[#This Row],[UNIT]]*_1_541284561214624104645789101745678[[#This Row],[COST]],0)</f>
        <v>0</v>
      </c>
      <c r="N54" s="194">
        <f t="shared" si="0"/>
        <v>1.3</v>
      </c>
      <c r="O54" s="198">
        <f>_1_541284561214624104645789101745678[[#This Row],[TOTAL]]*_1_541284561214624104645789101745678[[#This Row],[MARGIN]]</f>
        <v>0</v>
      </c>
      <c r="R54" s="41"/>
    </row>
    <row r="55" spans="1:18">
      <c r="C55" s="168"/>
      <c r="D55" s="188"/>
      <c r="F55" s="168" t="s">
        <v>6202</v>
      </c>
      <c r="G55" s="193">
        <f>IF(_1_541284561214624104645789101745678[[#This Row],[Type]]&gt;0,VLOOKUP(_1_541284561214624104645789101745678[[#This Row],[Type]],Main[[#All],[TYPE]:[UNIT]],'Unit Price'!C$1,FALSE),0)</f>
        <v>0</v>
      </c>
      <c r="H55" s="197">
        <f>IF(_1_541284561214624104645789101745678[[#This Row],[Type]]&gt;0,VLOOKUP(_1_541284561214624104645789101745678[[#This Row],[Type]],Main[[#All],[TYPE]:[UNIT]],'Unit Price'!D$1,FALSE),0)</f>
        <v>0</v>
      </c>
      <c r="I55" s="194">
        <f>IF(_1_541284561214624104645789101745678[[#This Row],[Type]]&gt;0,VLOOKUP(_1_541284561214624104645789101745678[[#This Row],[Type]],Main[[#All],[TYPE]:[UNIT]],'Unit Price'!G$1,FALSE),0)</f>
        <v>0</v>
      </c>
      <c r="J55" s="194">
        <f>IF(_1_541284561214624104645789101745678[[#This Row],[Type]]&gt;0,VLOOKUP(_1_541284561214624104645789101745678[[#This Row],[Type]],Main[[#All],[TYPE]:[UNIT]],'Unit Price'!H$1,FALSE),0)</f>
        <v>0</v>
      </c>
      <c r="K55" s="194">
        <f>IF(_1_541284561214624104645789101745678[[#This Row],[Discount selection]]&gt;0,VLOOKUP(_1_541284561214624104645789101745678[[#This Row],[Discount selection]],'Discount Structure'!$A$2:$B$30,2,"false"),0)</f>
        <v>1</v>
      </c>
      <c r="L55" s="194">
        <f>_1_541284561214624104645789101745678[[#This Row],[LIST $]]*_1_541284561214624104645789101745678[[#This Row],[DISCOUNT]]*_1_541284561214624104645789101745678[[#This Row],[DISCOUNT 2]]</f>
        <v>0</v>
      </c>
      <c r="M55" s="194">
        <f>IF(OR(_1_541284561214624104645789101745678[[#This Row],[UNIT]]&gt;0,_1_541284561214624104645789101745678[[#This Row],[UNIT]]&lt;0),_1_541284561214624104645789101745678[[#This Row],[UNIT]]*_1_541284561214624104645789101745678[[#This Row],[COST]],0)</f>
        <v>0</v>
      </c>
      <c r="N55" s="194">
        <f t="shared" si="0"/>
        <v>1.3</v>
      </c>
      <c r="O55" s="198">
        <f>_1_541284561214624104645789101745678[[#This Row],[TOTAL]]*_1_541284561214624104645789101745678[[#This Row],[MARGIN]]</f>
        <v>0</v>
      </c>
      <c r="R55" s="41"/>
    </row>
    <row r="56" spans="1:18">
      <c r="B56" s="317"/>
      <c r="C56" s="168"/>
      <c r="D56" s="188"/>
      <c r="F56" s="168" t="s">
        <v>6202</v>
      </c>
      <c r="G56" s="193">
        <f>IF(_1_541284561214624104645789101745678[[#This Row],[Type]]&gt;0,VLOOKUP(_1_541284561214624104645789101745678[[#This Row],[Type]],Main[[#All],[TYPE]:[UNIT]],'Unit Price'!C$1,FALSE),0)</f>
        <v>0</v>
      </c>
      <c r="H56" s="197">
        <f>IF(_1_541284561214624104645789101745678[[#This Row],[Type]]&gt;0,VLOOKUP(_1_541284561214624104645789101745678[[#This Row],[Type]],Main[[#All],[TYPE]:[UNIT]],'Unit Price'!D$1,FALSE),0)</f>
        <v>0</v>
      </c>
      <c r="I56" s="194">
        <f>IF(_1_541284561214624104645789101745678[[#This Row],[Type]]&gt;0,VLOOKUP(_1_541284561214624104645789101745678[[#This Row],[Type]],Main[[#All],[TYPE]:[UNIT]],'Unit Price'!G$1,FALSE),0)</f>
        <v>0</v>
      </c>
      <c r="J56" s="194">
        <f>IF(_1_541284561214624104645789101745678[[#This Row],[Type]]&gt;0,VLOOKUP(_1_541284561214624104645789101745678[[#This Row],[Type]],Main[[#All],[TYPE]:[UNIT]],'Unit Price'!H$1,FALSE),0)</f>
        <v>0</v>
      </c>
      <c r="K56" s="194">
        <f>IF(_1_541284561214624104645789101745678[[#This Row],[Discount selection]]&gt;0,VLOOKUP(_1_541284561214624104645789101745678[[#This Row],[Discount selection]],'Discount Structure'!$A$2:$B$30,2,"false"),0)</f>
        <v>1</v>
      </c>
      <c r="L56" s="194">
        <f>_1_541284561214624104645789101745678[[#This Row],[LIST $]]*_1_541284561214624104645789101745678[[#This Row],[DISCOUNT]]*_1_541284561214624104645789101745678[[#This Row],[DISCOUNT 2]]</f>
        <v>0</v>
      </c>
      <c r="M56" s="194">
        <f>IF(OR(_1_541284561214624104645789101745678[[#This Row],[UNIT]]&gt;0,_1_541284561214624104645789101745678[[#This Row],[UNIT]]&lt;0),_1_541284561214624104645789101745678[[#This Row],[UNIT]]*_1_541284561214624104645789101745678[[#This Row],[COST]],0)</f>
        <v>0</v>
      </c>
      <c r="N56" s="194">
        <f t="shared" si="0"/>
        <v>1.3</v>
      </c>
      <c r="O56" s="198">
        <f>_1_541284561214624104645789101745678[[#This Row],[TOTAL]]*_1_541284561214624104645789101745678[[#This Row],[MARGIN]]</f>
        <v>0</v>
      </c>
      <c r="R56" s="41"/>
    </row>
    <row r="57" spans="1:18">
      <c r="A57" s="168"/>
      <c r="C57" s="168"/>
      <c r="D57" s="188"/>
      <c r="F57" s="168" t="s">
        <v>6202</v>
      </c>
      <c r="G57" s="193">
        <f>IF(_1_541284561214624104645789101745678[[#This Row],[Type]]&gt;0,VLOOKUP(_1_541284561214624104645789101745678[[#This Row],[Type]],Main[[#All],[TYPE]:[UNIT]],'Unit Price'!C$1,FALSE),0)</f>
        <v>0</v>
      </c>
      <c r="H57" s="197">
        <f>IF(_1_541284561214624104645789101745678[[#This Row],[Type]]&gt;0,VLOOKUP(_1_541284561214624104645789101745678[[#This Row],[Type]],Main[[#All],[TYPE]:[UNIT]],'Unit Price'!D$1,FALSE),0)</f>
        <v>0</v>
      </c>
      <c r="I57" s="194">
        <f>IF(_1_541284561214624104645789101745678[[#This Row],[Type]]&gt;0,VLOOKUP(_1_541284561214624104645789101745678[[#This Row],[Type]],Main[[#All],[TYPE]:[UNIT]],'Unit Price'!G$1,FALSE),0)</f>
        <v>0</v>
      </c>
      <c r="J57" s="194">
        <f>IF(_1_541284561214624104645789101745678[[#This Row],[Type]]&gt;0,VLOOKUP(_1_541284561214624104645789101745678[[#This Row],[Type]],Main[[#All],[TYPE]:[UNIT]],'Unit Price'!H$1,FALSE),0)</f>
        <v>0</v>
      </c>
      <c r="K57" s="194">
        <f>IF(_1_541284561214624104645789101745678[[#This Row],[Discount selection]]&gt;0,VLOOKUP(_1_541284561214624104645789101745678[[#This Row],[Discount selection]],'Discount Structure'!$A$2:$B$30,2,"false"),0)</f>
        <v>1</v>
      </c>
      <c r="L57" s="194">
        <f>_1_541284561214624104645789101745678[[#This Row],[LIST $]]*_1_541284561214624104645789101745678[[#This Row],[DISCOUNT]]*_1_541284561214624104645789101745678[[#This Row],[DISCOUNT 2]]</f>
        <v>0</v>
      </c>
      <c r="M57" s="194">
        <f>IF(OR(_1_541284561214624104645789101745678[[#This Row],[UNIT]]&gt;0,_1_541284561214624104645789101745678[[#This Row],[UNIT]]&lt;0),_1_541284561214624104645789101745678[[#This Row],[UNIT]]*_1_541284561214624104645789101745678[[#This Row],[COST]],0)</f>
        <v>0</v>
      </c>
      <c r="N57" s="194">
        <f t="shared" si="0"/>
        <v>1.3</v>
      </c>
      <c r="O57" s="198">
        <f>_1_541284561214624104645789101745678[[#This Row],[TOTAL]]*_1_541284561214624104645789101745678[[#This Row],[MARGIN]]</f>
        <v>0</v>
      </c>
      <c r="R57" s="41"/>
    </row>
    <row r="58" spans="1:18">
      <c r="B58" s="317"/>
      <c r="C58" s="168"/>
      <c r="D58" s="188"/>
      <c r="F58" s="168" t="s">
        <v>6202</v>
      </c>
      <c r="G58" s="193">
        <f>IF(_1_541284561214624104645789101745678[[#This Row],[Type]]&gt;0,VLOOKUP(_1_541284561214624104645789101745678[[#This Row],[Type]],Main[[#All],[TYPE]:[UNIT]],'Unit Price'!C$1,FALSE),0)</f>
        <v>0</v>
      </c>
      <c r="H58" s="197">
        <f>IF(_1_541284561214624104645789101745678[[#This Row],[Type]]&gt;0,VLOOKUP(_1_541284561214624104645789101745678[[#This Row],[Type]],Main[[#All],[TYPE]:[UNIT]],'Unit Price'!D$1,FALSE),0)</f>
        <v>0</v>
      </c>
      <c r="I58" s="194">
        <f>IF(_1_541284561214624104645789101745678[[#This Row],[Type]]&gt;0,VLOOKUP(_1_541284561214624104645789101745678[[#This Row],[Type]],Main[[#All],[TYPE]:[UNIT]],'Unit Price'!G$1,FALSE),0)</f>
        <v>0</v>
      </c>
      <c r="J58" s="194">
        <f>IF(_1_541284561214624104645789101745678[[#This Row],[Type]]&gt;0,VLOOKUP(_1_541284561214624104645789101745678[[#This Row],[Type]],Main[[#All],[TYPE]:[UNIT]],'Unit Price'!H$1,FALSE),0)</f>
        <v>0</v>
      </c>
      <c r="K58" s="194">
        <f>IF(_1_541284561214624104645789101745678[[#This Row],[Discount selection]]&gt;0,VLOOKUP(_1_541284561214624104645789101745678[[#This Row],[Discount selection]],'Discount Structure'!$A$2:$B$30,2,"false"),0)</f>
        <v>1</v>
      </c>
      <c r="L58" s="194">
        <f>_1_541284561214624104645789101745678[[#This Row],[LIST $]]*_1_541284561214624104645789101745678[[#This Row],[DISCOUNT]]*_1_541284561214624104645789101745678[[#This Row],[DISCOUNT 2]]</f>
        <v>0</v>
      </c>
      <c r="M58" s="194">
        <f>IF(OR(_1_541284561214624104645789101745678[[#This Row],[UNIT]]&gt;0,_1_541284561214624104645789101745678[[#This Row],[UNIT]]&lt;0),_1_541284561214624104645789101745678[[#This Row],[UNIT]]*_1_541284561214624104645789101745678[[#This Row],[COST]],0)</f>
        <v>0</v>
      </c>
      <c r="N58" s="194">
        <f t="shared" si="0"/>
        <v>1.3</v>
      </c>
      <c r="O58" s="198">
        <f>_1_541284561214624104645789101745678[[#This Row],[TOTAL]]*_1_541284561214624104645789101745678[[#This Row],[MARGIN]]</f>
        <v>0</v>
      </c>
      <c r="R58" s="41"/>
    </row>
    <row r="59" spans="1:18">
      <c r="C59" s="168"/>
      <c r="D59" s="188"/>
      <c r="F59" s="168" t="s">
        <v>6202</v>
      </c>
      <c r="G59" s="193">
        <f>IF(_1_541284561214624104645789101745678[[#This Row],[Type]]&gt;0,VLOOKUP(_1_541284561214624104645789101745678[[#This Row],[Type]],Main[[#All],[TYPE]:[UNIT]],'Unit Price'!C$1,FALSE),0)</f>
        <v>0</v>
      </c>
      <c r="H59" s="197">
        <f>IF(_1_541284561214624104645789101745678[[#This Row],[Type]]&gt;0,VLOOKUP(_1_541284561214624104645789101745678[[#This Row],[Type]],Main[[#All],[TYPE]:[UNIT]],'Unit Price'!D$1,FALSE),0)</f>
        <v>0</v>
      </c>
      <c r="I59" s="194">
        <f>IF(_1_541284561214624104645789101745678[[#This Row],[Type]]&gt;0,VLOOKUP(_1_541284561214624104645789101745678[[#This Row],[Type]],Main[[#All],[TYPE]:[UNIT]],'Unit Price'!G$1,FALSE),0)</f>
        <v>0</v>
      </c>
      <c r="J59" s="194">
        <f>IF(_1_541284561214624104645789101745678[[#This Row],[Type]]&gt;0,VLOOKUP(_1_541284561214624104645789101745678[[#This Row],[Type]],Main[[#All],[TYPE]:[UNIT]],'Unit Price'!H$1,FALSE),0)</f>
        <v>0</v>
      </c>
      <c r="K59" s="194">
        <f>IF(_1_541284561214624104645789101745678[[#This Row],[Discount selection]]&gt;0,VLOOKUP(_1_541284561214624104645789101745678[[#This Row],[Discount selection]],'Discount Structure'!$A$2:$B$30,2,"false"),0)</f>
        <v>1</v>
      </c>
      <c r="L59" s="194">
        <f>_1_541284561214624104645789101745678[[#This Row],[LIST $]]*_1_541284561214624104645789101745678[[#This Row],[DISCOUNT]]*_1_541284561214624104645789101745678[[#This Row],[DISCOUNT 2]]</f>
        <v>0</v>
      </c>
      <c r="M59" s="194">
        <f>IF(OR(_1_541284561214624104645789101745678[[#This Row],[UNIT]]&gt;0,_1_541284561214624104645789101745678[[#This Row],[UNIT]]&lt;0),_1_541284561214624104645789101745678[[#This Row],[UNIT]]*_1_541284561214624104645789101745678[[#This Row],[COST]],0)</f>
        <v>0</v>
      </c>
      <c r="N59" s="194">
        <f t="shared" si="0"/>
        <v>1.3</v>
      </c>
      <c r="O59" s="198">
        <f>_1_541284561214624104645789101745678[[#This Row],[TOTAL]]*_1_541284561214624104645789101745678[[#This Row],[MARGIN]]</f>
        <v>0</v>
      </c>
      <c r="R59" s="41"/>
    </row>
    <row r="60" spans="1:18">
      <c r="C60" s="168"/>
      <c r="D60" s="188"/>
      <c r="F60" s="168" t="s">
        <v>6202</v>
      </c>
      <c r="G60" s="193">
        <f>IF(_1_541284561214624104645789101745678[[#This Row],[Type]]&gt;0,VLOOKUP(_1_541284561214624104645789101745678[[#This Row],[Type]],Main[[#All],[TYPE]:[UNIT]],'Unit Price'!C$1,FALSE),0)</f>
        <v>0</v>
      </c>
      <c r="H60" s="197">
        <f>IF(_1_541284561214624104645789101745678[[#This Row],[Type]]&gt;0,VLOOKUP(_1_541284561214624104645789101745678[[#This Row],[Type]],Main[[#All],[TYPE]:[UNIT]],'Unit Price'!D$1,FALSE),0)</f>
        <v>0</v>
      </c>
      <c r="I60" s="194">
        <f>IF(_1_541284561214624104645789101745678[[#This Row],[Type]]&gt;0,VLOOKUP(_1_541284561214624104645789101745678[[#This Row],[Type]],Main[[#All],[TYPE]:[UNIT]],'Unit Price'!G$1,FALSE),0)</f>
        <v>0</v>
      </c>
      <c r="J60" s="194">
        <f>IF(_1_541284561214624104645789101745678[[#This Row],[Type]]&gt;0,VLOOKUP(_1_541284561214624104645789101745678[[#This Row],[Type]],Main[[#All],[TYPE]:[UNIT]],'Unit Price'!H$1,FALSE),0)</f>
        <v>0</v>
      </c>
      <c r="K60" s="194">
        <f>IF(_1_541284561214624104645789101745678[[#This Row],[Discount selection]]&gt;0,VLOOKUP(_1_541284561214624104645789101745678[[#This Row],[Discount selection]],'Discount Structure'!$A$2:$B$30,2,"false"),0)</f>
        <v>1</v>
      </c>
      <c r="L60" s="194">
        <f>_1_541284561214624104645789101745678[[#This Row],[LIST $]]*_1_541284561214624104645789101745678[[#This Row],[DISCOUNT]]*_1_541284561214624104645789101745678[[#This Row],[DISCOUNT 2]]</f>
        <v>0</v>
      </c>
      <c r="M60" s="194">
        <f>IF(OR(_1_541284561214624104645789101745678[[#This Row],[UNIT]]&gt;0,_1_541284561214624104645789101745678[[#This Row],[UNIT]]&lt;0),_1_541284561214624104645789101745678[[#This Row],[UNIT]]*_1_541284561214624104645789101745678[[#This Row],[COST]],0)</f>
        <v>0</v>
      </c>
      <c r="N60" s="194">
        <f t="shared" si="0"/>
        <v>1.3</v>
      </c>
      <c r="O60" s="198">
        <f>_1_541284561214624104645789101745678[[#This Row],[TOTAL]]*_1_541284561214624104645789101745678[[#This Row],[MARGIN]]</f>
        <v>0</v>
      </c>
      <c r="R60" s="41"/>
    </row>
    <row r="61" spans="1:18">
      <c r="B61" s="168"/>
      <c r="C61" s="168"/>
      <c r="D61" s="361"/>
      <c r="F61" s="168" t="s">
        <v>6202</v>
      </c>
      <c r="G61" s="193">
        <f>IF(_1_541284561214624104645789101745678[[#This Row],[Type]]&gt;0,VLOOKUP(_1_541284561214624104645789101745678[[#This Row],[Type]],Main[[#All],[TYPE]:[UNIT]],'Unit Price'!C$1,FALSE),0)</f>
        <v>0</v>
      </c>
      <c r="H61" s="197">
        <f>IF(_1_541284561214624104645789101745678[[#This Row],[Type]]&gt;0,VLOOKUP(_1_541284561214624104645789101745678[[#This Row],[Type]],Main[[#All],[TYPE]:[UNIT]],'Unit Price'!D$1,FALSE),0)</f>
        <v>0</v>
      </c>
      <c r="I61" s="194">
        <f>IF(_1_541284561214624104645789101745678[[#This Row],[Type]]&gt;0,VLOOKUP(_1_541284561214624104645789101745678[[#This Row],[Type]],Main[[#All],[TYPE]:[UNIT]],'Unit Price'!G$1,FALSE),0)</f>
        <v>0</v>
      </c>
      <c r="J61" s="194">
        <f>IF(_1_541284561214624104645789101745678[[#This Row],[Type]]&gt;0,VLOOKUP(_1_541284561214624104645789101745678[[#This Row],[Type]],Main[[#All],[TYPE]:[UNIT]],'Unit Price'!H$1,FALSE),0)</f>
        <v>0</v>
      </c>
      <c r="K61" s="194">
        <f>IF(_1_541284561214624104645789101745678[[#This Row],[Discount selection]]&gt;0,VLOOKUP(_1_541284561214624104645789101745678[[#This Row],[Discount selection]],'Discount Structure'!$A$2:$B$30,2,"false"),0)</f>
        <v>1</v>
      </c>
      <c r="L61" s="194">
        <f>_1_541284561214624104645789101745678[[#This Row],[LIST $]]*_1_541284561214624104645789101745678[[#This Row],[DISCOUNT]]*_1_541284561214624104645789101745678[[#This Row],[DISCOUNT 2]]</f>
        <v>0</v>
      </c>
      <c r="M61" s="194">
        <f>IF(OR(_1_541284561214624104645789101745678[[#This Row],[UNIT]]&gt;0,_1_541284561214624104645789101745678[[#This Row],[UNIT]]&lt;0),_1_541284561214624104645789101745678[[#This Row],[UNIT]]*_1_541284561214624104645789101745678[[#This Row],[COST]],0)</f>
        <v>0</v>
      </c>
      <c r="N61" s="194">
        <f t="shared" si="0"/>
        <v>1.3</v>
      </c>
      <c r="O61" s="198">
        <f>_1_541284561214624104645789101745678[[#This Row],[TOTAL]]*_1_541284561214624104645789101745678[[#This Row],[MARGIN]]</f>
        <v>0</v>
      </c>
      <c r="R61" s="41"/>
    </row>
    <row r="62" spans="1:18">
      <c r="C62" s="168"/>
      <c r="D62" s="188"/>
      <c r="F62" s="168" t="s">
        <v>6202</v>
      </c>
      <c r="G62" s="193">
        <f>IF(_1_541284561214624104645789101745678[[#This Row],[Type]]&gt;0,VLOOKUP(_1_541284561214624104645789101745678[[#This Row],[Type]],Main[[#All],[TYPE]:[UNIT]],'Unit Price'!C$1,FALSE),0)</f>
        <v>0</v>
      </c>
      <c r="H62" s="197">
        <f>IF(_1_541284561214624104645789101745678[[#This Row],[Type]]&gt;0,VLOOKUP(_1_541284561214624104645789101745678[[#This Row],[Type]],Main[[#All],[TYPE]:[UNIT]],'Unit Price'!D$1,FALSE),0)</f>
        <v>0</v>
      </c>
      <c r="I62" s="194">
        <f>IF(_1_541284561214624104645789101745678[[#This Row],[Type]]&gt;0,VLOOKUP(_1_541284561214624104645789101745678[[#This Row],[Type]],Main[[#All],[TYPE]:[UNIT]],'Unit Price'!G$1,FALSE),0)</f>
        <v>0</v>
      </c>
      <c r="J62" s="194">
        <f>IF(_1_541284561214624104645789101745678[[#This Row],[Type]]&gt;0,VLOOKUP(_1_541284561214624104645789101745678[[#This Row],[Type]],Main[[#All],[TYPE]:[UNIT]],'Unit Price'!H$1,FALSE),0)</f>
        <v>0</v>
      </c>
      <c r="K62" s="194">
        <f>IF(_1_541284561214624104645789101745678[[#This Row],[Discount selection]]&gt;0,VLOOKUP(_1_541284561214624104645789101745678[[#This Row],[Discount selection]],'Discount Structure'!$A$2:$B$30,2,"false"),0)</f>
        <v>1</v>
      </c>
      <c r="L62" s="194">
        <f>_1_541284561214624104645789101745678[[#This Row],[LIST $]]*_1_541284561214624104645789101745678[[#This Row],[DISCOUNT]]*_1_541284561214624104645789101745678[[#This Row],[DISCOUNT 2]]</f>
        <v>0</v>
      </c>
      <c r="M62" s="194">
        <f>IF(OR(_1_541284561214624104645789101745678[[#This Row],[UNIT]]&gt;0,_1_541284561214624104645789101745678[[#This Row],[UNIT]]&lt;0),_1_541284561214624104645789101745678[[#This Row],[UNIT]]*_1_541284561214624104645789101745678[[#This Row],[COST]],0)</f>
        <v>0</v>
      </c>
      <c r="N62" s="194">
        <f t="shared" si="0"/>
        <v>1.3</v>
      </c>
      <c r="O62" s="198">
        <f>_1_541284561214624104645789101745678[[#This Row],[TOTAL]]*_1_541284561214624104645789101745678[[#This Row],[MARGIN]]</f>
        <v>0</v>
      </c>
      <c r="R62" s="41"/>
    </row>
    <row r="63" spans="1:18">
      <c r="C63" s="168"/>
      <c r="D63" s="188"/>
      <c r="F63" s="168" t="s">
        <v>6202</v>
      </c>
      <c r="G63" s="193">
        <f>IF(_1_541284561214624104645789101745678[[#This Row],[Type]]&gt;0,VLOOKUP(_1_541284561214624104645789101745678[[#This Row],[Type]],Main[[#All],[TYPE]:[UNIT]],'Unit Price'!C$1,FALSE),0)</f>
        <v>0</v>
      </c>
      <c r="H63" s="197">
        <f>IF(_1_541284561214624104645789101745678[[#This Row],[Type]]&gt;0,VLOOKUP(_1_541284561214624104645789101745678[[#This Row],[Type]],Main[[#All],[TYPE]:[UNIT]],'Unit Price'!D$1,FALSE),0)</f>
        <v>0</v>
      </c>
      <c r="I63" s="194">
        <f>IF(_1_541284561214624104645789101745678[[#This Row],[Type]]&gt;0,VLOOKUP(_1_541284561214624104645789101745678[[#This Row],[Type]],Main[[#All],[TYPE]:[UNIT]],'Unit Price'!G$1,FALSE),0)</f>
        <v>0</v>
      </c>
      <c r="J63" s="194">
        <f>IF(_1_541284561214624104645789101745678[[#This Row],[Type]]&gt;0,VLOOKUP(_1_541284561214624104645789101745678[[#This Row],[Type]],Main[[#All],[TYPE]:[UNIT]],'Unit Price'!H$1,FALSE),0)</f>
        <v>0</v>
      </c>
      <c r="K63" s="194">
        <f>IF(_1_541284561214624104645789101745678[[#This Row],[Discount selection]]&gt;0,VLOOKUP(_1_541284561214624104645789101745678[[#This Row],[Discount selection]],'Discount Structure'!$A$2:$B$30,2,"false"),0)</f>
        <v>1</v>
      </c>
      <c r="L63" s="194">
        <f>_1_541284561214624104645789101745678[[#This Row],[LIST $]]*_1_541284561214624104645789101745678[[#This Row],[DISCOUNT]]*_1_541284561214624104645789101745678[[#This Row],[DISCOUNT 2]]</f>
        <v>0</v>
      </c>
      <c r="M63" s="194">
        <f>IF(OR(_1_541284561214624104645789101745678[[#This Row],[UNIT]]&gt;0,_1_541284561214624104645789101745678[[#This Row],[UNIT]]&lt;0),_1_541284561214624104645789101745678[[#This Row],[UNIT]]*_1_541284561214624104645789101745678[[#This Row],[COST]],0)</f>
        <v>0</v>
      </c>
      <c r="N63" s="194">
        <f t="shared" si="0"/>
        <v>1.3</v>
      </c>
      <c r="O63" s="198">
        <f>_1_541284561214624104645789101745678[[#This Row],[TOTAL]]*_1_541284561214624104645789101745678[[#This Row],[MARGIN]]</f>
        <v>0</v>
      </c>
      <c r="R63" s="41"/>
    </row>
    <row r="64" spans="1:18">
      <c r="C64" s="168"/>
      <c r="D64" s="188"/>
      <c r="F64" s="168" t="s">
        <v>6202</v>
      </c>
      <c r="G64" s="193">
        <f>IF(_1_541284561214624104645789101745678[[#This Row],[Type]]&gt;0,VLOOKUP(_1_541284561214624104645789101745678[[#This Row],[Type]],Main[[#All],[TYPE]:[UNIT]],'Unit Price'!C$1,FALSE),0)</f>
        <v>0</v>
      </c>
      <c r="H64" s="197">
        <f>IF(_1_541284561214624104645789101745678[[#This Row],[Type]]&gt;0,VLOOKUP(_1_541284561214624104645789101745678[[#This Row],[Type]],Main[[#All],[TYPE]:[UNIT]],'Unit Price'!D$1,FALSE),0)</f>
        <v>0</v>
      </c>
      <c r="I64" s="194">
        <f>IF(_1_541284561214624104645789101745678[[#This Row],[Type]]&gt;0,VLOOKUP(_1_541284561214624104645789101745678[[#This Row],[Type]],Main[[#All],[TYPE]:[UNIT]],'Unit Price'!G$1,FALSE),0)</f>
        <v>0</v>
      </c>
      <c r="J64" s="194">
        <f>IF(_1_541284561214624104645789101745678[[#This Row],[Type]]&gt;0,VLOOKUP(_1_541284561214624104645789101745678[[#This Row],[Type]],Main[[#All],[TYPE]:[UNIT]],'Unit Price'!H$1,FALSE),0)</f>
        <v>0</v>
      </c>
      <c r="K64" s="194">
        <f>IF(_1_541284561214624104645789101745678[[#This Row],[Discount selection]]&gt;0,VLOOKUP(_1_541284561214624104645789101745678[[#This Row],[Discount selection]],'Discount Structure'!$A$2:$B$30,2,"false"),0)</f>
        <v>1</v>
      </c>
      <c r="L64" s="194">
        <f>_1_541284561214624104645789101745678[[#This Row],[LIST $]]*_1_541284561214624104645789101745678[[#This Row],[DISCOUNT]]*_1_541284561214624104645789101745678[[#This Row],[DISCOUNT 2]]</f>
        <v>0</v>
      </c>
      <c r="M64" s="194">
        <f>IF(OR(_1_541284561214624104645789101745678[[#This Row],[UNIT]]&gt;0,_1_541284561214624104645789101745678[[#This Row],[UNIT]]&lt;0),_1_541284561214624104645789101745678[[#This Row],[UNIT]]*_1_541284561214624104645789101745678[[#This Row],[COST]],0)</f>
        <v>0</v>
      </c>
      <c r="N64" s="194">
        <f t="shared" si="0"/>
        <v>1.3</v>
      </c>
      <c r="O64" s="198">
        <f>_1_541284561214624104645789101745678[[#This Row],[TOTAL]]*_1_541284561214624104645789101745678[[#This Row],[MARGIN]]</f>
        <v>0</v>
      </c>
      <c r="R64" s="41"/>
    </row>
    <row r="65" spans="1:18">
      <c r="C65" s="168"/>
      <c r="D65" s="188"/>
      <c r="F65" s="168" t="s">
        <v>6202</v>
      </c>
      <c r="G65" s="193">
        <f>IF(_1_541284561214624104645789101745678[[#This Row],[Type]]&gt;0,VLOOKUP(_1_541284561214624104645789101745678[[#This Row],[Type]],Main[[#All],[TYPE]:[UNIT]],'Unit Price'!C$1,FALSE),0)</f>
        <v>0</v>
      </c>
      <c r="H65" s="197">
        <f>IF(_1_541284561214624104645789101745678[[#This Row],[Type]]&gt;0,VLOOKUP(_1_541284561214624104645789101745678[[#This Row],[Type]],Main[[#All],[TYPE]:[UNIT]],'Unit Price'!D$1,FALSE),0)</f>
        <v>0</v>
      </c>
      <c r="I65" s="194">
        <f>IF(_1_541284561214624104645789101745678[[#This Row],[Type]]&gt;0,VLOOKUP(_1_541284561214624104645789101745678[[#This Row],[Type]],Main[[#All],[TYPE]:[UNIT]],'Unit Price'!G$1,FALSE),0)</f>
        <v>0</v>
      </c>
      <c r="J65" s="194">
        <f>IF(_1_541284561214624104645789101745678[[#This Row],[Type]]&gt;0,VLOOKUP(_1_541284561214624104645789101745678[[#This Row],[Type]],Main[[#All],[TYPE]:[UNIT]],'Unit Price'!H$1,FALSE),0)</f>
        <v>0</v>
      </c>
      <c r="K65" s="194">
        <f>IF(_1_541284561214624104645789101745678[[#This Row],[Discount selection]]&gt;0,VLOOKUP(_1_541284561214624104645789101745678[[#This Row],[Discount selection]],'Discount Structure'!$A$2:$B$30,2,"false"),0)</f>
        <v>1</v>
      </c>
      <c r="L65" s="194">
        <f>_1_541284561214624104645789101745678[[#This Row],[LIST $]]*_1_541284561214624104645789101745678[[#This Row],[DISCOUNT]]*_1_541284561214624104645789101745678[[#This Row],[DISCOUNT 2]]</f>
        <v>0</v>
      </c>
      <c r="M65" s="194">
        <f>IF(OR(_1_541284561214624104645789101745678[[#This Row],[UNIT]]&gt;0,_1_541284561214624104645789101745678[[#This Row],[UNIT]]&lt;0),_1_541284561214624104645789101745678[[#This Row],[UNIT]]*_1_541284561214624104645789101745678[[#This Row],[COST]],0)</f>
        <v>0</v>
      </c>
      <c r="N65" s="194">
        <f t="shared" si="0"/>
        <v>1.3</v>
      </c>
      <c r="O65" s="198">
        <f>_1_541284561214624104645789101745678[[#This Row],[TOTAL]]*_1_541284561214624104645789101745678[[#This Row],[MARGIN]]</f>
        <v>0</v>
      </c>
      <c r="R65" s="41"/>
    </row>
    <row r="66" spans="1:18">
      <c r="B66" s="363"/>
      <c r="C66" s="168"/>
      <c r="D66" s="188"/>
      <c r="F66" s="168" t="s">
        <v>6202</v>
      </c>
      <c r="G66" s="193">
        <f>IF(_1_541284561214624104645789101745678[[#This Row],[Type]]&gt;0,VLOOKUP(_1_541284561214624104645789101745678[[#This Row],[Type]],Main[[#All],[TYPE]:[UNIT]],'Unit Price'!C$1,FALSE),0)</f>
        <v>0</v>
      </c>
      <c r="H66" s="197">
        <f>IF(_1_541284561214624104645789101745678[[#This Row],[Type]]&gt;0,VLOOKUP(_1_541284561214624104645789101745678[[#This Row],[Type]],Main[[#All],[TYPE]:[UNIT]],'Unit Price'!D$1,FALSE),0)</f>
        <v>0</v>
      </c>
      <c r="I66" s="194">
        <f>IF(_1_541284561214624104645789101745678[[#This Row],[Type]]&gt;0,VLOOKUP(_1_541284561214624104645789101745678[[#This Row],[Type]],Main[[#All],[TYPE]:[UNIT]],'Unit Price'!G$1,FALSE),0)</f>
        <v>0</v>
      </c>
      <c r="J66" s="194">
        <f>IF(_1_541284561214624104645789101745678[[#This Row],[Type]]&gt;0,VLOOKUP(_1_541284561214624104645789101745678[[#This Row],[Type]],Main[[#All],[TYPE]:[UNIT]],'Unit Price'!H$1,FALSE),0)</f>
        <v>0</v>
      </c>
      <c r="K66" s="194">
        <f>IF(_1_541284561214624104645789101745678[[#This Row],[Discount selection]]&gt;0,VLOOKUP(_1_541284561214624104645789101745678[[#This Row],[Discount selection]],'Discount Structure'!$A$2:$B$30,2,"false"),0)</f>
        <v>1</v>
      </c>
      <c r="L66" s="194">
        <f>_1_541284561214624104645789101745678[[#This Row],[LIST $]]*_1_541284561214624104645789101745678[[#This Row],[DISCOUNT]]*_1_541284561214624104645789101745678[[#This Row],[DISCOUNT 2]]</f>
        <v>0</v>
      </c>
      <c r="M66" s="194">
        <f>IF(OR(_1_541284561214624104645789101745678[[#This Row],[UNIT]]&gt;0,_1_541284561214624104645789101745678[[#This Row],[UNIT]]&lt;0),_1_541284561214624104645789101745678[[#This Row],[UNIT]]*_1_541284561214624104645789101745678[[#This Row],[COST]],0)</f>
        <v>0</v>
      </c>
      <c r="N66" s="194">
        <f t="shared" si="0"/>
        <v>1.3</v>
      </c>
      <c r="O66" s="198">
        <f>_1_541284561214624104645789101745678[[#This Row],[TOTAL]]*_1_541284561214624104645789101745678[[#This Row],[MARGIN]]</f>
        <v>0</v>
      </c>
      <c r="R66" s="41"/>
    </row>
    <row r="67" spans="1:18">
      <c r="C67" s="168"/>
      <c r="D67" s="188"/>
      <c r="F67" s="168" t="s">
        <v>6202</v>
      </c>
      <c r="G67" s="193">
        <f>IF(_1_541284561214624104645789101745678[[#This Row],[Type]]&gt;0,VLOOKUP(_1_541284561214624104645789101745678[[#This Row],[Type]],Main[[#All],[TYPE]:[UNIT]],'Unit Price'!C$1,FALSE),0)</f>
        <v>0</v>
      </c>
      <c r="H67" s="197">
        <f>IF(_1_541284561214624104645789101745678[[#This Row],[Type]]&gt;0,VLOOKUP(_1_541284561214624104645789101745678[[#This Row],[Type]],Main[[#All],[TYPE]:[UNIT]],'Unit Price'!D$1,FALSE),0)</f>
        <v>0</v>
      </c>
      <c r="I67" s="194">
        <f>IF(_1_541284561214624104645789101745678[[#This Row],[Type]]&gt;0,VLOOKUP(_1_541284561214624104645789101745678[[#This Row],[Type]],Main[[#All],[TYPE]:[UNIT]],'Unit Price'!G$1,FALSE),0)</f>
        <v>0</v>
      </c>
      <c r="J67" s="194">
        <f>IF(_1_541284561214624104645789101745678[[#This Row],[Type]]&gt;0,VLOOKUP(_1_541284561214624104645789101745678[[#This Row],[Type]],Main[[#All],[TYPE]:[UNIT]],'Unit Price'!H$1,FALSE),0)</f>
        <v>0</v>
      </c>
      <c r="K67" s="194">
        <f>IF(_1_541284561214624104645789101745678[[#This Row],[Discount selection]]&gt;0,VLOOKUP(_1_541284561214624104645789101745678[[#This Row],[Discount selection]],'Discount Structure'!$A$2:$B$30,2,"false"),0)</f>
        <v>1</v>
      </c>
      <c r="L67" s="194">
        <f>_1_541284561214624104645789101745678[[#This Row],[LIST $]]*_1_541284561214624104645789101745678[[#This Row],[DISCOUNT]]*_1_541284561214624104645789101745678[[#This Row],[DISCOUNT 2]]</f>
        <v>0</v>
      </c>
      <c r="M67" s="194">
        <f>IF(OR(_1_541284561214624104645789101745678[[#This Row],[UNIT]]&gt;0,_1_541284561214624104645789101745678[[#This Row],[UNIT]]&lt;0),_1_541284561214624104645789101745678[[#This Row],[UNIT]]*_1_541284561214624104645789101745678[[#This Row],[COST]],0)</f>
        <v>0</v>
      </c>
      <c r="N67" s="194">
        <f t="shared" si="0"/>
        <v>1.3</v>
      </c>
      <c r="O67" s="198">
        <f>_1_541284561214624104645789101745678[[#This Row],[TOTAL]]*_1_541284561214624104645789101745678[[#This Row],[MARGIN]]</f>
        <v>0</v>
      </c>
      <c r="R67" s="41"/>
    </row>
    <row r="68" spans="1:18">
      <c r="A68" s="168"/>
      <c r="C68" s="168"/>
      <c r="D68" s="188"/>
      <c r="F68" s="168" t="s">
        <v>6202</v>
      </c>
      <c r="G68" s="193">
        <f>IF(_1_541284561214624104645789101745678[[#This Row],[Type]]&gt;0,VLOOKUP(_1_541284561214624104645789101745678[[#This Row],[Type]],Main[[#All],[TYPE]:[UNIT]],'Unit Price'!C$1,FALSE),0)</f>
        <v>0</v>
      </c>
      <c r="H68" s="197">
        <f>IF(_1_541284561214624104645789101745678[[#This Row],[Type]]&gt;0,VLOOKUP(_1_541284561214624104645789101745678[[#This Row],[Type]],Main[[#All],[TYPE]:[UNIT]],'Unit Price'!D$1,FALSE),0)</f>
        <v>0</v>
      </c>
      <c r="I68" s="194">
        <f>IF(_1_541284561214624104645789101745678[[#This Row],[Type]]&gt;0,VLOOKUP(_1_541284561214624104645789101745678[[#This Row],[Type]],Main[[#All],[TYPE]:[UNIT]],'Unit Price'!G$1,FALSE),0)</f>
        <v>0</v>
      </c>
      <c r="J68" s="194">
        <f>IF(_1_541284561214624104645789101745678[[#This Row],[Type]]&gt;0,VLOOKUP(_1_541284561214624104645789101745678[[#This Row],[Type]],Main[[#All],[TYPE]:[UNIT]],'Unit Price'!H$1,FALSE),0)</f>
        <v>0</v>
      </c>
      <c r="K68" s="194">
        <f>IF(_1_541284561214624104645789101745678[[#This Row],[Discount selection]]&gt;0,VLOOKUP(_1_541284561214624104645789101745678[[#This Row],[Discount selection]],'Discount Structure'!$A$2:$B$30,2,"false"),0)</f>
        <v>1</v>
      </c>
      <c r="L68" s="194">
        <f>_1_541284561214624104645789101745678[[#This Row],[LIST $]]*_1_541284561214624104645789101745678[[#This Row],[DISCOUNT]]*_1_541284561214624104645789101745678[[#This Row],[DISCOUNT 2]]</f>
        <v>0</v>
      </c>
      <c r="M68" s="194">
        <f>IF(OR(_1_541284561214624104645789101745678[[#This Row],[UNIT]]&gt;0,_1_541284561214624104645789101745678[[#This Row],[UNIT]]&lt;0),_1_541284561214624104645789101745678[[#This Row],[UNIT]]*_1_541284561214624104645789101745678[[#This Row],[COST]],0)</f>
        <v>0</v>
      </c>
      <c r="N68" s="194">
        <f t="shared" si="0"/>
        <v>1.3</v>
      </c>
      <c r="O68" s="198">
        <f>_1_541284561214624104645789101745678[[#This Row],[TOTAL]]*_1_541284561214624104645789101745678[[#This Row],[MARGIN]]</f>
        <v>0</v>
      </c>
      <c r="R68" s="41"/>
    </row>
    <row r="69" spans="1:18">
      <c r="A69" s="168"/>
      <c r="C69" s="168"/>
      <c r="D69" s="188"/>
      <c r="F69" s="168" t="s">
        <v>6202</v>
      </c>
      <c r="G69" s="193">
        <f>IF(_1_541284561214624104645789101745678[[#This Row],[Type]]&gt;0,VLOOKUP(_1_541284561214624104645789101745678[[#This Row],[Type]],Main[[#All],[TYPE]:[UNIT]],'Unit Price'!C$1,FALSE),0)</f>
        <v>0</v>
      </c>
      <c r="H69" s="197">
        <f>IF(_1_541284561214624104645789101745678[[#This Row],[Type]]&gt;0,VLOOKUP(_1_541284561214624104645789101745678[[#This Row],[Type]],Main[[#All],[TYPE]:[UNIT]],'Unit Price'!D$1,FALSE),0)</f>
        <v>0</v>
      </c>
      <c r="I69" s="194">
        <f>IF(_1_541284561214624104645789101745678[[#This Row],[Type]]&gt;0,VLOOKUP(_1_541284561214624104645789101745678[[#This Row],[Type]],Main[[#All],[TYPE]:[UNIT]],'Unit Price'!G$1,FALSE),0)</f>
        <v>0</v>
      </c>
      <c r="J69" s="194">
        <f>IF(_1_541284561214624104645789101745678[[#This Row],[Type]]&gt;0,VLOOKUP(_1_541284561214624104645789101745678[[#This Row],[Type]],Main[[#All],[TYPE]:[UNIT]],'Unit Price'!H$1,FALSE),0)</f>
        <v>0</v>
      </c>
      <c r="K69" s="194">
        <f>IF(_1_541284561214624104645789101745678[[#This Row],[Discount selection]]&gt;0,VLOOKUP(_1_541284561214624104645789101745678[[#This Row],[Discount selection]],'Discount Structure'!$A$2:$B$30,2,"false"),0)</f>
        <v>1</v>
      </c>
      <c r="L69" s="194">
        <f>_1_541284561214624104645789101745678[[#This Row],[LIST $]]*_1_541284561214624104645789101745678[[#This Row],[DISCOUNT]]*_1_541284561214624104645789101745678[[#This Row],[DISCOUNT 2]]</f>
        <v>0</v>
      </c>
      <c r="M69" s="194">
        <f>IF(OR(_1_541284561214624104645789101745678[[#This Row],[UNIT]]&gt;0,_1_541284561214624104645789101745678[[#This Row],[UNIT]]&lt;0),_1_541284561214624104645789101745678[[#This Row],[UNIT]]*_1_541284561214624104645789101745678[[#This Row],[COST]],0)</f>
        <v>0</v>
      </c>
      <c r="N69" s="194">
        <f t="shared" si="0"/>
        <v>1.3</v>
      </c>
      <c r="O69" s="198">
        <f>_1_541284561214624104645789101745678[[#This Row],[TOTAL]]*_1_541284561214624104645789101745678[[#This Row],[MARGIN]]</f>
        <v>0</v>
      </c>
      <c r="R69" s="41"/>
    </row>
    <row r="70" spans="1:18">
      <c r="C70" s="168"/>
      <c r="D70" s="188"/>
      <c r="F70" s="168" t="s">
        <v>6202</v>
      </c>
      <c r="G70" s="193">
        <f>IF(_1_541284561214624104645789101745678[[#This Row],[Type]]&gt;0,VLOOKUP(_1_541284561214624104645789101745678[[#This Row],[Type]],Main[[#All],[TYPE]:[UNIT]],'Unit Price'!C$1,FALSE),0)</f>
        <v>0</v>
      </c>
      <c r="H70" s="197">
        <f>IF(_1_541284561214624104645789101745678[[#This Row],[Type]]&gt;0,VLOOKUP(_1_541284561214624104645789101745678[[#This Row],[Type]],Main[[#All],[TYPE]:[UNIT]],'Unit Price'!D$1,FALSE),0)</f>
        <v>0</v>
      </c>
      <c r="I70" s="194">
        <f>IF(_1_541284561214624104645789101745678[[#This Row],[Type]]&gt;0,VLOOKUP(_1_541284561214624104645789101745678[[#This Row],[Type]],Main[[#All],[TYPE]:[UNIT]],'Unit Price'!G$1,FALSE),0)</f>
        <v>0</v>
      </c>
      <c r="J70" s="194">
        <f>IF(_1_541284561214624104645789101745678[[#This Row],[Type]]&gt;0,VLOOKUP(_1_541284561214624104645789101745678[[#This Row],[Type]],Main[[#All],[TYPE]:[UNIT]],'Unit Price'!H$1,FALSE),0)</f>
        <v>0</v>
      </c>
      <c r="K70" s="194">
        <f>IF(_1_541284561214624104645789101745678[[#This Row],[Discount selection]]&gt;0,VLOOKUP(_1_541284561214624104645789101745678[[#This Row],[Discount selection]],'Discount Structure'!$A$2:$B$30,2,"false"),0)</f>
        <v>1</v>
      </c>
      <c r="L70" s="194">
        <f>_1_541284561214624104645789101745678[[#This Row],[LIST $]]*_1_541284561214624104645789101745678[[#This Row],[DISCOUNT]]*_1_541284561214624104645789101745678[[#This Row],[DISCOUNT 2]]</f>
        <v>0</v>
      </c>
      <c r="M70" s="194">
        <f>IF(OR(_1_541284561214624104645789101745678[[#This Row],[UNIT]]&gt;0,_1_541284561214624104645789101745678[[#This Row],[UNIT]]&lt;0),_1_541284561214624104645789101745678[[#This Row],[UNIT]]*_1_541284561214624104645789101745678[[#This Row],[COST]],0)</f>
        <v>0</v>
      </c>
      <c r="N70" s="194">
        <f t="shared" si="0"/>
        <v>1.3</v>
      </c>
      <c r="O70" s="198">
        <f>_1_541284561214624104645789101745678[[#This Row],[TOTAL]]*_1_541284561214624104645789101745678[[#This Row],[MARGIN]]</f>
        <v>0</v>
      </c>
      <c r="R70" s="41"/>
    </row>
    <row r="71" spans="1:18">
      <c r="C71" s="168"/>
      <c r="D71" s="188"/>
      <c r="F71" s="168" t="s">
        <v>6202</v>
      </c>
      <c r="G71" s="193">
        <f>IF(_1_541284561214624104645789101745678[[#This Row],[Type]]&gt;0,VLOOKUP(_1_541284561214624104645789101745678[[#This Row],[Type]],Main[[#All],[TYPE]:[UNIT]],'Unit Price'!C$1,FALSE),0)</f>
        <v>0</v>
      </c>
      <c r="H71" s="197">
        <f>IF(_1_541284561214624104645789101745678[[#This Row],[Type]]&gt;0,VLOOKUP(_1_541284561214624104645789101745678[[#This Row],[Type]],Main[[#All],[TYPE]:[UNIT]],'Unit Price'!D$1,FALSE),0)</f>
        <v>0</v>
      </c>
      <c r="I71" s="194">
        <f>IF(_1_541284561214624104645789101745678[[#This Row],[Type]]&gt;0,VLOOKUP(_1_541284561214624104645789101745678[[#This Row],[Type]],Main[[#All],[TYPE]:[UNIT]],'Unit Price'!G$1,FALSE),0)</f>
        <v>0</v>
      </c>
      <c r="J71" s="194">
        <f>IF(_1_541284561214624104645789101745678[[#This Row],[Type]]&gt;0,VLOOKUP(_1_541284561214624104645789101745678[[#This Row],[Type]],Main[[#All],[TYPE]:[UNIT]],'Unit Price'!H$1,FALSE),0)</f>
        <v>0</v>
      </c>
      <c r="K71" s="194">
        <f>IF(_1_541284561214624104645789101745678[[#This Row],[Discount selection]]&gt;0,VLOOKUP(_1_541284561214624104645789101745678[[#This Row],[Discount selection]],'Discount Structure'!$A$2:$B$30,2,"false"),0)</f>
        <v>1</v>
      </c>
      <c r="L71" s="194">
        <f>_1_541284561214624104645789101745678[[#This Row],[LIST $]]*_1_541284561214624104645789101745678[[#This Row],[DISCOUNT]]*_1_541284561214624104645789101745678[[#This Row],[DISCOUNT 2]]</f>
        <v>0</v>
      </c>
      <c r="M71" s="194">
        <f>IF(OR(_1_541284561214624104645789101745678[[#This Row],[UNIT]]&gt;0,_1_541284561214624104645789101745678[[#This Row],[UNIT]]&lt;0),_1_541284561214624104645789101745678[[#This Row],[UNIT]]*_1_541284561214624104645789101745678[[#This Row],[COST]],0)</f>
        <v>0</v>
      </c>
      <c r="N71" s="194">
        <f t="shared" si="0"/>
        <v>1.3</v>
      </c>
      <c r="O71" s="198">
        <f>_1_541284561214624104645789101745678[[#This Row],[TOTAL]]*_1_541284561214624104645789101745678[[#This Row],[MARGIN]]</f>
        <v>0</v>
      </c>
      <c r="R71" s="41"/>
    </row>
    <row r="72" spans="1:18">
      <c r="A72" s="168"/>
      <c r="C72" s="168"/>
      <c r="D72" s="188"/>
      <c r="F72" s="168" t="s">
        <v>6202</v>
      </c>
      <c r="G72" s="193">
        <f>IF(_1_541284561214624104645789101745678[[#This Row],[Type]]&gt;0,VLOOKUP(_1_541284561214624104645789101745678[[#This Row],[Type]],Main[[#All],[TYPE]:[UNIT]],'Unit Price'!C$1,FALSE),0)</f>
        <v>0</v>
      </c>
      <c r="H72" s="197">
        <f>IF(_1_541284561214624104645789101745678[[#This Row],[Type]]&gt;0,VLOOKUP(_1_541284561214624104645789101745678[[#This Row],[Type]],Main[[#All],[TYPE]:[UNIT]],'Unit Price'!D$1,FALSE),0)</f>
        <v>0</v>
      </c>
      <c r="I72" s="194">
        <f>IF(_1_541284561214624104645789101745678[[#This Row],[Type]]&gt;0,VLOOKUP(_1_541284561214624104645789101745678[[#This Row],[Type]],Main[[#All],[TYPE]:[UNIT]],'Unit Price'!G$1,FALSE),0)</f>
        <v>0</v>
      </c>
      <c r="J72" s="194">
        <f>IF(_1_541284561214624104645789101745678[[#This Row],[Type]]&gt;0,VLOOKUP(_1_541284561214624104645789101745678[[#This Row],[Type]],Main[[#All],[TYPE]:[UNIT]],'Unit Price'!H$1,FALSE),0)</f>
        <v>0</v>
      </c>
      <c r="K72" s="194">
        <f>IF(_1_541284561214624104645789101745678[[#This Row],[Discount selection]]&gt;0,VLOOKUP(_1_541284561214624104645789101745678[[#This Row],[Discount selection]],'Discount Structure'!$A$2:$B$30,2,"false"),0)</f>
        <v>1</v>
      </c>
      <c r="L72" s="194">
        <f>_1_541284561214624104645789101745678[[#This Row],[LIST $]]*_1_541284561214624104645789101745678[[#This Row],[DISCOUNT]]*_1_541284561214624104645789101745678[[#This Row],[DISCOUNT 2]]</f>
        <v>0</v>
      </c>
      <c r="M72" s="194">
        <f>IF(OR(_1_541284561214624104645789101745678[[#This Row],[UNIT]]&gt;0,_1_541284561214624104645789101745678[[#This Row],[UNIT]]&lt;0),_1_541284561214624104645789101745678[[#This Row],[UNIT]]*_1_541284561214624104645789101745678[[#This Row],[COST]],0)</f>
        <v>0</v>
      </c>
      <c r="N72" s="194">
        <f t="shared" si="0"/>
        <v>1.3</v>
      </c>
      <c r="O72" s="198">
        <f>_1_541284561214624104645789101745678[[#This Row],[TOTAL]]*_1_541284561214624104645789101745678[[#This Row],[MARGIN]]</f>
        <v>0</v>
      </c>
      <c r="R72" s="41"/>
    </row>
    <row r="73" spans="1:18">
      <c r="C73" s="168"/>
      <c r="D73" s="188"/>
      <c r="F73" s="168" t="s">
        <v>6202</v>
      </c>
      <c r="G73" s="193">
        <f>IF(_1_541284561214624104645789101745678[[#This Row],[Type]]&gt;0,VLOOKUP(_1_541284561214624104645789101745678[[#This Row],[Type]],Main[[#All],[TYPE]:[UNIT]],'Unit Price'!C$1,FALSE),0)</f>
        <v>0</v>
      </c>
      <c r="H73" s="197">
        <f>IF(_1_541284561214624104645789101745678[[#This Row],[Type]]&gt;0,VLOOKUP(_1_541284561214624104645789101745678[[#This Row],[Type]],Main[[#All],[TYPE]:[UNIT]],'Unit Price'!D$1,FALSE),0)</f>
        <v>0</v>
      </c>
      <c r="I73" s="194">
        <f>IF(_1_541284561214624104645789101745678[[#This Row],[Type]]&gt;0,VLOOKUP(_1_541284561214624104645789101745678[[#This Row],[Type]],Main[[#All],[TYPE]:[UNIT]],'Unit Price'!G$1,FALSE),0)</f>
        <v>0</v>
      </c>
      <c r="J73" s="194">
        <f>IF(_1_541284561214624104645789101745678[[#This Row],[Type]]&gt;0,VLOOKUP(_1_541284561214624104645789101745678[[#This Row],[Type]],Main[[#All],[TYPE]:[UNIT]],'Unit Price'!H$1,FALSE),0)</f>
        <v>0</v>
      </c>
      <c r="K73" s="194">
        <f>IF(_1_541284561214624104645789101745678[[#This Row],[Discount selection]]&gt;0,VLOOKUP(_1_541284561214624104645789101745678[[#This Row],[Discount selection]],'Discount Structure'!$A$2:$B$30,2,"false"),0)</f>
        <v>1</v>
      </c>
      <c r="L73" s="194">
        <f>_1_541284561214624104645789101745678[[#This Row],[LIST $]]*_1_541284561214624104645789101745678[[#This Row],[DISCOUNT]]*_1_541284561214624104645789101745678[[#This Row],[DISCOUNT 2]]</f>
        <v>0</v>
      </c>
      <c r="M73" s="194">
        <f>IF(OR(_1_541284561214624104645789101745678[[#This Row],[UNIT]]&gt;0,_1_541284561214624104645789101745678[[#This Row],[UNIT]]&lt;0),_1_541284561214624104645789101745678[[#This Row],[UNIT]]*_1_541284561214624104645789101745678[[#This Row],[COST]],0)</f>
        <v>0</v>
      </c>
      <c r="N73" s="194">
        <f t="shared" si="0"/>
        <v>1.3</v>
      </c>
      <c r="O73" s="198">
        <f>_1_541284561214624104645789101745678[[#This Row],[TOTAL]]*_1_541284561214624104645789101745678[[#This Row],[MARGIN]]</f>
        <v>0</v>
      </c>
      <c r="R73" s="41"/>
    </row>
    <row r="74" spans="1:18">
      <c r="A74" s="356"/>
      <c r="C74" s="168"/>
      <c r="D74" s="188"/>
      <c r="F74" s="168" t="s">
        <v>6202</v>
      </c>
      <c r="G74" s="193">
        <f>IF(_1_541284561214624104645789101745678[[#This Row],[Type]]&gt;0,VLOOKUP(_1_541284561214624104645789101745678[[#This Row],[Type]],Main[[#All],[TYPE]:[UNIT]],'Unit Price'!C$1,FALSE),0)</f>
        <v>0</v>
      </c>
      <c r="H74" s="197">
        <f>IF(_1_541284561214624104645789101745678[[#This Row],[Type]]&gt;0,VLOOKUP(_1_541284561214624104645789101745678[[#This Row],[Type]],Main[[#All],[TYPE]:[UNIT]],'Unit Price'!D$1,FALSE),0)</f>
        <v>0</v>
      </c>
      <c r="I74" s="194">
        <f>IF(_1_541284561214624104645789101745678[[#This Row],[Type]]&gt;0,VLOOKUP(_1_541284561214624104645789101745678[[#This Row],[Type]],Main[[#All],[TYPE]:[UNIT]],'Unit Price'!G$1,FALSE),0)</f>
        <v>0</v>
      </c>
      <c r="J74" s="194">
        <f>IF(_1_541284561214624104645789101745678[[#This Row],[Type]]&gt;0,VLOOKUP(_1_541284561214624104645789101745678[[#This Row],[Type]],Main[[#All],[TYPE]:[UNIT]],'Unit Price'!H$1,FALSE),0)</f>
        <v>0</v>
      </c>
      <c r="K74" s="194">
        <f>IF(_1_541284561214624104645789101745678[[#This Row],[Discount selection]]&gt;0,VLOOKUP(_1_541284561214624104645789101745678[[#This Row],[Discount selection]],'Discount Structure'!$A$2:$B$30,2,"false"),0)</f>
        <v>1</v>
      </c>
      <c r="L74" s="194">
        <f>_1_541284561214624104645789101745678[[#This Row],[LIST $]]*_1_541284561214624104645789101745678[[#This Row],[DISCOUNT]]*_1_541284561214624104645789101745678[[#This Row],[DISCOUNT 2]]</f>
        <v>0</v>
      </c>
      <c r="M74" s="194">
        <f>IF(OR(_1_541284561214624104645789101745678[[#This Row],[UNIT]]&gt;0,_1_541284561214624104645789101745678[[#This Row],[UNIT]]&lt;0),_1_541284561214624104645789101745678[[#This Row],[UNIT]]*_1_541284561214624104645789101745678[[#This Row],[COST]],0)</f>
        <v>0</v>
      </c>
      <c r="N74" s="194">
        <f t="shared" ref="N74:N137" si="1">$N$7</f>
        <v>1.3</v>
      </c>
      <c r="O74" s="198">
        <f>_1_541284561214624104645789101745678[[#This Row],[TOTAL]]*_1_541284561214624104645789101745678[[#This Row],[MARGIN]]</f>
        <v>0</v>
      </c>
      <c r="R74" s="41"/>
    </row>
    <row r="75" spans="1:18">
      <c r="C75" s="168"/>
      <c r="D75" s="188"/>
      <c r="F75" s="168" t="s">
        <v>6202</v>
      </c>
      <c r="G75" s="193">
        <f>IF(_1_541284561214624104645789101745678[[#This Row],[Type]]&gt;0,VLOOKUP(_1_541284561214624104645789101745678[[#This Row],[Type]],Main[[#All],[TYPE]:[UNIT]],'Unit Price'!C$1,FALSE),0)</f>
        <v>0</v>
      </c>
      <c r="H75" s="197">
        <f>IF(_1_541284561214624104645789101745678[[#This Row],[Type]]&gt;0,VLOOKUP(_1_541284561214624104645789101745678[[#This Row],[Type]],Main[[#All],[TYPE]:[UNIT]],'Unit Price'!D$1,FALSE),0)</f>
        <v>0</v>
      </c>
      <c r="I75" s="194">
        <f>IF(_1_541284561214624104645789101745678[[#This Row],[Type]]&gt;0,VLOOKUP(_1_541284561214624104645789101745678[[#This Row],[Type]],Main[[#All],[TYPE]:[UNIT]],'Unit Price'!G$1,FALSE),0)</f>
        <v>0</v>
      </c>
      <c r="J75" s="194">
        <f>IF(_1_541284561214624104645789101745678[[#This Row],[Type]]&gt;0,VLOOKUP(_1_541284561214624104645789101745678[[#This Row],[Type]],Main[[#All],[TYPE]:[UNIT]],'Unit Price'!H$1,FALSE),0)</f>
        <v>0</v>
      </c>
      <c r="K75" s="194">
        <f>IF(_1_541284561214624104645789101745678[[#This Row],[Discount selection]]&gt;0,VLOOKUP(_1_541284561214624104645789101745678[[#This Row],[Discount selection]],'Discount Structure'!$A$2:$B$30,2,"false"),0)</f>
        <v>1</v>
      </c>
      <c r="L75" s="194">
        <f>_1_541284561214624104645789101745678[[#This Row],[LIST $]]*_1_541284561214624104645789101745678[[#This Row],[DISCOUNT]]*_1_541284561214624104645789101745678[[#This Row],[DISCOUNT 2]]</f>
        <v>0</v>
      </c>
      <c r="M75" s="194">
        <f>IF(OR(_1_541284561214624104645789101745678[[#This Row],[UNIT]]&gt;0,_1_541284561214624104645789101745678[[#This Row],[UNIT]]&lt;0),_1_541284561214624104645789101745678[[#This Row],[UNIT]]*_1_541284561214624104645789101745678[[#This Row],[COST]],0)</f>
        <v>0</v>
      </c>
      <c r="N75" s="194">
        <f t="shared" si="1"/>
        <v>1.3</v>
      </c>
      <c r="O75" s="198">
        <f>_1_541284561214624104645789101745678[[#This Row],[TOTAL]]*_1_541284561214624104645789101745678[[#This Row],[MARGIN]]</f>
        <v>0</v>
      </c>
      <c r="R75" s="41"/>
    </row>
    <row r="76" spans="1:18">
      <c r="A76" s="355"/>
      <c r="C76" s="168"/>
      <c r="D76" s="188"/>
      <c r="F76" s="168" t="s">
        <v>6202</v>
      </c>
      <c r="G76" s="193">
        <f>IF(_1_541284561214624104645789101745678[[#This Row],[Type]]&gt;0,VLOOKUP(_1_541284561214624104645789101745678[[#This Row],[Type]],Main[[#All],[TYPE]:[UNIT]],'Unit Price'!C$1,FALSE),0)</f>
        <v>0</v>
      </c>
      <c r="H76" s="197">
        <f>IF(_1_541284561214624104645789101745678[[#This Row],[Type]]&gt;0,VLOOKUP(_1_541284561214624104645789101745678[[#This Row],[Type]],Main[[#All],[TYPE]:[UNIT]],'Unit Price'!D$1,FALSE),0)</f>
        <v>0</v>
      </c>
      <c r="I76" s="194">
        <f>IF(_1_541284561214624104645789101745678[[#This Row],[Type]]&gt;0,VLOOKUP(_1_541284561214624104645789101745678[[#This Row],[Type]],Main[[#All],[TYPE]:[UNIT]],'Unit Price'!G$1,FALSE),0)</f>
        <v>0</v>
      </c>
      <c r="J76" s="194">
        <f>IF(_1_541284561214624104645789101745678[[#This Row],[Type]]&gt;0,VLOOKUP(_1_541284561214624104645789101745678[[#This Row],[Type]],Main[[#All],[TYPE]:[UNIT]],'Unit Price'!H$1,FALSE),0)</f>
        <v>0</v>
      </c>
      <c r="K76" s="194">
        <f>IF(_1_541284561214624104645789101745678[[#This Row],[Discount selection]]&gt;0,VLOOKUP(_1_541284561214624104645789101745678[[#This Row],[Discount selection]],'Discount Structure'!$A$2:$B$30,2,"false"),0)</f>
        <v>1</v>
      </c>
      <c r="L76" s="194">
        <f>_1_541284561214624104645789101745678[[#This Row],[LIST $]]*_1_541284561214624104645789101745678[[#This Row],[DISCOUNT]]*_1_541284561214624104645789101745678[[#This Row],[DISCOUNT 2]]</f>
        <v>0</v>
      </c>
      <c r="M76" s="194">
        <f>IF(OR(_1_541284561214624104645789101745678[[#This Row],[UNIT]]&gt;0,_1_541284561214624104645789101745678[[#This Row],[UNIT]]&lt;0),_1_541284561214624104645789101745678[[#This Row],[UNIT]]*_1_541284561214624104645789101745678[[#This Row],[COST]],0)</f>
        <v>0</v>
      </c>
      <c r="N76" s="194">
        <f t="shared" si="1"/>
        <v>1.3</v>
      </c>
      <c r="O76" s="198">
        <f>_1_541284561214624104645789101745678[[#This Row],[TOTAL]]*_1_541284561214624104645789101745678[[#This Row],[MARGIN]]</f>
        <v>0</v>
      </c>
      <c r="R76" s="41"/>
    </row>
    <row r="77" spans="1:18">
      <c r="C77" s="168"/>
      <c r="D77" s="188"/>
      <c r="F77" s="168" t="s">
        <v>6202</v>
      </c>
      <c r="G77" s="193">
        <f>IF(_1_541284561214624104645789101745678[[#This Row],[Type]]&gt;0,VLOOKUP(_1_541284561214624104645789101745678[[#This Row],[Type]],Main[[#All],[TYPE]:[UNIT]],'Unit Price'!C$1,FALSE),0)</f>
        <v>0</v>
      </c>
      <c r="H77" s="197">
        <f>IF(_1_541284561214624104645789101745678[[#This Row],[Type]]&gt;0,VLOOKUP(_1_541284561214624104645789101745678[[#This Row],[Type]],Main[[#All],[TYPE]:[UNIT]],'Unit Price'!D$1,FALSE),0)</f>
        <v>0</v>
      </c>
      <c r="I77" s="194">
        <f>IF(_1_541284561214624104645789101745678[[#This Row],[Type]]&gt;0,VLOOKUP(_1_541284561214624104645789101745678[[#This Row],[Type]],Main[[#All],[TYPE]:[UNIT]],'Unit Price'!G$1,FALSE),0)</f>
        <v>0</v>
      </c>
      <c r="J77" s="194">
        <f>IF(_1_541284561214624104645789101745678[[#This Row],[Type]]&gt;0,VLOOKUP(_1_541284561214624104645789101745678[[#This Row],[Type]],Main[[#All],[TYPE]:[UNIT]],'Unit Price'!H$1,FALSE),0)</f>
        <v>0</v>
      </c>
      <c r="K77" s="194">
        <f>IF(_1_541284561214624104645789101745678[[#This Row],[Discount selection]]&gt;0,VLOOKUP(_1_541284561214624104645789101745678[[#This Row],[Discount selection]],'Discount Structure'!$A$2:$B$30,2,"false"),0)</f>
        <v>1</v>
      </c>
      <c r="L77" s="194">
        <f>_1_541284561214624104645789101745678[[#This Row],[LIST $]]*_1_541284561214624104645789101745678[[#This Row],[DISCOUNT]]*_1_541284561214624104645789101745678[[#This Row],[DISCOUNT 2]]</f>
        <v>0</v>
      </c>
      <c r="M77" s="194">
        <f>IF(OR(_1_541284561214624104645789101745678[[#This Row],[UNIT]]&gt;0,_1_541284561214624104645789101745678[[#This Row],[UNIT]]&lt;0),_1_541284561214624104645789101745678[[#This Row],[UNIT]]*_1_541284561214624104645789101745678[[#This Row],[COST]],0)</f>
        <v>0</v>
      </c>
      <c r="N77" s="194">
        <f t="shared" si="1"/>
        <v>1.3</v>
      </c>
      <c r="O77" s="198">
        <f>_1_541284561214624104645789101745678[[#This Row],[TOTAL]]*_1_541284561214624104645789101745678[[#This Row],[MARGIN]]</f>
        <v>0</v>
      </c>
      <c r="R77" s="41"/>
    </row>
    <row r="78" spans="1:18">
      <c r="A78" s="316"/>
      <c r="C78" s="168"/>
      <c r="D78" s="311"/>
      <c r="F78" s="168" t="s">
        <v>6202</v>
      </c>
      <c r="G78" s="193">
        <f>IF(_1_541284561214624104645789101745678[[#This Row],[Type]]&gt;0,VLOOKUP(_1_541284561214624104645789101745678[[#This Row],[Type]],Main[[#All],[TYPE]:[UNIT]],'Unit Price'!C$1,FALSE),0)</f>
        <v>0</v>
      </c>
      <c r="H78" s="197">
        <f>IF(_1_541284561214624104645789101745678[[#This Row],[Type]]&gt;0,VLOOKUP(_1_541284561214624104645789101745678[[#This Row],[Type]],Main[[#All],[TYPE]:[UNIT]],'Unit Price'!D$1,FALSE),0)</f>
        <v>0</v>
      </c>
      <c r="I78" s="194">
        <f>IF(_1_541284561214624104645789101745678[[#This Row],[Type]]&gt;0,VLOOKUP(_1_541284561214624104645789101745678[[#This Row],[Type]],Main[[#All],[TYPE]:[UNIT]],'Unit Price'!G$1,FALSE),0)</f>
        <v>0</v>
      </c>
      <c r="J78" s="194">
        <f>IF(_1_541284561214624104645789101745678[[#This Row],[Type]]&gt;0,VLOOKUP(_1_541284561214624104645789101745678[[#This Row],[Type]],Main[[#All],[TYPE]:[UNIT]],'Unit Price'!H$1,FALSE),0)</f>
        <v>0</v>
      </c>
      <c r="K78" s="194">
        <f>IF(_1_541284561214624104645789101745678[[#This Row],[Discount selection]]&gt;0,VLOOKUP(_1_541284561214624104645789101745678[[#This Row],[Discount selection]],'Discount Structure'!$A$2:$B$30,2,"false"),0)</f>
        <v>1</v>
      </c>
      <c r="L78" s="194">
        <f>_1_541284561214624104645789101745678[[#This Row],[LIST $]]*_1_541284561214624104645789101745678[[#This Row],[DISCOUNT]]*_1_541284561214624104645789101745678[[#This Row],[DISCOUNT 2]]</f>
        <v>0</v>
      </c>
      <c r="M78" s="194">
        <f>IF(OR(_1_541284561214624104645789101745678[[#This Row],[UNIT]]&gt;0,_1_541284561214624104645789101745678[[#This Row],[UNIT]]&lt;0),_1_541284561214624104645789101745678[[#This Row],[UNIT]]*_1_541284561214624104645789101745678[[#This Row],[COST]],0)</f>
        <v>0</v>
      </c>
      <c r="N78" s="194">
        <f t="shared" si="1"/>
        <v>1.3</v>
      </c>
      <c r="O78" s="198">
        <f>_1_541284561214624104645789101745678[[#This Row],[TOTAL]]*_1_541284561214624104645789101745678[[#This Row],[MARGIN]]</f>
        <v>0</v>
      </c>
      <c r="R78" s="41"/>
    </row>
    <row r="79" spans="1:18">
      <c r="C79" s="168"/>
      <c r="D79" s="188"/>
      <c r="F79" s="168" t="s">
        <v>6202</v>
      </c>
      <c r="G79" s="193">
        <f>IF(_1_541284561214624104645789101745678[[#This Row],[Type]]&gt;0,VLOOKUP(_1_541284561214624104645789101745678[[#This Row],[Type]],Main[[#All],[TYPE]:[UNIT]],'Unit Price'!C$1,FALSE),0)</f>
        <v>0</v>
      </c>
      <c r="H79" s="197">
        <f>IF(_1_541284561214624104645789101745678[[#This Row],[Type]]&gt;0,VLOOKUP(_1_541284561214624104645789101745678[[#This Row],[Type]],Main[[#All],[TYPE]:[UNIT]],'Unit Price'!D$1,FALSE),0)</f>
        <v>0</v>
      </c>
      <c r="I79" s="194">
        <f>IF(_1_541284561214624104645789101745678[[#This Row],[Type]]&gt;0,VLOOKUP(_1_541284561214624104645789101745678[[#This Row],[Type]],Main[[#All],[TYPE]:[UNIT]],'Unit Price'!G$1,FALSE),0)</f>
        <v>0</v>
      </c>
      <c r="J79" s="194">
        <f>IF(_1_541284561214624104645789101745678[[#This Row],[Type]]&gt;0,VLOOKUP(_1_541284561214624104645789101745678[[#This Row],[Type]],Main[[#All],[TYPE]:[UNIT]],'Unit Price'!H$1,FALSE),0)</f>
        <v>0</v>
      </c>
      <c r="K79" s="194">
        <f>IF(_1_541284561214624104645789101745678[[#This Row],[Discount selection]]&gt;0,VLOOKUP(_1_541284561214624104645789101745678[[#This Row],[Discount selection]],'Discount Structure'!$A$2:$B$30,2,"false"),0)</f>
        <v>1</v>
      </c>
      <c r="L79" s="194">
        <f>_1_541284561214624104645789101745678[[#This Row],[LIST $]]*_1_541284561214624104645789101745678[[#This Row],[DISCOUNT]]*_1_541284561214624104645789101745678[[#This Row],[DISCOUNT 2]]</f>
        <v>0</v>
      </c>
      <c r="M79" s="194">
        <f>IF(OR(_1_541284561214624104645789101745678[[#This Row],[UNIT]]&gt;0,_1_541284561214624104645789101745678[[#This Row],[UNIT]]&lt;0),_1_541284561214624104645789101745678[[#This Row],[UNIT]]*_1_541284561214624104645789101745678[[#This Row],[COST]],0)</f>
        <v>0</v>
      </c>
      <c r="N79" s="194">
        <f t="shared" si="1"/>
        <v>1.3</v>
      </c>
      <c r="O79" s="198">
        <f>_1_541284561214624104645789101745678[[#This Row],[TOTAL]]*_1_541284561214624104645789101745678[[#This Row],[MARGIN]]</f>
        <v>0</v>
      </c>
      <c r="R79" s="41"/>
    </row>
    <row r="80" spans="1:18">
      <c r="A80" s="362"/>
      <c r="C80" s="168"/>
      <c r="D80" s="188"/>
      <c r="F80" s="168" t="s">
        <v>6202</v>
      </c>
      <c r="G80" s="193">
        <f>IF(_1_541284561214624104645789101745678[[#This Row],[Type]]&gt;0,VLOOKUP(_1_541284561214624104645789101745678[[#This Row],[Type]],Main[[#All],[TYPE]:[UNIT]],'Unit Price'!C$1,FALSE),0)</f>
        <v>0</v>
      </c>
      <c r="H80" s="197">
        <f>IF(_1_541284561214624104645789101745678[[#This Row],[Type]]&gt;0,VLOOKUP(_1_541284561214624104645789101745678[[#This Row],[Type]],Main[[#All],[TYPE]:[UNIT]],'Unit Price'!D$1,FALSE),0)</f>
        <v>0</v>
      </c>
      <c r="I80" s="194">
        <f>IF(_1_541284561214624104645789101745678[[#This Row],[Type]]&gt;0,VLOOKUP(_1_541284561214624104645789101745678[[#This Row],[Type]],Main[[#All],[TYPE]:[UNIT]],'Unit Price'!G$1,FALSE),0)</f>
        <v>0</v>
      </c>
      <c r="J80" s="194">
        <f>IF(_1_541284561214624104645789101745678[[#This Row],[Type]]&gt;0,VLOOKUP(_1_541284561214624104645789101745678[[#This Row],[Type]],Main[[#All],[TYPE]:[UNIT]],'Unit Price'!H$1,FALSE),0)</f>
        <v>0</v>
      </c>
      <c r="K80" s="194">
        <f>IF(_1_541284561214624104645789101745678[[#This Row],[Discount selection]]&gt;0,VLOOKUP(_1_541284561214624104645789101745678[[#This Row],[Discount selection]],'Discount Structure'!$A$2:$B$30,2,"false"),0)</f>
        <v>1</v>
      </c>
      <c r="L80" s="194">
        <f>_1_541284561214624104645789101745678[[#This Row],[LIST $]]*_1_541284561214624104645789101745678[[#This Row],[DISCOUNT]]*_1_541284561214624104645789101745678[[#This Row],[DISCOUNT 2]]</f>
        <v>0</v>
      </c>
      <c r="M80" s="194">
        <f>IF(OR(_1_541284561214624104645789101745678[[#This Row],[UNIT]]&gt;0,_1_541284561214624104645789101745678[[#This Row],[UNIT]]&lt;0),_1_541284561214624104645789101745678[[#This Row],[UNIT]]*_1_541284561214624104645789101745678[[#This Row],[COST]],0)</f>
        <v>0</v>
      </c>
      <c r="N80" s="194">
        <f t="shared" si="1"/>
        <v>1.3</v>
      </c>
      <c r="O80" s="198">
        <f>_1_541284561214624104645789101745678[[#This Row],[TOTAL]]*_1_541284561214624104645789101745678[[#This Row],[MARGIN]]</f>
        <v>0</v>
      </c>
      <c r="R80" s="41"/>
    </row>
    <row r="81" spans="1:18">
      <c r="A81" s="362"/>
      <c r="C81" s="168"/>
      <c r="D81" s="188"/>
      <c r="F81" s="168" t="s">
        <v>6202</v>
      </c>
      <c r="G81" s="193">
        <f>IF(_1_541284561214624104645789101745678[[#This Row],[Type]]&gt;0,VLOOKUP(_1_541284561214624104645789101745678[[#This Row],[Type]],Main[[#All],[TYPE]:[UNIT]],'Unit Price'!C$1,FALSE),0)</f>
        <v>0</v>
      </c>
      <c r="H81" s="197">
        <f>IF(_1_541284561214624104645789101745678[[#This Row],[Type]]&gt;0,VLOOKUP(_1_541284561214624104645789101745678[[#This Row],[Type]],Main[[#All],[TYPE]:[UNIT]],'Unit Price'!D$1,FALSE),0)</f>
        <v>0</v>
      </c>
      <c r="I81" s="194">
        <f>IF(_1_541284561214624104645789101745678[[#This Row],[Type]]&gt;0,VLOOKUP(_1_541284561214624104645789101745678[[#This Row],[Type]],Main[[#All],[TYPE]:[UNIT]],'Unit Price'!G$1,FALSE),0)</f>
        <v>0</v>
      </c>
      <c r="J81" s="194">
        <f>IF(_1_541284561214624104645789101745678[[#This Row],[Type]]&gt;0,VLOOKUP(_1_541284561214624104645789101745678[[#This Row],[Type]],Main[[#All],[TYPE]:[UNIT]],'Unit Price'!H$1,FALSE),0)</f>
        <v>0</v>
      </c>
      <c r="K81" s="194">
        <f>IF(_1_541284561214624104645789101745678[[#This Row],[Discount selection]]&gt;0,VLOOKUP(_1_541284561214624104645789101745678[[#This Row],[Discount selection]],'Discount Structure'!$A$2:$B$30,2,"false"),0)</f>
        <v>1</v>
      </c>
      <c r="L81" s="194">
        <f>_1_541284561214624104645789101745678[[#This Row],[LIST $]]*_1_541284561214624104645789101745678[[#This Row],[DISCOUNT]]*_1_541284561214624104645789101745678[[#This Row],[DISCOUNT 2]]</f>
        <v>0</v>
      </c>
      <c r="M81" s="194">
        <f>IF(OR(_1_541284561214624104645789101745678[[#This Row],[UNIT]]&gt;0,_1_541284561214624104645789101745678[[#This Row],[UNIT]]&lt;0),_1_541284561214624104645789101745678[[#This Row],[UNIT]]*_1_541284561214624104645789101745678[[#This Row],[COST]],0)</f>
        <v>0</v>
      </c>
      <c r="N81" s="194">
        <f t="shared" si="1"/>
        <v>1.3</v>
      </c>
      <c r="O81" s="198">
        <f>_1_541284561214624104645789101745678[[#This Row],[TOTAL]]*_1_541284561214624104645789101745678[[#This Row],[MARGIN]]</f>
        <v>0</v>
      </c>
      <c r="R81" s="41"/>
    </row>
    <row r="82" spans="1:18">
      <c r="A82" s="329"/>
      <c r="C82" s="168"/>
      <c r="D82" s="188"/>
      <c r="F82" s="168" t="s">
        <v>6202</v>
      </c>
      <c r="G82" s="193">
        <f>IF(_1_541284561214624104645789101745678[[#This Row],[Type]]&gt;0,VLOOKUP(_1_541284561214624104645789101745678[[#This Row],[Type]],Main[[#All],[TYPE]:[UNIT]],'Unit Price'!C$1,FALSE),0)</f>
        <v>0</v>
      </c>
      <c r="H82" s="197">
        <f>IF(_1_541284561214624104645789101745678[[#This Row],[Type]]&gt;0,VLOOKUP(_1_541284561214624104645789101745678[[#This Row],[Type]],Main[[#All],[TYPE]:[UNIT]],'Unit Price'!D$1,FALSE),0)</f>
        <v>0</v>
      </c>
      <c r="I82" s="194">
        <f>IF(_1_541284561214624104645789101745678[[#This Row],[Type]]&gt;0,VLOOKUP(_1_541284561214624104645789101745678[[#This Row],[Type]],Main[[#All],[TYPE]:[UNIT]],'Unit Price'!G$1,FALSE),0)</f>
        <v>0</v>
      </c>
      <c r="J82" s="194">
        <f>IF(_1_541284561214624104645789101745678[[#This Row],[Type]]&gt;0,VLOOKUP(_1_541284561214624104645789101745678[[#This Row],[Type]],Main[[#All],[TYPE]:[UNIT]],'Unit Price'!H$1,FALSE),0)</f>
        <v>0</v>
      </c>
      <c r="K82" s="194">
        <f>IF(_1_541284561214624104645789101745678[[#This Row],[Discount selection]]&gt;0,VLOOKUP(_1_541284561214624104645789101745678[[#This Row],[Discount selection]],'Discount Structure'!$A$2:$B$30,2,"false"),0)</f>
        <v>1</v>
      </c>
      <c r="L82" s="194">
        <f>_1_541284561214624104645789101745678[[#This Row],[LIST $]]*_1_541284561214624104645789101745678[[#This Row],[DISCOUNT]]*_1_541284561214624104645789101745678[[#This Row],[DISCOUNT 2]]</f>
        <v>0</v>
      </c>
      <c r="M82" s="194">
        <f>IF(OR(_1_541284561214624104645789101745678[[#This Row],[UNIT]]&gt;0,_1_541284561214624104645789101745678[[#This Row],[UNIT]]&lt;0),_1_541284561214624104645789101745678[[#This Row],[UNIT]]*_1_541284561214624104645789101745678[[#This Row],[COST]],0)</f>
        <v>0</v>
      </c>
      <c r="N82" s="194">
        <f t="shared" si="1"/>
        <v>1.3</v>
      </c>
      <c r="O82" s="198">
        <f>_1_541284561214624104645789101745678[[#This Row],[TOTAL]]*_1_541284561214624104645789101745678[[#This Row],[MARGIN]]</f>
        <v>0</v>
      </c>
      <c r="R82" s="41"/>
    </row>
    <row r="83" spans="1:18">
      <c r="A83" s="329"/>
      <c r="C83" s="168"/>
      <c r="D83" s="188"/>
      <c r="F83" s="168" t="s">
        <v>6202</v>
      </c>
      <c r="G83" s="193">
        <f>IF(_1_541284561214624104645789101745678[[#This Row],[Type]]&gt;0,VLOOKUP(_1_541284561214624104645789101745678[[#This Row],[Type]],Main[[#All],[TYPE]:[UNIT]],'Unit Price'!C$1,FALSE),0)</f>
        <v>0</v>
      </c>
      <c r="H83" s="197">
        <f>IF(_1_541284561214624104645789101745678[[#This Row],[Type]]&gt;0,VLOOKUP(_1_541284561214624104645789101745678[[#This Row],[Type]],Main[[#All],[TYPE]:[UNIT]],'Unit Price'!D$1,FALSE),0)</f>
        <v>0</v>
      </c>
      <c r="I83" s="194">
        <f>IF(_1_541284561214624104645789101745678[[#This Row],[Type]]&gt;0,VLOOKUP(_1_541284561214624104645789101745678[[#This Row],[Type]],Main[[#All],[TYPE]:[UNIT]],'Unit Price'!G$1,FALSE),0)</f>
        <v>0</v>
      </c>
      <c r="J83" s="194">
        <f>IF(_1_541284561214624104645789101745678[[#This Row],[Type]]&gt;0,VLOOKUP(_1_541284561214624104645789101745678[[#This Row],[Type]],Main[[#All],[TYPE]:[UNIT]],'Unit Price'!H$1,FALSE),0)</f>
        <v>0</v>
      </c>
      <c r="K83" s="194">
        <f>IF(_1_541284561214624104645789101745678[[#This Row],[Discount selection]]&gt;0,VLOOKUP(_1_541284561214624104645789101745678[[#This Row],[Discount selection]],'Discount Structure'!$A$2:$B$30,2,"false"),0)</f>
        <v>1</v>
      </c>
      <c r="L83" s="194">
        <f>_1_541284561214624104645789101745678[[#This Row],[LIST $]]*_1_541284561214624104645789101745678[[#This Row],[DISCOUNT]]*_1_541284561214624104645789101745678[[#This Row],[DISCOUNT 2]]</f>
        <v>0</v>
      </c>
      <c r="M83" s="194">
        <f>IF(OR(_1_541284561214624104645789101745678[[#This Row],[UNIT]]&gt;0,_1_541284561214624104645789101745678[[#This Row],[UNIT]]&lt;0),_1_541284561214624104645789101745678[[#This Row],[UNIT]]*_1_541284561214624104645789101745678[[#This Row],[COST]],0)</f>
        <v>0</v>
      </c>
      <c r="N83" s="194">
        <f t="shared" si="1"/>
        <v>1.3</v>
      </c>
      <c r="O83" s="198">
        <f>_1_541284561214624104645789101745678[[#This Row],[TOTAL]]*_1_541284561214624104645789101745678[[#This Row],[MARGIN]]</f>
        <v>0</v>
      </c>
      <c r="R83" s="41"/>
    </row>
    <row r="84" spans="1:18">
      <c r="A84" s="364"/>
      <c r="C84" s="168"/>
      <c r="D84" s="188"/>
      <c r="F84" s="168" t="s">
        <v>6202</v>
      </c>
      <c r="G84" s="193">
        <f>IF(_1_541284561214624104645789101745678[[#This Row],[Type]]&gt;0,VLOOKUP(_1_541284561214624104645789101745678[[#This Row],[Type]],Main[[#All],[TYPE]:[UNIT]],'Unit Price'!C$1,FALSE),0)</f>
        <v>0</v>
      </c>
      <c r="H84" s="197">
        <f>IF(_1_541284561214624104645789101745678[[#This Row],[Type]]&gt;0,VLOOKUP(_1_541284561214624104645789101745678[[#This Row],[Type]],Main[[#All],[TYPE]:[UNIT]],'Unit Price'!D$1,FALSE),0)</f>
        <v>0</v>
      </c>
      <c r="I84" s="194">
        <f>IF(_1_541284561214624104645789101745678[[#This Row],[Type]]&gt;0,VLOOKUP(_1_541284561214624104645789101745678[[#This Row],[Type]],Main[[#All],[TYPE]:[UNIT]],'Unit Price'!G$1,FALSE),0)</f>
        <v>0</v>
      </c>
      <c r="J84" s="194">
        <f>IF(_1_541284561214624104645789101745678[[#This Row],[Type]]&gt;0,VLOOKUP(_1_541284561214624104645789101745678[[#This Row],[Type]],Main[[#All],[TYPE]:[UNIT]],'Unit Price'!H$1,FALSE),0)</f>
        <v>0</v>
      </c>
      <c r="K84" s="194">
        <f>IF(_1_541284561214624104645789101745678[[#This Row],[Discount selection]]&gt;0,VLOOKUP(_1_541284561214624104645789101745678[[#This Row],[Discount selection]],'Discount Structure'!$A$2:$B$30,2,"false"),0)</f>
        <v>1</v>
      </c>
      <c r="L84" s="194">
        <f>_1_541284561214624104645789101745678[[#This Row],[LIST $]]*_1_541284561214624104645789101745678[[#This Row],[DISCOUNT]]*_1_541284561214624104645789101745678[[#This Row],[DISCOUNT 2]]</f>
        <v>0</v>
      </c>
      <c r="M84" s="194">
        <f>IF(OR(_1_541284561214624104645789101745678[[#This Row],[UNIT]]&gt;0,_1_541284561214624104645789101745678[[#This Row],[UNIT]]&lt;0),_1_541284561214624104645789101745678[[#This Row],[UNIT]]*_1_541284561214624104645789101745678[[#This Row],[COST]],0)</f>
        <v>0</v>
      </c>
      <c r="N84" s="194">
        <f t="shared" si="1"/>
        <v>1.3</v>
      </c>
      <c r="O84" s="198">
        <f>_1_541284561214624104645789101745678[[#This Row],[TOTAL]]*_1_541284561214624104645789101745678[[#This Row],[MARGIN]]</f>
        <v>0</v>
      </c>
      <c r="R84" s="41"/>
    </row>
    <row r="85" spans="1:18">
      <c r="C85" s="168"/>
      <c r="D85" s="188"/>
      <c r="F85" s="168" t="s">
        <v>6202</v>
      </c>
      <c r="G85" s="193">
        <f>IF(_1_541284561214624104645789101745678[[#This Row],[Type]]&gt;0,VLOOKUP(_1_541284561214624104645789101745678[[#This Row],[Type]],Main[[#All],[TYPE]:[UNIT]],'Unit Price'!C$1,FALSE),0)</f>
        <v>0</v>
      </c>
      <c r="H85" s="197">
        <f>IF(_1_541284561214624104645789101745678[[#This Row],[Type]]&gt;0,VLOOKUP(_1_541284561214624104645789101745678[[#This Row],[Type]],Main[[#All],[TYPE]:[UNIT]],'Unit Price'!D$1,FALSE),0)</f>
        <v>0</v>
      </c>
      <c r="I85" s="194">
        <f>IF(_1_541284561214624104645789101745678[[#This Row],[Type]]&gt;0,VLOOKUP(_1_541284561214624104645789101745678[[#This Row],[Type]],Main[[#All],[TYPE]:[UNIT]],'Unit Price'!G$1,FALSE),0)</f>
        <v>0</v>
      </c>
      <c r="J85" s="194">
        <f>IF(_1_541284561214624104645789101745678[[#This Row],[Type]]&gt;0,VLOOKUP(_1_541284561214624104645789101745678[[#This Row],[Type]],Main[[#All],[TYPE]:[UNIT]],'Unit Price'!H$1,FALSE),0)</f>
        <v>0</v>
      </c>
      <c r="K85" s="194">
        <f>IF(_1_541284561214624104645789101745678[[#This Row],[Discount selection]]&gt;0,VLOOKUP(_1_541284561214624104645789101745678[[#This Row],[Discount selection]],'Discount Structure'!$A$2:$B$30,2,"false"),0)</f>
        <v>1</v>
      </c>
      <c r="L85" s="194">
        <f>_1_541284561214624104645789101745678[[#This Row],[LIST $]]*_1_541284561214624104645789101745678[[#This Row],[DISCOUNT]]*_1_541284561214624104645789101745678[[#This Row],[DISCOUNT 2]]</f>
        <v>0</v>
      </c>
      <c r="M85" s="194">
        <f>IF(OR(_1_541284561214624104645789101745678[[#This Row],[UNIT]]&gt;0,_1_541284561214624104645789101745678[[#This Row],[UNIT]]&lt;0),_1_541284561214624104645789101745678[[#This Row],[UNIT]]*_1_541284561214624104645789101745678[[#This Row],[COST]],0)</f>
        <v>0</v>
      </c>
      <c r="N85" s="194">
        <f t="shared" si="1"/>
        <v>1.3</v>
      </c>
      <c r="O85" s="198">
        <f>_1_541284561214624104645789101745678[[#This Row],[TOTAL]]*_1_541284561214624104645789101745678[[#This Row],[MARGIN]]</f>
        <v>0</v>
      </c>
      <c r="R85" s="41"/>
    </row>
    <row r="86" spans="1:18">
      <c r="C86" s="168"/>
      <c r="D86" s="188"/>
      <c r="F86" s="168" t="s">
        <v>6202</v>
      </c>
      <c r="G86" s="193">
        <f>IF(_1_541284561214624104645789101745678[[#This Row],[Type]]&gt;0,VLOOKUP(_1_541284561214624104645789101745678[[#This Row],[Type]],Main[[#All],[TYPE]:[UNIT]],'Unit Price'!C$1,FALSE),0)</f>
        <v>0</v>
      </c>
      <c r="H86" s="197">
        <f>IF(_1_541284561214624104645789101745678[[#This Row],[Type]]&gt;0,VLOOKUP(_1_541284561214624104645789101745678[[#This Row],[Type]],Main[[#All],[TYPE]:[UNIT]],'Unit Price'!D$1,FALSE),0)</f>
        <v>0</v>
      </c>
      <c r="I86" s="194">
        <f>IF(_1_541284561214624104645789101745678[[#This Row],[Type]]&gt;0,VLOOKUP(_1_541284561214624104645789101745678[[#This Row],[Type]],Main[[#All],[TYPE]:[UNIT]],'Unit Price'!G$1,FALSE),0)</f>
        <v>0</v>
      </c>
      <c r="J86" s="194">
        <f>IF(_1_541284561214624104645789101745678[[#This Row],[Type]]&gt;0,VLOOKUP(_1_541284561214624104645789101745678[[#This Row],[Type]],Main[[#All],[TYPE]:[UNIT]],'Unit Price'!H$1,FALSE),0)</f>
        <v>0</v>
      </c>
      <c r="K86" s="194">
        <f>IF(_1_541284561214624104645789101745678[[#This Row],[Discount selection]]&gt;0,VLOOKUP(_1_541284561214624104645789101745678[[#This Row],[Discount selection]],'Discount Structure'!$A$2:$B$30,2,"false"),0)</f>
        <v>1</v>
      </c>
      <c r="L86" s="194">
        <f>_1_541284561214624104645789101745678[[#This Row],[LIST $]]*_1_541284561214624104645789101745678[[#This Row],[DISCOUNT]]*_1_541284561214624104645789101745678[[#This Row],[DISCOUNT 2]]</f>
        <v>0</v>
      </c>
      <c r="M86" s="194">
        <f>IF(OR(_1_541284561214624104645789101745678[[#This Row],[UNIT]]&gt;0,_1_541284561214624104645789101745678[[#This Row],[UNIT]]&lt;0),_1_541284561214624104645789101745678[[#This Row],[UNIT]]*_1_541284561214624104645789101745678[[#This Row],[COST]],0)</f>
        <v>0</v>
      </c>
      <c r="N86" s="194">
        <f t="shared" si="1"/>
        <v>1.3</v>
      </c>
      <c r="O86" s="198">
        <f>_1_541284561214624104645789101745678[[#This Row],[TOTAL]]*_1_541284561214624104645789101745678[[#This Row],[MARGIN]]</f>
        <v>0</v>
      </c>
      <c r="R86" s="41"/>
    </row>
    <row r="87" spans="1:18">
      <c r="C87" s="168"/>
      <c r="D87" s="188"/>
      <c r="F87" s="168" t="s">
        <v>6202</v>
      </c>
      <c r="G87" s="193">
        <f>IF(_1_541284561214624104645789101745678[[#This Row],[Type]]&gt;0,VLOOKUP(_1_541284561214624104645789101745678[[#This Row],[Type]],Main[[#All],[TYPE]:[UNIT]],'Unit Price'!C$1,FALSE),0)</f>
        <v>0</v>
      </c>
      <c r="H87" s="197">
        <f>IF(_1_541284561214624104645789101745678[[#This Row],[Type]]&gt;0,VLOOKUP(_1_541284561214624104645789101745678[[#This Row],[Type]],Main[[#All],[TYPE]:[UNIT]],'Unit Price'!D$1,FALSE),0)</f>
        <v>0</v>
      </c>
      <c r="I87" s="194">
        <f>IF(_1_541284561214624104645789101745678[[#This Row],[Type]]&gt;0,VLOOKUP(_1_541284561214624104645789101745678[[#This Row],[Type]],Main[[#All],[TYPE]:[UNIT]],'Unit Price'!G$1,FALSE),0)</f>
        <v>0</v>
      </c>
      <c r="J87" s="194">
        <f>IF(_1_541284561214624104645789101745678[[#This Row],[Type]]&gt;0,VLOOKUP(_1_541284561214624104645789101745678[[#This Row],[Type]],Main[[#All],[TYPE]:[UNIT]],'Unit Price'!H$1,FALSE),0)</f>
        <v>0</v>
      </c>
      <c r="K87" s="194">
        <f>IF(_1_541284561214624104645789101745678[[#This Row],[Discount selection]]&gt;0,VLOOKUP(_1_541284561214624104645789101745678[[#This Row],[Discount selection]],'Discount Structure'!$A$2:$B$30,2,"false"),0)</f>
        <v>1</v>
      </c>
      <c r="L87" s="194">
        <f>_1_541284561214624104645789101745678[[#This Row],[LIST $]]*_1_541284561214624104645789101745678[[#This Row],[DISCOUNT]]*_1_541284561214624104645789101745678[[#This Row],[DISCOUNT 2]]</f>
        <v>0</v>
      </c>
      <c r="M87" s="194">
        <f>IF(OR(_1_541284561214624104645789101745678[[#This Row],[UNIT]]&gt;0,_1_541284561214624104645789101745678[[#This Row],[UNIT]]&lt;0),_1_541284561214624104645789101745678[[#This Row],[UNIT]]*_1_541284561214624104645789101745678[[#This Row],[COST]],0)</f>
        <v>0</v>
      </c>
      <c r="N87" s="194">
        <f t="shared" si="1"/>
        <v>1.3</v>
      </c>
      <c r="O87" s="198">
        <f>_1_541284561214624104645789101745678[[#This Row],[TOTAL]]*_1_541284561214624104645789101745678[[#This Row],[MARGIN]]</f>
        <v>0</v>
      </c>
      <c r="R87" s="41"/>
    </row>
    <row r="88" spans="1:18">
      <c r="C88" s="168"/>
      <c r="D88" s="188"/>
      <c r="F88" s="168" t="s">
        <v>6202</v>
      </c>
      <c r="G88" s="193">
        <f>IF(_1_541284561214624104645789101745678[[#This Row],[Type]]&gt;0,VLOOKUP(_1_541284561214624104645789101745678[[#This Row],[Type]],Main[[#All],[TYPE]:[UNIT]],'Unit Price'!C$1,FALSE),0)</f>
        <v>0</v>
      </c>
      <c r="H88" s="197">
        <f>IF(_1_541284561214624104645789101745678[[#This Row],[Type]]&gt;0,VLOOKUP(_1_541284561214624104645789101745678[[#This Row],[Type]],Main[[#All],[TYPE]:[UNIT]],'Unit Price'!D$1,FALSE),0)</f>
        <v>0</v>
      </c>
      <c r="I88" s="194">
        <f>IF(_1_541284561214624104645789101745678[[#This Row],[Type]]&gt;0,VLOOKUP(_1_541284561214624104645789101745678[[#This Row],[Type]],Main[[#All],[TYPE]:[UNIT]],'Unit Price'!G$1,FALSE),0)</f>
        <v>0</v>
      </c>
      <c r="J88" s="194">
        <f>IF(_1_541284561214624104645789101745678[[#This Row],[Type]]&gt;0,VLOOKUP(_1_541284561214624104645789101745678[[#This Row],[Type]],Main[[#All],[TYPE]:[UNIT]],'Unit Price'!H$1,FALSE),0)</f>
        <v>0</v>
      </c>
      <c r="K88" s="194">
        <f>IF(_1_541284561214624104645789101745678[[#This Row],[Discount selection]]&gt;0,VLOOKUP(_1_541284561214624104645789101745678[[#This Row],[Discount selection]],'Discount Structure'!$A$2:$B$30,2,"false"),0)</f>
        <v>1</v>
      </c>
      <c r="L88" s="194">
        <f>_1_541284561214624104645789101745678[[#This Row],[LIST $]]*_1_541284561214624104645789101745678[[#This Row],[DISCOUNT]]*_1_541284561214624104645789101745678[[#This Row],[DISCOUNT 2]]</f>
        <v>0</v>
      </c>
      <c r="M88" s="194">
        <f>IF(OR(_1_541284561214624104645789101745678[[#This Row],[UNIT]]&gt;0,_1_541284561214624104645789101745678[[#This Row],[UNIT]]&lt;0),_1_541284561214624104645789101745678[[#This Row],[UNIT]]*_1_541284561214624104645789101745678[[#This Row],[COST]],0)</f>
        <v>0</v>
      </c>
      <c r="N88" s="194">
        <f t="shared" si="1"/>
        <v>1.3</v>
      </c>
      <c r="O88" s="198">
        <f>_1_541284561214624104645789101745678[[#This Row],[TOTAL]]*_1_541284561214624104645789101745678[[#This Row],[MARGIN]]</f>
        <v>0</v>
      </c>
      <c r="R88" s="41"/>
    </row>
    <row r="89" spans="1:18">
      <c r="C89" s="168"/>
      <c r="D89" s="188"/>
      <c r="F89" s="168" t="s">
        <v>6202</v>
      </c>
      <c r="G89" s="193">
        <f>IF(_1_541284561214624104645789101745678[[#This Row],[Type]]&gt;0,VLOOKUP(_1_541284561214624104645789101745678[[#This Row],[Type]],Main[[#All],[TYPE]:[UNIT]],'Unit Price'!C$1,FALSE),0)</f>
        <v>0</v>
      </c>
      <c r="H89" s="197">
        <f>IF(_1_541284561214624104645789101745678[[#This Row],[Type]]&gt;0,VLOOKUP(_1_541284561214624104645789101745678[[#This Row],[Type]],Main[[#All],[TYPE]:[UNIT]],'Unit Price'!D$1,FALSE),0)</f>
        <v>0</v>
      </c>
      <c r="I89" s="194">
        <f>IF(_1_541284561214624104645789101745678[[#This Row],[Type]]&gt;0,VLOOKUP(_1_541284561214624104645789101745678[[#This Row],[Type]],Main[[#All],[TYPE]:[UNIT]],'Unit Price'!G$1,FALSE),0)</f>
        <v>0</v>
      </c>
      <c r="J89" s="194">
        <f>IF(_1_541284561214624104645789101745678[[#This Row],[Type]]&gt;0,VLOOKUP(_1_541284561214624104645789101745678[[#This Row],[Type]],Main[[#All],[TYPE]:[UNIT]],'Unit Price'!H$1,FALSE),0)</f>
        <v>0</v>
      </c>
      <c r="K89" s="194">
        <f>IF(_1_541284561214624104645789101745678[[#This Row],[Discount selection]]&gt;0,VLOOKUP(_1_541284561214624104645789101745678[[#This Row],[Discount selection]],'Discount Structure'!$A$2:$B$30,2,"false"),0)</f>
        <v>1</v>
      </c>
      <c r="L89" s="194">
        <f>_1_541284561214624104645789101745678[[#This Row],[LIST $]]*_1_541284561214624104645789101745678[[#This Row],[DISCOUNT]]*_1_541284561214624104645789101745678[[#This Row],[DISCOUNT 2]]</f>
        <v>0</v>
      </c>
      <c r="M89" s="194">
        <f>IF(OR(_1_541284561214624104645789101745678[[#This Row],[UNIT]]&gt;0,_1_541284561214624104645789101745678[[#This Row],[UNIT]]&lt;0),_1_541284561214624104645789101745678[[#This Row],[UNIT]]*_1_541284561214624104645789101745678[[#This Row],[COST]],0)</f>
        <v>0</v>
      </c>
      <c r="N89" s="194">
        <f t="shared" si="1"/>
        <v>1.3</v>
      </c>
      <c r="O89" s="198">
        <f>_1_541284561214624104645789101745678[[#This Row],[TOTAL]]*_1_541284561214624104645789101745678[[#This Row],[MARGIN]]</f>
        <v>0</v>
      </c>
      <c r="R89" s="41"/>
    </row>
    <row r="90" spans="1:18">
      <c r="C90" s="168"/>
      <c r="D90" s="188"/>
      <c r="F90" s="168" t="s">
        <v>6202</v>
      </c>
      <c r="G90" s="193">
        <f>IF(_1_541284561214624104645789101745678[[#This Row],[Type]]&gt;0,VLOOKUP(_1_541284561214624104645789101745678[[#This Row],[Type]],Main[[#All],[TYPE]:[UNIT]],'Unit Price'!C$1,FALSE),0)</f>
        <v>0</v>
      </c>
      <c r="H90" s="197">
        <f>IF(_1_541284561214624104645789101745678[[#This Row],[Type]]&gt;0,VLOOKUP(_1_541284561214624104645789101745678[[#This Row],[Type]],Main[[#All],[TYPE]:[UNIT]],'Unit Price'!D$1,FALSE),0)</f>
        <v>0</v>
      </c>
      <c r="I90" s="194">
        <f>IF(_1_541284561214624104645789101745678[[#This Row],[Type]]&gt;0,VLOOKUP(_1_541284561214624104645789101745678[[#This Row],[Type]],Main[[#All],[TYPE]:[UNIT]],'Unit Price'!G$1,FALSE),0)</f>
        <v>0</v>
      </c>
      <c r="J90" s="194">
        <f>IF(_1_541284561214624104645789101745678[[#This Row],[Type]]&gt;0,VLOOKUP(_1_541284561214624104645789101745678[[#This Row],[Type]],Main[[#All],[TYPE]:[UNIT]],'Unit Price'!H$1,FALSE),0)</f>
        <v>0</v>
      </c>
      <c r="K90" s="194">
        <f>IF(_1_541284561214624104645789101745678[[#This Row],[Discount selection]]&gt;0,VLOOKUP(_1_541284561214624104645789101745678[[#This Row],[Discount selection]],'Discount Structure'!$A$2:$B$30,2,"false"),0)</f>
        <v>1</v>
      </c>
      <c r="L90" s="194">
        <f>_1_541284561214624104645789101745678[[#This Row],[LIST $]]*_1_541284561214624104645789101745678[[#This Row],[DISCOUNT]]*_1_541284561214624104645789101745678[[#This Row],[DISCOUNT 2]]</f>
        <v>0</v>
      </c>
      <c r="M90" s="194">
        <f>IF(OR(_1_541284561214624104645789101745678[[#This Row],[UNIT]]&gt;0,_1_541284561214624104645789101745678[[#This Row],[UNIT]]&lt;0),_1_541284561214624104645789101745678[[#This Row],[UNIT]]*_1_541284561214624104645789101745678[[#This Row],[COST]],0)</f>
        <v>0</v>
      </c>
      <c r="N90" s="194">
        <f t="shared" si="1"/>
        <v>1.3</v>
      </c>
      <c r="O90" s="198">
        <f>_1_541284561214624104645789101745678[[#This Row],[TOTAL]]*_1_541284561214624104645789101745678[[#This Row],[MARGIN]]</f>
        <v>0</v>
      </c>
      <c r="R90" s="41"/>
    </row>
    <row r="91" spans="1:18">
      <c r="A91" s="168"/>
      <c r="B91" s="168"/>
      <c r="C91" s="168"/>
      <c r="D91" s="188"/>
      <c r="F91" s="168" t="s">
        <v>6202</v>
      </c>
      <c r="G91" s="193">
        <f>IF(_1_541284561214624104645789101745678[[#This Row],[Type]]&gt;0,VLOOKUP(_1_541284561214624104645789101745678[[#This Row],[Type]],Main[[#All],[TYPE]:[UNIT]],'Unit Price'!C$1,FALSE),0)</f>
        <v>0</v>
      </c>
      <c r="H91" s="197">
        <f>IF(_1_541284561214624104645789101745678[[#This Row],[Type]]&gt;0,VLOOKUP(_1_541284561214624104645789101745678[[#This Row],[Type]],Main[[#All],[TYPE]:[UNIT]],'Unit Price'!D$1,FALSE),0)</f>
        <v>0</v>
      </c>
      <c r="I91" s="194">
        <f>IF(_1_541284561214624104645789101745678[[#This Row],[Type]]&gt;0,VLOOKUP(_1_541284561214624104645789101745678[[#This Row],[Type]],Main[[#All],[TYPE]:[UNIT]],'Unit Price'!G$1,FALSE),0)</f>
        <v>0</v>
      </c>
      <c r="J91" s="194">
        <f>IF(_1_541284561214624104645789101745678[[#This Row],[Type]]&gt;0,VLOOKUP(_1_541284561214624104645789101745678[[#This Row],[Type]],Main[[#All],[TYPE]:[UNIT]],'Unit Price'!H$1,FALSE),0)</f>
        <v>0</v>
      </c>
      <c r="K91" s="194">
        <f>IF(_1_541284561214624104645789101745678[[#This Row],[Discount selection]]&gt;0,VLOOKUP(_1_541284561214624104645789101745678[[#This Row],[Discount selection]],'Discount Structure'!$A$2:$B$30,2,"false"),0)</f>
        <v>1</v>
      </c>
      <c r="L91" s="194">
        <f>_1_541284561214624104645789101745678[[#This Row],[LIST $]]*_1_541284561214624104645789101745678[[#This Row],[DISCOUNT]]*_1_541284561214624104645789101745678[[#This Row],[DISCOUNT 2]]</f>
        <v>0</v>
      </c>
      <c r="M91" s="194">
        <f>IF(OR(_1_541284561214624104645789101745678[[#This Row],[UNIT]]&gt;0,_1_541284561214624104645789101745678[[#This Row],[UNIT]]&lt;0),_1_541284561214624104645789101745678[[#This Row],[UNIT]]*_1_541284561214624104645789101745678[[#This Row],[COST]],0)</f>
        <v>0</v>
      </c>
      <c r="N91" s="194">
        <f t="shared" si="1"/>
        <v>1.3</v>
      </c>
      <c r="O91" s="198">
        <f>_1_541284561214624104645789101745678[[#This Row],[TOTAL]]*_1_541284561214624104645789101745678[[#This Row],[MARGIN]]</f>
        <v>0</v>
      </c>
      <c r="R91" s="41"/>
    </row>
    <row r="92" spans="1:18">
      <c r="A92" s="168"/>
      <c r="C92" s="168"/>
      <c r="D92" s="188"/>
      <c r="F92" s="168" t="s">
        <v>6202</v>
      </c>
      <c r="G92" s="193">
        <f>IF(_1_541284561214624104645789101745678[[#This Row],[Type]]&gt;0,VLOOKUP(_1_541284561214624104645789101745678[[#This Row],[Type]],Main[[#All],[TYPE]:[UNIT]],'Unit Price'!C$1,FALSE),0)</f>
        <v>0</v>
      </c>
      <c r="H92" s="197">
        <f>IF(_1_541284561214624104645789101745678[[#This Row],[Type]]&gt;0,VLOOKUP(_1_541284561214624104645789101745678[[#This Row],[Type]],Main[[#All],[TYPE]:[UNIT]],'Unit Price'!D$1,FALSE),0)</f>
        <v>0</v>
      </c>
      <c r="I92" s="194">
        <f>IF(_1_541284561214624104645789101745678[[#This Row],[Type]]&gt;0,VLOOKUP(_1_541284561214624104645789101745678[[#This Row],[Type]],Main[[#All],[TYPE]:[UNIT]],'Unit Price'!G$1,FALSE),0)</f>
        <v>0</v>
      </c>
      <c r="J92" s="194">
        <f>IF(_1_541284561214624104645789101745678[[#This Row],[Type]]&gt;0,VLOOKUP(_1_541284561214624104645789101745678[[#This Row],[Type]],Main[[#All],[TYPE]:[UNIT]],'Unit Price'!H$1,FALSE),0)</f>
        <v>0</v>
      </c>
      <c r="K92" s="194">
        <f>IF(_1_541284561214624104645789101745678[[#This Row],[Discount selection]]&gt;0,VLOOKUP(_1_541284561214624104645789101745678[[#This Row],[Discount selection]],'Discount Structure'!$A$2:$B$30,2,"false"),0)</f>
        <v>1</v>
      </c>
      <c r="L92" s="194">
        <f>_1_541284561214624104645789101745678[[#This Row],[LIST $]]*_1_541284561214624104645789101745678[[#This Row],[DISCOUNT]]*_1_541284561214624104645789101745678[[#This Row],[DISCOUNT 2]]</f>
        <v>0</v>
      </c>
      <c r="M92" s="194">
        <f>IF(OR(_1_541284561214624104645789101745678[[#This Row],[UNIT]]&gt;0,_1_541284561214624104645789101745678[[#This Row],[UNIT]]&lt;0),_1_541284561214624104645789101745678[[#This Row],[UNIT]]*_1_541284561214624104645789101745678[[#This Row],[COST]],0)</f>
        <v>0</v>
      </c>
      <c r="N92" s="194">
        <f t="shared" si="1"/>
        <v>1.3</v>
      </c>
      <c r="O92" s="198">
        <f>_1_541284561214624104645789101745678[[#This Row],[TOTAL]]*_1_541284561214624104645789101745678[[#This Row],[MARGIN]]</f>
        <v>0</v>
      </c>
      <c r="R92" s="41"/>
    </row>
    <row r="93" spans="1:18">
      <c r="A93" s="168"/>
      <c r="B93" s="168"/>
      <c r="C93" s="168"/>
      <c r="D93" s="188"/>
      <c r="F93" s="168" t="s">
        <v>6202</v>
      </c>
      <c r="G93" s="193">
        <f>IF(_1_541284561214624104645789101745678[[#This Row],[Type]]&gt;0,VLOOKUP(_1_541284561214624104645789101745678[[#This Row],[Type]],Main[[#All],[TYPE]:[UNIT]],'Unit Price'!C$1,FALSE),0)</f>
        <v>0</v>
      </c>
      <c r="H93" s="197">
        <f>IF(_1_541284561214624104645789101745678[[#This Row],[Type]]&gt;0,VLOOKUP(_1_541284561214624104645789101745678[[#This Row],[Type]],Main[[#All],[TYPE]:[UNIT]],'Unit Price'!D$1,FALSE),0)</f>
        <v>0</v>
      </c>
      <c r="I93" s="194">
        <f>IF(_1_541284561214624104645789101745678[[#This Row],[Type]]&gt;0,VLOOKUP(_1_541284561214624104645789101745678[[#This Row],[Type]],Main[[#All],[TYPE]:[UNIT]],'Unit Price'!G$1,FALSE),0)</f>
        <v>0</v>
      </c>
      <c r="J93" s="194">
        <f>IF(_1_541284561214624104645789101745678[[#This Row],[Type]]&gt;0,VLOOKUP(_1_541284561214624104645789101745678[[#This Row],[Type]],Main[[#All],[TYPE]:[UNIT]],'Unit Price'!H$1,FALSE),0)</f>
        <v>0</v>
      </c>
      <c r="K93" s="194">
        <f>IF(_1_541284561214624104645789101745678[[#This Row],[Discount selection]]&gt;0,VLOOKUP(_1_541284561214624104645789101745678[[#This Row],[Discount selection]],'Discount Structure'!$A$2:$B$30,2,"false"),0)</f>
        <v>1</v>
      </c>
      <c r="L93" s="194">
        <f>_1_541284561214624104645789101745678[[#This Row],[LIST $]]*_1_541284561214624104645789101745678[[#This Row],[DISCOUNT]]*_1_541284561214624104645789101745678[[#This Row],[DISCOUNT 2]]</f>
        <v>0</v>
      </c>
      <c r="M93" s="194">
        <f>IF(OR(_1_541284561214624104645789101745678[[#This Row],[UNIT]]&gt;0,_1_541284561214624104645789101745678[[#This Row],[UNIT]]&lt;0),_1_541284561214624104645789101745678[[#This Row],[UNIT]]*_1_541284561214624104645789101745678[[#This Row],[COST]],0)</f>
        <v>0</v>
      </c>
      <c r="N93" s="194">
        <f t="shared" si="1"/>
        <v>1.3</v>
      </c>
      <c r="O93" s="198">
        <f>_1_541284561214624104645789101745678[[#This Row],[TOTAL]]*_1_541284561214624104645789101745678[[#This Row],[MARGIN]]</f>
        <v>0</v>
      </c>
      <c r="R93" s="41"/>
    </row>
    <row r="94" spans="1:18">
      <c r="A94" s="168"/>
      <c r="B94" s="168"/>
      <c r="C94" s="168"/>
      <c r="D94" s="188"/>
      <c r="F94" s="168" t="s">
        <v>6202</v>
      </c>
      <c r="G94" s="193">
        <f>IF(_1_541284561214624104645789101745678[[#This Row],[Type]]&gt;0,VLOOKUP(_1_541284561214624104645789101745678[[#This Row],[Type]],Main[[#All],[TYPE]:[UNIT]],'Unit Price'!C$1,FALSE),0)</f>
        <v>0</v>
      </c>
      <c r="H94" s="197">
        <f>IF(_1_541284561214624104645789101745678[[#This Row],[Type]]&gt;0,VLOOKUP(_1_541284561214624104645789101745678[[#This Row],[Type]],Main[[#All],[TYPE]:[UNIT]],'Unit Price'!D$1,FALSE),0)</f>
        <v>0</v>
      </c>
      <c r="I94" s="194">
        <f>IF(_1_541284561214624104645789101745678[[#This Row],[Type]]&gt;0,VLOOKUP(_1_541284561214624104645789101745678[[#This Row],[Type]],Main[[#All],[TYPE]:[UNIT]],'Unit Price'!G$1,FALSE),0)</f>
        <v>0</v>
      </c>
      <c r="J94" s="194">
        <f>IF(_1_541284561214624104645789101745678[[#This Row],[Type]]&gt;0,VLOOKUP(_1_541284561214624104645789101745678[[#This Row],[Type]],Main[[#All],[TYPE]:[UNIT]],'Unit Price'!H$1,FALSE),0)</f>
        <v>0</v>
      </c>
      <c r="K94" s="194">
        <f>IF(_1_541284561214624104645789101745678[[#This Row],[Discount selection]]&gt;0,VLOOKUP(_1_541284561214624104645789101745678[[#This Row],[Discount selection]],'Discount Structure'!$A$2:$B$30,2,"false"),0)</f>
        <v>1</v>
      </c>
      <c r="L94" s="194">
        <f>_1_541284561214624104645789101745678[[#This Row],[LIST $]]*_1_541284561214624104645789101745678[[#This Row],[DISCOUNT]]*_1_541284561214624104645789101745678[[#This Row],[DISCOUNT 2]]</f>
        <v>0</v>
      </c>
      <c r="M94" s="194">
        <f>IF(OR(_1_541284561214624104645789101745678[[#This Row],[UNIT]]&gt;0,_1_541284561214624104645789101745678[[#This Row],[UNIT]]&lt;0),_1_541284561214624104645789101745678[[#This Row],[UNIT]]*_1_541284561214624104645789101745678[[#This Row],[COST]],0)</f>
        <v>0</v>
      </c>
      <c r="N94" s="194">
        <f t="shared" si="1"/>
        <v>1.3</v>
      </c>
      <c r="O94" s="198">
        <f>_1_541284561214624104645789101745678[[#This Row],[TOTAL]]*_1_541284561214624104645789101745678[[#This Row],[MARGIN]]</f>
        <v>0</v>
      </c>
      <c r="R94" s="41"/>
    </row>
    <row r="95" spans="1:18">
      <c r="A95" s="168"/>
      <c r="C95" s="168"/>
      <c r="D95" s="188"/>
      <c r="F95" s="168" t="s">
        <v>6202</v>
      </c>
      <c r="G95" s="193">
        <f>IF(_1_541284561214624104645789101745678[[#This Row],[Type]]&gt;0,VLOOKUP(_1_541284561214624104645789101745678[[#This Row],[Type]],Main[[#All],[TYPE]:[UNIT]],'Unit Price'!C$1,FALSE),0)</f>
        <v>0</v>
      </c>
      <c r="H95" s="197">
        <f>IF(_1_541284561214624104645789101745678[[#This Row],[Type]]&gt;0,VLOOKUP(_1_541284561214624104645789101745678[[#This Row],[Type]],Main[[#All],[TYPE]:[UNIT]],'Unit Price'!D$1,FALSE),0)</f>
        <v>0</v>
      </c>
      <c r="I95" s="194">
        <f>IF(_1_541284561214624104645789101745678[[#This Row],[Type]]&gt;0,VLOOKUP(_1_541284561214624104645789101745678[[#This Row],[Type]],Main[[#All],[TYPE]:[UNIT]],'Unit Price'!G$1,FALSE),0)</f>
        <v>0</v>
      </c>
      <c r="J95" s="194">
        <f>IF(_1_541284561214624104645789101745678[[#This Row],[Type]]&gt;0,VLOOKUP(_1_541284561214624104645789101745678[[#This Row],[Type]],Main[[#All],[TYPE]:[UNIT]],'Unit Price'!H$1,FALSE),0)</f>
        <v>0</v>
      </c>
      <c r="K95" s="194">
        <f>IF(_1_541284561214624104645789101745678[[#This Row],[Discount selection]]&gt;0,VLOOKUP(_1_541284561214624104645789101745678[[#This Row],[Discount selection]],'Discount Structure'!$A$2:$B$30,2,"false"),0)</f>
        <v>1</v>
      </c>
      <c r="L95" s="194">
        <f>_1_541284561214624104645789101745678[[#This Row],[LIST $]]*_1_541284561214624104645789101745678[[#This Row],[DISCOUNT]]*_1_541284561214624104645789101745678[[#This Row],[DISCOUNT 2]]</f>
        <v>0</v>
      </c>
      <c r="M95" s="194">
        <f>IF(OR(_1_541284561214624104645789101745678[[#This Row],[UNIT]]&gt;0,_1_541284561214624104645789101745678[[#This Row],[UNIT]]&lt;0),_1_541284561214624104645789101745678[[#This Row],[UNIT]]*_1_541284561214624104645789101745678[[#This Row],[COST]],0)</f>
        <v>0</v>
      </c>
      <c r="N95" s="194">
        <f t="shared" si="1"/>
        <v>1.3</v>
      </c>
      <c r="O95" s="198">
        <f>_1_541284561214624104645789101745678[[#This Row],[TOTAL]]*_1_541284561214624104645789101745678[[#This Row],[MARGIN]]</f>
        <v>0</v>
      </c>
      <c r="R95" s="41"/>
    </row>
    <row r="96" spans="1:18">
      <c r="A96" s="320"/>
      <c r="B96" s="351"/>
      <c r="C96" s="168"/>
      <c r="D96" s="188"/>
      <c r="E96" s="313"/>
      <c r="F96" s="168" t="s">
        <v>6202</v>
      </c>
      <c r="G96" s="193">
        <f>IF(_1_541284561214624104645789101745678[[#This Row],[Type]]&gt;0,VLOOKUP(_1_541284561214624104645789101745678[[#This Row],[Type]],Main[[#All],[TYPE]:[UNIT]],'Unit Price'!C$1,FALSE),0)</f>
        <v>0</v>
      </c>
      <c r="H96" s="197">
        <f>IF(_1_541284561214624104645789101745678[[#This Row],[Type]]&gt;0,VLOOKUP(_1_541284561214624104645789101745678[[#This Row],[Type]],Main[[#All],[TYPE]:[UNIT]],'Unit Price'!D$1,FALSE),0)</f>
        <v>0</v>
      </c>
      <c r="I96" s="194">
        <f>IF(_1_541284561214624104645789101745678[[#This Row],[Type]]&gt;0,VLOOKUP(_1_541284561214624104645789101745678[[#This Row],[Type]],Main[[#All],[TYPE]:[UNIT]],'Unit Price'!G$1,FALSE),0)</f>
        <v>0</v>
      </c>
      <c r="J96" s="194">
        <f>IF(_1_541284561214624104645789101745678[[#This Row],[Type]]&gt;0,VLOOKUP(_1_541284561214624104645789101745678[[#This Row],[Type]],Main[[#All],[TYPE]:[UNIT]],'Unit Price'!H$1,FALSE),0)</f>
        <v>0</v>
      </c>
      <c r="K96" s="194">
        <f>IF(_1_541284561214624104645789101745678[[#This Row],[Discount selection]]&gt;0,VLOOKUP(_1_541284561214624104645789101745678[[#This Row],[Discount selection]],'Discount Structure'!$A$2:$B$30,2,"false"),0)</f>
        <v>1</v>
      </c>
      <c r="L96" s="194">
        <f>_1_541284561214624104645789101745678[[#This Row],[LIST $]]*_1_541284561214624104645789101745678[[#This Row],[DISCOUNT]]*_1_541284561214624104645789101745678[[#This Row],[DISCOUNT 2]]</f>
        <v>0</v>
      </c>
      <c r="M96" s="194">
        <f>IF(OR(_1_541284561214624104645789101745678[[#This Row],[UNIT]]&gt;0,_1_541284561214624104645789101745678[[#This Row],[UNIT]]&lt;0),_1_541284561214624104645789101745678[[#This Row],[UNIT]]*_1_541284561214624104645789101745678[[#This Row],[COST]],0)</f>
        <v>0</v>
      </c>
      <c r="N96" s="194">
        <f t="shared" si="1"/>
        <v>1.3</v>
      </c>
      <c r="O96" s="198">
        <f>_1_541284561214624104645789101745678[[#This Row],[TOTAL]]*_1_541284561214624104645789101745678[[#This Row],[MARGIN]]</f>
        <v>0</v>
      </c>
      <c r="R96" s="41"/>
    </row>
    <row r="97" spans="1:18">
      <c r="A97" s="340"/>
      <c r="B97" s="168"/>
      <c r="C97" s="168"/>
      <c r="D97" s="188"/>
      <c r="F97" s="168" t="s">
        <v>6202</v>
      </c>
      <c r="G97" s="193">
        <f>IF(_1_541284561214624104645789101745678[[#This Row],[Type]]&gt;0,VLOOKUP(_1_541284561214624104645789101745678[[#This Row],[Type]],Main[[#All],[TYPE]:[UNIT]],'Unit Price'!C$1,FALSE),0)</f>
        <v>0</v>
      </c>
      <c r="H97" s="197">
        <f>IF(_1_541284561214624104645789101745678[[#This Row],[Type]]&gt;0,VLOOKUP(_1_541284561214624104645789101745678[[#This Row],[Type]],Main[[#All],[TYPE]:[UNIT]],'Unit Price'!D$1,FALSE),0)</f>
        <v>0</v>
      </c>
      <c r="I97" s="194">
        <f>IF(_1_541284561214624104645789101745678[[#This Row],[Type]]&gt;0,VLOOKUP(_1_541284561214624104645789101745678[[#This Row],[Type]],Main[[#All],[TYPE]:[UNIT]],'Unit Price'!G$1,FALSE),0)</f>
        <v>0</v>
      </c>
      <c r="J97" s="194">
        <f>IF(_1_541284561214624104645789101745678[[#This Row],[Type]]&gt;0,VLOOKUP(_1_541284561214624104645789101745678[[#This Row],[Type]],Main[[#All],[TYPE]:[UNIT]],'Unit Price'!H$1,FALSE),0)</f>
        <v>0</v>
      </c>
      <c r="K97" s="194">
        <f>IF(_1_541284561214624104645789101745678[[#This Row],[Discount selection]]&gt;0,VLOOKUP(_1_541284561214624104645789101745678[[#This Row],[Discount selection]],'Discount Structure'!$A$2:$B$30,2,"false"),0)</f>
        <v>1</v>
      </c>
      <c r="L97" s="194">
        <f>_1_541284561214624104645789101745678[[#This Row],[LIST $]]*_1_541284561214624104645789101745678[[#This Row],[DISCOUNT]]*_1_541284561214624104645789101745678[[#This Row],[DISCOUNT 2]]</f>
        <v>0</v>
      </c>
      <c r="M97" s="194">
        <f>IF(OR(_1_541284561214624104645789101745678[[#This Row],[UNIT]]&gt;0,_1_541284561214624104645789101745678[[#This Row],[UNIT]]&lt;0),_1_541284561214624104645789101745678[[#This Row],[UNIT]]*_1_541284561214624104645789101745678[[#This Row],[COST]],0)</f>
        <v>0</v>
      </c>
      <c r="N97" s="194">
        <f t="shared" si="1"/>
        <v>1.3</v>
      </c>
      <c r="O97" s="198">
        <f>_1_541284561214624104645789101745678[[#This Row],[TOTAL]]*_1_541284561214624104645789101745678[[#This Row],[MARGIN]]</f>
        <v>0</v>
      </c>
      <c r="R97" s="41"/>
    </row>
    <row r="98" spans="1:18">
      <c r="A98" s="168"/>
      <c r="C98" s="168"/>
      <c r="D98" s="188"/>
      <c r="F98" s="168" t="s">
        <v>6202</v>
      </c>
      <c r="G98" s="193">
        <f>IF(_1_541284561214624104645789101745678[[#This Row],[Type]]&gt;0,VLOOKUP(_1_541284561214624104645789101745678[[#This Row],[Type]],Main[[#All],[TYPE]:[UNIT]],'Unit Price'!C$1,FALSE),0)</f>
        <v>0</v>
      </c>
      <c r="H98" s="197">
        <f>IF(_1_541284561214624104645789101745678[[#This Row],[Type]]&gt;0,VLOOKUP(_1_541284561214624104645789101745678[[#This Row],[Type]],Main[[#All],[TYPE]:[UNIT]],'Unit Price'!D$1,FALSE),0)</f>
        <v>0</v>
      </c>
      <c r="I98" s="194">
        <f>IF(_1_541284561214624104645789101745678[[#This Row],[Type]]&gt;0,VLOOKUP(_1_541284561214624104645789101745678[[#This Row],[Type]],Main[[#All],[TYPE]:[UNIT]],'Unit Price'!G$1,FALSE),0)</f>
        <v>0</v>
      </c>
      <c r="J98" s="194">
        <f>IF(_1_541284561214624104645789101745678[[#This Row],[Type]]&gt;0,VLOOKUP(_1_541284561214624104645789101745678[[#This Row],[Type]],Main[[#All],[TYPE]:[UNIT]],'Unit Price'!H$1,FALSE),0)</f>
        <v>0</v>
      </c>
      <c r="K98" s="194">
        <f>IF(_1_541284561214624104645789101745678[[#This Row],[Discount selection]]&gt;0,VLOOKUP(_1_541284561214624104645789101745678[[#This Row],[Discount selection]],'Discount Structure'!$A$2:$B$30,2,"false"),0)</f>
        <v>1</v>
      </c>
      <c r="L98" s="194">
        <f>_1_541284561214624104645789101745678[[#This Row],[LIST $]]*_1_541284561214624104645789101745678[[#This Row],[DISCOUNT]]*_1_541284561214624104645789101745678[[#This Row],[DISCOUNT 2]]</f>
        <v>0</v>
      </c>
      <c r="M98" s="194">
        <f>IF(OR(_1_541284561214624104645789101745678[[#This Row],[UNIT]]&gt;0,_1_541284561214624104645789101745678[[#This Row],[UNIT]]&lt;0),_1_541284561214624104645789101745678[[#This Row],[UNIT]]*_1_541284561214624104645789101745678[[#This Row],[COST]],0)</f>
        <v>0</v>
      </c>
      <c r="N98" s="194">
        <f t="shared" si="1"/>
        <v>1.3</v>
      </c>
      <c r="O98" s="198">
        <f>_1_541284561214624104645789101745678[[#This Row],[TOTAL]]*_1_541284561214624104645789101745678[[#This Row],[MARGIN]]</f>
        <v>0</v>
      </c>
      <c r="R98" s="41"/>
    </row>
    <row r="99" spans="1:18">
      <c r="C99" s="168"/>
      <c r="D99" s="188"/>
      <c r="F99" s="168" t="s">
        <v>6202</v>
      </c>
      <c r="G99" s="193">
        <f>IF(_1_541284561214624104645789101745678[[#This Row],[Type]]&gt;0,VLOOKUP(_1_541284561214624104645789101745678[[#This Row],[Type]],Main[[#All],[TYPE]:[UNIT]],'Unit Price'!C$1,FALSE),0)</f>
        <v>0</v>
      </c>
      <c r="H99" s="197">
        <f>IF(_1_541284561214624104645789101745678[[#This Row],[Type]]&gt;0,VLOOKUP(_1_541284561214624104645789101745678[[#This Row],[Type]],Main[[#All],[TYPE]:[UNIT]],'Unit Price'!D$1,FALSE),0)</f>
        <v>0</v>
      </c>
      <c r="I99" s="194">
        <f>IF(_1_541284561214624104645789101745678[[#This Row],[Type]]&gt;0,VLOOKUP(_1_541284561214624104645789101745678[[#This Row],[Type]],Main[[#All],[TYPE]:[UNIT]],'Unit Price'!G$1,FALSE),0)</f>
        <v>0</v>
      </c>
      <c r="J99" s="194">
        <f>IF(_1_541284561214624104645789101745678[[#This Row],[Type]]&gt;0,VLOOKUP(_1_541284561214624104645789101745678[[#This Row],[Type]],Main[[#All],[TYPE]:[UNIT]],'Unit Price'!H$1,FALSE),0)</f>
        <v>0</v>
      </c>
      <c r="K99" s="194">
        <f>IF(_1_541284561214624104645789101745678[[#This Row],[Discount selection]]&gt;0,VLOOKUP(_1_541284561214624104645789101745678[[#This Row],[Discount selection]],'Discount Structure'!$A$2:$B$30,2,"false"),0)</f>
        <v>1</v>
      </c>
      <c r="L99" s="194">
        <f>_1_541284561214624104645789101745678[[#This Row],[LIST $]]*_1_541284561214624104645789101745678[[#This Row],[DISCOUNT]]*_1_541284561214624104645789101745678[[#This Row],[DISCOUNT 2]]</f>
        <v>0</v>
      </c>
      <c r="M99" s="194">
        <f>IF(OR(_1_541284561214624104645789101745678[[#This Row],[UNIT]]&gt;0,_1_541284561214624104645789101745678[[#This Row],[UNIT]]&lt;0),_1_541284561214624104645789101745678[[#This Row],[UNIT]]*_1_541284561214624104645789101745678[[#This Row],[COST]],0)</f>
        <v>0</v>
      </c>
      <c r="N99" s="194">
        <f t="shared" si="1"/>
        <v>1.3</v>
      </c>
      <c r="O99" s="198">
        <f>_1_541284561214624104645789101745678[[#This Row],[TOTAL]]*_1_541284561214624104645789101745678[[#This Row],[MARGIN]]</f>
        <v>0</v>
      </c>
      <c r="R99" s="41"/>
    </row>
    <row r="100" spans="1:18">
      <c r="C100" s="168"/>
      <c r="D100" s="188"/>
      <c r="F100" s="168" t="s">
        <v>6202</v>
      </c>
      <c r="G100" s="193">
        <f>IF(_1_541284561214624104645789101745678[[#This Row],[Type]]&gt;0,VLOOKUP(_1_541284561214624104645789101745678[[#This Row],[Type]],Main[[#All],[TYPE]:[UNIT]],'Unit Price'!C$1,FALSE),0)</f>
        <v>0</v>
      </c>
      <c r="H100" s="197">
        <f>IF(_1_541284561214624104645789101745678[[#This Row],[Type]]&gt;0,VLOOKUP(_1_541284561214624104645789101745678[[#This Row],[Type]],Main[[#All],[TYPE]:[UNIT]],'Unit Price'!D$1,FALSE),0)</f>
        <v>0</v>
      </c>
      <c r="I100" s="194">
        <f>IF(_1_541284561214624104645789101745678[[#This Row],[Type]]&gt;0,VLOOKUP(_1_541284561214624104645789101745678[[#This Row],[Type]],Main[[#All],[TYPE]:[UNIT]],'Unit Price'!G$1,FALSE),0)</f>
        <v>0</v>
      </c>
      <c r="J100" s="194">
        <f>IF(_1_541284561214624104645789101745678[[#This Row],[Type]]&gt;0,VLOOKUP(_1_541284561214624104645789101745678[[#This Row],[Type]],Main[[#All],[TYPE]:[UNIT]],'Unit Price'!H$1,FALSE),0)</f>
        <v>0</v>
      </c>
      <c r="K100" s="194">
        <f>IF(_1_541284561214624104645789101745678[[#This Row],[Discount selection]]&gt;0,VLOOKUP(_1_541284561214624104645789101745678[[#This Row],[Discount selection]],'Discount Structure'!$A$2:$B$30,2,"false"),0)</f>
        <v>1</v>
      </c>
      <c r="L100" s="194">
        <f>_1_541284561214624104645789101745678[[#This Row],[LIST $]]*_1_541284561214624104645789101745678[[#This Row],[DISCOUNT]]*_1_541284561214624104645789101745678[[#This Row],[DISCOUNT 2]]</f>
        <v>0</v>
      </c>
      <c r="M100" s="194">
        <f>IF(OR(_1_541284561214624104645789101745678[[#This Row],[UNIT]]&gt;0,_1_541284561214624104645789101745678[[#This Row],[UNIT]]&lt;0),_1_541284561214624104645789101745678[[#This Row],[UNIT]]*_1_541284561214624104645789101745678[[#This Row],[COST]],0)</f>
        <v>0</v>
      </c>
      <c r="N100" s="194">
        <f t="shared" si="1"/>
        <v>1.3</v>
      </c>
      <c r="O100" s="198">
        <f>_1_541284561214624104645789101745678[[#This Row],[TOTAL]]*_1_541284561214624104645789101745678[[#This Row],[MARGIN]]</f>
        <v>0</v>
      </c>
      <c r="R100" s="41"/>
    </row>
    <row r="101" spans="1:18">
      <c r="B101" s="168"/>
      <c r="C101" s="168"/>
      <c r="D101" s="188"/>
      <c r="F101" s="168" t="s">
        <v>6202</v>
      </c>
      <c r="G101" s="193">
        <f>IF(_1_541284561214624104645789101745678[[#This Row],[Type]]&gt;0,VLOOKUP(_1_541284561214624104645789101745678[[#This Row],[Type]],Main[[#All],[TYPE]:[UNIT]],'Unit Price'!C$1,FALSE),0)</f>
        <v>0</v>
      </c>
      <c r="H101" s="197">
        <f>IF(_1_541284561214624104645789101745678[[#This Row],[Type]]&gt;0,VLOOKUP(_1_541284561214624104645789101745678[[#This Row],[Type]],Main[[#All],[TYPE]:[UNIT]],'Unit Price'!D$1,FALSE),0)</f>
        <v>0</v>
      </c>
      <c r="I101" s="194">
        <f>IF(_1_541284561214624104645789101745678[[#This Row],[Type]]&gt;0,VLOOKUP(_1_541284561214624104645789101745678[[#This Row],[Type]],Main[[#All],[TYPE]:[UNIT]],'Unit Price'!G$1,FALSE),0)</f>
        <v>0</v>
      </c>
      <c r="J101" s="194">
        <f>IF(_1_541284561214624104645789101745678[[#This Row],[Type]]&gt;0,VLOOKUP(_1_541284561214624104645789101745678[[#This Row],[Type]],Main[[#All],[TYPE]:[UNIT]],'Unit Price'!H$1,FALSE),0)</f>
        <v>0</v>
      </c>
      <c r="K101" s="194">
        <f>IF(_1_541284561214624104645789101745678[[#This Row],[Discount selection]]&gt;0,VLOOKUP(_1_541284561214624104645789101745678[[#This Row],[Discount selection]],'Discount Structure'!$A$2:$B$30,2,"false"),0)</f>
        <v>1</v>
      </c>
      <c r="L101" s="194">
        <f>_1_541284561214624104645789101745678[[#This Row],[LIST $]]*_1_541284561214624104645789101745678[[#This Row],[DISCOUNT]]*_1_541284561214624104645789101745678[[#This Row],[DISCOUNT 2]]</f>
        <v>0</v>
      </c>
      <c r="M101" s="194">
        <f>IF(OR(_1_541284561214624104645789101745678[[#This Row],[UNIT]]&gt;0,_1_541284561214624104645789101745678[[#This Row],[UNIT]]&lt;0),_1_541284561214624104645789101745678[[#This Row],[UNIT]]*_1_541284561214624104645789101745678[[#This Row],[COST]],0)</f>
        <v>0</v>
      </c>
      <c r="N101" s="194">
        <f t="shared" si="1"/>
        <v>1.3</v>
      </c>
      <c r="O101" s="198">
        <f>_1_541284561214624104645789101745678[[#This Row],[TOTAL]]*_1_541284561214624104645789101745678[[#This Row],[MARGIN]]</f>
        <v>0</v>
      </c>
      <c r="R101" s="41"/>
    </row>
    <row r="102" spans="1:18">
      <c r="A102" s="168"/>
      <c r="C102" s="168"/>
      <c r="D102" s="188"/>
      <c r="F102" s="168" t="s">
        <v>6202</v>
      </c>
      <c r="G102" s="193">
        <f>IF(_1_541284561214624104645789101745678[[#This Row],[Type]]&gt;0,VLOOKUP(_1_541284561214624104645789101745678[[#This Row],[Type]],Main[[#All],[TYPE]:[UNIT]],'Unit Price'!C$1,FALSE),0)</f>
        <v>0</v>
      </c>
      <c r="H102" s="197">
        <f>IF(_1_541284561214624104645789101745678[[#This Row],[Type]]&gt;0,VLOOKUP(_1_541284561214624104645789101745678[[#This Row],[Type]],Main[[#All],[TYPE]:[UNIT]],'Unit Price'!D$1,FALSE),0)</f>
        <v>0</v>
      </c>
      <c r="I102" s="194">
        <f>IF(_1_541284561214624104645789101745678[[#This Row],[Type]]&gt;0,VLOOKUP(_1_541284561214624104645789101745678[[#This Row],[Type]],Main[[#All],[TYPE]:[UNIT]],'Unit Price'!G$1,FALSE),0)</f>
        <v>0</v>
      </c>
      <c r="J102" s="194">
        <f>IF(_1_541284561214624104645789101745678[[#This Row],[Type]]&gt;0,VLOOKUP(_1_541284561214624104645789101745678[[#This Row],[Type]],Main[[#All],[TYPE]:[UNIT]],'Unit Price'!H$1,FALSE),0)</f>
        <v>0</v>
      </c>
      <c r="K102" s="194">
        <f>IF(_1_541284561214624104645789101745678[[#This Row],[Discount selection]]&gt;0,VLOOKUP(_1_541284561214624104645789101745678[[#This Row],[Discount selection]],'Discount Structure'!$A$2:$B$30,2,"false"),0)</f>
        <v>1</v>
      </c>
      <c r="L102" s="194">
        <f>_1_541284561214624104645789101745678[[#This Row],[LIST $]]*_1_541284561214624104645789101745678[[#This Row],[DISCOUNT]]*_1_541284561214624104645789101745678[[#This Row],[DISCOUNT 2]]</f>
        <v>0</v>
      </c>
      <c r="M102" s="194">
        <f>IF(OR(_1_541284561214624104645789101745678[[#This Row],[UNIT]]&gt;0,_1_541284561214624104645789101745678[[#This Row],[UNIT]]&lt;0),_1_541284561214624104645789101745678[[#This Row],[UNIT]]*_1_541284561214624104645789101745678[[#This Row],[COST]],0)</f>
        <v>0</v>
      </c>
      <c r="N102" s="194">
        <f t="shared" si="1"/>
        <v>1.3</v>
      </c>
      <c r="O102" s="198">
        <f>_1_541284561214624104645789101745678[[#This Row],[TOTAL]]*_1_541284561214624104645789101745678[[#This Row],[MARGIN]]</f>
        <v>0</v>
      </c>
      <c r="R102" s="41"/>
    </row>
    <row r="103" spans="1:18">
      <c r="A103" s="168"/>
      <c r="B103" s="168"/>
      <c r="C103" s="168"/>
      <c r="D103" s="188"/>
      <c r="F103" s="168" t="s">
        <v>6202</v>
      </c>
      <c r="G103" s="193">
        <f>IF(_1_541284561214624104645789101745678[[#This Row],[Type]]&gt;0,VLOOKUP(_1_541284561214624104645789101745678[[#This Row],[Type]],Main[[#All],[TYPE]:[UNIT]],'Unit Price'!C$1,FALSE),0)</f>
        <v>0</v>
      </c>
      <c r="H103" s="197">
        <f>IF(_1_541284561214624104645789101745678[[#This Row],[Type]]&gt;0,VLOOKUP(_1_541284561214624104645789101745678[[#This Row],[Type]],Main[[#All],[TYPE]:[UNIT]],'Unit Price'!D$1,FALSE),0)</f>
        <v>0</v>
      </c>
      <c r="I103" s="194">
        <f>IF(_1_541284561214624104645789101745678[[#This Row],[Type]]&gt;0,VLOOKUP(_1_541284561214624104645789101745678[[#This Row],[Type]],Main[[#All],[TYPE]:[UNIT]],'Unit Price'!G$1,FALSE),0)</f>
        <v>0</v>
      </c>
      <c r="J103" s="194">
        <f>IF(_1_541284561214624104645789101745678[[#This Row],[Type]]&gt;0,VLOOKUP(_1_541284561214624104645789101745678[[#This Row],[Type]],Main[[#All],[TYPE]:[UNIT]],'Unit Price'!H$1,FALSE),0)</f>
        <v>0</v>
      </c>
      <c r="K103" s="194">
        <f>IF(_1_541284561214624104645789101745678[[#This Row],[Discount selection]]&gt;0,VLOOKUP(_1_541284561214624104645789101745678[[#This Row],[Discount selection]],'Discount Structure'!$A$2:$B$30,2,"false"),0)</f>
        <v>1</v>
      </c>
      <c r="L103" s="194">
        <f>_1_541284561214624104645789101745678[[#This Row],[LIST $]]*_1_541284561214624104645789101745678[[#This Row],[DISCOUNT]]*_1_541284561214624104645789101745678[[#This Row],[DISCOUNT 2]]</f>
        <v>0</v>
      </c>
      <c r="M103" s="194">
        <f>IF(OR(_1_541284561214624104645789101745678[[#This Row],[UNIT]]&gt;0,_1_541284561214624104645789101745678[[#This Row],[UNIT]]&lt;0),_1_541284561214624104645789101745678[[#This Row],[UNIT]]*_1_541284561214624104645789101745678[[#This Row],[COST]],0)</f>
        <v>0</v>
      </c>
      <c r="N103" s="194">
        <f t="shared" si="1"/>
        <v>1.3</v>
      </c>
      <c r="O103" s="198">
        <f>_1_541284561214624104645789101745678[[#This Row],[TOTAL]]*_1_541284561214624104645789101745678[[#This Row],[MARGIN]]</f>
        <v>0</v>
      </c>
      <c r="R103" s="41"/>
    </row>
    <row r="104" spans="1:18">
      <c r="B104" s="168"/>
      <c r="C104" s="168"/>
      <c r="D104" s="188"/>
      <c r="F104" s="168" t="s">
        <v>6202</v>
      </c>
      <c r="G104" s="204">
        <f>IF(_1_541284561214624104645789101745678[[#This Row],[Type]]&gt;0,VLOOKUP(_1_541284561214624104645789101745678[[#This Row],[Type]],Main[[#All],[TYPE]:[UNIT]],'Unit Price'!C$1,FALSE),0)</f>
        <v>0</v>
      </c>
      <c r="H104" s="197">
        <f>IF(_1_541284561214624104645789101745678[[#This Row],[Type]]&gt;0,VLOOKUP(_1_541284561214624104645789101745678[[#This Row],[Type]],Main[[#All],[TYPE]:[UNIT]],'Unit Price'!D$1,FALSE),0)</f>
        <v>0</v>
      </c>
      <c r="I104" s="194">
        <f>IF(_1_541284561214624104645789101745678[[#This Row],[Type]]&gt;0,VLOOKUP(_1_541284561214624104645789101745678[[#This Row],[Type]],Main[[#All],[TYPE]:[UNIT]],'Unit Price'!G$1,FALSE),0)</f>
        <v>0</v>
      </c>
      <c r="J104" s="194">
        <f>IF(_1_541284561214624104645789101745678[[#This Row],[Type]]&gt;0,VLOOKUP(_1_541284561214624104645789101745678[[#This Row],[Type]],Main[[#All],[TYPE]:[UNIT]],'Unit Price'!H$1,FALSE),0)</f>
        <v>0</v>
      </c>
      <c r="K104" s="194">
        <f>IF(_1_541284561214624104645789101745678[[#This Row],[Discount selection]]&gt;0,VLOOKUP(_1_541284561214624104645789101745678[[#This Row],[Discount selection]],'Discount Structure'!$A$2:$B$30,2,"false"),0)</f>
        <v>1</v>
      </c>
      <c r="L104" s="194">
        <f>_1_541284561214624104645789101745678[[#This Row],[LIST $]]*_1_541284561214624104645789101745678[[#This Row],[DISCOUNT]]*_1_541284561214624104645789101745678[[#This Row],[DISCOUNT 2]]</f>
        <v>0</v>
      </c>
      <c r="M104" s="194">
        <f>IF(OR(_1_541284561214624104645789101745678[[#This Row],[UNIT]]&gt;0,_1_541284561214624104645789101745678[[#This Row],[UNIT]]&lt;0),_1_541284561214624104645789101745678[[#This Row],[UNIT]]*_1_541284561214624104645789101745678[[#This Row],[COST]],0)</f>
        <v>0</v>
      </c>
      <c r="N104" s="194">
        <f t="shared" si="1"/>
        <v>1.3</v>
      </c>
      <c r="O104" s="198">
        <f>_1_541284561214624104645789101745678[[#This Row],[TOTAL]]*_1_541284561214624104645789101745678[[#This Row],[MARGIN]]</f>
        <v>0</v>
      </c>
      <c r="R104" s="41"/>
    </row>
    <row r="105" spans="1:18">
      <c r="B105" s="168"/>
      <c r="C105" s="168"/>
      <c r="D105" s="188"/>
      <c r="F105" s="168" t="s">
        <v>6202</v>
      </c>
      <c r="G105" s="193">
        <f>IF(_1_541284561214624104645789101745678[[#This Row],[Type]]&gt;0,VLOOKUP(_1_541284561214624104645789101745678[[#This Row],[Type]],Main[[#All],[TYPE]:[UNIT]],'Unit Price'!C$1,FALSE),0)</f>
        <v>0</v>
      </c>
      <c r="H105" s="197">
        <f>IF(_1_541284561214624104645789101745678[[#This Row],[Type]]&gt;0,VLOOKUP(_1_541284561214624104645789101745678[[#This Row],[Type]],Main[[#All],[TYPE]:[UNIT]],'Unit Price'!D$1,FALSE),0)</f>
        <v>0</v>
      </c>
      <c r="I105" s="194">
        <f>IF(_1_541284561214624104645789101745678[[#This Row],[Type]]&gt;0,VLOOKUP(_1_541284561214624104645789101745678[[#This Row],[Type]],Main[[#All],[TYPE]:[UNIT]],'Unit Price'!G$1,FALSE),0)</f>
        <v>0</v>
      </c>
      <c r="J105" s="194">
        <f>IF(_1_541284561214624104645789101745678[[#This Row],[Type]]&gt;0,VLOOKUP(_1_541284561214624104645789101745678[[#This Row],[Type]],Main[[#All],[TYPE]:[UNIT]],'Unit Price'!H$1,FALSE),0)</f>
        <v>0</v>
      </c>
      <c r="K105" s="194">
        <f>IF(_1_541284561214624104645789101745678[[#This Row],[Discount selection]]&gt;0,VLOOKUP(_1_541284561214624104645789101745678[[#This Row],[Discount selection]],'Discount Structure'!$A$2:$B$30,2,"false"),0)</f>
        <v>1</v>
      </c>
      <c r="L105" s="194">
        <f>_1_541284561214624104645789101745678[[#This Row],[LIST $]]*_1_541284561214624104645789101745678[[#This Row],[DISCOUNT]]*_1_541284561214624104645789101745678[[#This Row],[DISCOUNT 2]]</f>
        <v>0</v>
      </c>
      <c r="M105" s="194">
        <f>IF(OR(_1_541284561214624104645789101745678[[#This Row],[UNIT]]&gt;0,_1_541284561214624104645789101745678[[#This Row],[UNIT]]&lt;0),_1_541284561214624104645789101745678[[#This Row],[UNIT]]*_1_541284561214624104645789101745678[[#This Row],[COST]],0)</f>
        <v>0</v>
      </c>
      <c r="N105" s="194">
        <f t="shared" si="1"/>
        <v>1.3</v>
      </c>
      <c r="O105" s="198">
        <f>_1_541284561214624104645789101745678[[#This Row],[TOTAL]]*_1_541284561214624104645789101745678[[#This Row],[MARGIN]]</f>
        <v>0</v>
      </c>
      <c r="R105" s="41"/>
    </row>
    <row r="106" spans="1:18">
      <c r="B106" s="318"/>
      <c r="C106" s="168"/>
      <c r="D106" s="188"/>
      <c r="F106" s="168" t="s">
        <v>6202</v>
      </c>
      <c r="G106" s="204">
        <f>IF(_1_541284561214624104645789101745678[[#This Row],[Type]]&gt;0,VLOOKUP(_1_541284561214624104645789101745678[[#This Row],[Type]],Main[[#All],[TYPE]:[UNIT]],'Unit Price'!C$1,FALSE),0)</f>
        <v>0</v>
      </c>
      <c r="H106" s="197">
        <f>IF(_1_541284561214624104645789101745678[[#This Row],[Type]]&gt;0,VLOOKUP(_1_541284561214624104645789101745678[[#This Row],[Type]],Main[[#All],[TYPE]:[UNIT]],'Unit Price'!D$1,FALSE),0)</f>
        <v>0</v>
      </c>
      <c r="I106" s="194">
        <f>IF(_1_541284561214624104645789101745678[[#This Row],[Type]]&gt;0,VLOOKUP(_1_541284561214624104645789101745678[[#This Row],[Type]],Main[[#All],[TYPE]:[UNIT]],'Unit Price'!G$1,FALSE),0)</f>
        <v>0</v>
      </c>
      <c r="J106" s="194">
        <f>IF(_1_541284561214624104645789101745678[[#This Row],[Type]]&gt;0,VLOOKUP(_1_541284561214624104645789101745678[[#This Row],[Type]],Main[[#All],[TYPE]:[UNIT]],'Unit Price'!H$1,FALSE),0)</f>
        <v>0</v>
      </c>
      <c r="K106" s="194">
        <f>IF(_1_541284561214624104645789101745678[[#This Row],[Discount selection]]&gt;0,VLOOKUP(_1_541284561214624104645789101745678[[#This Row],[Discount selection]],'Discount Structure'!$A$2:$B$30,2,"false"),0)</f>
        <v>1</v>
      </c>
      <c r="L106" s="194">
        <f>_1_541284561214624104645789101745678[[#This Row],[LIST $]]*_1_541284561214624104645789101745678[[#This Row],[DISCOUNT]]*_1_541284561214624104645789101745678[[#This Row],[DISCOUNT 2]]</f>
        <v>0</v>
      </c>
      <c r="M106" s="194">
        <f>IF(OR(_1_541284561214624104645789101745678[[#This Row],[UNIT]]&gt;0,_1_541284561214624104645789101745678[[#This Row],[UNIT]]&lt;0),_1_541284561214624104645789101745678[[#This Row],[UNIT]]*_1_541284561214624104645789101745678[[#This Row],[COST]],0)</f>
        <v>0</v>
      </c>
      <c r="N106" s="194">
        <f t="shared" si="1"/>
        <v>1.3</v>
      </c>
      <c r="O106" s="198">
        <f>_1_541284561214624104645789101745678[[#This Row],[TOTAL]]*_1_541284561214624104645789101745678[[#This Row],[MARGIN]]</f>
        <v>0</v>
      </c>
      <c r="R106" s="41"/>
    </row>
    <row r="107" spans="1:18">
      <c r="A107" s="341"/>
      <c r="C107" s="168"/>
      <c r="D107" s="188"/>
      <c r="F107" s="168" t="s">
        <v>6202</v>
      </c>
      <c r="G107" s="193">
        <f>IF(_1_541284561214624104645789101745678[[#This Row],[Type]]&gt;0,VLOOKUP(_1_541284561214624104645789101745678[[#This Row],[Type]],Main[[#All],[TYPE]:[UNIT]],'Unit Price'!C$1,FALSE),0)</f>
        <v>0</v>
      </c>
      <c r="H107" s="197">
        <f>IF(_1_541284561214624104645789101745678[[#This Row],[Type]]&gt;0,VLOOKUP(_1_541284561214624104645789101745678[[#This Row],[Type]],Main[[#All],[TYPE]:[UNIT]],'Unit Price'!D$1,FALSE),0)</f>
        <v>0</v>
      </c>
      <c r="I107" s="194">
        <f>IF(_1_541284561214624104645789101745678[[#This Row],[Type]]&gt;0,VLOOKUP(_1_541284561214624104645789101745678[[#This Row],[Type]],Main[[#All],[TYPE]:[UNIT]],'Unit Price'!G$1,FALSE),0)</f>
        <v>0</v>
      </c>
      <c r="J107" s="194">
        <f>IF(_1_541284561214624104645789101745678[[#This Row],[Type]]&gt;0,VLOOKUP(_1_541284561214624104645789101745678[[#This Row],[Type]],Main[[#All],[TYPE]:[UNIT]],'Unit Price'!H$1,FALSE),0)</f>
        <v>0</v>
      </c>
      <c r="K107" s="194">
        <f>IF(_1_541284561214624104645789101745678[[#This Row],[Discount selection]]&gt;0,VLOOKUP(_1_541284561214624104645789101745678[[#This Row],[Discount selection]],'Discount Structure'!$A$2:$B$30,2,"false"),0)</f>
        <v>1</v>
      </c>
      <c r="L107" s="194">
        <f>_1_541284561214624104645789101745678[[#This Row],[LIST $]]*_1_541284561214624104645789101745678[[#This Row],[DISCOUNT]]*_1_541284561214624104645789101745678[[#This Row],[DISCOUNT 2]]</f>
        <v>0</v>
      </c>
      <c r="M107" s="194">
        <f>IF(OR(_1_541284561214624104645789101745678[[#This Row],[UNIT]]&gt;0,_1_541284561214624104645789101745678[[#This Row],[UNIT]]&lt;0),_1_541284561214624104645789101745678[[#This Row],[UNIT]]*_1_541284561214624104645789101745678[[#This Row],[COST]],0)</f>
        <v>0</v>
      </c>
      <c r="N107" s="194">
        <f t="shared" si="1"/>
        <v>1.3</v>
      </c>
      <c r="O107" s="198">
        <f>_1_541284561214624104645789101745678[[#This Row],[TOTAL]]*_1_541284561214624104645789101745678[[#This Row],[MARGIN]]</f>
        <v>0</v>
      </c>
      <c r="R107" s="41"/>
    </row>
    <row r="108" spans="1:18">
      <c r="B108" s="318"/>
      <c r="C108" s="168"/>
      <c r="D108" s="188"/>
      <c r="F108" s="168" t="s">
        <v>6202</v>
      </c>
      <c r="G108" s="204">
        <f>IF(_1_541284561214624104645789101745678[[#This Row],[Type]]&gt;0,VLOOKUP(_1_541284561214624104645789101745678[[#This Row],[Type]],Main[[#All],[TYPE]:[UNIT]],'Unit Price'!C$1,FALSE),0)</f>
        <v>0</v>
      </c>
      <c r="H108" s="197">
        <f>IF(_1_541284561214624104645789101745678[[#This Row],[Type]]&gt;0,VLOOKUP(_1_541284561214624104645789101745678[[#This Row],[Type]],Main[[#All],[TYPE]:[UNIT]],'Unit Price'!D$1,FALSE),0)</f>
        <v>0</v>
      </c>
      <c r="I108" s="194">
        <f>IF(_1_541284561214624104645789101745678[[#This Row],[Type]]&gt;0,VLOOKUP(_1_541284561214624104645789101745678[[#This Row],[Type]],Main[[#All],[TYPE]:[UNIT]],'Unit Price'!G$1,FALSE),0)</f>
        <v>0</v>
      </c>
      <c r="J108" s="194">
        <f>IF(_1_541284561214624104645789101745678[[#This Row],[Type]]&gt;0,VLOOKUP(_1_541284561214624104645789101745678[[#This Row],[Type]],Main[[#All],[TYPE]:[UNIT]],'Unit Price'!H$1,FALSE),0)</f>
        <v>0</v>
      </c>
      <c r="K108" s="194">
        <f>IF(_1_541284561214624104645789101745678[[#This Row],[Discount selection]]&gt;0,VLOOKUP(_1_541284561214624104645789101745678[[#This Row],[Discount selection]],'Discount Structure'!$A$2:$B$30,2,"false"),0)</f>
        <v>1</v>
      </c>
      <c r="L108" s="194">
        <f>_1_541284561214624104645789101745678[[#This Row],[LIST $]]*_1_541284561214624104645789101745678[[#This Row],[DISCOUNT]]*_1_541284561214624104645789101745678[[#This Row],[DISCOUNT 2]]</f>
        <v>0</v>
      </c>
      <c r="M108" s="194">
        <f>IF(OR(_1_541284561214624104645789101745678[[#This Row],[UNIT]]&gt;0,_1_541284561214624104645789101745678[[#This Row],[UNIT]]&lt;0),_1_541284561214624104645789101745678[[#This Row],[UNIT]]*_1_541284561214624104645789101745678[[#This Row],[COST]],0)</f>
        <v>0</v>
      </c>
      <c r="N108" s="194">
        <f t="shared" si="1"/>
        <v>1.3</v>
      </c>
      <c r="O108" s="198">
        <f>_1_541284561214624104645789101745678[[#This Row],[TOTAL]]*_1_541284561214624104645789101745678[[#This Row],[MARGIN]]</f>
        <v>0</v>
      </c>
      <c r="R108" s="41"/>
    </row>
    <row r="109" spans="1:18">
      <c r="A109" s="312"/>
      <c r="B109" s="321"/>
      <c r="C109" s="168"/>
      <c r="D109" s="188"/>
      <c r="F109" s="168" t="s">
        <v>6202</v>
      </c>
      <c r="G109" s="193">
        <f>IF(_1_541284561214624104645789101745678[[#This Row],[Type]]&gt;0,VLOOKUP(_1_541284561214624104645789101745678[[#This Row],[Type]],Main[[#All],[TYPE]:[UNIT]],'Unit Price'!C$1,FALSE),0)</f>
        <v>0</v>
      </c>
      <c r="H109" s="197">
        <f>IF(_1_541284561214624104645789101745678[[#This Row],[Type]]&gt;0,VLOOKUP(_1_541284561214624104645789101745678[[#This Row],[Type]],Main[[#All],[TYPE]:[UNIT]],'Unit Price'!D$1,FALSE),0)</f>
        <v>0</v>
      </c>
      <c r="I109" s="194">
        <f>IF(_1_541284561214624104645789101745678[[#This Row],[Type]]&gt;0,VLOOKUP(_1_541284561214624104645789101745678[[#This Row],[Type]],Main[[#All],[TYPE]:[UNIT]],'Unit Price'!G$1,FALSE),0)</f>
        <v>0</v>
      </c>
      <c r="J109" s="194">
        <f>IF(_1_541284561214624104645789101745678[[#This Row],[Type]]&gt;0,VLOOKUP(_1_541284561214624104645789101745678[[#This Row],[Type]],Main[[#All],[TYPE]:[UNIT]],'Unit Price'!H$1,FALSE),0)</f>
        <v>0</v>
      </c>
      <c r="K109" s="194">
        <f>IF(_1_541284561214624104645789101745678[[#This Row],[Discount selection]]&gt;0,VLOOKUP(_1_541284561214624104645789101745678[[#This Row],[Discount selection]],'Discount Structure'!$A$2:$B$30,2,"false"),0)</f>
        <v>1</v>
      </c>
      <c r="L109" s="194">
        <f>_1_541284561214624104645789101745678[[#This Row],[LIST $]]*_1_541284561214624104645789101745678[[#This Row],[DISCOUNT]]*_1_541284561214624104645789101745678[[#This Row],[DISCOUNT 2]]</f>
        <v>0</v>
      </c>
      <c r="M109" s="194">
        <f>IF(OR(_1_541284561214624104645789101745678[[#This Row],[UNIT]]&gt;0,_1_541284561214624104645789101745678[[#This Row],[UNIT]]&lt;0),_1_541284561214624104645789101745678[[#This Row],[UNIT]]*_1_541284561214624104645789101745678[[#This Row],[COST]],0)</f>
        <v>0</v>
      </c>
      <c r="N109" s="194">
        <f t="shared" si="1"/>
        <v>1.3</v>
      </c>
      <c r="O109" s="198">
        <f>_1_541284561214624104645789101745678[[#This Row],[TOTAL]]*_1_541284561214624104645789101745678[[#This Row],[MARGIN]]</f>
        <v>0</v>
      </c>
      <c r="R109" s="41"/>
    </row>
    <row r="110" spans="1:18">
      <c r="B110" s="322"/>
      <c r="C110" s="168"/>
      <c r="D110" s="188"/>
      <c r="F110" s="168" t="s">
        <v>6202</v>
      </c>
      <c r="G110" s="193">
        <f>IF(_1_541284561214624104645789101745678[[#This Row],[Type]]&gt;0,VLOOKUP(_1_541284561214624104645789101745678[[#This Row],[Type]],Main[[#All],[TYPE]:[UNIT]],'Unit Price'!C$1,FALSE),0)</f>
        <v>0</v>
      </c>
      <c r="H110" s="197">
        <f>IF(_1_541284561214624104645789101745678[[#This Row],[Type]]&gt;0,VLOOKUP(_1_541284561214624104645789101745678[[#This Row],[Type]],Main[[#All],[TYPE]:[UNIT]],'Unit Price'!D$1,FALSE),0)</f>
        <v>0</v>
      </c>
      <c r="I110" s="194">
        <f>IF(_1_541284561214624104645789101745678[[#This Row],[Type]]&gt;0,VLOOKUP(_1_541284561214624104645789101745678[[#This Row],[Type]],Main[[#All],[TYPE]:[UNIT]],'Unit Price'!G$1,FALSE),0)</f>
        <v>0</v>
      </c>
      <c r="J110" s="194">
        <f>IF(_1_541284561214624104645789101745678[[#This Row],[Type]]&gt;0,VLOOKUP(_1_541284561214624104645789101745678[[#This Row],[Type]],Main[[#All],[TYPE]:[UNIT]],'Unit Price'!H$1,FALSE),0)</f>
        <v>0</v>
      </c>
      <c r="K110" s="194">
        <f>IF(_1_541284561214624104645789101745678[[#This Row],[Discount selection]]&gt;0,VLOOKUP(_1_541284561214624104645789101745678[[#This Row],[Discount selection]],'Discount Structure'!$A$2:$B$30,2,"false"),0)</f>
        <v>1</v>
      </c>
      <c r="L110" s="194">
        <f>_1_541284561214624104645789101745678[[#This Row],[LIST $]]*_1_541284561214624104645789101745678[[#This Row],[DISCOUNT]]*_1_541284561214624104645789101745678[[#This Row],[DISCOUNT 2]]</f>
        <v>0</v>
      </c>
      <c r="M110" s="194">
        <f>IF(OR(_1_541284561214624104645789101745678[[#This Row],[UNIT]]&gt;0,_1_541284561214624104645789101745678[[#This Row],[UNIT]]&lt;0),_1_541284561214624104645789101745678[[#This Row],[UNIT]]*_1_541284561214624104645789101745678[[#This Row],[COST]],0)</f>
        <v>0</v>
      </c>
      <c r="N110" s="194">
        <f t="shared" si="1"/>
        <v>1.3</v>
      </c>
      <c r="O110" s="198">
        <f>_1_541284561214624104645789101745678[[#This Row],[TOTAL]]*_1_541284561214624104645789101745678[[#This Row],[MARGIN]]</f>
        <v>0</v>
      </c>
      <c r="R110" s="41"/>
    </row>
    <row r="111" spans="1:18">
      <c r="C111" s="168"/>
      <c r="D111" s="188"/>
      <c r="F111" s="168" t="s">
        <v>6202</v>
      </c>
      <c r="G111" s="193">
        <f>IF(_1_541284561214624104645789101745678[[#This Row],[Type]]&gt;0,VLOOKUP(_1_541284561214624104645789101745678[[#This Row],[Type]],Main[[#All],[TYPE]:[UNIT]],'Unit Price'!C$1,FALSE),0)</f>
        <v>0</v>
      </c>
      <c r="H111" s="197">
        <f>IF(_1_541284561214624104645789101745678[[#This Row],[Type]]&gt;0,VLOOKUP(_1_541284561214624104645789101745678[[#This Row],[Type]],Main[[#All],[TYPE]:[UNIT]],'Unit Price'!D$1,FALSE),0)</f>
        <v>0</v>
      </c>
      <c r="I111" s="194">
        <f>IF(_1_541284561214624104645789101745678[[#This Row],[Type]]&gt;0,VLOOKUP(_1_541284561214624104645789101745678[[#This Row],[Type]],Main[[#All],[TYPE]:[UNIT]],'Unit Price'!G$1,FALSE),0)</f>
        <v>0</v>
      </c>
      <c r="J111" s="194">
        <f>IF(_1_541284561214624104645789101745678[[#This Row],[Type]]&gt;0,VLOOKUP(_1_541284561214624104645789101745678[[#This Row],[Type]],Main[[#All],[TYPE]:[UNIT]],'Unit Price'!H$1,FALSE),0)</f>
        <v>0</v>
      </c>
      <c r="K111" s="194">
        <f>IF(_1_541284561214624104645789101745678[[#This Row],[Discount selection]]&gt;0,VLOOKUP(_1_541284561214624104645789101745678[[#This Row],[Discount selection]],'Discount Structure'!$A$2:$B$30,2,"false"),0)</f>
        <v>1</v>
      </c>
      <c r="L111" s="194">
        <f>_1_541284561214624104645789101745678[[#This Row],[LIST $]]*_1_541284561214624104645789101745678[[#This Row],[DISCOUNT]]*_1_541284561214624104645789101745678[[#This Row],[DISCOUNT 2]]</f>
        <v>0</v>
      </c>
      <c r="M111" s="194">
        <f>IF(OR(_1_541284561214624104645789101745678[[#This Row],[UNIT]]&gt;0,_1_541284561214624104645789101745678[[#This Row],[UNIT]]&lt;0),_1_541284561214624104645789101745678[[#This Row],[UNIT]]*_1_541284561214624104645789101745678[[#This Row],[COST]],0)</f>
        <v>0</v>
      </c>
      <c r="N111" s="194">
        <f t="shared" si="1"/>
        <v>1.3</v>
      </c>
      <c r="O111" s="198">
        <f>_1_541284561214624104645789101745678[[#This Row],[TOTAL]]*_1_541284561214624104645789101745678[[#This Row],[MARGIN]]</f>
        <v>0</v>
      </c>
      <c r="R111" s="41"/>
    </row>
    <row r="112" spans="1:18">
      <c r="C112" s="168"/>
      <c r="D112" s="188"/>
      <c r="F112" s="168" t="s">
        <v>6202</v>
      </c>
      <c r="G112" s="193">
        <f>IF(_1_541284561214624104645789101745678[[#This Row],[Type]]&gt;0,VLOOKUP(_1_541284561214624104645789101745678[[#This Row],[Type]],Main[[#All],[TYPE]:[UNIT]],'Unit Price'!C$1,FALSE),0)</f>
        <v>0</v>
      </c>
      <c r="H112" s="197">
        <f>IF(_1_541284561214624104645789101745678[[#This Row],[Type]]&gt;0,VLOOKUP(_1_541284561214624104645789101745678[[#This Row],[Type]],Main[[#All],[TYPE]:[UNIT]],'Unit Price'!D$1,FALSE),0)</f>
        <v>0</v>
      </c>
      <c r="I112" s="194">
        <f>IF(_1_541284561214624104645789101745678[[#This Row],[Type]]&gt;0,VLOOKUP(_1_541284561214624104645789101745678[[#This Row],[Type]],Main[[#All],[TYPE]:[UNIT]],'Unit Price'!G$1,FALSE),0)</f>
        <v>0</v>
      </c>
      <c r="J112" s="194">
        <f>IF(_1_541284561214624104645789101745678[[#This Row],[Type]]&gt;0,VLOOKUP(_1_541284561214624104645789101745678[[#This Row],[Type]],Main[[#All],[TYPE]:[UNIT]],'Unit Price'!H$1,FALSE),0)</f>
        <v>0</v>
      </c>
      <c r="K112" s="194">
        <f>IF(_1_541284561214624104645789101745678[[#This Row],[Discount selection]]&gt;0,VLOOKUP(_1_541284561214624104645789101745678[[#This Row],[Discount selection]],'Discount Structure'!$A$2:$B$30,2,"false"),0)</f>
        <v>1</v>
      </c>
      <c r="L112" s="194">
        <f>_1_541284561214624104645789101745678[[#This Row],[LIST $]]*_1_541284561214624104645789101745678[[#This Row],[DISCOUNT]]*_1_541284561214624104645789101745678[[#This Row],[DISCOUNT 2]]</f>
        <v>0</v>
      </c>
      <c r="M112" s="194">
        <f>IF(OR(_1_541284561214624104645789101745678[[#This Row],[UNIT]]&gt;0,_1_541284561214624104645789101745678[[#This Row],[UNIT]]&lt;0),_1_541284561214624104645789101745678[[#This Row],[UNIT]]*_1_541284561214624104645789101745678[[#This Row],[COST]],0)</f>
        <v>0</v>
      </c>
      <c r="N112" s="194">
        <f t="shared" si="1"/>
        <v>1.3</v>
      </c>
      <c r="O112" s="198">
        <f>_1_541284561214624104645789101745678[[#This Row],[TOTAL]]*_1_541284561214624104645789101745678[[#This Row],[MARGIN]]</f>
        <v>0</v>
      </c>
      <c r="R112" s="41"/>
    </row>
    <row r="113" spans="1:18">
      <c r="A113" s="168"/>
      <c r="C113" s="168"/>
      <c r="D113" s="188"/>
      <c r="F113" s="168" t="s">
        <v>6202</v>
      </c>
      <c r="G113" s="193">
        <f>IF(_1_541284561214624104645789101745678[[#This Row],[Type]]&gt;0,VLOOKUP(_1_541284561214624104645789101745678[[#This Row],[Type]],Main[[#All],[TYPE]:[UNIT]],'Unit Price'!C$1,FALSE),0)</f>
        <v>0</v>
      </c>
      <c r="H113" s="197">
        <f>IF(_1_541284561214624104645789101745678[[#This Row],[Type]]&gt;0,VLOOKUP(_1_541284561214624104645789101745678[[#This Row],[Type]],Main[[#All],[TYPE]:[UNIT]],'Unit Price'!D$1,FALSE),0)</f>
        <v>0</v>
      </c>
      <c r="I113" s="194">
        <f>IF(_1_541284561214624104645789101745678[[#This Row],[Type]]&gt;0,VLOOKUP(_1_541284561214624104645789101745678[[#This Row],[Type]],Main[[#All],[TYPE]:[UNIT]],'Unit Price'!G$1,FALSE),0)</f>
        <v>0</v>
      </c>
      <c r="J113" s="194">
        <f>IF(_1_541284561214624104645789101745678[[#This Row],[Type]]&gt;0,VLOOKUP(_1_541284561214624104645789101745678[[#This Row],[Type]],Main[[#All],[TYPE]:[UNIT]],'Unit Price'!H$1,FALSE),0)</f>
        <v>0</v>
      </c>
      <c r="K113" s="194">
        <f>IF(_1_541284561214624104645789101745678[[#This Row],[Discount selection]]&gt;0,VLOOKUP(_1_541284561214624104645789101745678[[#This Row],[Discount selection]],'Discount Structure'!$A$2:$B$30,2,"false"),0)</f>
        <v>1</v>
      </c>
      <c r="L113" s="194">
        <f>_1_541284561214624104645789101745678[[#This Row],[LIST $]]*_1_541284561214624104645789101745678[[#This Row],[DISCOUNT]]*_1_541284561214624104645789101745678[[#This Row],[DISCOUNT 2]]</f>
        <v>0</v>
      </c>
      <c r="M113" s="194">
        <f>IF(OR(_1_541284561214624104645789101745678[[#This Row],[UNIT]]&gt;0,_1_541284561214624104645789101745678[[#This Row],[UNIT]]&lt;0),_1_541284561214624104645789101745678[[#This Row],[UNIT]]*_1_541284561214624104645789101745678[[#This Row],[COST]],0)</f>
        <v>0</v>
      </c>
      <c r="N113" s="194">
        <f t="shared" si="1"/>
        <v>1.3</v>
      </c>
      <c r="O113" s="198">
        <f>_1_541284561214624104645789101745678[[#This Row],[TOTAL]]*_1_541284561214624104645789101745678[[#This Row],[MARGIN]]</f>
        <v>0</v>
      </c>
      <c r="R113" s="41"/>
    </row>
    <row r="114" spans="1:18">
      <c r="C114" s="168"/>
      <c r="D114" s="188"/>
      <c r="F114" s="168" t="s">
        <v>6202</v>
      </c>
      <c r="G114" s="193">
        <f>IF(_1_541284561214624104645789101745678[[#This Row],[Type]]&gt;0,VLOOKUP(_1_541284561214624104645789101745678[[#This Row],[Type]],Main[[#All],[TYPE]:[UNIT]],'Unit Price'!C$1,FALSE),0)</f>
        <v>0</v>
      </c>
      <c r="H114" s="197">
        <f>IF(_1_541284561214624104645789101745678[[#This Row],[Type]]&gt;0,VLOOKUP(_1_541284561214624104645789101745678[[#This Row],[Type]],Main[[#All],[TYPE]:[UNIT]],'Unit Price'!D$1,FALSE),0)</f>
        <v>0</v>
      </c>
      <c r="I114" s="194">
        <f>IF(_1_541284561214624104645789101745678[[#This Row],[Type]]&gt;0,VLOOKUP(_1_541284561214624104645789101745678[[#This Row],[Type]],Main[[#All],[TYPE]:[UNIT]],'Unit Price'!G$1,FALSE),0)</f>
        <v>0</v>
      </c>
      <c r="J114" s="194">
        <f>IF(_1_541284561214624104645789101745678[[#This Row],[Type]]&gt;0,VLOOKUP(_1_541284561214624104645789101745678[[#This Row],[Type]],Main[[#All],[TYPE]:[UNIT]],'Unit Price'!H$1,FALSE),0)</f>
        <v>0</v>
      </c>
      <c r="K114" s="194">
        <f>IF(_1_541284561214624104645789101745678[[#This Row],[Discount selection]]&gt;0,VLOOKUP(_1_541284561214624104645789101745678[[#This Row],[Discount selection]],'Discount Structure'!$A$2:$B$30,2,"false"),0)</f>
        <v>1</v>
      </c>
      <c r="L114" s="194">
        <f>_1_541284561214624104645789101745678[[#This Row],[LIST $]]*_1_541284561214624104645789101745678[[#This Row],[DISCOUNT]]*_1_541284561214624104645789101745678[[#This Row],[DISCOUNT 2]]</f>
        <v>0</v>
      </c>
      <c r="M114" s="194">
        <f>IF(OR(_1_541284561214624104645789101745678[[#This Row],[UNIT]]&gt;0,_1_541284561214624104645789101745678[[#This Row],[UNIT]]&lt;0),_1_541284561214624104645789101745678[[#This Row],[UNIT]]*_1_541284561214624104645789101745678[[#This Row],[COST]],0)</f>
        <v>0</v>
      </c>
      <c r="N114" s="194">
        <f t="shared" si="1"/>
        <v>1.3</v>
      </c>
      <c r="O114" s="198">
        <f>_1_541284561214624104645789101745678[[#This Row],[TOTAL]]*_1_541284561214624104645789101745678[[#This Row],[MARGIN]]</f>
        <v>0</v>
      </c>
      <c r="R114" s="41"/>
    </row>
    <row r="115" spans="1:18">
      <c r="C115" s="168"/>
      <c r="D115" s="188"/>
      <c r="F115" s="168" t="s">
        <v>6202</v>
      </c>
      <c r="G115" s="193">
        <f>IF(_1_541284561214624104645789101745678[[#This Row],[Type]]&gt;0,VLOOKUP(_1_541284561214624104645789101745678[[#This Row],[Type]],Main[[#All],[TYPE]:[UNIT]],'Unit Price'!C$1,FALSE),0)</f>
        <v>0</v>
      </c>
      <c r="H115" s="197">
        <f>IF(_1_541284561214624104645789101745678[[#This Row],[Type]]&gt;0,VLOOKUP(_1_541284561214624104645789101745678[[#This Row],[Type]],Main[[#All],[TYPE]:[UNIT]],'Unit Price'!D$1,FALSE),0)</f>
        <v>0</v>
      </c>
      <c r="I115" s="194">
        <f>IF(_1_541284561214624104645789101745678[[#This Row],[Type]]&gt;0,VLOOKUP(_1_541284561214624104645789101745678[[#This Row],[Type]],Main[[#All],[TYPE]:[UNIT]],'Unit Price'!G$1,FALSE),0)</f>
        <v>0</v>
      </c>
      <c r="J115" s="194">
        <f>IF(_1_541284561214624104645789101745678[[#This Row],[Type]]&gt;0,VLOOKUP(_1_541284561214624104645789101745678[[#This Row],[Type]],Main[[#All],[TYPE]:[UNIT]],'Unit Price'!H$1,FALSE),0)</f>
        <v>0</v>
      </c>
      <c r="K115" s="194">
        <f>IF(_1_541284561214624104645789101745678[[#This Row],[Discount selection]]&gt;0,VLOOKUP(_1_541284561214624104645789101745678[[#This Row],[Discount selection]],'Discount Structure'!$A$2:$B$30,2,"false"),0)</f>
        <v>1</v>
      </c>
      <c r="L115" s="194">
        <f>_1_541284561214624104645789101745678[[#This Row],[LIST $]]*_1_541284561214624104645789101745678[[#This Row],[DISCOUNT]]*_1_541284561214624104645789101745678[[#This Row],[DISCOUNT 2]]</f>
        <v>0</v>
      </c>
      <c r="M115" s="194">
        <f>IF(OR(_1_541284561214624104645789101745678[[#This Row],[UNIT]]&gt;0,_1_541284561214624104645789101745678[[#This Row],[UNIT]]&lt;0),_1_541284561214624104645789101745678[[#This Row],[UNIT]]*_1_541284561214624104645789101745678[[#This Row],[COST]],0)</f>
        <v>0</v>
      </c>
      <c r="N115" s="194">
        <f t="shared" si="1"/>
        <v>1.3</v>
      </c>
      <c r="O115" s="198">
        <f>_1_541284561214624104645789101745678[[#This Row],[TOTAL]]*_1_541284561214624104645789101745678[[#This Row],[MARGIN]]</f>
        <v>0</v>
      </c>
      <c r="R115" s="41"/>
    </row>
    <row r="116" spans="1:18">
      <c r="A116" s="339"/>
      <c r="C116" s="168"/>
      <c r="D116" s="188"/>
      <c r="F116" s="168" t="s">
        <v>6202</v>
      </c>
      <c r="G116" s="193">
        <f>IF(_1_541284561214624104645789101745678[[#This Row],[Type]]&gt;0,VLOOKUP(_1_541284561214624104645789101745678[[#This Row],[Type]],Main[[#All],[TYPE]:[UNIT]],'Unit Price'!C$1,FALSE),0)</f>
        <v>0</v>
      </c>
      <c r="H116" s="197">
        <f>IF(_1_541284561214624104645789101745678[[#This Row],[Type]]&gt;0,VLOOKUP(_1_541284561214624104645789101745678[[#This Row],[Type]],Main[[#All],[TYPE]:[UNIT]],'Unit Price'!D$1,FALSE),0)</f>
        <v>0</v>
      </c>
      <c r="I116" s="194">
        <f>IF(_1_541284561214624104645789101745678[[#This Row],[Type]]&gt;0,VLOOKUP(_1_541284561214624104645789101745678[[#This Row],[Type]],Main[[#All],[TYPE]:[UNIT]],'Unit Price'!G$1,FALSE),0)</f>
        <v>0</v>
      </c>
      <c r="J116" s="194">
        <f>IF(_1_541284561214624104645789101745678[[#This Row],[Type]]&gt;0,VLOOKUP(_1_541284561214624104645789101745678[[#This Row],[Type]],Main[[#All],[TYPE]:[UNIT]],'Unit Price'!H$1,FALSE),0)</f>
        <v>0</v>
      </c>
      <c r="K116" s="194">
        <f>IF(_1_541284561214624104645789101745678[[#This Row],[Discount selection]]&gt;0,VLOOKUP(_1_541284561214624104645789101745678[[#This Row],[Discount selection]],'Discount Structure'!$A$2:$B$30,2,"false"),0)</f>
        <v>1</v>
      </c>
      <c r="L116" s="194">
        <f>_1_541284561214624104645789101745678[[#This Row],[LIST $]]*_1_541284561214624104645789101745678[[#This Row],[DISCOUNT]]*_1_541284561214624104645789101745678[[#This Row],[DISCOUNT 2]]</f>
        <v>0</v>
      </c>
      <c r="M116" s="194">
        <f>IF(OR(_1_541284561214624104645789101745678[[#This Row],[UNIT]]&gt;0,_1_541284561214624104645789101745678[[#This Row],[UNIT]]&lt;0),_1_541284561214624104645789101745678[[#This Row],[UNIT]]*_1_541284561214624104645789101745678[[#This Row],[COST]],0)</f>
        <v>0</v>
      </c>
      <c r="N116" s="194">
        <f t="shared" si="1"/>
        <v>1.3</v>
      </c>
      <c r="O116" s="198">
        <f>_1_541284561214624104645789101745678[[#This Row],[TOTAL]]*_1_541284561214624104645789101745678[[#This Row],[MARGIN]]</f>
        <v>0</v>
      </c>
      <c r="R116" s="41"/>
    </row>
    <row r="117" spans="1:18">
      <c r="C117" s="168"/>
      <c r="D117" s="188"/>
      <c r="F117" s="168" t="s">
        <v>6202</v>
      </c>
      <c r="G117" s="193">
        <f>IF(_1_541284561214624104645789101745678[[#This Row],[Type]]&gt;0,VLOOKUP(_1_541284561214624104645789101745678[[#This Row],[Type]],Main[[#All],[TYPE]:[UNIT]],'Unit Price'!C$1,FALSE),0)</f>
        <v>0</v>
      </c>
      <c r="H117" s="197">
        <f>IF(_1_541284561214624104645789101745678[[#This Row],[Type]]&gt;0,VLOOKUP(_1_541284561214624104645789101745678[[#This Row],[Type]],Main[[#All],[TYPE]:[UNIT]],'Unit Price'!D$1,FALSE),0)</f>
        <v>0</v>
      </c>
      <c r="I117" s="194">
        <f>IF(_1_541284561214624104645789101745678[[#This Row],[Type]]&gt;0,VLOOKUP(_1_541284561214624104645789101745678[[#This Row],[Type]],Main[[#All],[TYPE]:[UNIT]],'Unit Price'!G$1,FALSE),0)</f>
        <v>0</v>
      </c>
      <c r="J117" s="194">
        <f>IF(_1_541284561214624104645789101745678[[#This Row],[Type]]&gt;0,VLOOKUP(_1_541284561214624104645789101745678[[#This Row],[Type]],Main[[#All],[TYPE]:[UNIT]],'Unit Price'!H$1,FALSE),0)</f>
        <v>0</v>
      </c>
      <c r="K117" s="194">
        <f>IF(_1_541284561214624104645789101745678[[#This Row],[Discount selection]]&gt;0,VLOOKUP(_1_541284561214624104645789101745678[[#This Row],[Discount selection]],'Discount Structure'!$A$2:$B$30,2,"false"),0)</f>
        <v>1</v>
      </c>
      <c r="L117" s="194">
        <f>_1_541284561214624104645789101745678[[#This Row],[LIST $]]*_1_541284561214624104645789101745678[[#This Row],[DISCOUNT]]*_1_541284561214624104645789101745678[[#This Row],[DISCOUNT 2]]</f>
        <v>0</v>
      </c>
      <c r="M117" s="194">
        <f>IF(OR(_1_541284561214624104645789101745678[[#This Row],[UNIT]]&gt;0,_1_541284561214624104645789101745678[[#This Row],[UNIT]]&lt;0),_1_541284561214624104645789101745678[[#This Row],[UNIT]]*_1_541284561214624104645789101745678[[#This Row],[COST]],0)</f>
        <v>0</v>
      </c>
      <c r="N117" s="194">
        <f t="shared" si="1"/>
        <v>1.3</v>
      </c>
      <c r="O117" s="198">
        <f>_1_541284561214624104645789101745678[[#This Row],[TOTAL]]*_1_541284561214624104645789101745678[[#This Row],[MARGIN]]</f>
        <v>0</v>
      </c>
      <c r="R117" s="41"/>
    </row>
    <row r="118" spans="1:18">
      <c r="A118" s="329"/>
      <c r="C118" s="168"/>
      <c r="D118" s="188"/>
      <c r="F118" s="168" t="s">
        <v>6202</v>
      </c>
      <c r="G118" s="193">
        <f>IF(_1_541284561214624104645789101745678[[#This Row],[Type]]&gt;0,VLOOKUP(_1_541284561214624104645789101745678[[#This Row],[Type]],Main[[#All],[TYPE]:[UNIT]],'Unit Price'!C$1,FALSE),0)</f>
        <v>0</v>
      </c>
      <c r="H118" s="197">
        <f>IF(_1_541284561214624104645789101745678[[#This Row],[Type]]&gt;0,VLOOKUP(_1_541284561214624104645789101745678[[#This Row],[Type]],Main[[#All],[TYPE]:[UNIT]],'Unit Price'!D$1,FALSE),0)</f>
        <v>0</v>
      </c>
      <c r="I118" s="194">
        <f>IF(_1_541284561214624104645789101745678[[#This Row],[Type]]&gt;0,VLOOKUP(_1_541284561214624104645789101745678[[#This Row],[Type]],Main[[#All],[TYPE]:[UNIT]],'Unit Price'!G$1,FALSE),0)</f>
        <v>0</v>
      </c>
      <c r="J118" s="194">
        <f>IF(_1_541284561214624104645789101745678[[#This Row],[Type]]&gt;0,VLOOKUP(_1_541284561214624104645789101745678[[#This Row],[Type]],Main[[#All],[TYPE]:[UNIT]],'Unit Price'!H$1,FALSE),0)</f>
        <v>0</v>
      </c>
      <c r="K118" s="194">
        <f>IF(_1_541284561214624104645789101745678[[#This Row],[Discount selection]]&gt;0,VLOOKUP(_1_541284561214624104645789101745678[[#This Row],[Discount selection]],'Discount Structure'!$A$2:$B$30,2,"false"),0)</f>
        <v>1</v>
      </c>
      <c r="L118" s="194">
        <f>_1_541284561214624104645789101745678[[#This Row],[LIST $]]*_1_541284561214624104645789101745678[[#This Row],[DISCOUNT]]*_1_541284561214624104645789101745678[[#This Row],[DISCOUNT 2]]</f>
        <v>0</v>
      </c>
      <c r="M118" s="194">
        <f>IF(OR(_1_541284561214624104645789101745678[[#This Row],[UNIT]]&gt;0,_1_541284561214624104645789101745678[[#This Row],[UNIT]]&lt;0),_1_541284561214624104645789101745678[[#This Row],[UNIT]]*_1_541284561214624104645789101745678[[#This Row],[COST]],0)</f>
        <v>0</v>
      </c>
      <c r="N118" s="194">
        <f t="shared" si="1"/>
        <v>1.3</v>
      </c>
      <c r="O118" s="198">
        <f>_1_541284561214624104645789101745678[[#This Row],[TOTAL]]*_1_541284561214624104645789101745678[[#This Row],[MARGIN]]</f>
        <v>0</v>
      </c>
      <c r="R118" s="41"/>
    </row>
    <row r="119" spans="1:18">
      <c r="B119" s="329"/>
      <c r="C119" s="168"/>
      <c r="D119" s="188"/>
      <c r="F119" s="168" t="s">
        <v>6202</v>
      </c>
      <c r="G119" s="193">
        <f>IF(_1_541284561214624104645789101745678[[#This Row],[Type]]&gt;0,VLOOKUP(_1_541284561214624104645789101745678[[#This Row],[Type]],Main[[#All],[TYPE]:[UNIT]],'Unit Price'!C$1,FALSE),0)</f>
        <v>0</v>
      </c>
      <c r="H119" s="197">
        <f>IF(_1_541284561214624104645789101745678[[#This Row],[Type]]&gt;0,VLOOKUP(_1_541284561214624104645789101745678[[#This Row],[Type]],Main[[#All],[TYPE]:[UNIT]],'Unit Price'!D$1,FALSE),0)</f>
        <v>0</v>
      </c>
      <c r="I119" s="194">
        <f>IF(_1_541284561214624104645789101745678[[#This Row],[Type]]&gt;0,VLOOKUP(_1_541284561214624104645789101745678[[#This Row],[Type]],Main[[#All],[TYPE]:[UNIT]],'Unit Price'!G$1,FALSE),0)</f>
        <v>0</v>
      </c>
      <c r="J119" s="194">
        <f>IF(_1_541284561214624104645789101745678[[#This Row],[Type]]&gt;0,VLOOKUP(_1_541284561214624104645789101745678[[#This Row],[Type]],Main[[#All],[TYPE]:[UNIT]],'Unit Price'!H$1,FALSE),0)</f>
        <v>0</v>
      </c>
      <c r="K119" s="194">
        <f>IF(_1_541284561214624104645789101745678[[#This Row],[Discount selection]]&gt;0,VLOOKUP(_1_541284561214624104645789101745678[[#This Row],[Discount selection]],'Discount Structure'!$A$2:$B$30,2,"false"),0)</f>
        <v>1</v>
      </c>
      <c r="L119" s="194">
        <f>_1_541284561214624104645789101745678[[#This Row],[LIST $]]*_1_541284561214624104645789101745678[[#This Row],[DISCOUNT]]*_1_541284561214624104645789101745678[[#This Row],[DISCOUNT 2]]</f>
        <v>0</v>
      </c>
      <c r="M119" s="194">
        <f>IF(OR(_1_541284561214624104645789101745678[[#This Row],[UNIT]]&gt;0,_1_541284561214624104645789101745678[[#This Row],[UNIT]]&lt;0),_1_541284561214624104645789101745678[[#This Row],[UNIT]]*_1_541284561214624104645789101745678[[#This Row],[COST]],0)</f>
        <v>0</v>
      </c>
      <c r="N119" s="194">
        <f t="shared" si="1"/>
        <v>1.3</v>
      </c>
      <c r="O119" s="198">
        <f>_1_541284561214624104645789101745678[[#This Row],[TOTAL]]*_1_541284561214624104645789101745678[[#This Row],[MARGIN]]</f>
        <v>0</v>
      </c>
      <c r="R119" s="41"/>
    </row>
    <row r="120" spans="1:18">
      <c r="C120" s="168"/>
      <c r="D120" s="188"/>
      <c r="F120" s="168" t="s">
        <v>6202</v>
      </c>
      <c r="G120" s="193">
        <f>IF(_1_541284561214624104645789101745678[[#This Row],[Type]]&gt;0,VLOOKUP(_1_541284561214624104645789101745678[[#This Row],[Type]],Main[[#All],[TYPE]:[UNIT]],'Unit Price'!C$1,FALSE),0)</f>
        <v>0</v>
      </c>
      <c r="H120" s="197">
        <f>IF(_1_541284561214624104645789101745678[[#This Row],[Type]]&gt;0,VLOOKUP(_1_541284561214624104645789101745678[[#This Row],[Type]],Main[[#All],[TYPE]:[UNIT]],'Unit Price'!D$1,FALSE),0)</f>
        <v>0</v>
      </c>
      <c r="I120" s="194">
        <f>IF(_1_541284561214624104645789101745678[[#This Row],[Type]]&gt;0,VLOOKUP(_1_541284561214624104645789101745678[[#This Row],[Type]],Main[[#All],[TYPE]:[UNIT]],'Unit Price'!G$1,FALSE),0)</f>
        <v>0</v>
      </c>
      <c r="J120" s="194">
        <f>IF(_1_541284561214624104645789101745678[[#This Row],[Type]]&gt;0,VLOOKUP(_1_541284561214624104645789101745678[[#This Row],[Type]],Main[[#All],[TYPE]:[UNIT]],'Unit Price'!H$1,FALSE),0)</f>
        <v>0</v>
      </c>
      <c r="K120" s="194">
        <f>IF(_1_541284561214624104645789101745678[[#This Row],[Discount selection]]&gt;0,VLOOKUP(_1_541284561214624104645789101745678[[#This Row],[Discount selection]],'Discount Structure'!$A$2:$B$30,2,"false"),0)</f>
        <v>1</v>
      </c>
      <c r="L120" s="194">
        <f>_1_541284561214624104645789101745678[[#This Row],[LIST $]]*_1_541284561214624104645789101745678[[#This Row],[DISCOUNT]]*_1_541284561214624104645789101745678[[#This Row],[DISCOUNT 2]]</f>
        <v>0</v>
      </c>
      <c r="M120" s="194">
        <f>IF(OR(_1_541284561214624104645789101745678[[#This Row],[UNIT]]&gt;0,_1_541284561214624104645789101745678[[#This Row],[UNIT]]&lt;0),_1_541284561214624104645789101745678[[#This Row],[UNIT]]*_1_541284561214624104645789101745678[[#This Row],[COST]],0)</f>
        <v>0</v>
      </c>
      <c r="N120" s="194">
        <f t="shared" si="1"/>
        <v>1.3</v>
      </c>
      <c r="O120" s="198">
        <f>_1_541284561214624104645789101745678[[#This Row],[TOTAL]]*_1_541284561214624104645789101745678[[#This Row],[MARGIN]]</f>
        <v>0</v>
      </c>
      <c r="R120" s="41"/>
    </row>
    <row r="121" spans="1:18">
      <c r="C121" s="168"/>
      <c r="D121" s="188"/>
      <c r="F121" s="168" t="s">
        <v>6202</v>
      </c>
      <c r="G121" s="193">
        <f>IF(_1_541284561214624104645789101745678[[#This Row],[Type]]&gt;0,VLOOKUP(_1_541284561214624104645789101745678[[#This Row],[Type]],Main[[#All],[TYPE]:[UNIT]],'Unit Price'!C$1,FALSE),0)</f>
        <v>0</v>
      </c>
      <c r="H121" s="197">
        <f>IF(_1_541284561214624104645789101745678[[#This Row],[Type]]&gt;0,VLOOKUP(_1_541284561214624104645789101745678[[#This Row],[Type]],Main[[#All],[TYPE]:[UNIT]],'Unit Price'!D$1,FALSE),0)</f>
        <v>0</v>
      </c>
      <c r="I121" s="194">
        <f>IF(_1_541284561214624104645789101745678[[#This Row],[Type]]&gt;0,VLOOKUP(_1_541284561214624104645789101745678[[#This Row],[Type]],Main[[#All],[TYPE]:[UNIT]],'Unit Price'!G$1,FALSE),0)</f>
        <v>0</v>
      </c>
      <c r="J121" s="194">
        <f>IF(_1_541284561214624104645789101745678[[#This Row],[Type]]&gt;0,VLOOKUP(_1_541284561214624104645789101745678[[#This Row],[Type]],Main[[#All],[TYPE]:[UNIT]],'Unit Price'!H$1,FALSE),0)</f>
        <v>0</v>
      </c>
      <c r="K121" s="194">
        <f>IF(_1_541284561214624104645789101745678[[#This Row],[Discount selection]]&gt;0,VLOOKUP(_1_541284561214624104645789101745678[[#This Row],[Discount selection]],'Discount Structure'!$A$2:$B$30,2,"false"),0)</f>
        <v>1</v>
      </c>
      <c r="L121" s="194">
        <f>_1_541284561214624104645789101745678[[#This Row],[LIST $]]*_1_541284561214624104645789101745678[[#This Row],[DISCOUNT]]*_1_541284561214624104645789101745678[[#This Row],[DISCOUNT 2]]</f>
        <v>0</v>
      </c>
      <c r="M121" s="194">
        <f>IF(OR(_1_541284561214624104645789101745678[[#This Row],[UNIT]]&gt;0,_1_541284561214624104645789101745678[[#This Row],[UNIT]]&lt;0),_1_541284561214624104645789101745678[[#This Row],[UNIT]]*_1_541284561214624104645789101745678[[#This Row],[COST]],0)</f>
        <v>0</v>
      </c>
      <c r="N121" s="194">
        <f t="shared" si="1"/>
        <v>1.3</v>
      </c>
      <c r="O121" s="198">
        <f>_1_541284561214624104645789101745678[[#This Row],[TOTAL]]*_1_541284561214624104645789101745678[[#This Row],[MARGIN]]</f>
        <v>0</v>
      </c>
      <c r="R121" s="41"/>
    </row>
    <row r="122" spans="1:18">
      <c r="C122" s="168"/>
      <c r="D122" s="188"/>
      <c r="F122" s="168" t="s">
        <v>6202</v>
      </c>
      <c r="G122" s="193">
        <f>IF(_1_541284561214624104645789101745678[[#This Row],[Type]]&gt;0,VLOOKUP(_1_541284561214624104645789101745678[[#This Row],[Type]],Main[[#All],[TYPE]:[UNIT]],'Unit Price'!C$1,FALSE),0)</f>
        <v>0</v>
      </c>
      <c r="H122" s="197">
        <f>IF(_1_541284561214624104645789101745678[[#This Row],[Type]]&gt;0,VLOOKUP(_1_541284561214624104645789101745678[[#This Row],[Type]],Main[[#All],[TYPE]:[UNIT]],'Unit Price'!D$1,FALSE),0)</f>
        <v>0</v>
      </c>
      <c r="I122" s="194">
        <f>IF(_1_541284561214624104645789101745678[[#This Row],[Type]]&gt;0,VLOOKUP(_1_541284561214624104645789101745678[[#This Row],[Type]],Main[[#All],[TYPE]:[UNIT]],'Unit Price'!G$1,FALSE),0)</f>
        <v>0</v>
      </c>
      <c r="J122" s="194">
        <f>IF(_1_541284561214624104645789101745678[[#This Row],[Type]]&gt;0,VLOOKUP(_1_541284561214624104645789101745678[[#This Row],[Type]],Main[[#All],[TYPE]:[UNIT]],'Unit Price'!H$1,FALSE),0)</f>
        <v>0</v>
      </c>
      <c r="K122" s="194">
        <f>IF(_1_541284561214624104645789101745678[[#This Row],[Discount selection]]&gt;0,VLOOKUP(_1_541284561214624104645789101745678[[#This Row],[Discount selection]],'Discount Structure'!$A$2:$B$30,2,"false"),0)</f>
        <v>1</v>
      </c>
      <c r="L122" s="194">
        <f>_1_541284561214624104645789101745678[[#This Row],[LIST $]]*_1_541284561214624104645789101745678[[#This Row],[DISCOUNT]]*_1_541284561214624104645789101745678[[#This Row],[DISCOUNT 2]]</f>
        <v>0</v>
      </c>
      <c r="M122" s="194">
        <f>IF(OR(_1_541284561214624104645789101745678[[#This Row],[UNIT]]&gt;0,_1_541284561214624104645789101745678[[#This Row],[UNIT]]&lt;0),_1_541284561214624104645789101745678[[#This Row],[UNIT]]*_1_541284561214624104645789101745678[[#This Row],[COST]],0)</f>
        <v>0</v>
      </c>
      <c r="N122" s="194">
        <f t="shared" si="1"/>
        <v>1.3</v>
      </c>
      <c r="O122" s="198">
        <f>_1_541284561214624104645789101745678[[#This Row],[TOTAL]]*_1_541284561214624104645789101745678[[#This Row],[MARGIN]]</f>
        <v>0</v>
      </c>
      <c r="R122" s="41"/>
    </row>
    <row r="123" spans="1:18">
      <c r="C123" s="168"/>
      <c r="D123" s="188"/>
      <c r="F123" s="168" t="s">
        <v>6202</v>
      </c>
      <c r="G123" s="193">
        <f>IF(_1_541284561214624104645789101745678[[#This Row],[Type]]&gt;0,VLOOKUP(_1_541284561214624104645789101745678[[#This Row],[Type]],Main[[#All],[TYPE]:[UNIT]],'Unit Price'!C$1,FALSE),0)</f>
        <v>0</v>
      </c>
      <c r="H123" s="197">
        <f>IF(_1_541284561214624104645789101745678[[#This Row],[Type]]&gt;0,VLOOKUP(_1_541284561214624104645789101745678[[#This Row],[Type]],Main[[#All],[TYPE]:[UNIT]],'Unit Price'!D$1,FALSE),0)</f>
        <v>0</v>
      </c>
      <c r="I123" s="194">
        <f>IF(_1_541284561214624104645789101745678[[#This Row],[Type]]&gt;0,VLOOKUP(_1_541284561214624104645789101745678[[#This Row],[Type]],Main[[#All],[TYPE]:[UNIT]],'Unit Price'!G$1,FALSE),0)</f>
        <v>0</v>
      </c>
      <c r="J123" s="194">
        <f>IF(_1_541284561214624104645789101745678[[#This Row],[Type]]&gt;0,VLOOKUP(_1_541284561214624104645789101745678[[#This Row],[Type]],Main[[#All],[TYPE]:[UNIT]],'Unit Price'!H$1,FALSE),0)</f>
        <v>0</v>
      </c>
      <c r="K123" s="194">
        <f>IF(_1_541284561214624104645789101745678[[#This Row],[Discount selection]]&gt;0,VLOOKUP(_1_541284561214624104645789101745678[[#This Row],[Discount selection]],'Discount Structure'!$A$2:$B$30,2,"false"),0)</f>
        <v>1</v>
      </c>
      <c r="L123" s="194">
        <f>_1_541284561214624104645789101745678[[#This Row],[LIST $]]*_1_541284561214624104645789101745678[[#This Row],[DISCOUNT]]*_1_541284561214624104645789101745678[[#This Row],[DISCOUNT 2]]</f>
        <v>0</v>
      </c>
      <c r="M123" s="194">
        <f>IF(OR(_1_541284561214624104645789101745678[[#This Row],[UNIT]]&gt;0,_1_541284561214624104645789101745678[[#This Row],[UNIT]]&lt;0),_1_541284561214624104645789101745678[[#This Row],[UNIT]]*_1_541284561214624104645789101745678[[#This Row],[COST]],0)</f>
        <v>0</v>
      </c>
      <c r="N123" s="194">
        <f t="shared" si="1"/>
        <v>1.3</v>
      </c>
      <c r="O123" s="198">
        <f>_1_541284561214624104645789101745678[[#This Row],[TOTAL]]*_1_541284561214624104645789101745678[[#This Row],[MARGIN]]</f>
        <v>0</v>
      </c>
      <c r="R123" s="41"/>
    </row>
    <row r="124" spans="1:18">
      <c r="C124" s="168"/>
      <c r="D124" s="188"/>
      <c r="F124" s="168" t="s">
        <v>6202</v>
      </c>
      <c r="G124" s="193">
        <f>IF(_1_541284561214624104645789101745678[[#This Row],[Type]]&gt;0,VLOOKUP(_1_541284561214624104645789101745678[[#This Row],[Type]],Main[[#All],[TYPE]:[UNIT]],'Unit Price'!C$1,FALSE),0)</f>
        <v>0</v>
      </c>
      <c r="H124" s="197">
        <f>IF(_1_541284561214624104645789101745678[[#This Row],[Type]]&gt;0,VLOOKUP(_1_541284561214624104645789101745678[[#This Row],[Type]],Main[[#All],[TYPE]:[UNIT]],'Unit Price'!D$1,FALSE),0)</f>
        <v>0</v>
      </c>
      <c r="I124" s="194">
        <f>IF(_1_541284561214624104645789101745678[[#This Row],[Type]]&gt;0,VLOOKUP(_1_541284561214624104645789101745678[[#This Row],[Type]],Main[[#All],[TYPE]:[UNIT]],'Unit Price'!G$1,FALSE),0)</f>
        <v>0</v>
      </c>
      <c r="J124" s="194">
        <f>IF(_1_541284561214624104645789101745678[[#This Row],[Type]]&gt;0,VLOOKUP(_1_541284561214624104645789101745678[[#This Row],[Type]],Main[[#All],[TYPE]:[UNIT]],'Unit Price'!H$1,FALSE),0)</f>
        <v>0</v>
      </c>
      <c r="K124" s="194">
        <f>IF(_1_541284561214624104645789101745678[[#This Row],[Discount selection]]&gt;0,VLOOKUP(_1_541284561214624104645789101745678[[#This Row],[Discount selection]],'Discount Structure'!$A$2:$B$30,2,"false"),0)</f>
        <v>1</v>
      </c>
      <c r="L124" s="194">
        <f>_1_541284561214624104645789101745678[[#This Row],[LIST $]]*_1_541284561214624104645789101745678[[#This Row],[DISCOUNT]]*_1_541284561214624104645789101745678[[#This Row],[DISCOUNT 2]]</f>
        <v>0</v>
      </c>
      <c r="M124" s="194">
        <f>IF(OR(_1_541284561214624104645789101745678[[#This Row],[UNIT]]&gt;0,_1_541284561214624104645789101745678[[#This Row],[UNIT]]&lt;0),_1_541284561214624104645789101745678[[#This Row],[UNIT]]*_1_541284561214624104645789101745678[[#This Row],[COST]],0)</f>
        <v>0</v>
      </c>
      <c r="N124" s="194">
        <f t="shared" si="1"/>
        <v>1.3</v>
      </c>
      <c r="O124" s="198">
        <f>_1_541284561214624104645789101745678[[#This Row],[TOTAL]]*_1_541284561214624104645789101745678[[#This Row],[MARGIN]]</f>
        <v>0</v>
      </c>
      <c r="R124" s="41"/>
    </row>
    <row r="125" spans="1:18">
      <c r="C125" s="168"/>
      <c r="D125" s="188"/>
      <c r="F125" s="168" t="s">
        <v>6202</v>
      </c>
      <c r="G125" s="193">
        <f>IF(_1_541284561214624104645789101745678[[#This Row],[Type]]&gt;0,VLOOKUP(_1_541284561214624104645789101745678[[#This Row],[Type]],Main[[#All],[TYPE]:[UNIT]],'Unit Price'!C$1,FALSE),0)</f>
        <v>0</v>
      </c>
      <c r="H125" s="197">
        <f>IF(_1_541284561214624104645789101745678[[#This Row],[Type]]&gt;0,VLOOKUP(_1_541284561214624104645789101745678[[#This Row],[Type]],Main[[#All],[TYPE]:[UNIT]],'Unit Price'!D$1,FALSE),0)</f>
        <v>0</v>
      </c>
      <c r="I125" s="194">
        <f>IF(_1_541284561214624104645789101745678[[#This Row],[Type]]&gt;0,VLOOKUP(_1_541284561214624104645789101745678[[#This Row],[Type]],Main[[#All],[TYPE]:[UNIT]],'Unit Price'!G$1,FALSE),0)</f>
        <v>0</v>
      </c>
      <c r="J125" s="194">
        <f>IF(_1_541284561214624104645789101745678[[#This Row],[Type]]&gt;0,VLOOKUP(_1_541284561214624104645789101745678[[#This Row],[Type]],Main[[#All],[TYPE]:[UNIT]],'Unit Price'!H$1,FALSE),0)</f>
        <v>0</v>
      </c>
      <c r="K125" s="194">
        <f>IF(_1_541284561214624104645789101745678[[#This Row],[Discount selection]]&gt;0,VLOOKUP(_1_541284561214624104645789101745678[[#This Row],[Discount selection]],'Discount Structure'!$A$2:$B$30,2,"false"),0)</f>
        <v>1</v>
      </c>
      <c r="L125" s="194">
        <f>_1_541284561214624104645789101745678[[#This Row],[LIST $]]*_1_541284561214624104645789101745678[[#This Row],[DISCOUNT]]*_1_541284561214624104645789101745678[[#This Row],[DISCOUNT 2]]</f>
        <v>0</v>
      </c>
      <c r="M125" s="194">
        <f>IF(OR(_1_541284561214624104645789101745678[[#This Row],[UNIT]]&gt;0,_1_541284561214624104645789101745678[[#This Row],[UNIT]]&lt;0),_1_541284561214624104645789101745678[[#This Row],[UNIT]]*_1_541284561214624104645789101745678[[#This Row],[COST]],0)</f>
        <v>0</v>
      </c>
      <c r="N125" s="194">
        <f t="shared" si="1"/>
        <v>1.3</v>
      </c>
      <c r="O125" s="198">
        <f>_1_541284561214624104645789101745678[[#This Row],[TOTAL]]*_1_541284561214624104645789101745678[[#This Row],[MARGIN]]</f>
        <v>0</v>
      </c>
      <c r="R125" s="41"/>
    </row>
    <row r="126" spans="1:18">
      <c r="C126" s="168"/>
      <c r="D126" s="188"/>
      <c r="F126" s="168" t="s">
        <v>6202</v>
      </c>
      <c r="G126" s="193">
        <f>IF(_1_541284561214624104645789101745678[[#This Row],[Type]]&gt;0,VLOOKUP(_1_541284561214624104645789101745678[[#This Row],[Type]],Main[[#All],[TYPE]:[UNIT]],'Unit Price'!C$1,FALSE),0)</f>
        <v>0</v>
      </c>
      <c r="H126" s="197">
        <f>IF(_1_541284561214624104645789101745678[[#This Row],[Type]]&gt;0,VLOOKUP(_1_541284561214624104645789101745678[[#This Row],[Type]],Main[[#All],[TYPE]:[UNIT]],'Unit Price'!D$1,FALSE),0)</f>
        <v>0</v>
      </c>
      <c r="I126" s="194">
        <f>IF(_1_541284561214624104645789101745678[[#This Row],[Type]]&gt;0,VLOOKUP(_1_541284561214624104645789101745678[[#This Row],[Type]],Main[[#All],[TYPE]:[UNIT]],'Unit Price'!G$1,FALSE),0)</f>
        <v>0</v>
      </c>
      <c r="J126" s="194">
        <f>IF(_1_541284561214624104645789101745678[[#This Row],[Type]]&gt;0,VLOOKUP(_1_541284561214624104645789101745678[[#This Row],[Type]],Main[[#All],[TYPE]:[UNIT]],'Unit Price'!H$1,FALSE),0)</f>
        <v>0</v>
      </c>
      <c r="K126" s="194">
        <f>IF(_1_541284561214624104645789101745678[[#This Row],[Discount selection]]&gt;0,VLOOKUP(_1_541284561214624104645789101745678[[#This Row],[Discount selection]],'Discount Structure'!$A$2:$B$30,2,"false"),0)</f>
        <v>1</v>
      </c>
      <c r="L126" s="194">
        <f>_1_541284561214624104645789101745678[[#This Row],[LIST $]]*_1_541284561214624104645789101745678[[#This Row],[DISCOUNT]]*_1_541284561214624104645789101745678[[#This Row],[DISCOUNT 2]]</f>
        <v>0</v>
      </c>
      <c r="M126" s="194">
        <f>IF(OR(_1_541284561214624104645789101745678[[#This Row],[UNIT]]&gt;0,_1_541284561214624104645789101745678[[#This Row],[UNIT]]&lt;0),_1_541284561214624104645789101745678[[#This Row],[UNIT]]*_1_541284561214624104645789101745678[[#This Row],[COST]],0)</f>
        <v>0</v>
      </c>
      <c r="N126" s="194">
        <f t="shared" si="1"/>
        <v>1.3</v>
      </c>
      <c r="O126" s="198">
        <f>_1_541284561214624104645789101745678[[#This Row],[TOTAL]]*_1_541284561214624104645789101745678[[#This Row],[MARGIN]]</f>
        <v>0</v>
      </c>
      <c r="R126" s="41"/>
    </row>
    <row r="127" spans="1:18">
      <c r="C127" s="168"/>
      <c r="D127" s="188"/>
      <c r="F127" s="168" t="s">
        <v>6202</v>
      </c>
      <c r="G127" s="193">
        <f>IF(_1_541284561214624104645789101745678[[#This Row],[Type]]&gt;0,VLOOKUP(_1_541284561214624104645789101745678[[#This Row],[Type]],Main[[#All],[TYPE]:[UNIT]],'Unit Price'!C$1,FALSE),0)</f>
        <v>0</v>
      </c>
      <c r="H127" s="197">
        <f>IF(_1_541284561214624104645789101745678[[#This Row],[Type]]&gt;0,VLOOKUP(_1_541284561214624104645789101745678[[#This Row],[Type]],Main[[#All],[TYPE]:[UNIT]],'Unit Price'!D$1,FALSE),0)</f>
        <v>0</v>
      </c>
      <c r="I127" s="194">
        <f>IF(_1_541284561214624104645789101745678[[#This Row],[Type]]&gt;0,VLOOKUP(_1_541284561214624104645789101745678[[#This Row],[Type]],Main[[#All],[TYPE]:[UNIT]],'Unit Price'!G$1,FALSE),0)</f>
        <v>0</v>
      </c>
      <c r="J127" s="194">
        <f>IF(_1_541284561214624104645789101745678[[#This Row],[Type]]&gt;0,VLOOKUP(_1_541284561214624104645789101745678[[#This Row],[Type]],Main[[#All],[TYPE]:[UNIT]],'Unit Price'!H$1,FALSE),0)</f>
        <v>0</v>
      </c>
      <c r="K127" s="194">
        <f>IF(_1_541284561214624104645789101745678[[#This Row],[Discount selection]]&gt;0,VLOOKUP(_1_541284561214624104645789101745678[[#This Row],[Discount selection]],'Discount Structure'!$A$2:$B$30,2,"false"),0)</f>
        <v>1</v>
      </c>
      <c r="L127" s="194">
        <f>_1_541284561214624104645789101745678[[#This Row],[LIST $]]*_1_541284561214624104645789101745678[[#This Row],[DISCOUNT]]*_1_541284561214624104645789101745678[[#This Row],[DISCOUNT 2]]</f>
        <v>0</v>
      </c>
      <c r="M127" s="194">
        <f>IF(OR(_1_541284561214624104645789101745678[[#This Row],[UNIT]]&gt;0,_1_541284561214624104645789101745678[[#This Row],[UNIT]]&lt;0),_1_541284561214624104645789101745678[[#This Row],[UNIT]]*_1_541284561214624104645789101745678[[#This Row],[COST]],0)</f>
        <v>0</v>
      </c>
      <c r="N127" s="194">
        <f t="shared" si="1"/>
        <v>1.3</v>
      </c>
      <c r="O127" s="198">
        <f>_1_541284561214624104645789101745678[[#This Row],[TOTAL]]*_1_541284561214624104645789101745678[[#This Row],[MARGIN]]</f>
        <v>0</v>
      </c>
      <c r="R127" s="41"/>
    </row>
    <row r="128" spans="1:18">
      <c r="C128" s="168"/>
      <c r="D128" s="188"/>
      <c r="F128" s="168" t="s">
        <v>6202</v>
      </c>
      <c r="G128" s="193">
        <f>IF(_1_541284561214624104645789101745678[[#This Row],[Type]]&gt;0,VLOOKUP(_1_541284561214624104645789101745678[[#This Row],[Type]],Main[[#All],[TYPE]:[UNIT]],'Unit Price'!C$1,FALSE),0)</f>
        <v>0</v>
      </c>
      <c r="H128" s="197">
        <f>IF(_1_541284561214624104645789101745678[[#This Row],[Type]]&gt;0,VLOOKUP(_1_541284561214624104645789101745678[[#This Row],[Type]],Main[[#All],[TYPE]:[UNIT]],'Unit Price'!D$1,FALSE),0)</f>
        <v>0</v>
      </c>
      <c r="I128" s="194">
        <f>IF(_1_541284561214624104645789101745678[[#This Row],[Type]]&gt;0,VLOOKUP(_1_541284561214624104645789101745678[[#This Row],[Type]],Main[[#All],[TYPE]:[UNIT]],'Unit Price'!G$1,FALSE),0)</f>
        <v>0</v>
      </c>
      <c r="J128" s="194">
        <f>IF(_1_541284561214624104645789101745678[[#This Row],[Type]]&gt;0,VLOOKUP(_1_541284561214624104645789101745678[[#This Row],[Type]],Main[[#All],[TYPE]:[UNIT]],'Unit Price'!H$1,FALSE),0)</f>
        <v>0</v>
      </c>
      <c r="K128" s="194">
        <f>IF(_1_541284561214624104645789101745678[[#This Row],[Discount selection]]&gt;0,VLOOKUP(_1_541284561214624104645789101745678[[#This Row],[Discount selection]],'Discount Structure'!$A$2:$B$30,2,"false"),0)</f>
        <v>1</v>
      </c>
      <c r="L128" s="194">
        <f>_1_541284561214624104645789101745678[[#This Row],[LIST $]]*_1_541284561214624104645789101745678[[#This Row],[DISCOUNT]]*_1_541284561214624104645789101745678[[#This Row],[DISCOUNT 2]]</f>
        <v>0</v>
      </c>
      <c r="M128" s="194">
        <f>IF(OR(_1_541284561214624104645789101745678[[#This Row],[UNIT]]&gt;0,_1_541284561214624104645789101745678[[#This Row],[UNIT]]&lt;0),_1_541284561214624104645789101745678[[#This Row],[UNIT]]*_1_541284561214624104645789101745678[[#This Row],[COST]],0)</f>
        <v>0</v>
      </c>
      <c r="N128" s="194">
        <f t="shared" si="1"/>
        <v>1.3</v>
      </c>
      <c r="O128" s="198">
        <f>_1_541284561214624104645789101745678[[#This Row],[TOTAL]]*_1_541284561214624104645789101745678[[#This Row],[MARGIN]]</f>
        <v>0</v>
      </c>
      <c r="R128" s="41"/>
    </row>
    <row r="129" spans="1:18">
      <c r="C129" s="168"/>
      <c r="D129" s="188"/>
      <c r="F129" s="168" t="s">
        <v>6202</v>
      </c>
      <c r="G129" s="193">
        <f>IF(_1_541284561214624104645789101745678[[#This Row],[Type]]&gt;0,VLOOKUP(_1_541284561214624104645789101745678[[#This Row],[Type]],Main[[#All],[TYPE]:[UNIT]],'Unit Price'!C$1,FALSE),0)</f>
        <v>0</v>
      </c>
      <c r="H129" s="197">
        <f>IF(_1_541284561214624104645789101745678[[#This Row],[Type]]&gt;0,VLOOKUP(_1_541284561214624104645789101745678[[#This Row],[Type]],Main[[#All],[TYPE]:[UNIT]],'Unit Price'!D$1,FALSE),0)</f>
        <v>0</v>
      </c>
      <c r="I129" s="194">
        <f>IF(_1_541284561214624104645789101745678[[#This Row],[Type]]&gt;0,VLOOKUP(_1_541284561214624104645789101745678[[#This Row],[Type]],Main[[#All],[TYPE]:[UNIT]],'Unit Price'!G$1,FALSE),0)</f>
        <v>0</v>
      </c>
      <c r="J129" s="194">
        <f>IF(_1_541284561214624104645789101745678[[#This Row],[Type]]&gt;0,VLOOKUP(_1_541284561214624104645789101745678[[#This Row],[Type]],Main[[#All],[TYPE]:[UNIT]],'Unit Price'!H$1,FALSE),0)</f>
        <v>0</v>
      </c>
      <c r="K129" s="194">
        <f>IF(_1_541284561214624104645789101745678[[#This Row],[Discount selection]]&gt;0,VLOOKUP(_1_541284561214624104645789101745678[[#This Row],[Discount selection]],'Discount Structure'!$A$2:$B$30,2,"false"),0)</f>
        <v>1</v>
      </c>
      <c r="L129" s="194">
        <f>_1_541284561214624104645789101745678[[#This Row],[LIST $]]*_1_541284561214624104645789101745678[[#This Row],[DISCOUNT]]*_1_541284561214624104645789101745678[[#This Row],[DISCOUNT 2]]</f>
        <v>0</v>
      </c>
      <c r="M129" s="194">
        <f>IF(OR(_1_541284561214624104645789101745678[[#This Row],[UNIT]]&gt;0,_1_541284561214624104645789101745678[[#This Row],[UNIT]]&lt;0),_1_541284561214624104645789101745678[[#This Row],[UNIT]]*_1_541284561214624104645789101745678[[#This Row],[COST]],0)</f>
        <v>0</v>
      </c>
      <c r="N129" s="194">
        <f t="shared" si="1"/>
        <v>1.3</v>
      </c>
      <c r="O129" s="198">
        <f>_1_541284561214624104645789101745678[[#This Row],[TOTAL]]*_1_541284561214624104645789101745678[[#This Row],[MARGIN]]</f>
        <v>0</v>
      </c>
      <c r="R129" s="41"/>
    </row>
    <row r="130" spans="1:18">
      <c r="C130" s="168"/>
      <c r="D130" s="188"/>
      <c r="F130" s="168" t="s">
        <v>6202</v>
      </c>
      <c r="G130" s="193">
        <f>IF(_1_541284561214624104645789101745678[[#This Row],[Type]]&gt;0,VLOOKUP(_1_541284561214624104645789101745678[[#This Row],[Type]],Main[[#All],[TYPE]:[UNIT]],'Unit Price'!C$1,FALSE),0)</f>
        <v>0</v>
      </c>
      <c r="H130" s="197">
        <f>IF(_1_541284561214624104645789101745678[[#This Row],[Type]]&gt;0,VLOOKUP(_1_541284561214624104645789101745678[[#This Row],[Type]],Main[[#All],[TYPE]:[UNIT]],'Unit Price'!D$1,FALSE),0)</f>
        <v>0</v>
      </c>
      <c r="I130" s="194">
        <f>IF(_1_541284561214624104645789101745678[[#This Row],[Type]]&gt;0,VLOOKUP(_1_541284561214624104645789101745678[[#This Row],[Type]],Main[[#All],[TYPE]:[UNIT]],'Unit Price'!G$1,FALSE),0)</f>
        <v>0</v>
      </c>
      <c r="J130" s="194">
        <f>IF(_1_541284561214624104645789101745678[[#This Row],[Type]]&gt;0,VLOOKUP(_1_541284561214624104645789101745678[[#This Row],[Type]],Main[[#All],[TYPE]:[UNIT]],'Unit Price'!H$1,FALSE),0)</f>
        <v>0</v>
      </c>
      <c r="K130" s="194">
        <f>IF(_1_541284561214624104645789101745678[[#This Row],[Discount selection]]&gt;0,VLOOKUP(_1_541284561214624104645789101745678[[#This Row],[Discount selection]],'Discount Structure'!$A$2:$B$30,2,"false"),0)</f>
        <v>1</v>
      </c>
      <c r="L130" s="194">
        <f>_1_541284561214624104645789101745678[[#This Row],[LIST $]]*_1_541284561214624104645789101745678[[#This Row],[DISCOUNT]]*_1_541284561214624104645789101745678[[#This Row],[DISCOUNT 2]]</f>
        <v>0</v>
      </c>
      <c r="M130" s="194">
        <f>IF(OR(_1_541284561214624104645789101745678[[#This Row],[UNIT]]&gt;0,_1_541284561214624104645789101745678[[#This Row],[UNIT]]&lt;0),_1_541284561214624104645789101745678[[#This Row],[UNIT]]*_1_541284561214624104645789101745678[[#This Row],[COST]],0)</f>
        <v>0</v>
      </c>
      <c r="N130" s="194">
        <f t="shared" si="1"/>
        <v>1.3</v>
      </c>
      <c r="O130" s="198">
        <f>_1_541284561214624104645789101745678[[#This Row],[TOTAL]]*_1_541284561214624104645789101745678[[#This Row],[MARGIN]]</f>
        <v>0</v>
      </c>
      <c r="R130" s="41"/>
    </row>
    <row r="131" spans="1:18">
      <c r="C131" s="168"/>
      <c r="D131" s="188"/>
      <c r="F131" s="168" t="s">
        <v>6202</v>
      </c>
      <c r="G131" s="193">
        <f>IF(_1_541284561214624104645789101745678[[#This Row],[Type]]&gt;0,VLOOKUP(_1_541284561214624104645789101745678[[#This Row],[Type]],Main[[#All],[TYPE]:[UNIT]],'Unit Price'!C$1,FALSE),0)</f>
        <v>0</v>
      </c>
      <c r="H131" s="197">
        <f>IF(_1_541284561214624104645789101745678[[#This Row],[Type]]&gt;0,VLOOKUP(_1_541284561214624104645789101745678[[#This Row],[Type]],Main[[#All],[TYPE]:[UNIT]],'Unit Price'!D$1,FALSE),0)</f>
        <v>0</v>
      </c>
      <c r="I131" s="194">
        <f>IF(_1_541284561214624104645789101745678[[#This Row],[Type]]&gt;0,VLOOKUP(_1_541284561214624104645789101745678[[#This Row],[Type]],Main[[#All],[TYPE]:[UNIT]],'Unit Price'!G$1,FALSE),0)</f>
        <v>0</v>
      </c>
      <c r="J131" s="194">
        <f>IF(_1_541284561214624104645789101745678[[#This Row],[Type]]&gt;0,VLOOKUP(_1_541284561214624104645789101745678[[#This Row],[Type]],Main[[#All],[TYPE]:[UNIT]],'Unit Price'!H$1,FALSE),0)</f>
        <v>0</v>
      </c>
      <c r="K131" s="194">
        <f>IF(_1_541284561214624104645789101745678[[#This Row],[Discount selection]]&gt;0,VLOOKUP(_1_541284561214624104645789101745678[[#This Row],[Discount selection]],'Discount Structure'!$A$2:$B$30,2,"false"),0)</f>
        <v>1</v>
      </c>
      <c r="L131" s="194">
        <f>_1_541284561214624104645789101745678[[#This Row],[LIST $]]*_1_541284561214624104645789101745678[[#This Row],[DISCOUNT]]*_1_541284561214624104645789101745678[[#This Row],[DISCOUNT 2]]</f>
        <v>0</v>
      </c>
      <c r="M131" s="194">
        <f>IF(OR(_1_541284561214624104645789101745678[[#This Row],[UNIT]]&gt;0,_1_541284561214624104645789101745678[[#This Row],[UNIT]]&lt;0),_1_541284561214624104645789101745678[[#This Row],[UNIT]]*_1_541284561214624104645789101745678[[#This Row],[COST]],0)</f>
        <v>0</v>
      </c>
      <c r="N131" s="194">
        <f t="shared" si="1"/>
        <v>1.3</v>
      </c>
      <c r="O131" s="198">
        <f>_1_541284561214624104645789101745678[[#This Row],[TOTAL]]*_1_541284561214624104645789101745678[[#This Row],[MARGIN]]</f>
        <v>0</v>
      </c>
      <c r="R131" s="41"/>
    </row>
    <row r="132" spans="1:18">
      <c r="C132" s="168"/>
      <c r="D132" s="188"/>
      <c r="F132" s="168" t="s">
        <v>6202</v>
      </c>
      <c r="G132" s="193">
        <f>IF(_1_541284561214624104645789101745678[[#This Row],[Type]]&gt;0,VLOOKUP(_1_541284561214624104645789101745678[[#This Row],[Type]],Main[[#All],[TYPE]:[UNIT]],'Unit Price'!C$1,FALSE),0)</f>
        <v>0</v>
      </c>
      <c r="H132" s="197">
        <f>IF(_1_541284561214624104645789101745678[[#This Row],[Type]]&gt;0,VLOOKUP(_1_541284561214624104645789101745678[[#This Row],[Type]],Main[[#All],[TYPE]:[UNIT]],'Unit Price'!D$1,FALSE),0)</f>
        <v>0</v>
      </c>
      <c r="I132" s="194">
        <f>IF(_1_541284561214624104645789101745678[[#This Row],[Type]]&gt;0,VLOOKUP(_1_541284561214624104645789101745678[[#This Row],[Type]],Main[[#All],[TYPE]:[UNIT]],'Unit Price'!G$1,FALSE),0)</f>
        <v>0</v>
      </c>
      <c r="J132" s="194">
        <f>IF(_1_541284561214624104645789101745678[[#This Row],[Type]]&gt;0,VLOOKUP(_1_541284561214624104645789101745678[[#This Row],[Type]],Main[[#All],[TYPE]:[UNIT]],'Unit Price'!H$1,FALSE),0)</f>
        <v>0</v>
      </c>
      <c r="K132" s="194">
        <f>IF(_1_541284561214624104645789101745678[[#This Row],[Discount selection]]&gt;0,VLOOKUP(_1_541284561214624104645789101745678[[#This Row],[Discount selection]],'Discount Structure'!$A$2:$B$30,2,"false"),0)</f>
        <v>1</v>
      </c>
      <c r="L132" s="194">
        <f>_1_541284561214624104645789101745678[[#This Row],[LIST $]]*_1_541284561214624104645789101745678[[#This Row],[DISCOUNT]]*_1_541284561214624104645789101745678[[#This Row],[DISCOUNT 2]]</f>
        <v>0</v>
      </c>
      <c r="M132" s="194">
        <f>IF(OR(_1_541284561214624104645789101745678[[#This Row],[UNIT]]&gt;0,_1_541284561214624104645789101745678[[#This Row],[UNIT]]&lt;0),_1_541284561214624104645789101745678[[#This Row],[UNIT]]*_1_541284561214624104645789101745678[[#This Row],[COST]],0)</f>
        <v>0</v>
      </c>
      <c r="N132" s="194">
        <f t="shared" si="1"/>
        <v>1.3</v>
      </c>
      <c r="O132" s="198">
        <f>_1_541284561214624104645789101745678[[#This Row],[TOTAL]]*_1_541284561214624104645789101745678[[#This Row],[MARGIN]]</f>
        <v>0</v>
      </c>
      <c r="R132" s="41"/>
    </row>
    <row r="133" spans="1:18">
      <c r="C133" s="168"/>
      <c r="D133" s="188"/>
      <c r="F133" s="168" t="s">
        <v>6202</v>
      </c>
      <c r="G133" s="193">
        <f>IF(_1_541284561214624104645789101745678[[#This Row],[Type]]&gt;0,VLOOKUP(_1_541284561214624104645789101745678[[#This Row],[Type]],Main[[#All],[TYPE]:[UNIT]],'Unit Price'!C$1,FALSE),0)</f>
        <v>0</v>
      </c>
      <c r="H133" s="197">
        <f>IF(_1_541284561214624104645789101745678[[#This Row],[Type]]&gt;0,VLOOKUP(_1_541284561214624104645789101745678[[#This Row],[Type]],Main[[#All],[TYPE]:[UNIT]],'Unit Price'!D$1,FALSE),0)</f>
        <v>0</v>
      </c>
      <c r="I133" s="194">
        <f>IF(_1_541284561214624104645789101745678[[#This Row],[Type]]&gt;0,VLOOKUP(_1_541284561214624104645789101745678[[#This Row],[Type]],Main[[#All],[TYPE]:[UNIT]],'Unit Price'!G$1,FALSE),0)</f>
        <v>0</v>
      </c>
      <c r="J133" s="194">
        <f>IF(_1_541284561214624104645789101745678[[#This Row],[Type]]&gt;0,VLOOKUP(_1_541284561214624104645789101745678[[#This Row],[Type]],Main[[#All],[TYPE]:[UNIT]],'Unit Price'!H$1,FALSE),0)</f>
        <v>0</v>
      </c>
      <c r="K133" s="194">
        <f>IF(_1_541284561214624104645789101745678[[#This Row],[Discount selection]]&gt;0,VLOOKUP(_1_541284561214624104645789101745678[[#This Row],[Discount selection]],'Discount Structure'!$A$2:$B$30,2,"false"),0)</f>
        <v>1</v>
      </c>
      <c r="L133" s="194">
        <f>_1_541284561214624104645789101745678[[#This Row],[LIST $]]*_1_541284561214624104645789101745678[[#This Row],[DISCOUNT]]*_1_541284561214624104645789101745678[[#This Row],[DISCOUNT 2]]</f>
        <v>0</v>
      </c>
      <c r="M133" s="194">
        <f>IF(OR(_1_541284561214624104645789101745678[[#This Row],[UNIT]]&gt;0,_1_541284561214624104645789101745678[[#This Row],[UNIT]]&lt;0),_1_541284561214624104645789101745678[[#This Row],[UNIT]]*_1_541284561214624104645789101745678[[#This Row],[COST]],0)</f>
        <v>0</v>
      </c>
      <c r="N133" s="194">
        <f t="shared" si="1"/>
        <v>1.3</v>
      </c>
      <c r="O133" s="198">
        <f>_1_541284561214624104645789101745678[[#This Row],[TOTAL]]*_1_541284561214624104645789101745678[[#This Row],[MARGIN]]</f>
        <v>0</v>
      </c>
      <c r="R133" s="41"/>
    </row>
    <row r="134" spans="1:18">
      <c r="C134" s="168"/>
      <c r="D134" s="188"/>
      <c r="F134" s="168" t="s">
        <v>6202</v>
      </c>
      <c r="G134" s="193">
        <f>IF(_1_541284561214624104645789101745678[[#This Row],[Type]]&gt;0,VLOOKUP(_1_541284561214624104645789101745678[[#This Row],[Type]],Main[[#All],[TYPE]:[UNIT]],'Unit Price'!C$1,FALSE),0)</f>
        <v>0</v>
      </c>
      <c r="H134" s="197">
        <f>IF(_1_541284561214624104645789101745678[[#This Row],[Type]]&gt;0,VLOOKUP(_1_541284561214624104645789101745678[[#This Row],[Type]],Main[[#All],[TYPE]:[UNIT]],'Unit Price'!D$1,FALSE),0)</f>
        <v>0</v>
      </c>
      <c r="I134" s="194">
        <f>IF(_1_541284561214624104645789101745678[[#This Row],[Type]]&gt;0,VLOOKUP(_1_541284561214624104645789101745678[[#This Row],[Type]],Main[[#All],[TYPE]:[UNIT]],'Unit Price'!G$1,FALSE),0)</f>
        <v>0</v>
      </c>
      <c r="J134" s="194">
        <f>IF(_1_541284561214624104645789101745678[[#This Row],[Type]]&gt;0,VLOOKUP(_1_541284561214624104645789101745678[[#This Row],[Type]],Main[[#All],[TYPE]:[UNIT]],'Unit Price'!H$1,FALSE),0)</f>
        <v>0</v>
      </c>
      <c r="K134" s="194">
        <f>IF(_1_541284561214624104645789101745678[[#This Row],[Discount selection]]&gt;0,VLOOKUP(_1_541284561214624104645789101745678[[#This Row],[Discount selection]],'Discount Structure'!$A$2:$B$30,2,"false"),0)</f>
        <v>1</v>
      </c>
      <c r="L134" s="194">
        <f>_1_541284561214624104645789101745678[[#This Row],[LIST $]]*_1_541284561214624104645789101745678[[#This Row],[DISCOUNT]]*_1_541284561214624104645789101745678[[#This Row],[DISCOUNT 2]]</f>
        <v>0</v>
      </c>
      <c r="M134" s="194">
        <f>IF(OR(_1_541284561214624104645789101745678[[#This Row],[UNIT]]&gt;0,_1_541284561214624104645789101745678[[#This Row],[UNIT]]&lt;0),_1_541284561214624104645789101745678[[#This Row],[UNIT]]*_1_541284561214624104645789101745678[[#This Row],[COST]],0)</f>
        <v>0</v>
      </c>
      <c r="N134" s="194">
        <f t="shared" si="1"/>
        <v>1.3</v>
      </c>
      <c r="O134" s="198">
        <f>_1_541284561214624104645789101745678[[#This Row],[TOTAL]]*_1_541284561214624104645789101745678[[#This Row],[MARGIN]]</f>
        <v>0</v>
      </c>
      <c r="R134" s="41"/>
    </row>
    <row r="135" spans="1:18">
      <c r="C135" s="168"/>
      <c r="D135" s="188"/>
      <c r="F135" s="168" t="s">
        <v>6202</v>
      </c>
      <c r="G135" s="193">
        <f>IF(_1_541284561214624104645789101745678[[#This Row],[Type]]&gt;0,VLOOKUP(_1_541284561214624104645789101745678[[#This Row],[Type]],Main[[#All],[TYPE]:[UNIT]],'Unit Price'!C$1,FALSE),0)</f>
        <v>0</v>
      </c>
      <c r="H135" s="197">
        <f>IF(_1_541284561214624104645789101745678[[#This Row],[Type]]&gt;0,VLOOKUP(_1_541284561214624104645789101745678[[#This Row],[Type]],Main[[#All],[TYPE]:[UNIT]],'Unit Price'!D$1,FALSE),0)</f>
        <v>0</v>
      </c>
      <c r="I135" s="194">
        <f>IF(_1_541284561214624104645789101745678[[#This Row],[Type]]&gt;0,VLOOKUP(_1_541284561214624104645789101745678[[#This Row],[Type]],Main[[#All],[TYPE]:[UNIT]],'Unit Price'!G$1,FALSE),0)</f>
        <v>0</v>
      </c>
      <c r="J135" s="194">
        <f>IF(_1_541284561214624104645789101745678[[#This Row],[Type]]&gt;0,VLOOKUP(_1_541284561214624104645789101745678[[#This Row],[Type]],Main[[#All],[TYPE]:[UNIT]],'Unit Price'!H$1,FALSE),0)</f>
        <v>0</v>
      </c>
      <c r="K135" s="194">
        <f>IF(_1_541284561214624104645789101745678[[#This Row],[Discount selection]]&gt;0,VLOOKUP(_1_541284561214624104645789101745678[[#This Row],[Discount selection]],'Discount Structure'!$A$2:$B$30,2,"false"),0)</f>
        <v>1</v>
      </c>
      <c r="L135" s="194">
        <f>_1_541284561214624104645789101745678[[#This Row],[LIST $]]*_1_541284561214624104645789101745678[[#This Row],[DISCOUNT]]*_1_541284561214624104645789101745678[[#This Row],[DISCOUNT 2]]</f>
        <v>0</v>
      </c>
      <c r="M135" s="194">
        <f>IF(OR(_1_541284561214624104645789101745678[[#This Row],[UNIT]]&gt;0,_1_541284561214624104645789101745678[[#This Row],[UNIT]]&lt;0),_1_541284561214624104645789101745678[[#This Row],[UNIT]]*_1_541284561214624104645789101745678[[#This Row],[COST]],0)</f>
        <v>0</v>
      </c>
      <c r="N135" s="194">
        <f t="shared" si="1"/>
        <v>1.3</v>
      </c>
      <c r="O135" s="198">
        <f>_1_541284561214624104645789101745678[[#This Row],[TOTAL]]*_1_541284561214624104645789101745678[[#This Row],[MARGIN]]</f>
        <v>0</v>
      </c>
      <c r="R135" s="41"/>
    </row>
    <row r="136" spans="1:18">
      <c r="C136" s="168"/>
      <c r="D136" s="188"/>
      <c r="F136" s="168" t="s">
        <v>6202</v>
      </c>
      <c r="G136" s="193">
        <f>IF(_1_541284561214624104645789101745678[[#This Row],[Type]]&gt;0,VLOOKUP(_1_541284561214624104645789101745678[[#This Row],[Type]],Main[[#All],[TYPE]:[UNIT]],'Unit Price'!C$1,FALSE),0)</f>
        <v>0</v>
      </c>
      <c r="H136" s="197">
        <f>IF(_1_541284561214624104645789101745678[[#This Row],[Type]]&gt;0,VLOOKUP(_1_541284561214624104645789101745678[[#This Row],[Type]],Main[[#All],[TYPE]:[UNIT]],'Unit Price'!D$1,FALSE),0)</f>
        <v>0</v>
      </c>
      <c r="I136" s="194">
        <f>IF(_1_541284561214624104645789101745678[[#This Row],[Type]]&gt;0,VLOOKUP(_1_541284561214624104645789101745678[[#This Row],[Type]],Main[[#All],[TYPE]:[UNIT]],'Unit Price'!G$1,FALSE),0)</f>
        <v>0</v>
      </c>
      <c r="J136" s="194">
        <f>IF(_1_541284561214624104645789101745678[[#This Row],[Type]]&gt;0,VLOOKUP(_1_541284561214624104645789101745678[[#This Row],[Type]],Main[[#All],[TYPE]:[UNIT]],'Unit Price'!H$1,FALSE),0)</f>
        <v>0</v>
      </c>
      <c r="K136" s="194">
        <f>IF(_1_541284561214624104645789101745678[[#This Row],[Discount selection]]&gt;0,VLOOKUP(_1_541284561214624104645789101745678[[#This Row],[Discount selection]],'Discount Structure'!$A$2:$B$30,2,"false"),0)</f>
        <v>1</v>
      </c>
      <c r="L136" s="194">
        <f>_1_541284561214624104645789101745678[[#This Row],[LIST $]]*_1_541284561214624104645789101745678[[#This Row],[DISCOUNT]]*_1_541284561214624104645789101745678[[#This Row],[DISCOUNT 2]]</f>
        <v>0</v>
      </c>
      <c r="M136" s="194">
        <f>IF(OR(_1_541284561214624104645789101745678[[#This Row],[UNIT]]&gt;0,_1_541284561214624104645789101745678[[#This Row],[UNIT]]&lt;0),_1_541284561214624104645789101745678[[#This Row],[UNIT]]*_1_541284561214624104645789101745678[[#This Row],[COST]],0)</f>
        <v>0</v>
      </c>
      <c r="N136" s="194">
        <f t="shared" si="1"/>
        <v>1.3</v>
      </c>
      <c r="O136" s="198">
        <f>_1_541284561214624104645789101745678[[#This Row],[TOTAL]]*_1_541284561214624104645789101745678[[#This Row],[MARGIN]]</f>
        <v>0</v>
      </c>
      <c r="R136" s="41"/>
    </row>
    <row r="137" spans="1:18">
      <c r="A137" s="168"/>
      <c r="C137" s="168"/>
      <c r="D137" s="188"/>
      <c r="F137" s="168" t="s">
        <v>6202</v>
      </c>
      <c r="G137" s="193">
        <f>IF(_1_541284561214624104645789101745678[[#This Row],[Type]]&gt;0,VLOOKUP(_1_541284561214624104645789101745678[[#This Row],[Type]],Main[[#All],[TYPE]:[UNIT]],'Unit Price'!C$1,FALSE),0)</f>
        <v>0</v>
      </c>
      <c r="H137" s="197">
        <f>IF(_1_541284561214624104645789101745678[[#This Row],[Type]]&gt;0,VLOOKUP(_1_541284561214624104645789101745678[[#This Row],[Type]],Main[[#All],[TYPE]:[UNIT]],'Unit Price'!D$1,FALSE),0)</f>
        <v>0</v>
      </c>
      <c r="I137" s="194">
        <f>IF(_1_541284561214624104645789101745678[[#This Row],[Type]]&gt;0,VLOOKUP(_1_541284561214624104645789101745678[[#This Row],[Type]],Main[[#All],[TYPE]:[UNIT]],'Unit Price'!G$1,FALSE),0)</f>
        <v>0</v>
      </c>
      <c r="J137" s="194">
        <f>IF(_1_541284561214624104645789101745678[[#This Row],[Type]]&gt;0,VLOOKUP(_1_541284561214624104645789101745678[[#This Row],[Type]],Main[[#All],[TYPE]:[UNIT]],'Unit Price'!H$1,FALSE),0)</f>
        <v>0</v>
      </c>
      <c r="K137" s="194">
        <f>IF(_1_541284561214624104645789101745678[[#This Row],[Discount selection]]&gt;0,VLOOKUP(_1_541284561214624104645789101745678[[#This Row],[Discount selection]],'Discount Structure'!$A$2:$B$30,2,"false"),0)</f>
        <v>1</v>
      </c>
      <c r="L137" s="194">
        <f>_1_541284561214624104645789101745678[[#This Row],[LIST $]]*_1_541284561214624104645789101745678[[#This Row],[DISCOUNT]]*_1_541284561214624104645789101745678[[#This Row],[DISCOUNT 2]]</f>
        <v>0</v>
      </c>
      <c r="M137" s="194">
        <f>IF(OR(_1_541284561214624104645789101745678[[#This Row],[UNIT]]&gt;0,_1_541284561214624104645789101745678[[#This Row],[UNIT]]&lt;0),_1_541284561214624104645789101745678[[#This Row],[UNIT]]*_1_541284561214624104645789101745678[[#This Row],[COST]],0)</f>
        <v>0</v>
      </c>
      <c r="N137" s="194">
        <f t="shared" si="1"/>
        <v>1.3</v>
      </c>
      <c r="O137" s="198">
        <f>_1_541284561214624104645789101745678[[#This Row],[TOTAL]]*_1_541284561214624104645789101745678[[#This Row],[MARGIN]]</f>
        <v>0</v>
      </c>
      <c r="R137" s="41"/>
    </row>
    <row r="138" spans="1:18">
      <c r="B138" s="168"/>
      <c r="C138" s="168"/>
      <c r="D138" s="188"/>
      <c r="E138" s="313"/>
      <c r="F138" s="168" t="s">
        <v>6202</v>
      </c>
      <c r="G138" s="193">
        <f>IF(_1_541284561214624104645789101745678[[#This Row],[Type]]&gt;0,VLOOKUP(_1_541284561214624104645789101745678[[#This Row],[Type]],Main[[#All],[TYPE]:[UNIT]],'Unit Price'!C$1,FALSE),0)</f>
        <v>0</v>
      </c>
      <c r="H138" s="197">
        <f>IF(_1_541284561214624104645789101745678[[#This Row],[Type]]&gt;0,VLOOKUP(_1_541284561214624104645789101745678[[#This Row],[Type]],Main[[#All],[TYPE]:[UNIT]],'Unit Price'!D$1,FALSE),0)</f>
        <v>0</v>
      </c>
      <c r="I138" s="194">
        <f>IF(_1_541284561214624104645789101745678[[#This Row],[Type]]&gt;0,VLOOKUP(_1_541284561214624104645789101745678[[#This Row],[Type]],Main[[#All],[TYPE]:[UNIT]],'Unit Price'!G$1,FALSE),0)</f>
        <v>0</v>
      </c>
      <c r="J138" s="194">
        <f>IF(_1_541284561214624104645789101745678[[#This Row],[Type]]&gt;0,VLOOKUP(_1_541284561214624104645789101745678[[#This Row],[Type]],Main[[#All],[TYPE]:[UNIT]],'Unit Price'!H$1,FALSE),0)</f>
        <v>0</v>
      </c>
      <c r="K138" s="194">
        <f>IF(_1_541284561214624104645789101745678[[#This Row],[Discount selection]]&gt;0,VLOOKUP(_1_541284561214624104645789101745678[[#This Row],[Discount selection]],'Discount Structure'!$A$2:$B$30,2,"false"),0)</f>
        <v>1</v>
      </c>
      <c r="L138" s="194">
        <f>_1_541284561214624104645789101745678[[#This Row],[LIST $]]*_1_541284561214624104645789101745678[[#This Row],[DISCOUNT]]*_1_541284561214624104645789101745678[[#This Row],[DISCOUNT 2]]</f>
        <v>0</v>
      </c>
      <c r="M138" s="194">
        <f>IF(OR(_1_541284561214624104645789101745678[[#This Row],[UNIT]]&gt;0,_1_541284561214624104645789101745678[[#This Row],[UNIT]]&lt;0),_1_541284561214624104645789101745678[[#This Row],[UNIT]]*_1_541284561214624104645789101745678[[#This Row],[COST]],0)</f>
        <v>0</v>
      </c>
      <c r="N138" s="194">
        <f t="shared" ref="N138:N201" si="2">$N$7</f>
        <v>1.3</v>
      </c>
      <c r="O138" s="198">
        <f>_1_541284561214624104645789101745678[[#This Row],[TOTAL]]*_1_541284561214624104645789101745678[[#This Row],[MARGIN]]</f>
        <v>0</v>
      </c>
      <c r="R138" s="41"/>
    </row>
    <row r="139" spans="1:18">
      <c r="A139" s="168"/>
      <c r="C139" s="168"/>
      <c r="D139" s="188"/>
      <c r="F139" s="168" t="s">
        <v>6202</v>
      </c>
      <c r="G139" s="193">
        <f>IF(_1_541284561214624104645789101745678[[#This Row],[Type]]&gt;0,VLOOKUP(_1_541284561214624104645789101745678[[#This Row],[Type]],Main[[#All],[TYPE]:[UNIT]],'Unit Price'!C$1,FALSE),0)</f>
        <v>0</v>
      </c>
      <c r="H139" s="197">
        <f>IF(_1_541284561214624104645789101745678[[#This Row],[Type]]&gt;0,VLOOKUP(_1_541284561214624104645789101745678[[#This Row],[Type]],Main[[#All],[TYPE]:[UNIT]],'Unit Price'!D$1,FALSE),0)</f>
        <v>0</v>
      </c>
      <c r="I139" s="194">
        <f>IF(_1_541284561214624104645789101745678[[#This Row],[Type]]&gt;0,VLOOKUP(_1_541284561214624104645789101745678[[#This Row],[Type]],Main[[#All],[TYPE]:[UNIT]],'Unit Price'!G$1,FALSE),0)</f>
        <v>0</v>
      </c>
      <c r="J139" s="194">
        <f>IF(_1_541284561214624104645789101745678[[#This Row],[Type]]&gt;0,VLOOKUP(_1_541284561214624104645789101745678[[#This Row],[Type]],Main[[#All],[TYPE]:[UNIT]],'Unit Price'!H$1,FALSE),0)</f>
        <v>0</v>
      </c>
      <c r="K139" s="194">
        <f>IF(_1_541284561214624104645789101745678[[#This Row],[Discount selection]]&gt;0,VLOOKUP(_1_541284561214624104645789101745678[[#This Row],[Discount selection]],'Discount Structure'!$A$2:$B$30,2,"false"),0)</f>
        <v>1</v>
      </c>
      <c r="L139" s="194">
        <f>_1_541284561214624104645789101745678[[#This Row],[LIST $]]*_1_541284561214624104645789101745678[[#This Row],[DISCOUNT]]*_1_541284561214624104645789101745678[[#This Row],[DISCOUNT 2]]</f>
        <v>0</v>
      </c>
      <c r="M139" s="194">
        <f>IF(OR(_1_541284561214624104645789101745678[[#This Row],[UNIT]]&gt;0,_1_541284561214624104645789101745678[[#This Row],[UNIT]]&lt;0),_1_541284561214624104645789101745678[[#This Row],[UNIT]]*_1_541284561214624104645789101745678[[#This Row],[COST]],0)</f>
        <v>0</v>
      </c>
      <c r="N139" s="194">
        <f t="shared" si="2"/>
        <v>1.3</v>
      </c>
      <c r="O139" s="198">
        <f>_1_541284561214624104645789101745678[[#This Row],[TOTAL]]*_1_541284561214624104645789101745678[[#This Row],[MARGIN]]</f>
        <v>0</v>
      </c>
      <c r="R139" s="41"/>
    </row>
    <row r="140" spans="1:18">
      <c r="A140" s="168"/>
      <c r="B140" s="168"/>
      <c r="C140" s="168"/>
      <c r="D140" s="188"/>
      <c r="F140" s="168" t="s">
        <v>6202</v>
      </c>
      <c r="G140" s="193">
        <f>IF(_1_541284561214624104645789101745678[[#This Row],[Type]]&gt;0,VLOOKUP(_1_541284561214624104645789101745678[[#This Row],[Type]],Main[[#All],[TYPE]:[UNIT]],'Unit Price'!C$1,FALSE),0)</f>
        <v>0</v>
      </c>
      <c r="H140" s="197">
        <f>IF(_1_541284561214624104645789101745678[[#This Row],[Type]]&gt;0,VLOOKUP(_1_541284561214624104645789101745678[[#This Row],[Type]],Main[[#All],[TYPE]:[UNIT]],'Unit Price'!D$1,FALSE),0)</f>
        <v>0</v>
      </c>
      <c r="I140" s="194">
        <f>IF(_1_541284561214624104645789101745678[[#This Row],[Type]]&gt;0,VLOOKUP(_1_541284561214624104645789101745678[[#This Row],[Type]],Main[[#All],[TYPE]:[UNIT]],'Unit Price'!G$1,FALSE),0)</f>
        <v>0</v>
      </c>
      <c r="J140" s="194">
        <f>IF(_1_541284561214624104645789101745678[[#This Row],[Type]]&gt;0,VLOOKUP(_1_541284561214624104645789101745678[[#This Row],[Type]],Main[[#All],[TYPE]:[UNIT]],'Unit Price'!H$1,FALSE),0)</f>
        <v>0</v>
      </c>
      <c r="K140" s="194">
        <f>IF(_1_541284561214624104645789101745678[[#This Row],[Discount selection]]&gt;0,VLOOKUP(_1_541284561214624104645789101745678[[#This Row],[Discount selection]],'Discount Structure'!$A$2:$B$30,2,"false"),0)</f>
        <v>1</v>
      </c>
      <c r="L140" s="194">
        <f>_1_541284561214624104645789101745678[[#This Row],[LIST $]]*_1_541284561214624104645789101745678[[#This Row],[DISCOUNT]]*_1_541284561214624104645789101745678[[#This Row],[DISCOUNT 2]]</f>
        <v>0</v>
      </c>
      <c r="M140" s="194">
        <f>IF(OR(_1_541284561214624104645789101745678[[#This Row],[UNIT]]&gt;0,_1_541284561214624104645789101745678[[#This Row],[UNIT]]&lt;0),_1_541284561214624104645789101745678[[#This Row],[UNIT]]*_1_541284561214624104645789101745678[[#This Row],[COST]],0)</f>
        <v>0</v>
      </c>
      <c r="N140" s="194">
        <f t="shared" si="2"/>
        <v>1.3</v>
      </c>
      <c r="O140" s="198">
        <f>_1_541284561214624104645789101745678[[#This Row],[TOTAL]]*_1_541284561214624104645789101745678[[#This Row],[MARGIN]]</f>
        <v>0</v>
      </c>
      <c r="R140" s="41"/>
    </row>
    <row r="141" spans="1:18">
      <c r="C141" s="168"/>
      <c r="D141" s="188"/>
      <c r="F141" s="168" t="s">
        <v>6202</v>
      </c>
      <c r="G141" s="193">
        <f>IF(_1_541284561214624104645789101745678[[#This Row],[Type]]&gt;0,VLOOKUP(_1_541284561214624104645789101745678[[#This Row],[Type]],Main[[#All],[TYPE]:[UNIT]],'Unit Price'!C$1,FALSE),0)</f>
        <v>0</v>
      </c>
      <c r="H141" s="197">
        <f>IF(_1_541284561214624104645789101745678[[#This Row],[Type]]&gt;0,VLOOKUP(_1_541284561214624104645789101745678[[#This Row],[Type]],Main[[#All],[TYPE]:[UNIT]],'Unit Price'!D$1,FALSE),0)</f>
        <v>0</v>
      </c>
      <c r="I141" s="194">
        <f>IF(_1_541284561214624104645789101745678[[#This Row],[Type]]&gt;0,VLOOKUP(_1_541284561214624104645789101745678[[#This Row],[Type]],Main[[#All],[TYPE]:[UNIT]],'Unit Price'!G$1,FALSE),0)</f>
        <v>0</v>
      </c>
      <c r="J141" s="194">
        <f>IF(_1_541284561214624104645789101745678[[#This Row],[Type]]&gt;0,VLOOKUP(_1_541284561214624104645789101745678[[#This Row],[Type]],Main[[#All],[TYPE]:[UNIT]],'Unit Price'!H$1,FALSE),0)</f>
        <v>0</v>
      </c>
      <c r="K141" s="194">
        <f>IF(_1_541284561214624104645789101745678[[#This Row],[Discount selection]]&gt;0,VLOOKUP(_1_541284561214624104645789101745678[[#This Row],[Discount selection]],'Discount Structure'!$A$2:$B$30,2,"false"),0)</f>
        <v>1</v>
      </c>
      <c r="L141" s="194">
        <f>_1_541284561214624104645789101745678[[#This Row],[LIST $]]*_1_541284561214624104645789101745678[[#This Row],[DISCOUNT]]*_1_541284561214624104645789101745678[[#This Row],[DISCOUNT 2]]</f>
        <v>0</v>
      </c>
      <c r="M141" s="194">
        <f>IF(OR(_1_541284561214624104645789101745678[[#This Row],[UNIT]]&gt;0,_1_541284561214624104645789101745678[[#This Row],[UNIT]]&lt;0),_1_541284561214624104645789101745678[[#This Row],[UNIT]]*_1_541284561214624104645789101745678[[#This Row],[COST]],0)</f>
        <v>0</v>
      </c>
      <c r="N141" s="194">
        <f t="shared" si="2"/>
        <v>1.3</v>
      </c>
      <c r="O141" s="198">
        <f>_1_541284561214624104645789101745678[[#This Row],[TOTAL]]*_1_541284561214624104645789101745678[[#This Row],[MARGIN]]</f>
        <v>0</v>
      </c>
      <c r="R141" s="41"/>
    </row>
    <row r="142" spans="1:18">
      <c r="C142" s="168"/>
      <c r="D142" s="188"/>
      <c r="F142" s="168" t="s">
        <v>6202</v>
      </c>
      <c r="G142" s="193">
        <f>IF(_1_541284561214624104645789101745678[[#This Row],[Type]]&gt;0,VLOOKUP(_1_541284561214624104645789101745678[[#This Row],[Type]],Main[[#All],[TYPE]:[UNIT]],'Unit Price'!C$1,FALSE),0)</f>
        <v>0</v>
      </c>
      <c r="H142" s="197">
        <f>IF(_1_541284561214624104645789101745678[[#This Row],[Type]]&gt;0,VLOOKUP(_1_541284561214624104645789101745678[[#This Row],[Type]],Main[[#All],[TYPE]:[UNIT]],'Unit Price'!D$1,FALSE),0)</f>
        <v>0</v>
      </c>
      <c r="I142" s="194">
        <f>IF(_1_541284561214624104645789101745678[[#This Row],[Type]]&gt;0,VLOOKUP(_1_541284561214624104645789101745678[[#This Row],[Type]],Main[[#All],[TYPE]:[UNIT]],'Unit Price'!G$1,FALSE),0)</f>
        <v>0</v>
      </c>
      <c r="J142" s="194">
        <f>IF(_1_541284561214624104645789101745678[[#This Row],[Type]]&gt;0,VLOOKUP(_1_541284561214624104645789101745678[[#This Row],[Type]],Main[[#All],[TYPE]:[UNIT]],'Unit Price'!H$1,FALSE),0)</f>
        <v>0</v>
      </c>
      <c r="K142" s="194">
        <f>IF(_1_541284561214624104645789101745678[[#This Row],[Discount selection]]&gt;0,VLOOKUP(_1_541284561214624104645789101745678[[#This Row],[Discount selection]],'Discount Structure'!$A$2:$B$30,2,"false"),0)</f>
        <v>1</v>
      </c>
      <c r="L142" s="194">
        <f>_1_541284561214624104645789101745678[[#This Row],[LIST $]]*_1_541284561214624104645789101745678[[#This Row],[DISCOUNT]]*_1_541284561214624104645789101745678[[#This Row],[DISCOUNT 2]]</f>
        <v>0</v>
      </c>
      <c r="M142" s="194">
        <f>IF(OR(_1_541284561214624104645789101745678[[#This Row],[UNIT]]&gt;0,_1_541284561214624104645789101745678[[#This Row],[UNIT]]&lt;0),_1_541284561214624104645789101745678[[#This Row],[UNIT]]*_1_541284561214624104645789101745678[[#This Row],[COST]],0)</f>
        <v>0</v>
      </c>
      <c r="N142" s="194">
        <f t="shared" si="2"/>
        <v>1.3</v>
      </c>
      <c r="O142" s="198">
        <f>_1_541284561214624104645789101745678[[#This Row],[TOTAL]]*_1_541284561214624104645789101745678[[#This Row],[MARGIN]]</f>
        <v>0</v>
      </c>
      <c r="R142" s="41"/>
    </row>
    <row r="143" spans="1:18">
      <c r="C143" s="168"/>
      <c r="D143" s="188"/>
      <c r="F143" s="168" t="s">
        <v>6202</v>
      </c>
      <c r="G143" s="193">
        <f>IF(_1_541284561214624104645789101745678[[#This Row],[Type]]&gt;0,VLOOKUP(_1_541284561214624104645789101745678[[#This Row],[Type]],Main[[#All],[TYPE]:[UNIT]],'Unit Price'!C$1,FALSE),0)</f>
        <v>0</v>
      </c>
      <c r="H143" s="197">
        <f>IF(_1_541284561214624104645789101745678[[#This Row],[Type]]&gt;0,VLOOKUP(_1_541284561214624104645789101745678[[#This Row],[Type]],Main[[#All],[TYPE]:[UNIT]],'Unit Price'!D$1,FALSE),0)</f>
        <v>0</v>
      </c>
      <c r="I143" s="194">
        <f>IF(_1_541284561214624104645789101745678[[#This Row],[Type]]&gt;0,VLOOKUP(_1_541284561214624104645789101745678[[#This Row],[Type]],Main[[#All],[TYPE]:[UNIT]],'Unit Price'!G$1,FALSE),0)</f>
        <v>0</v>
      </c>
      <c r="J143" s="194">
        <f>IF(_1_541284561214624104645789101745678[[#This Row],[Type]]&gt;0,VLOOKUP(_1_541284561214624104645789101745678[[#This Row],[Type]],Main[[#All],[TYPE]:[UNIT]],'Unit Price'!H$1,FALSE),0)</f>
        <v>0</v>
      </c>
      <c r="K143" s="194">
        <f>IF(_1_541284561214624104645789101745678[[#This Row],[Discount selection]]&gt;0,VLOOKUP(_1_541284561214624104645789101745678[[#This Row],[Discount selection]],'Discount Structure'!$A$2:$B$30,2,"false"),0)</f>
        <v>1</v>
      </c>
      <c r="L143" s="194">
        <f>_1_541284561214624104645789101745678[[#This Row],[LIST $]]*_1_541284561214624104645789101745678[[#This Row],[DISCOUNT]]*_1_541284561214624104645789101745678[[#This Row],[DISCOUNT 2]]</f>
        <v>0</v>
      </c>
      <c r="M143" s="194">
        <f>IF(OR(_1_541284561214624104645789101745678[[#This Row],[UNIT]]&gt;0,_1_541284561214624104645789101745678[[#This Row],[UNIT]]&lt;0),_1_541284561214624104645789101745678[[#This Row],[UNIT]]*_1_541284561214624104645789101745678[[#This Row],[COST]],0)</f>
        <v>0</v>
      </c>
      <c r="N143" s="194">
        <f t="shared" si="2"/>
        <v>1.3</v>
      </c>
      <c r="O143" s="198">
        <f>_1_541284561214624104645789101745678[[#This Row],[TOTAL]]*_1_541284561214624104645789101745678[[#This Row],[MARGIN]]</f>
        <v>0</v>
      </c>
      <c r="R143" s="41"/>
    </row>
    <row r="144" spans="1:18">
      <c r="C144" s="168"/>
      <c r="D144" s="188"/>
      <c r="F144" s="168" t="s">
        <v>6202</v>
      </c>
      <c r="G144" s="193">
        <f>IF(_1_541284561214624104645789101745678[[#This Row],[Type]]&gt;0,VLOOKUP(_1_541284561214624104645789101745678[[#This Row],[Type]],Main[[#All],[TYPE]:[UNIT]],'Unit Price'!C$1,FALSE),0)</f>
        <v>0</v>
      </c>
      <c r="H144" s="197">
        <f>IF(_1_541284561214624104645789101745678[[#This Row],[Type]]&gt;0,VLOOKUP(_1_541284561214624104645789101745678[[#This Row],[Type]],Main[[#All],[TYPE]:[UNIT]],'Unit Price'!D$1,FALSE),0)</f>
        <v>0</v>
      </c>
      <c r="I144" s="194">
        <f>IF(_1_541284561214624104645789101745678[[#This Row],[Type]]&gt;0,VLOOKUP(_1_541284561214624104645789101745678[[#This Row],[Type]],Main[[#All],[TYPE]:[UNIT]],'Unit Price'!G$1,FALSE),0)</f>
        <v>0</v>
      </c>
      <c r="J144" s="194">
        <f>IF(_1_541284561214624104645789101745678[[#This Row],[Type]]&gt;0,VLOOKUP(_1_541284561214624104645789101745678[[#This Row],[Type]],Main[[#All],[TYPE]:[UNIT]],'Unit Price'!H$1,FALSE),0)</f>
        <v>0</v>
      </c>
      <c r="K144" s="194">
        <f>IF(_1_541284561214624104645789101745678[[#This Row],[Discount selection]]&gt;0,VLOOKUP(_1_541284561214624104645789101745678[[#This Row],[Discount selection]],'Discount Structure'!$A$2:$B$30,2,"false"),0)</f>
        <v>1</v>
      </c>
      <c r="L144" s="194">
        <f>_1_541284561214624104645789101745678[[#This Row],[LIST $]]*_1_541284561214624104645789101745678[[#This Row],[DISCOUNT]]*_1_541284561214624104645789101745678[[#This Row],[DISCOUNT 2]]</f>
        <v>0</v>
      </c>
      <c r="M144" s="194">
        <f>IF(OR(_1_541284561214624104645789101745678[[#This Row],[UNIT]]&gt;0,_1_541284561214624104645789101745678[[#This Row],[UNIT]]&lt;0),_1_541284561214624104645789101745678[[#This Row],[UNIT]]*_1_541284561214624104645789101745678[[#This Row],[COST]],0)</f>
        <v>0</v>
      </c>
      <c r="N144" s="194">
        <f t="shared" si="2"/>
        <v>1.3</v>
      </c>
      <c r="O144" s="198">
        <f>_1_541284561214624104645789101745678[[#This Row],[TOTAL]]*_1_541284561214624104645789101745678[[#This Row],[MARGIN]]</f>
        <v>0</v>
      </c>
      <c r="R144" s="41"/>
    </row>
    <row r="145" spans="1:18">
      <c r="C145" s="168"/>
      <c r="D145" s="188"/>
      <c r="F145" s="168" t="s">
        <v>6202</v>
      </c>
      <c r="G145" s="193">
        <f>IF(_1_541284561214624104645789101745678[[#This Row],[Type]]&gt;0,VLOOKUP(_1_541284561214624104645789101745678[[#This Row],[Type]],Main[[#All],[TYPE]:[UNIT]],'Unit Price'!C$1,FALSE),0)</f>
        <v>0</v>
      </c>
      <c r="H145" s="197">
        <f>IF(_1_541284561214624104645789101745678[[#This Row],[Type]]&gt;0,VLOOKUP(_1_541284561214624104645789101745678[[#This Row],[Type]],Main[[#All],[TYPE]:[UNIT]],'Unit Price'!D$1,FALSE),0)</f>
        <v>0</v>
      </c>
      <c r="I145" s="194">
        <f>IF(_1_541284561214624104645789101745678[[#This Row],[Type]]&gt;0,VLOOKUP(_1_541284561214624104645789101745678[[#This Row],[Type]],Main[[#All],[TYPE]:[UNIT]],'Unit Price'!G$1,FALSE),0)</f>
        <v>0</v>
      </c>
      <c r="J145" s="194">
        <f>IF(_1_541284561214624104645789101745678[[#This Row],[Type]]&gt;0,VLOOKUP(_1_541284561214624104645789101745678[[#This Row],[Type]],Main[[#All],[TYPE]:[UNIT]],'Unit Price'!H$1,FALSE),0)</f>
        <v>0</v>
      </c>
      <c r="K145" s="194">
        <f>IF(_1_541284561214624104645789101745678[[#This Row],[Discount selection]]&gt;0,VLOOKUP(_1_541284561214624104645789101745678[[#This Row],[Discount selection]],'Discount Structure'!$A$2:$B$30,2,"false"),0)</f>
        <v>1</v>
      </c>
      <c r="L145" s="194">
        <f>_1_541284561214624104645789101745678[[#This Row],[LIST $]]*_1_541284561214624104645789101745678[[#This Row],[DISCOUNT]]*_1_541284561214624104645789101745678[[#This Row],[DISCOUNT 2]]</f>
        <v>0</v>
      </c>
      <c r="M145" s="194">
        <f>IF(OR(_1_541284561214624104645789101745678[[#This Row],[UNIT]]&gt;0,_1_541284561214624104645789101745678[[#This Row],[UNIT]]&lt;0),_1_541284561214624104645789101745678[[#This Row],[UNIT]]*_1_541284561214624104645789101745678[[#This Row],[COST]],0)</f>
        <v>0</v>
      </c>
      <c r="N145" s="194">
        <f t="shared" si="2"/>
        <v>1.3</v>
      </c>
      <c r="O145" s="198">
        <f>_1_541284561214624104645789101745678[[#This Row],[TOTAL]]*_1_541284561214624104645789101745678[[#This Row],[MARGIN]]</f>
        <v>0</v>
      </c>
      <c r="R145" s="41"/>
    </row>
    <row r="146" spans="1:18">
      <c r="C146" s="168"/>
      <c r="D146" s="188"/>
      <c r="F146" s="168" t="s">
        <v>6202</v>
      </c>
      <c r="G146" s="193">
        <f>IF(_1_541284561214624104645789101745678[[#This Row],[Type]]&gt;0,VLOOKUP(_1_541284561214624104645789101745678[[#This Row],[Type]],Main[[#All],[TYPE]:[UNIT]],'Unit Price'!C$1,FALSE),0)</f>
        <v>0</v>
      </c>
      <c r="H146" s="197">
        <f>IF(_1_541284561214624104645789101745678[[#This Row],[Type]]&gt;0,VLOOKUP(_1_541284561214624104645789101745678[[#This Row],[Type]],Main[[#All],[TYPE]:[UNIT]],'Unit Price'!D$1,FALSE),0)</f>
        <v>0</v>
      </c>
      <c r="I146" s="194">
        <f>IF(_1_541284561214624104645789101745678[[#This Row],[Type]]&gt;0,VLOOKUP(_1_541284561214624104645789101745678[[#This Row],[Type]],Main[[#All],[TYPE]:[UNIT]],'Unit Price'!G$1,FALSE),0)</f>
        <v>0</v>
      </c>
      <c r="J146" s="194">
        <f>IF(_1_541284561214624104645789101745678[[#This Row],[Type]]&gt;0,VLOOKUP(_1_541284561214624104645789101745678[[#This Row],[Type]],Main[[#All],[TYPE]:[UNIT]],'Unit Price'!H$1,FALSE),0)</f>
        <v>0</v>
      </c>
      <c r="K146" s="194">
        <f>IF(_1_541284561214624104645789101745678[[#This Row],[Discount selection]]&gt;0,VLOOKUP(_1_541284561214624104645789101745678[[#This Row],[Discount selection]],'Discount Structure'!$A$2:$B$30,2,"false"),0)</f>
        <v>1</v>
      </c>
      <c r="L146" s="194">
        <f>_1_541284561214624104645789101745678[[#This Row],[LIST $]]*_1_541284561214624104645789101745678[[#This Row],[DISCOUNT]]*_1_541284561214624104645789101745678[[#This Row],[DISCOUNT 2]]</f>
        <v>0</v>
      </c>
      <c r="M146" s="194">
        <f>IF(OR(_1_541284561214624104645789101745678[[#This Row],[UNIT]]&gt;0,_1_541284561214624104645789101745678[[#This Row],[UNIT]]&lt;0),_1_541284561214624104645789101745678[[#This Row],[UNIT]]*_1_541284561214624104645789101745678[[#This Row],[COST]],0)</f>
        <v>0</v>
      </c>
      <c r="N146" s="194">
        <f t="shared" si="2"/>
        <v>1.3</v>
      </c>
      <c r="O146" s="198">
        <f>_1_541284561214624104645789101745678[[#This Row],[TOTAL]]*_1_541284561214624104645789101745678[[#This Row],[MARGIN]]</f>
        <v>0</v>
      </c>
      <c r="R146" s="41"/>
    </row>
    <row r="147" spans="1:18">
      <c r="C147" s="168"/>
      <c r="D147" s="188"/>
      <c r="F147" s="168" t="s">
        <v>6202</v>
      </c>
      <c r="G147" s="193">
        <f>IF(_1_541284561214624104645789101745678[[#This Row],[Type]]&gt;0,VLOOKUP(_1_541284561214624104645789101745678[[#This Row],[Type]],Main[[#All],[TYPE]:[UNIT]],'Unit Price'!C$1,FALSE),0)</f>
        <v>0</v>
      </c>
      <c r="H147" s="197">
        <f>IF(_1_541284561214624104645789101745678[[#This Row],[Type]]&gt;0,VLOOKUP(_1_541284561214624104645789101745678[[#This Row],[Type]],Main[[#All],[TYPE]:[UNIT]],'Unit Price'!D$1,FALSE),0)</f>
        <v>0</v>
      </c>
      <c r="I147" s="194">
        <f>IF(_1_541284561214624104645789101745678[[#This Row],[Type]]&gt;0,VLOOKUP(_1_541284561214624104645789101745678[[#This Row],[Type]],Main[[#All],[TYPE]:[UNIT]],'Unit Price'!G$1,FALSE),0)</f>
        <v>0</v>
      </c>
      <c r="J147" s="194">
        <f>IF(_1_541284561214624104645789101745678[[#This Row],[Type]]&gt;0,VLOOKUP(_1_541284561214624104645789101745678[[#This Row],[Type]],Main[[#All],[TYPE]:[UNIT]],'Unit Price'!H$1,FALSE),0)</f>
        <v>0</v>
      </c>
      <c r="K147" s="194">
        <f>IF(_1_541284561214624104645789101745678[[#This Row],[Discount selection]]&gt;0,VLOOKUP(_1_541284561214624104645789101745678[[#This Row],[Discount selection]],'Discount Structure'!$A$2:$B$30,2,"false"),0)</f>
        <v>1</v>
      </c>
      <c r="L147" s="194">
        <f>_1_541284561214624104645789101745678[[#This Row],[LIST $]]*_1_541284561214624104645789101745678[[#This Row],[DISCOUNT]]*_1_541284561214624104645789101745678[[#This Row],[DISCOUNT 2]]</f>
        <v>0</v>
      </c>
      <c r="M147" s="194">
        <f>IF(OR(_1_541284561214624104645789101745678[[#This Row],[UNIT]]&gt;0,_1_541284561214624104645789101745678[[#This Row],[UNIT]]&lt;0),_1_541284561214624104645789101745678[[#This Row],[UNIT]]*_1_541284561214624104645789101745678[[#This Row],[COST]],0)</f>
        <v>0</v>
      </c>
      <c r="N147" s="194">
        <f t="shared" si="2"/>
        <v>1.3</v>
      </c>
      <c r="O147" s="198">
        <f>_1_541284561214624104645789101745678[[#This Row],[TOTAL]]*_1_541284561214624104645789101745678[[#This Row],[MARGIN]]</f>
        <v>0</v>
      </c>
      <c r="R147" s="41"/>
    </row>
    <row r="148" spans="1:18">
      <c r="C148" s="168"/>
      <c r="D148" s="188"/>
      <c r="F148" s="168" t="s">
        <v>6202</v>
      </c>
      <c r="G148" s="193">
        <f>IF(_1_541284561214624104645789101745678[[#This Row],[Type]]&gt;0,VLOOKUP(_1_541284561214624104645789101745678[[#This Row],[Type]],Main[[#All],[TYPE]:[UNIT]],'Unit Price'!C$1,FALSE),0)</f>
        <v>0</v>
      </c>
      <c r="H148" s="197">
        <f>IF(_1_541284561214624104645789101745678[[#This Row],[Type]]&gt;0,VLOOKUP(_1_541284561214624104645789101745678[[#This Row],[Type]],Main[[#All],[TYPE]:[UNIT]],'Unit Price'!D$1,FALSE),0)</f>
        <v>0</v>
      </c>
      <c r="I148" s="194">
        <f>IF(_1_541284561214624104645789101745678[[#This Row],[Type]]&gt;0,VLOOKUP(_1_541284561214624104645789101745678[[#This Row],[Type]],Main[[#All],[TYPE]:[UNIT]],'Unit Price'!G$1,FALSE),0)</f>
        <v>0</v>
      </c>
      <c r="J148" s="194">
        <f>IF(_1_541284561214624104645789101745678[[#This Row],[Type]]&gt;0,VLOOKUP(_1_541284561214624104645789101745678[[#This Row],[Type]],Main[[#All],[TYPE]:[UNIT]],'Unit Price'!H$1,FALSE),0)</f>
        <v>0</v>
      </c>
      <c r="K148" s="194">
        <f>IF(_1_541284561214624104645789101745678[[#This Row],[Discount selection]]&gt;0,VLOOKUP(_1_541284561214624104645789101745678[[#This Row],[Discount selection]],'Discount Structure'!$A$2:$B$30,2,"false"),0)</f>
        <v>1</v>
      </c>
      <c r="L148" s="194">
        <f>_1_541284561214624104645789101745678[[#This Row],[LIST $]]*_1_541284561214624104645789101745678[[#This Row],[DISCOUNT]]*_1_541284561214624104645789101745678[[#This Row],[DISCOUNT 2]]</f>
        <v>0</v>
      </c>
      <c r="M148" s="194">
        <f>IF(OR(_1_541284561214624104645789101745678[[#This Row],[UNIT]]&gt;0,_1_541284561214624104645789101745678[[#This Row],[UNIT]]&lt;0),_1_541284561214624104645789101745678[[#This Row],[UNIT]]*_1_541284561214624104645789101745678[[#This Row],[COST]],0)</f>
        <v>0</v>
      </c>
      <c r="N148" s="194">
        <f t="shared" si="2"/>
        <v>1.3</v>
      </c>
      <c r="O148" s="198">
        <f>_1_541284561214624104645789101745678[[#This Row],[TOTAL]]*_1_541284561214624104645789101745678[[#This Row],[MARGIN]]</f>
        <v>0</v>
      </c>
      <c r="R148" s="41"/>
    </row>
    <row r="149" spans="1:18">
      <c r="C149" s="168"/>
      <c r="D149" s="188"/>
      <c r="F149" s="168" t="s">
        <v>6202</v>
      </c>
      <c r="G149" s="193">
        <f>IF(_1_541284561214624104645789101745678[[#This Row],[Type]]&gt;0,VLOOKUP(_1_541284561214624104645789101745678[[#This Row],[Type]],Main[[#All],[TYPE]:[UNIT]],'Unit Price'!C$1,FALSE),0)</f>
        <v>0</v>
      </c>
      <c r="H149" s="197">
        <f>IF(_1_541284561214624104645789101745678[[#This Row],[Type]]&gt;0,VLOOKUP(_1_541284561214624104645789101745678[[#This Row],[Type]],Main[[#All],[TYPE]:[UNIT]],'Unit Price'!D$1,FALSE),0)</f>
        <v>0</v>
      </c>
      <c r="I149" s="194">
        <f>IF(_1_541284561214624104645789101745678[[#This Row],[Type]]&gt;0,VLOOKUP(_1_541284561214624104645789101745678[[#This Row],[Type]],Main[[#All],[TYPE]:[UNIT]],'Unit Price'!G$1,FALSE),0)</f>
        <v>0</v>
      </c>
      <c r="J149" s="194">
        <f>IF(_1_541284561214624104645789101745678[[#This Row],[Type]]&gt;0,VLOOKUP(_1_541284561214624104645789101745678[[#This Row],[Type]],Main[[#All],[TYPE]:[UNIT]],'Unit Price'!H$1,FALSE),0)</f>
        <v>0</v>
      </c>
      <c r="K149" s="194">
        <f>IF(_1_541284561214624104645789101745678[[#This Row],[Discount selection]]&gt;0,VLOOKUP(_1_541284561214624104645789101745678[[#This Row],[Discount selection]],'Discount Structure'!$A$2:$B$30,2,"false"),0)</f>
        <v>1</v>
      </c>
      <c r="L149" s="194">
        <f>_1_541284561214624104645789101745678[[#This Row],[LIST $]]*_1_541284561214624104645789101745678[[#This Row],[DISCOUNT]]*_1_541284561214624104645789101745678[[#This Row],[DISCOUNT 2]]</f>
        <v>0</v>
      </c>
      <c r="M149" s="194">
        <f>IF(OR(_1_541284561214624104645789101745678[[#This Row],[UNIT]]&gt;0,_1_541284561214624104645789101745678[[#This Row],[UNIT]]&lt;0),_1_541284561214624104645789101745678[[#This Row],[UNIT]]*_1_541284561214624104645789101745678[[#This Row],[COST]],0)</f>
        <v>0</v>
      </c>
      <c r="N149" s="194">
        <f t="shared" si="2"/>
        <v>1.3</v>
      </c>
      <c r="O149" s="198">
        <f>_1_541284561214624104645789101745678[[#This Row],[TOTAL]]*_1_541284561214624104645789101745678[[#This Row],[MARGIN]]</f>
        <v>0</v>
      </c>
      <c r="R149" s="41"/>
    </row>
    <row r="150" spans="1:18">
      <c r="B150" s="168"/>
      <c r="C150" s="168"/>
      <c r="D150" s="188"/>
      <c r="F150" s="168" t="s">
        <v>6202</v>
      </c>
      <c r="G150" s="193">
        <f>IF(_1_541284561214624104645789101745678[[#This Row],[Type]]&gt;0,VLOOKUP(_1_541284561214624104645789101745678[[#This Row],[Type]],Main[[#All],[TYPE]:[UNIT]],'Unit Price'!C$1,FALSE),0)</f>
        <v>0</v>
      </c>
      <c r="H150" s="197">
        <f>IF(_1_541284561214624104645789101745678[[#This Row],[Type]]&gt;0,VLOOKUP(_1_541284561214624104645789101745678[[#This Row],[Type]],Main[[#All],[TYPE]:[UNIT]],'Unit Price'!D$1,FALSE),0)</f>
        <v>0</v>
      </c>
      <c r="I150" s="194">
        <f>IF(_1_541284561214624104645789101745678[[#This Row],[Type]]&gt;0,VLOOKUP(_1_541284561214624104645789101745678[[#This Row],[Type]],Main[[#All],[TYPE]:[UNIT]],'Unit Price'!G$1,FALSE),0)</f>
        <v>0</v>
      </c>
      <c r="J150" s="194">
        <f>IF(_1_541284561214624104645789101745678[[#This Row],[Type]]&gt;0,VLOOKUP(_1_541284561214624104645789101745678[[#This Row],[Type]],Main[[#All],[TYPE]:[UNIT]],'Unit Price'!H$1,FALSE),0)</f>
        <v>0</v>
      </c>
      <c r="K150" s="194">
        <f>IF(_1_541284561214624104645789101745678[[#This Row],[Discount selection]]&gt;0,VLOOKUP(_1_541284561214624104645789101745678[[#This Row],[Discount selection]],'Discount Structure'!$A$2:$B$30,2,"false"),0)</f>
        <v>1</v>
      </c>
      <c r="L150" s="194">
        <f>_1_541284561214624104645789101745678[[#This Row],[LIST $]]*_1_541284561214624104645789101745678[[#This Row],[DISCOUNT]]*_1_541284561214624104645789101745678[[#This Row],[DISCOUNT 2]]</f>
        <v>0</v>
      </c>
      <c r="M150" s="194">
        <f>IF(OR(_1_541284561214624104645789101745678[[#This Row],[UNIT]]&gt;0,_1_541284561214624104645789101745678[[#This Row],[UNIT]]&lt;0),_1_541284561214624104645789101745678[[#This Row],[UNIT]]*_1_541284561214624104645789101745678[[#This Row],[COST]],0)</f>
        <v>0</v>
      </c>
      <c r="N150" s="194">
        <f t="shared" si="2"/>
        <v>1.3</v>
      </c>
      <c r="O150" s="198">
        <f>_1_541284561214624104645789101745678[[#This Row],[TOTAL]]*_1_541284561214624104645789101745678[[#This Row],[MARGIN]]</f>
        <v>0</v>
      </c>
      <c r="R150" s="41"/>
    </row>
    <row r="151" spans="1:18">
      <c r="C151" s="168"/>
      <c r="D151" s="188"/>
      <c r="F151" s="168" t="s">
        <v>6202</v>
      </c>
      <c r="G151" s="193">
        <f>IF(_1_541284561214624104645789101745678[[#This Row],[Type]]&gt;0,VLOOKUP(_1_541284561214624104645789101745678[[#This Row],[Type]],Main[[#All],[TYPE]:[UNIT]],'Unit Price'!C$1,FALSE),0)</f>
        <v>0</v>
      </c>
      <c r="H151" s="197">
        <f>IF(_1_541284561214624104645789101745678[[#This Row],[Type]]&gt;0,VLOOKUP(_1_541284561214624104645789101745678[[#This Row],[Type]],Main[[#All],[TYPE]:[UNIT]],'Unit Price'!D$1,FALSE),0)</f>
        <v>0</v>
      </c>
      <c r="I151" s="194">
        <f>IF(_1_541284561214624104645789101745678[[#This Row],[Type]]&gt;0,VLOOKUP(_1_541284561214624104645789101745678[[#This Row],[Type]],Main[[#All],[TYPE]:[UNIT]],'Unit Price'!G$1,FALSE),0)</f>
        <v>0</v>
      </c>
      <c r="J151" s="194">
        <f>IF(_1_541284561214624104645789101745678[[#This Row],[Type]]&gt;0,VLOOKUP(_1_541284561214624104645789101745678[[#This Row],[Type]],Main[[#All],[TYPE]:[UNIT]],'Unit Price'!H$1,FALSE),0)</f>
        <v>0</v>
      </c>
      <c r="K151" s="194">
        <f>IF(_1_541284561214624104645789101745678[[#This Row],[Discount selection]]&gt;0,VLOOKUP(_1_541284561214624104645789101745678[[#This Row],[Discount selection]],'Discount Structure'!$A$2:$B$30,2,"false"),0)</f>
        <v>1</v>
      </c>
      <c r="L151" s="194">
        <f>_1_541284561214624104645789101745678[[#This Row],[LIST $]]*_1_541284561214624104645789101745678[[#This Row],[DISCOUNT]]*_1_541284561214624104645789101745678[[#This Row],[DISCOUNT 2]]</f>
        <v>0</v>
      </c>
      <c r="M151" s="194">
        <f>IF(OR(_1_541284561214624104645789101745678[[#This Row],[UNIT]]&gt;0,_1_541284561214624104645789101745678[[#This Row],[UNIT]]&lt;0),_1_541284561214624104645789101745678[[#This Row],[UNIT]]*_1_541284561214624104645789101745678[[#This Row],[COST]],0)</f>
        <v>0</v>
      </c>
      <c r="N151" s="194">
        <f t="shared" si="2"/>
        <v>1.3</v>
      </c>
      <c r="O151" s="198">
        <f>_1_541284561214624104645789101745678[[#This Row],[TOTAL]]*_1_541284561214624104645789101745678[[#This Row],[MARGIN]]</f>
        <v>0</v>
      </c>
      <c r="R151" s="41"/>
    </row>
    <row r="152" spans="1:18">
      <c r="C152" s="168"/>
      <c r="D152" s="188"/>
      <c r="F152" s="168" t="s">
        <v>6202</v>
      </c>
      <c r="G152" s="193">
        <f>IF(_1_541284561214624104645789101745678[[#This Row],[Type]]&gt;0,VLOOKUP(_1_541284561214624104645789101745678[[#This Row],[Type]],Main[[#All],[TYPE]:[UNIT]],'Unit Price'!C$1,FALSE),0)</f>
        <v>0</v>
      </c>
      <c r="H152" s="197">
        <f>IF(_1_541284561214624104645789101745678[[#This Row],[Type]]&gt;0,VLOOKUP(_1_541284561214624104645789101745678[[#This Row],[Type]],Main[[#All],[TYPE]:[UNIT]],'Unit Price'!D$1,FALSE),0)</f>
        <v>0</v>
      </c>
      <c r="I152" s="194">
        <f>IF(_1_541284561214624104645789101745678[[#This Row],[Type]]&gt;0,VLOOKUP(_1_541284561214624104645789101745678[[#This Row],[Type]],Main[[#All],[TYPE]:[UNIT]],'Unit Price'!G$1,FALSE),0)</f>
        <v>0</v>
      </c>
      <c r="J152" s="194">
        <f>IF(_1_541284561214624104645789101745678[[#This Row],[Type]]&gt;0,VLOOKUP(_1_541284561214624104645789101745678[[#This Row],[Type]],Main[[#All],[TYPE]:[UNIT]],'Unit Price'!H$1,FALSE),0)</f>
        <v>0</v>
      </c>
      <c r="K152" s="194">
        <f>IF(_1_541284561214624104645789101745678[[#This Row],[Discount selection]]&gt;0,VLOOKUP(_1_541284561214624104645789101745678[[#This Row],[Discount selection]],'Discount Structure'!$A$2:$B$30,2,"false"),0)</f>
        <v>1</v>
      </c>
      <c r="L152" s="194">
        <f>_1_541284561214624104645789101745678[[#This Row],[LIST $]]*_1_541284561214624104645789101745678[[#This Row],[DISCOUNT]]*_1_541284561214624104645789101745678[[#This Row],[DISCOUNT 2]]</f>
        <v>0</v>
      </c>
      <c r="M152" s="194">
        <f>IF(OR(_1_541284561214624104645789101745678[[#This Row],[UNIT]]&gt;0,_1_541284561214624104645789101745678[[#This Row],[UNIT]]&lt;0),_1_541284561214624104645789101745678[[#This Row],[UNIT]]*_1_541284561214624104645789101745678[[#This Row],[COST]],0)</f>
        <v>0</v>
      </c>
      <c r="N152" s="194">
        <f t="shared" si="2"/>
        <v>1.3</v>
      </c>
      <c r="O152" s="198">
        <f>_1_541284561214624104645789101745678[[#This Row],[TOTAL]]*_1_541284561214624104645789101745678[[#This Row],[MARGIN]]</f>
        <v>0</v>
      </c>
      <c r="R152" s="41"/>
    </row>
    <row r="153" spans="1:18">
      <c r="A153" s="168"/>
      <c r="C153" s="168"/>
      <c r="D153" s="188"/>
      <c r="F153" s="168" t="s">
        <v>6202</v>
      </c>
      <c r="G153" s="193">
        <f>IF(_1_541284561214624104645789101745678[[#This Row],[Type]]&gt;0,VLOOKUP(_1_541284561214624104645789101745678[[#This Row],[Type]],Main[[#All],[TYPE]:[UNIT]],'Unit Price'!C$1,FALSE),0)</f>
        <v>0</v>
      </c>
      <c r="H153" s="197">
        <f>IF(_1_541284561214624104645789101745678[[#This Row],[Type]]&gt;0,VLOOKUP(_1_541284561214624104645789101745678[[#This Row],[Type]],Main[[#All],[TYPE]:[UNIT]],'Unit Price'!D$1,FALSE),0)</f>
        <v>0</v>
      </c>
      <c r="I153" s="194">
        <f>IF(_1_541284561214624104645789101745678[[#This Row],[Type]]&gt;0,VLOOKUP(_1_541284561214624104645789101745678[[#This Row],[Type]],Main[[#All],[TYPE]:[UNIT]],'Unit Price'!G$1,FALSE),0)</f>
        <v>0</v>
      </c>
      <c r="J153" s="194">
        <f>IF(_1_541284561214624104645789101745678[[#This Row],[Type]]&gt;0,VLOOKUP(_1_541284561214624104645789101745678[[#This Row],[Type]],Main[[#All],[TYPE]:[UNIT]],'Unit Price'!H$1,FALSE),0)</f>
        <v>0</v>
      </c>
      <c r="K153" s="194">
        <f>IF(_1_541284561214624104645789101745678[[#This Row],[Discount selection]]&gt;0,VLOOKUP(_1_541284561214624104645789101745678[[#This Row],[Discount selection]],'Discount Structure'!$A$2:$B$30,2,"false"),0)</f>
        <v>1</v>
      </c>
      <c r="L153" s="194">
        <f>_1_541284561214624104645789101745678[[#This Row],[LIST $]]*_1_541284561214624104645789101745678[[#This Row],[DISCOUNT]]*_1_541284561214624104645789101745678[[#This Row],[DISCOUNT 2]]</f>
        <v>0</v>
      </c>
      <c r="M153" s="194">
        <f>IF(OR(_1_541284561214624104645789101745678[[#This Row],[UNIT]]&gt;0,_1_541284561214624104645789101745678[[#This Row],[UNIT]]&lt;0),_1_541284561214624104645789101745678[[#This Row],[UNIT]]*_1_541284561214624104645789101745678[[#This Row],[COST]],0)</f>
        <v>0</v>
      </c>
      <c r="N153" s="194">
        <f t="shared" si="2"/>
        <v>1.3</v>
      </c>
      <c r="O153" s="198">
        <f>_1_541284561214624104645789101745678[[#This Row],[TOTAL]]*_1_541284561214624104645789101745678[[#This Row],[MARGIN]]</f>
        <v>0</v>
      </c>
      <c r="R153" s="41"/>
    </row>
    <row r="154" spans="1:18">
      <c r="A154" s="168"/>
      <c r="C154" s="168"/>
      <c r="D154" s="188"/>
      <c r="F154" s="168" t="s">
        <v>6202</v>
      </c>
      <c r="G154" s="193">
        <f>IF(_1_541284561214624104645789101745678[[#This Row],[Type]]&gt;0,VLOOKUP(_1_541284561214624104645789101745678[[#This Row],[Type]],Main[[#All],[TYPE]:[UNIT]],'Unit Price'!C$1,FALSE),0)</f>
        <v>0</v>
      </c>
      <c r="H154" s="197">
        <f>IF(_1_541284561214624104645789101745678[[#This Row],[Type]]&gt;0,VLOOKUP(_1_541284561214624104645789101745678[[#This Row],[Type]],Main[[#All],[TYPE]:[UNIT]],'Unit Price'!D$1,FALSE),0)</f>
        <v>0</v>
      </c>
      <c r="I154" s="194">
        <f>IF(_1_541284561214624104645789101745678[[#This Row],[Type]]&gt;0,VLOOKUP(_1_541284561214624104645789101745678[[#This Row],[Type]],Main[[#All],[TYPE]:[UNIT]],'Unit Price'!G$1,FALSE),0)</f>
        <v>0</v>
      </c>
      <c r="J154" s="194">
        <f>IF(_1_541284561214624104645789101745678[[#This Row],[Type]]&gt;0,VLOOKUP(_1_541284561214624104645789101745678[[#This Row],[Type]],Main[[#All],[TYPE]:[UNIT]],'Unit Price'!H$1,FALSE),0)</f>
        <v>0</v>
      </c>
      <c r="K154" s="194">
        <f>IF(_1_541284561214624104645789101745678[[#This Row],[Discount selection]]&gt;0,VLOOKUP(_1_541284561214624104645789101745678[[#This Row],[Discount selection]],'Discount Structure'!$A$2:$B$30,2,"false"),0)</f>
        <v>1</v>
      </c>
      <c r="L154" s="194">
        <f>_1_541284561214624104645789101745678[[#This Row],[LIST $]]*_1_541284561214624104645789101745678[[#This Row],[DISCOUNT]]*_1_541284561214624104645789101745678[[#This Row],[DISCOUNT 2]]</f>
        <v>0</v>
      </c>
      <c r="M154" s="194">
        <f>IF(OR(_1_541284561214624104645789101745678[[#This Row],[UNIT]]&gt;0,_1_541284561214624104645789101745678[[#This Row],[UNIT]]&lt;0),_1_541284561214624104645789101745678[[#This Row],[UNIT]]*_1_541284561214624104645789101745678[[#This Row],[COST]],0)</f>
        <v>0</v>
      </c>
      <c r="N154" s="194">
        <f t="shared" si="2"/>
        <v>1.3</v>
      </c>
      <c r="O154" s="198">
        <f>_1_541284561214624104645789101745678[[#This Row],[TOTAL]]*_1_541284561214624104645789101745678[[#This Row],[MARGIN]]</f>
        <v>0</v>
      </c>
      <c r="R154" s="41"/>
    </row>
    <row r="155" spans="1:18">
      <c r="B155" s="168"/>
      <c r="C155" s="168"/>
      <c r="D155" s="188"/>
      <c r="F155" s="168" t="s">
        <v>6202</v>
      </c>
      <c r="G155" s="193">
        <f>IF(_1_541284561214624104645789101745678[[#This Row],[Type]]&gt;0,VLOOKUP(_1_541284561214624104645789101745678[[#This Row],[Type]],Main[[#All],[TYPE]:[UNIT]],'Unit Price'!C$1,FALSE),0)</f>
        <v>0</v>
      </c>
      <c r="H155" s="197">
        <f>IF(_1_541284561214624104645789101745678[[#This Row],[Type]]&gt;0,VLOOKUP(_1_541284561214624104645789101745678[[#This Row],[Type]],Main[[#All],[TYPE]:[UNIT]],'Unit Price'!D$1,FALSE),0)</f>
        <v>0</v>
      </c>
      <c r="I155" s="194">
        <f>IF(_1_541284561214624104645789101745678[[#This Row],[Type]]&gt;0,VLOOKUP(_1_541284561214624104645789101745678[[#This Row],[Type]],Main[[#All],[TYPE]:[UNIT]],'Unit Price'!G$1,FALSE),0)</f>
        <v>0</v>
      </c>
      <c r="J155" s="194">
        <f>IF(_1_541284561214624104645789101745678[[#This Row],[Type]]&gt;0,VLOOKUP(_1_541284561214624104645789101745678[[#This Row],[Type]],Main[[#All],[TYPE]:[UNIT]],'Unit Price'!H$1,FALSE),0)</f>
        <v>0</v>
      </c>
      <c r="K155" s="194">
        <f>IF(_1_541284561214624104645789101745678[[#This Row],[Discount selection]]&gt;0,VLOOKUP(_1_541284561214624104645789101745678[[#This Row],[Discount selection]],'Discount Structure'!$A$2:$B$30,2,"false"),0)</f>
        <v>1</v>
      </c>
      <c r="L155" s="194">
        <f>_1_541284561214624104645789101745678[[#This Row],[LIST $]]*_1_541284561214624104645789101745678[[#This Row],[DISCOUNT]]*_1_541284561214624104645789101745678[[#This Row],[DISCOUNT 2]]</f>
        <v>0</v>
      </c>
      <c r="M155" s="194">
        <f>IF(OR(_1_541284561214624104645789101745678[[#This Row],[UNIT]]&gt;0,_1_541284561214624104645789101745678[[#This Row],[UNIT]]&lt;0),_1_541284561214624104645789101745678[[#This Row],[UNIT]]*_1_541284561214624104645789101745678[[#This Row],[COST]],0)</f>
        <v>0</v>
      </c>
      <c r="N155" s="194">
        <f t="shared" si="2"/>
        <v>1.3</v>
      </c>
      <c r="O155" s="198">
        <f>_1_541284561214624104645789101745678[[#This Row],[TOTAL]]*_1_541284561214624104645789101745678[[#This Row],[MARGIN]]</f>
        <v>0</v>
      </c>
      <c r="R155" s="41"/>
    </row>
    <row r="156" spans="1:18">
      <c r="C156" s="168"/>
      <c r="D156" s="188"/>
      <c r="F156" s="168" t="s">
        <v>6202</v>
      </c>
      <c r="G156" s="193">
        <f>IF(_1_541284561214624104645789101745678[[#This Row],[Type]]&gt;0,VLOOKUP(_1_541284561214624104645789101745678[[#This Row],[Type]],Main[[#All],[TYPE]:[UNIT]],'Unit Price'!C$1,FALSE),0)</f>
        <v>0</v>
      </c>
      <c r="H156" s="197">
        <f>IF(_1_541284561214624104645789101745678[[#This Row],[Type]]&gt;0,VLOOKUP(_1_541284561214624104645789101745678[[#This Row],[Type]],Main[[#All],[TYPE]:[UNIT]],'Unit Price'!D$1,FALSE),0)</f>
        <v>0</v>
      </c>
      <c r="I156" s="194">
        <f>IF(_1_541284561214624104645789101745678[[#This Row],[Type]]&gt;0,VLOOKUP(_1_541284561214624104645789101745678[[#This Row],[Type]],Main[[#All],[TYPE]:[UNIT]],'Unit Price'!G$1,FALSE),0)</f>
        <v>0</v>
      </c>
      <c r="J156" s="194">
        <f>IF(_1_541284561214624104645789101745678[[#This Row],[Type]]&gt;0,VLOOKUP(_1_541284561214624104645789101745678[[#This Row],[Type]],Main[[#All],[TYPE]:[UNIT]],'Unit Price'!H$1,FALSE),0)</f>
        <v>0</v>
      </c>
      <c r="K156" s="194">
        <f>IF(_1_541284561214624104645789101745678[[#This Row],[Discount selection]]&gt;0,VLOOKUP(_1_541284561214624104645789101745678[[#This Row],[Discount selection]],'Discount Structure'!$A$2:$B$30,2,"false"),0)</f>
        <v>1</v>
      </c>
      <c r="L156" s="194">
        <f>_1_541284561214624104645789101745678[[#This Row],[LIST $]]*_1_541284561214624104645789101745678[[#This Row],[DISCOUNT]]*_1_541284561214624104645789101745678[[#This Row],[DISCOUNT 2]]</f>
        <v>0</v>
      </c>
      <c r="M156" s="194">
        <f>IF(OR(_1_541284561214624104645789101745678[[#This Row],[UNIT]]&gt;0,_1_541284561214624104645789101745678[[#This Row],[UNIT]]&lt;0),_1_541284561214624104645789101745678[[#This Row],[UNIT]]*_1_541284561214624104645789101745678[[#This Row],[COST]],0)</f>
        <v>0</v>
      </c>
      <c r="N156" s="194">
        <f t="shared" si="2"/>
        <v>1.3</v>
      </c>
      <c r="O156" s="198">
        <f>_1_541284561214624104645789101745678[[#This Row],[TOTAL]]*_1_541284561214624104645789101745678[[#This Row],[MARGIN]]</f>
        <v>0</v>
      </c>
      <c r="R156" s="41"/>
    </row>
    <row r="157" spans="1:18">
      <c r="C157" s="168"/>
      <c r="D157" s="188"/>
      <c r="F157" s="168" t="s">
        <v>6202</v>
      </c>
      <c r="G157" s="193">
        <f>IF(_1_541284561214624104645789101745678[[#This Row],[Type]]&gt;0,VLOOKUP(_1_541284561214624104645789101745678[[#This Row],[Type]],Main[[#All],[TYPE]:[UNIT]],'Unit Price'!C$1,FALSE),0)</f>
        <v>0</v>
      </c>
      <c r="H157" s="197">
        <f>IF(_1_541284561214624104645789101745678[[#This Row],[Type]]&gt;0,VLOOKUP(_1_541284561214624104645789101745678[[#This Row],[Type]],Main[[#All],[TYPE]:[UNIT]],'Unit Price'!D$1,FALSE),0)</f>
        <v>0</v>
      </c>
      <c r="I157" s="194">
        <f>IF(_1_541284561214624104645789101745678[[#This Row],[Type]]&gt;0,VLOOKUP(_1_541284561214624104645789101745678[[#This Row],[Type]],Main[[#All],[TYPE]:[UNIT]],'Unit Price'!G$1,FALSE),0)</f>
        <v>0</v>
      </c>
      <c r="J157" s="194">
        <f>IF(_1_541284561214624104645789101745678[[#This Row],[Type]]&gt;0,VLOOKUP(_1_541284561214624104645789101745678[[#This Row],[Type]],Main[[#All],[TYPE]:[UNIT]],'Unit Price'!H$1,FALSE),0)</f>
        <v>0</v>
      </c>
      <c r="K157" s="194">
        <f>IF(_1_541284561214624104645789101745678[[#This Row],[Discount selection]]&gt;0,VLOOKUP(_1_541284561214624104645789101745678[[#This Row],[Discount selection]],'Discount Structure'!$A$2:$B$30,2,"false"),0)</f>
        <v>1</v>
      </c>
      <c r="L157" s="194">
        <f>_1_541284561214624104645789101745678[[#This Row],[LIST $]]*_1_541284561214624104645789101745678[[#This Row],[DISCOUNT]]*_1_541284561214624104645789101745678[[#This Row],[DISCOUNT 2]]</f>
        <v>0</v>
      </c>
      <c r="M157" s="194">
        <f>IF(OR(_1_541284561214624104645789101745678[[#This Row],[UNIT]]&gt;0,_1_541284561214624104645789101745678[[#This Row],[UNIT]]&lt;0),_1_541284561214624104645789101745678[[#This Row],[UNIT]]*_1_541284561214624104645789101745678[[#This Row],[COST]],0)</f>
        <v>0</v>
      </c>
      <c r="N157" s="194">
        <f t="shared" si="2"/>
        <v>1.3</v>
      </c>
      <c r="O157" s="198">
        <f>_1_541284561214624104645789101745678[[#This Row],[TOTAL]]*_1_541284561214624104645789101745678[[#This Row],[MARGIN]]</f>
        <v>0</v>
      </c>
      <c r="R157" s="41"/>
    </row>
    <row r="158" spans="1:18">
      <c r="C158" s="168"/>
      <c r="D158" s="188"/>
      <c r="F158" s="168" t="s">
        <v>6202</v>
      </c>
      <c r="G158" s="193">
        <f>IF(_1_541284561214624104645789101745678[[#This Row],[Type]]&gt;0,VLOOKUP(_1_541284561214624104645789101745678[[#This Row],[Type]],Main[[#All],[TYPE]:[UNIT]],'Unit Price'!C$1,FALSE),0)</f>
        <v>0</v>
      </c>
      <c r="H158" s="197">
        <f>IF(_1_541284561214624104645789101745678[[#This Row],[Type]]&gt;0,VLOOKUP(_1_541284561214624104645789101745678[[#This Row],[Type]],Main[[#All],[TYPE]:[UNIT]],'Unit Price'!D$1,FALSE),0)</f>
        <v>0</v>
      </c>
      <c r="I158" s="194">
        <f>IF(_1_541284561214624104645789101745678[[#This Row],[Type]]&gt;0,VLOOKUP(_1_541284561214624104645789101745678[[#This Row],[Type]],Main[[#All],[TYPE]:[UNIT]],'Unit Price'!G$1,FALSE),0)</f>
        <v>0</v>
      </c>
      <c r="J158" s="194">
        <f>IF(_1_541284561214624104645789101745678[[#This Row],[Type]]&gt;0,VLOOKUP(_1_541284561214624104645789101745678[[#This Row],[Type]],Main[[#All],[TYPE]:[UNIT]],'Unit Price'!H$1,FALSE),0)</f>
        <v>0</v>
      </c>
      <c r="K158" s="194">
        <f>IF(_1_541284561214624104645789101745678[[#This Row],[Discount selection]]&gt;0,VLOOKUP(_1_541284561214624104645789101745678[[#This Row],[Discount selection]],'Discount Structure'!$A$2:$B$30,2,"false"),0)</f>
        <v>1</v>
      </c>
      <c r="L158" s="194">
        <f>_1_541284561214624104645789101745678[[#This Row],[LIST $]]*_1_541284561214624104645789101745678[[#This Row],[DISCOUNT]]*_1_541284561214624104645789101745678[[#This Row],[DISCOUNT 2]]</f>
        <v>0</v>
      </c>
      <c r="M158" s="194">
        <f>IF(OR(_1_541284561214624104645789101745678[[#This Row],[UNIT]]&gt;0,_1_541284561214624104645789101745678[[#This Row],[UNIT]]&lt;0),_1_541284561214624104645789101745678[[#This Row],[UNIT]]*_1_541284561214624104645789101745678[[#This Row],[COST]],0)</f>
        <v>0</v>
      </c>
      <c r="N158" s="194">
        <f t="shared" si="2"/>
        <v>1.3</v>
      </c>
      <c r="O158" s="198">
        <f>_1_541284561214624104645789101745678[[#This Row],[TOTAL]]*_1_541284561214624104645789101745678[[#This Row],[MARGIN]]</f>
        <v>0</v>
      </c>
      <c r="R158" s="41"/>
    </row>
    <row r="159" spans="1:18">
      <c r="C159" s="168"/>
      <c r="D159" s="188"/>
      <c r="F159" s="168" t="s">
        <v>6202</v>
      </c>
      <c r="G159" s="193">
        <f>IF(_1_541284561214624104645789101745678[[#This Row],[Type]]&gt;0,VLOOKUP(_1_541284561214624104645789101745678[[#This Row],[Type]],Main[[#All],[TYPE]:[UNIT]],'Unit Price'!C$1,FALSE),0)</f>
        <v>0</v>
      </c>
      <c r="H159" s="197">
        <f>IF(_1_541284561214624104645789101745678[[#This Row],[Type]]&gt;0,VLOOKUP(_1_541284561214624104645789101745678[[#This Row],[Type]],Main[[#All],[TYPE]:[UNIT]],'Unit Price'!D$1,FALSE),0)</f>
        <v>0</v>
      </c>
      <c r="I159" s="194">
        <f>IF(_1_541284561214624104645789101745678[[#This Row],[Type]]&gt;0,VLOOKUP(_1_541284561214624104645789101745678[[#This Row],[Type]],Main[[#All],[TYPE]:[UNIT]],'Unit Price'!G$1,FALSE),0)</f>
        <v>0</v>
      </c>
      <c r="J159" s="194">
        <f>IF(_1_541284561214624104645789101745678[[#This Row],[Type]]&gt;0,VLOOKUP(_1_541284561214624104645789101745678[[#This Row],[Type]],Main[[#All],[TYPE]:[UNIT]],'Unit Price'!H$1,FALSE),0)</f>
        <v>0</v>
      </c>
      <c r="K159" s="194">
        <f>IF(_1_541284561214624104645789101745678[[#This Row],[Discount selection]]&gt;0,VLOOKUP(_1_541284561214624104645789101745678[[#This Row],[Discount selection]],'Discount Structure'!$A$2:$B$30,2,"false"),0)</f>
        <v>1</v>
      </c>
      <c r="L159" s="194">
        <f>_1_541284561214624104645789101745678[[#This Row],[LIST $]]*_1_541284561214624104645789101745678[[#This Row],[DISCOUNT]]*_1_541284561214624104645789101745678[[#This Row],[DISCOUNT 2]]</f>
        <v>0</v>
      </c>
      <c r="M159" s="194">
        <f>IF(OR(_1_541284561214624104645789101745678[[#This Row],[UNIT]]&gt;0,_1_541284561214624104645789101745678[[#This Row],[UNIT]]&lt;0),_1_541284561214624104645789101745678[[#This Row],[UNIT]]*_1_541284561214624104645789101745678[[#This Row],[COST]],0)</f>
        <v>0</v>
      </c>
      <c r="N159" s="194">
        <f t="shared" si="2"/>
        <v>1.3</v>
      </c>
      <c r="O159" s="198">
        <f>_1_541284561214624104645789101745678[[#This Row],[TOTAL]]*_1_541284561214624104645789101745678[[#This Row],[MARGIN]]</f>
        <v>0</v>
      </c>
      <c r="R159" s="41"/>
    </row>
    <row r="160" spans="1:18">
      <c r="C160" s="168"/>
      <c r="D160" s="188"/>
      <c r="F160" s="168" t="s">
        <v>6202</v>
      </c>
      <c r="G160" s="193">
        <f>IF(_1_541284561214624104645789101745678[[#This Row],[Type]]&gt;0,VLOOKUP(_1_541284561214624104645789101745678[[#This Row],[Type]],Main[[#All],[TYPE]:[UNIT]],'Unit Price'!C$1,FALSE),0)</f>
        <v>0</v>
      </c>
      <c r="H160" s="197">
        <f>IF(_1_541284561214624104645789101745678[[#This Row],[Type]]&gt;0,VLOOKUP(_1_541284561214624104645789101745678[[#This Row],[Type]],Main[[#All],[TYPE]:[UNIT]],'Unit Price'!D$1,FALSE),0)</f>
        <v>0</v>
      </c>
      <c r="I160" s="194">
        <f>IF(_1_541284561214624104645789101745678[[#This Row],[Type]]&gt;0,VLOOKUP(_1_541284561214624104645789101745678[[#This Row],[Type]],Main[[#All],[TYPE]:[UNIT]],'Unit Price'!G$1,FALSE),0)</f>
        <v>0</v>
      </c>
      <c r="J160" s="194">
        <f>IF(_1_541284561214624104645789101745678[[#This Row],[Type]]&gt;0,VLOOKUP(_1_541284561214624104645789101745678[[#This Row],[Type]],Main[[#All],[TYPE]:[UNIT]],'Unit Price'!H$1,FALSE),0)</f>
        <v>0</v>
      </c>
      <c r="K160" s="194">
        <f>IF(_1_541284561214624104645789101745678[[#This Row],[Discount selection]]&gt;0,VLOOKUP(_1_541284561214624104645789101745678[[#This Row],[Discount selection]],'Discount Structure'!$A$2:$B$30,2,"false"),0)</f>
        <v>1</v>
      </c>
      <c r="L160" s="194">
        <f>_1_541284561214624104645789101745678[[#This Row],[LIST $]]*_1_541284561214624104645789101745678[[#This Row],[DISCOUNT]]*_1_541284561214624104645789101745678[[#This Row],[DISCOUNT 2]]</f>
        <v>0</v>
      </c>
      <c r="M160" s="194">
        <f>IF(OR(_1_541284561214624104645789101745678[[#This Row],[UNIT]]&gt;0,_1_541284561214624104645789101745678[[#This Row],[UNIT]]&lt;0),_1_541284561214624104645789101745678[[#This Row],[UNIT]]*_1_541284561214624104645789101745678[[#This Row],[COST]],0)</f>
        <v>0</v>
      </c>
      <c r="N160" s="194">
        <f t="shared" si="2"/>
        <v>1.3</v>
      </c>
      <c r="O160" s="198">
        <f>_1_541284561214624104645789101745678[[#This Row],[TOTAL]]*_1_541284561214624104645789101745678[[#This Row],[MARGIN]]</f>
        <v>0</v>
      </c>
      <c r="R160" s="41"/>
    </row>
    <row r="161" spans="1:18">
      <c r="A161" s="168"/>
      <c r="C161" s="168"/>
      <c r="D161" s="188"/>
      <c r="F161" s="168" t="s">
        <v>6202</v>
      </c>
      <c r="G161" s="193">
        <f>IF(_1_541284561214624104645789101745678[[#This Row],[Type]]&gt;0,VLOOKUP(_1_541284561214624104645789101745678[[#This Row],[Type]],Main[[#All],[TYPE]:[UNIT]],'Unit Price'!C$1,FALSE),0)</f>
        <v>0</v>
      </c>
      <c r="H161" s="197">
        <f>IF(_1_541284561214624104645789101745678[[#This Row],[Type]]&gt;0,VLOOKUP(_1_541284561214624104645789101745678[[#This Row],[Type]],Main[[#All],[TYPE]:[UNIT]],'Unit Price'!D$1,FALSE),0)</f>
        <v>0</v>
      </c>
      <c r="I161" s="194">
        <f>IF(_1_541284561214624104645789101745678[[#This Row],[Type]]&gt;0,VLOOKUP(_1_541284561214624104645789101745678[[#This Row],[Type]],Main[[#All],[TYPE]:[UNIT]],'Unit Price'!G$1,FALSE),0)</f>
        <v>0</v>
      </c>
      <c r="J161" s="194">
        <f>IF(_1_541284561214624104645789101745678[[#This Row],[Type]]&gt;0,VLOOKUP(_1_541284561214624104645789101745678[[#This Row],[Type]],Main[[#All],[TYPE]:[UNIT]],'Unit Price'!H$1,FALSE),0)</f>
        <v>0</v>
      </c>
      <c r="K161" s="194">
        <f>IF(_1_541284561214624104645789101745678[[#This Row],[Discount selection]]&gt;0,VLOOKUP(_1_541284561214624104645789101745678[[#This Row],[Discount selection]],'Discount Structure'!$A$2:$B$30,2,"false"),0)</f>
        <v>1</v>
      </c>
      <c r="L161" s="194">
        <f>_1_541284561214624104645789101745678[[#This Row],[LIST $]]*_1_541284561214624104645789101745678[[#This Row],[DISCOUNT]]*_1_541284561214624104645789101745678[[#This Row],[DISCOUNT 2]]</f>
        <v>0</v>
      </c>
      <c r="M161" s="194">
        <f>IF(OR(_1_541284561214624104645789101745678[[#This Row],[UNIT]]&gt;0,_1_541284561214624104645789101745678[[#This Row],[UNIT]]&lt;0),_1_541284561214624104645789101745678[[#This Row],[UNIT]]*_1_541284561214624104645789101745678[[#This Row],[COST]],0)</f>
        <v>0</v>
      </c>
      <c r="N161" s="194">
        <f t="shared" si="2"/>
        <v>1.3</v>
      </c>
      <c r="O161" s="198">
        <f>_1_541284561214624104645789101745678[[#This Row],[TOTAL]]*_1_541284561214624104645789101745678[[#This Row],[MARGIN]]</f>
        <v>0</v>
      </c>
      <c r="R161" s="41"/>
    </row>
    <row r="162" spans="1:18">
      <c r="B162" s="168"/>
      <c r="C162" s="168"/>
      <c r="D162" s="188"/>
      <c r="F162" s="168" t="s">
        <v>6202</v>
      </c>
      <c r="G162" s="193">
        <f>IF(_1_541284561214624104645789101745678[[#This Row],[Type]]&gt;0,VLOOKUP(_1_541284561214624104645789101745678[[#This Row],[Type]],Main[[#All],[TYPE]:[UNIT]],'Unit Price'!C$1,FALSE),0)</f>
        <v>0</v>
      </c>
      <c r="H162" s="197">
        <f>IF(_1_541284561214624104645789101745678[[#This Row],[Type]]&gt;0,VLOOKUP(_1_541284561214624104645789101745678[[#This Row],[Type]],Main[[#All],[TYPE]:[UNIT]],'Unit Price'!D$1,FALSE),0)</f>
        <v>0</v>
      </c>
      <c r="I162" s="194">
        <f>IF(_1_541284561214624104645789101745678[[#This Row],[Type]]&gt;0,VLOOKUP(_1_541284561214624104645789101745678[[#This Row],[Type]],Main[[#All],[TYPE]:[UNIT]],'Unit Price'!G$1,FALSE),0)</f>
        <v>0</v>
      </c>
      <c r="J162" s="194">
        <f>IF(_1_541284561214624104645789101745678[[#This Row],[Type]]&gt;0,VLOOKUP(_1_541284561214624104645789101745678[[#This Row],[Type]],Main[[#All],[TYPE]:[UNIT]],'Unit Price'!H$1,FALSE),0)</f>
        <v>0</v>
      </c>
      <c r="K162" s="194">
        <f>IF(_1_541284561214624104645789101745678[[#This Row],[Discount selection]]&gt;0,VLOOKUP(_1_541284561214624104645789101745678[[#This Row],[Discount selection]],'Discount Structure'!$A$2:$B$30,2,"false"),0)</f>
        <v>1</v>
      </c>
      <c r="L162" s="194">
        <f>_1_541284561214624104645789101745678[[#This Row],[LIST $]]*_1_541284561214624104645789101745678[[#This Row],[DISCOUNT]]*_1_541284561214624104645789101745678[[#This Row],[DISCOUNT 2]]</f>
        <v>0</v>
      </c>
      <c r="M162" s="194">
        <f>IF(OR(_1_541284561214624104645789101745678[[#This Row],[UNIT]]&gt;0,_1_541284561214624104645789101745678[[#This Row],[UNIT]]&lt;0),_1_541284561214624104645789101745678[[#This Row],[UNIT]]*_1_541284561214624104645789101745678[[#This Row],[COST]],0)</f>
        <v>0</v>
      </c>
      <c r="N162" s="194">
        <f t="shared" si="2"/>
        <v>1.3</v>
      </c>
      <c r="O162" s="198">
        <f>_1_541284561214624104645789101745678[[#This Row],[TOTAL]]*_1_541284561214624104645789101745678[[#This Row],[MARGIN]]</f>
        <v>0</v>
      </c>
      <c r="R162" s="41"/>
    </row>
    <row r="163" spans="1:18">
      <c r="A163" s="168"/>
      <c r="C163" s="168"/>
      <c r="D163" s="188"/>
      <c r="F163" s="168" t="s">
        <v>6202</v>
      </c>
      <c r="G163" s="193">
        <f>IF(_1_541284561214624104645789101745678[[#This Row],[Type]]&gt;0,VLOOKUP(_1_541284561214624104645789101745678[[#This Row],[Type]],Main[[#All],[TYPE]:[UNIT]],'Unit Price'!C$1,FALSE),0)</f>
        <v>0</v>
      </c>
      <c r="H163" s="197">
        <f>IF(_1_541284561214624104645789101745678[[#This Row],[Type]]&gt;0,VLOOKUP(_1_541284561214624104645789101745678[[#This Row],[Type]],Main[[#All],[TYPE]:[UNIT]],'Unit Price'!D$1,FALSE),0)</f>
        <v>0</v>
      </c>
      <c r="I163" s="194">
        <f>IF(_1_541284561214624104645789101745678[[#This Row],[Type]]&gt;0,VLOOKUP(_1_541284561214624104645789101745678[[#This Row],[Type]],Main[[#All],[TYPE]:[UNIT]],'Unit Price'!G$1,FALSE),0)</f>
        <v>0</v>
      </c>
      <c r="J163" s="194">
        <f>IF(_1_541284561214624104645789101745678[[#This Row],[Type]]&gt;0,VLOOKUP(_1_541284561214624104645789101745678[[#This Row],[Type]],Main[[#All],[TYPE]:[UNIT]],'Unit Price'!H$1,FALSE),0)</f>
        <v>0</v>
      </c>
      <c r="K163" s="194">
        <f>IF(_1_541284561214624104645789101745678[[#This Row],[Discount selection]]&gt;0,VLOOKUP(_1_541284561214624104645789101745678[[#This Row],[Discount selection]],'Discount Structure'!$A$2:$B$30,2,"false"),0)</f>
        <v>1</v>
      </c>
      <c r="L163" s="194">
        <f>_1_541284561214624104645789101745678[[#This Row],[LIST $]]*_1_541284561214624104645789101745678[[#This Row],[DISCOUNT]]*_1_541284561214624104645789101745678[[#This Row],[DISCOUNT 2]]</f>
        <v>0</v>
      </c>
      <c r="M163" s="194">
        <f>IF(OR(_1_541284561214624104645789101745678[[#This Row],[UNIT]]&gt;0,_1_541284561214624104645789101745678[[#This Row],[UNIT]]&lt;0),_1_541284561214624104645789101745678[[#This Row],[UNIT]]*_1_541284561214624104645789101745678[[#This Row],[COST]],0)</f>
        <v>0</v>
      </c>
      <c r="N163" s="194">
        <f t="shared" si="2"/>
        <v>1.3</v>
      </c>
      <c r="O163" s="198">
        <f>_1_541284561214624104645789101745678[[#This Row],[TOTAL]]*_1_541284561214624104645789101745678[[#This Row],[MARGIN]]</f>
        <v>0</v>
      </c>
      <c r="R163" s="41"/>
    </row>
    <row r="164" spans="1:18">
      <c r="B164" s="168"/>
      <c r="C164" s="168"/>
      <c r="D164" s="188"/>
      <c r="F164" s="168" t="s">
        <v>6202</v>
      </c>
      <c r="G164" s="193">
        <f>IF(_1_541284561214624104645789101745678[[#This Row],[Type]]&gt;0,VLOOKUP(_1_541284561214624104645789101745678[[#This Row],[Type]],Main[[#All],[TYPE]:[UNIT]],'Unit Price'!C$1,FALSE),0)</f>
        <v>0</v>
      </c>
      <c r="H164" s="197">
        <f>IF(_1_541284561214624104645789101745678[[#This Row],[Type]]&gt;0,VLOOKUP(_1_541284561214624104645789101745678[[#This Row],[Type]],Main[[#All],[TYPE]:[UNIT]],'Unit Price'!D$1,FALSE),0)</f>
        <v>0</v>
      </c>
      <c r="I164" s="194">
        <f>IF(_1_541284561214624104645789101745678[[#This Row],[Type]]&gt;0,VLOOKUP(_1_541284561214624104645789101745678[[#This Row],[Type]],Main[[#All],[TYPE]:[UNIT]],'Unit Price'!G$1,FALSE),0)</f>
        <v>0</v>
      </c>
      <c r="J164" s="194">
        <f>IF(_1_541284561214624104645789101745678[[#This Row],[Type]]&gt;0,VLOOKUP(_1_541284561214624104645789101745678[[#This Row],[Type]],Main[[#All],[TYPE]:[UNIT]],'Unit Price'!H$1,FALSE),0)</f>
        <v>0</v>
      </c>
      <c r="K164" s="194">
        <f>IF(_1_541284561214624104645789101745678[[#This Row],[Discount selection]]&gt;0,VLOOKUP(_1_541284561214624104645789101745678[[#This Row],[Discount selection]],'Discount Structure'!$A$2:$B$30,2,"false"),0)</f>
        <v>1</v>
      </c>
      <c r="L164" s="194">
        <f>_1_541284561214624104645789101745678[[#This Row],[LIST $]]*_1_541284561214624104645789101745678[[#This Row],[DISCOUNT]]*_1_541284561214624104645789101745678[[#This Row],[DISCOUNT 2]]</f>
        <v>0</v>
      </c>
      <c r="M164" s="194">
        <f>IF(OR(_1_541284561214624104645789101745678[[#This Row],[UNIT]]&gt;0,_1_541284561214624104645789101745678[[#This Row],[UNIT]]&lt;0),_1_541284561214624104645789101745678[[#This Row],[UNIT]]*_1_541284561214624104645789101745678[[#This Row],[COST]],0)</f>
        <v>0</v>
      </c>
      <c r="N164" s="194">
        <f t="shared" si="2"/>
        <v>1.3</v>
      </c>
      <c r="O164" s="198">
        <f>_1_541284561214624104645789101745678[[#This Row],[TOTAL]]*_1_541284561214624104645789101745678[[#This Row],[MARGIN]]</f>
        <v>0</v>
      </c>
      <c r="R164" s="41"/>
    </row>
    <row r="165" spans="1:18">
      <c r="A165" s="168"/>
      <c r="C165" s="168"/>
      <c r="D165" s="188"/>
      <c r="F165" s="168" t="s">
        <v>6202</v>
      </c>
      <c r="G165" s="193">
        <f>IF(_1_541284561214624104645789101745678[[#This Row],[Type]]&gt;0,VLOOKUP(_1_541284561214624104645789101745678[[#This Row],[Type]],Main[[#All],[TYPE]:[UNIT]],'Unit Price'!C$1,FALSE),0)</f>
        <v>0</v>
      </c>
      <c r="H165" s="197">
        <f>IF(_1_541284561214624104645789101745678[[#This Row],[Type]]&gt;0,VLOOKUP(_1_541284561214624104645789101745678[[#This Row],[Type]],Main[[#All],[TYPE]:[UNIT]],'Unit Price'!D$1,FALSE),0)</f>
        <v>0</v>
      </c>
      <c r="I165" s="194">
        <f>IF(_1_541284561214624104645789101745678[[#This Row],[Type]]&gt;0,VLOOKUP(_1_541284561214624104645789101745678[[#This Row],[Type]],Main[[#All],[TYPE]:[UNIT]],'Unit Price'!G$1,FALSE),0)</f>
        <v>0</v>
      </c>
      <c r="J165" s="194">
        <f>IF(_1_541284561214624104645789101745678[[#This Row],[Type]]&gt;0,VLOOKUP(_1_541284561214624104645789101745678[[#This Row],[Type]],Main[[#All],[TYPE]:[UNIT]],'Unit Price'!H$1,FALSE),0)</f>
        <v>0</v>
      </c>
      <c r="K165" s="194">
        <f>IF(_1_541284561214624104645789101745678[[#This Row],[Discount selection]]&gt;0,VLOOKUP(_1_541284561214624104645789101745678[[#This Row],[Discount selection]],'Discount Structure'!$A$2:$B$30,2,"false"),0)</f>
        <v>1</v>
      </c>
      <c r="L165" s="194">
        <f>_1_541284561214624104645789101745678[[#This Row],[LIST $]]*_1_541284561214624104645789101745678[[#This Row],[DISCOUNT]]*_1_541284561214624104645789101745678[[#This Row],[DISCOUNT 2]]</f>
        <v>0</v>
      </c>
      <c r="M165" s="194">
        <f>IF(OR(_1_541284561214624104645789101745678[[#This Row],[UNIT]]&gt;0,_1_541284561214624104645789101745678[[#This Row],[UNIT]]&lt;0),_1_541284561214624104645789101745678[[#This Row],[UNIT]]*_1_541284561214624104645789101745678[[#This Row],[COST]],0)</f>
        <v>0</v>
      </c>
      <c r="N165" s="194">
        <f t="shared" si="2"/>
        <v>1.3</v>
      </c>
      <c r="O165" s="198">
        <f>_1_541284561214624104645789101745678[[#This Row],[TOTAL]]*_1_541284561214624104645789101745678[[#This Row],[MARGIN]]</f>
        <v>0</v>
      </c>
      <c r="R165" s="41"/>
    </row>
    <row r="166" spans="1:18">
      <c r="B166" s="168"/>
      <c r="C166" s="168"/>
      <c r="D166" s="188"/>
      <c r="F166" s="168" t="s">
        <v>6202</v>
      </c>
      <c r="G166" s="193">
        <f>IF(_1_541284561214624104645789101745678[[#This Row],[Type]]&gt;0,VLOOKUP(_1_541284561214624104645789101745678[[#This Row],[Type]],Main[[#All],[TYPE]:[UNIT]],'Unit Price'!C$1,FALSE),0)</f>
        <v>0</v>
      </c>
      <c r="H166" s="197">
        <f>IF(_1_541284561214624104645789101745678[[#This Row],[Type]]&gt;0,VLOOKUP(_1_541284561214624104645789101745678[[#This Row],[Type]],Main[[#All],[TYPE]:[UNIT]],'Unit Price'!D$1,FALSE),0)</f>
        <v>0</v>
      </c>
      <c r="I166" s="194">
        <f>IF(_1_541284561214624104645789101745678[[#This Row],[Type]]&gt;0,VLOOKUP(_1_541284561214624104645789101745678[[#This Row],[Type]],Main[[#All],[TYPE]:[UNIT]],'Unit Price'!G$1,FALSE),0)</f>
        <v>0</v>
      </c>
      <c r="J166" s="194">
        <f>IF(_1_541284561214624104645789101745678[[#This Row],[Type]]&gt;0,VLOOKUP(_1_541284561214624104645789101745678[[#This Row],[Type]],Main[[#All],[TYPE]:[UNIT]],'Unit Price'!H$1,FALSE),0)</f>
        <v>0</v>
      </c>
      <c r="K166" s="194">
        <f>IF(_1_541284561214624104645789101745678[[#This Row],[Discount selection]]&gt;0,VLOOKUP(_1_541284561214624104645789101745678[[#This Row],[Discount selection]],'Discount Structure'!$A$2:$B$30,2,"false"),0)</f>
        <v>1</v>
      </c>
      <c r="L166" s="194">
        <f>_1_541284561214624104645789101745678[[#This Row],[LIST $]]*_1_541284561214624104645789101745678[[#This Row],[DISCOUNT]]*_1_541284561214624104645789101745678[[#This Row],[DISCOUNT 2]]</f>
        <v>0</v>
      </c>
      <c r="M166" s="194">
        <f>IF(OR(_1_541284561214624104645789101745678[[#This Row],[UNIT]]&gt;0,_1_541284561214624104645789101745678[[#This Row],[UNIT]]&lt;0),_1_541284561214624104645789101745678[[#This Row],[UNIT]]*_1_541284561214624104645789101745678[[#This Row],[COST]],0)</f>
        <v>0</v>
      </c>
      <c r="N166" s="194">
        <f t="shared" si="2"/>
        <v>1.3</v>
      </c>
      <c r="O166" s="198">
        <f>_1_541284561214624104645789101745678[[#This Row],[TOTAL]]*_1_541284561214624104645789101745678[[#This Row],[MARGIN]]</f>
        <v>0</v>
      </c>
      <c r="R166" s="41"/>
    </row>
    <row r="167" spans="1:18">
      <c r="A167" s="168"/>
      <c r="C167" s="168"/>
      <c r="D167" s="188"/>
      <c r="F167" s="168" t="s">
        <v>6202</v>
      </c>
      <c r="G167" s="193">
        <f>IF(_1_541284561214624104645789101745678[[#This Row],[Type]]&gt;0,VLOOKUP(_1_541284561214624104645789101745678[[#This Row],[Type]],Main[[#All],[TYPE]:[UNIT]],'Unit Price'!C$1,FALSE),0)</f>
        <v>0</v>
      </c>
      <c r="H167" s="197">
        <f>IF(_1_541284561214624104645789101745678[[#This Row],[Type]]&gt;0,VLOOKUP(_1_541284561214624104645789101745678[[#This Row],[Type]],Main[[#All],[TYPE]:[UNIT]],'Unit Price'!D$1,FALSE),0)</f>
        <v>0</v>
      </c>
      <c r="I167" s="194">
        <f>IF(_1_541284561214624104645789101745678[[#This Row],[Type]]&gt;0,VLOOKUP(_1_541284561214624104645789101745678[[#This Row],[Type]],Main[[#All],[TYPE]:[UNIT]],'Unit Price'!G$1,FALSE),0)</f>
        <v>0</v>
      </c>
      <c r="J167" s="194">
        <f>IF(_1_541284561214624104645789101745678[[#This Row],[Type]]&gt;0,VLOOKUP(_1_541284561214624104645789101745678[[#This Row],[Type]],Main[[#All],[TYPE]:[UNIT]],'Unit Price'!H$1,FALSE),0)</f>
        <v>0</v>
      </c>
      <c r="K167" s="194">
        <f>IF(_1_541284561214624104645789101745678[[#This Row],[Discount selection]]&gt;0,VLOOKUP(_1_541284561214624104645789101745678[[#This Row],[Discount selection]],'Discount Structure'!$A$2:$B$30,2,"false"),0)</f>
        <v>1</v>
      </c>
      <c r="L167" s="194">
        <f>_1_541284561214624104645789101745678[[#This Row],[LIST $]]*_1_541284561214624104645789101745678[[#This Row],[DISCOUNT]]*_1_541284561214624104645789101745678[[#This Row],[DISCOUNT 2]]</f>
        <v>0</v>
      </c>
      <c r="M167" s="194">
        <f>IF(OR(_1_541284561214624104645789101745678[[#This Row],[UNIT]]&gt;0,_1_541284561214624104645789101745678[[#This Row],[UNIT]]&lt;0),_1_541284561214624104645789101745678[[#This Row],[UNIT]]*_1_541284561214624104645789101745678[[#This Row],[COST]],0)</f>
        <v>0</v>
      </c>
      <c r="N167" s="194">
        <f t="shared" si="2"/>
        <v>1.3</v>
      </c>
      <c r="O167" s="198">
        <f>_1_541284561214624104645789101745678[[#This Row],[TOTAL]]*_1_541284561214624104645789101745678[[#This Row],[MARGIN]]</f>
        <v>0</v>
      </c>
      <c r="R167" s="41"/>
    </row>
    <row r="168" spans="1:18">
      <c r="B168" s="168"/>
      <c r="C168" s="168"/>
      <c r="D168" s="188"/>
      <c r="F168" s="168" t="s">
        <v>6202</v>
      </c>
      <c r="G168" s="193">
        <f>IF(_1_541284561214624104645789101745678[[#This Row],[Type]]&gt;0,VLOOKUP(_1_541284561214624104645789101745678[[#This Row],[Type]],Main[[#All],[TYPE]:[UNIT]],'Unit Price'!C$1,FALSE),0)</f>
        <v>0</v>
      </c>
      <c r="H168" s="197">
        <f>IF(_1_541284561214624104645789101745678[[#This Row],[Type]]&gt;0,VLOOKUP(_1_541284561214624104645789101745678[[#This Row],[Type]],Main[[#All],[TYPE]:[UNIT]],'Unit Price'!D$1,FALSE),0)</f>
        <v>0</v>
      </c>
      <c r="I168" s="194">
        <f>IF(_1_541284561214624104645789101745678[[#This Row],[Type]]&gt;0,VLOOKUP(_1_541284561214624104645789101745678[[#This Row],[Type]],Main[[#All],[TYPE]:[UNIT]],'Unit Price'!G$1,FALSE),0)</f>
        <v>0</v>
      </c>
      <c r="J168" s="194">
        <f>IF(_1_541284561214624104645789101745678[[#This Row],[Type]]&gt;0,VLOOKUP(_1_541284561214624104645789101745678[[#This Row],[Type]],Main[[#All],[TYPE]:[UNIT]],'Unit Price'!H$1,FALSE),0)</f>
        <v>0</v>
      </c>
      <c r="K168" s="194">
        <f>IF(_1_541284561214624104645789101745678[[#This Row],[Discount selection]]&gt;0,VLOOKUP(_1_541284561214624104645789101745678[[#This Row],[Discount selection]],'Discount Structure'!$A$2:$B$30,2,"false"),0)</f>
        <v>1</v>
      </c>
      <c r="L168" s="194">
        <f>_1_541284561214624104645789101745678[[#This Row],[LIST $]]*_1_541284561214624104645789101745678[[#This Row],[DISCOUNT]]*_1_541284561214624104645789101745678[[#This Row],[DISCOUNT 2]]</f>
        <v>0</v>
      </c>
      <c r="M168" s="194">
        <f>IF(OR(_1_541284561214624104645789101745678[[#This Row],[UNIT]]&gt;0,_1_541284561214624104645789101745678[[#This Row],[UNIT]]&lt;0),_1_541284561214624104645789101745678[[#This Row],[UNIT]]*_1_541284561214624104645789101745678[[#This Row],[COST]],0)</f>
        <v>0</v>
      </c>
      <c r="N168" s="194">
        <f t="shared" si="2"/>
        <v>1.3</v>
      </c>
      <c r="O168" s="198">
        <f>_1_541284561214624104645789101745678[[#This Row],[TOTAL]]*_1_541284561214624104645789101745678[[#This Row],[MARGIN]]</f>
        <v>0</v>
      </c>
      <c r="R168" s="41"/>
    </row>
    <row r="169" spans="1:18">
      <c r="A169" s="168"/>
      <c r="C169" s="168"/>
      <c r="D169" s="188"/>
      <c r="F169" s="168" t="s">
        <v>6202</v>
      </c>
      <c r="G169" s="193">
        <f>IF(_1_541284561214624104645789101745678[[#This Row],[Type]]&gt;0,VLOOKUP(_1_541284561214624104645789101745678[[#This Row],[Type]],Main[[#All],[TYPE]:[UNIT]],'Unit Price'!C$1,FALSE),0)</f>
        <v>0</v>
      </c>
      <c r="H169" s="197">
        <f>IF(_1_541284561214624104645789101745678[[#This Row],[Type]]&gt;0,VLOOKUP(_1_541284561214624104645789101745678[[#This Row],[Type]],Main[[#All],[TYPE]:[UNIT]],'Unit Price'!D$1,FALSE),0)</f>
        <v>0</v>
      </c>
      <c r="I169" s="194">
        <f>IF(_1_541284561214624104645789101745678[[#This Row],[Type]]&gt;0,VLOOKUP(_1_541284561214624104645789101745678[[#This Row],[Type]],Main[[#All],[TYPE]:[UNIT]],'Unit Price'!G$1,FALSE),0)</f>
        <v>0</v>
      </c>
      <c r="J169" s="194">
        <f>IF(_1_541284561214624104645789101745678[[#This Row],[Type]]&gt;0,VLOOKUP(_1_541284561214624104645789101745678[[#This Row],[Type]],Main[[#All],[TYPE]:[UNIT]],'Unit Price'!H$1,FALSE),0)</f>
        <v>0</v>
      </c>
      <c r="K169" s="194">
        <f>IF(_1_541284561214624104645789101745678[[#This Row],[Discount selection]]&gt;0,VLOOKUP(_1_541284561214624104645789101745678[[#This Row],[Discount selection]],'Discount Structure'!$A$2:$B$30,2,"false"),0)</f>
        <v>1</v>
      </c>
      <c r="L169" s="194">
        <f>_1_541284561214624104645789101745678[[#This Row],[LIST $]]*_1_541284561214624104645789101745678[[#This Row],[DISCOUNT]]*_1_541284561214624104645789101745678[[#This Row],[DISCOUNT 2]]</f>
        <v>0</v>
      </c>
      <c r="M169" s="194">
        <f>IF(OR(_1_541284561214624104645789101745678[[#This Row],[UNIT]]&gt;0,_1_541284561214624104645789101745678[[#This Row],[UNIT]]&lt;0),_1_541284561214624104645789101745678[[#This Row],[UNIT]]*_1_541284561214624104645789101745678[[#This Row],[COST]],0)</f>
        <v>0</v>
      </c>
      <c r="N169" s="194">
        <f t="shared" si="2"/>
        <v>1.3</v>
      </c>
      <c r="O169" s="198">
        <f>_1_541284561214624104645789101745678[[#This Row],[TOTAL]]*_1_541284561214624104645789101745678[[#This Row],[MARGIN]]</f>
        <v>0</v>
      </c>
      <c r="R169" s="41"/>
    </row>
    <row r="170" spans="1:18">
      <c r="B170" s="168"/>
      <c r="C170" s="168"/>
      <c r="D170" s="188"/>
      <c r="F170" s="168" t="s">
        <v>6202</v>
      </c>
      <c r="G170" s="193">
        <f>IF(_1_541284561214624104645789101745678[[#This Row],[Type]]&gt;0,VLOOKUP(_1_541284561214624104645789101745678[[#This Row],[Type]],Main[[#All],[TYPE]:[UNIT]],'Unit Price'!C$1,FALSE),0)</f>
        <v>0</v>
      </c>
      <c r="H170" s="197">
        <f>IF(_1_541284561214624104645789101745678[[#This Row],[Type]]&gt;0,VLOOKUP(_1_541284561214624104645789101745678[[#This Row],[Type]],Main[[#All],[TYPE]:[UNIT]],'Unit Price'!D$1,FALSE),0)</f>
        <v>0</v>
      </c>
      <c r="I170" s="194">
        <f>IF(_1_541284561214624104645789101745678[[#This Row],[Type]]&gt;0,VLOOKUP(_1_541284561214624104645789101745678[[#This Row],[Type]],Main[[#All],[TYPE]:[UNIT]],'Unit Price'!G$1,FALSE),0)</f>
        <v>0</v>
      </c>
      <c r="J170" s="194">
        <f>IF(_1_541284561214624104645789101745678[[#This Row],[Type]]&gt;0,VLOOKUP(_1_541284561214624104645789101745678[[#This Row],[Type]],Main[[#All],[TYPE]:[UNIT]],'Unit Price'!H$1,FALSE),0)</f>
        <v>0</v>
      </c>
      <c r="K170" s="194">
        <f>IF(_1_541284561214624104645789101745678[[#This Row],[Discount selection]]&gt;0,VLOOKUP(_1_541284561214624104645789101745678[[#This Row],[Discount selection]],'Discount Structure'!$A$2:$B$30,2,"false"),0)</f>
        <v>1</v>
      </c>
      <c r="L170" s="194">
        <f>_1_541284561214624104645789101745678[[#This Row],[LIST $]]*_1_541284561214624104645789101745678[[#This Row],[DISCOUNT]]*_1_541284561214624104645789101745678[[#This Row],[DISCOUNT 2]]</f>
        <v>0</v>
      </c>
      <c r="M170" s="194">
        <f>IF(OR(_1_541284561214624104645789101745678[[#This Row],[UNIT]]&gt;0,_1_541284561214624104645789101745678[[#This Row],[UNIT]]&lt;0),_1_541284561214624104645789101745678[[#This Row],[UNIT]]*_1_541284561214624104645789101745678[[#This Row],[COST]],0)</f>
        <v>0</v>
      </c>
      <c r="N170" s="194">
        <f t="shared" si="2"/>
        <v>1.3</v>
      </c>
      <c r="O170" s="198">
        <f>_1_541284561214624104645789101745678[[#This Row],[TOTAL]]*_1_541284561214624104645789101745678[[#This Row],[MARGIN]]</f>
        <v>0</v>
      </c>
      <c r="R170" s="41"/>
    </row>
    <row r="171" spans="1:18">
      <c r="C171" s="168"/>
      <c r="D171" s="188"/>
      <c r="F171" s="168" t="s">
        <v>6202</v>
      </c>
      <c r="G171" s="193">
        <f>IF(_1_541284561214624104645789101745678[[#This Row],[Type]]&gt;0,VLOOKUP(_1_541284561214624104645789101745678[[#This Row],[Type]],Main[[#All],[TYPE]:[UNIT]],'Unit Price'!C$1,FALSE),0)</f>
        <v>0</v>
      </c>
      <c r="H171" s="197">
        <f>IF(_1_541284561214624104645789101745678[[#This Row],[Type]]&gt;0,VLOOKUP(_1_541284561214624104645789101745678[[#This Row],[Type]],Main[[#All],[TYPE]:[UNIT]],'Unit Price'!D$1,FALSE),0)</f>
        <v>0</v>
      </c>
      <c r="I171" s="194">
        <f>IF(_1_541284561214624104645789101745678[[#This Row],[Type]]&gt;0,VLOOKUP(_1_541284561214624104645789101745678[[#This Row],[Type]],Main[[#All],[TYPE]:[UNIT]],'Unit Price'!G$1,FALSE),0)</f>
        <v>0</v>
      </c>
      <c r="J171" s="194">
        <f>IF(_1_541284561214624104645789101745678[[#This Row],[Type]]&gt;0,VLOOKUP(_1_541284561214624104645789101745678[[#This Row],[Type]],Main[[#All],[TYPE]:[UNIT]],'Unit Price'!H$1,FALSE),0)</f>
        <v>0</v>
      </c>
      <c r="K171" s="194">
        <f>IF(_1_541284561214624104645789101745678[[#This Row],[Discount selection]]&gt;0,VLOOKUP(_1_541284561214624104645789101745678[[#This Row],[Discount selection]],'Discount Structure'!$A$2:$B$30,2,"false"),0)</f>
        <v>1</v>
      </c>
      <c r="L171" s="194">
        <f>_1_541284561214624104645789101745678[[#This Row],[LIST $]]*_1_541284561214624104645789101745678[[#This Row],[DISCOUNT]]*_1_541284561214624104645789101745678[[#This Row],[DISCOUNT 2]]</f>
        <v>0</v>
      </c>
      <c r="M171" s="194">
        <f>IF(OR(_1_541284561214624104645789101745678[[#This Row],[UNIT]]&gt;0,_1_541284561214624104645789101745678[[#This Row],[UNIT]]&lt;0),_1_541284561214624104645789101745678[[#This Row],[UNIT]]*_1_541284561214624104645789101745678[[#This Row],[COST]],0)</f>
        <v>0</v>
      </c>
      <c r="N171" s="194">
        <f t="shared" si="2"/>
        <v>1.3</v>
      </c>
      <c r="O171" s="198">
        <f>_1_541284561214624104645789101745678[[#This Row],[TOTAL]]*_1_541284561214624104645789101745678[[#This Row],[MARGIN]]</f>
        <v>0</v>
      </c>
      <c r="R171" s="41"/>
    </row>
    <row r="172" spans="1:18">
      <c r="C172" s="168"/>
      <c r="D172" s="188"/>
      <c r="F172" s="168" t="s">
        <v>6202</v>
      </c>
      <c r="G172" s="193">
        <f>IF(_1_541284561214624104645789101745678[[#This Row],[Type]]&gt;0,VLOOKUP(_1_541284561214624104645789101745678[[#This Row],[Type]],Main[[#All],[TYPE]:[UNIT]],'Unit Price'!C$1,FALSE),0)</f>
        <v>0</v>
      </c>
      <c r="H172" s="197">
        <f>IF(_1_541284561214624104645789101745678[[#This Row],[Type]]&gt;0,VLOOKUP(_1_541284561214624104645789101745678[[#This Row],[Type]],Main[[#All],[TYPE]:[UNIT]],'Unit Price'!D$1,FALSE),0)</f>
        <v>0</v>
      </c>
      <c r="I172" s="194">
        <f>IF(_1_541284561214624104645789101745678[[#This Row],[Type]]&gt;0,VLOOKUP(_1_541284561214624104645789101745678[[#This Row],[Type]],Main[[#All],[TYPE]:[UNIT]],'Unit Price'!G$1,FALSE),0)</f>
        <v>0</v>
      </c>
      <c r="J172" s="194">
        <f>IF(_1_541284561214624104645789101745678[[#This Row],[Type]]&gt;0,VLOOKUP(_1_541284561214624104645789101745678[[#This Row],[Type]],Main[[#All],[TYPE]:[UNIT]],'Unit Price'!H$1,FALSE),0)</f>
        <v>0</v>
      </c>
      <c r="K172" s="194">
        <f>IF(_1_541284561214624104645789101745678[[#This Row],[Discount selection]]&gt;0,VLOOKUP(_1_541284561214624104645789101745678[[#This Row],[Discount selection]],'Discount Structure'!$A$2:$B$30,2,"false"),0)</f>
        <v>1</v>
      </c>
      <c r="L172" s="194">
        <f>_1_541284561214624104645789101745678[[#This Row],[LIST $]]*_1_541284561214624104645789101745678[[#This Row],[DISCOUNT]]*_1_541284561214624104645789101745678[[#This Row],[DISCOUNT 2]]</f>
        <v>0</v>
      </c>
      <c r="M172" s="194">
        <f>IF(OR(_1_541284561214624104645789101745678[[#This Row],[UNIT]]&gt;0,_1_541284561214624104645789101745678[[#This Row],[UNIT]]&lt;0),_1_541284561214624104645789101745678[[#This Row],[UNIT]]*_1_541284561214624104645789101745678[[#This Row],[COST]],0)</f>
        <v>0</v>
      </c>
      <c r="N172" s="194">
        <f t="shared" si="2"/>
        <v>1.3</v>
      </c>
      <c r="O172" s="198">
        <f>_1_541284561214624104645789101745678[[#This Row],[TOTAL]]*_1_541284561214624104645789101745678[[#This Row],[MARGIN]]</f>
        <v>0</v>
      </c>
      <c r="R172" s="41"/>
    </row>
    <row r="173" spans="1:18">
      <c r="C173" s="168"/>
      <c r="D173" s="188"/>
      <c r="F173" s="168" t="s">
        <v>6202</v>
      </c>
      <c r="G173" s="193">
        <f>IF(_1_541284561214624104645789101745678[[#This Row],[Type]]&gt;0,VLOOKUP(_1_541284561214624104645789101745678[[#This Row],[Type]],Main[[#All],[TYPE]:[UNIT]],'Unit Price'!C$1,FALSE),0)</f>
        <v>0</v>
      </c>
      <c r="H173" s="197">
        <f>IF(_1_541284561214624104645789101745678[[#This Row],[Type]]&gt;0,VLOOKUP(_1_541284561214624104645789101745678[[#This Row],[Type]],Main[[#All],[TYPE]:[UNIT]],'Unit Price'!D$1,FALSE),0)</f>
        <v>0</v>
      </c>
      <c r="I173" s="194">
        <f>IF(_1_541284561214624104645789101745678[[#This Row],[Type]]&gt;0,VLOOKUP(_1_541284561214624104645789101745678[[#This Row],[Type]],Main[[#All],[TYPE]:[UNIT]],'Unit Price'!G$1,FALSE),0)</f>
        <v>0</v>
      </c>
      <c r="J173" s="194">
        <f>IF(_1_541284561214624104645789101745678[[#This Row],[Type]]&gt;0,VLOOKUP(_1_541284561214624104645789101745678[[#This Row],[Type]],Main[[#All],[TYPE]:[UNIT]],'Unit Price'!H$1,FALSE),0)</f>
        <v>0</v>
      </c>
      <c r="K173" s="194">
        <f>IF(_1_541284561214624104645789101745678[[#This Row],[Discount selection]]&gt;0,VLOOKUP(_1_541284561214624104645789101745678[[#This Row],[Discount selection]],'Discount Structure'!$A$2:$B$30,2,"false"),0)</f>
        <v>1</v>
      </c>
      <c r="L173" s="194">
        <f>_1_541284561214624104645789101745678[[#This Row],[LIST $]]*_1_541284561214624104645789101745678[[#This Row],[DISCOUNT]]*_1_541284561214624104645789101745678[[#This Row],[DISCOUNT 2]]</f>
        <v>0</v>
      </c>
      <c r="M173" s="194">
        <f>IF(OR(_1_541284561214624104645789101745678[[#This Row],[UNIT]]&gt;0,_1_541284561214624104645789101745678[[#This Row],[UNIT]]&lt;0),_1_541284561214624104645789101745678[[#This Row],[UNIT]]*_1_541284561214624104645789101745678[[#This Row],[COST]],0)</f>
        <v>0</v>
      </c>
      <c r="N173" s="194">
        <f t="shared" si="2"/>
        <v>1.3</v>
      </c>
      <c r="O173" s="198">
        <f>_1_541284561214624104645789101745678[[#This Row],[TOTAL]]*_1_541284561214624104645789101745678[[#This Row],[MARGIN]]</f>
        <v>0</v>
      </c>
      <c r="R173" s="41"/>
    </row>
    <row r="174" spans="1:18">
      <c r="C174" s="168"/>
      <c r="D174" s="188"/>
      <c r="F174" s="168" t="s">
        <v>6202</v>
      </c>
      <c r="G174" s="193">
        <f>IF(_1_541284561214624104645789101745678[[#This Row],[Type]]&gt;0,VLOOKUP(_1_541284561214624104645789101745678[[#This Row],[Type]],Main[[#All],[TYPE]:[UNIT]],'Unit Price'!C$1,FALSE),0)</f>
        <v>0</v>
      </c>
      <c r="H174" s="197">
        <f>IF(_1_541284561214624104645789101745678[[#This Row],[Type]]&gt;0,VLOOKUP(_1_541284561214624104645789101745678[[#This Row],[Type]],Main[[#All],[TYPE]:[UNIT]],'Unit Price'!D$1,FALSE),0)</f>
        <v>0</v>
      </c>
      <c r="I174" s="194">
        <f>IF(_1_541284561214624104645789101745678[[#This Row],[Type]]&gt;0,VLOOKUP(_1_541284561214624104645789101745678[[#This Row],[Type]],Main[[#All],[TYPE]:[UNIT]],'Unit Price'!G$1,FALSE),0)</f>
        <v>0</v>
      </c>
      <c r="J174" s="194">
        <f>IF(_1_541284561214624104645789101745678[[#This Row],[Type]]&gt;0,VLOOKUP(_1_541284561214624104645789101745678[[#This Row],[Type]],Main[[#All],[TYPE]:[UNIT]],'Unit Price'!H$1,FALSE),0)</f>
        <v>0</v>
      </c>
      <c r="K174" s="194">
        <f>IF(_1_541284561214624104645789101745678[[#This Row],[Discount selection]]&gt;0,VLOOKUP(_1_541284561214624104645789101745678[[#This Row],[Discount selection]],'Discount Structure'!$A$2:$B$30,2,"false"),0)</f>
        <v>1</v>
      </c>
      <c r="L174" s="194">
        <f>_1_541284561214624104645789101745678[[#This Row],[LIST $]]*_1_541284561214624104645789101745678[[#This Row],[DISCOUNT]]*_1_541284561214624104645789101745678[[#This Row],[DISCOUNT 2]]</f>
        <v>0</v>
      </c>
      <c r="M174" s="194">
        <f>IF(OR(_1_541284561214624104645789101745678[[#This Row],[UNIT]]&gt;0,_1_541284561214624104645789101745678[[#This Row],[UNIT]]&lt;0),_1_541284561214624104645789101745678[[#This Row],[UNIT]]*_1_541284561214624104645789101745678[[#This Row],[COST]],0)</f>
        <v>0</v>
      </c>
      <c r="N174" s="194">
        <f t="shared" si="2"/>
        <v>1.3</v>
      </c>
      <c r="O174" s="198">
        <f>_1_541284561214624104645789101745678[[#This Row],[TOTAL]]*_1_541284561214624104645789101745678[[#This Row],[MARGIN]]</f>
        <v>0</v>
      </c>
      <c r="R174" s="41"/>
    </row>
    <row r="175" spans="1:18">
      <c r="C175" s="168"/>
      <c r="D175" s="188"/>
      <c r="F175" s="168" t="s">
        <v>6202</v>
      </c>
      <c r="G175" s="193">
        <f>IF(_1_541284561214624104645789101745678[[#This Row],[Type]]&gt;0,VLOOKUP(_1_541284561214624104645789101745678[[#This Row],[Type]],Main[[#All],[TYPE]:[UNIT]],'Unit Price'!C$1,FALSE),0)</f>
        <v>0</v>
      </c>
      <c r="H175" s="197">
        <f>IF(_1_541284561214624104645789101745678[[#This Row],[Type]]&gt;0,VLOOKUP(_1_541284561214624104645789101745678[[#This Row],[Type]],Main[[#All],[TYPE]:[UNIT]],'Unit Price'!D$1,FALSE),0)</f>
        <v>0</v>
      </c>
      <c r="I175" s="194">
        <f>IF(_1_541284561214624104645789101745678[[#This Row],[Type]]&gt;0,VLOOKUP(_1_541284561214624104645789101745678[[#This Row],[Type]],Main[[#All],[TYPE]:[UNIT]],'Unit Price'!G$1,FALSE),0)</f>
        <v>0</v>
      </c>
      <c r="J175" s="194">
        <f>IF(_1_541284561214624104645789101745678[[#This Row],[Type]]&gt;0,VLOOKUP(_1_541284561214624104645789101745678[[#This Row],[Type]],Main[[#All],[TYPE]:[UNIT]],'Unit Price'!H$1,FALSE),0)</f>
        <v>0</v>
      </c>
      <c r="K175" s="194">
        <f>IF(_1_541284561214624104645789101745678[[#This Row],[Discount selection]]&gt;0,VLOOKUP(_1_541284561214624104645789101745678[[#This Row],[Discount selection]],'Discount Structure'!$A$2:$B$30,2,"false"),0)</f>
        <v>1</v>
      </c>
      <c r="L175" s="194">
        <f>_1_541284561214624104645789101745678[[#This Row],[LIST $]]*_1_541284561214624104645789101745678[[#This Row],[DISCOUNT]]*_1_541284561214624104645789101745678[[#This Row],[DISCOUNT 2]]</f>
        <v>0</v>
      </c>
      <c r="M175" s="194">
        <f>IF(OR(_1_541284561214624104645789101745678[[#This Row],[UNIT]]&gt;0,_1_541284561214624104645789101745678[[#This Row],[UNIT]]&lt;0),_1_541284561214624104645789101745678[[#This Row],[UNIT]]*_1_541284561214624104645789101745678[[#This Row],[COST]],0)</f>
        <v>0</v>
      </c>
      <c r="N175" s="194">
        <f t="shared" si="2"/>
        <v>1.3</v>
      </c>
      <c r="O175" s="198">
        <f>_1_541284561214624104645789101745678[[#This Row],[TOTAL]]*_1_541284561214624104645789101745678[[#This Row],[MARGIN]]</f>
        <v>0</v>
      </c>
      <c r="R175" s="41"/>
    </row>
    <row r="176" spans="1:18">
      <c r="C176" s="168"/>
      <c r="D176" s="188"/>
      <c r="F176" s="168" t="s">
        <v>6202</v>
      </c>
      <c r="G176" s="193">
        <f>IF(_1_541284561214624104645789101745678[[#This Row],[Type]]&gt;0,VLOOKUP(_1_541284561214624104645789101745678[[#This Row],[Type]],Main[[#All],[TYPE]:[UNIT]],'Unit Price'!C$1,FALSE),0)</f>
        <v>0</v>
      </c>
      <c r="H176" s="197">
        <f>IF(_1_541284561214624104645789101745678[[#This Row],[Type]]&gt;0,VLOOKUP(_1_541284561214624104645789101745678[[#This Row],[Type]],Main[[#All],[TYPE]:[UNIT]],'Unit Price'!D$1,FALSE),0)</f>
        <v>0</v>
      </c>
      <c r="I176" s="194">
        <f>IF(_1_541284561214624104645789101745678[[#This Row],[Type]]&gt;0,VLOOKUP(_1_541284561214624104645789101745678[[#This Row],[Type]],Main[[#All],[TYPE]:[UNIT]],'Unit Price'!G$1,FALSE),0)</f>
        <v>0</v>
      </c>
      <c r="J176" s="194">
        <f>IF(_1_541284561214624104645789101745678[[#This Row],[Type]]&gt;0,VLOOKUP(_1_541284561214624104645789101745678[[#This Row],[Type]],Main[[#All],[TYPE]:[UNIT]],'Unit Price'!H$1,FALSE),0)</f>
        <v>0</v>
      </c>
      <c r="K176" s="194">
        <f>IF(_1_541284561214624104645789101745678[[#This Row],[Discount selection]]&gt;0,VLOOKUP(_1_541284561214624104645789101745678[[#This Row],[Discount selection]],'Discount Structure'!$A$2:$B$30,2,"false"),0)</f>
        <v>1</v>
      </c>
      <c r="L176" s="194">
        <f>_1_541284561214624104645789101745678[[#This Row],[LIST $]]*_1_541284561214624104645789101745678[[#This Row],[DISCOUNT]]*_1_541284561214624104645789101745678[[#This Row],[DISCOUNT 2]]</f>
        <v>0</v>
      </c>
      <c r="M176" s="194">
        <f>IF(OR(_1_541284561214624104645789101745678[[#This Row],[UNIT]]&gt;0,_1_541284561214624104645789101745678[[#This Row],[UNIT]]&lt;0),_1_541284561214624104645789101745678[[#This Row],[UNIT]]*_1_541284561214624104645789101745678[[#This Row],[COST]],0)</f>
        <v>0</v>
      </c>
      <c r="N176" s="194">
        <f t="shared" si="2"/>
        <v>1.3</v>
      </c>
      <c r="O176" s="198">
        <f>_1_541284561214624104645789101745678[[#This Row],[TOTAL]]*_1_541284561214624104645789101745678[[#This Row],[MARGIN]]</f>
        <v>0</v>
      </c>
      <c r="R176" s="41"/>
    </row>
    <row r="177" spans="2:18">
      <c r="C177" s="168"/>
      <c r="D177" s="188"/>
      <c r="F177" s="168" t="s">
        <v>6202</v>
      </c>
      <c r="G177" s="193">
        <f>IF(_1_541284561214624104645789101745678[[#This Row],[Type]]&gt;0,VLOOKUP(_1_541284561214624104645789101745678[[#This Row],[Type]],Main[[#All],[TYPE]:[UNIT]],'Unit Price'!C$1,FALSE),0)</f>
        <v>0</v>
      </c>
      <c r="H177" s="197">
        <f>IF(_1_541284561214624104645789101745678[[#This Row],[Type]]&gt;0,VLOOKUP(_1_541284561214624104645789101745678[[#This Row],[Type]],Main[[#All],[TYPE]:[UNIT]],'Unit Price'!D$1,FALSE),0)</f>
        <v>0</v>
      </c>
      <c r="I177" s="194">
        <f>IF(_1_541284561214624104645789101745678[[#This Row],[Type]]&gt;0,VLOOKUP(_1_541284561214624104645789101745678[[#This Row],[Type]],Main[[#All],[TYPE]:[UNIT]],'Unit Price'!G$1,FALSE),0)</f>
        <v>0</v>
      </c>
      <c r="J177" s="194">
        <f>IF(_1_541284561214624104645789101745678[[#This Row],[Type]]&gt;0,VLOOKUP(_1_541284561214624104645789101745678[[#This Row],[Type]],Main[[#All],[TYPE]:[UNIT]],'Unit Price'!H$1,FALSE),0)</f>
        <v>0</v>
      </c>
      <c r="K177" s="194">
        <f>IF(_1_541284561214624104645789101745678[[#This Row],[Discount selection]]&gt;0,VLOOKUP(_1_541284561214624104645789101745678[[#This Row],[Discount selection]],'Discount Structure'!$A$2:$B$30,2,"false"),0)</f>
        <v>1</v>
      </c>
      <c r="L177" s="194">
        <f>_1_541284561214624104645789101745678[[#This Row],[LIST $]]*_1_541284561214624104645789101745678[[#This Row],[DISCOUNT]]*_1_541284561214624104645789101745678[[#This Row],[DISCOUNT 2]]</f>
        <v>0</v>
      </c>
      <c r="M177" s="194">
        <f>IF(OR(_1_541284561214624104645789101745678[[#This Row],[UNIT]]&gt;0,_1_541284561214624104645789101745678[[#This Row],[UNIT]]&lt;0),_1_541284561214624104645789101745678[[#This Row],[UNIT]]*_1_541284561214624104645789101745678[[#This Row],[COST]],0)</f>
        <v>0</v>
      </c>
      <c r="N177" s="194">
        <f t="shared" si="2"/>
        <v>1.3</v>
      </c>
      <c r="O177" s="198">
        <f>_1_541284561214624104645789101745678[[#This Row],[TOTAL]]*_1_541284561214624104645789101745678[[#This Row],[MARGIN]]</f>
        <v>0</v>
      </c>
      <c r="R177" s="41"/>
    </row>
    <row r="178" spans="2:18">
      <c r="C178" s="168"/>
      <c r="D178" s="188"/>
      <c r="F178" s="168" t="s">
        <v>6202</v>
      </c>
      <c r="G178" s="193">
        <f>IF(_1_541284561214624104645789101745678[[#This Row],[Type]]&gt;0,VLOOKUP(_1_541284561214624104645789101745678[[#This Row],[Type]],Main[[#All],[TYPE]:[UNIT]],'Unit Price'!C$1,FALSE),0)</f>
        <v>0</v>
      </c>
      <c r="H178" s="197">
        <f>IF(_1_541284561214624104645789101745678[[#This Row],[Type]]&gt;0,VLOOKUP(_1_541284561214624104645789101745678[[#This Row],[Type]],Main[[#All],[TYPE]:[UNIT]],'Unit Price'!D$1,FALSE),0)</f>
        <v>0</v>
      </c>
      <c r="I178" s="194">
        <f>IF(_1_541284561214624104645789101745678[[#This Row],[Type]]&gt;0,VLOOKUP(_1_541284561214624104645789101745678[[#This Row],[Type]],Main[[#All],[TYPE]:[UNIT]],'Unit Price'!G$1,FALSE),0)</f>
        <v>0</v>
      </c>
      <c r="J178" s="194">
        <f>IF(_1_541284561214624104645789101745678[[#This Row],[Type]]&gt;0,VLOOKUP(_1_541284561214624104645789101745678[[#This Row],[Type]],Main[[#All],[TYPE]:[UNIT]],'Unit Price'!H$1,FALSE),0)</f>
        <v>0</v>
      </c>
      <c r="K178" s="194">
        <f>IF(_1_541284561214624104645789101745678[[#This Row],[Discount selection]]&gt;0,VLOOKUP(_1_541284561214624104645789101745678[[#This Row],[Discount selection]],'Discount Structure'!$A$2:$B$30,2,"false"),0)</f>
        <v>1</v>
      </c>
      <c r="L178" s="194">
        <f>_1_541284561214624104645789101745678[[#This Row],[LIST $]]*_1_541284561214624104645789101745678[[#This Row],[DISCOUNT]]*_1_541284561214624104645789101745678[[#This Row],[DISCOUNT 2]]</f>
        <v>0</v>
      </c>
      <c r="M178" s="194">
        <f>IF(OR(_1_541284561214624104645789101745678[[#This Row],[UNIT]]&gt;0,_1_541284561214624104645789101745678[[#This Row],[UNIT]]&lt;0),_1_541284561214624104645789101745678[[#This Row],[UNIT]]*_1_541284561214624104645789101745678[[#This Row],[COST]],0)</f>
        <v>0</v>
      </c>
      <c r="N178" s="194">
        <f t="shared" si="2"/>
        <v>1.3</v>
      </c>
      <c r="O178" s="198">
        <f>_1_541284561214624104645789101745678[[#This Row],[TOTAL]]*_1_541284561214624104645789101745678[[#This Row],[MARGIN]]</f>
        <v>0</v>
      </c>
      <c r="R178" s="41"/>
    </row>
    <row r="179" spans="2:18">
      <c r="C179" s="168"/>
      <c r="D179" s="188"/>
      <c r="F179" s="168" t="s">
        <v>6202</v>
      </c>
      <c r="G179" s="193">
        <f>IF(_1_541284561214624104645789101745678[[#This Row],[Type]]&gt;0,VLOOKUP(_1_541284561214624104645789101745678[[#This Row],[Type]],Main[[#All],[TYPE]:[UNIT]],'Unit Price'!C$1,FALSE),0)</f>
        <v>0</v>
      </c>
      <c r="H179" s="197">
        <f>IF(_1_541284561214624104645789101745678[[#This Row],[Type]]&gt;0,VLOOKUP(_1_541284561214624104645789101745678[[#This Row],[Type]],Main[[#All],[TYPE]:[UNIT]],'Unit Price'!D$1,FALSE),0)</f>
        <v>0</v>
      </c>
      <c r="I179" s="194">
        <f>IF(_1_541284561214624104645789101745678[[#This Row],[Type]]&gt;0,VLOOKUP(_1_541284561214624104645789101745678[[#This Row],[Type]],Main[[#All],[TYPE]:[UNIT]],'Unit Price'!G$1,FALSE),0)</f>
        <v>0</v>
      </c>
      <c r="J179" s="194">
        <f>IF(_1_541284561214624104645789101745678[[#This Row],[Type]]&gt;0,VLOOKUP(_1_541284561214624104645789101745678[[#This Row],[Type]],Main[[#All],[TYPE]:[UNIT]],'Unit Price'!H$1,FALSE),0)</f>
        <v>0</v>
      </c>
      <c r="K179" s="194">
        <f>IF(_1_541284561214624104645789101745678[[#This Row],[Discount selection]]&gt;0,VLOOKUP(_1_541284561214624104645789101745678[[#This Row],[Discount selection]],'Discount Structure'!$A$2:$B$30,2,"false"),0)</f>
        <v>1</v>
      </c>
      <c r="L179" s="194">
        <f>_1_541284561214624104645789101745678[[#This Row],[LIST $]]*_1_541284561214624104645789101745678[[#This Row],[DISCOUNT]]*_1_541284561214624104645789101745678[[#This Row],[DISCOUNT 2]]</f>
        <v>0</v>
      </c>
      <c r="M179" s="194">
        <f>IF(OR(_1_541284561214624104645789101745678[[#This Row],[UNIT]]&gt;0,_1_541284561214624104645789101745678[[#This Row],[UNIT]]&lt;0),_1_541284561214624104645789101745678[[#This Row],[UNIT]]*_1_541284561214624104645789101745678[[#This Row],[COST]],0)</f>
        <v>0</v>
      </c>
      <c r="N179" s="194">
        <f t="shared" si="2"/>
        <v>1.3</v>
      </c>
      <c r="O179" s="198">
        <f>_1_541284561214624104645789101745678[[#This Row],[TOTAL]]*_1_541284561214624104645789101745678[[#This Row],[MARGIN]]</f>
        <v>0</v>
      </c>
      <c r="R179" s="41"/>
    </row>
    <row r="180" spans="2:18">
      <c r="C180" s="168"/>
      <c r="D180" s="188"/>
      <c r="F180" s="168" t="s">
        <v>6202</v>
      </c>
      <c r="G180" s="193">
        <f>IF(_1_541284561214624104645789101745678[[#This Row],[Type]]&gt;0,VLOOKUP(_1_541284561214624104645789101745678[[#This Row],[Type]],Main[[#All],[TYPE]:[UNIT]],'Unit Price'!C$1,FALSE),0)</f>
        <v>0</v>
      </c>
      <c r="H180" s="197">
        <f>IF(_1_541284561214624104645789101745678[[#This Row],[Type]]&gt;0,VLOOKUP(_1_541284561214624104645789101745678[[#This Row],[Type]],Main[[#All],[TYPE]:[UNIT]],'Unit Price'!D$1,FALSE),0)</f>
        <v>0</v>
      </c>
      <c r="I180" s="194">
        <f>IF(_1_541284561214624104645789101745678[[#This Row],[Type]]&gt;0,VLOOKUP(_1_541284561214624104645789101745678[[#This Row],[Type]],Main[[#All],[TYPE]:[UNIT]],'Unit Price'!G$1,FALSE),0)</f>
        <v>0</v>
      </c>
      <c r="J180" s="194">
        <f>IF(_1_541284561214624104645789101745678[[#This Row],[Type]]&gt;0,VLOOKUP(_1_541284561214624104645789101745678[[#This Row],[Type]],Main[[#All],[TYPE]:[UNIT]],'Unit Price'!H$1,FALSE),0)</f>
        <v>0</v>
      </c>
      <c r="K180" s="194">
        <f>IF(_1_541284561214624104645789101745678[[#This Row],[Discount selection]]&gt;0,VLOOKUP(_1_541284561214624104645789101745678[[#This Row],[Discount selection]],'Discount Structure'!$A$2:$B$30,2,"false"),0)</f>
        <v>1</v>
      </c>
      <c r="L180" s="194">
        <f>_1_541284561214624104645789101745678[[#This Row],[LIST $]]*_1_541284561214624104645789101745678[[#This Row],[DISCOUNT]]*_1_541284561214624104645789101745678[[#This Row],[DISCOUNT 2]]</f>
        <v>0</v>
      </c>
      <c r="M180" s="194">
        <f>IF(OR(_1_541284561214624104645789101745678[[#This Row],[UNIT]]&gt;0,_1_541284561214624104645789101745678[[#This Row],[UNIT]]&lt;0),_1_541284561214624104645789101745678[[#This Row],[UNIT]]*_1_541284561214624104645789101745678[[#This Row],[COST]],0)</f>
        <v>0</v>
      </c>
      <c r="N180" s="194">
        <f t="shared" si="2"/>
        <v>1.3</v>
      </c>
      <c r="O180" s="198">
        <f>_1_541284561214624104645789101745678[[#This Row],[TOTAL]]*_1_541284561214624104645789101745678[[#This Row],[MARGIN]]</f>
        <v>0</v>
      </c>
      <c r="R180" s="41"/>
    </row>
    <row r="181" spans="2:18">
      <c r="C181" s="168"/>
      <c r="D181" s="188"/>
      <c r="F181" s="168" t="s">
        <v>6202</v>
      </c>
      <c r="G181" s="193">
        <f>IF(_1_541284561214624104645789101745678[[#This Row],[Type]]&gt;0,VLOOKUP(_1_541284561214624104645789101745678[[#This Row],[Type]],Main[[#All],[TYPE]:[UNIT]],'Unit Price'!C$1,FALSE),0)</f>
        <v>0</v>
      </c>
      <c r="H181" s="197">
        <f>IF(_1_541284561214624104645789101745678[[#This Row],[Type]]&gt;0,VLOOKUP(_1_541284561214624104645789101745678[[#This Row],[Type]],Main[[#All],[TYPE]:[UNIT]],'Unit Price'!D$1,FALSE),0)</f>
        <v>0</v>
      </c>
      <c r="I181" s="194">
        <f>IF(_1_541284561214624104645789101745678[[#This Row],[Type]]&gt;0,VLOOKUP(_1_541284561214624104645789101745678[[#This Row],[Type]],Main[[#All],[TYPE]:[UNIT]],'Unit Price'!G$1,FALSE),0)</f>
        <v>0</v>
      </c>
      <c r="J181" s="194">
        <f>IF(_1_541284561214624104645789101745678[[#This Row],[Type]]&gt;0,VLOOKUP(_1_541284561214624104645789101745678[[#This Row],[Type]],Main[[#All],[TYPE]:[UNIT]],'Unit Price'!H$1,FALSE),0)</f>
        <v>0</v>
      </c>
      <c r="K181" s="194">
        <f>IF(_1_541284561214624104645789101745678[[#This Row],[Discount selection]]&gt;0,VLOOKUP(_1_541284561214624104645789101745678[[#This Row],[Discount selection]],'Discount Structure'!$A$2:$B$30,2,"false"),0)</f>
        <v>1</v>
      </c>
      <c r="L181" s="194">
        <f>_1_541284561214624104645789101745678[[#This Row],[LIST $]]*_1_541284561214624104645789101745678[[#This Row],[DISCOUNT]]*_1_541284561214624104645789101745678[[#This Row],[DISCOUNT 2]]</f>
        <v>0</v>
      </c>
      <c r="M181" s="194">
        <f>IF(OR(_1_541284561214624104645789101745678[[#This Row],[UNIT]]&gt;0,_1_541284561214624104645789101745678[[#This Row],[UNIT]]&lt;0),_1_541284561214624104645789101745678[[#This Row],[UNIT]]*_1_541284561214624104645789101745678[[#This Row],[COST]],0)</f>
        <v>0</v>
      </c>
      <c r="N181" s="194">
        <f t="shared" si="2"/>
        <v>1.3</v>
      </c>
      <c r="O181" s="198">
        <f>_1_541284561214624104645789101745678[[#This Row],[TOTAL]]*_1_541284561214624104645789101745678[[#This Row],[MARGIN]]</f>
        <v>0</v>
      </c>
      <c r="R181" s="41"/>
    </row>
    <row r="182" spans="2:18">
      <c r="C182" s="168"/>
      <c r="D182" s="188"/>
      <c r="F182" s="168" t="s">
        <v>6202</v>
      </c>
      <c r="G182" s="193">
        <f>IF(_1_541284561214624104645789101745678[[#This Row],[Type]]&gt;0,VLOOKUP(_1_541284561214624104645789101745678[[#This Row],[Type]],Main[[#All],[TYPE]:[UNIT]],'Unit Price'!C$1,FALSE),0)</f>
        <v>0</v>
      </c>
      <c r="H182" s="197">
        <f>IF(_1_541284561214624104645789101745678[[#This Row],[Type]]&gt;0,VLOOKUP(_1_541284561214624104645789101745678[[#This Row],[Type]],Main[[#All],[TYPE]:[UNIT]],'Unit Price'!D$1,FALSE),0)</f>
        <v>0</v>
      </c>
      <c r="I182" s="194">
        <f>IF(_1_541284561214624104645789101745678[[#This Row],[Type]]&gt;0,VLOOKUP(_1_541284561214624104645789101745678[[#This Row],[Type]],Main[[#All],[TYPE]:[UNIT]],'Unit Price'!G$1,FALSE),0)</f>
        <v>0</v>
      </c>
      <c r="J182" s="194">
        <f>IF(_1_541284561214624104645789101745678[[#This Row],[Type]]&gt;0,VLOOKUP(_1_541284561214624104645789101745678[[#This Row],[Type]],Main[[#All],[TYPE]:[UNIT]],'Unit Price'!H$1,FALSE),0)</f>
        <v>0</v>
      </c>
      <c r="K182" s="194">
        <f>IF(_1_541284561214624104645789101745678[[#This Row],[Discount selection]]&gt;0,VLOOKUP(_1_541284561214624104645789101745678[[#This Row],[Discount selection]],'Discount Structure'!$A$2:$B$30,2,"false"),0)</f>
        <v>1</v>
      </c>
      <c r="L182" s="194">
        <f>_1_541284561214624104645789101745678[[#This Row],[LIST $]]*_1_541284561214624104645789101745678[[#This Row],[DISCOUNT]]*_1_541284561214624104645789101745678[[#This Row],[DISCOUNT 2]]</f>
        <v>0</v>
      </c>
      <c r="M182" s="194">
        <f>IF(OR(_1_541284561214624104645789101745678[[#This Row],[UNIT]]&gt;0,_1_541284561214624104645789101745678[[#This Row],[UNIT]]&lt;0),_1_541284561214624104645789101745678[[#This Row],[UNIT]]*_1_541284561214624104645789101745678[[#This Row],[COST]],0)</f>
        <v>0</v>
      </c>
      <c r="N182" s="194">
        <f t="shared" si="2"/>
        <v>1.3</v>
      </c>
      <c r="O182" s="198">
        <f>_1_541284561214624104645789101745678[[#This Row],[TOTAL]]*_1_541284561214624104645789101745678[[#This Row],[MARGIN]]</f>
        <v>0</v>
      </c>
      <c r="R182" s="41"/>
    </row>
    <row r="183" spans="2:18">
      <c r="C183" s="168"/>
      <c r="D183" s="188"/>
      <c r="F183" s="168" t="s">
        <v>6202</v>
      </c>
      <c r="G183" s="193">
        <f>IF(_1_541284561214624104645789101745678[[#This Row],[Type]]&gt;0,VLOOKUP(_1_541284561214624104645789101745678[[#This Row],[Type]],Main[[#All],[TYPE]:[UNIT]],'Unit Price'!C$1,FALSE),0)</f>
        <v>0</v>
      </c>
      <c r="H183" s="197">
        <f>IF(_1_541284561214624104645789101745678[[#This Row],[Type]]&gt;0,VLOOKUP(_1_541284561214624104645789101745678[[#This Row],[Type]],Main[[#All],[TYPE]:[UNIT]],'Unit Price'!D$1,FALSE),0)</f>
        <v>0</v>
      </c>
      <c r="I183" s="194">
        <f>IF(_1_541284561214624104645789101745678[[#This Row],[Type]]&gt;0,VLOOKUP(_1_541284561214624104645789101745678[[#This Row],[Type]],Main[[#All],[TYPE]:[UNIT]],'Unit Price'!G$1,FALSE),0)</f>
        <v>0</v>
      </c>
      <c r="J183" s="194">
        <f>IF(_1_541284561214624104645789101745678[[#This Row],[Type]]&gt;0,VLOOKUP(_1_541284561214624104645789101745678[[#This Row],[Type]],Main[[#All],[TYPE]:[UNIT]],'Unit Price'!H$1,FALSE),0)</f>
        <v>0</v>
      </c>
      <c r="K183" s="194">
        <f>IF(_1_541284561214624104645789101745678[[#This Row],[Discount selection]]&gt;0,VLOOKUP(_1_541284561214624104645789101745678[[#This Row],[Discount selection]],'Discount Structure'!$A$2:$B$30,2,"false"),0)</f>
        <v>1</v>
      </c>
      <c r="L183" s="194">
        <f>_1_541284561214624104645789101745678[[#This Row],[LIST $]]*_1_541284561214624104645789101745678[[#This Row],[DISCOUNT]]*_1_541284561214624104645789101745678[[#This Row],[DISCOUNT 2]]</f>
        <v>0</v>
      </c>
      <c r="M183" s="194">
        <f>IF(OR(_1_541284561214624104645789101745678[[#This Row],[UNIT]]&gt;0,_1_541284561214624104645789101745678[[#This Row],[UNIT]]&lt;0),_1_541284561214624104645789101745678[[#This Row],[UNIT]]*_1_541284561214624104645789101745678[[#This Row],[COST]],0)</f>
        <v>0</v>
      </c>
      <c r="N183" s="194">
        <f t="shared" si="2"/>
        <v>1.3</v>
      </c>
      <c r="O183" s="198">
        <f>_1_541284561214624104645789101745678[[#This Row],[TOTAL]]*_1_541284561214624104645789101745678[[#This Row],[MARGIN]]</f>
        <v>0</v>
      </c>
      <c r="R183" s="41"/>
    </row>
    <row r="184" spans="2:18">
      <c r="C184" s="168"/>
      <c r="D184" s="188"/>
      <c r="F184" s="168" t="s">
        <v>6202</v>
      </c>
      <c r="G184" s="193">
        <f>IF(_1_541284561214624104645789101745678[[#This Row],[Type]]&gt;0,VLOOKUP(_1_541284561214624104645789101745678[[#This Row],[Type]],Main[[#All],[TYPE]:[UNIT]],'Unit Price'!C$1,FALSE),0)</f>
        <v>0</v>
      </c>
      <c r="H184" s="197">
        <f>IF(_1_541284561214624104645789101745678[[#This Row],[Type]]&gt;0,VLOOKUP(_1_541284561214624104645789101745678[[#This Row],[Type]],Main[[#All],[TYPE]:[UNIT]],'Unit Price'!D$1,FALSE),0)</f>
        <v>0</v>
      </c>
      <c r="I184" s="194">
        <f>IF(_1_541284561214624104645789101745678[[#This Row],[Type]]&gt;0,VLOOKUP(_1_541284561214624104645789101745678[[#This Row],[Type]],Main[[#All],[TYPE]:[UNIT]],'Unit Price'!G$1,FALSE),0)</f>
        <v>0</v>
      </c>
      <c r="J184" s="194">
        <f>IF(_1_541284561214624104645789101745678[[#This Row],[Type]]&gt;0,VLOOKUP(_1_541284561214624104645789101745678[[#This Row],[Type]],Main[[#All],[TYPE]:[UNIT]],'Unit Price'!H$1,FALSE),0)</f>
        <v>0</v>
      </c>
      <c r="K184" s="194">
        <f>IF(_1_541284561214624104645789101745678[[#This Row],[Discount selection]]&gt;0,VLOOKUP(_1_541284561214624104645789101745678[[#This Row],[Discount selection]],'Discount Structure'!$A$2:$B$30,2,"false"),0)</f>
        <v>1</v>
      </c>
      <c r="L184" s="194">
        <f>_1_541284561214624104645789101745678[[#This Row],[LIST $]]*_1_541284561214624104645789101745678[[#This Row],[DISCOUNT]]*_1_541284561214624104645789101745678[[#This Row],[DISCOUNT 2]]</f>
        <v>0</v>
      </c>
      <c r="M184" s="194">
        <f>IF(OR(_1_541284561214624104645789101745678[[#This Row],[UNIT]]&gt;0,_1_541284561214624104645789101745678[[#This Row],[UNIT]]&lt;0),_1_541284561214624104645789101745678[[#This Row],[UNIT]]*_1_541284561214624104645789101745678[[#This Row],[COST]],0)</f>
        <v>0</v>
      </c>
      <c r="N184" s="194">
        <f t="shared" si="2"/>
        <v>1.3</v>
      </c>
      <c r="O184" s="198">
        <f>_1_541284561214624104645789101745678[[#This Row],[TOTAL]]*_1_541284561214624104645789101745678[[#This Row],[MARGIN]]</f>
        <v>0</v>
      </c>
      <c r="R184" s="41"/>
    </row>
    <row r="185" spans="2:18">
      <c r="C185" s="168"/>
      <c r="D185" s="188"/>
      <c r="F185" s="168" t="s">
        <v>6202</v>
      </c>
      <c r="G185" s="193">
        <f>IF(_1_541284561214624104645789101745678[[#This Row],[Type]]&gt;0,VLOOKUP(_1_541284561214624104645789101745678[[#This Row],[Type]],Main[[#All],[TYPE]:[UNIT]],'Unit Price'!C$1,FALSE),0)</f>
        <v>0</v>
      </c>
      <c r="H185" s="197">
        <f>IF(_1_541284561214624104645789101745678[[#This Row],[Type]]&gt;0,VLOOKUP(_1_541284561214624104645789101745678[[#This Row],[Type]],Main[[#All],[TYPE]:[UNIT]],'Unit Price'!D$1,FALSE),0)</f>
        <v>0</v>
      </c>
      <c r="I185" s="194">
        <f>IF(_1_541284561214624104645789101745678[[#This Row],[Type]]&gt;0,VLOOKUP(_1_541284561214624104645789101745678[[#This Row],[Type]],Main[[#All],[TYPE]:[UNIT]],'Unit Price'!G$1,FALSE),0)</f>
        <v>0</v>
      </c>
      <c r="J185" s="194">
        <f>IF(_1_541284561214624104645789101745678[[#This Row],[Type]]&gt;0,VLOOKUP(_1_541284561214624104645789101745678[[#This Row],[Type]],Main[[#All],[TYPE]:[UNIT]],'Unit Price'!H$1,FALSE),0)</f>
        <v>0</v>
      </c>
      <c r="K185" s="194">
        <f>IF(_1_541284561214624104645789101745678[[#This Row],[Discount selection]]&gt;0,VLOOKUP(_1_541284561214624104645789101745678[[#This Row],[Discount selection]],'Discount Structure'!$A$2:$B$30,2,"false"),0)</f>
        <v>1</v>
      </c>
      <c r="L185" s="194">
        <f>_1_541284561214624104645789101745678[[#This Row],[LIST $]]*_1_541284561214624104645789101745678[[#This Row],[DISCOUNT]]*_1_541284561214624104645789101745678[[#This Row],[DISCOUNT 2]]</f>
        <v>0</v>
      </c>
      <c r="M185" s="194">
        <f>IF(OR(_1_541284561214624104645789101745678[[#This Row],[UNIT]]&gt;0,_1_541284561214624104645789101745678[[#This Row],[UNIT]]&lt;0),_1_541284561214624104645789101745678[[#This Row],[UNIT]]*_1_541284561214624104645789101745678[[#This Row],[COST]],0)</f>
        <v>0</v>
      </c>
      <c r="N185" s="194">
        <f t="shared" si="2"/>
        <v>1.3</v>
      </c>
      <c r="O185" s="198">
        <f>_1_541284561214624104645789101745678[[#This Row],[TOTAL]]*_1_541284561214624104645789101745678[[#This Row],[MARGIN]]</f>
        <v>0</v>
      </c>
      <c r="R185" s="41"/>
    </row>
    <row r="186" spans="2:18">
      <c r="C186" s="168"/>
      <c r="D186" s="188"/>
      <c r="F186" s="168" t="s">
        <v>6202</v>
      </c>
      <c r="G186" s="193">
        <f>IF(_1_541284561214624104645789101745678[[#This Row],[Type]]&gt;0,VLOOKUP(_1_541284561214624104645789101745678[[#This Row],[Type]],Main[[#All],[TYPE]:[UNIT]],'Unit Price'!C$1,FALSE),0)</f>
        <v>0</v>
      </c>
      <c r="H186" s="197">
        <f>IF(_1_541284561214624104645789101745678[[#This Row],[Type]]&gt;0,VLOOKUP(_1_541284561214624104645789101745678[[#This Row],[Type]],Main[[#All],[TYPE]:[UNIT]],'Unit Price'!D$1,FALSE),0)</f>
        <v>0</v>
      </c>
      <c r="I186" s="194">
        <f>IF(_1_541284561214624104645789101745678[[#This Row],[Type]]&gt;0,VLOOKUP(_1_541284561214624104645789101745678[[#This Row],[Type]],Main[[#All],[TYPE]:[UNIT]],'Unit Price'!G$1,FALSE),0)</f>
        <v>0</v>
      </c>
      <c r="J186" s="194">
        <f>IF(_1_541284561214624104645789101745678[[#This Row],[Type]]&gt;0,VLOOKUP(_1_541284561214624104645789101745678[[#This Row],[Type]],Main[[#All],[TYPE]:[UNIT]],'Unit Price'!H$1,FALSE),0)</f>
        <v>0</v>
      </c>
      <c r="K186" s="194">
        <f>IF(_1_541284561214624104645789101745678[[#This Row],[Discount selection]]&gt;0,VLOOKUP(_1_541284561214624104645789101745678[[#This Row],[Discount selection]],'Discount Structure'!$A$2:$B$30,2,"false"),0)</f>
        <v>1</v>
      </c>
      <c r="L186" s="194">
        <f>_1_541284561214624104645789101745678[[#This Row],[LIST $]]*_1_541284561214624104645789101745678[[#This Row],[DISCOUNT]]*_1_541284561214624104645789101745678[[#This Row],[DISCOUNT 2]]</f>
        <v>0</v>
      </c>
      <c r="M186" s="194">
        <f>IF(OR(_1_541284561214624104645789101745678[[#This Row],[UNIT]]&gt;0,_1_541284561214624104645789101745678[[#This Row],[UNIT]]&lt;0),_1_541284561214624104645789101745678[[#This Row],[UNIT]]*_1_541284561214624104645789101745678[[#This Row],[COST]],0)</f>
        <v>0</v>
      </c>
      <c r="N186" s="194">
        <f t="shared" si="2"/>
        <v>1.3</v>
      </c>
      <c r="O186" s="198">
        <f>_1_541284561214624104645789101745678[[#This Row],[TOTAL]]*_1_541284561214624104645789101745678[[#This Row],[MARGIN]]</f>
        <v>0</v>
      </c>
      <c r="R186" s="41"/>
    </row>
    <row r="187" spans="2:18">
      <c r="C187" s="168"/>
      <c r="D187" s="188"/>
      <c r="F187" s="168" t="s">
        <v>6202</v>
      </c>
      <c r="G187" s="193">
        <f>IF(_1_541284561214624104645789101745678[[#This Row],[Type]]&gt;0,VLOOKUP(_1_541284561214624104645789101745678[[#This Row],[Type]],Main[[#All],[TYPE]:[UNIT]],'Unit Price'!C$1,FALSE),0)</f>
        <v>0</v>
      </c>
      <c r="H187" s="197">
        <f>IF(_1_541284561214624104645789101745678[[#This Row],[Type]]&gt;0,VLOOKUP(_1_541284561214624104645789101745678[[#This Row],[Type]],Main[[#All],[TYPE]:[UNIT]],'Unit Price'!D$1,FALSE),0)</f>
        <v>0</v>
      </c>
      <c r="I187" s="194">
        <f>IF(_1_541284561214624104645789101745678[[#This Row],[Type]]&gt;0,VLOOKUP(_1_541284561214624104645789101745678[[#This Row],[Type]],Main[[#All],[TYPE]:[UNIT]],'Unit Price'!G$1,FALSE),0)</f>
        <v>0</v>
      </c>
      <c r="J187" s="194">
        <f>IF(_1_541284561214624104645789101745678[[#This Row],[Type]]&gt;0,VLOOKUP(_1_541284561214624104645789101745678[[#This Row],[Type]],Main[[#All],[TYPE]:[UNIT]],'Unit Price'!H$1,FALSE),0)</f>
        <v>0</v>
      </c>
      <c r="K187" s="194">
        <f>IF(_1_541284561214624104645789101745678[[#This Row],[Discount selection]]&gt;0,VLOOKUP(_1_541284561214624104645789101745678[[#This Row],[Discount selection]],'Discount Structure'!$A$2:$B$30,2,"false"),0)</f>
        <v>1</v>
      </c>
      <c r="L187" s="194">
        <f>_1_541284561214624104645789101745678[[#This Row],[LIST $]]*_1_541284561214624104645789101745678[[#This Row],[DISCOUNT]]*_1_541284561214624104645789101745678[[#This Row],[DISCOUNT 2]]</f>
        <v>0</v>
      </c>
      <c r="M187" s="194">
        <f>IF(OR(_1_541284561214624104645789101745678[[#This Row],[UNIT]]&gt;0,_1_541284561214624104645789101745678[[#This Row],[UNIT]]&lt;0),_1_541284561214624104645789101745678[[#This Row],[UNIT]]*_1_541284561214624104645789101745678[[#This Row],[COST]],0)</f>
        <v>0</v>
      </c>
      <c r="N187" s="194">
        <f t="shared" si="2"/>
        <v>1.3</v>
      </c>
      <c r="O187" s="198">
        <f>_1_541284561214624104645789101745678[[#This Row],[TOTAL]]*_1_541284561214624104645789101745678[[#This Row],[MARGIN]]</f>
        <v>0</v>
      </c>
      <c r="R187" s="41"/>
    </row>
    <row r="188" spans="2:18">
      <c r="B188" s="168"/>
      <c r="C188" s="168"/>
      <c r="D188" s="188"/>
      <c r="F188" s="168" t="s">
        <v>6202</v>
      </c>
      <c r="G188" s="193">
        <f>IF(_1_541284561214624104645789101745678[[#This Row],[Type]]&gt;0,VLOOKUP(_1_541284561214624104645789101745678[[#This Row],[Type]],Main[[#All],[TYPE]:[UNIT]],'Unit Price'!C$1,FALSE),0)</f>
        <v>0</v>
      </c>
      <c r="H188" s="197">
        <f>IF(_1_541284561214624104645789101745678[[#This Row],[Type]]&gt;0,VLOOKUP(_1_541284561214624104645789101745678[[#This Row],[Type]],Main[[#All],[TYPE]:[UNIT]],'Unit Price'!D$1,FALSE),0)</f>
        <v>0</v>
      </c>
      <c r="I188" s="194">
        <f>IF(_1_541284561214624104645789101745678[[#This Row],[Type]]&gt;0,VLOOKUP(_1_541284561214624104645789101745678[[#This Row],[Type]],Main[[#All],[TYPE]:[UNIT]],'Unit Price'!G$1,FALSE),0)</f>
        <v>0</v>
      </c>
      <c r="J188" s="194">
        <f>IF(_1_541284561214624104645789101745678[[#This Row],[Type]]&gt;0,VLOOKUP(_1_541284561214624104645789101745678[[#This Row],[Type]],Main[[#All],[TYPE]:[UNIT]],'Unit Price'!H$1,FALSE),0)</f>
        <v>0</v>
      </c>
      <c r="K188" s="194">
        <f>IF(_1_541284561214624104645789101745678[[#This Row],[Discount selection]]&gt;0,VLOOKUP(_1_541284561214624104645789101745678[[#This Row],[Discount selection]],'Discount Structure'!$A$2:$B$30,2,"false"),0)</f>
        <v>1</v>
      </c>
      <c r="L188" s="194">
        <f>_1_541284561214624104645789101745678[[#This Row],[LIST $]]*_1_541284561214624104645789101745678[[#This Row],[DISCOUNT]]*_1_541284561214624104645789101745678[[#This Row],[DISCOUNT 2]]</f>
        <v>0</v>
      </c>
      <c r="M188" s="194">
        <f>IF(OR(_1_541284561214624104645789101745678[[#This Row],[UNIT]]&gt;0,_1_541284561214624104645789101745678[[#This Row],[UNIT]]&lt;0),_1_541284561214624104645789101745678[[#This Row],[UNIT]]*_1_541284561214624104645789101745678[[#This Row],[COST]],0)</f>
        <v>0</v>
      </c>
      <c r="N188" s="194">
        <f t="shared" si="2"/>
        <v>1.3</v>
      </c>
      <c r="O188" s="198">
        <f>_1_541284561214624104645789101745678[[#This Row],[TOTAL]]*_1_541284561214624104645789101745678[[#This Row],[MARGIN]]</f>
        <v>0</v>
      </c>
      <c r="R188" s="41"/>
    </row>
    <row r="189" spans="2:18">
      <c r="C189" s="168"/>
      <c r="D189" s="188"/>
      <c r="F189" s="168" t="s">
        <v>6202</v>
      </c>
      <c r="G189" s="193">
        <f>IF(_1_541284561214624104645789101745678[[#This Row],[Type]]&gt;0,VLOOKUP(_1_541284561214624104645789101745678[[#This Row],[Type]],Main[[#All],[TYPE]:[UNIT]],'Unit Price'!C$1,FALSE),0)</f>
        <v>0</v>
      </c>
      <c r="H189" s="197">
        <f>IF(_1_541284561214624104645789101745678[[#This Row],[Type]]&gt;0,VLOOKUP(_1_541284561214624104645789101745678[[#This Row],[Type]],Main[[#All],[TYPE]:[UNIT]],'Unit Price'!D$1,FALSE),0)</f>
        <v>0</v>
      </c>
      <c r="I189" s="194">
        <f>IF(_1_541284561214624104645789101745678[[#This Row],[Type]]&gt;0,VLOOKUP(_1_541284561214624104645789101745678[[#This Row],[Type]],Main[[#All],[TYPE]:[UNIT]],'Unit Price'!G$1,FALSE),0)</f>
        <v>0</v>
      </c>
      <c r="J189" s="194">
        <f>IF(_1_541284561214624104645789101745678[[#This Row],[Type]]&gt;0,VLOOKUP(_1_541284561214624104645789101745678[[#This Row],[Type]],Main[[#All],[TYPE]:[UNIT]],'Unit Price'!H$1,FALSE),0)</f>
        <v>0</v>
      </c>
      <c r="K189" s="194">
        <f>IF(_1_541284561214624104645789101745678[[#This Row],[Discount selection]]&gt;0,VLOOKUP(_1_541284561214624104645789101745678[[#This Row],[Discount selection]],'Discount Structure'!$A$2:$B$30,2,"false"),0)</f>
        <v>1</v>
      </c>
      <c r="L189" s="194">
        <f>_1_541284561214624104645789101745678[[#This Row],[LIST $]]*_1_541284561214624104645789101745678[[#This Row],[DISCOUNT]]*_1_541284561214624104645789101745678[[#This Row],[DISCOUNT 2]]</f>
        <v>0</v>
      </c>
      <c r="M189" s="194">
        <f>IF(OR(_1_541284561214624104645789101745678[[#This Row],[UNIT]]&gt;0,_1_541284561214624104645789101745678[[#This Row],[UNIT]]&lt;0),_1_541284561214624104645789101745678[[#This Row],[UNIT]]*_1_541284561214624104645789101745678[[#This Row],[COST]],0)</f>
        <v>0</v>
      </c>
      <c r="N189" s="194">
        <f t="shared" si="2"/>
        <v>1.3</v>
      </c>
      <c r="O189" s="198">
        <f>_1_541284561214624104645789101745678[[#This Row],[TOTAL]]*_1_541284561214624104645789101745678[[#This Row],[MARGIN]]</f>
        <v>0</v>
      </c>
      <c r="R189" s="41"/>
    </row>
    <row r="190" spans="2:18">
      <c r="C190" s="168"/>
      <c r="D190" s="188"/>
      <c r="F190" s="168" t="s">
        <v>6202</v>
      </c>
      <c r="G190" s="193">
        <f>IF(_1_541284561214624104645789101745678[[#This Row],[Type]]&gt;0,VLOOKUP(_1_541284561214624104645789101745678[[#This Row],[Type]],Main[[#All],[TYPE]:[UNIT]],'Unit Price'!C$1,FALSE),0)</f>
        <v>0</v>
      </c>
      <c r="H190" s="197">
        <f>IF(_1_541284561214624104645789101745678[[#This Row],[Type]]&gt;0,VLOOKUP(_1_541284561214624104645789101745678[[#This Row],[Type]],Main[[#All],[TYPE]:[UNIT]],'Unit Price'!D$1,FALSE),0)</f>
        <v>0</v>
      </c>
      <c r="I190" s="194">
        <f>IF(_1_541284561214624104645789101745678[[#This Row],[Type]]&gt;0,VLOOKUP(_1_541284561214624104645789101745678[[#This Row],[Type]],Main[[#All],[TYPE]:[UNIT]],'Unit Price'!G$1,FALSE),0)</f>
        <v>0</v>
      </c>
      <c r="J190" s="194">
        <f>IF(_1_541284561214624104645789101745678[[#This Row],[Type]]&gt;0,VLOOKUP(_1_541284561214624104645789101745678[[#This Row],[Type]],Main[[#All],[TYPE]:[UNIT]],'Unit Price'!H$1,FALSE),0)</f>
        <v>0</v>
      </c>
      <c r="K190" s="194">
        <f>IF(_1_541284561214624104645789101745678[[#This Row],[Discount selection]]&gt;0,VLOOKUP(_1_541284561214624104645789101745678[[#This Row],[Discount selection]],'Discount Structure'!$A$2:$B$30,2,"false"),0)</f>
        <v>1</v>
      </c>
      <c r="L190" s="194">
        <f>_1_541284561214624104645789101745678[[#This Row],[LIST $]]*_1_541284561214624104645789101745678[[#This Row],[DISCOUNT]]*_1_541284561214624104645789101745678[[#This Row],[DISCOUNT 2]]</f>
        <v>0</v>
      </c>
      <c r="M190" s="194">
        <f>IF(OR(_1_541284561214624104645789101745678[[#This Row],[UNIT]]&gt;0,_1_541284561214624104645789101745678[[#This Row],[UNIT]]&lt;0),_1_541284561214624104645789101745678[[#This Row],[UNIT]]*_1_541284561214624104645789101745678[[#This Row],[COST]],0)</f>
        <v>0</v>
      </c>
      <c r="N190" s="194">
        <f t="shared" si="2"/>
        <v>1.3</v>
      </c>
      <c r="O190" s="198">
        <f>_1_541284561214624104645789101745678[[#This Row],[TOTAL]]*_1_541284561214624104645789101745678[[#This Row],[MARGIN]]</f>
        <v>0</v>
      </c>
      <c r="R190" s="41"/>
    </row>
    <row r="191" spans="2:18">
      <c r="C191" s="168"/>
      <c r="D191" s="188"/>
      <c r="F191" s="168" t="s">
        <v>6202</v>
      </c>
      <c r="G191" s="193">
        <f>IF(_1_541284561214624104645789101745678[[#This Row],[Type]]&gt;0,VLOOKUP(_1_541284561214624104645789101745678[[#This Row],[Type]],Main[[#All],[TYPE]:[UNIT]],'Unit Price'!C$1,FALSE),0)</f>
        <v>0</v>
      </c>
      <c r="H191" s="197">
        <f>IF(_1_541284561214624104645789101745678[[#This Row],[Type]]&gt;0,VLOOKUP(_1_541284561214624104645789101745678[[#This Row],[Type]],Main[[#All],[TYPE]:[UNIT]],'Unit Price'!D$1,FALSE),0)</f>
        <v>0</v>
      </c>
      <c r="I191" s="194">
        <f>IF(_1_541284561214624104645789101745678[[#This Row],[Type]]&gt;0,VLOOKUP(_1_541284561214624104645789101745678[[#This Row],[Type]],Main[[#All],[TYPE]:[UNIT]],'Unit Price'!G$1,FALSE),0)</f>
        <v>0</v>
      </c>
      <c r="J191" s="194">
        <f>IF(_1_541284561214624104645789101745678[[#This Row],[Type]]&gt;0,VLOOKUP(_1_541284561214624104645789101745678[[#This Row],[Type]],Main[[#All],[TYPE]:[UNIT]],'Unit Price'!H$1,FALSE),0)</f>
        <v>0</v>
      </c>
      <c r="K191" s="194">
        <f>IF(_1_541284561214624104645789101745678[[#This Row],[Discount selection]]&gt;0,VLOOKUP(_1_541284561214624104645789101745678[[#This Row],[Discount selection]],'Discount Structure'!$A$2:$B$30,2,"false"),0)</f>
        <v>1</v>
      </c>
      <c r="L191" s="194">
        <f>_1_541284561214624104645789101745678[[#This Row],[LIST $]]*_1_541284561214624104645789101745678[[#This Row],[DISCOUNT]]*_1_541284561214624104645789101745678[[#This Row],[DISCOUNT 2]]</f>
        <v>0</v>
      </c>
      <c r="M191" s="194">
        <f>IF(OR(_1_541284561214624104645789101745678[[#This Row],[UNIT]]&gt;0,_1_541284561214624104645789101745678[[#This Row],[UNIT]]&lt;0),_1_541284561214624104645789101745678[[#This Row],[UNIT]]*_1_541284561214624104645789101745678[[#This Row],[COST]],0)</f>
        <v>0</v>
      </c>
      <c r="N191" s="194">
        <f t="shared" si="2"/>
        <v>1.3</v>
      </c>
      <c r="O191" s="198">
        <f>_1_541284561214624104645789101745678[[#This Row],[TOTAL]]*_1_541284561214624104645789101745678[[#This Row],[MARGIN]]</f>
        <v>0</v>
      </c>
      <c r="R191" s="41"/>
    </row>
    <row r="192" spans="2:18">
      <c r="C192" s="168"/>
      <c r="D192" s="188"/>
      <c r="F192" s="168" t="s">
        <v>6202</v>
      </c>
      <c r="G192" s="193">
        <f>IF(_1_541284561214624104645789101745678[[#This Row],[Type]]&gt;0,VLOOKUP(_1_541284561214624104645789101745678[[#This Row],[Type]],Main[[#All],[TYPE]:[UNIT]],'Unit Price'!C$1,FALSE),0)</f>
        <v>0</v>
      </c>
      <c r="H192" s="197">
        <f>IF(_1_541284561214624104645789101745678[[#This Row],[Type]]&gt;0,VLOOKUP(_1_541284561214624104645789101745678[[#This Row],[Type]],Main[[#All],[TYPE]:[UNIT]],'Unit Price'!D$1,FALSE),0)</f>
        <v>0</v>
      </c>
      <c r="I192" s="194">
        <f>IF(_1_541284561214624104645789101745678[[#This Row],[Type]]&gt;0,VLOOKUP(_1_541284561214624104645789101745678[[#This Row],[Type]],Main[[#All],[TYPE]:[UNIT]],'Unit Price'!G$1,FALSE),0)</f>
        <v>0</v>
      </c>
      <c r="J192" s="194">
        <f>IF(_1_541284561214624104645789101745678[[#This Row],[Type]]&gt;0,VLOOKUP(_1_541284561214624104645789101745678[[#This Row],[Type]],Main[[#All],[TYPE]:[UNIT]],'Unit Price'!H$1,FALSE),0)</f>
        <v>0</v>
      </c>
      <c r="K192" s="194">
        <f>IF(_1_541284561214624104645789101745678[[#This Row],[Discount selection]]&gt;0,VLOOKUP(_1_541284561214624104645789101745678[[#This Row],[Discount selection]],'Discount Structure'!$A$2:$B$30,2,"false"),0)</f>
        <v>1</v>
      </c>
      <c r="L192" s="194">
        <f>_1_541284561214624104645789101745678[[#This Row],[LIST $]]*_1_541284561214624104645789101745678[[#This Row],[DISCOUNT]]*_1_541284561214624104645789101745678[[#This Row],[DISCOUNT 2]]</f>
        <v>0</v>
      </c>
      <c r="M192" s="194">
        <f>IF(OR(_1_541284561214624104645789101745678[[#This Row],[UNIT]]&gt;0,_1_541284561214624104645789101745678[[#This Row],[UNIT]]&lt;0),_1_541284561214624104645789101745678[[#This Row],[UNIT]]*_1_541284561214624104645789101745678[[#This Row],[COST]],0)</f>
        <v>0</v>
      </c>
      <c r="N192" s="194">
        <f t="shared" si="2"/>
        <v>1.3</v>
      </c>
      <c r="O192" s="198">
        <f>_1_541284561214624104645789101745678[[#This Row],[TOTAL]]*_1_541284561214624104645789101745678[[#This Row],[MARGIN]]</f>
        <v>0</v>
      </c>
      <c r="R192" s="41"/>
    </row>
    <row r="193" spans="1:18">
      <c r="A193" s="168"/>
      <c r="C193" s="168"/>
      <c r="D193" s="188"/>
      <c r="F193" s="168" t="s">
        <v>6202</v>
      </c>
      <c r="G193" s="193">
        <f>IF(_1_541284561214624104645789101745678[[#This Row],[Type]]&gt;0,VLOOKUP(_1_541284561214624104645789101745678[[#This Row],[Type]],Main[[#All],[TYPE]:[UNIT]],'Unit Price'!C$1,FALSE),0)</f>
        <v>0</v>
      </c>
      <c r="H193" s="197">
        <f>IF(_1_541284561214624104645789101745678[[#This Row],[Type]]&gt;0,VLOOKUP(_1_541284561214624104645789101745678[[#This Row],[Type]],Main[[#All],[TYPE]:[UNIT]],'Unit Price'!D$1,FALSE),0)</f>
        <v>0</v>
      </c>
      <c r="I193" s="194">
        <f>IF(_1_541284561214624104645789101745678[[#This Row],[Type]]&gt;0,VLOOKUP(_1_541284561214624104645789101745678[[#This Row],[Type]],Main[[#All],[TYPE]:[UNIT]],'Unit Price'!G$1,FALSE),0)</f>
        <v>0</v>
      </c>
      <c r="J193" s="194">
        <f>IF(_1_541284561214624104645789101745678[[#This Row],[Type]]&gt;0,VLOOKUP(_1_541284561214624104645789101745678[[#This Row],[Type]],Main[[#All],[TYPE]:[UNIT]],'Unit Price'!H$1,FALSE),0)</f>
        <v>0</v>
      </c>
      <c r="K193" s="194">
        <f>IF(_1_541284561214624104645789101745678[[#This Row],[Discount selection]]&gt;0,VLOOKUP(_1_541284561214624104645789101745678[[#This Row],[Discount selection]],'Discount Structure'!$A$2:$B$30,2,"false"),0)</f>
        <v>1</v>
      </c>
      <c r="L193" s="194">
        <f>_1_541284561214624104645789101745678[[#This Row],[LIST $]]*_1_541284561214624104645789101745678[[#This Row],[DISCOUNT]]*_1_541284561214624104645789101745678[[#This Row],[DISCOUNT 2]]</f>
        <v>0</v>
      </c>
      <c r="M193" s="194">
        <f>IF(OR(_1_541284561214624104645789101745678[[#This Row],[UNIT]]&gt;0,_1_541284561214624104645789101745678[[#This Row],[UNIT]]&lt;0),_1_541284561214624104645789101745678[[#This Row],[UNIT]]*_1_541284561214624104645789101745678[[#This Row],[COST]],0)</f>
        <v>0</v>
      </c>
      <c r="N193" s="194">
        <f t="shared" si="2"/>
        <v>1.3</v>
      </c>
      <c r="O193" s="198">
        <f>_1_541284561214624104645789101745678[[#This Row],[TOTAL]]*_1_541284561214624104645789101745678[[#This Row],[MARGIN]]</f>
        <v>0</v>
      </c>
      <c r="R193" s="41"/>
    </row>
    <row r="194" spans="1:18">
      <c r="C194" s="168"/>
      <c r="D194" s="188"/>
      <c r="F194" s="168" t="s">
        <v>6202</v>
      </c>
      <c r="G194" s="193">
        <f>IF(_1_541284561214624104645789101745678[[#This Row],[Type]]&gt;0,VLOOKUP(_1_541284561214624104645789101745678[[#This Row],[Type]],Main[[#All],[TYPE]:[UNIT]],'Unit Price'!C$1,FALSE),0)</f>
        <v>0</v>
      </c>
      <c r="H194" s="197">
        <f>IF(_1_541284561214624104645789101745678[[#This Row],[Type]]&gt;0,VLOOKUP(_1_541284561214624104645789101745678[[#This Row],[Type]],Main[[#All],[TYPE]:[UNIT]],'Unit Price'!D$1,FALSE),0)</f>
        <v>0</v>
      </c>
      <c r="I194" s="194">
        <f>IF(_1_541284561214624104645789101745678[[#This Row],[Type]]&gt;0,VLOOKUP(_1_541284561214624104645789101745678[[#This Row],[Type]],Main[[#All],[TYPE]:[UNIT]],'Unit Price'!G$1,FALSE),0)</f>
        <v>0</v>
      </c>
      <c r="J194" s="194">
        <f>IF(_1_541284561214624104645789101745678[[#This Row],[Type]]&gt;0,VLOOKUP(_1_541284561214624104645789101745678[[#This Row],[Type]],Main[[#All],[TYPE]:[UNIT]],'Unit Price'!H$1,FALSE),0)</f>
        <v>0</v>
      </c>
      <c r="K194" s="194">
        <f>IF(_1_541284561214624104645789101745678[[#This Row],[Discount selection]]&gt;0,VLOOKUP(_1_541284561214624104645789101745678[[#This Row],[Discount selection]],'Discount Structure'!$A$2:$B$30,2,"false"),0)</f>
        <v>1</v>
      </c>
      <c r="L194" s="194">
        <f>_1_541284561214624104645789101745678[[#This Row],[LIST $]]*_1_541284561214624104645789101745678[[#This Row],[DISCOUNT]]*_1_541284561214624104645789101745678[[#This Row],[DISCOUNT 2]]</f>
        <v>0</v>
      </c>
      <c r="M194" s="194">
        <f>IF(OR(_1_541284561214624104645789101745678[[#This Row],[UNIT]]&gt;0,_1_541284561214624104645789101745678[[#This Row],[UNIT]]&lt;0),_1_541284561214624104645789101745678[[#This Row],[UNIT]]*_1_541284561214624104645789101745678[[#This Row],[COST]],0)</f>
        <v>0</v>
      </c>
      <c r="N194" s="194">
        <f t="shared" si="2"/>
        <v>1.3</v>
      </c>
      <c r="O194" s="198">
        <f>_1_541284561214624104645789101745678[[#This Row],[TOTAL]]*_1_541284561214624104645789101745678[[#This Row],[MARGIN]]</f>
        <v>0</v>
      </c>
      <c r="R194" s="41"/>
    </row>
    <row r="195" spans="1:18">
      <c r="C195" s="168"/>
      <c r="D195" s="188"/>
      <c r="F195" s="168" t="s">
        <v>6202</v>
      </c>
      <c r="G195" s="193">
        <f>IF(_1_541284561214624104645789101745678[[#This Row],[Type]]&gt;0,VLOOKUP(_1_541284561214624104645789101745678[[#This Row],[Type]],Main[[#All],[TYPE]:[UNIT]],'Unit Price'!C$1,FALSE),0)</f>
        <v>0</v>
      </c>
      <c r="H195" s="197">
        <f>IF(_1_541284561214624104645789101745678[[#This Row],[Type]]&gt;0,VLOOKUP(_1_541284561214624104645789101745678[[#This Row],[Type]],Main[[#All],[TYPE]:[UNIT]],'Unit Price'!D$1,FALSE),0)</f>
        <v>0</v>
      </c>
      <c r="I195" s="194">
        <f>IF(_1_541284561214624104645789101745678[[#This Row],[Type]]&gt;0,VLOOKUP(_1_541284561214624104645789101745678[[#This Row],[Type]],Main[[#All],[TYPE]:[UNIT]],'Unit Price'!G$1,FALSE),0)</f>
        <v>0</v>
      </c>
      <c r="J195" s="194">
        <f>IF(_1_541284561214624104645789101745678[[#This Row],[Type]]&gt;0,VLOOKUP(_1_541284561214624104645789101745678[[#This Row],[Type]],Main[[#All],[TYPE]:[UNIT]],'Unit Price'!H$1,FALSE),0)</f>
        <v>0</v>
      </c>
      <c r="K195" s="194">
        <f>IF(_1_541284561214624104645789101745678[[#This Row],[Discount selection]]&gt;0,VLOOKUP(_1_541284561214624104645789101745678[[#This Row],[Discount selection]],'Discount Structure'!$A$2:$B$30,2,"false"),0)</f>
        <v>1</v>
      </c>
      <c r="L195" s="194">
        <f>_1_541284561214624104645789101745678[[#This Row],[LIST $]]*_1_541284561214624104645789101745678[[#This Row],[DISCOUNT]]*_1_541284561214624104645789101745678[[#This Row],[DISCOUNT 2]]</f>
        <v>0</v>
      </c>
      <c r="M195" s="194">
        <f>IF(OR(_1_541284561214624104645789101745678[[#This Row],[UNIT]]&gt;0,_1_541284561214624104645789101745678[[#This Row],[UNIT]]&lt;0),_1_541284561214624104645789101745678[[#This Row],[UNIT]]*_1_541284561214624104645789101745678[[#This Row],[COST]],0)</f>
        <v>0</v>
      </c>
      <c r="N195" s="194">
        <f t="shared" si="2"/>
        <v>1.3</v>
      </c>
      <c r="O195" s="198">
        <f>_1_541284561214624104645789101745678[[#This Row],[TOTAL]]*_1_541284561214624104645789101745678[[#This Row],[MARGIN]]</f>
        <v>0</v>
      </c>
      <c r="R195" s="41"/>
    </row>
    <row r="196" spans="1:18">
      <c r="C196" s="168"/>
      <c r="D196" s="188"/>
      <c r="F196" s="168" t="s">
        <v>6202</v>
      </c>
      <c r="G196" s="193">
        <f>IF(_1_541284561214624104645789101745678[[#This Row],[Type]]&gt;0,VLOOKUP(_1_541284561214624104645789101745678[[#This Row],[Type]],Main[[#All],[TYPE]:[UNIT]],'Unit Price'!C$1,FALSE),0)</f>
        <v>0</v>
      </c>
      <c r="H196" s="197">
        <f>IF(_1_541284561214624104645789101745678[[#This Row],[Type]]&gt;0,VLOOKUP(_1_541284561214624104645789101745678[[#This Row],[Type]],Main[[#All],[TYPE]:[UNIT]],'Unit Price'!D$1,FALSE),0)</f>
        <v>0</v>
      </c>
      <c r="I196" s="194">
        <f>IF(_1_541284561214624104645789101745678[[#This Row],[Type]]&gt;0,VLOOKUP(_1_541284561214624104645789101745678[[#This Row],[Type]],Main[[#All],[TYPE]:[UNIT]],'Unit Price'!G$1,FALSE),0)</f>
        <v>0</v>
      </c>
      <c r="J196" s="194">
        <f>IF(_1_541284561214624104645789101745678[[#This Row],[Type]]&gt;0,VLOOKUP(_1_541284561214624104645789101745678[[#This Row],[Type]],Main[[#All],[TYPE]:[UNIT]],'Unit Price'!H$1,FALSE),0)</f>
        <v>0</v>
      </c>
      <c r="K196" s="194">
        <f>IF(_1_541284561214624104645789101745678[[#This Row],[Discount selection]]&gt;0,VLOOKUP(_1_541284561214624104645789101745678[[#This Row],[Discount selection]],'Discount Structure'!$A$2:$B$30,2,"false"),0)</f>
        <v>1</v>
      </c>
      <c r="L196" s="194">
        <f>_1_541284561214624104645789101745678[[#This Row],[LIST $]]*_1_541284561214624104645789101745678[[#This Row],[DISCOUNT]]*_1_541284561214624104645789101745678[[#This Row],[DISCOUNT 2]]</f>
        <v>0</v>
      </c>
      <c r="M196" s="194">
        <f>IF(OR(_1_541284561214624104645789101745678[[#This Row],[UNIT]]&gt;0,_1_541284561214624104645789101745678[[#This Row],[UNIT]]&lt;0),_1_541284561214624104645789101745678[[#This Row],[UNIT]]*_1_541284561214624104645789101745678[[#This Row],[COST]],0)</f>
        <v>0</v>
      </c>
      <c r="N196" s="194">
        <f t="shared" si="2"/>
        <v>1.3</v>
      </c>
      <c r="O196" s="198">
        <f>_1_541284561214624104645789101745678[[#This Row],[TOTAL]]*_1_541284561214624104645789101745678[[#This Row],[MARGIN]]</f>
        <v>0</v>
      </c>
      <c r="R196" s="41"/>
    </row>
    <row r="197" spans="1:18">
      <c r="A197" s="168"/>
      <c r="C197" s="168"/>
      <c r="D197" s="188"/>
      <c r="F197" s="168" t="s">
        <v>6202</v>
      </c>
      <c r="G197" s="193">
        <f>IF(_1_541284561214624104645789101745678[[#This Row],[Type]]&gt;0,VLOOKUP(_1_541284561214624104645789101745678[[#This Row],[Type]],Main[[#All],[TYPE]:[UNIT]],'Unit Price'!C$1,FALSE),0)</f>
        <v>0</v>
      </c>
      <c r="H197" s="197">
        <f>IF(_1_541284561214624104645789101745678[[#This Row],[Type]]&gt;0,VLOOKUP(_1_541284561214624104645789101745678[[#This Row],[Type]],Main[[#All],[TYPE]:[UNIT]],'Unit Price'!D$1,FALSE),0)</f>
        <v>0</v>
      </c>
      <c r="I197" s="194">
        <f>IF(_1_541284561214624104645789101745678[[#This Row],[Type]]&gt;0,VLOOKUP(_1_541284561214624104645789101745678[[#This Row],[Type]],Main[[#All],[TYPE]:[UNIT]],'Unit Price'!G$1,FALSE),0)</f>
        <v>0</v>
      </c>
      <c r="J197" s="194">
        <f>IF(_1_541284561214624104645789101745678[[#This Row],[Type]]&gt;0,VLOOKUP(_1_541284561214624104645789101745678[[#This Row],[Type]],Main[[#All],[TYPE]:[UNIT]],'Unit Price'!H$1,FALSE),0)</f>
        <v>0</v>
      </c>
      <c r="K197" s="194">
        <f>IF(_1_541284561214624104645789101745678[[#This Row],[Discount selection]]&gt;0,VLOOKUP(_1_541284561214624104645789101745678[[#This Row],[Discount selection]],'Discount Structure'!$A$2:$B$30,2,"false"),0)</f>
        <v>1</v>
      </c>
      <c r="L197" s="194">
        <f>_1_541284561214624104645789101745678[[#This Row],[LIST $]]*_1_541284561214624104645789101745678[[#This Row],[DISCOUNT]]*_1_541284561214624104645789101745678[[#This Row],[DISCOUNT 2]]</f>
        <v>0</v>
      </c>
      <c r="M197" s="194">
        <f>IF(OR(_1_541284561214624104645789101745678[[#This Row],[UNIT]]&gt;0,_1_541284561214624104645789101745678[[#This Row],[UNIT]]&lt;0),_1_541284561214624104645789101745678[[#This Row],[UNIT]]*_1_541284561214624104645789101745678[[#This Row],[COST]],0)</f>
        <v>0</v>
      </c>
      <c r="N197" s="194">
        <f t="shared" si="2"/>
        <v>1.3</v>
      </c>
      <c r="O197" s="198">
        <f>_1_541284561214624104645789101745678[[#This Row],[TOTAL]]*_1_541284561214624104645789101745678[[#This Row],[MARGIN]]</f>
        <v>0</v>
      </c>
      <c r="R197" s="41"/>
    </row>
    <row r="198" spans="1:18">
      <c r="C198" s="168"/>
      <c r="D198" s="188"/>
      <c r="F198" s="168" t="s">
        <v>6202</v>
      </c>
      <c r="G198" s="193">
        <f>IF(_1_541284561214624104645789101745678[[#This Row],[Type]]&gt;0,VLOOKUP(_1_541284561214624104645789101745678[[#This Row],[Type]],Main[[#All],[TYPE]:[UNIT]],'Unit Price'!C$1,FALSE),0)</f>
        <v>0</v>
      </c>
      <c r="H198" s="197">
        <f>IF(_1_541284561214624104645789101745678[[#This Row],[Type]]&gt;0,VLOOKUP(_1_541284561214624104645789101745678[[#This Row],[Type]],Main[[#All],[TYPE]:[UNIT]],'Unit Price'!D$1,FALSE),0)</f>
        <v>0</v>
      </c>
      <c r="I198" s="194">
        <f>IF(_1_541284561214624104645789101745678[[#This Row],[Type]]&gt;0,VLOOKUP(_1_541284561214624104645789101745678[[#This Row],[Type]],Main[[#All],[TYPE]:[UNIT]],'Unit Price'!G$1,FALSE),0)</f>
        <v>0</v>
      </c>
      <c r="J198" s="194">
        <f>IF(_1_541284561214624104645789101745678[[#This Row],[Type]]&gt;0,VLOOKUP(_1_541284561214624104645789101745678[[#This Row],[Type]],Main[[#All],[TYPE]:[UNIT]],'Unit Price'!H$1,FALSE),0)</f>
        <v>0</v>
      </c>
      <c r="K198" s="194">
        <f>IF(_1_541284561214624104645789101745678[[#This Row],[Discount selection]]&gt;0,VLOOKUP(_1_541284561214624104645789101745678[[#This Row],[Discount selection]],'Discount Structure'!$A$2:$B$30,2,"false"),0)</f>
        <v>1</v>
      </c>
      <c r="L198" s="194">
        <f>_1_541284561214624104645789101745678[[#This Row],[LIST $]]*_1_541284561214624104645789101745678[[#This Row],[DISCOUNT]]*_1_541284561214624104645789101745678[[#This Row],[DISCOUNT 2]]</f>
        <v>0</v>
      </c>
      <c r="M198" s="194">
        <f>IF(OR(_1_541284561214624104645789101745678[[#This Row],[UNIT]]&gt;0,_1_541284561214624104645789101745678[[#This Row],[UNIT]]&lt;0),_1_541284561214624104645789101745678[[#This Row],[UNIT]]*_1_541284561214624104645789101745678[[#This Row],[COST]],0)</f>
        <v>0</v>
      </c>
      <c r="N198" s="194">
        <f t="shared" si="2"/>
        <v>1.3</v>
      </c>
      <c r="O198" s="198">
        <f>_1_541284561214624104645789101745678[[#This Row],[TOTAL]]*_1_541284561214624104645789101745678[[#This Row],[MARGIN]]</f>
        <v>0</v>
      </c>
      <c r="R198" s="41"/>
    </row>
    <row r="199" spans="1:18">
      <c r="C199" s="168"/>
      <c r="D199" s="188"/>
      <c r="F199" s="168" t="s">
        <v>6202</v>
      </c>
      <c r="G199" s="193">
        <f>IF(_1_541284561214624104645789101745678[[#This Row],[Type]]&gt;0,VLOOKUP(_1_541284561214624104645789101745678[[#This Row],[Type]],Main[[#All],[TYPE]:[UNIT]],'Unit Price'!C$1,FALSE),0)</f>
        <v>0</v>
      </c>
      <c r="H199" s="197">
        <f>IF(_1_541284561214624104645789101745678[[#This Row],[Type]]&gt;0,VLOOKUP(_1_541284561214624104645789101745678[[#This Row],[Type]],Main[[#All],[TYPE]:[UNIT]],'Unit Price'!D$1,FALSE),0)</f>
        <v>0</v>
      </c>
      <c r="I199" s="194">
        <f>IF(_1_541284561214624104645789101745678[[#This Row],[Type]]&gt;0,VLOOKUP(_1_541284561214624104645789101745678[[#This Row],[Type]],Main[[#All],[TYPE]:[UNIT]],'Unit Price'!G$1,FALSE),0)</f>
        <v>0</v>
      </c>
      <c r="J199" s="194">
        <f>IF(_1_541284561214624104645789101745678[[#This Row],[Type]]&gt;0,VLOOKUP(_1_541284561214624104645789101745678[[#This Row],[Type]],Main[[#All],[TYPE]:[UNIT]],'Unit Price'!H$1,FALSE),0)</f>
        <v>0</v>
      </c>
      <c r="K199" s="194">
        <f>IF(_1_541284561214624104645789101745678[[#This Row],[Discount selection]]&gt;0,VLOOKUP(_1_541284561214624104645789101745678[[#This Row],[Discount selection]],'Discount Structure'!$A$2:$B$30,2,"false"),0)</f>
        <v>1</v>
      </c>
      <c r="L199" s="194">
        <f>_1_541284561214624104645789101745678[[#This Row],[LIST $]]*_1_541284561214624104645789101745678[[#This Row],[DISCOUNT]]*_1_541284561214624104645789101745678[[#This Row],[DISCOUNT 2]]</f>
        <v>0</v>
      </c>
      <c r="M199" s="194">
        <f>IF(OR(_1_541284561214624104645789101745678[[#This Row],[UNIT]]&gt;0,_1_541284561214624104645789101745678[[#This Row],[UNIT]]&lt;0),_1_541284561214624104645789101745678[[#This Row],[UNIT]]*_1_541284561214624104645789101745678[[#This Row],[COST]],0)</f>
        <v>0</v>
      </c>
      <c r="N199" s="194">
        <f t="shared" si="2"/>
        <v>1.3</v>
      </c>
      <c r="O199" s="198">
        <f>_1_541284561214624104645789101745678[[#This Row],[TOTAL]]*_1_541284561214624104645789101745678[[#This Row],[MARGIN]]</f>
        <v>0</v>
      </c>
      <c r="R199" s="41"/>
    </row>
    <row r="200" spans="1:18">
      <c r="A200" s="168"/>
      <c r="C200" s="168"/>
      <c r="D200" s="188"/>
      <c r="F200" s="168" t="s">
        <v>6202</v>
      </c>
      <c r="G200" s="193">
        <f>IF(_1_541284561214624104645789101745678[[#This Row],[Type]]&gt;0,VLOOKUP(_1_541284561214624104645789101745678[[#This Row],[Type]],Main[[#All],[TYPE]:[UNIT]],'Unit Price'!C$1,FALSE),0)</f>
        <v>0</v>
      </c>
      <c r="H200" s="197">
        <f>IF(_1_541284561214624104645789101745678[[#This Row],[Type]]&gt;0,VLOOKUP(_1_541284561214624104645789101745678[[#This Row],[Type]],Main[[#All],[TYPE]:[UNIT]],'Unit Price'!D$1,FALSE),0)</f>
        <v>0</v>
      </c>
      <c r="I200" s="194">
        <f>IF(_1_541284561214624104645789101745678[[#This Row],[Type]]&gt;0,VLOOKUP(_1_541284561214624104645789101745678[[#This Row],[Type]],Main[[#All],[TYPE]:[UNIT]],'Unit Price'!G$1,FALSE),0)</f>
        <v>0</v>
      </c>
      <c r="J200" s="194">
        <f>IF(_1_541284561214624104645789101745678[[#This Row],[Type]]&gt;0,VLOOKUP(_1_541284561214624104645789101745678[[#This Row],[Type]],Main[[#All],[TYPE]:[UNIT]],'Unit Price'!H$1,FALSE),0)</f>
        <v>0</v>
      </c>
      <c r="K200" s="194">
        <f>IF(_1_541284561214624104645789101745678[[#This Row],[Discount selection]]&gt;0,VLOOKUP(_1_541284561214624104645789101745678[[#This Row],[Discount selection]],'Discount Structure'!$A$2:$B$30,2,"false"),0)</f>
        <v>1</v>
      </c>
      <c r="L200" s="194">
        <f>_1_541284561214624104645789101745678[[#This Row],[LIST $]]*_1_541284561214624104645789101745678[[#This Row],[DISCOUNT]]*_1_541284561214624104645789101745678[[#This Row],[DISCOUNT 2]]</f>
        <v>0</v>
      </c>
      <c r="M200" s="194">
        <f>IF(OR(_1_541284561214624104645789101745678[[#This Row],[UNIT]]&gt;0,_1_541284561214624104645789101745678[[#This Row],[UNIT]]&lt;0),_1_541284561214624104645789101745678[[#This Row],[UNIT]]*_1_541284561214624104645789101745678[[#This Row],[COST]],0)</f>
        <v>0</v>
      </c>
      <c r="N200" s="194">
        <f t="shared" si="2"/>
        <v>1.3</v>
      </c>
      <c r="O200" s="198">
        <f>_1_541284561214624104645789101745678[[#This Row],[TOTAL]]*_1_541284561214624104645789101745678[[#This Row],[MARGIN]]</f>
        <v>0</v>
      </c>
      <c r="R200" s="41"/>
    </row>
    <row r="201" spans="1:18">
      <c r="B201" s="168"/>
      <c r="C201" s="168"/>
      <c r="D201" s="188"/>
      <c r="F201" s="168" t="s">
        <v>6202</v>
      </c>
      <c r="G201" s="193">
        <f>IF(_1_541284561214624104645789101745678[[#This Row],[Type]]&gt;0,VLOOKUP(_1_541284561214624104645789101745678[[#This Row],[Type]],Main[[#All],[TYPE]:[UNIT]],'Unit Price'!C$1,FALSE),0)</f>
        <v>0</v>
      </c>
      <c r="H201" s="197">
        <f>IF(_1_541284561214624104645789101745678[[#This Row],[Type]]&gt;0,VLOOKUP(_1_541284561214624104645789101745678[[#This Row],[Type]],Main[[#All],[TYPE]:[UNIT]],'Unit Price'!D$1,FALSE),0)</f>
        <v>0</v>
      </c>
      <c r="I201" s="194">
        <f>IF(_1_541284561214624104645789101745678[[#This Row],[Type]]&gt;0,VLOOKUP(_1_541284561214624104645789101745678[[#This Row],[Type]],Main[[#All],[TYPE]:[UNIT]],'Unit Price'!G$1,FALSE),0)</f>
        <v>0</v>
      </c>
      <c r="J201" s="194">
        <f>IF(_1_541284561214624104645789101745678[[#This Row],[Type]]&gt;0,VLOOKUP(_1_541284561214624104645789101745678[[#This Row],[Type]],Main[[#All],[TYPE]:[UNIT]],'Unit Price'!H$1,FALSE),0)</f>
        <v>0</v>
      </c>
      <c r="K201" s="194">
        <f>IF(_1_541284561214624104645789101745678[[#This Row],[Discount selection]]&gt;0,VLOOKUP(_1_541284561214624104645789101745678[[#This Row],[Discount selection]],'Discount Structure'!$A$2:$B$30,2,"false"),0)</f>
        <v>1</v>
      </c>
      <c r="L201" s="194">
        <f>_1_541284561214624104645789101745678[[#This Row],[LIST $]]*_1_541284561214624104645789101745678[[#This Row],[DISCOUNT]]*_1_541284561214624104645789101745678[[#This Row],[DISCOUNT 2]]</f>
        <v>0</v>
      </c>
      <c r="M201" s="194">
        <f>IF(OR(_1_541284561214624104645789101745678[[#This Row],[UNIT]]&gt;0,_1_541284561214624104645789101745678[[#This Row],[UNIT]]&lt;0),_1_541284561214624104645789101745678[[#This Row],[UNIT]]*_1_541284561214624104645789101745678[[#This Row],[COST]],0)</f>
        <v>0</v>
      </c>
      <c r="N201" s="194">
        <f t="shared" si="2"/>
        <v>1.3</v>
      </c>
      <c r="O201" s="198">
        <f>_1_541284561214624104645789101745678[[#This Row],[TOTAL]]*_1_541284561214624104645789101745678[[#This Row],[MARGIN]]</f>
        <v>0</v>
      </c>
      <c r="R201" s="41"/>
    </row>
    <row r="202" spans="1:18">
      <c r="C202" s="168"/>
      <c r="D202" s="188"/>
      <c r="F202" s="168" t="s">
        <v>6202</v>
      </c>
      <c r="G202" s="193">
        <f>IF(_1_541284561214624104645789101745678[[#This Row],[Type]]&gt;0,VLOOKUP(_1_541284561214624104645789101745678[[#This Row],[Type]],Main[[#All],[TYPE]:[UNIT]],'Unit Price'!C$1,FALSE),0)</f>
        <v>0</v>
      </c>
      <c r="H202" s="197">
        <f>IF(_1_541284561214624104645789101745678[[#This Row],[Type]]&gt;0,VLOOKUP(_1_541284561214624104645789101745678[[#This Row],[Type]],Main[[#All],[TYPE]:[UNIT]],'Unit Price'!D$1,FALSE),0)</f>
        <v>0</v>
      </c>
      <c r="I202" s="194">
        <f>IF(_1_541284561214624104645789101745678[[#This Row],[Type]]&gt;0,VLOOKUP(_1_541284561214624104645789101745678[[#This Row],[Type]],Main[[#All],[TYPE]:[UNIT]],'Unit Price'!G$1,FALSE),0)</f>
        <v>0</v>
      </c>
      <c r="J202" s="194">
        <f>IF(_1_541284561214624104645789101745678[[#This Row],[Type]]&gt;0,VLOOKUP(_1_541284561214624104645789101745678[[#This Row],[Type]],Main[[#All],[TYPE]:[UNIT]],'Unit Price'!H$1,FALSE),0)</f>
        <v>0</v>
      </c>
      <c r="K202" s="194">
        <f>IF(_1_541284561214624104645789101745678[[#This Row],[Discount selection]]&gt;0,VLOOKUP(_1_541284561214624104645789101745678[[#This Row],[Discount selection]],'Discount Structure'!$A$2:$B$30,2,"false"),0)</f>
        <v>1</v>
      </c>
      <c r="L202" s="194">
        <f>_1_541284561214624104645789101745678[[#This Row],[LIST $]]*_1_541284561214624104645789101745678[[#This Row],[DISCOUNT]]*_1_541284561214624104645789101745678[[#This Row],[DISCOUNT 2]]</f>
        <v>0</v>
      </c>
      <c r="M202" s="194">
        <f>IF(OR(_1_541284561214624104645789101745678[[#This Row],[UNIT]]&gt;0,_1_541284561214624104645789101745678[[#This Row],[UNIT]]&lt;0),_1_541284561214624104645789101745678[[#This Row],[UNIT]]*_1_541284561214624104645789101745678[[#This Row],[COST]],0)</f>
        <v>0</v>
      </c>
      <c r="N202" s="194">
        <f t="shared" ref="N202:N265" si="3">$N$7</f>
        <v>1.3</v>
      </c>
      <c r="O202" s="198">
        <f>_1_541284561214624104645789101745678[[#This Row],[TOTAL]]*_1_541284561214624104645789101745678[[#This Row],[MARGIN]]</f>
        <v>0</v>
      </c>
      <c r="R202" s="41"/>
    </row>
    <row r="203" spans="1:18">
      <c r="A203" s="168"/>
      <c r="C203" s="168"/>
      <c r="D203" s="188"/>
      <c r="F203" s="168" t="s">
        <v>6202</v>
      </c>
      <c r="G203" s="193">
        <f>IF(_1_541284561214624104645789101745678[[#This Row],[Type]]&gt;0,VLOOKUP(_1_541284561214624104645789101745678[[#This Row],[Type]],Main[[#All],[TYPE]:[UNIT]],'Unit Price'!C$1,FALSE),0)</f>
        <v>0</v>
      </c>
      <c r="H203" s="197">
        <f>IF(_1_541284561214624104645789101745678[[#This Row],[Type]]&gt;0,VLOOKUP(_1_541284561214624104645789101745678[[#This Row],[Type]],Main[[#All],[TYPE]:[UNIT]],'Unit Price'!D$1,FALSE),0)</f>
        <v>0</v>
      </c>
      <c r="I203" s="194">
        <f>IF(_1_541284561214624104645789101745678[[#This Row],[Type]]&gt;0,VLOOKUP(_1_541284561214624104645789101745678[[#This Row],[Type]],Main[[#All],[TYPE]:[UNIT]],'Unit Price'!G$1,FALSE),0)</f>
        <v>0</v>
      </c>
      <c r="J203" s="194">
        <f>IF(_1_541284561214624104645789101745678[[#This Row],[Type]]&gt;0,VLOOKUP(_1_541284561214624104645789101745678[[#This Row],[Type]],Main[[#All],[TYPE]:[UNIT]],'Unit Price'!H$1,FALSE),0)</f>
        <v>0</v>
      </c>
      <c r="K203" s="194">
        <f>IF(_1_541284561214624104645789101745678[[#This Row],[Discount selection]]&gt;0,VLOOKUP(_1_541284561214624104645789101745678[[#This Row],[Discount selection]],'Discount Structure'!$A$2:$B$30,2,"false"),0)</f>
        <v>1</v>
      </c>
      <c r="L203" s="194">
        <f>_1_541284561214624104645789101745678[[#This Row],[LIST $]]*_1_541284561214624104645789101745678[[#This Row],[DISCOUNT]]*_1_541284561214624104645789101745678[[#This Row],[DISCOUNT 2]]</f>
        <v>0</v>
      </c>
      <c r="M203" s="194">
        <f>IF(OR(_1_541284561214624104645789101745678[[#This Row],[UNIT]]&gt;0,_1_541284561214624104645789101745678[[#This Row],[UNIT]]&lt;0),_1_541284561214624104645789101745678[[#This Row],[UNIT]]*_1_541284561214624104645789101745678[[#This Row],[COST]],0)</f>
        <v>0</v>
      </c>
      <c r="N203" s="194">
        <f t="shared" si="3"/>
        <v>1.3</v>
      </c>
      <c r="O203" s="198">
        <f>_1_541284561214624104645789101745678[[#This Row],[TOTAL]]*_1_541284561214624104645789101745678[[#This Row],[MARGIN]]</f>
        <v>0</v>
      </c>
      <c r="R203" s="41"/>
    </row>
    <row r="204" spans="1:18">
      <c r="C204" s="168"/>
      <c r="D204" s="188"/>
      <c r="F204" s="168" t="s">
        <v>6202</v>
      </c>
      <c r="G204" s="193">
        <f>IF(_1_541284561214624104645789101745678[[#This Row],[Type]]&gt;0,VLOOKUP(_1_541284561214624104645789101745678[[#This Row],[Type]],Main[[#All],[TYPE]:[UNIT]],'Unit Price'!C$1,FALSE),0)</f>
        <v>0</v>
      </c>
      <c r="H204" s="197">
        <f>IF(_1_541284561214624104645789101745678[[#This Row],[Type]]&gt;0,VLOOKUP(_1_541284561214624104645789101745678[[#This Row],[Type]],Main[[#All],[TYPE]:[UNIT]],'Unit Price'!D$1,FALSE),0)</f>
        <v>0</v>
      </c>
      <c r="I204" s="194">
        <f>IF(_1_541284561214624104645789101745678[[#This Row],[Type]]&gt;0,VLOOKUP(_1_541284561214624104645789101745678[[#This Row],[Type]],Main[[#All],[TYPE]:[UNIT]],'Unit Price'!G$1,FALSE),0)</f>
        <v>0</v>
      </c>
      <c r="J204" s="194">
        <f>IF(_1_541284561214624104645789101745678[[#This Row],[Type]]&gt;0,VLOOKUP(_1_541284561214624104645789101745678[[#This Row],[Type]],Main[[#All],[TYPE]:[UNIT]],'Unit Price'!H$1,FALSE),0)</f>
        <v>0</v>
      </c>
      <c r="K204" s="194">
        <f>IF(_1_541284561214624104645789101745678[[#This Row],[Discount selection]]&gt;0,VLOOKUP(_1_541284561214624104645789101745678[[#This Row],[Discount selection]],'Discount Structure'!$A$2:$B$30,2,"false"),0)</f>
        <v>1</v>
      </c>
      <c r="L204" s="194">
        <f>_1_541284561214624104645789101745678[[#This Row],[LIST $]]*_1_541284561214624104645789101745678[[#This Row],[DISCOUNT]]*_1_541284561214624104645789101745678[[#This Row],[DISCOUNT 2]]</f>
        <v>0</v>
      </c>
      <c r="M204" s="194">
        <f>IF(OR(_1_541284561214624104645789101745678[[#This Row],[UNIT]]&gt;0,_1_541284561214624104645789101745678[[#This Row],[UNIT]]&lt;0),_1_541284561214624104645789101745678[[#This Row],[UNIT]]*_1_541284561214624104645789101745678[[#This Row],[COST]],0)</f>
        <v>0</v>
      </c>
      <c r="N204" s="194">
        <f t="shared" si="3"/>
        <v>1.3</v>
      </c>
      <c r="O204" s="198">
        <f>_1_541284561214624104645789101745678[[#This Row],[TOTAL]]*_1_541284561214624104645789101745678[[#This Row],[MARGIN]]</f>
        <v>0</v>
      </c>
      <c r="R204" s="41"/>
    </row>
    <row r="205" spans="1:18">
      <c r="C205" s="168"/>
      <c r="D205" s="188"/>
      <c r="F205" s="168" t="s">
        <v>6202</v>
      </c>
      <c r="G205" s="193">
        <f>IF(_1_541284561214624104645789101745678[[#This Row],[Type]]&gt;0,VLOOKUP(_1_541284561214624104645789101745678[[#This Row],[Type]],Main[[#All],[TYPE]:[UNIT]],'Unit Price'!C$1,FALSE),0)</f>
        <v>0</v>
      </c>
      <c r="H205" s="197">
        <f>IF(_1_541284561214624104645789101745678[[#This Row],[Type]]&gt;0,VLOOKUP(_1_541284561214624104645789101745678[[#This Row],[Type]],Main[[#All],[TYPE]:[UNIT]],'Unit Price'!D$1,FALSE),0)</f>
        <v>0</v>
      </c>
      <c r="I205" s="194">
        <f>IF(_1_541284561214624104645789101745678[[#This Row],[Type]]&gt;0,VLOOKUP(_1_541284561214624104645789101745678[[#This Row],[Type]],Main[[#All],[TYPE]:[UNIT]],'Unit Price'!G$1,FALSE),0)</f>
        <v>0</v>
      </c>
      <c r="J205" s="194">
        <f>IF(_1_541284561214624104645789101745678[[#This Row],[Type]]&gt;0,VLOOKUP(_1_541284561214624104645789101745678[[#This Row],[Type]],Main[[#All],[TYPE]:[UNIT]],'Unit Price'!H$1,FALSE),0)</f>
        <v>0</v>
      </c>
      <c r="K205" s="194">
        <f>IF(_1_541284561214624104645789101745678[[#This Row],[Discount selection]]&gt;0,VLOOKUP(_1_541284561214624104645789101745678[[#This Row],[Discount selection]],'Discount Structure'!$A$2:$B$30,2,"false"),0)</f>
        <v>1</v>
      </c>
      <c r="L205" s="194">
        <f>_1_541284561214624104645789101745678[[#This Row],[LIST $]]*_1_541284561214624104645789101745678[[#This Row],[DISCOUNT]]*_1_541284561214624104645789101745678[[#This Row],[DISCOUNT 2]]</f>
        <v>0</v>
      </c>
      <c r="M205" s="194">
        <f>IF(OR(_1_541284561214624104645789101745678[[#This Row],[UNIT]]&gt;0,_1_541284561214624104645789101745678[[#This Row],[UNIT]]&lt;0),_1_541284561214624104645789101745678[[#This Row],[UNIT]]*_1_541284561214624104645789101745678[[#This Row],[COST]],0)</f>
        <v>0</v>
      </c>
      <c r="N205" s="194">
        <f t="shared" si="3"/>
        <v>1.3</v>
      </c>
      <c r="O205" s="198">
        <f>_1_541284561214624104645789101745678[[#This Row],[TOTAL]]*_1_541284561214624104645789101745678[[#This Row],[MARGIN]]</f>
        <v>0</v>
      </c>
      <c r="R205" s="41"/>
    </row>
    <row r="206" spans="1:18">
      <c r="C206" s="168"/>
      <c r="D206" s="188"/>
      <c r="F206" s="168" t="s">
        <v>6202</v>
      </c>
      <c r="G206" s="193">
        <f>IF(_1_541284561214624104645789101745678[[#This Row],[Type]]&gt;0,VLOOKUP(_1_541284561214624104645789101745678[[#This Row],[Type]],Main[[#All],[TYPE]:[UNIT]],'Unit Price'!C$1,FALSE),0)</f>
        <v>0</v>
      </c>
      <c r="H206" s="197">
        <f>IF(_1_541284561214624104645789101745678[[#This Row],[Type]]&gt;0,VLOOKUP(_1_541284561214624104645789101745678[[#This Row],[Type]],Main[[#All],[TYPE]:[UNIT]],'Unit Price'!D$1,FALSE),0)</f>
        <v>0</v>
      </c>
      <c r="I206" s="194">
        <f>IF(_1_541284561214624104645789101745678[[#This Row],[Type]]&gt;0,VLOOKUP(_1_541284561214624104645789101745678[[#This Row],[Type]],Main[[#All],[TYPE]:[UNIT]],'Unit Price'!G$1,FALSE),0)</f>
        <v>0</v>
      </c>
      <c r="J206" s="194">
        <f>IF(_1_541284561214624104645789101745678[[#This Row],[Type]]&gt;0,VLOOKUP(_1_541284561214624104645789101745678[[#This Row],[Type]],Main[[#All],[TYPE]:[UNIT]],'Unit Price'!H$1,FALSE),0)</f>
        <v>0</v>
      </c>
      <c r="K206" s="194">
        <f>IF(_1_541284561214624104645789101745678[[#This Row],[Discount selection]]&gt;0,VLOOKUP(_1_541284561214624104645789101745678[[#This Row],[Discount selection]],'Discount Structure'!$A$2:$B$30,2,"false"),0)</f>
        <v>1</v>
      </c>
      <c r="L206" s="194">
        <f>_1_541284561214624104645789101745678[[#This Row],[LIST $]]*_1_541284561214624104645789101745678[[#This Row],[DISCOUNT]]*_1_541284561214624104645789101745678[[#This Row],[DISCOUNT 2]]</f>
        <v>0</v>
      </c>
      <c r="M206" s="194">
        <f>IF(OR(_1_541284561214624104645789101745678[[#This Row],[UNIT]]&gt;0,_1_541284561214624104645789101745678[[#This Row],[UNIT]]&lt;0),_1_541284561214624104645789101745678[[#This Row],[UNIT]]*_1_541284561214624104645789101745678[[#This Row],[COST]],0)</f>
        <v>0</v>
      </c>
      <c r="N206" s="194">
        <f t="shared" si="3"/>
        <v>1.3</v>
      </c>
      <c r="O206" s="198">
        <f>_1_541284561214624104645789101745678[[#This Row],[TOTAL]]*_1_541284561214624104645789101745678[[#This Row],[MARGIN]]</f>
        <v>0</v>
      </c>
      <c r="R206" s="41"/>
    </row>
    <row r="207" spans="1:18">
      <c r="C207" s="168"/>
      <c r="D207" s="188"/>
      <c r="F207" s="168" t="s">
        <v>6202</v>
      </c>
      <c r="G207" s="193">
        <f>IF(_1_541284561214624104645789101745678[[#This Row],[Type]]&gt;0,VLOOKUP(_1_541284561214624104645789101745678[[#This Row],[Type]],Main[[#All],[TYPE]:[UNIT]],'Unit Price'!C$1,FALSE),0)</f>
        <v>0</v>
      </c>
      <c r="H207" s="197">
        <f>IF(_1_541284561214624104645789101745678[[#This Row],[Type]]&gt;0,VLOOKUP(_1_541284561214624104645789101745678[[#This Row],[Type]],Main[[#All],[TYPE]:[UNIT]],'Unit Price'!D$1,FALSE),0)</f>
        <v>0</v>
      </c>
      <c r="I207" s="194">
        <f>IF(_1_541284561214624104645789101745678[[#This Row],[Type]]&gt;0,VLOOKUP(_1_541284561214624104645789101745678[[#This Row],[Type]],Main[[#All],[TYPE]:[UNIT]],'Unit Price'!G$1,FALSE),0)</f>
        <v>0</v>
      </c>
      <c r="J207" s="194">
        <f>IF(_1_541284561214624104645789101745678[[#This Row],[Type]]&gt;0,VLOOKUP(_1_541284561214624104645789101745678[[#This Row],[Type]],Main[[#All],[TYPE]:[UNIT]],'Unit Price'!H$1,FALSE),0)</f>
        <v>0</v>
      </c>
      <c r="K207" s="194">
        <f>IF(_1_541284561214624104645789101745678[[#This Row],[Discount selection]]&gt;0,VLOOKUP(_1_541284561214624104645789101745678[[#This Row],[Discount selection]],'Discount Structure'!$A$2:$B$30,2,"false"),0)</f>
        <v>1</v>
      </c>
      <c r="L207" s="194">
        <f>_1_541284561214624104645789101745678[[#This Row],[LIST $]]*_1_541284561214624104645789101745678[[#This Row],[DISCOUNT]]*_1_541284561214624104645789101745678[[#This Row],[DISCOUNT 2]]</f>
        <v>0</v>
      </c>
      <c r="M207" s="194">
        <f>IF(OR(_1_541284561214624104645789101745678[[#This Row],[UNIT]]&gt;0,_1_541284561214624104645789101745678[[#This Row],[UNIT]]&lt;0),_1_541284561214624104645789101745678[[#This Row],[UNIT]]*_1_541284561214624104645789101745678[[#This Row],[COST]],0)</f>
        <v>0</v>
      </c>
      <c r="N207" s="194">
        <f t="shared" si="3"/>
        <v>1.3</v>
      </c>
      <c r="O207" s="198">
        <f>_1_541284561214624104645789101745678[[#This Row],[TOTAL]]*_1_541284561214624104645789101745678[[#This Row],[MARGIN]]</f>
        <v>0</v>
      </c>
      <c r="R207" s="41"/>
    </row>
    <row r="208" spans="1:18">
      <c r="C208" s="168"/>
      <c r="D208" s="188"/>
      <c r="F208" s="168" t="s">
        <v>6202</v>
      </c>
      <c r="G208" s="193">
        <f>IF(_1_541284561214624104645789101745678[[#This Row],[Type]]&gt;0,VLOOKUP(_1_541284561214624104645789101745678[[#This Row],[Type]],Main[[#All],[TYPE]:[UNIT]],'Unit Price'!C$1,FALSE),0)</f>
        <v>0</v>
      </c>
      <c r="H208" s="197">
        <f>IF(_1_541284561214624104645789101745678[[#This Row],[Type]]&gt;0,VLOOKUP(_1_541284561214624104645789101745678[[#This Row],[Type]],Main[[#All],[TYPE]:[UNIT]],'Unit Price'!D$1,FALSE),0)</f>
        <v>0</v>
      </c>
      <c r="I208" s="194">
        <f>IF(_1_541284561214624104645789101745678[[#This Row],[Type]]&gt;0,VLOOKUP(_1_541284561214624104645789101745678[[#This Row],[Type]],Main[[#All],[TYPE]:[UNIT]],'Unit Price'!G$1,FALSE),0)</f>
        <v>0</v>
      </c>
      <c r="J208" s="194">
        <f>IF(_1_541284561214624104645789101745678[[#This Row],[Type]]&gt;0,VLOOKUP(_1_541284561214624104645789101745678[[#This Row],[Type]],Main[[#All],[TYPE]:[UNIT]],'Unit Price'!H$1,FALSE),0)</f>
        <v>0</v>
      </c>
      <c r="K208" s="194">
        <f>IF(_1_541284561214624104645789101745678[[#This Row],[Discount selection]]&gt;0,VLOOKUP(_1_541284561214624104645789101745678[[#This Row],[Discount selection]],'Discount Structure'!$A$2:$B$30,2,"false"),0)</f>
        <v>1</v>
      </c>
      <c r="L208" s="194">
        <f>_1_541284561214624104645789101745678[[#This Row],[LIST $]]*_1_541284561214624104645789101745678[[#This Row],[DISCOUNT]]*_1_541284561214624104645789101745678[[#This Row],[DISCOUNT 2]]</f>
        <v>0</v>
      </c>
      <c r="M208" s="194">
        <f>IF(OR(_1_541284561214624104645789101745678[[#This Row],[UNIT]]&gt;0,_1_541284561214624104645789101745678[[#This Row],[UNIT]]&lt;0),_1_541284561214624104645789101745678[[#This Row],[UNIT]]*_1_541284561214624104645789101745678[[#This Row],[COST]],0)</f>
        <v>0</v>
      </c>
      <c r="N208" s="194">
        <f t="shared" si="3"/>
        <v>1.3</v>
      </c>
      <c r="O208" s="198">
        <f>_1_541284561214624104645789101745678[[#This Row],[TOTAL]]*_1_541284561214624104645789101745678[[#This Row],[MARGIN]]</f>
        <v>0</v>
      </c>
      <c r="R208" s="41"/>
    </row>
    <row r="209" spans="3:18">
      <c r="C209" s="168"/>
      <c r="D209" s="188"/>
      <c r="F209" s="168" t="s">
        <v>6202</v>
      </c>
      <c r="G209" s="193">
        <f>IF(_1_541284561214624104645789101745678[[#This Row],[Type]]&gt;0,VLOOKUP(_1_541284561214624104645789101745678[[#This Row],[Type]],Main[[#All],[TYPE]:[UNIT]],'Unit Price'!C$1,FALSE),0)</f>
        <v>0</v>
      </c>
      <c r="H209" s="197">
        <f>IF(_1_541284561214624104645789101745678[[#This Row],[Type]]&gt;0,VLOOKUP(_1_541284561214624104645789101745678[[#This Row],[Type]],Main[[#All],[TYPE]:[UNIT]],'Unit Price'!D$1,FALSE),0)</f>
        <v>0</v>
      </c>
      <c r="I209" s="194">
        <f>IF(_1_541284561214624104645789101745678[[#This Row],[Type]]&gt;0,VLOOKUP(_1_541284561214624104645789101745678[[#This Row],[Type]],Main[[#All],[TYPE]:[UNIT]],'Unit Price'!G$1,FALSE),0)</f>
        <v>0</v>
      </c>
      <c r="J209" s="194">
        <f>IF(_1_541284561214624104645789101745678[[#This Row],[Type]]&gt;0,VLOOKUP(_1_541284561214624104645789101745678[[#This Row],[Type]],Main[[#All],[TYPE]:[UNIT]],'Unit Price'!H$1,FALSE),0)</f>
        <v>0</v>
      </c>
      <c r="K209" s="194">
        <f>IF(_1_541284561214624104645789101745678[[#This Row],[Discount selection]]&gt;0,VLOOKUP(_1_541284561214624104645789101745678[[#This Row],[Discount selection]],'Discount Structure'!$A$2:$B$30,2,"false"),0)</f>
        <v>1</v>
      </c>
      <c r="L209" s="194">
        <f>_1_541284561214624104645789101745678[[#This Row],[LIST $]]*_1_541284561214624104645789101745678[[#This Row],[DISCOUNT]]*_1_541284561214624104645789101745678[[#This Row],[DISCOUNT 2]]</f>
        <v>0</v>
      </c>
      <c r="M209" s="194">
        <f>IF(OR(_1_541284561214624104645789101745678[[#This Row],[UNIT]]&gt;0,_1_541284561214624104645789101745678[[#This Row],[UNIT]]&lt;0),_1_541284561214624104645789101745678[[#This Row],[UNIT]]*_1_541284561214624104645789101745678[[#This Row],[COST]],0)</f>
        <v>0</v>
      </c>
      <c r="N209" s="194">
        <f t="shared" si="3"/>
        <v>1.3</v>
      </c>
      <c r="O209" s="198">
        <f>_1_541284561214624104645789101745678[[#This Row],[TOTAL]]*_1_541284561214624104645789101745678[[#This Row],[MARGIN]]</f>
        <v>0</v>
      </c>
      <c r="R209" s="41"/>
    </row>
    <row r="210" spans="3:18">
      <c r="C210" s="168"/>
      <c r="D210" s="188"/>
      <c r="F210" s="168" t="s">
        <v>6202</v>
      </c>
      <c r="G210" s="193">
        <f>IF(_1_541284561214624104645789101745678[[#This Row],[Type]]&gt;0,VLOOKUP(_1_541284561214624104645789101745678[[#This Row],[Type]],Main[[#All],[TYPE]:[UNIT]],'Unit Price'!C$1,FALSE),0)</f>
        <v>0</v>
      </c>
      <c r="H210" s="197">
        <f>IF(_1_541284561214624104645789101745678[[#This Row],[Type]]&gt;0,VLOOKUP(_1_541284561214624104645789101745678[[#This Row],[Type]],Main[[#All],[TYPE]:[UNIT]],'Unit Price'!D$1,FALSE),0)</f>
        <v>0</v>
      </c>
      <c r="I210" s="194">
        <f>IF(_1_541284561214624104645789101745678[[#This Row],[Type]]&gt;0,VLOOKUP(_1_541284561214624104645789101745678[[#This Row],[Type]],Main[[#All],[TYPE]:[UNIT]],'Unit Price'!G$1,FALSE),0)</f>
        <v>0</v>
      </c>
      <c r="J210" s="194">
        <f>IF(_1_541284561214624104645789101745678[[#This Row],[Type]]&gt;0,VLOOKUP(_1_541284561214624104645789101745678[[#This Row],[Type]],Main[[#All],[TYPE]:[UNIT]],'Unit Price'!H$1,FALSE),0)</f>
        <v>0</v>
      </c>
      <c r="K210" s="194">
        <f>IF(_1_541284561214624104645789101745678[[#This Row],[Discount selection]]&gt;0,VLOOKUP(_1_541284561214624104645789101745678[[#This Row],[Discount selection]],'Discount Structure'!$A$2:$B$30,2,"false"),0)</f>
        <v>1</v>
      </c>
      <c r="L210" s="194">
        <f>_1_541284561214624104645789101745678[[#This Row],[LIST $]]*_1_541284561214624104645789101745678[[#This Row],[DISCOUNT]]*_1_541284561214624104645789101745678[[#This Row],[DISCOUNT 2]]</f>
        <v>0</v>
      </c>
      <c r="M210" s="194">
        <f>IF(OR(_1_541284561214624104645789101745678[[#This Row],[UNIT]]&gt;0,_1_541284561214624104645789101745678[[#This Row],[UNIT]]&lt;0),_1_541284561214624104645789101745678[[#This Row],[UNIT]]*_1_541284561214624104645789101745678[[#This Row],[COST]],0)</f>
        <v>0</v>
      </c>
      <c r="N210" s="194">
        <f t="shared" si="3"/>
        <v>1.3</v>
      </c>
      <c r="O210" s="198">
        <f>_1_541284561214624104645789101745678[[#This Row],[TOTAL]]*_1_541284561214624104645789101745678[[#This Row],[MARGIN]]</f>
        <v>0</v>
      </c>
      <c r="R210" s="41"/>
    </row>
    <row r="211" spans="3:18">
      <c r="C211" s="168"/>
      <c r="D211" s="188"/>
      <c r="F211" s="168" t="s">
        <v>6202</v>
      </c>
      <c r="G211" s="193">
        <f>IF(_1_541284561214624104645789101745678[[#This Row],[Type]]&gt;0,VLOOKUP(_1_541284561214624104645789101745678[[#This Row],[Type]],Main[[#All],[TYPE]:[UNIT]],'Unit Price'!C$1,FALSE),0)</f>
        <v>0</v>
      </c>
      <c r="H211" s="197">
        <f>IF(_1_541284561214624104645789101745678[[#This Row],[Type]]&gt;0,VLOOKUP(_1_541284561214624104645789101745678[[#This Row],[Type]],Main[[#All],[TYPE]:[UNIT]],'Unit Price'!D$1,FALSE),0)</f>
        <v>0</v>
      </c>
      <c r="I211" s="194">
        <f>IF(_1_541284561214624104645789101745678[[#This Row],[Type]]&gt;0,VLOOKUP(_1_541284561214624104645789101745678[[#This Row],[Type]],Main[[#All],[TYPE]:[UNIT]],'Unit Price'!G$1,FALSE),0)</f>
        <v>0</v>
      </c>
      <c r="J211" s="194">
        <f>IF(_1_541284561214624104645789101745678[[#This Row],[Type]]&gt;0,VLOOKUP(_1_541284561214624104645789101745678[[#This Row],[Type]],Main[[#All],[TYPE]:[UNIT]],'Unit Price'!H$1,FALSE),0)</f>
        <v>0</v>
      </c>
      <c r="K211" s="194">
        <f>IF(_1_541284561214624104645789101745678[[#This Row],[Discount selection]]&gt;0,VLOOKUP(_1_541284561214624104645789101745678[[#This Row],[Discount selection]],'Discount Structure'!$A$2:$B$30,2,"false"),0)</f>
        <v>1</v>
      </c>
      <c r="L211" s="194">
        <f>_1_541284561214624104645789101745678[[#This Row],[LIST $]]*_1_541284561214624104645789101745678[[#This Row],[DISCOUNT]]*_1_541284561214624104645789101745678[[#This Row],[DISCOUNT 2]]</f>
        <v>0</v>
      </c>
      <c r="M211" s="194">
        <f>IF(OR(_1_541284561214624104645789101745678[[#This Row],[UNIT]]&gt;0,_1_541284561214624104645789101745678[[#This Row],[UNIT]]&lt;0),_1_541284561214624104645789101745678[[#This Row],[UNIT]]*_1_541284561214624104645789101745678[[#This Row],[COST]],0)</f>
        <v>0</v>
      </c>
      <c r="N211" s="194">
        <f t="shared" si="3"/>
        <v>1.3</v>
      </c>
      <c r="O211" s="198">
        <f>_1_541284561214624104645789101745678[[#This Row],[TOTAL]]*_1_541284561214624104645789101745678[[#This Row],[MARGIN]]</f>
        <v>0</v>
      </c>
      <c r="R211" s="41"/>
    </row>
    <row r="212" spans="3:18">
      <c r="C212" s="168"/>
      <c r="D212" s="188"/>
      <c r="F212" s="168" t="s">
        <v>6202</v>
      </c>
      <c r="G212" s="193">
        <f>IF(_1_541284561214624104645789101745678[[#This Row],[Type]]&gt;0,VLOOKUP(_1_541284561214624104645789101745678[[#This Row],[Type]],Main[[#All],[TYPE]:[UNIT]],'Unit Price'!C$1,FALSE),0)</f>
        <v>0</v>
      </c>
      <c r="H212" s="197">
        <f>IF(_1_541284561214624104645789101745678[[#This Row],[Type]]&gt;0,VLOOKUP(_1_541284561214624104645789101745678[[#This Row],[Type]],Main[[#All],[TYPE]:[UNIT]],'Unit Price'!D$1,FALSE),0)</f>
        <v>0</v>
      </c>
      <c r="I212" s="194">
        <f>IF(_1_541284561214624104645789101745678[[#This Row],[Type]]&gt;0,VLOOKUP(_1_541284561214624104645789101745678[[#This Row],[Type]],Main[[#All],[TYPE]:[UNIT]],'Unit Price'!G$1,FALSE),0)</f>
        <v>0</v>
      </c>
      <c r="J212" s="194">
        <f>IF(_1_541284561214624104645789101745678[[#This Row],[Type]]&gt;0,VLOOKUP(_1_541284561214624104645789101745678[[#This Row],[Type]],Main[[#All],[TYPE]:[UNIT]],'Unit Price'!H$1,FALSE),0)</f>
        <v>0</v>
      </c>
      <c r="K212" s="194">
        <f>IF(_1_541284561214624104645789101745678[[#This Row],[Discount selection]]&gt;0,VLOOKUP(_1_541284561214624104645789101745678[[#This Row],[Discount selection]],'Discount Structure'!$A$2:$B$30,2,"false"),0)</f>
        <v>1</v>
      </c>
      <c r="L212" s="194">
        <f>_1_541284561214624104645789101745678[[#This Row],[LIST $]]*_1_541284561214624104645789101745678[[#This Row],[DISCOUNT]]*_1_541284561214624104645789101745678[[#This Row],[DISCOUNT 2]]</f>
        <v>0</v>
      </c>
      <c r="M212" s="194">
        <f>IF(OR(_1_541284561214624104645789101745678[[#This Row],[UNIT]]&gt;0,_1_541284561214624104645789101745678[[#This Row],[UNIT]]&lt;0),_1_541284561214624104645789101745678[[#This Row],[UNIT]]*_1_541284561214624104645789101745678[[#This Row],[COST]],0)</f>
        <v>0</v>
      </c>
      <c r="N212" s="194">
        <f t="shared" si="3"/>
        <v>1.3</v>
      </c>
      <c r="O212" s="198">
        <f>_1_541284561214624104645789101745678[[#This Row],[TOTAL]]*_1_541284561214624104645789101745678[[#This Row],[MARGIN]]</f>
        <v>0</v>
      </c>
      <c r="R212" s="41"/>
    </row>
    <row r="213" spans="3:18">
      <c r="C213" s="168"/>
      <c r="D213" s="188"/>
      <c r="F213" s="168" t="s">
        <v>6202</v>
      </c>
      <c r="G213" s="193">
        <f>IF(_1_541284561214624104645789101745678[[#This Row],[Type]]&gt;0,VLOOKUP(_1_541284561214624104645789101745678[[#This Row],[Type]],Main[[#All],[TYPE]:[UNIT]],'Unit Price'!C$1,FALSE),0)</f>
        <v>0</v>
      </c>
      <c r="H213" s="197">
        <f>IF(_1_541284561214624104645789101745678[[#This Row],[Type]]&gt;0,VLOOKUP(_1_541284561214624104645789101745678[[#This Row],[Type]],Main[[#All],[TYPE]:[UNIT]],'Unit Price'!D$1,FALSE),0)</f>
        <v>0</v>
      </c>
      <c r="I213" s="194">
        <f>IF(_1_541284561214624104645789101745678[[#This Row],[Type]]&gt;0,VLOOKUP(_1_541284561214624104645789101745678[[#This Row],[Type]],Main[[#All],[TYPE]:[UNIT]],'Unit Price'!G$1,FALSE),0)</f>
        <v>0</v>
      </c>
      <c r="J213" s="194">
        <f>IF(_1_541284561214624104645789101745678[[#This Row],[Type]]&gt;0,VLOOKUP(_1_541284561214624104645789101745678[[#This Row],[Type]],Main[[#All],[TYPE]:[UNIT]],'Unit Price'!H$1,FALSE),0)</f>
        <v>0</v>
      </c>
      <c r="K213" s="194">
        <f>IF(_1_541284561214624104645789101745678[[#This Row],[Discount selection]]&gt;0,VLOOKUP(_1_541284561214624104645789101745678[[#This Row],[Discount selection]],'Discount Structure'!$A$2:$B$30,2,"false"),0)</f>
        <v>1</v>
      </c>
      <c r="L213" s="194">
        <f>_1_541284561214624104645789101745678[[#This Row],[LIST $]]*_1_541284561214624104645789101745678[[#This Row],[DISCOUNT]]*_1_541284561214624104645789101745678[[#This Row],[DISCOUNT 2]]</f>
        <v>0</v>
      </c>
      <c r="M213" s="194">
        <f>IF(OR(_1_541284561214624104645789101745678[[#This Row],[UNIT]]&gt;0,_1_541284561214624104645789101745678[[#This Row],[UNIT]]&lt;0),_1_541284561214624104645789101745678[[#This Row],[UNIT]]*_1_541284561214624104645789101745678[[#This Row],[COST]],0)</f>
        <v>0</v>
      </c>
      <c r="N213" s="194">
        <f t="shared" si="3"/>
        <v>1.3</v>
      </c>
      <c r="O213" s="198">
        <f>_1_541284561214624104645789101745678[[#This Row],[TOTAL]]*_1_541284561214624104645789101745678[[#This Row],[MARGIN]]</f>
        <v>0</v>
      </c>
      <c r="R213" s="41"/>
    </row>
    <row r="214" spans="3:18">
      <c r="C214" s="168"/>
      <c r="D214" s="188"/>
      <c r="F214" s="168" t="s">
        <v>6202</v>
      </c>
      <c r="G214" s="193">
        <f>IF(_1_541284561214624104645789101745678[[#This Row],[Type]]&gt;0,VLOOKUP(_1_541284561214624104645789101745678[[#This Row],[Type]],Main[[#All],[TYPE]:[UNIT]],'Unit Price'!C$1,FALSE),0)</f>
        <v>0</v>
      </c>
      <c r="H214" s="197">
        <f>IF(_1_541284561214624104645789101745678[[#This Row],[Type]]&gt;0,VLOOKUP(_1_541284561214624104645789101745678[[#This Row],[Type]],Main[[#All],[TYPE]:[UNIT]],'Unit Price'!D$1,FALSE),0)</f>
        <v>0</v>
      </c>
      <c r="I214" s="194">
        <f>IF(_1_541284561214624104645789101745678[[#This Row],[Type]]&gt;0,VLOOKUP(_1_541284561214624104645789101745678[[#This Row],[Type]],Main[[#All],[TYPE]:[UNIT]],'Unit Price'!G$1,FALSE),0)</f>
        <v>0</v>
      </c>
      <c r="J214" s="194">
        <f>IF(_1_541284561214624104645789101745678[[#This Row],[Type]]&gt;0,VLOOKUP(_1_541284561214624104645789101745678[[#This Row],[Type]],Main[[#All],[TYPE]:[UNIT]],'Unit Price'!H$1,FALSE),0)</f>
        <v>0</v>
      </c>
      <c r="K214" s="194">
        <f>IF(_1_541284561214624104645789101745678[[#This Row],[Discount selection]]&gt;0,VLOOKUP(_1_541284561214624104645789101745678[[#This Row],[Discount selection]],'Discount Structure'!$A$2:$B$30,2,"false"),0)</f>
        <v>1</v>
      </c>
      <c r="L214" s="194">
        <f>_1_541284561214624104645789101745678[[#This Row],[LIST $]]*_1_541284561214624104645789101745678[[#This Row],[DISCOUNT]]*_1_541284561214624104645789101745678[[#This Row],[DISCOUNT 2]]</f>
        <v>0</v>
      </c>
      <c r="M214" s="194">
        <f>IF(OR(_1_541284561214624104645789101745678[[#This Row],[UNIT]]&gt;0,_1_541284561214624104645789101745678[[#This Row],[UNIT]]&lt;0),_1_541284561214624104645789101745678[[#This Row],[UNIT]]*_1_541284561214624104645789101745678[[#This Row],[COST]],0)</f>
        <v>0</v>
      </c>
      <c r="N214" s="194">
        <f t="shared" si="3"/>
        <v>1.3</v>
      </c>
      <c r="O214" s="198">
        <f>_1_541284561214624104645789101745678[[#This Row],[TOTAL]]*_1_541284561214624104645789101745678[[#This Row],[MARGIN]]</f>
        <v>0</v>
      </c>
      <c r="R214" s="41"/>
    </row>
    <row r="215" spans="3:18">
      <c r="C215" s="168"/>
      <c r="D215" s="188"/>
      <c r="F215" s="168" t="s">
        <v>6202</v>
      </c>
      <c r="G215" s="193">
        <f>IF(_1_541284561214624104645789101745678[[#This Row],[Type]]&gt;0,VLOOKUP(_1_541284561214624104645789101745678[[#This Row],[Type]],Main[[#All],[TYPE]:[UNIT]],'Unit Price'!C$1,FALSE),0)</f>
        <v>0</v>
      </c>
      <c r="H215" s="197">
        <f>IF(_1_541284561214624104645789101745678[[#This Row],[Type]]&gt;0,VLOOKUP(_1_541284561214624104645789101745678[[#This Row],[Type]],Main[[#All],[TYPE]:[UNIT]],'Unit Price'!D$1,FALSE),0)</f>
        <v>0</v>
      </c>
      <c r="I215" s="194">
        <f>IF(_1_541284561214624104645789101745678[[#This Row],[Type]]&gt;0,VLOOKUP(_1_541284561214624104645789101745678[[#This Row],[Type]],Main[[#All],[TYPE]:[UNIT]],'Unit Price'!G$1,FALSE),0)</f>
        <v>0</v>
      </c>
      <c r="J215" s="194">
        <f>IF(_1_541284561214624104645789101745678[[#This Row],[Type]]&gt;0,VLOOKUP(_1_541284561214624104645789101745678[[#This Row],[Type]],Main[[#All],[TYPE]:[UNIT]],'Unit Price'!H$1,FALSE),0)</f>
        <v>0</v>
      </c>
      <c r="K215" s="194">
        <f>IF(_1_541284561214624104645789101745678[[#This Row],[Discount selection]]&gt;0,VLOOKUP(_1_541284561214624104645789101745678[[#This Row],[Discount selection]],'Discount Structure'!$A$2:$B$30,2,"false"),0)</f>
        <v>1</v>
      </c>
      <c r="L215" s="194">
        <f>_1_541284561214624104645789101745678[[#This Row],[LIST $]]*_1_541284561214624104645789101745678[[#This Row],[DISCOUNT]]*_1_541284561214624104645789101745678[[#This Row],[DISCOUNT 2]]</f>
        <v>0</v>
      </c>
      <c r="M215" s="194">
        <f>IF(OR(_1_541284561214624104645789101745678[[#This Row],[UNIT]]&gt;0,_1_541284561214624104645789101745678[[#This Row],[UNIT]]&lt;0),_1_541284561214624104645789101745678[[#This Row],[UNIT]]*_1_541284561214624104645789101745678[[#This Row],[COST]],0)</f>
        <v>0</v>
      </c>
      <c r="N215" s="194">
        <f t="shared" si="3"/>
        <v>1.3</v>
      </c>
      <c r="O215" s="198">
        <f>_1_541284561214624104645789101745678[[#This Row],[TOTAL]]*_1_541284561214624104645789101745678[[#This Row],[MARGIN]]</f>
        <v>0</v>
      </c>
      <c r="R215" s="41"/>
    </row>
    <row r="216" spans="3:18">
      <c r="C216" s="168"/>
      <c r="D216" s="188"/>
      <c r="F216" s="168" t="s">
        <v>6202</v>
      </c>
      <c r="G216" s="193">
        <f>IF(_1_541284561214624104645789101745678[[#This Row],[Type]]&gt;0,VLOOKUP(_1_541284561214624104645789101745678[[#This Row],[Type]],Main[[#All],[TYPE]:[UNIT]],'Unit Price'!C$1,FALSE),0)</f>
        <v>0</v>
      </c>
      <c r="H216" s="197">
        <f>IF(_1_541284561214624104645789101745678[[#This Row],[Type]]&gt;0,VLOOKUP(_1_541284561214624104645789101745678[[#This Row],[Type]],Main[[#All],[TYPE]:[UNIT]],'Unit Price'!D$1,FALSE),0)</f>
        <v>0</v>
      </c>
      <c r="I216" s="194">
        <f>IF(_1_541284561214624104645789101745678[[#This Row],[Type]]&gt;0,VLOOKUP(_1_541284561214624104645789101745678[[#This Row],[Type]],Main[[#All],[TYPE]:[UNIT]],'Unit Price'!G$1,FALSE),0)</f>
        <v>0</v>
      </c>
      <c r="J216" s="194">
        <f>IF(_1_541284561214624104645789101745678[[#This Row],[Type]]&gt;0,VLOOKUP(_1_541284561214624104645789101745678[[#This Row],[Type]],Main[[#All],[TYPE]:[UNIT]],'Unit Price'!H$1,FALSE),0)</f>
        <v>0</v>
      </c>
      <c r="K216" s="194">
        <f>IF(_1_541284561214624104645789101745678[[#This Row],[Discount selection]]&gt;0,VLOOKUP(_1_541284561214624104645789101745678[[#This Row],[Discount selection]],'Discount Structure'!$A$2:$B$30,2,"false"),0)</f>
        <v>1</v>
      </c>
      <c r="L216" s="194">
        <f>_1_541284561214624104645789101745678[[#This Row],[LIST $]]*_1_541284561214624104645789101745678[[#This Row],[DISCOUNT]]*_1_541284561214624104645789101745678[[#This Row],[DISCOUNT 2]]</f>
        <v>0</v>
      </c>
      <c r="M216" s="194">
        <f>IF(OR(_1_541284561214624104645789101745678[[#This Row],[UNIT]]&gt;0,_1_541284561214624104645789101745678[[#This Row],[UNIT]]&lt;0),_1_541284561214624104645789101745678[[#This Row],[UNIT]]*_1_541284561214624104645789101745678[[#This Row],[COST]],0)</f>
        <v>0</v>
      </c>
      <c r="N216" s="194">
        <f t="shared" si="3"/>
        <v>1.3</v>
      </c>
      <c r="O216" s="198">
        <f>_1_541284561214624104645789101745678[[#This Row],[TOTAL]]*_1_541284561214624104645789101745678[[#This Row],[MARGIN]]</f>
        <v>0</v>
      </c>
      <c r="R216" s="41"/>
    </row>
    <row r="217" spans="3:18">
      <c r="C217" s="168"/>
      <c r="D217" s="188"/>
      <c r="F217" s="168" t="s">
        <v>6202</v>
      </c>
      <c r="G217" s="193">
        <f>IF(_1_541284561214624104645789101745678[[#This Row],[Type]]&gt;0,VLOOKUP(_1_541284561214624104645789101745678[[#This Row],[Type]],Main[[#All],[TYPE]:[UNIT]],'Unit Price'!C$1,FALSE),0)</f>
        <v>0</v>
      </c>
      <c r="H217" s="197">
        <f>IF(_1_541284561214624104645789101745678[[#This Row],[Type]]&gt;0,VLOOKUP(_1_541284561214624104645789101745678[[#This Row],[Type]],Main[[#All],[TYPE]:[UNIT]],'Unit Price'!D$1,FALSE),0)</f>
        <v>0</v>
      </c>
      <c r="I217" s="194">
        <f>IF(_1_541284561214624104645789101745678[[#This Row],[Type]]&gt;0,VLOOKUP(_1_541284561214624104645789101745678[[#This Row],[Type]],Main[[#All],[TYPE]:[UNIT]],'Unit Price'!G$1,FALSE),0)</f>
        <v>0</v>
      </c>
      <c r="J217" s="194">
        <f>IF(_1_541284561214624104645789101745678[[#This Row],[Type]]&gt;0,VLOOKUP(_1_541284561214624104645789101745678[[#This Row],[Type]],Main[[#All],[TYPE]:[UNIT]],'Unit Price'!H$1,FALSE),0)</f>
        <v>0</v>
      </c>
      <c r="K217" s="194">
        <f>IF(_1_541284561214624104645789101745678[[#This Row],[Discount selection]]&gt;0,VLOOKUP(_1_541284561214624104645789101745678[[#This Row],[Discount selection]],'Discount Structure'!$A$2:$B$30,2,"false"),0)</f>
        <v>1</v>
      </c>
      <c r="L217" s="194">
        <f>_1_541284561214624104645789101745678[[#This Row],[LIST $]]*_1_541284561214624104645789101745678[[#This Row],[DISCOUNT]]*_1_541284561214624104645789101745678[[#This Row],[DISCOUNT 2]]</f>
        <v>0</v>
      </c>
      <c r="M217" s="194">
        <f>IF(OR(_1_541284561214624104645789101745678[[#This Row],[UNIT]]&gt;0,_1_541284561214624104645789101745678[[#This Row],[UNIT]]&lt;0),_1_541284561214624104645789101745678[[#This Row],[UNIT]]*_1_541284561214624104645789101745678[[#This Row],[COST]],0)</f>
        <v>0</v>
      </c>
      <c r="N217" s="194">
        <f t="shared" si="3"/>
        <v>1.3</v>
      </c>
      <c r="O217" s="198">
        <f>_1_541284561214624104645789101745678[[#This Row],[TOTAL]]*_1_541284561214624104645789101745678[[#This Row],[MARGIN]]</f>
        <v>0</v>
      </c>
      <c r="R217" s="41"/>
    </row>
    <row r="218" spans="3:18">
      <c r="C218" s="168"/>
      <c r="D218" s="188"/>
      <c r="F218" s="168" t="s">
        <v>6202</v>
      </c>
      <c r="G218" s="193">
        <f>IF(_1_541284561214624104645789101745678[[#This Row],[Type]]&gt;0,VLOOKUP(_1_541284561214624104645789101745678[[#This Row],[Type]],Main[[#All],[TYPE]:[UNIT]],'Unit Price'!C$1,FALSE),0)</f>
        <v>0</v>
      </c>
      <c r="H218" s="197">
        <f>IF(_1_541284561214624104645789101745678[[#This Row],[Type]]&gt;0,VLOOKUP(_1_541284561214624104645789101745678[[#This Row],[Type]],Main[[#All],[TYPE]:[UNIT]],'Unit Price'!D$1,FALSE),0)</f>
        <v>0</v>
      </c>
      <c r="I218" s="194">
        <f>IF(_1_541284561214624104645789101745678[[#This Row],[Type]]&gt;0,VLOOKUP(_1_541284561214624104645789101745678[[#This Row],[Type]],Main[[#All],[TYPE]:[UNIT]],'Unit Price'!G$1,FALSE),0)</f>
        <v>0</v>
      </c>
      <c r="J218" s="194">
        <f>IF(_1_541284561214624104645789101745678[[#This Row],[Type]]&gt;0,VLOOKUP(_1_541284561214624104645789101745678[[#This Row],[Type]],Main[[#All],[TYPE]:[UNIT]],'Unit Price'!H$1,FALSE),0)</f>
        <v>0</v>
      </c>
      <c r="K218" s="194">
        <f>IF(_1_541284561214624104645789101745678[[#This Row],[Discount selection]]&gt;0,VLOOKUP(_1_541284561214624104645789101745678[[#This Row],[Discount selection]],'Discount Structure'!$A$2:$B$30,2,"false"),0)</f>
        <v>1</v>
      </c>
      <c r="L218" s="194">
        <f>_1_541284561214624104645789101745678[[#This Row],[LIST $]]*_1_541284561214624104645789101745678[[#This Row],[DISCOUNT]]*_1_541284561214624104645789101745678[[#This Row],[DISCOUNT 2]]</f>
        <v>0</v>
      </c>
      <c r="M218" s="194">
        <f>IF(OR(_1_541284561214624104645789101745678[[#This Row],[UNIT]]&gt;0,_1_541284561214624104645789101745678[[#This Row],[UNIT]]&lt;0),_1_541284561214624104645789101745678[[#This Row],[UNIT]]*_1_541284561214624104645789101745678[[#This Row],[COST]],0)</f>
        <v>0</v>
      </c>
      <c r="N218" s="194">
        <f t="shared" si="3"/>
        <v>1.3</v>
      </c>
      <c r="O218" s="198">
        <f>_1_541284561214624104645789101745678[[#This Row],[TOTAL]]*_1_541284561214624104645789101745678[[#This Row],[MARGIN]]</f>
        <v>0</v>
      </c>
      <c r="R218" s="41"/>
    </row>
    <row r="219" spans="3:18">
      <c r="C219" s="168"/>
      <c r="D219" s="188"/>
      <c r="F219" s="168" t="s">
        <v>6202</v>
      </c>
      <c r="G219" s="193">
        <f>IF(_1_541284561214624104645789101745678[[#This Row],[Type]]&gt;0,VLOOKUP(_1_541284561214624104645789101745678[[#This Row],[Type]],Main[[#All],[TYPE]:[UNIT]],'Unit Price'!C$1,FALSE),0)</f>
        <v>0</v>
      </c>
      <c r="H219" s="197">
        <f>IF(_1_541284561214624104645789101745678[[#This Row],[Type]]&gt;0,VLOOKUP(_1_541284561214624104645789101745678[[#This Row],[Type]],Main[[#All],[TYPE]:[UNIT]],'Unit Price'!D$1,FALSE),0)</f>
        <v>0</v>
      </c>
      <c r="I219" s="194">
        <f>IF(_1_541284561214624104645789101745678[[#This Row],[Type]]&gt;0,VLOOKUP(_1_541284561214624104645789101745678[[#This Row],[Type]],Main[[#All],[TYPE]:[UNIT]],'Unit Price'!G$1,FALSE),0)</f>
        <v>0</v>
      </c>
      <c r="J219" s="194">
        <f>IF(_1_541284561214624104645789101745678[[#This Row],[Type]]&gt;0,VLOOKUP(_1_541284561214624104645789101745678[[#This Row],[Type]],Main[[#All],[TYPE]:[UNIT]],'Unit Price'!H$1,FALSE),0)</f>
        <v>0</v>
      </c>
      <c r="K219" s="194">
        <f>IF(_1_541284561214624104645789101745678[[#This Row],[Discount selection]]&gt;0,VLOOKUP(_1_541284561214624104645789101745678[[#This Row],[Discount selection]],'Discount Structure'!$A$2:$B$30,2,"false"),0)</f>
        <v>1</v>
      </c>
      <c r="L219" s="194">
        <f>_1_541284561214624104645789101745678[[#This Row],[LIST $]]*_1_541284561214624104645789101745678[[#This Row],[DISCOUNT]]*_1_541284561214624104645789101745678[[#This Row],[DISCOUNT 2]]</f>
        <v>0</v>
      </c>
      <c r="M219" s="194">
        <f>IF(OR(_1_541284561214624104645789101745678[[#This Row],[UNIT]]&gt;0,_1_541284561214624104645789101745678[[#This Row],[UNIT]]&lt;0),_1_541284561214624104645789101745678[[#This Row],[UNIT]]*_1_541284561214624104645789101745678[[#This Row],[COST]],0)</f>
        <v>0</v>
      </c>
      <c r="N219" s="194">
        <f t="shared" si="3"/>
        <v>1.3</v>
      </c>
      <c r="O219" s="198">
        <f>_1_541284561214624104645789101745678[[#This Row],[TOTAL]]*_1_541284561214624104645789101745678[[#This Row],[MARGIN]]</f>
        <v>0</v>
      </c>
      <c r="R219" s="41"/>
    </row>
    <row r="220" spans="3:18">
      <c r="C220" s="168"/>
      <c r="D220" s="188"/>
      <c r="F220" s="168" t="s">
        <v>6202</v>
      </c>
      <c r="G220" s="193">
        <f>IF(_1_541284561214624104645789101745678[[#This Row],[Type]]&gt;0,VLOOKUP(_1_541284561214624104645789101745678[[#This Row],[Type]],Main[[#All],[TYPE]:[UNIT]],'Unit Price'!C$1,FALSE),0)</f>
        <v>0</v>
      </c>
      <c r="H220" s="197">
        <f>IF(_1_541284561214624104645789101745678[[#This Row],[Type]]&gt;0,VLOOKUP(_1_541284561214624104645789101745678[[#This Row],[Type]],Main[[#All],[TYPE]:[UNIT]],'Unit Price'!D$1,FALSE),0)</f>
        <v>0</v>
      </c>
      <c r="I220" s="194">
        <f>IF(_1_541284561214624104645789101745678[[#This Row],[Type]]&gt;0,VLOOKUP(_1_541284561214624104645789101745678[[#This Row],[Type]],Main[[#All],[TYPE]:[UNIT]],'Unit Price'!G$1,FALSE),0)</f>
        <v>0</v>
      </c>
      <c r="J220" s="194">
        <f>IF(_1_541284561214624104645789101745678[[#This Row],[Type]]&gt;0,VLOOKUP(_1_541284561214624104645789101745678[[#This Row],[Type]],Main[[#All],[TYPE]:[UNIT]],'Unit Price'!H$1,FALSE),0)</f>
        <v>0</v>
      </c>
      <c r="K220" s="194">
        <f>IF(_1_541284561214624104645789101745678[[#This Row],[Discount selection]]&gt;0,VLOOKUP(_1_541284561214624104645789101745678[[#This Row],[Discount selection]],'Discount Structure'!$A$2:$B$30,2,"false"),0)</f>
        <v>1</v>
      </c>
      <c r="L220" s="194">
        <f>_1_541284561214624104645789101745678[[#This Row],[LIST $]]*_1_541284561214624104645789101745678[[#This Row],[DISCOUNT]]*_1_541284561214624104645789101745678[[#This Row],[DISCOUNT 2]]</f>
        <v>0</v>
      </c>
      <c r="M220" s="194">
        <f>IF(OR(_1_541284561214624104645789101745678[[#This Row],[UNIT]]&gt;0,_1_541284561214624104645789101745678[[#This Row],[UNIT]]&lt;0),_1_541284561214624104645789101745678[[#This Row],[UNIT]]*_1_541284561214624104645789101745678[[#This Row],[COST]],0)</f>
        <v>0</v>
      </c>
      <c r="N220" s="194">
        <f t="shared" si="3"/>
        <v>1.3</v>
      </c>
      <c r="O220" s="198">
        <f>_1_541284561214624104645789101745678[[#This Row],[TOTAL]]*_1_541284561214624104645789101745678[[#This Row],[MARGIN]]</f>
        <v>0</v>
      </c>
      <c r="R220" s="41"/>
    </row>
    <row r="221" spans="3:18">
      <c r="C221" s="168"/>
      <c r="D221" s="188"/>
      <c r="F221" s="168" t="s">
        <v>6202</v>
      </c>
      <c r="G221" s="193">
        <f>IF(_1_541284561214624104645789101745678[[#This Row],[Type]]&gt;0,VLOOKUP(_1_541284561214624104645789101745678[[#This Row],[Type]],Main[[#All],[TYPE]:[UNIT]],'Unit Price'!C$1,FALSE),0)</f>
        <v>0</v>
      </c>
      <c r="H221" s="197">
        <f>IF(_1_541284561214624104645789101745678[[#This Row],[Type]]&gt;0,VLOOKUP(_1_541284561214624104645789101745678[[#This Row],[Type]],Main[[#All],[TYPE]:[UNIT]],'Unit Price'!D$1,FALSE),0)</f>
        <v>0</v>
      </c>
      <c r="I221" s="194">
        <f>IF(_1_541284561214624104645789101745678[[#This Row],[Type]]&gt;0,VLOOKUP(_1_541284561214624104645789101745678[[#This Row],[Type]],Main[[#All],[TYPE]:[UNIT]],'Unit Price'!G$1,FALSE),0)</f>
        <v>0</v>
      </c>
      <c r="J221" s="194">
        <f>IF(_1_541284561214624104645789101745678[[#This Row],[Type]]&gt;0,VLOOKUP(_1_541284561214624104645789101745678[[#This Row],[Type]],Main[[#All],[TYPE]:[UNIT]],'Unit Price'!H$1,FALSE),0)</f>
        <v>0</v>
      </c>
      <c r="K221" s="194">
        <f>IF(_1_541284561214624104645789101745678[[#This Row],[Discount selection]]&gt;0,VLOOKUP(_1_541284561214624104645789101745678[[#This Row],[Discount selection]],'Discount Structure'!$A$2:$B$30,2,"false"),0)</f>
        <v>1</v>
      </c>
      <c r="L221" s="194">
        <f>_1_541284561214624104645789101745678[[#This Row],[LIST $]]*_1_541284561214624104645789101745678[[#This Row],[DISCOUNT]]*_1_541284561214624104645789101745678[[#This Row],[DISCOUNT 2]]</f>
        <v>0</v>
      </c>
      <c r="M221" s="194">
        <f>IF(OR(_1_541284561214624104645789101745678[[#This Row],[UNIT]]&gt;0,_1_541284561214624104645789101745678[[#This Row],[UNIT]]&lt;0),_1_541284561214624104645789101745678[[#This Row],[UNIT]]*_1_541284561214624104645789101745678[[#This Row],[COST]],0)</f>
        <v>0</v>
      </c>
      <c r="N221" s="194">
        <f t="shared" si="3"/>
        <v>1.3</v>
      </c>
      <c r="O221" s="198">
        <f>_1_541284561214624104645789101745678[[#This Row],[TOTAL]]*_1_541284561214624104645789101745678[[#This Row],[MARGIN]]</f>
        <v>0</v>
      </c>
      <c r="R221" s="41"/>
    </row>
    <row r="222" spans="3:18">
      <c r="C222" s="168"/>
      <c r="D222" s="188"/>
      <c r="F222" s="168" t="s">
        <v>6202</v>
      </c>
      <c r="G222" s="193">
        <f>IF(_1_541284561214624104645789101745678[[#This Row],[Type]]&gt;0,VLOOKUP(_1_541284561214624104645789101745678[[#This Row],[Type]],Main[[#All],[TYPE]:[UNIT]],'Unit Price'!C$1,FALSE),0)</f>
        <v>0</v>
      </c>
      <c r="H222" s="197">
        <f>IF(_1_541284561214624104645789101745678[[#This Row],[Type]]&gt;0,VLOOKUP(_1_541284561214624104645789101745678[[#This Row],[Type]],Main[[#All],[TYPE]:[UNIT]],'Unit Price'!D$1,FALSE),0)</f>
        <v>0</v>
      </c>
      <c r="I222" s="194">
        <f>IF(_1_541284561214624104645789101745678[[#This Row],[Type]]&gt;0,VLOOKUP(_1_541284561214624104645789101745678[[#This Row],[Type]],Main[[#All],[TYPE]:[UNIT]],'Unit Price'!G$1,FALSE),0)</f>
        <v>0</v>
      </c>
      <c r="J222" s="194">
        <f>IF(_1_541284561214624104645789101745678[[#This Row],[Type]]&gt;0,VLOOKUP(_1_541284561214624104645789101745678[[#This Row],[Type]],Main[[#All],[TYPE]:[UNIT]],'Unit Price'!H$1,FALSE),0)</f>
        <v>0</v>
      </c>
      <c r="K222" s="194">
        <f>IF(_1_541284561214624104645789101745678[[#This Row],[Discount selection]]&gt;0,VLOOKUP(_1_541284561214624104645789101745678[[#This Row],[Discount selection]],'Discount Structure'!$A$2:$B$30,2,"false"),0)</f>
        <v>1</v>
      </c>
      <c r="L222" s="194">
        <f>_1_541284561214624104645789101745678[[#This Row],[LIST $]]*_1_541284561214624104645789101745678[[#This Row],[DISCOUNT]]*_1_541284561214624104645789101745678[[#This Row],[DISCOUNT 2]]</f>
        <v>0</v>
      </c>
      <c r="M222" s="194">
        <f>IF(OR(_1_541284561214624104645789101745678[[#This Row],[UNIT]]&gt;0,_1_541284561214624104645789101745678[[#This Row],[UNIT]]&lt;0),_1_541284561214624104645789101745678[[#This Row],[UNIT]]*_1_541284561214624104645789101745678[[#This Row],[COST]],0)</f>
        <v>0</v>
      </c>
      <c r="N222" s="194">
        <f t="shared" si="3"/>
        <v>1.3</v>
      </c>
      <c r="O222" s="198">
        <f>_1_541284561214624104645789101745678[[#This Row],[TOTAL]]*_1_541284561214624104645789101745678[[#This Row],[MARGIN]]</f>
        <v>0</v>
      </c>
      <c r="R222" s="41"/>
    </row>
    <row r="223" spans="3:18">
      <c r="C223" s="168"/>
      <c r="D223" s="188"/>
      <c r="F223" s="168" t="s">
        <v>6202</v>
      </c>
      <c r="G223" s="193">
        <f>IF(_1_541284561214624104645789101745678[[#This Row],[Type]]&gt;0,VLOOKUP(_1_541284561214624104645789101745678[[#This Row],[Type]],Main[[#All],[TYPE]:[UNIT]],'Unit Price'!C$1,FALSE),0)</f>
        <v>0</v>
      </c>
      <c r="H223" s="197">
        <f>IF(_1_541284561214624104645789101745678[[#This Row],[Type]]&gt;0,VLOOKUP(_1_541284561214624104645789101745678[[#This Row],[Type]],Main[[#All],[TYPE]:[UNIT]],'Unit Price'!D$1,FALSE),0)</f>
        <v>0</v>
      </c>
      <c r="I223" s="194">
        <f>IF(_1_541284561214624104645789101745678[[#This Row],[Type]]&gt;0,VLOOKUP(_1_541284561214624104645789101745678[[#This Row],[Type]],Main[[#All],[TYPE]:[UNIT]],'Unit Price'!G$1,FALSE),0)</f>
        <v>0</v>
      </c>
      <c r="J223" s="194">
        <f>IF(_1_541284561214624104645789101745678[[#This Row],[Type]]&gt;0,VLOOKUP(_1_541284561214624104645789101745678[[#This Row],[Type]],Main[[#All],[TYPE]:[UNIT]],'Unit Price'!H$1,FALSE),0)</f>
        <v>0</v>
      </c>
      <c r="K223" s="194">
        <f>IF(_1_541284561214624104645789101745678[[#This Row],[Discount selection]]&gt;0,VLOOKUP(_1_541284561214624104645789101745678[[#This Row],[Discount selection]],'Discount Structure'!$A$2:$B$30,2,"false"),0)</f>
        <v>1</v>
      </c>
      <c r="L223" s="194">
        <f>_1_541284561214624104645789101745678[[#This Row],[LIST $]]*_1_541284561214624104645789101745678[[#This Row],[DISCOUNT]]*_1_541284561214624104645789101745678[[#This Row],[DISCOUNT 2]]</f>
        <v>0</v>
      </c>
      <c r="M223" s="194">
        <f>IF(OR(_1_541284561214624104645789101745678[[#This Row],[UNIT]]&gt;0,_1_541284561214624104645789101745678[[#This Row],[UNIT]]&lt;0),_1_541284561214624104645789101745678[[#This Row],[UNIT]]*_1_541284561214624104645789101745678[[#This Row],[COST]],0)</f>
        <v>0</v>
      </c>
      <c r="N223" s="194">
        <f t="shared" si="3"/>
        <v>1.3</v>
      </c>
      <c r="O223" s="198">
        <f>_1_541284561214624104645789101745678[[#This Row],[TOTAL]]*_1_541284561214624104645789101745678[[#This Row],[MARGIN]]</f>
        <v>0</v>
      </c>
      <c r="R223" s="41"/>
    </row>
    <row r="224" spans="3:18">
      <c r="C224" s="168"/>
      <c r="D224" s="188"/>
      <c r="F224" s="168" t="s">
        <v>6202</v>
      </c>
      <c r="G224" s="193">
        <f>IF(_1_541284561214624104645789101745678[[#This Row],[Type]]&gt;0,VLOOKUP(_1_541284561214624104645789101745678[[#This Row],[Type]],Main[[#All],[TYPE]:[UNIT]],'Unit Price'!C$1,FALSE),0)</f>
        <v>0</v>
      </c>
      <c r="H224" s="197">
        <f>IF(_1_541284561214624104645789101745678[[#This Row],[Type]]&gt;0,VLOOKUP(_1_541284561214624104645789101745678[[#This Row],[Type]],Main[[#All],[TYPE]:[UNIT]],'Unit Price'!D$1,FALSE),0)</f>
        <v>0</v>
      </c>
      <c r="I224" s="194">
        <f>IF(_1_541284561214624104645789101745678[[#This Row],[Type]]&gt;0,VLOOKUP(_1_541284561214624104645789101745678[[#This Row],[Type]],Main[[#All],[TYPE]:[UNIT]],'Unit Price'!G$1,FALSE),0)</f>
        <v>0</v>
      </c>
      <c r="J224" s="194">
        <f>IF(_1_541284561214624104645789101745678[[#This Row],[Type]]&gt;0,VLOOKUP(_1_541284561214624104645789101745678[[#This Row],[Type]],Main[[#All],[TYPE]:[UNIT]],'Unit Price'!H$1,FALSE),0)</f>
        <v>0</v>
      </c>
      <c r="K224" s="194">
        <f>IF(_1_541284561214624104645789101745678[[#This Row],[Discount selection]]&gt;0,VLOOKUP(_1_541284561214624104645789101745678[[#This Row],[Discount selection]],'Discount Structure'!$A$2:$B$30,2,"false"),0)</f>
        <v>1</v>
      </c>
      <c r="L224" s="194">
        <f>_1_541284561214624104645789101745678[[#This Row],[LIST $]]*_1_541284561214624104645789101745678[[#This Row],[DISCOUNT]]*_1_541284561214624104645789101745678[[#This Row],[DISCOUNT 2]]</f>
        <v>0</v>
      </c>
      <c r="M224" s="194">
        <f>IF(OR(_1_541284561214624104645789101745678[[#This Row],[UNIT]]&gt;0,_1_541284561214624104645789101745678[[#This Row],[UNIT]]&lt;0),_1_541284561214624104645789101745678[[#This Row],[UNIT]]*_1_541284561214624104645789101745678[[#This Row],[COST]],0)</f>
        <v>0</v>
      </c>
      <c r="N224" s="194">
        <f t="shared" si="3"/>
        <v>1.3</v>
      </c>
      <c r="O224" s="198">
        <f>_1_541284561214624104645789101745678[[#This Row],[TOTAL]]*_1_541284561214624104645789101745678[[#This Row],[MARGIN]]</f>
        <v>0</v>
      </c>
      <c r="R224" s="41"/>
    </row>
    <row r="225" spans="1:18">
      <c r="C225" s="168"/>
      <c r="D225" s="188"/>
      <c r="F225" s="168" t="s">
        <v>6202</v>
      </c>
      <c r="G225" s="193">
        <f>IF(_1_541284561214624104645789101745678[[#This Row],[Type]]&gt;0,VLOOKUP(_1_541284561214624104645789101745678[[#This Row],[Type]],Main[[#All],[TYPE]:[UNIT]],'Unit Price'!C$1,FALSE),0)</f>
        <v>0</v>
      </c>
      <c r="H225" s="197">
        <f>IF(_1_541284561214624104645789101745678[[#This Row],[Type]]&gt;0,VLOOKUP(_1_541284561214624104645789101745678[[#This Row],[Type]],Main[[#All],[TYPE]:[UNIT]],'Unit Price'!D$1,FALSE),0)</f>
        <v>0</v>
      </c>
      <c r="I225" s="194">
        <f>IF(_1_541284561214624104645789101745678[[#This Row],[Type]]&gt;0,VLOOKUP(_1_541284561214624104645789101745678[[#This Row],[Type]],Main[[#All],[TYPE]:[UNIT]],'Unit Price'!G$1,FALSE),0)</f>
        <v>0</v>
      </c>
      <c r="J225" s="194">
        <f>IF(_1_541284561214624104645789101745678[[#This Row],[Type]]&gt;0,VLOOKUP(_1_541284561214624104645789101745678[[#This Row],[Type]],Main[[#All],[TYPE]:[UNIT]],'Unit Price'!H$1,FALSE),0)</f>
        <v>0</v>
      </c>
      <c r="K225" s="194">
        <f>IF(_1_541284561214624104645789101745678[[#This Row],[Discount selection]]&gt;0,VLOOKUP(_1_541284561214624104645789101745678[[#This Row],[Discount selection]],'Discount Structure'!$A$2:$B$30,2,"false"),0)</f>
        <v>1</v>
      </c>
      <c r="L225" s="194">
        <f>_1_541284561214624104645789101745678[[#This Row],[LIST $]]*_1_541284561214624104645789101745678[[#This Row],[DISCOUNT]]*_1_541284561214624104645789101745678[[#This Row],[DISCOUNT 2]]</f>
        <v>0</v>
      </c>
      <c r="M225" s="194">
        <f>IF(OR(_1_541284561214624104645789101745678[[#This Row],[UNIT]]&gt;0,_1_541284561214624104645789101745678[[#This Row],[UNIT]]&lt;0),_1_541284561214624104645789101745678[[#This Row],[UNIT]]*_1_541284561214624104645789101745678[[#This Row],[COST]],0)</f>
        <v>0</v>
      </c>
      <c r="N225" s="194">
        <f t="shared" si="3"/>
        <v>1.3</v>
      </c>
      <c r="O225" s="198">
        <f>_1_541284561214624104645789101745678[[#This Row],[TOTAL]]*_1_541284561214624104645789101745678[[#This Row],[MARGIN]]</f>
        <v>0</v>
      </c>
      <c r="R225" s="41"/>
    </row>
    <row r="226" spans="1:18">
      <c r="C226" s="168"/>
      <c r="D226" s="188"/>
      <c r="F226" s="168" t="s">
        <v>6202</v>
      </c>
      <c r="G226" s="193">
        <f>IF(_1_541284561214624104645789101745678[[#This Row],[Type]]&gt;0,VLOOKUP(_1_541284561214624104645789101745678[[#This Row],[Type]],Main[[#All],[TYPE]:[UNIT]],'Unit Price'!C$1,FALSE),0)</f>
        <v>0</v>
      </c>
      <c r="H226" s="197">
        <f>IF(_1_541284561214624104645789101745678[[#This Row],[Type]]&gt;0,VLOOKUP(_1_541284561214624104645789101745678[[#This Row],[Type]],Main[[#All],[TYPE]:[UNIT]],'Unit Price'!D$1,FALSE),0)</f>
        <v>0</v>
      </c>
      <c r="I226" s="194">
        <f>IF(_1_541284561214624104645789101745678[[#This Row],[Type]]&gt;0,VLOOKUP(_1_541284561214624104645789101745678[[#This Row],[Type]],Main[[#All],[TYPE]:[UNIT]],'Unit Price'!G$1,FALSE),0)</f>
        <v>0</v>
      </c>
      <c r="J226" s="194">
        <f>IF(_1_541284561214624104645789101745678[[#This Row],[Type]]&gt;0,VLOOKUP(_1_541284561214624104645789101745678[[#This Row],[Type]],Main[[#All],[TYPE]:[UNIT]],'Unit Price'!H$1,FALSE),0)</f>
        <v>0</v>
      </c>
      <c r="K226" s="194">
        <f>IF(_1_541284561214624104645789101745678[[#This Row],[Discount selection]]&gt;0,VLOOKUP(_1_541284561214624104645789101745678[[#This Row],[Discount selection]],'Discount Structure'!$A$2:$B$30,2,"false"),0)</f>
        <v>1</v>
      </c>
      <c r="L226" s="194">
        <f>_1_541284561214624104645789101745678[[#This Row],[LIST $]]*_1_541284561214624104645789101745678[[#This Row],[DISCOUNT]]*_1_541284561214624104645789101745678[[#This Row],[DISCOUNT 2]]</f>
        <v>0</v>
      </c>
      <c r="M226" s="194">
        <f>IF(OR(_1_541284561214624104645789101745678[[#This Row],[UNIT]]&gt;0,_1_541284561214624104645789101745678[[#This Row],[UNIT]]&lt;0),_1_541284561214624104645789101745678[[#This Row],[UNIT]]*_1_541284561214624104645789101745678[[#This Row],[COST]],0)</f>
        <v>0</v>
      </c>
      <c r="N226" s="194">
        <f t="shared" si="3"/>
        <v>1.3</v>
      </c>
      <c r="O226" s="198">
        <f>_1_541284561214624104645789101745678[[#This Row],[TOTAL]]*_1_541284561214624104645789101745678[[#This Row],[MARGIN]]</f>
        <v>0</v>
      </c>
      <c r="R226" s="41"/>
    </row>
    <row r="227" spans="1:18">
      <c r="C227" s="168"/>
      <c r="D227" s="188"/>
      <c r="F227" s="168" t="s">
        <v>6202</v>
      </c>
      <c r="G227" s="193">
        <f>IF(_1_541284561214624104645789101745678[[#This Row],[Type]]&gt;0,VLOOKUP(_1_541284561214624104645789101745678[[#This Row],[Type]],Main[[#All],[TYPE]:[UNIT]],'Unit Price'!C$1,FALSE),0)</f>
        <v>0</v>
      </c>
      <c r="H227" s="197">
        <f>IF(_1_541284561214624104645789101745678[[#This Row],[Type]]&gt;0,VLOOKUP(_1_541284561214624104645789101745678[[#This Row],[Type]],Main[[#All],[TYPE]:[UNIT]],'Unit Price'!D$1,FALSE),0)</f>
        <v>0</v>
      </c>
      <c r="I227" s="194">
        <f>IF(_1_541284561214624104645789101745678[[#This Row],[Type]]&gt;0,VLOOKUP(_1_541284561214624104645789101745678[[#This Row],[Type]],Main[[#All],[TYPE]:[UNIT]],'Unit Price'!G$1,FALSE),0)</f>
        <v>0</v>
      </c>
      <c r="J227" s="194">
        <f>IF(_1_541284561214624104645789101745678[[#This Row],[Type]]&gt;0,VLOOKUP(_1_541284561214624104645789101745678[[#This Row],[Type]],Main[[#All],[TYPE]:[UNIT]],'Unit Price'!H$1,FALSE),0)</f>
        <v>0</v>
      </c>
      <c r="K227" s="194">
        <f>IF(_1_541284561214624104645789101745678[[#This Row],[Discount selection]]&gt;0,VLOOKUP(_1_541284561214624104645789101745678[[#This Row],[Discount selection]],'Discount Structure'!$A$2:$B$30,2,"false"),0)</f>
        <v>1</v>
      </c>
      <c r="L227" s="194">
        <f>_1_541284561214624104645789101745678[[#This Row],[LIST $]]*_1_541284561214624104645789101745678[[#This Row],[DISCOUNT]]*_1_541284561214624104645789101745678[[#This Row],[DISCOUNT 2]]</f>
        <v>0</v>
      </c>
      <c r="M227" s="194">
        <f>IF(OR(_1_541284561214624104645789101745678[[#This Row],[UNIT]]&gt;0,_1_541284561214624104645789101745678[[#This Row],[UNIT]]&lt;0),_1_541284561214624104645789101745678[[#This Row],[UNIT]]*_1_541284561214624104645789101745678[[#This Row],[COST]],0)</f>
        <v>0</v>
      </c>
      <c r="N227" s="194">
        <f t="shared" si="3"/>
        <v>1.3</v>
      </c>
      <c r="O227" s="198">
        <f>_1_541284561214624104645789101745678[[#This Row],[TOTAL]]*_1_541284561214624104645789101745678[[#This Row],[MARGIN]]</f>
        <v>0</v>
      </c>
      <c r="R227" s="41"/>
    </row>
    <row r="228" spans="1:18">
      <c r="C228" s="168"/>
      <c r="D228" s="188"/>
      <c r="F228" s="168" t="s">
        <v>6202</v>
      </c>
      <c r="G228" s="193">
        <f>IF(_1_541284561214624104645789101745678[[#This Row],[Type]]&gt;0,VLOOKUP(_1_541284561214624104645789101745678[[#This Row],[Type]],Main[[#All],[TYPE]:[UNIT]],'Unit Price'!C$1,FALSE),0)</f>
        <v>0</v>
      </c>
      <c r="H228" s="197">
        <f>IF(_1_541284561214624104645789101745678[[#This Row],[Type]]&gt;0,VLOOKUP(_1_541284561214624104645789101745678[[#This Row],[Type]],Main[[#All],[TYPE]:[UNIT]],'Unit Price'!D$1,FALSE),0)</f>
        <v>0</v>
      </c>
      <c r="I228" s="194">
        <f>IF(_1_541284561214624104645789101745678[[#This Row],[Type]]&gt;0,VLOOKUP(_1_541284561214624104645789101745678[[#This Row],[Type]],Main[[#All],[TYPE]:[UNIT]],'Unit Price'!G$1,FALSE),0)</f>
        <v>0</v>
      </c>
      <c r="J228" s="194">
        <f>IF(_1_541284561214624104645789101745678[[#This Row],[Type]]&gt;0,VLOOKUP(_1_541284561214624104645789101745678[[#This Row],[Type]],Main[[#All],[TYPE]:[UNIT]],'Unit Price'!H$1,FALSE),0)</f>
        <v>0</v>
      </c>
      <c r="K228" s="194">
        <f>IF(_1_541284561214624104645789101745678[[#This Row],[Discount selection]]&gt;0,VLOOKUP(_1_541284561214624104645789101745678[[#This Row],[Discount selection]],'Discount Structure'!$A$2:$B$30,2,"false"),0)</f>
        <v>1</v>
      </c>
      <c r="L228" s="194">
        <f>_1_541284561214624104645789101745678[[#This Row],[LIST $]]*_1_541284561214624104645789101745678[[#This Row],[DISCOUNT]]*_1_541284561214624104645789101745678[[#This Row],[DISCOUNT 2]]</f>
        <v>0</v>
      </c>
      <c r="M228" s="194">
        <f>IF(OR(_1_541284561214624104645789101745678[[#This Row],[UNIT]]&gt;0,_1_541284561214624104645789101745678[[#This Row],[UNIT]]&lt;0),_1_541284561214624104645789101745678[[#This Row],[UNIT]]*_1_541284561214624104645789101745678[[#This Row],[COST]],0)</f>
        <v>0</v>
      </c>
      <c r="N228" s="194">
        <f t="shared" si="3"/>
        <v>1.3</v>
      </c>
      <c r="O228" s="198">
        <f>_1_541284561214624104645789101745678[[#This Row],[TOTAL]]*_1_541284561214624104645789101745678[[#This Row],[MARGIN]]</f>
        <v>0</v>
      </c>
      <c r="R228" s="41"/>
    </row>
    <row r="229" spans="1:18">
      <c r="C229" s="168"/>
      <c r="D229" s="188"/>
      <c r="F229" s="168" t="s">
        <v>6202</v>
      </c>
      <c r="G229" s="193">
        <f>IF(_1_541284561214624104645789101745678[[#This Row],[Type]]&gt;0,VLOOKUP(_1_541284561214624104645789101745678[[#This Row],[Type]],Main[[#All],[TYPE]:[UNIT]],'Unit Price'!C$1,FALSE),0)</f>
        <v>0</v>
      </c>
      <c r="H229" s="197">
        <f>IF(_1_541284561214624104645789101745678[[#This Row],[Type]]&gt;0,VLOOKUP(_1_541284561214624104645789101745678[[#This Row],[Type]],Main[[#All],[TYPE]:[UNIT]],'Unit Price'!D$1,FALSE),0)</f>
        <v>0</v>
      </c>
      <c r="I229" s="194">
        <f>IF(_1_541284561214624104645789101745678[[#This Row],[Type]]&gt;0,VLOOKUP(_1_541284561214624104645789101745678[[#This Row],[Type]],Main[[#All],[TYPE]:[UNIT]],'Unit Price'!G$1,FALSE),0)</f>
        <v>0</v>
      </c>
      <c r="J229" s="194">
        <f>IF(_1_541284561214624104645789101745678[[#This Row],[Type]]&gt;0,VLOOKUP(_1_541284561214624104645789101745678[[#This Row],[Type]],Main[[#All],[TYPE]:[UNIT]],'Unit Price'!H$1,FALSE),0)</f>
        <v>0</v>
      </c>
      <c r="K229" s="194">
        <f>IF(_1_541284561214624104645789101745678[[#This Row],[Discount selection]]&gt;0,VLOOKUP(_1_541284561214624104645789101745678[[#This Row],[Discount selection]],'Discount Structure'!$A$2:$B$30,2,"false"),0)</f>
        <v>1</v>
      </c>
      <c r="L229" s="194">
        <f>_1_541284561214624104645789101745678[[#This Row],[LIST $]]*_1_541284561214624104645789101745678[[#This Row],[DISCOUNT]]*_1_541284561214624104645789101745678[[#This Row],[DISCOUNT 2]]</f>
        <v>0</v>
      </c>
      <c r="M229" s="194">
        <f>IF(OR(_1_541284561214624104645789101745678[[#This Row],[UNIT]]&gt;0,_1_541284561214624104645789101745678[[#This Row],[UNIT]]&lt;0),_1_541284561214624104645789101745678[[#This Row],[UNIT]]*_1_541284561214624104645789101745678[[#This Row],[COST]],0)</f>
        <v>0</v>
      </c>
      <c r="N229" s="194">
        <f t="shared" si="3"/>
        <v>1.3</v>
      </c>
      <c r="O229" s="198">
        <f>_1_541284561214624104645789101745678[[#This Row],[TOTAL]]*_1_541284561214624104645789101745678[[#This Row],[MARGIN]]</f>
        <v>0</v>
      </c>
      <c r="R229" s="41"/>
    </row>
    <row r="230" spans="1:18">
      <c r="C230" s="168"/>
      <c r="D230" s="188"/>
      <c r="F230" s="168" t="s">
        <v>6202</v>
      </c>
      <c r="G230" s="193">
        <f>IF(_1_541284561214624104645789101745678[[#This Row],[Type]]&gt;0,VLOOKUP(_1_541284561214624104645789101745678[[#This Row],[Type]],Main[[#All],[TYPE]:[UNIT]],'Unit Price'!C$1,FALSE),0)</f>
        <v>0</v>
      </c>
      <c r="H230" s="197">
        <f>IF(_1_541284561214624104645789101745678[[#This Row],[Type]]&gt;0,VLOOKUP(_1_541284561214624104645789101745678[[#This Row],[Type]],Main[[#All],[TYPE]:[UNIT]],'Unit Price'!D$1,FALSE),0)</f>
        <v>0</v>
      </c>
      <c r="I230" s="194">
        <f>IF(_1_541284561214624104645789101745678[[#This Row],[Type]]&gt;0,VLOOKUP(_1_541284561214624104645789101745678[[#This Row],[Type]],Main[[#All],[TYPE]:[UNIT]],'Unit Price'!G$1,FALSE),0)</f>
        <v>0</v>
      </c>
      <c r="J230" s="194">
        <f>IF(_1_541284561214624104645789101745678[[#This Row],[Type]]&gt;0,VLOOKUP(_1_541284561214624104645789101745678[[#This Row],[Type]],Main[[#All],[TYPE]:[UNIT]],'Unit Price'!H$1,FALSE),0)</f>
        <v>0</v>
      </c>
      <c r="K230" s="194">
        <f>IF(_1_541284561214624104645789101745678[[#This Row],[Discount selection]]&gt;0,VLOOKUP(_1_541284561214624104645789101745678[[#This Row],[Discount selection]],'Discount Structure'!$A$2:$B$30,2,"false"),0)</f>
        <v>1</v>
      </c>
      <c r="L230" s="194">
        <f>_1_541284561214624104645789101745678[[#This Row],[LIST $]]*_1_541284561214624104645789101745678[[#This Row],[DISCOUNT]]*_1_541284561214624104645789101745678[[#This Row],[DISCOUNT 2]]</f>
        <v>0</v>
      </c>
      <c r="M230" s="194">
        <f>IF(OR(_1_541284561214624104645789101745678[[#This Row],[UNIT]]&gt;0,_1_541284561214624104645789101745678[[#This Row],[UNIT]]&lt;0),_1_541284561214624104645789101745678[[#This Row],[UNIT]]*_1_541284561214624104645789101745678[[#This Row],[COST]],0)</f>
        <v>0</v>
      </c>
      <c r="N230" s="194">
        <f t="shared" si="3"/>
        <v>1.3</v>
      </c>
      <c r="O230" s="198">
        <f>_1_541284561214624104645789101745678[[#This Row],[TOTAL]]*_1_541284561214624104645789101745678[[#This Row],[MARGIN]]</f>
        <v>0</v>
      </c>
      <c r="R230" s="41"/>
    </row>
    <row r="231" spans="1:18">
      <c r="C231" s="168"/>
      <c r="D231" s="188"/>
      <c r="F231" s="168" t="s">
        <v>6202</v>
      </c>
      <c r="G231" s="193">
        <f>IF(_1_541284561214624104645789101745678[[#This Row],[Type]]&gt;0,VLOOKUP(_1_541284561214624104645789101745678[[#This Row],[Type]],Main[[#All],[TYPE]:[UNIT]],'Unit Price'!C$1,FALSE),0)</f>
        <v>0</v>
      </c>
      <c r="H231" s="197">
        <f>IF(_1_541284561214624104645789101745678[[#This Row],[Type]]&gt;0,VLOOKUP(_1_541284561214624104645789101745678[[#This Row],[Type]],Main[[#All],[TYPE]:[UNIT]],'Unit Price'!D$1,FALSE),0)</f>
        <v>0</v>
      </c>
      <c r="I231" s="194">
        <f>IF(_1_541284561214624104645789101745678[[#This Row],[Type]]&gt;0,VLOOKUP(_1_541284561214624104645789101745678[[#This Row],[Type]],Main[[#All],[TYPE]:[UNIT]],'Unit Price'!G$1,FALSE),0)</f>
        <v>0</v>
      </c>
      <c r="J231" s="194">
        <f>IF(_1_541284561214624104645789101745678[[#This Row],[Type]]&gt;0,VLOOKUP(_1_541284561214624104645789101745678[[#This Row],[Type]],Main[[#All],[TYPE]:[UNIT]],'Unit Price'!H$1,FALSE),0)</f>
        <v>0</v>
      </c>
      <c r="K231" s="194">
        <f>IF(_1_541284561214624104645789101745678[[#This Row],[Discount selection]]&gt;0,VLOOKUP(_1_541284561214624104645789101745678[[#This Row],[Discount selection]],'Discount Structure'!$A$2:$B$30,2,"false"),0)</f>
        <v>1</v>
      </c>
      <c r="L231" s="194">
        <f>_1_541284561214624104645789101745678[[#This Row],[LIST $]]*_1_541284561214624104645789101745678[[#This Row],[DISCOUNT]]*_1_541284561214624104645789101745678[[#This Row],[DISCOUNT 2]]</f>
        <v>0</v>
      </c>
      <c r="M231" s="194">
        <f>IF(OR(_1_541284561214624104645789101745678[[#This Row],[UNIT]]&gt;0,_1_541284561214624104645789101745678[[#This Row],[UNIT]]&lt;0),_1_541284561214624104645789101745678[[#This Row],[UNIT]]*_1_541284561214624104645789101745678[[#This Row],[COST]],0)</f>
        <v>0</v>
      </c>
      <c r="N231" s="194">
        <f t="shared" si="3"/>
        <v>1.3</v>
      </c>
      <c r="O231" s="198">
        <f>_1_541284561214624104645789101745678[[#This Row],[TOTAL]]*_1_541284561214624104645789101745678[[#This Row],[MARGIN]]</f>
        <v>0</v>
      </c>
      <c r="R231" s="41"/>
    </row>
    <row r="232" spans="1:18">
      <c r="A232" s="168"/>
      <c r="B232" s="168"/>
      <c r="C232" s="168"/>
      <c r="D232" s="188"/>
      <c r="F232" s="168" t="s">
        <v>6202</v>
      </c>
      <c r="G232" s="193">
        <f>IF(_1_541284561214624104645789101745678[[#This Row],[Type]]&gt;0,VLOOKUP(_1_541284561214624104645789101745678[[#This Row],[Type]],Main[[#All],[TYPE]:[UNIT]],'Unit Price'!C$1,FALSE),0)</f>
        <v>0</v>
      </c>
      <c r="H232" s="197">
        <f>IF(_1_541284561214624104645789101745678[[#This Row],[Type]]&gt;0,VLOOKUP(_1_541284561214624104645789101745678[[#This Row],[Type]],Main[[#All],[TYPE]:[UNIT]],'Unit Price'!D$1,FALSE),0)</f>
        <v>0</v>
      </c>
      <c r="I232" s="194">
        <f>IF(_1_541284561214624104645789101745678[[#This Row],[Type]]&gt;0,VLOOKUP(_1_541284561214624104645789101745678[[#This Row],[Type]],Main[[#All],[TYPE]:[UNIT]],'Unit Price'!G$1,FALSE),0)</f>
        <v>0</v>
      </c>
      <c r="J232" s="194">
        <f>IF(_1_541284561214624104645789101745678[[#This Row],[Type]]&gt;0,VLOOKUP(_1_541284561214624104645789101745678[[#This Row],[Type]],Main[[#All],[TYPE]:[UNIT]],'Unit Price'!H$1,FALSE),0)</f>
        <v>0</v>
      </c>
      <c r="K232" s="194">
        <f>IF(_1_541284561214624104645789101745678[[#This Row],[Discount selection]]&gt;0,VLOOKUP(_1_541284561214624104645789101745678[[#This Row],[Discount selection]],'Discount Structure'!$A$2:$B$30,2,"false"),0)</f>
        <v>1</v>
      </c>
      <c r="L232" s="194">
        <f>_1_541284561214624104645789101745678[[#This Row],[LIST $]]*_1_541284561214624104645789101745678[[#This Row],[DISCOUNT]]*_1_541284561214624104645789101745678[[#This Row],[DISCOUNT 2]]</f>
        <v>0</v>
      </c>
      <c r="M232" s="194">
        <f>IF(OR(_1_541284561214624104645789101745678[[#This Row],[UNIT]]&gt;0,_1_541284561214624104645789101745678[[#This Row],[UNIT]]&lt;0),_1_541284561214624104645789101745678[[#This Row],[UNIT]]*_1_541284561214624104645789101745678[[#This Row],[COST]],0)</f>
        <v>0</v>
      </c>
      <c r="N232" s="194">
        <f t="shared" si="3"/>
        <v>1.3</v>
      </c>
      <c r="O232" s="198">
        <f>_1_541284561214624104645789101745678[[#This Row],[TOTAL]]*_1_541284561214624104645789101745678[[#This Row],[MARGIN]]</f>
        <v>0</v>
      </c>
      <c r="R232" s="41"/>
    </row>
    <row r="233" spans="1:18">
      <c r="A233" s="310"/>
      <c r="B233" s="323"/>
      <c r="C233" s="168"/>
      <c r="D233" s="188"/>
      <c r="F233" s="168" t="s">
        <v>6202</v>
      </c>
      <c r="G233" s="205">
        <f>IF(_1_541284561214624104645789101745678[[#This Row],[Type]]&gt;0,VLOOKUP(_1_541284561214624104645789101745678[[#This Row],[Type]],Main[[#All],[TYPE]:[UNIT]],'Unit Price'!C$1,FALSE),0)</f>
        <v>0</v>
      </c>
      <c r="H233" s="197">
        <f>IF(_1_541284561214624104645789101745678[[#This Row],[Type]]&gt;0,VLOOKUP(_1_541284561214624104645789101745678[[#This Row],[Type]],Main[[#All],[TYPE]:[UNIT]],'Unit Price'!D$1,FALSE),0)</f>
        <v>0</v>
      </c>
      <c r="I233" s="194">
        <f>IF(_1_541284561214624104645789101745678[[#This Row],[Type]]&gt;0,VLOOKUP(_1_541284561214624104645789101745678[[#This Row],[Type]],Main[[#All],[TYPE]:[UNIT]],'Unit Price'!G$1,FALSE),0)</f>
        <v>0</v>
      </c>
      <c r="J233" s="194">
        <f>IF(_1_541284561214624104645789101745678[[#This Row],[Type]]&gt;0,VLOOKUP(_1_541284561214624104645789101745678[[#This Row],[Type]],Main[[#All],[TYPE]:[UNIT]],'Unit Price'!H$1,FALSE),0)</f>
        <v>0</v>
      </c>
      <c r="K233" s="194">
        <f>IF(_1_541284561214624104645789101745678[[#This Row],[Discount selection]]&gt;0,VLOOKUP(_1_541284561214624104645789101745678[[#This Row],[Discount selection]],'Discount Structure'!$A$2:$B$30,2,"false"),0)</f>
        <v>1</v>
      </c>
      <c r="L233" s="194">
        <f>_1_541284561214624104645789101745678[[#This Row],[LIST $]]*_1_541284561214624104645789101745678[[#This Row],[DISCOUNT]]*_1_541284561214624104645789101745678[[#This Row],[DISCOUNT 2]]</f>
        <v>0</v>
      </c>
      <c r="M233" s="194">
        <f>IF(OR(_1_541284561214624104645789101745678[[#This Row],[UNIT]]&gt;0,_1_541284561214624104645789101745678[[#This Row],[UNIT]]&lt;0),_1_541284561214624104645789101745678[[#This Row],[UNIT]]*_1_541284561214624104645789101745678[[#This Row],[COST]],0)</f>
        <v>0</v>
      </c>
      <c r="N233" s="194">
        <f t="shared" si="3"/>
        <v>1.3</v>
      </c>
      <c r="O233" s="198">
        <f>_1_541284561214624104645789101745678[[#This Row],[TOTAL]]*_1_541284561214624104645789101745678[[#This Row],[MARGIN]]</f>
        <v>0</v>
      </c>
      <c r="R233" s="41"/>
    </row>
    <row r="234" spans="1:18">
      <c r="A234" s="323"/>
      <c r="B234" s="323"/>
      <c r="C234" s="168"/>
      <c r="D234" s="188"/>
      <c r="F234" s="168" t="s">
        <v>6202</v>
      </c>
      <c r="G234" s="193">
        <f>IF(_1_541284561214624104645789101745678[[#This Row],[Type]]&gt;0,VLOOKUP(_1_541284561214624104645789101745678[[#This Row],[Type]],Main[[#All],[TYPE]:[UNIT]],'Unit Price'!C$1,FALSE),0)</f>
        <v>0</v>
      </c>
      <c r="H234" s="197">
        <f>IF(_1_541284561214624104645789101745678[[#This Row],[Type]]&gt;0,VLOOKUP(_1_541284561214624104645789101745678[[#This Row],[Type]],Main[[#All],[TYPE]:[UNIT]],'Unit Price'!D$1,FALSE),0)</f>
        <v>0</v>
      </c>
      <c r="I234" s="194">
        <f>IF(_1_541284561214624104645789101745678[[#This Row],[Type]]&gt;0,VLOOKUP(_1_541284561214624104645789101745678[[#This Row],[Type]],Main[[#All],[TYPE]:[UNIT]],'Unit Price'!G$1,FALSE),0)</f>
        <v>0</v>
      </c>
      <c r="J234" s="194">
        <f>IF(_1_541284561214624104645789101745678[[#This Row],[Type]]&gt;0,VLOOKUP(_1_541284561214624104645789101745678[[#This Row],[Type]],Main[[#All],[TYPE]:[UNIT]],'Unit Price'!H$1,FALSE),0)</f>
        <v>0</v>
      </c>
      <c r="K234" s="194">
        <f>IF(_1_541284561214624104645789101745678[[#This Row],[Discount selection]]&gt;0,VLOOKUP(_1_541284561214624104645789101745678[[#This Row],[Discount selection]],'Discount Structure'!$A$2:$B$30,2,"false"),0)</f>
        <v>1</v>
      </c>
      <c r="L234" s="194">
        <f>_1_541284561214624104645789101745678[[#This Row],[LIST $]]*_1_541284561214624104645789101745678[[#This Row],[DISCOUNT]]*_1_541284561214624104645789101745678[[#This Row],[DISCOUNT 2]]</f>
        <v>0</v>
      </c>
      <c r="M234" s="194">
        <f>IF(OR(_1_541284561214624104645789101745678[[#This Row],[UNIT]]&gt;0,_1_541284561214624104645789101745678[[#This Row],[UNIT]]&lt;0),_1_541284561214624104645789101745678[[#This Row],[UNIT]]*_1_541284561214624104645789101745678[[#This Row],[COST]],0)</f>
        <v>0</v>
      </c>
      <c r="N234" s="194">
        <f t="shared" si="3"/>
        <v>1.3</v>
      </c>
      <c r="O234" s="198">
        <f>_1_541284561214624104645789101745678[[#This Row],[TOTAL]]*_1_541284561214624104645789101745678[[#This Row],[MARGIN]]</f>
        <v>0</v>
      </c>
      <c r="R234" s="41"/>
    </row>
    <row r="235" spans="1:18">
      <c r="C235" s="168"/>
      <c r="D235" s="188"/>
      <c r="F235" s="168" t="s">
        <v>6202</v>
      </c>
      <c r="G235" s="193">
        <f>IF(_1_541284561214624104645789101745678[[#This Row],[Type]]&gt;0,VLOOKUP(_1_541284561214624104645789101745678[[#This Row],[Type]],Main[[#All],[TYPE]:[UNIT]],'Unit Price'!C$1,FALSE),0)</f>
        <v>0</v>
      </c>
      <c r="H235" s="197">
        <f>IF(_1_541284561214624104645789101745678[[#This Row],[Type]]&gt;0,VLOOKUP(_1_541284561214624104645789101745678[[#This Row],[Type]],Main[[#All],[TYPE]:[UNIT]],'Unit Price'!D$1,FALSE),0)</f>
        <v>0</v>
      </c>
      <c r="I235" s="194">
        <f>IF(_1_541284561214624104645789101745678[[#This Row],[Type]]&gt;0,VLOOKUP(_1_541284561214624104645789101745678[[#This Row],[Type]],Main[[#All],[TYPE]:[UNIT]],'Unit Price'!G$1,FALSE),0)</f>
        <v>0</v>
      </c>
      <c r="J235" s="194">
        <f>IF(_1_541284561214624104645789101745678[[#This Row],[Type]]&gt;0,VLOOKUP(_1_541284561214624104645789101745678[[#This Row],[Type]],Main[[#All],[TYPE]:[UNIT]],'Unit Price'!H$1,FALSE),0)</f>
        <v>0</v>
      </c>
      <c r="K235" s="194">
        <f>IF(_1_541284561214624104645789101745678[[#This Row],[Discount selection]]&gt;0,VLOOKUP(_1_541284561214624104645789101745678[[#This Row],[Discount selection]],'Discount Structure'!$A$2:$B$30,2,"false"),0)</f>
        <v>1</v>
      </c>
      <c r="L235" s="194">
        <f>_1_541284561214624104645789101745678[[#This Row],[LIST $]]*_1_541284561214624104645789101745678[[#This Row],[DISCOUNT]]*_1_541284561214624104645789101745678[[#This Row],[DISCOUNT 2]]</f>
        <v>0</v>
      </c>
      <c r="M235" s="194">
        <f>IF(OR(_1_541284561214624104645789101745678[[#This Row],[UNIT]]&gt;0,_1_541284561214624104645789101745678[[#This Row],[UNIT]]&lt;0),_1_541284561214624104645789101745678[[#This Row],[UNIT]]*_1_541284561214624104645789101745678[[#This Row],[COST]],0)</f>
        <v>0</v>
      </c>
      <c r="N235" s="194">
        <f t="shared" si="3"/>
        <v>1.3</v>
      </c>
      <c r="O235" s="198">
        <f>_1_541284561214624104645789101745678[[#This Row],[TOTAL]]*_1_541284561214624104645789101745678[[#This Row],[MARGIN]]</f>
        <v>0</v>
      </c>
      <c r="R235" s="41"/>
    </row>
    <row r="236" spans="1:18">
      <c r="C236" s="168"/>
      <c r="D236" s="188"/>
      <c r="F236" s="168" t="s">
        <v>6202</v>
      </c>
      <c r="G236" s="193">
        <f>IF(_1_541284561214624104645789101745678[[#This Row],[Type]]&gt;0,VLOOKUP(_1_541284561214624104645789101745678[[#This Row],[Type]],Main[[#All],[TYPE]:[UNIT]],'Unit Price'!C$1,FALSE),0)</f>
        <v>0</v>
      </c>
      <c r="H236" s="197">
        <f>IF(_1_541284561214624104645789101745678[[#This Row],[Type]]&gt;0,VLOOKUP(_1_541284561214624104645789101745678[[#This Row],[Type]],Main[[#All],[TYPE]:[UNIT]],'Unit Price'!D$1,FALSE),0)</f>
        <v>0</v>
      </c>
      <c r="I236" s="194">
        <f>IF(_1_541284561214624104645789101745678[[#This Row],[Type]]&gt;0,VLOOKUP(_1_541284561214624104645789101745678[[#This Row],[Type]],Main[[#All],[TYPE]:[UNIT]],'Unit Price'!G$1,FALSE),0)</f>
        <v>0</v>
      </c>
      <c r="J236" s="194">
        <f>IF(_1_541284561214624104645789101745678[[#This Row],[Type]]&gt;0,VLOOKUP(_1_541284561214624104645789101745678[[#This Row],[Type]],Main[[#All],[TYPE]:[UNIT]],'Unit Price'!H$1,FALSE),0)</f>
        <v>0</v>
      </c>
      <c r="K236" s="194">
        <f>IF(_1_541284561214624104645789101745678[[#This Row],[Discount selection]]&gt;0,VLOOKUP(_1_541284561214624104645789101745678[[#This Row],[Discount selection]],'Discount Structure'!$A$2:$B$30,2,"false"),0)</f>
        <v>1</v>
      </c>
      <c r="L236" s="194">
        <f>_1_541284561214624104645789101745678[[#This Row],[LIST $]]*_1_541284561214624104645789101745678[[#This Row],[DISCOUNT]]*_1_541284561214624104645789101745678[[#This Row],[DISCOUNT 2]]</f>
        <v>0</v>
      </c>
      <c r="M236" s="194">
        <f>IF(OR(_1_541284561214624104645789101745678[[#This Row],[UNIT]]&gt;0,_1_541284561214624104645789101745678[[#This Row],[UNIT]]&lt;0),_1_541284561214624104645789101745678[[#This Row],[UNIT]]*_1_541284561214624104645789101745678[[#This Row],[COST]],0)</f>
        <v>0</v>
      </c>
      <c r="N236" s="194">
        <f t="shared" si="3"/>
        <v>1.3</v>
      </c>
      <c r="O236" s="198">
        <f>_1_541284561214624104645789101745678[[#This Row],[TOTAL]]*_1_541284561214624104645789101745678[[#This Row],[MARGIN]]</f>
        <v>0</v>
      </c>
      <c r="R236" s="41"/>
    </row>
    <row r="237" spans="1:18">
      <c r="A237" s="323"/>
      <c r="B237" s="323"/>
      <c r="C237" s="168"/>
      <c r="D237" s="188"/>
      <c r="F237" s="168" t="s">
        <v>6202</v>
      </c>
      <c r="G237" s="193">
        <f>IF(_1_541284561214624104645789101745678[[#This Row],[Type]]&gt;0,VLOOKUP(_1_541284561214624104645789101745678[[#This Row],[Type]],Main[[#All],[TYPE]:[UNIT]],'Unit Price'!C$1,FALSE),0)</f>
        <v>0</v>
      </c>
      <c r="H237" s="197">
        <f>IF(_1_541284561214624104645789101745678[[#This Row],[Type]]&gt;0,VLOOKUP(_1_541284561214624104645789101745678[[#This Row],[Type]],Main[[#All],[TYPE]:[UNIT]],'Unit Price'!D$1,FALSE),0)</f>
        <v>0</v>
      </c>
      <c r="I237" s="194">
        <f>IF(_1_541284561214624104645789101745678[[#This Row],[Type]]&gt;0,VLOOKUP(_1_541284561214624104645789101745678[[#This Row],[Type]],Main[[#All],[TYPE]:[UNIT]],'Unit Price'!G$1,FALSE),0)</f>
        <v>0</v>
      </c>
      <c r="J237" s="194">
        <f>IF(_1_541284561214624104645789101745678[[#This Row],[Type]]&gt;0,VLOOKUP(_1_541284561214624104645789101745678[[#This Row],[Type]],Main[[#All],[TYPE]:[UNIT]],'Unit Price'!H$1,FALSE),0)</f>
        <v>0</v>
      </c>
      <c r="K237" s="194">
        <f>IF(_1_541284561214624104645789101745678[[#This Row],[Discount selection]]&gt;0,VLOOKUP(_1_541284561214624104645789101745678[[#This Row],[Discount selection]],'Discount Structure'!$A$2:$B$30,2,"false"),0)</f>
        <v>1</v>
      </c>
      <c r="L237" s="194">
        <f>_1_541284561214624104645789101745678[[#This Row],[LIST $]]*_1_541284561214624104645789101745678[[#This Row],[DISCOUNT]]*_1_541284561214624104645789101745678[[#This Row],[DISCOUNT 2]]</f>
        <v>0</v>
      </c>
      <c r="M237" s="194">
        <f>IF(OR(_1_541284561214624104645789101745678[[#This Row],[UNIT]]&gt;0,_1_541284561214624104645789101745678[[#This Row],[UNIT]]&lt;0),_1_541284561214624104645789101745678[[#This Row],[UNIT]]*_1_541284561214624104645789101745678[[#This Row],[COST]],0)</f>
        <v>0</v>
      </c>
      <c r="N237" s="194">
        <f t="shared" si="3"/>
        <v>1.3</v>
      </c>
      <c r="O237" s="198">
        <f>_1_541284561214624104645789101745678[[#This Row],[TOTAL]]*_1_541284561214624104645789101745678[[#This Row],[MARGIN]]</f>
        <v>0</v>
      </c>
      <c r="R237" s="41"/>
    </row>
    <row r="238" spans="1:18">
      <c r="C238" s="168"/>
      <c r="D238" s="188"/>
      <c r="F238" s="168" t="s">
        <v>6202</v>
      </c>
      <c r="G238" s="193">
        <f>IF(_1_541284561214624104645789101745678[[#This Row],[Type]]&gt;0,VLOOKUP(_1_541284561214624104645789101745678[[#This Row],[Type]],Main[[#All],[TYPE]:[UNIT]],'Unit Price'!C$1,FALSE),0)</f>
        <v>0</v>
      </c>
      <c r="H238" s="197">
        <f>IF(_1_541284561214624104645789101745678[[#This Row],[Type]]&gt;0,VLOOKUP(_1_541284561214624104645789101745678[[#This Row],[Type]],Main[[#All],[TYPE]:[UNIT]],'Unit Price'!D$1,FALSE),0)</f>
        <v>0</v>
      </c>
      <c r="I238" s="194">
        <f>IF(_1_541284561214624104645789101745678[[#This Row],[Type]]&gt;0,VLOOKUP(_1_541284561214624104645789101745678[[#This Row],[Type]],Main[[#All],[TYPE]:[UNIT]],'Unit Price'!G$1,FALSE),0)</f>
        <v>0</v>
      </c>
      <c r="J238" s="194">
        <f>IF(_1_541284561214624104645789101745678[[#This Row],[Type]]&gt;0,VLOOKUP(_1_541284561214624104645789101745678[[#This Row],[Type]],Main[[#All],[TYPE]:[UNIT]],'Unit Price'!H$1,FALSE),0)</f>
        <v>0</v>
      </c>
      <c r="K238" s="194">
        <f>IF(_1_541284561214624104645789101745678[[#This Row],[Discount selection]]&gt;0,VLOOKUP(_1_541284561214624104645789101745678[[#This Row],[Discount selection]],'Discount Structure'!$A$2:$B$30,2,"false"),0)</f>
        <v>1</v>
      </c>
      <c r="L238" s="194">
        <f>_1_541284561214624104645789101745678[[#This Row],[LIST $]]*_1_541284561214624104645789101745678[[#This Row],[DISCOUNT]]*_1_541284561214624104645789101745678[[#This Row],[DISCOUNT 2]]</f>
        <v>0</v>
      </c>
      <c r="M238" s="194">
        <f>IF(OR(_1_541284561214624104645789101745678[[#This Row],[UNIT]]&gt;0,_1_541284561214624104645789101745678[[#This Row],[UNIT]]&lt;0),_1_541284561214624104645789101745678[[#This Row],[UNIT]]*_1_541284561214624104645789101745678[[#This Row],[COST]],0)</f>
        <v>0</v>
      </c>
      <c r="N238" s="194">
        <f t="shared" si="3"/>
        <v>1.3</v>
      </c>
      <c r="O238" s="198">
        <f>_1_541284561214624104645789101745678[[#This Row],[TOTAL]]*_1_541284561214624104645789101745678[[#This Row],[MARGIN]]</f>
        <v>0</v>
      </c>
      <c r="R238" s="41"/>
    </row>
    <row r="239" spans="1:18">
      <c r="C239" s="168"/>
      <c r="D239" s="188"/>
      <c r="F239" s="168" t="s">
        <v>6202</v>
      </c>
      <c r="G239" s="205">
        <f>IF(_1_541284561214624104645789101745678[[#This Row],[Type]]&gt;0,VLOOKUP(_1_541284561214624104645789101745678[[#This Row],[Type]],Main[[#All],[TYPE]:[UNIT]],'Unit Price'!C$1,FALSE),0)</f>
        <v>0</v>
      </c>
      <c r="H239" s="197">
        <f>IF(_1_541284561214624104645789101745678[[#This Row],[Type]]&gt;0,VLOOKUP(_1_541284561214624104645789101745678[[#This Row],[Type]],Main[[#All],[TYPE]:[UNIT]],'Unit Price'!D$1,FALSE),0)</f>
        <v>0</v>
      </c>
      <c r="I239" s="194">
        <f>IF(_1_541284561214624104645789101745678[[#This Row],[Type]]&gt;0,VLOOKUP(_1_541284561214624104645789101745678[[#This Row],[Type]],Main[[#All],[TYPE]:[UNIT]],'Unit Price'!G$1,FALSE),0)</f>
        <v>0</v>
      </c>
      <c r="J239" s="194">
        <f>IF(_1_541284561214624104645789101745678[[#This Row],[Type]]&gt;0,VLOOKUP(_1_541284561214624104645789101745678[[#This Row],[Type]],Main[[#All],[TYPE]:[UNIT]],'Unit Price'!H$1,FALSE),0)</f>
        <v>0</v>
      </c>
      <c r="K239" s="194">
        <f>IF(_1_541284561214624104645789101745678[[#This Row],[Discount selection]]&gt;0,VLOOKUP(_1_541284561214624104645789101745678[[#This Row],[Discount selection]],'Discount Structure'!$A$2:$B$30,2,"false"),0)</f>
        <v>1</v>
      </c>
      <c r="L239" s="194">
        <f>_1_541284561214624104645789101745678[[#This Row],[LIST $]]*_1_541284561214624104645789101745678[[#This Row],[DISCOUNT]]*_1_541284561214624104645789101745678[[#This Row],[DISCOUNT 2]]</f>
        <v>0</v>
      </c>
      <c r="M239" s="194">
        <f>IF(OR(_1_541284561214624104645789101745678[[#This Row],[UNIT]]&gt;0,_1_541284561214624104645789101745678[[#This Row],[UNIT]]&lt;0),_1_541284561214624104645789101745678[[#This Row],[UNIT]]*_1_541284561214624104645789101745678[[#This Row],[COST]],0)</f>
        <v>0</v>
      </c>
      <c r="N239" s="194">
        <f t="shared" si="3"/>
        <v>1.3</v>
      </c>
      <c r="O239" s="198">
        <f>_1_541284561214624104645789101745678[[#This Row],[TOTAL]]*_1_541284561214624104645789101745678[[#This Row],[MARGIN]]</f>
        <v>0</v>
      </c>
      <c r="R239" s="41"/>
    </row>
    <row r="240" spans="1:18">
      <c r="C240" s="168"/>
      <c r="D240" s="188"/>
      <c r="F240" s="168" t="s">
        <v>6202</v>
      </c>
      <c r="G240" s="193">
        <f>IF(_1_541284561214624104645789101745678[[#This Row],[Type]]&gt;0,VLOOKUP(_1_541284561214624104645789101745678[[#This Row],[Type]],Main[[#All],[TYPE]:[UNIT]],'Unit Price'!C$1,FALSE),0)</f>
        <v>0</v>
      </c>
      <c r="H240" s="197">
        <f>IF(_1_541284561214624104645789101745678[[#This Row],[Type]]&gt;0,VLOOKUP(_1_541284561214624104645789101745678[[#This Row],[Type]],Main[[#All],[TYPE]:[UNIT]],'Unit Price'!D$1,FALSE),0)</f>
        <v>0</v>
      </c>
      <c r="I240" s="194">
        <f>IF(_1_541284561214624104645789101745678[[#This Row],[Type]]&gt;0,VLOOKUP(_1_541284561214624104645789101745678[[#This Row],[Type]],Main[[#All],[TYPE]:[UNIT]],'Unit Price'!G$1,FALSE),0)</f>
        <v>0</v>
      </c>
      <c r="J240" s="194">
        <f>IF(_1_541284561214624104645789101745678[[#This Row],[Type]]&gt;0,VLOOKUP(_1_541284561214624104645789101745678[[#This Row],[Type]],Main[[#All],[TYPE]:[UNIT]],'Unit Price'!H$1,FALSE),0)</f>
        <v>0</v>
      </c>
      <c r="K240" s="194">
        <f>IF(_1_541284561214624104645789101745678[[#This Row],[Discount selection]]&gt;0,VLOOKUP(_1_541284561214624104645789101745678[[#This Row],[Discount selection]],'Discount Structure'!$A$2:$B$30,2,"false"),0)</f>
        <v>1</v>
      </c>
      <c r="L240" s="194">
        <f>_1_541284561214624104645789101745678[[#This Row],[LIST $]]*_1_541284561214624104645789101745678[[#This Row],[DISCOUNT]]*_1_541284561214624104645789101745678[[#This Row],[DISCOUNT 2]]</f>
        <v>0</v>
      </c>
      <c r="M240" s="194">
        <f>IF(OR(_1_541284561214624104645789101745678[[#This Row],[UNIT]]&gt;0,_1_541284561214624104645789101745678[[#This Row],[UNIT]]&lt;0),_1_541284561214624104645789101745678[[#This Row],[UNIT]]*_1_541284561214624104645789101745678[[#This Row],[COST]],0)</f>
        <v>0</v>
      </c>
      <c r="N240" s="194">
        <f t="shared" si="3"/>
        <v>1.3</v>
      </c>
      <c r="O240" s="198">
        <f>_1_541284561214624104645789101745678[[#This Row],[TOTAL]]*_1_541284561214624104645789101745678[[#This Row],[MARGIN]]</f>
        <v>0</v>
      </c>
      <c r="R240" s="41"/>
    </row>
    <row r="241" spans="1:18">
      <c r="C241" s="168"/>
      <c r="D241" s="188"/>
      <c r="F241" s="168" t="s">
        <v>6202</v>
      </c>
      <c r="G241" s="193">
        <f>IF(_1_541284561214624104645789101745678[[#This Row],[Type]]&gt;0,VLOOKUP(_1_541284561214624104645789101745678[[#This Row],[Type]],Main[[#All],[TYPE]:[UNIT]],'Unit Price'!C$1,FALSE),0)</f>
        <v>0</v>
      </c>
      <c r="H241" s="197">
        <f>IF(_1_541284561214624104645789101745678[[#This Row],[Type]]&gt;0,VLOOKUP(_1_541284561214624104645789101745678[[#This Row],[Type]],Main[[#All],[TYPE]:[UNIT]],'Unit Price'!D$1,FALSE),0)</f>
        <v>0</v>
      </c>
      <c r="I241" s="194">
        <f>IF(_1_541284561214624104645789101745678[[#This Row],[Type]]&gt;0,VLOOKUP(_1_541284561214624104645789101745678[[#This Row],[Type]],Main[[#All],[TYPE]:[UNIT]],'Unit Price'!G$1,FALSE),0)</f>
        <v>0</v>
      </c>
      <c r="J241" s="194">
        <f>IF(_1_541284561214624104645789101745678[[#This Row],[Type]]&gt;0,VLOOKUP(_1_541284561214624104645789101745678[[#This Row],[Type]],Main[[#All],[TYPE]:[UNIT]],'Unit Price'!H$1,FALSE),0)</f>
        <v>0</v>
      </c>
      <c r="K241" s="194">
        <f>IF(_1_541284561214624104645789101745678[[#This Row],[Discount selection]]&gt;0,VLOOKUP(_1_541284561214624104645789101745678[[#This Row],[Discount selection]],'Discount Structure'!$A$2:$B$30,2,"false"),0)</f>
        <v>1</v>
      </c>
      <c r="L241" s="194">
        <f>_1_541284561214624104645789101745678[[#This Row],[LIST $]]*_1_541284561214624104645789101745678[[#This Row],[DISCOUNT]]*_1_541284561214624104645789101745678[[#This Row],[DISCOUNT 2]]</f>
        <v>0</v>
      </c>
      <c r="M241" s="194">
        <f>IF(OR(_1_541284561214624104645789101745678[[#This Row],[UNIT]]&gt;0,_1_541284561214624104645789101745678[[#This Row],[UNIT]]&lt;0),_1_541284561214624104645789101745678[[#This Row],[UNIT]]*_1_541284561214624104645789101745678[[#This Row],[COST]],0)</f>
        <v>0</v>
      </c>
      <c r="N241" s="194">
        <f t="shared" si="3"/>
        <v>1.3</v>
      </c>
      <c r="O241" s="198">
        <f>_1_541284561214624104645789101745678[[#This Row],[TOTAL]]*_1_541284561214624104645789101745678[[#This Row],[MARGIN]]</f>
        <v>0</v>
      </c>
      <c r="R241" s="41"/>
    </row>
    <row r="242" spans="1:18">
      <c r="C242" s="168"/>
      <c r="D242" s="188"/>
      <c r="F242" s="168" t="s">
        <v>6202</v>
      </c>
      <c r="G242" s="193">
        <f>IF(_1_541284561214624104645789101745678[[#This Row],[Type]]&gt;0,VLOOKUP(_1_541284561214624104645789101745678[[#This Row],[Type]],Main[[#All],[TYPE]:[UNIT]],'Unit Price'!C$1,FALSE),0)</f>
        <v>0</v>
      </c>
      <c r="H242" s="197">
        <f>IF(_1_541284561214624104645789101745678[[#This Row],[Type]]&gt;0,VLOOKUP(_1_541284561214624104645789101745678[[#This Row],[Type]],Main[[#All],[TYPE]:[UNIT]],'Unit Price'!D$1,FALSE),0)</f>
        <v>0</v>
      </c>
      <c r="I242" s="194">
        <f>IF(_1_541284561214624104645789101745678[[#This Row],[Type]]&gt;0,VLOOKUP(_1_541284561214624104645789101745678[[#This Row],[Type]],Main[[#All],[TYPE]:[UNIT]],'Unit Price'!G$1,FALSE),0)</f>
        <v>0</v>
      </c>
      <c r="J242" s="194">
        <f>IF(_1_541284561214624104645789101745678[[#This Row],[Type]]&gt;0,VLOOKUP(_1_541284561214624104645789101745678[[#This Row],[Type]],Main[[#All],[TYPE]:[UNIT]],'Unit Price'!H$1,FALSE),0)</f>
        <v>0</v>
      </c>
      <c r="K242" s="194">
        <f>IF(_1_541284561214624104645789101745678[[#This Row],[Discount selection]]&gt;0,VLOOKUP(_1_541284561214624104645789101745678[[#This Row],[Discount selection]],'Discount Structure'!$A$2:$B$30,2,"false"),0)</f>
        <v>1</v>
      </c>
      <c r="L242" s="194">
        <f>_1_541284561214624104645789101745678[[#This Row],[LIST $]]*_1_541284561214624104645789101745678[[#This Row],[DISCOUNT]]*_1_541284561214624104645789101745678[[#This Row],[DISCOUNT 2]]</f>
        <v>0</v>
      </c>
      <c r="M242" s="194">
        <f>IF(OR(_1_541284561214624104645789101745678[[#This Row],[UNIT]]&gt;0,_1_541284561214624104645789101745678[[#This Row],[UNIT]]&lt;0),_1_541284561214624104645789101745678[[#This Row],[UNIT]]*_1_541284561214624104645789101745678[[#This Row],[COST]],0)</f>
        <v>0</v>
      </c>
      <c r="N242" s="194">
        <f t="shared" si="3"/>
        <v>1.3</v>
      </c>
      <c r="O242" s="198">
        <f>_1_541284561214624104645789101745678[[#This Row],[TOTAL]]*_1_541284561214624104645789101745678[[#This Row],[MARGIN]]</f>
        <v>0</v>
      </c>
      <c r="R242" s="41"/>
    </row>
    <row r="243" spans="1:18">
      <c r="C243" s="168"/>
      <c r="D243" s="188"/>
      <c r="F243" s="168" t="s">
        <v>6202</v>
      </c>
      <c r="G243" s="193">
        <f>IF(_1_541284561214624104645789101745678[[#This Row],[Type]]&gt;0,VLOOKUP(_1_541284561214624104645789101745678[[#This Row],[Type]],Main[[#All],[TYPE]:[UNIT]],'Unit Price'!C$1,FALSE),0)</f>
        <v>0</v>
      </c>
      <c r="H243" s="197">
        <f>IF(_1_541284561214624104645789101745678[[#This Row],[Type]]&gt;0,VLOOKUP(_1_541284561214624104645789101745678[[#This Row],[Type]],Main[[#All],[TYPE]:[UNIT]],'Unit Price'!D$1,FALSE),0)</f>
        <v>0</v>
      </c>
      <c r="I243" s="194">
        <f>IF(_1_541284561214624104645789101745678[[#This Row],[Type]]&gt;0,VLOOKUP(_1_541284561214624104645789101745678[[#This Row],[Type]],Main[[#All],[TYPE]:[UNIT]],'Unit Price'!G$1,FALSE),0)</f>
        <v>0</v>
      </c>
      <c r="J243" s="194">
        <f>IF(_1_541284561214624104645789101745678[[#This Row],[Type]]&gt;0,VLOOKUP(_1_541284561214624104645789101745678[[#This Row],[Type]],Main[[#All],[TYPE]:[UNIT]],'Unit Price'!H$1,FALSE),0)</f>
        <v>0</v>
      </c>
      <c r="K243" s="194">
        <f>IF(_1_541284561214624104645789101745678[[#This Row],[Discount selection]]&gt;0,VLOOKUP(_1_541284561214624104645789101745678[[#This Row],[Discount selection]],'Discount Structure'!$A$2:$B$30,2,"false"),0)</f>
        <v>1</v>
      </c>
      <c r="L243" s="194">
        <f>_1_541284561214624104645789101745678[[#This Row],[LIST $]]*_1_541284561214624104645789101745678[[#This Row],[DISCOUNT]]*_1_541284561214624104645789101745678[[#This Row],[DISCOUNT 2]]</f>
        <v>0</v>
      </c>
      <c r="M243" s="194">
        <f>IF(OR(_1_541284561214624104645789101745678[[#This Row],[UNIT]]&gt;0,_1_541284561214624104645789101745678[[#This Row],[UNIT]]&lt;0),_1_541284561214624104645789101745678[[#This Row],[UNIT]]*_1_541284561214624104645789101745678[[#This Row],[COST]],0)</f>
        <v>0</v>
      </c>
      <c r="N243" s="194">
        <f t="shared" si="3"/>
        <v>1.3</v>
      </c>
      <c r="O243" s="198">
        <f>_1_541284561214624104645789101745678[[#This Row],[TOTAL]]*_1_541284561214624104645789101745678[[#This Row],[MARGIN]]</f>
        <v>0</v>
      </c>
      <c r="R243" s="41"/>
    </row>
    <row r="244" spans="1:18">
      <c r="A244" s="168"/>
      <c r="B244" s="168"/>
      <c r="C244" s="168"/>
      <c r="D244" s="188"/>
      <c r="F244" s="168" t="s">
        <v>6202</v>
      </c>
      <c r="G244" s="205">
        <f>IF(_1_541284561214624104645789101745678[[#This Row],[Type]]&gt;0,VLOOKUP(_1_541284561214624104645789101745678[[#This Row],[Type]],Main[[#All],[TYPE]:[UNIT]],'Unit Price'!C$1,FALSE),0)</f>
        <v>0</v>
      </c>
      <c r="H244" s="197">
        <f>IF(_1_541284561214624104645789101745678[[#This Row],[Type]]&gt;0,VLOOKUP(_1_541284561214624104645789101745678[[#This Row],[Type]],Main[[#All],[TYPE]:[UNIT]],'Unit Price'!D$1,FALSE),0)</f>
        <v>0</v>
      </c>
      <c r="I244" s="194">
        <f>IF(_1_541284561214624104645789101745678[[#This Row],[Type]]&gt;0,VLOOKUP(_1_541284561214624104645789101745678[[#This Row],[Type]],Main[[#All],[TYPE]:[UNIT]],'Unit Price'!G$1,FALSE),0)</f>
        <v>0</v>
      </c>
      <c r="J244" s="194">
        <f>IF(_1_541284561214624104645789101745678[[#This Row],[Type]]&gt;0,VLOOKUP(_1_541284561214624104645789101745678[[#This Row],[Type]],Main[[#All],[TYPE]:[UNIT]],'Unit Price'!H$1,FALSE),0)</f>
        <v>0</v>
      </c>
      <c r="K244" s="194">
        <f>IF(_1_541284561214624104645789101745678[[#This Row],[Discount selection]]&gt;0,VLOOKUP(_1_541284561214624104645789101745678[[#This Row],[Discount selection]],'Discount Structure'!$A$2:$B$30,2,"false"),0)</f>
        <v>1</v>
      </c>
      <c r="L244" s="194">
        <f>_1_541284561214624104645789101745678[[#This Row],[LIST $]]*_1_541284561214624104645789101745678[[#This Row],[DISCOUNT]]*_1_541284561214624104645789101745678[[#This Row],[DISCOUNT 2]]</f>
        <v>0</v>
      </c>
      <c r="M244" s="194">
        <f>IF(OR(_1_541284561214624104645789101745678[[#This Row],[UNIT]]&gt;0,_1_541284561214624104645789101745678[[#This Row],[UNIT]]&lt;0),_1_541284561214624104645789101745678[[#This Row],[UNIT]]*_1_541284561214624104645789101745678[[#This Row],[COST]],0)</f>
        <v>0</v>
      </c>
      <c r="N244" s="194">
        <f t="shared" si="3"/>
        <v>1.3</v>
      </c>
      <c r="O244" s="198">
        <f>_1_541284561214624104645789101745678[[#This Row],[TOTAL]]*_1_541284561214624104645789101745678[[#This Row],[MARGIN]]</f>
        <v>0</v>
      </c>
      <c r="R244" s="41"/>
    </row>
    <row r="245" spans="1:18">
      <c r="A245" s="324"/>
      <c r="B245" s="323"/>
      <c r="C245" s="168"/>
      <c r="D245" s="188"/>
      <c r="F245" s="168" t="s">
        <v>6202</v>
      </c>
      <c r="G245" s="193">
        <f>IF(_1_541284561214624104645789101745678[[#This Row],[Type]]&gt;0,VLOOKUP(_1_541284561214624104645789101745678[[#This Row],[Type]],Main[[#All],[TYPE]:[UNIT]],'Unit Price'!C$1,FALSE),0)</f>
        <v>0</v>
      </c>
      <c r="H245" s="197">
        <f>IF(_1_541284561214624104645789101745678[[#This Row],[Type]]&gt;0,VLOOKUP(_1_541284561214624104645789101745678[[#This Row],[Type]],Main[[#All],[TYPE]:[UNIT]],'Unit Price'!D$1,FALSE),0)</f>
        <v>0</v>
      </c>
      <c r="I245" s="194">
        <f>IF(_1_541284561214624104645789101745678[[#This Row],[Type]]&gt;0,VLOOKUP(_1_541284561214624104645789101745678[[#This Row],[Type]],Main[[#All],[TYPE]:[UNIT]],'Unit Price'!G$1,FALSE),0)</f>
        <v>0</v>
      </c>
      <c r="J245" s="194">
        <f>IF(_1_541284561214624104645789101745678[[#This Row],[Type]]&gt;0,VLOOKUP(_1_541284561214624104645789101745678[[#This Row],[Type]],Main[[#All],[TYPE]:[UNIT]],'Unit Price'!H$1,FALSE),0)</f>
        <v>0</v>
      </c>
      <c r="K245" s="194">
        <f>IF(_1_541284561214624104645789101745678[[#This Row],[Discount selection]]&gt;0,VLOOKUP(_1_541284561214624104645789101745678[[#This Row],[Discount selection]],'Discount Structure'!$A$2:$B$30,2,"false"),0)</f>
        <v>1</v>
      </c>
      <c r="L245" s="194">
        <f>_1_541284561214624104645789101745678[[#This Row],[LIST $]]*_1_541284561214624104645789101745678[[#This Row],[DISCOUNT]]*_1_541284561214624104645789101745678[[#This Row],[DISCOUNT 2]]</f>
        <v>0</v>
      </c>
      <c r="M245" s="194">
        <f>IF(OR(_1_541284561214624104645789101745678[[#This Row],[UNIT]]&gt;0,_1_541284561214624104645789101745678[[#This Row],[UNIT]]&lt;0),_1_541284561214624104645789101745678[[#This Row],[UNIT]]*_1_541284561214624104645789101745678[[#This Row],[COST]],0)</f>
        <v>0</v>
      </c>
      <c r="N245" s="194">
        <f t="shared" si="3"/>
        <v>1.3</v>
      </c>
      <c r="O245" s="198">
        <f>_1_541284561214624104645789101745678[[#This Row],[TOTAL]]*_1_541284561214624104645789101745678[[#This Row],[MARGIN]]</f>
        <v>0</v>
      </c>
      <c r="R245" s="41"/>
    </row>
    <row r="246" spans="1:18">
      <c r="A246" s="323"/>
      <c r="B246" s="323"/>
      <c r="C246" s="168"/>
      <c r="D246" s="188"/>
      <c r="F246" s="168" t="s">
        <v>6202</v>
      </c>
      <c r="G246" s="193">
        <f>IF(_1_541284561214624104645789101745678[[#This Row],[Type]]&gt;0,VLOOKUP(_1_541284561214624104645789101745678[[#This Row],[Type]],Main[[#All],[TYPE]:[UNIT]],'Unit Price'!C$1,FALSE),0)</f>
        <v>0</v>
      </c>
      <c r="H246" s="197">
        <f>IF(_1_541284561214624104645789101745678[[#This Row],[Type]]&gt;0,VLOOKUP(_1_541284561214624104645789101745678[[#This Row],[Type]],Main[[#All],[TYPE]:[UNIT]],'Unit Price'!D$1,FALSE),0)</f>
        <v>0</v>
      </c>
      <c r="I246" s="194">
        <f>IF(_1_541284561214624104645789101745678[[#This Row],[Type]]&gt;0,VLOOKUP(_1_541284561214624104645789101745678[[#This Row],[Type]],Main[[#All],[TYPE]:[UNIT]],'Unit Price'!G$1,FALSE),0)</f>
        <v>0</v>
      </c>
      <c r="J246" s="194">
        <f>IF(_1_541284561214624104645789101745678[[#This Row],[Type]]&gt;0,VLOOKUP(_1_541284561214624104645789101745678[[#This Row],[Type]],Main[[#All],[TYPE]:[UNIT]],'Unit Price'!H$1,FALSE),0)</f>
        <v>0</v>
      </c>
      <c r="K246" s="194">
        <f>IF(_1_541284561214624104645789101745678[[#This Row],[Discount selection]]&gt;0,VLOOKUP(_1_541284561214624104645789101745678[[#This Row],[Discount selection]],'Discount Structure'!$A$2:$B$30,2,"false"),0)</f>
        <v>1</v>
      </c>
      <c r="L246" s="194">
        <f>_1_541284561214624104645789101745678[[#This Row],[LIST $]]*_1_541284561214624104645789101745678[[#This Row],[DISCOUNT]]*_1_541284561214624104645789101745678[[#This Row],[DISCOUNT 2]]</f>
        <v>0</v>
      </c>
      <c r="M246" s="194">
        <f>IF(OR(_1_541284561214624104645789101745678[[#This Row],[UNIT]]&gt;0,_1_541284561214624104645789101745678[[#This Row],[UNIT]]&lt;0),_1_541284561214624104645789101745678[[#This Row],[UNIT]]*_1_541284561214624104645789101745678[[#This Row],[COST]],0)</f>
        <v>0</v>
      </c>
      <c r="N246" s="194">
        <f t="shared" si="3"/>
        <v>1.3</v>
      </c>
      <c r="O246" s="198">
        <f>_1_541284561214624104645789101745678[[#This Row],[TOTAL]]*_1_541284561214624104645789101745678[[#This Row],[MARGIN]]</f>
        <v>0</v>
      </c>
      <c r="R246" s="41"/>
    </row>
    <row r="247" spans="1:18">
      <c r="C247" s="168"/>
      <c r="D247" s="188"/>
      <c r="F247" s="168" t="s">
        <v>6202</v>
      </c>
      <c r="G247" s="193">
        <f>IF(_1_541284561214624104645789101745678[[#This Row],[Type]]&gt;0,VLOOKUP(_1_541284561214624104645789101745678[[#This Row],[Type]],Main[[#All],[TYPE]:[UNIT]],'Unit Price'!C$1,FALSE),0)</f>
        <v>0</v>
      </c>
      <c r="H247" s="197">
        <f>IF(_1_541284561214624104645789101745678[[#This Row],[Type]]&gt;0,VLOOKUP(_1_541284561214624104645789101745678[[#This Row],[Type]],Main[[#All],[TYPE]:[UNIT]],'Unit Price'!D$1,FALSE),0)</f>
        <v>0</v>
      </c>
      <c r="I247" s="194">
        <f>IF(_1_541284561214624104645789101745678[[#This Row],[Type]]&gt;0,VLOOKUP(_1_541284561214624104645789101745678[[#This Row],[Type]],Main[[#All],[TYPE]:[UNIT]],'Unit Price'!G$1,FALSE),0)</f>
        <v>0</v>
      </c>
      <c r="J247" s="194">
        <f>IF(_1_541284561214624104645789101745678[[#This Row],[Type]]&gt;0,VLOOKUP(_1_541284561214624104645789101745678[[#This Row],[Type]],Main[[#All],[TYPE]:[UNIT]],'Unit Price'!H$1,FALSE),0)</f>
        <v>0</v>
      </c>
      <c r="K247" s="194">
        <f>IF(_1_541284561214624104645789101745678[[#This Row],[Discount selection]]&gt;0,VLOOKUP(_1_541284561214624104645789101745678[[#This Row],[Discount selection]],'Discount Structure'!$A$2:$B$30,2,"false"),0)</f>
        <v>1</v>
      </c>
      <c r="L247" s="194">
        <f>_1_541284561214624104645789101745678[[#This Row],[LIST $]]*_1_541284561214624104645789101745678[[#This Row],[DISCOUNT]]*_1_541284561214624104645789101745678[[#This Row],[DISCOUNT 2]]</f>
        <v>0</v>
      </c>
      <c r="M247" s="194">
        <f>IF(OR(_1_541284561214624104645789101745678[[#This Row],[UNIT]]&gt;0,_1_541284561214624104645789101745678[[#This Row],[UNIT]]&lt;0),_1_541284561214624104645789101745678[[#This Row],[UNIT]]*_1_541284561214624104645789101745678[[#This Row],[COST]],0)</f>
        <v>0</v>
      </c>
      <c r="N247" s="194">
        <f t="shared" si="3"/>
        <v>1.3</v>
      </c>
      <c r="O247" s="198">
        <f>_1_541284561214624104645789101745678[[#This Row],[TOTAL]]*_1_541284561214624104645789101745678[[#This Row],[MARGIN]]</f>
        <v>0</v>
      </c>
      <c r="R247" s="41"/>
    </row>
    <row r="248" spans="1:18">
      <c r="C248" s="168"/>
      <c r="D248" s="188"/>
      <c r="F248" s="168" t="s">
        <v>6202</v>
      </c>
      <c r="G248" s="193">
        <f>IF(_1_541284561214624104645789101745678[[#This Row],[Type]]&gt;0,VLOOKUP(_1_541284561214624104645789101745678[[#This Row],[Type]],Main[[#All],[TYPE]:[UNIT]],'Unit Price'!C$1,FALSE),0)</f>
        <v>0</v>
      </c>
      <c r="H248" s="197">
        <f>IF(_1_541284561214624104645789101745678[[#This Row],[Type]]&gt;0,VLOOKUP(_1_541284561214624104645789101745678[[#This Row],[Type]],Main[[#All],[TYPE]:[UNIT]],'Unit Price'!D$1,FALSE),0)</f>
        <v>0</v>
      </c>
      <c r="I248" s="194">
        <f>IF(_1_541284561214624104645789101745678[[#This Row],[Type]]&gt;0,VLOOKUP(_1_541284561214624104645789101745678[[#This Row],[Type]],Main[[#All],[TYPE]:[UNIT]],'Unit Price'!G$1,FALSE),0)</f>
        <v>0</v>
      </c>
      <c r="J248" s="194">
        <f>IF(_1_541284561214624104645789101745678[[#This Row],[Type]]&gt;0,VLOOKUP(_1_541284561214624104645789101745678[[#This Row],[Type]],Main[[#All],[TYPE]:[UNIT]],'Unit Price'!H$1,FALSE),0)</f>
        <v>0</v>
      </c>
      <c r="K248" s="194">
        <f>IF(_1_541284561214624104645789101745678[[#This Row],[Discount selection]]&gt;0,VLOOKUP(_1_541284561214624104645789101745678[[#This Row],[Discount selection]],'Discount Structure'!$A$2:$B$30,2,"false"),0)</f>
        <v>1</v>
      </c>
      <c r="L248" s="194">
        <f>_1_541284561214624104645789101745678[[#This Row],[LIST $]]*_1_541284561214624104645789101745678[[#This Row],[DISCOUNT]]*_1_541284561214624104645789101745678[[#This Row],[DISCOUNT 2]]</f>
        <v>0</v>
      </c>
      <c r="M248" s="194">
        <f>IF(OR(_1_541284561214624104645789101745678[[#This Row],[UNIT]]&gt;0,_1_541284561214624104645789101745678[[#This Row],[UNIT]]&lt;0),_1_541284561214624104645789101745678[[#This Row],[UNIT]]*_1_541284561214624104645789101745678[[#This Row],[COST]],0)</f>
        <v>0</v>
      </c>
      <c r="N248" s="194">
        <f t="shared" si="3"/>
        <v>1.3</v>
      </c>
      <c r="O248" s="198">
        <f>_1_541284561214624104645789101745678[[#This Row],[TOTAL]]*_1_541284561214624104645789101745678[[#This Row],[MARGIN]]</f>
        <v>0</v>
      </c>
      <c r="R248" s="41"/>
    </row>
    <row r="249" spans="1:18">
      <c r="A249" s="323"/>
      <c r="B249" s="325"/>
      <c r="C249" s="168"/>
      <c r="D249" s="188"/>
      <c r="F249" s="168" t="s">
        <v>6202</v>
      </c>
      <c r="G249" s="205">
        <f>IF(_1_541284561214624104645789101745678[[#This Row],[Type]]&gt;0,VLOOKUP(_1_541284561214624104645789101745678[[#This Row],[Type]],Main[[#All],[TYPE]:[UNIT]],'Unit Price'!C$1,FALSE),0)</f>
        <v>0</v>
      </c>
      <c r="H249" s="197">
        <f>IF(_1_541284561214624104645789101745678[[#This Row],[Type]]&gt;0,VLOOKUP(_1_541284561214624104645789101745678[[#This Row],[Type]],Main[[#All],[TYPE]:[UNIT]],'Unit Price'!D$1,FALSE),0)</f>
        <v>0</v>
      </c>
      <c r="I249" s="194">
        <f>IF(_1_541284561214624104645789101745678[[#This Row],[Type]]&gt;0,VLOOKUP(_1_541284561214624104645789101745678[[#This Row],[Type]],Main[[#All],[TYPE]:[UNIT]],'Unit Price'!G$1,FALSE),0)</f>
        <v>0</v>
      </c>
      <c r="J249" s="194">
        <f>IF(_1_541284561214624104645789101745678[[#This Row],[Type]]&gt;0,VLOOKUP(_1_541284561214624104645789101745678[[#This Row],[Type]],Main[[#All],[TYPE]:[UNIT]],'Unit Price'!H$1,FALSE),0)</f>
        <v>0</v>
      </c>
      <c r="K249" s="194">
        <f>IF(_1_541284561214624104645789101745678[[#This Row],[Discount selection]]&gt;0,VLOOKUP(_1_541284561214624104645789101745678[[#This Row],[Discount selection]],'Discount Structure'!$A$2:$B$30,2,"false"),0)</f>
        <v>1</v>
      </c>
      <c r="L249" s="194">
        <f>_1_541284561214624104645789101745678[[#This Row],[LIST $]]*_1_541284561214624104645789101745678[[#This Row],[DISCOUNT]]*_1_541284561214624104645789101745678[[#This Row],[DISCOUNT 2]]</f>
        <v>0</v>
      </c>
      <c r="M249" s="194">
        <f>IF(OR(_1_541284561214624104645789101745678[[#This Row],[UNIT]]&gt;0,_1_541284561214624104645789101745678[[#This Row],[UNIT]]&lt;0),_1_541284561214624104645789101745678[[#This Row],[UNIT]]*_1_541284561214624104645789101745678[[#This Row],[COST]],0)</f>
        <v>0</v>
      </c>
      <c r="N249" s="194">
        <f t="shared" si="3"/>
        <v>1.3</v>
      </c>
      <c r="O249" s="198">
        <f>_1_541284561214624104645789101745678[[#This Row],[TOTAL]]*_1_541284561214624104645789101745678[[#This Row],[MARGIN]]</f>
        <v>0</v>
      </c>
      <c r="R249" s="41"/>
    </row>
    <row r="250" spans="1:18">
      <c r="A250" s="323"/>
      <c r="B250" s="323"/>
      <c r="C250" s="168"/>
      <c r="D250" s="188"/>
      <c r="F250" s="168" t="s">
        <v>6202</v>
      </c>
      <c r="G250" s="193">
        <f>IF(_1_541284561214624104645789101745678[[#This Row],[Type]]&gt;0,VLOOKUP(_1_541284561214624104645789101745678[[#This Row],[Type]],Main[[#All],[TYPE]:[UNIT]],'Unit Price'!C$1,FALSE),0)</f>
        <v>0</v>
      </c>
      <c r="H250" s="197">
        <f>IF(_1_541284561214624104645789101745678[[#This Row],[Type]]&gt;0,VLOOKUP(_1_541284561214624104645789101745678[[#This Row],[Type]],Main[[#All],[TYPE]:[UNIT]],'Unit Price'!D$1,FALSE),0)</f>
        <v>0</v>
      </c>
      <c r="I250" s="194">
        <f>IF(_1_541284561214624104645789101745678[[#This Row],[Type]]&gt;0,VLOOKUP(_1_541284561214624104645789101745678[[#This Row],[Type]],Main[[#All],[TYPE]:[UNIT]],'Unit Price'!G$1,FALSE),0)</f>
        <v>0</v>
      </c>
      <c r="J250" s="194">
        <f>IF(_1_541284561214624104645789101745678[[#This Row],[Type]]&gt;0,VLOOKUP(_1_541284561214624104645789101745678[[#This Row],[Type]],Main[[#All],[TYPE]:[UNIT]],'Unit Price'!H$1,FALSE),0)</f>
        <v>0</v>
      </c>
      <c r="K250" s="194">
        <f>IF(_1_541284561214624104645789101745678[[#This Row],[Discount selection]]&gt;0,VLOOKUP(_1_541284561214624104645789101745678[[#This Row],[Discount selection]],'Discount Structure'!$A$2:$B$30,2,"false"),0)</f>
        <v>1</v>
      </c>
      <c r="L250" s="194">
        <f>_1_541284561214624104645789101745678[[#This Row],[LIST $]]*_1_541284561214624104645789101745678[[#This Row],[DISCOUNT]]*_1_541284561214624104645789101745678[[#This Row],[DISCOUNT 2]]</f>
        <v>0</v>
      </c>
      <c r="M250" s="194">
        <f>IF(OR(_1_541284561214624104645789101745678[[#This Row],[UNIT]]&gt;0,_1_541284561214624104645789101745678[[#This Row],[UNIT]]&lt;0),_1_541284561214624104645789101745678[[#This Row],[UNIT]]*_1_541284561214624104645789101745678[[#This Row],[COST]],0)</f>
        <v>0</v>
      </c>
      <c r="N250" s="194">
        <f t="shared" si="3"/>
        <v>1.3</v>
      </c>
      <c r="O250" s="198">
        <f>_1_541284561214624104645789101745678[[#This Row],[TOTAL]]*_1_541284561214624104645789101745678[[#This Row],[MARGIN]]</f>
        <v>0</v>
      </c>
      <c r="R250" s="41"/>
    </row>
    <row r="251" spans="1:18">
      <c r="C251" s="168"/>
      <c r="D251" s="188"/>
      <c r="F251" s="168" t="s">
        <v>6202</v>
      </c>
      <c r="G251" s="193">
        <f>IF(_1_541284561214624104645789101745678[[#This Row],[Type]]&gt;0,VLOOKUP(_1_541284561214624104645789101745678[[#This Row],[Type]],Main[[#All],[TYPE]:[UNIT]],'Unit Price'!C$1,FALSE),0)</f>
        <v>0</v>
      </c>
      <c r="H251" s="197">
        <f>IF(_1_541284561214624104645789101745678[[#This Row],[Type]]&gt;0,VLOOKUP(_1_541284561214624104645789101745678[[#This Row],[Type]],Main[[#All],[TYPE]:[UNIT]],'Unit Price'!D$1,FALSE),0)</f>
        <v>0</v>
      </c>
      <c r="I251" s="194">
        <f>IF(_1_541284561214624104645789101745678[[#This Row],[Type]]&gt;0,VLOOKUP(_1_541284561214624104645789101745678[[#This Row],[Type]],Main[[#All],[TYPE]:[UNIT]],'Unit Price'!G$1,FALSE),0)</f>
        <v>0</v>
      </c>
      <c r="J251" s="194">
        <f>IF(_1_541284561214624104645789101745678[[#This Row],[Type]]&gt;0,VLOOKUP(_1_541284561214624104645789101745678[[#This Row],[Type]],Main[[#All],[TYPE]:[UNIT]],'Unit Price'!H$1,FALSE),0)</f>
        <v>0</v>
      </c>
      <c r="K251" s="194">
        <f>IF(_1_541284561214624104645789101745678[[#This Row],[Discount selection]]&gt;0,VLOOKUP(_1_541284561214624104645789101745678[[#This Row],[Discount selection]],'Discount Structure'!$A$2:$B$30,2,"false"),0)</f>
        <v>1</v>
      </c>
      <c r="L251" s="194">
        <f>_1_541284561214624104645789101745678[[#This Row],[LIST $]]*_1_541284561214624104645789101745678[[#This Row],[DISCOUNT]]*_1_541284561214624104645789101745678[[#This Row],[DISCOUNT 2]]</f>
        <v>0</v>
      </c>
      <c r="M251" s="194">
        <f>IF(OR(_1_541284561214624104645789101745678[[#This Row],[UNIT]]&gt;0,_1_541284561214624104645789101745678[[#This Row],[UNIT]]&lt;0),_1_541284561214624104645789101745678[[#This Row],[UNIT]]*_1_541284561214624104645789101745678[[#This Row],[COST]],0)</f>
        <v>0</v>
      </c>
      <c r="N251" s="194">
        <f t="shared" si="3"/>
        <v>1.3</v>
      </c>
      <c r="O251" s="198">
        <f>_1_541284561214624104645789101745678[[#This Row],[TOTAL]]*_1_541284561214624104645789101745678[[#This Row],[MARGIN]]</f>
        <v>0</v>
      </c>
      <c r="R251" s="41"/>
    </row>
    <row r="252" spans="1:18">
      <c r="C252" s="168"/>
      <c r="D252" s="188"/>
      <c r="F252" s="168" t="s">
        <v>6202</v>
      </c>
      <c r="G252" s="193">
        <f>IF(_1_541284561214624104645789101745678[[#This Row],[Type]]&gt;0,VLOOKUP(_1_541284561214624104645789101745678[[#This Row],[Type]],Main[[#All],[TYPE]:[UNIT]],'Unit Price'!C$1,FALSE),0)</f>
        <v>0</v>
      </c>
      <c r="H252" s="197">
        <f>IF(_1_541284561214624104645789101745678[[#This Row],[Type]]&gt;0,VLOOKUP(_1_541284561214624104645789101745678[[#This Row],[Type]],Main[[#All],[TYPE]:[UNIT]],'Unit Price'!D$1,FALSE),0)</f>
        <v>0</v>
      </c>
      <c r="I252" s="194">
        <f>IF(_1_541284561214624104645789101745678[[#This Row],[Type]]&gt;0,VLOOKUP(_1_541284561214624104645789101745678[[#This Row],[Type]],Main[[#All],[TYPE]:[UNIT]],'Unit Price'!G$1,FALSE),0)</f>
        <v>0</v>
      </c>
      <c r="J252" s="194">
        <f>IF(_1_541284561214624104645789101745678[[#This Row],[Type]]&gt;0,VLOOKUP(_1_541284561214624104645789101745678[[#This Row],[Type]],Main[[#All],[TYPE]:[UNIT]],'Unit Price'!H$1,FALSE),0)</f>
        <v>0</v>
      </c>
      <c r="K252" s="194">
        <f>IF(_1_541284561214624104645789101745678[[#This Row],[Discount selection]]&gt;0,VLOOKUP(_1_541284561214624104645789101745678[[#This Row],[Discount selection]],'Discount Structure'!$A$2:$B$30,2,"false"),0)</f>
        <v>1</v>
      </c>
      <c r="L252" s="194">
        <f>_1_541284561214624104645789101745678[[#This Row],[LIST $]]*_1_541284561214624104645789101745678[[#This Row],[DISCOUNT]]*_1_541284561214624104645789101745678[[#This Row],[DISCOUNT 2]]</f>
        <v>0</v>
      </c>
      <c r="M252" s="194">
        <f>IF(OR(_1_541284561214624104645789101745678[[#This Row],[UNIT]]&gt;0,_1_541284561214624104645789101745678[[#This Row],[UNIT]]&lt;0),_1_541284561214624104645789101745678[[#This Row],[UNIT]]*_1_541284561214624104645789101745678[[#This Row],[COST]],0)</f>
        <v>0</v>
      </c>
      <c r="N252" s="194">
        <f t="shared" si="3"/>
        <v>1.3</v>
      </c>
      <c r="O252" s="198">
        <f>_1_541284561214624104645789101745678[[#This Row],[TOTAL]]*_1_541284561214624104645789101745678[[#This Row],[MARGIN]]</f>
        <v>0</v>
      </c>
      <c r="R252" s="41"/>
    </row>
    <row r="253" spans="1:18">
      <c r="C253" s="168"/>
      <c r="D253" s="188"/>
      <c r="F253" s="168" t="s">
        <v>6202</v>
      </c>
      <c r="G253" s="193">
        <f>IF(_1_541284561214624104645789101745678[[#This Row],[Type]]&gt;0,VLOOKUP(_1_541284561214624104645789101745678[[#This Row],[Type]],Main[[#All],[TYPE]:[UNIT]],'Unit Price'!C$1,FALSE),0)</f>
        <v>0</v>
      </c>
      <c r="H253" s="197">
        <f>IF(_1_541284561214624104645789101745678[[#This Row],[Type]]&gt;0,VLOOKUP(_1_541284561214624104645789101745678[[#This Row],[Type]],Main[[#All],[TYPE]:[UNIT]],'Unit Price'!D$1,FALSE),0)</f>
        <v>0</v>
      </c>
      <c r="I253" s="194">
        <f>IF(_1_541284561214624104645789101745678[[#This Row],[Type]]&gt;0,VLOOKUP(_1_541284561214624104645789101745678[[#This Row],[Type]],Main[[#All],[TYPE]:[UNIT]],'Unit Price'!G$1,FALSE),0)</f>
        <v>0</v>
      </c>
      <c r="J253" s="194">
        <f>IF(_1_541284561214624104645789101745678[[#This Row],[Type]]&gt;0,VLOOKUP(_1_541284561214624104645789101745678[[#This Row],[Type]],Main[[#All],[TYPE]:[UNIT]],'Unit Price'!H$1,FALSE),0)</f>
        <v>0</v>
      </c>
      <c r="K253" s="194">
        <f>IF(_1_541284561214624104645789101745678[[#This Row],[Discount selection]]&gt;0,VLOOKUP(_1_541284561214624104645789101745678[[#This Row],[Discount selection]],'Discount Structure'!$A$2:$B$30,2,"false"),0)</f>
        <v>1</v>
      </c>
      <c r="L253" s="194">
        <f>_1_541284561214624104645789101745678[[#This Row],[LIST $]]*_1_541284561214624104645789101745678[[#This Row],[DISCOUNT]]*_1_541284561214624104645789101745678[[#This Row],[DISCOUNT 2]]</f>
        <v>0</v>
      </c>
      <c r="M253" s="194">
        <f>IF(OR(_1_541284561214624104645789101745678[[#This Row],[UNIT]]&gt;0,_1_541284561214624104645789101745678[[#This Row],[UNIT]]&lt;0),_1_541284561214624104645789101745678[[#This Row],[UNIT]]*_1_541284561214624104645789101745678[[#This Row],[COST]],0)</f>
        <v>0</v>
      </c>
      <c r="N253" s="194">
        <f t="shared" si="3"/>
        <v>1.3</v>
      </c>
      <c r="O253" s="198">
        <f>_1_541284561214624104645789101745678[[#This Row],[TOTAL]]*_1_541284561214624104645789101745678[[#This Row],[MARGIN]]</f>
        <v>0</v>
      </c>
      <c r="R253" s="41"/>
    </row>
    <row r="254" spans="1:18">
      <c r="C254" s="168"/>
      <c r="D254" s="188"/>
      <c r="F254" s="168" t="s">
        <v>6202</v>
      </c>
      <c r="G254" s="193">
        <f>IF(_1_541284561214624104645789101745678[[#This Row],[Type]]&gt;0,VLOOKUP(_1_541284561214624104645789101745678[[#This Row],[Type]],Main[[#All],[TYPE]:[UNIT]],'Unit Price'!C$1,FALSE),0)</f>
        <v>0</v>
      </c>
      <c r="H254" s="197">
        <f>IF(_1_541284561214624104645789101745678[[#This Row],[Type]]&gt;0,VLOOKUP(_1_541284561214624104645789101745678[[#This Row],[Type]],Main[[#All],[TYPE]:[UNIT]],'Unit Price'!D$1,FALSE),0)</f>
        <v>0</v>
      </c>
      <c r="I254" s="194">
        <f>IF(_1_541284561214624104645789101745678[[#This Row],[Type]]&gt;0,VLOOKUP(_1_541284561214624104645789101745678[[#This Row],[Type]],Main[[#All],[TYPE]:[UNIT]],'Unit Price'!G$1,FALSE),0)</f>
        <v>0</v>
      </c>
      <c r="J254" s="194">
        <f>IF(_1_541284561214624104645789101745678[[#This Row],[Type]]&gt;0,VLOOKUP(_1_541284561214624104645789101745678[[#This Row],[Type]],Main[[#All],[TYPE]:[UNIT]],'Unit Price'!H$1,FALSE),0)</f>
        <v>0</v>
      </c>
      <c r="K254" s="194">
        <f>IF(_1_541284561214624104645789101745678[[#This Row],[Discount selection]]&gt;0,VLOOKUP(_1_541284561214624104645789101745678[[#This Row],[Discount selection]],'Discount Structure'!$A$2:$B$30,2,"false"),0)</f>
        <v>1</v>
      </c>
      <c r="L254" s="194">
        <f>_1_541284561214624104645789101745678[[#This Row],[LIST $]]*_1_541284561214624104645789101745678[[#This Row],[DISCOUNT]]*_1_541284561214624104645789101745678[[#This Row],[DISCOUNT 2]]</f>
        <v>0</v>
      </c>
      <c r="M254" s="194">
        <f>IF(OR(_1_541284561214624104645789101745678[[#This Row],[UNIT]]&gt;0,_1_541284561214624104645789101745678[[#This Row],[UNIT]]&lt;0),_1_541284561214624104645789101745678[[#This Row],[UNIT]]*_1_541284561214624104645789101745678[[#This Row],[COST]],0)</f>
        <v>0</v>
      </c>
      <c r="N254" s="194">
        <f t="shared" si="3"/>
        <v>1.3</v>
      </c>
      <c r="O254" s="198">
        <f>_1_541284561214624104645789101745678[[#This Row],[TOTAL]]*_1_541284561214624104645789101745678[[#This Row],[MARGIN]]</f>
        <v>0</v>
      </c>
      <c r="R254" s="41"/>
    </row>
    <row r="255" spans="1:18">
      <c r="C255" s="168"/>
      <c r="D255" s="188"/>
      <c r="F255" s="168" t="s">
        <v>6202</v>
      </c>
      <c r="G255" s="205">
        <f>IF(_1_541284561214624104645789101745678[[#This Row],[Type]]&gt;0,VLOOKUP(_1_541284561214624104645789101745678[[#This Row],[Type]],Main[[#All],[TYPE]:[UNIT]],'Unit Price'!C$1,FALSE),0)</f>
        <v>0</v>
      </c>
      <c r="H255" s="197">
        <f>IF(_1_541284561214624104645789101745678[[#This Row],[Type]]&gt;0,VLOOKUP(_1_541284561214624104645789101745678[[#This Row],[Type]],Main[[#All],[TYPE]:[UNIT]],'Unit Price'!D$1,FALSE),0)</f>
        <v>0</v>
      </c>
      <c r="I255" s="194">
        <f>IF(_1_541284561214624104645789101745678[[#This Row],[Type]]&gt;0,VLOOKUP(_1_541284561214624104645789101745678[[#This Row],[Type]],Main[[#All],[TYPE]:[UNIT]],'Unit Price'!G$1,FALSE),0)</f>
        <v>0</v>
      </c>
      <c r="J255" s="194">
        <f>IF(_1_541284561214624104645789101745678[[#This Row],[Type]]&gt;0,VLOOKUP(_1_541284561214624104645789101745678[[#This Row],[Type]],Main[[#All],[TYPE]:[UNIT]],'Unit Price'!H$1,FALSE),0)</f>
        <v>0</v>
      </c>
      <c r="K255" s="194">
        <f>IF(_1_541284561214624104645789101745678[[#This Row],[Discount selection]]&gt;0,VLOOKUP(_1_541284561214624104645789101745678[[#This Row],[Discount selection]],'Discount Structure'!$A$2:$B$30,2,"false"),0)</f>
        <v>1</v>
      </c>
      <c r="L255" s="194">
        <f>_1_541284561214624104645789101745678[[#This Row],[LIST $]]*_1_541284561214624104645789101745678[[#This Row],[DISCOUNT]]*_1_541284561214624104645789101745678[[#This Row],[DISCOUNT 2]]</f>
        <v>0</v>
      </c>
      <c r="M255" s="194">
        <f>IF(OR(_1_541284561214624104645789101745678[[#This Row],[UNIT]]&gt;0,_1_541284561214624104645789101745678[[#This Row],[UNIT]]&lt;0),_1_541284561214624104645789101745678[[#This Row],[UNIT]]*_1_541284561214624104645789101745678[[#This Row],[COST]],0)</f>
        <v>0</v>
      </c>
      <c r="N255" s="194">
        <f t="shared" si="3"/>
        <v>1.3</v>
      </c>
      <c r="O255" s="198">
        <f>_1_541284561214624104645789101745678[[#This Row],[TOTAL]]*_1_541284561214624104645789101745678[[#This Row],[MARGIN]]</f>
        <v>0</v>
      </c>
      <c r="R255" s="41"/>
    </row>
    <row r="256" spans="1:18">
      <c r="A256" s="168"/>
      <c r="B256" s="168"/>
      <c r="C256" s="168"/>
      <c r="D256" s="188"/>
      <c r="F256" s="168" t="s">
        <v>6202</v>
      </c>
      <c r="G256" s="193">
        <f>IF(_1_541284561214624104645789101745678[[#This Row],[Type]]&gt;0,VLOOKUP(_1_541284561214624104645789101745678[[#This Row],[Type]],Main[[#All],[TYPE]:[UNIT]],'Unit Price'!C$1,FALSE),0)</f>
        <v>0</v>
      </c>
      <c r="H256" s="197">
        <f>IF(_1_541284561214624104645789101745678[[#This Row],[Type]]&gt;0,VLOOKUP(_1_541284561214624104645789101745678[[#This Row],[Type]],Main[[#All],[TYPE]:[UNIT]],'Unit Price'!D$1,FALSE),0)</f>
        <v>0</v>
      </c>
      <c r="I256" s="194">
        <f>IF(_1_541284561214624104645789101745678[[#This Row],[Type]]&gt;0,VLOOKUP(_1_541284561214624104645789101745678[[#This Row],[Type]],Main[[#All],[TYPE]:[UNIT]],'Unit Price'!G$1,FALSE),0)</f>
        <v>0</v>
      </c>
      <c r="J256" s="194">
        <f>IF(_1_541284561214624104645789101745678[[#This Row],[Type]]&gt;0,VLOOKUP(_1_541284561214624104645789101745678[[#This Row],[Type]],Main[[#All],[TYPE]:[UNIT]],'Unit Price'!H$1,FALSE),0)</f>
        <v>0</v>
      </c>
      <c r="K256" s="194">
        <f>IF(_1_541284561214624104645789101745678[[#This Row],[Discount selection]]&gt;0,VLOOKUP(_1_541284561214624104645789101745678[[#This Row],[Discount selection]],'Discount Structure'!$A$2:$B$30,2,"false"),0)</f>
        <v>1</v>
      </c>
      <c r="L256" s="194">
        <f>_1_541284561214624104645789101745678[[#This Row],[LIST $]]*_1_541284561214624104645789101745678[[#This Row],[DISCOUNT]]*_1_541284561214624104645789101745678[[#This Row],[DISCOUNT 2]]</f>
        <v>0</v>
      </c>
      <c r="M256" s="194">
        <f>IF(OR(_1_541284561214624104645789101745678[[#This Row],[UNIT]]&gt;0,_1_541284561214624104645789101745678[[#This Row],[UNIT]]&lt;0),_1_541284561214624104645789101745678[[#This Row],[UNIT]]*_1_541284561214624104645789101745678[[#This Row],[COST]],0)</f>
        <v>0</v>
      </c>
      <c r="N256" s="194">
        <f t="shared" si="3"/>
        <v>1.3</v>
      </c>
      <c r="O256" s="198">
        <f>_1_541284561214624104645789101745678[[#This Row],[TOTAL]]*_1_541284561214624104645789101745678[[#This Row],[MARGIN]]</f>
        <v>0</v>
      </c>
      <c r="R256" s="41"/>
    </row>
    <row r="257" spans="1:18">
      <c r="A257" s="323"/>
      <c r="B257" s="323"/>
      <c r="C257" s="168"/>
      <c r="D257" s="188"/>
      <c r="F257" s="168" t="s">
        <v>6202</v>
      </c>
      <c r="G257" s="193">
        <f>IF(_1_541284561214624104645789101745678[[#This Row],[Type]]&gt;0,VLOOKUP(_1_541284561214624104645789101745678[[#This Row],[Type]],Main[[#All],[TYPE]:[UNIT]],'Unit Price'!C$1,FALSE),0)</f>
        <v>0</v>
      </c>
      <c r="H257" s="197">
        <f>IF(_1_541284561214624104645789101745678[[#This Row],[Type]]&gt;0,VLOOKUP(_1_541284561214624104645789101745678[[#This Row],[Type]],Main[[#All],[TYPE]:[UNIT]],'Unit Price'!D$1,FALSE),0)</f>
        <v>0</v>
      </c>
      <c r="I257" s="194">
        <f>IF(_1_541284561214624104645789101745678[[#This Row],[Type]]&gt;0,VLOOKUP(_1_541284561214624104645789101745678[[#This Row],[Type]],Main[[#All],[TYPE]:[UNIT]],'Unit Price'!G$1,FALSE),0)</f>
        <v>0</v>
      </c>
      <c r="J257" s="194">
        <f>IF(_1_541284561214624104645789101745678[[#This Row],[Type]]&gt;0,VLOOKUP(_1_541284561214624104645789101745678[[#This Row],[Type]],Main[[#All],[TYPE]:[UNIT]],'Unit Price'!H$1,FALSE),0)</f>
        <v>0</v>
      </c>
      <c r="K257" s="194">
        <f>IF(_1_541284561214624104645789101745678[[#This Row],[Discount selection]]&gt;0,VLOOKUP(_1_541284561214624104645789101745678[[#This Row],[Discount selection]],'Discount Structure'!$A$2:$B$30,2,"false"),0)</f>
        <v>1</v>
      </c>
      <c r="L257" s="194">
        <f>_1_541284561214624104645789101745678[[#This Row],[LIST $]]*_1_541284561214624104645789101745678[[#This Row],[DISCOUNT]]*_1_541284561214624104645789101745678[[#This Row],[DISCOUNT 2]]</f>
        <v>0</v>
      </c>
      <c r="M257" s="194">
        <f>IF(OR(_1_541284561214624104645789101745678[[#This Row],[UNIT]]&gt;0,_1_541284561214624104645789101745678[[#This Row],[UNIT]]&lt;0),_1_541284561214624104645789101745678[[#This Row],[UNIT]]*_1_541284561214624104645789101745678[[#This Row],[COST]],0)</f>
        <v>0</v>
      </c>
      <c r="N257" s="194">
        <f t="shared" si="3"/>
        <v>1.3</v>
      </c>
      <c r="O257" s="198">
        <f>_1_541284561214624104645789101745678[[#This Row],[TOTAL]]*_1_541284561214624104645789101745678[[#This Row],[MARGIN]]</f>
        <v>0</v>
      </c>
      <c r="R257" s="41"/>
    </row>
    <row r="258" spans="1:18">
      <c r="A258" s="323"/>
      <c r="B258" s="325"/>
      <c r="C258" s="168"/>
      <c r="D258" s="188"/>
      <c r="F258" s="168" t="s">
        <v>6202</v>
      </c>
      <c r="G258" s="193">
        <f>IF(_1_541284561214624104645789101745678[[#This Row],[Type]]&gt;0,VLOOKUP(_1_541284561214624104645789101745678[[#This Row],[Type]],Main[[#All],[TYPE]:[UNIT]],'Unit Price'!C$1,FALSE),0)</f>
        <v>0</v>
      </c>
      <c r="H258" s="197">
        <f>IF(_1_541284561214624104645789101745678[[#This Row],[Type]]&gt;0,VLOOKUP(_1_541284561214624104645789101745678[[#This Row],[Type]],Main[[#All],[TYPE]:[UNIT]],'Unit Price'!D$1,FALSE),0)</f>
        <v>0</v>
      </c>
      <c r="I258" s="194">
        <f>IF(_1_541284561214624104645789101745678[[#This Row],[Type]]&gt;0,VLOOKUP(_1_541284561214624104645789101745678[[#This Row],[Type]],Main[[#All],[TYPE]:[UNIT]],'Unit Price'!G$1,FALSE),0)</f>
        <v>0</v>
      </c>
      <c r="J258" s="194">
        <f>IF(_1_541284561214624104645789101745678[[#This Row],[Type]]&gt;0,VLOOKUP(_1_541284561214624104645789101745678[[#This Row],[Type]],Main[[#All],[TYPE]:[UNIT]],'Unit Price'!H$1,FALSE),0)</f>
        <v>0</v>
      </c>
      <c r="K258" s="194">
        <f>IF(_1_541284561214624104645789101745678[[#This Row],[Discount selection]]&gt;0,VLOOKUP(_1_541284561214624104645789101745678[[#This Row],[Discount selection]],'Discount Structure'!$A$2:$B$30,2,"false"),0)</f>
        <v>1</v>
      </c>
      <c r="L258" s="194">
        <f>_1_541284561214624104645789101745678[[#This Row],[LIST $]]*_1_541284561214624104645789101745678[[#This Row],[DISCOUNT]]*_1_541284561214624104645789101745678[[#This Row],[DISCOUNT 2]]</f>
        <v>0</v>
      </c>
      <c r="M258" s="194">
        <f>IF(OR(_1_541284561214624104645789101745678[[#This Row],[UNIT]]&gt;0,_1_541284561214624104645789101745678[[#This Row],[UNIT]]&lt;0),_1_541284561214624104645789101745678[[#This Row],[UNIT]]*_1_541284561214624104645789101745678[[#This Row],[COST]],0)</f>
        <v>0</v>
      </c>
      <c r="N258" s="194">
        <f t="shared" si="3"/>
        <v>1.3</v>
      </c>
      <c r="O258" s="198">
        <f>_1_541284561214624104645789101745678[[#This Row],[TOTAL]]*_1_541284561214624104645789101745678[[#This Row],[MARGIN]]</f>
        <v>0</v>
      </c>
      <c r="R258" s="41"/>
    </row>
    <row r="259" spans="1:18">
      <c r="C259" s="168"/>
      <c r="D259" s="188"/>
      <c r="F259" s="168" t="s">
        <v>6202</v>
      </c>
      <c r="G259" s="193">
        <f>IF(_1_541284561214624104645789101745678[[#This Row],[Type]]&gt;0,VLOOKUP(_1_541284561214624104645789101745678[[#This Row],[Type]],Main[[#All],[TYPE]:[UNIT]],'Unit Price'!C$1,FALSE),0)</f>
        <v>0</v>
      </c>
      <c r="H259" s="197">
        <f>IF(_1_541284561214624104645789101745678[[#This Row],[Type]]&gt;0,VLOOKUP(_1_541284561214624104645789101745678[[#This Row],[Type]],Main[[#All],[TYPE]:[UNIT]],'Unit Price'!D$1,FALSE),0)</f>
        <v>0</v>
      </c>
      <c r="I259" s="194">
        <f>IF(_1_541284561214624104645789101745678[[#This Row],[Type]]&gt;0,VLOOKUP(_1_541284561214624104645789101745678[[#This Row],[Type]],Main[[#All],[TYPE]:[UNIT]],'Unit Price'!G$1,FALSE),0)</f>
        <v>0</v>
      </c>
      <c r="J259" s="194">
        <f>IF(_1_541284561214624104645789101745678[[#This Row],[Type]]&gt;0,VLOOKUP(_1_541284561214624104645789101745678[[#This Row],[Type]],Main[[#All],[TYPE]:[UNIT]],'Unit Price'!H$1,FALSE),0)</f>
        <v>0</v>
      </c>
      <c r="K259" s="194">
        <f>IF(_1_541284561214624104645789101745678[[#This Row],[Discount selection]]&gt;0,VLOOKUP(_1_541284561214624104645789101745678[[#This Row],[Discount selection]],'Discount Structure'!$A$2:$B$30,2,"false"),0)</f>
        <v>1</v>
      </c>
      <c r="L259" s="194">
        <f>_1_541284561214624104645789101745678[[#This Row],[LIST $]]*_1_541284561214624104645789101745678[[#This Row],[DISCOUNT]]*_1_541284561214624104645789101745678[[#This Row],[DISCOUNT 2]]</f>
        <v>0</v>
      </c>
      <c r="M259" s="194">
        <f>IF(OR(_1_541284561214624104645789101745678[[#This Row],[UNIT]]&gt;0,_1_541284561214624104645789101745678[[#This Row],[UNIT]]&lt;0),_1_541284561214624104645789101745678[[#This Row],[UNIT]]*_1_541284561214624104645789101745678[[#This Row],[COST]],0)</f>
        <v>0</v>
      </c>
      <c r="N259" s="194">
        <f t="shared" si="3"/>
        <v>1.3</v>
      </c>
      <c r="O259" s="198">
        <f>_1_541284561214624104645789101745678[[#This Row],[TOTAL]]*_1_541284561214624104645789101745678[[#This Row],[MARGIN]]</f>
        <v>0</v>
      </c>
      <c r="R259" s="41"/>
    </row>
    <row r="260" spans="1:18">
      <c r="C260" s="168"/>
      <c r="D260" s="188"/>
      <c r="F260" s="168" t="s">
        <v>6202</v>
      </c>
      <c r="G260" s="205">
        <f>IF(_1_541284561214624104645789101745678[[#This Row],[Type]]&gt;0,VLOOKUP(_1_541284561214624104645789101745678[[#This Row],[Type]],Main[[#All],[TYPE]:[UNIT]],'Unit Price'!C$1,FALSE),0)</f>
        <v>0</v>
      </c>
      <c r="H260" s="197">
        <f>IF(_1_541284561214624104645789101745678[[#This Row],[Type]]&gt;0,VLOOKUP(_1_541284561214624104645789101745678[[#This Row],[Type]],Main[[#All],[TYPE]:[UNIT]],'Unit Price'!D$1,FALSE),0)</f>
        <v>0</v>
      </c>
      <c r="I260" s="194">
        <f>IF(_1_541284561214624104645789101745678[[#This Row],[Type]]&gt;0,VLOOKUP(_1_541284561214624104645789101745678[[#This Row],[Type]],Main[[#All],[TYPE]:[UNIT]],'Unit Price'!G$1,FALSE),0)</f>
        <v>0</v>
      </c>
      <c r="J260" s="194">
        <f>IF(_1_541284561214624104645789101745678[[#This Row],[Type]]&gt;0,VLOOKUP(_1_541284561214624104645789101745678[[#This Row],[Type]],Main[[#All],[TYPE]:[UNIT]],'Unit Price'!H$1,FALSE),0)</f>
        <v>0</v>
      </c>
      <c r="K260" s="194">
        <f>IF(_1_541284561214624104645789101745678[[#This Row],[Discount selection]]&gt;0,VLOOKUP(_1_541284561214624104645789101745678[[#This Row],[Discount selection]],'Discount Structure'!$A$2:$B$30,2,"false"),0)</f>
        <v>1</v>
      </c>
      <c r="L260" s="194">
        <f>_1_541284561214624104645789101745678[[#This Row],[LIST $]]*_1_541284561214624104645789101745678[[#This Row],[DISCOUNT]]*_1_541284561214624104645789101745678[[#This Row],[DISCOUNT 2]]</f>
        <v>0</v>
      </c>
      <c r="M260" s="194">
        <f>IF(OR(_1_541284561214624104645789101745678[[#This Row],[UNIT]]&gt;0,_1_541284561214624104645789101745678[[#This Row],[UNIT]]&lt;0),_1_541284561214624104645789101745678[[#This Row],[UNIT]]*_1_541284561214624104645789101745678[[#This Row],[COST]],0)</f>
        <v>0</v>
      </c>
      <c r="N260" s="194">
        <f t="shared" si="3"/>
        <v>1.3</v>
      </c>
      <c r="O260" s="198">
        <f>_1_541284561214624104645789101745678[[#This Row],[TOTAL]]*_1_541284561214624104645789101745678[[#This Row],[MARGIN]]</f>
        <v>0</v>
      </c>
      <c r="R260" s="41"/>
    </row>
    <row r="261" spans="1:18">
      <c r="A261" s="323"/>
      <c r="B261" s="325"/>
      <c r="C261" s="168"/>
      <c r="D261" s="188"/>
      <c r="F261" s="168" t="s">
        <v>6202</v>
      </c>
      <c r="G261" s="193">
        <f>IF(_1_541284561214624104645789101745678[[#This Row],[Type]]&gt;0,VLOOKUP(_1_541284561214624104645789101745678[[#This Row],[Type]],Main[[#All],[TYPE]:[UNIT]],'Unit Price'!C$1,FALSE),0)</f>
        <v>0</v>
      </c>
      <c r="H261" s="197">
        <f>IF(_1_541284561214624104645789101745678[[#This Row],[Type]]&gt;0,VLOOKUP(_1_541284561214624104645789101745678[[#This Row],[Type]],Main[[#All],[TYPE]:[UNIT]],'Unit Price'!D$1,FALSE),0)</f>
        <v>0</v>
      </c>
      <c r="I261" s="194">
        <f>IF(_1_541284561214624104645789101745678[[#This Row],[Type]]&gt;0,VLOOKUP(_1_541284561214624104645789101745678[[#This Row],[Type]],Main[[#All],[TYPE]:[UNIT]],'Unit Price'!G$1,FALSE),0)</f>
        <v>0</v>
      </c>
      <c r="J261" s="194">
        <f>IF(_1_541284561214624104645789101745678[[#This Row],[Type]]&gt;0,VLOOKUP(_1_541284561214624104645789101745678[[#This Row],[Type]],Main[[#All],[TYPE]:[UNIT]],'Unit Price'!H$1,FALSE),0)</f>
        <v>0</v>
      </c>
      <c r="K261" s="194">
        <f>IF(_1_541284561214624104645789101745678[[#This Row],[Discount selection]]&gt;0,VLOOKUP(_1_541284561214624104645789101745678[[#This Row],[Discount selection]],'Discount Structure'!$A$2:$B$30,2,"false"),0)</f>
        <v>1</v>
      </c>
      <c r="L261" s="194">
        <f>_1_541284561214624104645789101745678[[#This Row],[LIST $]]*_1_541284561214624104645789101745678[[#This Row],[DISCOUNT]]*_1_541284561214624104645789101745678[[#This Row],[DISCOUNT 2]]</f>
        <v>0</v>
      </c>
      <c r="M261" s="194">
        <f>IF(OR(_1_541284561214624104645789101745678[[#This Row],[UNIT]]&gt;0,_1_541284561214624104645789101745678[[#This Row],[UNIT]]&lt;0),_1_541284561214624104645789101745678[[#This Row],[UNIT]]*_1_541284561214624104645789101745678[[#This Row],[COST]],0)</f>
        <v>0</v>
      </c>
      <c r="N261" s="194">
        <f t="shared" si="3"/>
        <v>1.3</v>
      </c>
      <c r="O261" s="198">
        <f>_1_541284561214624104645789101745678[[#This Row],[TOTAL]]*_1_541284561214624104645789101745678[[#This Row],[MARGIN]]</f>
        <v>0</v>
      </c>
      <c r="R261" s="41"/>
    </row>
    <row r="262" spans="1:18">
      <c r="C262" s="168"/>
      <c r="D262" s="188"/>
      <c r="F262" s="168" t="s">
        <v>6202</v>
      </c>
      <c r="G262" s="193">
        <f>IF(_1_541284561214624104645789101745678[[#This Row],[Type]]&gt;0,VLOOKUP(_1_541284561214624104645789101745678[[#This Row],[Type]],Main[[#All],[TYPE]:[UNIT]],'Unit Price'!C$1,FALSE),0)</f>
        <v>0</v>
      </c>
      <c r="H262" s="197">
        <f>IF(_1_541284561214624104645789101745678[[#This Row],[Type]]&gt;0,VLOOKUP(_1_541284561214624104645789101745678[[#This Row],[Type]],Main[[#All],[TYPE]:[UNIT]],'Unit Price'!D$1,FALSE),0)</f>
        <v>0</v>
      </c>
      <c r="I262" s="194">
        <f>IF(_1_541284561214624104645789101745678[[#This Row],[Type]]&gt;0,VLOOKUP(_1_541284561214624104645789101745678[[#This Row],[Type]],Main[[#All],[TYPE]:[UNIT]],'Unit Price'!G$1,FALSE),0)</f>
        <v>0</v>
      </c>
      <c r="J262" s="194">
        <f>IF(_1_541284561214624104645789101745678[[#This Row],[Type]]&gt;0,VLOOKUP(_1_541284561214624104645789101745678[[#This Row],[Type]],Main[[#All],[TYPE]:[UNIT]],'Unit Price'!H$1,FALSE),0)</f>
        <v>0</v>
      </c>
      <c r="K262" s="194">
        <f>IF(_1_541284561214624104645789101745678[[#This Row],[Discount selection]]&gt;0,VLOOKUP(_1_541284561214624104645789101745678[[#This Row],[Discount selection]],'Discount Structure'!$A$2:$B$30,2,"false"),0)</f>
        <v>1</v>
      </c>
      <c r="L262" s="194">
        <f>_1_541284561214624104645789101745678[[#This Row],[LIST $]]*_1_541284561214624104645789101745678[[#This Row],[DISCOUNT]]*_1_541284561214624104645789101745678[[#This Row],[DISCOUNT 2]]</f>
        <v>0</v>
      </c>
      <c r="M262" s="194">
        <f>IF(OR(_1_541284561214624104645789101745678[[#This Row],[UNIT]]&gt;0,_1_541284561214624104645789101745678[[#This Row],[UNIT]]&lt;0),_1_541284561214624104645789101745678[[#This Row],[UNIT]]*_1_541284561214624104645789101745678[[#This Row],[COST]],0)</f>
        <v>0</v>
      </c>
      <c r="N262" s="194">
        <f t="shared" si="3"/>
        <v>1.3</v>
      </c>
      <c r="O262" s="198">
        <f>_1_541284561214624104645789101745678[[#This Row],[TOTAL]]*_1_541284561214624104645789101745678[[#This Row],[MARGIN]]</f>
        <v>0</v>
      </c>
      <c r="R262" s="41"/>
    </row>
    <row r="263" spans="1:18">
      <c r="C263" s="168"/>
      <c r="D263" s="188"/>
      <c r="F263" s="168" t="s">
        <v>6202</v>
      </c>
      <c r="G263" s="193">
        <f>IF(_1_541284561214624104645789101745678[[#This Row],[Type]]&gt;0,VLOOKUP(_1_541284561214624104645789101745678[[#This Row],[Type]],Main[[#All],[TYPE]:[UNIT]],'Unit Price'!C$1,FALSE),0)</f>
        <v>0</v>
      </c>
      <c r="H263" s="197">
        <f>IF(_1_541284561214624104645789101745678[[#This Row],[Type]]&gt;0,VLOOKUP(_1_541284561214624104645789101745678[[#This Row],[Type]],Main[[#All],[TYPE]:[UNIT]],'Unit Price'!D$1,FALSE),0)</f>
        <v>0</v>
      </c>
      <c r="I263" s="194">
        <f>IF(_1_541284561214624104645789101745678[[#This Row],[Type]]&gt;0,VLOOKUP(_1_541284561214624104645789101745678[[#This Row],[Type]],Main[[#All],[TYPE]:[UNIT]],'Unit Price'!G$1,FALSE),0)</f>
        <v>0</v>
      </c>
      <c r="J263" s="194">
        <f>IF(_1_541284561214624104645789101745678[[#This Row],[Type]]&gt;0,VLOOKUP(_1_541284561214624104645789101745678[[#This Row],[Type]],Main[[#All],[TYPE]:[UNIT]],'Unit Price'!H$1,FALSE),0)</f>
        <v>0</v>
      </c>
      <c r="K263" s="194">
        <f>IF(_1_541284561214624104645789101745678[[#This Row],[Discount selection]]&gt;0,VLOOKUP(_1_541284561214624104645789101745678[[#This Row],[Discount selection]],'Discount Structure'!$A$2:$B$30,2,"false"),0)</f>
        <v>1</v>
      </c>
      <c r="L263" s="194">
        <f>_1_541284561214624104645789101745678[[#This Row],[LIST $]]*_1_541284561214624104645789101745678[[#This Row],[DISCOUNT]]*_1_541284561214624104645789101745678[[#This Row],[DISCOUNT 2]]</f>
        <v>0</v>
      </c>
      <c r="M263" s="194">
        <f>IF(OR(_1_541284561214624104645789101745678[[#This Row],[UNIT]]&gt;0,_1_541284561214624104645789101745678[[#This Row],[UNIT]]&lt;0),_1_541284561214624104645789101745678[[#This Row],[UNIT]]*_1_541284561214624104645789101745678[[#This Row],[COST]],0)</f>
        <v>0</v>
      </c>
      <c r="N263" s="194">
        <f t="shared" si="3"/>
        <v>1.3</v>
      </c>
      <c r="O263" s="198">
        <f>_1_541284561214624104645789101745678[[#This Row],[TOTAL]]*_1_541284561214624104645789101745678[[#This Row],[MARGIN]]</f>
        <v>0</v>
      </c>
      <c r="R263" s="41"/>
    </row>
    <row r="264" spans="1:18">
      <c r="C264" s="168"/>
      <c r="D264" s="188"/>
      <c r="F264" s="168" t="s">
        <v>6202</v>
      </c>
      <c r="G264" s="193">
        <f>IF(_1_541284561214624104645789101745678[[#This Row],[Type]]&gt;0,VLOOKUP(_1_541284561214624104645789101745678[[#This Row],[Type]],Main[[#All],[TYPE]:[UNIT]],'Unit Price'!C$1,FALSE),0)</f>
        <v>0</v>
      </c>
      <c r="H264" s="197">
        <f>IF(_1_541284561214624104645789101745678[[#This Row],[Type]]&gt;0,VLOOKUP(_1_541284561214624104645789101745678[[#This Row],[Type]],Main[[#All],[TYPE]:[UNIT]],'Unit Price'!D$1,FALSE),0)</f>
        <v>0</v>
      </c>
      <c r="I264" s="194">
        <f>IF(_1_541284561214624104645789101745678[[#This Row],[Type]]&gt;0,VLOOKUP(_1_541284561214624104645789101745678[[#This Row],[Type]],Main[[#All],[TYPE]:[UNIT]],'Unit Price'!G$1,FALSE),0)</f>
        <v>0</v>
      </c>
      <c r="J264" s="194">
        <f>IF(_1_541284561214624104645789101745678[[#This Row],[Type]]&gt;0,VLOOKUP(_1_541284561214624104645789101745678[[#This Row],[Type]],Main[[#All],[TYPE]:[UNIT]],'Unit Price'!H$1,FALSE),0)</f>
        <v>0</v>
      </c>
      <c r="K264" s="194">
        <f>IF(_1_541284561214624104645789101745678[[#This Row],[Discount selection]]&gt;0,VLOOKUP(_1_541284561214624104645789101745678[[#This Row],[Discount selection]],'Discount Structure'!$A$2:$B$30,2,"false"),0)</f>
        <v>1</v>
      </c>
      <c r="L264" s="194">
        <f>_1_541284561214624104645789101745678[[#This Row],[LIST $]]*_1_541284561214624104645789101745678[[#This Row],[DISCOUNT]]*_1_541284561214624104645789101745678[[#This Row],[DISCOUNT 2]]</f>
        <v>0</v>
      </c>
      <c r="M264" s="194">
        <f>IF(OR(_1_541284561214624104645789101745678[[#This Row],[UNIT]]&gt;0,_1_541284561214624104645789101745678[[#This Row],[UNIT]]&lt;0),_1_541284561214624104645789101745678[[#This Row],[UNIT]]*_1_541284561214624104645789101745678[[#This Row],[COST]],0)</f>
        <v>0</v>
      </c>
      <c r="N264" s="194">
        <f t="shared" si="3"/>
        <v>1.3</v>
      </c>
      <c r="O264" s="198">
        <f>_1_541284561214624104645789101745678[[#This Row],[TOTAL]]*_1_541284561214624104645789101745678[[#This Row],[MARGIN]]</f>
        <v>0</v>
      </c>
      <c r="R264" s="41"/>
    </row>
    <row r="265" spans="1:18">
      <c r="C265" s="168"/>
      <c r="D265" s="188"/>
      <c r="F265" s="168" t="s">
        <v>6202</v>
      </c>
      <c r="G265" s="205">
        <f>IF(_1_541284561214624104645789101745678[[#This Row],[Type]]&gt;0,VLOOKUP(_1_541284561214624104645789101745678[[#This Row],[Type]],Main[[#All],[TYPE]:[UNIT]],'Unit Price'!C$1,FALSE),0)</f>
        <v>0</v>
      </c>
      <c r="H265" s="197">
        <f>IF(_1_541284561214624104645789101745678[[#This Row],[Type]]&gt;0,VLOOKUP(_1_541284561214624104645789101745678[[#This Row],[Type]],Main[[#All],[TYPE]:[UNIT]],'Unit Price'!D$1,FALSE),0)</f>
        <v>0</v>
      </c>
      <c r="I265" s="194">
        <f>IF(_1_541284561214624104645789101745678[[#This Row],[Type]]&gt;0,VLOOKUP(_1_541284561214624104645789101745678[[#This Row],[Type]],Main[[#All],[TYPE]:[UNIT]],'Unit Price'!G$1,FALSE),0)</f>
        <v>0</v>
      </c>
      <c r="J265" s="194">
        <f>IF(_1_541284561214624104645789101745678[[#This Row],[Type]]&gt;0,VLOOKUP(_1_541284561214624104645789101745678[[#This Row],[Type]],Main[[#All],[TYPE]:[UNIT]],'Unit Price'!H$1,FALSE),0)</f>
        <v>0</v>
      </c>
      <c r="K265" s="194">
        <f>IF(_1_541284561214624104645789101745678[[#This Row],[Discount selection]]&gt;0,VLOOKUP(_1_541284561214624104645789101745678[[#This Row],[Discount selection]],'Discount Structure'!$A$2:$B$30,2,"false"),0)</f>
        <v>1</v>
      </c>
      <c r="L265" s="194">
        <f>_1_541284561214624104645789101745678[[#This Row],[LIST $]]*_1_541284561214624104645789101745678[[#This Row],[DISCOUNT]]*_1_541284561214624104645789101745678[[#This Row],[DISCOUNT 2]]</f>
        <v>0</v>
      </c>
      <c r="M265" s="194">
        <f>IF(OR(_1_541284561214624104645789101745678[[#This Row],[UNIT]]&gt;0,_1_541284561214624104645789101745678[[#This Row],[UNIT]]&lt;0),_1_541284561214624104645789101745678[[#This Row],[UNIT]]*_1_541284561214624104645789101745678[[#This Row],[COST]],0)</f>
        <v>0</v>
      </c>
      <c r="N265" s="194">
        <f t="shared" si="3"/>
        <v>1.3</v>
      </c>
      <c r="O265" s="198">
        <f>_1_541284561214624104645789101745678[[#This Row],[TOTAL]]*_1_541284561214624104645789101745678[[#This Row],[MARGIN]]</f>
        <v>0</v>
      </c>
      <c r="R265" s="41"/>
    </row>
    <row r="266" spans="1:18">
      <c r="A266" s="168"/>
      <c r="B266" s="168"/>
      <c r="C266" s="168"/>
      <c r="D266" s="188"/>
      <c r="F266" s="168" t="s">
        <v>6202</v>
      </c>
      <c r="G266" s="193">
        <f>IF(_1_541284561214624104645789101745678[[#This Row],[Type]]&gt;0,VLOOKUP(_1_541284561214624104645789101745678[[#This Row],[Type]],Main[[#All],[TYPE]:[UNIT]],'Unit Price'!C$1,FALSE),0)</f>
        <v>0</v>
      </c>
      <c r="H266" s="197">
        <f>IF(_1_541284561214624104645789101745678[[#This Row],[Type]]&gt;0,VLOOKUP(_1_541284561214624104645789101745678[[#This Row],[Type]],Main[[#All],[TYPE]:[UNIT]],'Unit Price'!D$1,FALSE),0)</f>
        <v>0</v>
      </c>
      <c r="I266" s="194">
        <f>IF(_1_541284561214624104645789101745678[[#This Row],[Type]]&gt;0,VLOOKUP(_1_541284561214624104645789101745678[[#This Row],[Type]],Main[[#All],[TYPE]:[UNIT]],'Unit Price'!G$1,FALSE),0)</f>
        <v>0</v>
      </c>
      <c r="J266" s="194">
        <f>IF(_1_541284561214624104645789101745678[[#This Row],[Type]]&gt;0,VLOOKUP(_1_541284561214624104645789101745678[[#This Row],[Type]],Main[[#All],[TYPE]:[UNIT]],'Unit Price'!H$1,FALSE),0)</f>
        <v>0</v>
      </c>
      <c r="K266" s="194">
        <f>IF(_1_541284561214624104645789101745678[[#This Row],[Discount selection]]&gt;0,VLOOKUP(_1_541284561214624104645789101745678[[#This Row],[Discount selection]],'Discount Structure'!$A$2:$B$30,2,"false"),0)</f>
        <v>1</v>
      </c>
      <c r="L266" s="194">
        <f>_1_541284561214624104645789101745678[[#This Row],[LIST $]]*_1_541284561214624104645789101745678[[#This Row],[DISCOUNT]]*_1_541284561214624104645789101745678[[#This Row],[DISCOUNT 2]]</f>
        <v>0</v>
      </c>
      <c r="M266" s="194">
        <f>IF(OR(_1_541284561214624104645789101745678[[#This Row],[UNIT]]&gt;0,_1_541284561214624104645789101745678[[#This Row],[UNIT]]&lt;0),_1_541284561214624104645789101745678[[#This Row],[UNIT]]*_1_541284561214624104645789101745678[[#This Row],[COST]],0)</f>
        <v>0</v>
      </c>
      <c r="N266" s="194">
        <f t="shared" ref="N266:N329" si="4">$N$7</f>
        <v>1.3</v>
      </c>
      <c r="O266" s="198">
        <f>_1_541284561214624104645789101745678[[#This Row],[TOTAL]]*_1_541284561214624104645789101745678[[#This Row],[MARGIN]]</f>
        <v>0</v>
      </c>
      <c r="R266" s="41"/>
    </row>
    <row r="267" spans="1:18">
      <c r="A267" s="323"/>
      <c r="B267" s="323"/>
      <c r="C267" s="168"/>
      <c r="D267" s="188"/>
      <c r="F267" s="168" t="s">
        <v>6202</v>
      </c>
      <c r="G267" s="193">
        <f>IF(_1_541284561214624104645789101745678[[#This Row],[Type]]&gt;0,VLOOKUP(_1_541284561214624104645789101745678[[#This Row],[Type]],Main[[#All],[TYPE]:[UNIT]],'Unit Price'!C$1,FALSE),0)</f>
        <v>0</v>
      </c>
      <c r="H267" s="197">
        <f>IF(_1_541284561214624104645789101745678[[#This Row],[Type]]&gt;0,VLOOKUP(_1_541284561214624104645789101745678[[#This Row],[Type]],Main[[#All],[TYPE]:[UNIT]],'Unit Price'!D$1,FALSE),0)</f>
        <v>0</v>
      </c>
      <c r="I267" s="194">
        <f>IF(_1_541284561214624104645789101745678[[#This Row],[Type]]&gt;0,VLOOKUP(_1_541284561214624104645789101745678[[#This Row],[Type]],Main[[#All],[TYPE]:[UNIT]],'Unit Price'!G$1,FALSE),0)</f>
        <v>0</v>
      </c>
      <c r="J267" s="194">
        <f>IF(_1_541284561214624104645789101745678[[#This Row],[Type]]&gt;0,VLOOKUP(_1_541284561214624104645789101745678[[#This Row],[Type]],Main[[#All],[TYPE]:[UNIT]],'Unit Price'!H$1,FALSE),0)</f>
        <v>0</v>
      </c>
      <c r="K267" s="194">
        <f>IF(_1_541284561214624104645789101745678[[#This Row],[Discount selection]]&gt;0,VLOOKUP(_1_541284561214624104645789101745678[[#This Row],[Discount selection]],'Discount Structure'!$A$2:$B$30,2,"false"),0)</f>
        <v>1</v>
      </c>
      <c r="L267" s="194">
        <f>_1_541284561214624104645789101745678[[#This Row],[LIST $]]*_1_541284561214624104645789101745678[[#This Row],[DISCOUNT]]*_1_541284561214624104645789101745678[[#This Row],[DISCOUNT 2]]</f>
        <v>0</v>
      </c>
      <c r="M267" s="194">
        <f>IF(OR(_1_541284561214624104645789101745678[[#This Row],[UNIT]]&gt;0,_1_541284561214624104645789101745678[[#This Row],[UNIT]]&lt;0),_1_541284561214624104645789101745678[[#This Row],[UNIT]]*_1_541284561214624104645789101745678[[#This Row],[COST]],0)</f>
        <v>0</v>
      </c>
      <c r="N267" s="194">
        <f t="shared" si="4"/>
        <v>1.3</v>
      </c>
      <c r="O267" s="198">
        <f>_1_541284561214624104645789101745678[[#This Row],[TOTAL]]*_1_541284561214624104645789101745678[[#This Row],[MARGIN]]</f>
        <v>0</v>
      </c>
      <c r="R267" s="41"/>
    </row>
    <row r="268" spans="1:18">
      <c r="A268" s="323"/>
      <c r="B268" s="325"/>
      <c r="C268" s="168"/>
      <c r="D268" s="188"/>
      <c r="F268" s="168" t="s">
        <v>6202</v>
      </c>
      <c r="G268" s="193">
        <f>IF(_1_541284561214624104645789101745678[[#This Row],[Type]]&gt;0,VLOOKUP(_1_541284561214624104645789101745678[[#This Row],[Type]],Main[[#All],[TYPE]:[UNIT]],'Unit Price'!C$1,FALSE),0)</f>
        <v>0</v>
      </c>
      <c r="H268" s="197">
        <f>IF(_1_541284561214624104645789101745678[[#This Row],[Type]]&gt;0,VLOOKUP(_1_541284561214624104645789101745678[[#This Row],[Type]],Main[[#All],[TYPE]:[UNIT]],'Unit Price'!D$1,FALSE),0)</f>
        <v>0</v>
      </c>
      <c r="I268" s="194">
        <f>IF(_1_541284561214624104645789101745678[[#This Row],[Type]]&gt;0,VLOOKUP(_1_541284561214624104645789101745678[[#This Row],[Type]],Main[[#All],[TYPE]:[UNIT]],'Unit Price'!G$1,FALSE),0)</f>
        <v>0</v>
      </c>
      <c r="J268" s="194">
        <f>IF(_1_541284561214624104645789101745678[[#This Row],[Type]]&gt;0,VLOOKUP(_1_541284561214624104645789101745678[[#This Row],[Type]],Main[[#All],[TYPE]:[UNIT]],'Unit Price'!H$1,FALSE),0)</f>
        <v>0</v>
      </c>
      <c r="K268" s="194">
        <f>IF(_1_541284561214624104645789101745678[[#This Row],[Discount selection]]&gt;0,VLOOKUP(_1_541284561214624104645789101745678[[#This Row],[Discount selection]],'Discount Structure'!$A$2:$B$30,2,"false"),0)</f>
        <v>1</v>
      </c>
      <c r="L268" s="194">
        <f>_1_541284561214624104645789101745678[[#This Row],[LIST $]]*_1_541284561214624104645789101745678[[#This Row],[DISCOUNT]]*_1_541284561214624104645789101745678[[#This Row],[DISCOUNT 2]]</f>
        <v>0</v>
      </c>
      <c r="M268" s="194">
        <f>IF(OR(_1_541284561214624104645789101745678[[#This Row],[UNIT]]&gt;0,_1_541284561214624104645789101745678[[#This Row],[UNIT]]&lt;0),_1_541284561214624104645789101745678[[#This Row],[UNIT]]*_1_541284561214624104645789101745678[[#This Row],[COST]],0)</f>
        <v>0</v>
      </c>
      <c r="N268" s="194">
        <f t="shared" si="4"/>
        <v>1.3</v>
      </c>
      <c r="O268" s="198">
        <f>_1_541284561214624104645789101745678[[#This Row],[TOTAL]]*_1_541284561214624104645789101745678[[#This Row],[MARGIN]]</f>
        <v>0</v>
      </c>
      <c r="R268" s="41"/>
    </row>
    <row r="269" spans="1:18">
      <c r="C269" s="168"/>
      <c r="D269" s="188"/>
      <c r="F269" s="168" t="s">
        <v>6202</v>
      </c>
      <c r="G269" s="193">
        <f>IF(_1_541284561214624104645789101745678[[#This Row],[Type]]&gt;0,VLOOKUP(_1_541284561214624104645789101745678[[#This Row],[Type]],Main[[#All],[TYPE]:[UNIT]],'Unit Price'!C$1,FALSE),0)</f>
        <v>0</v>
      </c>
      <c r="H269" s="197">
        <f>IF(_1_541284561214624104645789101745678[[#This Row],[Type]]&gt;0,VLOOKUP(_1_541284561214624104645789101745678[[#This Row],[Type]],Main[[#All],[TYPE]:[UNIT]],'Unit Price'!D$1,FALSE),0)</f>
        <v>0</v>
      </c>
      <c r="I269" s="194">
        <f>IF(_1_541284561214624104645789101745678[[#This Row],[Type]]&gt;0,VLOOKUP(_1_541284561214624104645789101745678[[#This Row],[Type]],Main[[#All],[TYPE]:[UNIT]],'Unit Price'!G$1,FALSE),0)</f>
        <v>0</v>
      </c>
      <c r="J269" s="194">
        <f>IF(_1_541284561214624104645789101745678[[#This Row],[Type]]&gt;0,VLOOKUP(_1_541284561214624104645789101745678[[#This Row],[Type]],Main[[#All],[TYPE]:[UNIT]],'Unit Price'!H$1,FALSE),0)</f>
        <v>0</v>
      </c>
      <c r="K269" s="194">
        <f>IF(_1_541284561214624104645789101745678[[#This Row],[Discount selection]]&gt;0,VLOOKUP(_1_541284561214624104645789101745678[[#This Row],[Discount selection]],'Discount Structure'!$A$2:$B$30,2,"false"),0)</f>
        <v>1</v>
      </c>
      <c r="L269" s="194">
        <f>_1_541284561214624104645789101745678[[#This Row],[LIST $]]*_1_541284561214624104645789101745678[[#This Row],[DISCOUNT]]*_1_541284561214624104645789101745678[[#This Row],[DISCOUNT 2]]</f>
        <v>0</v>
      </c>
      <c r="M269" s="194">
        <f>IF(OR(_1_541284561214624104645789101745678[[#This Row],[UNIT]]&gt;0,_1_541284561214624104645789101745678[[#This Row],[UNIT]]&lt;0),_1_541284561214624104645789101745678[[#This Row],[UNIT]]*_1_541284561214624104645789101745678[[#This Row],[COST]],0)</f>
        <v>0</v>
      </c>
      <c r="N269" s="194">
        <f t="shared" si="4"/>
        <v>1.3</v>
      </c>
      <c r="O269" s="198">
        <f>_1_541284561214624104645789101745678[[#This Row],[TOTAL]]*_1_541284561214624104645789101745678[[#This Row],[MARGIN]]</f>
        <v>0</v>
      </c>
      <c r="R269" s="41"/>
    </row>
    <row r="270" spans="1:18">
      <c r="C270" s="168"/>
      <c r="D270" s="188"/>
      <c r="F270" s="168" t="s">
        <v>6202</v>
      </c>
      <c r="G270" s="193">
        <f>IF(_1_541284561214624104645789101745678[[#This Row],[Type]]&gt;0,VLOOKUP(_1_541284561214624104645789101745678[[#This Row],[Type]],Main[[#All],[TYPE]:[UNIT]],'Unit Price'!C$1,FALSE),0)</f>
        <v>0</v>
      </c>
      <c r="H270" s="197">
        <f>IF(_1_541284561214624104645789101745678[[#This Row],[Type]]&gt;0,VLOOKUP(_1_541284561214624104645789101745678[[#This Row],[Type]],Main[[#All],[TYPE]:[UNIT]],'Unit Price'!D$1,FALSE),0)</f>
        <v>0</v>
      </c>
      <c r="I270" s="194">
        <f>IF(_1_541284561214624104645789101745678[[#This Row],[Type]]&gt;0,VLOOKUP(_1_541284561214624104645789101745678[[#This Row],[Type]],Main[[#All],[TYPE]:[UNIT]],'Unit Price'!G$1,FALSE),0)</f>
        <v>0</v>
      </c>
      <c r="J270" s="194">
        <f>IF(_1_541284561214624104645789101745678[[#This Row],[Type]]&gt;0,VLOOKUP(_1_541284561214624104645789101745678[[#This Row],[Type]],Main[[#All],[TYPE]:[UNIT]],'Unit Price'!H$1,FALSE),0)</f>
        <v>0</v>
      </c>
      <c r="K270" s="194">
        <f>IF(_1_541284561214624104645789101745678[[#This Row],[Discount selection]]&gt;0,VLOOKUP(_1_541284561214624104645789101745678[[#This Row],[Discount selection]],'Discount Structure'!$A$2:$B$30,2,"false"),0)</f>
        <v>1</v>
      </c>
      <c r="L270" s="194">
        <f>_1_541284561214624104645789101745678[[#This Row],[LIST $]]*_1_541284561214624104645789101745678[[#This Row],[DISCOUNT]]*_1_541284561214624104645789101745678[[#This Row],[DISCOUNT 2]]</f>
        <v>0</v>
      </c>
      <c r="M270" s="194">
        <f>IF(OR(_1_541284561214624104645789101745678[[#This Row],[UNIT]]&gt;0,_1_541284561214624104645789101745678[[#This Row],[UNIT]]&lt;0),_1_541284561214624104645789101745678[[#This Row],[UNIT]]*_1_541284561214624104645789101745678[[#This Row],[COST]],0)</f>
        <v>0</v>
      </c>
      <c r="N270" s="194">
        <f t="shared" si="4"/>
        <v>1.3</v>
      </c>
      <c r="O270" s="198">
        <f>_1_541284561214624104645789101745678[[#This Row],[TOTAL]]*_1_541284561214624104645789101745678[[#This Row],[MARGIN]]</f>
        <v>0</v>
      </c>
      <c r="R270" s="41"/>
    </row>
    <row r="271" spans="1:18">
      <c r="A271" s="323"/>
      <c r="B271" s="323"/>
      <c r="C271" s="168"/>
      <c r="D271" s="188"/>
      <c r="F271" s="168" t="s">
        <v>6202</v>
      </c>
      <c r="G271" s="205">
        <f>IF(_1_541284561214624104645789101745678[[#This Row],[Type]]&gt;0,VLOOKUP(_1_541284561214624104645789101745678[[#This Row],[Type]],Main[[#All],[TYPE]:[UNIT]],'Unit Price'!C$1,FALSE),0)</f>
        <v>0</v>
      </c>
      <c r="H271" s="197">
        <f>IF(_1_541284561214624104645789101745678[[#This Row],[Type]]&gt;0,VLOOKUP(_1_541284561214624104645789101745678[[#This Row],[Type]],Main[[#All],[TYPE]:[UNIT]],'Unit Price'!D$1,FALSE),0)</f>
        <v>0</v>
      </c>
      <c r="I271" s="194">
        <f>IF(_1_541284561214624104645789101745678[[#This Row],[Type]]&gt;0,VLOOKUP(_1_541284561214624104645789101745678[[#This Row],[Type]],Main[[#All],[TYPE]:[UNIT]],'Unit Price'!G$1,FALSE),0)</f>
        <v>0</v>
      </c>
      <c r="J271" s="194">
        <f>IF(_1_541284561214624104645789101745678[[#This Row],[Type]]&gt;0,VLOOKUP(_1_541284561214624104645789101745678[[#This Row],[Type]],Main[[#All],[TYPE]:[UNIT]],'Unit Price'!H$1,FALSE),0)</f>
        <v>0</v>
      </c>
      <c r="K271" s="194">
        <f>IF(_1_541284561214624104645789101745678[[#This Row],[Discount selection]]&gt;0,VLOOKUP(_1_541284561214624104645789101745678[[#This Row],[Discount selection]],'Discount Structure'!$A$2:$B$30,2,"false"),0)</f>
        <v>1</v>
      </c>
      <c r="L271" s="194">
        <f>_1_541284561214624104645789101745678[[#This Row],[LIST $]]*_1_541284561214624104645789101745678[[#This Row],[DISCOUNT]]*_1_541284561214624104645789101745678[[#This Row],[DISCOUNT 2]]</f>
        <v>0</v>
      </c>
      <c r="M271" s="194">
        <f>IF(OR(_1_541284561214624104645789101745678[[#This Row],[UNIT]]&gt;0,_1_541284561214624104645789101745678[[#This Row],[UNIT]]&lt;0),_1_541284561214624104645789101745678[[#This Row],[UNIT]]*_1_541284561214624104645789101745678[[#This Row],[COST]],0)</f>
        <v>0</v>
      </c>
      <c r="N271" s="194">
        <f t="shared" si="4"/>
        <v>1.3</v>
      </c>
      <c r="O271" s="198">
        <f>_1_541284561214624104645789101745678[[#This Row],[TOTAL]]*_1_541284561214624104645789101745678[[#This Row],[MARGIN]]</f>
        <v>0</v>
      </c>
      <c r="R271" s="41"/>
    </row>
    <row r="272" spans="1:18">
      <c r="C272" s="168"/>
      <c r="D272" s="188"/>
      <c r="F272" s="168" t="s">
        <v>6202</v>
      </c>
      <c r="G272" s="193">
        <f>IF(_1_541284561214624104645789101745678[[#This Row],[Type]]&gt;0,VLOOKUP(_1_541284561214624104645789101745678[[#This Row],[Type]],Main[[#All],[TYPE]:[UNIT]],'Unit Price'!C$1,FALSE),0)</f>
        <v>0</v>
      </c>
      <c r="H272" s="197">
        <f>IF(_1_541284561214624104645789101745678[[#This Row],[Type]]&gt;0,VLOOKUP(_1_541284561214624104645789101745678[[#This Row],[Type]],Main[[#All],[TYPE]:[UNIT]],'Unit Price'!D$1,FALSE),0)</f>
        <v>0</v>
      </c>
      <c r="I272" s="194">
        <f>IF(_1_541284561214624104645789101745678[[#This Row],[Type]]&gt;0,VLOOKUP(_1_541284561214624104645789101745678[[#This Row],[Type]],Main[[#All],[TYPE]:[UNIT]],'Unit Price'!G$1,FALSE),0)</f>
        <v>0</v>
      </c>
      <c r="J272" s="194">
        <f>IF(_1_541284561214624104645789101745678[[#This Row],[Type]]&gt;0,VLOOKUP(_1_541284561214624104645789101745678[[#This Row],[Type]],Main[[#All],[TYPE]:[UNIT]],'Unit Price'!H$1,FALSE),0)</f>
        <v>0</v>
      </c>
      <c r="K272" s="194">
        <f>IF(_1_541284561214624104645789101745678[[#This Row],[Discount selection]]&gt;0,VLOOKUP(_1_541284561214624104645789101745678[[#This Row],[Discount selection]],'Discount Structure'!$A$2:$B$30,2,"false"),0)</f>
        <v>1</v>
      </c>
      <c r="L272" s="194">
        <f>_1_541284561214624104645789101745678[[#This Row],[LIST $]]*_1_541284561214624104645789101745678[[#This Row],[DISCOUNT]]*_1_541284561214624104645789101745678[[#This Row],[DISCOUNT 2]]</f>
        <v>0</v>
      </c>
      <c r="M272" s="194">
        <f>IF(OR(_1_541284561214624104645789101745678[[#This Row],[UNIT]]&gt;0,_1_541284561214624104645789101745678[[#This Row],[UNIT]]&lt;0),_1_541284561214624104645789101745678[[#This Row],[UNIT]]*_1_541284561214624104645789101745678[[#This Row],[COST]],0)</f>
        <v>0</v>
      </c>
      <c r="N272" s="194">
        <f t="shared" si="4"/>
        <v>1.3</v>
      </c>
      <c r="O272" s="198">
        <f>_1_541284561214624104645789101745678[[#This Row],[TOTAL]]*_1_541284561214624104645789101745678[[#This Row],[MARGIN]]</f>
        <v>0</v>
      </c>
      <c r="R272" s="41"/>
    </row>
    <row r="273" spans="1:18">
      <c r="A273" s="168"/>
      <c r="B273" s="168"/>
      <c r="C273" s="168"/>
      <c r="D273" s="188"/>
      <c r="F273" s="168" t="s">
        <v>6202</v>
      </c>
      <c r="G273" s="193">
        <f>IF(_1_541284561214624104645789101745678[[#This Row],[Type]]&gt;0,VLOOKUP(_1_541284561214624104645789101745678[[#This Row],[Type]],Main[[#All],[TYPE]:[UNIT]],'Unit Price'!C$1,FALSE),0)</f>
        <v>0</v>
      </c>
      <c r="H273" s="197">
        <f>IF(_1_541284561214624104645789101745678[[#This Row],[Type]]&gt;0,VLOOKUP(_1_541284561214624104645789101745678[[#This Row],[Type]],Main[[#All],[TYPE]:[UNIT]],'Unit Price'!D$1,FALSE),0)</f>
        <v>0</v>
      </c>
      <c r="I273" s="194">
        <f>IF(_1_541284561214624104645789101745678[[#This Row],[Type]]&gt;0,VLOOKUP(_1_541284561214624104645789101745678[[#This Row],[Type]],Main[[#All],[TYPE]:[UNIT]],'Unit Price'!G$1,FALSE),0)</f>
        <v>0</v>
      </c>
      <c r="J273" s="194">
        <f>IF(_1_541284561214624104645789101745678[[#This Row],[Type]]&gt;0,VLOOKUP(_1_541284561214624104645789101745678[[#This Row],[Type]],Main[[#All],[TYPE]:[UNIT]],'Unit Price'!H$1,FALSE),0)</f>
        <v>0</v>
      </c>
      <c r="K273" s="194">
        <f>IF(_1_541284561214624104645789101745678[[#This Row],[Discount selection]]&gt;0,VLOOKUP(_1_541284561214624104645789101745678[[#This Row],[Discount selection]],'Discount Structure'!$A$2:$B$30,2,"false"),0)</f>
        <v>1</v>
      </c>
      <c r="L273" s="194">
        <f>_1_541284561214624104645789101745678[[#This Row],[LIST $]]*_1_541284561214624104645789101745678[[#This Row],[DISCOUNT]]*_1_541284561214624104645789101745678[[#This Row],[DISCOUNT 2]]</f>
        <v>0</v>
      </c>
      <c r="M273" s="194">
        <f>IF(OR(_1_541284561214624104645789101745678[[#This Row],[UNIT]]&gt;0,_1_541284561214624104645789101745678[[#This Row],[UNIT]]&lt;0),_1_541284561214624104645789101745678[[#This Row],[UNIT]]*_1_541284561214624104645789101745678[[#This Row],[COST]],0)</f>
        <v>0</v>
      </c>
      <c r="N273" s="194">
        <f t="shared" si="4"/>
        <v>1.3</v>
      </c>
      <c r="O273" s="198">
        <f>_1_541284561214624104645789101745678[[#This Row],[TOTAL]]*_1_541284561214624104645789101745678[[#This Row],[MARGIN]]</f>
        <v>0</v>
      </c>
      <c r="R273" s="41"/>
    </row>
    <row r="274" spans="1:18">
      <c r="C274" s="168"/>
      <c r="D274" s="188"/>
      <c r="F274" s="168" t="s">
        <v>6202</v>
      </c>
      <c r="G274" s="193">
        <f>IF(_1_541284561214624104645789101745678[[#This Row],[Type]]&gt;0,VLOOKUP(_1_541284561214624104645789101745678[[#This Row],[Type]],Main[[#All],[TYPE]:[UNIT]],'Unit Price'!C$1,FALSE),0)</f>
        <v>0</v>
      </c>
      <c r="H274" s="197">
        <f>IF(_1_541284561214624104645789101745678[[#This Row],[Type]]&gt;0,VLOOKUP(_1_541284561214624104645789101745678[[#This Row],[Type]],Main[[#All],[TYPE]:[UNIT]],'Unit Price'!D$1,FALSE),0)</f>
        <v>0</v>
      </c>
      <c r="I274" s="194">
        <f>IF(_1_541284561214624104645789101745678[[#This Row],[Type]]&gt;0,VLOOKUP(_1_541284561214624104645789101745678[[#This Row],[Type]],Main[[#All],[TYPE]:[UNIT]],'Unit Price'!G$1,FALSE),0)</f>
        <v>0</v>
      </c>
      <c r="J274" s="194">
        <f>IF(_1_541284561214624104645789101745678[[#This Row],[Type]]&gt;0,VLOOKUP(_1_541284561214624104645789101745678[[#This Row],[Type]],Main[[#All],[TYPE]:[UNIT]],'Unit Price'!H$1,FALSE),0)</f>
        <v>0</v>
      </c>
      <c r="K274" s="194">
        <f>IF(_1_541284561214624104645789101745678[[#This Row],[Discount selection]]&gt;0,VLOOKUP(_1_541284561214624104645789101745678[[#This Row],[Discount selection]],'Discount Structure'!$A$2:$B$30,2,"false"),0)</f>
        <v>1</v>
      </c>
      <c r="L274" s="194">
        <f>_1_541284561214624104645789101745678[[#This Row],[LIST $]]*_1_541284561214624104645789101745678[[#This Row],[DISCOUNT]]*_1_541284561214624104645789101745678[[#This Row],[DISCOUNT 2]]</f>
        <v>0</v>
      </c>
      <c r="M274" s="194">
        <f>IF(OR(_1_541284561214624104645789101745678[[#This Row],[UNIT]]&gt;0,_1_541284561214624104645789101745678[[#This Row],[UNIT]]&lt;0),_1_541284561214624104645789101745678[[#This Row],[UNIT]]*_1_541284561214624104645789101745678[[#This Row],[COST]],0)</f>
        <v>0</v>
      </c>
      <c r="N274" s="194">
        <f t="shared" si="4"/>
        <v>1.3</v>
      </c>
      <c r="O274" s="198">
        <f>_1_541284561214624104645789101745678[[#This Row],[TOTAL]]*_1_541284561214624104645789101745678[[#This Row],[MARGIN]]</f>
        <v>0</v>
      </c>
      <c r="R274" s="41"/>
    </row>
    <row r="275" spans="1:18">
      <c r="A275" s="323"/>
      <c r="B275" s="317"/>
      <c r="C275" s="168"/>
      <c r="D275" s="188"/>
      <c r="F275" s="168" t="s">
        <v>6202</v>
      </c>
      <c r="G275" s="193">
        <f>IF(_1_541284561214624104645789101745678[[#This Row],[Type]]&gt;0,VLOOKUP(_1_541284561214624104645789101745678[[#This Row],[Type]],Main[[#All],[TYPE]:[UNIT]],'Unit Price'!C$1,FALSE),0)</f>
        <v>0</v>
      </c>
      <c r="H275" s="197">
        <f>IF(_1_541284561214624104645789101745678[[#This Row],[Type]]&gt;0,VLOOKUP(_1_541284561214624104645789101745678[[#This Row],[Type]],Main[[#All],[TYPE]:[UNIT]],'Unit Price'!D$1,FALSE),0)</f>
        <v>0</v>
      </c>
      <c r="I275" s="194">
        <f>IF(_1_541284561214624104645789101745678[[#This Row],[Type]]&gt;0,VLOOKUP(_1_541284561214624104645789101745678[[#This Row],[Type]],Main[[#All],[TYPE]:[UNIT]],'Unit Price'!G$1,FALSE),0)</f>
        <v>0</v>
      </c>
      <c r="J275" s="194">
        <f>IF(_1_541284561214624104645789101745678[[#This Row],[Type]]&gt;0,VLOOKUP(_1_541284561214624104645789101745678[[#This Row],[Type]],Main[[#All],[TYPE]:[UNIT]],'Unit Price'!H$1,FALSE),0)</f>
        <v>0</v>
      </c>
      <c r="K275" s="194">
        <f>IF(_1_541284561214624104645789101745678[[#This Row],[Discount selection]]&gt;0,VLOOKUP(_1_541284561214624104645789101745678[[#This Row],[Discount selection]],'Discount Structure'!$A$2:$B$30,2,"false"),0)</f>
        <v>1</v>
      </c>
      <c r="L275" s="194">
        <f>_1_541284561214624104645789101745678[[#This Row],[LIST $]]*_1_541284561214624104645789101745678[[#This Row],[DISCOUNT]]*_1_541284561214624104645789101745678[[#This Row],[DISCOUNT 2]]</f>
        <v>0</v>
      </c>
      <c r="M275" s="194">
        <f>IF(OR(_1_541284561214624104645789101745678[[#This Row],[UNIT]]&gt;0,_1_541284561214624104645789101745678[[#This Row],[UNIT]]&lt;0),_1_541284561214624104645789101745678[[#This Row],[UNIT]]*_1_541284561214624104645789101745678[[#This Row],[COST]],0)</f>
        <v>0</v>
      </c>
      <c r="N275" s="194">
        <f t="shared" si="4"/>
        <v>1.3</v>
      </c>
      <c r="O275" s="198">
        <f>_1_541284561214624104645789101745678[[#This Row],[TOTAL]]*_1_541284561214624104645789101745678[[#This Row],[MARGIN]]</f>
        <v>0</v>
      </c>
      <c r="R275" s="41"/>
    </row>
    <row r="276" spans="1:18">
      <c r="C276" s="168"/>
      <c r="D276" s="188"/>
      <c r="F276" s="168" t="s">
        <v>6202</v>
      </c>
      <c r="G276" s="205">
        <f>IF(_1_541284561214624104645789101745678[[#This Row],[Type]]&gt;0,VLOOKUP(_1_541284561214624104645789101745678[[#This Row],[Type]],Main[[#All],[TYPE]:[UNIT]],'Unit Price'!C$1,FALSE),0)</f>
        <v>0</v>
      </c>
      <c r="H276" s="197">
        <f>IF(_1_541284561214624104645789101745678[[#This Row],[Type]]&gt;0,VLOOKUP(_1_541284561214624104645789101745678[[#This Row],[Type]],Main[[#All],[TYPE]:[UNIT]],'Unit Price'!D$1,FALSE),0)</f>
        <v>0</v>
      </c>
      <c r="I276" s="194">
        <f>IF(_1_541284561214624104645789101745678[[#This Row],[Type]]&gt;0,VLOOKUP(_1_541284561214624104645789101745678[[#This Row],[Type]],Main[[#All],[TYPE]:[UNIT]],'Unit Price'!G$1,FALSE),0)</f>
        <v>0</v>
      </c>
      <c r="J276" s="194">
        <f>IF(_1_541284561214624104645789101745678[[#This Row],[Type]]&gt;0,VLOOKUP(_1_541284561214624104645789101745678[[#This Row],[Type]],Main[[#All],[TYPE]:[UNIT]],'Unit Price'!H$1,FALSE),0)</f>
        <v>0</v>
      </c>
      <c r="K276" s="194">
        <f>IF(_1_541284561214624104645789101745678[[#This Row],[Discount selection]]&gt;0,VLOOKUP(_1_541284561214624104645789101745678[[#This Row],[Discount selection]],'Discount Structure'!$A$2:$B$30,2,"false"),0)</f>
        <v>1</v>
      </c>
      <c r="L276" s="194">
        <f>_1_541284561214624104645789101745678[[#This Row],[LIST $]]*_1_541284561214624104645789101745678[[#This Row],[DISCOUNT]]*_1_541284561214624104645789101745678[[#This Row],[DISCOUNT 2]]</f>
        <v>0</v>
      </c>
      <c r="M276" s="194">
        <f>IF(OR(_1_541284561214624104645789101745678[[#This Row],[UNIT]]&gt;0,_1_541284561214624104645789101745678[[#This Row],[UNIT]]&lt;0),_1_541284561214624104645789101745678[[#This Row],[UNIT]]*_1_541284561214624104645789101745678[[#This Row],[COST]],0)</f>
        <v>0</v>
      </c>
      <c r="N276" s="194">
        <f t="shared" si="4"/>
        <v>1.3</v>
      </c>
      <c r="O276" s="198">
        <f>_1_541284561214624104645789101745678[[#This Row],[TOTAL]]*_1_541284561214624104645789101745678[[#This Row],[MARGIN]]</f>
        <v>0</v>
      </c>
      <c r="R276" s="41"/>
    </row>
    <row r="277" spans="1:18">
      <c r="C277" s="168"/>
      <c r="D277" s="188"/>
      <c r="F277" s="168" t="s">
        <v>6202</v>
      </c>
      <c r="G277" s="193">
        <f>IF(_1_541284561214624104645789101745678[[#This Row],[Type]]&gt;0,VLOOKUP(_1_541284561214624104645789101745678[[#This Row],[Type]],Main[[#All],[TYPE]:[UNIT]],'Unit Price'!C$1,FALSE),0)</f>
        <v>0</v>
      </c>
      <c r="H277" s="197">
        <f>IF(_1_541284561214624104645789101745678[[#This Row],[Type]]&gt;0,VLOOKUP(_1_541284561214624104645789101745678[[#This Row],[Type]],Main[[#All],[TYPE]:[UNIT]],'Unit Price'!D$1,FALSE),0)</f>
        <v>0</v>
      </c>
      <c r="I277" s="194">
        <f>IF(_1_541284561214624104645789101745678[[#This Row],[Type]]&gt;0,VLOOKUP(_1_541284561214624104645789101745678[[#This Row],[Type]],Main[[#All],[TYPE]:[UNIT]],'Unit Price'!G$1,FALSE),0)</f>
        <v>0</v>
      </c>
      <c r="J277" s="194">
        <f>IF(_1_541284561214624104645789101745678[[#This Row],[Type]]&gt;0,VLOOKUP(_1_541284561214624104645789101745678[[#This Row],[Type]],Main[[#All],[TYPE]:[UNIT]],'Unit Price'!H$1,FALSE),0)</f>
        <v>0</v>
      </c>
      <c r="K277" s="194">
        <f>IF(_1_541284561214624104645789101745678[[#This Row],[Discount selection]]&gt;0,VLOOKUP(_1_541284561214624104645789101745678[[#This Row],[Discount selection]],'Discount Structure'!$A$2:$B$30,2,"false"),0)</f>
        <v>1</v>
      </c>
      <c r="L277" s="194">
        <f>_1_541284561214624104645789101745678[[#This Row],[LIST $]]*_1_541284561214624104645789101745678[[#This Row],[DISCOUNT]]*_1_541284561214624104645789101745678[[#This Row],[DISCOUNT 2]]</f>
        <v>0</v>
      </c>
      <c r="M277" s="194">
        <f>IF(OR(_1_541284561214624104645789101745678[[#This Row],[UNIT]]&gt;0,_1_541284561214624104645789101745678[[#This Row],[UNIT]]&lt;0),_1_541284561214624104645789101745678[[#This Row],[UNIT]]*_1_541284561214624104645789101745678[[#This Row],[COST]],0)</f>
        <v>0</v>
      </c>
      <c r="N277" s="194">
        <f t="shared" si="4"/>
        <v>1.3</v>
      </c>
      <c r="O277" s="198">
        <f>_1_541284561214624104645789101745678[[#This Row],[TOTAL]]*_1_541284561214624104645789101745678[[#This Row],[MARGIN]]</f>
        <v>0</v>
      </c>
      <c r="R277" s="41"/>
    </row>
    <row r="278" spans="1:18">
      <c r="A278" s="319"/>
      <c r="B278" s="323"/>
      <c r="C278" s="168"/>
      <c r="D278" s="188"/>
      <c r="F278" s="168" t="s">
        <v>6202</v>
      </c>
      <c r="G278" s="193">
        <f>IF(_1_541284561214624104645789101745678[[#This Row],[Type]]&gt;0,VLOOKUP(_1_541284561214624104645789101745678[[#This Row],[Type]],Main[[#All],[TYPE]:[UNIT]],'Unit Price'!C$1,FALSE),0)</f>
        <v>0</v>
      </c>
      <c r="H278" s="197">
        <f>IF(_1_541284561214624104645789101745678[[#This Row],[Type]]&gt;0,VLOOKUP(_1_541284561214624104645789101745678[[#This Row],[Type]],Main[[#All],[TYPE]:[UNIT]],'Unit Price'!D$1,FALSE),0)</f>
        <v>0</v>
      </c>
      <c r="I278" s="194">
        <f>IF(_1_541284561214624104645789101745678[[#This Row],[Type]]&gt;0,VLOOKUP(_1_541284561214624104645789101745678[[#This Row],[Type]],Main[[#All],[TYPE]:[UNIT]],'Unit Price'!G$1,FALSE),0)</f>
        <v>0</v>
      </c>
      <c r="J278" s="194">
        <f>IF(_1_541284561214624104645789101745678[[#This Row],[Type]]&gt;0,VLOOKUP(_1_541284561214624104645789101745678[[#This Row],[Type]],Main[[#All],[TYPE]:[UNIT]],'Unit Price'!H$1,FALSE),0)</f>
        <v>0</v>
      </c>
      <c r="K278" s="194">
        <f>IF(_1_541284561214624104645789101745678[[#This Row],[Discount selection]]&gt;0,VLOOKUP(_1_541284561214624104645789101745678[[#This Row],[Discount selection]],'Discount Structure'!$A$2:$B$30,2,"false"),0)</f>
        <v>1</v>
      </c>
      <c r="L278" s="194">
        <f>_1_541284561214624104645789101745678[[#This Row],[LIST $]]*_1_541284561214624104645789101745678[[#This Row],[DISCOUNT]]*_1_541284561214624104645789101745678[[#This Row],[DISCOUNT 2]]</f>
        <v>0</v>
      </c>
      <c r="M278" s="194">
        <f>IF(OR(_1_541284561214624104645789101745678[[#This Row],[UNIT]]&gt;0,_1_541284561214624104645789101745678[[#This Row],[UNIT]]&lt;0),_1_541284561214624104645789101745678[[#This Row],[UNIT]]*_1_541284561214624104645789101745678[[#This Row],[COST]],0)</f>
        <v>0</v>
      </c>
      <c r="N278" s="194">
        <f t="shared" si="4"/>
        <v>1.3</v>
      </c>
      <c r="O278" s="198">
        <f>_1_541284561214624104645789101745678[[#This Row],[TOTAL]]*_1_541284561214624104645789101745678[[#This Row],[MARGIN]]</f>
        <v>0</v>
      </c>
      <c r="R278" s="41"/>
    </row>
    <row r="279" spans="1:18">
      <c r="C279" s="168"/>
      <c r="D279" s="188"/>
      <c r="F279" s="168" t="s">
        <v>6202</v>
      </c>
      <c r="G279" s="193">
        <f>IF(_1_541284561214624104645789101745678[[#This Row],[Type]]&gt;0,VLOOKUP(_1_541284561214624104645789101745678[[#This Row],[Type]],Main[[#All],[TYPE]:[UNIT]],'Unit Price'!C$1,FALSE),0)</f>
        <v>0</v>
      </c>
      <c r="H279" s="197">
        <f>IF(_1_541284561214624104645789101745678[[#This Row],[Type]]&gt;0,VLOOKUP(_1_541284561214624104645789101745678[[#This Row],[Type]],Main[[#All],[TYPE]:[UNIT]],'Unit Price'!D$1,FALSE),0)</f>
        <v>0</v>
      </c>
      <c r="I279" s="194">
        <f>IF(_1_541284561214624104645789101745678[[#This Row],[Type]]&gt;0,VLOOKUP(_1_541284561214624104645789101745678[[#This Row],[Type]],Main[[#All],[TYPE]:[UNIT]],'Unit Price'!G$1,FALSE),0)</f>
        <v>0</v>
      </c>
      <c r="J279" s="194">
        <f>IF(_1_541284561214624104645789101745678[[#This Row],[Type]]&gt;0,VLOOKUP(_1_541284561214624104645789101745678[[#This Row],[Type]],Main[[#All],[TYPE]:[UNIT]],'Unit Price'!H$1,FALSE),0)</f>
        <v>0</v>
      </c>
      <c r="K279" s="194">
        <f>IF(_1_541284561214624104645789101745678[[#This Row],[Discount selection]]&gt;0,VLOOKUP(_1_541284561214624104645789101745678[[#This Row],[Discount selection]],'Discount Structure'!$A$2:$B$30,2,"false"),0)</f>
        <v>1</v>
      </c>
      <c r="L279" s="194">
        <f>_1_541284561214624104645789101745678[[#This Row],[LIST $]]*_1_541284561214624104645789101745678[[#This Row],[DISCOUNT]]*_1_541284561214624104645789101745678[[#This Row],[DISCOUNT 2]]</f>
        <v>0</v>
      </c>
      <c r="M279" s="194">
        <f>IF(OR(_1_541284561214624104645789101745678[[#This Row],[UNIT]]&gt;0,_1_541284561214624104645789101745678[[#This Row],[UNIT]]&lt;0),_1_541284561214624104645789101745678[[#This Row],[UNIT]]*_1_541284561214624104645789101745678[[#This Row],[COST]],0)</f>
        <v>0</v>
      </c>
      <c r="N279" s="194">
        <f t="shared" si="4"/>
        <v>1.3</v>
      </c>
      <c r="O279" s="198">
        <f>_1_541284561214624104645789101745678[[#This Row],[TOTAL]]*_1_541284561214624104645789101745678[[#This Row],[MARGIN]]</f>
        <v>0</v>
      </c>
      <c r="R279" s="41"/>
    </row>
    <row r="280" spans="1:18">
      <c r="C280" s="168"/>
      <c r="D280" s="188"/>
      <c r="F280" s="168" t="s">
        <v>6202</v>
      </c>
      <c r="G280" s="193">
        <f>IF(_1_541284561214624104645789101745678[[#This Row],[Type]]&gt;0,VLOOKUP(_1_541284561214624104645789101745678[[#This Row],[Type]],Main[[#All],[TYPE]:[UNIT]],'Unit Price'!C$1,FALSE),0)</f>
        <v>0</v>
      </c>
      <c r="H280" s="197">
        <f>IF(_1_541284561214624104645789101745678[[#This Row],[Type]]&gt;0,VLOOKUP(_1_541284561214624104645789101745678[[#This Row],[Type]],Main[[#All],[TYPE]:[UNIT]],'Unit Price'!D$1,FALSE),0)</f>
        <v>0</v>
      </c>
      <c r="I280" s="194">
        <f>IF(_1_541284561214624104645789101745678[[#This Row],[Type]]&gt;0,VLOOKUP(_1_541284561214624104645789101745678[[#This Row],[Type]],Main[[#All],[TYPE]:[UNIT]],'Unit Price'!G$1,FALSE),0)</f>
        <v>0</v>
      </c>
      <c r="J280" s="194">
        <f>IF(_1_541284561214624104645789101745678[[#This Row],[Type]]&gt;0,VLOOKUP(_1_541284561214624104645789101745678[[#This Row],[Type]],Main[[#All],[TYPE]:[UNIT]],'Unit Price'!H$1,FALSE),0)</f>
        <v>0</v>
      </c>
      <c r="K280" s="194">
        <f>IF(_1_541284561214624104645789101745678[[#This Row],[Discount selection]]&gt;0,VLOOKUP(_1_541284561214624104645789101745678[[#This Row],[Discount selection]],'Discount Structure'!$A$2:$B$30,2,"false"),0)</f>
        <v>1</v>
      </c>
      <c r="L280" s="194">
        <f>_1_541284561214624104645789101745678[[#This Row],[LIST $]]*_1_541284561214624104645789101745678[[#This Row],[DISCOUNT]]*_1_541284561214624104645789101745678[[#This Row],[DISCOUNT 2]]</f>
        <v>0</v>
      </c>
      <c r="M280" s="194">
        <f>IF(OR(_1_541284561214624104645789101745678[[#This Row],[UNIT]]&gt;0,_1_541284561214624104645789101745678[[#This Row],[UNIT]]&lt;0),_1_541284561214624104645789101745678[[#This Row],[UNIT]]*_1_541284561214624104645789101745678[[#This Row],[COST]],0)</f>
        <v>0</v>
      </c>
      <c r="N280" s="194">
        <f t="shared" si="4"/>
        <v>1.3</v>
      </c>
      <c r="O280" s="198">
        <f>_1_541284561214624104645789101745678[[#This Row],[TOTAL]]*_1_541284561214624104645789101745678[[#This Row],[MARGIN]]</f>
        <v>0</v>
      </c>
      <c r="R280" s="41"/>
    </row>
    <row r="281" spans="1:18">
      <c r="C281" s="168"/>
      <c r="D281" s="188"/>
      <c r="F281" s="168" t="s">
        <v>6202</v>
      </c>
      <c r="G281" s="193">
        <f>IF(_1_541284561214624104645789101745678[[#This Row],[Type]]&gt;0,VLOOKUP(_1_541284561214624104645789101745678[[#This Row],[Type]],Main[[#All],[TYPE]:[UNIT]],'Unit Price'!C$1,FALSE),0)</f>
        <v>0</v>
      </c>
      <c r="H281" s="197">
        <f>IF(_1_541284561214624104645789101745678[[#This Row],[Type]]&gt;0,VLOOKUP(_1_541284561214624104645789101745678[[#This Row],[Type]],Main[[#All],[TYPE]:[UNIT]],'Unit Price'!D$1,FALSE),0)</f>
        <v>0</v>
      </c>
      <c r="I281" s="194">
        <f>IF(_1_541284561214624104645789101745678[[#This Row],[Type]]&gt;0,VLOOKUP(_1_541284561214624104645789101745678[[#This Row],[Type]],Main[[#All],[TYPE]:[UNIT]],'Unit Price'!G$1,FALSE),0)</f>
        <v>0</v>
      </c>
      <c r="J281" s="194">
        <f>IF(_1_541284561214624104645789101745678[[#This Row],[Type]]&gt;0,VLOOKUP(_1_541284561214624104645789101745678[[#This Row],[Type]],Main[[#All],[TYPE]:[UNIT]],'Unit Price'!H$1,FALSE),0)</f>
        <v>0</v>
      </c>
      <c r="K281" s="194">
        <f>IF(_1_541284561214624104645789101745678[[#This Row],[Discount selection]]&gt;0,VLOOKUP(_1_541284561214624104645789101745678[[#This Row],[Discount selection]],'Discount Structure'!$A$2:$B$30,2,"false"),0)</f>
        <v>1</v>
      </c>
      <c r="L281" s="194">
        <f>_1_541284561214624104645789101745678[[#This Row],[LIST $]]*_1_541284561214624104645789101745678[[#This Row],[DISCOUNT]]*_1_541284561214624104645789101745678[[#This Row],[DISCOUNT 2]]</f>
        <v>0</v>
      </c>
      <c r="M281" s="194">
        <f>IF(OR(_1_541284561214624104645789101745678[[#This Row],[UNIT]]&gt;0,_1_541284561214624104645789101745678[[#This Row],[UNIT]]&lt;0),_1_541284561214624104645789101745678[[#This Row],[UNIT]]*_1_541284561214624104645789101745678[[#This Row],[COST]],0)</f>
        <v>0</v>
      </c>
      <c r="N281" s="194">
        <f t="shared" si="4"/>
        <v>1.3</v>
      </c>
      <c r="O281" s="198">
        <f>_1_541284561214624104645789101745678[[#This Row],[TOTAL]]*_1_541284561214624104645789101745678[[#This Row],[MARGIN]]</f>
        <v>0</v>
      </c>
      <c r="R281" s="41"/>
    </row>
    <row r="282" spans="1:18">
      <c r="C282" s="168"/>
      <c r="D282" s="188"/>
      <c r="F282" s="168" t="s">
        <v>6202</v>
      </c>
      <c r="G282" s="193">
        <f>IF(_1_541284561214624104645789101745678[[#This Row],[Type]]&gt;0,VLOOKUP(_1_541284561214624104645789101745678[[#This Row],[Type]],Main[[#All],[TYPE]:[UNIT]],'Unit Price'!C$1,FALSE),0)</f>
        <v>0</v>
      </c>
      <c r="H282" s="197">
        <f>IF(_1_541284561214624104645789101745678[[#This Row],[Type]]&gt;0,VLOOKUP(_1_541284561214624104645789101745678[[#This Row],[Type]],Main[[#All],[TYPE]:[UNIT]],'Unit Price'!D$1,FALSE),0)</f>
        <v>0</v>
      </c>
      <c r="I282" s="194">
        <f>IF(_1_541284561214624104645789101745678[[#This Row],[Type]]&gt;0,VLOOKUP(_1_541284561214624104645789101745678[[#This Row],[Type]],Main[[#All],[TYPE]:[UNIT]],'Unit Price'!G$1,FALSE),0)</f>
        <v>0</v>
      </c>
      <c r="J282" s="194">
        <f>IF(_1_541284561214624104645789101745678[[#This Row],[Type]]&gt;0,VLOOKUP(_1_541284561214624104645789101745678[[#This Row],[Type]],Main[[#All],[TYPE]:[UNIT]],'Unit Price'!H$1,FALSE),0)</f>
        <v>0</v>
      </c>
      <c r="K282" s="194">
        <f>IF(_1_541284561214624104645789101745678[[#This Row],[Discount selection]]&gt;0,VLOOKUP(_1_541284561214624104645789101745678[[#This Row],[Discount selection]],'Discount Structure'!$A$2:$B$30,2,"false"),0)</f>
        <v>1</v>
      </c>
      <c r="L282" s="194">
        <f>_1_541284561214624104645789101745678[[#This Row],[LIST $]]*_1_541284561214624104645789101745678[[#This Row],[DISCOUNT]]*_1_541284561214624104645789101745678[[#This Row],[DISCOUNT 2]]</f>
        <v>0</v>
      </c>
      <c r="M282" s="194">
        <f>IF(OR(_1_541284561214624104645789101745678[[#This Row],[UNIT]]&gt;0,_1_541284561214624104645789101745678[[#This Row],[UNIT]]&lt;0),_1_541284561214624104645789101745678[[#This Row],[UNIT]]*_1_541284561214624104645789101745678[[#This Row],[COST]],0)</f>
        <v>0</v>
      </c>
      <c r="N282" s="194">
        <f t="shared" si="4"/>
        <v>1.3</v>
      </c>
      <c r="O282" s="198">
        <f>_1_541284561214624104645789101745678[[#This Row],[TOTAL]]*_1_541284561214624104645789101745678[[#This Row],[MARGIN]]</f>
        <v>0</v>
      </c>
      <c r="R282" s="41"/>
    </row>
    <row r="283" spans="1:18">
      <c r="A283" s="323"/>
      <c r="B283" s="323"/>
      <c r="C283" s="168"/>
      <c r="D283" s="188"/>
      <c r="F283" s="168" t="s">
        <v>6202</v>
      </c>
      <c r="G283" s="193">
        <f>IF(_1_541284561214624104645789101745678[[#This Row],[Type]]&gt;0,VLOOKUP(_1_541284561214624104645789101745678[[#This Row],[Type]],Main[[#All],[TYPE]:[UNIT]],'Unit Price'!C$1,FALSE),0)</f>
        <v>0</v>
      </c>
      <c r="H283" s="197">
        <f>IF(_1_541284561214624104645789101745678[[#This Row],[Type]]&gt;0,VLOOKUP(_1_541284561214624104645789101745678[[#This Row],[Type]],Main[[#All],[TYPE]:[UNIT]],'Unit Price'!D$1,FALSE),0)</f>
        <v>0</v>
      </c>
      <c r="I283" s="194">
        <f>IF(_1_541284561214624104645789101745678[[#This Row],[Type]]&gt;0,VLOOKUP(_1_541284561214624104645789101745678[[#This Row],[Type]],Main[[#All],[TYPE]:[UNIT]],'Unit Price'!G$1,FALSE),0)</f>
        <v>0</v>
      </c>
      <c r="J283" s="194">
        <f>IF(_1_541284561214624104645789101745678[[#This Row],[Type]]&gt;0,VLOOKUP(_1_541284561214624104645789101745678[[#This Row],[Type]],Main[[#All],[TYPE]:[UNIT]],'Unit Price'!H$1,FALSE),0)</f>
        <v>0</v>
      </c>
      <c r="K283" s="194">
        <f>IF(_1_541284561214624104645789101745678[[#This Row],[Discount selection]]&gt;0,VLOOKUP(_1_541284561214624104645789101745678[[#This Row],[Discount selection]],'Discount Structure'!$A$2:$B$30,2,"false"),0)</f>
        <v>1</v>
      </c>
      <c r="L283" s="194">
        <f>_1_541284561214624104645789101745678[[#This Row],[LIST $]]*_1_541284561214624104645789101745678[[#This Row],[DISCOUNT]]*_1_541284561214624104645789101745678[[#This Row],[DISCOUNT 2]]</f>
        <v>0</v>
      </c>
      <c r="M283" s="194">
        <f>IF(OR(_1_541284561214624104645789101745678[[#This Row],[UNIT]]&gt;0,_1_541284561214624104645789101745678[[#This Row],[UNIT]]&lt;0),_1_541284561214624104645789101745678[[#This Row],[UNIT]]*_1_541284561214624104645789101745678[[#This Row],[COST]],0)</f>
        <v>0</v>
      </c>
      <c r="N283" s="194">
        <f t="shared" si="4"/>
        <v>1.3</v>
      </c>
      <c r="O283" s="198">
        <f>_1_541284561214624104645789101745678[[#This Row],[TOTAL]]*_1_541284561214624104645789101745678[[#This Row],[MARGIN]]</f>
        <v>0</v>
      </c>
      <c r="R283" s="41"/>
    </row>
    <row r="284" spans="1:18">
      <c r="A284" s="312"/>
      <c r="B284" s="323"/>
      <c r="C284" s="168"/>
      <c r="D284" s="188"/>
      <c r="F284" s="168" t="s">
        <v>6202</v>
      </c>
      <c r="G284" s="193">
        <f>IF(_1_541284561214624104645789101745678[[#This Row],[Type]]&gt;0,VLOOKUP(_1_541284561214624104645789101745678[[#This Row],[Type]],Main[[#All],[TYPE]:[UNIT]],'Unit Price'!C$1,FALSE),0)</f>
        <v>0</v>
      </c>
      <c r="H284" s="197">
        <f>IF(_1_541284561214624104645789101745678[[#This Row],[Type]]&gt;0,VLOOKUP(_1_541284561214624104645789101745678[[#This Row],[Type]],Main[[#All],[TYPE]:[UNIT]],'Unit Price'!D$1,FALSE),0)</f>
        <v>0</v>
      </c>
      <c r="I284" s="194">
        <f>IF(_1_541284561214624104645789101745678[[#This Row],[Type]]&gt;0,VLOOKUP(_1_541284561214624104645789101745678[[#This Row],[Type]],Main[[#All],[TYPE]:[UNIT]],'Unit Price'!G$1,FALSE),0)</f>
        <v>0</v>
      </c>
      <c r="J284" s="194">
        <f>IF(_1_541284561214624104645789101745678[[#This Row],[Type]]&gt;0,VLOOKUP(_1_541284561214624104645789101745678[[#This Row],[Type]],Main[[#All],[TYPE]:[UNIT]],'Unit Price'!H$1,FALSE),0)</f>
        <v>0</v>
      </c>
      <c r="K284" s="194">
        <f>IF(_1_541284561214624104645789101745678[[#This Row],[Discount selection]]&gt;0,VLOOKUP(_1_541284561214624104645789101745678[[#This Row],[Discount selection]],'Discount Structure'!$A$2:$B$30,2,"false"),0)</f>
        <v>1</v>
      </c>
      <c r="L284" s="194">
        <f>_1_541284561214624104645789101745678[[#This Row],[LIST $]]*_1_541284561214624104645789101745678[[#This Row],[DISCOUNT]]*_1_541284561214624104645789101745678[[#This Row],[DISCOUNT 2]]</f>
        <v>0</v>
      </c>
      <c r="M284" s="194">
        <f>IF(OR(_1_541284561214624104645789101745678[[#This Row],[UNIT]]&gt;0,_1_541284561214624104645789101745678[[#This Row],[UNIT]]&lt;0),_1_541284561214624104645789101745678[[#This Row],[UNIT]]*_1_541284561214624104645789101745678[[#This Row],[COST]],0)</f>
        <v>0</v>
      </c>
      <c r="N284" s="194">
        <f t="shared" si="4"/>
        <v>1.3</v>
      </c>
      <c r="O284" s="198">
        <f>_1_541284561214624104645789101745678[[#This Row],[TOTAL]]*_1_541284561214624104645789101745678[[#This Row],[MARGIN]]</f>
        <v>0</v>
      </c>
      <c r="R284" s="41"/>
    </row>
    <row r="285" spans="1:18">
      <c r="A285" s="323"/>
      <c r="B285" s="323"/>
      <c r="C285" s="168"/>
      <c r="D285" s="188"/>
      <c r="F285" s="168" t="s">
        <v>6202</v>
      </c>
      <c r="G285" s="193">
        <f>IF(_1_541284561214624104645789101745678[[#This Row],[Type]]&gt;0,VLOOKUP(_1_541284561214624104645789101745678[[#This Row],[Type]],Main[[#All],[TYPE]:[UNIT]],'Unit Price'!C$1,FALSE),0)</f>
        <v>0</v>
      </c>
      <c r="H285" s="197">
        <f>IF(_1_541284561214624104645789101745678[[#This Row],[Type]]&gt;0,VLOOKUP(_1_541284561214624104645789101745678[[#This Row],[Type]],Main[[#All],[TYPE]:[UNIT]],'Unit Price'!D$1,FALSE),0)</f>
        <v>0</v>
      </c>
      <c r="I285" s="194">
        <f>IF(_1_541284561214624104645789101745678[[#This Row],[Type]]&gt;0,VLOOKUP(_1_541284561214624104645789101745678[[#This Row],[Type]],Main[[#All],[TYPE]:[UNIT]],'Unit Price'!G$1,FALSE),0)</f>
        <v>0</v>
      </c>
      <c r="J285" s="194">
        <f>IF(_1_541284561214624104645789101745678[[#This Row],[Type]]&gt;0,VLOOKUP(_1_541284561214624104645789101745678[[#This Row],[Type]],Main[[#All],[TYPE]:[UNIT]],'Unit Price'!H$1,FALSE),0)</f>
        <v>0</v>
      </c>
      <c r="K285" s="194">
        <f>IF(_1_541284561214624104645789101745678[[#This Row],[Discount selection]]&gt;0,VLOOKUP(_1_541284561214624104645789101745678[[#This Row],[Discount selection]],'Discount Structure'!$A$2:$B$30,2,"false"),0)</f>
        <v>1</v>
      </c>
      <c r="L285" s="194">
        <f>_1_541284561214624104645789101745678[[#This Row],[LIST $]]*_1_541284561214624104645789101745678[[#This Row],[DISCOUNT]]*_1_541284561214624104645789101745678[[#This Row],[DISCOUNT 2]]</f>
        <v>0</v>
      </c>
      <c r="M285" s="194">
        <f>IF(OR(_1_541284561214624104645789101745678[[#This Row],[UNIT]]&gt;0,_1_541284561214624104645789101745678[[#This Row],[UNIT]]&lt;0),_1_541284561214624104645789101745678[[#This Row],[UNIT]]*_1_541284561214624104645789101745678[[#This Row],[COST]],0)</f>
        <v>0</v>
      </c>
      <c r="N285" s="194">
        <f t="shared" si="4"/>
        <v>1.3</v>
      </c>
      <c r="O285" s="198">
        <f>_1_541284561214624104645789101745678[[#This Row],[TOTAL]]*_1_541284561214624104645789101745678[[#This Row],[MARGIN]]</f>
        <v>0</v>
      </c>
      <c r="R285" s="41"/>
    </row>
    <row r="286" spans="1:18">
      <c r="A286" s="353"/>
      <c r="B286" s="323"/>
      <c r="C286" s="353"/>
      <c r="D286" s="188"/>
      <c r="F286" s="168" t="s">
        <v>6202</v>
      </c>
      <c r="G286" s="193">
        <f>IF(_1_541284561214624104645789101745678[[#This Row],[Type]]&gt;0,VLOOKUP(_1_541284561214624104645789101745678[[#This Row],[Type]],Main[[#All],[TYPE]:[UNIT]],'Unit Price'!C$1,FALSE),0)</f>
        <v>0</v>
      </c>
      <c r="H286" s="197">
        <f>IF(_1_541284561214624104645789101745678[[#This Row],[Type]]&gt;0,VLOOKUP(_1_541284561214624104645789101745678[[#This Row],[Type]],Main[[#All],[TYPE]:[UNIT]],'Unit Price'!D$1,FALSE),0)</f>
        <v>0</v>
      </c>
      <c r="I286" s="194">
        <f>IF(_1_541284561214624104645789101745678[[#This Row],[Type]]&gt;0,VLOOKUP(_1_541284561214624104645789101745678[[#This Row],[Type]],Main[[#All],[TYPE]:[UNIT]],'Unit Price'!G$1,FALSE),0)</f>
        <v>0</v>
      </c>
      <c r="J286" s="194">
        <f>IF(_1_541284561214624104645789101745678[[#This Row],[Type]]&gt;0,VLOOKUP(_1_541284561214624104645789101745678[[#This Row],[Type]],Main[[#All],[TYPE]:[UNIT]],'Unit Price'!H$1,FALSE),0)</f>
        <v>0</v>
      </c>
      <c r="K286" s="194">
        <f>IF(_1_541284561214624104645789101745678[[#This Row],[Discount selection]]&gt;0,VLOOKUP(_1_541284561214624104645789101745678[[#This Row],[Discount selection]],'Discount Structure'!$A$2:$B$30,2,"false"),0)</f>
        <v>1</v>
      </c>
      <c r="L286" s="194">
        <f>_1_541284561214624104645789101745678[[#This Row],[LIST $]]*_1_541284561214624104645789101745678[[#This Row],[DISCOUNT]]*_1_541284561214624104645789101745678[[#This Row],[DISCOUNT 2]]</f>
        <v>0</v>
      </c>
      <c r="M286" s="194">
        <f>IF(OR(_1_541284561214624104645789101745678[[#This Row],[UNIT]]&gt;0,_1_541284561214624104645789101745678[[#This Row],[UNIT]]&lt;0),_1_541284561214624104645789101745678[[#This Row],[UNIT]]*_1_541284561214624104645789101745678[[#This Row],[COST]],0)</f>
        <v>0</v>
      </c>
      <c r="N286" s="194">
        <f t="shared" si="4"/>
        <v>1.3</v>
      </c>
      <c r="O286" s="198">
        <f>_1_541284561214624104645789101745678[[#This Row],[TOTAL]]*_1_541284561214624104645789101745678[[#This Row],[MARGIN]]</f>
        <v>0</v>
      </c>
      <c r="R286" s="41"/>
    </row>
    <row r="287" spans="1:18">
      <c r="D287" s="188"/>
      <c r="F287" s="168" t="s">
        <v>6202</v>
      </c>
      <c r="G287" s="205">
        <f>IF(_1_541284561214624104645789101745678[[#This Row],[Type]]&gt;0,VLOOKUP(_1_541284561214624104645789101745678[[#This Row],[Type]],Main[[#All],[TYPE]:[UNIT]],'Unit Price'!C$1,FALSE),0)</f>
        <v>0</v>
      </c>
      <c r="H287" s="197">
        <f>IF(_1_541284561214624104645789101745678[[#This Row],[Type]]&gt;0,VLOOKUP(_1_541284561214624104645789101745678[[#This Row],[Type]],Main[[#All],[TYPE]:[UNIT]],'Unit Price'!D$1,FALSE),0)</f>
        <v>0</v>
      </c>
      <c r="I287" s="194">
        <f>IF(_1_541284561214624104645789101745678[[#This Row],[Type]]&gt;0,VLOOKUP(_1_541284561214624104645789101745678[[#This Row],[Type]],Main[[#All],[TYPE]:[UNIT]],'Unit Price'!G$1,FALSE),0)</f>
        <v>0</v>
      </c>
      <c r="J287" s="194">
        <f>IF(_1_541284561214624104645789101745678[[#This Row],[Type]]&gt;0,VLOOKUP(_1_541284561214624104645789101745678[[#This Row],[Type]],Main[[#All],[TYPE]:[UNIT]],'Unit Price'!H$1,FALSE),0)</f>
        <v>0</v>
      </c>
      <c r="K287" s="194">
        <f>IF(_1_541284561214624104645789101745678[[#This Row],[Discount selection]]&gt;0,VLOOKUP(_1_541284561214624104645789101745678[[#This Row],[Discount selection]],'Discount Structure'!$A$2:$B$30,2,"false"),0)</f>
        <v>1</v>
      </c>
      <c r="L287" s="194">
        <f>_1_541284561214624104645789101745678[[#This Row],[LIST $]]*_1_541284561214624104645789101745678[[#This Row],[DISCOUNT]]*_1_541284561214624104645789101745678[[#This Row],[DISCOUNT 2]]</f>
        <v>0</v>
      </c>
      <c r="M287" s="194">
        <f>IF(OR(_1_541284561214624104645789101745678[[#This Row],[UNIT]]&gt;0,_1_541284561214624104645789101745678[[#This Row],[UNIT]]&lt;0),_1_541284561214624104645789101745678[[#This Row],[UNIT]]*_1_541284561214624104645789101745678[[#This Row],[COST]],0)</f>
        <v>0</v>
      </c>
      <c r="N287" s="194">
        <f t="shared" si="4"/>
        <v>1.3</v>
      </c>
      <c r="O287" s="198">
        <f>_1_541284561214624104645789101745678[[#This Row],[TOTAL]]*_1_541284561214624104645789101745678[[#This Row],[MARGIN]]</f>
        <v>0</v>
      </c>
      <c r="R287" s="41"/>
    </row>
    <row r="288" spans="1:18">
      <c r="D288" s="188"/>
      <c r="F288" s="168" t="s">
        <v>6202</v>
      </c>
      <c r="G288" s="193">
        <f>IF(_1_541284561214624104645789101745678[[#This Row],[Type]]&gt;0,VLOOKUP(_1_541284561214624104645789101745678[[#This Row],[Type]],Main[[#All],[TYPE]:[UNIT]],'Unit Price'!C$1,FALSE),0)</f>
        <v>0</v>
      </c>
      <c r="H288" s="197">
        <f>IF(_1_541284561214624104645789101745678[[#This Row],[Type]]&gt;0,VLOOKUP(_1_541284561214624104645789101745678[[#This Row],[Type]],Main[[#All],[TYPE]:[UNIT]],'Unit Price'!D$1,FALSE),0)</f>
        <v>0</v>
      </c>
      <c r="I288" s="194">
        <f>IF(_1_541284561214624104645789101745678[[#This Row],[Type]]&gt;0,VLOOKUP(_1_541284561214624104645789101745678[[#This Row],[Type]],Main[[#All],[TYPE]:[UNIT]],'Unit Price'!G$1,FALSE),0)</f>
        <v>0</v>
      </c>
      <c r="J288" s="194">
        <f>IF(_1_541284561214624104645789101745678[[#This Row],[Type]]&gt;0,VLOOKUP(_1_541284561214624104645789101745678[[#This Row],[Type]],Main[[#All],[TYPE]:[UNIT]],'Unit Price'!H$1,FALSE),0)</f>
        <v>0</v>
      </c>
      <c r="K288" s="194">
        <f>IF(_1_541284561214624104645789101745678[[#This Row],[Discount selection]]&gt;0,VLOOKUP(_1_541284561214624104645789101745678[[#This Row],[Discount selection]],'Discount Structure'!$A$2:$B$30,2,"false"),0)</f>
        <v>1</v>
      </c>
      <c r="L288" s="194">
        <f>_1_541284561214624104645789101745678[[#This Row],[LIST $]]*_1_541284561214624104645789101745678[[#This Row],[DISCOUNT]]*_1_541284561214624104645789101745678[[#This Row],[DISCOUNT 2]]</f>
        <v>0</v>
      </c>
      <c r="M288" s="194">
        <f>IF(OR(_1_541284561214624104645789101745678[[#This Row],[UNIT]]&gt;0,_1_541284561214624104645789101745678[[#This Row],[UNIT]]&lt;0),_1_541284561214624104645789101745678[[#This Row],[UNIT]]*_1_541284561214624104645789101745678[[#This Row],[COST]],0)</f>
        <v>0</v>
      </c>
      <c r="N288" s="194">
        <f t="shared" si="4"/>
        <v>1.3</v>
      </c>
      <c r="O288" s="198">
        <f>_1_541284561214624104645789101745678[[#This Row],[TOTAL]]*_1_541284561214624104645789101745678[[#This Row],[MARGIN]]</f>
        <v>0</v>
      </c>
      <c r="R288" s="41"/>
    </row>
    <row r="289" spans="1:18">
      <c r="A289" s="323"/>
      <c r="B289" s="323"/>
      <c r="C289" s="323"/>
      <c r="D289" s="188"/>
      <c r="F289" s="168" t="s">
        <v>6202</v>
      </c>
      <c r="G289" s="193">
        <f>IF(_1_541284561214624104645789101745678[[#This Row],[Type]]&gt;0,VLOOKUP(_1_541284561214624104645789101745678[[#This Row],[Type]],Main[[#All],[TYPE]:[UNIT]],'Unit Price'!C$1,FALSE),0)</f>
        <v>0</v>
      </c>
      <c r="H289" s="197">
        <f>IF(_1_541284561214624104645789101745678[[#This Row],[Type]]&gt;0,VLOOKUP(_1_541284561214624104645789101745678[[#This Row],[Type]],Main[[#All],[TYPE]:[UNIT]],'Unit Price'!D$1,FALSE),0)</f>
        <v>0</v>
      </c>
      <c r="I289" s="194">
        <f>IF(_1_541284561214624104645789101745678[[#This Row],[Type]]&gt;0,VLOOKUP(_1_541284561214624104645789101745678[[#This Row],[Type]],Main[[#All],[TYPE]:[UNIT]],'Unit Price'!G$1,FALSE),0)</f>
        <v>0</v>
      </c>
      <c r="J289" s="194">
        <f>IF(_1_541284561214624104645789101745678[[#This Row],[Type]]&gt;0,VLOOKUP(_1_541284561214624104645789101745678[[#This Row],[Type]],Main[[#All],[TYPE]:[UNIT]],'Unit Price'!H$1,FALSE),0)</f>
        <v>0</v>
      </c>
      <c r="K289" s="194">
        <f>IF(_1_541284561214624104645789101745678[[#This Row],[Discount selection]]&gt;0,VLOOKUP(_1_541284561214624104645789101745678[[#This Row],[Discount selection]],'Discount Structure'!$A$2:$B$30,2,"false"),0)</f>
        <v>1</v>
      </c>
      <c r="L289" s="194">
        <f>_1_541284561214624104645789101745678[[#This Row],[LIST $]]*_1_541284561214624104645789101745678[[#This Row],[DISCOUNT]]*_1_541284561214624104645789101745678[[#This Row],[DISCOUNT 2]]</f>
        <v>0</v>
      </c>
      <c r="M289" s="194">
        <f>IF(OR(_1_541284561214624104645789101745678[[#This Row],[UNIT]]&gt;0,_1_541284561214624104645789101745678[[#This Row],[UNIT]]&lt;0),_1_541284561214624104645789101745678[[#This Row],[UNIT]]*_1_541284561214624104645789101745678[[#This Row],[COST]],0)</f>
        <v>0</v>
      </c>
      <c r="N289" s="194">
        <f t="shared" si="4"/>
        <v>1.3</v>
      </c>
      <c r="O289" s="198">
        <f>_1_541284561214624104645789101745678[[#This Row],[TOTAL]]*_1_541284561214624104645789101745678[[#This Row],[MARGIN]]</f>
        <v>0</v>
      </c>
      <c r="R289" s="41"/>
    </row>
    <row r="290" spans="1:18">
      <c r="D290" s="188"/>
      <c r="F290" s="168" t="s">
        <v>6202</v>
      </c>
      <c r="G290" s="193">
        <f>IF(_1_541284561214624104645789101745678[[#This Row],[Type]]&gt;0,VLOOKUP(_1_541284561214624104645789101745678[[#This Row],[Type]],Main[[#All],[TYPE]:[UNIT]],'Unit Price'!C$1,FALSE),0)</f>
        <v>0</v>
      </c>
      <c r="H290" s="197">
        <f>IF(_1_541284561214624104645789101745678[[#This Row],[Type]]&gt;0,VLOOKUP(_1_541284561214624104645789101745678[[#This Row],[Type]],Main[[#All],[TYPE]:[UNIT]],'Unit Price'!D$1,FALSE),0)</f>
        <v>0</v>
      </c>
      <c r="I290" s="194">
        <f>IF(_1_541284561214624104645789101745678[[#This Row],[Type]]&gt;0,VLOOKUP(_1_541284561214624104645789101745678[[#This Row],[Type]],Main[[#All],[TYPE]:[UNIT]],'Unit Price'!G$1,FALSE),0)</f>
        <v>0</v>
      </c>
      <c r="J290" s="194">
        <f>IF(_1_541284561214624104645789101745678[[#This Row],[Type]]&gt;0,VLOOKUP(_1_541284561214624104645789101745678[[#This Row],[Type]],Main[[#All],[TYPE]:[UNIT]],'Unit Price'!H$1,FALSE),0)</f>
        <v>0</v>
      </c>
      <c r="K290" s="194">
        <f>IF(_1_541284561214624104645789101745678[[#This Row],[Discount selection]]&gt;0,VLOOKUP(_1_541284561214624104645789101745678[[#This Row],[Discount selection]],'Discount Structure'!$A$2:$B$30,2,"false"),0)</f>
        <v>1</v>
      </c>
      <c r="L290" s="194">
        <f>_1_541284561214624104645789101745678[[#This Row],[LIST $]]*_1_541284561214624104645789101745678[[#This Row],[DISCOUNT]]*_1_541284561214624104645789101745678[[#This Row],[DISCOUNT 2]]</f>
        <v>0</v>
      </c>
      <c r="M290" s="194">
        <f>IF(OR(_1_541284561214624104645789101745678[[#This Row],[UNIT]]&gt;0,_1_541284561214624104645789101745678[[#This Row],[UNIT]]&lt;0),_1_541284561214624104645789101745678[[#This Row],[UNIT]]*_1_541284561214624104645789101745678[[#This Row],[COST]],0)</f>
        <v>0</v>
      </c>
      <c r="N290" s="194">
        <f t="shared" si="4"/>
        <v>1.3</v>
      </c>
      <c r="O290" s="198">
        <f>_1_541284561214624104645789101745678[[#This Row],[TOTAL]]*_1_541284561214624104645789101745678[[#This Row],[MARGIN]]</f>
        <v>0</v>
      </c>
      <c r="R290" s="41"/>
    </row>
    <row r="291" spans="1:18">
      <c r="D291" s="188"/>
      <c r="F291" s="168" t="s">
        <v>6202</v>
      </c>
      <c r="G291" s="193">
        <f>IF(_1_541284561214624104645789101745678[[#This Row],[Type]]&gt;0,VLOOKUP(_1_541284561214624104645789101745678[[#This Row],[Type]],Main[[#All],[TYPE]:[UNIT]],'Unit Price'!C$1,FALSE),0)</f>
        <v>0</v>
      </c>
      <c r="H291" s="197">
        <f>IF(_1_541284561214624104645789101745678[[#This Row],[Type]]&gt;0,VLOOKUP(_1_541284561214624104645789101745678[[#This Row],[Type]],Main[[#All],[TYPE]:[UNIT]],'Unit Price'!D$1,FALSE),0)</f>
        <v>0</v>
      </c>
      <c r="I291" s="194">
        <f>IF(_1_541284561214624104645789101745678[[#This Row],[Type]]&gt;0,VLOOKUP(_1_541284561214624104645789101745678[[#This Row],[Type]],Main[[#All],[TYPE]:[UNIT]],'Unit Price'!G$1,FALSE),0)</f>
        <v>0</v>
      </c>
      <c r="J291" s="194">
        <f>IF(_1_541284561214624104645789101745678[[#This Row],[Type]]&gt;0,VLOOKUP(_1_541284561214624104645789101745678[[#This Row],[Type]],Main[[#All],[TYPE]:[UNIT]],'Unit Price'!H$1,FALSE),0)</f>
        <v>0</v>
      </c>
      <c r="K291" s="194">
        <f>IF(_1_541284561214624104645789101745678[[#This Row],[Discount selection]]&gt;0,VLOOKUP(_1_541284561214624104645789101745678[[#This Row],[Discount selection]],'Discount Structure'!$A$2:$B$30,2,"false"),0)</f>
        <v>1</v>
      </c>
      <c r="L291" s="194">
        <f>_1_541284561214624104645789101745678[[#This Row],[LIST $]]*_1_541284561214624104645789101745678[[#This Row],[DISCOUNT]]*_1_541284561214624104645789101745678[[#This Row],[DISCOUNT 2]]</f>
        <v>0</v>
      </c>
      <c r="M291" s="194">
        <f>IF(OR(_1_541284561214624104645789101745678[[#This Row],[UNIT]]&gt;0,_1_541284561214624104645789101745678[[#This Row],[UNIT]]&lt;0),_1_541284561214624104645789101745678[[#This Row],[UNIT]]*_1_541284561214624104645789101745678[[#This Row],[COST]],0)</f>
        <v>0</v>
      </c>
      <c r="N291" s="194">
        <f t="shared" si="4"/>
        <v>1.3</v>
      </c>
      <c r="O291" s="198">
        <f>_1_541284561214624104645789101745678[[#This Row],[TOTAL]]*_1_541284561214624104645789101745678[[#This Row],[MARGIN]]</f>
        <v>0</v>
      </c>
      <c r="R291" s="41"/>
    </row>
    <row r="292" spans="1:18">
      <c r="D292" s="188"/>
      <c r="F292" s="168" t="s">
        <v>6202</v>
      </c>
      <c r="G292" s="193">
        <f>IF(_1_541284561214624104645789101745678[[#This Row],[Type]]&gt;0,VLOOKUP(_1_541284561214624104645789101745678[[#This Row],[Type]],Main[[#All],[TYPE]:[UNIT]],'Unit Price'!C$1,FALSE),0)</f>
        <v>0</v>
      </c>
      <c r="H292" s="197">
        <f>IF(_1_541284561214624104645789101745678[[#This Row],[Type]]&gt;0,VLOOKUP(_1_541284561214624104645789101745678[[#This Row],[Type]],Main[[#All],[TYPE]:[UNIT]],'Unit Price'!D$1,FALSE),0)</f>
        <v>0</v>
      </c>
      <c r="I292" s="194">
        <f>IF(_1_541284561214624104645789101745678[[#This Row],[Type]]&gt;0,VLOOKUP(_1_541284561214624104645789101745678[[#This Row],[Type]],Main[[#All],[TYPE]:[UNIT]],'Unit Price'!G$1,FALSE),0)</f>
        <v>0</v>
      </c>
      <c r="J292" s="194">
        <f>IF(_1_541284561214624104645789101745678[[#This Row],[Type]]&gt;0,VLOOKUP(_1_541284561214624104645789101745678[[#This Row],[Type]],Main[[#All],[TYPE]:[UNIT]],'Unit Price'!H$1,FALSE),0)</f>
        <v>0</v>
      </c>
      <c r="K292" s="194">
        <f>IF(_1_541284561214624104645789101745678[[#This Row],[Discount selection]]&gt;0,VLOOKUP(_1_541284561214624104645789101745678[[#This Row],[Discount selection]],'Discount Structure'!$A$2:$B$30,2,"false"),0)</f>
        <v>1</v>
      </c>
      <c r="L292" s="194">
        <f>_1_541284561214624104645789101745678[[#This Row],[LIST $]]*_1_541284561214624104645789101745678[[#This Row],[DISCOUNT]]*_1_541284561214624104645789101745678[[#This Row],[DISCOUNT 2]]</f>
        <v>0</v>
      </c>
      <c r="M292" s="194">
        <f>IF(OR(_1_541284561214624104645789101745678[[#This Row],[UNIT]]&gt;0,_1_541284561214624104645789101745678[[#This Row],[UNIT]]&lt;0),_1_541284561214624104645789101745678[[#This Row],[UNIT]]*_1_541284561214624104645789101745678[[#This Row],[COST]],0)</f>
        <v>0</v>
      </c>
      <c r="N292" s="194">
        <f t="shared" si="4"/>
        <v>1.3</v>
      </c>
      <c r="O292" s="198">
        <f>_1_541284561214624104645789101745678[[#This Row],[TOTAL]]*_1_541284561214624104645789101745678[[#This Row],[MARGIN]]</f>
        <v>0</v>
      </c>
      <c r="R292" s="41"/>
    </row>
    <row r="293" spans="1:18">
      <c r="A293" s="168"/>
      <c r="D293" s="188"/>
      <c r="F293" s="168" t="s">
        <v>6202</v>
      </c>
      <c r="G293" s="193">
        <f>IF(_1_541284561214624104645789101745678[[#This Row],[Type]]&gt;0,VLOOKUP(_1_541284561214624104645789101745678[[#This Row],[Type]],Main[[#All],[TYPE]:[UNIT]],'Unit Price'!C$1,FALSE),0)</f>
        <v>0</v>
      </c>
      <c r="H293" s="197">
        <f>IF(_1_541284561214624104645789101745678[[#This Row],[Type]]&gt;0,VLOOKUP(_1_541284561214624104645789101745678[[#This Row],[Type]],Main[[#All],[TYPE]:[UNIT]],'Unit Price'!D$1,FALSE),0)</f>
        <v>0</v>
      </c>
      <c r="I293" s="194">
        <f>IF(_1_541284561214624104645789101745678[[#This Row],[Type]]&gt;0,VLOOKUP(_1_541284561214624104645789101745678[[#This Row],[Type]],Main[[#All],[TYPE]:[UNIT]],'Unit Price'!G$1,FALSE),0)</f>
        <v>0</v>
      </c>
      <c r="J293" s="194">
        <f>IF(_1_541284561214624104645789101745678[[#This Row],[Type]]&gt;0,VLOOKUP(_1_541284561214624104645789101745678[[#This Row],[Type]],Main[[#All],[TYPE]:[UNIT]],'Unit Price'!H$1,FALSE),0)</f>
        <v>0</v>
      </c>
      <c r="K293" s="194">
        <f>IF(_1_541284561214624104645789101745678[[#This Row],[Discount selection]]&gt;0,VLOOKUP(_1_541284561214624104645789101745678[[#This Row],[Discount selection]],'Discount Structure'!$A$2:$B$30,2,"false"),0)</f>
        <v>1</v>
      </c>
      <c r="L293" s="194">
        <f>_1_541284561214624104645789101745678[[#This Row],[LIST $]]*_1_541284561214624104645789101745678[[#This Row],[DISCOUNT]]*_1_541284561214624104645789101745678[[#This Row],[DISCOUNT 2]]</f>
        <v>0</v>
      </c>
      <c r="M293" s="194">
        <f>IF(OR(_1_541284561214624104645789101745678[[#This Row],[UNIT]]&gt;0,_1_541284561214624104645789101745678[[#This Row],[UNIT]]&lt;0),_1_541284561214624104645789101745678[[#This Row],[UNIT]]*_1_541284561214624104645789101745678[[#This Row],[COST]],0)</f>
        <v>0</v>
      </c>
      <c r="N293" s="194">
        <f t="shared" si="4"/>
        <v>1.3</v>
      </c>
      <c r="O293" s="198">
        <f>_1_541284561214624104645789101745678[[#This Row],[TOTAL]]*_1_541284561214624104645789101745678[[#This Row],[MARGIN]]</f>
        <v>0</v>
      </c>
      <c r="R293" s="41"/>
    </row>
    <row r="294" spans="1:18">
      <c r="A294" s="312"/>
      <c r="B294" s="319"/>
      <c r="C294" s="323"/>
      <c r="D294" s="188"/>
      <c r="F294" s="168" t="s">
        <v>6202</v>
      </c>
      <c r="G294" s="193">
        <f>IF(_1_541284561214624104645789101745678[[#This Row],[Type]]&gt;0,VLOOKUP(_1_541284561214624104645789101745678[[#This Row],[Type]],Main[[#All],[TYPE]:[UNIT]],'Unit Price'!C$1,FALSE),0)</f>
        <v>0</v>
      </c>
      <c r="H294" s="197">
        <f>IF(_1_541284561214624104645789101745678[[#This Row],[Type]]&gt;0,VLOOKUP(_1_541284561214624104645789101745678[[#This Row],[Type]],Main[[#All],[TYPE]:[UNIT]],'Unit Price'!D$1,FALSE),0)</f>
        <v>0</v>
      </c>
      <c r="I294" s="194">
        <f>IF(_1_541284561214624104645789101745678[[#This Row],[Type]]&gt;0,VLOOKUP(_1_541284561214624104645789101745678[[#This Row],[Type]],Main[[#All],[TYPE]:[UNIT]],'Unit Price'!G$1,FALSE),0)</f>
        <v>0</v>
      </c>
      <c r="J294" s="194">
        <f>IF(_1_541284561214624104645789101745678[[#This Row],[Type]]&gt;0,VLOOKUP(_1_541284561214624104645789101745678[[#This Row],[Type]],Main[[#All],[TYPE]:[UNIT]],'Unit Price'!H$1,FALSE),0)</f>
        <v>0</v>
      </c>
      <c r="K294" s="194">
        <f>IF(_1_541284561214624104645789101745678[[#This Row],[Discount selection]]&gt;0,VLOOKUP(_1_541284561214624104645789101745678[[#This Row],[Discount selection]],'Discount Structure'!$A$2:$B$30,2,"false"),0)</f>
        <v>1</v>
      </c>
      <c r="L294" s="194">
        <f>_1_541284561214624104645789101745678[[#This Row],[LIST $]]*_1_541284561214624104645789101745678[[#This Row],[DISCOUNT]]*_1_541284561214624104645789101745678[[#This Row],[DISCOUNT 2]]</f>
        <v>0</v>
      </c>
      <c r="M294" s="194">
        <f>IF(OR(_1_541284561214624104645789101745678[[#This Row],[UNIT]]&gt;0,_1_541284561214624104645789101745678[[#This Row],[UNIT]]&lt;0),_1_541284561214624104645789101745678[[#This Row],[UNIT]]*_1_541284561214624104645789101745678[[#This Row],[COST]],0)</f>
        <v>0</v>
      </c>
      <c r="N294" s="194">
        <f t="shared" si="4"/>
        <v>1.3</v>
      </c>
      <c r="O294" s="198">
        <f>_1_541284561214624104645789101745678[[#This Row],[TOTAL]]*_1_541284561214624104645789101745678[[#This Row],[MARGIN]]</f>
        <v>0</v>
      </c>
      <c r="R294" s="41"/>
    </row>
    <row r="295" spans="1:18">
      <c r="A295" s="323"/>
      <c r="B295" s="323"/>
      <c r="C295" s="323"/>
      <c r="D295" s="188"/>
      <c r="F295" s="168" t="s">
        <v>6202</v>
      </c>
      <c r="G295" s="193">
        <f>IF(_1_541284561214624104645789101745678[[#This Row],[Type]]&gt;0,VLOOKUP(_1_541284561214624104645789101745678[[#This Row],[Type]],Main[[#All],[TYPE]:[UNIT]],'Unit Price'!C$1,FALSE),0)</f>
        <v>0</v>
      </c>
      <c r="H295" s="197">
        <f>IF(_1_541284561214624104645789101745678[[#This Row],[Type]]&gt;0,VLOOKUP(_1_541284561214624104645789101745678[[#This Row],[Type]],Main[[#All],[TYPE]:[UNIT]],'Unit Price'!D$1,FALSE),0)</f>
        <v>0</v>
      </c>
      <c r="I295" s="194">
        <f>IF(_1_541284561214624104645789101745678[[#This Row],[Type]]&gt;0,VLOOKUP(_1_541284561214624104645789101745678[[#This Row],[Type]],Main[[#All],[TYPE]:[UNIT]],'Unit Price'!G$1,FALSE),0)</f>
        <v>0</v>
      </c>
      <c r="J295" s="194">
        <f>IF(_1_541284561214624104645789101745678[[#This Row],[Type]]&gt;0,VLOOKUP(_1_541284561214624104645789101745678[[#This Row],[Type]],Main[[#All],[TYPE]:[UNIT]],'Unit Price'!H$1,FALSE),0)</f>
        <v>0</v>
      </c>
      <c r="K295" s="194">
        <f>IF(_1_541284561214624104645789101745678[[#This Row],[Discount selection]]&gt;0,VLOOKUP(_1_541284561214624104645789101745678[[#This Row],[Discount selection]],'Discount Structure'!$A$2:$B$30,2,"false"),0)</f>
        <v>1</v>
      </c>
      <c r="L295" s="194">
        <f>_1_541284561214624104645789101745678[[#This Row],[LIST $]]*_1_541284561214624104645789101745678[[#This Row],[DISCOUNT]]*_1_541284561214624104645789101745678[[#This Row],[DISCOUNT 2]]</f>
        <v>0</v>
      </c>
      <c r="M295" s="194">
        <f>IF(OR(_1_541284561214624104645789101745678[[#This Row],[UNIT]]&gt;0,_1_541284561214624104645789101745678[[#This Row],[UNIT]]&lt;0),_1_541284561214624104645789101745678[[#This Row],[UNIT]]*_1_541284561214624104645789101745678[[#This Row],[COST]],0)</f>
        <v>0</v>
      </c>
      <c r="N295" s="194">
        <f t="shared" si="4"/>
        <v>1.3</v>
      </c>
      <c r="O295" s="198">
        <f>_1_541284561214624104645789101745678[[#This Row],[TOTAL]]*_1_541284561214624104645789101745678[[#This Row],[MARGIN]]</f>
        <v>0</v>
      </c>
      <c r="R295" s="41"/>
    </row>
    <row r="296" spans="1:18">
      <c r="A296" s="323"/>
      <c r="B296" s="323"/>
      <c r="C296" s="323"/>
      <c r="D296" s="188"/>
      <c r="F296" s="168" t="s">
        <v>6202</v>
      </c>
      <c r="G296" s="193">
        <f>IF(_1_541284561214624104645789101745678[[#This Row],[Type]]&gt;0,VLOOKUP(_1_541284561214624104645789101745678[[#This Row],[Type]],Main[[#All],[TYPE]:[UNIT]],'Unit Price'!C$1,FALSE),0)</f>
        <v>0</v>
      </c>
      <c r="H296" s="197">
        <f>IF(_1_541284561214624104645789101745678[[#This Row],[Type]]&gt;0,VLOOKUP(_1_541284561214624104645789101745678[[#This Row],[Type]],Main[[#All],[TYPE]:[UNIT]],'Unit Price'!D$1,FALSE),0)</f>
        <v>0</v>
      </c>
      <c r="I296" s="194">
        <f>IF(_1_541284561214624104645789101745678[[#This Row],[Type]]&gt;0,VLOOKUP(_1_541284561214624104645789101745678[[#This Row],[Type]],Main[[#All],[TYPE]:[UNIT]],'Unit Price'!G$1,FALSE),0)</f>
        <v>0</v>
      </c>
      <c r="J296" s="194">
        <f>IF(_1_541284561214624104645789101745678[[#This Row],[Type]]&gt;0,VLOOKUP(_1_541284561214624104645789101745678[[#This Row],[Type]],Main[[#All],[TYPE]:[UNIT]],'Unit Price'!H$1,FALSE),0)</f>
        <v>0</v>
      </c>
      <c r="K296" s="194">
        <f>IF(_1_541284561214624104645789101745678[[#This Row],[Discount selection]]&gt;0,VLOOKUP(_1_541284561214624104645789101745678[[#This Row],[Discount selection]],'Discount Structure'!$A$2:$B$30,2,"false"),0)</f>
        <v>1</v>
      </c>
      <c r="L296" s="194">
        <f>_1_541284561214624104645789101745678[[#This Row],[LIST $]]*_1_541284561214624104645789101745678[[#This Row],[DISCOUNT]]*_1_541284561214624104645789101745678[[#This Row],[DISCOUNT 2]]</f>
        <v>0</v>
      </c>
      <c r="M296" s="194">
        <f>IF(OR(_1_541284561214624104645789101745678[[#This Row],[UNIT]]&gt;0,_1_541284561214624104645789101745678[[#This Row],[UNIT]]&lt;0),_1_541284561214624104645789101745678[[#This Row],[UNIT]]*_1_541284561214624104645789101745678[[#This Row],[COST]],0)</f>
        <v>0</v>
      </c>
      <c r="N296" s="194">
        <f t="shared" si="4"/>
        <v>1.3</v>
      </c>
      <c r="O296" s="198">
        <f>_1_541284561214624104645789101745678[[#This Row],[TOTAL]]*_1_541284561214624104645789101745678[[#This Row],[MARGIN]]</f>
        <v>0</v>
      </c>
      <c r="R296" s="41"/>
    </row>
    <row r="297" spans="1:18">
      <c r="A297" s="323"/>
      <c r="B297" s="323"/>
      <c r="C297" s="323"/>
      <c r="D297" s="188"/>
      <c r="F297" s="168" t="s">
        <v>6202</v>
      </c>
      <c r="G297" s="193">
        <f>IF(_1_541284561214624104645789101745678[[#This Row],[Type]]&gt;0,VLOOKUP(_1_541284561214624104645789101745678[[#This Row],[Type]],Main[[#All],[TYPE]:[UNIT]],'Unit Price'!C$1,FALSE),0)</f>
        <v>0</v>
      </c>
      <c r="H297" s="197">
        <f>IF(_1_541284561214624104645789101745678[[#This Row],[Type]]&gt;0,VLOOKUP(_1_541284561214624104645789101745678[[#This Row],[Type]],Main[[#All],[TYPE]:[UNIT]],'Unit Price'!D$1,FALSE),0)</f>
        <v>0</v>
      </c>
      <c r="I297" s="194">
        <f>IF(_1_541284561214624104645789101745678[[#This Row],[Type]]&gt;0,VLOOKUP(_1_541284561214624104645789101745678[[#This Row],[Type]],Main[[#All],[TYPE]:[UNIT]],'Unit Price'!G$1,FALSE),0)</f>
        <v>0</v>
      </c>
      <c r="J297" s="194">
        <f>IF(_1_541284561214624104645789101745678[[#This Row],[Type]]&gt;0,VLOOKUP(_1_541284561214624104645789101745678[[#This Row],[Type]],Main[[#All],[TYPE]:[UNIT]],'Unit Price'!H$1,FALSE),0)</f>
        <v>0</v>
      </c>
      <c r="K297" s="194">
        <f>IF(_1_541284561214624104645789101745678[[#This Row],[Discount selection]]&gt;0,VLOOKUP(_1_541284561214624104645789101745678[[#This Row],[Discount selection]],'Discount Structure'!$A$2:$B$30,2,"false"),0)</f>
        <v>1</v>
      </c>
      <c r="L297" s="194">
        <f>_1_541284561214624104645789101745678[[#This Row],[LIST $]]*_1_541284561214624104645789101745678[[#This Row],[DISCOUNT]]*_1_541284561214624104645789101745678[[#This Row],[DISCOUNT 2]]</f>
        <v>0</v>
      </c>
      <c r="M297" s="194">
        <f>IF(OR(_1_541284561214624104645789101745678[[#This Row],[UNIT]]&gt;0,_1_541284561214624104645789101745678[[#This Row],[UNIT]]&lt;0),_1_541284561214624104645789101745678[[#This Row],[UNIT]]*_1_541284561214624104645789101745678[[#This Row],[COST]],0)</f>
        <v>0</v>
      </c>
      <c r="N297" s="194">
        <f t="shared" si="4"/>
        <v>1.3</v>
      </c>
      <c r="O297" s="198">
        <f>_1_541284561214624104645789101745678[[#This Row],[TOTAL]]*_1_541284561214624104645789101745678[[#This Row],[MARGIN]]</f>
        <v>0</v>
      </c>
      <c r="R297" s="41"/>
    </row>
    <row r="298" spans="1:18">
      <c r="D298" s="188"/>
      <c r="F298" s="168" t="s">
        <v>6202</v>
      </c>
      <c r="G298" s="205">
        <f>IF(_1_541284561214624104645789101745678[[#This Row],[Type]]&gt;0,VLOOKUP(_1_541284561214624104645789101745678[[#This Row],[Type]],Main[[#All],[TYPE]:[UNIT]],'Unit Price'!C$1,FALSE),0)</f>
        <v>0</v>
      </c>
      <c r="H298" s="197">
        <f>IF(_1_541284561214624104645789101745678[[#This Row],[Type]]&gt;0,VLOOKUP(_1_541284561214624104645789101745678[[#This Row],[Type]],Main[[#All],[TYPE]:[UNIT]],'Unit Price'!D$1,FALSE),0)</f>
        <v>0</v>
      </c>
      <c r="I298" s="194">
        <f>IF(_1_541284561214624104645789101745678[[#This Row],[Type]]&gt;0,VLOOKUP(_1_541284561214624104645789101745678[[#This Row],[Type]],Main[[#All],[TYPE]:[UNIT]],'Unit Price'!G$1,FALSE),0)</f>
        <v>0</v>
      </c>
      <c r="J298" s="194">
        <f>IF(_1_541284561214624104645789101745678[[#This Row],[Type]]&gt;0,VLOOKUP(_1_541284561214624104645789101745678[[#This Row],[Type]],Main[[#All],[TYPE]:[UNIT]],'Unit Price'!H$1,FALSE),0)</f>
        <v>0</v>
      </c>
      <c r="K298" s="194">
        <f>IF(_1_541284561214624104645789101745678[[#This Row],[Discount selection]]&gt;0,VLOOKUP(_1_541284561214624104645789101745678[[#This Row],[Discount selection]],'Discount Structure'!$A$2:$B$30,2,"false"),0)</f>
        <v>1</v>
      </c>
      <c r="L298" s="194">
        <f>_1_541284561214624104645789101745678[[#This Row],[LIST $]]*_1_541284561214624104645789101745678[[#This Row],[DISCOUNT]]*_1_541284561214624104645789101745678[[#This Row],[DISCOUNT 2]]</f>
        <v>0</v>
      </c>
      <c r="M298" s="194">
        <f>IF(OR(_1_541284561214624104645789101745678[[#This Row],[UNIT]]&gt;0,_1_541284561214624104645789101745678[[#This Row],[UNIT]]&lt;0),_1_541284561214624104645789101745678[[#This Row],[UNIT]]*_1_541284561214624104645789101745678[[#This Row],[COST]],0)</f>
        <v>0</v>
      </c>
      <c r="N298" s="194">
        <f t="shared" si="4"/>
        <v>1.3</v>
      </c>
      <c r="O298" s="198">
        <f>_1_541284561214624104645789101745678[[#This Row],[TOTAL]]*_1_541284561214624104645789101745678[[#This Row],[MARGIN]]</f>
        <v>0</v>
      </c>
      <c r="R298" s="41"/>
    </row>
    <row r="299" spans="1:18">
      <c r="D299" s="188"/>
      <c r="F299" s="168" t="s">
        <v>6202</v>
      </c>
      <c r="G299" s="193">
        <f>IF(_1_541284561214624104645789101745678[[#This Row],[Type]]&gt;0,VLOOKUP(_1_541284561214624104645789101745678[[#This Row],[Type]],Main[[#All],[TYPE]:[UNIT]],'Unit Price'!C$1,FALSE),0)</f>
        <v>0</v>
      </c>
      <c r="H299" s="197">
        <f>IF(_1_541284561214624104645789101745678[[#This Row],[Type]]&gt;0,VLOOKUP(_1_541284561214624104645789101745678[[#This Row],[Type]],Main[[#All],[TYPE]:[UNIT]],'Unit Price'!D$1,FALSE),0)</f>
        <v>0</v>
      </c>
      <c r="I299" s="194">
        <f>IF(_1_541284561214624104645789101745678[[#This Row],[Type]]&gt;0,VLOOKUP(_1_541284561214624104645789101745678[[#This Row],[Type]],Main[[#All],[TYPE]:[UNIT]],'Unit Price'!G$1,FALSE),0)</f>
        <v>0</v>
      </c>
      <c r="J299" s="194">
        <f>IF(_1_541284561214624104645789101745678[[#This Row],[Type]]&gt;0,VLOOKUP(_1_541284561214624104645789101745678[[#This Row],[Type]],Main[[#All],[TYPE]:[UNIT]],'Unit Price'!H$1,FALSE),0)</f>
        <v>0</v>
      </c>
      <c r="K299" s="194">
        <f>IF(_1_541284561214624104645789101745678[[#This Row],[Discount selection]]&gt;0,VLOOKUP(_1_541284561214624104645789101745678[[#This Row],[Discount selection]],'Discount Structure'!$A$2:$B$30,2,"false"),0)</f>
        <v>1</v>
      </c>
      <c r="L299" s="194">
        <f>_1_541284561214624104645789101745678[[#This Row],[LIST $]]*_1_541284561214624104645789101745678[[#This Row],[DISCOUNT]]*_1_541284561214624104645789101745678[[#This Row],[DISCOUNT 2]]</f>
        <v>0</v>
      </c>
      <c r="M299" s="194">
        <f>IF(OR(_1_541284561214624104645789101745678[[#This Row],[UNIT]]&gt;0,_1_541284561214624104645789101745678[[#This Row],[UNIT]]&lt;0),_1_541284561214624104645789101745678[[#This Row],[UNIT]]*_1_541284561214624104645789101745678[[#This Row],[COST]],0)</f>
        <v>0</v>
      </c>
      <c r="N299" s="194">
        <f t="shared" si="4"/>
        <v>1.3</v>
      </c>
      <c r="O299" s="198">
        <f>_1_541284561214624104645789101745678[[#This Row],[TOTAL]]*_1_541284561214624104645789101745678[[#This Row],[MARGIN]]</f>
        <v>0</v>
      </c>
      <c r="R299" s="41"/>
    </row>
    <row r="300" spans="1:18">
      <c r="A300" s="323"/>
      <c r="B300" s="323"/>
      <c r="C300" s="323"/>
      <c r="D300" s="188"/>
      <c r="F300" s="168" t="s">
        <v>6202</v>
      </c>
      <c r="G300" s="193">
        <f>IF(_1_541284561214624104645789101745678[[#This Row],[Type]]&gt;0,VLOOKUP(_1_541284561214624104645789101745678[[#This Row],[Type]],Main[[#All],[TYPE]:[UNIT]],'Unit Price'!C$1,FALSE),0)</f>
        <v>0</v>
      </c>
      <c r="H300" s="197">
        <f>IF(_1_541284561214624104645789101745678[[#This Row],[Type]]&gt;0,VLOOKUP(_1_541284561214624104645789101745678[[#This Row],[Type]],Main[[#All],[TYPE]:[UNIT]],'Unit Price'!D$1,FALSE),0)</f>
        <v>0</v>
      </c>
      <c r="I300" s="194">
        <f>IF(_1_541284561214624104645789101745678[[#This Row],[Type]]&gt;0,VLOOKUP(_1_541284561214624104645789101745678[[#This Row],[Type]],Main[[#All],[TYPE]:[UNIT]],'Unit Price'!G$1,FALSE),0)</f>
        <v>0</v>
      </c>
      <c r="J300" s="194">
        <f>IF(_1_541284561214624104645789101745678[[#This Row],[Type]]&gt;0,VLOOKUP(_1_541284561214624104645789101745678[[#This Row],[Type]],Main[[#All],[TYPE]:[UNIT]],'Unit Price'!H$1,FALSE),0)</f>
        <v>0</v>
      </c>
      <c r="K300" s="194">
        <f>IF(_1_541284561214624104645789101745678[[#This Row],[Discount selection]]&gt;0,VLOOKUP(_1_541284561214624104645789101745678[[#This Row],[Discount selection]],'Discount Structure'!$A$2:$B$30,2,"false"),0)</f>
        <v>1</v>
      </c>
      <c r="L300" s="194">
        <f>_1_541284561214624104645789101745678[[#This Row],[LIST $]]*_1_541284561214624104645789101745678[[#This Row],[DISCOUNT]]*_1_541284561214624104645789101745678[[#This Row],[DISCOUNT 2]]</f>
        <v>0</v>
      </c>
      <c r="M300" s="194">
        <f>IF(OR(_1_541284561214624104645789101745678[[#This Row],[UNIT]]&gt;0,_1_541284561214624104645789101745678[[#This Row],[UNIT]]&lt;0),_1_541284561214624104645789101745678[[#This Row],[UNIT]]*_1_541284561214624104645789101745678[[#This Row],[COST]],0)</f>
        <v>0</v>
      </c>
      <c r="N300" s="194">
        <f t="shared" si="4"/>
        <v>1.3</v>
      </c>
      <c r="O300" s="198">
        <f>_1_541284561214624104645789101745678[[#This Row],[TOTAL]]*_1_541284561214624104645789101745678[[#This Row],[MARGIN]]</f>
        <v>0</v>
      </c>
      <c r="R300" s="41"/>
    </row>
    <row r="301" spans="1:18">
      <c r="A301" s="323"/>
      <c r="B301" s="323"/>
      <c r="C301" s="323"/>
      <c r="D301" s="188"/>
      <c r="F301" s="168" t="s">
        <v>6202</v>
      </c>
      <c r="G301" s="193">
        <f>IF(_1_541284561214624104645789101745678[[#This Row],[Type]]&gt;0,VLOOKUP(_1_541284561214624104645789101745678[[#This Row],[Type]],Main[[#All],[TYPE]:[UNIT]],'Unit Price'!C$1,FALSE),0)</f>
        <v>0</v>
      </c>
      <c r="H301" s="197">
        <f>IF(_1_541284561214624104645789101745678[[#This Row],[Type]]&gt;0,VLOOKUP(_1_541284561214624104645789101745678[[#This Row],[Type]],Main[[#All],[TYPE]:[UNIT]],'Unit Price'!D$1,FALSE),0)</f>
        <v>0</v>
      </c>
      <c r="I301" s="194">
        <f>IF(_1_541284561214624104645789101745678[[#This Row],[Type]]&gt;0,VLOOKUP(_1_541284561214624104645789101745678[[#This Row],[Type]],Main[[#All],[TYPE]:[UNIT]],'Unit Price'!G$1,FALSE),0)</f>
        <v>0</v>
      </c>
      <c r="J301" s="194">
        <f>IF(_1_541284561214624104645789101745678[[#This Row],[Type]]&gt;0,VLOOKUP(_1_541284561214624104645789101745678[[#This Row],[Type]],Main[[#All],[TYPE]:[UNIT]],'Unit Price'!H$1,FALSE),0)</f>
        <v>0</v>
      </c>
      <c r="K301" s="194">
        <f>IF(_1_541284561214624104645789101745678[[#This Row],[Discount selection]]&gt;0,VLOOKUP(_1_541284561214624104645789101745678[[#This Row],[Discount selection]],'Discount Structure'!$A$2:$B$30,2,"false"),0)</f>
        <v>1</v>
      </c>
      <c r="L301" s="194">
        <f>_1_541284561214624104645789101745678[[#This Row],[LIST $]]*_1_541284561214624104645789101745678[[#This Row],[DISCOUNT]]*_1_541284561214624104645789101745678[[#This Row],[DISCOUNT 2]]</f>
        <v>0</v>
      </c>
      <c r="M301" s="194">
        <f>IF(OR(_1_541284561214624104645789101745678[[#This Row],[UNIT]]&gt;0,_1_541284561214624104645789101745678[[#This Row],[UNIT]]&lt;0),_1_541284561214624104645789101745678[[#This Row],[UNIT]]*_1_541284561214624104645789101745678[[#This Row],[COST]],0)</f>
        <v>0</v>
      </c>
      <c r="N301" s="194">
        <f t="shared" si="4"/>
        <v>1.3</v>
      </c>
      <c r="O301" s="198">
        <f>_1_541284561214624104645789101745678[[#This Row],[TOTAL]]*_1_541284561214624104645789101745678[[#This Row],[MARGIN]]</f>
        <v>0</v>
      </c>
      <c r="R301" s="41"/>
    </row>
    <row r="302" spans="1:18">
      <c r="A302" s="323"/>
      <c r="B302" s="323"/>
      <c r="C302" s="323"/>
      <c r="D302" s="188"/>
      <c r="F302" s="168" t="s">
        <v>6202</v>
      </c>
      <c r="G302" s="193">
        <f>IF(_1_541284561214624104645789101745678[[#This Row],[Type]]&gt;0,VLOOKUP(_1_541284561214624104645789101745678[[#This Row],[Type]],Main[[#All],[TYPE]:[UNIT]],'Unit Price'!C$1,FALSE),0)</f>
        <v>0</v>
      </c>
      <c r="H302" s="197">
        <f>IF(_1_541284561214624104645789101745678[[#This Row],[Type]]&gt;0,VLOOKUP(_1_541284561214624104645789101745678[[#This Row],[Type]],Main[[#All],[TYPE]:[UNIT]],'Unit Price'!D$1,FALSE),0)</f>
        <v>0</v>
      </c>
      <c r="I302" s="194">
        <f>IF(_1_541284561214624104645789101745678[[#This Row],[Type]]&gt;0,VLOOKUP(_1_541284561214624104645789101745678[[#This Row],[Type]],Main[[#All],[TYPE]:[UNIT]],'Unit Price'!G$1,FALSE),0)</f>
        <v>0</v>
      </c>
      <c r="J302" s="194">
        <f>IF(_1_541284561214624104645789101745678[[#This Row],[Type]]&gt;0,VLOOKUP(_1_541284561214624104645789101745678[[#This Row],[Type]],Main[[#All],[TYPE]:[UNIT]],'Unit Price'!H$1,FALSE),0)</f>
        <v>0</v>
      </c>
      <c r="K302" s="194">
        <f>IF(_1_541284561214624104645789101745678[[#This Row],[Discount selection]]&gt;0,VLOOKUP(_1_541284561214624104645789101745678[[#This Row],[Discount selection]],'Discount Structure'!$A$2:$B$30,2,"false"),0)</f>
        <v>1</v>
      </c>
      <c r="L302" s="194">
        <f>_1_541284561214624104645789101745678[[#This Row],[LIST $]]*_1_541284561214624104645789101745678[[#This Row],[DISCOUNT]]*_1_541284561214624104645789101745678[[#This Row],[DISCOUNT 2]]</f>
        <v>0</v>
      </c>
      <c r="M302" s="194">
        <f>IF(OR(_1_541284561214624104645789101745678[[#This Row],[UNIT]]&gt;0,_1_541284561214624104645789101745678[[#This Row],[UNIT]]&lt;0),_1_541284561214624104645789101745678[[#This Row],[UNIT]]*_1_541284561214624104645789101745678[[#This Row],[COST]],0)</f>
        <v>0</v>
      </c>
      <c r="N302" s="194">
        <f t="shared" si="4"/>
        <v>1.3</v>
      </c>
      <c r="O302" s="198">
        <f>_1_541284561214624104645789101745678[[#This Row],[TOTAL]]*_1_541284561214624104645789101745678[[#This Row],[MARGIN]]</f>
        <v>0</v>
      </c>
      <c r="R302" s="41"/>
    </row>
    <row r="303" spans="1:18">
      <c r="D303" s="188"/>
      <c r="F303" s="168" t="s">
        <v>6202</v>
      </c>
      <c r="G303" s="205">
        <f>IF(_1_541284561214624104645789101745678[[#This Row],[Type]]&gt;0,VLOOKUP(_1_541284561214624104645789101745678[[#This Row],[Type]],Main[[#All],[TYPE]:[UNIT]],'Unit Price'!C$1,FALSE),0)</f>
        <v>0</v>
      </c>
      <c r="H303" s="197">
        <f>IF(_1_541284561214624104645789101745678[[#This Row],[Type]]&gt;0,VLOOKUP(_1_541284561214624104645789101745678[[#This Row],[Type]],Main[[#All],[TYPE]:[UNIT]],'Unit Price'!D$1,FALSE),0)</f>
        <v>0</v>
      </c>
      <c r="I303" s="194">
        <f>IF(_1_541284561214624104645789101745678[[#This Row],[Type]]&gt;0,VLOOKUP(_1_541284561214624104645789101745678[[#This Row],[Type]],Main[[#All],[TYPE]:[UNIT]],'Unit Price'!G$1,FALSE),0)</f>
        <v>0</v>
      </c>
      <c r="J303" s="194">
        <f>IF(_1_541284561214624104645789101745678[[#This Row],[Type]]&gt;0,VLOOKUP(_1_541284561214624104645789101745678[[#This Row],[Type]],Main[[#All],[TYPE]:[UNIT]],'Unit Price'!H$1,FALSE),0)</f>
        <v>0</v>
      </c>
      <c r="K303" s="194">
        <f>IF(_1_541284561214624104645789101745678[[#This Row],[Discount selection]]&gt;0,VLOOKUP(_1_541284561214624104645789101745678[[#This Row],[Discount selection]],'Discount Structure'!$A$2:$B$30,2,"false"),0)</f>
        <v>1</v>
      </c>
      <c r="L303" s="194">
        <f>_1_541284561214624104645789101745678[[#This Row],[LIST $]]*_1_541284561214624104645789101745678[[#This Row],[DISCOUNT]]*_1_541284561214624104645789101745678[[#This Row],[DISCOUNT 2]]</f>
        <v>0</v>
      </c>
      <c r="M303" s="194">
        <f>IF(OR(_1_541284561214624104645789101745678[[#This Row],[UNIT]]&gt;0,_1_541284561214624104645789101745678[[#This Row],[UNIT]]&lt;0),_1_541284561214624104645789101745678[[#This Row],[UNIT]]*_1_541284561214624104645789101745678[[#This Row],[COST]],0)</f>
        <v>0</v>
      </c>
      <c r="N303" s="194">
        <f t="shared" si="4"/>
        <v>1.3</v>
      </c>
      <c r="O303" s="198">
        <f>_1_541284561214624104645789101745678[[#This Row],[TOTAL]]*_1_541284561214624104645789101745678[[#This Row],[MARGIN]]</f>
        <v>0</v>
      </c>
      <c r="R303" s="41"/>
    </row>
    <row r="304" spans="1:18">
      <c r="A304" s="326"/>
      <c r="D304" s="188"/>
      <c r="F304" s="168" t="s">
        <v>6202</v>
      </c>
      <c r="G304" s="193">
        <f>IF(_1_541284561214624104645789101745678[[#This Row],[Type]]&gt;0,VLOOKUP(_1_541284561214624104645789101745678[[#This Row],[Type]],Main[[#All],[TYPE]:[UNIT]],'Unit Price'!C$1,FALSE),0)</f>
        <v>0</v>
      </c>
      <c r="H304" s="197">
        <f>IF(_1_541284561214624104645789101745678[[#This Row],[Type]]&gt;0,VLOOKUP(_1_541284561214624104645789101745678[[#This Row],[Type]],Main[[#All],[TYPE]:[UNIT]],'Unit Price'!D$1,FALSE),0)</f>
        <v>0</v>
      </c>
      <c r="I304" s="194">
        <f>IF(_1_541284561214624104645789101745678[[#This Row],[Type]]&gt;0,VLOOKUP(_1_541284561214624104645789101745678[[#This Row],[Type]],Main[[#All],[TYPE]:[UNIT]],'Unit Price'!G$1,FALSE),0)</f>
        <v>0</v>
      </c>
      <c r="J304" s="194">
        <f>IF(_1_541284561214624104645789101745678[[#This Row],[Type]]&gt;0,VLOOKUP(_1_541284561214624104645789101745678[[#This Row],[Type]],Main[[#All],[TYPE]:[UNIT]],'Unit Price'!H$1,FALSE),0)</f>
        <v>0</v>
      </c>
      <c r="K304" s="194">
        <f>IF(_1_541284561214624104645789101745678[[#This Row],[Discount selection]]&gt;0,VLOOKUP(_1_541284561214624104645789101745678[[#This Row],[Discount selection]],'Discount Structure'!$A$2:$B$30,2,"false"),0)</f>
        <v>1</v>
      </c>
      <c r="L304" s="194">
        <f>_1_541284561214624104645789101745678[[#This Row],[LIST $]]*_1_541284561214624104645789101745678[[#This Row],[DISCOUNT]]*_1_541284561214624104645789101745678[[#This Row],[DISCOUNT 2]]</f>
        <v>0</v>
      </c>
      <c r="M304" s="194">
        <f>IF(OR(_1_541284561214624104645789101745678[[#This Row],[UNIT]]&gt;0,_1_541284561214624104645789101745678[[#This Row],[UNIT]]&lt;0),_1_541284561214624104645789101745678[[#This Row],[UNIT]]*_1_541284561214624104645789101745678[[#This Row],[COST]],0)</f>
        <v>0</v>
      </c>
      <c r="N304" s="194">
        <f t="shared" si="4"/>
        <v>1.3</v>
      </c>
      <c r="O304" s="198">
        <f>_1_541284561214624104645789101745678[[#This Row],[TOTAL]]*_1_541284561214624104645789101745678[[#This Row],[MARGIN]]</f>
        <v>0</v>
      </c>
      <c r="R304" s="41"/>
    </row>
    <row r="305" spans="1:18">
      <c r="D305" s="188"/>
      <c r="F305" s="168" t="s">
        <v>6202</v>
      </c>
      <c r="G305" s="193">
        <f>IF(_1_541284561214624104645789101745678[[#This Row],[Type]]&gt;0,VLOOKUP(_1_541284561214624104645789101745678[[#This Row],[Type]],Main[[#All],[TYPE]:[UNIT]],'Unit Price'!C$1,FALSE),0)</f>
        <v>0</v>
      </c>
      <c r="H305" s="197">
        <f>IF(_1_541284561214624104645789101745678[[#This Row],[Type]]&gt;0,VLOOKUP(_1_541284561214624104645789101745678[[#This Row],[Type]],Main[[#All],[TYPE]:[UNIT]],'Unit Price'!D$1,FALSE),0)</f>
        <v>0</v>
      </c>
      <c r="I305" s="194">
        <f>IF(_1_541284561214624104645789101745678[[#This Row],[Type]]&gt;0,VLOOKUP(_1_541284561214624104645789101745678[[#This Row],[Type]],Main[[#All],[TYPE]:[UNIT]],'Unit Price'!G$1,FALSE),0)</f>
        <v>0</v>
      </c>
      <c r="J305" s="194">
        <f>IF(_1_541284561214624104645789101745678[[#This Row],[Type]]&gt;0,VLOOKUP(_1_541284561214624104645789101745678[[#This Row],[Type]],Main[[#All],[TYPE]:[UNIT]],'Unit Price'!H$1,FALSE),0)</f>
        <v>0</v>
      </c>
      <c r="K305" s="194">
        <f>IF(_1_541284561214624104645789101745678[[#This Row],[Discount selection]]&gt;0,VLOOKUP(_1_541284561214624104645789101745678[[#This Row],[Discount selection]],'Discount Structure'!$A$2:$B$30,2,"false"),0)</f>
        <v>1</v>
      </c>
      <c r="L305" s="194">
        <f>_1_541284561214624104645789101745678[[#This Row],[LIST $]]*_1_541284561214624104645789101745678[[#This Row],[DISCOUNT]]*_1_541284561214624104645789101745678[[#This Row],[DISCOUNT 2]]</f>
        <v>0</v>
      </c>
      <c r="M305" s="194">
        <f>IF(OR(_1_541284561214624104645789101745678[[#This Row],[UNIT]]&gt;0,_1_541284561214624104645789101745678[[#This Row],[UNIT]]&lt;0),_1_541284561214624104645789101745678[[#This Row],[UNIT]]*_1_541284561214624104645789101745678[[#This Row],[COST]],0)</f>
        <v>0</v>
      </c>
      <c r="N305" s="194">
        <f t="shared" si="4"/>
        <v>1.3</v>
      </c>
      <c r="O305" s="198">
        <f>_1_541284561214624104645789101745678[[#This Row],[TOTAL]]*_1_541284561214624104645789101745678[[#This Row],[MARGIN]]</f>
        <v>0</v>
      </c>
      <c r="R305" s="41"/>
    </row>
    <row r="306" spans="1:18">
      <c r="A306" s="327"/>
      <c r="B306" s="327"/>
      <c r="C306" s="323"/>
      <c r="D306" s="188"/>
      <c r="F306" s="168" t="s">
        <v>6202</v>
      </c>
      <c r="G306" s="193">
        <f>IF(_1_541284561214624104645789101745678[[#This Row],[Type]]&gt;0,VLOOKUP(_1_541284561214624104645789101745678[[#This Row],[Type]],Main[[#All],[TYPE]:[UNIT]],'Unit Price'!C$1,FALSE),0)</f>
        <v>0</v>
      </c>
      <c r="H306" s="197">
        <f>IF(_1_541284561214624104645789101745678[[#This Row],[Type]]&gt;0,VLOOKUP(_1_541284561214624104645789101745678[[#This Row],[Type]],Main[[#All],[TYPE]:[UNIT]],'Unit Price'!D$1,FALSE),0)</f>
        <v>0</v>
      </c>
      <c r="I306" s="194">
        <f>IF(_1_541284561214624104645789101745678[[#This Row],[Type]]&gt;0,VLOOKUP(_1_541284561214624104645789101745678[[#This Row],[Type]],Main[[#All],[TYPE]:[UNIT]],'Unit Price'!G$1,FALSE),0)</f>
        <v>0</v>
      </c>
      <c r="J306" s="194">
        <f>IF(_1_541284561214624104645789101745678[[#This Row],[Type]]&gt;0,VLOOKUP(_1_541284561214624104645789101745678[[#This Row],[Type]],Main[[#All],[TYPE]:[UNIT]],'Unit Price'!H$1,FALSE),0)</f>
        <v>0</v>
      </c>
      <c r="K306" s="194">
        <f>IF(_1_541284561214624104645789101745678[[#This Row],[Discount selection]]&gt;0,VLOOKUP(_1_541284561214624104645789101745678[[#This Row],[Discount selection]],'Discount Structure'!$A$2:$B$30,2,"false"),0)</f>
        <v>1</v>
      </c>
      <c r="L306" s="194">
        <f>_1_541284561214624104645789101745678[[#This Row],[LIST $]]*_1_541284561214624104645789101745678[[#This Row],[DISCOUNT]]*_1_541284561214624104645789101745678[[#This Row],[DISCOUNT 2]]</f>
        <v>0</v>
      </c>
      <c r="M306" s="194">
        <f>IF(OR(_1_541284561214624104645789101745678[[#This Row],[UNIT]]&gt;0,_1_541284561214624104645789101745678[[#This Row],[UNIT]]&lt;0),_1_541284561214624104645789101745678[[#This Row],[UNIT]]*_1_541284561214624104645789101745678[[#This Row],[COST]],0)</f>
        <v>0</v>
      </c>
      <c r="N306" s="194">
        <f t="shared" si="4"/>
        <v>1.3</v>
      </c>
      <c r="O306" s="198">
        <f>_1_541284561214624104645789101745678[[#This Row],[TOTAL]]*_1_541284561214624104645789101745678[[#This Row],[MARGIN]]</f>
        <v>0</v>
      </c>
      <c r="R306" s="41"/>
    </row>
    <row r="307" spans="1:18">
      <c r="A307" s="310"/>
      <c r="B307" s="310"/>
      <c r="C307" s="323"/>
      <c r="D307" s="188"/>
      <c r="F307" s="168" t="s">
        <v>6202</v>
      </c>
      <c r="G307" s="193">
        <f>IF(_1_541284561214624104645789101745678[[#This Row],[Type]]&gt;0,VLOOKUP(_1_541284561214624104645789101745678[[#This Row],[Type]],Main[[#All],[TYPE]:[UNIT]],'Unit Price'!C$1,FALSE),0)</f>
        <v>0</v>
      </c>
      <c r="H307" s="197">
        <f>IF(_1_541284561214624104645789101745678[[#This Row],[Type]]&gt;0,VLOOKUP(_1_541284561214624104645789101745678[[#This Row],[Type]],Main[[#All],[TYPE]:[UNIT]],'Unit Price'!D$1,FALSE),0)</f>
        <v>0</v>
      </c>
      <c r="I307" s="194">
        <f>IF(_1_541284561214624104645789101745678[[#This Row],[Type]]&gt;0,VLOOKUP(_1_541284561214624104645789101745678[[#This Row],[Type]],Main[[#All],[TYPE]:[UNIT]],'Unit Price'!G$1,FALSE),0)</f>
        <v>0</v>
      </c>
      <c r="J307" s="194">
        <f>IF(_1_541284561214624104645789101745678[[#This Row],[Type]]&gt;0,VLOOKUP(_1_541284561214624104645789101745678[[#This Row],[Type]],Main[[#All],[TYPE]:[UNIT]],'Unit Price'!H$1,FALSE),0)</f>
        <v>0</v>
      </c>
      <c r="K307" s="194">
        <f>IF(_1_541284561214624104645789101745678[[#This Row],[Discount selection]]&gt;0,VLOOKUP(_1_541284561214624104645789101745678[[#This Row],[Discount selection]],'Discount Structure'!$A$2:$B$30,2,"false"),0)</f>
        <v>1</v>
      </c>
      <c r="L307" s="194">
        <f>_1_541284561214624104645789101745678[[#This Row],[LIST $]]*_1_541284561214624104645789101745678[[#This Row],[DISCOUNT]]*_1_541284561214624104645789101745678[[#This Row],[DISCOUNT 2]]</f>
        <v>0</v>
      </c>
      <c r="M307" s="194">
        <f>IF(OR(_1_541284561214624104645789101745678[[#This Row],[UNIT]]&gt;0,_1_541284561214624104645789101745678[[#This Row],[UNIT]]&lt;0),_1_541284561214624104645789101745678[[#This Row],[UNIT]]*_1_541284561214624104645789101745678[[#This Row],[COST]],0)</f>
        <v>0</v>
      </c>
      <c r="N307" s="194">
        <f t="shared" si="4"/>
        <v>1.3</v>
      </c>
      <c r="O307" s="198">
        <f>_1_541284561214624104645789101745678[[#This Row],[TOTAL]]*_1_541284561214624104645789101745678[[#This Row],[MARGIN]]</f>
        <v>0</v>
      </c>
      <c r="R307" s="41"/>
    </row>
    <row r="308" spans="1:18">
      <c r="A308" s="341"/>
      <c r="B308" s="323"/>
      <c r="C308" s="323"/>
      <c r="D308" s="188"/>
      <c r="F308" s="168" t="s">
        <v>6202</v>
      </c>
      <c r="G308" s="193">
        <f>IF(_1_541284561214624104645789101745678[[#This Row],[Type]]&gt;0,VLOOKUP(_1_541284561214624104645789101745678[[#This Row],[Type]],Main[[#All],[TYPE]:[UNIT]],'Unit Price'!C$1,FALSE),0)</f>
        <v>0</v>
      </c>
      <c r="H308" s="197">
        <f>IF(_1_541284561214624104645789101745678[[#This Row],[Type]]&gt;0,VLOOKUP(_1_541284561214624104645789101745678[[#This Row],[Type]],Main[[#All],[TYPE]:[UNIT]],'Unit Price'!D$1,FALSE),0)</f>
        <v>0</v>
      </c>
      <c r="I308" s="194">
        <f>IF(_1_541284561214624104645789101745678[[#This Row],[Type]]&gt;0,VLOOKUP(_1_541284561214624104645789101745678[[#This Row],[Type]],Main[[#All],[TYPE]:[UNIT]],'Unit Price'!G$1,FALSE),0)</f>
        <v>0</v>
      </c>
      <c r="J308" s="194">
        <f>IF(_1_541284561214624104645789101745678[[#This Row],[Type]]&gt;0,VLOOKUP(_1_541284561214624104645789101745678[[#This Row],[Type]],Main[[#All],[TYPE]:[UNIT]],'Unit Price'!H$1,FALSE),0)</f>
        <v>0</v>
      </c>
      <c r="K308" s="194">
        <f>IF(_1_541284561214624104645789101745678[[#This Row],[Discount selection]]&gt;0,VLOOKUP(_1_541284561214624104645789101745678[[#This Row],[Discount selection]],'Discount Structure'!$A$2:$B$30,2,"false"),0)</f>
        <v>1</v>
      </c>
      <c r="L308" s="194">
        <f>_1_541284561214624104645789101745678[[#This Row],[LIST $]]*_1_541284561214624104645789101745678[[#This Row],[DISCOUNT]]*_1_541284561214624104645789101745678[[#This Row],[DISCOUNT 2]]</f>
        <v>0</v>
      </c>
      <c r="M308" s="194">
        <f>IF(OR(_1_541284561214624104645789101745678[[#This Row],[UNIT]]&gt;0,_1_541284561214624104645789101745678[[#This Row],[UNIT]]&lt;0),_1_541284561214624104645789101745678[[#This Row],[UNIT]]*_1_541284561214624104645789101745678[[#This Row],[COST]],0)</f>
        <v>0</v>
      </c>
      <c r="N308" s="194">
        <f t="shared" si="4"/>
        <v>1.3</v>
      </c>
      <c r="O308" s="198">
        <f>_1_541284561214624104645789101745678[[#This Row],[TOTAL]]*_1_541284561214624104645789101745678[[#This Row],[MARGIN]]</f>
        <v>0</v>
      </c>
      <c r="R308" s="41"/>
    </row>
    <row r="309" spans="1:18">
      <c r="D309" s="188"/>
      <c r="F309" s="168" t="s">
        <v>6202</v>
      </c>
      <c r="G309" s="193">
        <f>IF(_1_541284561214624104645789101745678[[#This Row],[Type]]&gt;0,VLOOKUP(_1_541284561214624104645789101745678[[#This Row],[Type]],Main[[#All],[TYPE]:[UNIT]],'Unit Price'!C$1,FALSE),0)</f>
        <v>0</v>
      </c>
      <c r="H309" s="197">
        <f>IF(_1_541284561214624104645789101745678[[#This Row],[Type]]&gt;0,VLOOKUP(_1_541284561214624104645789101745678[[#This Row],[Type]],Main[[#All],[TYPE]:[UNIT]],'Unit Price'!D$1,FALSE),0)</f>
        <v>0</v>
      </c>
      <c r="I309" s="194">
        <f>IF(_1_541284561214624104645789101745678[[#This Row],[Type]]&gt;0,VLOOKUP(_1_541284561214624104645789101745678[[#This Row],[Type]],Main[[#All],[TYPE]:[UNIT]],'Unit Price'!G$1,FALSE),0)</f>
        <v>0</v>
      </c>
      <c r="J309" s="194">
        <f>IF(_1_541284561214624104645789101745678[[#This Row],[Type]]&gt;0,VLOOKUP(_1_541284561214624104645789101745678[[#This Row],[Type]],Main[[#All],[TYPE]:[UNIT]],'Unit Price'!H$1,FALSE),0)</f>
        <v>0</v>
      </c>
      <c r="K309" s="194">
        <f>IF(_1_541284561214624104645789101745678[[#This Row],[Discount selection]]&gt;0,VLOOKUP(_1_541284561214624104645789101745678[[#This Row],[Discount selection]],'Discount Structure'!$A$2:$B$30,2,"false"),0)</f>
        <v>1</v>
      </c>
      <c r="L309" s="194">
        <f>_1_541284561214624104645789101745678[[#This Row],[LIST $]]*_1_541284561214624104645789101745678[[#This Row],[DISCOUNT]]*_1_541284561214624104645789101745678[[#This Row],[DISCOUNT 2]]</f>
        <v>0</v>
      </c>
      <c r="M309" s="194">
        <f>IF(OR(_1_541284561214624104645789101745678[[#This Row],[UNIT]]&gt;0,_1_541284561214624104645789101745678[[#This Row],[UNIT]]&lt;0),_1_541284561214624104645789101745678[[#This Row],[UNIT]]*_1_541284561214624104645789101745678[[#This Row],[COST]],0)</f>
        <v>0</v>
      </c>
      <c r="N309" s="194">
        <f t="shared" si="4"/>
        <v>1.3</v>
      </c>
      <c r="O309" s="198">
        <f>_1_541284561214624104645789101745678[[#This Row],[TOTAL]]*_1_541284561214624104645789101745678[[#This Row],[MARGIN]]</f>
        <v>0</v>
      </c>
      <c r="R309" s="41"/>
    </row>
    <row r="310" spans="1:18">
      <c r="A310" s="326"/>
      <c r="D310" s="188"/>
      <c r="F310" s="168" t="s">
        <v>6202</v>
      </c>
      <c r="G310" s="193">
        <f>IF(_1_541284561214624104645789101745678[[#This Row],[Type]]&gt;0,VLOOKUP(_1_541284561214624104645789101745678[[#This Row],[Type]],Main[[#All],[TYPE]:[UNIT]],'Unit Price'!C$1,FALSE),0)</f>
        <v>0</v>
      </c>
      <c r="H310" s="197">
        <f>IF(_1_541284561214624104645789101745678[[#This Row],[Type]]&gt;0,VLOOKUP(_1_541284561214624104645789101745678[[#This Row],[Type]],Main[[#All],[TYPE]:[UNIT]],'Unit Price'!D$1,FALSE),0)</f>
        <v>0</v>
      </c>
      <c r="I310" s="194">
        <f>IF(_1_541284561214624104645789101745678[[#This Row],[Type]]&gt;0,VLOOKUP(_1_541284561214624104645789101745678[[#This Row],[Type]],Main[[#All],[TYPE]:[UNIT]],'Unit Price'!G$1,FALSE),0)</f>
        <v>0</v>
      </c>
      <c r="J310" s="194">
        <f>IF(_1_541284561214624104645789101745678[[#This Row],[Type]]&gt;0,VLOOKUP(_1_541284561214624104645789101745678[[#This Row],[Type]],Main[[#All],[TYPE]:[UNIT]],'Unit Price'!H$1,FALSE),0)</f>
        <v>0</v>
      </c>
      <c r="K310" s="194">
        <f>IF(_1_541284561214624104645789101745678[[#This Row],[Discount selection]]&gt;0,VLOOKUP(_1_541284561214624104645789101745678[[#This Row],[Discount selection]],'Discount Structure'!$A$2:$B$30,2,"false"),0)</f>
        <v>1</v>
      </c>
      <c r="L310" s="194">
        <f>_1_541284561214624104645789101745678[[#This Row],[LIST $]]*_1_541284561214624104645789101745678[[#This Row],[DISCOUNT]]*_1_541284561214624104645789101745678[[#This Row],[DISCOUNT 2]]</f>
        <v>0</v>
      </c>
      <c r="M310" s="194">
        <f>IF(OR(_1_541284561214624104645789101745678[[#This Row],[UNIT]]&gt;0,_1_541284561214624104645789101745678[[#This Row],[UNIT]]&lt;0),_1_541284561214624104645789101745678[[#This Row],[UNIT]]*_1_541284561214624104645789101745678[[#This Row],[COST]],0)</f>
        <v>0</v>
      </c>
      <c r="N310" s="194">
        <f t="shared" si="4"/>
        <v>1.3</v>
      </c>
      <c r="O310" s="198">
        <f>_1_541284561214624104645789101745678[[#This Row],[TOTAL]]*_1_541284561214624104645789101745678[[#This Row],[MARGIN]]</f>
        <v>0</v>
      </c>
      <c r="R310" s="41"/>
    </row>
    <row r="311" spans="1:18">
      <c r="D311" s="188"/>
      <c r="F311" s="168" t="s">
        <v>6202</v>
      </c>
      <c r="G311" s="193">
        <f>IF(_1_541284561214624104645789101745678[[#This Row],[Type]]&gt;0,VLOOKUP(_1_541284561214624104645789101745678[[#This Row],[Type]],Main[[#All],[TYPE]:[UNIT]],'Unit Price'!C$1,FALSE),0)</f>
        <v>0</v>
      </c>
      <c r="H311" s="197">
        <f>IF(_1_541284561214624104645789101745678[[#This Row],[Type]]&gt;0,VLOOKUP(_1_541284561214624104645789101745678[[#This Row],[Type]],Main[[#All],[TYPE]:[UNIT]],'Unit Price'!D$1,FALSE),0)</f>
        <v>0</v>
      </c>
      <c r="I311" s="194">
        <f>IF(_1_541284561214624104645789101745678[[#This Row],[Type]]&gt;0,VLOOKUP(_1_541284561214624104645789101745678[[#This Row],[Type]],Main[[#All],[TYPE]:[UNIT]],'Unit Price'!G$1,FALSE),0)</f>
        <v>0</v>
      </c>
      <c r="J311" s="194">
        <f>IF(_1_541284561214624104645789101745678[[#This Row],[Type]]&gt;0,VLOOKUP(_1_541284561214624104645789101745678[[#This Row],[Type]],Main[[#All],[TYPE]:[UNIT]],'Unit Price'!H$1,FALSE),0)</f>
        <v>0</v>
      </c>
      <c r="K311" s="194">
        <f>IF(_1_541284561214624104645789101745678[[#This Row],[Discount selection]]&gt;0,VLOOKUP(_1_541284561214624104645789101745678[[#This Row],[Discount selection]],'Discount Structure'!$A$2:$B$30,2,"false"),0)</f>
        <v>1</v>
      </c>
      <c r="L311" s="194">
        <f>_1_541284561214624104645789101745678[[#This Row],[LIST $]]*_1_541284561214624104645789101745678[[#This Row],[DISCOUNT]]*_1_541284561214624104645789101745678[[#This Row],[DISCOUNT 2]]</f>
        <v>0</v>
      </c>
      <c r="M311" s="194">
        <f>IF(OR(_1_541284561214624104645789101745678[[#This Row],[UNIT]]&gt;0,_1_541284561214624104645789101745678[[#This Row],[UNIT]]&lt;0),_1_541284561214624104645789101745678[[#This Row],[UNIT]]*_1_541284561214624104645789101745678[[#This Row],[COST]],0)</f>
        <v>0</v>
      </c>
      <c r="N311" s="194">
        <f t="shared" si="4"/>
        <v>1.3</v>
      </c>
      <c r="O311" s="198">
        <f>_1_541284561214624104645789101745678[[#This Row],[TOTAL]]*_1_541284561214624104645789101745678[[#This Row],[MARGIN]]</f>
        <v>0</v>
      </c>
      <c r="R311" s="41"/>
    </row>
    <row r="312" spans="1:18">
      <c r="A312" s="323"/>
      <c r="B312" s="323"/>
      <c r="C312" s="323"/>
      <c r="D312" s="188"/>
      <c r="F312" s="168" t="s">
        <v>6202</v>
      </c>
      <c r="G312" s="193">
        <f>IF(_1_541284561214624104645789101745678[[#This Row],[Type]]&gt;0,VLOOKUP(_1_541284561214624104645789101745678[[#This Row],[Type]],Main[[#All],[TYPE]:[UNIT]],'Unit Price'!C$1,FALSE),0)</f>
        <v>0</v>
      </c>
      <c r="H312" s="197">
        <f>IF(_1_541284561214624104645789101745678[[#This Row],[Type]]&gt;0,VLOOKUP(_1_541284561214624104645789101745678[[#This Row],[Type]],Main[[#All],[TYPE]:[UNIT]],'Unit Price'!D$1,FALSE),0)</f>
        <v>0</v>
      </c>
      <c r="I312" s="194">
        <f>IF(_1_541284561214624104645789101745678[[#This Row],[Type]]&gt;0,VLOOKUP(_1_541284561214624104645789101745678[[#This Row],[Type]],Main[[#All],[TYPE]:[UNIT]],'Unit Price'!G$1,FALSE),0)</f>
        <v>0</v>
      </c>
      <c r="J312" s="194">
        <f>IF(_1_541284561214624104645789101745678[[#This Row],[Type]]&gt;0,VLOOKUP(_1_541284561214624104645789101745678[[#This Row],[Type]],Main[[#All],[TYPE]:[UNIT]],'Unit Price'!H$1,FALSE),0)</f>
        <v>0</v>
      </c>
      <c r="K312" s="194">
        <f>IF(_1_541284561214624104645789101745678[[#This Row],[Discount selection]]&gt;0,VLOOKUP(_1_541284561214624104645789101745678[[#This Row],[Discount selection]],'Discount Structure'!$A$2:$B$30,2,"false"),0)</f>
        <v>1</v>
      </c>
      <c r="L312" s="194">
        <f>_1_541284561214624104645789101745678[[#This Row],[LIST $]]*_1_541284561214624104645789101745678[[#This Row],[DISCOUNT]]*_1_541284561214624104645789101745678[[#This Row],[DISCOUNT 2]]</f>
        <v>0</v>
      </c>
      <c r="M312" s="194">
        <f>IF(OR(_1_541284561214624104645789101745678[[#This Row],[UNIT]]&gt;0,_1_541284561214624104645789101745678[[#This Row],[UNIT]]&lt;0),_1_541284561214624104645789101745678[[#This Row],[UNIT]]*_1_541284561214624104645789101745678[[#This Row],[COST]],0)</f>
        <v>0</v>
      </c>
      <c r="N312" s="194">
        <f t="shared" si="4"/>
        <v>1.3</v>
      </c>
      <c r="O312" s="198">
        <f>_1_541284561214624104645789101745678[[#This Row],[TOTAL]]*_1_541284561214624104645789101745678[[#This Row],[MARGIN]]</f>
        <v>0</v>
      </c>
      <c r="R312" s="41"/>
    </row>
    <row r="313" spans="1:18">
      <c r="A313" s="323"/>
      <c r="B313" s="323"/>
      <c r="C313" s="328"/>
      <c r="D313" s="188"/>
      <c r="F313" s="168" t="s">
        <v>6202</v>
      </c>
      <c r="G313" s="193">
        <f>IF(_1_541284561214624104645789101745678[[#This Row],[Type]]&gt;0,VLOOKUP(_1_541284561214624104645789101745678[[#This Row],[Type]],Main[[#All],[TYPE]:[UNIT]],'Unit Price'!C$1,FALSE),0)</f>
        <v>0</v>
      </c>
      <c r="H313" s="197">
        <f>IF(_1_541284561214624104645789101745678[[#This Row],[Type]]&gt;0,VLOOKUP(_1_541284561214624104645789101745678[[#This Row],[Type]],Main[[#All],[TYPE]:[UNIT]],'Unit Price'!D$1,FALSE),0)</f>
        <v>0</v>
      </c>
      <c r="I313" s="194">
        <f>IF(_1_541284561214624104645789101745678[[#This Row],[Type]]&gt;0,VLOOKUP(_1_541284561214624104645789101745678[[#This Row],[Type]],Main[[#All],[TYPE]:[UNIT]],'Unit Price'!G$1,FALSE),0)</f>
        <v>0</v>
      </c>
      <c r="J313" s="194">
        <f>IF(_1_541284561214624104645789101745678[[#This Row],[Type]]&gt;0,VLOOKUP(_1_541284561214624104645789101745678[[#This Row],[Type]],Main[[#All],[TYPE]:[UNIT]],'Unit Price'!H$1,FALSE),0)</f>
        <v>0</v>
      </c>
      <c r="K313" s="194">
        <f>IF(_1_541284561214624104645789101745678[[#This Row],[Discount selection]]&gt;0,VLOOKUP(_1_541284561214624104645789101745678[[#This Row],[Discount selection]],'Discount Structure'!$A$2:$B$30,2,"false"),0)</f>
        <v>1</v>
      </c>
      <c r="L313" s="194">
        <f>_1_541284561214624104645789101745678[[#This Row],[LIST $]]*_1_541284561214624104645789101745678[[#This Row],[DISCOUNT]]*_1_541284561214624104645789101745678[[#This Row],[DISCOUNT 2]]</f>
        <v>0</v>
      </c>
      <c r="M313" s="194">
        <f>IF(OR(_1_541284561214624104645789101745678[[#This Row],[UNIT]]&gt;0,_1_541284561214624104645789101745678[[#This Row],[UNIT]]&lt;0),_1_541284561214624104645789101745678[[#This Row],[UNIT]]*_1_541284561214624104645789101745678[[#This Row],[COST]],0)</f>
        <v>0</v>
      </c>
      <c r="N313" s="194">
        <f t="shared" si="4"/>
        <v>1.3</v>
      </c>
      <c r="O313" s="198">
        <f>_1_541284561214624104645789101745678[[#This Row],[TOTAL]]*_1_541284561214624104645789101745678[[#This Row],[MARGIN]]</f>
        <v>0</v>
      </c>
      <c r="R313" s="41"/>
    </row>
    <row r="314" spans="1:18">
      <c r="A314" s="323"/>
      <c r="B314" s="323"/>
      <c r="C314" s="328"/>
      <c r="D314" s="188"/>
      <c r="F314" s="168" t="s">
        <v>6202</v>
      </c>
      <c r="G314" s="205">
        <f>IF(_1_541284561214624104645789101745678[[#This Row],[Type]]&gt;0,VLOOKUP(_1_541284561214624104645789101745678[[#This Row],[Type]],Main[[#All],[TYPE]:[UNIT]],'Unit Price'!C$1,FALSE),0)</f>
        <v>0</v>
      </c>
      <c r="H314" s="197">
        <f>IF(_1_541284561214624104645789101745678[[#This Row],[Type]]&gt;0,VLOOKUP(_1_541284561214624104645789101745678[[#This Row],[Type]],Main[[#All],[TYPE]:[UNIT]],'Unit Price'!D$1,FALSE),0)</f>
        <v>0</v>
      </c>
      <c r="I314" s="194">
        <f>IF(_1_541284561214624104645789101745678[[#This Row],[Type]]&gt;0,VLOOKUP(_1_541284561214624104645789101745678[[#This Row],[Type]],Main[[#All],[TYPE]:[UNIT]],'Unit Price'!G$1,FALSE),0)</f>
        <v>0</v>
      </c>
      <c r="J314" s="194">
        <f>IF(_1_541284561214624104645789101745678[[#This Row],[Type]]&gt;0,VLOOKUP(_1_541284561214624104645789101745678[[#This Row],[Type]],Main[[#All],[TYPE]:[UNIT]],'Unit Price'!H$1,FALSE),0)</f>
        <v>0</v>
      </c>
      <c r="K314" s="194">
        <f>IF(_1_541284561214624104645789101745678[[#This Row],[Discount selection]]&gt;0,VLOOKUP(_1_541284561214624104645789101745678[[#This Row],[Discount selection]],'Discount Structure'!$A$2:$B$30,2,"false"),0)</f>
        <v>1</v>
      </c>
      <c r="L314" s="194">
        <f>_1_541284561214624104645789101745678[[#This Row],[LIST $]]*_1_541284561214624104645789101745678[[#This Row],[DISCOUNT]]*_1_541284561214624104645789101745678[[#This Row],[DISCOUNT 2]]</f>
        <v>0</v>
      </c>
      <c r="M314" s="194">
        <f>IF(OR(_1_541284561214624104645789101745678[[#This Row],[UNIT]]&gt;0,_1_541284561214624104645789101745678[[#This Row],[UNIT]]&lt;0),_1_541284561214624104645789101745678[[#This Row],[UNIT]]*_1_541284561214624104645789101745678[[#This Row],[COST]],0)</f>
        <v>0</v>
      </c>
      <c r="N314" s="194">
        <f t="shared" si="4"/>
        <v>1.3</v>
      </c>
      <c r="O314" s="198">
        <f>_1_541284561214624104645789101745678[[#This Row],[TOTAL]]*_1_541284561214624104645789101745678[[#This Row],[MARGIN]]</f>
        <v>0</v>
      </c>
      <c r="R314" s="41"/>
    </row>
    <row r="315" spans="1:18">
      <c r="D315" s="188"/>
      <c r="F315" s="168" t="s">
        <v>6202</v>
      </c>
      <c r="G315" s="193">
        <f>IF(_1_541284561214624104645789101745678[[#This Row],[Type]]&gt;0,VLOOKUP(_1_541284561214624104645789101745678[[#This Row],[Type]],Main[[#All],[TYPE]:[UNIT]],'Unit Price'!C$1,FALSE),0)</f>
        <v>0</v>
      </c>
      <c r="H315" s="197">
        <f>IF(_1_541284561214624104645789101745678[[#This Row],[Type]]&gt;0,VLOOKUP(_1_541284561214624104645789101745678[[#This Row],[Type]],Main[[#All],[TYPE]:[UNIT]],'Unit Price'!D$1,FALSE),0)</f>
        <v>0</v>
      </c>
      <c r="I315" s="194">
        <f>IF(_1_541284561214624104645789101745678[[#This Row],[Type]]&gt;0,VLOOKUP(_1_541284561214624104645789101745678[[#This Row],[Type]],Main[[#All],[TYPE]:[UNIT]],'Unit Price'!G$1,FALSE),0)</f>
        <v>0</v>
      </c>
      <c r="J315" s="194">
        <f>IF(_1_541284561214624104645789101745678[[#This Row],[Type]]&gt;0,VLOOKUP(_1_541284561214624104645789101745678[[#This Row],[Type]],Main[[#All],[TYPE]:[UNIT]],'Unit Price'!H$1,FALSE),0)</f>
        <v>0</v>
      </c>
      <c r="K315" s="194">
        <f>IF(_1_541284561214624104645789101745678[[#This Row],[Discount selection]]&gt;0,VLOOKUP(_1_541284561214624104645789101745678[[#This Row],[Discount selection]],'Discount Structure'!$A$2:$B$30,2,"false"),0)</f>
        <v>1</v>
      </c>
      <c r="L315" s="194">
        <f>_1_541284561214624104645789101745678[[#This Row],[LIST $]]*_1_541284561214624104645789101745678[[#This Row],[DISCOUNT]]*_1_541284561214624104645789101745678[[#This Row],[DISCOUNT 2]]</f>
        <v>0</v>
      </c>
      <c r="M315" s="194">
        <f>IF(OR(_1_541284561214624104645789101745678[[#This Row],[UNIT]]&gt;0,_1_541284561214624104645789101745678[[#This Row],[UNIT]]&lt;0),_1_541284561214624104645789101745678[[#This Row],[UNIT]]*_1_541284561214624104645789101745678[[#This Row],[COST]],0)</f>
        <v>0</v>
      </c>
      <c r="N315" s="194">
        <f t="shared" si="4"/>
        <v>1.3</v>
      </c>
      <c r="O315" s="198">
        <f>_1_541284561214624104645789101745678[[#This Row],[TOTAL]]*_1_541284561214624104645789101745678[[#This Row],[MARGIN]]</f>
        <v>0</v>
      </c>
      <c r="R315" s="41"/>
    </row>
    <row r="316" spans="1:18">
      <c r="A316" s="328"/>
      <c r="B316" s="323"/>
      <c r="C316" s="326"/>
      <c r="D316" s="188"/>
      <c r="F316" s="168" t="s">
        <v>6202</v>
      </c>
      <c r="G316" s="193">
        <f>IF(_1_541284561214624104645789101745678[[#This Row],[Type]]&gt;0,VLOOKUP(_1_541284561214624104645789101745678[[#This Row],[Type]],Main[[#All],[TYPE]:[UNIT]],'Unit Price'!C$1,FALSE),0)</f>
        <v>0</v>
      </c>
      <c r="H316" s="197">
        <f>IF(_1_541284561214624104645789101745678[[#This Row],[Type]]&gt;0,VLOOKUP(_1_541284561214624104645789101745678[[#This Row],[Type]],Main[[#All],[TYPE]:[UNIT]],'Unit Price'!D$1,FALSE),0)</f>
        <v>0</v>
      </c>
      <c r="I316" s="194">
        <f>IF(_1_541284561214624104645789101745678[[#This Row],[Type]]&gt;0,VLOOKUP(_1_541284561214624104645789101745678[[#This Row],[Type]],Main[[#All],[TYPE]:[UNIT]],'Unit Price'!G$1,FALSE),0)</f>
        <v>0</v>
      </c>
      <c r="J316" s="194">
        <f>IF(_1_541284561214624104645789101745678[[#This Row],[Type]]&gt;0,VLOOKUP(_1_541284561214624104645789101745678[[#This Row],[Type]],Main[[#All],[TYPE]:[UNIT]],'Unit Price'!H$1,FALSE),0)</f>
        <v>0</v>
      </c>
      <c r="K316" s="194">
        <f>IF(_1_541284561214624104645789101745678[[#This Row],[Discount selection]]&gt;0,VLOOKUP(_1_541284561214624104645789101745678[[#This Row],[Discount selection]],'Discount Structure'!$A$2:$B$30,2,"false"),0)</f>
        <v>1</v>
      </c>
      <c r="L316" s="194">
        <f>_1_541284561214624104645789101745678[[#This Row],[LIST $]]*_1_541284561214624104645789101745678[[#This Row],[DISCOUNT]]*_1_541284561214624104645789101745678[[#This Row],[DISCOUNT 2]]</f>
        <v>0</v>
      </c>
      <c r="M316" s="194">
        <f>IF(OR(_1_541284561214624104645789101745678[[#This Row],[UNIT]]&gt;0,_1_541284561214624104645789101745678[[#This Row],[UNIT]]&lt;0),_1_541284561214624104645789101745678[[#This Row],[UNIT]]*_1_541284561214624104645789101745678[[#This Row],[COST]],0)</f>
        <v>0</v>
      </c>
      <c r="N316" s="194">
        <f t="shared" si="4"/>
        <v>1.3</v>
      </c>
      <c r="O316" s="198">
        <f>_1_541284561214624104645789101745678[[#This Row],[TOTAL]]*_1_541284561214624104645789101745678[[#This Row],[MARGIN]]</f>
        <v>0</v>
      </c>
      <c r="R316" s="41"/>
    </row>
    <row r="317" spans="1:18">
      <c r="C317" s="328"/>
      <c r="D317" s="188"/>
      <c r="F317" s="168" t="s">
        <v>6202</v>
      </c>
      <c r="G317" s="193">
        <f>IF(_1_541284561214624104645789101745678[[#This Row],[Type]]&gt;0,VLOOKUP(_1_541284561214624104645789101745678[[#This Row],[Type]],Main[[#All],[TYPE]:[UNIT]],'Unit Price'!C$1,FALSE),0)</f>
        <v>0</v>
      </c>
      <c r="H317" s="197">
        <f>IF(_1_541284561214624104645789101745678[[#This Row],[Type]]&gt;0,VLOOKUP(_1_541284561214624104645789101745678[[#This Row],[Type]],Main[[#All],[TYPE]:[UNIT]],'Unit Price'!D$1,FALSE),0)</f>
        <v>0</v>
      </c>
      <c r="I317" s="194">
        <f>IF(_1_541284561214624104645789101745678[[#This Row],[Type]]&gt;0,VLOOKUP(_1_541284561214624104645789101745678[[#This Row],[Type]],Main[[#All],[TYPE]:[UNIT]],'Unit Price'!G$1,FALSE),0)</f>
        <v>0</v>
      </c>
      <c r="J317" s="194">
        <f>IF(_1_541284561214624104645789101745678[[#This Row],[Type]]&gt;0,VLOOKUP(_1_541284561214624104645789101745678[[#This Row],[Type]],Main[[#All],[TYPE]:[UNIT]],'Unit Price'!H$1,FALSE),0)</f>
        <v>0</v>
      </c>
      <c r="K317" s="194">
        <f>IF(_1_541284561214624104645789101745678[[#This Row],[Discount selection]]&gt;0,VLOOKUP(_1_541284561214624104645789101745678[[#This Row],[Discount selection]],'Discount Structure'!$A$2:$B$30,2,"false"),0)</f>
        <v>1</v>
      </c>
      <c r="L317" s="194">
        <f>_1_541284561214624104645789101745678[[#This Row],[LIST $]]*_1_541284561214624104645789101745678[[#This Row],[DISCOUNT]]*_1_541284561214624104645789101745678[[#This Row],[DISCOUNT 2]]</f>
        <v>0</v>
      </c>
      <c r="M317" s="194">
        <f>IF(OR(_1_541284561214624104645789101745678[[#This Row],[UNIT]]&gt;0,_1_541284561214624104645789101745678[[#This Row],[UNIT]]&lt;0),_1_541284561214624104645789101745678[[#This Row],[UNIT]]*_1_541284561214624104645789101745678[[#This Row],[COST]],0)</f>
        <v>0</v>
      </c>
      <c r="N317" s="194">
        <f t="shared" si="4"/>
        <v>1.3</v>
      </c>
      <c r="O317" s="198">
        <f>_1_541284561214624104645789101745678[[#This Row],[TOTAL]]*_1_541284561214624104645789101745678[[#This Row],[MARGIN]]</f>
        <v>0</v>
      </c>
      <c r="R317" s="41"/>
    </row>
    <row r="318" spans="1:18">
      <c r="D318" s="188"/>
      <c r="F318" s="168" t="s">
        <v>6202</v>
      </c>
      <c r="G318" s="193">
        <f>IF(_1_541284561214624104645789101745678[[#This Row],[Type]]&gt;0,VLOOKUP(_1_541284561214624104645789101745678[[#This Row],[Type]],Main[[#All],[TYPE]:[UNIT]],'Unit Price'!C$1,FALSE),0)</f>
        <v>0</v>
      </c>
      <c r="H318" s="197">
        <f>IF(_1_541284561214624104645789101745678[[#This Row],[Type]]&gt;0,VLOOKUP(_1_541284561214624104645789101745678[[#This Row],[Type]],Main[[#All],[TYPE]:[UNIT]],'Unit Price'!D$1,FALSE),0)</f>
        <v>0</v>
      </c>
      <c r="I318" s="194">
        <f>IF(_1_541284561214624104645789101745678[[#This Row],[Type]]&gt;0,VLOOKUP(_1_541284561214624104645789101745678[[#This Row],[Type]],Main[[#All],[TYPE]:[UNIT]],'Unit Price'!G$1,FALSE),0)</f>
        <v>0</v>
      </c>
      <c r="J318" s="194">
        <f>IF(_1_541284561214624104645789101745678[[#This Row],[Type]]&gt;0,VLOOKUP(_1_541284561214624104645789101745678[[#This Row],[Type]],Main[[#All],[TYPE]:[UNIT]],'Unit Price'!H$1,FALSE),0)</f>
        <v>0</v>
      </c>
      <c r="K318" s="194">
        <f>IF(_1_541284561214624104645789101745678[[#This Row],[Discount selection]]&gt;0,VLOOKUP(_1_541284561214624104645789101745678[[#This Row],[Discount selection]],'Discount Structure'!$A$2:$B$30,2,"false"),0)</f>
        <v>1</v>
      </c>
      <c r="L318" s="194">
        <f>_1_541284561214624104645789101745678[[#This Row],[LIST $]]*_1_541284561214624104645789101745678[[#This Row],[DISCOUNT]]*_1_541284561214624104645789101745678[[#This Row],[DISCOUNT 2]]</f>
        <v>0</v>
      </c>
      <c r="M318" s="194">
        <f>IF(OR(_1_541284561214624104645789101745678[[#This Row],[UNIT]]&gt;0,_1_541284561214624104645789101745678[[#This Row],[UNIT]]&lt;0),_1_541284561214624104645789101745678[[#This Row],[UNIT]]*_1_541284561214624104645789101745678[[#This Row],[COST]],0)</f>
        <v>0</v>
      </c>
      <c r="N318" s="194">
        <f t="shared" si="4"/>
        <v>1.3</v>
      </c>
      <c r="O318" s="198">
        <f>_1_541284561214624104645789101745678[[#This Row],[TOTAL]]*_1_541284561214624104645789101745678[[#This Row],[MARGIN]]</f>
        <v>0</v>
      </c>
      <c r="R318" s="41"/>
    </row>
    <row r="319" spans="1:18">
      <c r="A319" s="353"/>
      <c r="D319" s="188"/>
      <c r="F319" s="168" t="s">
        <v>6202</v>
      </c>
      <c r="G319" s="193">
        <f>IF(_1_541284561214624104645789101745678[[#This Row],[Type]]&gt;0,VLOOKUP(_1_541284561214624104645789101745678[[#This Row],[Type]],Main[[#All],[TYPE]:[UNIT]],'Unit Price'!C$1,FALSE),0)</f>
        <v>0</v>
      </c>
      <c r="H319" s="197">
        <f>IF(_1_541284561214624104645789101745678[[#This Row],[Type]]&gt;0,VLOOKUP(_1_541284561214624104645789101745678[[#This Row],[Type]],Main[[#All],[TYPE]:[UNIT]],'Unit Price'!D$1,FALSE),0)</f>
        <v>0</v>
      </c>
      <c r="I319" s="194">
        <f>IF(_1_541284561214624104645789101745678[[#This Row],[Type]]&gt;0,VLOOKUP(_1_541284561214624104645789101745678[[#This Row],[Type]],Main[[#All],[TYPE]:[UNIT]],'Unit Price'!G$1,FALSE),0)</f>
        <v>0</v>
      </c>
      <c r="J319" s="194">
        <f>IF(_1_541284561214624104645789101745678[[#This Row],[Type]]&gt;0,VLOOKUP(_1_541284561214624104645789101745678[[#This Row],[Type]],Main[[#All],[TYPE]:[UNIT]],'Unit Price'!H$1,FALSE),0)</f>
        <v>0</v>
      </c>
      <c r="K319" s="194">
        <f>IF(_1_541284561214624104645789101745678[[#This Row],[Discount selection]]&gt;0,VLOOKUP(_1_541284561214624104645789101745678[[#This Row],[Discount selection]],'Discount Structure'!$A$2:$B$30,2,"false"),0)</f>
        <v>1</v>
      </c>
      <c r="L319" s="194">
        <f>_1_541284561214624104645789101745678[[#This Row],[LIST $]]*_1_541284561214624104645789101745678[[#This Row],[DISCOUNT]]*_1_541284561214624104645789101745678[[#This Row],[DISCOUNT 2]]</f>
        <v>0</v>
      </c>
      <c r="M319" s="194">
        <f>IF(OR(_1_541284561214624104645789101745678[[#This Row],[UNIT]]&gt;0,_1_541284561214624104645789101745678[[#This Row],[UNIT]]&lt;0),_1_541284561214624104645789101745678[[#This Row],[UNIT]]*_1_541284561214624104645789101745678[[#This Row],[COST]],0)</f>
        <v>0</v>
      </c>
      <c r="N319" s="194">
        <f t="shared" si="4"/>
        <v>1.3</v>
      </c>
      <c r="O319" s="198">
        <f>_1_541284561214624104645789101745678[[#This Row],[TOTAL]]*_1_541284561214624104645789101745678[[#This Row],[MARGIN]]</f>
        <v>0</v>
      </c>
      <c r="R319" s="41"/>
    </row>
    <row r="320" spans="1:18">
      <c r="B320" s="326"/>
      <c r="C320" s="326"/>
      <c r="D320" s="188"/>
      <c r="F320" s="168" t="s">
        <v>6202</v>
      </c>
      <c r="G320" s="193">
        <f>IF(_1_541284561214624104645789101745678[[#This Row],[Type]]&gt;0,VLOOKUP(_1_541284561214624104645789101745678[[#This Row],[Type]],Main[[#All],[TYPE]:[UNIT]],'Unit Price'!C$1,FALSE),0)</f>
        <v>0</v>
      </c>
      <c r="H320" s="197">
        <f>IF(_1_541284561214624104645789101745678[[#This Row],[Type]]&gt;0,VLOOKUP(_1_541284561214624104645789101745678[[#This Row],[Type]],Main[[#All],[TYPE]:[UNIT]],'Unit Price'!D$1,FALSE),0)</f>
        <v>0</v>
      </c>
      <c r="I320" s="194">
        <f>IF(_1_541284561214624104645789101745678[[#This Row],[Type]]&gt;0,VLOOKUP(_1_541284561214624104645789101745678[[#This Row],[Type]],Main[[#All],[TYPE]:[UNIT]],'Unit Price'!G$1,FALSE),0)</f>
        <v>0</v>
      </c>
      <c r="J320" s="194">
        <f>IF(_1_541284561214624104645789101745678[[#This Row],[Type]]&gt;0,VLOOKUP(_1_541284561214624104645789101745678[[#This Row],[Type]],Main[[#All],[TYPE]:[UNIT]],'Unit Price'!H$1,FALSE),0)</f>
        <v>0</v>
      </c>
      <c r="K320" s="194">
        <f>IF(_1_541284561214624104645789101745678[[#This Row],[Discount selection]]&gt;0,VLOOKUP(_1_541284561214624104645789101745678[[#This Row],[Discount selection]],'Discount Structure'!$A$2:$B$30,2,"false"),0)</f>
        <v>1</v>
      </c>
      <c r="L320" s="194">
        <f>_1_541284561214624104645789101745678[[#This Row],[LIST $]]*_1_541284561214624104645789101745678[[#This Row],[DISCOUNT]]*_1_541284561214624104645789101745678[[#This Row],[DISCOUNT 2]]</f>
        <v>0</v>
      </c>
      <c r="M320" s="194">
        <f>IF(OR(_1_541284561214624104645789101745678[[#This Row],[UNIT]]&gt;0,_1_541284561214624104645789101745678[[#This Row],[UNIT]]&lt;0),_1_541284561214624104645789101745678[[#This Row],[UNIT]]*_1_541284561214624104645789101745678[[#This Row],[COST]],0)</f>
        <v>0</v>
      </c>
      <c r="N320" s="194">
        <f t="shared" si="4"/>
        <v>1.3</v>
      </c>
      <c r="O320" s="198">
        <f>_1_541284561214624104645789101745678[[#This Row],[TOTAL]]*_1_541284561214624104645789101745678[[#This Row],[MARGIN]]</f>
        <v>0</v>
      </c>
      <c r="R320" s="41"/>
    </row>
    <row r="321" spans="1:18">
      <c r="A321" s="168"/>
      <c r="B321" s="168"/>
      <c r="C321" s="168"/>
      <c r="D321" s="188"/>
      <c r="F321" s="168" t="s">
        <v>6202</v>
      </c>
      <c r="G321" s="193">
        <f>IF(_1_541284561214624104645789101745678[[#This Row],[Type]]&gt;0,VLOOKUP(_1_541284561214624104645789101745678[[#This Row],[Type]],Main[[#All],[TYPE]:[UNIT]],'Unit Price'!C$1,FALSE),0)</f>
        <v>0</v>
      </c>
      <c r="H321" s="197">
        <f>IF(_1_541284561214624104645789101745678[[#This Row],[Type]]&gt;0,VLOOKUP(_1_541284561214624104645789101745678[[#This Row],[Type]],Main[[#All],[TYPE]:[UNIT]],'Unit Price'!D$1,FALSE),0)</f>
        <v>0</v>
      </c>
      <c r="I321" s="194">
        <f>IF(_1_541284561214624104645789101745678[[#This Row],[Type]]&gt;0,VLOOKUP(_1_541284561214624104645789101745678[[#This Row],[Type]],Main[[#All],[TYPE]:[UNIT]],'Unit Price'!G$1,FALSE),0)</f>
        <v>0</v>
      </c>
      <c r="J321" s="194">
        <f>IF(_1_541284561214624104645789101745678[[#This Row],[Type]]&gt;0,VLOOKUP(_1_541284561214624104645789101745678[[#This Row],[Type]],Main[[#All],[TYPE]:[UNIT]],'Unit Price'!H$1,FALSE),0)</f>
        <v>0</v>
      </c>
      <c r="K321" s="194">
        <f>IF(_1_541284561214624104645789101745678[[#This Row],[Discount selection]]&gt;0,VLOOKUP(_1_541284561214624104645789101745678[[#This Row],[Discount selection]],'Discount Structure'!$A$2:$B$30,2,"false"),0)</f>
        <v>1</v>
      </c>
      <c r="L321" s="194">
        <f>_1_541284561214624104645789101745678[[#This Row],[LIST $]]*_1_541284561214624104645789101745678[[#This Row],[DISCOUNT]]*_1_541284561214624104645789101745678[[#This Row],[DISCOUNT 2]]</f>
        <v>0</v>
      </c>
      <c r="M321" s="194">
        <f>IF(OR(_1_541284561214624104645789101745678[[#This Row],[UNIT]]&gt;0,_1_541284561214624104645789101745678[[#This Row],[UNIT]]&lt;0),_1_541284561214624104645789101745678[[#This Row],[UNIT]]*_1_541284561214624104645789101745678[[#This Row],[COST]],0)</f>
        <v>0</v>
      </c>
      <c r="N321" s="194">
        <f t="shared" si="4"/>
        <v>1.3</v>
      </c>
      <c r="O321" s="198">
        <f>_1_541284561214624104645789101745678[[#This Row],[TOTAL]]*_1_541284561214624104645789101745678[[#This Row],[MARGIN]]</f>
        <v>0</v>
      </c>
      <c r="R321" s="41"/>
    </row>
    <row r="322" spans="1:18">
      <c r="A322" s="327"/>
      <c r="B322" s="326"/>
      <c r="C322" s="326"/>
      <c r="D322" s="188"/>
      <c r="F322" s="168" t="s">
        <v>6202</v>
      </c>
      <c r="G322" s="193">
        <f>IF(_1_541284561214624104645789101745678[[#This Row],[Type]]&gt;0,VLOOKUP(_1_541284561214624104645789101745678[[#This Row],[Type]],Main[[#All],[TYPE]:[UNIT]],'Unit Price'!C$1,FALSE),0)</f>
        <v>0</v>
      </c>
      <c r="H322" s="197">
        <f>IF(_1_541284561214624104645789101745678[[#This Row],[Type]]&gt;0,VLOOKUP(_1_541284561214624104645789101745678[[#This Row],[Type]],Main[[#All],[TYPE]:[UNIT]],'Unit Price'!D$1,FALSE),0)</f>
        <v>0</v>
      </c>
      <c r="I322" s="194">
        <f>IF(_1_541284561214624104645789101745678[[#This Row],[Type]]&gt;0,VLOOKUP(_1_541284561214624104645789101745678[[#This Row],[Type]],Main[[#All],[TYPE]:[UNIT]],'Unit Price'!G$1,FALSE),0)</f>
        <v>0</v>
      </c>
      <c r="J322" s="194">
        <f>IF(_1_541284561214624104645789101745678[[#This Row],[Type]]&gt;0,VLOOKUP(_1_541284561214624104645789101745678[[#This Row],[Type]],Main[[#All],[TYPE]:[UNIT]],'Unit Price'!H$1,FALSE),0)</f>
        <v>0</v>
      </c>
      <c r="K322" s="194">
        <f>IF(_1_541284561214624104645789101745678[[#This Row],[Discount selection]]&gt;0,VLOOKUP(_1_541284561214624104645789101745678[[#This Row],[Discount selection]],'Discount Structure'!$A$2:$B$30,2,"false"),0)</f>
        <v>1</v>
      </c>
      <c r="L322" s="194">
        <f>_1_541284561214624104645789101745678[[#This Row],[LIST $]]*_1_541284561214624104645789101745678[[#This Row],[DISCOUNT]]*_1_541284561214624104645789101745678[[#This Row],[DISCOUNT 2]]</f>
        <v>0</v>
      </c>
      <c r="M322" s="194">
        <f>IF(OR(_1_541284561214624104645789101745678[[#This Row],[UNIT]]&gt;0,_1_541284561214624104645789101745678[[#This Row],[UNIT]]&lt;0),_1_541284561214624104645789101745678[[#This Row],[UNIT]]*_1_541284561214624104645789101745678[[#This Row],[COST]],0)</f>
        <v>0</v>
      </c>
      <c r="N322" s="194">
        <f t="shared" si="4"/>
        <v>1.3</v>
      </c>
      <c r="O322" s="198">
        <f>_1_541284561214624104645789101745678[[#This Row],[TOTAL]]*_1_541284561214624104645789101745678[[#This Row],[MARGIN]]</f>
        <v>0</v>
      </c>
      <c r="R322" s="41"/>
    </row>
    <row r="323" spans="1:18">
      <c r="A323" s="326"/>
      <c r="B323" s="353"/>
      <c r="C323" s="323"/>
      <c r="D323" s="188"/>
      <c r="F323" s="168" t="s">
        <v>6202</v>
      </c>
      <c r="G323" s="193">
        <f>IF(_1_541284561214624104645789101745678[[#This Row],[Type]]&gt;0,VLOOKUP(_1_541284561214624104645789101745678[[#This Row],[Type]],Main[[#All],[TYPE]:[UNIT]],'Unit Price'!C$1,FALSE),0)</f>
        <v>0</v>
      </c>
      <c r="H323" s="197">
        <f>IF(_1_541284561214624104645789101745678[[#This Row],[Type]]&gt;0,VLOOKUP(_1_541284561214624104645789101745678[[#This Row],[Type]],Main[[#All],[TYPE]:[UNIT]],'Unit Price'!D$1,FALSE),0)</f>
        <v>0</v>
      </c>
      <c r="I323" s="194">
        <f>IF(_1_541284561214624104645789101745678[[#This Row],[Type]]&gt;0,VLOOKUP(_1_541284561214624104645789101745678[[#This Row],[Type]],Main[[#All],[TYPE]:[UNIT]],'Unit Price'!G$1,FALSE),0)</f>
        <v>0</v>
      </c>
      <c r="J323" s="194">
        <f>IF(_1_541284561214624104645789101745678[[#This Row],[Type]]&gt;0,VLOOKUP(_1_541284561214624104645789101745678[[#This Row],[Type]],Main[[#All],[TYPE]:[UNIT]],'Unit Price'!H$1,FALSE),0)</f>
        <v>0</v>
      </c>
      <c r="K323" s="194">
        <f>IF(_1_541284561214624104645789101745678[[#This Row],[Discount selection]]&gt;0,VLOOKUP(_1_541284561214624104645789101745678[[#This Row],[Discount selection]],'Discount Structure'!$A$2:$B$30,2,"false"),0)</f>
        <v>1</v>
      </c>
      <c r="L323" s="194">
        <f>_1_541284561214624104645789101745678[[#This Row],[LIST $]]*_1_541284561214624104645789101745678[[#This Row],[DISCOUNT]]*_1_541284561214624104645789101745678[[#This Row],[DISCOUNT 2]]</f>
        <v>0</v>
      </c>
      <c r="M323" s="194">
        <f>IF(OR(_1_541284561214624104645789101745678[[#This Row],[UNIT]]&gt;0,_1_541284561214624104645789101745678[[#This Row],[UNIT]]&lt;0),_1_541284561214624104645789101745678[[#This Row],[UNIT]]*_1_541284561214624104645789101745678[[#This Row],[COST]],0)</f>
        <v>0</v>
      </c>
      <c r="N323" s="194">
        <f t="shared" si="4"/>
        <v>1.3</v>
      </c>
      <c r="O323" s="198">
        <f>_1_541284561214624104645789101745678[[#This Row],[TOTAL]]*_1_541284561214624104645789101745678[[#This Row],[MARGIN]]</f>
        <v>0</v>
      </c>
      <c r="R323" s="41"/>
    </row>
    <row r="324" spans="1:18">
      <c r="C324" s="353"/>
      <c r="D324" s="188"/>
      <c r="F324" s="168" t="s">
        <v>6202</v>
      </c>
      <c r="G324" s="205">
        <f>IF(_1_541284561214624104645789101745678[[#This Row],[Type]]&gt;0,VLOOKUP(_1_541284561214624104645789101745678[[#This Row],[Type]],Main[[#All],[TYPE]:[UNIT]],'Unit Price'!C$1,FALSE),0)</f>
        <v>0</v>
      </c>
      <c r="H324" s="197">
        <f>IF(_1_541284561214624104645789101745678[[#This Row],[Type]]&gt;0,VLOOKUP(_1_541284561214624104645789101745678[[#This Row],[Type]],Main[[#All],[TYPE]:[UNIT]],'Unit Price'!D$1,FALSE),0)</f>
        <v>0</v>
      </c>
      <c r="I324" s="194">
        <f>IF(_1_541284561214624104645789101745678[[#This Row],[Type]]&gt;0,VLOOKUP(_1_541284561214624104645789101745678[[#This Row],[Type]],Main[[#All],[TYPE]:[UNIT]],'Unit Price'!G$1,FALSE),0)</f>
        <v>0</v>
      </c>
      <c r="J324" s="194">
        <f>IF(_1_541284561214624104645789101745678[[#This Row],[Type]]&gt;0,VLOOKUP(_1_541284561214624104645789101745678[[#This Row],[Type]],Main[[#All],[TYPE]:[UNIT]],'Unit Price'!H$1,FALSE),0)</f>
        <v>0</v>
      </c>
      <c r="K324" s="194">
        <f>IF(_1_541284561214624104645789101745678[[#This Row],[Discount selection]]&gt;0,VLOOKUP(_1_541284561214624104645789101745678[[#This Row],[Discount selection]],'Discount Structure'!$A$2:$B$30,2,"false"),0)</f>
        <v>1</v>
      </c>
      <c r="L324" s="194">
        <f>_1_541284561214624104645789101745678[[#This Row],[LIST $]]*_1_541284561214624104645789101745678[[#This Row],[DISCOUNT]]*_1_541284561214624104645789101745678[[#This Row],[DISCOUNT 2]]</f>
        <v>0</v>
      </c>
      <c r="M324" s="194">
        <f>IF(OR(_1_541284561214624104645789101745678[[#This Row],[UNIT]]&gt;0,_1_541284561214624104645789101745678[[#This Row],[UNIT]]&lt;0),_1_541284561214624104645789101745678[[#This Row],[UNIT]]*_1_541284561214624104645789101745678[[#This Row],[COST]],0)</f>
        <v>0</v>
      </c>
      <c r="N324" s="194">
        <f t="shared" si="4"/>
        <v>1.3</v>
      </c>
      <c r="O324" s="198">
        <f>_1_541284561214624104645789101745678[[#This Row],[TOTAL]]*_1_541284561214624104645789101745678[[#This Row],[MARGIN]]</f>
        <v>0</v>
      </c>
      <c r="R324" s="41"/>
    </row>
    <row r="325" spans="1:18">
      <c r="D325" s="188"/>
      <c r="F325" s="168" t="s">
        <v>6202</v>
      </c>
      <c r="G325" s="193">
        <f>IF(_1_541284561214624104645789101745678[[#This Row],[Type]]&gt;0,VLOOKUP(_1_541284561214624104645789101745678[[#This Row],[Type]],Main[[#All],[TYPE]:[UNIT]],'Unit Price'!C$1,FALSE),0)</f>
        <v>0</v>
      </c>
      <c r="H325" s="197">
        <f>IF(_1_541284561214624104645789101745678[[#This Row],[Type]]&gt;0,VLOOKUP(_1_541284561214624104645789101745678[[#This Row],[Type]],Main[[#All],[TYPE]:[UNIT]],'Unit Price'!D$1,FALSE),0)</f>
        <v>0</v>
      </c>
      <c r="I325" s="194">
        <f>IF(_1_541284561214624104645789101745678[[#This Row],[Type]]&gt;0,VLOOKUP(_1_541284561214624104645789101745678[[#This Row],[Type]],Main[[#All],[TYPE]:[UNIT]],'Unit Price'!G$1,FALSE),0)</f>
        <v>0</v>
      </c>
      <c r="J325" s="194">
        <f>IF(_1_541284561214624104645789101745678[[#This Row],[Type]]&gt;0,VLOOKUP(_1_541284561214624104645789101745678[[#This Row],[Type]],Main[[#All],[TYPE]:[UNIT]],'Unit Price'!H$1,FALSE),0)</f>
        <v>0</v>
      </c>
      <c r="K325" s="194">
        <f>IF(_1_541284561214624104645789101745678[[#This Row],[Discount selection]]&gt;0,VLOOKUP(_1_541284561214624104645789101745678[[#This Row],[Discount selection]],'Discount Structure'!$A$2:$B$30,2,"false"),0)</f>
        <v>1</v>
      </c>
      <c r="L325" s="194">
        <f>_1_541284561214624104645789101745678[[#This Row],[LIST $]]*_1_541284561214624104645789101745678[[#This Row],[DISCOUNT]]*_1_541284561214624104645789101745678[[#This Row],[DISCOUNT 2]]</f>
        <v>0</v>
      </c>
      <c r="M325" s="194">
        <f>IF(OR(_1_541284561214624104645789101745678[[#This Row],[UNIT]]&gt;0,_1_541284561214624104645789101745678[[#This Row],[UNIT]]&lt;0),_1_541284561214624104645789101745678[[#This Row],[UNIT]]*_1_541284561214624104645789101745678[[#This Row],[COST]],0)</f>
        <v>0</v>
      </c>
      <c r="N325" s="194">
        <f t="shared" si="4"/>
        <v>1.3</v>
      </c>
      <c r="O325" s="198">
        <f>_1_541284561214624104645789101745678[[#This Row],[TOTAL]]*_1_541284561214624104645789101745678[[#This Row],[MARGIN]]</f>
        <v>0</v>
      </c>
      <c r="R325" s="41"/>
    </row>
    <row r="326" spans="1:18">
      <c r="A326" s="323"/>
      <c r="C326" s="353"/>
      <c r="D326" s="188"/>
      <c r="F326" s="168" t="s">
        <v>6202</v>
      </c>
      <c r="G326" s="193">
        <f>IF(_1_541284561214624104645789101745678[[#This Row],[Type]]&gt;0,VLOOKUP(_1_541284561214624104645789101745678[[#This Row],[Type]],Main[[#All],[TYPE]:[UNIT]],'Unit Price'!C$1,FALSE),0)</f>
        <v>0</v>
      </c>
      <c r="H326" s="197">
        <f>IF(_1_541284561214624104645789101745678[[#This Row],[Type]]&gt;0,VLOOKUP(_1_541284561214624104645789101745678[[#This Row],[Type]],Main[[#All],[TYPE]:[UNIT]],'Unit Price'!D$1,FALSE),0)</f>
        <v>0</v>
      </c>
      <c r="I326" s="194">
        <f>IF(_1_541284561214624104645789101745678[[#This Row],[Type]]&gt;0,VLOOKUP(_1_541284561214624104645789101745678[[#This Row],[Type]],Main[[#All],[TYPE]:[UNIT]],'Unit Price'!G$1,FALSE),0)</f>
        <v>0</v>
      </c>
      <c r="J326" s="194">
        <f>IF(_1_541284561214624104645789101745678[[#This Row],[Type]]&gt;0,VLOOKUP(_1_541284561214624104645789101745678[[#This Row],[Type]],Main[[#All],[TYPE]:[UNIT]],'Unit Price'!H$1,FALSE),0)</f>
        <v>0</v>
      </c>
      <c r="K326" s="194">
        <f>IF(_1_541284561214624104645789101745678[[#This Row],[Discount selection]]&gt;0,VLOOKUP(_1_541284561214624104645789101745678[[#This Row],[Discount selection]],'Discount Structure'!$A$2:$B$30,2,"false"),0)</f>
        <v>1</v>
      </c>
      <c r="L326" s="194">
        <f>_1_541284561214624104645789101745678[[#This Row],[LIST $]]*_1_541284561214624104645789101745678[[#This Row],[DISCOUNT]]*_1_541284561214624104645789101745678[[#This Row],[DISCOUNT 2]]</f>
        <v>0</v>
      </c>
      <c r="M326" s="194">
        <f>IF(OR(_1_541284561214624104645789101745678[[#This Row],[UNIT]]&gt;0,_1_541284561214624104645789101745678[[#This Row],[UNIT]]&lt;0),_1_541284561214624104645789101745678[[#This Row],[UNIT]]*_1_541284561214624104645789101745678[[#This Row],[COST]],0)</f>
        <v>0</v>
      </c>
      <c r="N326" s="194">
        <f t="shared" si="4"/>
        <v>1.3</v>
      </c>
      <c r="O326" s="198">
        <f>_1_541284561214624104645789101745678[[#This Row],[TOTAL]]*_1_541284561214624104645789101745678[[#This Row],[MARGIN]]</f>
        <v>0</v>
      </c>
      <c r="R326" s="41"/>
    </row>
    <row r="327" spans="1:18">
      <c r="B327" s="353"/>
      <c r="D327" s="188"/>
      <c r="F327" s="168" t="s">
        <v>6202</v>
      </c>
      <c r="G327" s="193">
        <f>IF(_1_541284561214624104645789101745678[[#This Row],[Type]]&gt;0,VLOOKUP(_1_541284561214624104645789101745678[[#This Row],[Type]],Main[[#All],[TYPE]:[UNIT]],'Unit Price'!C$1,FALSE),0)</f>
        <v>0</v>
      </c>
      <c r="H327" s="197">
        <f>IF(_1_541284561214624104645789101745678[[#This Row],[Type]]&gt;0,VLOOKUP(_1_541284561214624104645789101745678[[#This Row],[Type]],Main[[#All],[TYPE]:[UNIT]],'Unit Price'!D$1,FALSE),0)</f>
        <v>0</v>
      </c>
      <c r="I327" s="194">
        <f>IF(_1_541284561214624104645789101745678[[#This Row],[Type]]&gt;0,VLOOKUP(_1_541284561214624104645789101745678[[#This Row],[Type]],Main[[#All],[TYPE]:[UNIT]],'Unit Price'!G$1,FALSE),0)</f>
        <v>0</v>
      </c>
      <c r="J327" s="194">
        <f>IF(_1_541284561214624104645789101745678[[#This Row],[Type]]&gt;0,VLOOKUP(_1_541284561214624104645789101745678[[#This Row],[Type]],Main[[#All],[TYPE]:[UNIT]],'Unit Price'!H$1,FALSE),0)</f>
        <v>0</v>
      </c>
      <c r="K327" s="194">
        <f>IF(_1_541284561214624104645789101745678[[#This Row],[Discount selection]]&gt;0,VLOOKUP(_1_541284561214624104645789101745678[[#This Row],[Discount selection]],'Discount Structure'!$A$2:$B$30,2,"false"),0)</f>
        <v>1</v>
      </c>
      <c r="L327" s="194">
        <f>_1_541284561214624104645789101745678[[#This Row],[LIST $]]*_1_541284561214624104645789101745678[[#This Row],[DISCOUNT]]*_1_541284561214624104645789101745678[[#This Row],[DISCOUNT 2]]</f>
        <v>0</v>
      </c>
      <c r="M327" s="194">
        <f>IF(OR(_1_541284561214624104645789101745678[[#This Row],[UNIT]]&gt;0,_1_541284561214624104645789101745678[[#This Row],[UNIT]]&lt;0),_1_541284561214624104645789101745678[[#This Row],[UNIT]]*_1_541284561214624104645789101745678[[#This Row],[COST]],0)</f>
        <v>0</v>
      </c>
      <c r="N327" s="194">
        <f t="shared" si="4"/>
        <v>1.3</v>
      </c>
      <c r="O327" s="198">
        <f>_1_541284561214624104645789101745678[[#This Row],[TOTAL]]*_1_541284561214624104645789101745678[[#This Row],[MARGIN]]</f>
        <v>0</v>
      </c>
      <c r="R327" s="41"/>
    </row>
    <row r="328" spans="1:18">
      <c r="A328" s="323"/>
      <c r="C328" s="323"/>
      <c r="D328" s="188"/>
      <c r="F328" s="168" t="s">
        <v>6202</v>
      </c>
      <c r="G328" s="193">
        <f>IF(_1_541284561214624104645789101745678[[#This Row],[Type]]&gt;0,VLOOKUP(_1_541284561214624104645789101745678[[#This Row],[Type]],Main[[#All],[TYPE]:[UNIT]],'Unit Price'!C$1,FALSE),0)</f>
        <v>0</v>
      </c>
      <c r="H328" s="197">
        <f>IF(_1_541284561214624104645789101745678[[#This Row],[Type]]&gt;0,VLOOKUP(_1_541284561214624104645789101745678[[#This Row],[Type]],Main[[#All],[TYPE]:[UNIT]],'Unit Price'!D$1,FALSE),0)</f>
        <v>0</v>
      </c>
      <c r="I328" s="194">
        <f>IF(_1_541284561214624104645789101745678[[#This Row],[Type]]&gt;0,VLOOKUP(_1_541284561214624104645789101745678[[#This Row],[Type]],Main[[#All],[TYPE]:[UNIT]],'Unit Price'!G$1,FALSE),0)</f>
        <v>0</v>
      </c>
      <c r="J328" s="194">
        <f>IF(_1_541284561214624104645789101745678[[#This Row],[Type]]&gt;0,VLOOKUP(_1_541284561214624104645789101745678[[#This Row],[Type]],Main[[#All],[TYPE]:[UNIT]],'Unit Price'!H$1,FALSE),0)</f>
        <v>0</v>
      </c>
      <c r="K328" s="194">
        <f>IF(_1_541284561214624104645789101745678[[#This Row],[Discount selection]]&gt;0,VLOOKUP(_1_541284561214624104645789101745678[[#This Row],[Discount selection]],'Discount Structure'!$A$2:$B$30,2,"false"),0)</f>
        <v>1</v>
      </c>
      <c r="L328" s="194">
        <f>_1_541284561214624104645789101745678[[#This Row],[LIST $]]*_1_541284561214624104645789101745678[[#This Row],[DISCOUNT]]*_1_541284561214624104645789101745678[[#This Row],[DISCOUNT 2]]</f>
        <v>0</v>
      </c>
      <c r="M328" s="194">
        <f>IF(OR(_1_541284561214624104645789101745678[[#This Row],[UNIT]]&gt;0,_1_541284561214624104645789101745678[[#This Row],[UNIT]]&lt;0),_1_541284561214624104645789101745678[[#This Row],[UNIT]]*_1_541284561214624104645789101745678[[#This Row],[COST]],0)</f>
        <v>0</v>
      </c>
      <c r="N328" s="194">
        <f t="shared" si="4"/>
        <v>1.3</v>
      </c>
      <c r="O328" s="198">
        <f>_1_541284561214624104645789101745678[[#This Row],[TOTAL]]*_1_541284561214624104645789101745678[[#This Row],[MARGIN]]</f>
        <v>0</v>
      </c>
      <c r="R328" s="41"/>
    </row>
    <row r="329" spans="1:18">
      <c r="A329" s="323"/>
      <c r="B329" s="323"/>
      <c r="C329" s="323"/>
      <c r="D329" s="188"/>
      <c r="F329" s="168" t="s">
        <v>6202</v>
      </c>
      <c r="G329" s="193">
        <f>IF(_1_541284561214624104645789101745678[[#This Row],[Type]]&gt;0,VLOOKUP(_1_541284561214624104645789101745678[[#This Row],[Type]],Main[[#All],[TYPE]:[UNIT]],'Unit Price'!C$1,FALSE),0)</f>
        <v>0</v>
      </c>
      <c r="H329" s="197">
        <f>IF(_1_541284561214624104645789101745678[[#This Row],[Type]]&gt;0,VLOOKUP(_1_541284561214624104645789101745678[[#This Row],[Type]],Main[[#All],[TYPE]:[UNIT]],'Unit Price'!D$1,FALSE),0)</f>
        <v>0</v>
      </c>
      <c r="I329" s="194">
        <f>IF(_1_541284561214624104645789101745678[[#This Row],[Type]]&gt;0,VLOOKUP(_1_541284561214624104645789101745678[[#This Row],[Type]],Main[[#All],[TYPE]:[UNIT]],'Unit Price'!G$1,FALSE),0)</f>
        <v>0</v>
      </c>
      <c r="J329" s="194">
        <f>IF(_1_541284561214624104645789101745678[[#This Row],[Type]]&gt;0,VLOOKUP(_1_541284561214624104645789101745678[[#This Row],[Type]],Main[[#All],[TYPE]:[UNIT]],'Unit Price'!H$1,FALSE),0)</f>
        <v>0</v>
      </c>
      <c r="K329" s="194">
        <f>IF(_1_541284561214624104645789101745678[[#This Row],[Discount selection]]&gt;0,VLOOKUP(_1_541284561214624104645789101745678[[#This Row],[Discount selection]],'Discount Structure'!$A$2:$B$30,2,"false"),0)</f>
        <v>1</v>
      </c>
      <c r="L329" s="194">
        <f>_1_541284561214624104645789101745678[[#This Row],[LIST $]]*_1_541284561214624104645789101745678[[#This Row],[DISCOUNT]]*_1_541284561214624104645789101745678[[#This Row],[DISCOUNT 2]]</f>
        <v>0</v>
      </c>
      <c r="M329" s="194">
        <f>IF(OR(_1_541284561214624104645789101745678[[#This Row],[UNIT]]&gt;0,_1_541284561214624104645789101745678[[#This Row],[UNIT]]&lt;0),_1_541284561214624104645789101745678[[#This Row],[UNIT]]*_1_541284561214624104645789101745678[[#This Row],[COST]],0)</f>
        <v>0</v>
      </c>
      <c r="N329" s="194">
        <f t="shared" si="4"/>
        <v>1.3</v>
      </c>
      <c r="O329" s="198">
        <f>_1_541284561214624104645789101745678[[#This Row],[TOTAL]]*_1_541284561214624104645789101745678[[#This Row],[MARGIN]]</f>
        <v>0</v>
      </c>
      <c r="R329" s="41"/>
    </row>
    <row r="330" spans="1:18">
      <c r="A330" s="168"/>
      <c r="D330" s="188"/>
      <c r="F330" s="168" t="s">
        <v>6202</v>
      </c>
      <c r="G330" s="205">
        <f>IF(_1_541284561214624104645789101745678[[#This Row],[Type]]&gt;0,VLOOKUP(_1_541284561214624104645789101745678[[#This Row],[Type]],Main[[#All],[TYPE]:[UNIT]],'Unit Price'!C$1,FALSE),0)</f>
        <v>0</v>
      </c>
      <c r="H330" s="197">
        <f>IF(_1_541284561214624104645789101745678[[#This Row],[Type]]&gt;0,VLOOKUP(_1_541284561214624104645789101745678[[#This Row],[Type]],Main[[#All],[TYPE]:[UNIT]],'Unit Price'!D$1,FALSE),0)</f>
        <v>0</v>
      </c>
      <c r="I330" s="194">
        <f>IF(_1_541284561214624104645789101745678[[#This Row],[Type]]&gt;0,VLOOKUP(_1_541284561214624104645789101745678[[#This Row],[Type]],Main[[#All],[TYPE]:[UNIT]],'Unit Price'!G$1,FALSE),0)</f>
        <v>0</v>
      </c>
      <c r="J330" s="194">
        <f>IF(_1_541284561214624104645789101745678[[#This Row],[Type]]&gt;0,VLOOKUP(_1_541284561214624104645789101745678[[#This Row],[Type]],Main[[#All],[TYPE]:[UNIT]],'Unit Price'!H$1,FALSE),0)</f>
        <v>0</v>
      </c>
      <c r="K330" s="194">
        <f>IF(_1_541284561214624104645789101745678[[#This Row],[Discount selection]]&gt;0,VLOOKUP(_1_541284561214624104645789101745678[[#This Row],[Discount selection]],'Discount Structure'!$A$2:$B$30,2,"false"),0)</f>
        <v>1</v>
      </c>
      <c r="L330" s="194">
        <f>_1_541284561214624104645789101745678[[#This Row],[LIST $]]*_1_541284561214624104645789101745678[[#This Row],[DISCOUNT]]*_1_541284561214624104645789101745678[[#This Row],[DISCOUNT 2]]</f>
        <v>0</v>
      </c>
      <c r="M330" s="194">
        <f>IF(OR(_1_541284561214624104645789101745678[[#This Row],[UNIT]]&gt;0,_1_541284561214624104645789101745678[[#This Row],[UNIT]]&lt;0),_1_541284561214624104645789101745678[[#This Row],[UNIT]]*_1_541284561214624104645789101745678[[#This Row],[COST]],0)</f>
        <v>0</v>
      </c>
      <c r="N330" s="194">
        <f t="shared" ref="N330:N393" si="5">$N$7</f>
        <v>1.3</v>
      </c>
      <c r="O330" s="198">
        <f>_1_541284561214624104645789101745678[[#This Row],[TOTAL]]*_1_541284561214624104645789101745678[[#This Row],[MARGIN]]</f>
        <v>0</v>
      </c>
      <c r="R330" s="41"/>
    </row>
    <row r="331" spans="1:18">
      <c r="D331" s="188"/>
      <c r="F331" s="168" t="s">
        <v>6202</v>
      </c>
      <c r="G331" s="193">
        <f>IF(_1_541284561214624104645789101745678[[#This Row],[Type]]&gt;0,VLOOKUP(_1_541284561214624104645789101745678[[#This Row],[Type]],Main[[#All],[TYPE]:[UNIT]],'Unit Price'!C$1,FALSE),0)</f>
        <v>0</v>
      </c>
      <c r="H331" s="197">
        <f>IF(_1_541284561214624104645789101745678[[#This Row],[Type]]&gt;0,VLOOKUP(_1_541284561214624104645789101745678[[#This Row],[Type]],Main[[#All],[TYPE]:[UNIT]],'Unit Price'!D$1,FALSE),0)</f>
        <v>0</v>
      </c>
      <c r="I331" s="194">
        <f>IF(_1_541284561214624104645789101745678[[#This Row],[Type]]&gt;0,VLOOKUP(_1_541284561214624104645789101745678[[#This Row],[Type]],Main[[#All],[TYPE]:[UNIT]],'Unit Price'!G$1,FALSE),0)</f>
        <v>0</v>
      </c>
      <c r="J331" s="194">
        <f>IF(_1_541284561214624104645789101745678[[#This Row],[Type]]&gt;0,VLOOKUP(_1_541284561214624104645789101745678[[#This Row],[Type]],Main[[#All],[TYPE]:[UNIT]],'Unit Price'!H$1,FALSE),0)</f>
        <v>0</v>
      </c>
      <c r="K331" s="194">
        <f>IF(_1_541284561214624104645789101745678[[#This Row],[Discount selection]]&gt;0,VLOOKUP(_1_541284561214624104645789101745678[[#This Row],[Discount selection]],'Discount Structure'!$A$2:$B$30,2,"false"),0)</f>
        <v>1</v>
      </c>
      <c r="L331" s="194">
        <f>_1_541284561214624104645789101745678[[#This Row],[LIST $]]*_1_541284561214624104645789101745678[[#This Row],[DISCOUNT]]*_1_541284561214624104645789101745678[[#This Row],[DISCOUNT 2]]</f>
        <v>0</v>
      </c>
      <c r="M331" s="194">
        <f>IF(OR(_1_541284561214624104645789101745678[[#This Row],[UNIT]]&gt;0,_1_541284561214624104645789101745678[[#This Row],[UNIT]]&lt;0),_1_541284561214624104645789101745678[[#This Row],[UNIT]]*_1_541284561214624104645789101745678[[#This Row],[COST]],0)</f>
        <v>0</v>
      </c>
      <c r="N331" s="194">
        <f t="shared" si="5"/>
        <v>1.3</v>
      </c>
      <c r="O331" s="198">
        <f>_1_541284561214624104645789101745678[[#This Row],[TOTAL]]*_1_541284561214624104645789101745678[[#This Row],[MARGIN]]</f>
        <v>0</v>
      </c>
      <c r="R331" s="41"/>
    </row>
    <row r="332" spans="1:18">
      <c r="A332" s="168"/>
      <c r="B332" s="168"/>
      <c r="C332" s="168"/>
      <c r="D332" s="188"/>
      <c r="F332" s="168" t="s">
        <v>6202</v>
      </c>
      <c r="G332" s="193">
        <f>IF(_1_541284561214624104645789101745678[[#This Row],[Type]]&gt;0,VLOOKUP(_1_541284561214624104645789101745678[[#This Row],[Type]],Main[[#All],[TYPE]:[UNIT]],'Unit Price'!C$1,FALSE),0)</f>
        <v>0</v>
      </c>
      <c r="H332" s="197">
        <f>IF(_1_541284561214624104645789101745678[[#This Row],[Type]]&gt;0,VLOOKUP(_1_541284561214624104645789101745678[[#This Row],[Type]],Main[[#All],[TYPE]:[UNIT]],'Unit Price'!D$1,FALSE),0)</f>
        <v>0</v>
      </c>
      <c r="I332" s="194">
        <f>IF(_1_541284561214624104645789101745678[[#This Row],[Type]]&gt;0,VLOOKUP(_1_541284561214624104645789101745678[[#This Row],[Type]],Main[[#All],[TYPE]:[UNIT]],'Unit Price'!G$1,FALSE),0)</f>
        <v>0</v>
      </c>
      <c r="J332" s="194">
        <f>IF(_1_541284561214624104645789101745678[[#This Row],[Type]]&gt;0,VLOOKUP(_1_541284561214624104645789101745678[[#This Row],[Type]],Main[[#All],[TYPE]:[UNIT]],'Unit Price'!H$1,FALSE),0)</f>
        <v>0</v>
      </c>
      <c r="K332" s="194">
        <f>IF(_1_541284561214624104645789101745678[[#This Row],[Discount selection]]&gt;0,VLOOKUP(_1_541284561214624104645789101745678[[#This Row],[Discount selection]],'Discount Structure'!$A$2:$B$30,2,"false"),0)</f>
        <v>1</v>
      </c>
      <c r="L332" s="194">
        <f>_1_541284561214624104645789101745678[[#This Row],[LIST $]]*_1_541284561214624104645789101745678[[#This Row],[DISCOUNT]]*_1_541284561214624104645789101745678[[#This Row],[DISCOUNT 2]]</f>
        <v>0</v>
      </c>
      <c r="M332" s="194">
        <f>IF(OR(_1_541284561214624104645789101745678[[#This Row],[UNIT]]&gt;0,_1_541284561214624104645789101745678[[#This Row],[UNIT]]&lt;0),_1_541284561214624104645789101745678[[#This Row],[UNIT]]*_1_541284561214624104645789101745678[[#This Row],[COST]],0)</f>
        <v>0</v>
      </c>
      <c r="N332" s="194">
        <f t="shared" si="5"/>
        <v>1.3</v>
      </c>
      <c r="O332" s="198">
        <f>_1_541284561214624104645789101745678[[#This Row],[TOTAL]]*_1_541284561214624104645789101745678[[#This Row],[MARGIN]]</f>
        <v>0</v>
      </c>
      <c r="R332" s="41"/>
    </row>
    <row r="333" spans="1:18">
      <c r="A333" s="323"/>
      <c r="B333" s="323"/>
      <c r="C333" s="323"/>
      <c r="D333" s="188"/>
      <c r="F333" s="168" t="s">
        <v>6202</v>
      </c>
      <c r="G333" s="193">
        <f>IF(_1_541284561214624104645789101745678[[#This Row],[Type]]&gt;0,VLOOKUP(_1_541284561214624104645789101745678[[#This Row],[Type]],Main[[#All],[TYPE]:[UNIT]],'Unit Price'!C$1,FALSE),0)</f>
        <v>0</v>
      </c>
      <c r="H333" s="197">
        <f>IF(_1_541284561214624104645789101745678[[#This Row],[Type]]&gt;0,VLOOKUP(_1_541284561214624104645789101745678[[#This Row],[Type]],Main[[#All],[TYPE]:[UNIT]],'Unit Price'!D$1,FALSE),0)</f>
        <v>0</v>
      </c>
      <c r="I333" s="194">
        <f>IF(_1_541284561214624104645789101745678[[#This Row],[Type]]&gt;0,VLOOKUP(_1_541284561214624104645789101745678[[#This Row],[Type]],Main[[#All],[TYPE]:[UNIT]],'Unit Price'!G$1,FALSE),0)</f>
        <v>0</v>
      </c>
      <c r="J333" s="194">
        <f>IF(_1_541284561214624104645789101745678[[#This Row],[Type]]&gt;0,VLOOKUP(_1_541284561214624104645789101745678[[#This Row],[Type]],Main[[#All],[TYPE]:[UNIT]],'Unit Price'!H$1,FALSE),0)</f>
        <v>0</v>
      </c>
      <c r="K333" s="194">
        <f>IF(_1_541284561214624104645789101745678[[#This Row],[Discount selection]]&gt;0,VLOOKUP(_1_541284561214624104645789101745678[[#This Row],[Discount selection]],'Discount Structure'!$A$2:$B$30,2,"false"),0)</f>
        <v>1</v>
      </c>
      <c r="L333" s="194">
        <f>_1_541284561214624104645789101745678[[#This Row],[LIST $]]*_1_541284561214624104645789101745678[[#This Row],[DISCOUNT]]*_1_541284561214624104645789101745678[[#This Row],[DISCOUNT 2]]</f>
        <v>0</v>
      </c>
      <c r="M333" s="194">
        <f>IF(OR(_1_541284561214624104645789101745678[[#This Row],[UNIT]]&gt;0,_1_541284561214624104645789101745678[[#This Row],[UNIT]]&lt;0),_1_541284561214624104645789101745678[[#This Row],[UNIT]]*_1_541284561214624104645789101745678[[#This Row],[COST]],0)</f>
        <v>0</v>
      </c>
      <c r="N333" s="194">
        <f t="shared" si="5"/>
        <v>1.3</v>
      </c>
      <c r="O333" s="198">
        <f>_1_541284561214624104645789101745678[[#This Row],[TOTAL]]*_1_541284561214624104645789101745678[[#This Row],[MARGIN]]</f>
        <v>0</v>
      </c>
      <c r="R333" s="41"/>
    </row>
    <row r="334" spans="1:18">
      <c r="A334" s="323"/>
      <c r="B334" s="323"/>
      <c r="C334" s="323"/>
      <c r="D334" s="188"/>
      <c r="F334" s="168" t="s">
        <v>6202</v>
      </c>
      <c r="G334" s="193">
        <f>IF(_1_541284561214624104645789101745678[[#This Row],[Type]]&gt;0,VLOOKUP(_1_541284561214624104645789101745678[[#This Row],[Type]],Main[[#All],[TYPE]:[UNIT]],'Unit Price'!C$1,FALSE),0)</f>
        <v>0</v>
      </c>
      <c r="H334" s="197">
        <f>IF(_1_541284561214624104645789101745678[[#This Row],[Type]]&gt;0,VLOOKUP(_1_541284561214624104645789101745678[[#This Row],[Type]],Main[[#All],[TYPE]:[UNIT]],'Unit Price'!D$1,FALSE),0)</f>
        <v>0</v>
      </c>
      <c r="I334" s="194">
        <f>IF(_1_541284561214624104645789101745678[[#This Row],[Type]]&gt;0,VLOOKUP(_1_541284561214624104645789101745678[[#This Row],[Type]],Main[[#All],[TYPE]:[UNIT]],'Unit Price'!G$1,FALSE),0)</f>
        <v>0</v>
      </c>
      <c r="J334" s="194">
        <f>IF(_1_541284561214624104645789101745678[[#This Row],[Type]]&gt;0,VLOOKUP(_1_541284561214624104645789101745678[[#This Row],[Type]],Main[[#All],[TYPE]:[UNIT]],'Unit Price'!H$1,FALSE),0)</f>
        <v>0</v>
      </c>
      <c r="K334" s="194">
        <f>IF(_1_541284561214624104645789101745678[[#This Row],[Discount selection]]&gt;0,VLOOKUP(_1_541284561214624104645789101745678[[#This Row],[Discount selection]],'Discount Structure'!$A$2:$B$30,2,"false"),0)</f>
        <v>1</v>
      </c>
      <c r="L334" s="194">
        <f>_1_541284561214624104645789101745678[[#This Row],[LIST $]]*_1_541284561214624104645789101745678[[#This Row],[DISCOUNT]]*_1_541284561214624104645789101745678[[#This Row],[DISCOUNT 2]]</f>
        <v>0</v>
      </c>
      <c r="M334" s="194">
        <f>IF(OR(_1_541284561214624104645789101745678[[#This Row],[UNIT]]&gt;0,_1_541284561214624104645789101745678[[#This Row],[UNIT]]&lt;0),_1_541284561214624104645789101745678[[#This Row],[UNIT]]*_1_541284561214624104645789101745678[[#This Row],[COST]],0)</f>
        <v>0</v>
      </c>
      <c r="N334" s="194">
        <f t="shared" si="5"/>
        <v>1.3</v>
      </c>
      <c r="O334" s="198">
        <f>_1_541284561214624104645789101745678[[#This Row],[TOTAL]]*_1_541284561214624104645789101745678[[#This Row],[MARGIN]]</f>
        <v>0</v>
      </c>
      <c r="R334" s="41"/>
    </row>
    <row r="335" spans="1:18">
      <c r="D335" s="188"/>
      <c r="F335" s="168" t="s">
        <v>6202</v>
      </c>
      <c r="G335" s="205">
        <f>IF(_1_541284561214624104645789101745678[[#This Row],[Type]]&gt;0,VLOOKUP(_1_541284561214624104645789101745678[[#This Row],[Type]],Main[[#All],[TYPE]:[UNIT]],'Unit Price'!C$1,FALSE),0)</f>
        <v>0</v>
      </c>
      <c r="H335" s="197">
        <f>IF(_1_541284561214624104645789101745678[[#This Row],[Type]]&gt;0,VLOOKUP(_1_541284561214624104645789101745678[[#This Row],[Type]],Main[[#All],[TYPE]:[UNIT]],'Unit Price'!D$1,FALSE),0)</f>
        <v>0</v>
      </c>
      <c r="I335" s="194">
        <f>IF(_1_541284561214624104645789101745678[[#This Row],[Type]]&gt;0,VLOOKUP(_1_541284561214624104645789101745678[[#This Row],[Type]],Main[[#All],[TYPE]:[UNIT]],'Unit Price'!G$1,FALSE),0)</f>
        <v>0</v>
      </c>
      <c r="J335" s="194">
        <f>IF(_1_541284561214624104645789101745678[[#This Row],[Type]]&gt;0,VLOOKUP(_1_541284561214624104645789101745678[[#This Row],[Type]],Main[[#All],[TYPE]:[UNIT]],'Unit Price'!H$1,FALSE),0)</f>
        <v>0</v>
      </c>
      <c r="K335" s="194">
        <f>IF(_1_541284561214624104645789101745678[[#This Row],[Discount selection]]&gt;0,VLOOKUP(_1_541284561214624104645789101745678[[#This Row],[Discount selection]],'Discount Structure'!$A$2:$B$30,2,"false"),0)</f>
        <v>1</v>
      </c>
      <c r="L335" s="194">
        <f>_1_541284561214624104645789101745678[[#This Row],[LIST $]]*_1_541284561214624104645789101745678[[#This Row],[DISCOUNT]]*_1_541284561214624104645789101745678[[#This Row],[DISCOUNT 2]]</f>
        <v>0</v>
      </c>
      <c r="M335" s="194">
        <f>IF(OR(_1_541284561214624104645789101745678[[#This Row],[UNIT]]&gt;0,_1_541284561214624104645789101745678[[#This Row],[UNIT]]&lt;0),_1_541284561214624104645789101745678[[#This Row],[UNIT]]*_1_541284561214624104645789101745678[[#This Row],[COST]],0)</f>
        <v>0</v>
      </c>
      <c r="N335" s="194">
        <f t="shared" si="5"/>
        <v>1.3</v>
      </c>
      <c r="O335" s="198">
        <f>_1_541284561214624104645789101745678[[#This Row],[TOTAL]]*_1_541284561214624104645789101745678[[#This Row],[MARGIN]]</f>
        <v>0</v>
      </c>
      <c r="R335" s="41"/>
    </row>
    <row r="336" spans="1:18">
      <c r="D336" s="188"/>
      <c r="F336" s="168" t="s">
        <v>6202</v>
      </c>
      <c r="G336" s="193">
        <f>IF(_1_541284561214624104645789101745678[[#This Row],[Type]]&gt;0,VLOOKUP(_1_541284561214624104645789101745678[[#This Row],[Type]],Main[[#All],[TYPE]:[UNIT]],'Unit Price'!C$1,FALSE),0)</f>
        <v>0</v>
      </c>
      <c r="H336" s="197">
        <f>IF(_1_541284561214624104645789101745678[[#This Row],[Type]]&gt;0,VLOOKUP(_1_541284561214624104645789101745678[[#This Row],[Type]],Main[[#All],[TYPE]:[UNIT]],'Unit Price'!D$1,FALSE),0)</f>
        <v>0</v>
      </c>
      <c r="I336" s="194">
        <f>IF(_1_541284561214624104645789101745678[[#This Row],[Type]]&gt;0,VLOOKUP(_1_541284561214624104645789101745678[[#This Row],[Type]],Main[[#All],[TYPE]:[UNIT]],'Unit Price'!G$1,FALSE),0)</f>
        <v>0</v>
      </c>
      <c r="J336" s="194">
        <f>IF(_1_541284561214624104645789101745678[[#This Row],[Type]]&gt;0,VLOOKUP(_1_541284561214624104645789101745678[[#This Row],[Type]],Main[[#All],[TYPE]:[UNIT]],'Unit Price'!H$1,FALSE),0)</f>
        <v>0</v>
      </c>
      <c r="K336" s="194">
        <f>IF(_1_541284561214624104645789101745678[[#This Row],[Discount selection]]&gt;0,VLOOKUP(_1_541284561214624104645789101745678[[#This Row],[Discount selection]],'Discount Structure'!$A$2:$B$30,2,"false"),0)</f>
        <v>1</v>
      </c>
      <c r="L336" s="194">
        <f>_1_541284561214624104645789101745678[[#This Row],[LIST $]]*_1_541284561214624104645789101745678[[#This Row],[DISCOUNT]]*_1_541284561214624104645789101745678[[#This Row],[DISCOUNT 2]]</f>
        <v>0</v>
      </c>
      <c r="M336" s="194">
        <f>IF(OR(_1_541284561214624104645789101745678[[#This Row],[UNIT]]&gt;0,_1_541284561214624104645789101745678[[#This Row],[UNIT]]&lt;0),_1_541284561214624104645789101745678[[#This Row],[UNIT]]*_1_541284561214624104645789101745678[[#This Row],[COST]],0)</f>
        <v>0</v>
      </c>
      <c r="N336" s="194">
        <f t="shared" si="5"/>
        <v>1.3</v>
      </c>
      <c r="O336" s="198">
        <f>_1_541284561214624104645789101745678[[#This Row],[TOTAL]]*_1_541284561214624104645789101745678[[#This Row],[MARGIN]]</f>
        <v>0</v>
      </c>
      <c r="R336" s="41"/>
    </row>
    <row r="337" spans="1:18">
      <c r="D337" s="188"/>
      <c r="F337" s="168" t="s">
        <v>6202</v>
      </c>
      <c r="G337" s="193">
        <f>IF(_1_541284561214624104645789101745678[[#This Row],[Type]]&gt;0,VLOOKUP(_1_541284561214624104645789101745678[[#This Row],[Type]],Main[[#All],[TYPE]:[UNIT]],'Unit Price'!C$1,FALSE),0)</f>
        <v>0</v>
      </c>
      <c r="H337" s="197">
        <f>IF(_1_541284561214624104645789101745678[[#This Row],[Type]]&gt;0,VLOOKUP(_1_541284561214624104645789101745678[[#This Row],[Type]],Main[[#All],[TYPE]:[UNIT]],'Unit Price'!D$1,FALSE),0)</f>
        <v>0</v>
      </c>
      <c r="I337" s="194">
        <f>IF(_1_541284561214624104645789101745678[[#This Row],[Type]]&gt;0,VLOOKUP(_1_541284561214624104645789101745678[[#This Row],[Type]],Main[[#All],[TYPE]:[UNIT]],'Unit Price'!G$1,FALSE),0)</f>
        <v>0</v>
      </c>
      <c r="J337" s="194">
        <f>IF(_1_541284561214624104645789101745678[[#This Row],[Type]]&gt;0,VLOOKUP(_1_541284561214624104645789101745678[[#This Row],[Type]],Main[[#All],[TYPE]:[UNIT]],'Unit Price'!H$1,FALSE),0)</f>
        <v>0</v>
      </c>
      <c r="K337" s="194">
        <f>IF(_1_541284561214624104645789101745678[[#This Row],[Discount selection]]&gt;0,VLOOKUP(_1_541284561214624104645789101745678[[#This Row],[Discount selection]],'Discount Structure'!$A$2:$B$30,2,"false"),0)</f>
        <v>1</v>
      </c>
      <c r="L337" s="194">
        <f>_1_541284561214624104645789101745678[[#This Row],[LIST $]]*_1_541284561214624104645789101745678[[#This Row],[DISCOUNT]]*_1_541284561214624104645789101745678[[#This Row],[DISCOUNT 2]]</f>
        <v>0</v>
      </c>
      <c r="M337" s="194">
        <f>IF(OR(_1_541284561214624104645789101745678[[#This Row],[UNIT]]&gt;0,_1_541284561214624104645789101745678[[#This Row],[UNIT]]&lt;0),_1_541284561214624104645789101745678[[#This Row],[UNIT]]*_1_541284561214624104645789101745678[[#This Row],[COST]],0)</f>
        <v>0</v>
      </c>
      <c r="N337" s="194">
        <f t="shared" si="5"/>
        <v>1.3</v>
      </c>
      <c r="O337" s="198">
        <f>_1_541284561214624104645789101745678[[#This Row],[TOTAL]]*_1_541284561214624104645789101745678[[#This Row],[MARGIN]]</f>
        <v>0</v>
      </c>
      <c r="R337" s="41"/>
    </row>
    <row r="338" spans="1:18">
      <c r="A338" s="327"/>
      <c r="B338" s="327"/>
      <c r="D338" s="188"/>
      <c r="F338" s="168" t="s">
        <v>6202</v>
      </c>
      <c r="G338" s="193">
        <f>IF(_1_541284561214624104645789101745678[[#This Row],[Type]]&gt;0,VLOOKUP(_1_541284561214624104645789101745678[[#This Row],[Type]],Main[[#All],[TYPE]:[UNIT]],'Unit Price'!C$1,FALSE),0)</f>
        <v>0</v>
      </c>
      <c r="H338" s="197">
        <f>IF(_1_541284561214624104645789101745678[[#This Row],[Type]]&gt;0,VLOOKUP(_1_541284561214624104645789101745678[[#This Row],[Type]],Main[[#All],[TYPE]:[UNIT]],'Unit Price'!D$1,FALSE),0)</f>
        <v>0</v>
      </c>
      <c r="I338" s="194">
        <f>IF(_1_541284561214624104645789101745678[[#This Row],[Type]]&gt;0,VLOOKUP(_1_541284561214624104645789101745678[[#This Row],[Type]],Main[[#All],[TYPE]:[UNIT]],'Unit Price'!G$1,FALSE),0)</f>
        <v>0</v>
      </c>
      <c r="J338" s="194">
        <f>IF(_1_541284561214624104645789101745678[[#This Row],[Type]]&gt;0,VLOOKUP(_1_541284561214624104645789101745678[[#This Row],[Type]],Main[[#All],[TYPE]:[UNIT]],'Unit Price'!H$1,FALSE),0)</f>
        <v>0</v>
      </c>
      <c r="K338" s="194">
        <f>IF(_1_541284561214624104645789101745678[[#This Row],[Discount selection]]&gt;0,VLOOKUP(_1_541284561214624104645789101745678[[#This Row],[Discount selection]],'Discount Structure'!$A$2:$B$30,2,"false"),0)</f>
        <v>1</v>
      </c>
      <c r="L338" s="194">
        <f>_1_541284561214624104645789101745678[[#This Row],[LIST $]]*_1_541284561214624104645789101745678[[#This Row],[DISCOUNT]]*_1_541284561214624104645789101745678[[#This Row],[DISCOUNT 2]]</f>
        <v>0</v>
      </c>
      <c r="M338" s="194">
        <f>IF(OR(_1_541284561214624104645789101745678[[#This Row],[UNIT]]&gt;0,_1_541284561214624104645789101745678[[#This Row],[UNIT]]&lt;0),_1_541284561214624104645789101745678[[#This Row],[UNIT]]*_1_541284561214624104645789101745678[[#This Row],[COST]],0)</f>
        <v>0</v>
      </c>
      <c r="N338" s="194">
        <f t="shared" si="5"/>
        <v>1.3</v>
      </c>
      <c r="O338" s="198">
        <f>_1_541284561214624104645789101745678[[#This Row],[TOTAL]]*_1_541284561214624104645789101745678[[#This Row],[MARGIN]]</f>
        <v>0</v>
      </c>
      <c r="R338" s="41"/>
    </row>
    <row r="339" spans="1:18">
      <c r="D339" s="188"/>
      <c r="F339" s="168" t="s">
        <v>6202</v>
      </c>
      <c r="G339" s="193">
        <f>IF(_1_541284561214624104645789101745678[[#This Row],[Type]]&gt;0,VLOOKUP(_1_541284561214624104645789101745678[[#This Row],[Type]],Main[[#All],[TYPE]:[UNIT]],'Unit Price'!C$1,FALSE),0)</f>
        <v>0</v>
      </c>
      <c r="H339" s="197">
        <f>IF(_1_541284561214624104645789101745678[[#This Row],[Type]]&gt;0,VLOOKUP(_1_541284561214624104645789101745678[[#This Row],[Type]],Main[[#All],[TYPE]:[UNIT]],'Unit Price'!D$1,FALSE),0)</f>
        <v>0</v>
      </c>
      <c r="I339" s="194">
        <f>IF(_1_541284561214624104645789101745678[[#This Row],[Type]]&gt;0,VLOOKUP(_1_541284561214624104645789101745678[[#This Row],[Type]],Main[[#All],[TYPE]:[UNIT]],'Unit Price'!G$1,FALSE),0)</f>
        <v>0</v>
      </c>
      <c r="J339" s="194">
        <f>IF(_1_541284561214624104645789101745678[[#This Row],[Type]]&gt;0,VLOOKUP(_1_541284561214624104645789101745678[[#This Row],[Type]],Main[[#All],[TYPE]:[UNIT]],'Unit Price'!H$1,FALSE),0)</f>
        <v>0</v>
      </c>
      <c r="K339" s="194">
        <f>IF(_1_541284561214624104645789101745678[[#This Row],[Discount selection]]&gt;0,VLOOKUP(_1_541284561214624104645789101745678[[#This Row],[Discount selection]],'Discount Structure'!$A$2:$B$30,2,"false"),0)</f>
        <v>1</v>
      </c>
      <c r="L339" s="194">
        <f>_1_541284561214624104645789101745678[[#This Row],[LIST $]]*_1_541284561214624104645789101745678[[#This Row],[DISCOUNT]]*_1_541284561214624104645789101745678[[#This Row],[DISCOUNT 2]]</f>
        <v>0</v>
      </c>
      <c r="M339" s="194">
        <f>IF(OR(_1_541284561214624104645789101745678[[#This Row],[UNIT]]&gt;0,_1_541284561214624104645789101745678[[#This Row],[UNIT]]&lt;0),_1_541284561214624104645789101745678[[#This Row],[UNIT]]*_1_541284561214624104645789101745678[[#This Row],[COST]],0)</f>
        <v>0</v>
      </c>
      <c r="N339" s="194">
        <f t="shared" si="5"/>
        <v>1.3</v>
      </c>
      <c r="O339" s="198">
        <f>_1_541284561214624104645789101745678[[#This Row],[TOTAL]]*_1_541284561214624104645789101745678[[#This Row],[MARGIN]]</f>
        <v>0</v>
      </c>
      <c r="R339" s="41"/>
    </row>
    <row r="340" spans="1:18">
      <c r="D340" s="188"/>
      <c r="F340" s="168" t="s">
        <v>6202</v>
      </c>
      <c r="G340" s="193">
        <f>IF(_1_541284561214624104645789101745678[[#This Row],[Type]]&gt;0,VLOOKUP(_1_541284561214624104645789101745678[[#This Row],[Type]],Main[[#All],[TYPE]:[UNIT]],'Unit Price'!C$1,FALSE),0)</f>
        <v>0</v>
      </c>
      <c r="H340" s="197">
        <f>IF(_1_541284561214624104645789101745678[[#This Row],[Type]]&gt;0,VLOOKUP(_1_541284561214624104645789101745678[[#This Row],[Type]],Main[[#All],[TYPE]:[UNIT]],'Unit Price'!D$1,FALSE),0)</f>
        <v>0</v>
      </c>
      <c r="I340" s="194">
        <f>IF(_1_541284561214624104645789101745678[[#This Row],[Type]]&gt;0,VLOOKUP(_1_541284561214624104645789101745678[[#This Row],[Type]],Main[[#All],[TYPE]:[UNIT]],'Unit Price'!G$1,FALSE),0)</f>
        <v>0</v>
      </c>
      <c r="J340" s="194">
        <f>IF(_1_541284561214624104645789101745678[[#This Row],[Type]]&gt;0,VLOOKUP(_1_541284561214624104645789101745678[[#This Row],[Type]],Main[[#All],[TYPE]:[UNIT]],'Unit Price'!H$1,FALSE),0)</f>
        <v>0</v>
      </c>
      <c r="K340" s="194">
        <f>IF(_1_541284561214624104645789101745678[[#This Row],[Discount selection]]&gt;0,VLOOKUP(_1_541284561214624104645789101745678[[#This Row],[Discount selection]],'Discount Structure'!$A$2:$B$30,2,"false"),0)</f>
        <v>1</v>
      </c>
      <c r="L340" s="194">
        <f>_1_541284561214624104645789101745678[[#This Row],[LIST $]]*_1_541284561214624104645789101745678[[#This Row],[DISCOUNT]]*_1_541284561214624104645789101745678[[#This Row],[DISCOUNT 2]]</f>
        <v>0</v>
      </c>
      <c r="M340" s="194">
        <f>IF(OR(_1_541284561214624104645789101745678[[#This Row],[UNIT]]&gt;0,_1_541284561214624104645789101745678[[#This Row],[UNIT]]&lt;0),_1_541284561214624104645789101745678[[#This Row],[UNIT]]*_1_541284561214624104645789101745678[[#This Row],[COST]],0)</f>
        <v>0</v>
      </c>
      <c r="N340" s="194">
        <f t="shared" si="5"/>
        <v>1.3</v>
      </c>
      <c r="O340" s="198">
        <f>_1_541284561214624104645789101745678[[#This Row],[TOTAL]]*_1_541284561214624104645789101745678[[#This Row],[MARGIN]]</f>
        <v>0</v>
      </c>
      <c r="R340" s="41"/>
    </row>
    <row r="341" spans="1:18">
      <c r="D341" s="188"/>
      <c r="F341" s="168" t="s">
        <v>6202</v>
      </c>
      <c r="G341" s="193">
        <f>IF(_1_541284561214624104645789101745678[[#This Row],[Type]]&gt;0,VLOOKUP(_1_541284561214624104645789101745678[[#This Row],[Type]],Main[[#All],[TYPE]:[UNIT]],'Unit Price'!C$1,FALSE),0)</f>
        <v>0</v>
      </c>
      <c r="H341" s="197">
        <f>IF(_1_541284561214624104645789101745678[[#This Row],[Type]]&gt;0,VLOOKUP(_1_541284561214624104645789101745678[[#This Row],[Type]],Main[[#All],[TYPE]:[UNIT]],'Unit Price'!D$1,FALSE),0)</f>
        <v>0</v>
      </c>
      <c r="I341" s="194">
        <f>IF(_1_541284561214624104645789101745678[[#This Row],[Type]]&gt;0,VLOOKUP(_1_541284561214624104645789101745678[[#This Row],[Type]],Main[[#All],[TYPE]:[UNIT]],'Unit Price'!G$1,FALSE),0)</f>
        <v>0</v>
      </c>
      <c r="J341" s="194">
        <f>IF(_1_541284561214624104645789101745678[[#This Row],[Type]]&gt;0,VLOOKUP(_1_541284561214624104645789101745678[[#This Row],[Type]],Main[[#All],[TYPE]:[UNIT]],'Unit Price'!H$1,FALSE),0)</f>
        <v>0</v>
      </c>
      <c r="K341" s="194">
        <f>IF(_1_541284561214624104645789101745678[[#This Row],[Discount selection]]&gt;0,VLOOKUP(_1_541284561214624104645789101745678[[#This Row],[Discount selection]],'Discount Structure'!$A$2:$B$30,2,"false"),0)</f>
        <v>1</v>
      </c>
      <c r="L341" s="194">
        <f>_1_541284561214624104645789101745678[[#This Row],[LIST $]]*_1_541284561214624104645789101745678[[#This Row],[DISCOUNT]]*_1_541284561214624104645789101745678[[#This Row],[DISCOUNT 2]]</f>
        <v>0</v>
      </c>
      <c r="M341" s="194">
        <f>IF(OR(_1_541284561214624104645789101745678[[#This Row],[UNIT]]&gt;0,_1_541284561214624104645789101745678[[#This Row],[UNIT]]&lt;0),_1_541284561214624104645789101745678[[#This Row],[UNIT]]*_1_541284561214624104645789101745678[[#This Row],[COST]],0)</f>
        <v>0</v>
      </c>
      <c r="N341" s="194">
        <f t="shared" si="5"/>
        <v>1.3</v>
      </c>
      <c r="O341" s="198">
        <f>_1_541284561214624104645789101745678[[#This Row],[TOTAL]]*_1_541284561214624104645789101745678[[#This Row],[MARGIN]]</f>
        <v>0</v>
      </c>
      <c r="R341" s="41"/>
    </row>
    <row r="342" spans="1:18">
      <c r="D342" s="188"/>
      <c r="F342" s="168" t="s">
        <v>6202</v>
      </c>
      <c r="G342" s="193">
        <f>IF(_1_541284561214624104645789101745678[[#This Row],[Type]]&gt;0,VLOOKUP(_1_541284561214624104645789101745678[[#This Row],[Type]],Main[[#All],[TYPE]:[UNIT]],'Unit Price'!C$1,FALSE),0)</f>
        <v>0</v>
      </c>
      <c r="H342" s="197">
        <f>IF(_1_541284561214624104645789101745678[[#This Row],[Type]]&gt;0,VLOOKUP(_1_541284561214624104645789101745678[[#This Row],[Type]],Main[[#All],[TYPE]:[UNIT]],'Unit Price'!D$1,FALSE),0)</f>
        <v>0</v>
      </c>
      <c r="I342" s="194">
        <f>IF(_1_541284561214624104645789101745678[[#This Row],[Type]]&gt;0,VLOOKUP(_1_541284561214624104645789101745678[[#This Row],[Type]],Main[[#All],[TYPE]:[UNIT]],'Unit Price'!G$1,FALSE),0)</f>
        <v>0</v>
      </c>
      <c r="J342" s="194">
        <f>IF(_1_541284561214624104645789101745678[[#This Row],[Type]]&gt;0,VLOOKUP(_1_541284561214624104645789101745678[[#This Row],[Type]],Main[[#All],[TYPE]:[UNIT]],'Unit Price'!H$1,FALSE),0)</f>
        <v>0</v>
      </c>
      <c r="K342" s="194">
        <f>IF(_1_541284561214624104645789101745678[[#This Row],[Discount selection]]&gt;0,VLOOKUP(_1_541284561214624104645789101745678[[#This Row],[Discount selection]],'Discount Structure'!$A$2:$B$30,2,"false"),0)</f>
        <v>1</v>
      </c>
      <c r="L342" s="194">
        <f>_1_541284561214624104645789101745678[[#This Row],[LIST $]]*_1_541284561214624104645789101745678[[#This Row],[DISCOUNT]]*_1_541284561214624104645789101745678[[#This Row],[DISCOUNT 2]]</f>
        <v>0</v>
      </c>
      <c r="M342" s="194">
        <f>IF(OR(_1_541284561214624104645789101745678[[#This Row],[UNIT]]&gt;0,_1_541284561214624104645789101745678[[#This Row],[UNIT]]&lt;0),_1_541284561214624104645789101745678[[#This Row],[UNIT]]*_1_541284561214624104645789101745678[[#This Row],[COST]],0)</f>
        <v>0</v>
      </c>
      <c r="N342" s="194">
        <f t="shared" si="5"/>
        <v>1.3</v>
      </c>
      <c r="O342" s="198">
        <f>_1_541284561214624104645789101745678[[#This Row],[TOTAL]]*_1_541284561214624104645789101745678[[#This Row],[MARGIN]]</f>
        <v>0</v>
      </c>
      <c r="R342" s="41"/>
    </row>
    <row r="343" spans="1:18">
      <c r="D343" s="188"/>
      <c r="F343" s="168" t="s">
        <v>6202</v>
      </c>
      <c r="G343" s="193">
        <f>IF(_1_541284561214624104645789101745678[[#This Row],[Type]]&gt;0,VLOOKUP(_1_541284561214624104645789101745678[[#This Row],[Type]],Main[[#All],[TYPE]:[UNIT]],'Unit Price'!C$1,FALSE),0)</f>
        <v>0</v>
      </c>
      <c r="H343" s="197">
        <f>IF(_1_541284561214624104645789101745678[[#This Row],[Type]]&gt;0,VLOOKUP(_1_541284561214624104645789101745678[[#This Row],[Type]],Main[[#All],[TYPE]:[UNIT]],'Unit Price'!D$1,FALSE),0)</f>
        <v>0</v>
      </c>
      <c r="I343" s="194">
        <f>IF(_1_541284561214624104645789101745678[[#This Row],[Type]]&gt;0,VLOOKUP(_1_541284561214624104645789101745678[[#This Row],[Type]],Main[[#All],[TYPE]:[UNIT]],'Unit Price'!G$1,FALSE),0)</f>
        <v>0</v>
      </c>
      <c r="J343" s="194">
        <f>IF(_1_541284561214624104645789101745678[[#This Row],[Type]]&gt;0,VLOOKUP(_1_541284561214624104645789101745678[[#This Row],[Type]],Main[[#All],[TYPE]:[UNIT]],'Unit Price'!H$1,FALSE),0)</f>
        <v>0</v>
      </c>
      <c r="K343" s="194">
        <f>IF(_1_541284561214624104645789101745678[[#This Row],[Discount selection]]&gt;0,VLOOKUP(_1_541284561214624104645789101745678[[#This Row],[Discount selection]],'Discount Structure'!$A$2:$B$30,2,"false"),0)</f>
        <v>1</v>
      </c>
      <c r="L343" s="194">
        <f>_1_541284561214624104645789101745678[[#This Row],[LIST $]]*_1_541284561214624104645789101745678[[#This Row],[DISCOUNT]]*_1_541284561214624104645789101745678[[#This Row],[DISCOUNT 2]]</f>
        <v>0</v>
      </c>
      <c r="M343" s="194">
        <f>IF(OR(_1_541284561214624104645789101745678[[#This Row],[UNIT]]&gt;0,_1_541284561214624104645789101745678[[#This Row],[UNIT]]&lt;0),_1_541284561214624104645789101745678[[#This Row],[UNIT]]*_1_541284561214624104645789101745678[[#This Row],[COST]],0)</f>
        <v>0</v>
      </c>
      <c r="N343" s="194">
        <f t="shared" si="5"/>
        <v>1.3</v>
      </c>
      <c r="O343" s="198">
        <f>_1_541284561214624104645789101745678[[#This Row],[TOTAL]]*_1_541284561214624104645789101745678[[#This Row],[MARGIN]]</f>
        <v>0</v>
      </c>
      <c r="R343" s="41"/>
    </row>
    <row r="344" spans="1:18">
      <c r="A344" s="168"/>
      <c r="D344" s="188"/>
      <c r="F344" s="168" t="s">
        <v>6202</v>
      </c>
      <c r="G344" s="193">
        <f>IF(_1_541284561214624104645789101745678[[#This Row],[Type]]&gt;0,VLOOKUP(_1_541284561214624104645789101745678[[#This Row],[Type]],Main[[#All],[TYPE]:[UNIT]],'Unit Price'!C$1,FALSE),0)</f>
        <v>0</v>
      </c>
      <c r="H344" s="197">
        <f>IF(_1_541284561214624104645789101745678[[#This Row],[Type]]&gt;0,VLOOKUP(_1_541284561214624104645789101745678[[#This Row],[Type]],Main[[#All],[TYPE]:[UNIT]],'Unit Price'!D$1,FALSE),0)</f>
        <v>0</v>
      </c>
      <c r="I344" s="194">
        <f>IF(_1_541284561214624104645789101745678[[#This Row],[Type]]&gt;0,VLOOKUP(_1_541284561214624104645789101745678[[#This Row],[Type]],Main[[#All],[TYPE]:[UNIT]],'Unit Price'!G$1,FALSE),0)</f>
        <v>0</v>
      </c>
      <c r="J344" s="194">
        <f>IF(_1_541284561214624104645789101745678[[#This Row],[Type]]&gt;0,VLOOKUP(_1_541284561214624104645789101745678[[#This Row],[Type]],Main[[#All],[TYPE]:[UNIT]],'Unit Price'!H$1,FALSE),0)</f>
        <v>0</v>
      </c>
      <c r="K344" s="194">
        <f>IF(_1_541284561214624104645789101745678[[#This Row],[Discount selection]]&gt;0,VLOOKUP(_1_541284561214624104645789101745678[[#This Row],[Discount selection]],'Discount Structure'!$A$2:$B$30,2,"false"),0)</f>
        <v>1</v>
      </c>
      <c r="L344" s="194">
        <f>_1_541284561214624104645789101745678[[#This Row],[LIST $]]*_1_541284561214624104645789101745678[[#This Row],[DISCOUNT]]*_1_541284561214624104645789101745678[[#This Row],[DISCOUNT 2]]</f>
        <v>0</v>
      </c>
      <c r="M344" s="194">
        <f>IF(OR(_1_541284561214624104645789101745678[[#This Row],[UNIT]]&gt;0,_1_541284561214624104645789101745678[[#This Row],[UNIT]]&lt;0),_1_541284561214624104645789101745678[[#This Row],[UNIT]]*_1_541284561214624104645789101745678[[#This Row],[COST]],0)</f>
        <v>0</v>
      </c>
      <c r="N344" s="194">
        <f t="shared" si="5"/>
        <v>1.3</v>
      </c>
      <c r="O344" s="198">
        <f>_1_541284561214624104645789101745678[[#This Row],[TOTAL]]*_1_541284561214624104645789101745678[[#This Row],[MARGIN]]</f>
        <v>0</v>
      </c>
      <c r="R344" s="41"/>
    </row>
    <row r="345" spans="1:18">
      <c r="D345" s="188"/>
      <c r="F345" s="168" t="s">
        <v>6202</v>
      </c>
      <c r="G345" s="193">
        <f>IF(_1_541284561214624104645789101745678[[#This Row],[Type]]&gt;0,VLOOKUP(_1_541284561214624104645789101745678[[#This Row],[Type]],Main[[#All],[TYPE]:[UNIT]],'Unit Price'!C$1,FALSE),0)</f>
        <v>0</v>
      </c>
      <c r="H345" s="197">
        <f>IF(_1_541284561214624104645789101745678[[#This Row],[Type]]&gt;0,VLOOKUP(_1_541284561214624104645789101745678[[#This Row],[Type]],Main[[#All],[TYPE]:[UNIT]],'Unit Price'!D$1,FALSE),0)</f>
        <v>0</v>
      </c>
      <c r="I345" s="194">
        <f>IF(_1_541284561214624104645789101745678[[#This Row],[Type]]&gt;0,VLOOKUP(_1_541284561214624104645789101745678[[#This Row],[Type]],Main[[#All],[TYPE]:[UNIT]],'Unit Price'!G$1,FALSE),0)</f>
        <v>0</v>
      </c>
      <c r="J345" s="194">
        <f>IF(_1_541284561214624104645789101745678[[#This Row],[Type]]&gt;0,VLOOKUP(_1_541284561214624104645789101745678[[#This Row],[Type]],Main[[#All],[TYPE]:[UNIT]],'Unit Price'!H$1,FALSE),0)</f>
        <v>0</v>
      </c>
      <c r="K345" s="194">
        <f>IF(_1_541284561214624104645789101745678[[#This Row],[Discount selection]]&gt;0,VLOOKUP(_1_541284561214624104645789101745678[[#This Row],[Discount selection]],'Discount Structure'!$A$2:$B$30,2,"false"),0)</f>
        <v>1</v>
      </c>
      <c r="L345" s="194">
        <f>_1_541284561214624104645789101745678[[#This Row],[LIST $]]*_1_541284561214624104645789101745678[[#This Row],[DISCOUNT]]*_1_541284561214624104645789101745678[[#This Row],[DISCOUNT 2]]</f>
        <v>0</v>
      </c>
      <c r="M345" s="194">
        <f>IF(OR(_1_541284561214624104645789101745678[[#This Row],[UNIT]]&gt;0,_1_541284561214624104645789101745678[[#This Row],[UNIT]]&lt;0),_1_541284561214624104645789101745678[[#This Row],[UNIT]]*_1_541284561214624104645789101745678[[#This Row],[COST]],0)</f>
        <v>0</v>
      </c>
      <c r="N345" s="194">
        <f t="shared" si="5"/>
        <v>1.3</v>
      </c>
      <c r="O345" s="198">
        <f>_1_541284561214624104645789101745678[[#This Row],[TOTAL]]*_1_541284561214624104645789101745678[[#This Row],[MARGIN]]</f>
        <v>0</v>
      </c>
      <c r="R345" s="41"/>
    </row>
    <row r="346" spans="1:18">
      <c r="A346" s="168"/>
      <c r="B346" s="168"/>
      <c r="C346" s="168"/>
      <c r="D346" s="188"/>
      <c r="F346" s="168" t="s">
        <v>6202</v>
      </c>
      <c r="G346" s="193">
        <f>IF(_1_541284561214624104645789101745678[[#This Row],[Type]]&gt;0,VLOOKUP(_1_541284561214624104645789101745678[[#This Row],[Type]],Main[[#All],[TYPE]:[UNIT]],'Unit Price'!C$1,FALSE),0)</f>
        <v>0</v>
      </c>
      <c r="H346" s="197">
        <f>IF(_1_541284561214624104645789101745678[[#This Row],[Type]]&gt;0,VLOOKUP(_1_541284561214624104645789101745678[[#This Row],[Type]],Main[[#All],[TYPE]:[UNIT]],'Unit Price'!D$1,FALSE),0)</f>
        <v>0</v>
      </c>
      <c r="I346" s="194">
        <f>IF(_1_541284561214624104645789101745678[[#This Row],[Type]]&gt;0,VLOOKUP(_1_541284561214624104645789101745678[[#This Row],[Type]],Main[[#All],[TYPE]:[UNIT]],'Unit Price'!G$1,FALSE),0)</f>
        <v>0</v>
      </c>
      <c r="J346" s="194">
        <f>IF(_1_541284561214624104645789101745678[[#This Row],[Type]]&gt;0,VLOOKUP(_1_541284561214624104645789101745678[[#This Row],[Type]],Main[[#All],[TYPE]:[UNIT]],'Unit Price'!H$1,FALSE),0)</f>
        <v>0</v>
      </c>
      <c r="K346" s="194">
        <f>IF(_1_541284561214624104645789101745678[[#This Row],[Discount selection]]&gt;0,VLOOKUP(_1_541284561214624104645789101745678[[#This Row],[Discount selection]],'Discount Structure'!$A$2:$B$30,2,"false"),0)</f>
        <v>1</v>
      </c>
      <c r="L346" s="194">
        <f>_1_541284561214624104645789101745678[[#This Row],[LIST $]]*_1_541284561214624104645789101745678[[#This Row],[DISCOUNT]]*_1_541284561214624104645789101745678[[#This Row],[DISCOUNT 2]]</f>
        <v>0</v>
      </c>
      <c r="M346" s="194">
        <f>IF(OR(_1_541284561214624104645789101745678[[#This Row],[UNIT]]&gt;0,_1_541284561214624104645789101745678[[#This Row],[UNIT]]&lt;0),_1_541284561214624104645789101745678[[#This Row],[UNIT]]*_1_541284561214624104645789101745678[[#This Row],[COST]],0)</f>
        <v>0</v>
      </c>
      <c r="N346" s="194">
        <f t="shared" si="5"/>
        <v>1.3</v>
      </c>
      <c r="O346" s="198">
        <f>_1_541284561214624104645789101745678[[#This Row],[TOTAL]]*_1_541284561214624104645789101745678[[#This Row],[MARGIN]]</f>
        <v>0</v>
      </c>
      <c r="R346" s="41"/>
    </row>
    <row r="347" spans="1:18">
      <c r="A347" s="323"/>
      <c r="B347" s="323"/>
      <c r="C347" s="323"/>
      <c r="D347" s="188"/>
      <c r="F347" s="168" t="s">
        <v>6202</v>
      </c>
      <c r="G347" s="193">
        <f>IF(_1_541284561214624104645789101745678[[#This Row],[Type]]&gt;0,VLOOKUP(_1_541284561214624104645789101745678[[#This Row],[Type]],Main[[#All],[TYPE]:[UNIT]],'Unit Price'!C$1,FALSE),0)</f>
        <v>0</v>
      </c>
      <c r="H347" s="197">
        <f>IF(_1_541284561214624104645789101745678[[#This Row],[Type]]&gt;0,VLOOKUP(_1_541284561214624104645789101745678[[#This Row],[Type]],Main[[#All],[TYPE]:[UNIT]],'Unit Price'!D$1,FALSE),0)</f>
        <v>0</v>
      </c>
      <c r="I347" s="194">
        <f>IF(_1_541284561214624104645789101745678[[#This Row],[Type]]&gt;0,VLOOKUP(_1_541284561214624104645789101745678[[#This Row],[Type]],Main[[#All],[TYPE]:[UNIT]],'Unit Price'!G$1,FALSE),0)</f>
        <v>0</v>
      </c>
      <c r="J347" s="194">
        <f>IF(_1_541284561214624104645789101745678[[#This Row],[Type]]&gt;0,VLOOKUP(_1_541284561214624104645789101745678[[#This Row],[Type]],Main[[#All],[TYPE]:[UNIT]],'Unit Price'!H$1,FALSE),0)</f>
        <v>0</v>
      </c>
      <c r="K347" s="194">
        <f>IF(_1_541284561214624104645789101745678[[#This Row],[Discount selection]]&gt;0,VLOOKUP(_1_541284561214624104645789101745678[[#This Row],[Discount selection]],'Discount Structure'!$A$2:$B$30,2,"false"),0)</f>
        <v>1</v>
      </c>
      <c r="L347" s="194">
        <f>_1_541284561214624104645789101745678[[#This Row],[LIST $]]*_1_541284561214624104645789101745678[[#This Row],[DISCOUNT]]*_1_541284561214624104645789101745678[[#This Row],[DISCOUNT 2]]</f>
        <v>0</v>
      </c>
      <c r="M347" s="194">
        <f>IF(OR(_1_541284561214624104645789101745678[[#This Row],[UNIT]]&gt;0,_1_541284561214624104645789101745678[[#This Row],[UNIT]]&lt;0),_1_541284561214624104645789101745678[[#This Row],[UNIT]]*_1_541284561214624104645789101745678[[#This Row],[COST]],0)</f>
        <v>0</v>
      </c>
      <c r="N347" s="194">
        <f t="shared" si="5"/>
        <v>1.3</v>
      </c>
      <c r="O347" s="198">
        <f>_1_541284561214624104645789101745678[[#This Row],[TOTAL]]*_1_541284561214624104645789101745678[[#This Row],[MARGIN]]</f>
        <v>0</v>
      </c>
      <c r="R347" s="41"/>
    </row>
    <row r="348" spans="1:18">
      <c r="A348" s="323"/>
      <c r="B348" s="353"/>
      <c r="C348" s="323"/>
      <c r="D348" s="188"/>
      <c r="F348" s="168" t="s">
        <v>6202</v>
      </c>
      <c r="G348" s="193">
        <f>IF(_1_541284561214624104645789101745678[[#This Row],[Type]]&gt;0,VLOOKUP(_1_541284561214624104645789101745678[[#This Row],[Type]],Main[[#All],[TYPE]:[UNIT]],'Unit Price'!C$1,FALSE),0)</f>
        <v>0</v>
      </c>
      <c r="H348" s="197">
        <f>IF(_1_541284561214624104645789101745678[[#This Row],[Type]]&gt;0,VLOOKUP(_1_541284561214624104645789101745678[[#This Row],[Type]],Main[[#All],[TYPE]:[UNIT]],'Unit Price'!D$1,FALSE),0)</f>
        <v>0</v>
      </c>
      <c r="I348" s="194">
        <f>IF(_1_541284561214624104645789101745678[[#This Row],[Type]]&gt;0,VLOOKUP(_1_541284561214624104645789101745678[[#This Row],[Type]],Main[[#All],[TYPE]:[UNIT]],'Unit Price'!G$1,FALSE),0)</f>
        <v>0</v>
      </c>
      <c r="J348" s="194">
        <f>IF(_1_541284561214624104645789101745678[[#This Row],[Type]]&gt;0,VLOOKUP(_1_541284561214624104645789101745678[[#This Row],[Type]],Main[[#All],[TYPE]:[UNIT]],'Unit Price'!H$1,FALSE),0)</f>
        <v>0</v>
      </c>
      <c r="K348" s="194">
        <f>IF(_1_541284561214624104645789101745678[[#This Row],[Discount selection]]&gt;0,VLOOKUP(_1_541284561214624104645789101745678[[#This Row],[Discount selection]],'Discount Structure'!$A$2:$B$30,2,"false"),0)</f>
        <v>1</v>
      </c>
      <c r="L348" s="194">
        <f>_1_541284561214624104645789101745678[[#This Row],[LIST $]]*_1_541284561214624104645789101745678[[#This Row],[DISCOUNT]]*_1_541284561214624104645789101745678[[#This Row],[DISCOUNT 2]]</f>
        <v>0</v>
      </c>
      <c r="M348" s="194">
        <f>IF(OR(_1_541284561214624104645789101745678[[#This Row],[UNIT]]&gt;0,_1_541284561214624104645789101745678[[#This Row],[UNIT]]&lt;0),_1_541284561214624104645789101745678[[#This Row],[UNIT]]*_1_541284561214624104645789101745678[[#This Row],[COST]],0)</f>
        <v>0</v>
      </c>
      <c r="N348" s="194">
        <f t="shared" si="5"/>
        <v>1.3</v>
      </c>
      <c r="O348" s="198">
        <f>_1_541284561214624104645789101745678[[#This Row],[TOTAL]]*_1_541284561214624104645789101745678[[#This Row],[MARGIN]]</f>
        <v>0</v>
      </c>
      <c r="R348" s="41"/>
    </row>
    <row r="349" spans="1:18">
      <c r="D349" s="188"/>
      <c r="F349" s="168" t="s">
        <v>6202</v>
      </c>
      <c r="G349" s="193">
        <f>IF(_1_541284561214624104645789101745678[[#This Row],[Type]]&gt;0,VLOOKUP(_1_541284561214624104645789101745678[[#This Row],[Type]],Main[[#All],[TYPE]:[UNIT]],'Unit Price'!C$1,FALSE),0)</f>
        <v>0</v>
      </c>
      <c r="H349" s="197">
        <f>IF(_1_541284561214624104645789101745678[[#This Row],[Type]]&gt;0,VLOOKUP(_1_541284561214624104645789101745678[[#This Row],[Type]],Main[[#All],[TYPE]:[UNIT]],'Unit Price'!D$1,FALSE),0)</f>
        <v>0</v>
      </c>
      <c r="I349" s="194">
        <f>IF(_1_541284561214624104645789101745678[[#This Row],[Type]]&gt;0,VLOOKUP(_1_541284561214624104645789101745678[[#This Row],[Type]],Main[[#All],[TYPE]:[UNIT]],'Unit Price'!G$1,FALSE),0)</f>
        <v>0</v>
      </c>
      <c r="J349" s="194">
        <f>IF(_1_541284561214624104645789101745678[[#This Row],[Type]]&gt;0,VLOOKUP(_1_541284561214624104645789101745678[[#This Row],[Type]],Main[[#All],[TYPE]:[UNIT]],'Unit Price'!H$1,FALSE),0)</f>
        <v>0</v>
      </c>
      <c r="K349" s="194">
        <f>IF(_1_541284561214624104645789101745678[[#This Row],[Discount selection]]&gt;0,VLOOKUP(_1_541284561214624104645789101745678[[#This Row],[Discount selection]],'Discount Structure'!$A$2:$B$30,2,"false"),0)</f>
        <v>1</v>
      </c>
      <c r="L349" s="194">
        <f>_1_541284561214624104645789101745678[[#This Row],[LIST $]]*_1_541284561214624104645789101745678[[#This Row],[DISCOUNT]]*_1_541284561214624104645789101745678[[#This Row],[DISCOUNT 2]]</f>
        <v>0</v>
      </c>
      <c r="M349" s="194">
        <f>IF(OR(_1_541284561214624104645789101745678[[#This Row],[UNIT]]&gt;0,_1_541284561214624104645789101745678[[#This Row],[UNIT]]&lt;0),_1_541284561214624104645789101745678[[#This Row],[UNIT]]*_1_541284561214624104645789101745678[[#This Row],[COST]],0)</f>
        <v>0</v>
      </c>
      <c r="N349" s="194">
        <f t="shared" si="5"/>
        <v>1.3</v>
      </c>
      <c r="O349" s="198">
        <f>_1_541284561214624104645789101745678[[#This Row],[TOTAL]]*_1_541284561214624104645789101745678[[#This Row],[MARGIN]]</f>
        <v>0</v>
      </c>
      <c r="R349" s="41"/>
    </row>
    <row r="350" spans="1:18">
      <c r="D350" s="188"/>
      <c r="F350" s="168" t="s">
        <v>6202</v>
      </c>
      <c r="G350" s="193">
        <f>IF(_1_541284561214624104645789101745678[[#This Row],[Type]]&gt;0,VLOOKUP(_1_541284561214624104645789101745678[[#This Row],[Type]],Main[[#All],[TYPE]:[UNIT]],'Unit Price'!C$1,FALSE),0)</f>
        <v>0</v>
      </c>
      <c r="H350" s="197">
        <f>IF(_1_541284561214624104645789101745678[[#This Row],[Type]]&gt;0,VLOOKUP(_1_541284561214624104645789101745678[[#This Row],[Type]],Main[[#All],[TYPE]:[UNIT]],'Unit Price'!D$1,FALSE),0)</f>
        <v>0</v>
      </c>
      <c r="I350" s="194">
        <f>IF(_1_541284561214624104645789101745678[[#This Row],[Type]]&gt;0,VLOOKUP(_1_541284561214624104645789101745678[[#This Row],[Type]],Main[[#All],[TYPE]:[UNIT]],'Unit Price'!G$1,FALSE),0)</f>
        <v>0</v>
      </c>
      <c r="J350" s="194">
        <f>IF(_1_541284561214624104645789101745678[[#This Row],[Type]]&gt;0,VLOOKUP(_1_541284561214624104645789101745678[[#This Row],[Type]],Main[[#All],[TYPE]:[UNIT]],'Unit Price'!H$1,FALSE),0)</f>
        <v>0</v>
      </c>
      <c r="K350" s="194">
        <f>IF(_1_541284561214624104645789101745678[[#This Row],[Discount selection]]&gt;0,VLOOKUP(_1_541284561214624104645789101745678[[#This Row],[Discount selection]],'Discount Structure'!$A$2:$B$30,2,"false"),0)</f>
        <v>1</v>
      </c>
      <c r="L350" s="194">
        <f>_1_541284561214624104645789101745678[[#This Row],[LIST $]]*_1_541284561214624104645789101745678[[#This Row],[DISCOUNT]]*_1_541284561214624104645789101745678[[#This Row],[DISCOUNT 2]]</f>
        <v>0</v>
      </c>
      <c r="M350" s="194">
        <f>IF(OR(_1_541284561214624104645789101745678[[#This Row],[UNIT]]&gt;0,_1_541284561214624104645789101745678[[#This Row],[UNIT]]&lt;0),_1_541284561214624104645789101745678[[#This Row],[UNIT]]*_1_541284561214624104645789101745678[[#This Row],[COST]],0)</f>
        <v>0</v>
      </c>
      <c r="N350" s="194">
        <f t="shared" si="5"/>
        <v>1.3</v>
      </c>
      <c r="O350" s="198">
        <f>_1_541284561214624104645789101745678[[#This Row],[TOTAL]]*_1_541284561214624104645789101745678[[#This Row],[MARGIN]]</f>
        <v>0</v>
      </c>
      <c r="R350" s="41"/>
    </row>
    <row r="351" spans="1:18">
      <c r="A351" s="168"/>
      <c r="D351" s="188"/>
      <c r="F351" s="168" t="s">
        <v>6202</v>
      </c>
      <c r="G351" s="193">
        <f>IF(_1_541284561214624104645789101745678[[#This Row],[Type]]&gt;0,VLOOKUP(_1_541284561214624104645789101745678[[#This Row],[Type]],Main[[#All],[TYPE]:[UNIT]],'Unit Price'!C$1,FALSE),0)</f>
        <v>0</v>
      </c>
      <c r="H351" s="197">
        <f>IF(_1_541284561214624104645789101745678[[#This Row],[Type]]&gt;0,VLOOKUP(_1_541284561214624104645789101745678[[#This Row],[Type]],Main[[#All],[TYPE]:[UNIT]],'Unit Price'!D$1,FALSE),0)</f>
        <v>0</v>
      </c>
      <c r="I351" s="194">
        <f>IF(_1_541284561214624104645789101745678[[#This Row],[Type]]&gt;0,VLOOKUP(_1_541284561214624104645789101745678[[#This Row],[Type]],Main[[#All],[TYPE]:[UNIT]],'Unit Price'!G$1,FALSE),0)</f>
        <v>0</v>
      </c>
      <c r="J351" s="194">
        <f>IF(_1_541284561214624104645789101745678[[#This Row],[Type]]&gt;0,VLOOKUP(_1_541284561214624104645789101745678[[#This Row],[Type]],Main[[#All],[TYPE]:[UNIT]],'Unit Price'!H$1,FALSE),0)</f>
        <v>0</v>
      </c>
      <c r="K351" s="194">
        <f>IF(_1_541284561214624104645789101745678[[#This Row],[Discount selection]]&gt;0,VLOOKUP(_1_541284561214624104645789101745678[[#This Row],[Discount selection]],'Discount Structure'!$A$2:$B$30,2,"false"),0)</f>
        <v>1</v>
      </c>
      <c r="L351" s="194">
        <f>_1_541284561214624104645789101745678[[#This Row],[LIST $]]*_1_541284561214624104645789101745678[[#This Row],[DISCOUNT]]*_1_541284561214624104645789101745678[[#This Row],[DISCOUNT 2]]</f>
        <v>0</v>
      </c>
      <c r="M351" s="194">
        <f>IF(OR(_1_541284561214624104645789101745678[[#This Row],[UNIT]]&gt;0,_1_541284561214624104645789101745678[[#This Row],[UNIT]]&lt;0),_1_541284561214624104645789101745678[[#This Row],[UNIT]]*_1_541284561214624104645789101745678[[#This Row],[COST]],0)</f>
        <v>0</v>
      </c>
      <c r="N351" s="194">
        <f t="shared" si="5"/>
        <v>1.3</v>
      </c>
      <c r="O351" s="198">
        <f>_1_541284561214624104645789101745678[[#This Row],[TOTAL]]*_1_541284561214624104645789101745678[[#This Row],[MARGIN]]</f>
        <v>0</v>
      </c>
      <c r="R351" s="41"/>
    </row>
    <row r="352" spans="1:18">
      <c r="D352" s="188"/>
      <c r="F352" s="168" t="s">
        <v>6202</v>
      </c>
      <c r="G352" s="193">
        <f>IF(_1_541284561214624104645789101745678[[#This Row],[Type]]&gt;0,VLOOKUP(_1_541284561214624104645789101745678[[#This Row],[Type]],Main[[#All],[TYPE]:[UNIT]],'Unit Price'!C$1,FALSE),0)</f>
        <v>0</v>
      </c>
      <c r="H352" s="197">
        <f>IF(_1_541284561214624104645789101745678[[#This Row],[Type]]&gt;0,VLOOKUP(_1_541284561214624104645789101745678[[#This Row],[Type]],Main[[#All],[TYPE]:[UNIT]],'Unit Price'!D$1,FALSE),0)</f>
        <v>0</v>
      </c>
      <c r="I352" s="194">
        <f>IF(_1_541284561214624104645789101745678[[#This Row],[Type]]&gt;0,VLOOKUP(_1_541284561214624104645789101745678[[#This Row],[Type]],Main[[#All],[TYPE]:[UNIT]],'Unit Price'!G$1,FALSE),0)</f>
        <v>0</v>
      </c>
      <c r="J352" s="194">
        <f>IF(_1_541284561214624104645789101745678[[#This Row],[Type]]&gt;0,VLOOKUP(_1_541284561214624104645789101745678[[#This Row],[Type]],Main[[#All],[TYPE]:[UNIT]],'Unit Price'!H$1,FALSE),0)</f>
        <v>0</v>
      </c>
      <c r="K352" s="194">
        <f>IF(_1_541284561214624104645789101745678[[#This Row],[Discount selection]]&gt;0,VLOOKUP(_1_541284561214624104645789101745678[[#This Row],[Discount selection]],'Discount Structure'!$A$2:$B$30,2,"false"),0)</f>
        <v>1</v>
      </c>
      <c r="L352" s="194">
        <f>_1_541284561214624104645789101745678[[#This Row],[LIST $]]*_1_541284561214624104645789101745678[[#This Row],[DISCOUNT]]*_1_541284561214624104645789101745678[[#This Row],[DISCOUNT 2]]</f>
        <v>0</v>
      </c>
      <c r="M352" s="194">
        <f>IF(OR(_1_541284561214624104645789101745678[[#This Row],[UNIT]]&gt;0,_1_541284561214624104645789101745678[[#This Row],[UNIT]]&lt;0),_1_541284561214624104645789101745678[[#This Row],[UNIT]]*_1_541284561214624104645789101745678[[#This Row],[COST]],0)</f>
        <v>0</v>
      </c>
      <c r="N352" s="194">
        <f t="shared" si="5"/>
        <v>1.3</v>
      </c>
      <c r="O352" s="198">
        <f>_1_541284561214624104645789101745678[[#This Row],[TOTAL]]*_1_541284561214624104645789101745678[[#This Row],[MARGIN]]</f>
        <v>0</v>
      </c>
      <c r="R352" s="41"/>
    </row>
    <row r="353" spans="1:18">
      <c r="A353" s="168"/>
      <c r="B353" s="168"/>
      <c r="C353" s="168"/>
      <c r="D353" s="188"/>
      <c r="F353" s="168" t="s">
        <v>6202</v>
      </c>
      <c r="G353" s="193">
        <f>IF(_1_541284561214624104645789101745678[[#This Row],[Type]]&gt;0,VLOOKUP(_1_541284561214624104645789101745678[[#This Row],[Type]],Main[[#All],[TYPE]:[UNIT]],'Unit Price'!C$1,FALSE),0)</f>
        <v>0</v>
      </c>
      <c r="H353" s="197">
        <f>IF(_1_541284561214624104645789101745678[[#This Row],[Type]]&gt;0,VLOOKUP(_1_541284561214624104645789101745678[[#This Row],[Type]],Main[[#All],[TYPE]:[UNIT]],'Unit Price'!D$1,FALSE),0)</f>
        <v>0</v>
      </c>
      <c r="I353" s="194">
        <f>IF(_1_541284561214624104645789101745678[[#This Row],[Type]]&gt;0,VLOOKUP(_1_541284561214624104645789101745678[[#This Row],[Type]],Main[[#All],[TYPE]:[UNIT]],'Unit Price'!G$1,FALSE),0)</f>
        <v>0</v>
      </c>
      <c r="J353" s="194">
        <f>IF(_1_541284561214624104645789101745678[[#This Row],[Type]]&gt;0,VLOOKUP(_1_541284561214624104645789101745678[[#This Row],[Type]],Main[[#All],[TYPE]:[UNIT]],'Unit Price'!H$1,FALSE),0)</f>
        <v>0</v>
      </c>
      <c r="K353" s="194">
        <f>IF(_1_541284561214624104645789101745678[[#This Row],[Discount selection]]&gt;0,VLOOKUP(_1_541284561214624104645789101745678[[#This Row],[Discount selection]],'Discount Structure'!$A$2:$B$30,2,"false"),0)</f>
        <v>1</v>
      </c>
      <c r="L353" s="194">
        <f>_1_541284561214624104645789101745678[[#This Row],[LIST $]]*_1_541284561214624104645789101745678[[#This Row],[DISCOUNT]]*_1_541284561214624104645789101745678[[#This Row],[DISCOUNT 2]]</f>
        <v>0</v>
      </c>
      <c r="M353" s="194">
        <f>IF(OR(_1_541284561214624104645789101745678[[#This Row],[UNIT]]&gt;0,_1_541284561214624104645789101745678[[#This Row],[UNIT]]&lt;0),_1_541284561214624104645789101745678[[#This Row],[UNIT]]*_1_541284561214624104645789101745678[[#This Row],[COST]],0)</f>
        <v>0</v>
      </c>
      <c r="N353" s="194">
        <f t="shared" si="5"/>
        <v>1.3</v>
      </c>
      <c r="O353" s="198">
        <f>_1_541284561214624104645789101745678[[#This Row],[TOTAL]]*_1_541284561214624104645789101745678[[#This Row],[MARGIN]]</f>
        <v>0</v>
      </c>
      <c r="R353" s="41"/>
    </row>
    <row r="354" spans="1:18">
      <c r="A354" s="323"/>
      <c r="B354" s="323"/>
      <c r="C354" s="323"/>
      <c r="D354" s="188"/>
      <c r="F354" s="168" t="s">
        <v>6202</v>
      </c>
      <c r="G354" s="193">
        <f>IF(_1_541284561214624104645789101745678[[#This Row],[Type]]&gt;0,VLOOKUP(_1_541284561214624104645789101745678[[#This Row],[Type]],Main[[#All],[TYPE]:[UNIT]],'Unit Price'!C$1,FALSE),0)</f>
        <v>0</v>
      </c>
      <c r="H354" s="197">
        <f>IF(_1_541284561214624104645789101745678[[#This Row],[Type]]&gt;0,VLOOKUP(_1_541284561214624104645789101745678[[#This Row],[Type]],Main[[#All],[TYPE]:[UNIT]],'Unit Price'!D$1,FALSE),0)</f>
        <v>0</v>
      </c>
      <c r="I354" s="194">
        <f>IF(_1_541284561214624104645789101745678[[#This Row],[Type]]&gt;0,VLOOKUP(_1_541284561214624104645789101745678[[#This Row],[Type]],Main[[#All],[TYPE]:[UNIT]],'Unit Price'!G$1,FALSE),0)</f>
        <v>0</v>
      </c>
      <c r="J354" s="194">
        <f>IF(_1_541284561214624104645789101745678[[#This Row],[Type]]&gt;0,VLOOKUP(_1_541284561214624104645789101745678[[#This Row],[Type]],Main[[#All],[TYPE]:[UNIT]],'Unit Price'!H$1,FALSE),0)</f>
        <v>0</v>
      </c>
      <c r="K354" s="194">
        <f>IF(_1_541284561214624104645789101745678[[#This Row],[Discount selection]]&gt;0,VLOOKUP(_1_541284561214624104645789101745678[[#This Row],[Discount selection]],'Discount Structure'!$A$2:$B$30,2,"false"),0)</f>
        <v>1</v>
      </c>
      <c r="L354" s="194">
        <f>_1_541284561214624104645789101745678[[#This Row],[LIST $]]*_1_541284561214624104645789101745678[[#This Row],[DISCOUNT]]*_1_541284561214624104645789101745678[[#This Row],[DISCOUNT 2]]</f>
        <v>0</v>
      </c>
      <c r="M354" s="194">
        <f>IF(OR(_1_541284561214624104645789101745678[[#This Row],[UNIT]]&gt;0,_1_541284561214624104645789101745678[[#This Row],[UNIT]]&lt;0),_1_541284561214624104645789101745678[[#This Row],[UNIT]]*_1_541284561214624104645789101745678[[#This Row],[COST]],0)</f>
        <v>0</v>
      </c>
      <c r="N354" s="194">
        <f t="shared" si="5"/>
        <v>1.3</v>
      </c>
      <c r="O354" s="198">
        <f>_1_541284561214624104645789101745678[[#This Row],[TOTAL]]*_1_541284561214624104645789101745678[[#This Row],[MARGIN]]</f>
        <v>0</v>
      </c>
      <c r="R354" s="41"/>
    </row>
    <row r="355" spans="1:18">
      <c r="A355" s="323"/>
      <c r="B355" s="353"/>
      <c r="C355" s="323"/>
      <c r="D355" s="188"/>
      <c r="F355" s="168" t="s">
        <v>6202</v>
      </c>
      <c r="G355" s="193">
        <f>IF(_1_541284561214624104645789101745678[[#This Row],[Type]]&gt;0,VLOOKUP(_1_541284561214624104645789101745678[[#This Row],[Type]],Main[[#All],[TYPE]:[UNIT]],'Unit Price'!C$1,FALSE),0)</f>
        <v>0</v>
      </c>
      <c r="H355" s="197">
        <f>IF(_1_541284561214624104645789101745678[[#This Row],[Type]]&gt;0,VLOOKUP(_1_541284561214624104645789101745678[[#This Row],[Type]],Main[[#All],[TYPE]:[UNIT]],'Unit Price'!D$1,FALSE),0)</f>
        <v>0</v>
      </c>
      <c r="I355" s="194">
        <f>IF(_1_541284561214624104645789101745678[[#This Row],[Type]]&gt;0,VLOOKUP(_1_541284561214624104645789101745678[[#This Row],[Type]],Main[[#All],[TYPE]:[UNIT]],'Unit Price'!G$1,FALSE),0)</f>
        <v>0</v>
      </c>
      <c r="J355" s="194">
        <f>IF(_1_541284561214624104645789101745678[[#This Row],[Type]]&gt;0,VLOOKUP(_1_541284561214624104645789101745678[[#This Row],[Type]],Main[[#All],[TYPE]:[UNIT]],'Unit Price'!H$1,FALSE),0)</f>
        <v>0</v>
      </c>
      <c r="K355" s="194">
        <f>IF(_1_541284561214624104645789101745678[[#This Row],[Discount selection]]&gt;0,VLOOKUP(_1_541284561214624104645789101745678[[#This Row],[Discount selection]],'Discount Structure'!$A$2:$B$30,2,"false"),0)</f>
        <v>1</v>
      </c>
      <c r="L355" s="194">
        <f>_1_541284561214624104645789101745678[[#This Row],[LIST $]]*_1_541284561214624104645789101745678[[#This Row],[DISCOUNT]]*_1_541284561214624104645789101745678[[#This Row],[DISCOUNT 2]]</f>
        <v>0</v>
      </c>
      <c r="M355" s="194">
        <f>IF(OR(_1_541284561214624104645789101745678[[#This Row],[UNIT]]&gt;0,_1_541284561214624104645789101745678[[#This Row],[UNIT]]&lt;0),_1_541284561214624104645789101745678[[#This Row],[UNIT]]*_1_541284561214624104645789101745678[[#This Row],[COST]],0)</f>
        <v>0</v>
      </c>
      <c r="N355" s="194">
        <f t="shared" si="5"/>
        <v>1.3</v>
      </c>
      <c r="O355" s="198">
        <f>_1_541284561214624104645789101745678[[#This Row],[TOTAL]]*_1_541284561214624104645789101745678[[#This Row],[MARGIN]]</f>
        <v>0</v>
      </c>
      <c r="R355" s="41"/>
    </row>
    <row r="356" spans="1:18">
      <c r="D356" s="188"/>
      <c r="F356" s="168" t="s">
        <v>6202</v>
      </c>
      <c r="G356" s="193">
        <f>IF(_1_541284561214624104645789101745678[[#This Row],[Type]]&gt;0,VLOOKUP(_1_541284561214624104645789101745678[[#This Row],[Type]],Main[[#All],[TYPE]:[UNIT]],'Unit Price'!C$1,FALSE),0)</f>
        <v>0</v>
      </c>
      <c r="H356" s="197">
        <f>IF(_1_541284561214624104645789101745678[[#This Row],[Type]]&gt;0,VLOOKUP(_1_541284561214624104645789101745678[[#This Row],[Type]],Main[[#All],[TYPE]:[UNIT]],'Unit Price'!D$1,FALSE),0)</f>
        <v>0</v>
      </c>
      <c r="I356" s="194">
        <f>IF(_1_541284561214624104645789101745678[[#This Row],[Type]]&gt;0,VLOOKUP(_1_541284561214624104645789101745678[[#This Row],[Type]],Main[[#All],[TYPE]:[UNIT]],'Unit Price'!G$1,FALSE),0)</f>
        <v>0</v>
      </c>
      <c r="J356" s="194">
        <f>IF(_1_541284561214624104645789101745678[[#This Row],[Type]]&gt;0,VLOOKUP(_1_541284561214624104645789101745678[[#This Row],[Type]],Main[[#All],[TYPE]:[UNIT]],'Unit Price'!H$1,FALSE),0)</f>
        <v>0</v>
      </c>
      <c r="K356" s="194">
        <f>IF(_1_541284561214624104645789101745678[[#This Row],[Discount selection]]&gt;0,VLOOKUP(_1_541284561214624104645789101745678[[#This Row],[Discount selection]],'Discount Structure'!$A$2:$B$30,2,"false"),0)</f>
        <v>1</v>
      </c>
      <c r="L356" s="194">
        <f>_1_541284561214624104645789101745678[[#This Row],[LIST $]]*_1_541284561214624104645789101745678[[#This Row],[DISCOUNT]]*_1_541284561214624104645789101745678[[#This Row],[DISCOUNT 2]]</f>
        <v>0</v>
      </c>
      <c r="M356" s="194">
        <f>IF(OR(_1_541284561214624104645789101745678[[#This Row],[UNIT]]&gt;0,_1_541284561214624104645789101745678[[#This Row],[UNIT]]&lt;0),_1_541284561214624104645789101745678[[#This Row],[UNIT]]*_1_541284561214624104645789101745678[[#This Row],[COST]],0)</f>
        <v>0</v>
      </c>
      <c r="N356" s="194">
        <f t="shared" si="5"/>
        <v>1.3</v>
      </c>
      <c r="O356" s="198">
        <f>_1_541284561214624104645789101745678[[#This Row],[TOTAL]]*_1_541284561214624104645789101745678[[#This Row],[MARGIN]]</f>
        <v>0</v>
      </c>
      <c r="R356" s="41"/>
    </row>
    <row r="357" spans="1:18">
      <c r="D357" s="188"/>
      <c r="F357" s="168" t="s">
        <v>6202</v>
      </c>
      <c r="G357" s="193">
        <f>IF(_1_541284561214624104645789101745678[[#This Row],[Type]]&gt;0,VLOOKUP(_1_541284561214624104645789101745678[[#This Row],[Type]],Main[[#All],[TYPE]:[UNIT]],'Unit Price'!C$1,FALSE),0)</f>
        <v>0</v>
      </c>
      <c r="H357" s="197">
        <f>IF(_1_541284561214624104645789101745678[[#This Row],[Type]]&gt;0,VLOOKUP(_1_541284561214624104645789101745678[[#This Row],[Type]],Main[[#All],[TYPE]:[UNIT]],'Unit Price'!D$1,FALSE),0)</f>
        <v>0</v>
      </c>
      <c r="I357" s="194">
        <f>IF(_1_541284561214624104645789101745678[[#This Row],[Type]]&gt;0,VLOOKUP(_1_541284561214624104645789101745678[[#This Row],[Type]],Main[[#All],[TYPE]:[UNIT]],'Unit Price'!G$1,FALSE),0)</f>
        <v>0</v>
      </c>
      <c r="J357" s="194">
        <f>IF(_1_541284561214624104645789101745678[[#This Row],[Type]]&gt;0,VLOOKUP(_1_541284561214624104645789101745678[[#This Row],[Type]],Main[[#All],[TYPE]:[UNIT]],'Unit Price'!H$1,FALSE),0)</f>
        <v>0</v>
      </c>
      <c r="K357" s="194">
        <f>IF(_1_541284561214624104645789101745678[[#This Row],[Discount selection]]&gt;0,VLOOKUP(_1_541284561214624104645789101745678[[#This Row],[Discount selection]],'Discount Structure'!$A$2:$B$30,2,"false"),0)</f>
        <v>1</v>
      </c>
      <c r="L357" s="194">
        <f>_1_541284561214624104645789101745678[[#This Row],[LIST $]]*_1_541284561214624104645789101745678[[#This Row],[DISCOUNT]]*_1_541284561214624104645789101745678[[#This Row],[DISCOUNT 2]]</f>
        <v>0</v>
      </c>
      <c r="M357" s="194">
        <f>IF(OR(_1_541284561214624104645789101745678[[#This Row],[UNIT]]&gt;0,_1_541284561214624104645789101745678[[#This Row],[UNIT]]&lt;0),_1_541284561214624104645789101745678[[#This Row],[UNIT]]*_1_541284561214624104645789101745678[[#This Row],[COST]],0)</f>
        <v>0</v>
      </c>
      <c r="N357" s="194">
        <f t="shared" si="5"/>
        <v>1.3</v>
      </c>
      <c r="O357" s="198">
        <f>_1_541284561214624104645789101745678[[#This Row],[TOTAL]]*_1_541284561214624104645789101745678[[#This Row],[MARGIN]]</f>
        <v>0</v>
      </c>
      <c r="R357" s="41"/>
    </row>
    <row r="358" spans="1:18">
      <c r="A358" s="168"/>
      <c r="D358" s="188"/>
      <c r="F358" s="168" t="s">
        <v>6202</v>
      </c>
      <c r="G358" s="193">
        <f>IF(_1_541284561214624104645789101745678[[#This Row],[Type]]&gt;0,VLOOKUP(_1_541284561214624104645789101745678[[#This Row],[Type]],Main[[#All],[TYPE]:[UNIT]],'Unit Price'!C$1,FALSE),0)</f>
        <v>0</v>
      </c>
      <c r="H358" s="197">
        <f>IF(_1_541284561214624104645789101745678[[#This Row],[Type]]&gt;0,VLOOKUP(_1_541284561214624104645789101745678[[#This Row],[Type]],Main[[#All],[TYPE]:[UNIT]],'Unit Price'!D$1,FALSE),0)</f>
        <v>0</v>
      </c>
      <c r="I358" s="194">
        <f>IF(_1_541284561214624104645789101745678[[#This Row],[Type]]&gt;0,VLOOKUP(_1_541284561214624104645789101745678[[#This Row],[Type]],Main[[#All],[TYPE]:[UNIT]],'Unit Price'!G$1,FALSE),0)</f>
        <v>0</v>
      </c>
      <c r="J358" s="194">
        <f>IF(_1_541284561214624104645789101745678[[#This Row],[Type]]&gt;0,VLOOKUP(_1_541284561214624104645789101745678[[#This Row],[Type]],Main[[#All],[TYPE]:[UNIT]],'Unit Price'!H$1,FALSE),0)</f>
        <v>0</v>
      </c>
      <c r="K358" s="194">
        <f>IF(_1_541284561214624104645789101745678[[#This Row],[Discount selection]]&gt;0,VLOOKUP(_1_541284561214624104645789101745678[[#This Row],[Discount selection]],'Discount Structure'!$A$2:$B$30,2,"false"),0)</f>
        <v>1</v>
      </c>
      <c r="L358" s="194">
        <f>_1_541284561214624104645789101745678[[#This Row],[LIST $]]*_1_541284561214624104645789101745678[[#This Row],[DISCOUNT]]*_1_541284561214624104645789101745678[[#This Row],[DISCOUNT 2]]</f>
        <v>0</v>
      </c>
      <c r="M358" s="194">
        <f>IF(OR(_1_541284561214624104645789101745678[[#This Row],[UNIT]]&gt;0,_1_541284561214624104645789101745678[[#This Row],[UNIT]]&lt;0),_1_541284561214624104645789101745678[[#This Row],[UNIT]]*_1_541284561214624104645789101745678[[#This Row],[COST]],0)</f>
        <v>0</v>
      </c>
      <c r="N358" s="194">
        <f t="shared" si="5"/>
        <v>1.3</v>
      </c>
      <c r="O358" s="198">
        <f>_1_541284561214624104645789101745678[[#This Row],[TOTAL]]*_1_541284561214624104645789101745678[[#This Row],[MARGIN]]</f>
        <v>0</v>
      </c>
      <c r="R358" s="41"/>
    </row>
    <row r="359" spans="1:18">
      <c r="D359" s="188"/>
      <c r="F359" s="168" t="s">
        <v>6202</v>
      </c>
      <c r="G359" s="193">
        <f>IF(_1_541284561214624104645789101745678[[#This Row],[Type]]&gt;0,VLOOKUP(_1_541284561214624104645789101745678[[#This Row],[Type]],Main[[#All],[TYPE]:[UNIT]],'Unit Price'!C$1,FALSE),0)</f>
        <v>0</v>
      </c>
      <c r="H359" s="197">
        <f>IF(_1_541284561214624104645789101745678[[#This Row],[Type]]&gt;0,VLOOKUP(_1_541284561214624104645789101745678[[#This Row],[Type]],Main[[#All],[TYPE]:[UNIT]],'Unit Price'!D$1,FALSE),0)</f>
        <v>0</v>
      </c>
      <c r="I359" s="194">
        <f>IF(_1_541284561214624104645789101745678[[#This Row],[Type]]&gt;0,VLOOKUP(_1_541284561214624104645789101745678[[#This Row],[Type]],Main[[#All],[TYPE]:[UNIT]],'Unit Price'!G$1,FALSE),0)</f>
        <v>0</v>
      </c>
      <c r="J359" s="194">
        <f>IF(_1_541284561214624104645789101745678[[#This Row],[Type]]&gt;0,VLOOKUP(_1_541284561214624104645789101745678[[#This Row],[Type]],Main[[#All],[TYPE]:[UNIT]],'Unit Price'!H$1,FALSE),0)</f>
        <v>0</v>
      </c>
      <c r="K359" s="194">
        <f>IF(_1_541284561214624104645789101745678[[#This Row],[Discount selection]]&gt;0,VLOOKUP(_1_541284561214624104645789101745678[[#This Row],[Discount selection]],'Discount Structure'!$A$2:$B$30,2,"false"),0)</f>
        <v>1</v>
      </c>
      <c r="L359" s="194">
        <f>_1_541284561214624104645789101745678[[#This Row],[LIST $]]*_1_541284561214624104645789101745678[[#This Row],[DISCOUNT]]*_1_541284561214624104645789101745678[[#This Row],[DISCOUNT 2]]</f>
        <v>0</v>
      </c>
      <c r="M359" s="194">
        <f>IF(OR(_1_541284561214624104645789101745678[[#This Row],[UNIT]]&gt;0,_1_541284561214624104645789101745678[[#This Row],[UNIT]]&lt;0),_1_541284561214624104645789101745678[[#This Row],[UNIT]]*_1_541284561214624104645789101745678[[#This Row],[COST]],0)</f>
        <v>0</v>
      </c>
      <c r="N359" s="194">
        <f t="shared" si="5"/>
        <v>1.3</v>
      </c>
      <c r="O359" s="198">
        <f>_1_541284561214624104645789101745678[[#This Row],[TOTAL]]*_1_541284561214624104645789101745678[[#This Row],[MARGIN]]</f>
        <v>0</v>
      </c>
      <c r="R359" s="41"/>
    </row>
    <row r="360" spans="1:18">
      <c r="A360" s="168"/>
      <c r="B360" s="168"/>
      <c r="C360" s="168"/>
      <c r="D360" s="188"/>
      <c r="F360" s="168" t="s">
        <v>6202</v>
      </c>
      <c r="G360" s="193">
        <f>IF(_1_541284561214624104645789101745678[[#This Row],[Type]]&gt;0,VLOOKUP(_1_541284561214624104645789101745678[[#This Row],[Type]],Main[[#All],[TYPE]:[UNIT]],'Unit Price'!C$1,FALSE),0)</f>
        <v>0</v>
      </c>
      <c r="H360" s="197">
        <f>IF(_1_541284561214624104645789101745678[[#This Row],[Type]]&gt;0,VLOOKUP(_1_541284561214624104645789101745678[[#This Row],[Type]],Main[[#All],[TYPE]:[UNIT]],'Unit Price'!D$1,FALSE),0)</f>
        <v>0</v>
      </c>
      <c r="I360" s="194">
        <f>IF(_1_541284561214624104645789101745678[[#This Row],[Type]]&gt;0,VLOOKUP(_1_541284561214624104645789101745678[[#This Row],[Type]],Main[[#All],[TYPE]:[UNIT]],'Unit Price'!G$1,FALSE),0)</f>
        <v>0</v>
      </c>
      <c r="J360" s="194">
        <f>IF(_1_541284561214624104645789101745678[[#This Row],[Type]]&gt;0,VLOOKUP(_1_541284561214624104645789101745678[[#This Row],[Type]],Main[[#All],[TYPE]:[UNIT]],'Unit Price'!H$1,FALSE),0)</f>
        <v>0</v>
      </c>
      <c r="K360" s="194">
        <f>IF(_1_541284561214624104645789101745678[[#This Row],[Discount selection]]&gt;0,VLOOKUP(_1_541284561214624104645789101745678[[#This Row],[Discount selection]],'Discount Structure'!$A$2:$B$30,2,"false"),0)</f>
        <v>1</v>
      </c>
      <c r="L360" s="194">
        <f>_1_541284561214624104645789101745678[[#This Row],[LIST $]]*_1_541284561214624104645789101745678[[#This Row],[DISCOUNT]]*_1_541284561214624104645789101745678[[#This Row],[DISCOUNT 2]]</f>
        <v>0</v>
      </c>
      <c r="M360" s="194">
        <f>IF(OR(_1_541284561214624104645789101745678[[#This Row],[UNIT]]&gt;0,_1_541284561214624104645789101745678[[#This Row],[UNIT]]&lt;0),_1_541284561214624104645789101745678[[#This Row],[UNIT]]*_1_541284561214624104645789101745678[[#This Row],[COST]],0)</f>
        <v>0</v>
      </c>
      <c r="N360" s="194">
        <f t="shared" si="5"/>
        <v>1.3</v>
      </c>
      <c r="O360" s="198">
        <f>_1_541284561214624104645789101745678[[#This Row],[TOTAL]]*_1_541284561214624104645789101745678[[#This Row],[MARGIN]]</f>
        <v>0</v>
      </c>
      <c r="R360" s="41"/>
    </row>
    <row r="361" spans="1:18">
      <c r="A361" s="323"/>
      <c r="B361" s="323"/>
      <c r="C361" s="323"/>
      <c r="D361" s="188"/>
      <c r="F361" s="168" t="s">
        <v>6202</v>
      </c>
      <c r="G361" s="193">
        <f>IF(_1_541284561214624104645789101745678[[#This Row],[Type]]&gt;0,VLOOKUP(_1_541284561214624104645789101745678[[#This Row],[Type]],Main[[#All],[TYPE]:[UNIT]],'Unit Price'!C$1,FALSE),0)</f>
        <v>0</v>
      </c>
      <c r="H361" s="197">
        <f>IF(_1_541284561214624104645789101745678[[#This Row],[Type]]&gt;0,VLOOKUP(_1_541284561214624104645789101745678[[#This Row],[Type]],Main[[#All],[TYPE]:[UNIT]],'Unit Price'!D$1,FALSE),0)</f>
        <v>0</v>
      </c>
      <c r="I361" s="194">
        <f>IF(_1_541284561214624104645789101745678[[#This Row],[Type]]&gt;0,VLOOKUP(_1_541284561214624104645789101745678[[#This Row],[Type]],Main[[#All],[TYPE]:[UNIT]],'Unit Price'!G$1,FALSE),0)</f>
        <v>0</v>
      </c>
      <c r="J361" s="194">
        <f>IF(_1_541284561214624104645789101745678[[#This Row],[Type]]&gt;0,VLOOKUP(_1_541284561214624104645789101745678[[#This Row],[Type]],Main[[#All],[TYPE]:[UNIT]],'Unit Price'!H$1,FALSE),0)</f>
        <v>0</v>
      </c>
      <c r="K361" s="194">
        <f>IF(_1_541284561214624104645789101745678[[#This Row],[Discount selection]]&gt;0,VLOOKUP(_1_541284561214624104645789101745678[[#This Row],[Discount selection]],'Discount Structure'!$A$2:$B$30,2,"false"),0)</f>
        <v>1</v>
      </c>
      <c r="L361" s="194">
        <f>_1_541284561214624104645789101745678[[#This Row],[LIST $]]*_1_541284561214624104645789101745678[[#This Row],[DISCOUNT]]*_1_541284561214624104645789101745678[[#This Row],[DISCOUNT 2]]</f>
        <v>0</v>
      </c>
      <c r="M361" s="194">
        <f>IF(OR(_1_541284561214624104645789101745678[[#This Row],[UNIT]]&gt;0,_1_541284561214624104645789101745678[[#This Row],[UNIT]]&lt;0),_1_541284561214624104645789101745678[[#This Row],[UNIT]]*_1_541284561214624104645789101745678[[#This Row],[COST]],0)</f>
        <v>0</v>
      </c>
      <c r="N361" s="194">
        <f t="shared" si="5"/>
        <v>1.3</v>
      </c>
      <c r="O361" s="198">
        <f>_1_541284561214624104645789101745678[[#This Row],[TOTAL]]*_1_541284561214624104645789101745678[[#This Row],[MARGIN]]</f>
        <v>0</v>
      </c>
      <c r="R361" s="41"/>
    </row>
    <row r="362" spans="1:18">
      <c r="A362" s="323"/>
      <c r="B362" s="353"/>
      <c r="C362" s="323"/>
      <c r="D362" s="188"/>
      <c r="F362" s="168" t="s">
        <v>6202</v>
      </c>
      <c r="G362" s="193">
        <f>IF(_1_541284561214624104645789101745678[[#This Row],[Type]]&gt;0,VLOOKUP(_1_541284561214624104645789101745678[[#This Row],[Type]],Main[[#All],[TYPE]:[UNIT]],'Unit Price'!C$1,FALSE),0)</f>
        <v>0</v>
      </c>
      <c r="H362" s="197">
        <f>IF(_1_541284561214624104645789101745678[[#This Row],[Type]]&gt;0,VLOOKUP(_1_541284561214624104645789101745678[[#This Row],[Type]],Main[[#All],[TYPE]:[UNIT]],'Unit Price'!D$1,FALSE),0)</f>
        <v>0</v>
      </c>
      <c r="I362" s="194">
        <f>IF(_1_541284561214624104645789101745678[[#This Row],[Type]]&gt;0,VLOOKUP(_1_541284561214624104645789101745678[[#This Row],[Type]],Main[[#All],[TYPE]:[UNIT]],'Unit Price'!G$1,FALSE),0)</f>
        <v>0</v>
      </c>
      <c r="J362" s="194">
        <f>IF(_1_541284561214624104645789101745678[[#This Row],[Type]]&gt;0,VLOOKUP(_1_541284561214624104645789101745678[[#This Row],[Type]],Main[[#All],[TYPE]:[UNIT]],'Unit Price'!H$1,FALSE),0)</f>
        <v>0</v>
      </c>
      <c r="K362" s="194">
        <f>IF(_1_541284561214624104645789101745678[[#This Row],[Discount selection]]&gt;0,VLOOKUP(_1_541284561214624104645789101745678[[#This Row],[Discount selection]],'Discount Structure'!$A$2:$B$30,2,"false"),0)</f>
        <v>1</v>
      </c>
      <c r="L362" s="194">
        <f>_1_541284561214624104645789101745678[[#This Row],[LIST $]]*_1_541284561214624104645789101745678[[#This Row],[DISCOUNT]]*_1_541284561214624104645789101745678[[#This Row],[DISCOUNT 2]]</f>
        <v>0</v>
      </c>
      <c r="M362" s="194">
        <f>IF(OR(_1_541284561214624104645789101745678[[#This Row],[UNIT]]&gt;0,_1_541284561214624104645789101745678[[#This Row],[UNIT]]&lt;0),_1_541284561214624104645789101745678[[#This Row],[UNIT]]*_1_541284561214624104645789101745678[[#This Row],[COST]],0)</f>
        <v>0</v>
      </c>
      <c r="N362" s="194">
        <f t="shared" si="5"/>
        <v>1.3</v>
      </c>
      <c r="O362" s="198">
        <f>_1_541284561214624104645789101745678[[#This Row],[TOTAL]]*_1_541284561214624104645789101745678[[#This Row],[MARGIN]]</f>
        <v>0</v>
      </c>
      <c r="R362" s="41"/>
    </row>
    <row r="363" spans="1:18">
      <c r="D363" s="188"/>
      <c r="F363" s="168" t="s">
        <v>6202</v>
      </c>
      <c r="G363" s="193">
        <f>IF(_1_541284561214624104645789101745678[[#This Row],[Type]]&gt;0,VLOOKUP(_1_541284561214624104645789101745678[[#This Row],[Type]],Main[[#All],[TYPE]:[UNIT]],'Unit Price'!C$1,FALSE),0)</f>
        <v>0</v>
      </c>
      <c r="H363" s="197">
        <f>IF(_1_541284561214624104645789101745678[[#This Row],[Type]]&gt;0,VLOOKUP(_1_541284561214624104645789101745678[[#This Row],[Type]],Main[[#All],[TYPE]:[UNIT]],'Unit Price'!D$1,FALSE),0)</f>
        <v>0</v>
      </c>
      <c r="I363" s="194">
        <f>IF(_1_541284561214624104645789101745678[[#This Row],[Type]]&gt;0,VLOOKUP(_1_541284561214624104645789101745678[[#This Row],[Type]],Main[[#All],[TYPE]:[UNIT]],'Unit Price'!G$1,FALSE),0)</f>
        <v>0</v>
      </c>
      <c r="J363" s="194">
        <f>IF(_1_541284561214624104645789101745678[[#This Row],[Type]]&gt;0,VLOOKUP(_1_541284561214624104645789101745678[[#This Row],[Type]],Main[[#All],[TYPE]:[UNIT]],'Unit Price'!H$1,FALSE),0)</f>
        <v>0</v>
      </c>
      <c r="K363" s="194">
        <f>IF(_1_541284561214624104645789101745678[[#This Row],[Discount selection]]&gt;0,VLOOKUP(_1_541284561214624104645789101745678[[#This Row],[Discount selection]],'Discount Structure'!$A$2:$B$30,2,"false"),0)</f>
        <v>1</v>
      </c>
      <c r="L363" s="194">
        <f>_1_541284561214624104645789101745678[[#This Row],[LIST $]]*_1_541284561214624104645789101745678[[#This Row],[DISCOUNT]]*_1_541284561214624104645789101745678[[#This Row],[DISCOUNT 2]]</f>
        <v>0</v>
      </c>
      <c r="M363" s="194">
        <f>IF(OR(_1_541284561214624104645789101745678[[#This Row],[UNIT]]&gt;0,_1_541284561214624104645789101745678[[#This Row],[UNIT]]&lt;0),_1_541284561214624104645789101745678[[#This Row],[UNIT]]*_1_541284561214624104645789101745678[[#This Row],[COST]],0)</f>
        <v>0</v>
      </c>
      <c r="N363" s="194">
        <f t="shared" si="5"/>
        <v>1.3</v>
      </c>
      <c r="O363" s="198">
        <f>_1_541284561214624104645789101745678[[#This Row],[TOTAL]]*_1_541284561214624104645789101745678[[#This Row],[MARGIN]]</f>
        <v>0</v>
      </c>
      <c r="R363" s="41"/>
    </row>
    <row r="364" spans="1:18">
      <c r="D364" s="188"/>
      <c r="F364" s="168" t="s">
        <v>6202</v>
      </c>
      <c r="G364" s="193">
        <f>IF(_1_541284561214624104645789101745678[[#This Row],[Type]]&gt;0,VLOOKUP(_1_541284561214624104645789101745678[[#This Row],[Type]],Main[[#All],[TYPE]:[UNIT]],'Unit Price'!C$1,FALSE),0)</f>
        <v>0</v>
      </c>
      <c r="H364" s="197">
        <f>IF(_1_541284561214624104645789101745678[[#This Row],[Type]]&gt;0,VLOOKUP(_1_541284561214624104645789101745678[[#This Row],[Type]],Main[[#All],[TYPE]:[UNIT]],'Unit Price'!D$1,FALSE),0)</f>
        <v>0</v>
      </c>
      <c r="I364" s="194">
        <f>IF(_1_541284561214624104645789101745678[[#This Row],[Type]]&gt;0,VLOOKUP(_1_541284561214624104645789101745678[[#This Row],[Type]],Main[[#All],[TYPE]:[UNIT]],'Unit Price'!G$1,FALSE),0)</f>
        <v>0</v>
      </c>
      <c r="J364" s="194">
        <f>IF(_1_541284561214624104645789101745678[[#This Row],[Type]]&gt;0,VLOOKUP(_1_541284561214624104645789101745678[[#This Row],[Type]],Main[[#All],[TYPE]:[UNIT]],'Unit Price'!H$1,FALSE),0)</f>
        <v>0</v>
      </c>
      <c r="K364" s="194">
        <f>IF(_1_541284561214624104645789101745678[[#This Row],[Discount selection]]&gt;0,VLOOKUP(_1_541284561214624104645789101745678[[#This Row],[Discount selection]],'Discount Structure'!$A$2:$B$30,2,"false"),0)</f>
        <v>1</v>
      </c>
      <c r="L364" s="194">
        <f>_1_541284561214624104645789101745678[[#This Row],[LIST $]]*_1_541284561214624104645789101745678[[#This Row],[DISCOUNT]]*_1_541284561214624104645789101745678[[#This Row],[DISCOUNT 2]]</f>
        <v>0</v>
      </c>
      <c r="M364" s="194">
        <f>IF(OR(_1_541284561214624104645789101745678[[#This Row],[UNIT]]&gt;0,_1_541284561214624104645789101745678[[#This Row],[UNIT]]&lt;0),_1_541284561214624104645789101745678[[#This Row],[UNIT]]*_1_541284561214624104645789101745678[[#This Row],[COST]],0)</f>
        <v>0</v>
      </c>
      <c r="N364" s="194">
        <f t="shared" si="5"/>
        <v>1.3</v>
      </c>
      <c r="O364" s="198">
        <f>_1_541284561214624104645789101745678[[#This Row],[TOTAL]]*_1_541284561214624104645789101745678[[#This Row],[MARGIN]]</f>
        <v>0</v>
      </c>
      <c r="R364" s="41"/>
    </row>
    <row r="365" spans="1:18">
      <c r="A365" s="168"/>
      <c r="D365" s="188"/>
      <c r="F365" s="168" t="s">
        <v>6202</v>
      </c>
      <c r="G365" s="193">
        <f>IF(_1_541284561214624104645789101745678[[#This Row],[Type]]&gt;0,VLOOKUP(_1_541284561214624104645789101745678[[#This Row],[Type]],Main[[#All],[TYPE]:[UNIT]],'Unit Price'!C$1,FALSE),0)</f>
        <v>0</v>
      </c>
      <c r="H365" s="197">
        <f>IF(_1_541284561214624104645789101745678[[#This Row],[Type]]&gt;0,VLOOKUP(_1_541284561214624104645789101745678[[#This Row],[Type]],Main[[#All],[TYPE]:[UNIT]],'Unit Price'!D$1,FALSE),0)</f>
        <v>0</v>
      </c>
      <c r="I365" s="194">
        <f>IF(_1_541284561214624104645789101745678[[#This Row],[Type]]&gt;0,VLOOKUP(_1_541284561214624104645789101745678[[#This Row],[Type]],Main[[#All],[TYPE]:[UNIT]],'Unit Price'!G$1,FALSE),0)</f>
        <v>0</v>
      </c>
      <c r="J365" s="194">
        <f>IF(_1_541284561214624104645789101745678[[#This Row],[Type]]&gt;0,VLOOKUP(_1_541284561214624104645789101745678[[#This Row],[Type]],Main[[#All],[TYPE]:[UNIT]],'Unit Price'!H$1,FALSE),0)</f>
        <v>0</v>
      </c>
      <c r="K365" s="194">
        <f>IF(_1_541284561214624104645789101745678[[#This Row],[Discount selection]]&gt;0,VLOOKUP(_1_541284561214624104645789101745678[[#This Row],[Discount selection]],'Discount Structure'!$A$2:$B$30,2,"false"),0)</f>
        <v>1</v>
      </c>
      <c r="L365" s="194">
        <f>_1_541284561214624104645789101745678[[#This Row],[LIST $]]*_1_541284561214624104645789101745678[[#This Row],[DISCOUNT]]*_1_541284561214624104645789101745678[[#This Row],[DISCOUNT 2]]</f>
        <v>0</v>
      </c>
      <c r="M365" s="194">
        <f>IF(OR(_1_541284561214624104645789101745678[[#This Row],[UNIT]]&gt;0,_1_541284561214624104645789101745678[[#This Row],[UNIT]]&lt;0),_1_541284561214624104645789101745678[[#This Row],[UNIT]]*_1_541284561214624104645789101745678[[#This Row],[COST]],0)</f>
        <v>0</v>
      </c>
      <c r="N365" s="194">
        <f t="shared" si="5"/>
        <v>1.3</v>
      </c>
      <c r="O365" s="198">
        <f>_1_541284561214624104645789101745678[[#This Row],[TOTAL]]*_1_541284561214624104645789101745678[[#This Row],[MARGIN]]</f>
        <v>0</v>
      </c>
      <c r="R365" s="41"/>
    </row>
    <row r="366" spans="1:18">
      <c r="D366" s="188"/>
      <c r="F366" s="168" t="s">
        <v>6202</v>
      </c>
      <c r="G366" s="193">
        <f>IF(_1_541284561214624104645789101745678[[#This Row],[Type]]&gt;0,VLOOKUP(_1_541284561214624104645789101745678[[#This Row],[Type]],Main[[#All],[TYPE]:[UNIT]],'Unit Price'!C$1,FALSE),0)</f>
        <v>0</v>
      </c>
      <c r="H366" s="197">
        <f>IF(_1_541284561214624104645789101745678[[#This Row],[Type]]&gt;0,VLOOKUP(_1_541284561214624104645789101745678[[#This Row],[Type]],Main[[#All],[TYPE]:[UNIT]],'Unit Price'!D$1,FALSE),0)</f>
        <v>0</v>
      </c>
      <c r="I366" s="194">
        <f>IF(_1_541284561214624104645789101745678[[#This Row],[Type]]&gt;0,VLOOKUP(_1_541284561214624104645789101745678[[#This Row],[Type]],Main[[#All],[TYPE]:[UNIT]],'Unit Price'!G$1,FALSE),0)</f>
        <v>0</v>
      </c>
      <c r="J366" s="194">
        <f>IF(_1_541284561214624104645789101745678[[#This Row],[Type]]&gt;0,VLOOKUP(_1_541284561214624104645789101745678[[#This Row],[Type]],Main[[#All],[TYPE]:[UNIT]],'Unit Price'!H$1,FALSE),0)</f>
        <v>0</v>
      </c>
      <c r="K366" s="194">
        <f>IF(_1_541284561214624104645789101745678[[#This Row],[Discount selection]]&gt;0,VLOOKUP(_1_541284561214624104645789101745678[[#This Row],[Discount selection]],'Discount Structure'!$A$2:$B$30,2,"false"),0)</f>
        <v>1</v>
      </c>
      <c r="L366" s="194">
        <f>_1_541284561214624104645789101745678[[#This Row],[LIST $]]*_1_541284561214624104645789101745678[[#This Row],[DISCOUNT]]*_1_541284561214624104645789101745678[[#This Row],[DISCOUNT 2]]</f>
        <v>0</v>
      </c>
      <c r="M366" s="194">
        <f>IF(OR(_1_541284561214624104645789101745678[[#This Row],[UNIT]]&gt;0,_1_541284561214624104645789101745678[[#This Row],[UNIT]]&lt;0),_1_541284561214624104645789101745678[[#This Row],[UNIT]]*_1_541284561214624104645789101745678[[#This Row],[COST]],0)</f>
        <v>0</v>
      </c>
      <c r="N366" s="194">
        <f t="shared" si="5"/>
        <v>1.3</v>
      </c>
      <c r="O366" s="198">
        <f>_1_541284561214624104645789101745678[[#This Row],[TOTAL]]*_1_541284561214624104645789101745678[[#This Row],[MARGIN]]</f>
        <v>0</v>
      </c>
      <c r="R366" s="41"/>
    </row>
    <row r="367" spans="1:18">
      <c r="A367" s="168"/>
      <c r="B367" s="168"/>
      <c r="C367" s="168"/>
      <c r="D367" s="188"/>
      <c r="F367" s="168" t="s">
        <v>6202</v>
      </c>
      <c r="G367" s="193">
        <f>IF(_1_541284561214624104645789101745678[[#This Row],[Type]]&gt;0,VLOOKUP(_1_541284561214624104645789101745678[[#This Row],[Type]],Main[[#All],[TYPE]:[UNIT]],'Unit Price'!C$1,FALSE),0)</f>
        <v>0</v>
      </c>
      <c r="H367" s="197">
        <f>IF(_1_541284561214624104645789101745678[[#This Row],[Type]]&gt;0,VLOOKUP(_1_541284561214624104645789101745678[[#This Row],[Type]],Main[[#All],[TYPE]:[UNIT]],'Unit Price'!D$1,FALSE),0)</f>
        <v>0</v>
      </c>
      <c r="I367" s="194">
        <f>IF(_1_541284561214624104645789101745678[[#This Row],[Type]]&gt;0,VLOOKUP(_1_541284561214624104645789101745678[[#This Row],[Type]],Main[[#All],[TYPE]:[UNIT]],'Unit Price'!G$1,FALSE),0)</f>
        <v>0</v>
      </c>
      <c r="J367" s="194">
        <f>IF(_1_541284561214624104645789101745678[[#This Row],[Type]]&gt;0,VLOOKUP(_1_541284561214624104645789101745678[[#This Row],[Type]],Main[[#All],[TYPE]:[UNIT]],'Unit Price'!H$1,FALSE),0)</f>
        <v>0</v>
      </c>
      <c r="K367" s="194">
        <f>IF(_1_541284561214624104645789101745678[[#This Row],[Discount selection]]&gt;0,VLOOKUP(_1_541284561214624104645789101745678[[#This Row],[Discount selection]],'Discount Structure'!$A$2:$B$30,2,"false"),0)</f>
        <v>1</v>
      </c>
      <c r="L367" s="194">
        <f>_1_541284561214624104645789101745678[[#This Row],[LIST $]]*_1_541284561214624104645789101745678[[#This Row],[DISCOUNT]]*_1_541284561214624104645789101745678[[#This Row],[DISCOUNT 2]]</f>
        <v>0</v>
      </c>
      <c r="M367" s="194">
        <f>IF(OR(_1_541284561214624104645789101745678[[#This Row],[UNIT]]&gt;0,_1_541284561214624104645789101745678[[#This Row],[UNIT]]&lt;0),_1_541284561214624104645789101745678[[#This Row],[UNIT]]*_1_541284561214624104645789101745678[[#This Row],[COST]],0)</f>
        <v>0</v>
      </c>
      <c r="N367" s="194">
        <f t="shared" si="5"/>
        <v>1.3</v>
      </c>
      <c r="O367" s="198">
        <f>_1_541284561214624104645789101745678[[#This Row],[TOTAL]]*_1_541284561214624104645789101745678[[#This Row],[MARGIN]]</f>
        <v>0</v>
      </c>
      <c r="R367" s="41"/>
    </row>
    <row r="368" spans="1:18">
      <c r="A368" s="323"/>
      <c r="B368" s="323"/>
      <c r="C368" s="323"/>
      <c r="D368" s="188"/>
      <c r="F368" s="168" t="s">
        <v>6202</v>
      </c>
      <c r="G368" s="193">
        <f>IF(_1_541284561214624104645789101745678[[#This Row],[Type]]&gt;0,VLOOKUP(_1_541284561214624104645789101745678[[#This Row],[Type]],Main[[#All],[TYPE]:[UNIT]],'Unit Price'!C$1,FALSE),0)</f>
        <v>0</v>
      </c>
      <c r="H368" s="197">
        <f>IF(_1_541284561214624104645789101745678[[#This Row],[Type]]&gt;0,VLOOKUP(_1_541284561214624104645789101745678[[#This Row],[Type]],Main[[#All],[TYPE]:[UNIT]],'Unit Price'!D$1,FALSE),0)</f>
        <v>0</v>
      </c>
      <c r="I368" s="194">
        <f>IF(_1_541284561214624104645789101745678[[#This Row],[Type]]&gt;0,VLOOKUP(_1_541284561214624104645789101745678[[#This Row],[Type]],Main[[#All],[TYPE]:[UNIT]],'Unit Price'!G$1,FALSE),0)</f>
        <v>0</v>
      </c>
      <c r="J368" s="194">
        <f>IF(_1_541284561214624104645789101745678[[#This Row],[Type]]&gt;0,VLOOKUP(_1_541284561214624104645789101745678[[#This Row],[Type]],Main[[#All],[TYPE]:[UNIT]],'Unit Price'!H$1,FALSE),0)</f>
        <v>0</v>
      </c>
      <c r="K368" s="194">
        <f>IF(_1_541284561214624104645789101745678[[#This Row],[Discount selection]]&gt;0,VLOOKUP(_1_541284561214624104645789101745678[[#This Row],[Discount selection]],'Discount Structure'!$A$2:$B$30,2,"false"),0)</f>
        <v>1</v>
      </c>
      <c r="L368" s="194">
        <f>_1_541284561214624104645789101745678[[#This Row],[LIST $]]*_1_541284561214624104645789101745678[[#This Row],[DISCOUNT]]*_1_541284561214624104645789101745678[[#This Row],[DISCOUNT 2]]</f>
        <v>0</v>
      </c>
      <c r="M368" s="194">
        <f>IF(OR(_1_541284561214624104645789101745678[[#This Row],[UNIT]]&gt;0,_1_541284561214624104645789101745678[[#This Row],[UNIT]]&lt;0),_1_541284561214624104645789101745678[[#This Row],[UNIT]]*_1_541284561214624104645789101745678[[#This Row],[COST]],0)</f>
        <v>0</v>
      </c>
      <c r="N368" s="194">
        <f t="shared" si="5"/>
        <v>1.3</v>
      </c>
      <c r="O368" s="198">
        <f>_1_541284561214624104645789101745678[[#This Row],[TOTAL]]*_1_541284561214624104645789101745678[[#This Row],[MARGIN]]</f>
        <v>0</v>
      </c>
      <c r="R368" s="41"/>
    </row>
    <row r="369" spans="1:18">
      <c r="A369" s="323"/>
      <c r="B369" s="353"/>
      <c r="C369" s="323"/>
      <c r="D369" s="188"/>
      <c r="F369" s="168" t="s">
        <v>6202</v>
      </c>
      <c r="G369" s="193">
        <f>IF(_1_541284561214624104645789101745678[[#This Row],[Type]]&gt;0,VLOOKUP(_1_541284561214624104645789101745678[[#This Row],[Type]],Main[[#All],[TYPE]:[UNIT]],'Unit Price'!C$1,FALSE),0)</f>
        <v>0</v>
      </c>
      <c r="H369" s="197">
        <f>IF(_1_541284561214624104645789101745678[[#This Row],[Type]]&gt;0,VLOOKUP(_1_541284561214624104645789101745678[[#This Row],[Type]],Main[[#All],[TYPE]:[UNIT]],'Unit Price'!D$1,FALSE),0)</f>
        <v>0</v>
      </c>
      <c r="I369" s="194">
        <f>IF(_1_541284561214624104645789101745678[[#This Row],[Type]]&gt;0,VLOOKUP(_1_541284561214624104645789101745678[[#This Row],[Type]],Main[[#All],[TYPE]:[UNIT]],'Unit Price'!G$1,FALSE),0)</f>
        <v>0</v>
      </c>
      <c r="J369" s="194">
        <f>IF(_1_541284561214624104645789101745678[[#This Row],[Type]]&gt;0,VLOOKUP(_1_541284561214624104645789101745678[[#This Row],[Type]],Main[[#All],[TYPE]:[UNIT]],'Unit Price'!H$1,FALSE),0)</f>
        <v>0</v>
      </c>
      <c r="K369" s="194">
        <f>IF(_1_541284561214624104645789101745678[[#This Row],[Discount selection]]&gt;0,VLOOKUP(_1_541284561214624104645789101745678[[#This Row],[Discount selection]],'Discount Structure'!$A$2:$B$30,2,"false"),0)</f>
        <v>1</v>
      </c>
      <c r="L369" s="194">
        <f>_1_541284561214624104645789101745678[[#This Row],[LIST $]]*_1_541284561214624104645789101745678[[#This Row],[DISCOUNT]]*_1_541284561214624104645789101745678[[#This Row],[DISCOUNT 2]]</f>
        <v>0</v>
      </c>
      <c r="M369" s="194">
        <f>IF(OR(_1_541284561214624104645789101745678[[#This Row],[UNIT]]&gt;0,_1_541284561214624104645789101745678[[#This Row],[UNIT]]&lt;0),_1_541284561214624104645789101745678[[#This Row],[UNIT]]*_1_541284561214624104645789101745678[[#This Row],[COST]],0)</f>
        <v>0</v>
      </c>
      <c r="N369" s="194">
        <f t="shared" si="5"/>
        <v>1.3</v>
      </c>
      <c r="O369" s="198">
        <f>_1_541284561214624104645789101745678[[#This Row],[TOTAL]]*_1_541284561214624104645789101745678[[#This Row],[MARGIN]]</f>
        <v>0</v>
      </c>
      <c r="R369" s="41"/>
    </row>
    <row r="370" spans="1:18">
      <c r="D370" s="188"/>
      <c r="F370" s="168" t="s">
        <v>6202</v>
      </c>
      <c r="G370" s="193">
        <f>IF(_1_541284561214624104645789101745678[[#This Row],[Type]]&gt;0,VLOOKUP(_1_541284561214624104645789101745678[[#This Row],[Type]],Main[[#All],[TYPE]:[UNIT]],'Unit Price'!C$1,FALSE),0)</f>
        <v>0</v>
      </c>
      <c r="H370" s="197">
        <f>IF(_1_541284561214624104645789101745678[[#This Row],[Type]]&gt;0,VLOOKUP(_1_541284561214624104645789101745678[[#This Row],[Type]],Main[[#All],[TYPE]:[UNIT]],'Unit Price'!D$1,FALSE),0)</f>
        <v>0</v>
      </c>
      <c r="I370" s="194">
        <f>IF(_1_541284561214624104645789101745678[[#This Row],[Type]]&gt;0,VLOOKUP(_1_541284561214624104645789101745678[[#This Row],[Type]],Main[[#All],[TYPE]:[UNIT]],'Unit Price'!G$1,FALSE),0)</f>
        <v>0</v>
      </c>
      <c r="J370" s="194">
        <f>IF(_1_541284561214624104645789101745678[[#This Row],[Type]]&gt;0,VLOOKUP(_1_541284561214624104645789101745678[[#This Row],[Type]],Main[[#All],[TYPE]:[UNIT]],'Unit Price'!H$1,FALSE),0)</f>
        <v>0</v>
      </c>
      <c r="K370" s="194">
        <f>IF(_1_541284561214624104645789101745678[[#This Row],[Discount selection]]&gt;0,VLOOKUP(_1_541284561214624104645789101745678[[#This Row],[Discount selection]],'Discount Structure'!$A$2:$B$30,2,"false"),0)</f>
        <v>1</v>
      </c>
      <c r="L370" s="194">
        <f>_1_541284561214624104645789101745678[[#This Row],[LIST $]]*_1_541284561214624104645789101745678[[#This Row],[DISCOUNT]]*_1_541284561214624104645789101745678[[#This Row],[DISCOUNT 2]]</f>
        <v>0</v>
      </c>
      <c r="M370" s="194">
        <f>IF(OR(_1_541284561214624104645789101745678[[#This Row],[UNIT]]&gt;0,_1_541284561214624104645789101745678[[#This Row],[UNIT]]&lt;0),_1_541284561214624104645789101745678[[#This Row],[UNIT]]*_1_541284561214624104645789101745678[[#This Row],[COST]],0)</f>
        <v>0</v>
      </c>
      <c r="N370" s="194">
        <f t="shared" si="5"/>
        <v>1.3</v>
      </c>
      <c r="O370" s="198">
        <f>_1_541284561214624104645789101745678[[#This Row],[TOTAL]]*_1_541284561214624104645789101745678[[#This Row],[MARGIN]]</f>
        <v>0</v>
      </c>
      <c r="R370" s="41"/>
    </row>
    <row r="371" spans="1:18">
      <c r="D371" s="188"/>
      <c r="F371" s="168" t="s">
        <v>6202</v>
      </c>
      <c r="G371" s="193">
        <f>IF(_1_541284561214624104645789101745678[[#This Row],[Type]]&gt;0,VLOOKUP(_1_541284561214624104645789101745678[[#This Row],[Type]],Main[[#All],[TYPE]:[UNIT]],'Unit Price'!C$1,FALSE),0)</f>
        <v>0</v>
      </c>
      <c r="H371" s="197">
        <f>IF(_1_541284561214624104645789101745678[[#This Row],[Type]]&gt;0,VLOOKUP(_1_541284561214624104645789101745678[[#This Row],[Type]],Main[[#All],[TYPE]:[UNIT]],'Unit Price'!D$1,FALSE),0)</f>
        <v>0</v>
      </c>
      <c r="I371" s="194">
        <f>IF(_1_541284561214624104645789101745678[[#This Row],[Type]]&gt;0,VLOOKUP(_1_541284561214624104645789101745678[[#This Row],[Type]],Main[[#All],[TYPE]:[UNIT]],'Unit Price'!G$1,FALSE),0)</f>
        <v>0</v>
      </c>
      <c r="J371" s="194">
        <f>IF(_1_541284561214624104645789101745678[[#This Row],[Type]]&gt;0,VLOOKUP(_1_541284561214624104645789101745678[[#This Row],[Type]],Main[[#All],[TYPE]:[UNIT]],'Unit Price'!H$1,FALSE),0)</f>
        <v>0</v>
      </c>
      <c r="K371" s="194">
        <f>IF(_1_541284561214624104645789101745678[[#This Row],[Discount selection]]&gt;0,VLOOKUP(_1_541284561214624104645789101745678[[#This Row],[Discount selection]],'Discount Structure'!$A$2:$B$30,2,"false"),0)</f>
        <v>1</v>
      </c>
      <c r="L371" s="194">
        <f>_1_541284561214624104645789101745678[[#This Row],[LIST $]]*_1_541284561214624104645789101745678[[#This Row],[DISCOUNT]]*_1_541284561214624104645789101745678[[#This Row],[DISCOUNT 2]]</f>
        <v>0</v>
      </c>
      <c r="M371" s="194">
        <f>IF(OR(_1_541284561214624104645789101745678[[#This Row],[UNIT]]&gt;0,_1_541284561214624104645789101745678[[#This Row],[UNIT]]&lt;0),_1_541284561214624104645789101745678[[#This Row],[UNIT]]*_1_541284561214624104645789101745678[[#This Row],[COST]],0)</f>
        <v>0</v>
      </c>
      <c r="N371" s="194">
        <f t="shared" si="5"/>
        <v>1.3</v>
      </c>
      <c r="O371" s="198">
        <f>_1_541284561214624104645789101745678[[#This Row],[TOTAL]]*_1_541284561214624104645789101745678[[#This Row],[MARGIN]]</f>
        <v>0</v>
      </c>
      <c r="R371" s="41"/>
    </row>
    <row r="372" spans="1:18">
      <c r="D372" s="188"/>
      <c r="F372" s="168" t="s">
        <v>6202</v>
      </c>
      <c r="G372" s="192">
        <f>IF(_1_541284561214624104645789101745678[[#This Row],[Type]]&gt;0,VLOOKUP(_1_541284561214624104645789101745678[[#This Row],[Type]],Main[[#All],[TYPE]:[UNIT]],'Unit Price'!C$1,FALSE),0)</f>
        <v>0</v>
      </c>
      <c r="H372" s="197">
        <f>IF(_1_541284561214624104645789101745678[[#This Row],[Type]]&gt;0,VLOOKUP(_1_541284561214624104645789101745678[[#This Row],[Type]],Main[[#All],[TYPE]:[UNIT]],'Unit Price'!D$1,FALSE),0)</f>
        <v>0</v>
      </c>
      <c r="I372" s="194">
        <f>IF(_1_541284561214624104645789101745678[[#This Row],[Type]]&gt;0,VLOOKUP(_1_541284561214624104645789101745678[[#This Row],[Type]],Main[[#All],[TYPE]:[UNIT]],'Unit Price'!G$1,FALSE),0)</f>
        <v>0</v>
      </c>
      <c r="J372" s="194">
        <f>IF(_1_541284561214624104645789101745678[[#This Row],[Type]]&gt;0,VLOOKUP(_1_541284561214624104645789101745678[[#This Row],[Type]],Main[[#All],[TYPE]:[UNIT]],'Unit Price'!H$1,FALSE),0)</f>
        <v>0</v>
      </c>
      <c r="K372" s="194">
        <f>IF(_1_541284561214624104645789101745678[[#This Row],[Discount selection]]&gt;0,VLOOKUP(_1_541284561214624104645789101745678[[#This Row],[Discount selection]],'Discount Structure'!$A$2:$B$30,2,"false"),0)</f>
        <v>1</v>
      </c>
      <c r="L372" s="194">
        <f>_1_541284561214624104645789101745678[[#This Row],[LIST $]]*_1_541284561214624104645789101745678[[#This Row],[DISCOUNT]]*_1_541284561214624104645789101745678[[#This Row],[DISCOUNT 2]]</f>
        <v>0</v>
      </c>
      <c r="M372" s="194">
        <f>IF(OR(_1_541284561214624104645789101745678[[#This Row],[UNIT]]&gt;0,_1_541284561214624104645789101745678[[#This Row],[UNIT]]&lt;0),_1_541284561214624104645789101745678[[#This Row],[UNIT]]*_1_541284561214624104645789101745678[[#This Row],[COST]],0)</f>
        <v>0</v>
      </c>
      <c r="N372" s="194">
        <f t="shared" si="5"/>
        <v>1.3</v>
      </c>
      <c r="O372" s="198">
        <f>_1_541284561214624104645789101745678[[#This Row],[TOTAL]]*_1_541284561214624104645789101745678[[#This Row],[MARGIN]]</f>
        <v>0</v>
      </c>
      <c r="R372" s="41"/>
    </row>
    <row r="373" spans="1:18">
      <c r="A373" s="327"/>
      <c r="B373" s="327"/>
      <c r="D373" s="188"/>
      <c r="F373" s="168" t="s">
        <v>6202</v>
      </c>
      <c r="G373" s="192">
        <f>IF(_1_541284561214624104645789101745678[[#This Row],[Type]]&gt;0,VLOOKUP(_1_541284561214624104645789101745678[[#This Row],[Type]],Main[[#All],[TYPE]:[UNIT]],'Unit Price'!C$1,FALSE),0)</f>
        <v>0</v>
      </c>
      <c r="H373" s="197">
        <f>IF(_1_541284561214624104645789101745678[[#This Row],[Type]]&gt;0,VLOOKUP(_1_541284561214624104645789101745678[[#This Row],[Type]],Main[[#All],[TYPE]:[UNIT]],'Unit Price'!D$1,FALSE),0)</f>
        <v>0</v>
      </c>
      <c r="I373" s="194">
        <f>IF(_1_541284561214624104645789101745678[[#This Row],[Type]]&gt;0,VLOOKUP(_1_541284561214624104645789101745678[[#This Row],[Type]],Main[[#All],[TYPE]:[UNIT]],'Unit Price'!G$1,FALSE),0)</f>
        <v>0</v>
      </c>
      <c r="J373" s="194">
        <f>IF(_1_541284561214624104645789101745678[[#This Row],[Type]]&gt;0,VLOOKUP(_1_541284561214624104645789101745678[[#This Row],[Type]],Main[[#All],[TYPE]:[UNIT]],'Unit Price'!H$1,FALSE),0)</f>
        <v>0</v>
      </c>
      <c r="K373" s="194">
        <f>IF(_1_541284561214624104645789101745678[[#This Row],[Discount selection]]&gt;0,VLOOKUP(_1_541284561214624104645789101745678[[#This Row],[Discount selection]],'Discount Structure'!$A$2:$B$30,2,"false"),0)</f>
        <v>1</v>
      </c>
      <c r="L373" s="194">
        <f>_1_541284561214624104645789101745678[[#This Row],[LIST $]]*_1_541284561214624104645789101745678[[#This Row],[DISCOUNT]]*_1_541284561214624104645789101745678[[#This Row],[DISCOUNT 2]]</f>
        <v>0</v>
      </c>
      <c r="M373" s="194">
        <f>IF(OR(_1_541284561214624104645789101745678[[#This Row],[UNIT]]&gt;0,_1_541284561214624104645789101745678[[#This Row],[UNIT]]&lt;0),_1_541284561214624104645789101745678[[#This Row],[UNIT]]*_1_541284561214624104645789101745678[[#This Row],[COST]],0)</f>
        <v>0</v>
      </c>
      <c r="N373" s="194">
        <f t="shared" si="5"/>
        <v>1.3</v>
      </c>
      <c r="O373" s="198">
        <f>_1_541284561214624104645789101745678[[#This Row],[TOTAL]]*_1_541284561214624104645789101745678[[#This Row],[MARGIN]]</f>
        <v>0</v>
      </c>
      <c r="R373" s="41"/>
    </row>
    <row r="374" spans="1:18">
      <c r="D374" s="188"/>
      <c r="F374" s="168" t="s">
        <v>6202</v>
      </c>
      <c r="G374" s="193">
        <f>IF(_1_541284561214624104645789101745678[[#This Row],[Type]]&gt;0,VLOOKUP(_1_541284561214624104645789101745678[[#This Row],[Type]],Main[[#All],[TYPE]:[UNIT]],'Unit Price'!C$1,FALSE),0)</f>
        <v>0</v>
      </c>
      <c r="H374" s="197">
        <f>IF(_1_541284561214624104645789101745678[[#This Row],[Type]]&gt;0,VLOOKUP(_1_541284561214624104645789101745678[[#This Row],[Type]],Main[[#All],[TYPE]:[UNIT]],'Unit Price'!D$1,FALSE),0)</f>
        <v>0</v>
      </c>
      <c r="I374" s="194">
        <f>IF(_1_541284561214624104645789101745678[[#This Row],[Type]]&gt;0,VLOOKUP(_1_541284561214624104645789101745678[[#This Row],[Type]],Main[[#All],[TYPE]:[UNIT]],'Unit Price'!G$1,FALSE),0)</f>
        <v>0</v>
      </c>
      <c r="J374" s="194">
        <f>IF(_1_541284561214624104645789101745678[[#This Row],[Type]]&gt;0,VLOOKUP(_1_541284561214624104645789101745678[[#This Row],[Type]],Main[[#All],[TYPE]:[UNIT]],'Unit Price'!H$1,FALSE),0)</f>
        <v>0</v>
      </c>
      <c r="K374" s="194">
        <f>IF(_1_541284561214624104645789101745678[[#This Row],[Discount selection]]&gt;0,VLOOKUP(_1_541284561214624104645789101745678[[#This Row],[Discount selection]],'Discount Structure'!$A$2:$B$30,2,"false"),0)</f>
        <v>1</v>
      </c>
      <c r="L374" s="194">
        <f>_1_541284561214624104645789101745678[[#This Row],[LIST $]]*_1_541284561214624104645789101745678[[#This Row],[DISCOUNT]]*_1_541284561214624104645789101745678[[#This Row],[DISCOUNT 2]]</f>
        <v>0</v>
      </c>
      <c r="M374" s="194">
        <f>IF(OR(_1_541284561214624104645789101745678[[#This Row],[UNIT]]&gt;0,_1_541284561214624104645789101745678[[#This Row],[UNIT]]&lt;0),_1_541284561214624104645789101745678[[#This Row],[UNIT]]*_1_541284561214624104645789101745678[[#This Row],[COST]],0)</f>
        <v>0</v>
      </c>
      <c r="N374" s="194">
        <f t="shared" si="5"/>
        <v>1.3</v>
      </c>
      <c r="O374" s="198">
        <f>_1_541284561214624104645789101745678[[#This Row],[TOTAL]]*_1_541284561214624104645789101745678[[#This Row],[MARGIN]]</f>
        <v>0</v>
      </c>
      <c r="R374" s="41"/>
    </row>
    <row r="375" spans="1:18">
      <c r="D375" s="188"/>
      <c r="F375" s="168" t="s">
        <v>6202</v>
      </c>
      <c r="G375" s="193">
        <f>IF(_1_541284561214624104645789101745678[[#This Row],[Type]]&gt;0,VLOOKUP(_1_541284561214624104645789101745678[[#This Row],[Type]],Main[[#All],[TYPE]:[UNIT]],'Unit Price'!C$1,FALSE),0)</f>
        <v>0</v>
      </c>
      <c r="H375" s="197">
        <f>IF(_1_541284561214624104645789101745678[[#This Row],[Type]]&gt;0,VLOOKUP(_1_541284561214624104645789101745678[[#This Row],[Type]],Main[[#All],[TYPE]:[UNIT]],'Unit Price'!D$1,FALSE),0)</f>
        <v>0</v>
      </c>
      <c r="I375" s="194">
        <f>IF(_1_541284561214624104645789101745678[[#This Row],[Type]]&gt;0,VLOOKUP(_1_541284561214624104645789101745678[[#This Row],[Type]],Main[[#All],[TYPE]:[UNIT]],'Unit Price'!G$1,FALSE),0)</f>
        <v>0</v>
      </c>
      <c r="J375" s="194">
        <f>IF(_1_541284561214624104645789101745678[[#This Row],[Type]]&gt;0,VLOOKUP(_1_541284561214624104645789101745678[[#This Row],[Type]],Main[[#All],[TYPE]:[UNIT]],'Unit Price'!H$1,FALSE),0)</f>
        <v>0</v>
      </c>
      <c r="K375" s="194">
        <f>IF(_1_541284561214624104645789101745678[[#This Row],[Discount selection]]&gt;0,VLOOKUP(_1_541284561214624104645789101745678[[#This Row],[Discount selection]],'Discount Structure'!$A$2:$B$30,2,"false"),0)</f>
        <v>1</v>
      </c>
      <c r="L375" s="194">
        <f>_1_541284561214624104645789101745678[[#This Row],[LIST $]]*_1_541284561214624104645789101745678[[#This Row],[DISCOUNT]]*_1_541284561214624104645789101745678[[#This Row],[DISCOUNT 2]]</f>
        <v>0</v>
      </c>
      <c r="M375" s="194">
        <f>IF(OR(_1_541284561214624104645789101745678[[#This Row],[UNIT]]&gt;0,_1_541284561214624104645789101745678[[#This Row],[UNIT]]&lt;0),_1_541284561214624104645789101745678[[#This Row],[UNIT]]*_1_541284561214624104645789101745678[[#This Row],[COST]],0)</f>
        <v>0</v>
      </c>
      <c r="N375" s="194">
        <f t="shared" si="5"/>
        <v>1.3</v>
      </c>
      <c r="O375" s="198">
        <f>_1_541284561214624104645789101745678[[#This Row],[TOTAL]]*_1_541284561214624104645789101745678[[#This Row],[MARGIN]]</f>
        <v>0</v>
      </c>
      <c r="R375" s="41"/>
    </row>
    <row r="376" spans="1:18">
      <c r="D376" s="188"/>
      <c r="F376" s="168" t="s">
        <v>6202</v>
      </c>
      <c r="G376" s="193">
        <f>IF(_1_541284561214624104645789101745678[[#This Row],[Type]]&gt;0,VLOOKUP(_1_541284561214624104645789101745678[[#This Row],[Type]],Main[[#All],[TYPE]:[UNIT]],'Unit Price'!C$1,FALSE),0)</f>
        <v>0</v>
      </c>
      <c r="H376" s="197">
        <f>IF(_1_541284561214624104645789101745678[[#This Row],[Type]]&gt;0,VLOOKUP(_1_541284561214624104645789101745678[[#This Row],[Type]],Main[[#All],[TYPE]:[UNIT]],'Unit Price'!D$1,FALSE),0)</f>
        <v>0</v>
      </c>
      <c r="I376" s="194">
        <f>IF(_1_541284561214624104645789101745678[[#This Row],[Type]]&gt;0,VLOOKUP(_1_541284561214624104645789101745678[[#This Row],[Type]],Main[[#All],[TYPE]:[UNIT]],'Unit Price'!G$1,FALSE),0)</f>
        <v>0</v>
      </c>
      <c r="J376" s="194">
        <f>IF(_1_541284561214624104645789101745678[[#This Row],[Type]]&gt;0,VLOOKUP(_1_541284561214624104645789101745678[[#This Row],[Type]],Main[[#All],[TYPE]:[UNIT]],'Unit Price'!H$1,FALSE),0)</f>
        <v>0</v>
      </c>
      <c r="K376" s="194">
        <f>IF(_1_541284561214624104645789101745678[[#This Row],[Discount selection]]&gt;0,VLOOKUP(_1_541284561214624104645789101745678[[#This Row],[Discount selection]],'Discount Structure'!$A$2:$B$30,2,"false"),0)</f>
        <v>1</v>
      </c>
      <c r="L376" s="194">
        <f>_1_541284561214624104645789101745678[[#This Row],[LIST $]]*_1_541284561214624104645789101745678[[#This Row],[DISCOUNT]]*_1_541284561214624104645789101745678[[#This Row],[DISCOUNT 2]]</f>
        <v>0</v>
      </c>
      <c r="M376" s="194">
        <f>IF(OR(_1_541284561214624104645789101745678[[#This Row],[UNIT]]&gt;0,_1_541284561214624104645789101745678[[#This Row],[UNIT]]&lt;0),_1_541284561214624104645789101745678[[#This Row],[UNIT]]*_1_541284561214624104645789101745678[[#This Row],[COST]],0)</f>
        <v>0</v>
      </c>
      <c r="N376" s="194">
        <f t="shared" si="5"/>
        <v>1.3</v>
      </c>
      <c r="O376" s="198">
        <f>_1_541284561214624104645789101745678[[#This Row],[TOTAL]]*_1_541284561214624104645789101745678[[#This Row],[MARGIN]]</f>
        <v>0</v>
      </c>
      <c r="R376" s="41"/>
    </row>
    <row r="377" spans="1:18">
      <c r="D377" s="188"/>
      <c r="F377" s="168" t="s">
        <v>6202</v>
      </c>
      <c r="G377" s="192">
        <f>IF(_1_541284561214624104645789101745678[[#This Row],[Type]]&gt;0,VLOOKUP(_1_541284561214624104645789101745678[[#This Row],[Type]],Main[[#All],[TYPE]:[UNIT]],'Unit Price'!C$1,FALSE),0)</f>
        <v>0</v>
      </c>
      <c r="H377" s="197">
        <f>IF(_1_541284561214624104645789101745678[[#This Row],[Type]]&gt;0,VLOOKUP(_1_541284561214624104645789101745678[[#This Row],[Type]],Main[[#All],[TYPE]:[UNIT]],'Unit Price'!D$1,FALSE),0)</f>
        <v>0</v>
      </c>
      <c r="I377" s="194">
        <f>IF(_1_541284561214624104645789101745678[[#This Row],[Type]]&gt;0,VLOOKUP(_1_541284561214624104645789101745678[[#This Row],[Type]],Main[[#All],[TYPE]:[UNIT]],'Unit Price'!G$1,FALSE),0)</f>
        <v>0</v>
      </c>
      <c r="J377" s="194">
        <f>IF(_1_541284561214624104645789101745678[[#This Row],[Type]]&gt;0,VLOOKUP(_1_541284561214624104645789101745678[[#This Row],[Type]],Main[[#All],[TYPE]:[UNIT]],'Unit Price'!H$1,FALSE),0)</f>
        <v>0</v>
      </c>
      <c r="K377" s="194">
        <f>IF(_1_541284561214624104645789101745678[[#This Row],[Discount selection]]&gt;0,VLOOKUP(_1_541284561214624104645789101745678[[#This Row],[Discount selection]],'Discount Structure'!$A$2:$B$30,2,"false"),0)</f>
        <v>1</v>
      </c>
      <c r="L377" s="194">
        <f>_1_541284561214624104645789101745678[[#This Row],[LIST $]]*_1_541284561214624104645789101745678[[#This Row],[DISCOUNT]]*_1_541284561214624104645789101745678[[#This Row],[DISCOUNT 2]]</f>
        <v>0</v>
      </c>
      <c r="M377" s="194">
        <f>IF(OR(_1_541284561214624104645789101745678[[#This Row],[UNIT]]&gt;0,_1_541284561214624104645789101745678[[#This Row],[UNIT]]&lt;0),_1_541284561214624104645789101745678[[#This Row],[UNIT]]*_1_541284561214624104645789101745678[[#This Row],[COST]],0)</f>
        <v>0</v>
      </c>
      <c r="N377" s="194">
        <f t="shared" si="5"/>
        <v>1.3</v>
      </c>
      <c r="O377" s="198">
        <f>_1_541284561214624104645789101745678[[#This Row],[TOTAL]]*_1_541284561214624104645789101745678[[#This Row],[MARGIN]]</f>
        <v>0</v>
      </c>
      <c r="R377" s="41"/>
    </row>
    <row r="378" spans="1:18">
      <c r="D378" s="188"/>
      <c r="F378" s="168" t="s">
        <v>6202</v>
      </c>
      <c r="G378" s="193">
        <f>IF(_1_541284561214624104645789101745678[[#This Row],[Type]]&gt;0,VLOOKUP(_1_541284561214624104645789101745678[[#This Row],[Type]],Main[[#All],[TYPE]:[UNIT]],'Unit Price'!C$1,FALSE),0)</f>
        <v>0</v>
      </c>
      <c r="H378" s="197">
        <f>IF(_1_541284561214624104645789101745678[[#This Row],[Type]]&gt;0,VLOOKUP(_1_541284561214624104645789101745678[[#This Row],[Type]],Main[[#All],[TYPE]:[UNIT]],'Unit Price'!D$1,FALSE),0)</f>
        <v>0</v>
      </c>
      <c r="I378" s="194">
        <f>IF(_1_541284561214624104645789101745678[[#This Row],[Type]]&gt;0,VLOOKUP(_1_541284561214624104645789101745678[[#This Row],[Type]],Main[[#All],[TYPE]:[UNIT]],'Unit Price'!G$1,FALSE),0)</f>
        <v>0</v>
      </c>
      <c r="J378" s="194">
        <f>IF(_1_541284561214624104645789101745678[[#This Row],[Type]]&gt;0,VLOOKUP(_1_541284561214624104645789101745678[[#This Row],[Type]],Main[[#All],[TYPE]:[UNIT]],'Unit Price'!H$1,FALSE),0)</f>
        <v>0</v>
      </c>
      <c r="K378" s="194">
        <f>IF(_1_541284561214624104645789101745678[[#This Row],[Discount selection]]&gt;0,VLOOKUP(_1_541284561214624104645789101745678[[#This Row],[Discount selection]],'Discount Structure'!$A$2:$B$30,2,"false"),0)</f>
        <v>1</v>
      </c>
      <c r="L378" s="194">
        <f>_1_541284561214624104645789101745678[[#This Row],[LIST $]]*_1_541284561214624104645789101745678[[#This Row],[DISCOUNT]]*_1_541284561214624104645789101745678[[#This Row],[DISCOUNT 2]]</f>
        <v>0</v>
      </c>
      <c r="M378" s="194">
        <f>IF(OR(_1_541284561214624104645789101745678[[#This Row],[UNIT]]&gt;0,_1_541284561214624104645789101745678[[#This Row],[UNIT]]&lt;0),_1_541284561214624104645789101745678[[#This Row],[UNIT]]*_1_541284561214624104645789101745678[[#This Row],[COST]],0)</f>
        <v>0</v>
      </c>
      <c r="N378" s="194">
        <f t="shared" si="5"/>
        <v>1.3</v>
      </c>
      <c r="O378" s="198">
        <f>_1_541284561214624104645789101745678[[#This Row],[TOTAL]]*_1_541284561214624104645789101745678[[#This Row],[MARGIN]]</f>
        <v>0</v>
      </c>
      <c r="R378" s="41"/>
    </row>
    <row r="379" spans="1:18">
      <c r="D379" s="188"/>
      <c r="F379" s="168" t="s">
        <v>6202</v>
      </c>
      <c r="G379" s="193">
        <f>IF(_1_541284561214624104645789101745678[[#This Row],[Type]]&gt;0,VLOOKUP(_1_541284561214624104645789101745678[[#This Row],[Type]],Main[[#All],[TYPE]:[UNIT]],'Unit Price'!C$1,FALSE),0)</f>
        <v>0</v>
      </c>
      <c r="H379" s="197">
        <f>IF(_1_541284561214624104645789101745678[[#This Row],[Type]]&gt;0,VLOOKUP(_1_541284561214624104645789101745678[[#This Row],[Type]],Main[[#All],[TYPE]:[UNIT]],'Unit Price'!D$1,FALSE),0)</f>
        <v>0</v>
      </c>
      <c r="I379" s="194">
        <f>IF(_1_541284561214624104645789101745678[[#This Row],[Type]]&gt;0,VLOOKUP(_1_541284561214624104645789101745678[[#This Row],[Type]],Main[[#All],[TYPE]:[UNIT]],'Unit Price'!G$1,FALSE),0)</f>
        <v>0</v>
      </c>
      <c r="J379" s="194">
        <f>IF(_1_541284561214624104645789101745678[[#This Row],[Type]]&gt;0,VLOOKUP(_1_541284561214624104645789101745678[[#This Row],[Type]],Main[[#All],[TYPE]:[UNIT]],'Unit Price'!H$1,FALSE),0)</f>
        <v>0</v>
      </c>
      <c r="K379" s="194">
        <f>IF(_1_541284561214624104645789101745678[[#This Row],[Discount selection]]&gt;0,VLOOKUP(_1_541284561214624104645789101745678[[#This Row],[Discount selection]],'Discount Structure'!$A$2:$B$30,2,"false"),0)</f>
        <v>1</v>
      </c>
      <c r="L379" s="194">
        <f>_1_541284561214624104645789101745678[[#This Row],[LIST $]]*_1_541284561214624104645789101745678[[#This Row],[DISCOUNT]]*_1_541284561214624104645789101745678[[#This Row],[DISCOUNT 2]]</f>
        <v>0</v>
      </c>
      <c r="M379" s="194">
        <f>IF(OR(_1_541284561214624104645789101745678[[#This Row],[UNIT]]&gt;0,_1_541284561214624104645789101745678[[#This Row],[UNIT]]&lt;0),_1_541284561214624104645789101745678[[#This Row],[UNIT]]*_1_541284561214624104645789101745678[[#This Row],[COST]],0)</f>
        <v>0</v>
      </c>
      <c r="N379" s="194">
        <f t="shared" si="5"/>
        <v>1.3</v>
      </c>
      <c r="O379" s="198">
        <f>_1_541284561214624104645789101745678[[#This Row],[TOTAL]]*_1_541284561214624104645789101745678[[#This Row],[MARGIN]]</f>
        <v>0</v>
      </c>
      <c r="R379" s="41"/>
    </row>
    <row r="380" spans="1:18">
      <c r="A380" s="327"/>
      <c r="B380" s="327"/>
      <c r="D380" s="188"/>
      <c r="F380" s="168" t="s">
        <v>6202</v>
      </c>
      <c r="G380" s="193">
        <f>IF(_1_541284561214624104645789101745678[[#This Row],[Type]]&gt;0,VLOOKUP(_1_541284561214624104645789101745678[[#This Row],[Type]],Main[[#All],[TYPE]:[UNIT]],'Unit Price'!C$1,FALSE),0)</f>
        <v>0</v>
      </c>
      <c r="H380" s="197">
        <f>IF(_1_541284561214624104645789101745678[[#This Row],[Type]]&gt;0,VLOOKUP(_1_541284561214624104645789101745678[[#This Row],[Type]],Main[[#All],[TYPE]:[UNIT]],'Unit Price'!D$1,FALSE),0)</f>
        <v>0</v>
      </c>
      <c r="I380" s="194">
        <f>IF(_1_541284561214624104645789101745678[[#This Row],[Type]]&gt;0,VLOOKUP(_1_541284561214624104645789101745678[[#This Row],[Type]],Main[[#All],[TYPE]:[UNIT]],'Unit Price'!G$1,FALSE),0)</f>
        <v>0</v>
      </c>
      <c r="J380" s="194">
        <f>IF(_1_541284561214624104645789101745678[[#This Row],[Type]]&gt;0,VLOOKUP(_1_541284561214624104645789101745678[[#This Row],[Type]],Main[[#All],[TYPE]:[UNIT]],'Unit Price'!H$1,FALSE),0)</f>
        <v>0</v>
      </c>
      <c r="K380" s="194">
        <f>IF(_1_541284561214624104645789101745678[[#This Row],[Discount selection]]&gt;0,VLOOKUP(_1_541284561214624104645789101745678[[#This Row],[Discount selection]],'Discount Structure'!$A$2:$B$30,2,"false"),0)</f>
        <v>1</v>
      </c>
      <c r="L380" s="194">
        <f>_1_541284561214624104645789101745678[[#This Row],[LIST $]]*_1_541284561214624104645789101745678[[#This Row],[DISCOUNT]]*_1_541284561214624104645789101745678[[#This Row],[DISCOUNT 2]]</f>
        <v>0</v>
      </c>
      <c r="M380" s="194">
        <f>IF(OR(_1_541284561214624104645789101745678[[#This Row],[UNIT]]&gt;0,_1_541284561214624104645789101745678[[#This Row],[UNIT]]&lt;0),_1_541284561214624104645789101745678[[#This Row],[UNIT]]*_1_541284561214624104645789101745678[[#This Row],[COST]],0)</f>
        <v>0</v>
      </c>
      <c r="N380" s="194">
        <f t="shared" si="5"/>
        <v>1.3</v>
      </c>
      <c r="O380" s="198">
        <f>_1_541284561214624104645789101745678[[#This Row],[TOTAL]]*_1_541284561214624104645789101745678[[#This Row],[MARGIN]]</f>
        <v>0</v>
      </c>
      <c r="R380" s="41"/>
    </row>
    <row r="381" spans="1:18">
      <c r="D381" s="188"/>
      <c r="F381" s="168" t="s">
        <v>6202</v>
      </c>
      <c r="G381" s="193">
        <f>IF(_1_541284561214624104645789101745678[[#This Row],[Type]]&gt;0,VLOOKUP(_1_541284561214624104645789101745678[[#This Row],[Type]],Main[[#All],[TYPE]:[UNIT]],'Unit Price'!C$1,FALSE),0)</f>
        <v>0</v>
      </c>
      <c r="H381" s="197">
        <f>IF(_1_541284561214624104645789101745678[[#This Row],[Type]]&gt;0,VLOOKUP(_1_541284561214624104645789101745678[[#This Row],[Type]],Main[[#All],[TYPE]:[UNIT]],'Unit Price'!D$1,FALSE),0)</f>
        <v>0</v>
      </c>
      <c r="I381" s="194">
        <f>IF(_1_541284561214624104645789101745678[[#This Row],[Type]]&gt;0,VLOOKUP(_1_541284561214624104645789101745678[[#This Row],[Type]],Main[[#All],[TYPE]:[UNIT]],'Unit Price'!G$1,FALSE),0)</f>
        <v>0</v>
      </c>
      <c r="J381" s="194">
        <f>IF(_1_541284561214624104645789101745678[[#This Row],[Type]]&gt;0,VLOOKUP(_1_541284561214624104645789101745678[[#This Row],[Type]],Main[[#All],[TYPE]:[UNIT]],'Unit Price'!H$1,FALSE),0)</f>
        <v>0</v>
      </c>
      <c r="K381" s="194">
        <f>IF(_1_541284561214624104645789101745678[[#This Row],[Discount selection]]&gt;0,VLOOKUP(_1_541284561214624104645789101745678[[#This Row],[Discount selection]],'Discount Structure'!$A$2:$B$30,2,"false"),0)</f>
        <v>1</v>
      </c>
      <c r="L381" s="194">
        <f>_1_541284561214624104645789101745678[[#This Row],[LIST $]]*_1_541284561214624104645789101745678[[#This Row],[DISCOUNT]]*_1_541284561214624104645789101745678[[#This Row],[DISCOUNT 2]]</f>
        <v>0</v>
      </c>
      <c r="M381" s="194">
        <f>IF(OR(_1_541284561214624104645789101745678[[#This Row],[UNIT]]&gt;0,_1_541284561214624104645789101745678[[#This Row],[UNIT]]&lt;0),_1_541284561214624104645789101745678[[#This Row],[UNIT]]*_1_541284561214624104645789101745678[[#This Row],[COST]],0)</f>
        <v>0</v>
      </c>
      <c r="N381" s="194">
        <f t="shared" si="5"/>
        <v>1.3</v>
      </c>
      <c r="O381" s="198">
        <f>_1_541284561214624104645789101745678[[#This Row],[TOTAL]]*_1_541284561214624104645789101745678[[#This Row],[MARGIN]]</f>
        <v>0</v>
      </c>
      <c r="R381" s="41"/>
    </row>
    <row r="382" spans="1:18">
      <c r="D382" s="188"/>
      <c r="F382" s="168" t="s">
        <v>6202</v>
      </c>
      <c r="G382" s="192">
        <f>IF(_1_541284561214624104645789101745678[[#This Row],[Type]]&gt;0,VLOOKUP(_1_541284561214624104645789101745678[[#This Row],[Type]],Main[[#All],[TYPE]:[UNIT]],'Unit Price'!C$1,FALSE),0)</f>
        <v>0</v>
      </c>
      <c r="H382" s="197">
        <f>IF(_1_541284561214624104645789101745678[[#This Row],[Type]]&gt;0,VLOOKUP(_1_541284561214624104645789101745678[[#This Row],[Type]],Main[[#All],[TYPE]:[UNIT]],'Unit Price'!D$1,FALSE),0)</f>
        <v>0</v>
      </c>
      <c r="I382" s="194">
        <f>IF(_1_541284561214624104645789101745678[[#This Row],[Type]]&gt;0,VLOOKUP(_1_541284561214624104645789101745678[[#This Row],[Type]],Main[[#All],[TYPE]:[UNIT]],'Unit Price'!G$1,FALSE),0)</f>
        <v>0</v>
      </c>
      <c r="J382" s="194">
        <f>IF(_1_541284561214624104645789101745678[[#This Row],[Type]]&gt;0,VLOOKUP(_1_541284561214624104645789101745678[[#This Row],[Type]],Main[[#All],[TYPE]:[UNIT]],'Unit Price'!H$1,FALSE),0)</f>
        <v>0</v>
      </c>
      <c r="K382" s="194">
        <f>IF(_1_541284561214624104645789101745678[[#This Row],[Discount selection]]&gt;0,VLOOKUP(_1_541284561214624104645789101745678[[#This Row],[Discount selection]],'Discount Structure'!$A$2:$B$30,2,"false"),0)</f>
        <v>1</v>
      </c>
      <c r="L382" s="194">
        <f>_1_541284561214624104645789101745678[[#This Row],[LIST $]]*_1_541284561214624104645789101745678[[#This Row],[DISCOUNT]]*_1_541284561214624104645789101745678[[#This Row],[DISCOUNT 2]]</f>
        <v>0</v>
      </c>
      <c r="M382" s="194">
        <f>IF(OR(_1_541284561214624104645789101745678[[#This Row],[UNIT]]&gt;0,_1_541284561214624104645789101745678[[#This Row],[UNIT]]&lt;0),_1_541284561214624104645789101745678[[#This Row],[UNIT]]*_1_541284561214624104645789101745678[[#This Row],[COST]],0)</f>
        <v>0</v>
      </c>
      <c r="N382" s="194">
        <f t="shared" si="5"/>
        <v>1.3</v>
      </c>
      <c r="O382" s="198">
        <f>_1_541284561214624104645789101745678[[#This Row],[TOTAL]]*_1_541284561214624104645789101745678[[#This Row],[MARGIN]]</f>
        <v>0</v>
      </c>
      <c r="R382" s="41"/>
    </row>
    <row r="383" spans="1:18">
      <c r="D383" s="188"/>
      <c r="F383" s="168" t="s">
        <v>6202</v>
      </c>
      <c r="G383" s="193">
        <f>IF(_1_541284561214624104645789101745678[[#This Row],[Type]]&gt;0,VLOOKUP(_1_541284561214624104645789101745678[[#This Row],[Type]],Main[[#All],[TYPE]:[UNIT]],'Unit Price'!C$1,FALSE),0)</f>
        <v>0</v>
      </c>
      <c r="H383" s="197">
        <f>IF(_1_541284561214624104645789101745678[[#This Row],[Type]]&gt;0,VLOOKUP(_1_541284561214624104645789101745678[[#This Row],[Type]],Main[[#All],[TYPE]:[UNIT]],'Unit Price'!D$1,FALSE),0)</f>
        <v>0</v>
      </c>
      <c r="I383" s="194">
        <f>IF(_1_541284561214624104645789101745678[[#This Row],[Type]]&gt;0,VLOOKUP(_1_541284561214624104645789101745678[[#This Row],[Type]],Main[[#All],[TYPE]:[UNIT]],'Unit Price'!G$1,FALSE),0)</f>
        <v>0</v>
      </c>
      <c r="J383" s="194">
        <f>IF(_1_541284561214624104645789101745678[[#This Row],[Type]]&gt;0,VLOOKUP(_1_541284561214624104645789101745678[[#This Row],[Type]],Main[[#All],[TYPE]:[UNIT]],'Unit Price'!H$1,FALSE),0)</f>
        <v>0</v>
      </c>
      <c r="K383" s="194">
        <f>IF(_1_541284561214624104645789101745678[[#This Row],[Discount selection]]&gt;0,VLOOKUP(_1_541284561214624104645789101745678[[#This Row],[Discount selection]],'Discount Structure'!$A$2:$B$30,2,"false"),0)</f>
        <v>1</v>
      </c>
      <c r="L383" s="194">
        <f>_1_541284561214624104645789101745678[[#This Row],[LIST $]]*_1_541284561214624104645789101745678[[#This Row],[DISCOUNT]]*_1_541284561214624104645789101745678[[#This Row],[DISCOUNT 2]]</f>
        <v>0</v>
      </c>
      <c r="M383" s="194">
        <f>IF(OR(_1_541284561214624104645789101745678[[#This Row],[UNIT]]&gt;0,_1_541284561214624104645789101745678[[#This Row],[UNIT]]&lt;0),_1_541284561214624104645789101745678[[#This Row],[UNIT]]*_1_541284561214624104645789101745678[[#This Row],[COST]],0)</f>
        <v>0</v>
      </c>
      <c r="N383" s="194">
        <f t="shared" si="5"/>
        <v>1.3</v>
      </c>
      <c r="O383" s="198">
        <f>_1_541284561214624104645789101745678[[#This Row],[TOTAL]]*_1_541284561214624104645789101745678[[#This Row],[MARGIN]]</f>
        <v>0</v>
      </c>
      <c r="R383" s="41"/>
    </row>
    <row r="384" spans="1:18">
      <c r="D384" s="188"/>
      <c r="F384" s="168" t="s">
        <v>6202</v>
      </c>
      <c r="G384" s="193">
        <f>IF(_1_541284561214624104645789101745678[[#This Row],[Type]]&gt;0,VLOOKUP(_1_541284561214624104645789101745678[[#This Row],[Type]],Main[[#All],[TYPE]:[UNIT]],'Unit Price'!C$1,FALSE),0)</f>
        <v>0</v>
      </c>
      <c r="H384" s="197">
        <f>IF(_1_541284561214624104645789101745678[[#This Row],[Type]]&gt;0,VLOOKUP(_1_541284561214624104645789101745678[[#This Row],[Type]],Main[[#All],[TYPE]:[UNIT]],'Unit Price'!D$1,FALSE),0)</f>
        <v>0</v>
      </c>
      <c r="I384" s="194">
        <f>IF(_1_541284561214624104645789101745678[[#This Row],[Type]]&gt;0,VLOOKUP(_1_541284561214624104645789101745678[[#This Row],[Type]],Main[[#All],[TYPE]:[UNIT]],'Unit Price'!G$1,FALSE),0)</f>
        <v>0</v>
      </c>
      <c r="J384" s="194">
        <f>IF(_1_541284561214624104645789101745678[[#This Row],[Type]]&gt;0,VLOOKUP(_1_541284561214624104645789101745678[[#This Row],[Type]],Main[[#All],[TYPE]:[UNIT]],'Unit Price'!H$1,FALSE),0)</f>
        <v>0</v>
      </c>
      <c r="K384" s="194">
        <f>IF(_1_541284561214624104645789101745678[[#This Row],[Discount selection]]&gt;0,VLOOKUP(_1_541284561214624104645789101745678[[#This Row],[Discount selection]],'Discount Structure'!$A$2:$B$30,2,"false"),0)</f>
        <v>1</v>
      </c>
      <c r="L384" s="194">
        <f>_1_541284561214624104645789101745678[[#This Row],[LIST $]]*_1_541284561214624104645789101745678[[#This Row],[DISCOUNT]]*_1_541284561214624104645789101745678[[#This Row],[DISCOUNT 2]]</f>
        <v>0</v>
      </c>
      <c r="M384" s="194">
        <f>IF(OR(_1_541284561214624104645789101745678[[#This Row],[UNIT]]&gt;0,_1_541284561214624104645789101745678[[#This Row],[UNIT]]&lt;0),_1_541284561214624104645789101745678[[#This Row],[UNIT]]*_1_541284561214624104645789101745678[[#This Row],[COST]],0)</f>
        <v>0</v>
      </c>
      <c r="N384" s="194">
        <f t="shared" si="5"/>
        <v>1.3</v>
      </c>
      <c r="O384" s="198">
        <f>_1_541284561214624104645789101745678[[#This Row],[TOTAL]]*_1_541284561214624104645789101745678[[#This Row],[MARGIN]]</f>
        <v>0</v>
      </c>
      <c r="R384" s="41"/>
    </row>
    <row r="385" spans="1:18">
      <c r="D385" s="188"/>
      <c r="F385" s="168" t="s">
        <v>6202</v>
      </c>
      <c r="G385" s="193">
        <f>IF(_1_541284561214624104645789101745678[[#This Row],[Type]]&gt;0,VLOOKUP(_1_541284561214624104645789101745678[[#This Row],[Type]],Main[[#All],[TYPE]:[UNIT]],'Unit Price'!C$1,FALSE),0)</f>
        <v>0</v>
      </c>
      <c r="H385" s="197">
        <f>IF(_1_541284561214624104645789101745678[[#This Row],[Type]]&gt;0,VLOOKUP(_1_541284561214624104645789101745678[[#This Row],[Type]],Main[[#All],[TYPE]:[UNIT]],'Unit Price'!D$1,FALSE),0)</f>
        <v>0</v>
      </c>
      <c r="I385" s="194">
        <f>IF(_1_541284561214624104645789101745678[[#This Row],[Type]]&gt;0,VLOOKUP(_1_541284561214624104645789101745678[[#This Row],[Type]],Main[[#All],[TYPE]:[UNIT]],'Unit Price'!G$1,FALSE),0)</f>
        <v>0</v>
      </c>
      <c r="J385" s="194">
        <f>IF(_1_541284561214624104645789101745678[[#This Row],[Type]]&gt;0,VLOOKUP(_1_541284561214624104645789101745678[[#This Row],[Type]],Main[[#All],[TYPE]:[UNIT]],'Unit Price'!H$1,FALSE),0)</f>
        <v>0</v>
      </c>
      <c r="K385" s="194">
        <f>IF(_1_541284561214624104645789101745678[[#This Row],[Discount selection]]&gt;0,VLOOKUP(_1_541284561214624104645789101745678[[#This Row],[Discount selection]],'Discount Structure'!$A$2:$B$30,2,"false"),0)</f>
        <v>1</v>
      </c>
      <c r="L385" s="194">
        <f>_1_541284561214624104645789101745678[[#This Row],[LIST $]]*_1_541284561214624104645789101745678[[#This Row],[DISCOUNT]]*_1_541284561214624104645789101745678[[#This Row],[DISCOUNT 2]]</f>
        <v>0</v>
      </c>
      <c r="M385" s="194">
        <f>IF(OR(_1_541284561214624104645789101745678[[#This Row],[UNIT]]&gt;0,_1_541284561214624104645789101745678[[#This Row],[UNIT]]&lt;0),_1_541284561214624104645789101745678[[#This Row],[UNIT]]*_1_541284561214624104645789101745678[[#This Row],[COST]],0)</f>
        <v>0</v>
      </c>
      <c r="N385" s="194">
        <f t="shared" si="5"/>
        <v>1.3</v>
      </c>
      <c r="O385" s="198">
        <f>_1_541284561214624104645789101745678[[#This Row],[TOTAL]]*_1_541284561214624104645789101745678[[#This Row],[MARGIN]]</f>
        <v>0</v>
      </c>
      <c r="R385" s="41"/>
    </row>
    <row r="386" spans="1:18">
      <c r="D386" s="188"/>
      <c r="F386" s="168" t="s">
        <v>6202</v>
      </c>
      <c r="G386" s="193">
        <f>IF(_1_541284561214624104645789101745678[[#This Row],[Type]]&gt;0,VLOOKUP(_1_541284561214624104645789101745678[[#This Row],[Type]],Main[[#All],[TYPE]:[UNIT]],'Unit Price'!C$1,FALSE),0)</f>
        <v>0</v>
      </c>
      <c r="H386" s="197">
        <f>IF(_1_541284561214624104645789101745678[[#This Row],[Type]]&gt;0,VLOOKUP(_1_541284561214624104645789101745678[[#This Row],[Type]],Main[[#All],[TYPE]:[UNIT]],'Unit Price'!D$1,FALSE),0)</f>
        <v>0</v>
      </c>
      <c r="I386" s="194">
        <f>IF(_1_541284561214624104645789101745678[[#This Row],[Type]]&gt;0,VLOOKUP(_1_541284561214624104645789101745678[[#This Row],[Type]],Main[[#All],[TYPE]:[UNIT]],'Unit Price'!G$1,FALSE),0)</f>
        <v>0</v>
      </c>
      <c r="J386" s="194">
        <f>IF(_1_541284561214624104645789101745678[[#This Row],[Type]]&gt;0,VLOOKUP(_1_541284561214624104645789101745678[[#This Row],[Type]],Main[[#All],[TYPE]:[UNIT]],'Unit Price'!H$1,FALSE),0)</f>
        <v>0</v>
      </c>
      <c r="K386" s="194">
        <f>IF(_1_541284561214624104645789101745678[[#This Row],[Discount selection]]&gt;0,VLOOKUP(_1_541284561214624104645789101745678[[#This Row],[Discount selection]],'Discount Structure'!$A$2:$B$30,2,"false"),0)</f>
        <v>1</v>
      </c>
      <c r="L386" s="194">
        <f>_1_541284561214624104645789101745678[[#This Row],[LIST $]]*_1_541284561214624104645789101745678[[#This Row],[DISCOUNT]]*_1_541284561214624104645789101745678[[#This Row],[DISCOUNT 2]]</f>
        <v>0</v>
      </c>
      <c r="M386" s="194">
        <f>IF(OR(_1_541284561214624104645789101745678[[#This Row],[UNIT]]&gt;0,_1_541284561214624104645789101745678[[#This Row],[UNIT]]&lt;0),_1_541284561214624104645789101745678[[#This Row],[UNIT]]*_1_541284561214624104645789101745678[[#This Row],[COST]],0)</f>
        <v>0</v>
      </c>
      <c r="N386" s="194">
        <f t="shared" si="5"/>
        <v>1.3</v>
      </c>
      <c r="O386" s="198">
        <f>_1_541284561214624104645789101745678[[#This Row],[TOTAL]]*_1_541284561214624104645789101745678[[#This Row],[MARGIN]]</f>
        <v>0</v>
      </c>
      <c r="R386" s="41"/>
    </row>
    <row r="387" spans="1:18">
      <c r="D387" s="188"/>
      <c r="F387" s="168" t="s">
        <v>6202</v>
      </c>
      <c r="G387" s="192">
        <f>IF(_1_541284561214624104645789101745678[[#This Row],[Type]]&gt;0,VLOOKUP(_1_541284561214624104645789101745678[[#This Row],[Type]],Main[[#All],[TYPE]:[UNIT]],'Unit Price'!C$1,FALSE),0)</f>
        <v>0</v>
      </c>
      <c r="H387" s="197">
        <f>IF(_1_541284561214624104645789101745678[[#This Row],[Type]]&gt;0,VLOOKUP(_1_541284561214624104645789101745678[[#This Row],[Type]],Main[[#All],[TYPE]:[UNIT]],'Unit Price'!D$1,FALSE),0)</f>
        <v>0</v>
      </c>
      <c r="I387" s="194">
        <f>IF(_1_541284561214624104645789101745678[[#This Row],[Type]]&gt;0,VLOOKUP(_1_541284561214624104645789101745678[[#This Row],[Type]],Main[[#All],[TYPE]:[UNIT]],'Unit Price'!G$1,FALSE),0)</f>
        <v>0</v>
      </c>
      <c r="J387" s="194">
        <f>IF(_1_541284561214624104645789101745678[[#This Row],[Type]]&gt;0,VLOOKUP(_1_541284561214624104645789101745678[[#This Row],[Type]],Main[[#All],[TYPE]:[UNIT]],'Unit Price'!H$1,FALSE),0)</f>
        <v>0</v>
      </c>
      <c r="K387" s="194">
        <f>IF(_1_541284561214624104645789101745678[[#This Row],[Discount selection]]&gt;0,VLOOKUP(_1_541284561214624104645789101745678[[#This Row],[Discount selection]],'Discount Structure'!$A$2:$B$30,2,"false"),0)</f>
        <v>1</v>
      </c>
      <c r="L387" s="194">
        <f>_1_541284561214624104645789101745678[[#This Row],[LIST $]]*_1_541284561214624104645789101745678[[#This Row],[DISCOUNT]]*_1_541284561214624104645789101745678[[#This Row],[DISCOUNT 2]]</f>
        <v>0</v>
      </c>
      <c r="M387" s="194">
        <f>IF(OR(_1_541284561214624104645789101745678[[#This Row],[UNIT]]&gt;0,_1_541284561214624104645789101745678[[#This Row],[UNIT]]&lt;0),_1_541284561214624104645789101745678[[#This Row],[UNIT]]*_1_541284561214624104645789101745678[[#This Row],[COST]],0)</f>
        <v>0</v>
      </c>
      <c r="N387" s="194">
        <f t="shared" si="5"/>
        <v>1.3</v>
      </c>
      <c r="O387" s="198">
        <f>_1_541284561214624104645789101745678[[#This Row],[TOTAL]]*_1_541284561214624104645789101745678[[#This Row],[MARGIN]]</f>
        <v>0</v>
      </c>
      <c r="R387" s="41"/>
    </row>
    <row r="388" spans="1:18">
      <c r="D388" s="188"/>
      <c r="F388" s="168" t="s">
        <v>6202</v>
      </c>
      <c r="G388" s="193">
        <f>IF(_1_541284561214624104645789101745678[[#This Row],[Type]]&gt;0,VLOOKUP(_1_541284561214624104645789101745678[[#This Row],[Type]],Main[[#All],[TYPE]:[UNIT]],'Unit Price'!C$1,FALSE),0)</f>
        <v>0</v>
      </c>
      <c r="H388" s="197">
        <f>IF(_1_541284561214624104645789101745678[[#This Row],[Type]]&gt;0,VLOOKUP(_1_541284561214624104645789101745678[[#This Row],[Type]],Main[[#All],[TYPE]:[UNIT]],'Unit Price'!D$1,FALSE),0)</f>
        <v>0</v>
      </c>
      <c r="I388" s="194">
        <f>IF(_1_541284561214624104645789101745678[[#This Row],[Type]]&gt;0,VLOOKUP(_1_541284561214624104645789101745678[[#This Row],[Type]],Main[[#All],[TYPE]:[UNIT]],'Unit Price'!G$1,FALSE),0)</f>
        <v>0</v>
      </c>
      <c r="J388" s="194">
        <f>IF(_1_541284561214624104645789101745678[[#This Row],[Type]]&gt;0,VLOOKUP(_1_541284561214624104645789101745678[[#This Row],[Type]],Main[[#All],[TYPE]:[UNIT]],'Unit Price'!H$1,FALSE),0)</f>
        <v>0</v>
      </c>
      <c r="K388" s="194">
        <f>IF(_1_541284561214624104645789101745678[[#This Row],[Discount selection]]&gt;0,VLOOKUP(_1_541284561214624104645789101745678[[#This Row],[Discount selection]],'Discount Structure'!$A$2:$B$30,2,"false"),0)</f>
        <v>1</v>
      </c>
      <c r="L388" s="194">
        <f>_1_541284561214624104645789101745678[[#This Row],[LIST $]]*_1_541284561214624104645789101745678[[#This Row],[DISCOUNT]]*_1_541284561214624104645789101745678[[#This Row],[DISCOUNT 2]]</f>
        <v>0</v>
      </c>
      <c r="M388" s="194">
        <f>IF(OR(_1_541284561214624104645789101745678[[#This Row],[UNIT]]&gt;0,_1_541284561214624104645789101745678[[#This Row],[UNIT]]&lt;0),_1_541284561214624104645789101745678[[#This Row],[UNIT]]*_1_541284561214624104645789101745678[[#This Row],[COST]],0)</f>
        <v>0</v>
      </c>
      <c r="N388" s="194">
        <f t="shared" si="5"/>
        <v>1.3</v>
      </c>
      <c r="O388" s="198">
        <f>_1_541284561214624104645789101745678[[#This Row],[TOTAL]]*_1_541284561214624104645789101745678[[#This Row],[MARGIN]]</f>
        <v>0</v>
      </c>
      <c r="R388" s="41"/>
    </row>
    <row r="389" spans="1:18">
      <c r="D389" s="188"/>
      <c r="F389" s="168" t="s">
        <v>6202</v>
      </c>
      <c r="G389" s="193">
        <f>IF(_1_541284561214624104645789101745678[[#This Row],[Type]]&gt;0,VLOOKUP(_1_541284561214624104645789101745678[[#This Row],[Type]],Main[[#All],[TYPE]:[UNIT]],'Unit Price'!C$1,FALSE),0)</f>
        <v>0</v>
      </c>
      <c r="H389" s="197">
        <f>IF(_1_541284561214624104645789101745678[[#This Row],[Type]]&gt;0,VLOOKUP(_1_541284561214624104645789101745678[[#This Row],[Type]],Main[[#All],[TYPE]:[UNIT]],'Unit Price'!D$1,FALSE),0)</f>
        <v>0</v>
      </c>
      <c r="I389" s="194">
        <f>IF(_1_541284561214624104645789101745678[[#This Row],[Type]]&gt;0,VLOOKUP(_1_541284561214624104645789101745678[[#This Row],[Type]],Main[[#All],[TYPE]:[UNIT]],'Unit Price'!G$1,FALSE),0)</f>
        <v>0</v>
      </c>
      <c r="J389" s="194">
        <f>IF(_1_541284561214624104645789101745678[[#This Row],[Type]]&gt;0,VLOOKUP(_1_541284561214624104645789101745678[[#This Row],[Type]],Main[[#All],[TYPE]:[UNIT]],'Unit Price'!H$1,FALSE),0)</f>
        <v>0</v>
      </c>
      <c r="K389" s="194">
        <f>IF(_1_541284561214624104645789101745678[[#This Row],[Discount selection]]&gt;0,VLOOKUP(_1_541284561214624104645789101745678[[#This Row],[Discount selection]],'Discount Structure'!$A$2:$B$30,2,"false"),0)</f>
        <v>1</v>
      </c>
      <c r="L389" s="194">
        <f>_1_541284561214624104645789101745678[[#This Row],[LIST $]]*_1_541284561214624104645789101745678[[#This Row],[DISCOUNT]]*_1_541284561214624104645789101745678[[#This Row],[DISCOUNT 2]]</f>
        <v>0</v>
      </c>
      <c r="M389" s="194">
        <f>IF(OR(_1_541284561214624104645789101745678[[#This Row],[UNIT]]&gt;0,_1_541284561214624104645789101745678[[#This Row],[UNIT]]&lt;0),_1_541284561214624104645789101745678[[#This Row],[UNIT]]*_1_541284561214624104645789101745678[[#This Row],[COST]],0)</f>
        <v>0</v>
      </c>
      <c r="N389" s="194">
        <f t="shared" si="5"/>
        <v>1.3</v>
      </c>
      <c r="O389" s="198">
        <f>_1_541284561214624104645789101745678[[#This Row],[TOTAL]]*_1_541284561214624104645789101745678[[#This Row],[MARGIN]]</f>
        <v>0</v>
      </c>
      <c r="R389" s="41"/>
    </row>
    <row r="390" spans="1:18">
      <c r="D390" s="188"/>
      <c r="F390" s="168" t="s">
        <v>6202</v>
      </c>
      <c r="G390" s="193">
        <f>IF(_1_541284561214624104645789101745678[[#This Row],[Type]]&gt;0,VLOOKUP(_1_541284561214624104645789101745678[[#This Row],[Type]],Main[[#All],[TYPE]:[UNIT]],'Unit Price'!C$1,FALSE),0)</f>
        <v>0</v>
      </c>
      <c r="H390" s="197">
        <f>IF(_1_541284561214624104645789101745678[[#This Row],[Type]]&gt;0,VLOOKUP(_1_541284561214624104645789101745678[[#This Row],[Type]],Main[[#All],[TYPE]:[UNIT]],'Unit Price'!D$1,FALSE),0)</f>
        <v>0</v>
      </c>
      <c r="I390" s="194">
        <f>IF(_1_541284561214624104645789101745678[[#This Row],[Type]]&gt;0,VLOOKUP(_1_541284561214624104645789101745678[[#This Row],[Type]],Main[[#All],[TYPE]:[UNIT]],'Unit Price'!G$1,FALSE),0)</f>
        <v>0</v>
      </c>
      <c r="J390" s="194">
        <f>IF(_1_541284561214624104645789101745678[[#This Row],[Type]]&gt;0,VLOOKUP(_1_541284561214624104645789101745678[[#This Row],[Type]],Main[[#All],[TYPE]:[UNIT]],'Unit Price'!H$1,FALSE),0)</f>
        <v>0</v>
      </c>
      <c r="K390" s="194">
        <f>IF(_1_541284561214624104645789101745678[[#This Row],[Discount selection]]&gt;0,VLOOKUP(_1_541284561214624104645789101745678[[#This Row],[Discount selection]],'Discount Structure'!$A$2:$B$30,2,"false"),0)</f>
        <v>1</v>
      </c>
      <c r="L390" s="194">
        <f>_1_541284561214624104645789101745678[[#This Row],[LIST $]]*_1_541284561214624104645789101745678[[#This Row],[DISCOUNT]]*_1_541284561214624104645789101745678[[#This Row],[DISCOUNT 2]]</f>
        <v>0</v>
      </c>
      <c r="M390" s="194">
        <f>IF(OR(_1_541284561214624104645789101745678[[#This Row],[UNIT]]&gt;0,_1_541284561214624104645789101745678[[#This Row],[UNIT]]&lt;0),_1_541284561214624104645789101745678[[#This Row],[UNIT]]*_1_541284561214624104645789101745678[[#This Row],[COST]],0)</f>
        <v>0</v>
      </c>
      <c r="N390" s="194">
        <f t="shared" si="5"/>
        <v>1.3</v>
      </c>
      <c r="O390" s="198">
        <f>_1_541284561214624104645789101745678[[#This Row],[TOTAL]]*_1_541284561214624104645789101745678[[#This Row],[MARGIN]]</f>
        <v>0</v>
      </c>
      <c r="R390" s="41"/>
    </row>
    <row r="391" spans="1:18">
      <c r="D391" s="188"/>
      <c r="F391" s="168" t="s">
        <v>6202</v>
      </c>
      <c r="G391" s="193">
        <f>IF(_1_541284561214624104645789101745678[[#This Row],[Type]]&gt;0,VLOOKUP(_1_541284561214624104645789101745678[[#This Row],[Type]],Main[[#All],[TYPE]:[UNIT]],'Unit Price'!C$1,FALSE),0)</f>
        <v>0</v>
      </c>
      <c r="H391" s="197">
        <f>IF(_1_541284561214624104645789101745678[[#This Row],[Type]]&gt;0,VLOOKUP(_1_541284561214624104645789101745678[[#This Row],[Type]],Main[[#All],[TYPE]:[UNIT]],'Unit Price'!D$1,FALSE),0)</f>
        <v>0</v>
      </c>
      <c r="I391" s="194">
        <f>IF(_1_541284561214624104645789101745678[[#This Row],[Type]]&gt;0,VLOOKUP(_1_541284561214624104645789101745678[[#This Row],[Type]],Main[[#All],[TYPE]:[UNIT]],'Unit Price'!G$1,FALSE),0)</f>
        <v>0</v>
      </c>
      <c r="J391" s="194">
        <f>IF(_1_541284561214624104645789101745678[[#This Row],[Type]]&gt;0,VLOOKUP(_1_541284561214624104645789101745678[[#This Row],[Type]],Main[[#All],[TYPE]:[UNIT]],'Unit Price'!H$1,FALSE),0)</f>
        <v>0</v>
      </c>
      <c r="K391" s="194">
        <f>IF(_1_541284561214624104645789101745678[[#This Row],[Discount selection]]&gt;0,VLOOKUP(_1_541284561214624104645789101745678[[#This Row],[Discount selection]],'Discount Structure'!$A$2:$B$30,2,"false"),0)</f>
        <v>1</v>
      </c>
      <c r="L391" s="194">
        <f>_1_541284561214624104645789101745678[[#This Row],[LIST $]]*_1_541284561214624104645789101745678[[#This Row],[DISCOUNT]]*_1_541284561214624104645789101745678[[#This Row],[DISCOUNT 2]]</f>
        <v>0</v>
      </c>
      <c r="M391" s="194">
        <f>IF(OR(_1_541284561214624104645789101745678[[#This Row],[UNIT]]&gt;0,_1_541284561214624104645789101745678[[#This Row],[UNIT]]&lt;0),_1_541284561214624104645789101745678[[#This Row],[UNIT]]*_1_541284561214624104645789101745678[[#This Row],[COST]],0)</f>
        <v>0</v>
      </c>
      <c r="N391" s="194">
        <f t="shared" si="5"/>
        <v>1.3</v>
      </c>
      <c r="O391" s="198">
        <f>_1_541284561214624104645789101745678[[#This Row],[TOTAL]]*_1_541284561214624104645789101745678[[#This Row],[MARGIN]]</f>
        <v>0</v>
      </c>
      <c r="R391" s="41"/>
    </row>
    <row r="392" spans="1:18">
      <c r="D392" s="188"/>
      <c r="F392" s="168" t="s">
        <v>6202</v>
      </c>
      <c r="G392" s="192">
        <f>IF(_1_541284561214624104645789101745678[[#This Row],[Type]]&gt;0,VLOOKUP(_1_541284561214624104645789101745678[[#This Row],[Type]],Main[[#All],[TYPE]:[UNIT]],'Unit Price'!C$1,FALSE),0)</f>
        <v>0</v>
      </c>
      <c r="H392" s="197">
        <f>IF(_1_541284561214624104645789101745678[[#This Row],[Type]]&gt;0,VLOOKUP(_1_541284561214624104645789101745678[[#This Row],[Type]],Main[[#All],[TYPE]:[UNIT]],'Unit Price'!D$1,FALSE),0)</f>
        <v>0</v>
      </c>
      <c r="I392" s="194">
        <f>IF(_1_541284561214624104645789101745678[[#This Row],[Type]]&gt;0,VLOOKUP(_1_541284561214624104645789101745678[[#This Row],[Type]],Main[[#All],[TYPE]:[UNIT]],'Unit Price'!G$1,FALSE),0)</f>
        <v>0</v>
      </c>
      <c r="J392" s="194">
        <f>IF(_1_541284561214624104645789101745678[[#This Row],[Type]]&gt;0,VLOOKUP(_1_541284561214624104645789101745678[[#This Row],[Type]],Main[[#All],[TYPE]:[UNIT]],'Unit Price'!H$1,FALSE),0)</f>
        <v>0</v>
      </c>
      <c r="K392" s="194">
        <f>IF(_1_541284561214624104645789101745678[[#This Row],[Discount selection]]&gt;0,VLOOKUP(_1_541284561214624104645789101745678[[#This Row],[Discount selection]],'Discount Structure'!$A$2:$B$30,2,"false"),0)</f>
        <v>1</v>
      </c>
      <c r="L392" s="194">
        <f>_1_541284561214624104645789101745678[[#This Row],[LIST $]]*_1_541284561214624104645789101745678[[#This Row],[DISCOUNT]]*_1_541284561214624104645789101745678[[#This Row],[DISCOUNT 2]]</f>
        <v>0</v>
      </c>
      <c r="M392" s="194">
        <f>IF(OR(_1_541284561214624104645789101745678[[#This Row],[UNIT]]&gt;0,_1_541284561214624104645789101745678[[#This Row],[UNIT]]&lt;0),_1_541284561214624104645789101745678[[#This Row],[UNIT]]*_1_541284561214624104645789101745678[[#This Row],[COST]],0)</f>
        <v>0</v>
      </c>
      <c r="N392" s="194">
        <f t="shared" si="5"/>
        <v>1.3</v>
      </c>
      <c r="O392" s="198">
        <f>_1_541284561214624104645789101745678[[#This Row],[TOTAL]]*_1_541284561214624104645789101745678[[#This Row],[MARGIN]]</f>
        <v>0</v>
      </c>
      <c r="R392" s="41"/>
    </row>
    <row r="393" spans="1:18">
      <c r="D393" s="188"/>
      <c r="F393" s="168" t="s">
        <v>6202</v>
      </c>
      <c r="G393" s="193">
        <f>IF(_1_541284561214624104645789101745678[[#This Row],[Type]]&gt;0,VLOOKUP(_1_541284561214624104645789101745678[[#This Row],[Type]],Main[[#All],[TYPE]:[UNIT]],'Unit Price'!C$1,FALSE),0)</f>
        <v>0</v>
      </c>
      <c r="H393" s="197">
        <f>IF(_1_541284561214624104645789101745678[[#This Row],[Type]]&gt;0,VLOOKUP(_1_541284561214624104645789101745678[[#This Row],[Type]],Main[[#All],[TYPE]:[UNIT]],'Unit Price'!D$1,FALSE),0)</f>
        <v>0</v>
      </c>
      <c r="I393" s="194">
        <f>IF(_1_541284561214624104645789101745678[[#This Row],[Type]]&gt;0,VLOOKUP(_1_541284561214624104645789101745678[[#This Row],[Type]],Main[[#All],[TYPE]:[UNIT]],'Unit Price'!G$1,FALSE),0)</f>
        <v>0</v>
      </c>
      <c r="J393" s="194">
        <f>IF(_1_541284561214624104645789101745678[[#This Row],[Type]]&gt;0,VLOOKUP(_1_541284561214624104645789101745678[[#This Row],[Type]],Main[[#All],[TYPE]:[UNIT]],'Unit Price'!H$1,FALSE),0)</f>
        <v>0</v>
      </c>
      <c r="K393" s="194">
        <f>IF(_1_541284561214624104645789101745678[[#This Row],[Discount selection]]&gt;0,VLOOKUP(_1_541284561214624104645789101745678[[#This Row],[Discount selection]],'Discount Structure'!$A$2:$B$30,2,"false"),0)</f>
        <v>1</v>
      </c>
      <c r="L393" s="194">
        <f>_1_541284561214624104645789101745678[[#This Row],[LIST $]]*_1_541284561214624104645789101745678[[#This Row],[DISCOUNT]]*_1_541284561214624104645789101745678[[#This Row],[DISCOUNT 2]]</f>
        <v>0</v>
      </c>
      <c r="M393" s="194">
        <f>IF(OR(_1_541284561214624104645789101745678[[#This Row],[UNIT]]&gt;0,_1_541284561214624104645789101745678[[#This Row],[UNIT]]&lt;0),_1_541284561214624104645789101745678[[#This Row],[UNIT]]*_1_541284561214624104645789101745678[[#This Row],[COST]],0)</f>
        <v>0</v>
      </c>
      <c r="N393" s="194">
        <f t="shared" si="5"/>
        <v>1.3</v>
      </c>
      <c r="O393" s="198">
        <f>_1_541284561214624104645789101745678[[#This Row],[TOTAL]]*_1_541284561214624104645789101745678[[#This Row],[MARGIN]]</f>
        <v>0</v>
      </c>
      <c r="R393" s="41"/>
    </row>
    <row r="394" spans="1:18">
      <c r="A394" s="327"/>
      <c r="B394" s="327"/>
      <c r="D394" s="188"/>
      <c r="F394" s="168" t="s">
        <v>6202</v>
      </c>
      <c r="G394" s="193">
        <f>IF(_1_541284561214624104645789101745678[[#This Row],[Type]]&gt;0,VLOOKUP(_1_541284561214624104645789101745678[[#This Row],[Type]],Main[[#All],[TYPE]:[UNIT]],'Unit Price'!C$1,FALSE),0)</f>
        <v>0</v>
      </c>
      <c r="H394" s="197">
        <f>IF(_1_541284561214624104645789101745678[[#This Row],[Type]]&gt;0,VLOOKUP(_1_541284561214624104645789101745678[[#This Row],[Type]],Main[[#All],[TYPE]:[UNIT]],'Unit Price'!D$1,FALSE),0)</f>
        <v>0</v>
      </c>
      <c r="I394" s="194">
        <f>IF(_1_541284561214624104645789101745678[[#This Row],[Type]]&gt;0,VLOOKUP(_1_541284561214624104645789101745678[[#This Row],[Type]],Main[[#All],[TYPE]:[UNIT]],'Unit Price'!G$1,FALSE),0)</f>
        <v>0</v>
      </c>
      <c r="J394" s="194">
        <f>IF(_1_541284561214624104645789101745678[[#This Row],[Type]]&gt;0,VLOOKUP(_1_541284561214624104645789101745678[[#This Row],[Type]],Main[[#All],[TYPE]:[UNIT]],'Unit Price'!H$1,FALSE),0)</f>
        <v>0</v>
      </c>
      <c r="K394" s="194">
        <f>IF(_1_541284561214624104645789101745678[[#This Row],[Discount selection]]&gt;0,VLOOKUP(_1_541284561214624104645789101745678[[#This Row],[Discount selection]],'Discount Structure'!$A$2:$B$30,2,"false"),0)</f>
        <v>1</v>
      </c>
      <c r="L394" s="194">
        <f>_1_541284561214624104645789101745678[[#This Row],[LIST $]]*_1_541284561214624104645789101745678[[#This Row],[DISCOUNT]]*_1_541284561214624104645789101745678[[#This Row],[DISCOUNT 2]]</f>
        <v>0</v>
      </c>
      <c r="M394" s="194">
        <f>IF(OR(_1_541284561214624104645789101745678[[#This Row],[UNIT]]&gt;0,_1_541284561214624104645789101745678[[#This Row],[UNIT]]&lt;0),_1_541284561214624104645789101745678[[#This Row],[UNIT]]*_1_541284561214624104645789101745678[[#This Row],[COST]],0)</f>
        <v>0</v>
      </c>
      <c r="N394" s="194">
        <f t="shared" ref="N394:N457" si="6">$N$7</f>
        <v>1.3</v>
      </c>
      <c r="O394" s="198">
        <f>_1_541284561214624104645789101745678[[#This Row],[TOTAL]]*_1_541284561214624104645789101745678[[#This Row],[MARGIN]]</f>
        <v>0</v>
      </c>
      <c r="R394" s="41"/>
    </row>
    <row r="395" spans="1:18">
      <c r="D395" s="188"/>
      <c r="F395" s="168" t="s">
        <v>6202</v>
      </c>
      <c r="G395" s="193">
        <f>IF(_1_541284561214624104645789101745678[[#This Row],[Type]]&gt;0,VLOOKUP(_1_541284561214624104645789101745678[[#This Row],[Type]],Main[[#All],[TYPE]:[UNIT]],'Unit Price'!C$1,FALSE),0)</f>
        <v>0</v>
      </c>
      <c r="H395" s="197">
        <f>IF(_1_541284561214624104645789101745678[[#This Row],[Type]]&gt;0,VLOOKUP(_1_541284561214624104645789101745678[[#This Row],[Type]],Main[[#All],[TYPE]:[UNIT]],'Unit Price'!D$1,FALSE),0)</f>
        <v>0</v>
      </c>
      <c r="I395" s="194">
        <f>IF(_1_541284561214624104645789101745678[[#This Row],[Type]]&gt;0,VLOOKUP(_1_541284561214624104645789101745678[[#This Row],[Type]],Main[[#All],[TYPE]:[UNIT]],'Unit Price'!G$1,FALSE),0)</f>
        <v>0</v>
      </c>
      <c r="J395" s="194">
        <f>IF(_1_541284561214624104645789101745678[[#This Row],[Type]]&gt;0,VLOOKUP(_1_541284561214624104645789101745678[[#This Row],[Type]],Main[[#All],[TYPE]:[UNIT]],'Unit Price'!H$1,FALSE),0)</f>
        <v>0</v>
      </c>
      <c r="K395" s="194">
        <f>IF(_1_541284561214624104645789101745678[[#This Row],[Discount selection]]&gt;0,VLOOKUP(_1_541284561214624104645789101745678[[#This Row],[Discount selection]],'Discount Structure'!$A$2:$B$30,2,"false"),0)</f>
        <v>1</v>
      </c>
      <c r="L395" s="194">
        <f>_1_541284561214624104645789101745678[[#This Row],[LIST $]]*_1_541284561214624104645789101745678[[#This Row],[DISCOUNT]]*_1_541284561214624104645789101745678[[#This Row],[DISCOUNT 2]]</f>
        <v>0</v>
      </c>
      <c r="M395" s="194">
        <f>IF(OR(_1_541284561214624104645789101745678[[#This Row],[UNIT]]&gt;0,_1_541284561214624104645789101745678[[#This Row],[UNIT]]&lt;0),_1_541284561214624104645789101745678[[#This Row],[UNIT]]*_1_541284561214624104645789101745678[[#This Row],[COST]],0)</f>
        <v>0</v>
      </c>
      <c r="N395" s="194">
        <f t="shared" si="6"/>
        <v>1.3</v>
      </c>
      <c r="O395" s="198">
        <f>_1_541284561214624104645789101745678[[#This Row],[TOTAL]]*_1_541284561214624104645789101745678[[#This Row],[MARGIN]]</f>
        <v>0</v>
      </c>
      <c r="R395" s="41"/>
    </row>
    <row r="396" spans="1:18">
      <c r="D396" s="188"/>
      <c r="F396" s="168" t="s">
        <v>6202</v>
      </c>
      <c r="G396" s="193">
        <f>IF(_1_541284561214624104645789101745678[[#This Row],[Type]]&gt;0,VLOOKUP(_1_541284561214624104645789101745678[[#This Row],[Type]],Main[[#All],[TYPE]:[UNIT]],'Unit Price'!C$1,FALSE),0)</f>
        <v>0</v>
      </c>
      <c r="H396" s="197">
        <f>IF(_1_541284561214624104645789101745678[[#This Row],[Type]]&gt;0,VLOOKUP(_1_541284561214624104645789101745678[[#This Row],[Type]],Main[[#All],[TYPE]:[UNIT]],'Unit Price'!D$1,FALSE),0)</f>
        <v>0</v>
      </c>
      <c r="I396" s="194">
        <f>IF(_1_541284561214624104645789101745678[[#This Row],[Type]]&gt;0,VLOOKUP(_1_541284561214624104645789101745678[[#This Row],[Type]],Main[[#All],[TYPE]:[UNIT]],'Unit Price'!G$1,FALSE),0)</f>
        <v>0</v>
      </c>
      <c r="J396" s="194">
        <f>IF(_1_541284561214624104645789101745678[[#This Row],[Type]]&gt;0,VLOOKUP(_1_541284561214624104645789101745678[[#This Row],[Type]],Main[[#All],[TYPE]:[UNIT]],'Unit Price'!H$1,FALSE),0)</f>
        <v>0</v>
      </c>
      <c r="K396" s="194">
        <f>IF(_1_541284561214624104645789101745678[[#This Row],[Discount selection]]&gt;0,VLOOKUP(_1_541284561214624104645789101745678[[#This Row],[Discount selection]],'Discount Structure'!$A$2:$B$30,2,"false"),0)</f>
        <v>1</v>
      </c>
      <c r="L396" s="194">
        <f>_1_541284561214624104645789101745678[[#This Row],[LIST $]]*_1_541284561214624104645789101745678[[#This Row],[DISCOUNT]]*_1_541284561214624104645789101745678[[#This Row],[DISCOUNT 2]]</f>
        <v>0</v>
      </c>
      <c r="M396" s="194">
        <f>IF(OR(_1_541284561214624104645789101745678[[#This Row],[UNIT]]&gt;0,_1_541284561214624104645789101745678[[#This Row],[UNIT]]&lt;0),_1_541284561214624104645789101745678[[#This Row],[UNIT]]*_1_541284561214624104645789101745678[[#This Row],[COST]],0)</f>
        <v>0</v>
      </c>
      <c r="N396" s="194">
        <f t="shared" si="6"/>
        <v>1.3</v>
      </c>
      <c r="O396" s="198">
        <f>_1_541284561214624104645789101745678[[#This Row],[TOTAL]]*_1_541284561214624104645789101745678[[#This Row],[MARGIN]]</f>
        <v>0</v>
      </c>
      <c r="R396" s="41"/>
    </row>
    <row r="397" spans="1:18">
      <c r="D397" s="188"/>
      <c r="F397" s="168" t="s">
        <v>6202</v>
      </c>
      <c r="G397" s="192">
        <f>IF(_1_541284561214624104645789101745678[[#This Row],[Type]]&gt;0,VLOOKUP(_1_541284561214624104645789101745678[[#This Row],[Type]],Main[[#All],[TYPE]:[UNIT]],'Unit Price'!C$1,FALSE),0)</f>
        <v>0</v>
      </c>
      <c r="H397" s="197">
        <f>IF(_1_541284561214624104645789101745678[[#This Row],[Type]]&gt;0,VLOOKUP(_1_541284561214624104645789101745678[[#This Row],[Type]],Main[[#All],[TYPE]:[UNIT]],'Unit Price'!D$1,FALSE),0)</f>
        <v>0</v>
      </c>
      <c r="I397" s="194">
        <f>IF(_1_541284561214624104645789101745678[[#This Row],[Type]]&gt;0,VLOOKUP(_1_541284561214624104645789101745678[[#This Row],[Type]],Main[[#All],[TYPE]:[UNIT]],'Unit Price'!G$1,FALSE),0)</f>
        <v>0</v>
      </c>
      <c r="J397" s="194">
        <f>IF(_1_541284561214624104645789101745678[[#This Row],[Type]]&gt;0,VLOOKUP(_1_541284561214624104645789101745678[[#This Row],[Type]],Main[[#All],[TYPE]:[UNIT]],'Unit Price'!H$1,FALSE),0)</f>
        <v>0</v>
      </c>
      <c r="K397" s="194">
        <f>IF(_1_541284561214624104645789101745678[[#This Row],[Discount selection]]&gt;0,VLOOKUP(_1_541284561214624104645789101745678[[#This Row],[Discount selection]],'Discount Structure'!$A$2:$B$30,2,"false"),0)</f>
        <v>1</v>
      </c>
      <c r="L397" s="194">
        <f>_1_541284561214624104645789101745678[[#This Row],[LIST $]]*_1_541284561214624104645789101745678[[#This Row],[DISCOUNT]]*_1_541284561214624104645789101745678[[#This Row],[DISCOUNT 2]]</f>
        <v>0</v>
      </c>
      <c r="M397" s="194">
        <f>IF(OR(_1_541284561214624104645789101745678[[#This Row],[UNIT]]&gt;0,_1_541284561214624104645789101745678[[#This Row],[UNIT]]&lt;0),_1_541284561214624104645789101745678[[#This Row],[UNIT]]*_1_541284561214624104645789101745678[[#This Row],[COST]],0)</f>
        <v>0</v>
      </c>
      <c r="N397" s="194">
        <f t="shared" si="6"/>
        <v>1.3</v>
      </c>
      <c r="O397" s="198">
        <f>_1_541284561214624104645789101745678[[#This Row],[TOTAL]]*_1_541284561214624104645789101745678[[#This Row],[MARGIN]]</f>
        <v>0</v>
      </c>
      <c r="R397" s="41"/>
    </row>
    <row r="398" spans="1:18">
      <c r="D398" s="188"/>
      <c r="F398" s="168" t="s">
        <v>6202</v>
      </c>
      <c r="G398" s="193">
        <f>IF(_1_541284561214624104645789101745678[[#This Row],[Type]]&gt;0,VLOOKUP(_1_541284561214624104645789101745678[[#This Row],[Type]],Main[[#All],[TYPE]:[UNIT]],'Unit Price'!C$1,FALSE),0)</f>
        <v>0</v>
      </c>
      <c r="H398" s="197">
        <f>IF(_1_541284561214624104645789101745678[[#This Row],[Type]]&gt;0,VLOOKUP(_1_541284561214624104645789101745678[[#This Row],[Type]],Main[[#All],[TYPE]:[UNIT]],'Unit Price'!D$1,FALSE),0)</f>
        <v>0</v>
      </c>
      <c r="I398" s="194">
        <f>IF(_1_541284561214624104645789101745678[[#This Row],[Type]]&gt;0,VLOOKUP(_1_541284561214624104645789101745678[[#This Row],[Type]],Main[[#All],[TYPE]:[UNIT]],'Unit Price'!G$1,FALSE),0)</f>
        <v>0</v>
      </c>
      <c r="J398" s="194">
        <f>IF(_1_541284561214624104645789101745678[[#This Row],[Type]]&gt;0,VLOOKUP(_1_541284561214624104645789101745678[[#This Row],[Type]],Main[[#All],[TYPE]:[UNIT]],'Unit Price'!H$1,FALSE),0)</f>
        <v>0</v>
      </c>
      <c r="K398" s="194">
        <f>IF(_1_541284561214624104645789101745678[[#This Row],[Discount selection]]&gt;0,VLOOKUP(_1_541284561214624104645789101745678[[#This Row],[Discount selection]],'Discount Structure'!$A$2:$B$30,2,"false"),0)</f>
        <v>1</v>
      </c>
      <c r="L398" s="194">
        <f>_1_541284561214624104645789101745678[[#This Row],[LIST $]]*_1_541284561214624104645789101745678[[#This Row],[DISCOUNT]]*_1_541284561214624104645789101745678[[#This Row],[DISCOUNT 2]]</f>
        <v>0</v>
      </c>
      <c r="M398" s="194">
        <f>IF(OR(_1_541284561214624104645789101745678[[#This Row],[UNIT]]&gt;0,_1_541284561214624104645789101745678[[#This Row],[UNIT]]&lt;0),_1_541284561214624104645789101745678[[#This Row],[UNIT]]*_1_541284561214624104645789101745678[[#This Row],[COST]],0)</f>
        <v>0</v>
      </c>
      <c r="N398" s="194">
        <f t="shared" si="6"/>
        <v>1.3</v>
      </c>
      <c r="O398" s="198">
        <f>_1_541284561214624104645789101745678[[#This Row],[TOTAL]]*_1_541284561214624104645789101745678[[#This Row],[MARGIN]]</f>
        <v>0</v>
      </c>
      <c r="R398" s="41"/>
    </row>
    <row r="399" spans="1:18">
      <c r="D399" s="188"/>
      <c r="F399" s="168" t="s">
        <v>6202</v>
      </c>
      <c r="G399" s="193">
        <f>IF(_1_541284561214624104645789101745678[[#This Row],[Type]]&gt;0,VLOOKUP(_1_541284561214624104645789101745678[[#This Row],[Type]],Main[[#All],[TYPE]:[UNIT]],'Unit Price'!C$1,FALSE),0)</f>
        <v>0</v>
      </c>
      <c r="H399" s="197">
        <f>IF(_1_541284561214624104645789101745678[[#This Row],[Type]]&gt;0,VLOOKUP(_1_541284561214624104645789101745678[[#This Row],[Type]],Main[[#All],[TYPE]:[UNIT]],'Unit Price'!D$1,FALSE),0)</f>
        <v>0</v>
      </c>
      <c r="I399" s="194">
        <f>IF(_1_541284561214624104645789101745678[[#This Row],[Type]]&gt;0,VLOOKUP(_1_541284561214624104645789101745678[[#This Row],[Type]],Main[[#All],[TYPE]:[UNIT]],'Unit Price'!G$1,FALSE),0)</f>
        <v>0</v>
      </c>
      <c r="J399" s="194">
        <f>IF(_1_541284561214624104645789101745678[[#This Row],[Type]]&gt;0,VLOOKUP(_1_541284561214624104645789101745678[[#This Row],[Type]],Main[[#All],[TYPE]:[UNIT]],'Unit Price'!H$1,FALSE),0)</f>
        <v>0</v>
      </c>
      <c r="K399" s="194">
        <f>IF(_1_541284561214624104645789101745678[[#This Row],[Discount selection]]&gt;0,VLOOKUP(_1_541284561214624104645789101745678[[#This Row],[Discount selection]],'Discount Structure'!$A$2:$B$30,2,"false"),0)</f>
        <v>1</v>
      </c>
      <c r="L399" s="194">
        <f>_1_541284561214624104645789101745678[[#This Row],[LIST $]]*_1_541284561214624104645789101745678[[#This Row],[DISCOUNT]]*_1_541284561214624104645789101745678[[#This Row],[DISCOUNT 2]]</f>
        <v>0</v>
      </c>
      <c r="M399" s="194">
        <f>IF(OR(_1_541284561214624104645789101745678[[#This Row],[UNIT]]&gt;0,_1_541284561214624104645789101745678[[#This Row],[UNIT]]&lt;0),_1_541284561214624104645789101745678[[#This Row],[UNIT]]*_1_541284561214624104645789101745678[[#This Row],[COST]],0)</f>
        <v>0</v>
      </c>
      <c r="N399" s="194">
        <f t="shared" si="6"/>
        <v>1.3</v>
      </c>
      <c r="O399" s="198">
        <f>_1_541284561214624104645789101745678[[#This Row],[TOTAL]]*_1_541284561214624104645789101745678[[#This Row],[MARGIN]]</f>
        <v>0</v>
      </c>
      <c r="R399" s="41"/>
    </row>
    <row r="400" spans="1:18">
      <c r="D400" s="188"/>
      <c r="F400" s="168" t="s">
        <v>6202</v>
      </c>
      <c r="G400" s="193">
        <f>IF(_1_541284561214624104645789101745678[[#This Row],[Type]]&gt;0,VLOOKUP(_1_541284561214624104645789101745678[[#This Row],[Type]],Main[[#All],[TYPE]:[UNIT]],'Unit Price'!C$1,FALSE),0)</f>
        <v>0</v>
      </c>
      <c r="H400" s="197">
        <f>IF(_1_541284561214624104645789101745678[[#This Row],[Type]]&gt;0,VLOOKUP(_1_541284561214624104645789101745678[[#This Row],[Type]],Main[[#All],[TYPE]:[UNIT]],'Unit Price'!D$1,FALSE),0)</f>
        <v>0</v>
      </c>
      <c r="I400" s="194">
        <f>IF(_1_541284561214624104645789101745678[[#This Row],[Type]]&gt;0,VLOOKUP(_1_541284561214624104645789101745678[[#This Row],[Type]],Main[[#All],[TYPE]:[UNIT]],'Unit Price'!G$1,FALSE),0)</f>
        <v>0</v>
      </c>
      <c r="J400" s="194">
        <f>IF(_1_541284561214624104645789101745678[[#This Row],[Type]]&gt;0,VLOOKUP(_1_541284561214624104645789101745678[[#This Row],[Type]],Main[[#All],[TYPE]:[UNIT]],'Unit Price'!H$1,FALSE),0)</f>
        <v>0</v>
      </c>
      <c r="K400" s="194">
        <f>IF(_1_541284561214624104645789101745678[[#This Row],[Discount selection]]&gt;0,VLOOKUP(_1_541284561214624104645789101745678[[#This Row],[Discount selection]],'Discount Structure'!$A$2:$B$30,2,"false"),0)</f>
        <v>1</v>
      </c>
      <c r="L400" s="194">
        <f>_1_541284561214624104645789101745678[[#This Row],[LIST $]]*_1_541284561214624104645789101745678[[#This Row],[DISCOUNT]]*_1_541284561214624104645789101745678[[#This Row],[DISCOUNT 2]]</f>
        <v>0</v>
      </c>
      <c r="M400" s="194">
        <f>IF(OR(_1_541284561214624104645789101745678[[#This Row],[UNIT]]&gt;0,_1_541284561214624104645789101745678[[#This Row],[UNIT]]&lt;0),_1_541284561214624104645789101745678[[#This Row],[UNIT]]*_1_541284561214624104645789101745678[[#This Row],[COST]],0)</f>
        <v>0</v>
      </c>
      <c r="N400" s="194">
        <f t="shared" si="6"/>
        <v>1.3</v>
      </c>
      <c r="O400" s="198">
        <f>_1_541284561214624104645789101745678[[#This Row],[TOTAL]]*_1_541284561214624104645789101745678[[#This Row],[MARGIN]]</f>
        <v>0</v>
      </c>
      <c r="R400" s="41"/>
    </row>
    <row r="401" spans="1:18">
      <c r="D401" s="188"/>
      <c r="F401" s="168" t="s">
        <v>6202</v>
      </c>
      <c r="G401" s="193">
        <f>IF(_1_541284561214624104645789101745678[[#This Row],[Type]]&gt;0,VLOOKUP(_1_541284561214624104645789101745678[[#This Row],[Type]],Main[[#All],[TYPE]:[UNIT]],'Unit Price'!C$1,FALSE),0)</f>
        <v>0</v>
      </c>
      <c r="H401" s="197">
        <f>IF(_1_541284561214624104645789101745678[[#This Row],[Type]]&gt;0,VLOOKUP(_1_541284561214624104645789101745678[[#This Row],[Type]],Main[[#All],[TYPE]:[UNIT]],'Unit Price'!D$1,FALSE),0)</f>
        <v>0</v>
      </c>
      <c r="I401" s="194">
        <f>IF(_1_541284561214624104645789101745678[[#This Row],[Type]]&gt;0,VLOOKUP(_1_541284561214624104645789101745678[[#This Row],[Type]],Main[[#All],[TYPE]:[UNIT]],'Unit Price'!G$1,FALSE),0)</f>
        <v>0</v>
      </c>
      <c r="J401" s="194">
        <f>IF(_1_541284561214624104645789101745678[[#This Row],[Type]]&gt;0,VLOOKUP(_1_541284561214624104645789101745678[[#This Row],[Type]],Main[[#All],[TYPE]:[UNIT]],'Unit Price'!H$1,FALSE),0)</f>
        <v>0</v>
      </c>
      <c r="K401" s="194">
        <f>IF(_1_541284561214624104645789101745678[[#This Row],[Discount selection]]&gt;0,VLOOKUP(_1_541284561214624104645789101745678[[#This Row],[Discount selection]],'Discount Structure'!$A$2:$B$30,2,"false"),0)</f>
        <v>1</v>
      </c>
      <c r="L401" s="194">
        <f>_1_541284561214624104645789101745678[[#This Row],[LIST $]]*_1_541284561214624104645789101745678[[#This Row],[DISCOUNT]]*_1_541284561214624104645789101745678[[#This Row],[DISCOUNT 2]]</f>
        <v>0</v>
      </c>
      <c r="M401" s="194">
        <f>IF(OR(_1_541284561214624104645789101745678[[#This Row],[UNIT]]&gt;0,_1_541284561214624104645789101745678[[#This Row],[UNIT]]&lt;0),_1_541284561214624104645789101745678[[#This Row],[UNIT]]*_1_541284561214624104645789101745678[[#This Row],[COST]],0)</f>
        <v>0</v>
      </c>
      <c r="N401" s="194">
        <f t="shared" si="6"/>
        <v>1.3</v>
      </c>
      <c r="O401" s="198">
        <f>_1_541284561214624104645789101745678[[#This Row],[TOTAL]]*_1_541284561214624104645789101745678[[#This Row],[MARGIN]]</f>
        <v>0</v>
      </c>
      <c r="R401" s="41"/>
    </row>
    <row r="402" spans="1:18">
      <c r="D402" s="188"/>
      <c r="F402" s="168" t="s">
        <v>6202</v>
      </c>
      <c r="G402" s="192">
        <f>IF(_1_541284561214624104645789101745678[[#This Row],[Type]]&gt;0,VLOOKUP(_1_541284561214624104645789101745678[[#This Row],[Type]],Main[[#All],[TYPE]:[UNIT]],'Unit Price'!C$1,FALSE),0)</f>
        <v>0</v>
      </c>
      <c r="H402" s="197">
        <f>IF(_1_541284561214624104645789101745678[[#This Row],[Type]]&gt;0,VLOOKUP(_1_541284561214624104645789101745678[[#This Row],[Type]],Main[[#All],[TYPE]:[UNIT]],'Unit Price'!D$1,FALSE),0)</f>
        <v>0</v>
      </c>
      <c r="I402" s="194">
        <f>IF(_1_541284561214624104645789101745678[[#This Row],[Type]]&gt;0,VLOOKUP(_1_541284561214624104645789101745678[[#This Row],[Type]],Main[[#All],[TYPE]:[UNIT]],'Unit Price'!G$1,FALSE),0)</f>
        <v>0</v>
      </c>
      <c r="J402" s="194">
        <f>IF(_1_541284561214624104645789101745678[[#This Row],[Type]]&gt;0,VLOOKUP(_1_541284561214624104645789101745678[[#This Row],[Type]],Main[[#All],[TYPE]:[UNIT]],'Unit Price'!H$1,FALSE),0)</f>
        <v>0</v>
      </c>
      <c r="K402" s="194">
        <f>IF(_1_541284561214624104645789101745678[[#This Row],[Discount selection]]&gt;0,VLOOKUP(_1_541284561214624104645789101745678[[#This Row],[Discount selection]],'Discount Structure'!$A$2:$B$30,2,"false"),0)</f>
        <v>1</v>
      </c>
      <c r="L402" s="194">
        <f>_1_541284561214624104645789101745678[[#This Row],[LIST $]]*_1_541284561214624104645789101745678[[#This Row],[DISCOUNT]]*_1_541284561214624104645789101745678[[#This Row],[DISCOUNT 2]]</f>
        <v>0</v>
      </c>
      <c r="M402" s="194">
        <f>IF(OR(_1_541284561214624104645789101745678[[#This Row],[UNIT]]&gt;0,_1_541284561214624104645789101745678[[#This Row],[UNIT]]&lt;0),_1_541284561214624104645789101745678[[#This Row],[UNIT]]*_1_541284561214624104645789101745678[[#This Row],[COST]],0)</f>
        <v>0</v>
      </c>
      <c r="N402" s="194">
        <f t="shared" si="6"/>
        <v>1.3</v>
      </c>
      <c r="O402" s="198">
        <f>_1_541284561214624104645789101745678[[#This Row],[TOTAL]]*_1_541284561214624104645789101745678[[#This Row],[MARGIN]]</f>
        <v>0</v>
      </c>
      <c r="R402" s="41"/>
    </row>
    <row r="403" spans="1:18">
      <c r="D403" s="188"/>
      <c r="F403" s="168" t="s">
        <v>6202</v>
      </c>
      <c r="G403" s="193">
        <f>IF(_1_541284561214624104645789101745678[[#This Row],[Type]]&gt;0,VLOOKUP(_1_541284561214624104645789101745678[[#This Row],[Type]],Main[[#All],[TYPE]:[UNIT]],'Unit Price'!C$1,FALSE),0)</f>
        <v>0</v>
      </c>
      <c r="H403" s="197">
        <f>IF(_1_541284561214624104645789101745678[[#This Row],[Type]]&gt;0,VLOOKUP(_1_541284561214624104645789101745678[[#This Row],[Type]],Main[[#All],[TYPE]:[UNIT]],'Unit Price'!D$1,FALSE),0)</f>
        <v>0</v>
      </c>
      <c r="I403" s="194">
        <f>IF(_1_541284561214624104645789101745678[[#This Row],[Type]]&gt;0,VLOOKUP(_1_541284561214624104645789101745678[[#This Row],[Type]],Main[[#All],[TYPE]:[UNIT]],'Unit Price'!G$1,FALSE),0)</f>
        <v>0</v>
      </c>
      <c r="J403" s="194">
        <f>IF(_1_541284561214624104645789101745678[[#This Row],[Type]]&gt;0,VLOOKUP(_1_541284561214624104645789101745678[[#This Row],[Type]],Main[[#All],[TYPE]:[UNIT]],'Unit Price'!H$1,FALSE),0)</f>
        <v>0</v>
      </c>
      <c r="K403" s="194">
        <f>IF(_1_541284561214624104645789101745678[[#This Row],[Discount selection]]&gt;0,VLOOKUP(_1_541284561214624104645789101745678[[#This Row],[Discount selection]],'Discount Structure'!$A$2:$B$30,2,"false"),0)</f>
        <v>1</v>
      </c>
      <c r="L403" s="194">
        <f>_1_541284561214624104645789101745678[[#This Row],[LIST $]]*_1_541284561214624104645789101745678[[#This Row],[DISCOUNT]]*_1_541284561214624104645789101745678[[#This Row],[DISCOUNT 2]]</f>
        <v>0</v>
      </c>
      <c r="M403" s="194">
        <f>IF(OR(_1_541284561214624104645789101745678[[#This Row],[UNIT]]&gt;0,_1_541284561214624104645789101745678[[#This Row],[UNIT]]&lt;0),_1_541284561214624104645789101745678[[#This Row],[UNIT]]*_1_541284561214624104645789101745678[[#This Row],[COST]],0)</f>
        <v>0</v>
      </c>
      <c r="N403" s="194">
        <f t="shared" si="6"/>
        <v>1.3</v>
      </c>
      <c r="O403" s="198">
        <f>_1_541284561214624104645789101745678[[#This Row],[TOTAL]]*_1_541284561214624104645789101745678[[#This Row],[MARGIN]]</f>
        <v>0</v>
      </c>
      <c r="R403" s="41"/>
    </row>
    <row r="404" spans="1:18">
      <c r="D404" s="188"/>
      <c r="F404" s="168" t="s">
        <v>6202</v>
      </c>
      <c r="G404" s="193">
        <f>IF(_1_541284561214624104645789101745678[[#This Row],[Type]]&gt;0,VLOOKUP(_1_541284561214624104645789101745678[[#This Row],[Type]],Main[[#All],[TYPE]:[UNIT]],'Unit Price'!C$1,FALSE),0)</f>
        <v>0</v>
      </c>
      <c r="H404" s="197">
        <f>IF(_1_541284561214624104645789101745678[[#This Row],[Type]]&gt;0,VLOOKUP(_1_541284561214624104645789101745678[[#This Row],[Type]],Main[[#All],[TYPE]:[UNIT]],'Unit Price'!D$1,FALSE),0)</f>
        <v>0</v>
      </c>
      <c r="I404" s="194">
        <f>IF(_1_541284561214624104645789101745678[[#This Row],[Type]]&gt;0,VLOOKUP(_1_541284561214624104645789101745678[[#This Row],[Type]],Main[[#All],[TYPE]:[UNIT]],'Unit Price'!G$1,FALSE),0)</f>
        <v>0</v>
      </c>
      <c r="J404" s="194">
        <f>IF(_1_541284561214624104645789101745678[[#This Row],[Type]]&gt;0,VLOOKUP(_1_541284561214624104645789101745678[[#This Row],[Type]],Main[[#All],[TYPE]:[UNIT]],'Unit Price'!H$1,FALSE),0)</f>
        <v>0</v>
      </c>
      <c r="K404" s="194">
        <f>IF(_1_541284561214624104645789101745678[[#This Row],[Discount selection]]&gt;0,VLOOKUP(_1_541284561214624104645789101745678[[#This Row],[Discount selection]],'Discount Structure'!$A$2:$B$30,2,"false"),0)</f>
        <v>1</v>
      </c>
      <c r="L404" s="194">
        <f>_1_541284561214624104645789101745678[[#This Row],[LIST $]]*_1_541284561214624104645789101745678[[#This Row],[DISCOUNT]]*_1_541284561214624104645789101745678[[#This Row],[DISCOUNT 2]]</f>
        <v>0</v>
      </c>
      <c r="M404" s="194">
        <f>IF(OR(_1_541284561214624104645789101745678[[#This Row],[UNIT]]&gt;0,_1_541284561214624104645789101745678[[#This Row],[UNIT]]&lt;0),_1_541284561214624104645789101745678[[#This Row],[UNIT]]*_1_541284561214624104645789101745678[[#This Row],[COST]],0)</f>
        <v>0</v>
      </c>
      <c r="N404" s="194">
        <f t="shared" si="6"/>
        <v>1.3</v>
      </c>
      <c r="O404" s="198">
        <f>_1_541284561214624104645789101745678[[#This Row],[TOTAL]]*_1_541284561214624104645789101745678[[#This Row],[MARGIN]]</f>
        <v>0</v>
      </c>
      <c r="R404" s="41"/>
    </row>
    <row r="405" spans="1:18">
      <c r="D405" s="188"/>
      <c r="F405" s="168" t="s">
        <v>6202</v>
      </c>
      <c r="G405" s="193">
        <f>IF(_1_541284561214624104645789101745678[[#This Row],[Type]]&gt;0,VLOOKUP(_1_541284561214624104645789101745678[[#This Row],[Type]],Main[[#All],[TYPE]:[UNIT]],'Unit Price'!C$1,FALSE),0)</f>
        <v>0</v>
      </c>
      <c r="H405" s="197">
        <f>IF(_1_541284561214624104645789101745678[[#This Row],[Type]]&gt;0,VLOOKUP(_1_541284561214624104645789101745678[[#This Row],[Type]],Main[[#All],[TYPE]:[UNIT]],'Unit Price'!D$1,FALSE),0)</f>
        <v>0</v>
      </c>
      <c r="I405" s="194">
        <f>IF(_1_541284561214624104645789101745678[[#This Row],[Type]]&gt;0,VLOOKUP(_1_541284561214624104645789101745678[[#This Row],[Type]],Main[[#All],[TYPE]:[UNIT]],'Unit Price'!G$1,FALSE),0)</f>
        <v>0</v>
      </c>
      <c r="J405" s="194">
        <f>IF(_1_541284561214624104645789101745678[[#This Row],[Type]]&gt;0,VLOOKUP(_1_541284561214624104645789101745678[[#This Row],[Type]],Main[[#All],[TYPE]:[UNIT]],'Unit Price'!H$1,FALSE),0)</f>
        <v>0</v>
      </c>
      <c r="K405" s="194">
        <f>IF(_1_541284561214624104645789101745678[[#This Row],[Discount selection]]&gt;0,VLOOKUP(_1_541284561214624104645789101745678[[#This Row],[Discount selection]],'Discount Structure'!$A$2:$B$30,2,"false"),0)</f>
        <v>1</v>
      </c>
      <c r="L405" s="194">
        <f>_1_541284561214624104645789101745678[[#This Row],[LIST $]]*_1_541284561214624104645789101745678[[#This Row],[DISCOUNT]]*_1_541284561214624104645789101745678[[#This Row],[DISCOUNT 2]]</f>
        <v>0</v>
      </c>
      <c r="M405" s="194">
        <f>IF(OR(_1_541284561214624104645789101745678[[#This Row],[UNIT]]&gt;0,_1_541284561214624104645789101745678[[#This Row],[UNIT]]&lt;0),_1_541284561214624104645789101745678[[#This Row],[UNIT]]*_1_541284561214624104645789101745678[[#This Row],[COST]],0)</f>
        <v>0</v>
      </c>
      <c r="N405" s="194">
        <f t="shared" si="6"/>
        <v>1.3</v>
      </c>
      <c r="O405" s="198">
        <f>_1_541284561214624104645789101745678[[#This Row],[TOTAL]]*_1_541284561214624104645789101745678[[#This Row],[MARGIN]]</f>
        <v>0</v>
      </c>
      <c r="R405" s="41"/>
    </row>
    <row r="406" spans="1:18">
      <c r="D406" s="188"/>
      <c r="F406" s="168" t="s">
        <v>6202</v>
      </c>
      <c r="G406" s="193">
        <f>IF(_1_541284561214624104645789101745678[[#This Row],[Type]]&gt;0,VLOOKUP(_1_541284561214624104645789101745678[[#This Row],[Type]],Main[[#All],[TYPE]:[UNIT]],'Unit Price'!C$1,FALSE),0)</f>
        <v>0</v>
      </c>
      <c r="H406" s="197">
        <f>IF(_1_541284561214624104645789101745678[[#This Row],[Type]]&gt;0,VLOOKUP(_1_541284561214624104645789101745678[[#This Row],[Type]],Main[[#All],[TYPE]:[UNIT]],'Unit Price'!D$1,FALSE),0)</f>
        <v>0</v>
      </c>
      <c r="I406" s="194">
        <f>IF(_1_541284561214624104645789101745678[[#This Row],[Type]]&gt;0,VLOOKUP(_1_541284561214624104645789101745678[[#This Row],[Type]],Main[[#All],[TYPE]:[UNIT]],'Unit Price'!G$1,FALSE),0)</f>
        <v>0</v>
      </c>
      <c r="J406" s="194">
        <f>IF(_1_541284561214624104645789101745678[[#This Row],[Type]]&gt;0,VLOOKUP(_1_541284561214624104645789101745678[[#This Row],[Type]],Main[[#All],[TYPE]:[UNIT]],'Unit Price'!H$1,FALSE),0)</f>
        <v>0</v>
      </c>
      <c r="K406" s="194">
        <f>IF(_1_541284561214624104645789101745678[[#This Row],[Discount selection]]&gt;0,VLOOKUP(_1_541284561214624104645789101745678[[#This Row],[Discount selection]],'Discount Structure'!$A$2:$B$30,2,"false"),0)</f>
        <v>1</v>
      </c>
      <c r="L406" s="194">
        <f>_1_541284561214624104645789101745678[[#This Row],[LIST $]]*_1_541284561214624104645789101745678[[#This Row],[DISCOUNT]]*_1_541284561214624104645789101745678[[#This Row],[DISCOUNT 2]]</f>
        <v>0</v>
      </c>
      <c r="M406" s="194">
        <f>IF(OR(_1_541284561214624104645789101745678[[#This Row],[UNIT]]&gt;0,_1_541284561214624104645789101745678[[#This Row],[UNIT]]&lt;0),_1_541284561214624104645789101745678[[#This Row],[UNIT]]*_1_541284561214624104645789101745678[[#This Row],[COST]],0)</f>
        <v>0</v>
      </c>
      <c r="N406" s="194">
        <f t="shared" si="6"/>
        <v>1.3</v>
      </c>
      <c r="O406" s="198">
        <f>_1_541284561214624104645789101745678[[#This Row],[TOTAL]]*_1_541284561214624104645789101745678[[#This Row],[MARGIN]]</f>
        <v>0</v>
      </c>
      <c r="R406" s="41"/>
    </row>
    <row r="407" spans="1:18">
      <c r="D407" s="188"/>
      <c r="F407" s="168" t="s">
        <v>6202</v>
      </c>
      <c r="G407" s="192">
        <f>IF(_1_541284561214624104645789101745678[[#This Row],[Type]]&gt;0,VLOOKUP(_1_541284561214624104645789101745678[[#This Row],[Type]],Main[[#All],[TYPE]:[UNIT]],'Unit Price'!C$1,FALSE),0)</f>
        <v>0</v>
      </c>
      <c r="H407" s="197">
        <f>IF(_1_541284561214624104645789101745678[[#This Row],[Type]]&gt;0,VLOOKUP(_1_541284561214624104645789101745678[[#This Row],[Type]],Main[[#All],[TYPE]:[UNIT]],'Unit Price'!D$1,FALSE),0)</f>
        <v>0</v>
      </c>
      <c r="I407" s="194">
        <f>IF(_1_541284561214624104645789101745678[[#This Row],[Type]]&gt;0,VLOOKUP(_1_541284561214624104645789101745678[[#This Row],[Type]],Main[[#All],[TYPE]:[UNIT]],'Unit Price'!G$1,FALSE),0)</f>
        <v>0</v>
      </c>
      <c r="J407" s="194">
        <f>IF(_1_541284561214624104645789101745678[[#This Row],[Type]]&gt;0,VLOOKUP(_1_541284561214624104645789101745678[[#This Row],[Type]],Main[[#All],[TYPE]:[UNIT]],'Unit Price'!H$1,FALSE),0)</f>
        <v>0</v>
      </c>
      <c r="K407" s="194">
        <f>IF(_1_541284561214624104645789101745678[[#This Row],[Discount selection]]&gt;0,VLOOKUP(_1_541284561214624104645789101745678[[#This Row],[Discount selection]],'Discount Structure'!$A$2:$B$30,2,"false"),0)</f>
        <v>1</v>
      </c>
      <c r="L407" s="194">
        <f>_1_541284561214624104645789101745678[[#This Row],[LIST $]]*_1_541284561214624104645789101745678[[#This Row],[DISCOUNT]]*_1_541284561214624104645789101745678[[#This Row],[DISCOUNT 2]]</f>
        <v>0</v>
      </c>
      <c r="M407" s="194">
        <f>IF(OR(_1_541284561214624104645789101745678[[#This Row],[UNIT]]&gt;0,_1_541284561214624104645789101745678[[#This Row],[UNIT]]&lt;0),_1_541284561214624104645789101745678[[#This Row],[UNIT]]*_1_541284561214624104645789101745678[[#This Row],[COST]],0)</f>
        <v>0</v>
      </c>
      <c r="N407" s="194">
        <f t="shared" si="6"/>
        <v>1.3</v>
      </c>
      <c r="O407" s="198">
        <f>_1_541284561214624104645789101745678[[#This Row],[TOTAL]]*_1_541284561214624104645789101745678[[#This Row],[MARGIN]]</f>
        <v>0</v>
      </c>
      <c r="R407" s="41"/>
    </row>
    <row r="408" spans="1:18">
      <c r="D408" s="188"/>
      <c r="F408" s="168" t="s">
        <v>6202</v>
      </c>
      <c r="G408" s="193">
        <f>IF(_1_541284561214624104645789101745678[[#This Row],[Type]]&gt;0,VLOOKUP(_1_541284561214624104645789101745678[[#This Row],[Type]],Main[[#All],[TYPE]:[UNIT]],'Unit Price'!C$1,FALSE),0)</f>
        <v>0</v>
      </c>
      <c r="H408" s="197">
        <f>IF(_1_541284561214624104645789101745678[[#This Row],[Type]]&gt;0,VLOOKUP(_1_541284561214624104645789101745678[[#This Row],[Type]],Main[[#All],[TYPE]:[UNIT]],'Unit Price'!D$1,FALSE),0)</f>
        <v>0</v>
      </c>
      <c r="I408" s="194">
        <f>IF(_1_541284561214624104645789101745678[[#This Row],[Type]]&gt;0,VLOOKUP(_1_541284561214624104645789101745678[[#This Row],[Type]],Main[[#All],[TYPE]:[UNIT]],'Unit Price'!G$1,FALSE),0)</f>
        <v>0</v>
      </c>
      <c r="J408" s="194">
        <f>IF(_1_541284561214624104645789101745678[[#This Row],[Type]]&gt;0,VLOOKUP(_1_541284561214624104645789101745678[[#This Row],[Type]],Main[[#All],[TYPE]:[UNIT]],'Unit Price'!H$1,FALSE),0)</f>
        <v>0</v>
      </c>
      <c r="K408" s="194">
        <f>IF(_1_541284561214624104645789101745678[[#This Row],[Discount selection]]&gt;0,VLOOKUP(_1_541284561214624104645789101745678[[#This Row],[Discount selection]],'Discount Structure'!$A$2:$B$30,2,"false"),0)</f>
        <v>1</v>
      </c>
      <c r="L408" s="194">
        <f>_1_541284561214624104645789101745678[[#This Row],[LIST $]]*_1_541284561214624104645789101745678[[#This Row],[DISCOUNT]]*_1_541284561214624104645789101745678[[#This Row],[DISCOUNT 2]]</f>
        <v>0</v>
      </c>
      <c r="M408" s="194">
        <f>IF(OR(_1_541284561214624104645789101745678[[#This Row],[UNIT]]&gt;0,_1_541284561214624104645789101745678[[#This Row],[UNIT]]&lt;0),_1_541284561214624104645789101745678[[#This Row],[UNIT]]*_1_541284561214624104645789101745678[[#This Row],[COST]],0)</f>
        <v>0</v>
      </c>
      <c r="N408" s="194">
        <f t="shared" si="6"/>
        <v>1.3</v>
      </c>
      <c r="O408" s="198">
        <f>_1_541284561214624104645789101745678[[#This Row],[TOTAL]]*_1_541284561214624104645789101745678[[#This Row],[MARGIN]]</f>
        <v>0</v>
      </c>
      <c r="R408" s="41"/>
    </row>
    <row r="409" spans="1:18">
      <c r="A409" s="168"/>
      <c r="D409" s="188"/>
      <c r="F409" s="168" t="s">
        <v>6202</v>
      </c>
      <c r="G409" s="193">
        <f>IF(_1_541284561214624104645789101745678[[#This Row],[Type]]&gt;0,VLOOKUP(_1_541284561214624104645789101745678[[#This Row],[Type]],Main[[#All],[TYPE]:[UNIT]],'Unit Price'!C$1,FALSE),0)</f>
        <v>0</v>
      </c>
      <c r="H409" s="197">
        <f>IF(_1_541284561214624104645789101745678[[#This Row],[Type]]&gt;0,VLOOKUP(_1_541284561214624104645789101745678[[#This Row],[Type]],Main[[#All],[TYPE]:[UNIT]],'Unit Price'!D$1,FALSE),0)</f>
        <v>0</v>
      </c>
      <c r="I409" s="194">
        <f>IF(_1_541284561214624104645789101745678[[#This Row],[Type]]&gt;0,VLOOKUP(_1_541284561214624104645789101745678[[#This Row],[Type]],Main[[#All],[TYPE]:[UNIT]],'Unit Price'!G$1,FALSE),0)</f>
        <v>0</v>
      </c>
      <c r="J409" s="194">
        <f>IF(_1_541284561214624104645789101745678[[#This Row],[Type]]&gt;0,VLOOKUP(_1_541284561214624104645789101745678[[#This Row],[Type]],Main[[#All],[TYPE]:[UNIT]],'Unit Price'!H$1,FALSE),0)</f>
        <v>0</v>
      </c>
      <c r="K409" s="194">
        <f>IF(_1_541284561214624104645789101745678[[#This Row],[Discount selection]]&gt;0,VLOOKUP(_1_541284561214624104645789101745678[[#This Row],[Discount selection]],'Discount Structure'!$A$2:$B$30,2,"false"),0)</f>
        <v>1</v>
      </c>
      <c r="L409" s="194">
        <f>_1_541284561214624104645789101745678[[#This Row],[LIST $]]*_1_541284561214624104645789101745678[[#This Row],[DISCOUNT]]*_1_541284561214624104645789101745678[[#This Row],[DISCOUNT 2]]</f>
        <v>0</v>
      </c>
      <c r="M409" s="194">
        <f>IF(OR(_1_541284561214624104645789101745678[[#This Row],[UNIT]]&gt;0,_1_541284561214624104645789101745678[[#This Row],[UNIT]]&lt;0),_1_541284561214624104645789101745678[[#This Row],[UNIT]]*_1_541284561214624104645789101745678[[#This Row],[COST]],0)</f>
        <v>0</v>
      </c>
      <c r="N409" s="194">
        <f t="shared" si="6"/>
        <v>1.3</v>
      </c>
      <c r="O409" s="198">
        <f>_1_541284561214624104645789101745678[[#This Row],[TOTAL]]*_1_541284561214624104645789101745678[[#This Row],[MARGIN]]</f>
        <v>0</v>
      </c>
      <c r="R409" s="41"/>
    </row>
    <row r="410" spans="1:18">
      <c r="D410" s="188"/>
      <c r="F410" s="168" t="s">
        <v>6202</v>
      </c>
      <c r="G410" s="193">
        <f>IF(_1_541284561214624104645789101745678[[#This Row],[Type]]&gt;0,VLOOKUP(_1_541284561214624104645789101745678[[#This Row],[Type]],Main[[#All],[TYPE]:[UNIT]],'Unit Price'!C$1,FALSE),0)</f>
        <v>0</v>
      </c>
      <c r="H410" s="197">
        <f>IF(_1_541284561214624104645789101745678[[#This Row],[Type]]&gt;0,VLOOKUP(_1_541284561214624104645789101745678[[#This Row],[Type]],Main[[#All],[TYPE]:[UNIT]],'Unit Price'!D$1,FALSE),0)</f>
        <v>0</v>
      </c>
      <c r="I410" s="194">
        <f>IF(_1_541284561214624104645789101745678[[#This Row],[Type]]&gt;0,VLOOKUP(_1_541284561214624104645789101745678[[#This Row],[Type]],Main[[#All],[TYPE]:[UNIT]],'Unit Price'!G$1,FALSE),0)</f>
        <v>0</v>
      </c>
      <c r="J410" s="194">
        <f>IF(_1_541284561214624104645789101745678[[#This Row],[Type]]&gt;0,VLOOKUP(_1_541284561214624104645789101745678[[#This Row],[Type]],Main[[#All],[TYPE]:[UNIT]],'Unit Price'!H$1,FALSE),0)</f>
        <v>0</v>
      </c>
      <c r="K410" s="194">
        <f>IF(_1_541284561214624104645789101745678[[#This Row],[Discount selection]]&gt;0,VLOOKUP(_1_541284561214624104645789101745678[[#This Row],[Discount selection]],'Discount Structure'!$A$2:$B$30,2,"false"),0)</f>
        <v>1</v>
      </c>
      <c r="L410" s="194">
        <f>_1_541284561214624104645789101745678[[#This Row],[LIST $]]*_1_541284561214624104645789101745678[[#This Row],[DISCOUNT]]*_1_541284561214624104645789101745678[[#This Row],[DISCOUNT 2]]</f>
        <v>0</v>
      </c>
      <c r="M410" s="194">
        <f>IF(OR(_1_541284561214624104645789101745678[[#This Row],[UNIT]]&gt;0,_1_541284561214624104645789101745678[[#This Row],[UNIT]]&lt;0),_1_541284561214624104645789101745678[[#This Row],[UNIT]]*_1_541284561214624104645789101745678[[#This Row],[COST]],0)</f>
        <v>0</v>
      </c>
      <c r="N410" s="194">
        <f t="shared" si="6"/>
        <v>1.3</v>
      </c>
      <c r="O410" s="198">
        <f>_1_541284561214624104645789101745678[[#This Row],[TOTAL]]*_1_541284561214624104645789101745678[[#This Row],[MARGIN]]</f>
        <v>0</v>
      </c>
      <c r="R410" s="41"/>
    </row>
    <row r="411" spans="1:18">
      <c r="D411" s="188"/>
      <c r="F411" s="168" t="s">
        <v>6202</v>
      </c>
      <c r="G411" s="193">
        <f>IF(_1_541284561214624104645789101745678[[#This Row],[Type]]&gt;0,VLOOKUP(_1_541284561214624104645789101745678[[#This Row],[Type]],Main[[#All],[TYPE]:[UNIT]],'Unit Price'!C$1,FALSE),0)</f>
        <v>0</v>
      </c>
      <c r="H411" s="197">
        <f>IF(_1_541284561214624104645789101745678[[#This Row],[Type]]&gt;0,VLOOKUP(_1_541284561214624104645789101745678[[#This Row],[Type]],Main[[#All],[TYPE]:[UNIT]],'Unit Price'!D$1,FALSE),0)</f>
        <v>0</v>
      </c>
      <c r="I411" s="194">
        <f>IF(_1_541284561214624104645789101745678[[#This Row],[Type]]&gt;0,VLOOKUP(_1_541284561214624104645789101745678[[#This Row],[Type]],Main[[#All],[TYPE]:[UNIT]],'Unit Price'!G$1,FALSE),0)</f>
        <v>0</v>
      </c>
      <c r="J411" s="194">
        <f>IF(_1_541284561214624104645789101745678[[#This Row],[Type]]&gt;0,VLOOKUP(_1_541284561214624104645789101745678[[#This Row],[Type]],Main[[#All],[TYPE]:[UNIT]],'Unit Price'!H$1,FALSE),0)</f>
        <v>0</v>
      </c>
      <c r="K411" s="194">
        <f>IF(_1_541284561214624104645789101745678[[#This Row],[Discount selection]]&gt;0,VLOOKUP(_1_541284561214624104645789101745678[[#This Row],[Discount selection]],'Discount Structure'!$A$2:$B$30,2,"false"),0)</f>
        <v>1</v>
      </c>
      <c r="L411" s="194">
        <f>_1_541284561214624104645789101745678[[#This Row],[LIST $]]*_1_541284561214624104645789101745678[[#This Row],[DISCOUNT]]*_1_541284561214624104645789101745678[[#This Row],[DISCOUNT 2]]</f>
        <v>0</v>
      </c>
      <c r="M411" s="194">
        <f>IF(OR(_1_541284561214624104645789101745678[[#This Row],[UNIT]]&gt;0,_1_541284561214624104645789101745678[[#This Row],[UNIT]]&lt;0),_1_541284561214624104645789101745678[[#This Row],[UNIT]]*_1_541284561214624104645789101745678[[#This Row],[COST]],0)</f>
        <v>0</v>
      </c>
      <c r="N411" s="194">
        <f t="shared" si="6"/>
        <v>1.3</v>
      </c>
      <c r="O411" s="198">
        <f>_1_541284561214624104645789101745678[[#This Row],[TOTAL]]*_1_541284561214624104645789101745678[[#This Row],[MARGIN]]</f>
        <v>0</v>
      </c>
      <c r="R411" s="41"/>
    </row>
    <row r="412" spans="1:18">
      <c r="D412" s="188"/>
      <c r="F412" s="168" t="s">
        <v>6202</v>
      </c>
      <c r="G412" s="192">
        <f>IF(_1_541284561214624104645789101745678[[#This Row],[Type]]&gt;0,VLOOKUP(_1_541284561214624104645789101745678[[#This Row],[Type]],Main[[#All],[TYPE]:[UNIT]],'Unit Price'!C$1,FALSE),0)</f>
        <v>0</v>
      </c>
      <c r="H412" s="197">
        <f>IF(_1_541284561214624104645789101745678[[#This Row],[Type]]&gt;0,VLOOKUP(_1_541284561214624104645789101745678[[#This Row],[Type]],Main[[#All],[TYPE]:[UNIT]],'Unit Price'!D$1,FALSE),0)</f>
        <v>0</v>
      </c>
      <c r="I412" s="194">
        <f>IF(_1_541284561214624104645789101745678[[#This Row],[Type]]&gt;0,VLOOKUP(_1_541284561214624104645789101745678[[#This Row],[Type]],Main[[#All],[TYPE]:[UNIT]],'Unit Price'!G$1,FALSE),0)</f>
        <v>0</v>
      </c>
      <c r="J412" s="194">
        <f>IF(_1_541284561214624104645789101745678[[#This Row],[Type]]&gt;0,VLOOKUP(_1_541284561214624104645789101745678[[#This Row],[Type]],Main[[#All],[TYPE]:[UNIT]],'Unit Price'!H$1,FALSE),0)</f>
        <v>0</v>
      </c>
      <c r="K412" s="194">
        <f>IF(_1_541284561214624104645789101745678[[#This Row],[Discount selection]]&gt;0,VLOOKUP(_1_541284561214624104645789101745678[[#This Row],[Discount selection]],'Discount Structure'!$A$2:$B$30,2,"false"),0)</f>
        <v>1</v>
      </c>
      <c r="L412" s="194">
        <f>_1_541284561214624104645789101745678[[#This Row],[LIST $]]*_1_541284561214624104645789101745678[[#This Row],[DISCOUNT]]*_1_541284561214624104645789101745678[[#This Row],[DISCOUNT 2]]</f>
        <v>0</v>
      </c>
      <c r="M412" s="194">
        <f>IF(OR(_1_541284561214624104645789101745678[[#This Row],[UNIT]]&gt;0,_1_541284561214624104645789101745678[[#This Row],[UNIT]]&lt;0),_1_541284561214624104645789101745678[[#This Row],[UNIT]]*_1_541284561214624104645789101745678[[#This Row],[COST]],0)</f>
        <v>0</v>
      </c>
      <c r="N412" s="194">
        <f t="shared" si="6"/>
        <v>1.3</v>
      </c>
      <c r="O412" s="198">
        <f>_1_541284561214624104645789101745678[[#This Row],[TOTAL]]*_1_541284561214624104645789101745678[[#This Row],[MARGIN]]</f>
        <v>0</v>
      </c>
      <c r="R412" s="41"/>
    </row>
    <row r="413" spans="1:18">
      <c r="D413" s="188"/>
      <c r="F413" s="168" t="s">
        <v>6202</v>
      </c>
      <c r="G413" s="193">
        <f>IF(_1_541284561214624104645789101745678[[#This Row],[Type]]&gt;0,VLOOKUP(_1_541284561214624104645789101745678[[#This Row],[Type]],Main[[#All],[TYPE]:[UNIT]],'Unit Price'!C$1,FALSE),0)</f>
        <v>0</v>
      </c>
      <c r="H413" s="197">
        <f>IF(_1_541284561214624104645789101745678[[#This Row],[Type]]&gt;0,VLOOKUP(_1_541284561214624104645789101745678[[#This Row],[Type]],Main[[#All],[TYPE]:[UNIT]],'Unit Price'!D$1,FALSE),0)</f>
        <v>0</v>
      </c>
      <c r="I413" s="194">
        <f>IF(_1_541284561214624104645789101745678[[#This Row],[Type]]&gt;0,VLOOKUP(_1_541284561214624104645789101745678[[#This Row],[Type]],Main[[#All],[TYPE]:[UNIT]],'Unit Price'!G$1,FALSE),0)</f>
        <v>0</v>
      </c>
      <c r="J413" s="194">
        <f>IF(_1_541284561214624104645789101745678[[#This Row],[Type]]&gt;0,VLOOKUP(_1_541284561214624104645789101745678[[#This Row],[Type]],Main[[#All],[TYPE]:[UNIT]],'Unit Price'!H$1,FALSE),0)</f>
        <v>0</v>
      </c>
      <c r="K413" s="194">
        <f>IF(_1_541284561214624104645789101745678[[#This Row],[Discount selection]]&gt;0,VLOOKUP(_1_541284561214624104645789101745678[[#This Row],[Discount selection]],'Discount Structure'!$A$2:$B$30,2,"false"),0)</f>
        <v>1</v>
      </c>
      <c r="L413" s="194">
        <f>_1_541284561214624104645789101745678[[#This Row],[LIST $]]*_1_541284561214624104645789101745678[[#This Row],[DISCOUNT]]*_1_541284561214624104645789101745678[[#This Row],[DISCOUNT 2]]</f>
        <v>0</v>
      </c>
      <c r="M413" s="194">
        <f>IF(OR(_1_541284561214624104645789101745678[[#This Row],[UNIT]]&gt;0,_1_541284561214624104645789101745678[[#This Row],[UNIT]]&lt;0),_1_541284561214624104645789101745678[[#This Row],[UNIT]]*_1_541284561214624104645789101745678[[#This Row],[COST]],0)</f>
        <v>0</v>
      </c>
      <c r="N413" s="194">
        <f t="shared" si="6"/>
        <v>1.3</v>
      </c>
      <c r="O413" s="198">
        <f>_1_541284561214624104645789101745678[[#This Row],[TOTAL]]*_1_541284561214624104645789101745678[[#This Row],[MARGIN]]</f>
        <v>0</v>
      </c>
      <c r="R413" s="41"/>
    </row>
    <row r="414" spans="1:18">
      <c r="D414" s="188"/>
      <c r="F414" s="168" t="s">
        <v>6202</v>
      </c>
      <c r="G414" s="193">
        <f>IF(_1_541284561214624104645789101745678[[#This Row],[Type]]&gt;0,VLOOKUP(_1_541284561214624104645789101745678[[#This Row],[Type]],Main[[#All],[TYPE]:[UNIT]],'Unit Price'!C$1,FALSE),0)</f>
        <v>0</v>
      </c>
      <c r="H414" s="197">
        <f>IF(_1_541284561214624104645789101745678[[#This Row],[Type]]&gt;0,VLOOKUP(_1_541284561214624104645789101745678[[#This Row],[Type]],Main[[#All],[TYPE]:[UNIT]],'Unit Price'!D$1,FALSE),0)</f>
        <v>0</v>
      </c>
      <c r="I414" s="194">
        <f>IF(_1_541284561214624104645789101745678[[#This Row],[Type]]&gt;0,VLOOKUP(_1_541284561214624104645789101745678[[#This Row],[Type]],Main[[#All],[TYPE]:[UNIT]],'Unit Price'!G$1,FALSE),0)</f>
        <v>0</v>
      </c>
      <c r="J414" s="194">
        <f>IF(_1_541284561214624104645789101745678[[#This Row],[Type]]&gt;0,VLOOKUP(_1_541284561214624104645789101745678[[#This Row],[Type]],Main[[#All],[TYPE]:[UNIT]],'Unit Price'!H$1,FALSE),0)</f>
        <v>0</v>
      </c>
      <c r="K414" s="194">
        <f>IF(_1_541284561214624104645789101745678[[#This Row],[Discount selection]]&gt;0,VLOOKUP(_1_541284561214624104645789101745678[[#This Row],[Discount selection]],'Discount Structure'!$A$2:$B$30,2,"false"),0)</f>
        <v>1</v>
      </c>
      <c r="L414" s="194">
        <f>_1_541284561214624104645789101745678[[#This Row],[LIST $]]*_1_541284561214624104645789101745678[[#This Row],[DISCOUNT]]*_1_541284561214624104645789101745678[[#This Row],[DISCOUNT 2]]</f>
        <v>0</v>
      </c>
      <c r="M414" s="194">
        <f>IF(OR(_1_541284561214624104645789101745678[[#This Row],[UNIT]]&gt;0,_1_541284561214624104645789101745678[[#This Row],[UNIT]]&lt;0),_1_541284561214624104645789101745678[[#This Row],[UNIT]]*_1_541284561214624104645789101745678[[#This Row],[COST]],0)</f>
        <v>0</v>
      </c>
      <c r="N414" s="194">
        <f t="shared" si="6"/>
        <v>1.3</v>
      </c>
      <c r="O414" s="198">
        <f>_1_541284561214624104645789101745678[[#This Row],[TOTAL]]*_1_541284561214624104645789101745678[[#This Row],[MARGIN]]</f>
        <v>0</v>
      </c>
      <c r="R414" s="41"/>
    </row>
    <row r="415" spans="1:18">
      <c r="D415" s="188"/>
      <c r="F415" s="168" t="s">
        <v>6202</v>
      </c>
      <c r="G415" s="193">
        <f>IF(_1_541284561214624104645789101745678[[#This Row],[Type]]&gt;0,VLOOKUP(_1_541284561214624104645789101745678[[#This Row],[Type]],Main[[#All],[TYPE]:[UNIT]],'Unit Price'!C$1,FALSE),0)</f>
        <v>0</v>
      </c>
      <c r="H415" s="197">
        <f>IF(_1_541284561214624104645789101745678[[#This Row],[Type]]&gt;0,VLOOKUP(_1_541284561214624104645789101745678[[#This Row],[Type]],Main[[#All],[TYPE]:[UNIT]],'Unit Price'!D$1,FALSE),0)</f>
        <v>0</v>
      </c>
      <c r="I415" s="194">
        <f>IF(_1_541284561214624104645789101745678[[#This Row],[Type]]&gt;0,VLOOKUP(_1_541284561214624104645789101745678[[#This Row],[Type]],Main[[#All],[TYPE]:[UNIT]],'Unit Price'!G$1,FALSE),0)</f>
        <v>0</v>
      </c>
      <c r="J415" s="194">
        <f>IF(_1_541284561214624104645789101745678[[#This Row],[Type]]&gt;0,VLOOKUP(_1_541284561214624104645789101745678[[#This Row],[Type]],Main[[#All],[TYPE]:[UNIT]],'Unit Price'!H$1,FALSE),0)</f>
        <v>0</v>
      </c>
      <c r="K415" s="194">
        <f>IF(_1_541284561214624104645789101745678[[#This Row],[Discount selection]]&gt;0,VLOOKUP(_1_541284561214624104645789101745678[[#This Row],[Discount selection]],'Discount Structure'!$A$2:$B$30,2,"false"),0)</f>
        <v>1</v>
      </c>
      <c r="L415" s="194">
        <f>_1_541284561214624104645789101745678[[#This Row],[LIST $]]*_1_541284561214624104645789101745678[[#This Row],[DISCOUNT]]*_1_541284561214624104645789101745678[[#This Row],[DISCOUNT 2]]</f>
        <v>0</v>
      </c>
      <c r="M415" s="194">
        <f>IF(OR(_1_541284561214624104645789101745678[[#This Row],[UNIT]]&gt;0,_1_541284561214624104645789101745678[[#This Row],[UNIT]]&lt;0),_1_541284561214624104645789101745678[[#This Row],[UNIT]]*_1_541284561214624104645789101745678[[#This Row],[COST]],0)</f>
        <v>0</v>
      </c>
      <c r="N415" s="194">
        <f t="shared" si="6"/>
        <v>1.3</v>
      </c>
      <c r="O415" s="198">
        <f>_1_541284561214624104645789101745678[[#This Row],[TOTAL]]*_1_541284561214624104645789101745678[[#This Row],[MARGIN]]</f>
        <v>0</v>
      </c>
      <c r="R415" s="41"/>
    </row>
    <row r="416" spans="1:18">
      <c r="D416" s="188"/>
      <c r="F416" s="168" t="s">
        <v>6202</v>
      </c>
      <c r="G416" s="193">
        <f>IF(_1_541284561214624104645789101745678[[#This Row],[Type]]&gt;0,VLOOKUP(_1_541284561214624104645789101745678[[#This Row],[Type]],Main[[#All],[TYPE]:[UNIT]],'Unit Price'!C$1,FALSE),0)</f>
        <v>0</v>
      </c>
      <c r="H416" s="197">
        <f>IF(_1_541284561214624104645789101745678[[#This Row],[Type]]&gt;0,VLOOKUP(_1_541284561214624104645789101745678[[#This Row],[Type]],Main[[#All],[TYPE]:[UNIT]],'Unit Price'!D$1,FALSE),0)</f>
        <v>0</v>
      </c>
      <c r="I416" s="194">
        <f>IF(_1_541284561214624104645789101745678[[#This Row],[Type]]&gt;0,VLOOKUP(_1_541284561214624104645789101745678[[#This Row],[Type]],Main[[#All],[TYPE]:[UNIT]],'Unit Price'!G$1,FALSE),0)</f>
        <v>0</v>
      </c>
      <c r="J416" s="194">
        <f>IF(_1_541284561214624104645789101745678[[#This Row],[Type]]&gt;0,VLOOKUP(_1_541284561214624104645789101745678[[#This Row],[Type]],Main[[#All],[TYPE]:[UNIT]],'Unit Price'!H$1,FALSE),0)</f>
        <v>0</v>
      </c>
      <c r="K416" s="194">
        <f>IF(_1_541284561214624104645789101745678[[#This Row],[Discount selection]]&gt;0,VLOOKUP(_1_541284561214624104645789101745678[[#This Row],[Discount selection]],'Discount Structure'!$A$2:$B$30,2,"false"),0)</f>
        <v>1</v>
      </c>
      <c r="L416" s="194">
        <f>_1_541284561214624104645789101745678[[#This Row],[LIST $]]*_1_541284561214624104645789101745678[[#This Row],[DISCOUNT]]*_1_541284561214624104645789101745678[[#This Row],[DISCOUNT 2]]</f>
        <v>0</v>
      </c>
      <c r="M416" s="194">
        <f>IF(OR(_1_541284561214624104645789101745678[[#This Row],[UNIT]]&gt;0,_1_541284561214624104645789101745678[[#This Row],[UNIT]]&lt;0),_1_541284561214624104645789101745678[[#This Row],[UNIT]]*_1_541284561214624104645789101745678[[#This Row],[COST]],0)</f>
        <v>0</v>
      </c>
      <c r="N416" s="194">
        <f t="shared" si="6"/>
        <v>1.3</v>
      </c>
      <c r="O416" s="198">
        <f>_1_541284561214624104645789101745678[[#This Row],[TOTAL]]*_1_541284561214624104645789101745678[[#This Row],[MARGIN]]</f>
        <v>0</v>
      </c>
      <c r="R416" s="41"/>
    </row>
    <row r="417" spans="1:18">
      <c r="D417" s="188"/>
      <c r="F417" s="168" t="s">
        <v>6202</v>
      </c>
      <c r="G417" s="192">
        <f>IF(_1_541284561214624104645789101745678[[#This Row],[Type]]&gt;0,VLOOKUP(_1_541284561214624104645789101745678[[#This Row],[Type]],Main[[#All],[TYPE]:[UNIT]],'Unit Price'!C$1,FALSE),0)</f>
        <v>0</v>
      </c>
      <c r="H417" s="197">
        <f>IF(_1_541284561214624104645789101745678[[#This Row],[Type]]&gt;0,VLOOKUP(_1_541284561214624104645789101745678[[#This Row],[Type]],Main[[#All],[TYPE]:[UNIT]],'Unit Price'!D$1,FALSE),0)</f>
        <v>0</v>
      </c>
      <c r="I417" s="194">
        <f>IF(_1_541284561214624104645789101745678[[#This Row],[Type]]&gt;0,VLOOKUP(_1_541284561214624104645789101745678[[#This Row],[Type]],Main[[#All],[TYPE]:[UNIT]],'Unit Price'!G$1,FALSE),0)</f>
        <v>0</v>
      </c>
      <c r="J417" s="194">
        <f>IF(_1_541284561214624104645789101745678[[#This Row],[Type]]&gt;0,VLOOKUP(_1_541284561214624104645789101745678[[#This Row],[Type]],Main[[#All],[TYPE]:[UNIT]],'Unit Price'!H$1,FALSE),0)</f>
        <v>0</v>
      </c>
      <c r="K417" s="194">
        <f>IF(_1_541284561214624104645789101745678[[#This Row],[Discount selection]]&gt;0,VLOOKUP(_1_541284561214624104645789101745678[[#This Row],[Discount selection]],'Discount Structure'!$A$2:$B$30,2,"false"),0)</f>
        <v>1</v>
      </c>
      <c r="L417" s="194">
        <f>_1_541284561214624104645789101745678[[#This Row],[LIST $]]*_1_541284561214624104645789101745678[[#This Row],[DISCOUNT]]*_1_541284561214624104645789101745678[[#This Row],[DISCOUNT 2]]</f>
        <v>0</v>
      </c>
      <c r="M417" s="194">
        <f>IF(OR(_1_541284561214624104645789101745678[[#This Row],[UNIT]]&gt;0,_1_541284561214624104645789101745678[[#This Row],[UNIT]]&lt;0),_1_541284561214624104645789101745678[[#This Row],[UNIT]]*_1_541284561214624104645789101745678[[#This Row],[COST]],0)</f>
        <v>0</v>
      </c>
      <c r="N417" s="194">
        <f t="shared" si="6"/>
        <v>1.3</v>
      </c>
      <c r="O417" s="198">
        <f>_1_541284561214624104645789101745678[[#This Row],[TOTAL]]*_1_541284561214624104645789101745678[[#This Row],[MARGIN]]</f>
        <v>0</v>
      </c>
      <c r="R417" s="41"/>
    </row>
    <row r="418" spans="1:18">
      <c r="D418" s="188"/>
      <c r="F418" s="168" t="s">
        <v>6202</v>
      </c>
      <c r="G418" s="193">
        <f>IF(_1_541284561214624104645789101745678[[#This Row],[Type]]&gt;0,VLOOKUP(_1_541284561214624104645789101745678[[#This Row],[Type]],Main[[#All],[TYPE]:[UNIT]],'Unit Price'!C$1,FALSE),0)</f>
        <v>0</v>
      </c>
      <c r="H418" s="197">
        <f>IF(_1_541284561214624104645789101745678[[#This Row],[Type]]&gt;0,VLOOKUP(_1_541284561214624104645789101745678[[#This Row],[Type]],Main[[#All],[TYPE]:[UNIT]],'Unit Price'!D$1,FALSE),0)</f>
        <v>0</v>
      </c>
      <c r="I418" s="194">
        <f>IF(_1_541284561214624104645789101745678[[#This Row],[Type]]&gt;0,VLOOKUP(_1_541284561214624104645789101745678[[#This Row],[Type]],Main[[#All],[TYPE]:[UNIT]],'Unit Price'!G$1,FALSE),0)</f>
        <v>0</v>
      </c>
      <c r="J418" s="194">
        <f>IF(_1_541284561214624104645789101745678[[#This Row],[Type]]&gt;0,VLOOKUP(_1_541284561214624104645789101745678[[#This Row],[Type]],Main[[#All],[TYPE]:[UNIT]],'Unit Price'!H$1,FALSE),0)</f>
        <v>0</v>
      </c>
      <c r="K418" s="194">
        <f>IF(_1_541284561214624104645789101745678[[#This Row],[Discount selection]]&gt;0,VLOOKUP(_1_541284561214624104645789101745678[[#This Row],[Discount selection]],'Discount Structure'!$A$2:$B$30,2,"false"),0)</f>
        <v>1</v>
      </c>
      <c r="L418" s="194">
        <f>_1_541284561214624104645789101745678[[#This Row],[LIST $]]*_1_541284561214624104645789101745678[[#This Row],[DISCOUNT]]*_1_541284561214624104645789101745678[[#This Row],[DISCOUNT 2]]</f>
        <v>0</v>
      </c>
      <c r="M418" s="194">
        <f>IF(OR(_1_541284561214624104645789101745678[[#This Row],[UNIT]]&gt;0,_1_541284561214624104645789101745678[[#This Row],[UNIT]]&lt;0),_1_541284561214624104645789101745678[[#This Row],[UNIT]]*_1_541284561214624104645789101745678[[#This Row],[COST]],0)</f>
        <v>0</v>
      </c>
      <c r="N418" s="194">
        <f t="shared" si="6"/>
        <v>1.3</v>
      </c>
      <c r="O418" s="198">
        <f>_1_541284561214624104645789101745678[[#This Row],[TOTAL]]*_1_541284561214624104645789101745678[[#This Row],[MARGIN]]</f>
        <v>0</v>
      </c>
      <c r="R418" s="41"/>
    </row>
    <row r="419" spans="1:18">
      <c r="D419" s="188"/>
      <c r="F419" s="168" t="s">
        <v>6202</v>
      </c>
      <c r="G419" s="193">
        <f>IF(_1_541284561214624104645789101745678[[#This Row],[Type]]&gt;0,VLOOKUP(_1_541284561214624104645789101745678[[#This Row],[Type]],Main[[#All],[TYPE]:[UNIT]],'Unit Price'!C$1,FALSE),0)</f>
        <v>0</v>
      </c>
      <c r="H419" s="197">
        <f>IF(_1_541284561214624104645789101745678[[#This Row],[Type]]&gt;0,VLOOKUP(_1_541284561214624104645789101745678[[#This Row],[Type]],Main[[#All],[TYPE]:[UNIT]],'Unit Price'!D$1,FALSE),0)</f>
        <v>0</v>
      </c>
      <c r="I419" s="194">
        <f>IF(_1_541284561214624104645789101745678[[#This Row],[Type]]&gt;0,VLOOKUP(_1_541284561214624104645789101745678[[#This Row],[Type]],Main[[#All],[TYPE]:[UNIT]],'Unit Price'!G$1,FALSE),0)</f>
        <v>0</v>
      </c>
      <c r="J419" s="194">
        <f>IF(_1_541284561214624104645789101745678[[#This Row],[Type]]&gt;0,VLOOKUP(_1_541284561214624104645789101745678[[#This Row],[Type]],Main[[#All],[TYPE]:[UNIT]],'Unit Price'!H$1,FALSE),0)</f>
        <v>0</v>
      </c>
      <c r="K419" s="194">
        <f>IF(_1_541284561214624104645789101745678[[#This Row],[Discount selection]]&gt;0,VLOOKUP(_1_541284561214624104645789101745678[[#This Row],[Discount selection]],'Discount Structure'!$A$2:$B$30,2,"false"),0)</f>
        <v>1</v>
      </c>
      <c r="L419" s="194">
        <f>_1_541284561214624104645789101745678[[#This Row],[LIST $]]*_1_541284561214624104645789101745678[[#This Row],[DISCOUNT]]*_1_541284561214624104645789101745678[[#This Row],[DISCOUNT 2]]</f>
        <v>0</v>
      </c>
      <c r="M419" s="194">
        <f>IF(OR(_1_541284561214624104645789101745678[[#This Row],[UNIT]]&gt;0,_1_541284561214624104645789101745678[[#This Row],[UNIT]]&lt;0),_1_541284561214624104645789101745678[[#This Row],[UNIT]]*_1_541284561214624104645789101745678[[#This Row],[COST]],0)</f>
        <v>0</v>
      </c>
      <c r="N419" s="194">
        <f t="shared" si="6"/>
        <v>1.3</v>
      </c>
      <c r="O419" s="198">
        <f>_1_541284561214624104645789101745678[[#This Row],[TOTAL]]*_1_541284561214624104645789101745678[[#This Row],[MARGIN]]</f>
        <v>0</v>
      </c>
      <c r="R419" s="41"/>
    </row>
    <row r="420" spans="1:18">
      <c r="D420" s="188"/>
      <c r="F420" s="168" t="s">
        <v>6202</v>
      </c>
      <c r="G420" s="193">
        <f>IF(_1_541284561214624104645789101745678[[#This Row],[Type]]&gt;0,VLOOKUP(_1_541284561214624104645789101745678[[#This Row],[Type]],Main[[#All],[TYPE]:[UNIT]],'Unit Price'!C$1,FALSE),0)</f>
        <v>0</v>
      </c>
      <c r="H420" s="197">
        <f>IF(_1_541284561214624104645789101745678[[#This Row],[Type]]&gt;0,VLOOKUP(_1_541284561214624104645789101745678[[#This Row],[Type]],Main[[#All],[TYPE]:[UNIT]],'Unit Price'!D$1,FALSE),0)</f>
        <v>0</v>
      </c>
      <c r="I420" s="194">
        <f>IF(_1_541284561214624104645789101745678[[#This Row],[Type]]&gt;0,VLOOKUP(_1_541284561214624104645789101745678[[#This Row],[Type]],Main[[#All],[TYPE]:[UNIT]],'Unit Price'!G$1,FALSE),0)</f>
        <v>0</v>
      </c>
      <c r="J420" s="194">
        <f>IF(_1_541284561214624104645789101745678[[#This Row],[Type]]&gt;0,VLOOKUP(_1_541284561214624104645789101745678[[#This Row],[Type]],Main[[#All],[TYPE]:[UNIT]],'Unit Price'!H$1,FALSE),0)</f>
        <v>0</v>
      </c>
      <c r="K420" s="194">
        <f>IF(_1_541284561214624104645789101745678[[#This Row],[Discount selection]]&gt;0,VLOOKUP(_1_541284561214624104645789101745678[[#This Row],[Discount selection]],'Discount Structure'!$A$2:$B$30,2,"false"),0)</f>
        <v>1</v>
      </c>
      <c r="L420" s="194">
        <f>_1_541284561214624104645789101745678[[#This Row],[LIST $]]*_1_541284561214624104645789101745678[[#This Row],[DISCOUNT]]*_1_541284561214624104645789101745678[[#This Row],[DISCOUNT 2]]</f>
        <v>0</v>
      </c>
      <c r="M420" s="194">
        <f>IF(OR(_1_541284561214624104645789101745678[[#This Row],[UNIT]]&gt;0,_1_541284561214624104645789101745678[[#This Row],[UNIT]]&lt;0),_1_541284561214624104645789101745678[[#This Row],[UNIT]]*_1_541284561214624104645789101745678[[#This Row],[COST]],0)</f>
        <v>0</v>
      </c>
      <c r="N420" s="194">
        <f t="shared" si="6"/>
        <v>1.3</v>
      </c>
      <c r="O420" s="198">
        <f>_1_541284561214624104645789101745678[[#This Row],[TOTAL]]*_1_541284561214624104645789101745678[[#This Row],[MARGIN]]</f>
        <v>0</v>
      </c>
      <c r="R420" s="41"/>
    </row>
    <row r="421" spans="1:18">
      <c r="D421" s="188"/>
      <c r="F421" s="168" t="s">
        <v>6202</v>
      </c>
      <c r="G421" s="193">
        <f>IF(_1_541284561214624104645789101745678[[#This Row],[Type]]&gt;0,VLOOKUP(_1_541284561214624104645789101745678[[#This Row],[Type]],Main[[#All],[TYPE]:[UNIT]],'Unit Price'!C$1,FALSE),0)</f>
        <v>0</v>
      </c>
      <c r="H421" s="197">
        <f>IF(_1_541284561214624104645789101745678[[#This Row],[Type]]&gt;0,VLOOKUP(_1_541284561214624104645789101745678[[#This Row],[Type]],Main[[#All],[TYPE]:[UNIT]],'Unit Price'!D$1,FALSE),0)</f>
        <v>0</v>
      </c>
      <c r="I421" s="194">
        <f>IF(_1_541284561214624104645789101745678[[#This Row],[Type]]&gt;0,VLOOKUP(_1_541284561214624104645789101745678[[#This Row],[Type]],Main[[#All],[TYPE]:[UNIT]],'Unit Price'!G$1,FALSE),0)</f>
        <v>0</v>
      </c>
      <c r="J421" s="194">
        <f>IF(_1_541284561214624104645789101745678[[#This Row],[Type]]&gt;0,VLOOKUP(_1_541284561214624104645789101745678[[#This Row],[Type]],Main[[#All],[TYPE]:[UNIT]],'Unit Price'!H$1,FALSE),0)</f>
        <v>0</v>
      </c>
      <c r="K421" s="194">
        <f>IF(_1_541284561214624104645789101745678[[#This Row],[Discount selection]]&gt;0,VLOOKUP(_1_541284561214624104645789101745678[[#This Row],[Discount selection]],'Discount Structure'!$A$2:$B$30,2,"false"),0)</f>
        <v>1</v>
      </c>
      <c r="L421" s="194">
        <f>_1_541284561214624104645789101745678[[#This Row],[LIST $]]*_1_541284561214624104645789101745678[[#This Row],[DISCOUNT]]*_1_541284561214624104645789101745678[[#This Row],[DISCOUNT 2]]</f>
        <v>0</v>
      </c>
      <c r="M421" s="194">
        <f>IF(OR(_1_541284561214624104645789101745678[[#This Row],[UNIT]]&gt;0,_1_541284561214624104645789101745678[[#This Row],[UNIT]]&lt;0),_1_541284561214624104645789101745678[[#This Row],[UNIT]]*_1_541284561214624104645789101745678[[#This Row],[COST]],0)</f>
        <v>0</v>
      </c>
      <c r="N421" s="194">
        <f t="shared" si="6"/>
        <v>1.3</v>
      </c>
      <c r="O421" s="198">
        <f>_1_541284561214624104645789101745678[[#This Row],[TOTAL]]*_1_541284561214624104645789101745678[[#This Row],[MARGIN]]</f>
        <v>0</v>
      </c>
      <c r="R421" s="41"/>
    </row>
    <row r="422" spans="1:18">
      <c r="D422" s="188"/>
      <c r="F422" s="168" t="s">
        <v>6202</v>
      </c>
      <c r="G422" s="192">
        <f>IF(_1_541284561214624104645789101745678[[#This Row],[Type]]&gt;0,VLOOKUP(_1_541284561214624104645789101745678[[#This Row],[Type]],Main[[#All],[TYPE]:[UNIT]],'Unit Price'!C$1,FALSE),0)</f>
        <v>0</v>
      </c>
      <c r="H422" s="197">
        <f>IF(_1_541284561214624104645789101745678[[#This Row],[Type]]&gt;0,VLOOKUP(_1_541284561214624104645789101745678[[#This Row],[Type]],Main[[#All],[TYPE]:[UNIT]],'Unit Price'!D$1,FALSE),0)</f>
        <v>0</v>
      </c>
      <c r="I422" s="194">
        <f>IF(_1_541284561214624104645789101745678[[#This Row],[Type]]&gt;0,VLOOKUP(_1_541284561214624104645789101745678[[#This Row],[Type]],Main[[#All],[TYPE]:[UNIT]],'Unit Price'!G$1,FALSE),0)</f>
        <v>0</v>
      </c>
      <c r="J422" s="194">
        <f>IF(_1_541284561214624104645789101745678[[#This Row],[Type]]&gt;0,VLOOKUP(_1_541284561214624104645789101745678[[#This Row],[Type]],Main[[#All],[TYPE]:[UNIT]],'Unit Price'!H$1,FALSE),0)</f>
        <v>0</v>
      </c>
      <c r="K422" s="194">
        <f>IF(_1_541284561214624104645789101745678[[#This Row],[Discount selection]]&gt;0,VLOOKUP(_1_541284561214624104645789101745678[[#This Row],[Discount selection]],'Discount Structure'!$A$2:$B$30,2,"false"),0)</f>
        <v>1</v>
      </c>
      <c r="L422" s="194">
        <f>_1_541284561214624104645789101745678[[#This Row],[LIST $]]*_1_541284561214624104645789101745678[[#This Row],[DISCOUNT]]*_1_541284561214624104645789101745678[[#This Row],[DISCOUNT 2]]</f>
        <v>0</v>
      </c>
      <c r="M422" s="194">
        <f>IF(OR(_1_541284561214624104645789101745678[[#This Row],[UNIT]]&gt;0,_1_541284561214624104645789101745678[[#This Row],[UNIT]]&lt;0),_1_541284561214624104645789101745678[[#This Row],[UNIT]]*_1_541284561214624104645789101745678[[#This Row],[COST]],0)</f>
        <v>0</v>
      </c>
      <c r="N422" s="194">
        <f t="shared" si="6"/>
        <v>1.3</v>
      </c>
      <c r="O422" s="198">
        <f>_1_541284561214624104645789101745678[[#This Row],[TOTAL]]*_1_541284561214624104645789101745678[[#This Row],[MARGIN]]</f>
        <v>0</v>
      </c>
      <c r="R422" s="41"/>
    </row>
    <row r="423" spans="1:18">
      <c r="D423" s="188"/>
      <c r="F423" s="168" t="s">
        <v>6202</v>
      </c>
      <c r="G423" s="193">
        <f>IF(_1_541284561214624104645789101745678[[#This Row],[Type]]&gt;0,VLOOKUP(_1_541284561214624104645789101745678[[#This Row],[Type]],Main[[#All],[TYPE]:[UNIT]],'Unit Price'!C$1,FALSE),0)</f>
        <v>0</v>
      </c>
      <c r="H423" s="197">
        <f>IF(_1_541284561214624104645789101745678[[#This Row],[Type]]&gt;0,VLOOKUP(_1_541284561214624104645789101745678[[#This Row],[Type]],Main[[#All],[TYPE]:[UNIT]],'Unit Price'!D$1,FALSE),0)</f>
        <v>0</v>
      </c>
      <c r="I423" s="194">
        <f>IF(_1_541284561214624104645789101745678[[#This Row],[Type]]&gt;0,VLOOKUP(_1_541284561214624104645789101745678[[#This Row],[Type]],Main[[#All],[TYPE]:[UNIT]],'Unit Price'!G$1,FALSE),0)</f>
        <v>0</v>
      </c>
      <c r="J423" s="194">
        <f>IF(_1_541284561214624104645789101745678[[#This Row],[Type]]&gt;0,VLOOKUP(_1_541284561214624104645789101745678[[#This Row],[Type]],Main[[#All],[TYPE]:[UNIT]],'Unit Price'!H$1,FALSE),0)</f>
        <v>0</v>
      </c>
      <c r="K423" s="194">
        <f>IF(_1_541284561214624104645789101745678[[#This Row],[Discount selection]]&gt;0,VLOOKUP(_1_541284561214624104645789101745678[[#This Row],[Discount selection]],'Discount Structure'!$A$2:$B$30,2,"false"),0)</f>
        <v>1</v>
      </c>
      <c r="L423" s="194">
        <f>_1_541284561214624104645789101745678[[#This Row],[LIST $]]*_1_541284561214624104645789101745678[[#This Row],[DISCOUNT]]*_1_541284561214624104645789101745678[[#This Row],[DISCOUNT 2]]</f>
        <v>0</v>
      </c>
      <c r="M423" s="194">
        <f>IF(OR(_1_541284561214624104645789101745678[[#This Row],[UNIT]]&gt;0,_1_541284561214624104645789101745678[[#This Row],[UNIT]]&lt;0),_1_541284561214624104645789101745678[[#This Row],[UNIT]]*_1_541284561214624104645789101745678[[#This Row],[COST]],0)</f>
        <v>0</v>
      </c>
      <c r="N423" s="194">
        <f t="shared" si="6"/>
        <v>1.3</v>
      </c>
      <c r="O423" s="198">
        <f>_1_541284561214624104645789101745678[[#This Row],[TOTAL]]*_1_541284561214624104645789101745678[[#This Row],[MARGIN]]</f>
        <v>0</v>
      </c>
      <c r="R423" s="41"/>
    </row>
    <row r="424" spans="1:18">
      <c r="A424" s="168"/>
      <c r="D424" s="188"/>
      <c r="F424" s="168" t="s">
        <v>6202</v>
      </c>
      <c r="G424" s="193">
        <f>IF(_1_541284561214624104645789101745678[[#This Row],[Type]]&gt;0,VLOOKUP(_1_541284561214624104645789101745678[[#This Row],[Type]],Main[[#All],[TYPE]:[UNIT]],'Unit Price'!C$1,FALSE),0)</f>
        <v>0</v>
      </c>
      <c r="H424" s="197">
        <f>IF(_1_541284561214624104645789101745678[[#This Row],[Type]]&gt;0,VLOOKUP(_1_541284561214624104645789101745678[[#This Row],[Type]],Main[[#All],[TYPE]:[UNIT]],'Unit Price'!D$1,FALSE),0)</f>
        <v>0</v>
      </c>
      <c r="I424" s="194">
        <f>IF(_1_541284561214624104645789101745678[[#This Row],[Type]]&gt;0,VLOOKUP(_1_541284561214624104645789101745678[[#This Row],[Type]],Main[[#All],[TYPE]:[UNIT]],'Unit Price'!G$1,FALSE),0)</f>
        <v>0</v>
      </c>
      <c r="J424" s="194">
        <f>IF(_1_541284561214624104645789101745678[[#This Row],[Type]]&gt;0,VLOOKUP(_1_541284561214624104645789101745678[[#This Row],[Type]],Main[[#All],[TYPE]:[UNIT]],'Unit Price'!H$1,FALSE),0)</f>
        <v>0</v>
      </c>
      <c r="K424" s="194">
        <f>IF(_1_541284561214624104645789101745678[[#This Row],[Discount selection]]&gt;0,VLOOKUP(_1_541284561214624104645789101745678[[#This Row],[Discount selection]],'Discount Structure'!$A$2:$B$30,2,"false"),0)</f>
        <v>1</v>
      </c>
      <c r="L424" s="194">
        <f>_1_541284561214624104645789101745678[[#This Row],[LIST $]]*_1_541284561214624104645789101745678[[#This Row],[DISCOUNT]]*_1_541284561214624104645789101745678[[#This Row],[DISCOUNT 2]]</f>
        <v>0</v>
      </c>
      <c r="M424" s="194">
        <f>IF(OR(_1_541284561214624104645789101745678[[#This Row],[UNIT]]&gt;0,_1_541284561214624104645789101745678[[#This Row],[UNIT]]&lt;0),_1_541284561214624104645789101745678[[#This Row],[UNIT]]*_1_541284561214624104645789101745678[[#This Row],[COST]],0)</f>
        <v>0</v>
      </c>
      <c r="N424" s="194">
        <f t="shared" si="6"/>
        <v>1.3</v>
      </c>
      <c r="O424" s="198">
        <f>_1_541284561214624104645789101745678[[#This Row],[TOTAL]]*_1_541284561214624104645789101745678[[#This Row],[MARGIN]]</f>
        <v>0</v>
      </c>
      <c r="R424" s="41"/>
    </row>
    <row r="425" spans="1:18">
      <c r="D425" s="188"/>
      <c r="F425" s="168" t="s">
        <v>6202</v>
      </c>
      <c r="G425" s="193">
        <f>IF(_1_541284561214624104645789101745678[[#This Row],[Type]]&gt;0,VLOOKUP(_1_541284561214624104645789101745678[[#This Row],[Type]],Main[[#All],[TYPE]:[UNIT]],'Unit Price'!C$1,FALSE),0)</f>
        <v>0</v>
      </c>
      <c r="H425" s="197">
        <f>IF(_1_541284561214624104645789101745678[[#This Row],[Type]]&gt;0,VLOOKUP(_1_541284561214624104645789101745678[[#This Row],[Type]],Main[[#All],[TYPE]:[UNIT]],'Unit Price'!D$1,FALSE),0)</f>
        <v>0</v>
      </c>
      <c r="I425" s="194">
        <f>IF(_1_541284561214624104645789101745678[[#This Row],[Type]]&gt;0,VLOOKUP(_1_541284561214624104645789101745678[[#This Row],[Type]],Main[[#All],[TYPE]:[UNIT]],'Unit Price'!G$1,FALSE),0)</f>
        <v>0</v>
      </c>
      <c r="J425" s="194">
        <f>IF(_1_541284561214624104645789101745678[[#This Row],[Type]]&gt;0,VLOOKUP(_1_541284561214624104645789101745678[[#This Row],[Type]],Main[[#All],[TYPE]:[UNIT]],'Unit Price'!H$1,FALSE),0)</f>
        <v>0</v>
      </c>
      <c r="K425" s="194">
        <f>IF(_1_541284561214624104645789101745678[[#This Row],[Discount selection]]&gt;0,VLOOKUP(_1_541284561214624104645789101745678[[#This Row],[Discount selection]],'Discount Structure'!$A$2:$B$30,2,"false"),0)</f>
        <v>1</v>
      </c>
      <c r="L425" s="194">
        <f>_1_541284561214624104645789101745678[[#This Row],[LIST $]]*_1_541284561214624104645789101745678[[#This Row],[DISCOUNT]]*_1_541284561214624104645789101745678[[#This Row],[DISCOUNT 2]]</f>
        <v>0</v>
      </c>
      <c r="M425" s="194">
        <f>IF(OR(_1_541284561214624104645789101745678[[#This Row],[UNIT]]&gt;0,_1_541284561214624104645789101745678[[#This Row],[UNIT]]&lt;0),_1_541284561214624104645789101745678[[#This Row],[UNIT]]*_1_541284561214624104645789101745678[[#This Row],[COST]],0)</f>
        <v>0</v>
      </c>
      <c r="N425" s="194">
        <f t="shared" si="6"/>
        <v>1.3</v>
      </c>
      <c r="O425" s="198">
        <f>_1_541284561214624104645789101745678[[#This Row],[TOTAL]]*_1_541284561214624104645789101745678[[#This Row],[MARGIN]]</f>
        <v>0</v>
      </c>
      <c r="R425" s="41"/>
    </row>
    <row r="426" spans="1:18">
      <c r="D426" s="188"/>
      <c r="F426" s="168" t="s">
        <v>6202</v>
      </c>
      <c r="G426" s="193">
        <f>IF(_1_541284561214624104645789101745678[[#This Row],[Type]]&gt;0,VLOOKUP(_1_541284561214624104645789101745678[[#This Row],[Type]],Main[[#All],[TYPE]:[UNIT]],'Unit Price'!C$1,FALSE),0)</f>
        <v>0</v>
      </c>
      <c r="H426" s="197">
        <f>IF(_1_541284561214624104645789101745678[[#This Row],[Type]]&gt;0,VLOOKUP(_1_541284561214624104645789101745678[[#This Row],[Type]],Main[[#All],[TYPE]:[UNIT]],'Unit Price'!D$1,FALSE),0)</f>
        <v>0</v>
      </c>
      <c r="I426" s="194">
        <f>IF(_1_541284561214624104645789101745678[[#This Row],[Type]]&gt;0,VLOOKUP(_1_541284561214624104645789101745678[[#This Row],[Type]],Main[[#All],[TYPE]:[UNIT]],'Unit Price'!G$1,FALSE),0)</f>
        <v>0</v>
      </c>
      <c r="J426" s="194">
        <f>IF(_1_541284561214624104645789101745678[[#This Row],[Type]]&gt;0,VLOOKUP(_1_541284561214624104645789101745678[[#This Row],[Type]],Main[[#All],[TYPE]:[UNIT]],'Unit Price'!H$1,FALSE),0)</f>
        <v>0</v>
      </c>
      <c r="K426" s="194">
        <f>IF(_1_541284561214624104645789101745678[[#This Row],[Discount selection]]&gt;0,VLOOKUP(_1_541284561214624104645789101745678[[#This Row],[Discount selection]],'Discount Structure'!$A$2:$B$30,2,"false"),0)</f>
        <v>1</v>
      </c>
      <c r="L426" s="194">
        <f>_1_541284561214624104645789101745678[[#This Row],[LIST $]]*_1_541284561214624104645789101745678[[#This Row],[DISCOUNT]]*_1_541284561214624104645789101745678[[#This Row],[DISCOUNT 2]]</f>
        <v>0</v>
      </c>
      <c r="M426" s="194">
        <f>IF(OR(_1_541284561214624104645789101745678[[#This Row],[UNIT]]&gt;0,_1_541284561214624104645789101745678[[#This Row],[UNIT]]&lt;0),_1_541284561214624104645789101745678[[#This Row],[UNIT]]*_1_541284561214624104645789101745678[[#This Row],[COST]],0)</f>
        <v>0</v>
      </c>
      <c r="N426" s="194">
        <f t="shared" si="6"/>
        <v>1.3</v>
      </c>
      <c r="O426" s="198">
        <f>_1_541284561214624104645789101745678[[#This Row],[TOTAL]]*_1_541284561214624104645789101745678[[#This Row],[MARGIN]]</f>
        <v>0</v>
      </c>
      <c r="R426" s="41"/>
    </row>
    <row r="427" spans="1:18">
      <c r="D427" s="188"/>
      <c r="F427" s="168" t="s">
        <v>6202</v>
      </c>
      <c r="G427" s="192">
        <f>IF(_1_541284561214624104645789101745678[[#This Row],[Type]]&gt;0,VLOOKUP(_1_541284561214624104645789101745678[[#This Row],[Type]],Main[[#All],[TYPE]:[UNIT]],'Unit Price'!C$1,FALSE),0)</f>
        <v>0</v>
      </c>
      <c r="H427" s="197">
        <f>IF(_1_541284561214624104645789101745678[[#This Row],[Type]]&gt;0,VLOOKUP(_1_541284561214624104645789101745678[[#This Row],[Type]],Main[[#All],[TYPE]:[UNIT]],'Unit Price'!D$1,FALSE),0)</f>
        <v>0</v>
      </c>
      <c r="I427" s="194">
        <f>IF(_1_541284561214624104645789101745678[[#This Row],[Type]]&gt;0,VLOOKUP(_1_541284561214624104645789101745678[[#This Row],[Type]],Main[[#All],[TYPE]:[UNIT]],'Unit Price'!G$1,FALSE),0)</f>
        <v>0</v>
      </c>
      <c r="J427" s="194">
        <f>IF(_1_541284561214624104645789101745678[[#This Row],[Type]]&gt;0,VLOOKUP(_1_541284561214624104645789101745678[[#This Row],[Type]],Main[[#All],[TYPE]:[UNIT]],'Unit Price'!H$1,FALSE),0)</f>
        <v>0</v>
      </c>
      <c r="K427" s="194">
        <f>IF(_1_541284561214624104645789101745678[[#This Row],[Discount selection]]&gt;0,VLOOKUP(_1_541284561214624104645789101745678[[#This Row],[Discount selection]],'Discount Structure'!$A$2:$B$30,2,"false"),0)</f>
        <v>1</v>
      </c>
      <c r="L427" s="194">
        <f>_1_541284561214624104645789101745678[[#This Row],[LIST $]]*_1_541284561214624104645789101745678[[#This Row],[DISCOUNT]]*_1_541284561214624104645789101745678[[#This Row],[DISCOUNT 2]]</f>
        <v>0</v>
      </c>
      <c r="M427" s="194">
        <f>IF(OR(_1_541284561214624104645789101745678[[#This Row],[UNIT]]&gt;0,_1_541284561214624104645789101745678[[#This Row],[UNIT]]&lt;0),_1_541284561214624104645789101745678[[#This Row],[UNIT]]*_1_541284561214624104645789101745678[[#This Row],[COST]],0)</f>
        <v>0</v>
      </c>
      <c r="N427" s="194">
        <f t="shared" si="6"/>
        <v>1.3</v>
      </c>
      <c r="O427" s="198">
        <f>_1_541284561214624104645789101745678[[#This Row],[TOTAL]]*_1_541284561214624104645789101745678[[#This Row],[MARGIN]]</f>
        <v>0</v>
      </c>
      <c r="R427" s="41"/>
    </row>
    <row r="428" spans="1:18">
      <c r="D428" s="188"/>
      <c r="F428" s="168" t="s">
        <v>6202</v>
      </c>
      <c r="G428" s="193">
        <f>IF(_1_541284561214624104645789101745678[[#This Row],[Type]]&gt;0,VLOOKUP(_1_541284561214624104645789101745678[[#This Row],[Type]],Main[[#All],[TYPE]:[UNIT]],'Unit Price'!C$1,FALSE),0)</f>
        <v>0</v>
      </c>
      <c r="H428" s="197">
        <f>IF(_1_541284561214624104645789101745678[[#This Row],[Type]]&gt;0,VLOOKUP(_1_541284561214624104645789101745678[[#This Row],[Type]],Main[[#All],[TYPE]:[UNIT]],'Unit Price'!D$1,FALSE),0)</f>
        <v>0</v>
      </c>
      <c r="I428" s="194">
        <f>IF(_1_541284561214624104645789101745678[[#This Row],[Type]]&gt;0,VLOOKUP(_1_541284561214624104645789101745678[[#This Row],[Type]],Main[[#All],[TYPE]:[UNIT]],'Unit Price'!G$1,FALSE),0)</f>
        <v>0</v>
      </c>
      <c r="J428" s="194">
        <f>IF(_1_541284561214624104645789101745678[[#This Row],[Type]]&gt;0,VLOOKUP(_1_541284561214624104645789101745678[[#This Row],[Type]],Main[[#All],[TYPE]:[UNIT]],'Unit Price'!H$1,FALSE),0)</f>
        <v>0</v>
      </c>
      <c r="K428" s="194">
        <f>IF(_1_541284561214624104645789101745678[[#This Row],[Discount selection]]&gt;0,VLOOKUP(_1_541284561214624104645789101745678[[#This Row],[Discount selection]],'Discount Structure'!$A$2:$B$30,2,"false"),0)</f>
        <v>1</v>
      </c>
      <c r="L428" s="194">
        <f>_1_541284561214624104645789101745678[[#This Row],[LIST $]]*_1_541284561214624104645789101745678[[#This Row],[DISCOUNT]]*_1_541284561214624104645789101745678[[#This Row],[DISCOUNT 2]]</f>
        <v>0</v>
      </c>
      <c r="M428" s="194">
        <f>IF(OR(_1_541284561214624104645789101745678[[#This Row],[UNIT]]&gt;0,_1_541284561214624104645789101745678[[#This Row],[UNIT]]&lt;0),_1_541284561214624104645789101745678[[#This Row],[UNIT]]*_1_541284561214624104645789101745678[[#This Row],[COST]],0)</f>
        <v>0</v>
      </c>
      <c r="N428" s="194">
        <f t="shared" si="6"/>
        <v>1.3</v>
      </c>
      <c r="O428" s="198">
        <f>_1_541284561214624104645789101745678[[#This Row],[TOTAL]]*_1_541284561214624104645789101745678[[#This Row],[MARGIN]]</f>
        <v>0</v>
      </c>
      <c r="R428" s="41"/>
    </row>
    <row r="429" spans="1:18">
      <c r="D429" s="188"/>
      <c r="F429" s="168" t="s">
        <v>6202</v>
      </c>
      <c r="G429" s="193">
        <f>IF(_1_541284561214624104645789101745678[[#This Row],[Type]]&gt;0,VLOOKUP(_1_541284561214624104645789101745678[[#This Row],[Type]],Main[[#All],[TYPE]:[UNIT]],'Unit Price'!C$1,FALSE),0)</f>
        <v>0</v>
      </c>
      <c r="H429" s="197">
        <f>IF(_1_541284561214624104645789101745678[[#This Row],[Type]]&gt;0,VLOOKUP(_1_541284561214624104645789101745678[[#This Row],[Type]],Main[[#All],[TYPE]:[UNIT]],'Unit Price'!D$1,FALSE),0)</f>
        <v>0</v>
      </c>
      <c r="I429" s="194">
        <f>IF(_1_541284561214624104645789101745678[[#This Row],[Type]]&gt;0,VLOOKUP(_1_541284561214624104645789101745678[[#This Row],[Type]],Main[[#All],[TYPE]:[UNIT]],'Unit Price'!G$1,FALSE),0)</f>
        <v>0</v>
      </c>
      <c r="J429" s="194">
        <f>IF(_1_541284561214624104645789101745678[[#This Row],[Type]]&gt;0,VLOOKUP(_1_541284561214624104645789101745678[[#This Row],[Type]],Main[[#All],[TYPE]:[UNIT]],'Unit Price'!H$1,FALSE),0)</f>
        <v>0</v>
      </c>
      <c r="K429" s="194">
        <f>IF(_1_541284561214624104645789101745678[[#This Row],[Discount selection]]&gt;0,VLOOKUP(_1_541284561214624104645789101745678[[#This Row],[Discount selection]],'Discount Structure'!$A$2:$B$30,2,"false"),0)</f>
        <v>1</v>
      </c>
      <c r="L429" s="194">
        <f>_1_541284561214624104645789101745678[[#This Row],[LIST $]]*_1_541284561214624104645789101745678[[#This Row],[DISCOUNT]]*_1_541284561214624104645789101745678[[#This Row],[DISCOUNT 2]]</f>
        <v>0</v>
      </c>
      <c r="M429" s="194">
        <f>IF(OR(_1_541284561214624104645789101745678[[#This Row],[UNIT]]&gt;0,_1_541284561214624104645789101745678[[#This Row],[UNIT]]&lt;0),_1_541284561214624104645789101745678[[#This Row],[UNIT]]*_1_541284561214624104645789101745678[[#This Row],[COST]],0)</f>
        <v>0</v>
      </c>
      <c r="N429" s="194">
        <f t="shared" si="6"/>
        <v>1.3</v>
      </c>
      <c r="O429" s="198">
        <f>_1_541284561214624104645789101745678[[#This Row],[TOTAL]]*_1_541284561214624104645789101745678[[#This Row],[MARGIN]]</f>
        <v>0</v>
      </c>
      <c r="R429" s="41"/>
    </row>
    <row r="430" spans="1:18">
      <c r="D430" s="188"/>
      <c r="F430" s="168" t="s">
        <v>6202</v>
      </c>
      <c r="G430" s="193">
        <f>IF(_1_541284561214624104645789101745678[[#This Row],[Type]]&gt;0,VLOOKUP(_1_541284561214624104645789101745678[[#This Row],[Type]],Main[[#All],[TYPE]:[UNIT]],'Unit Price'!C$1,FALSE),0)</f>
        <v>0</v>
      </c>
      <c r="H430" s="197">
        <f>IF(_1_541284561214624104645789101745678[[#This Row],[Type]]&gt;0,VLOOKUP(_1_541284561214624104645789101745678[[#This Row],[Type]],Main[[#All],[TYPE]:[UNIT]],'Unit Price'!D$1,FALSE),0)</f>
        <v>0</v>
      </c>
      <c r="I430" s="194">
        <f>IF(_1_541284561214624104645789101745678[[#This Row],[Type]]&gt;0,VLOOKUP(_1_541284561214624104645789101745678[[#This Row],[Type]],Main[[#All],[TYPE]:[UNIT]],'Unit Price'!G$1,FALSE),0)</f>
        <v>0</v>
      </c>
      <c r="J430" s="194">
        <f>IF(_1_541284561214624104645789101745678[[#This Row],[Type]]&gt;0,VLOOKUP(_1_541284561214624104645789101745678[[#This Row],[Type]],Main[[#All],[TYPE]:[UNIT]],'Unit Price'!H$1,FALSE),0)</f>
        <v>0</v>
      </c>
      <c r="K430" s="194">
        <f>IF(_1_541284561214624104645789101745678[[#This Row],[Discount selection]]&gt;0,VLOOKUP(_1_541284561214624104645789101745678[[#This Row],[Discount selection]],'Discount Structure'!$A$2:$B$30,2,"false"),0)</f>
        <v>1</v>
      </c>
      <c r="L430" s="194">
        <f>_1_541284561214624104645789101745678[[#This Row],[LIST $]]*_1_541284561214624104645789101745678[[#This Row],[DISCOUNT]]*_1_541284561214624104645789101745678[[#This Row],[DISCOUNT 2]]</f>
        <v>0</v>
      </c>
      <c r="M430" s="194">
        <f>IF(OR(_1_541284561214624104645789101745678[[#This Row],[UNIT]]&gt;0,_1_541284561214624104645789101745678[[#This Row],[UNIT]]&lt;0),_1_541284561214624104645789101745678[[#This Row],[UNIT]]*_1_541284561214624104645789101745678[[#This Row],[COST]],0)</f>
        <v>0</v>
      </c>
      <c r="N430" s="194">
        <f t="shared" si="6"/>
        <v>1.3</v>
      </c>
      <c r="O430" s="198">
        <f>_1_541284561214624104645789101745678[[#This Row],[TOTAL]]*_1_541284561214624104645789101745678[[#This Row],[MARGIN]]</f>
        <v>0</v>
      </c>
      <c r="R430" s="41"/>
    </row>
    <row r="431" spans="1:18">
      <c r="D431" s="188"/>
      <c r="F431" s="168" t="s">
        <v>6202</v>
      </c>
      <c r="G431" s="193">
        <f>IF(_1_541284561214624104645789101745678[[#This Row],[Type]]&gt;0,VLOOKUP(_1_541284561214624104645789101745678[[#This Row],[Type]],Main[[#All],[TYPE]:[UNIT]],'Unit Price'!C$1,FALSE),0)</f>
        <v>0</v>
      </c>
      <c r="H431" s="197">
        <f>IF(_1_541284561214624104645789101745678[[#This Row],[Type]]&gt;0,VLOOKUP(_1_541284561214624104645789101745678[[#This Row],[Type]],Main[[#All],[TYPE]:[UNIT]],'Unit Price'!D$1,FALSE),0)</f>
        <v>0</v>
      </c>
      <c r="I431" s="194">
        <f>IF(_1_541284561214624104645789101745678[[#This Row],[Type]]&gt;0,VLOOKUP(_1_541284561214624104645789101745678[[#This Row],[Type]],Main[[#All],[TYPE]:[UNIT]],'Unit Price'!G$1,FALSE),0)</f>
        <v>0</v>
      </c>
      <c r="J431" s="194">
        <f>IF(_1_541284561214624104645789101745678[[#This Row],[Type]]&gt;0,VLOOKUP(_1_541284561214624104645789101745678[[#This Row],[Type]],Main[[#All],[TYPE]:[UNIT]],'Unit Price'!H$1,FALSE),0)</f>
        <v>0</v>
      </c>
      <c r="K431" s="194">
        <f>IF(_1_541284561214624104645789101745678[[#This Row],[Discount selection]]&gt;0,VLOOKUP(_1_541284561214624104645789101745678[[#This Row],[Discount selection]],'Discount Structure'!$A$2:$B$30,2,"false"),0)</f>
        <v>1</v>
      </c>
      <c r="L431" s="194">
        <f>_1_541284561214624104645789101745678[[#This Row],[LIST $]]*_1_541284561214624104645789101745678[[#This Row],[DISCOUNT]]*_1_541284561214624104645789101745678[[#This Row],[DISCOUNT 2]]</f>
        <v>0</v>
      </c>
      <c r="M431" s="194">
        <f>IF(OR(_1_541284561214624104645789101745678[[#This Row],[UNIT]]&gt;0,_1_541284561214624104645789101745678[[#This Row],[UNIT]]&lt;0),_1_541284561214624104645789101745678[[#This Row],[UNIT]]*_1_541284561214624104645789101745678[[#This Row],[COST]],0)</f>
        <v>0</v>
      </c>
      <c r="N431" s="194">
        <f t="shared" si="6"/>
        <v>1.3</v>
      </c>
      <c r="O431" s="198">
        <f>_1_541284561214624104645789101745678[[#This Row],[TOTAL]]*_1_541284561214624104645789101745678[[#This Row],[MARGIN]]</f>
        <v>0</v>
      </c>
      <c r="R431" s="41"/>
    </row>
    <row r="432" spans="1:18">
      <c r="D432" s="188"/>
      <c r="F432" s="168" t="s">
        <v>6202</v>
      </c>
      <c r="G432" s="192">
        <f>IF(_1_541284561214624104645789101745678[[#This Row],[Type]]&gt;0,VLOOKUP(_1_541284561214624104645789101745678[[#This Row],[Type]],Main[[#All],[TYPE]:[UNIT]],'Unit Price'!C$1,FALSE),0)</f>
        <v>0</v>
      </c>
      <c r="H432" s="197">
        <f>IF(_1_541284561214624104645789101745678[[#This Row],[Type]]&gt;0,VLOOKUP(_1_541284561214624104645789101745678[[#This Row],[Type]],Main[[#All],[TYPE]:[UNIT]],'Unit Price'!D$1,FALSE),0)</f>
        <v>0</v>
      </c>
      <c r="I432" s="194">
        <f>IF(_1_541284561214624104645789101745678[[#This Row],[Type]]&gt;0,VLOOKUP(_1_541284561214624104645789101745678[[#This Row],[Type]],Main[[#All],[TYPE]:[UNIT]],'Unit Price'!G$1,FALSE),0)</f>
        <v>0</v>
      </c>
      <c r="J432" s="194">
        <f>IF(_1_541284561214624104645789101745678[[#This Row],[Type]]&gt;0,VLOOKUP(_1_541284561214624104645789101745678[[#This Row],[Type]],Main[[#All],[TYPE]:[UNIT]],'Unit Price'!H$1,FALSE),0)</f>
        <v>0</v>
      </c>
      <c r="K432" s="194">
        <f>IF(_1_541284561214624104645789101745678[[#This Row],[Discount selection]]&gt;0,VLOOKUP(_1_541284561214624104645789101745678[[#This Row],[Discount selection]],'Discount Structure'!$A$2:$B$30,2,"false"),0)</f>
        <v>1</v>
      </c>
      <c r="L432" s="194">
        <f>_1_541284561214624104645789101745678[[#This Row],[LIST $]]*_1_541284561214624104645789101745678[[#This Row],[DISCOUNT]]*_1_541284561214624104645789101745678[[#This Row],[DISCOUNT 2]]</f>
        <v>0</v>
      </c>
      <c r="M432" s="194">
        <f>IF(OR(_1_541284561214624104645789101745678[[#This Row],[UNIT]]&gt;0,_1_541284561214624104645789101745678[[#This Row],[UNIT]]&lt;0),_1_541284561214624104645789101745678[[#This Row],[UNIT]]*_1_541284561214624104645789101745678[[#This Row],[COST]],0)</f>
        <v>0</v>
      </c>
      <c r="N432" s="194">
        <f t="shared" si="6"/>
        <v>1.3</v>
      </c>
      <c r="O432" s="198">
        <f>_1_541284561214624104645789101745678[[#This Row],[TOTAL]]*_1_541284561214624104645789101745678[[#This Row],[MARGIN]]</f>
        <v>0</v>
      </c>
      <c r="R432" s="41"/>
    </row>
    <row r="433" spans="1:18">
      <c r="D433" s="188"/>
      <c r="F433" s="168" t="s">
        <v>6202</v>
      </c>
      <c r="G433" s="193">
        <f>IF(_1_541284561214624104645789101745678[[#This Row],[Type]]&gt;0,VLOOKUP(_1_541284561214624104645789101745678[[#This Row],[Type]],Main[[#All],[TYPE]:[UNIT]],'Unit Price'!C$1,FALSE),0)</f>
        <v>0</v>
      </c>
      <c r="H433" s="197">
        <f>IF(_1_541284561214624104645789101745678[[#This Row],[Type]]&gt;0,VLOOKUP(_1_541284561214624104645789101745678[[#This Row],[Type]],Main[[#All],[TYPE]:[UNIT]],'Unit Price'!D$1,FALSE),0)</f>
        <v>0</v>
      </c>
      <c r="I433" s="194">
        <f>IF(_1_541284561214624104645789101745678[[#This Row],[Type]]&gt;0,VLOOKUP(_1_541284561214624104645789101745678[[#This Row],[Type]],Main[[#All],[TYPE]:[UNIT]],'Unit Price'!G$1,FALSE),0)</f>
        <v>0</v>
      </c>
      <c r="J433" s="194">
        <f>IF(_1_541284561214624104645789101745678[[#This Row],[Type]]&gt;0,VLOOKUP(_1_541284561214624104645789101745678[[#This Row],[Type]],Main[[#All],[TYPE]:[UNIT]],'Unit Price'!H$1,FALSE),0)</f>
        <v>0</v>
      </c>
      <c r="K433" s="194">
        <f>IF(_1_541284561214624104645789101745678[[#This Row],[Discount selection]]&gt;0,VLOOKUP(_1_541284561214624104645789101745678[[#This Row],[Discount selection]],'Discount Structure'!$A$2:$B$30,2,"false"),0)</f>
        <v>1</v>
      </c>
      <c r="L433" s="194">
        <f>_1_541284561214624104645789101745678[[#This Row],[LIST $]]*_1_541284561214624104645789101745678[[#This Row],[DISCOUNT]]*_1_541284561214624104645789101745678[[#This Row],[DISCOUNT 2]]</f>
        <v>0</v>
      </c>
      <c r="M433" s="194">
        <f>IF(OR(_1_541284561214624104645789101745678[[#This Row],[UNIT]]&gt;0,_1_541284561214624104645789101745678[[#This Row],[UNIT]]&lt;0),_1_541284561214624104645789101745678[[#This Row],[UNIT]]*_1_541284561214624104645789101745678[[#This Row],[COST]],0)</f>
        <v>0</v>
      </c>
      <c r="N433" s="194">
        <f t="shared" si="6"/>
        <v>1.3</v>
      </c>
      <c r="O433" s="198">
        <f>_1_541284561214624104645789101745678[[#This Row],[TOTAL]]*_1_541284561214624104645789101745678[[#This Row],[MARGIN]]</f>
        <v>0</v>
      </c>
      <c r="R433" s="41"/>
    </row>
    <row r="434" spans="1:18">
      <c r="D434" s="188"/>
      <c r="F434" s="168" t="s">
        <v>6202</v>
      </c>
      <c r="G434" s="193">
        <f>IF(_1_541284561214624104645789101745678[[#This Row],[Type]]&gt;0,VLOOKUP(_1_541284561214624104645789101745678[[#This Row],[Type]],Main[[#All],[TYPE]:[UNIT]],'Unit Price'!C$1,FALSE),0)</f>
        <v>0</v>
      </c>
      <c r="H434" s="197">
        <f>IF(_1_541284561214624104645789101745678[[#This Row],[Type]]&gt;0,VLOOKUP(_1_541284561214624104645789101745678[[#This Row],[Type]],Main[[#All],[TYPE]:[UNIT]],'Unit Price'!D$1,FALSE),0)</f>
        <v>0</v>
      </c>
      <c r="I434" s="194">
        <f>IF(_1_541284561214624104645789101745678[[#This Row],[Type]]&gt;0,VLOOKUP(_1_541284561214624104645789101745678[[#This Row],[Type]],Main[[#All],[TYPE]:[UNIT]],'Unit Price'!G$1,FALSE),0)</f>
        <v>0</v>
      </c>
      <c r="J434" s="194">
        <f>IF(_1_541284561214624104645789101745678[[#This Row],[Type]]&gt;0,VLOOKUP(_1_541284561214624104645789101745678[[#This Row],[Type]],Main[[#All],[TYPE]:[UNIT]],'Unit Price'!H$1,FALSE),0)</f>
        <v>0</v>
      </c>
      <c r="K434" s="194">
        <f>IF(_1_541284561214624104645789101745678[[#This Row],[Discount selection]]&gt;0,VLOOKUP(_1_541284561214624104645789101745678[[#This Row],[Discount selection]],'Discount Structure'!$A$2:$B$30,2,"false"),0)</f>
        <v>1</v>
      </c>
      <c r="L434" s="194">
        <f>_1_541284561214624104645789101745678[[#This Row],[LIST $]]*_1_541284561214624104645789101745678[[#This Row],[DISCOUNT]]*_1_541284561214624104645789101745678[[#This Row],[DISCOUNT 2]]</f>
        <v>0</v>
      </c>
      <c r="M434" s="194">
        <f>IF(OR(_1_541284561214624104645789101745678[[#This Row],[UNIT]]&gt;0,_1_541284561214624104645789101745678[[#This Row],[UNIT]]&lt;0),_1_541284561214624104645789101745678[[#This Row],[UNIT]]*_1_541284561214624104645789101745678[[#This Row],[COST]],0)</f>
        <v>0</v>
      </c>
      <c r="N434" s="194">
        <f t="shared" si="6"/>
        <v>1.3</v>
      </c>
      <c r="O434" s="198">
        <f>_1_541284561214624104645789101745678[[#This Row],[TOTAL]]*_1_541284561214624104645789101745678[[#This Row],[MARGIN]]</f>
        <v>0</v>
      </c>
      <c r="R434" s="41"/>
    </row>
    <row r="435" spans="1:18">
      <c r="D435" s="188"/>
      <c r="F435" s="168" t="s">
        <v>6202</v>
      </c>
      <c r="G435" s="193">
        <f>IF(_1_541284561214624104645789101745678[[#This Row],[Type]]&gt;0,VLOOKUP(_1_541284561214624104645789101745678[[#This Row],[Type]],Main[[#All],[TYPE]:[UNIT]],'Unit Price'!C$1,FALSE),0)</f>
        <v>0</v>
      </c>
      <c r="H435" s="197">
        <f>IF(_1_541284561214624104645789101745678[[#This Row],[Type]]&gt;0,VLOOKUP(_1_541284561214624104645789101745678[[#This Row],[Type]],Main[[#All],[TYPE]:[UNIT]],'Unit Price'!D$1,FALSE),0)</f>
        <v>0</v>
      </c>
      <c r="I435" s="194">
        <f>IF(_1_541284561214624104645789101745678[[#This Row],[Type]]&gt;0,VLOOKUP(_1_541284561214624104645789101745678[[#This Row],[Type]],Main[[#All],[TYPE]:[UNIT]],'Unit Price'!G$1,FALSE),0)</f>
        <v>0</v>
      </c>
      <c r="J435" s="194">
        <f>IF(_1_541284561214624104645789101745678[[#This Row],[Type]]&gt;0,VLOOKUP(_1_541284561214624104645789101745678[[#This Row],[Type]],Main[[#All],[TYPE]:[UNIT]],'Unit Price'!H$1,FALSE),0)</f>
        <v>0</v>
      </c>
      <c r="K435" s="194">
        <f>IF(_1_541284561214624104645789101745678[[#This Row],[Discount selection]]&gt;0,VLOOKUP(_1_541284561214624104645789101745678[[#This Row],[Discount selection]],'Discount Structure'!$A$2:$B$30,2,"false"),0)</f>
        <v>1</v>
      </c>
      <c r="L435" s="194">
        <f>_1_541284561214624104645789101745678[[#This Row],[LIST $]]*_1_541284561214624104645789101745678[[#This Row],[DISCOUNT]]*_1_541284561214624104645789101745678[[#This Row],[DISCOUNT 2]]</f>
        <v>0</v>
      </c>
      <c r="M435" s="194">
        <f>IF(OR(_1_541284561214624104645789101745678[[#This Row],[UNIT]]&gt;0,_1_541284561214624104645789101745678[[#This Row],[UNIT]]&lt;0),_1_541284561214624104645789101745678[[#This Row],[UNIT]]*_1_541284561214624104645789101745678[[#This Row],[COST]],0)</f>
        <v>0</v>
      </c>
      <c r="N435" s="194">
        <f t="shared" si="6"/>
        <v>1.3</v>
      </c>
      <c r="O435" s="198">
        <f>_1_541284561214624104645789101745678[[#This Row],[TOTAL]]*_1_541284561214624104645789101745678[[#This Row],[MARGIN]]</f>
        <v>0</v>
      </c>
      <c r="R435" s="41"/>
    </row>
    <row r="436" spans="1:18">
      <c r="A436" s="168"/>
      <c r="D436" s="188"/>
      <c r="F436" s="168" t="s">
        <v>6202</v>
      </c>
      <c r="G436" s="193">
        <f>IF(_1_541284561214624104645789101745678[[#This Row],[Type]]&gt;0,VLOOKUP(_1_541284561214624104645789101745678[[#This Row],[Type]],Main[[#All],[TYPE]:[UNIT]],'Unit Price'!C$1,FALSE),0)</f>
        <v>0</v>
      </c>
      <c r="H436" s="197">
        <f>IF(_1_541284561214624104645789101745678[[#This Row],[Type]]&gt;0,VLOOKUP(_1_541284561214624104645789101745678[[#This Row],[Type]],Main[[#All],[TYPE]:[UNIT]],'Unit Price'!D$1,FALSE),0)</f>
        <v>0</v>
      </c>
      <c r="I436" s="194">
        <f>IF(_1_541284561214624104645789101745678[[#This Row],[Type]]&gt;0,VLOOKUP(_1_541284561214624104645789101745678[[#This Row],[Type]],Main[[#All],[TYPE]:[UNIT]],'Unit Price'!G$1,FALSE),0)</f>
        <v>0</v>
      </c>
      <c r="J436" s="194">
        <f>IF(_1_541284561214624104645789101745678[[#This Row],[Type]]&gt;0,VLOOKUP(_1_541284561214624104645789101745678[[#This Row],[Type]],Main[[#All],[TYPE]:[UNIT]],'Unit Price'!H$1,FALSE),0)</f>
        <v>0</v>
      </c>
      <c r="K436" s="194">
        <f>IF(_1_541284561214624104645789101745678[[#This Row],[Discount selection]]&gt;0,VLOOKUP(_1_541284561214624104645789101745678[[#This Row],[Discount selection]],'Discount Structure'!$A$2:$B$30,2,"false"),0)</f>
        <v>1</v>
      </c>
      <c r="L436" s="194">
        <f>_1_541284561214624104645789101745678[[#This Row],[LIST $]]*_1_541284561214624104645789101745678[[#This Row],[DISCOUNT]]*_1_541284561214624104645789101745678[[#This Row],[DISCOUNT 2]]</f>
        <v>0</v>
      </c>
      <c r="M436" s="194">
        <f>IF(OR(_1_541284561214624104645789101745678[[#This Row],[UNIT]]&gt;0,_1_541284561214624104645789101745678[[#This Row],[UNIT]]&lt;0),_1_541284561214624104645789101745678[[#This Row],[UNIT]]*_1_541284561214624104645789101745678[[#This Row],[COST]],0)</f>
        <v>0</v>
      </c>
      <c r="N436" s="194">
        <f t="shared" si="6"/>
        <v>1.3</v>
      </c>
      <c r="O436" s="198">
        <f>_1_541284561214624104645789101745678[[#This Row],[TOTAL]]*_1_541284561214624104645789101745678[[#This Row],[MARGIN]]</f>
        <v>0</v>
      </c>
      <c r="R436" s="41"/>
    </row>
    <row r="437" spans="1:18">
      <c r="B437" s="168"/>
      <c r="D437" s="188"/>
      <c r="F437" s="168" t="s">
        <v>6202</v>
      </c>
      <c r="G437" s="192">
        <f>IF(_1_541284561214624104645789101745678[[#This Row],[Type]]&gt;0,VLOOKUP(_1_541284561214624104645789101745678[[#This Row],[Type]],Main[[#All],[TYPE]:[UNIT]],'Unit Price'!C$1,FALSE),0)</f>
        <v>0</v>
      </c>
      <c r="H437" s="197">
        <f>IF(_1_541284561214624104645789101745678[[#This Row],[Type]]&gt;0,VLOOKUP(_1_541284561214624104645789101745678[[#This Row],[Type]],Main[[#All],[TYPE]:[UNIT]],'Unit Price'!D$1,FALSE),0)</f>
        <v>0</v>
      </c>
      <c r="I437" s="194">
        <f>IF(_1_541284561214624104645789101745678[[#This Row],[Type]]&gt;0,VLOOKUP(_1_541284561214624104645789101745678[[#This Row],[Type]],Main[[#All],[TYPE]:[UNIT]],'Unit Price'!G$1,FALSE),0)</f>
        <v>0</v>
      </c>
      <c r="J437" s="194">
        <f>IF(_1_541284561214624104645789101745678[[#This Row],[Type]]&gt;0,VLOOKUP(_1_541284561214624104645789101745678[[#This Row],[Type]],Main[[#All],[TYPE]:[UNIT]],'Unit Price'!H$1,FALSE),0)</f>
        <v>0</v>
      </c>
      <c r="K437" s="194">
        <f>IF(_1_541284561214624104645789101745678[[#This Row],[Discount selection]]&gt;0,VLOOKUP(_1_541284561214624104645789101745678[[#This Row],[Discount selection]],'Discount Structure'!$A$2:$B$30,2,"false"),0)</f>
        <v>1</v>
      </c>
      <c r="L437" s="194">
        <f>_1_541284561214624104645789101745678[[#This Row],[LIST $]]*_1_541284561214624104645789101745678[[#This Row],[DISCOUNT]]*_1_541284561214624104645789101745678[[#This Row],[DISCOUNT 2]]</f>
        <v>0</v>
      </c>
      <c r="M437" s="194">
        <f>IF(OR(_1_541284561214624104645789101745678[[#This Row],[UNIT]]&gt;0,_1_541284561214624104645789101745678[[#This Row],[UNIT]]&lt;0),_1_541284561214624104645789101745678[[#This Row],[UNIT]]*_1_541284561214624104645789101745678[[#This Row],[COST]],0)</f>
        <v>0</v>
      </c>
      <c r="N437" s="194">
        <f t="shared" si="6"/>
        <v>1.3</v>
      </c>
      <c r="O437" s="198">
        <f>_1_541284561214624104645789101745678[[#This Row],[TOTAL]]*_1_541284561214624104645789101745678[[#This Row],[MARGIN]]</f>
        <v>0</v>
      </c>
      <c r="R437" s="41"/>
    </row>
    <row r="438" spans="1:18">
      <c r="D438" s="188"/>
      <c r="F438" s="168" t="s">
        <v>6202</v>
      </c>
      <c r="G438" s="193">
        <f>IF(_1_541284561214624104645789101745678[[#This Row],[Type]]&gt;0,VLOOKUP(_1_541284561214624104645789101745678[[#This Row],[Type]],Main[[#All],[TYPE]:[UNIT]],'Unit Price'!C$1,FALSE),0)</f>
        <v>0</v>
      </c>
      <c r="H438" s="197">
        <f>IF(_1_541284561214624104645789101745678[[#This Row],[Type]]&gt;0,VLOOKUP(_1_541284561214624104645789101745678[[#This Row],[Type]],Main[[#All],[TYPE]:[UNIT]],'Unit Price'!D$1,FALSE),0)</f>
        <v>0</v>
      </c>
      <c r="I438" s="194">
        <f>IF(_1_541284561214624104645789101745678[[#This Row],[Type]]&gt;0,VLOOKUP(_1_541284561214624104645789101745678[[#This Row],[Type]],Main[[#All],[TYPE]:[UNIT]],'Unit Price'!G$1,FALSE),0)</f>
        <v>0</v>
      </c>
      <c r="J438" s="194">
        <f>IF(_1_541284561214624104645789101745678[[#This Row],[Type]]&gt;0,VLOOKUP(_1_541284561214624104645789101745678[[#This Row],[Type]],Main[[#All],[TYPE]:[UNIT]],'Unit Price'!H$1,FALSE),0)</f>
        <v>0</v>
      </c>
      <c r="K438" s="194">
        <f>IF(_1_541284561214624104645789101745678[[#This Row],[Discount selection]]&gt;0,VLOOKUP(_1_541284561214624104645789101745678[[#This Row],[Discount selection]],'Discount Structure'!$A$2:$B$30,2,"false"),0)</f>
        <v>1</v>
      </c>
      <c r="L438" s="194">
        <f>_1_541284561214624104645789101745678[[#This Row],[LIST $]]*_1_541284561214624104645789101745678[[#This Row],[DISCOUNT]]*_1_541284561214624104645789101745678[[#This Row],[DISCOUNT 2]]</f>
        <v>0</v>
      </c>
      <c r="M438" s="194">
        <f>IF(OR(_1_541284561214624104645789101745678[[#This Row],[UNIT]]&gt;0,_1_541284561214624104645789101745678[[#This Row],[UNIT]]&lt;0),_1_541284561214624104645789101745678[[#This Row],[UNIT]]*_1_541284561214624104645789101745678[[#This Row],[COST]],0)</f>
        <v>0</v>
      </c>
      <c r="N438" s="194">
        <f t="shared" si="6"/>
        <v>1.3</v>
      </c>
      <c r="O438" s="198">
        <f>_1_541284561214624104645789101745678[[#This Row],[TOTAL]]*_1_541284561214624104645789101745678[[#This Row],[MARGIN]]</f>
        <v>0</v>
      </c>
      <c r="R438" s="41"/>
    </row>
    <row r="439" spans="1:18">
      <c r="D439" s="188"/>
      <c r="F439" s="168" t="s">
        <v>6202</v>
      </c>
      <c r="G439" s="193">
        <f>IF(_1_541284561214624104645789101745678[[#This Row],[Type]]&gt;0,VLOOKUP(_1_541284561214624104645789101745678[[#This Row],[Type]],Main[[#All],[TYPE]:[UNIT]],'Unit Price'!C$1,FALSE),0)</f>
        <v>0</v>
      </c>
      <c r="H439" s="197">
        <f>IF(_1_541284561214624104645789101745678[[#This Row],[Type]]&gt;0,VLOOKUP(_1_541284561214624104645789101745678[[#This Row],[Type]],Main[[#All],[TYPE]:[UNIT]],'Unit Price'!D$1,FALSE),0)</f>
        <v>0</v>
      </c>
      <c r="I439" s="194">
        <f>IF(_1_541284561214624104645789101745678[[#This Row],[Type]]&gt;0,VLOOKUP(_1_541284561214624104645789101745678[[#This Row],[Type]],Main[[#All],[TYPE]:[UNIT]],'Unit Price'!G$1,FALSE),0)</f>
        <v>0</v>
      </c>
      <c r="J439" s="194">
        <f>IF(_1_541284561214624104645789101745678[[#This Row],[Type]]&gt;0,VLOOKUP(_1_541284561214624104645789101745678[[#This Row],[Type]],Main[[#All],[TYPE]:[UNIT]],'Unit Price'!H$1,FALSE),0)</f>
        <v>0</v>
      </c>
      <c r="K439" s="194">
        <f>IF(_1_541284561214624104645789101745678[[#This Row],[Discount selection]]&gt;0,VLOOKUP(_1_541284561214624104645789101745678[[#This Row],[Discount selection]],'Discount Structure'!$A$2:$B$30,2,"false"),0)</f>
        <v>1</v>
      </c>
      <c r="L439" s="194">
        <f>_1_541284561214624104645789101745678[[#This Row],[LIST $]]*_1_541284561214624104645789101745678[[#This Row],[DISCOUNT]]*_1_541284561214624104645789101745678[[#This Row],[DISCOUNT 2]]</f>
        <v>0</v>
      </c>
      <c r="M439" s="194">
        <f>IF(OR(_1_541284561214624104645789101745678[[#This Row],[UNIT]]&gt;0,_1_541284561214624104645789101745678[[#This Row],[UNIT]]&lt;0),_1_541284561214624104645789101745678[[#This Row],[UNIT]]*_1_541284561214624104645789101745678[[#This Row],[COST]],0)</f>
        <v>0</v>
      </c>
      <c r="N439" s="194">
        <f t="shared" si="6"/>
        <v>1.3</v>
      </c>
      <c r="O439" s="198">
        <f>_1_541284561214624104645789101745678[[#This Row],[TOTAL]]*_1_541284561214624104645789101745678[[#This Row],[MARGIN]]</f>
        <v>0</v>
      </c>
      <c r="R439" s="41"/>
    </row>
    <row r="440" spans="1:18">
      <c r="A440" s="168"/>
      <c r="D440" s="188"/>
      <c r="F440" s="168" t="s">
        <v>6202</v>
      </c>
      <c r="G440" s="193">
        <f>IF(_1_541284561214624104645789101745678[[#This Row],[Type]]&gt;0,VLOOKUP(_1_541284561214624104645789101745678[[#This Row],[Type]],Main[[#All],[TYPE]:[UNIT]],'Unit Price'!C$1,FALSE),0)</f>
        <v>0</v>
      </c>
      <c r="H440" s="197">
        <f>IF(_1_541284561214624104645789101745678[[#This Row],[Type]]&gt;0,VLOOKUP(_1_541284561214624104645789101745678[[#This Row],[Type]],Main[[#All],[TYPE]:[UNIT]],'Unit Price'!D$1,FALSE),0)</f>
        <v>0</v>
      </c>
      <c r="I440" s="194">
        <f>IF(_1_541284561214624104645789101745678[[#This Row],[Type]]&gt;0,VLOOKUP(_1_541284561214624104645789101745678[[#This Row],[Type]],Main[[#All],[TYPE]:[UNIT]],'Unit Price'!G$1,FALSE),0)</f>
        <v>0</v>
      </c>
      <c r="J440" s="194">
        <f>IF(_1_541284561214624104645789101745678[[#This Row],[Type]]&gt;0,VLOOKUP(_1_541284561214624104645789101745678[[#This Row],[Type]],Main[[#All],[TYPE]:[UNIT]],'Unit Price'!H$1,FALSE),0)</f>
        <v>0</v>
      </c>
      <c r="K440" s="194">
        <f>IF(_1_541284561214624104645789101745678[[#This Row],[Discount selection]]&gt;0,VLOOKUP(_1_541284561214624104645789101745678[[#This Row],[Discount selection]],'Discount Structure'!$A$2:$B$30,2,"false"),0)</f>
        <v>1</v>
      </c>
      <c r="L440" s="194">
        <f>_1_541284561214624104645789101745678[[#This Row],[LIST $]]*_1_541284561214624104645789101745678[[#This Row],[DISCOUNT]]*_1_541284561214624104645789101745678[[#This Row],[DISCOUNT 2]]</f>
        <v>0</v>
      </c>
      <c r="M440" s="194">
        <f>IF(OR(_1_541284561214624104645789101745678[[#This Row],[UNIT]]&gt;0,_1_541284561214624104645789101745678[[#This Row],[UNIT]]&lt;0),_1_541284561214624104645789101745678[[#This Row],[UNIT]]*_1_541284561214624104645789101745678[[#This Row],[COST]],0)</f>
        <v>0</v>
      </c>
      <c r="N440" s="194">
        <f t="shared" si="6"/>
        <v>1.3</v>
      </c>
      <c r="O440" s="198">
        <f>_1_541284561214624104645789101745678[[#This Row],[TOTAL]]*_1_541284561214624104645789101745678[[#This Row],[MARGIN]]</f>
        <v>0</v>
      </c>
      <c r="R440" s="41"/>
    </row>
    <row r="441" spans="1:18">
      <c r="D441" s="188"/>
      <c r="F441" s="168" t="s">
        <v>6202</v>
      </c>
      <c r="G441" s="193">
        <f>IF(_1_541284561214624104645789101745678[[#This Row],[Type]]&gt;0,VLOOKUP(_1_541284561214624104645789101745678[[#This Row],[Type]],Main[[#All],[TYPE]:[UNIT]],'Unit Price'!C$1,FALSE),0)</f>
        <v>0</v>
      </c>
      <c r="H441" s="197">
        <f>IF(_1_541284561214624104645789101745678[[#This Row],[Type]]&gt;0,VLOOKUP(_1_541284561214624104645789101745678[[#This Row],[Type]],Main[[#All],[TYPE]:[UNIT]],'Unit Price'!D$1,FALSE),0)</f>
        <v>0</v>
      </c>
      <c r="I441" s="194">
        <f>IF(_1_541284561214624104645789101745678[[#This Row],[Type]]&gt;0,VLOOKUP(_1_541284561214624104645789101745678[[#This Row],[Type]],Main[[#All],[TYPE]:[UNIT]],'Unit Price'!G$1,FALSE),0)</f>
        <v>0</v>
      </c>
      <c r="J441" s="194">
        <f>IF(_1_541284561214624104645789101745678[[#This Row],[Type]]&gt;0,VLOOKUP(_1_541284561214624104645789101745678[[#This Row],[Type]],Main[[#All],[TYPE]:[UNIT]],'Unit Price'!H$1,FALSE),0)</f>
        <v>0</v>
      </c>
      <c r="K441" s="194">
        <f>IF(_1_541284561214624104645789101745678[[#This Row],[Discount selection]]&gt;0,VLOOKUP(_1_541284561214624104645789101745678[[#This Row],[Discount selection]],'Discount Structure'!$A$2:$B$30,2,"false"),0)</f>
        <v>1</v>
      </c>
      <c r="L441" s="194">
        <f>_1_541284561214624104645789101745678[[#This Row],[LIST $]]*_1_541284561214624104645789101745678[[#This Row],[DISCOUNT]]*_1_541284561214624104645789101745678[[#This Row],[DISCOUNT 2]]</f>
        <v>0</v>
      </c>
      <c r="M441" s="194">
        <f>IF(OR(_1_541284561214624104645789101745678[[#This Row],[UNIT]]&gt;0,_1_541284561214624104645789101745678[[#This Row],[UNIT]]&lt;0),_1_541284561214624104645789101745678[[#This Row],[UNIT]]*_1_541284561214624104645789101745678[[#This Row],[COST]],0)</f>
        <v>0</v>
      </c>
      <c r="N441" s="194">
        <f t="shared" si="6"/>
        <v>1.3</v>
      </c>
      <c r="O441" s="198">
        <f>_1_541284561214624104645789101745678[[#This Row],[TOTAL]]*_1_541284561214624104645789101745678[[#This Row],[MARGIN]]</f>
        <v>0</v>
      </c>
      <c r="R441" s="41"/>
    </row>
    <row r="442" spans="1:18">
      <c r="D442" s="188"/>
      <c r="F442" s="168" t="s">
        <v>6202</v>
      </c>
      <c r="G442" s="192">
        <f>IF(_1_541284561214624104645789101745678[[#This Row],[Type]]&gt;0,VLOOKUP(_1_541284561214624104645789101745678[[#This Row],[Type]],Main[[#All],[TYPE]:[UNIT]],'Unit Price'!C$1,FALSE),0)</f>
        <v>0</v>
      </c>
      <c r="H442" s="197">
        <f>IF(_1_541284561214624104645789101745678[[#This Row],[Type]]&gt;0,VLOOKUP(_1_541284561214624104645789101745678[[#This Row],[Type]],Main[[#All],[TYPE]:[UNIT]],'Unit Price'!D$1,FALSE),0)</f>
        <v>0</v>
      </c>
      <c r="I442" s="194">
        <f>IF(_1_541284561214624104645789101745678[[#This Row],[Type]]&gt;0,VLOOKUP(_1_541284561214624104645789101745678[[#This Row],[Type]],Main[[#All],[TYPE]:[UNIT]],'Unit Price'!G$1,FALSE),0)</f>
        <v>0</v>
      </c>
      <c r="J442" s="194">
        <f>IF(_1_541284561214624104645789101745678[[#This Row],[Type]]&gt;0,VLOOKUP(_1_541284561214624104645789101745678[[#This Row],[Type]],Main[[#All],[TYPE]:[UNIT]],'Unit Price'!H$1,FALSE),0)</f>
        <v>0</v>
      </c>
      <c r="K442" s="194">
        <f>IF(_1_541284561214624104645789101745678[[#This Row],[Discount selection]]&gt;0,VLOOKUP(_1_541284561214624104645789101745678[[#This Row],[Discount selection]],'Discount Structure'!$A$2:$B$30,2,"false"),0)</f>
        <v>1</v>
      </c>
      <c r="L442" s="194">
        <f>_1_541284561214624104645789101745678[[#This Row],[LIST $]]*_1_541284561214624104645789101745678[[#This Row],[DISCOUNT]]*_1_541284561214624104645789101745678[[#This Row],[DISCOUNT 2]]</f>
        <v>0</v>
      </c>
      <c r="M442" s="194">
        <f>IF(OR(_1_541284561214624104645789101745678[[#This Row],[UNIT]]&gt;0,_1_541284561214624104645789101745678[[#This Row],[UNIT]]&lt;0),_1_541284561214624104645789101745678[[#This Row],[UNIT]]*_1_541284561214624104645789101745678[[#This Row],[COST]],0)</f>
        <v>0</v>
      </c>
      <c r="N442" s="194">
        <f t="shared" si="6"/>
        <v>1.3</v>
      </c>
      <c r="O442" s="198">
        <f>_1_541284561214624104645789101745678[[#This Row],[TOTAL]]*_1_541284561214624104645789101745678[[#This Row],[MARGIN]]</f>
        <v>0</v>
      </c>
      <c r="R442" s="41"/>
    </row>
    <row r="443" spans="1:18">
      <c r="D443" s="188"/>
      <c r="F443" s="168" t="s">
        <v>6202</v>
      </c>
      <c r="G443" s="193">
        <f>IF(_1_541284561214624104645789101745678[[#This Row],[Type]]&gt;0,VLOOKUP(_1_541284561214624104645789101745678[[#This Row],[Type]],Main[[#All],[TYPE]:[UNIT]],'Unit Price'!C$1,FALSE),0)</f>
        <v>0</v>
      </c>
      <c r="H443" s="197">
        <f>IF(_1_541284561214624104645789101745678[[#This Row],[Type]]&gt;0,VLOOKUP(_1_541284561214624104645789101745678[[#This Row],[Type]],Main[[#All],[TYPE]:[UNIT]],'Unit Price'!D$1,FALSE),0)</f>
        <v>0</v>
      </c>
      <c r="I443" s="194">
        <f>IF(_1_541284561214624104645789101745678[[#This Row],[Type]]&gt;0,VLOOKUP(_1_541284561214624104645789101745678[[#This Row],[Type]],Main[[#All],[TYPE]:[UNIT]],'Unit Price'!G$1,FALSE),0)</f>
        <v>0</v>
      </c>
      <c r="J443" s="194">
        <f>IF(_1_541284561214624104645789101745678[[#This Row],[Type]]&gt;0,VLOOKUP(_1_541284561214624104645789101745678[[#This Row],[Type]],Main[[#All],[TYPE]:[UNIT]],'Unit Price'!H$1,FALSE),0)</f>
        <v>0</v>
      </c>
      <c r="K443" s="194">
        <f>IF(_1_541284561214624104645789101745678[[#This Row],[Discount selection]]&gt;0,VLOOKUP(_1_541284561214624104645789101745678[[#This Row],[Discount selection]],'Discount Structure'!$A$2:$B$30,2,"false"),0)</f>
        <v>1</v>
      </c>
      <c r="L443" s="194">
        <f>_1_541284561214624104645789101745678[[#This Row],[LIST $]]*_1_541284561214624104645789101745678[[#This Row],[DISCOUNT]]*_1_541284561214624104645789101745678[[#This Row],[DISCOUNT 2]]</f>
        <v>0</v>
      </c>
      <c r="M443" s="194">
        <f>IF(OR(_1_541284561214624104645789101745678[[#This Row],[UNIT]]&gt;0,_1_541284561214624104645789101745678[[#This Row],[UNIT]]&lt;0),_1_541284561214624104645789101745678[[#This Row],[UNIT]]*_1_541284561214624104645789101745678[[#This Row],[COST]],0)</f>
        <v>0</v>
      </c>
      <c r="N443" s="194">
        <f t="shared" si="6"/>
        <v>1.3</v>
      </c>
      <c r="O443" s="198">
        <f>_1_541284561214624104645789101745678[[#This Row],[TOTAL]]*_1_541284561214624104645789101745678[[#This Row],[MARGIN]]</f>
        <v>0</v>
      </c>
      <c r="R443" s="41"/>
    </row>
    <row r="444" spans="1:18">
      <c r="D444" s="188"/>
      <c r="F444" s="168" t="s">
        <v>6202</v>
      </c>
      <c r="G444" s="193">
        <f>IF(_1_541284561214624104645789101745678[[#This Row],[Type]]&gt;0,VLOOKUP(_1_541284561214624104645789101745678[[#This Row],[Type]],Main[[#All],[TYPE]:[UNIT]],'Unit Price'!C$1,FALSE),0)</f>
        <v>0</v>
      </c>
      <c r="H444" s="197">
        <f>IF(_1_541284561214624104645789101745678[[#This Row],[Type]]&gt;0,VLOOKUP(_1_541284561214624104645789101745678[[#This Row],[Type]],Main[[#All],[TYPE]:[UNIT]],'Unit Price'!D$1,FALSE),0)</f>
        <v>0</v>
      </c>
      <c r="I444" s="194">
        <f>IF(_1_541284561214624104645789101745678[[#This Row],[Type]]&gt;0,VLOOKUP(_1_541284561214624104645789101745678[[#This Row],[Type]],Main[[#All],[TYPE]:[UNIT]],'Unit Price'!G$1,FALSE),0)</f>
        <v>0</v>
      </c>
      <c r="J444" s="194">
        <f>IF(_1_541284561214624104645789101745678[[#This Row],[Type]]&gt;0,VLOOKUP(_1_541284561214624104645789101745678[[#This Row],[Type]],Main[[#All],[TYPE]:[UNIT]],'Unit Price'!H$1,FALSE),0)</f>
        <v>0</v>
      </c>
      <c r="K444" s="194">
        <f>IF(_1_541284561214624104645789101745678[[#This Row],[Discount selection]]&gt;0,VLOOKUP(_1_541284561214624104645789101745678[[#This Row],[Discount selection]],'Discount Structure'!$A$2:$B$30,2,"false"),0)</f>
        <v>1</v>
      </c>
      <c r="L444" s="194">
        <f>_1_541284561214624104645789101745678[[#This Row],[LIST $]]*_1_541284561214624104645789101745678[[#This Row],[DISCOUNT]]*_1_541284561214624104645789101745678[[#This Row],[DISCOUNT 2]]</f>
        <v>0</v>
      </c>
      <c r="M444" s="194">
        <f>IF(OR(_1_541284561214624104645789101745678[[#This Row],[UNIT]]&gt;0,_1_541284561214624104645789101745678[[#This Row],[UNIT]]&lt;0),_1_541284561214624104645789101745678[[#This Row],[UNIT]]*_1_541284561214624104645789101745678[[#This Row],[COST]],0)</f>
        <v>0</v>
      </c>
      <c r="N444" s="194">
        <f t="shared" si="6"/>
        <v>1.3</v>
      </c>
      <c r="O444" s="198">
        <f>_1_541284561214624104645789101745678[[#This Row],[TOTAL]]*_1_541284561214624104645789101745678[[#This Row],[MARGIN]]</f>
        <v>0</v>
      </c>
      <c r="R444" s="41"/>
    </row>
    <row r="445" spans="1:18">
      <c r="D445" s="188"/>
      <c r="F445" s="168" t="s">
        <v>6202</v>
      </c>
      <c r="G445" s="193">
        <f>IF(_1_541284561214624104645789101745678[[#This Row],[Type]]&gt;0,VLOOKUP(_1_541284561214624104645789101745678[[#This Row],[Type]],Main[[#All],[TYPE]:[UNIT]],'Unit Price'!C$1,FALSE),0)</f>
        <v>0</v>
      </c>
      <c r="H445" s="197">
        <f>IF(_1_541284561214624104645789101745678[[#This Row],[Type]]&gt;0,VLOOKUP(_1_541284561214624104645789101745678[[#This Row],[Type]],Main[[#All],[TYPE]:[UNIT]],'Unit Price'!D$1,FALSE),0)</f>
        <v>0</v>
      </c>
      <c r="I445" s="194">
        <f>IF(_1_541284561214624104645789101745678[[#This Row],[Type]]&gt;0,VLOOKUP(_1_541284561214624104645789101745678[[#This Row],[Type]],Main[[#All],[TYPE]:[UNIT]],'Unit Price'!G$1,FALSE),0)</f>
        <v>0</v>
      </c>
      <c r="J445" s="194">
        <f>IF(_1_541284561214624104645789101745678[[#This Row],[Type]]&gt;0,VLOOKUP(_1_541284561214624104645789101745678[[#This Row],[Type]],Main[[#All],[TYPE]:[UNIT]],'Unit Price'!H$1,FALSE),0)</f>
        <v>0</v>
      </c>
      <c r="K445" s="194">
        <f>IF(_1_541284561214624104645789101745678[[#This Row],[Discount selection]]&gt;0,VLOOKUP(_1_541284561214624104645789101745678[[#This Row],[Discount selection]],'Discount Structure'!$A$2:$B$30,2,"false"),0)</f>
        <v>1</v>
      </c>
      <c r="L445" s="194">
        <f>_1_541284561214624104645789101745678[[#This Row],[LIST $]]*_1_541284561214624104645789101745678[[#This Row],[DISCOUNT]]*_1_541284561214624104645789101745678[[#This Row],[DISCOUNT 2]]</f>
        <v>0</v>
      </c>
      <c r="M445" s="194">
        <f>IF(OR(_1_541284561214624104645789101745678[[#This Row],[UNIT]]&gt;0,_1_541284561214624104645789101745678[[#This Row],[UNIT]]&lt;0),_1_541284561214624104645789101745678[[#This Row],[UNIT]]*_1_541284561214624104645789101745678[[#This Row],[COST]],0)</f>
        <v>0</v>
      </c>
      <c r="N445" s="194">
        <f t="shared" si="6"/>
        <v>1.3</v>
      </c>
      <c r="O445" s="198">
        <f>_1_541284561214624104645789101745678[[#This Row],[TOTAL]]*_1_541284561214624104645789101745678[[#This Row],[MARGIN]]</f>
        <v>0</v>
      </c>
      <c r="R445" s="41"/>
    </row>
    <row r="446" spans="1:18">
      <c r="D446" s="188"/>
      <c r="F446" s="168" t="s">
        <v>6202</v>
      </c>
      <c r="G446" s="193">
        <f>IF(_1_541284561214624104645789101745678[[#This Row],[Type]]&gt;0,VLOOKUP(_1_541284561214624104645789101745678[[#This Row],[Type]],Main[[#All],[TYPE]:[UNIT]],'Unit Price'!C$1,FALSE),0)</f>
        <v>0</v>
      </c>
      <c r="H446" s="197">
        <f>IF(_1_541284561214624104645789101745678[[#This Row],[Type]]&gt;0,VLOOKUP(_1_541284561214624104645789101745678[[#This Row],[Type]],Main[[#All],[TYPE]:[UNIT]],'Unit Price'!D$1,FALSE),0)</f>
        <v>0</v>
      </c>
      <c r="I446" s="194">
        <f>IF(_1_541284561214624104645789101745678[[#This Row],[Type]]&gt;0,VLOOKUP(_1_541284561214624104645789101745678[[#This Row],[Type]],Main[[#All],[TYPE]:[UNIT]],'Unit Price'!G$1,FALSE),0)</f>
        <v>0</v>
      </c>
      <c r="J446" s="194">
        <f>IF(_1_541284561214624104645789101745678[[#This Row],[Type]]&gt;0,VLOOKUP(_1_541284561214624104645789101745678[[#This Row],[Type]],Main[[#All],[TYPE]:[UNIT]],'Unit Price'!H$1,FALSE),0)</f>
        <v>0</v>
      </c>
      <c r="K446" s="194">
        <f>IF(_1_541284561214624104645789101745678[[#This Row],[Discount selection]]&gt;0,VLOOKUP(_1_541284561214624104645789101745678[[#This Row],[Discount selection]],'Discount Structure'!$A$2:$B$30,2,"false"),0)</f>
        <v>1</v>
      </c>
      <c r="L446" s="194">
        <f>_1_541284561214624104645789101745678[[#This Row],[LIST $]]*_1_541284561214624104645789101745678[[#This Row],[DISCOUNT]]*_1_541284561214624104645789101745678[[#This Row],[DISCOUNT 2]]</f>
        <v>0</v>
      </c>
      <c r="M446" s="194">
        <f>IF(OR(_1_541284561214624104645789101745678[[#This Row],[UNIT]]&gt;0,_1_541284561214624104645789101745678[[#This Row],[UNIT]]&lt;0),_1_541284561214624104645789101745678[[#This Row],[UNIT]]*_1_541284561214624104645789101745678[[#This Row],[COST]],0)</f>
        <v>0</v>
      </c>
      <c r="N446" s="194">
        <f t="shared" si="6"/>
        <v>1.3</v>
      </c>
      <c r="O446" s="198">
        <f>_1_541284561214624104645789101745678[[#This Row],[TOTAL]]*_1_541284561214624104645789101745678[[#This Row],[MARGIN]]</f>
        <v>0</v>
      </c>
      <c r="R446" s="41"/>
    </row>
    <row r="447" spans="1:18">
      <c r="B447" s="168"/>
      <c r="D447" s="188"/>
      <c r="F447" s="168" t="s">
        <v>6202</v>
      </c>
      <c r="G447" s="192">
        <f>IF(_1_541284561214624104645789101745678[[#This Row],[Type]]&gt;0,VLOOKUP(_1_541284561214624104645789101745678[[#This Row],[Type]],Main[[#All],[TYPE]:[UNIT]],'Unit Price'!C$1,FALSE),0)</f>
        <v>0</v>
      </c>
      <c r="H447" s="197">
        <f>IF(_1_541284561214624104645789101745678[[#This Row],[Type]]&gt;0,VLOOKUP(_1_541284561214624104645789101745678[[#This Row],[Type]],Main[[#All],[TYPE]:[UNIT]],'Unit Price'!D$1,FALSE),0)</f>
        <v>0</v>
      </c>
      <c r="I447" s="194">
        <f>IF(_1_541284561214624104645789101745678[[#This Row],[Type]]&gt;0,VLOOKUP(_1_541284561214624104645789101745678[[#This Row],[Type]],Main[[#All],[TYPE]:[UNIT]],'Unit Price'!G$1,FALSE),0)</f>
        <v>0</v>
      </c>
      <c r="J447" s="194">
        <f>IF(_1_541284561214624104645789101745678[[#This Row],[Type]]&gt;0,VLOOKUP(_1_541284561214624104645789101745678[[#This Row],[Type]],Main[[#All],[TYPE]:[UNIT]],'Unit Price'!H$1,FALSE),0)</f>
        <v>0</v>
      </c>
      <c r="K447" s="194">
        <f>IF(_1_541284561214624104645789101745678[[#This Row],[Discount selection]]&gt;0,VLOOKUP(_1_541284561214624104645789101745678[[#This Row],[Discount selection]],'Discount Structure'!$A$2:$B$30,2,"false"),0)</f>
        <v>1</v>
      </c>
      <c r="L447" s="194">
        <f>_1_541284561214624104645789101745678[[#This Row],[LIST $]]*_1_541284561214624104645789101745678[[#This Row],[DISCOUNT]]*_1_541284561214624104645789101745678[[#This Row],[DISCOUNT 2]]</f>
        <v>0</v>
      </c>
      <c r="M447" s="194">
        <f>IF(OR(_1_541284561214624104645789101745678[[#This Row],[UNIT]]&gt;0,_1_541284561214624104645789101745678[[#This Row],[UNIT]]&lt;0),_1_541284561214624104645789101745678[[#This Row],[UNIT]]*_1_541284561214624104645789101745678[[#This Row],[COST]],0)</f>
        <v>0</v>
      </c>
      <c r="N447" s="194">
        <f t="shared" si="6"/>
        <v>1.3</v>
      </c>
      <c r="O447" s="198">
        <f>_1_541284561214624104645789101745678[[#This Row],[TOTAL]]*_1_541284561214624104645789101745678[[#This Row],[MARGIN]]</f>
        <v>0</v>
      </c>
      <c r="R447" s="41"/>
    </row>
    <row r="448" spans="1:18">
      <c r="D448" s="188"/>
      <c r="F448" s="168" t="s">
        <v>6202</v>
      </c>
      <c r="G448" s="193">
        <f>IF(_1_541284561214624104645789101745678[[#This Row],[Type]]&gt;0,VLOOKUP(_1_541284561214624104645789101745678[[#This Row],[Type]],Main[[#All],[TYPE]:[UNIT]],'Unit Price'!C$1,FALSE),0)</f>
        <v>0</v>
      </c>
      <c r="H448" s="197">
        <f>IF(_1_541284561214624104645789101745678[[#This Row],[Type]]&gt;0,VLOOKUP(_1_541284561214624104645789101745678[[#This Row],[Type]],Main[[#All],[TYPE]:[UNIT]],'Unit Price'!D$1,FALSE),0)</f>
        <v>0</v>
      </c>
      <c r="I448" s="194">
        <f>IF(_1_541284561214624104645789101745678[[#This Row],[Type]]&gt;0,VLOOKUP(_1_541284561214624104645789101745678[[#This Row],[Type]],Main[[#All],[TYPE]:[UNIT]],'Unit Price'!G$1,FALSE),0)</f>
        <v>0</v>
      </c>
      <c r="J448" s="194">
        <f>IF(_1_541284561214624104645789101745678[[#This Row],[Type]]&gt;0,VLOOKUP(_1_541284561214624104645789101745678[[#This Row],[Type]],Main[[#All],[TYPE]:[UNIT]],'Unit Price'!H$1,FALSE),0)</f>
        <v>0</v>
      </c>
      <c r="K448" s="194">
        <f>IF(_1_541284561214624104645789101745678[[#This Row],[Discount selection]]&gt;0,VLOOKUP(_1_541284561214624104645789101745678[[#This Row],[Discount selection]],'Discount Structure'!$A$2:$B$30,2,"false"),0)</f>
        <v>1</v>
      </c>
      <c r="L448" s="194">
        <f>_1_541284561214624104645789101745678[[#This Row],[LIST $]]*_1_541284561214624104645789101745678[[#This Row],[DISCOUNT]]*_1_541284561214624104645789101745678[[#This Row],[DISCOUNT 2]]</f>
        <v>0</v>
      </c>
      <c r="M448" s="194">
        <f>IF(OR(_1_541284561214624104645789101745678[[#This Row],[UNIT]]&gt;0,_1_541284561214624104645789101745678[[#This Row],[UNIT]]&lt;0),_1_541284561214624104645789101745678[[#This Row],[UNIT]]*_1_541284561214624104645789101745678[[#This Row],[COST]],0)</f>
        <v>0</v>
      </c>
      <c r="N448" s="194">
        <f t="shared" si="6"/>
        <v>1.3</v>
      </c>
      <c r="O448" s="198">
        <f>_1_541284561214624104645789101745678[[#This Row],[TOTAL]]*_1_541284561214624104645789101745678[[#This Row],[MARGIN]]</f>
        <v>0</v>
      </c>
      <c r="R448" s="41"/>
    </row>
    <row r="449" spans="1:18">
      <c r="B449" s="168"/>
      <c r="D449" s="188"/>
      <c r="F449" s="168" t="s">
        <v>6202</v>
      </c>
      <c r="G449" s="193">
        <f>IF(_1_541284561214624104645789101745678[[#This Row],[Type]]&gt;0,VLOOKUP(_1_541284561214624104645789101745678[[#This Row],[Type]],Main[[#All],[TYPE]:[UNIT]],'Unit Price'!C$1,FALSE),0)</f>
        <v>0</v>
      </c>
      <c r="H449" s="197">
        <f>IF(_1_541284561214624104645789101745678[[#This Row],[Type]]&gt;0,VLOOKUP(_1_541284561214624104645789101745678[[#This Row],[Type]],Main[[#All],[TYPE]:[UNIT]],'Unit Price'!D$1,FALSE),0)</f>
        <v>0</v>
      </c>
      <c r="I449" s="194">
        <f>IF(_1_541284561214624104645789101745678[[#This Row],[Type]]&gt;0,VLOOKUP(_1_541284561214624104645789101745678[[#This Row],[Type]],Main[[#All],[TYPE]:[UNIT]],'Unit Price'!G$1,FALSE),0)</f>
        <v>0</v>
      </c>
      <c r="J449" s="194">
        <f>IF(_1_541284561214624104645789101745678[[#This Row],[Type]]&gt;0,VLOOKUP(_1_541284561214624104645789101745678[[#This Row],[Type]],Main[[#All],[TYPE]:[UNIT]],'Unit Price'!H$1,FALSE),0)</f>
        <v>0</v>
      </c>
      <c r="K449" s="194">
        <f>IF(_1_541284561214624104645789101745678[[#This Row],[Discount selection]]&gt;0,VLOOKUP(_1_541284561214624104645789101745678[[#This Row],[Discount selection]],'Discount Structure'!$A$2:$B$30,2,"false"),0)</f>
        <v>1</v>
      </c>
      <c r="L449" s="194">
        <f>_1_541284561214624104645789101745678[[#This Row],[LIST $]]*_1_541284561214624104645789101745678[[#This Row],[DISCOUNT]]*_1_541284561214624104645789101745678[[#This Row],[DISCOUNT 2]]</f>
        <v>0</v>
      </c>
      <c r="M449" s="194">
        <f>IF(OR(_1_541284561214624104645789101745678[[#This Row],[UNIT]]&gt;0,_1_541284561214624104645789101745678[[#This Row],[UNIT]]&lt;0),_1_541284561214624104645789101745678[[#This Row],[UNIT]]*_1_541284561214624104645789101745678[[#This Row],[COST]],0)</f>
        <v>0</v>
      </c>
      <c r="N449" s="194">
        <f t="shared" si="6"/>
        <v>1.3</v>
      </c>
      <c r="O449" s="198">
        <f>_1_541284561214624104645789101745678[[#This Row],[TOTAL]]*_1_541284561214624104645789101745678[[#This Row],[MARGIN]]</f>
        <v>0</v>
      </c>
      <c r="R449" s="41"/>
    </row>
    <row r="450" spans="1:18">
      <c r="D450" s="188"/>
      <c r="F450" s="168" t="s">
        <v>6202</v>
      </c>
      <c r="G450" s="193">
        <f>IF(_1_541284561214624104645789101745678[[#This Row],[Type]]&gt;0,VLOOKUP(_1_541284561214624104645789101745678[[#This Row],[Type]],Main[[#All],[TYPE]:[UNIT]],'Unit Price'!C$1,FALSE),0)</f>
        <v>0</v>
      </c>
      <c r="H450" s="197">
        <f>IF(_1_541284561214624104645789101745678[[#This Row],[Type]]&gt;0,VLOOKUP(_1_541284561214624104645789101745678[[#This Row],[Type]],Main[[#All],[TYPE]:[UNIT]],'Unit Price'!D$1,FALSE),0)</f>
        <v>0</v>
      </c>
      <c r="I450" s="194">
        <f>IF(_1_541284561214624104645789101745678[[#This Row],[Type]]&gt;0,VLOOKUP(_1_541284561214624104645789101745678[[#This Row],[Type]],Main[[#All],[TYPE]:[UNIT]],'Unit Price'!G$1,FALSE),0)</f>
        <v>0</v>
      </c>
      <c r="J450" s="194">
        <f>IF(_1_541284561214624104645789101745678[[#This Row],[Type]]&gt;0,VLOOKUP(_1_541284561214624104645789101745678[[#This Row],[Type]],Main[[#All],[TYPE]:[UNIT]],'Unit Price'!H$1,FALSE),0)</f>
        <v>0</v>
      </c>
      <c r="K450" s="194">
        <f>IF(_1_541284561214624104645789101745678[[#This Row],[Discount selection]]&gt;0,VLOOKUP(_1_541284561214624104645789101745678[[#This Row],[Discount selection]],'Discount Structure'!$A$2:$B$30,2,"false"),0)</f>
        <v>1</v>
      </c>
      <c r="L450" s="194">
        <f>_1_541284561214624104645789101745678[[#This Row],[LIST $]]*_1_541284561214624104645789101745678[[#This Row],[DISCOUNT]]*_1_541284561214624104645789101745678[[#This Row],[DISCOUNT 2]]</f>
        <v>0</v>
      </c>
      <c r="M450" s="194">
        <f>IF(OR(_1_541284561214624104645789101745678[[#This Row],[UNIT]]&gt;0,_1_541284561214624104645789101745678[[#This Row],[UNIT]]&lt;0),_1_541284561214624104645789101745678[[#This Row],[UNIT]]*_1_541284561214624104645789101745678[[#This Row],[COST]],0)</f>
        <v>0</v>
      </c>
      <c r="N450" s="194">
        <f t="shared" si="6"/>
        <v>1.3</v>
      </c>
      <c r="O450" s="198">
        <f>_1_541284561214624104645789101745678[[#This Row],[TOTAL]]*_1_541284561214624104645789101745678[[#This Row],[MARGIN]]</f>
        <v>0</v>
      </c>
      <c r="R450" s="41"/>
    </row>
    <row r="451" spans="1:18">
      <c r="D451" s="188"/>
      <c r="F451" s="168" t="s">
        <v>6202</v>
      </c>
      <c r="G451" s="193">
        <f>IF(_1_541284561214624104645789101745678[[#This Row],[Type]]&gt;0,VLOOKUP(_1_541284561214624104645789101745678[[#This Row],[Type]],Main[[#All],[TYPE]:[UNIT]],'Unit Price'!C$1,FALSE),0)</f>
        <v>0</v>
      </c>
      <c r="H451" s="197">
        <f>IF(_1_541284561214624104645789101745678[[#This Row],[Type]]&gt;0,VLOOKUP(_1_541284561214624104645789101745678[[#This Row],[Type]],Main[[#All],[TYPE]:[UNIT]],'Unit Price'!D$1,FALSE),0)</f>
        <v>0</v>
      </c>
      <c r="I451" s="194">
        <f>IF(_1_541284561214624104645789101745678[[#This Row],[Type]]&gt;0,VLOOKUP(_1_541284561214624104645789101745678[[#This Row],[Type]],Main[[#All],[TYPE]:[UNIT]],'Unit Price'!G$1,FALSE),0)</f>
        <v>0</v>
      </c>
      <c r="J451" s="194">
        <f>IF(_1_541284561214624104645789101745678[[#This Row],[Type]]&gt;0,VLOOKUP(_1_541284561214624104645789101745678[[#This Row],[Type]],Main[[#All],[TYPE]:[UNIT]],'Unit Price'!H$1,FALSE),0)</f>
        <v>0</v>
      </c>
      <c r="K451" s="194">
        <f>IF(_1_541284561214624104645789101745678[[#This Row],[Discount selection]]&gt;0,VLOOKUP(_1_541284561214624104645789101745678[[#This Row],[Discount selection]],'Discount Structure'!$A$2:$B$30,2,"false"),0)</f>
        <v>1</v>
      </c>
      <c r="L451" s="194">
        <f>_1_541284561214624104645789101745678[[#This Row],[LIST $]]*_1_541284561214624104645789101745678[[#This Row],[DISCOUNT]]*_1_541284561214624104645789101745678[[#This Row],[DISCOUNT 2]]</f>
        <v>0</v>
      </c>
      <c r="M451" s="194">
        <f>IF(OR(_1_541284561214624104645789101745678[[#This Row],[UNIT]]&gt;0,_1_541284561214624104645789101745678[[#This Row],[UNIT]]&lt;0),_1_541284561214624104645789101745678[[#This Row],[UNIT]]*_1_541284561214624104645789101745678[[#This Row],[COST]],0)</f>
        <v>0</v>
      </c>
      <c r="N451" s="194">
        <f t="shared" si="6"/>
        <v>1.3</v>
      </c>
      <c r="O451" s="198">
        <f>_1_541284561214624104645789101745678[[#This Row],[TOTAL]]*_1_541284561214624104645789101745678[[#This Row],[MARGIN]]</f>
        <v>0</v>
      </c>
      <c r="R451" s="41"/>
    </row>
    <row r="452" spans="1:18">
      <c r="D452" s="188"/>
      <c r="F452" s="168" t="s">
        <v>6202</v>
      </c>
      <c r="G452" s="193">
        <f>IF(_1_541284561214624104645789101745678[[#This Row],[Type]]&gt;0,VLOOKUP(_1_541284561214624104645789101745678[[#This Row],[Type]],Main[[#All],[TYPE]:[UNIT]],'Unit Price'!C$1,FALSE),0)</f>
        <v>0</v>
      </c>
      <c r="H452" s="197">
        <f>IF(_1_541284561214624104645789101745678[[#This Row],[Type]]&gt;0,VLOOKUP(_1_541284561214624104645789101745678[[#This Row],[Type]],Main[[#All],[TYPE]:[UNIT]],'Unit Price'!D$1,FALSE),0)</f>
        <v>0</v>
      </c>
      <c r="I452" s="194">
        <f>IF(_1_541284561214624104645789101745678[[#This Row],[Type]]&gt;0,VLOOKUP(_1_541284561214624104645789101745678[[#This Row],[Type]],Main[[#All],[TYPE]:[UNIT]],'Unit Price'!G$1,FALSE),0)</f>
        <v>0</v>
      </c>
      <c r="J452" s="194">
        <f>IF(_1_541284561214624104645789101745678[[#This Row],[Type]]&gt;0,VLOOKUP(_1_541284561214624104645789101745678[[#This Row],[Type]],Main[[#All],[TYPE]:[UNIT]],'Unit Price'!H$1,FALSE),0)</f>
        <v>0</v>
      </c>
      <c r="K452" s="194">
        <f>IF(_1_541284561214624104645789101745678[[#This Row],[Discount selection]]&gt;0,VLOOKUP(_1_541284561214624104645789101745678[[#This Row],[Discount selection]],'Discount Structure'!$A$2:$B$30,2,"false"),0)</f>
        <v>1</v>
      </c>
      <c r="L452" s="194">
        <f>_1_541284561214624104645789101745678[[#This Row],[LIST $]]*_1_541284561214624104645789101745678[[#This Row],[DISCOUNT]]*_1_541284561214624104645789101745678[[#This Row],[DISCOUNT 2]]</f>
        <v>0</v>
      </c>
      <c r="M452" s="194">
        <f>IF(OR(_1_541284561214624104645789101745678[[#This Row],[UNIT]]&gt;0,_1_541284561214624104645789101745678[[#This Row],[UNIT]]&lt;0),_1_541284561214624104645789101745678[[#This Row],[UNIT]]*_1_541284561214624104645789101745678[[#This Row],[COST]],0)</f>
        <v>0</v>
      </c>
      <c r="N452" s="194">
        <f t="shared" si="6"/>
        <v>1.3</v>
      </c>
      <c r="O452" s="198">
        <f>_1_541284561214624104645789101745678[[#This Row],[TOTAL]]*_1_541284561214624104645789101745678[[#This Row],[MARGIN]]</f>
        <v>0</v>
      </c>
      <c r="R452" s="41"/>
    </row>
    <row r="453" spans="1:18">
      <c r="D453" s="188"/>
      <c r="F453" s="168" t="s">
        <v>6202</v>
      </c>
      <c r="G453" s="193">
        <f>IF(_1_541284561214624104645789101745678[[#This Row],[Type]]&gt;0,VLOOKUP(_1_541284561214624104645789101745678[[#This Row],[Type]],Main[[#All],[TYPE]:[UNIT]],'Unit Price'!C$1,FALSE),0)</f>
        <v>0</v>
      </c>
      <c r="H453" s="197">
        <f>IF(_1_541284561214624104645789101745678[[#This Row],[Type]]&gt;0,VLOOKUP(_1_541284561214624104645789101745678[[#This Row],[Type]],Main[[#All],[TYPE]:[UNIT]],'Unit Price'!D$1,FALSE),0)</f>
        <v>0</v>
      </c>
      <c r="I453" s="194">
        <f>IF(_1_541284561214624104645789101745678[[#This Row],[Type]]&gt;0,VLOOKUP(_1_541284561214624104645789101745678[[#This Row],[Type]],Main[[#All],[TYPE]:[UNIT]],'Unit Price'!G$1,FALSE),0)</f>
        <v>0</v>
      </c>
      <c r="J453" s="194">
        <f>IF(_1_541284561214624104645789101745678[[#This Row],[Type]]&gt;0,VLOOKUP(_1_541284561214624104645789101745678[[#This Row],[Type]],Main[[#All],[TYPE]:[UNIT]],'Unit Price'!H$1,FALSE),0)</f>
        <v>0</v>
      </c>
      <c r="K453" s="194">
        <f>IF(_1_541284561214624104645789101745678[[#This Row],[Discount selection]]&gt;0,VLOOKUP(_1_541284561214624104645789101745678[[#This Row],[Discount selection]],'Discount Structure'!$A$2:$B$30,2,"false"),0)</f>
        <v>1</v>
      </c>
      <c r="L453" s="194">
        <f>_1_541284561214624104645789101745678[[#This Row],[LIST $]]*_1_541284561214624104645789101745678[[#This Row],[DISCOUNT]]*_1_541284561214624104645789101745678[[#This Row],[DISCOUNT 2]]</f>
        <v>0</v>
      </c>
      <c r="M453" s="194">
        <f>IF(OR(_1_541284561214624104645789101745678[[#This Row],[UNIT]]&gt;0,_1_541284561214624104645789101745678[[#This Row],[UNIT]]&lt;0),_1_541284561214624104645789101745678[[#This Row],[UNIT]]*_1_541284561214624104645789101745678[[#This Row],[COST]],0)</f>
        <v>0</v>
      </c>
      <c r="N453" s="194">
        <f t="shared" si="6"/>
        <v>1.3</v>
      </c>
      <c r="O453" s="198">
        <f>_1_541284561214624104645789101745678[[#This Row],[TOTAL]]*_1_541284561214624104645789101745678[[#This Row],[MARGIN]]</f>
        <v>0</v>
      </c>
      <c r="R453" s="41"/>
    </row>
    <row r="454" spans="1:18">
      <c r="D454" s="188"/>
      <c r="F454" s="168" t="s">
        <v>6202</v>
      </c>
      <c r="G454" s="193">
        <f>IF(_1_541284561214624104645789101745678[[#This Row],[Type]]&gt;0,VLOOKUP(_1_541284561214624104645789101745678[[#This Row],[Type]],Main[[#All],[TYPE]:[UNIT]],'Unit Price'!C$1,FALSE),0)</f>
        <v>0</v>
      </c>
      <c r="H454" s="197">
        <f>IF(_1_541284561214624104645789101745678[[#This Row],[Type]]&gt;0,VLOOKUP(_1_541284561214624104645789101745678[[#This Row],[Type]],Main[[#All],[TYPE]:[UNIT]],'Unit Price'!D$1,FALSE),0)</f>
        <v>0</v>
      </c>
      <c r="I454" s="194">
        <f>IF(_1_541284561214624104645789101745678[[#This Row],[Type]]&gt;0,VLOOKUP(_1_541284561214624104645789101745678[[#This Row],[Type]],Main[[#All],[TYPE]:[UNIT]],'Unit Price'!G$1,FALSE),0)</f>
        <v>0</v>
      </c>
      <c r="J454" s="194">
        <f>IF(_1_541284561214624104645789101745678[[#This Row],[Type]]&gt;0,VLOOKUP(_1_541284561214624104645789101745678[[#This Row],[Type]],Main[[#All],[TYPE]:[UNIT]],'Unit Price'!H$1,FALSE),0)</f>
        <v>0</v>
      </c>
      <c r="K454" s="194">
        <f>IF(_1_541284561214624104645789101745678[[#This Row],[Discount selection]]&gt;0,VLOOKUP(_1_541284561214624104645789101745678[[#This Row],[Discount selection]],'Discount Structure'!$A$2:$B$30,2,"false"),0)</f>
        <v>1</v>
      </c>
      <c r="L454" s="194">
        <f>_1_541284561214624104645789101745678[[#This Row],[LIST $]]*_1_541284561214624104645789101745678[[#This Row],[DISCOUNT]]*_1_541284561214624104645789101745678[[#This Row],[DISCOUNT 2]]</f>
        <v>0</v>
      </c>
      <c r="M454" s="194">
        <f>IF(OR(_1_541284561214624104645789101745678[[#This Row],[UNIT]]&gt;0,_1_541284561214624104645789101745678[[#This Row],[UNIT]]&lt;0),_1_541284561214624104645789101745678[[#This Row],[UNIT]]*_1_541284561214624104645789101745678[[#This Row],[COST]],0)</f>
        <v>0</v>
      </c>
      <c r="N454" s="194">
        <f t="shared" si="6"/>
        <v>1.3</v>
      </c>
      <c r="O454" s="198">
        <f>_1_541284561214624104645789101745678[[#This Row],[TOTAL]]*_1_541284561214624104645789101745678[[#This Row],[MARGIN]]</f>
        <v>0</v>
      </c>
      <c r="R454" s="41"/>
    </row>
    <row r="455" spans="1:18">
      <c r="D455" s="188"/>
      <c r="F455" s="168" t="s">
        <v>6202</v>
      </c>
      <c r="G455" s="193">
        <f>IF(_1_541284561214624104645789101745678[[#This Row],[Type]]&gt;0,VLOOKUP(_1_541284561214624104645789101745678[[#This Row],[Type]],Main[[#All],[TYPE]:[UNIT]],'Unit Price'!C$1,FALSE),0)</f>
        <v>0</v>
      </c>
      <c r="H455" s="197">
        <f>IF(_1_541284561214624104645789101745678[[#This Row],[Type]]&gt;0,VLOOKUP(_1_541284561214624104645789101745678[[#This Row],[Type]],Main[[#All],[TYPE]:[UNIT]],'Unit Price'!D$1,FALSE),0)</f>
        <v>0</v>
      </c>
      <c r="I455" s="194">
        <f>IF(_1_541284561214624104645789101745678[[#This Row],[Type]]&gt;0,VLOOKUP(_1_541284561214624104645789101745678[[#This Row],[Type]],Main[[#All],[TYPE]:[UNIT]],'Unit Price'!G$1,FALSE),0)</f>
        <v>0</v>
      </c>
      <c r="J455" s="194">
        <f>IF(_1_541284561214624104645789101745678[[#This Row],[Type]]&gt;0,VLOOKUP(_1_541284561214624104645789101745678[[#This Row],[Type]],Main[[#All],[TYPE]:[UNIT]],'Unit Price'!H$1,FALSE),0)</f>
        <v>0</v>
      </c>
      <c r="K455" s="194">
        <f>IF(_1_541284561214624104645789101745678[[#This Row],[Discount selection]]&gt;0,VLOOKUP(_1_541284561214624104645789101745678[[#This Row],[Discount selection]],'Discount Structure'!$A$2:$B$30,2,"false"),0)</f>
        <v>1</v>
      </c>
      <c r="L455" s="194">
        <f>_1_541284561214624104645789101745678[[#This Row],[LIST $]]*_1_541284561214624104645789101745678[[#This Row],[DISCOUNT]]*_1_541284561214624104645789101745678[[#This Row],[DISCOUNT 2]]</f>
        <v>0</v>
      </c>
      <c r="M455" s="194">
        <f>IF(OR(_1_541284561214624104645789101745678[[#This Row],[UNIT]]&gt;0,_1_541284561214624104645789101745678[[#This Row],[UNIT]]&lt;0),_1_541284561214624104645789101745678[[#This Row],[UNIT]]*_1_541284561214624104645789101745678[[#This Row],[COST]],0)</f>
        <v>0</v>
      </c>
      <c r="N455" s="194">
        <f t="shared" si="6"/>
        <v>1.3</v>
      </c>
      <c r="O455" s="198">
        <f>_1_541284561214624104645789101745678[[#This Row],[TOTAL]]*_1_541284561214624104645789101745678[[#This Row],[MARGIN]]</f>
        <v>0</v>
      </c>
      <c r="R455" s="41"/>
    </row>
    <row r="456" spans="1:18">
      <c r="A456" s="168"/>
      <c r="D456" s="188"/>
      <c r="F456" s="168" t="s">
        <v>6202</v>
      </c>
      <c r="G456" s="193">
        <f>IF(_1_541284561214624104645789101745678[[#This Row],[Type]]&gt;0,VLOOKUP(_1_541284561214624104645789101745678[[#This Row],[Type]],Main[[#All],[TYPE]:[UNIT]],'Unit Price'!C$1,FALSE),0)</f>
        <v>0</v>
      </c>
      <c r="H456" s="197">
        <f>IF(_1_541284561214624104645789101745678[[#This Row],[Type]]&gt;0,VLOOKUP(_1_541284561214624104645789101745678[[#This Row],[Type]],Main[[#All],[TYPE]:[UNIT]],'Unit Price'!D$1,FALSE),0)</f>
        <v>0</v>
      </c>
      <c r="I456" s="194">
        <f>IF(_1_541284561214624104645789101745678[[#This Row],[Type]]&gt;0,VLOOKUP(_1_541284561214624104645789101745678[[#This Row],[Type]],Main[[#All],[TYPE]:[UNIT]],'Unit Price'!G$1,FALSE),0)</f>
        <v>0</v>
      </c>
      <c r="J456" s="194">
        <f>IF(_1_541284561214624104645789101745678[[#This Row],[Type]]&gt;0,VLOOKUP(_1_541284561214624104645789101745678[[#This Row],[Type]],Main[[#All],[TYPE]:[UNIT]],'Unit Price'!H$1,FALSE),0)</f>
        <v>0</v>
      </c>
      <c r="K456" s="194">
        <f>IF(_1_541284561214624104645789101745678[[#This Row],[Discount selection]]&gt;0,VLOOKUP(_1_541284561214624104645789101745678[[#This Row],[Discount selection]],'Discount Structure'!$A$2:$B$30,2,"false"),0)</f>
        <v>1</v>
      </c>
      <c r="L456" s="194">
        <f>_1_541284561214624104645789101745678[[#This Row],[LIST $]]*_1_541284561214624104645789101745678[[#This Row],[DISCOUNT]]*_1_541284561214624104645789101745678[[#This Row],[DISCOUNT 2]]</f>
        <v>0</v>
      </c>
      <c r="M456" s="194">
        <f>IF(OR(_1_541284561214624104645789101745678[[#This Row],[UNIT]]&gt;0,_1_541284561214624104645789101745678[[#This Row],[UNIT]]&lt;0),_1_541284561214624104645789101745678[[#This Row],[UNIT]]*_1_541284561214624104645789101745678[[#This Row],[COST]],0)</f>
        <v>0</v>
      </c>
      <c r="N456" s="194">
        <f t="shared" si="6"/>
        <v>1.3</v>
      </c>
      <c r="O456" s="198">
        <f>_1_541284561214624104645789101745678[[#This Row],[TOTAL]]*_1_541284561214624104645789101745678[[#This Row],[MARGIN]]</f>
        <v>0</v>
      </c>
      <c r="R456" s="41"/>
    </row>
    <row r="457" spans="1:18">
      <c r="D457" s="188"/>
      <c r="F457" s="168" t="s">
        <v>6202</v>
      </c>
      <c r="G457" s="192">
        <f>IF(_1_541284561214624104645789101745678[[#This Row],[Type]]&gt;0,VLOOKUP(_1_541284561214624104645789101745678[[#This Row],[Type]],Main[[#All],[TYPE]:[UNIT]],'Unit Price'!C$1,FALSE),0)</f>
        <v>0</v>
      </c>
      <c r="H457" s="197">
        <f>IF(_1_541284561214624104645789101745678[[#This Row],[Type]]&gt;0,VLOOKUP(_1_541284561214624104645789101745678[[#This Row],[Type]],Main[[#All],[TYPE]:[UNIT]],'Unit Price'!D$1,FALSE),0)</f>
        <v>0</v>
      </c>
      <c r="I457" s="194">
        <f>IF(_1_541284561214624104645789101745678[[#This Row],[Type]]&gt;0,VLOOKUP(_1_541284561214624104645789101745678[[#This Row],[Type]],Main[[#All],[TYPE]:[UNIT]],'Unit Price'!G$1,FALSE),0)</f>
        <v>0</v>
      </c>
      <c r="J457" s="194">
        <f>IF(_1_541284561214624104645789101745678[[#This Row],[Type]]&gt;0,VLOOKUP(_1_541284561214624104645789101745678[[#This Row],[Type]],Main[[#All],[TYPE]:[UNIT]],'Unit Price'!H$1,FALSE),0)</f>
        <v>0</v>
      </c>
      <c r="K457" s="194">
        <f>IF(_1_541284561214624104645789101745678[[#This Row],[Discount selection]]&gt;0,VLOOKUP(_1_541284561214624104645789101745678[[#This Row],[Discount selection]],'Discount Structure'!$A$2:$B$30,2,"false"),0)</f>
        <v>1</v>
      </c>
      <c r="L457" s="194">
        <f>_1_541284561214624104645789101745678[[#This Row],[LIST $]]*_1_541284561214624104645789101745678[[#This Row],[DISCOUNT]]*_1_541284561214624104645789101745678[[#This Row],[DISCOUNT 2]]</f>
        <v>0</v>
      </c>
      <c r="M457" s="194">
        <f>IF(OR(_1_541284561214624104645789101745678[[#This Row],[UNIT]]&gt;0,_1_541284561214624104645789101745678[[#This Row],[UNIT]]&lt;0),_1_541284561214624104645789101745678[[#This Row],[UNIT]]*_1_541284561214624104645789101745678[[#This Row],[COST]],0)</f>
        <v>0</v>
      </c>
      <c r="N457" s="194">
        <f t="shared" si="6"/>
        <v>1.3</v>
      </c>
      <c r="O457" s="198">
        <f>_1_541284561214624104645789101745678[[#This Row],[TOTAL]]*_1_541284561214624104645789101745678[[#This Row],[MARGIN]]</f>
        <v>0</v>
      </c>
      <c r="R457" s="41"/>
    </row>
    <row r="458" spans="1:18">
      <c r="D458" s="188"/>
      <c r="F458" s="168" t="s">
        <v>6202</v>
      </c>
      <c r="G458" s="193">
        <f>IF(_1_541284561214624104645789101745678[[#This Row],[Type]]&gt;0,VLOOKUP(_1_541284561214624104645789101745678[[#This Row],[Type]],Main[[#All],[TYPE]:[UNIT]],'Unit Price'!C$1,FALSE),0)</f>
        <v>0</v>
      </c>
      <c r="H458" s="197">
        <f>IF(_1_541284561214624104645789101745678[[#This Row],[Type]]&gt;0,VLOOKUP(_1_541284561214624104645789101745678[[#This Row],[Type]],Main[[#All],[TYPE]:[UNIT]],'Unit Price'!D$1,FALSE),0)</f>
        <v>0</v>
      </c>
      <c r="I458" s="194">
        <f>IF(_1_541284561214624104645789101745678[[#This Row],[Type]]&gt;0,VLOOKUP(_1_541284561214624104645789101745678[[#This Row],[Type]],Main[[#All],[TYPE]:[UNIT]],'Unit Price'!G$1,FALSE),0)</f>
        <v>0</v>
      </c>
      <c r="J458" s="194">
        <f>IF(_1_541284561214624104645789101745678[[#This Row],[Type]]&gt;0,VLOOKUP(_1_541284561214624104645789101745678[[#This Row],[Type]],Main[[#All],[TYPE]:[UNIT]],'Unit Price'!H$1,FALSE),0)</f>
        <v>0</v>
      </c>
      <c r="K458" s="194">
        <f>IF(_1_541284561214624104645789101745678[[#This Row],[Discount selection]]&gt;0,VLOOKUP(_1_541284561214624104645789101745678[[#This Row],[Discount selection]],'Discount Structure'!$A$2:$B$30,2,"false"),0)</f>
        <v>1</v>
      </c>
      <c r="L458" s="194">
        <f>_1_541284561214624104645789101745678[[#This Row],[LIST $]]*_1_541284561214624104645789101745678[[#This Row],[DISCOUNT]]*_1_541284561214624104645789101745678[[#This Row],[DISCOUNT 2]]</f>
        <v>0</v>
      </c>
      <c r="M458" s="194">
        <f>IF(OR(_1_541284561214624104645789101745678[[#This Row],[UNIT]]&gt;0,_1_541284561214624104645789101745678[[#This Row],[UNIT]]&lt;0),_1_541284561214624104645789101745678[[#This Row],[UNIT]]*_1_541284561214624104645789101745678[[#This Row],[COST]],0)</f>
        <v>0</v>
      </c>
      <c r="N458" s="194">
        <f t="shared" ref="N458:N521" si="7">$N$7</f>
        <v>1.3</v>
      </c>
      <c r="O458" s="198">
        <f>_1_541284561214624104645789101745678[[#This Row],[TOTAL]]*_1_541284561214624104645789101745678[[#This Row],[MARGIN]]</f>
        <v>0</v>
      </c>
      <c r="R458" s="41"/>
    </row>
    <row r="459" spans="1:18">
      <c r="D459" s="188"/>
      <c r="F459" s="168" t="s">
        <v>6202</v>
      </c>
      <c r="G459" s="193">
        <f>IF(_1_541284561214624104645789101745678[[#This Row],[Type]]&gt;0,VLOOKUP(_1_541284561214624104645789101745678[[#This Row],[Type]],Main[[#All],[TYPE]:[UNIT]],'Unit Price'!C$1,FALSE),0)</f>
        <v>0</v>
      </c>
      <c r="H459" s="197">
        <f>IF(_1_541284561214624104645789101745678[[#This Row],[Type]]&gt;0,VLOOKUP(_1_541284561214624104645789101745678[[#This Row],[Type]],Main[[#All],[TYPE]:[UNIT]],'Unit Price'!D$1,FALSE),0)</f>
        <v>0</v>
      </c>
      <c r="I459" s="194">
        <f>IF(_1_541284561214624104645789101745678[[#This Row],[Type]]&gt;0,VLOOKUP(_1_541284561214624104645789101745678[[#This Row],[Type]],Main[[#All],[TYPE]:[UNIT]],'Unit Price'!G$1,FALSE),0)</f>
        <v>0</v>
      </c>
      <c r="J459" s="194">
        <f>IF(_1_541284561214624104645789101745678[[#This Row],[Type]]&gt;0,VLOOKUP(_1_541284561214624104645789101745678[[#This Row],[Type]],Main[[#All],[TYPE]:[UNIT]],'Unit Price'!H$1,FALSE),0)</f>
        <v>0</v>
      </c>
      <c r="K459" s="194">
        <f>IF(_1_541284561214624104645789101745678[[#This Row],[Discount selection]]&gt;0,VLOOKUP(_1_541284561214624104645789101745678[[#This Row],[Discount selection]],'Discount Structure'!$A$2:$B$30,2,"false"),0)</f>
        <v>1</v>
      </c>
      <c r="L459" s="194">
        <f>_1_541284561214624104645789101745678[[#This Row],[LIST $]]*_1_541284561214624104645789101745678[[#This Row],[DISCOUNT]]*_1_541284561214624104645789101745678[[#This Row],[DISCOUNT 2]]</f>
        <v>0</v>
      </c>
      <c r="M459" s="194">
        <f>IF(OR(_1_541284561214624104645789101745678[[#This Row],[UNIT]]&gt;0,_1_541284561214624104645789101745678[[#This Row],[UNIT]]&lt;0),_1_541284561214624104645789101745678[[#This Row],[UNIT]]*_1_541284561214624104645789101745678[[#This Row],[COST]],0)</f>
        <v>0</v>
      </c>
      <c r="N459" s="194">
        <f t="shared" si="7"/>
        <v>1.3</v>
      </c>
      <c r="O459" s="198">
        <f>_1_541284561214624104645789101745678[[#This Row],[TOTAL]]*_1_541284561214624104645789101745678[[#This Row],[MARGIN]]</f>
        <v>0</v>
      </c>
      <c r="R459" s="41"/>
    </row>
    <row r="460" spans="1:18">
      <c r="D460" s="188"/>
      <c r="F460" s="168" t="s">
        <v>6202</v>
      </c>
      <c r="G460" s="193">
        <f>IF(_1_541284561214624104645789101745678[[#This Row],[Type]]&gt;0,VLOOKUP(_1_541284561214624104645789101745678[[#This Row],[Type]],Main[[#All],[TYPE]:[UNIT]],'Unit Price'!C$1,FALSE),0)</f>
        <v>0</v>
      </c>
      <c r="H460" s="197">
        <f>IF(_1_541284561214624104645789101745678[[#This Row],[Type]]&gt;0,VLOOKUP(_1_541284561214624104645789101745678[[#This Row],[Type]],Main[[#All],[TYPE]:[UNIT]],'Unit Price'!D$1,FALSE),0)</f>
        <v>0</v>
      </c>
      <c r="I460" s="194">
        <f>IF(_1_541284561214624104645789101745678[[#This Row],[Type]]&gt;0,VLOOKUP(_1_541284561214624104645789101745678[[#This Row],[Type]],Main[[#All],[TYPE]:[UNIT]],'Unit Price'!G$1,FALSE),0)</f>
        <v>0</v>
      </c>
      <c r="J460" s="194">
        <f>IF(_1_541284561214624104645789101745678[[#This Row],[Type]]&gt;0,VLOOKUP(_1_541284561214624104645789101745678[[#This Row],[Type]],Main[[#All],[TYPE]:[UNIT]],'Unit Price'!H$1,FALSE),0)</f>
        <v>0</v>
      </c>
      <c r="K460" s="194">
        <f>IF(_1_541284561214624104645789101745678[[#This Row],[Discount selection]]&gt;0,VLOOKUP(_1_541284561214624104645789101745678[[#This Row],[Discount selection]],'Discount Structure'!$A$2:$B$30,2,"false"),0)</f>
        <v>1</v>
      </c>
      <c r="L460" s="194">
        <f>_1_541284561214624104645789101745678[[#This Row],[LIST $]]*_1_541284561214624104645789101745678[[#This Row],[DISCOUNT]]*_1_541284561214624104645789101745678[[#This Row],[DISCOUNT 2]]</f>
        <v>0</v>
      </c>
      <c r="M460" s="194">
        <f>IF(OR(_1_541284561214624104645789101745678[[#This Row],[UNIT]]&gt;0,_1_541284561214624104645789101745678[[#This Row],[UNIT]]&lt;0),_1_541284561214624104645789101745678[[#This Row],[UNIT]]*_1_541284561214624104645789101745678[[#This Row],[COST]],0)</f>
        <v>0</v>
      </c>
      <c r="N460" s="194">
        <f t="shared" si="7"/>
        <v>1.3</v>
      </c>
      <c r="O460" s="198">
        <f>_1_541284561214624104645789101745678[[#This Row],[TOTAL]]*_1_541284561214624104645789101745678[[#This Row],[MARGIN]]</f>
        <v>0</v>
      </c>
      <c r="R460" s="41"/>
    </row>
    <row r="461" spans="1:18">
      <c r="D461" s="188"/>
      <c r="F461" s="168" t="s">
        <v>6202</v>
      </c>
      <c r="G461" s="193">
        <f>IF(_1_541284561214624104645789101745678[[#This Row],[Type]]&gt;0,VLOOKUP(_1_541284561214624104645789101745678[[#This Row],[Type]],Main[[#All],[TYPE]:[UNIT]],'Unit Price'!C$1,FALSE),0)</f>
        <v>0</v>
      </c>
      <c r="H461" s="197">
        <f>IF(_1_541284561214624104645789101745678[[#This Row],[Type]]&gt;0,VLOOKUP(_1_541284561214624104645789101745678[[#This Row],[Type]],Main[[#All],[TYPE]:[UNIT]],'Unit Price'!D$1,FALSE),0)</f>
        <v>0</v>
      </c>
      <c r="I461" s="194">
        <f>IF(_1_541284561214624104645789101745678[[#This Row],[Type]]&gt;0,VLOOKUP(_1_541284561214624104645789101745678[[#This Row],[Type]],Main[[#All],[TYPE]:[UNIT]],'Unit Price'!G$1,FALSE),0)</f>
        <v>0</v>
      </c>
      <c r="J461" s="194">
        <f>IF(_1_541284561214624104645789101745678[[#This Row],[Type]]&gt;0,VLOOKUP(_1_541284561214624104645789101745678[[#This Row],[Type]],Main[[#All],[TYPE]:[UNIT]],'Unit Price'!H$1,FALSE),0)</f>
        <v>0</v>
      </c>
      <c r="K461" s="194">
        <f>IF(_1_541284561214624104645789101745678[[#This Row],[Discount selection]]&gt;0,VLOOKUP(_1_541284561214624104645789101745678[[#This Row],[Discount selection]],'Discount Structure'!$A$2:$B$30,2,"false"),0)</f>
        <v>1</v>
      </c>
      <c r="L461" s="194">
        <f>_1_541284561214624104645789101745678[[#This Row],[LIST $]]*_1_541284561214624104645789101745678[[#This Row],[DISCOUNT]]*_1_541284561214624104645789101745678[[#This Row],[DISCOUNT 2]]</f>
        <v>0</v>
      </c>
      <c r="M461" s="194">
        <f>IF(OR(_1_541284561214624104645789101745678[[#This Row],[UNIT]]&gt;0,_1_541284561214624104645789101745678[[#This Row],[UNIT]]&lt;0),_1_541284561214624104645789101745678[[#This Row],[UNIT]]*_1_541284561214624104645789101745678[[#This Row],[COST]],0)</f>
        <v>0</v>
      </c>
      <c r="N461" s="194">
        <f t="shared" si="7"/>
        <v>1.3</v>
      </c>
      <c r="O461" s="198">
        <f>_1_541284561214624104645789101745678[[#This Row],[TOTAL]]*_1_541284561214624104645789101745678[[#This Row],[MARGIN]]</f>
        <v>0</v>
      </c>
      <c r="R461" s="41"/>
    </row>
    <row r="462" spans="1:18">
      <c r="D462" s="188"/>
      <c r="F462" s="168" t="s">
        <v>6202</v>
      </c>
      <c r="G462" s="192">
        <f>IF(_1_541284561214624104645789101745678[[#This Row],[Type]]&gt;0,VLOOKUP(_1_541284561214624104645789101745678[[#This Row],[Type]],Main[[#All],[TYPE]:[UNIT]],'Unit Price'!C$1,FALSE),0)</f>
        <v>0</v>
      </c>
      <c r="H462" s="197">
        <f>IF(_1_541284561214624104645789101745678[[#This Row],[Type]]&gt;0,VLOOKUP(_1_541284561214624104645789101745678[[#This Row],[Type]],Main[[#All],[TYPE]:[UNIT]],'Unit Price'!D$1,FALSE),0)</f>
        <v>0</v>
      </c>
      <c r="I462" s="194">
        <f>IF(_1_541284561214624104645789101745678[[#This Row],[Type]]&gt;0,VLOOKUP(_1_541284561214624104645789101745678[[#This Row],[Type]],Main[[#All],[TYPE]:[UNIT]],'Unit Price'!G$1,FALSE),0)</f>
        <v>0</v>
      </c>
      <c r="J462" s="194">
        <f>IF(_1_541284561214624104645789101745678[[#This Row],[Type]]&gt;0,VLOOKUP(_1_541284561214624104645789101745678[[#This Row],[Type]],Main[[#All],[TYPE]:[UNIT]],'Unit Price'!H$1,FALSE),0)</f>
        <v>0</v>
      </c>
      <c r="K462" s="194">
        <f>IF(_1_541284561214624104645789101745678[[#This Row],[Discount selection]]&gt;0,VLOOKUP(_1_541284561214624104645789101745678[[#This Row],[Discount selection]],'Discount Structure'!$A$2:$B$30,2,"false"),0)</f>
        <v>1</v>
      </c>
      <c r="L462" s="194">
        <f>_1_541284561214624104645789101745678[[#This Row],[LIST $]]*_1_541284561214624104645789101745678[[#This Row],[DISCOUNT]]*_1_541284561214624104645789101745678[[#This Row],[DISCOUNT 2]]</f>
        <v>0</v>
      </c>
      <c r="M462" s="194">
        <f>IF(OR(_1_541284561214624104645789101745678[[#This Row],[UNIT]]&gt;0,_1_541284561214624104645789101745678[[#This Row],[UNIT]]&lt;0),_1_541284561214624104645789101745678[[#This Row],[UNIT]]*_1_541284561214624104645789101745678[[#This Row],[COST]],0)</f>
        <v>0</v>
      </c>
      <c r="N462" s="194">
        <f t="shared" si="7"/>
        <v>1.3</v>
      </c>
      <c r="O462" s="198">
        <f>_1_541284561214624104645789101745678[[#This Row],[TOTAL]]*_1_541284561214624104645789101745678[[#This Row],[MARGIN]]</f>
        <v>0</v>
      </c>
      <c r="R462" s="41"/>
    </row>
    <row r="463" spans="1:18">
      <c r="D463" s="188"/>
      <c r="F463" s="168" t="s">
        <v>6202</v>
      </c>
      <c r="G463" s="193">
        <f>IF(_1_541284561214624104645789101745678[[#This Row],[Type]]&gt;0,VLOOKUP(_1_541284561214624104645789101745678[[#This Row],[Type]],Main[[#All],[TYPE]:[UNIT]],'Unit Price'!C$1,FALSE),0)</f>
        <v>0</v>
      </c>
      <c r="H463" s="197">
        <f>IF(_1_541284561214624104645789101745678[[#This Row],[Type]]&gt;0,VLOOKUP(_1_541284561214624104645789101745678[[#This Row],[Type]],Main[[#All],[TYPE]:[UNIT]],'Unit Price'!D$1,FALSE),0)</f>
        <v>0</v>
      </c>
      <c r="I463" s="194">
        <f>IF(_1_541284561214624104645789101745678[[#This Row],[Type]]&gt;0,VLOOKUP(_1_541284561214624104645789101745678[[#This Row],[Type]],Main[[#All],[TYPE]:[UNIT]],'Unit Price'!G$1,FALSE),0)</f>
        <v>0</v>
      </c>
      <c r="J463" s="194">
        <f>IF(_1_541284561214624104645789101745678[[#This Row],[Type]]&gt;0,VLOOKUP(_1_541284561214624104645789101745678[[#This Row],[Type]],Main[[#All],[TYPE]:[UNIT]],'Unit Price'!H$1,FALSE),0)</f>
        <v>0</v>
      </c>
      <c r="K463" s="194">
        <f>IF(_1_541284561214624104645789101745678[[#This Row],[Discount selection]]&gt;0,VLOOKUP(_1_541284561214624104645789101745678[[#This Row],[Discount selection]],'Discount Structure'!$A$2:$B$30,2,"false"),0)</f>
        <v>1</v>
      </c>
      <c r="L463" s="194">
        <f>_1_541284561214624104645789101745678[[#This Row],[LIST $]]*_1_541284561214624104645789101745678[[#This Row],[DISCOUNT]]*_1_541284561214624104645789101745678[[#This Row],[DISCOUNT 2]]</f>
        <v>0</v>
      </c>
      <c r="M463" s="194">
        <f>IF(OR(_1_541284561214624104645789101745678[[#This Row],[UNIT]]&gt;0,_1_541284561214624104645789101745678[[#This Row],[UNIT]]&lt;0),_1_541284561214624104645789101745678[[#This Row],[UNIT]]*_1_541284561214624104645789101745678[[#This Row],[COST]],0)</f>
        <v>0</v>
      </c>
      <c r="N463" s="194">
        <f t="shared" si="7"/>
        <v>1.3</v>
      </c>
      <c r="O463" s="198">
        <f>_1_541284561214624104645789101745678[[#This Row],[TOTAL]]*_1_541284561214624104645789101745678[[#This Row],[MARGIN]]</f>
        <v>0</v>
      </c>
      <c r="R463" s="41"/>
    </row>
    <row r="464" spans="1:18">
      <c r="D464" s="188"/>
      <c r="F464" s="168" t="s">
        <v>6202</v>
      </c>
      <c r="G464" s="193">
        <f>IF(_1_541284561214624104645789101745678[[#This Row],[Type]]&gt;0,VLOOKUP(_1_541284561214624104645789101745678[[#This Row],[Type]],Main[[#All],[TYPE]:[UNIT]],'Unit Price'!C$1,FALSE),0)</f>
        <v>0</v>
      </c>
      <c r="H464" s="197">
        <f>IF(_1_541284561214624104645789101745678[[#This Row],[Type]]&gt;0,VLOOKUP(_1_541284561214624104645789101745678[[#This Row],[Type]],Main[[#All],[TYPE]:[UNIT]],'Unit Price'!D$1,FALSE),0)</f>
        <v>0</v>
      </c>
      <c r="I464" s="194">
        <f>IF(_1_541284561214624104645789101745678[[#This Row],[Type]]&gt;0,VLOOKUP(_1_541284561214624104645789101745678[[#This Row],[Type]],Main[[#All],[TYPE]:[UNIT]],'Unit Price'!G$1,FALSE),0)</f>
        <v>0</v>
      </c>
      <c r="J464" s="194">
        <f>IF(_1_541284561214624104645789101745678[[#This Row],[Type]]&gt;0,VLOOKUP(_1_541284561214624104645789101745678[[#This Row],[Type]],Main[[#All],[TYPE]:[UNIT]],'Unit Price'!H$1,FALSE),0)</f>
        <v>0</v>
      </c>
      <c r="K464" s="194">
        <f>IF(_1_541284561214624104645789101745678[[#This Row],[Discount selection]]&gt;0,VLOOKUP(_1_541284561214624104645789101745678[[#This Row],[Discount selection]],'Discount Structure'!$A$2:$B$30,2,"false"),0)</f>
        <v>1</v>
      </c>
      <c r="L464" s="194">
        <f>_1_541284561214624104645789101745678[[#This Row],[LIST $]]*_1_541284561214624104645789101745678[[#This Row],[DISCOUNT]]*_1_541284561214624104645789101745678[[#This Row],[DISCOUNT 2]]</f>
        <v>0</v>
      </c>
      <c r="M464" s="194">
        <f>IF(OR(_1_541284561214624104645789101745678[[#This Row],[UNIT]]&gt;0,_1_541284561214624104645789101745678[[#This Row],[UNIT]]&lt;0),_1_541284561214624104645789101745678[[#This Row],[UNIT]]*_1_541284561214624104645789101745678[[#This Row],[COST]],0)</f>
        <v>0</v>
      </c>
      <c r="N464" s="194">
        <f t="shared" si="7"/>
        <v>1.3</v>
      </c>
      <c r="O464" s="198">
        <f>_1_541284561214624104645789101745678[[#This Row],[TOTAL]]*_1_541284561214624104645789101745678[[#This Row],[MARGIN]]</f>
        <v>0</v>
      </c>
      <c r="R464" s="41"/>
    </row>
    <row r="465" spans="1:18">
      <c r="D465" s="188"/>
      <c r="F465" s="168" t="s">
        <v>6202</v>
      </c>
      <c r="G465" s="193">
        <f>IF(_1_541284561214624104645789101745678[[#This Row],[Type]]&gt;0,VLOOKUP(_1_541284561214624104645789101745678[[#This Row],[Type]],Main[[#All],[TYPE]:[UNIT]],'Unit Price'!C$1,FALSE),0)</f>
        <v>0</v>
      </c>
      <c r="H465" s="197">
        <f>IF(_1_541284561214624104645789101745678[[#This Row],[Type]]&gt;0,VLOOKUP(_1_541284561214624104645789101745678[[#This Row],[Type]],Main[[#All],[TYPE]:[UNIT]],'Unit Price'!D$1,FALSE),0)</f>
        <v>0</v>
      </c>
      <c r="I465" s="194">
        <f>IF(_1_541284561214624104645789101745678[[#This Row],[Type]]&gt;0,VLOOKUP(_1_541284561214624104645789101745678[[#This Row],[Type]],Main[[#All],[TYPE]:[UNIT]],'Unit Price'!G$1,FALSE),0)</f>
        <v>0</v>
      </c>
      <c r="J465" s="194">
        <f>IF(_1_541284561214624104645789101745678[[#This Row],[Type]]&gt;0,VLOOKUP(_1_541284561214624104645789101745678[[#This Row],[Type]],Main[[#All],[TYPE]:[UNIT]],'Unit Price'!H$1,FALSE),0)</f>
        <v>0</v>
      </c>
      <c r="K465" s="194">
        <f>IF(_1_541284561214624104645789101745678[[#This Row],[Discount selection]]&gt;0,VLOOKUP(_1_541284561214624104645789101745678[[#This Row],[Discount selection]],'Discount Structure'!$A$2:$B$30,2,"false"),0)</f>
        <v>1</v>
      </c>
      <c r="L465" s="194">
        <f>_1_541284561214624104645789101745678[[#This Row],[LIST $]]*_1_541284561214624104645789101745678[[#This Row],[DISCOUNT]]*_1_541284561214624104645789101745678[[#This Row],[DISCOUNT 2]]</f>
        <v>0</v>
      </c>
      <c r="M465" s="194">
        <f>IF(OR(_1_541284561214624104645789101745678[[#This Row],[UNIT]]&gt;0,_1_541284561214624104645789101745678[[#This Row],[UNIT]]&lt;0),_1_541284561214624104645789101745678[[#This Row],[UNIT]]*_1_541284561214624104645789101745678[[#This Row],[COST]],0)</f>
        <v>0</v>
      </c>
      <c r="N465" s="194">
        <f t="shared" si="7"/>
        <v>1.3</v>
      </c>
      <c r="O465" s="198">
        <f>_1_541284561214624104645789101745678[[#This Row],[TOTAL]]*_1_541284561214624104645789101745678[[#This Row],[MARGIN]]</f>
        <v>0</v>
      </c>
      <c r="R465" s="41"/>
    </row>
    <row r="466" spans="1:18">
      <c r="A466" s="168"/>
      <c r="D466" s="188"/>
      <c r="F466" s="168" t="s">
        <v>6202</v>
      </c>
      <c r="G466" s="193">
        <f>IF(_1_541284561214624104645789101745678[[#This Row],[Type]]&gt;0,VLOOKUP(_1_541284561214624104645789101745678[[#This Row],[Type]],Main[[#All],[TYPE]:[UNIT]],'Unit Price'!C$1,FALSE),0)</f>
        <v>0</v>
      </c>
      <c r="H466" s="197">
        <f>IF(_1_541284561214624104645789101745678[[#This Row],[Type]]&gt;0,VLOOKUP(_1_541284561214624104645789101745678[[#This Row],[Type]],Main[[#All],[TYPE]:[UNIT]],'Unit Price'!D$1,FALSE),0)</f>
        <v>0</v>
      </c>
      <c r="I466" s="194">
        <f>IF(_1_541284561214624104645789101745678[[#This Row],[Type]]&gt;0,VLOOKUP(_1_541284561214624104645789101745678[[#This Row],[Type]],Main[[#All],[TYPE]:[UNIT]],'Unit Price'!G$1,FALSE),0)</f>
        <v>0</v>
      </c>
      <c r="J466" s="194">
        <f>IF(_1_541284561214624104645789101745678[[#This Row],[Type]]&gt;0,VLOOKUP(_1_541284561214624104645789101745678[[#This Row],[Type]],Main[[#All],[TYPE]:[UNIT]],'Unit Price'!H$1,FALSE),0)</f>
        <v>0</v>
      </c>
      <c r="K466" s="194">
        <f>IF(_1_541284561214624104645789101745678[[#This Row],[Discount selection]]&gt;0,VLOOKUP(_1_541284561214624104645789101745678[[#This Row],[Discount selection]],'Discount Structure'!$A$2:$B$30,2,"false"),0)</f>
        <v>1</v>
      </c>
      <c r="L466" s="194">
        <f>_1_541284561214624104645789101745678[[#This Row],[LIST $]]*_1_541284561214624104645789101745678[[#This Row],[DISCOUNT]]*_1_541284561214624104645789101745678[[#This Row],[DISCOUNT 2]]</f>
        <v>0</v>
      </c>
      <c r="M466" s="194">
        <f>IF(OR(_1_541284561214624104645789101745678[[#This Row],[UNIT]]&gt;0,_1_541284561214624104645789101745678[[#This Row],[UNIT]]&lt;0),_1_541284561214624104645789101745678[[#This Row],[UNIT]]*_1_541284561214624104645789101745678[[#This Row],[COST]],0)</f>
        <v>0</v>
      </c>
      <c r="N466" s="194">
        <f t="shared" si="7"/>
        <v>1.3</v>
      </c>
      <c r="O466" s="198">
        <f>_1_541284561214624104645789101745678[[#This Row],[TOTAL]]*_1_541284561214624104645789101745678[[#This Row],[MARGIN]]</f>
        <v>0</v>
      </c>
      <c r="R466" s="41"/>
    </row>
    <row r="467" spans="1:18">
      <c r="D467" s="188"/>
      <c r="F467" s="168" t="s">
        <v>6202</v>
      </c>
      <c r="G467" s="193">
        <f>IF(_1_541284561214624104645789101745678[[#This Row],[Type]]&gt;0,VLOOKUP(_1_541284561214624104645789101745678[[#This Row],[Type]],Main[[#All],[TYPE]:[UNIT]],'Unit Price'!C$1,FALSE),0)</f>
        <v>0</v>
      </c>
      <c r="H467" s="197">
        <f>IF(_1_541284561214624104645789101745678[[#This Row],[Type]]&gt;0,VLOOKUP(_1_541284561214624104645789101745678[[#This Row],[Type]],Main[[#All],[TYPE]:[UNIT]],'Unit Price'!D$1,FALSE),0)</f>
        <v>0</v>
      </c>
      <c r="I467" s="194">
        <f>IF(_1_541284561214624104645789101745678[[#This Row],[Type]]&gt;0,VLOOKUP(_1_541284561214624104645789101745678[[#This Row],[Type]],Main[[#All],[TYPE]:[UNIT]],'Unit Price'!G$1,FALSE),0)</f>
        <v>0</v>
      </c>
      <c r="J467" s="194">
        <f>IF(_1_541284561214624104645789101745678[[#This Row],[Type]]&gt;0,VLOOKUP(_1_541284561214624104645789101745678[[#This Row],[Type]],Main[[#All],[TYPE]:[UNIT]],'Unit Price'!H$1,FALSE),0)</f>
        <v>0</v>
      </c>
      <c r="K467" s="194">
        <f>IF(_1_541284561214624104645789101745678[[#This Row],[Discount selection]]&gt;0,VLOOKUP(_1_541284561214624104645789101745678[[#This Row],[Discount selection]],'Discount Structure'!$A$2:$B$30,2,"false"),0)</f>
        <v>1</v>
      </c>
      <c r="L467" s="194">
        <f>_1_541284561214624104645789101745678[[#This Row],[LIST $]]*_1_541284561214624104645789101745678[[#This Row],[DISCOUNT]]*_1_541284561214624104645789101745678[[#This Row],[DISCOUNT 2]]</f>
        <v>0</v>
      </c>
      <c r="M467" s="194">
        <f>IF(OR(_1_541284561214624104645789101745678[[#This Row],[UNIT]]&gt;0,_1_541284561214624104645789101745678[[#This Row],[UNIT]]&lt;0),_1_541284561214624104645789101745678[[#This Row],[UNIT]]*_1_541284561214624104645789101745678[[#This Row],[COST]],0)</f>
        <v>0</v>
      </c>
      <c r="N467" s="194">
        <f t="shared" si="7"/>
        <v>1.3</v>
      </c>
      <c r="O467" s="198">
        <f>_1_541284561214624104645789101745678[[#This Row],[TOTAL]]*_1_541284561214624104645789101745678[[#This Row],[MARGIN]]</f>
        <v>0</v>
      </c>
      <c r="R467" s="41"/>
    </row>
    <row r="468" spans="1:18">
      <c r="D468" s="188"/>
      <c r="F468" s="168" t="s">
        <v>6202</v>
      </c>
      <c r="G468" s="193">
        <f>IF(_1_541284561214624104645789101745678[[#This Row],[Type]]&gt;0,VLOOKUP(_1_541284561214624104645789101745678[[#This Row],[Type]],Main[[#All],[TYPE]:[UNIT]],'Unit Price'!C$1,FALSE),0)</f>
        <v>0</v>
      </c>
      <c r="H468" s="197">
        <f>IF(_1_541284561214624104645789101745678[[#This Row],[Type]]&gt;0,VLOOKUP(_1_541284561214624104645789101745678[[#This Row],[Type]],Main[[#All],[TYPE]:[UNIT]],'Unit Price'!D$1,FALSE),0)</f>
        <v>0</v>
      </c>
      <c r="I468" s="194">
        <f>IF(_1_541284561214624104645789101745678[[#This Row],[Type]]&gt;0,VLOOKUP(_1_541284561214624104645789101745678[[#This Row],[Type]],Main[[#All],[TYPE]:[UNIT]],'Unit Price'!G$1,FALSE),0)</f>
        <v>0</v>
      </c>
      <c r="J468" s="194">
        <f>IF(_1_541284561214624104645789101745678[[#This Row],[Type]]&gt;0,VLOOKUP(_1_541284561214624104645789101745678[[#This Row],[Type]],Main[[#All],[TYPE]:[UNIT]],'Unit Price'!H$1,FALSE),0)</f>
        <v>0</v>
      </c>
      <c r="K468" s="194">
        <f>IF(_1_541284561214624104645789101745678[[#This Row],[Discount selection]]&gt;0,VLOOKUP(_1_541284561214624104645789101745678[[#This Row],[Discount selection]],'Discount Structure'!$A$2:$B$30,2,"false"),0)</f>
        <v>1</v>
      </c>
      <c r="L468" s="194">
        <f>_1_541284561214624104645789101745678[[#This Row],[LIST $]]*_1_541284561214624104645789101745678[[#This Row],[DISCOUNT]]*_1_541284561214624104645789101745678[[#This Row],[DISCOUNT 2]]</f>
        <v>0</v>
      </c>
      <c r="M468" s="194">
        <f>IF(OR(_1_541284561214624104645789101745678[[#This Row],[UNIT]]&gt;0,_1_541284561214624104645789101745678[[#This Row],[UNIT]]&lt;0),_1_541284561214624104645789101745678[[#This Row],[UNIT]]*_1_541284561214624104645789101745678[[#This Row],[COST]],0)</f>
        <v>0</v>
      </c>
      <c r="N468" s="194">
        <f t="shared" si="7"/>
        <v>1.3</v>
      </c>
      <c r="O468" s="198">
        <f>_1_541284561214624104645789101745678[[#This Row],[TOTAL]]*_1_541284561214624104645789101745678[[#This Row],[MARGIN]]</f>
        <v>0</v>
      </c>
      <c r="R468" s="41"/>
    </row>
    <row r="469" spans="1:18">
      <c r="B469" s="168"/>
      <c r="D469" s="188"/>
      <c r="F469" s="168" t="s">
        <v>6202</v>
      </c>
      <c r="G469" s="193">
        <f>IF(_1_541284561214624104645789101745678[[#This Row],[Type]]&gt;0,VLOOKUP(_1_541284561214624104645789101745678[[#This Row],[Type]],Main[[#All],[TYPE]:[UNIT]],'Unit Price'!C$1,FALSE),0)</f>
        <v>0</v>
      </c>
      <c r="H469" s="197">
        <f>IF(_1_541284561214624104645789101745678[[#This Row],[Type]]&gt;0,VLOOKUP(_1_541284561214624104645789101745678[[#This Row],[Type]],Main[[#All],[TYPE]:[UNIT]],'Unit Price'!D$1,FALSE),0)</f>
        <v>0</v>
      </c>
      <c r="I469" s="194">
        <f>IF(_1_541284561214624104645789101745678[[#This Row],[Type]]&gt;0,VLOOKUP(_1_541284561214624104645789101745678[[#This Row],[Type]],Main[[#All],[TYPE]:[UNIT]],'Unit Price'!G$1,FALSE),0)</f>
        <v>0</v>
      </c>
      <c r="J469" s="194">
        <f>IF(_1_541284561214624104645789101745678[[#This Row],[Type]]&gt;0,VLOOKUP(_1_541284561214624104645789101745678[[#This Row],[Type]],Main[[#All],[TYPE]:[UNIT]],'Unit Price'!H$1,FALSE),0)</f>
        <v>0</v>
      </c>
      <c r="K469" s="194">
        <f>IF(_1_541284561214624104645789101745678[[#This Row],[Discount selection]]&gt;0,VLOOKUP(_1_541284561214624104645789101745678[[#This Row],[Discount selection]],'Discount Structure'!$A$2:$B$30,2,"false"),0)</f>
        <v>1</v>
      </c>
      <c r="L469" s="194">
        <f>_1_541284561214624104645789101745678[[#This Row],[LIST $]]*_1_541284561214624104645789101745678[[#This Row],[DISCOUNT]]*_1_541284561214624104645789101745678[[#This Row],[DISCOUNT 2]]</f>
        <v>0</v>
      </c>
      <c r="M469" s="194">
        <f>IF(OR(_1_541284561214624104645789101745678[[#This Row],[UNIT]]&gt;0,_1_541284561214624104645789101745678[[#This Row],[UNIT]]&lt;0),_1_541284561214624104645789101745678[[#This Row],[UNIT]]*_1_541284561214624104645789101745678[[#This Row],[COST]],0)</f>
        <v>0</v>
      </c>
      <c r="N469" s="194">
        <f t="shared" si="7"/>
        <v>1.3</v>
      </c>
      <c r="O469" s="198">
        <f>_1_541284561214624104645789101745678[[#This Row],[TOTAL]]*_1_541284561214624104645789101745678[[#This Row],[MARGIN]]</f>
        <v>0</v>
      </c>
      <c r="R469" s="41"/>
    </row>
    <row r="470" spans="1:18">
      <c r="A470" s="168"/>
      <c r="D470" s="188"/>
      <c r="F470" s="168" t="s">
        <v>6202</v>
      </c>
      <c r="G470" s="193">
        <f>IF(_1_541284561214624104645789101745678[[#This Row],[Type]]&gt;0,VLOOKUP(_1_541284561214624104645789101745678[[#This Row],[Type]],Main[[#All],[TYPE]:[UNIT]],'Unit Price'!C$1,FALSE),0)</f>
        <v>0</v>
      </c>
      <c r="H470" s="197">
        <f>IF(_1_541284561214624104645789101745678[[#This Row],[Type]]&gt;0,VLOOKUP(_1_541284561214624104645789101745678[[#This Row],[Type]],Main[[#All],[TYPE]:[UNIT]],'Unit Price'!D$1,FALSE),0)</f>
        <v>0</v>
      </c>
      <c r="I470" s="194">
        <f>IF(_1_541284561214624104645789101745678[[#This Row],[Type]]&gt;0,VLOOKUP(_1_541284561214624104645789101745678[[#This Row],[Type]],Main[[#All],[TYPE]:[UNIT]],'Unit Price'!G$1,FALSE),0)</f>
        <v>0</v>
      </c>
      <c r="J470" s="194">
        <f>IF(_1_541284561214624104645789101745678[[#This Row],[Type]]&gt;0,VLOOKUP(_1_541284561214624104645789101745678[[#This Row],[Type]],Main[[#All],[TYPE]:[UNIT]],'Unit Price'!H$1,FALSE),0)</f>
        <v>0</v>
      </c>
      <c r="K470" s="194">
        <f>IF(_1_541284561214624104645789101745678[[#This Row],[Discount selection]]&gt;0,VLOOKUP(_1_541284561214624104645789101745678[[#This Row],[Discount selection]],'Discount Structure'!$A$2:$B$30,2,"false"),0)</f>
        <v>1</v>
      </c>
      <c r="L470" s="194">
        <f>_1_541284561214624104645789101745678[[#This Row],[LIST $]]*_1_541284561214624104645789101745678[[#This Row],[DISCOUNT]]*_1_541284561214624104645789101745678[[#This Row],[DISCOUNT 2]]</f>
        <v>0</v>
      </c>
      <c r="M470" s="194">
        <f>IF(OR(_1_541284561214624104645789101745678[[#This Row],[UNIT]]&gt;0,_1_541284561214624104645789101745678[[#This Row],[UNIT]]&lt;0),_1_541284561214624104645789101745678[[#This Row],[UNIT]]*_1_541284561214624104645789101745678[[#This Row],[COST]],0)</f>
        <v>0</v>
      </c>
      <c r="N470" s="194">
        <f t="shared" si="7"/>
        <v>1.3</v>
      </c>
      <c r="O470" s="198">
        <f>_1_541284561214624104645789101745678[[#This Row],[TOTAL]]*_1_541284561214624104645789101745678[[#This Row],[MARGIN]]</f>
        <v>0</v>
      </c>
      <c r="R470" s="41"/>
    </row>
    <row r="471" spans="1:18">
      <c r="D471" s="188"/>
      <c r="F471" s="168" t="s">
        <v>6202</v>
      </c>
      <c r="G471" s="193">
        <f>IF(_1_541284561214624104645789101745678[[#This Row],[Type]]&gt;0,VLOOKUP(_1_541284561214624104645789101745678[[#This Row],[Type]],Main[[#All],[TYPE]:[UNIT]],'Unit Price'!C$1,FALSE),0)</f>
        <v>0</v>
      </c>
      <c r="H471" s="197">
        <f>IF(_1_541284561214624104645789101745678[[#This Row],[Type]]&gt;0,VLOOKUP(_1_541284561214624104645789101745678[[#This Row],[Type]],Main[[#All],[TYPE]:[UNIT]],'Unit Price'!D$1,FALSE),0)</f>
        <v>0</v>
      </c>
      <c r="I471" s="194">
        <f>IF(_1_541284561214624104645789101745678[[#This Row],[Type]]&gt;0,VLOOKUP(_1_541284561214624104645789101745678[[#This Row],[Type]],Main[[#All],[TYPE]:[UNIT]],'Unit Price'!G$1,FALSE),0)</f>
        <v>0</v>
      </c>
      <c r="J471" s="194">
        <f>IF(_1_541284561214624104645789101745678[[#This Row],[Type]]&gt;0,VLOOKUP(_1_541284561214624104645789101745678[[#This Row],[Type]],Main[[#All],[TYPE]:[UNIT]],'Unit Price'!H$1,FALSE),0)</f>
        <v>0</v>
      </c>
      <c r="K471" s="194">
        <f>IF(_1_541284561214624104645789101745678[[#This Row],[Discount selection]]&gt;0,VLOOKUP(_1_541284561214624104645789101745678[[#This Row],[Discount selection]],'Discount Structure'!$A$2:$B$30,2,"false"),0)</f>
        <v>1</v>
      </c>
      <c r="L471" s="194">
        <f>_1_541284561214624104645789101745678[[#This Row],[LIST $]]*_1_541284561214624104645789101745678[[#This Row],[DISCOUNT]]*_1_541284561214624104645789101745678[[#This Row],[DISCOUNT 2]]</f>
        <v>0</v>
      </c>
      <c r="M471" s="194">
        <f>IF(OR(_1_541284561214624104645789101745678[[#This Row],[UNIT]]&gt;0,_1_541284561214624104645789101745678[[#This Row],[UNIT]]&lt;0),_1_541284561214624104645789101745678[[#This Row],[UNIT]]*_1_541284561214624104645789101745678[[#This Row],[COST]],0)</f>
        <v>0</v>
      </c>
      <c r="N471" s="194">
        <f t="shared" si="7"/>
        <v>1.3</v>
      </c>
      <c r="O471" s="198">
        <f>_1_541284561214624104645789101745678[[#This Row],[TOTAL]]*_1_541284561214624104645789101745678[[#This Row],[MARGIN]]</f>
        <v>0</v>
      </c>
      <c r="R471" s="41"/>
    </row>
    <row r="472" spans="1:18">
      <c r="A472" s="168"/>
      <c r="D472" s="188"/>
      <c r="F472" s="168" t="s">
        <v>6202</v>
      </c>
      <c r="G472" s="193">
        <f>IF(_1_541284561214624104645789101745678[[#This Row],[Type]]&gt;0,VLOOKUP(_1_541284561214624104645789101745678[[#This Row],[Type]],Main[[#All],[TYPE]:[UNIT]],'Unit Price'!C$1,FALSE),0)</f>
        <v>0</v>
      </c>
      <c r="H472" s="197">
        <f>IF(_1_541284561214624104645789101745678[[#This Row],[Type]]&gt;0,VLOOKUP(_1_541284561214624104645789101745678[[#This Row],[Type]],Main[[#All],[TYPE]:[UNIT]],'Unit Price'!D$1,FALSE),0)</f>
        <v>0</v>
      </c>
      <c r="I472" s="194">
        <f>IF(_1_541284561214624104645789101745678[[#This Row],[Type]]&gt;0,VLOOKUP(_1_541284561214624104645789101745678[[#This Row],[Type]],Main[[#All],[TYPE]:[UNIT]],'Unit Price'!G$1,FALSE),0)</f>
        <v>0</v>
      </c>
      <c r="J472" s="194">
        <f>IF(_1_541284561214624104645789101745678[[#This Row],[Type]]&gt;0,VLOOKUP(_1_541284561214624104645789101745678[[#This Row],[Type]],Main[[#All],[TYPE]:[UNIT]],'Unit Price'!H$1,FALSE),0)</f>
        <v>0</v>
      </c>
      <c r="K472" s="194">
        <f>IF(_1_541284561214624104645789101745678[[#This Row],[Discount selection]]&gt;0,VLOOKUP(_1_541284561214624104645789101745678[[#This Row],[Discount selection]],'Discount Structure'!$A$2:$B$30,2,"false"),0)</f>
        <v>1</v>
      </c>
      <c r="L472" s="194">
        <f>_1_541284561214624104645789101745678[[#This Row],[LIST $]]*_1_541284561214624104645789101745678[[#This Row],[DISCOUNT]]*_1_541284561214624104645789101745678[[#This Row],[DISCOUNT 2]]</f>
        <v>0</v>
      </c>
      <c r="M472" s="194">
        <f>IF(OR(_1_541284561214624104645789101745678[[#This Row],[UNIT]]&gt;0,_1_541284561214624104645789101745678[[#This Row],[UNIT]]&lt;0),_1_541284561214624104645789101745678[[#This Row],[UNIT]]*_1_541284561214624104645789101745678[[#This Row],[COST]],0)</f>
        <v>0</v>
      </c>
      <c r="N472" s="194">
        <f t="shared" si="7"/>
        <v>1.3</v>
      </c>
      <c r="O472" s="198">
        <f>_1_541284561214624104645789101745678[[#This Row],[TOTAL]]*_1_541284561214624104645789101745678[[#This Row],[MARGIN]]</f>
        <v>0</v>
      </c>
      <c r="R472" s="41"/>
    </row>
    <row r="473" spans="1:18">
      <c r="D473" s="188"/>
      <c r="F473" s="168" t="s">
        <v>6202</v>
      </c>
      <c r="G473" s="193">
        <f>IF(_1_541284561214624104645789101745678[[#This Row],[Type]]&gt;0,VLOOKUP(_1_541284561214624104645789101745678[[#This Row],[Type]],Main[[#All],[TYPE]:[UNIT]],'Unit Price'!C$1,FALSE),0)</f>
        <v>0</v>
      </c>
      <c r="H473" s="197">
        <f>IF(_1_541284561214624104645789101745678[[#This Row],[Type]]&gt;0,VLOOKUP(_1_541284561214624104645789101745678[[#This Row],[Type]],Main[[#All],[TYPE]:[UNIT]],'Unit Price'!D$1,FALSE),0)</f>
        <v>0</v>
      </c>
      <c r="I473" s="194">
        <f>IF(_1_541284561214624104645789101745678[[#This Row],[Type]]&gt;0,VLOOKUP(_1_541284561214624104645789101745678[[#This Row],[Type]],Main[[#All],[TYPE]:[UNIT]],'Unit Price'!G$1,FALSE),0)</f>
        <v>0</v>
      </c>
      <c r="J473" s="194">
        <f>IF(_1_541284561214624104645789101745678[[#This Row],[Type]]&gt;0,VLOOKUP(_1_541284561214624104645789101745678[[#This Row],[Type]],Main[[#All],[TYPE]:[UNIT]],'Unit Price'!H$1,FALSE),0)</f>
        <v>0</v>
      </c>
      <c r="K473" s="194">
        <f>IF(_1_541284561214624104645789101745678[[#This Row],[Discount selection]]&gt;0,VLOOKUP(_1_541284561214624104645789101745678[[#This Row],[Discount selection]],'Discount Structure'!$A$2:$B$30,2,"false"),0)</f>
        <v>1</v>
      </c>
      <c r="L473" s="194">
        <f>_1_541284561214624104645789101745678[[#This Row],[LIST $]]*_1_541284561214624104645789101745678[[#This Row],[DISCOUNT]]*_1_541284561214624104645789101745678[[#This Row],[DISCOUNT 2]]</f>
        <v>0</v>
      </c>
      <c r="M473" s="194">
        <f>IF(OR(_1_541284561214624104645789101745678[[#This Row],[UNIT]]&gt;0,_1_541284561214624104645789101745678[[#This Row],[UNIT]]&lt;0),_1_541284561214624104645789101745678[[#This Row],[UNIT]]*_1_541284561214624104645789101745678[[#This Row],[COST]],0)</f>
        <v>0</v>
      </c>
      <c r="N473" s="194">
        <f t="shared" si="7"/>
        <v>1.3</v>
      </c>
      <c r="O473" s="198">
        <f>_1_541284561214624104645789101745678[[#This Row],[TOTAL]]*_1_541284561214624104645789101745678[[#This Row],[MARGIN]]</f>
        <v>0</v>
      </c>
      <c r="R473" s="41"/>
    </row>
    <row r="474" spans="1:18">
      <c r="D474" s="188"/>
      <c r="F474" s="168" t="s">
        <v>6202</v>
      </c>
      <c r="G474" s="193">
        <f>IF(_1_541284561214624104645789101745678[[#This Row],[Type]]&gt;0,VLOOKUP(_1_541284561214624104645789101745678[[#This Row],[Type]],Main[[#All],[TYPE]:[UNIT]],'Unit Price'!C$1,FALSE),0)</f>
        <v>0</v>
      </c>
      <c r="H474" s="197">
        <f>IF(_1_541284561214624104645789101745678[[#This Row],[Type]]&gt;0,VLOOKUP(_1_541284561214624104645789101745678[[#This Row],[Type]],Main[[#All],[TYPE]:[UNIT]],'Unit Price'!D$1,FALSE),0)</f>
        <v>0</v>
      </c>
      <c r="I474" s="194">
        <f>IF(_1_541284561214624104645789101745678[[#This Row],[Type]]&gt;0,VLOOKUP(_1_541284561214624104645789101745678[[#This Row],[Type]],Main[[#All],[TYPE]:[UNIT]],'Unit Price'!G$1,FALSE),0)</f>
        <v>0</v>
      </c>
      <c r="J474" s="194">
        <f>IF(_1_541284561214624104645789101745678[[#This Row],[Type]]&gt;0,VLOOKUP(_1_541284561214624104645789101745678[[#This Row],[Type]],Main[[#All],[TYPE]:[UNIT]],'Unit Price'!H$1,FALSE),0)</f>
        <v>0</v>
      </c>
      <c r="K474" s="194">
        <f>IF(_1_541284561214624104645789101745678[[#This Row],[Discount selection]]&gt;0,VLOOKUP(_1_541284561214624104645789101745678[[#This Row],[Discount selection]],'Discount Structure'!$A$2:$B$30,2,"false"),0)</f>
        <v>1</v>
      </c>
      <c r="L474" s="194">
        <f>_1_541284561214624104645789101745678[[#This Row],[LIST $]]*_1_541284561214624104645789101745678[[#This Row],[DISCOUNT]]*_1_541284561214624104645789101745678[[#This Row],[DISCOUNT 2]]</f>
        <v>0</v>
      </c>
      <c r="M474" s="194">
        <f>IF(OR(_1_541284561214624104645789101745678[[#This Row],[UNIT]]&gt;0,_1_541284561214624104645789101745678[[#This Row],[UNIT]]&lt;0),_1_541284561214624104645789101745678[[#This Row],[UNIT]]*_1_541284561214624104645789101745678[[#This Row],[COST]],0)</f>
        <v>0</v>
      </c>
      <c r="N474" s="194">
        <f t="shared" si="7"/>
        <v>1.3</v>
      </c>
      <c r="O474" s="198">
        <f>_1_541284561214624104645789101745678[[#This Row],[TOTAL]]*_1_541284561214624104645789101745678[[#This Row],[MARGIN]]</f>
        <v>0</v>
      </c>
      <c r="R474" s="41"/>
    </row>
    <row r="475" spans="1:18">
      <c r="D475" s="188"/>
      <c r="F475" s="168" t="s">
        <v>6202</v>
      </c>
      <c r="G475" s="193">
        <f>IF(_1_541284561214624104645789101745678[[#This Row],[Type]]&gt;0,VLOOKUP(_1_541284561214624104645789101745678[[#This Row],[Type]],Main[[#All],[TYPE]:[UNIT]],'Unit Price'!C$1,FALSE),0)</f>
        <v>0</v>
      </c>
      <c r="H475" s="197">
        <f>IF(_1_541284561214624104645789101745678[[#This Row],[Type]]&gt;0,VLOOKUP(_1_541284561214624104645789101745678[[#This Row],[Type]],Main[[#All],[TYPE]:[UNIT]],'Unit Price'!D$1,FALSE),0)</f>
        <v>0</v>
      </c>
      <c r="I475" s="194">
        <f>IF(_1_541284561214624104645789101745678[[#This Row],[Type]]&gt;0,VLOOKUP(_1_541284561214624104645789101745678[[#This Row],[Type]],Main[[#All],[TYPE]:[UNIT]],'Unit Price'!G$1,FALSE),0)</f>
        <v>0</v>
      </c>
      <c r="J475" s="194">
        <f>IF(_1_541284561214624104645789101745678[[#This Row],[Type]]&gt;0,VLOOKUP(_1_541284561214624104645789101745678[[#This Row],[Type]],Main[[#All],[TYPE]:[UNIT]],'Unit Price'!H$1,FALSE),0)</f>
        <v>0</v>
      </c>
      <c r="K475" s="194">
        <f>IF(_1_541284561214624104645789101745678[[#This Row],[Discount selection]]&gt;0,VLOOKUP(_1_541284561214624104645789101745678[[#This Row],[Discount selection]],'Discount Structure'!$A$2:$B$30,2,"false"),0)</f>
        <v>1</v>
      </c>
      <c r="L475" s="194">
        <f>_1_541284561214624104645789101745678[[#This Row],[LIST $]]*_1_541284561214624104645789101745678[[#This Row],[DISCOUNT]]*_1_541284561214624104645789101745678[[#This Row],[DISCOUNT 2]]</f>
        <v>0</v>
      </c>
      <c r="M475" s="194">
        <f>IF(OR(_1_541284561214624104645789101745678[[#This Row],[UNIT]]&gt;0,_1_541284561214624104645789101745678[[#This Row],[UNIT]]&lt;0),_1_541284561214624104645789101745678[[#This Row],[UNIT]]*_1_541284561214624104645789101745678[[#This Row],[COST]],0)</f>
        <v>0</v>
      </c>
      <c r="N475" s="194">
        <f t="shared" si="7"/>
        <v>1.3</v>
      </c>
      <c r="O475" s="198">
        <f>_1_541284561214624104645789101745678[[#This Row],[TOTAL]]*_1_541284561214624104645789101745678[[#This Row],[MARGIN]]</f>
        <v>0</v>
      </c>
      <c r="R475" s="41"/>
    </row>
    <row r="476" spans="1:18">
      <c r="D476" s="188"/>
      <c r="F476" s="168" t="s">
        <v>6202</v>
      </c>
      <c r="G476" s="192">
        <f>IF(_1_541284561214624104645789101745678[[#This Row],[Type]]&gt;0,VLOOKUP(_1_541284561214624104645789101745678[[#This Row],[Type]],Main[[#All],[TYPE]:[UNIT]],'Unit Price'!C$1,FALSE),0)</f>
        <v>0</v>
      </c>
      <c r="H476" s="197">
        <f>IF(_1_541284561214624104645789101745678[[#This Row],[Type]]&gt;0,VLOOKUP(_1_541284561214624104645789101745678[[#This Row],[Type]],Main[[#All],[TYPE]:[UNIT]],'Unit Price'!D$1,FALSE),0)</f>
        <v>0</v>
      </c>
      <c r="I476" s="194">
        <f>IF(_1_541284561214624104645789101745678[[#This Row],[Type]]&gt;0,VLOOKUP(_1_541284561214624104645789101745678[[#This Row],[Type]],Main[[#All],[TYPE]:[UNIT]],'Unit Price'!G$1,FALSE),0)</f>
        <v>0</v>
      </c>
      <c r="J476" s="194">
        <f>IF(_1_541284561214624104645789101745678[[#This Row],[Type]]&gt;0,VLOOKUP(_1_541284561214624104645789101745678[[#This Row],[Type]],Main[[#All],[TYPE]:[UNIT]],'Unit Price'!H$1,FALSE),0)</f>
        <v>0</v>
      </c>
      <c r="K476" s="194">
        <f>IF(_1_541284561214624104645789101745678[[#This Row],[Discount selection]]&gt;0,VLOOKUP(_1_541284561214624104645789101745678[[#This Row],[Discount selection]],'Discount Structure'!$A$2:$B$30,2,"false"),0)</f>
        <v>1</v>
      </c>
      <c r="L476" s="194">
        <f>_1_541284561214624104645789101745678[[#This Row],[LIST $]]*_1_541284561214624104645789101745678[[#This Row],[DISCOUNT]]*_1_541284561214624104645789101745678[[#This Row],[DISCOUNT 2]]</f>
        <v>0</v>
      </c>
      <c r="M476" s="194">
        <f>IF(OR(_1_541284561214624104645789101745678[[#This Row],[UNIT]]&gt;0,_1_541284561214624104645789101745678[[#This Row],[UNIT]]&lt;0),_1_541284561214624104645789101745678[[#This Row],[UNIT]]*_1_541284561214624104645789101745678[[#This Row],[COST]],0)</f>
        <v>0</v>
      </c>
      <c r="N476" s="194">
        <f t="shared" si="7"/>
        <v>1.3</v>
      </c>
      <c r="O476" s="198">
        <f>_1_541284561214624104645789101745678[[#This Row],[TOTAL]]*_1_541284561214624104645789101745678[[#This Row],[MARGIN]]</f>
        <v>0</v>
      </c>
      <c r="R476" s="41"/>
    </row>
    <row r="477" spans="1:18">
      <c r="D477" s="188"/>
      <c r="F477" s="168" t="s">
        <v>6202</v>
      </c>
      <c r="G477" s="193">
        <f>IF(_1_541284561214624104645789101745678[[#This Row],[Type]]&gt;0,VLOOKUP(_1_541284561214624104645789101745678[[#This Row],[Type]],Main[[#All],[TYPE]:[UNIT]],'Unit Price'!C$1,FALSE),0)</f>
        <v>0</v>
      </c>
      <c r="H477" s="197">
        <f>IF(_1_541284561214624104645789101745678[[#This Row],[Type]]&gt;0,VLOOKUP(_1_541284561214624104645789101745678[[#This Row],[Type]],Main[[#All],[TYPE]:[UNIT]],'Unit Price'!D$1,FALSE),0)</f>
        <v>0</v>
      </c>
      <c r="I477" s="194">
        <f>IF(_1_541284561214624104645789101745678[[#This Row],[Type]]&gt;0,VLOOKUP(_1_541284561214624104645789101745678[[#This Row],[Type]],Main[[#All],[TYPE]:[UNIT]],'Unit Price'!G$1,FALSE),0)</f>
        <v>0</v>
      </c>
      <c r="J477" s="194">
        <f>IF(_1_541284561214624104645789101745678[[#This Row],[Type]]&gt;0,VLOOKUP(_1_541284561214624104645789101745678[[#This Row],[Type]],Main[[#All],[TYPE]:[UNIT]],'Unit Price'!H$1,FALSE),0)</f>
        <v>0</v>
      </c>
      <c r="K477" s="194">
        <f>IF(_1_541284561214624104645789101745678[[#This Row],[Discount selection]]&gt;0,VLOOKUP(_1_541284561214624104645789101745678[[#This Row],[Discount selection]],'Discount Structure'!$A$2:$B$30,2,"false"),0)</f>
        <v>1</v>
      </c>
      <c r="L477" s="194">
        <f>_1_541284561214624104645789101745678[[#This Row],[LIST $]]*_1_541284561214624104645789101745678[[#This Row],[DISCOUNT]]*_1_541284561214624104645789101745678[[#This Row],[DISCOUNT 2]]</f>
        <v>0</v>
      </c>
      <c r="M477" s="194">
        <f>IF(OR(_1_541284561214624104645789101745678[[#This Row],[UNIT]]&gt;0,_1_541284561214624104645789101745678[[#This Row],[UNIT]]&lt;0),_1_541284561214624104645789101745678[[#This Row],[UNIT]]*_1_541284561214624104645789101745678[[#This Row],[COST]],0)</f>
        <v>0</v>
      </c>
      <c r="N477" s="194">
        <f t="shared" si="7"/>
        <v>1.3</v>
      </c>
      <c r="O477" s="198">
        <f>_1_541284561214624104645789101745678[[#This Row],[TOTAL]]*_1_541284561214624104645789101745678[[#This Row],[MARGIN]]</f>
        <v>0</v>
      </c>
      <c r="R477" s="41"/>
    </row>
    <row r="478" spans="1:18">
      <c r="A478" s="168"/>
      <c r="D478" s="188"/>
      <c r="F478" s="168" t="s">
        <v>6202</v>
      </c>
      <c r="G478" s="192">
        <f>IF(_1_541284561214624104645789101745678[[#This Row],[Type]]&gt;0,VLOOKUP(_1_541284561214624104645789101745678[[#This Row],[Type]],Main[[#All],[TYPE]:[UNIT]],'Unit Price'!C$1,FALSE),0)</f>
        <v>0</v>
      </c>
      <c r="H478" s="197">
        <f>IF(_1_541284561214624104645789101745678[[#This Row],[Type]]&gt;0,VLOOKUP(_1_541284561214624104645789101745678[[#This Row],[Type]],Main[[#All],[TYPE]:[UNIT]],'Unit Price'!D$1,FALSE),0)</f>
        <v>0</v>
      </c>
      <c r="I478" s="194">
        <f>IF(_1_541284561214624104645789101745678[[#This Row],[Type]]&gt;0,VLOOKUP(_1_541284561214624104645789101745678[[#This Row],[Type]],Main[[#All],[TYPE]:[UNIT]],'Unit Price'!G$1,FALSE),0)</f>
        <v>0</v>
      </c>
      <c r="J478" s="194">
        <f>IF(_1_541284561214624104645789101745678[[#This Row],[Type]]&gt;0,VLOOKUP(_1_541284561214624104645789101745678[[#This Row],[Type]],Main[[#All],[TYPE]:[UNIT]],'Unit Price'!H$1,FALSE),0)</f>
        <v>0</v>
      </c>
      <c r="K478" s="194">
        <f>IF(_1_541284561214624104645789101745678[[#This Row],[Discount selection]]&gt;0,VLOOKUP(_1_541284561214624104645789101745678[[#This Row],[Discount selection]],'Discount Structure'!$A$2:$B$30,2,"false"),0)</f>
        <v>1</v>
      </c>
      <c r="L478" s="194">
        <f>_1_541284561214624104645789101745678[[#This Row],[LIST $]]*_1_541284561214624104645789101745678[[#This Row],[DISCOUNT]]*_1_541284561214624104645789101745678[[#This Row],[DISCOUNT 2]]</f>
        <v>0</v>
      </c>
      <c r="M478" s="194">
        <f>IF(OR(_1_541284561214624104645789101745678[[#This Row],[UNIT]]&gt;0,_1_541284561214624104645789101745678[[#This Row],[UNIT]]&lt;0),_1_541284561214624104645789101745678[[#This Row],[UNIT]]*_1_541284561214624104645789101745678[[#This Row],[COST]],0)</f>
        <v>0</v>
      </c>
      <c r="N478" s="194">
        <f t="shared" si="7"/>
        <v>1.3</v>
      </c>
      <c r="O478" s="198">
        <f>_1_541284561214624104645789101745678[[#This Row],[TOTAL]]*_1_541284561214624104645789101745678[[#This Row],[MARGIN]]</f>
        <v>0</v>
      </c>
      <c r="R478" s="41"/>
    </row>
    <row r="479" spans="1:18">
      <c r="D479" s="188"/>
      <c r="F479" s="168" t="s">
        <v>6202</v>
      </c>
      <c r="G479" s="193">
        <f>IF(_1_541284561214624104645789101745678[[#This Row],[Type]]&gt;0,VLOOKUP(_1_541284561214624104645789101745678[[#This Row],[Type]],Main[[#All],[TYPE]:[UNIT]],'Unit Price'!C$1,FALSE),0)</f>
        <v>0</v>
      </c>
      <c r="H479" s="197">
        <f>IF(_1_541284561214624104645789101745678[[#This Row],[Type]]&gt;0,VLOOKUP(_1_541284561214624104645789101745678[[#This Row],[Type]],Main[[#All],[TYPE]:[UNIT]],'Unit Price'!D$1,FALSE),0)</f>
        <v>0</v>
      </c>
      <c r="I479" s="194">
        <f>IF(_1_541284561214624104645789101745678[[#This Row],[Type]]&gt;0,VLOOKUP(_1_541284561214624104645789101745678[[#This Row],[Type]],Main[[#All],[TYPE]:[UNIT]],'Unit Price'!G$1,FALSE),0)</f>
        <v>0</v>
      </c>
      <c r="J479" s="194">
        <f>IF(_1_541284561214624104645789101745678[[#This Row],[Type]]&gt;0,VLOOKUP(_1_541284561214624104645789101745678[[#This Row],[Type]],Main[[#All],[TYPE]:[UNIT]],'Unit Price'!H$1,FALSE),0)</f>
        <v>0</v>
      </c>
      <c r="K479" s="194">
        <f>IF(_1_541284561214624104645789101745678[[#This Row],[Discount selection]]&gt;0,VLOOKUP(_1_541284561214624104645789101745678[[#This Row],[Discount selection]],'Discount Structure'!$A$2:$B$30,2,"false"),0)</f>
        <v>1</v>
      </c>
      <c r="L479" s="194">
        <f>_1_541284561214624104645789101745678[[#This Row],[LIST $]]*_1_541284561214624104645789101745678[[#This Row],[DISCOUNT]]*_1_541284561214624104645789101745678[[#This Row],[DISCOUNT 2]]</f>
        <v>0</v>
      </c>
      <c r="M479" s="194">
        <f>IF(OR(_1_541284561214624104645789101745678[[#This Row],[UNIT]]&gt;0,_1_541284561214624104645789101745678[[#This Row],[UNIT]]&lt;0),_1_541284561214624104645789101745678[[#This Row],[UNIT]]*_1_541284561214624104645789101745678[[#This Row],[COST]],0)</f>
        <v>0</v>
      </c>
      <c r="N479" s="194">
        <f t="shared" si="7"/>
        <v>1.3</v>
      </c>
      <c r="O479" s="198">
        <f>_1_541284561214624104645789101745678[[#This Row],[TOTAL]]*_1_541284561214624104645789101745678[[#This Row],[MARGIN]]</f>
        <v>0</v>
      </c>
      <c r="R479" s="41"/>
    </row>
    <row r="480" spans="1:18">
      <c r="D480" s="188"/>
      <c r="F480" s="168" t="s">
        <v>6202</v>
      </c>
      <c r="G480" s="193">
        <f>IF(_1_541284561214624104645789101745678[[#This Row],[Type]]&gt;0,VLOOKUP(_1_541284561214624104645789101745678[[#This Row],[Type]],Main[[#All],[TYPE]:[UNIT]],'Unit Price'!C$1,FALSE),0)</f>
        <v>0</v>
      </c>
      <c r="H480" s="197">
        <f>IF(_1_541284561214624104645789101745678[[#This Row],[Type]]&gt;0,VLOOKUP(_1_541284561214624104645789101745678[[#This Row],[Type]],Main[[#All],[TYPE]:[UNIT]],'Unit Price'!D$1,FALSE),0)</f>
        <v>0</v>
      </c>
      <c r="I480" s="194">
        <f>IF(_1_541284561214624104645789101745678[[#This Row],[Type]]&gt;0,VLOOKUP(_1_541284561214624104645789101745678[[#This Row],[Type]],Main[[#All],[TYPE]:[UNIT]],'Unit Price'!G$1,FALSE),0)</f>
        <v>0</v>
      </c>
      <c r="J480" s="194">
        <f>IF(_1_541284561214624104645789101745678[[#This Row],[Type]]&gt;0,VLOOKUP(_1_541284561214624104645789101745678[[#This Row],[Type]],Main[[#All],[TYPE]:[UNIT]],'Unit Price'!H$1,FALSE),0)</f>
        <v>0</v>
      </c>
      <c r="K480" s="194">
        <f>IF(_1_541284561214624104645789101745678[[#This Row],[Discount selection]]&gt;0,VLOOKUP(_1_541284561214624104645789101745678[[#This Row],[Discount selection]],'Discount Structure'!$A$2:$B$30,2,"false"),0)</f>
        <v>1</v>
      </c>
      <c r="L480" s="194">
        <f>_1_541284561214624104645789101745678[[#This Row],[LIST $]]*_1_541284561214624104645789101745678[[#This Row],[DISCOUNT]]*_1_541284561214624104645789101745678[[#This Row],[DISCOUNT 2]]</f>
        <v>0</v>
      </c>
      <c r="M480" s="194">
        <f>IF(OR(_1_541284561214624104645789101745678[[#This Row],[UNIT]]&gt;0,_1_541284561214624104645789101745678[[#This Row],[UNIT]]&lt;0),_1_541284561214624104645789101745678[[#This Row],[UNIT]]*_1_541284561214624104645789101745678[[#This Row],[COST]],0)</f>
        <v>0</v>
      </c>
      <c r="N480" s="194">
        <f t="shared" si="7"/>
        <v>1.3</v>
      </c>
      <c r="O480" s="198">
        <f>_1_541284561214624104645789101745678[[#This Row],[TOTAL]]*_1_541284561214624104645789101745678[[#This Row],[MARGIN]]</f>
        <v>0</v>
      </c>
      <c r="R480" s="41"/>
    </row>
    <row r="481" spans="1:18">
      <c r="D481" s="188"/>
      <c r="F481" s="168" t="s">
        <v>6202</v>
      </c>
      <c r="G481" s="193">
        <f>IF(_1_541284561214624104645789101745678[[#This Row],[Type]]&gt;0,VLOOKUP(_1_541284561214624104645789101745678[[#This Row],[Type]],Main[[#All],[TYPE]:[UNIT]],'Unit Price'!C$1,FALSE),0)</f>
        <v>0</v>
      </c>
      <c r="H481" s="197">
        <f>IF(_1_541284561214624104645789101745678[[#This Row],[Type]]&gt;0,VLOOKUP(_1_541284561214624104645789101745678[[#This Row],[Type]],Main[[#All],[TYPE]:[UNIT]],'Unit Price'!D$1,FALSE),0)</f>
        <v>0</v>
      </c>
      <c r="I481" s="194">
        <f>IF(_1_541284561214624104645789101745678[[#This Row],[Type]]&gt;0,VLOOKUP(_1_541284561214624104645789101745678[[#This Row],[Type]],Main[[#All],[TYPE]:[UNIT]],'Unit Price'!G$1,FALSE),0)</f>
        <v>0</v>
      </c>
      <c r="J481" s="194">
        <f>IF(_1_541284561214624104645789101745678[[#This Row],[Type]]&gt;0,VLOOKUP(_1_541284561214624104645789101745678[[#This Row],[Type]],Main[[#All],[TYPE]:[UNIT]],'Unit Price'!H$1,FALSE),0)</f>
        <v>0</v>
      </c>
      <c r="K481" s="194">
        <f>IF(_1_541284561214624104645789101745678[[#This Row],[Discount selection]]&gt;0,VLOOKUP(_1_541284561214624104645789101745678[[#This Row],[Discount selection]],'Discount Structure'!$A$2:$B$30,2,"false"),0)</f>
        <v>1</v>
      </c>
      <c r="L481" s="194">
        <f>_1_541284561214624104645789101745678[[#This Row],[LIST $]]*_1_541284561214624104645789101745678[[#This Row],[DISCOUNT]]*_1_541284561214624104645789101745678[[#This Row],[DISCOUNT 2]]</f>
        <v>0</v>
      </c>
      <c r="M481" s="194">
        <f>IF(OR(_1_541284561214624104645789101745678[[#This Row],[UNIT]]&gt;0,_1_541284561214624104645789101745678[[#This Row],[UNIT]]&lt;0),_1_541284561214624104645789101745678[[#This Row],[UNIT]]*_1_541284561214624104645789101745678[[#This Row],[COST]],0)</f>
        <v>0</v>
      </c>
      <c r="N481" s="194">
        <f t="shared" si="7"/>
        <v>1.3</v>
      </c>
      <c r="O481" s="198">
        <f>_1_541284561214624104645789101745678[[#This Row],[TOTAL]]*_1_541284561214624104645789101745678[[#This Row],[MARGIN]]</f>
        <v>0</v>
      </c>
      <c r="R481" s="41"/>
    </row>
    <row r="482" spans="1:18">
      <c r="D482" s="188"/>
      <c r="F482" s="168" t="s">
        <v>6202</v>
      </c>
      <c r="G482" s="193">
        <f>IF(_1_541284561214624104645789101745678[[#This Row],[Type]]&gt;0,VLOOKUP(_1_541284561214624104645789101745678[[#This Row],[Type]],Main[[#All],[TYPE]:[UNIT]],'Unit Price'!C$1,FALSE),0)</f>
        <v>0</v>
      </c>
      <c r="H482" s="197">
        <f>IF(_1_541284561214624104645789101745678[[#This Row],[Type]]&gt;0,VLOOKUP(_1_541284561214624104645789101745678[[#This Row],[Type]],Main[[#All],[TYPE]:[UNIT]],'Unit Price'!D$1,FALSE),0)</f>
        <v>0</v>
      </c>
      <c r="I482" s="194">
        <f>IF(_1_541284561214624104645789101745678[[#This Row],[Type]]&gt;0,VLOOKUP(_1_541284561214624104645789101745678[[#This Row],[Type]],Main[[#All],[TYPE]:[UNIT]],'Unit Price'!G$1,FALSE),0)</f>
        <v>0</v>
      </c>
      <c r="J482" s="194">
        <f>IF(_1_541284561214624104645789101745678[[#This Row],[Type]]&gt;0,VLOOKUP(_1_541284561214624104645789101745678[[#This Row],[Type]],Main[[#All],[TYPE]:[UNIT]],'Unit Price'!H$1,FALSE),0)</f>
        <v>0</v>
      </c>
      <c r="K482" s="194">
        <f>IF(_1_541284561214624104645789101745678[[#This Row],[Discount selection]]&gt;0,VLOOKUP(_1_541284561214624104645789101745678[[#This Row],[Discount selection]],'Discount Structure'!$A$2:$B$30,2,"false"),0)</f>
        <v>1</v>
      </c>
      <c r="L482" s="194">
        <f>_1_541284561214624104645789101745678[[#This Row],[LIST $]]*_1_541284561214624104645789101745678[[#This Row],[DISCOUNT]]*_1_541284561214624104645789101745678[[#This Row],[DISCOUNT 2]]</f>
        <v>0</v>
      </c>
      <c r="M482" s="194">
        <f>IF(OR(_1_541284561214624104645789101745678[[#This Row],[UNIT]]&gt;0,_1_541284561214624104645789101745678[[#This Row],[UNIT]]&lt;0),_1_541284561214624104645789101745678[[#This Row],[UNIT]]*_1_541284561214624104645789101745678[[#This Row],[COST]],0)</f>
        <v>0</v>
      </c>
      <c r="N482" s="194">
        <f t="shared" si="7"/>
        <v>1.3</v>
      </c>
      <c r="O482" s="198">
        <f>_1_541284561214624104645789101745678[[#This Row],[TOTAL]]*_1_541284561214624104645789101745678[[#This Row],[MARGIN]]</f>
        <v>0</v>
      </c>
      <c r="R482" s="41"/>
    </row>
    <row r="483" spans="1:18">
      <c r="D483" s="188"/>
      <c r="F483" s="168" t="s">
        <v>6202</v>
      </c>
      <c r="G483" s="193">
        <f>IF(_1_541284561214624104645789101745678[[#This Row],[Type]]&gt;0,VLOOKUP(_1_541284561214624104645789101745678[[#This Row],[Type]],Main[[#All],[TYPE]:[UNIT]],'Unit Price'!C$1,FALSE),0)</f>
        <v>0</v>
      </c>
      <c r="H483" s="197">
        <f>IF(_1_541284561214624104645789101745678[[#This Row],[Type]]&gt;0,VLOOKUP(_1_541284561214624104645789101745678[[#This Row],[Type]],Main[[#All],[TYPE]:[UNIT]],'Unit Price'!D$1,FALSE),0)</f>
        <v>0</v>
      </c>
      <c r="I483" s="194">
        <f>IF(_1_541284561214624104645789101745678[[#This Row],[Type]]&gt;0,VLOOKUP(_1_541284561214624104645789101745678[[#This Row],[Type]],Main[[#All],[TYPE]:[UNIT]],'Unit Price'!G$1,FALSE),0)</f>
        <v>0</v>
      </c>
      <c r="J483" s="194">
        <f>IF(_1_541284561214624104645789101745678[[#This Row],[Type]]&gt;0,VLOOKUP(_1_541284561214624104645789101745678[[#This Row],[Type]],Main[[#All],[TYPE]:[UNIT]],'Unit Price'!H$1,FALSE),0)</f>
        <v>0</v>
      </c>
      <c r="K483" s="194">
        <f>IF(_1_541284561214624104645789101745678[[#This Row],[Discount selection]]&gt;0,VLOOKUP(_1_541284561214624104645789101745678[[#This Row],[Discount selection]],'Discount Structure'!$A$2:$B$30,2,"false"),0)</f>
        <v>1</v>
      </c>
      <c r="L483" s="194">
        <f>_1_541284561214624104645789101745678[[#This Row],[LIST $]]*_1_541284561214624104645789101745678[[#This Row],[DISCOUNT]]*_1_541284561214624104645789101745678[[#This Row],[DISCOUNT 2]]</f>
        <v>0</v>
      </c>
      <c r="M483" s="194">
        <f>IF(OR(_1_541284561214624104645789101745678[[#This Row],[UNIT]]&gt;0,_1_541284561214624104645789101745678[[#This Row],[UNIT]]&lt;0),_1_541284561214624104645789101745678[[#This Row],[UNIT]]*_1_541284561214624104645789101745678[[#This Row],[COST]],0)</f>
        <v>0</v>
      </c>
      <c r="N483" s="194">
        <f t="shared" si="7"/>
        <v>1.3</v>
      </c>
      <c r="O483" s="198">
        <f>_1_541284561214624104645789101745678[[#This Row],[TOTAL]]*_1_541284561214624104645789101745678[[#This Row],[MARGIN]]</f>
        <v>0</v>
      </c>
      <c r="R483" s="41"/>
    </row>
    <row r="484" spans="1:18">
      <c r="D484" s="188"/>
      <c r="F484" s="168" t="s">
        <v>6202</v>
      </c>
      <c r="G484" s="193">
        <f>IF(_1_541284561214624104645789101745678[[#This Row],[Type]]&gt;0,VLOOKUP(_1_541284561214624104645789101745678[[#This Row],[Type]],Main[[#All],[TYPE]:[UNIT]],'Unit Price'!C$1,FALSE),0)</f>
        <v>0</v>
      </c>
      <c r="H484" s="197">
        <f>IF(_1_541284561214624104645789101745678[[#This Row],[Type]]&gt;0,VLOOKUP(_1_541284561214624104645789101745678[[#This Row],[Type]],Main[[#All],[TYPE]:[UNIT]],'Unit Price'!D$1,FALSE),0)</f>
        <v>0</v>
      </c>
      <c r="I484" s="194">
        <f>IF(_1_541284561214624104645789101745678[[#This Row],[Type]]&gt;0,VLOOKUP(_1_541284561214624104645789101745678[[#This Row],[Type]],Main[[#All],[TYPE]:[UNIT]],'Unit Price'!G$1,FALSE),0)</f>
        <v>0</v>
      </c>
      <c r="J484" s="194">
        <f>IF(_1_541284561214624104645789101745678[[#This Row],[Type]]&gt;0,VLOOKUP(_1_541284561214624104645789101745678[[#This Row],[Type]],Main[[#All],[TYPE]:[UNIT]],'Unit Price'!H$1,FALSE),0)</f>
        <v>0</v>
      </c>
      <c r="K484" s="194">
        <f>IF(_1_541284561214624104645789101745678[[#This Row],[Discount selection]]&gt;0,VLOOKUP(_1_541284561214624104645789101745678[[#This Row],[Discount selection]],'Discount Structure'!$A$2:$B$30,2,"false"),0)</f>
        <v>1</v>
      </c>
      <c r="L484" s="194">
        <f>_1_541284561214624104645789101745678[[#This Row],[LIST $]]*_1_541284561214624104645789101745678[[#This Row],[DISCOUNT]]*_1_541284561214624104645789101745678[[#This Row],[DISCOUNT 2]]</f>
        <v>0</v>
      </c>
      <c r="M484" s="194">
        <f>IF(OR(_1_541284561214624104645789101745678[[#This Row],[UNIT]]&gt;0,_1_541284561214624104645789101745678[[#This Row],[UNIT]]&lt;0),_1_541284561214624104645789101745678[[#This Row],[UNIT]]*_1_541284561214624104645789101745678[[#This Row],[COST]],0)</f>
        <v>0</v>
      </c>
      <c r="N484" s="194">
        <f t="shared" si="7"/>
        <v>1.3</v>
      </c>
      <c r="O484" s="198">
        <f>_1_541284561214624104645789101745678[[#This Row],[TOTAL]]*_1_541284561214624104645789101745678[[#This Row],[MARGIN]]</f>
        <v>0</v>
      </c>
      <c r="R484" s="41"/>
    </row>
    <row r="485" spans="1:18">
      <c r="D485" s="188"/>
      <c r="F485" s="168" t="s">
        <v>6202</v>
      </c>
      <c r="G485" s="193">
        <f>IF(_1_541284561214624104645789101745678[[#This Row],[Type]]&gt;0,VLOOKUP(_1_541284561214624104645789101745678[[#This Row],[Type]],Main[[#All],[TYPE]:[UNIT]],'Unit Price'!C$1,FALSE),0)</f>
        <v>0</v>
      </c>
      <c r="H485" s="197">
        <f>IF(_1_541284561214624104645789101745678[[#This Row],[Type]]&gt;0,VLOOKUP(_1_541284561214624104645789101745678[[#This Row],[Type]],Main[[#All],[TYPE]:[UNIT]],'Unit Price'!D$1,FALSE),0)</f>
        <v>0</v>
      </c>
      <c r="I485" s="194">
        <f>IF(_1_541284561214624104645789101745678[[#This Row],[Type]]&gt;0,VLOOKUP(_1_541284561214624104645789101745678[[#This Row],[Type]],Main[[#All],[TYPE]:[UNIT]],'Unit Price'!G$1,FALSE),0)</f>
        <v>0</v>
      </c>
      <c r="J485" s="194">
        <f>IF(_1_541284561214624104645789101745678[[#This Row],[Type]]&gt;0,VLOOKUP(_1_541284561214624104645789101745678[[#This Row],[Type]],Main[[#All],[TYPE]:[UNIT]],'Unit Price'!H$1,FALSE),0)</f>
        <v>0</v>
      </c>
      <c r="K485" s="194">
        <f>IF(_1_541284561214624104645789101745678[[#This Row],[Discount selection]]&gt;0,VLOOKUP(_1_541284561214624104645789101745678[[#This Row],[Discount selection]],'Discount Structure'!$A$2:$B$30,2,"false"),0)</f>
        <v>1</v>
      </c>
      <c r="L485" s="194">
        <f>_1_541284561214624104645789101745678[[#This Row],[LIST $]]*_1_541284561214624104645789101745678[[#This Row],[DISCOUNT]]*_1_541284561214624104645789101745678[[#This Row],[DISCOUNT 2]]</f>
        <v>0</v>
      </c>
      <c r="M485" s="194">
        <f>IF(OR(_1_541284561214624104645789101745678[[#This Row],[UNIT]]&gt;0,_1_541284561214624104645789101745678[[#This Row],[UNIT]]&lt;0),_1_541284561214624104645789101745678[[#This Row],[UNIT]]*_1_541284561214624104645789101745678[[#This Row],[COST]],0)</f>
        <v>0</v>
      </c>
      <c r="N485" s="194">
        <f t="shared" si="7"/>
        <v>1.3</v>
      </c>
      <c r="O485" s="198">
        <f>_1_541284561214624104645789101745678[[#This Row],[TOTAL]]*_1_541284561214624104645789101745678[[#This Row],[MARGIN]]</f>
        <v>0</v>
      </c>
      <c r="R485" s="41"/>
    </row>
    <row r="486" spans="1:18">
      <c r="D486" s="188"/>
      <c r="F486" s="168" t="s">
        <v>6202</v>
      </c>
      <c r="G486" s="193">
        <f>IF(_1_541284561214624104645789101745678[[#This Row],[Type]]&gt;0,VLOOKUP(_1_541284561214624104645789101745678[[#This Row],[Type]],Main[[#All],[TYPE]:[UNIT]],'Unit Price'!C$1,FALSE),0)</f>
        <v>0</v>
      </c>
      <c r="H486" s="197">
        <f>IF(_1_541284561214624104645789101745678[[#This Row],[Type]]&gt;0,VLOOKUP(_1_541284561214624104645789101745678[[#This Row],[Type]],Main[[#All],[TYPE]:[UNIT]],'Unit Price'!D$1,FALSE),0)</f>
        <v>0</v>
      </c>
      <c r="I486" s="194">
        <f>IF(_1_541284561214624104645789101745678[[#This Row],[Type]]&gt;0,VLOOKUP(_1_541284561214624104645789101745678[[#This Row],[Type]],Main[[#All],[TYPE]:[UNIT]],'Unit Price'!G$1,FALSE),0)</f>
        <v>0</v>
      </c>
      <c r="J486" s="194">
        <f>IF(_1_541284561214624104645789101745678[[#This Row],[Type]]&gt;0,VLOOKUP(_1_541284561214624104645789101745678[[#This Row],[Type]],Main[[#All],[TYPE]:[UNIT]],'Unit Price'!H$1,FALSE),0)</f>
        <v>0</v>
      </c>
      <c r="K486" s="194">
        <f>IF(_1_541284561214624104645789101745678[[#This Row],[Discount selection]]&gt;0,VLOOKUP(_1_541284561214624104645789101745678[[#This Row],[Discount selection]],'Discount Structure'!$A$2:$B$30,2,"false"),0)</f>
        <v>1</v>
      </c>
      <c r="L486" s="194">
        <f>_1_541284561214624104645789101745678[[#This Row],[LIST $]]*_1_541284561214624104645789101745678[[#This Row],[DISCOUNT]]*_1_541284561214624104645789101745678[[#This Row],[DISCOUNT 2]]</f>
        <v>0</v>
      </c>
      <c r="M486" s="194">
        <f>IF(OR(_1_541284561214624104645789101745678[[#This Row],[UNIT]]&gt;0,_1_541284561214624104645789101745678[[#This Row],[UNIT]]&lt;0),_1_541284561214624104645789101745678[[#This Row],[UNIT]]*_1_541284561214624104645789101745678[[#This Row],[COST]],0)</f>
        <v>0</v>
      </c>
      <c r="N486" s="194">
        <f t="shared" si="7"/>
        <v>1.3</v>
      </c>
      <c r="O486" s="198">
        <f>_1_541284561214624104645789101745678[[#This Row],[TOTAL]]*_1_541284561214624104645789101745678[[#This Row],[MARGIN]]</f>
        <v>0</v>
      </c>
      <c r="R486" s="41"/>
    </row>
    <row r="487" spans="1:18">
      <c r="D487" s="188"/>
      <c r="F487" s="168" t="s">
        <v>6202</v>
      </c>
      <c r="G487" s="193">
        <f>IF(_1_541284561214624104645789101745678[[#This Row],[Type]]&gt;0,VLOOKUP(_1_541284561214624104645789101745678[[#This Row],[Type]],Main[[#All],[TYPE]:[UNIT]],'Unit Price'!C$1,FALSE),0)</f>
        <v>0</v>
      </c>
      <c r="H487" s="197">
        <f>IF(_1_541284561214624104645789101745678[[#This Row],[Type]]&gt;0,VLOOKUP(_1_541284561214624104645789101745678[[#This Row],[Type]],Main[[#All],[TYPE]:[UNIT]],'Unit Price'!D$1,FALSE),0)</f>
        <v>0</v>
      </c>
      <c r="I487" s="194">
        <f>IF(_1_541284561214624104645789101745678[[#This Row],[Type]]&gt;0,VLOOKUP(_1_541284561214624104645789101745678[[#This Row],[Type]],Main[[#All],[TYPE]:[UNIT]],'Unit Price'!G$1,FALSE),0)</f>
        <v>0</v>
      </c>
      <c r="J487" s="194">
        <f>IF(_1_541284561214624104645789101745678[[#This Row],[Type]]&gt;0,VLOOKUP(_1_541284561214624104645789101745678[[#This Row],[Type]],Main[[#All],[TYPE]:[UNIT]],'Unit Price'!H$1,FALSE),0)</f>
        <v>0</v>
      </c>
      <c r="K487" s="194">
        <f>IF(_1_541284561214624104645789101745678[[#This Row],[Discount selection]]&gt;0,VLOOKUP(_1_541284561214624104645789101745678[[#This Row],[Discount selection]],'Discount Structure'!$A$2:$B$30,2,"false"),0)</f>
        <v>1</v>
      </c>
      <c r="L487" s="194">
        <f>_1_541284561214624104645789101745678[[#This Row],[LIST $]]*_1_541284561214624104645789101745678[[#This Row],[DISCOUNT]]*_1_541284561214624104645789101745678[[#This Row],[DISCOUNT 2]]</f>
        <v>0</v>
      </c>
      <c r="M487" s="194">
        <f>IF(OR(_1_541284561214624104645789101745678[[#This Row],[UNIT]]&gt;0,_1_541284561214624104645789101745678[[#This Row],[UNIT]]&lt;0),_1_541284561214624104645789101745678[[#This Row],[UNIT]]*_1_541284561214624104645789101745678[[#This Row],[COST]],0)</f>
        <v>0</v>
      </c>
      <c r="N487" s="194">
        <f t="shared" si="7"/>
        <v>1.3</v>
      </c>
      <c r="O487" s="198">
        <f>_1_541284561214624104645789101745678[[#This Row],[TOTAL]]*_1_541284561214624104645789101745678[[#This Row],[MARGIN]]</f>
        <v>0</v>
      </c>
      <c r="R487" s="41"/>
    </row>
    <row r="488" spans="1:18">
      <c r="A488" s="168"/>
      <c r="D488" s="188"/>
      <c r="F488" s="168" t="s">
        <v>6202</v>
      </c>
      <c r="G488" s="193">
        <f>IF(_1_541284561214624104645789101745678[[#This Row],[Type]]&gt;0,VLOOKUP(_1_541284561214624104645789101745678[[#This Row],[Type]],Main[[#All],[TYPE]:[UNIT]],'Unit Price'!C$1,FALSE),0)</f>
        <v>0</v>
      </c>
      <c r="H488" s="197">
        <f>IF(_1_541284561214624104645789101745678[[#This Row],[Type]]&gt;0,VLOOKUP(_1_541284561214624104645789101745678[[#This Row],[Type]],Main[[#All],[TYPE]:[UNIT]],'Unit Price'!D$1,FALSE),0)</f>
        <v>0</v>
      </c>
      <c r="I488" s="194">
        <f>IF(_1_541284561214624104645789101745678[[#This Row],[Type]]&gt;0,VLOOKUP(_1_541284561214624104645789101745678[[#This Row],[Type]],Main[[#All],[TYPE]:[UNIT]],'Unit Price'!G$1,FALSE),0)</f>
        <v>0</v>
      </c>
      <c r="J488" s="194">
        <f>IF(_1_541284561214624104645789101745678[[#This Row],[Type]]&gt;0,VLOOKUP(_1_541284561214624104645789101745678[[#This Row],[Type]],Main[[#All],[TYPE]:[UNIT]],'Unit Price'!H$1,FALSE),0)</f>
        <v>0</v>
      </c>
      <c r="K488" s="194">
        <f>IF(_1_541284561214624104645789101745678[[#This Row],[Discount selection]]&gt;0,VLOOKUP(_1_541284561214624104645789101745678[[#This Row],[Discount selection]],'Discount Structure'!$A$2:$B$30,2,"false"),0)</f>
        <v>1</v>
      </c>
      <c r="L488" s="194">
        <f>_1_541284561214624104645789101745678[[#This Row],[LIST $]]*_1_541284561214624104645789101745678[[#This Row],[DISCOUNT]]*_1_541284561214624104645789101745678[[#This Row],[DISCOUNT 2]]</f>
        <v>0</v>
      </c>
      <c r="M488" s="194">
        <f>IF(OR(_1_541284561214624104645789101745678[[#This Row],[UNIT]]&gt;0,_1_541284561214624104645789101745678[[#This Row],[UNIT]]&lt;0),_1_541284561214624104645789101745678[[#This Row],[UNIT]]*_1_541284561214624104645789101745678[[#This Row],[COST]],0)</f>
        <v>0</v>
      </c>
      <c r="N488" s="194">
        <f t="shared" si="7"/>
        <v>1.3</v>
      </c>
      <c r="O488" s="198">
        <f>_1_541284561214624104645789101745678[[#This Row],[TOTAL]]*_1_541284561214624104645789101745678[[#This Row],[MARGIN]]</f>
        <v>0</v>
      </c>
      <c r="R488" s="41"/>
    </row>
    <row r="489" spans="1:18">
      <c r="B489" s="168"/>
      <c r="D489" s="188"/>
      <c r="F489" s="168" t="s">
        <v>6202</v>
      </c>
      <c r="G489" s="193">
        <f>IF(_1_541284561214624104645789101745678[[#This Row],[Type]]&gt;0,VLOOKUP(_1_541284561214624104645789101745678[[#This Row],[Type]],Main[[#All],[TYPE]:[UNIT]],'Unit Price'!C$1,FALSE),0)</f>
        <v>0</v>
      </c>
      <c r="H489" s="197">
        <f>IF(_1_541284561214624104645789101745678[[#This Row],[Type]]&gt;0,VLOOKUP(_1_541284561214624104645789101745678[[#This Row],[Type]],Main[[#All],[TYPE]:[UNIT]],'Unit Price'!D$1,FALSE),0)</f>
        <v>0</v>
      </c>
      <c r="I489" s="194">
        <f>IF(_1_541284561214624104645789101745678[[#This Row],[Type]]&gt;0,VLOOKUP(_1_541284561214624104645789101745678[[#This Row],[Type]],Main[[#All],[TYPE]:[UNIT]],'Unit Price'!G$1,FALSE),0)</f>
        <v>0</v>
      </c>
      <c r="J489" s="194">
        <f>IF(_1_541284561214624104645789101745678[[#This Row],[Type]]&gt;0,VLOOKUP(_1_541284561214624104645789101745678[[#This Row],[Type]],Main[[#All],[TYPE]:[UNIT]],'Unit Price'!H$1,FALSE),0)</f>
        <v>0</v>
      </c>
      <c r="K489" s="194">
        <f>IF(_1_541284561214624104645789101745678[[#This Row],[Discount selection]]&gt;0,VLOOKUP(_1_541284561214624104645789101745678[[#This Row],[Discount selection]],'Discount Structure'!$A$2:$B$30,2,"false"),0)</f>
        <v>1</v>
      </c>
      <c r="L489" s="194">
        <f>_1_541284561214624104645789101745678[[#This Row],[LIST $]]*_1_541284561214624104645789101745678[[#This Row],[DISCOUNT]]*_1_541284561214624104645789101745678[[#This Row],[DISCOUNT 2]]</f>
        <v>0</v>
      </c>
      <c r="M489" s="194">
        <f>IF(OR(_1_541284561214624104645789101745678[[#This Row],[UNIT]]&gt;0,_1_541284561214624104645789101745678[[#This Row],[UNIT]]&lt;0),_1_541284561214624104645789101745678[[#This Row],[UNIT]]*_1_541284561214624104645789101745678[[#This Row],[COST]],0)</f>
        <v>0</v>
      </c>
      <c r="N489" s="194">
        <f t="shared" si="7"/>
        <v>1.3</v>
      </c>
      <c r="O489" s="198">
        <f>_1_541284561214624104645789101745678[[#This Row],[TOTAL]]*_1_541284561214624104645789101745678[[#This Row],[MARGIN]]</f>
        <v>0</v>
      </c>
      <c r="R489" s="41"/>
    </row>
    <row r="490" spans="1:18">
      <c r="D490" s="188"/>
      <c r="F490" s="168" t="s">
        <v>6202</v>
      </c>
      <c r="G490" s="193">
        <f>IF(_1_541284561214624104645789101745678[[#This Row],[Type]]&gt;0,VLOOKUP(_1_541284561214624104645789101745678[[#This Row],[Type]],Main[[#All],[TYPE]:[UNIT]],'Unit Price'!C$1,FALSE),0)</f>
        <v>0</v>
      </c>
      <c r="H490" s="197">
        <f>IF(_1_541284561214624104645789101745678[[#This Row],[Type]]&gt;0,VLOOKUP(_1_541284561214624104645789101745678[[#This Row],[Type]],Main[[#All],[TYPE]:[UNIT]],'Unit Price'!D$1,FALSE),0)</f>
        <v>0</v>
      </c>
      <c r="I490" s="194">
        <f>IF(_1_541284561214624104645789101745678[[#This Row],[Type]]&gt;0,VLOOKUP(_1_541284561214624104645789101745678[[#This Row],[Type]],Main[[#All],[TYPE]:[UNIT]],'Unit Price'!G$1,FALSE),0)</f>
        <v>0</v>
      </c>
      <c r="J490" s="194">
        <f>IF(_1_541284561214624104645789101745678[[#This Row],[Type]]&gt;0,VLOOKUP(_1_541284561214624104645789101745678[[#This Row],[Type]],Main[[#All],[TYPE]:[UNIT]],'Unit Price'!H$1,FALSE),0)</f>
        <v>0</v>
      </c>
      <c r="K490" s="194">
        <f>IF(_1_541284561214624104645789101745678[[#This Row],[Discount selection]]&gt;0,VLOOKUP(_1_541284561214624104645789101745678[[#This Row],[Discount selection]],'Discount Structure'!$A$2:$B$30,2,"false"),0)</f>
        <v>1</v>
      </c>
      <c r="L490" s="194">
        <f>_1_541284561214624104645789101745678[[#This Row],[LIST $]]*_1_541284561214624104645789101745678[[#This Row],[DISCOUNT]]*_1_541284561214624104645789101745678[[#This Row],[DISCOUNT 2]]</f>
        <v>0</v>
      </c>
      <c r="M490" s="194">
        <f>IF(OR(_1_541284561214624104645789101745678[[#This Row],[UNIT]]&gt;0,_1_541284561214624104645789101745678[[#This Row],[UNIT]]&lt;0),_1_541284561214624104645789101745678[[#This Row],[UNIT]]*_1_541284561214624104645789101745678[[#This Row],[COST]],0)</f>
        <v>0</v>
      </c>
      <c r="N490" s="194">
        <f t="shared" si="7"/>
        <v>1.3</v>
      </c>
      <c r="O490" s="198">
        <f>_1_541284561214624104645789101745678[[#This Row],[TOTAL]]*_1_541284561214624104645789101745678[[#This Row],[MARGIN]]</f>
        <v>0</v>
      </c>
      <c r="R490" s="41"/>
    </row>
    <row r="491" spans="1:18">
      <c r="D491" s="188"/>
      <c r="F491" s="168" t="s">
        <v>6202</v>
      </c>
      <c r="G491" s="193">
        <f>IF(_1_541284561214624104645789101745678[[#This Row],[Type]]&gt;0,VLOOKUP(_1_541284561214624104645789101745678[[#This Row],[Type]],Main[[#All],[TYPE]:[UNIT]],'Unit Price'!C$1,FALSE),0)</f>
        <v>0</v>
      </c>
      <c r="H491" s="197">
        <f>IF(_1_541284561214624104645789101745678[[#This Row],[Type]]&gt;0,VLOOKUP(_1_541284561214624104645789101745678[[#This Row],[Type]],Main[[#All],[TYPE]:[UNIT]],'Unit Price'!D$1,FALSE),0)</f>
        <v>0</v>
      </c>
      <c r="I491" s="194">
        <f>IF(_1_541284561214624104645789101745678[[#This Row],[Type]]&gt;0,VLOOKUP(_1_541284561214624104645789101745678[[#This Row],[Type]],Main[[#All],[TYPE]:[UNIT]],'Unit Price'!G$1,FALSE),0)</f>
        <v>0</v>
      </c>
      <c r="J491" s="194">
        <f>IF(_1_541284561214624104645789101745678[[#This Row],[Type]]&gt;0,VLOOKUP(_1_541284561214624104645789101745678[[#This Row],[Type]],Main[[#All],[TYPE]:[UNIT]],'Unit Price'!H$1,FALSE),0)</f>
        <v>0</v>
      </c>
      <c r="K491" s="194">
        <f>IF(_1_541284561214624104645789101745678[[#This Row],[Discount selection]]&gt;0,VLOOKUP(_1_541284561214624104645789101745678[[#This Row],[Discount selection]],'Discount Structure'!$A$2:$B$30,2,"false"),0)</f>
        <v>1</v>
      </c>
      <c r="L491" s="194">
        <f>_1_541284561214624104645789101745678[[#This Row],[LIST $]]*_1_541284561214624104645789101745678[[#This Row],[DISCOUNT]]*_1_541284561214624104645789101745678[[#This Row],[DISCOUNT 2]]</f>
        <v>0</v>
      </c>
      <c r="M491" s="194">
        <f>IF(OR(_1_541284561214624104645789101745678[[#This Row],[UNIT]]&gt;0,_1_541284561214624104645789101745678[[#This Row],[UNIT]]&lt;0),_1_541284561214624104645789101745678[[#This Row],[UNIT]]*_1_541284561214624104645789101745678[[#This Row],[COST]],0)</f>
        <v>0</v>
      </c>
      <c r="N491" s="194">
        <f t="shared" si="7"/>
        <v>1.3</v>
      </c>
      <c r="O491" s="198">
        <f>_1_541284561214624104645789101745678[[#This Row],[TOTAL]]*_1_541284561214624104645789101745678[[#This Row],[MARGIN]]</f>
        <v>0</v>
      </c>
      <c r="R491" s="41"/>
    </row>
    <row r="492" spans="1:18">
      <c r="D492" s="188"/>
      <c r="F492" s="168" t="s">
        <v>6202</v>
      </c>
      <c r="G492" s="193">
        <f>IF(_1_541284561214624104645789101745678[[#This Row],[Type]]&gt;0,VLOOKUP(_1_541284561214624104645789101745678[[#This Row],[Type]],Main[[#All],[TYPE]:[UNIT]],'Unit Price'!C$1,FALSE),0)</f>
        <v>0</v>
      </c>
      <c r="H492" s="197">
        <f>IF(_1_541284561214624104645789101745678[[#This Row],[Type]]&gt;0,VLOOKUP(_1_541284561214624104645789101745678[[#This Row],[Type]],Main[[#All],[TYPE]:[UNIT]],'Unit Price'!D$1,FALSE),0)</f>
        <v>0</v>
      </c>
      <c r="I492" s="194">
        <f>IF(_1_541284561214624104645789101745678[[#This Row],[Type]]&gt;0,VLOOKUP(_1_541284561214624104645789101745678[[#This Row],[Type]],Main[[#All],[TYPE]:[UNIT]],'Unit Price'!G$1,FALSE),0)</f>
        <v>0</v>
      </c>
      <c r="J492" s="194">
        <f>IF(_1_541284561214624104645789101745678[[#This Row],[Type]]&gt;0,VLOOKUP(_1_541284561214624104645789101745678[[#This Row],[Type]],Main[[#All],[TYPE]:[UNIT]],'Unit Price'!H$1,FALSE),0)</f>
        <v>0</v>
      </c>
      <c r="K492" s="194">
        <f>IF(_1_541284561214624104645789101745678[[#This Row],[Discount selection]]&gt;0,VLOOKUP(_1_541284561214624104645789101745678[[#This Row],[Discount selection]],'Discount Structure'!$A$2:$B$30,2,"false"),0)</f>
        <v>1</v>
      </c>
      <c r="L492" s="194">
        <f>_1_541284561214624104645789101745678[[#This Row],[LIST $]]*_1_541284561214624104645789101745678[[#This Row],[DISCOUNT]]*_1_541284561214624104645789101745678[[#This Row],[DISCOUNT 2]]</f>
        <v>0</v>
      </c>
      <c r="M492" s="194">
        <f>IF(OR(_1_541284561214624104645789101745678[[#This Row],[UNIT]]&gt;0,_1_541284561214624104645789101745678[[#This Row],[UNIT]]&lt;0),_1_541284561214624104645789101745678[[#This Row],[UNIT]]*_1_541284561214624104645789101745678[[#This Row],[COST]],0)</f>
        <v>0</v>
      </c>
      <c r="N492" s="194">
        <f t="shared" si="7"/>
        <v>1.3</v>
      </c>
      <c r="O492" s="198">
        <f>_1_541284561214624104645789101745678[[#This Row],[TOTAL]]*_1_541284561214624104645789101745678[[#This Row],[MARGIN]]</f>
        <v>0</v>
      </c>
      <c r="R492" s="41"/>
    </row>
    <row r="493" spans="1:18">
      <c r="D493" s="188"/>
      <c r="F493" s="168" t="s">
        <v>6202</v>
      </c>
      <c r="G493" s="193">
        <f>IF(_1_541284561214624104645789101745678[[#This Row],[Type]]&gt;0,VLOOKUP(_1_541284561214624104645789101745678[[#This Row],[Type]],Main[[#All],[TYPE]:[UNIT]],'Unit Price'!C$1,FALSE),0)</f>
        <v>0</v>
      </c>
      <c r="H493" s="197">
        <f>IF(_1_541284561214624104645789101745678[[#This Row],[Type]]&gt;0,VLOOKUP(_1_541284561214624104645789101745678[[#This Row],[Type]],Main[[#All],[TYPE]:[UNIT]],'Unit Price'!D$1,FALSE),0)</f>
        <v>0</v>
      </c>
      <c r="I493" s="194">
        <f>IF(_1_541284561214624104645789101745678[[#This Row],[Type]]&gt;0,VLOOKUP(_1_541284561214624104645789101745678[[#This Row],[Type]],Main[[#All],[TYPE]:[UNIT]],'Unit Price'!G$1,FALSE),0)</f>
        <v>0</v>
      </c>
      <c r="J493" s="194">
        <f>IF(_1_541284561214624104645789101745678[[#This Row],[Type]]&gt;0,VLOOKUP(_1_541284561214624104645789101745678[[#This Row],[Type]],Main[[#All],[TYPE]:[UNIT]],'Unit Price'!H$1,FALSE),0)</f>
        <v>0</v>
      </c>
      <c r="K493" s="194">
        <f>IF(_1_541284561214624104645789101745678[[#This Row],[Discount selection]]&gt;0,VLOOKUP(_1_541284561214624104645789101745678[[#This Row],[Discount selection]],'Discount Structure'!$A$2:$B$30,2,"false"),0)</f>
        <v>1</v>
      </c>
      <c r="L493" s="194">
        <f>_1_541284561214624104645789101745678[[#This Row],[LIST $]]*_1_541284561214624104645789101745678[[#This Row],[DISCOUNT]]*_1_541284561214624104645789101745678[[#This Row],[DISCOUNT 2]]</f>
        <v>0</v>
      </c>
      <c r="M493" s="194">
        <f>IF(OR(_1_541284561214624104645789101745678[[#This Row],[UNIT]]&gt;0,_1_541284561214624104645789101745678[[#This Row],[UNIT]]&lt;0),_1_541284561214624104645789101745678[[#This Row],[UNIT]]*_1_541284561214624104645789101745678[[#This Row],[COST]],0)</f>
        <v>0</v>
      </c>
      <c r="N493" s="194">
        <f t="shared" si="7"/>
        <v>1.3</v>
      </c>
      <c r="O493" s="198">
        <f>_1_541284561214624104645789101745678[[#This Row],[TOTAL]]*_1_541284561214624104645789101745678[[#This Row],[MARGIN]]</f>
        <v>0</v>
      </c>
      <c r="R493" s="41"/>
    </row>
    <row r="494" spans="1:18">
      <c r="D494" s="188"/>
      <c r="F494" s="168" t="s">
        <v>6202</v>
      </c>
      <c r="G494" s="193">
        <f>IF(_1_541284561214624104645789101745678[[#This Row],[Type]]&gt;0,VLOOKUP(_1_541284561214624104645789101745678[[#This Row],[Type]],Main[[#All],[TYPE]:[UNIT]],'Unit Price'!C$1,FALSE),0)</f>
        <v>0</v>
      </c>
      <c r="H494" s="197">
        <f>IF(_1_541284561214624104645789101745678[[#This Row],[Type]]&gt;0,VLOOKUP(_1_541284561214624104645789101745678[[#This Row],[Type]],Main[[#All],[TYPE]:[UNIT]],'Unit Price'!D$1,FALSE),0)</f>
        <v>0</v>
      </c>
      <c r="I494" s="194">
        <f>IF(_1_541284561214624104645789101745678[[#This Row],[Type]]&gt;0,VLOOKUP(_1_541284561214624104645789101745678[[#This Row],[Type]],Main[[#All],[TYPE]:[UNIT]],'Unit Price'!G$1,FALSE),0)</f>
        <v>0</v>
      </c>
      <c r="J494" s="194">
        <f>IF(_1_541284561214624104645789101745678[[#This Row],[Type]]&gt;0,VLOOKUP(_1_541284561214624104645789101745678[[#This Row],[Type]],Main[[#All],[TYPE]:[UNIT]],'Unit Price'!H$1,FALSE),0)</f>
        <v>0</v>
      </c>
      <c r="K494" s="194">
        <f>IF(_1_541284561214624104645789101745678[[#This Row],[Discount selection]]&gt;0,VLOOKUP(_1_541284561214624104645789101745678[[#This Row],[Discount selection]],'Discount Structure'!$A$2:$B$30,2,"false"),0)</f>
        <v>1</v>
      </c>
      <c r="L494" s="194">
        <f>_1_541284561214624104645789101745678[[#This Row],[LIST $]]*_1_541284561214624104645789101745678[[#This Row],[DISCOUNT]]*_1_541284561214624104645789101745678[[#This Row],[DISCOUNT 2]]</f>
        <v>0</v>
      </c>
      <c r="M494" s="194">
        <f>IF(OR(_1_541284561214624104645789101745678[[#This Row],[UNIT]]&gt;0,_1_541284561214624104645789101745678[[#This Row],[UNIT]]&lt;0),_1_541284561214624104645789101745678[[#This Row],[UNIT]]*_1_541284561214624104645789101745678[[#This Row],[COST]],0)</f>
        <v>0</v>
      </c>
      <c r="N494" s="194">
        <f t="shared" si="7"/>
        <v>1.3</v>
      </c>
      <c r="O494" s="198">
        <f>_1_541284561214624104645789101745678[[#This Row],[TOTAL]]*_1_541284561214624104645789101745678[[#This Row],[MARGIN]]</f>
        <v>0</v>
      </c>
      <c r="R494" s="41"/>
    </row>
    <row r="495" spans="1:18">
      <c r="D495" s="188"/>
      <c r="F495" s="168" t="s">
        <v>6202</v>
      </c>
      <c r="G495" s="193">
        <f>IF(_1_541284561214624104645789101745678[[#This Row],[Type]]&gt;0,VLOOKUP(_1_541284561214624104645789101745678[[#This Row],[Type]],Main[[#All],[TYPE]:[UNIT]],'Unit Price'!C$1,FALSE),0)</f>
        <v>0</v>
      </c>
      <c r="H495" s="197">
        <f>IF(_1_541284561214624104645789101745678[[#This Row],[Type]]&gt;0,VLOOKUP(_1_541284561214624104645789101745678[[#This Row],[Type]],Main[[#All],[TYPE]:[UNIT]],'Unit Price'!D$1,FALSE),0)</f>
        <v>0</v>
      </c>
      <c r="I495" s="194">
        <f>IF(_1_541284561214624104645789101745678[[#This Row],[Type]]&gt;0,VLOOKUP(_1_541284561214624104645789101745678[[#This Row],[Type]],Main[[#All],[TYPE]:[UNIT]],'Unit Price'!G$1,FALSE),0)</f>
        <v>0</v>
      </c>
      <c r="J495" s="194">
        <f>IF(_1_541284561214624104645789101745678[[#This Row],[Type]]&gt;0,VLOOKUP(_1_541284561214624104645789101745678[[#This Row],[Type]],Main[[#All],[TYPE]:[UNIT]],'Unit Price'!H$1,FALSE),0)</f>
        <v>0</v>
      </c>
      <c r="K495" s="194">
        <f>IF(_1_541284561214624104645789101745678[[#This Row],[Discount selection]]&gt;0,VLOOKUP(_1_541284561214624104645789101745678[[#This Row],[Discount selection]],'Discount Structure'!$A$2:$B$30,2,"false"),0)</f>
        <v>1</v>
      </c>
      <c r="L495" s="194">
        <f>_1_541284561214624104645789101745678[[#This Row],[LIST $]]*_1_541284561214624104645789101745678[[#This Row],[DISCOUNT]]*_1_541284561214624104645789101745678[[#This Row],[DISCOUNT 2]]</f>
        <v>0</v>
      </c>
      <c r="M495" s="194">
        <f>IF(OR(_1_541284561214624104645789101745678[[#This Row],[UNIT]]&gt;0,_1_541284561214624104645789101745678[[#This Row],[UNIT]]&lt;0),_1_541284561214624104645789101745678[[#This Row],[UNIT]]*_1_541284561214624104645789101745678[[#This Row],[COST]],0)</f>
        <v>0</v>
      </c>
      <c r="N495" s="194">
        <f t="shared" si="7"/>
        <v>1.3</v>
      </c>
      <c r="O495" s="198">
        <f>_1_541284561214624104645789101745678[[#This Row],[TOTAL]]*_1_541284561214624104645789101745678[[#This Row],[MARGIN]]</f>
        <v>0</v>
      </c>
      <c r="R495" s="41"/>
    </row>
    <row r="496" spans="1:18">
      <c r="D496" s="188"/>
      <c r="F496" s="168" t="s">
        <v>6202</v>
      </c>
      <c r="G496" s="193">
        <f>IF(_1_541284561214624104645789101745678[[#This Row],[Type]]&gt;0,VLOOKUP(_1_541284561214624104645789101745678[[#This Row],[Type]],Main[[#All],[TYPE]:[UNIT]],'Unit Price'!C$1,FALSE),0)</f>
        <v>0</v>
      </c>
      <c r="H496" s="197">
        <f>IF(_1_541284561214624104645789101745678[[#This Row],[Type]]&gt;0,VLOOKUP(_1_541284561214624104645789101745678[[#This Row],[Type]],Main[[#All],[TYPE]:[UNIT]],'Unit Price'!D$1,FALSE),0)</f>
        <v>0</v>
      </c>
      <c r="I496" s="194">
        <f>IF(_1_541284561214624104645789101745678[[#This Row],[Type]]&gt;0,VLOOKUP(_1_541284561214624104645789101745678[[#This Row],[Type]],Main[[#All],[TYPE]:[UNIT]],'Unit Price'!G$1,FALSE),0)</f>
        <v>0</v>
      </c>
      <c r="J496" s="194">
        <f>IF(_1_541284561214624104645789101745678[[#This Row],[Type]]&gt;0,VLOOKUP(_1_541284561214624104645789101745678[[#This Row],[Type]],Main[[#All],[TYPE]:[UNIT]],'Unit Price'!H$1,FALSE),0)</f>
        <v>0</v>
      </c>
      <c r="K496" s="194">
        <f>IF(_1_541284561214624104645789101745678[[#This Row],[Discount selection]]&gt;0,VLOOKUP(_1_541284561214624104645789101745678[[#This Row],[Discount selection]],'Discount Structure'!$A$2:$B$30,2,"false"),0)</f>
        <v>1</v>
      </c>
      <c r="L496" s="194">
        <f>_1_541284561214624104645789101745678[[#This Row],[LIST $]]*_1_541284561214624104645789101745678[[#This Row],[DISCOUNT]]*_1_541284561214624104645789101745678[[#This Row],[DISCOUNT 2]]</f>
        <v>0</v>
      </c>
      <c r="M496" s="194">
        <f>IF(OR(_1_541284561214624104645789101745678[[#This Row],[UNIT]]&gt;0,_1_541284561214624104645789101745678[[#This Row],[UNIT]]&lt;0),_1_541284561214624104645789101745678[[#This Row],[UNIT]]*_1_541284561214624104645789101745678[[#This Row],[COST]],0)</f>
        <v>0</v>
      </c>
      <c r="N496" s="194">
        <f t="shared" si="7"/>
        <v>1.3</v>
      </c>
      <c r="O496" s="198">
        <f>_1_541284561214624104645789101745678[[#This Row],[TOTAL]]*_1_541284561214624104645789101745678[[#This Row],[MARGIN]]</f>
        <v>0</v>
      </c>
      <c r="R496" s="41"/>
    </row>
    <row r="497" spans="1:18">
      <c r="D497" s="188"/>
      <c r="F497" s="168" t="s">
        <v>6202</v>
      </c>
      <c r="G497" s="193">
        <f>IF(_1_541284561214624104645789101745678[[#This Row],[Type]]&gt;0,VLOOKUP(_1_541284561214624104645789101745678[[#This Row],[Type]],Main[[#All],[TYPE]:[UNIT]],'Unit Price'!C$1,FALSE),0)</f>
        <v>0</v>
      </c>
      <c r="H497" s="197">
        <f>IF(_1_541284561214624104645789101745678[[#This Row],[Type]]&gt;0,VLOOKUP(_1_541284561214624104645789101745678[[#This Row],[Type]],Main[[#All],[TYPE]:[UNIT]],'Unit Price'!D$1,FALSE),0)</f>
        <v>0</v>
      </c>
      <c r="I497" s="194">
        <f>IF(_1_541284561214624104645789101745678[[#This Row],[Type]]&gt;0,VLOOKUP(_1_541284561214624104645789101745678[[#This Row],[Type]],Main[[#All],[TYPE]:[UNIT]],'Unit Price'!G$1,FALSE),0)</f>
        <v>0</v>
      </c>
      <c r="J497" s="194">
        <f>IF(_1_541284561214624104645789101745678[[#This Row],[Type]]&gt;0,VLOOKUP(_1_541284561214624104645789101745678[[#This Row],[Type]],Main[[#All],[TYPE]:[UNIT]],'Unit Price'!H$1,FALSE),0)</f>
        <v>0</v>
      </c>
      <c r="K497" s="194">
        <f>IF(_1_541284561214624104645789101745678[[#This Row],[Discount selection]]&gt;0,VLOOKUP(_1_541284561214624104645789101745678[[#This Row],[Discount selection]],'Discount Structure'!$A$2:$B$30,2,"false"),0)</f>
        <v>1</v>
      </c>
      <c r="L497" s="194">
        <f>_1_541284561214624104645789101745678[[#This Row],[LIST $]]*_1_541284561214624104645789101745678[[#This Row],[DISCOUNT]]*_1_541284561214624104645789101745678[[#This Row],[DISCOUNT 2]]</f>
        <v>0</v>
      </c>
      <c r="M497" s="194">
        <f>IF(OR(_1_541284561214624104645789101745678[[#This Row],[UNIT]]&gt;0,_1_541284561214624104645789101745678[[#This Row],[UNIT]]&lt;0),_1_541284561214624104645789101745678[[#This Row],[UNIT]]*_1_541284561214624104645789101745678[[#This Row],[COST]],0)</f>
        <v>0</v>
      </c>
      <c r="N497" s="194">
        <f t="shared" si="7"/>
        <v>1.3</v>
      </c>
      <c r="O497" s="198">
        <f>_1_541284561214624104645789101745678[[#This Row],[TOTAL]]*_1_541284561214624104645789101745678[[#This Row],[MARGIN]]</f>
        <v>0</v>
      </c>
      <c r="R497" s="41"/>
    </row>
    <row r="498" spans="1:18">
      <c r="D498" s="188"/>
      <c r="F498" s="168" t="s">
        <v>6202</v>
      </c>
      <c r="G498" s="193">
        <f>IF(_1_541284561214624104645789101745678[[#This Row],[Type]]&gt;0,VLOOKUP(_1_541284561214624104645789101745678[[#This Row],[Type]],Main[[#All],[TYPE]:[UNIT]],'Unit Price'!C$1,FALSE),0)</f>
        <v>0</v>
      </c>
      <c r="H498" s="197">
        <f>IF(_1_541284561214624104645789101745678[[#This Row],[Type]]&gt;0,VLOOKUP(_1_541284561214624104645789101745678[[#This Row],[Type]],Main[[#All],[TYPE]:[UNIT]],'Unit Price'!D$1,FALSE),0)</f>
        <v>0</v>
      </c>
      <c r="I498" s="194">
        <f>IF(_1_541284561214624104645789101745678[[#This Row],[Type]]&gt;0,VLOOKUP(_1_541284561214624104645789101745678[[#This Row],[Type]],Main[[#All],[TYPE]:[UNIT]],'Unit Price'!G$1,FALSE),0)</f>
        <v>0</v>
      </c>
      <c r="J498" s="194">
        <f>IF(_1_541284561214624104645789101745678[[#This Row],[Type]]&gt;0,VLOOKUP(_1_541284561214624104645789101745678[[#This Row],[Type]],Main[[#All],[TYPE]:[UNIT]],'Unit Price'!H$1,FALSE),0)</f>
        <v>0</v>
      </c>
      <c r="K498" s="194">
        <f>IF(_1_541284561214624104645789101745678[[#This Row],[Discount selection]]&gt;0,VLOOKUP(_1_541284561214624104645789101745678[[#This Row],[Discount selection]],'Discount Structure'!$A$2:$B$30,2,"false"),0)</f>
        <v>1</v>
      </c>
      <c r="L498" s="194">
        <f>_1_541284561214624104645789101745678[[#This Row],[LIST $]]*_1_541284561214624104645789101745678[[#This Row],[DISCOUNT]]*_1_541284561214624104645789101745678[[#This Row],[DISCOUNT 2]]</f>
        <v>0</v>
      </c>
      <c r="M498" s="194">
        <f>IF(OR(_1_541284561214624104645789101745678[[#This Row],[UNIT]]&gt;0,_1_541284561214624104645789101745678[[#This Row],[UNIT]]&lt;0),_1_541284561214624104645789101745678[[#This Row],[UNIT]]*_1_541284561214624104645789101745678[[#This Row],[COST]],0)</f>
        <v>0</v>
      </c>
      <c r="N498" s="194">
        <f t="shared" si="7"/>
        <v>1.3</v>
      </c>
      <c r="O498" s="198">
        <f>_1_541284561214624104645789101745678[[#This Row],[TOTAL]]*_1_541284561214624104645789101745678[[#This Row],[MARGIN]]</f>
        <v>0</v>
      </c>
      <c r="R498" s="41"/>
    </row>
    <row r="499" spans="1:18">
      <c r="A499" s="168"/>
      <c r="D499" s="188"/>
      <c r="F499" s="168" t="s">
        <v>6202</v>
      </c>
      <c r="G499" s="193">
        <f>IF(_1_541284561214624104645789101745678[[#This Row],[Type]]&gt;0,VLOOKUP(_1_541284561214624104645789101745678[[#This Row],[Type]],Main[[#All],[TYPE]:[UNIT]],'Unit Price'!C$1,FALSE),0)</f>
        <v>0</v>
      </c>
      <c r="H499" s="197">
        <f>IF(_1_541284561214624104645789101745678[[#This Row],[Type]]&gt;0,VLOOKUP(_1_541284561214624104645789101745678[[#This Row],[Type]],Main[[#All],[TYPE]:[UNIT]],'Unit Price'!D$1,FALSE),0)</f>
        <v>0</v>
      </c>
      <c r="I499" s="194">
        <f>IF(_1_541284561214624104645789101745678[[#This Row],[Type]]&gt;0,VLOOKUP(_1_541284561214624104645789101745678[[#This Row],[Type]],Main[[#All],[TYPE]:[UNIT]],'Unit Price'!G$1,FALSE),0)</f>
        <v>0</v>
      </c>
      <c r="J499" s="194">
        <f>IF(_1_541284561214624104645789101745678[[#This Row],[Type]]&gt;0,VLOOKUP(_1_541284561214624104645789101745678[[#This Row],[Type]],Main[[#All],[TYPE]:[UNIT]],'Unit Price'!H$1,FALSE),0)</f>
        <v>0</v>
      </c>
      <c r="K499" s="194">
        <f>IF(_1_541284561214624104645789101745678[[#This Row],[Discount selection]]&gt;0,VLOOKUP(_1_541284561214624104645789101745678[[#This Row],[Discount selection]],'Discount Structure'!$A$2:$B$30,2,"false"),0)</f>
        <v>1</v>
      </c>
      <c r="L499" s="194">
        <f>_1_541284561214624104645789101745678[[#This Row],[LIST $]]*_1_541284561214624104645789101745678[[#This Row],[DISCOUNT]]*_1_541284561214624104645789101745678[[#This Row],[DISCOUNT 2]]</f>
        <v>0</v>
      </c>
      <c r="M499" s="194">
        <f>IF(OR(_1_541284561214624104645789101745678[[#This Row],[UNIT]]&gt;0,_1_541284561214624104645789101745678[[#This Row],[UNIT]]&lt;0),_1_541284561214624104645789101745678[[#This Row],[UNIT]]*_1_541284561214624104645789101745678[[#This Row],[COST]],0)</f>
        <v>0</v>
      </c>
      <c r="N499" s="194">
        <f t="shared" si="7"/>
        <v>1.3</v>
      </c>
      <c r="O499" s="198">
        <f>_1_541284561214624104645789101745678[[#This Row],[TOTAL]]*_1_541284561214624104645789101745678[[#This Row],[MARGIN]]</f>
        <v>0</v>
      </c>
      <c r="R499" s="41"/>
    </row>
    <row r="500" spans="1:18">
      <c r="D500" s="188"/>
      <c r="F500" s="168" t="s">
        <v>6202</v>
      </c>
      <c r="G500" s="193">
        <f>IF(_1_541284561214624104645789101745678[[#This Row],[Type]]&gt;0,VLOOKUP(_1_541284561214624104645789101745678[[#This Row],[Type]],Main[[#All],[TYPE]:[UNIT]],'Unit Price'!C$1,FALSE),0)</f>
        <v>0</v>
      </c>
      <c r="H500" s="197">
        <f>IF(_1_541284561214624104645789101745678[[#This Row],[Type]]&gt;0,VLOOKUP(_1_541284561214624104645789101745678[[#This Row],[Type]],Main[[#All],[TYPE]:[UNIT]],'Unit Price'!D$1,FALSE),0)</f>
        <v>0</v>
      </c>
      <c r="I500" s="194">
        <f>IF(_1_541284561214624104645789101745678[[#This Row],[Type]]&gt;0,VLOOKUP(_1_541284561214624104645789101745678[[#This Row],[Type]],Main[[#All],[TYPE]:[UNIT]],'Unit Price'!G$1,FALSE),0)</f>
        <v>0</v>
      </c>
      <c r="J500" s="194">
        <f>IF(_1_541284561214624104645789101745678[[#This Row],[Type]]&gt;0,VLOOKUP(_1_541284561214624104645789101745678[[#This Row],[Type]],Main[[#All],[TYPE]:[UNIT]],'Unit Price'!H$1,FALSE),0)</f>
        <v>0</v>
      </c>
      <c r="K500" s="194">
        <f>IF(_1_541284561214624104645789101745678[[#This Row],[Discount selection]]&gt;0,VLOOKUP(_1_541284561214624104645789101745678[[#This Row],[Discount selection]],'Discount Structure'!$A$2:$B$30,2,"false"),0)</f>
        <v>1</v>
      </c>
      <c r="L500" s="194">
        <f>_1_541284561214624104645789101745678[[#This Row],[LIST $]]*_1_541284561214624104645789101745678[[#This Row],[DISCOUNT]]*_1_541284561214624104645789101745678[[#This Row],[DISCOUNT 2]]</f>
        <v>0</v>
      </c>
      <c r="M500" s="194">
        <f>IF(OR(_1_541284561214624104645789101745678[[#This Row],[UNIT]]&gt;0,_1_541284561214624104645789101745678[[#This Row],[UNIT]]&lt;0),_1_541284561214624104645789101745678[[#This Row],[UNIT]]*_1_541284561214624104645789101745678[[#This Row],[COST]],0)</f>
        <v>0</v>
      </c>
      <c r="N500" s="194">
        <f t="shared" si="7"/>
        <v>1.3</v>
      </c>
      <c r="O500" s="198">
        <f>_1_541284561214624104645789101745678[[#This Row],[TOTAL]]*_1_541284561214624104645789101745678[[#This Row],[MARGIN]]</f>
        <v>0</v>
      </c>
      <c r="R500" s="41"/>
    </row>
    <row r="501" spans="1:18">
      <c r="D501" s="188"/>
      <c r="F501" s="168" t="s">
        <v>6202</v>
      </c>
      <c r="G501" s="193">
        <f>IF(_1_541284561214624104645789101745678[[#This Row],[Type]]&gt;0,VLOOKUP(_1_541284561214624104645789101745678[[#This Row],[Type]],Main[[#All],[TYPE]:[UNIT]],'Unit Price'!C$1,FALSE),0)</f>
        <v>0</v>
      </c>
      <c r="H501" s="197">
        <f>IF(_1_541284561214624104645789101745678[[#This Row],[Type]]&gt;0,VLOOKUP(_1_541284561214624104645789101745678[[#This Row],[Type]],Main[[#All],[TYPE]:[UNIT]],'Unit Price'!D$1,FALSE),0)</f>
        <v>0</v>
      </c>
      <c r="I501" s="194">
        <f>IF(_1_541284561214624104645789101745678[[#This Row],[Type]]&gt;0,VLOOKUP(_1_541284561214624104645789101745678[[#This Row],[Type]],Main[[#All],[TYPE]:[UNIT]],'Unit Price'!G$1,FALSE),0)</f>
        <v>0</v>
      </c>
      <c r="J501" s="194">
        <f>IF(_1_541284561214624104645789101745678[[#This Row],[Type]]&gt;0,VLOOKUP(_1_541284561214624104645789101745678[[#This Row],[Type]],Main[[#All],[TYPE]:[UNIT]],'Unit Price'!H$1,FALSE),0)</f>
        <v>0</v>
      </c>
      <c r="K501" s="194">
        <f>IF(_1_541284561214624104645789101745678[[#This Row],[Discount selection]]&gt;0,VLOOKUP(_1_541284561214624104645789101745678[[#This Row],[Discount selection]],'Discount Structure'!$A$2:$B$30,2,"false"),0)</f>
        <v>1</v>
      </c>
      <c r="L501" s="194">
        <f>_1_541284561214624104645789101745678[[#This Row],[LIST $]]*_1_541284561214624104645789101745678[[#This Row],[DISCOUNT]]*_1_541284561214624104645789101745678[[#This Row],[DISCOUNT 2]]</f>
        <v>0</v>
      </c>
      <c r="M501" s="194">
        <f>IF(OR(_1_541284561214624104645789101745678[[#This Row],[UNIT]]&gt;0,_1_541284561214624104645789101745678[[#This Row],[UNIT]]&lt;0),_1_541284561214624104645789101745678[[#This Row],[UNIT]]*_1_541284561214624104645789101745678[[#This Row],[COST]],0)</f>
        <v>0</v>
      </c>
      <c r="N501" s="194">
        <f t="shared" si="7"/>
        <v>1.3</v>
      </c>
      <c r="O501" s="198">
        <f>_1_541284561214624104645789101745678[[#This Row],[TOTAL]]*_1_541284561214624104645789101745678[[#This Row],[MARGIN]]</f>
        <v>0</v>
      </c>
      <c r="R501" s="41"/>
    </row>
    <row r="502" spans="1:18">
      <c r="D502" s="188"/>
      <c r="F502" s="168" t="s">
        <v>6202</v>
      </c>
      <c r="G502" s="193">
        <f>IF(_1_541284561214624104645789101745678[[#This Row],[Type]]&gt;0,VLOOKUP(_1_541284561214624104645789101745678[[#This Row],[Type]],Main[[#All],[TYPE]:[UNIT]],'Unit Price'!C$1,FALSE),0)</f>
        <v>0</v>
      </c>
      <c r="H502" s="197">
        <f>IF(_1_541284561214624104645789101745678[[#This Row],[Type]]&gt;0,VLOOKUP(_1_541284561214624104645789101745678[[#This Row],[Type]],Main[[#All],[TYPE]:[UNIT]],'Unit Price'!D$1,FALSE),0)</f>
        <v>0</v>
      </c>
      <c r="I502" s="194">
        <f>IF(_1_541284561214624104645789101745678[[#This Row],[Type]]&gt;0,VLOOKUP(_1_541284561214624104645789101745678[[#This Row],[Type]],Main[[#All],[TYPE]:[UNIT]],'Unit Price'!G$1,FALSE),0)</f>
        <v>0</v>
      </c>
      <c r="J502" s="194">
        <f>IF(_1_541284561214624104645789101745678[[#This Row],[Type]]&gt;0,VLOOKUP(_1_541284561214624104645789101745678[[#This Row],[Type]],Main[[#All],[TYPE]:[UNIT]],'Unit Price'!H$1,FALSE),0)</f>
        <v>0</v>
      </c>
      <c r="K502" s="194">
        <f>IF(_1_541284561214624104645789101745678[[#This Row],[Discount selection]]&gt;0,VLOOKUP(_1_541284561214624104645789101745678[[#This Row],[Discount selection]],'Discount Structure'!$A$2:$B$30,2,"false"),0)</f>
        <v>1</v>
      </c>
      <c r="L502" s="194">
        <f>_1_541284561214624104645789101745678[[#This Row],[LIST $]]*_1_541284561214624104645789101745678[[#This Row],[DISCOUNT]]*_1_541284561214624104645789101745678[[#This Row],[DISCOUNT 2]]</f>
        <v>0</v>
      </c>
      <c r="M502" s="194">
        <f>IF(OR(_1_541284561214624104645789101745678[[#This Row],[UNIT]]&gt;0,_1_541284561214624104645789101745678[[#This Row],[UNIT]]&lt;0),_1_541284561214624104645789101745678[[#This Row],[UNIT]]*_1_541284561214624104645789101745678[[#This Row],[COST]],0)</f>
        <v>0</v>
      </c>
      <c r="N502" s="194">
        <f t="shared" si="7"/>
        <v>1.3</v>
      </c>
      <c r="O502" s="198">
        <f>_1_541284561214624104645789101745678[[#This Row],[TOTAL]]*_1_541284561214624104645789101745678[[#This Row],[MARGIN]]</f>
        <v>0</v>
      </c>
      <c r="R502" s="41"/>
    </row>
    <row r="503" spans="1:18">
      <c r="D503" s="188"/>
      <c r="F503" s="168" t="s">
        <v>6202</v>
      </c>
      <c r="G503" s="193">
        <f>IF(_1_541284561214624104645789101745678[[#This Row],[Type]]&gt;0,VLOOKUP(_1_541284561214624104645789101745678[[#This Row],[Type]],Main[[#All],[TYPE]:[UNIT]],'Unit Price'!C$1,FALSE),0)</f>
        <v>0</v>
      </c>
      <c r="H503" s="197">
        <f>IF(_1_541284561214624104645789101745678[[#This Row],[Type]]&gt;0,VLOOKUP(_1_541284561214624104645789101745678[[#This Row],[Type]],Main[[#All],[TYPE]:[UNIT]],'Unit Price'!D$1,FALSE),0)</f>
        <v>0</v>
      </c>
      <c r="I503" s="194">
        <f>IF(_1_541284561214624104645789101745678[[#This Row],[Type]]&gt;0,VLOOKUP(_1_541284561214624104645789101745678[[#This Row],[Type]],Main[[#All],[TYPE]:[UNIT]],'Unit Price'!G$1,FALSE),0)</f>
        <v>0</v>
      </c>
      <c r="J503" s="194">
        <f>IF(_1_541284561214624104645789101745678[[#This Row],[Type]]&gt;0,VLOOKUP(_1_541284561214624104645789101745678[[#This Row],[Type]],Main[[#All],[TYPE]:[UNIT]],'Unit Price'!H$1,FALSE),0)</f>
        <v>0</v>
      </c>
      <c r="K503" s="194">
        <f>IF(_1_541284561214624104645789101745678[[#This Row],[Discount selection]]&gt;0,VLOOKUP(_1_541284561214624104645789101745678[[#This Row],[Discount selection]],'Discount Structure'!$A$2:$B$30,2,"false"),0)</f>
        <v>1</v>
      </c>
      <c r="L503" s="194">
        <f>_1_541284561214624104645789101745678[[#This Row],[LIST $]]*_1_541284561214624104645789101745678[[#This Row],[DISCOUNT]]*_1_541284561214624104645789101745678[[#This Row],[DISCOUNT 2]]</f>
        <v>0</v>
      </c>
      <c r="M503" s="194">
        <f>IF(OR(_1_541284561214624104645789101745678[[#This Row],[UNIT]]&gt;0,_1_541284561214624104645789101745678[[#This Row],[UNIT]]&lt;0),_1_541284561214624104645789101745678[[#This Row],[UNIT]]*_1_541284561214624104645789101745678[[#This Row],[COST]],0)</f>
        <v>0</v>
      </c>
      <c r="N503" s="194">
        <f t="shared" si="7"/>
        <v>1.3</v>
      </c>
      <c r="O503" s="198">
        <f>_1_541284561214624104645789101745678[[#This Row],[TOTAL]]*_1_541284561214624104645789101745678[[#This Row],[MARGIN]]</f>
        <v>0</v>
      </c>
      <c r="R503" s="41"/>
    </row>
    <row r="504" spans="1:18">
      <c r="D504" s="188"/>
      <c r="F504" s="168" t="s">
        <v>6202</v>
      </c>
      <c r="G504" s="193">
        <f>IF(_1_541284561214624104645789101745678[[#This Row],[Type]]&gt;0,VLOOKUP(_1_541284561214624104645789101745678[[#This Row],[Type]],Main[[#All],[TYPE]:[UNIT]],'Unit Price'!C$1,FALSE),0)</f>
        <v>0</v>
      </c>
      <c r="H504" s="197">
        <f>IF(_1_541284561214624104645789101745678[[#This Row],[Type]]&gt;0,VLOOKUP(_1_541284561214624104645789101745678[[#This Row],[Type]],Main[[#All],[TYPE]:[UNIT]],'Unit Price'!D$1,FALSE),0)</f>
        <v>0</v>
      </c>
      <c r="I504" s="194">
        <f>IF(_1_541284561214624104645789101745678[[#This Row],[Type]]&gt;0,VLOOKUP(_1_541284561214624104645789101745678[[#This Row],[Type]],Main[[#All],[TYPE]:[UNIT]],'Unit Price'!G$1,FALSE),0)</f>
        <v>0</v>
      </c>
      <c r="J504" s="194">
        <f>IF(_1_541284561214624104645789101745678[[#This Row],[Type]]&gt;0,VLOOKUP(_1_541284561214624104645789101745678[[#This Row],[Type]],Main[[#All],[TYPE]:[UNIT]],'Unit Price'!H$1,FALSE),0)</f>
        <v>0</v>
      </c>
      <c r="K504" s="194">
        <f>IF(_1_541284561214624104645789101745678[[#This Row],[Discount selection]]&gt;0,VLOOKUP(_1_541284561214624104645789101745678[[#This Row],[Discount selection]],'Discount Structure'!$A$2:$B$30,2,"false"),0)</f>
        <v>1</v>
      </c>
      <c r="L504" s="194">
        <f>_1_541284561214624104645789101745678[[#This Row],[LIST $]]*_1_541284561214624104645789101745678[[#This Row],[DISCOUNT]]*_1_541284561214624104645789101745678[[#This Row],[DISCOUNT 2]]</f>
        <v>0</v>
      </c>
      <c r="M504" s="194">
        <f>IF(OR(_1_541284561214624104645789101745678[[#This Row],[UNIT]]&gt;0,_1_541284561214624104645789101745678[[#This Row],[UNIT]]&lt;0),_1_541284561214624104645789101745678[[#This Row],[UNIT]]*_1_541284561214624104645789101745678[[#This Row],[COST]],0)</f>
        <v>0</v>
      </c>
      <c r="N504" s="194">
        <f t="shared" si="7"/>
        <v>1.3</v>
      </c>
      <c r="O504" s="198">
        <f>_1_541284561214624104645789101745678[[#This Row],[TOTAL]]*_1_541284561214624104645789101745678[[#This Row],[MARGIN]]</f>
        <v>0</v>
      </c>
      <c r="R504" s="41"/>
    </row>
    <row r="505" spans="1:18">
      <c r="D505" s="188"/>
      <c r="F505" s="168" t="s">
        <v>6202</v>
      </c>
      <c r="G505" s="193">
        <f>IF(_1_541284561214624104645789101745678[[#This Row],[Type]]&gt;0,VLOOKUP(_1_541284561214624104645789101745678[[#This Row],[Type]],Main[[#All],[TYPE]:[UNIT]],'Unit Price'!C$1,FALSE),0)</f>
        <v>0</v>
      </c>
      <c r="H505" s="197">
        <f>IF(_1_541284561214624104645789101745678[[#This Row],[Type]]&gt;0,VLOOKUP(_1_541284561214624104645789101745678[[#This Row],[Type]],Main[[#All],[TYPE]:[UNIT]],'Unit Price'!D$1,FALSE),0)</f>
        <v>0</v>
      </c>
      <c r="I505" s="194">
        <f>IF(_1_541284561214624104645789101745678[[#This Row],[Type]]&gt;0,VLOOKUP(_1_541284561214624104645789101745678[[#This Row],[Type]],Main[[#All],[TYPE]:[UNIT]],'Unit Price'!G$1,FALSE),0)</f>
        <v>0</v>
      </c>
      <c r="J505" s="194">
        <f>IF(_1_541284561214624104645789101745678[[#This Row],[Type]]&gt;0,VLOOKUP(_1_541284561214624104645789101745678[[#This Row],[Type]],Main[[#All],[TYPE]:[UNIT]],'Unit Price'!H$1,FALSE),0)</f>
        <v>0</v>
      </c>
      <c r="K505" s="194">
        <f>IF(_1_541284561214624104645789101745678[[#This Row],[Discount selection]]&gt;0,VLOOKUP(_1_541284561214624104645789101745678[[#This Row],[Discount selection]],'Discount Structure'!$A$2:$B$30,2,"false"),0)</f>
        <v>1</v>
      </c>
      <c r="L505" s="194">
        <f>_1_541284561214624104645789101745678[[#This Row],[LIST $]]*_1_541284561214624104645789101745678[[#This Row],[DISCOUNT]]*_1_541284561214624104645789101745678[[#This Row],[DISCOUNT 2]]</f>
        <v>0</v>
      </c>
      <c r="M505" s="194">
        <f>IF(OR(_1_541284561214624104645789101745678[[#This Row],[UNIT]]&gt;0,_1_541284561214624104645789101745678[[#This Row],[UNIT]]&lt;0),_1_541284561214624104645789101745678[[#This Row],[UNIT]]*_1_541284561214624104645789101745678[[#This Row],[COST]],0)</f>
        <v>0</v>
      </c>
      <c r="N505" s="194">
        <f t="shared" si="7"/>
        <v>1.3</v>
      </c>
      <c r="O505" s="198">
        <f>_1_541284561214624104645789101745678[[#This Row],[TOTAL]]*_1_541284561214624104645789101745678[[#This Row],[MARGIN]]</f>
        <v>0</v>
      </c>
      <c r="R505" s="41"/>
    </row>
    <row r="506" spans="1:18">
      <c r="A506" s="168"/>
      <c r="D506" s="188"/>
      <c r="F506" s="168" t="s">
        <v>6202</v>
      </c>
      <c r="G506" s="193">
        <f>IF(_1_541284561214624104645789101745678[[#This Row],[Type]]&gt;0,VLOOKUP(_1_541284561214624104645789101745678[[#This Row],[Type]],Main[[#All],[TYPE]:[UNIT]],'Unit Price'!C$1,FALSE),0)</f>
        <v>0</v>
      </c>
      <c r="H506" s="197">
        <f>IF(_1_541284561214624104645789101745678[[#This Row],[Type]]&gt;0,VLOOKUP(_1_541284561214624104645789101745678[[#This Row],[Type]],Main[[#All],[TYPE]:[UNIT]],'Unit Price'!D$1,FALSE),0)</f>
        <v>0</v>
      </c>
      <c r="I506" s="194">
        <f>IF(_1_541284561214624104645789101745678[[#This Row],[Type]]&gt;0,VLOOKUP(_1_541284561214624104645789101745678[[#This Row],[Type]],Main[[#All],[TYPE]:[UNIT]],'Unit Price'!G$1,FALSE),0)</f>
        <v>0</v>
      </c>
      <c r="J506" s="194">
        <f>IF(_1_541284561214624104645789101745678[[#This Row],[Type]]&gt;0,VLOOKUP(_1_541284561214624104645789101745678[[#This Row],[Type]],Main[[#All],[TYPE]:[UNIT]],'Unit Price'!H$1,FALSE),0)</f>
        <v>0</v>
      </c>
      <c r="K506" s="194">
        <f>IF(_1_541284561214624104645789101745678[[#This Row],[Discount selection]]&gt;0,VLOOKUP(_1_541284561214624104645789101745678[[#This Row],[Discount selection]],'Discount Structure'!$A$2:$B$30,2,"false"),0)</f>
        <v>1</v>
      </c>
      <c r="L506" s="194">
        <f>_1_541284561214624104645789101745678[[#This Row],[LIST $]]*_1_541284561214624104645789101745678[[#This Row],[DISCOUNT]]*_1_541284561214624104645789101745678[[#This Row],[DISCOUNT 2]]</f>
        <v>0</v>
      </c>
      <c r="M506" s="194">
        <f>IF(OR(_1_541284561214624104645789101745678[[#This Row],[UNIT]]&gt;0,_1_541284561214624104645789101745678[[#This Row],[UNIT]]&lt;0),_1_541284561214624104645789101745678[[#This Row],[UNIT]]*_1_541284561214624104645789101745678[[#This Row],[COST]],0)</f>
        <v>0</v>
      </c>
      <c r="N506" s="194">
        <f t="shared" si="7"/>
        <v>1.3</v>
      </c>
      <c r="O506" s="198">
        <f>_1_541284561214624104645789101745678[[#This Row],[TOTAL]]*_1_541284561214624104645789101745678[[#This Row],[MARGIN]]</f>
        <v>0</v>
      </c>
      <c r="R506" s="41"/>
    </row>
    <row r="507" spans="1:18">
      <c r="D507" s="188"/>
      <c r="F507" s="168" t="s">
        <v>6202</v>
      </c>
      <c r="G507" s="193">
        <f>IF(_1_541284561214624104645789101745678[[#This Row],[Type]]&gt;0,VLOOKUP(_1_541284561214624104645789101745678[[#This Row],[Type]],Main[[#All],[TYPE]:[UNIT]],'Unit Price'!C$1,FALSE),0)</f>
        <v>0</v>
      </c>
      <c r="H507" s="197">
        <f>IF(_1_541284561214624104645789101745678[[#This Row],[Type]]&gt;0,VLOOKUP(_1_541284561214624104645789101745678[[#This Row],[Type]],Main[[#All],[TYPE]:[UNIT]],'Unit Price'!D$1,FALSE),0)</f>
        <v>0</v>
      </c>
      <c r="I507" s="194">
        <f>IF(_1_541284561214624104645789101745678[[#This Row],[Type]]&gt;0,VLOOKUP(_1_541284561214624104645789101745678[[#This Row],[Type]],Main[[#All],[TYPE]:[UNIT]],'Unit Price'!G$1,FALSE),0)</f>
        <v>0</v>
      </c>
      <c r="J507" s="194">
        <f>IF(_1_541284561214624104645789101745678[[#This Row],[Type]]&gt;0,VLOOKUP(_1_541284561214624104645789101745678[[#This Row],[Type]],Main[[#All],[TYPE]:[UNIT]],'Unit Price'!H$1,FALSE),0)</f>
        <v>0</v>
      </c>
      <c r="K507" s="194">
        <f>IF(_1_541284561214624104645789101745678[[#This Row],[Discount selection]]&gt;0,VLOOKUP(_1_541284561214624104645789101745678[[#This Row],[Discount selection]],'Discount Structure'!$A$2:$B$30,2,"false"),0)</f>
        <v>1</v>
      </c>
      <c r="L507" s="194">
        <f>_1_541284561214624104645789101745678[[#This Row],[LIST $]]*_1_541284561214624104645789101745678[[#This Row],[DISCOUNT]]*_1_541284561214624104645789101745678[[#This Row],[DISCOUNT 2]]</f>
        <v>0</v>
      </c>
      <c r="M507" s="194">
        <f>IF(OR(_1_541284561214624104645789101745678[[#This Row],[UNIT]]&gt;0,_1_541284561214624104645789101745678[[#This Row],[UNIT]]&lt;0),_1_541284561214624104645789101745678[[#This Row],[UNIT]]*_1_541284561214624104645789101745678[[#This Row],[COST]],0)</f>
        <v>0</v>
      </c>
      <c r="N507" s="194">
        <f t="shared" si="7"/>
        <v>1.3</v>
      </c>
      <c r="O507" s="198">
        <f>_1_541284561214624104645789101745678[[#This Row],[TOTAL]]*_1_541284561214624104645789101745678[[#This Row],[MARGIN]]</f>
        <v>0</v>
      </c>
      <c r="R507" s="41"/>
    </row>
    <row r="508" spans="1:18">
      <c r="D508" s="188"/>
      <c r="F508" s="168" t="s">
        <v>6202</v>
      </c>
      <c r="G508" s="193">
        <f>IF(_1_541284561214624104645789101745678[[#This Row],[Type]]&gt;0,VLOOKUP(_1_541284561214624104645789101745678[[#This Row],[Type]],Main[[#All],[TYPE]:[UNIT]],'Unit Price'!C$1,FALSE),0)</f>
        <v>0</v>
      </c>
      <c r="H508" s="197">
        <f>IF(_1_541284561214624104645789101745678[[#This Row],[Type]]&gt;0,VLOOKUP(_1_541284561214624104645789101745678[[#This Row],[Type]],Main[[#All],[TYPE]:[UNIT]],'Unit Price'!D$1,FALSE),0)</f>
        <v>0</v>
      </c>
      <c r="I508" s="194">
        <f>IF(_1_541284561214624104645789101745678[[#This Row],[Type]]&gt;0,VLOOKUP(_1_541284561214624104645789101745678[[#This Row],[Type]],Main[[#All],[TYPE]:[UNIT]],'Unit Price'!G$1,FALSE),0)</f>
        <v>0</v>
      </c>
      <c r="J508" s="194">
        <f>IF(_1_541284561214624104645789101745678[[#This Row],[Type]]&gt;0,VLOOKUP(_1_541284561214624104645789101745678[[#This Row],[Type]],Main[[#All],[TYPE]:[UNIT]],'Unit Price'!H$1,FALSE),0)</f>
        <v>0</v>
      </c>
      <c r="K508" s="194">
        <f>IF(_1_541284561214624104645789101745678[[#This Row],[Discount selection]]&gt;0,VLOOKUP(_1_541284561214624104645789101745678[[#This Row],[Discount selection]],'Discount Structure'!$A$2:$B$30,2,"false"),0)</f>
        <v>1</v>
      </c>
      <c r="L508" s="194">
        <f>_1_541284561214624104645789101745678[[#This Row],[LIST $]]*_1_541284561214624104645789101745678[[#This Row],[DISCOUNT]]*_1_541284561214624104645789101745678[[#This Row],[DISCOUNT 2]]</f>
        <v>0</v>
      </c>
      <c r="M508" s="194">
        <f>IF(OR(_1_541284561214624104645789101745678[[#This Row],[UNIT]]&gt;0,_1_541284561214624104645789101745678[[#This Row],[UNIT]]&lt;0),_1_541284561214624104645789101745678[[#This Row],[UNIT]]*_1_541284561214624104645789101745678[[#This Row],[COST]],0)</f>
        <v>0</v>
      </c>
      <c r="N508" s="194">
        <f t="shared" si="7"/>
        <v>1.3</v>
      </c>
      <c r="O508" s="198">
        <f>_1_541284561214624104645789101745678[[#This Row],[TOTAL]]*_1_541284561214624104645789101745678[[#This Row],[MARGIN]]</f>
        <v>0</v>
      </c>
      <c r="R508" s="41"/>
    </row>
    <row r="509" spans="1:18">
      <c r="D509" s="188"/>
      <c r="F509" s="168" t="s">
        <v>6202</v>
      </c>
      <c r="G509" s="193">
        <f>IF(_1_541284561214624104645789101745678[[#This Row],[Type]]&gt;0,VLOOKUP(_1_541284561214624104645789101745678[[#This Row],[Type]],Main[[#All],[TYPE]:[UNIT]],'Unit Price'!C$1,FALSE),0)</f>
        <v>0</v>
      </c>
      <c r="H509" s="197">
        <f>IF(_1_541284561214624104645789101745678[[#This Row],[Type]]&gt;0,VLOOKUP(_1_541284561214624104645789101745678[[#This Row],[Type]],Main[[#All],[TYPE]:[UNIT]],'Unit Price'!D$1,FALSE),0)</f>
        <v>0</v>
      </c>
      <c r="I509" s="194">
        <f>IF(_1_541284561214624104645789101745678[[#This Row],[Type]]&gt;0,VLOOKUP(_1_541284561214624104645789101745678[[#This Row],[Type]],Main[[#All],[TYPE]:[UNIT]],'Unit Price'!G$1,FALSE),0)</f>
        <v>0</v>
      </c>
      <c r="J509" s="194">
        <f>IF(_1_541284561214624104645789101745678[[#This Row],[Type]]&gt;0,VLOOKUP(_1_541284561214624104645789101745678[[#This Row],[Type]],Main[[#All],[TYPE]:[UNIT]],'Unit Price'!H$1,FALSE),0)</f>
        <v>0</v>
      </c>
      <c r="K509" s="194">
        <f>IF(_1_541284561214624104645789101745678[[#This Row],[Discount selection]]&gt;0,VLOOKUP(_1_541284561214624104645789101745678[[#This Row],[Discount selection]],'Discount Structure'!$A$2:$B$30,2,"false"),0)</f>
        <v>1</v>
      </c>
      <c r="L509" s="194">
        <f>_1_541284561214624104645789101745678[[#This Row],[LIST $]]*_1_541284561214624104645789101745678[[#This Row],[DISCOUNT]]*_1_541284561214624104645789101745678[[#This Row],[DISCOUNT 2]]</f>
        <v>0</v>
      </c>
      <c r="M509" s="194">
        <f>IF(OR(_1_541284561214624104645789101745678[[#This Row],[UNIT]]&gt;0,_1_541284561214624104645789101745678[[#This Row],[UNIT]]&lt;0),_1_541284561214624104645789101745678[[#This Row],[UNIT]]*_1_541284561214624104645789101745678[[#This Row],[COST]],0)</f>
        <v>0</v>
      </c>
      <c r="N509" s="194">
        <f t="shared" si="7"/>
        <v>1.3</v>
      </c>
      <c r="O509" s="198">
        <f>_1_541284561214624104645789101745678[[#This Row],[TOTAL]]*_1_541284561214624104645789101745678[[#This Row],[MARGIN]]</f>
        <v>0</v>
      </c>
      <c r="R509" s="41"/>
    </row>
    <row r="510" spans="1:18">
      <c r="D510" s="188"/>
      <c r="F510" s="168" t="s">
        <v>6202</v>
      </c>
      <c r="G510" s="193">
        <f>IF(_1_541284561214624104645789101745678[[#This Row],[Type]]&gt;0,VLOOKUP(_1_541284561214624104645789101745678[[#This Row],[Type]],Main[[#All],[TYPE]:[UNIT]],'Unit Price'!C$1,FALSE),0)</f>
        <v>0</v>
      </c>
      <c r="H510" s="197">
        <f>IF(_1_541284561214624104645789101745678[[#This Row],[Type]]&gt;0,VLOOKUP(_1_541284561214624104645789101745678[[#This Row],[Type]],Main[[#All],[TYPE]:[UNIT]],'Unit Price'!D$1,FALSE),0)</f>
        <v>0</v>
      </c>
      <c r="I510" s="194">
        <f>IF(_1_541284561214624104645789101745678[[#This Row],[Type]]&gt;0,VLOOKUP(_1_541284561214624104645789101745678[[#This Row],[Type]],Main[[#All],[TYPE]:[UNIT]],'Unit Price'!G$1,FALSE),0)</f>
        <v>0</v>
      </c>
      <c r="J510" s="194">
        <f>IF(_1_541284561214624104645789101745678[[#This Row],[Type]]&gt;0,VLOOKUP(_1_541284561214624104645789101745678[[#This Row],[Type]],Main[[#All],[TYPE]:[UNIT]],'Unit Price'!H$1,FALSE),0)</f>
        <v>0</v>
      </c>
      <c r="K510" s="194">
        <f>IF(_1_541284561214624104645789101745678[[#This Row],[Discount selection]]&gt;0,VLOOKUP(_1_541284561214624104645789101745678[[#This Row],[Discount selection]],'Discount Structure'!$A$2:$B$30,2,"false"),0)</f>
        <v>1</v>
      </c>
      <c r="L510" s="194">
        <f>_1_541284561214624104645789101745678[[#This Row],[LIST $]]*_1_541284561214624104645789101745678[[#This Row],[DISCOUNT]]*_1_541284561214624104645789101745678[[#This Row],[DISCOUNT 2]]</f>
        <v>0</v>
      </c>
      <c r="M510" s="194">
        <f>IF(OR(_1_541284561214624104645789101745678[[#This Row],[UNIT]]&gt;0,_1_541284561214624104645789101745678[[#This Row],[UNIT]]&lt;0),_1_541284561214624104645789101745678[[#This Row],[UNIT]]*_1_541284561214624104645789101745678[[#This Row],[COST]],0)</f>
        <v>0</v>
      </c>
      <c r="N510" s="194">
        <f t="shared" si="7"/>
        <v>1.3</v>
      </c>
      <c r="O510" s="198">
        <f>_1_541284561214624104645789101745678[[#This Row],[TOTAL]]*_1_541284561214624104645789101745678[[#This Row],[MARGIN]]</f>
        <v>0</v>
      </c>
      <c r="R510" s="41"/>
    </row>
    <row r="511" spans="1:18">
      <c r="D511" s="188"/>
      <c r="F511" s="168" t="s">
        <v>6202</v>
      </c>
      <c r="G511" s="193">
        <f>IF(_1_541284561214624104645789101745678[[#This Row],[Type]]&gt;0,VLOOKUP(_1_541284561214624104645789101745678[[#This Row],[Type]],Main[[#All],[TYPE]:[UNIT]],'Unit Price'!C$1,FALSE),0)</f>
        <v>0</v>
      </c>
      <c r="H511" s="197">
        <f>IF(_1_541284561214624104645789101745678[[#This Row],[Type]]&gt;0,VLOOKUP(_1_541284561214624104645789101745678[[#This Row],[Type]],Main[[#All],[TYPE]:[UNIT]],'Unit Price'!D$1,FALSE),0)</f>
        <v>0</v>
      </c>
      <c r="I511" s="194">
        <f>IF(_1_541284561214624104645789101745678[[#This Row],[Type]]&gt;0,VLOOKUP(_1_541284561214624104645789101745678[[#This Row],[Type]],Main[[#All],[TYPE]:[UNIT]],'Unit Price'!G$1,FALSE),0)</f>
        <v>0</v>
      </c>
      <c r="J511" s="194">
        <f>IF(_1_541284561214624104645789101745678[[#This Row],[Type]]&gt;0,VLOOKUP(_1_541284561214624104645789101745678[[#This Row],[Type]],Main[[#All],[TYPE]:[UNIT]],'Unit Price'!H$1,FALSE),0)</f>
        <v>0</v>
      </c>
      <c r="K511" s="194">
        <f>IF(_1_541284561214624104645789101745678[[#This Row],[Discount selection]]&gt;0,VLOOKUP(_1_541284561214624104645789101745678[[#This Row],[Discount selection]],'Discount Structure'!$A$2:$B$30,2,"false"),0)</f>
        <v>1</v>
      </c>
      <c r="L511" s="194">
        <f>_1_541284561214624104645789101745678[[#This Row],[LIST $]]*_1_541284561214624104645789101745678[[#This Row],[DISCOUNT]]*_1_541284561214624104645789101745678[[#This Row],[DISCOUNT 2]]</f>
        <v>0</v>
      </c>
      <c r="M511" s="194">
        <f>IF(OR(_1_541284561214624104645789101745678[[#This Row],[UNIT]]&gt;0,_1_541284561214624104645789101745678[[#This Row],[UNIT]]&lt;0),_1_541284561214624104645789101745678[[#This Row],[UNIT]]*_1_541284561214624104645789101745678[[#This Row],[COST]],0)</f>
        <v>0</v>
      </c>
      <c r="N511" s="194">
        <f t="shared" si="7"/>
        <v>1.3</v>
      </c>
      <c r="O511" s="198">
        <f>_1_541284561214624104645789101745678[[#This Row],[TOTAL]]*_1_541284561214624104645789101745678[[#This Row],[MARGIN]]</f>
        <v>0</v>
      </c>
      <c r="R511" s="41"/>
    </row>
    <row r="512" spans="1:18">
      <c r="A512" s="168"/>
      <c r="D512" s="188"/>
      <c r="F512" s="168" t="s">
        <v>6202</v>
      </c>
      <c r="G512" s="193">
        <f>IF(_1_541284561214624104645789101745678[[#This Row],[Type]]&gt;0,VLOOKUP(_1_541284561214624104645789101745678[[#This Row],[Type]],Main[[#All],[TYPE]:[UNIT]],'Unit Price'!C$1,FALSE),0)</f>
        <v>0</v>
      </c>
      <c r="H512" s="197">
        <f>IF(_1_541284561214624104645789101745678[[#This Row],[Type]]&gt;0,VLOOKUP(_1_541284561214624104645789101745678[[#This Row],[Type]],Main[[#All],[TYPE]:[UNIT]],'Unit Price'!D$1,FALSE),0)</f>
        <v>0</v>
      </c>
      <c r="I512" s="194">
        <f>IF(_1_541284561214624104645789101745678[[#This Row],[Type]]&gt;0,VLOOKUP(_1_541284561214624104645789101745678[[#This Row],[Type]],Main[[#All],[TYPE]:[UNIT]],'Unit Price'!G$1,FALSE),0)</f>
        <v>0</v>
      </c>
      <c r="J512" s="194">
        <f>IF(_1_541284561214624104645789101745678[[#This Row],[Type]]&gt;0,VLOOKUP(_1_541284561214624104645789101745678[[#This Row],[Type]],Main[[#All],[TYPE]:[UNIT]],'Unit Price'!H$1,FALSE),0)</f>
        <v>0</v>
      </c>
      <c r="K512" s="194">
        <f>IF(_1_541284561214624104645789101745678[[#This Row],[Discount selection]]&gt;0,VLOOKUP(_1_541284561214624104645789101745678[[#This Row],[Discount selection]],'Discount Structure'!$A$2:$B$30,2,"false"),0)</f>
        <v>1</v>
      </c>
      <c r="L512" s="194">
        <f>_1_541284561214624104645789101745678[[#This Row],[LIST $]]*_1_541284561214624104645789101745678[[#This Row],[DISCOUNT]]*_1_541284561214624104645789101745678[[#This Row],[DISCOUNT 2]]</f>
        <v>0</v>
      </c>
      <c r="M512" s="194">
        <f>IF(OR(_1_541284561214624104645789101745678[[#This Row],[UNIT]]&gt;0,_1_541284561214624104645789101745678[[#This Row],[UNIT]]&lt;0),_1_541284561214624104645789101745678[[#This Row],[UNIT]]*_1_541284561214624104645789101745678[[#This Row],[COST]],0)</f>
        <v>0</v>
      </c>
      <c r="N512" s="194">
        <f t="shared" si="7"/>
        <v>1.3</v>
      </c>
      <c r="O512" s="198">
        <f>_1_541284561214624104645789101745678[[#This Row],[TOTAL]]*_1_541284561214624104645789101745678[[#This Row],[MARGIN]]</f>
        <v>0</v>
      </c>
      <c r="R512" s="41"/>
    </row>
    <row r="513" spans="1:18">
      <c r="A513" s="168"/>
      <c r="D513" s="188"/>
      <c r="F513" s="168" t="s">
        <v>6202</v>
      </c>
      <c r="G513" s="193">
        <f>IF(_1_541284561214624104645789101745678[[#This Row],[Type]]&gt;0,VLOOKUP(_1_541284561214624104645789101745678[[#This Row],[Type]],Main[[#All],[TYPE]:[UNIT]],'Unit Price'!C$1,FALSE),0)</f>
        <v>0</v>
      </c>
      <c r="H513" s="197">
        <f>IF(_1_541284561214624104645789101745678[[#This Row],[Type]]&gt;0,VLOOKUP(_1_541284561214624104645789101745678[[#This Row],[Type]],Main[[#All],[TYPE]:[UNIT]],'Unit Price'!D$1,FALSE),0)</f>
        <v>0</v>
      </c>
      <c r="I513" s="194">
        <f>IF(_1_541284561214624104645789101745678[[#This Row],[Type]]&gt;0,VLOOKUP(_1_541284561214624104645789101745678[[#This Row],[Type]],Main[[#All],[TYPE]:[UNIT]],'Unit Price'!G$1,FALSE),0)</f>
        <v>0</v>
      </c>
      <c r="J513" s="194">
        <f>IF(_1_541284561214624104645789101745678[[#This Row],[Type]]&gt;0,VLOOKUP(_1_541284561214624104645789101745678[[#This Row],[Type]],Main[[#All],[TYPE]:[UNIT]],'Unit Price'!H$1,FALSE),0)</f>
        <v>0</v>
      </c>
      <c r="K513" s="194">
        <f>IF(_1_541284561214624104645789101745678[[#This Row],[Discount selection]]&gt;0,VLOOKUP(_1_541284561214624104645789101745678[[#This Row],[Discount selection]],'Discount Structure'!$A$2:$B$30,2,"false"),0)</f>
        <v>1</v>
      </c>
      <c r="L513" s="194">
        <f>_1_541284561214624104645789101745678[[#This Row],[LIST $]]*_1_541284561214624104645789101745678[[#This Row],[DISCOUNT]]*_1_541284561214624104645789101745678[[#This Row],[DISCOUNT 2]]</f>
        <v>0</v>
      </c>
      <c r="M513" s="194">
        <f>IF(OR(_1_541284561214624104645789101745678[[#This Row],[UNIT]]&gt;0,_1_541284561214624104645789101745678[[#This Row],[UNIT]]&lt;0),_1_541284561214624104645789101745678[[#This Row],[UNIT]]*_1_541284561214624104645789101745678[[#This Row],[COST]],0)</f>
        <v>0</v>
      </c>
      <c r="N513" s="194">
        <f t="shared" si="7"/>
        <v>1.3</v>
      </c>
      <c r="O513" s="198">
        <f>_1_541284561214624104645789101745678[[#This Row],[TOTAL]]*_1_541284561214624104645789101745678[[#This Row],[MARGIN]]</f>
        <v>0</v>
      </c>
      <c r="R513" s="41"/>
    </row>
    <row r="514" spans="1:18">
      <c r="A514" s="168"/>
      <c r="D514" s="188"/>
      <c r="F514" s="168" t="s">
        <v>6202</v>
      </c>
      <c r="G514" s="193">
        <f>IF(_1_541284561214624104645789101745678[[#This Row],[Type]]&gt;0,VLOOKUP(_1_541284561214624104645789101745678[[#This Row],[Type]],Main[[#All],[TYPE]:[UNIT]],'Unit Price'!C$1,FALSE),0)</f>
        <v>0</v>
      </c>
      <c r="H514" s="197">
        <f>IF(_1_541284561214624104645789101745678[[#This Row],[Type]]&gt;0,VLOOKUP(_1_541284561214624104645789101745678[[#This Row],[Type]],Main[[#All],[TYPE]:[UNIT]],'Unit Price'!D$1,FALSE),0)</f>
        <v>0</v>
      </c>
      <c r="I514" s="194">
        <f>IF(_1_541284561214624104645789101745678[[#This Row],[Type]]&gt;0,VLOOKUP(_1_541284561214624104645789101745678[[#This Row],[Type]],Main[[#All],[TYPE]:[UNIT]],'Unit Price'!G$1,FALSE),0)</f>
        <v>0</v>
      </c>
      <c r="J514" s="194">
        <f>IF(_1_541284561214624104645789101745678[[#This Row],[Type]]&gt;0,VLOOKUP(_1_541284561214624104645789101745678[[#This Row],[Type]],Main[[#All],[TYPE]:[UNIT]],'Unit Price'!H$1,FALSE),0)</f>
        <v>0</v>
      </c>
      <c r="K514" s="194">
        <f>IF(_1_541284561214624104645789101745678[[#This Row],[Discount selection]]&gt;0,VLOOKUP(_1_541284561214624104645789101745678[[#This Row],[Discount selection]],'Discount Structure'!$A$2:$B$30,2,"false"),0)</f>
        <v>1</v>
      </c>
      <c r="L514" s="194">
        <f>_1_541284561214624104645789101745678[[#This Row],[LIST $]]*_1_541284561214624104645789101745678[[#This Row],[DISCOUNT]]*_1_541284561214624104645789101745678[[#This Row],[DISCOUNT 2]]</f>
        <v>0</v>
      </c>
      <c r="M514" s="194">
        <f>IF(OR(_1_541284561214624104645789101745678[[#This Row],[UNIT]]&gt;0,_1_541284561214624104645789101745678[[#This Row],[UNIT]]&lt;0),_1_541284561214624104645789101745678[[#This Row],[UNIT]]*_1_541284561214624104645789101745678[[#This Row],[COST]],0)</f>
        <v>0</v>
      </c>
      <c r="N514" s="194">
        <f t="shared" si="7"/>
        <v>1.3</v>
      </c>
      <c r="O514" s="198">
        <f>_1_541284561214624104645789101745678[[#This Row],[TOTAL]]*_1_541284561214624104645789101745678[[#This Row],[MARGIN]]</f>
        <v>0</v>
      </c>
      <c r="R514" s="41"/>
    </row>
    <row r="515" spans="1:18">
      <c r="B515" s="168"/>
      <c r="C515" s="168"/>
      <c r="D515" s="188"/>
      <c r="F515" s="168" t="s">
        <v>6202</v>
      </c>
      <c r="G515" s="193">
        <f>IF(_1_541284561214624104645789101745678[[#This Row],[Type]]&gt;0,VLOOKUP(_1_541284561214624104645789101745678[[#This Row],[Type]],Main[[#All],[TYPE]:[UNIT]],'Unit Price'!C$1,FALSE),0)</f>
        <v>0</v>
      </c>
      <c r="H515" s="197">
        <f>IF(_1_541284561214624104645789101745678[[#This Row],[Type]]&gt;0,VLOOKUP(_1_541284561214624104645789101745678[[#This Row],[Type]],Main[[#All],[TYPE]:[UNIT]],'Unit Price'!D$1,FALSE),0)</f>
        <v>0</v>
      </c>
      <c r="I515" s="194">
        <f>IF(_1_541284561214624104645789101745678[[#This Row],[Type]]&gt;0,VLOOKUP(_1_541284561214624104645789101745678[[#This Row],[Type]],Main[[#All],[TYPE]:[UNIT]],'Unit Price'!G$1,FALSE),0)</f>
        <v>0</v>
      </c>
      <c r="J515" s="194">
        <f>IF(_1_541284561214624104645789101745678[[#This Row],[Type]]&gt;0,VLOOKUP(_1_541284561214624104645789101745678[[#This Row],[Type]],Main[[#All],[TYPE]:[UNIT]],'Unit Price'!H$1,FALSE),0)</f>
        <v>0</v>
      </c>
      <c r="K515" s="194">
        <f>IF(_1_541284561214624104645789101745678[[#This Row],[Discount selection]]&gt;0,VLOOKUP(_1_541284561214624104645789101745678[[#This Row],[Discount selection]],'Discount Structure'!$A$2:$B$30,2,"false"),0)</f>
        <v>1</v>
      </c>
      <c r="L515" s="194">
        <f>_1_541284561214624104645789101745678[[#This Row],[LIST $]]*_1_541284561214624104645789101745678[[#This Row],[DISCOUNT]]*_1_541284561214624104645789101745678[[#This Row],[DISCOUNT 2]]</f>
        <v>0</v>
      </c>
      <c r="M515" s="194">
        <f>IF(OR(_1_541284561214624104645789101745678[[#This Row],[UNIT]]&gt;0,_1_541284561214624104645789101745678[[#This Row],[UNIT]]&lt;0),_1_541284561214624104645789101745678[[#This Row],[UNIT]]*_1_541284561214624104645789101745678[[#This Row],[COST]],0)</f>
        <v>0</v>
      </c>
      <c r="N515" s="194">
        <f t="shared" si="7"/>
        <v>1.3</v>
      </c>
      <c r="O515" s="198">
        <f>_1_541284561214624104645789101745678[[#This Row],[TOTAL]]*_1_541284561214624104645789101745678[[#This Row],[MARGIN]]</f>
        <v>0</v>
      </c>
      <c r="R515" s="41"/>
    </row>
    <row r="516" spans="1:18">
      <c r="D516" s="188"/>
      <c r="F516" s="168" t="s">
        <v>6202</v>
      </c>
      <c r="G516" s="193">
        <f>IF(_1_541284561214624104645789101745678[[#This Row],[Type]]&gt;0,VLOOKUP(_1_541284561214624104645789101745678[[#This Row],[Type]],Main[[#All],[TYPE]:[UNIT]],'Unit Price'!C$1,FALSE),0)</f>
        <v>0</v>
      </c>
      <c r="H516" s="197">
        <f>IF(_1_541284561214624104645789101745678[[#This Row],[Type]]&gt;0,VLOOKUP(_1_541284561214624104645789101745678[[#This Row],[Type]],Main[[#All],[TYPE]:[UNIT]],'Unit Price'!D$1,FALSE),0)</f>
        <v>0</v>
      </c>
      <c r="I516" s="194">
        <f>IF(_1_541284561214624104645789101745678[[#This Row],[Type]]&gt;0,VLOOKUP(_1_541284561214624104645789101745678[[#This Row],[Type]],Main[[#All],[TYPE]:[UNIT]],'Unit Price'!G$1,FALSE),0)</f>
        <v>0</v>
      </c>
      <c r="J516" s="194">
        <f>IF(_1_541284561214624104645789101745678[[#This Row],[Type]]&gt;0,VLOOKUP(_1_541284561214624104645789101745678[[#This Row],[Type]],Main[[#All],[TYPE]:[UNIT]],'Unit Price'!H$1,FALSE),0)</f>
        <v>0</v>
      </c>
      <c r="K516" s="194">
        <f>IF(_1_541284561214624104645789101745678[[#This Row],[Discount selection]]&gt;0,VLOOKUP(_1_541284561214624104645789101745678[[#This Row],[Discount selection]],'Discount Structure'!$A$2:$B$30,2,"false"),0)</f>
        <v>1</v>
      </c>
      <c r="L516" s="194">
        <f>_1_541284561214624104645789101745678[[#This Row],[LIST $]]*_1_541284561214624104645789101745678[[#This Row],[DISCOUNT]]*_1_541284561214624104645789101745678[[#This Row],[DISCOUNT 2]]</f>
        <v>0</v>
      </c>
      <c r="M516" s="194">
        <f>IF(OR(_1_541284561214624104645789101745678[[#This Row],[UNIT]]&gt;0,_1_541284561214624104645789101745678[[#This Row],[UNIT]]&lt;0),_1_541284561214624104645789101745678[[#This Row],[UNIT]]*_1_541284561214624104645789101745678[[#This Row],[COST]],0)</f>
        <v>0</v>
      </c>
      <c r="N516" s="194">
        <f t="shared" si="7"/>
        <v>1.3</v>
      </c>
      <c r="O516" s="198">
        <f>_1_541284561214624104645789101745678[[#This Row],[TOTAL]]*_1_541284561214624104645789101745678[[#This Row],[MARGIN]]</f>
        <v>0</v>
      </c>
      <c r="R516" s="41"/>
    </row>
    <row r="517" spans="1:18">
      <c r="D517" s="188"/>
      <c r="F517" s="168" t="s">
        <v>6202</v>
      </c>
      <c r="G517" s="193">
        <f>IF(_1_541284561214624104645789101745678[[#This Row],[Type]]&gt;0,VLOOKUP(_1_541284561214624104645789101745678[[#This Row],[Type]],Main[[#All],[TYPE]:[UNIT]],'Unit Price'!C$1,FALSE),0)</f>
        <v>0</v>
      </c>
      <c r="H517" s="197">
        <f>IF(_1_541284561214624104645789101745678[[#This Row],[Type]]&gt;0,VLOOKUP(_1_541284561214624104645789101745678[[#This Row],[Type]],Main[[#All],[TYPE]:[UNIT]],'Unit Price'!D$1,FALSE),0)</f>
        <v>0</v>
      </c>
      <c r="I517" s="194">
        <f>IF(_1_541284561214624104645789101745678[[#This Row],[Type]]&gt;0,VLOOKUP(_1_541284561214624104645789101745678[[#This Row],[Type]],Main[[#All],[TYPE]:[UNIT]],'Unit Price'!G$1,FALSE),0)</f>
        <v>0</v>
      </c>
      <c r="J517" s="194">
        <f>IF(_1_541284561214624104645789101745678[[#This Row],[Type]]&gt;0,VLOOKUP(_1_541284561214624104645789101745678[[#This Row],[Type]],Main[[#All],[TYPE]:[UNIT]],'Unit Price'!H$1,FALSE),0)</f>
        <v>0</v>
      </c>
      <c r="K517" s="194">
        <f>IF(_1_541284561214624104645789101745678[[#This Row],[Discount selection]]&gt;0,VLOOKUP(_1_541284561214624104645789101745678[[#This Row],[Discount selection]],'Discount Structure'!$A$2:$B$30,2,"false"),0)</f>
        <v>1</v>
      </c>
      <c r="L517" s="194">
        <f>_1_541284561214624104645789101745678[[#This Row],[LIST $]]*_1_541284561214624104645789101745678[[#This Row],[DISCOUNT]]*_1_541284561214624104645789101745678[[#This Row],[DISCOUNT 2]]</f>
        <v>0</v>
      </c>
      <c r="M517" s="194">
        <f>IF(OR(_1_541284561214624104645789101745678[[#This Row],[UNIT]]&gt;0,_1_541284561214624104645789101745678[[#This Row],[UNIT]]&lt;0),_1_541284561214624104645789101745678[[#This Row],[UNIT]]*_1_541284561214624104645789101745678[[#This Row],[COST]],0)</f>
        <v>0</v>
      </c>
      <c r="N517" s="194">
        <f t="shared" si="7"/>
        <v>1.3</v>
      </c>
      <c r="O517" s="198">
        <f>_1_541284561214624104645789101745678[[#This Row],[TOTAL]]*_1_541284561214624104645789101745678[[#This Row],[MARGIN]]</f>
        <v>0</v>
      </c>
      <c r="R517" s="41"/>
    </row>
    <row r="518" spans="1:18">
      <c r="D518" s="188"/>
      <c r="F518" s="168" t="s">
        <v>6202</v>
      </c>
      <c r="G518" s="193">
        <f>IF(_1_541284561214624104645789101745678[[#This Row],[Type]]&gt;0,VLOOKUP(_1_541284561214624104645789101745678[[#This Row],[Type]],Main[[#All],[TYPE]:[UNIT]],'Unit Price'!C$1,FALSE),0)</f>
        <v>0</v>
      </c>
      <c r="H518" s="197">
        <f>IF(_1_541284561214624104645789101745678[[#This Row],[Type]]&gt;0,VLOOKUP(_1_541284561214624104645789101745678[[#This Row],[Type]],Main[[#All],[TYPE]:[UNIT]],'Unit Price'!D$1,FALSE),0)</f>
        <v>0</v>
      </c>
      <c r="I518" s="194">
        <f>IF(_1_541284561214624104645789101745678[[#This Row],[Type]]&gt;0,VLOOKUP(_1_541284561214624104645789101745678[[#This Row],[Type]],Main[[#All],[TYPE]:[UNIT]],'Unit Price'!G$1,FALSE),0)</f>
        <v>0</v>
      </c>
      <c r="J518" s="194">
        <f>IF(_1_541284561214624104645789101745678[[#This Row],[Type]]&gt;0,VLOOKUP(_1_541284561214624104645789101745678[[#This Row],[Type]],Main[[#All],[TYPE]:[UNIT]],'Unit Price'!H$1,FALSE),0)</f>
        <v>0</v>
      </c>
      <c r="K518" s="194">
        <f>IF(_1_541284561214624104645789101745678[[#This Row],[Discount selection]]&gt;0,VLOOKUP(_1_541284561214624104645789101745678[[#This Row],[Discount selection]],'Discount Structure'!$A$2:$B$30,2,"false"),0)</f>
        <v>1</v>
      </c>
      <c r="L518" s="194">
        <f>_1_541284561214624104645789101745678[[#This Row],[LIST $]]*_1_541284561214624104645789101745678[[#This Row],[DISCOUNT]]*_1_541284561214624104645789101745678[[#This Row],[DISCOUNT 2]]</f>
        <v>0</v>
      </c>
      <c r="M518" s="194">
        <f>IF(OR(_1_541284561214624104645789101745678[[#This Row],[UNIT]]&gt;0,_1_541284561214624104645789101745678[[#This Row],[UNIT]]&lt;0),_1_541284561214624104645789101745678[[#This Row],[UNIT]]*_1_541284561214624104645789101745678[[#This Row],[COST]],0)</f>
        <v>0</v>
      </c>
      <c r="N518" s="194">
        <f t="shared" si="7"/>
        <v>1.3</v>
      </c>
      <c r="O518" s="198">
        <f>_1_541284561214624104645789101745678[[#This Row],[TOTAL]]*_1_541284561214624104645789101745678[[#This Row],[MARGIN]]</f>
        <v>0</v>
      </c>
      <c r="R518" s="41"/>
    </row>
    <row r="519" spans="1:18">
      <c r="D519" s="188"/>
      <c r="F519" s="168" t="s">
        <v>6202</v>
      </c>
      <c r="G519" s="193">
        <f>IF(_1_541284561214624104645789101745678[[#This Row],[Type]]&gt;0,VLOOKUP(_1_541284561214624104645789101745678[[#This Row],[Type]],Main[[#All],[TYPE]:[UNIT]],'Unit Price'!C$1,FALSE),0)</f>
        <v>0</v>
      </c>
      <c r="H519" s="197">
        <f>IF(_1_541284561214624104645789101745678[[#This Row],[Type]]&gt;0,VLOOKUP(_1_541284561214624104645789101745678[[#This Row],[Type]],Main[[#All],[TYPE]:[UNIT]],'Unit Price'!D$1,FALSE),0)</f>
        <v>0</v>
      </c>
      <c r="I519" s="194">
        <f>IF(_1_541284561214624104645789101745678[[#This Row],[Type]]&gt;0,VLOOKUP(_1_541284561214624104645789101745678[[#This Row],[Type]],Main[[#All],[TYPE]:[UNIT]],'Unit Price'!G$1,FALSE),0)</f>
        <v>0</v>
      </c>
      <c r="J519" s="194">
        <f>IF(_1_541284561214624104645789101745678[[#This Row],[Type]]&gt;0,VLOOKUP(_1_541284561214624104645789101745678[[#This Row],[Type]],Main[[#All],[TYPE]:[UNIT]],'Unit Price'!H$1,FALSE),0)</f>
        <v>0</v>
      </c>
      <c r="K519" s="194">
        <f>IF(_1_541284561214624104645789101745678[[#This Row],[Discount selection]]&gt;0,VLOOKUP(_1_541284561214624104645789101745678[[#This Row],[Discount selection]],'Discount Structure'!$A$2:$B$30,2,"false"),0)</f>
        <v>1</v>
      </c>
      <c r="L519" s="194">
        <f>_1_541284561214624104645789101745678[[#This Row],[LIST $]]*_1_541284561214624104645789101745678[[#This Row],[DISCOUNT]]*_1_541284561214624104645789101745678[[#This Row],[DISCOUNT 2]]</f>
        <v>0</v>
      </c>
      <c r="M519" s="194">
        <f>IF(OR(_1_541284561214624104645789101745678[[#This Row],[UNIT]]&gt;0,_1_541284561214624104645789101745678[[#This Row],[UNIT]]&lt;0),_1_541284561214624104645789101745678[[#This Row],[UNIT]]*_1_541284561214624104645789101745678[[#This Row],[COST]],0)</f>
        <v>0</v>
      </c>
      <c r="N519" s="194">
        <f t="shared" si="7"/>
        <v>1.3</v>
      </c>
      <c r="O519" s="198">
        <f>_1_541284561214624104645789101745678[[#This Row],[TOTAL]]*_1_541284561214624104645789101745678[[#This Row],[MARGIN]]</f>
        <v>0</v>
      </c>
      <c r="R519" s="41"/>
    </row>
    <row r="520" spans="1:18">
      <c r="D520" s="188"/>
      <c r="F520" s="168" t="s">
        <v>6202</v>
      </c>
      <c r="G520" s="193">
        <f>IF(_1_541284561214624104645789101745678[[#This Row],[Type]]&gt;0,VLOOKUP(_1_541284561214624104645789101745678[[#This Row],[Type]],Main[[#All],[TYPE]:[UNIT]],'Unit Price'!C$1,FALSE),0)</f>
        <v>0</v>
      </c>
      <c r="H520" s="197">
        <f>IF(_1_541284561214624104645789101745678[[#This Row],[Type]]&gt;0,VLOOKUP(_1_541284561214624104645789101745678[[#This Row],[Type]],Main[[#All],[TYPE]:[UNIT]],'Unit Price'!D$1,FALSE),0)</f>
        <v>0</v>
      </c>
      <c r="I520" s="194">
        <f>IF(_1_541284561214624104645789101745678[[#This Row],[Type]]&gt;0,VLOOKUP(_1_541284561214624104645789101745678[[#This Row],[Type]],Main[[#All],[TYPE]:[UNIT]],'Unit Price'!G$1,FALSE),0)</f>
        <v>0</v>
      </c>
      <c r="J520" s="194">
        <f>IF(_1_541284561214624104645789101745678[[#This Row],[Type]]&gt;0,VLOOKUP(_1_541284561214624104645789101745678[[#This Row],[Type]],Main[[#All],[TYPE]:[UNIT]],'Unit Price'!H$1,FALSE),0)</f>
        <v>0</v>
      </c>
      <c r="K520" s="194">
        <f>IF(_1_541284561214624104645789101745678[[#This Row],[Discount selection]]&gt;0,VLOOKUP(_1_541284561214624104645789101745678[[#This Row],[Discount selection]],'Discount Structure'!$A$2:$B$30,2,"false"),0)</f>
        <v>1</v>
      </c>
      <c r="L520" s="194">
        <f>_1_541284561214624104645789101745678[[#This Row],[LIST $]]*_1_541284561214624104645789101745678[[#This Row],[DISCOUNT]]*_1_541284561214624104645789101745678[[#This Row],[DISCOUNT 2]]</f>
        <v>0</v>
      </c>
      <c r="M520" s="194">
        <f>IF(OR(_1_541284561214624104645789101745678[[#This Row],[UNIT]]&gt;0,_1_541284561214624104645789101745678[[#This Row],[UNIT]]&lt;0),_1_541284561214624104645789101745678[[#This Row],[UNIT]]*_1_541284561214624104645789101745678[[#This Row],[COST]],0)</f>
        <v>0</v>
      </c>
      <c r="N520" s="194">
        <f t="shared" si="7"/>
        <v>1.3</v>
      </c>
      <c r="O520" s="198">
        <f>_1_541284561214624104645789101745678[[#This Row],[TOTAL]]*_1_541284561214624104645789101745678[[#This Row],[MARGIN]]</f>
        <v>0</v>
      </c>
      <c r="R520" s="41"/>
    </row>
    <row r="521" spans="1:18">
      <c r="D521" s="188"/>
      <c r="F521" s="168" t="s">
        <v>6202</v>
      </c>
      <c r="G521" s="193">
        <f>IF(_1_541284561214624104645789101745678[[#This Row],[Type]]&gt;0,VLOOKUP(_1_541284561214624104645789101745678[[#This Row],[Type]],Main[[#All],[TYPE]:[UNIT]],'Unit Price'!C$1,FALSE),0)</f>
        <v>0</v>
      </c>
      <c r="H521" s="197">
        <f>IF(_1_541284561214624104645789101745678[[#This Row],[Type]]&gt;0,VLOOKUP(_1_541284561214624104645789101745678[[#This Row],[Type]],Main[[#All],[TYPE]:[UNIT]],'Unit Price'!D$1,FALSE),0)</f>
        <v>0</v>
      </c>
      <c r="I521" s="194">
        <f>IF(_1_541284561214624104645789101745678[[#This Row],[Type]]&gt;0,VLOOKUP(_1_541284561214624104645789101745678[[#This Row],[Type]],Main[[#All],[TYPE]:[UNIT]],'Unit Price'!G$1,FALSE),0)</f>
        <v>0</v>
      </c>
      <c r="J521" s="194">
        <f>IF(_1_541284561214624104645789101745678[[#This Row],[Type]]&gt;0,VLOOKUP(_1_541284561214624104645789101745678[[#This Row],[Type]],Main[[#All],[TYPE]:[UNIT]],'Unit Price'!H$1,FALSE),0)</f>
        <v>0</v>
      </c>
      <c r="K521" s="194">
        <f>IF(_1_541284561214624104645789101745678[[#This Row],[Discount selection]]&gt;0,VLOOKUP(_1_541284561214624104645789101745678[[#This Row],[Discount selection]],'Discount Structure'!$A$2:$B$30,2,"false"),0)</f>
        <v>1</v>
      </c>
      <c r="L521" s="194">
        <f>_1_541284561214624104645789101745678[[#This Row],[LIST $]]*_1_541284561214624104645789101745678[[#This Row],[DISCOUNT]]*_1_541284561214624104645789101745678[[#This Row],[DISCOUNT 2]]</f>
        <v>0</v>
      </c>
      <c r="M521" s="194">
        <f>IF(OR(_1_541284561214624104645789101745678[[#This Row],[UNIT]]&gt;0,_1_541284561214624104645789101745678[[#This Row],[UNIT]]&lt;0),_1_541284561214624104645789101745678[[#This Row],[UNIT]]*_1_541284561214624104645789101745678[[#This Row],[COST]],0)</f>
        <v>0</v>
      </c>
      <c r="N521" s="194">
        <f t="shared" si="7"/>
        <v>1.3</v>
      </c>
      <c r="O521" s="198">
        <f>_1_541284561214624104645789101745678[[#This Row],[TOTAL]]*_1_541284561214624104645789101745678[[#This Row],[MARGIN]]</f>
        <v>0</v>
      </c>
      <c r="R521" s="41"/>
    </row>
    <row r="522" spans="1:18">
      <c r="A522" s="168"/>
      <c r="D522" s="188"/>
      <c r="F522" s="168" t="s">
        <v>6202</v>
      </c>
      <c r="G522" s="193">
        <f>IF(_1_541284561214624104645789101745678[[#This Row],[Type]]&gt;0,VLOOKUP(_1_541284561214624104645789101745678[[#This Row],[Type]],Main[[#All],[TYPE]:[UNIT]],'Unit Price'!C$1,FALSE),0)</f>
        <v>0</v>
      </c>
      <c r="H522" s="197">
        <f>IF(_1_541284561214624104645789101745678[[#This Row],[Type]]&gt;0,VLOOKUP(_1_541284561214624104645789101745678[[#This Row],[Type]],Main[[#All],[TYPE]:[UNIT]],'Unit Price'!D$1,FALSE),0)</f>
        <v>0</v>
      </c>
      <c r="I522" s="194">
        <f>IF(_1_541284561214624104645789101745678[[#This Row],[Type]]&gt;0,VLOOKUP(_1_541284561214624104645789101745678[[#This Row],[Type]],Main[[#All],[TYPE]:[UNIT]],'Unit Price'!G$1,FALSE),0)</f>
        <v>0</v>
      </c>
      <c r="J522" s="194">
        <f>IF(_1_541284561214624104645789101745678[[#This Row],[Type]]&gt;0,VLOOKUP(_1_541284561214624104645789101745678[[#This Row],[Type]],Main[[#All],[TYPE]:[UNIT]],'Unit Price'!H$1,FALSE),0)</f>
        <v>0</v>
      </c>
      <c r="K522" s="194">
        <f>IF(_1_541284561214624104645789101745678[[#This Row],[Discount selection]]&gt;0,VLOOKUP(_1_541284561214624104645789101745678[[#This Row],[Discount selection]],'Discount Structure'!$A$2:$B$30,2,"false"),0)</f>
        <v>1</v>
      </c>
      <c r="L522" s="194">
        <f>_1_541284561214624104645789101745678[[#This Row],[LIST $]]*_1_541284561214624104645789101745678[[#This Row],[DISCOUNT]]*_1_541284561214624104645789101745678[[#This Row],[DISCOUNT 2]]</f>
        <v>0</v>
      </c>
      <c r="M522" s="194">
        <f>IF(OR(_1_541284561214624104645789101745678[[#This Row],[UNIT]]&gt;0,_1_541284561214624104645789101745678[[#This Row],[UNIT]]&lt;0),_1_541284561214624104645789101745678[[#This Row],[UNIT]]*_1_541284561214624104645789101745678[[#This Row],[COST]],0)</f>
        <v>0</v>
      </c>
      <c r="N522" s="194">
        <f t="shared" ref="N522:N585" si="8">$N$7</f>
        <v>1.3</v>
      </c>
      <c r="O522" s="198">
        <f>_1_541284561214624104645789101745678[[#This Row],[TOTAL]]*_1_541284561214624104645789101745678[[#This Row],[MARGIN]]</f>
        <v>0</v>
      </c>
      <c r="R522" s="41"/>
    </row>
    <row r="523" spans="1:18">
      <c r="D523" s="188"/>
      <c r="F523" s="168" t="s">
        <v>6202</v>
      </c>
      <c r="G523" s="193">
        <f>IF(_1_541284561214624104645789101745678[[#This Row],[Type]]&gt;0,VLOOKUP(_1_541284561214624104645789101745678[[#This Row],[Type]],Main[[#All],[TYPE]:[UNIT]],'Unit Price'!C$1,FALSE),0)</f>
        <v>0</v>
      </c>
      <c r="H523" s="197">
        <f>IF(_1_541284561214624104645789101745678[[#This Row],[Type]]&gt;0,VLOOKUP(_1_541284561214624104645789101745678[[#This Row],[Type]],Main[[#All],[TYPE]:[UNIT]],'Unit Price'!D$1,FALSE),0)</f>
        <v>0</v>
      </c>
      <c r="I523" s="194">
        <f>IF(_1_541284561214624104645789101745678[[#This Row],[Type]]&gt;0,VLOOKUP(_1_541284561214624104645789101745678[[#This Row],[Type]],Main[[#All],[TYPE]:[UNIT]],'Unit Price'!G$1,FALSE),0)</f>
        <v>0</v>
      </c>
      <c r="J523" s="194">
        <f>IF(_1_541284561214624104645789101745678[[#This Row],[Type]]&gt;0,VLOOKUP(_1_541284561214624104645789101745678[[#This Row],[Type]],Main[[#All],[TYPE]:[UNIT]],'Unit Price'!H$1,FALSE),0)</f>
        <v>0</v>
      </c>
      <c r="K523" s="194">
        <f>IF(_1_541284561214624104645789101745678[[#This Row],[Discount selection]]&gt;0,VLOOKUP(_1_541284561214624104645789101745678[[#This Row],[Discount selection]],'Discount Structure'!$A$2:$B$30,2,"false"),0)</f>
        <v>1</v>
      </c>
      <c r="L523" s="194">
        <f>_1_541284561214624104645789101745678[[#This Row],[LIST $]]*_1_541284561214624104645789101745678[[#This Row],[DISCOUNT]]*_1_541284561214624104645789101745678[[#This Row],[DISCOUNT 2]]</f>
        <v>0</v>
      </c>
      <c r="M523" s="194">
        <f>IF(OR(_1_541284561214624104645789101745678[[#This Row],[UNIT]]&gt;0,_1_541284561214624104645789101745678[[#This Row],[UNIT]]&lt;0),_1_541284561214624104645789101745678[[#This Row],[UNIT]]*_1_541284561214624104645789101745678[[#This Row],[COST]],0)</f>
        <v>0</v>
      </c>
      <c r="N523" s="194">
        <f t="shared" si="8"/>
        <v>1.3</v>
      </c>
      <c r="O523" s="198">
        <f>_1_541284561214624104645789101745678[[#This Row],[TOTAL]]*_1_541284561214624104645789101745678[[#This Row],[MARGIN]]</f>
        <v>0</v>
      </c>
      <c r="R523" s="41"/>
    </row>
    <row r="524" spans="1:18">
      <c r="D524" s="188"/>
      <c r="F524" s="168" t="s">
        <v>6202</v>
      </c>
      <c r="G524" s="193">
        <f>IF(_1_541284561214624104645789101745678[[#This Row],[Type]]&gt;0,VLOOKUP(_1_541284561214624104645789101745678[[#This Row],[Type]],Main[[#All],[TYPE]:[UNIT]],'Unit Price'!C$1,FALSE),0)</f>
        <v>0</v>
      </c>
      <c r="H524" s="197">
        <f>IF(_1_541284561214624104645789101745678[[#This Row],[Type]]&gt;0,VLOOKUP(_1_541284561214624104645789101745678[[#This Row],[Type]],Main[[#All],[TYPE]:[UNIT]],'Unit Price'!D$1,FALSE),0)</f>
        <v>0</v>
      </c>
      <c r="I524" s="194">
        <f>IF(_1_541284561214624104645789101745678[[#This Row],[Type]]&gt;0,VLOOKUP(_1_541284561214624104645789101745678[[#This Row],[Type]],Main[[#All],[TYPE]:[UNIT]],'Unit Price'!G$1,FALSE),0)</f>
        <v>0</v>
      </c>
      <c r="J524" s="194">
        <f>IF(_1_541284561214624104645789101745678[[#This Row],[Type]]&gt;0,VLOOKUP(_1_541284561214624104645789101745678[[#This Row],[Type]],Main[[#All],[TYPE]:[UNIT]],'Unit Price'!H$1,FALSE),0)</f>
        <v>0</v>
      </c>
      <c r="K524" s="194">
        <f>IF(_1_541284561214624104645789101745678[[#This Row],[Discount selection]]&gt;0,VLOOKUP(_1_541284561214624104645789101745678[[#This Row],[Discount selection]],'Discount Structure'!$A$2:$B$30,2,"false"),0)</f>
        <v>1</v>
      </c>
      <c r="L524" s="194">
        <f>_1_541284561214624104645789101745678[[#This Row],[LIST $]]*_1_541284561214624104645789101745678[[#This Row],[DISCOUNT]]*_1_541284561214624104645789101745678[[#This Row],[DISCOUNT 2]]</f>
        <v>0</v>
      </c>
      <c r="M524" s="194">
        <f>IF(OR(_1_541284561214624104645789101745678[[#This Row],[UNIT]]&gt;0,_1_541284561214624104645789101745678[[#This Row],[UNIT]]&lt;0),_1_541284561214624104645789101745678[[#This Row],[UNIT]]*_1_541284561214624104645789101745678[[#This Row],[COST]],0)</f>
        <v>0</v>
      </c>
      <c r="N524" s="194">
        <f t="shared" si="8"/>
        <v>1.3</v>
      </c>
      <c r="O524" s="198">
        <f>_1_541284561214624104645789101745678[[#This Row],[TOTAL]]*_1_541284561214624104645789101745678[[#This Row],[MARGIN]]</f>
        <v>0</v>
      </c>
      <c r="R524" s="41"/>
    </row>
    <row r="525" spans="1:18">
      <c r="D525" s="188"/>
      <c r="F525" s="168" t="s">
        <v>6202</v>
      </c>
      <c r="G525" s="193">
        <f>IF(_1_541284561214624104645789101745678[[#This Row],[Type]]&gt;0,VLOOKUP(_1_541284561214624104645789101745678[[#This Row],[Type]],Main[[#All],[TYPE]:[UNIT]],'Unit Price'!C$1,FALSE),0)</f>
        <v>0</v>
      </c>
      <c r="H525" s="197">
        <f>IF(_1_541284561214624104645789101745678[[#This Row],[Type]]&gt;0,VLOOKUP(_1_541284561214624104645789101745678[[#This Row],[Type]],Main[[#All],[TYPE]:[UNIT]],'Unit Price'!D$1,FALSE),0)</f>
        <v>0</v>
      </c>
      <c r="I525" s="194">
        <f>IF(_1_541284561214624104645789101745678[[#This Row],[Type]]&gt;0,VLOOKUP(_1_541284561214624104645789101745678[[#This Row],[Type]],Main[[#All],[TYPE]:[UNIT]],'Unit Price'!G$1,FALSE),0)</f>
        <v>0</v>
      </c>
      <c r="J525" s="194">
        <f>IF(_1_541284561214624104645789101745678[[#This Row],[Type]]&gt;0,VLOOKUP(_1_541284561214624104645789101745678[[#This Row],[Type]],Main[[#All],[TYPE]:[UNIT]],'Unit Price'!H$1,FALSE),0)</f>
        <v>0</v>
      </c>
      <c r="K525" s="194">
        <f>IF(_1_541284561214624104645789101745678[[#This Row],[Discount selection]]&gt;0,VLOOKUP(_1_541284561214624104645789101745678[[#This Row],[Discount selection]],'Discount Structure'!$A$2:$B$30,2,"false"),0)</f>
        <v>1</v>
      </c>
      <c r="L525" s="194">
        <f>_1_541284561214624104645789101745678[[#This Row],[LIST $]]*_1_541284561214624104645789101745678[[#This Row],[DISCOUNT]]*_1_541284561214624104645789101745678[[#This Row],[DISCOUNT 2]]</f>
        <v>0</v>
      </c>
      <c r="M525" s="194">
        <f>IF(OR(_1_541284561214624104645789101745678[[#This Row],[UNIT]]&gt;0,_1_541284561214624104645789101745678[[#This Row],[UNIT]]&lt;0),_1_541284561214624104645789101745678[[#This Row],[UNIT]]*_1_541284561214624104645789101745678[[#This Row],[COST]],0)</f>
        <v>0</v>
      </c>
      <c r="N525" s="194">
        <f t="shared" si="8"/>
        <v>1.3</v>
      </c>
      <c r="O525" s="198">
        <f>_1_541284561214624104645789101745678[[#This Row],[TOTAL]]*_1_541284561214624104645789101745678[[#This Row],[MARGIN]]</f>
        <v>0</v>
      </c>
      <c r="R525" s="41"/>
    </row>
    <row r="526" spans="1:18">
      <c r="D526" s="188"/>
      <c r="F526" s="168" t="s">
        <v>6202</v>
      </c>
      <c r="G526" s="193">
        <f>IF(_1_541284561214624104645789101745678[[#This Row],[Type]]&gt;0,VLOOKUP(_1_541284561214624104645789101745678[[#This Row],[Type]],Main[[#All],[TYPE]:[UNIT]],'Unit Price'!C$1,FALSE),0)</f>
        <v>0</v>
      </c>
      <c r="H526" s="197">
        <f>IF(_1_541284561214624104645789101745678[[#This Row],[Type]]&gt;0,VLOOKUP(_1_541284561214624104645789101745678[[#This Row],[Type]],Main[[#All],[TYPE]:[UNIT]],'Unit Price'!D$1,FALSE),0)</f>
        <v>0</v>
      </c>
      <c r="I526" s="194">
        <f>IF(_1_541284561214624104645789101745678[[#This Row],[Type]]&gt;0,VLOOKUP(_1_541284561214624104645789101745678[[#This Row],[Type]],Main[[#All],[TYPE]:[UNIT]],'Unit Price'!G$1,FALSE),0)</f>
        <v>0</v>
      </c>
      <c r="J526" s="194">
        <f>IF(_1_541284561214624104645789101745678[[#This Row],[Type]]&gt;0,VLOOKUP(_1_541284561214624104645789101745678[[#This Row],[Type]],Main[[#All],[TYPE]:[UNIT]],'Unit Price'!H$1,FALSE),0)</f>
        <v>0</v>
      </c>
      <c r="K526" s="194">
        <f>IF(_1_541284561214624104645789101745678[[#This Row],[Discount selection]]&gt;0,VLOOKUP(_1_541284561214624104645789101745678[[#This Row],[Discount selection]],'Discount Structure'!$A$2:$B$30,2,"false"),0)</f>
        <v>1</v>
      </c>
      <c r="L526" s="194">
        <f>_1_541284561214624104645789101745678[[#This Row],[LIST $]]*_1_541284561214624104645789101745678[[#This Row],[DISCOUNT]]*_1_541284561214624104645789101745678[[#This Row],[DISCOUNT 2]]</f>
        <v>0</v>
      </c>
      <c r="M526" s="194">
        <f>IF(OR(_1_541284561214624104645789101745678[[#This Row],[UNIT]]&gt;0,_1_541284561214624104645789101745678[[#This Row],[UNIT]]&lt;0),_1_541284561214624104645789101745678[[#This Row],[UNIT]]*_1_541284561214624104645789101745678[[#This Row],[COST]],0)</f>
        <v>0</v>
      </c>
      <c r="N526" s="194">
        <f t="shared" si="8"/>
        <v>1.3</v>
      </c>
      <c r="O526" s="198">
        <f>_1_541284561214624104645789101745678[[#This Row],[TOTAL]]*_1_541284561214624104645789101745678[[#This Row],[MARGIN]]</f>
        <v>0</v>
      </c>
      <c r="R526" s="41"/>
    </row>
    <row r="527" spans="1:18">
      <c r="D527" s="188"/>
      <c r="F527" s="168" t="s">
        <v>6202</v>
      </c>
      <c r="G527" s="193">
        <f>IF(_1_541284561214624104645789101745678[[#This Row],[Type]]&gt;0,VLOOKUP(_1_541284561214624104645789101745678[[#This Row],[Type]],Main[[#All],[TYPE]:[UNIT]],'Unit Price'!C$1,FALSE),0)</f>
        <v>0</v>
      </c>
      <c r="H527" s="197">
        <f>IF(_1_541284561214624104645789101745678[[#This Row],[Type]]&gt;0,VLOOKUP(_1_541284561214624104645789101745678[[#This Row],[Type]],Main[[#All],[TYPE]:[UNIT]],'Unit Price'!D$1,FALSE),0)</f>
        <v>0</v>
      </c>
      <c r="I527" s="194">
        <f>IF(_1_541284561214624104645789101745678[[#This Row],[Type]]&gt;0,VLOOKUP(_1_541284561214624104645789101745678[[#This Row],[Type]],Main[[#All],[TYPE]:[UNIT]],'Unit Price'!G$1,FALSE),0)</f>
        <v>0</v>
      </c>
      <c r="J527" s="194">
        <f>IF(_1_541284561214624104645789101745678[[#This Row],[Type]]&gt;0,VLOOKUP(_1_541284561214624104645789101745678[[#This Row],[Type]],Main[[#All],[TYPE]:[UNIT]],'Unit Price'!H$1,FALSE),0)</f>
        <v>0</v>
      </c>
      <c r="K527" s="194">
        <f>IF(_1_541284561214624104645789101745678[[#This Row],[Discount selection]]&gt;0,VLOOKUP(_1_541284561214624104645789101745678[[#This Row],[Discount selection]],'Discount Structure'!$A$2:$B$30,2,"false"),0)</f>
        <v>1</v>
      </c>
      <c r="L527" s="194">
        <f>_1_541284561214624104645789101745678[[#This Row],[LIST $]]*_1_541284561214624104645789101745678[[#This Row],[DISCOUNT]]*_1_541284561214624104645789101745678[[#This Row],[DISCOUNT 2]]</f>
        <v>0</v>
      </c>
      <c r="M527" s="194">
        <f>IF(OR(_1_541284561214624104645789101745678[[#This Row],[UNIT]]&gt;0,_1_541284561214624104645789101745678[[#This Row],[UNIT]]&lt;0),_1_541284561214624104645789101745678[[#This Row],[UNIT]]*_1_541284561214624104645789101745678[[#This Row],[COST]],0)</f>
        <v>0</v>
      </c>
      <c r="N527" s="194">
        <f t="shared" si="8"/>
        <v>1.3</v>
      </c>
      <c r="O527" s="198">
        <f>_1_541284561214624104645789101745678[[#This Row],[TOTAL]]*_1_541284561214624104645789101745678[[#This Row],[MARGIN]]</f>
        <v>0</v>
      </c>
      <c r="R527" s="41"/>
    </row>
    <row r="528" spans="1:18">
      <c r="D528" s="188"/>
      <c r="F528" s="168" t="s">
        <v>6202</v>
      </c>
      <c r="G528" s="193">
        <f>IF(_1_541284561214624104645789101745678[[#This Row],[Type]]&gt;0,VLOOKUP(_1_541284561214624104645789101745678[[#This Row],[Type]],Main[[#All],[TYPE]:[UNIT]],'Unit Price'!C$1,FALSE),0)</f>
        <v>0</v>
      </c>
      <c r="H528" s="197">
        <f>IF(_1_541284561214624104645789101745678[[#This Row],[Type]]&gt;0,VLOOKUP(_1_541284561214624104645789101745678[[#This Row],[Type]],Main[[#All],[TYPE]:[UNIT]],'Unit Price'!D$1,FALSE),0)</f>
        <v>0</v>
      </c>
      <c r="I528" s="194">
        <f>IF(_1_541284561214624104645789101745678[[#This Row],[Type]]&gt;0,VLOOKUP(_1_541284561214624104645789101745678[[#This Row],[Type]],Main[[#All],[TYPE]:[UNIT]],'Unit Price'!G$1,FALSE),0)</f>
        <v>0</v>
      </c>
      <c r="J528" s="194">
        <f>IF(_1_541284561214624104645789101745678[[#This Row],[Type]]&gt;0,VLOOKUP(_1_541284561214624104645789101745678[[#This Row],[Type]],Main[[#All],[TYPE]:[UNIT]],'Unit Price'!H$1,FALSE),0)</f>
        <v>0</v>
      </c>
      <c r="K528" s="194">
        <f>IF(_1_541284561214624104645789101745678[[#This Row],[Discount selection]]&gt;0,VLOOKUP(_1_541284561214624104645789101745678[[#This Row],[Discount selection]],'Discount Structure'!$A$2:$B$30,2,"false"),0)</f>
        <v>1</v>
      </c>
      <c r="L528" s="194">
        <f>_1_541284561214624104645789101745678[[#This Row],[LIST $]]*_1_541284561214624104645789101745678[[#This Row],[DISCOUNT]]*_1_541284561214624104645789101745678[[#This Row],[DISCOUNT 2]]</f>
        <v>0</v>
      </c>
      <c r="M528" s="194">
        <f>IF(OR(_1_541284561214624104645789101745678[[#This Row],[UNIT]]&gt;0,_1_541284561214624104645789101745678[[#This Row],[UNIT]]&lt;0),_1_541284561214624104645789101745678[[#This Row],[UNIT]]*_1_541284561214624104645789101745678[[#This Row],[COST]],0)</f>
        <v>0</v>
      </c>
      <c r="N528" s="194">
        <f t="shared" si="8"/>
        <v>1.3</v>
      </c>
      <c r="O528" s="198">
        <f>_1_541284561214624104645789101745678[[#This Row],[TOTAL]]*_1_541284561214624104645789101745678[[#This Row],[MARGIN]]</f>
        <v>0</v>
      </c>
      <c r="R528" s="41"/>
    </row>
    <row r="529" spans="1:18">
      <c r="D529" s="188"/>
      <c r="F529" s="168" t="s">
        <v>6202</v>
      </c>
      <c r="G529" s="193">
        <f>IF(_1_541284561214624104645789101745678[[#This Row],[Type]]&gt;0,VLOOKUP(_1_541284561214624104645789101745678[[#This Row],[Type]],Main[[#All],[TYPE]:[UNIT]],'Unit Price'!C$1,FALSE),0)</f>
        <v>0</v>
      </c>
      <c r="H529" s="197">
        <f>IF(_1_541284561214624104645789101745678[[#This Row],[Type]]&gt;0,VLOOKUP(_1_541284561214624104645789101745678[[#This Row],[Type]],Main[[#All],[TYPE]:[UNIT]],'Unit Price'!D$1,FALSE),0)</f>
        <v>0</v>
      </c>
      <c r="I529" s="194">
        <f>IF(_1_541284561214624104645789101745678[[#This Row],[Type]]&gt;0,VLOOKUP(_1_541284561214624104645789101745678[[#This Row],[Type]],Main[[#All],[TYPE]:[UNIT]],'Unit Price'!G$1,FALSE),0)</f>
        <v>0</v>
      </c>
      <c r="J529" s="194">
        <f>IF(_1_541284561214624104645789101745678[[#This Row],[Type]]&gt;0,VLOOKUP(_1_541284561214624104645789101745678[[#This Row],[Type]],Main[[#All],[TYPE]:[UNIT]],'Unit Price'!H$1,FALSE),0)</f>
        <v>0</v>
      </c>
      <c r="K529" s="194">
        <f>IF(_1_541284561214624104645789101745678[[#This Row],[Discount selection]]&gt;0,VLOOKUP(_1_541284561214624104645789101745678[[#This Row],[Discount selection]],'Discount Structure'!$A$2:$B$30,2,"false"),0)</f>
        <v>1</v>
      </c>
      <c r="L529" s="194">
        <f>_1_541284561214624104645789101745678[[#This Row],[LIST $]]*_1_541284561214624104645789101745678[[#This Row],[DISCOUNT]]*_1_541284561214624104645789101745678[[#This Row],[DISCOUNT 2]]</f>
        <v>0</v>
      </c>
      <c r="M529" s="194">
        <f>IF(OR(_1_541284561214624104645789101745678[[#This Row],[UNIT]]&gt;0,_1_541284561214624104645789101745678[[#This Row],[UNIT]]&lt;0),_1_541284561214624104645789101745678[[#This Row],[UNIT]]*_1_541284561214624104645789101745678[[#This Row],[COST]],0)</f>
        <v>0</v>
      </c>
      <c r="N529" s="194">
        <f t="shared" si="8"/>
        <v>1.3</v>
      </c>
      <c r="O529" s="198">
        <f>_1_541284561214624104645789101745678[[#This Row],[TOTAL]]*_1_541284561214624104645789101745678[[#This Row],[MARGIN]]</f>
        <v>0</v>
      </c>
      <c r="R529" s="41"/>
    </row>
    <row r="530" spans="1:18">
      <c r="D530" s="188"/>
      <c r="F530" s="168" t="s">
        <v>6202</v>
      </c>
      <c r="G530" s="193">
        <f>IF(_1_541284561214624104645789101745678[[#This Row],[Type]]&gt;0,VLOOKUP(_1_541284561214624104645789101745678[[#This Row],[Type]],Main[[#All],[TYPE]:[UNIT]],'Unit Price'!C$1,FALSE),0)</f>
        <v>0</v>
      </c>
      <c r="H530" s="197">
        <f>IF(_1_541284561214624104645789101745678[[#This Row],[Type]]&gt;0,VLOOKUP(_1_541284561214624104645789101745678[[#This Row],[Type]],Main[[#All],[TYPE]:[UNIT]],'Unit Price'!D$1,FALSE),0)</f>
        <v>0</v>
      </c>
      <c r="I530" s="194">
        <f>IF(_1_541284561214624104645789101745678[[#This Row],[Type]]&gt;0,VLOOKUP(_1_541284561214624104645789101745678[[#This Row],[Type]],Main[[#All],[TYPE]:[UNIT]],'Unit Price'!G$1,FALSE),0)</f>
        <v>0</v>
      </c>
      <c r="J530" s="194">
        <f>IF(_1_541284561214624104645789101745678[[#This Row],[Type]]&gt;0,VLOOKUP(_1_541284561214624104645789101745678[[#This Row],[Type]],Main[[#All],[TYPE]:[UNIT]],'Unit Price'!H$1,FALSE),0)</f>
        <v>0</v>
      </c>
      <c r="K530" s="194">
        <f>IF(_1_541284561214624104645789101745678[[#This Row],[Discount selection]]&gt;0,VLOOKUP(_1_541284561214624104645789101745678[[#This Row],[Discount selection]],'Discount Structure'!$A$2:$B$30,2,"false"),0)</f>
        <v>1</v>
      </c>
      <c r="L530" s="194">
        <f>_1_541284561214624104645789101745678[[#This Row],[LIST $]]*_1_541284561214624104645789101745678[[#This Row],[DISCOUNT]]*_1_541284561214624104645789101745678[[#This Row],[DISCOUNT 2]]</f>
        <v>0</v>
      </c>
      <c r="M530" s="194">
        <f>IF(OR(_1_541284561214624104645789101745678[[#This Row],[UNIT]]&gt;0,_1_541284561214624104645789101745678[[#This Row],[UNIT]]&lt;0),_1_541284561214624104645789101745678[[#This Row],[UNIT]]*_1_541284561214624104645789101745678[[#This Row],[COST]],0)</f>
        <v>0</v>
      </c>
      <c r="N530" s="194">
        <f t="shared" si="8"/>
        <v>1.3</v>
      </c>
      <c r="O530" s="198">
        <f>_1_541284561214624104645789101745678[[#This Row],[TOTAL]]*_1_541284561214624104645789101745678[[#This Row],[MARGIN]]</f>
        <v>0</v>
      </c>
      <c r="R530" s="41"/>
    </row>
    <row r="531" spans="1:18">
      <c r="A531" s="168"/>
      <c r="D531" s="188"/>
      <c r="F531" s="168" t="s">
        <v>6202</v>
      </c>
      <c r="G531" s="193">
        <f>IF(_1_541284561214624104645789101745678[[#This Row],[Type]]&gt;0,VLOOKUP(_1_541284561214624104645789101745678[[#This Row],[Type]],Main[[#All],[TYPE]:[UNIT]],'Unit Price'!C$1,FALSE),0)</f>
        <v>0</v>
      </c>
      <c r="H531" s="197">
        <f>IF(_1_541284561214624104645789101745678[[#This Row],[Type]]&gt;0,VLOOKUP(_1_541284561214624104645789101745678[[#This Row],[Type]],Main[[#All],[TYPE]:[UNIT]],'Unit Price'!D$1,FALSE),0)</f>
        <v>0</v>
      </c>
      <c r="I531" s="194">
        <f>IF(_1_541284561214624104645789101745678[[#This Row],[Type]]&gt;0,VLOOKUP(_1_541284561214624104645789101745678[[#This Row],[Type]],Main[[#All],[TYPE]:[UNIT]],'Unit Price'!G$1,FALSE),0)</f>
        <v>0</v>
      </c>
      <c r="J531" s="194">
        <f>IF(_1_541284561214624104645789101745678[[#This Row],[Type]]&gt;0,VLOOKUP(_1_541284561214624104645789101745678[[#This Row],[Type]],Main[[#All],[TYPE]:[UNIT]],'Unit Price'!H$1,FALSE),0)</f>
        <v>0</v>
      </c>
      <c r="K531" s="194">
        <f>IF(_1_541284561214624104645789101745678[[#This Row],[Discount selection]]&gt;0,VLOOKUP(_1_541284561214624104645789101745678[[#This Row],[Discount selection]],'Discount Structure'!$A$2:$B$30,2,"false"),0)</f>
        <v>1</v>
      </c>
      <c r="L531" s="194">
        <f>_1_541284561214624104645789101745678[[#This Row],[LIST $]]*_1_541284561214624104645789101745678[[#This Row],[DISCOUNT]]*_1_541284561214624104645789101745678[[#This Row],[DISCOUNT 2]]</f>
        <v>0</v>
      </c>
      <c r="M531" s="194">
        <f>IF(OR(_1_541284561214624104645789101745678[[#This Row],[UNIT]]&gt;0,_1_541284561214624104645789101745678[[#This Row],[UNIT]]&lt;0),_1_541284561214624104645789101745678[[#This Row],[UNIT]]*_1_541284561214624104645789101745678[[#This Row],[COST]],0)</f>
        <v>0</v>
      </c>
      <c r="N531" s="194">
        <f t="shared" si="8"/>
        <v>1.3</v>
      </c>
      <c r="O531" s="198">
        <f>_1_541284561214624104645789101745678[[#This Row],[TOTAL]]*_1_541284561214624104645789101745678[[#This Row],[MARGIN]]</f>
        <v>0</v>
      </c>
      <c r="R531" s="41"/>
    </row>
    <row r="532" spans="1:18">
      <c r="D532" s="188"/>
      <c r="F532" s="168" t="s">
        <v>6202</v>
      </c>
      <c r="G532" s="193">
        <f>IF(_1_541284561214624104645789101745678[[#This Row],[Type]]&gt;0,VLOOKUP(_1_541284561214624104645789101745678[[#This Row],[Type]],Main[[#All],[TYPE]:[UNIT]],'Unit Price'!C$1,FALSE),0)</f>
        <v>0</v>
      </c>
      <c r="H532" s="197">
        <f>IF(_1_541284561214624104645789101745678[[#This Row],[Type]]&gt;0,VLOOKUP(_1_541284561214624104645789101745678[[#This Row],[Type]],Main[[#All],[TYPE]:[UNIT]],'Unit Price'!D$1,FALSE),0)</f>
        <v>0</v>
      </c>
      <c r="I532" s="194">
        <f>IF(_1_541284561214624104645789101745678[[#This Row],[Type]]&gt;0,VLOOKUP(_1_541284561214624104645789101745678[[#This Row],[Type]],Main[[#All],[TYPE]:[UNIT]],'Unit Price'!G$1,FALSE),0)</f>
        <v>0</v>
      </c>
      <c r="J532" s="194">
        <f>IF(_1_541284561214624104645789101745678[[#This Row],[Type]]&gt;0,VLOOKUP(_1_541284561214624104645789101745678[[#This Row],[Type]],Main[[#All],[TYPE]:[UNIT]],'Unit Price'!H$1,FALSE),0)</f>
        <v>0</v>
      </c>
      <c r="K532" s="194">
        <f>IF(_1_541284561214624104645789101745678[[#This Row],[Discount selection]]&gt;0,VLOOKUP(_1_541284561214624104645789101745678[[#This Row],[Discount selection]],'Discount Structure'!$A$2:$B$30,2,"false"),0)</f>
        <v>1</v>
      </c>
      <c r="L532" s="194">
        <f>_1_541284561214624104645789101745678[[#This Row],[LIST $]]*_1_541284561214624104645789101745678[[#This Row],[DISCOUNT]]*_1_541284561214624104645789101745678[[#This Row],[DISCOUNT 2]]</f>
        <v>0</v>
      </c>
      <c r="M532" s="194">
        <f>IF(OR(_1_541284561214624104645789101745678[[#This Row],[UNIT]]&gt;0,_1_541284561214624104645789101745678[[#This Row],[UNIT]]&lt;0),_1_541284561214624104645789101745678[[#This Row],[UNIT]]*_1_541284561214624104645789101745678[[#This Row],[COST]],0)</f>
        <v>0</v>
      </c>
      <c r="N532" s="194">
        <f t="shared" si="8"/>
        <v>1.3</v>
      </c>
      <c r="O532" s="198">
        <f>_1_541284561214624104645789101745678[[#This Row],[TOTAL]]*_1_541284561214624104645789101745678[[#This Row],[MARGIN]]</f>
        <v>0</v>
      </c>
      <c r="R532" s="41"/>
    </row>
    <row r="533" spans="1:18">
      <c r="D533" s="188"/>
      <c r="F533" s="168" t="s">
        <v>6202</v>
      </c>
      <c r="G533" s="193">
        <f>IF(_1_541284561214624104645789101745678[[#This Row],[Type]]&gt;0,VLOOKUP(_1_541284561214624104645789101745678[[#This Row],[Type]],Main[[#All],[TYPE]:[UNIT]],'Unit Price'!C$1,FALSE),0)</f>
        <v>0</v>
      </c>
      <c r="H533" s="197">
        <f>IF(_1_541284561214624104645789101745678[[#This Row],[Type]]&gt;0,VLOOKUP(_1_541284561214624104645789101745678[[#This Row],[Type]],Main[[#All],[TYPE]:[UNIT]],'Unit Price'!D$1,FALSE),0)</f>
        <v>0</v>
      </c>
      <c r="I533" s="194">
        <f>IF(_1_541284561214624104645789101745678[[#This Row],[Type]]&gt;0,VLOOKUP(_1_541284561214624104645789101745678[[#This Row],[Type]],Main[[#All],[TYPE]:[UNIT]],'Unit Price'!G$1,FALSE),0)</f>
        <v>0</v>
      </c>
      <c r="J533" s="194">
        <f>IF(_1_541284561214624104645789101745678[[#This Row],[Type]]&gt;0,VLOOKUP(_1_541284561214624104645789101745678[[#This Row],[Type]],Main[[#All],[TYPE]:[UNIT]],'Unit Price'!H$1,FALSE),0)</f>
        <v>0</v>
      </c>
      <c r="K533" s="194">
        <f>IF(_1_541284561214624104645789101745678[[#This Row],[Discount selection]]&gt;0,VLOOKUP(_1_541284561214624104645789101745678[[#This Row],[Discount selection]],'Discount Structure'!$A$2:$B$30,2,"false"),0)</f>
        <v>1</v>
      </c>
      <c r="L533" s="194">
        <f>_1_541284561214624104645789101745678[[#This Row],[LIST $]]*_1_541284561214624104645789101745678[[#This Row],[DISCOUNT]]*_1_541284561214624104645789101745678[[#This Row],[DISCOUNT 2]]</f>
        <v>0</v>
      </c>
      <c r="M533" s="194">
        <f>IF(OR(_1_541284561214624104645789101745678[[#This Row],[UNIT]]&gt;0,_1_541284561214624104645789101745678[[#This Row],[UNIT]]&lt;0),_1_541284561214624104645789101745678[[#This Row],[UNIT]]*_1_541284561214624104645789101745678[[#This Row],[COST]],0)</f>
        <v>0</v>
      </c>
      <c r="N533" s="194">
        <f t="shared" si="8"/>
        <v>1.3</v>
      </c>
      <c r="O533" s="198">
        <f>_1_541284561214624104645789101745678[[#This Row],[TOTAL]]*_1_541284561214624104645789101745678[[#This Row],[MARGIN]]</f>
        <v>0</v>
      </c>
      <c r="R533" s="41"/>
    </row>
    <row r="534" spans="1:18">
      <c r="D534" s="188"/>
      <c r="F534" s="168" t="s">
        <v>6202</v>
      </c>
      <c r="G534" s="193">
        <f>IF(_1_541284561214624104645789101745678[[#This Row],[Type]]&gt;0,VLOOKUP(_1_541284561214624104645789101745678[[#This Row],[Type]],Main[[#All],[TYPE]:[UNIT]],'Unit Price'!C$1,FALSE),0)</f>
        <v>0</v>
      </c>
      <c r="H534" s="197">
        <f>IF(_1_541284561214624104645789101745678[[#This Row],[Type]]&gt;0,VLOOKUP(_1_541284561214624104645789101745678[[#This Row],[Type]],Main[[#All],[TYPE]:[UNIT]],'Unit Price'!D$1,FALSE),0)</f>
        <v>0</v>
      </c>
      <c r="I534" s="194">
        <f>IF(_1_541284561214624104645789101745678[[#This Row],[Type]]&gt;0,VLOOKUP(_1_541284561214624104645789101745678[[#This Row],[Type]],Main[[#All],[TYPE]:[UNIT]],'Unit Price'!G$1,FALSE),0)</f>
        <v>0</v>
      </c>
      <c r="J534" s="194">
        <f>IF(_1_541284561214624104645789101745678[[#This Row],[Type]]&gt;0,VLOOKUP(_1_541284561214624104645789101745678[[#This Row],[Type]],Main[[#All],[TYPE]:[UNIT]],'Unit Price'!H$1,FALSE),0)</f>
        <v>0</v>
      </c>
      <c r="K534" s="194">
        <f>IF(_1_541284561214624104645789101745678[[#This Row],[Discount selection]]&gt;0,VLOOKUP(_1_541284561214624104645789101745678[[#This Row],[Discount selection]],'Discount Structure'!$A$2:$B$30,2,"false"),0)</f>
        <v>1</v>
      </c>
      <c r="L534" s="194">
        <f>_1_541284561214624104645789101745678[[#This Row],[LIST $]]*_1_541284561214624104645789101745678[[#This Row],[DISCOUNT]]*_1_541284561214624104645789101745678[[#This Row],[DISCOUNT 2]]</f>
        <v>0</v>
      </c>
      <c r="M534" s="194">
        <f>IF(OR(_1_541284561214624104645789101745678[[#This Row],[UNIT]]&gt;0,_1_541284561214624104645789101745678[[#This Row],[UNIT]]&lt;0),_1_541284561214624104645789101745678[[#This Row],[UNIT]]*_1_541284561214624104645789101745678[[#This Row],[COST]],0)</f>
        <v>0</v>
      </c>
      <c r="N534" s="194">
        <f t="shared" si="8"/>
        <v>1.3</v>
      </c>
      <c r="O534" s="198">
        <f>_1_541284561214624104645789101745678[[#This Row],[TOTAL]]*_1_541284561214624104645789101745678[[#This Row],[MARGIN]]</f>
        <v>0</v>
      </c>
      <c r="R534" s="41"/>
    </row>
    <row r="535" spans="1:18">
      <c r="A535" s="168"/>
      <c r="D535" s="188"/>
      <c r="F535" s="168" t="s">
        <v>6202</v>
      </c>
      <c r="G535" s="193">
        <f>IF(_1_541284561214624104645789101745678[[#This Row],[Type]]&gt;0,VLOOKUP(_1_541284561214624104645789101745678[[#This Row],[Type]],Main[[#All],[TYPE]:[UNIT]],'Unit Price'!C$1,FALSE),0)</f>
        <v>0</v>
      </c>
      <c r="H535" s="197">
        <f>IF(_1_541284561214624104645789101745678[[#This Row],[Type]]&gt;0,VLOOKUP(_1_541284561214624104645789101745678[[#This Row],[Type]],Main[[#All],[TYPE]:[UNIT]],'Unit Price'!D$1,FALSE),0)</f>
        <v>0</v>
      </c>
      <c r="I535" s="194">
        <f>IF(_1_541284561214624104645789101745678[[#This Row],[Type]]&gt;0,VLOOKUP(_1_541284561214624104645789101745678[[#This Row],[Type]],Main[[#All],[TYPE]:[UNIT]],'Unit Price'!G$1,FALSE),0)</f>
        <v>0</v>
      </c>
      <c r="J535" s="194">
        <f>IF(_1_541284561214624104645789101745678[[#This Row],[Type]]&gt;0,VLOOKUP(_1_541284561214624104645789101745678[[#This Row],[Type]],Main[[#All],[TYPE]:[UNIT]],'Unit Price'!H$1,FALSE),0)</f>
        <v>0</v>
      </c>
      <c r="K535" s="194">
        <f>IF(_1_541284561214624104645789101745678[[#This Row],[Discount selection]]&gt;0,VLOOKUP(_1_541284561214624104645789101745678[[#This Row],[Discount selection]],'Discount Structure'!$A$2:$B$30,2,"false"),0)</f>
        <v>1</v>
      </c>
      <c r="L535" s="194">
        <f>_1_541284561214624104645789101745678[[#This Row],[LIST $]]*_1_541284561214624104645789101745678[[#This Row],[DISCOUNT]]*_1_541284561214624104645789101745678[[#This Row],[DISCOUNT 2]]</f>
        <v>0</v>
      </c>
      <c r="M535" s="194">
        <f>IF(OR(_1_541284561214624104645789101745678[[#This Row],[UNIT]]&gt;0,_1_541284561214624104645789101745678[[#This Row],[UNIT]]&lt;0),_1_541284561214624104645789101745678[[#This Row],[UNIT]]*_1_541284561214624104645789101745678[[#This Row],[COST]],0)</f>
        <v>0</v>
      </c>
      <c r="N535" s="194">
        <f t="shared" si="8"/>
        <v>1.3</v>
      </c>
      <c r="O535" s="198">
        <f>_1_541284561214624104645789101745678[[#This Row],[TOTAL]]*_1_541284561214624104645789101745678[[#This Row],[MARGIN]]</f>
        <v>0</v>
      </c>
      <c r="R535" s="41"/>
    </row>
    <row r="536" spans="1:18">
      <c r="D536" s="188"/>
      <c r="F536" s="168" t="s">
        <v>6202</v>
      </c>
      <c r="G536" s="193">
        <f>IF(_1_541284561214624104645789101745678[[#This Row],[Type]]&gt;0,VLOOKUP(_1_541284561214624104645789101745678[[#This Row],[Type]],Main[[#All],[TYPE]:[UNIT]],'Unit Price'!C$1,FALSE),0)</f>
        <v>0</v>
      </c>
      <c r="H536" s="197">
        <f>IF(_1_541284561214624104645789101745678[[#This Row],[Type]]&gt;0,VLOOKUP(_1_541284561214624104645789101745678[[#This Row],[Type]],Main[[#All],[TYPE]:[UNIT]],'Unit Price'!D$1,FALSE),0)</f>
        <v>0</v>
      </c>
      <c r="I536" s="194">
        <f>IF(_1_541284561214624104645789101745678[[#This Row],[Type]]&gt;0,VLOOKUP(_1_541284561214624104645789101745678[[#This Row],[Type]],Main[[#All],[TYPE]:[UNIT]],'Unit Price'!G$1,FALSE),0)</f>
        <v>0</v>
      </c>
      <c r="J536" s="194">
        <f>IF(_1_541284561214624104645789101745678[[#This Row],[Type]]&gt;0,VLOOKUP(_1_541284561214624104645789101745678[[#This Row],[Type]],Main[[#All],[TYPE]:[UNIT]],'Unit Price'!H$1,FALSE),0)</f>
        <v>0</v>
      </c>
      <c r="K536" s="194">
        <f>IF(_1_541284561214624104645789101745678[[#This Row],[Discount selection]]&gt;0,VLOOKUP(_1_541284561214624104645789101745678[[#This Row],[Discount selection]],'Discount Structure'!$A$2:$B$30,2,"false"),0)</f>
        <v>1</v>
      </c>
      <c r="L536" s="194">
        <f>_1_541284561214624104645789101745678[[#This Row],[LIST $]]*_1_541284561214624104645789101745678[[#This Row],[DISCOUNT]]*_1_541284561214624104645789101745678[[#This Row],[DISCOUNT 2]]</f>
        <v>0</v>
      </c>
      <c r="M536" s="194">
        <f>IF(OR(_1_541284561214624104645789101745678[[#This Row],[UNIT]]&gt;0,_1_541284561214624104645789101745678[[#This Row],[UNIT]]&lt;0),_1_541284561214624104645789101745678[[#This Row],[UNIT]]*_1_541284561214624104645789101745678[[#This Row],[COST]],0)</f>
        <v>0</v>
      </c>
      <c r="N536" s="194">
        <f t="shared" si="8"/>
        <v>1.3</v>
      </c>
      <c r="O536" s="198">
        <f>_1_541284561214624104645789101745678[[#This Row],[TOTAL]]*_1_541284561214624104645789101745678[[#This Row],[MARGIN]]</f>
        <v>0</v>
      </c>
      <c r="R536" s="41"/>
    </row>
    <row r="537" spans="1:18">
      <c r="D537" s="188"/>
      <c r="F537" s="168" t="s">
        <v>6202</v>
      </c>
      <c r="G537" s="193">
        <f>IF(_1_541284561214624104645789101745678[[#This Row],[Type]]&gt;0,VLOOKUP(_1_541284561214624104645789101745678[[#This Row],[Type]],Main[[#All],[TYPE]:[UNIT]],'Unit Price'!C$1,FALSE),0)</f>
        <v>0</v>
      </c>
      <c r="H537" s="197">
        <f>IF(_1_541284561214624104645789101745678[[#This Row],[Type]]&gt;0,VLOOKUP(_1_541284561214624104645789101745678[[#This Row],[Type]],Main[[#All],[TYPE]:[UNIT]],'Unit Price'!D$1,FALSE),0)</f>
        <v>0</v>
      </c>
      <c r="I537" s="194">
        <f>IF(_1_541284561214624104645789101745678[[#This Row],[Type]]&gt;0,VLOOKUP(_1_541284561214624104645789101745678[[#This Row],[Type]],Main[[#All],[TYPE]:[UNIT]],'Unit Price'!G$1,FALSE),0)</f>
        <v>0</v>
      </c>
      <c r="J537" s="194">
        <f>IF(_1_541284561214624104645789101745678[[#This Row],[Type]]&gt;0,VLOOKUP(_1_541284561214624104645789101745678[[#This Row],[Type]],Main[[#All],[TYPE]:[UNIT]],'Unit Price'!H$1,FALSE),0)</f>
        <v>0</v>
      </c>
      <c r="K537" s="194">
        <f>IF(_1_541284561214624104645789101745678[[#This Row],[Discount selection]]&gt;0,VLOOKUP(_1_541284561214624104645789101745678[[#This Row],[Discount selection]],'Discount Structure'!$A$2:$B$30,2,"false"),0)</f>
        <v>1</v>
      </c>
      <c r="L537" s="194">
        <f>_1_541284561214624104645789101745678[[#This Row],[LIST $]]*_1_541284561214624104645789101745678[[#This Row],[DISCOUNT]]*_1_541284561214624104645789101745678[[#This Row],[DISCOUNT 2]]</f>
        <v>0</v>
      </c>
      <c r="M537" s="194">
        <f>IF(OR(_1_541284561214624104645789101745678[[#This Row],[UNIT]]&gt;0,_1_541284561214624104645789101745678[[#This Row],[UNIT]]&lt;0),_1_541284561214624104645789101745678[[#This Row],[UNIT]]*_1_541284561214624104645789101745678[[#This Row],[COST]],0)</f>
        <v>0</v>
      </c>
      <c r="N537" s="194">
        <f t="shared" si="8"/>
        <v>1.3</v>
      </c>
      <c r="O537" s="198">
        <f>_1_541284561214624104645789101745678[[#This Row],[TOTAL]]*_1_541284561214624104645789101745678[[#This Row],[MARGIN]]</f>
        <v>0</v>
      </c>
      <c r="R537" s="41"/>
    </row>
    <row r="538" spans="1:18">
      <c r="A538" s="168"/>
      <c r="D538" s="188"/>
      <c r="F538" s="168" t="s">
        <v>6202</v>
      </c>
      <c r="G538" s="193">
        <f>IF(_1_541284561214624104645789101745678[[#This Row],[Type]]&gt;0,VLOOKUP(_1_541284561214624104645789101745678[[#This Row],[Type]],Main[[#All],[TYPE]:[UNIT]],'Unit Price'!C$1,FALSE),0)</f>
        <v>0</v>
      </c>
      <c r="H538" s="197">
        <f>IF(_1_541284561214624104645789101745678[[#This Row],[Type]]&gt;0,VLOOKUP(_1_541284561214624104645789101745678[[#This Row],[Type]],Main[[#All],[TYPE]:[UNIT]],'Unit Price'!D$1,FALSE),0)</f>
        <v>0</v>
      </c>
      <c r="I538" s="194">
        <f>IF(_1_541284561214624104645789101745678[[#This Row],[Type]]&gt;0,VLOOKUP(_1_541284561214624104645789101745678[[#This Row],[Type]],Main[[#All],[TYPE]:[UNIT]],'Unit Price'!G$1,FALSE),0)</f>
        <v>0</v>
      </c>
      <c r="J538" s="194">
        <f>IF(_1_541284561214624104645789101745678[[#This Row],[Type]]&gt;0,VLOOKUP(_1_541284561214624104645789101745678[[#This Row],[Type]],Main[[#All],[TYPE]:[UNIT]],'Unit Price'!H$1,FALSE),0)</f>
        <v>0</v>
      </c>
      <c r="K538" s="194">
        <f>IF(_1_541284561214624104645789101745678[[#This Row],[Discount selection]]&gt;0,VLOOKUP(_1_541284561214624104645789101745678[[#This Row],[Discount selection]],'Discount Structure'!$A$2:$B$30,2,"false"),0)</f>
        <v>1</v>
      </c>
      <c r="L538" s="194">
        <f>_1_541284561214624104645789101745678[[#This Row],[LIST $]]*_1_541284561214624104645789101745678[[#This Row],[DISCOUNT]]*_1_541284561214624104645789101745678[[#This Row],[DISCOUNT 2]]</f>
        <v>0</v>
      </c>
      <c r="M538" s="194">
        <f>IF(OR(_1_541284561214624104645789101745678[[#This Row],[UNIT]]&gt;0,_1_541284561214624104645789101745678[[#This Row],[UNIT]]&lt;0),_1_541284561214624104645789101745678[[#This Row],[UNIT]]*_1_541284561214624104645789101745678[[#This Row],[COST]],0)</f>
        <v>0</v>
      </c>
      <c r="N538" s="194">
        <f t="shared" si="8"/>
        <v>1.3</v>
      </c>
      <c r="O538" s="198">
        <f>_1_541284561214624104645789101745678[[#This Row],[TOTAL]]*_1_541284561214624104645789101745678[[#This Row],[MARGIN]]</f>
        <v>0</v>
      </c>
      <c r="R538" s="41"/>
    </row>
    <row r="539" spans="1:18">
      <c r="D539" s="188"/>
      <c r="F539" s="168" t="s">
        <v>6202</v>
      </c>
      <c r="G539" s="193">
        <f>IF(_1_541284561214624104645789101745678[[#This Row],[Type]]&gt;0,VLOOKUP(_1_541284561214624104645789101745678[[#This Row],[Type]],Main[[#All],[TYPE]:[UNIT]],'Unit Price'!C$1,FALSE),0)</f>
        <v>0</v>
      </c>
      <c r="H539" s="197">
        <f>IF(_1_541284561214624104645789101745678[[#This Row],[Type]]&gt;0,VLOOKUP(_1_541284561214624104645789101745678[[#This Row],[Type]],Main[[#All],[TYPE]:[UNIT]],'Unit Price'!D$1,FALSE),0)</f>
        <v>0</v>
      </c>
      <c r="I539" s="194">
        <f>IF(_1_541284561214624104645789101745678[[#This Row],[Type]]&gt;0,VLOOKUP(_1_541284561214624104645789101745678[[#This Row],[Type]],Main[[#All],[TYPE]:[UNIT]],'Unit Price'!G$1,FALSE),0)</f>
        <v>0</v>
      </c>
      <c r="J539" s="194">
        <f>IF(_1_541284561214624104645789101745678[[#This Row],[Type]]&gt;0,VLOOKUP(_1_541284561214624104645789101745678[[#This Row],[Type]],Main[[#All],[TYPE]:[UNIT]],'Unit Price'!H$1,FALSE),0)</f>
        <v>0</v>
      </c>
      <c r="K539" s="194">
        <f>IF(_1_541284561214624104645789101745678[[#This Row],[Discount selection]]&gt;0,VLOOKUP(_1_541284561214624104645789101745678[[#This Row],[Discount selection]],'Discount Structure'!$A$2:$B$30,2,"false"),0)</f>
        <v>1</v>
      </c>
      <c r="L539" s="194">
        <f>_1_541284561214624104645789101745678[[#This Row],[LIST $]]*_1_541284561214624104645789101745678[[#This Row],[DISCOUNT]]*_1_541284561214624104645789101745678[[#This Row],[DISCOUNT 2]]</f>
        <v>0</v>
      </c>
      <c r="M539" s="194">
        <f>IF(OR(_1_541284561214624104645789101745678[[#This Row],[UNIT]]&gt;0,_1_541284561214624104645789101745678[[#This Row],[UNIT]]&lt;0),_1_541284561214624104645789101745678[[#This Row],[UNIT]]*_1_541284561214624104645789101745678[[#This Row],[COST]],0)</f>
        <v>0</v>
      </c>
      <c r="N539" s="194">
        <f t="shared" si="8"/>
        <v>1.3</v>
      </c>
      <c r="O539" s="198">
        <f>_1_541284561214624104645789101745678[[#This Row],[TOTAL]]*_1_541284561214624104645789101745678[[#This Row],[MARGIN]]</f>
        <v>0</v>
      </c>
      <c r="R539" s="41"/>
    </row>
    <row r="540" spans="1:18">
      <c r="D540" s="188"/>
      <c r="F540" s="168" t="s">
        <v>6202</v>
      </c>
      <c r="G540" s="193">
        <f>IF(_1_541284561214624104645789101745678[[#This Row],[Type]]&gt;0,VLOOKUP(_1_541284561214624104645789101745678[[#This Row],[Type]],Main[[#All],[TYPE]:[UNIT]],'Unit Price'!C$1,FALSE),0)</f>
        <v>0</v>
      </c>
      <c r="H540" s="197">
        <f>IF(_1_541284561214624104645789101745678[[#This Row],[Type]]&gt;0,VLOOKUP(_1_541284561214624104645789101745678[[#This Row],[Type]],Main[[#All],[TYPE]:[UNIT]],'Unit Price'!D$1,FALSE),0)</f>
        <v>0</v>
      </c>
      <c r="I540" s="194">
        <f>IF(_1_541284561214624104645789101745678[[#This Row],[Type]]&gt;0,VLOOKUP(_1_541284561214624104645789101745678[[#This Row],[Type]],Main[[#All],[TYPE]:[UNIT]],'Unit Price'!G$1,FALSE),0)</f>
        <v>0</v>
      </c>
      <c r="J540" s="194">
        <f>IF(_1_541284561214624104645789101745678[[#This Row],[Type]]&gt;0,VLOOKUP(_1_541284561214624104645789101745678[[#This Row],[Type]],Main[[#All],[TYPE]:[UNIT]],'Unit Price'!H$1,FALSE),0)</f>
        <v>0</v>
      </c>
      <c r="K540" s="194">
        <f>IF(_1_541284561214624104645789101745678[[#This Row],[Discount selection]]&gt;0,VLOOKUP(_1_541284561214624104645789101745678[[#This Row],[Discount selection]],'Discount Structure'!$A$2:$B$30,2,"false"),0)</f>
        <v>1</v>
      </c>
      <c r="L540" s="194">
        <f>_1_541284561214624104645789101745678[[#This Row],[LIST $]]*_1_541284561214624104645789101745678[[#This Row],[DISCOUNT]]*_1_541284561214624104645789101745678[[#This Row],[DISCOUNT 2]]</f>
        <v>0</v>
      </c>
      <c r="M540" s="194">
        <f>IF(OR(_1_541284561214624104645789101745678[[#This Row],[UNIT]]&gt;0,_1_541284561214624104645789101745678[[#This Row],[UNIT]]&lt;0),_1_541284561214624104645789101745678[[#This Row],[UNIT]]*_1_541284561214624104645789101745678[[#This Row],[COST]],0)</f>
        <v>0</v>
      </c>
      <c r="N540" s="194">
        <f t="shared" si="8"/>
        <v>1.3</v>
      </c>
      <c r="O540" s="198">
        <f>_1_541284561214624104645789101745678[[#This Row],[TOTAL]]*_1_541284561214624104645789101745678[[#This Row],[MARGIN]]</f>
        <v>0</v>
      </c>
      <c r="R540" s="41"/>
    </row>
    <row r="541" spans="1:18">
      <c r="D541" s="188"/>
      <c r="F541" s="168" t="s">
        <v>6202</v>
      </c>
      <c r="G541" s="193">
        <f>IF(_1_541284561214624104645789101745678[[#This Row],[Type]]&gt;0,VLOOKUP(_1_541284561214624104645789101745678[[#This Row],[Type]],Main[[#All],[TYPE]:[UNIT]],'Unit Price'!C$1,FALSE),0)</f>
        <v>0</v>
      </c>
      <c r="H541" s="197">
        <f>IF(_1_541284561214624104645789101745678[[#This Row],[Type]]&gt;0,VLOOKUP(_1_541284561214624104645789101745678[[#This Row],[Type]],Main[[#All],[TYPE]:[UNIT]],'Unit Price'!D$1,FALSE),0)</f>
        <v>0</v>
      </c>
      <c r="I541" s="194">
        <f>IF(_1_541284561214624104645789101745678[[#This Row],[Type]]&gt;0,VLOOKUP(_1_541284561214624104645789101745678[[#This Row],[Type]],Main[[#All],[TYPE]:[UNIT]],'Unit Price'!G$1,FALSE),0)</f>
        <v>0</v>
      </c>
      <c r="J541" s="194">
        <f>IF(_1_541284561214624104645789101745678[[#This Row],[Type]]&gt;0,VLOOKUP(_1_541284561214624104645789101745678[[#This Row],[Type]],Main[[#All],[TYPE]:[UNIT]],'Unit Price'!H$1,FALSE),0)</f>
        <v>0</v>
      </c>
      <c r="K541" s="194">
        <f>IF(_1_541284561214624104645789101745678[[#This Row],[Discount selection]]&gt;0,VLOOKUP(_1_541284561214624104645789101745678[[#This Row],[Discount selection]],'Discount Structure'!$A$2:$B$30,2,"false"),0)</f>
        <v>1</v>
      </c>
      <c r="L541" s="194">
        <f>_1_541284561214624104645789101745678[[#This Row],[LIST $]]*_1_541284561214624104645789101745678[[#This Row],[DISCOUNT]]*_1_541284561214624104645789101745678[[#This Row],[DISCOUNT 2]]</f>
        <v>0</v>
      </c>
      <c r="M541" s="194">
        <f>IF(OR(_1_541284561214624104645789101745678[[#This Row],[UNIT]]&gt;0,_1_541284561214624104645789101745678[[#This Row],[UNIT]]&lt;0),_1_541284561214624104645789101745678[[#This Row],[UNIT]]*_1_541284561214624104645789101745678[[#This Row],[COST]],0)</f>
        <v>0</v>
      </c>
      <c r="N541" s="194">
        <f t="shared" si="8"/>
        <v>1.3</v>
      </c>
      <c r="O541" s="198">
        <f>_1_541284561214624104645789101745678[[#This Row],[TOTAL]]*_1_541284561214624104645789101745678[[#This Row],[MARGIN]]</f>
        <v>0</v>
      </c>
      <c r="R541" s="41"/>
    </row>
    <row r="542" spans="1:18">
      <c r="D542" s="188"/>
      <c r="F542" s="168" t="s">
        <v>6202</v>
      </c>
      <c r="G542" s="193">
        <f>IF(_1_541284561214624104645789101745678[[#This Row],[Type]]&gt;0,VLOOKUP(_1_541284561214624104645789101745678[[#This Row],[Type]],Main[[#All],[TYPE]:[UNIT]],'Unit Price'!C$1,FALSE),0)</f>
        <v>0</v>
      </c>
      <c r="H542" s="197">
        <f>IF(_1_541284561214624104645789101745678[[#This Row],[Type]]&gt;0,VLOOKUP(_1_541284561214624104645789101745678[[#This Row],[Type]],Main[[#All],[TYPE]:[UNIT]],'Unit Price'!D$1,FALSE),0)</f>
        <v>0</v>
      </c>
      <c r="I542" s="194">
        <f>IF(_1_541284561214624104645789101745678[[#This Row],[Type]]&gt;0,VLOOKUP(_1_541284561214624104645789101745678[[#This Row],[Type]],Main[[#All],[TYPE]:[UNIT]],'Unit Price'!G$1,FALSE),0)</f>
        <v>0</v>
      </c>
      <c r="J542" s="194">
        <f>IF(_1_541284561214624104645789101745678[[#This Row],[Type]]&gt;0,VLOOKUP(_1_541284561214624104645789101745678[[#This Row],[Type]],Main[[#All],[TYPE]:[UNIT]],'Unit Price'!H$1,FALSE),0)</f>
        <v>0</v>
      </c>
      <c r="K542" s="194">
        <f>IF(_1_541284561214624104645789101745678[[#This Row],[Discount selection]]&gt;0,VLOOKUP(_1_541284561214624104645789101745678[[#This Row],[Discount selection]],'Discount Structure'!$A$2:$B$30,2,"false"),0)</f>
        <v>1</v>
      </c>
      <c r="L542" s="194">
        <f>_1_541284561214624104645789101745678[[#This Row],[LIST $]]*_1_541284561214624104645789101745678[[#This Row],[DISCOUNT]]*_1_541284561214624104645789101745678[[#This Row],[DISCOUNT 2]]</f>
        <v>0</v>
      </c>
      <c r="M542" s="194">
        <f>IF(OR(_1_541284561214624104645789101745678[[#This Row],[UNIT]]&gt;0,_1_541284561214624104645789101745678[[#This Row],[UNIT]]&lt;0),_1_541284561214624104645789101745678[[#This Row],[UNIT]]*_1_541284561214624104645789101745678[[#This Row],[COST]],0)</f>
        <v>0</v>
      </c>
      <c r="N542" s="194">
        <f t="shared" si="8"/>
        <v>1.3</v>
      </c>
      <c r="O542" s="198">
        <f>_1_541284561214624104645789101745678[[#This Row],[TOTAL]]*_1_541284561214624104645789101745678[[#This Row],[MARGIN]]</f>
        <v>0</v>
      </c>
      <c r="R542" s="41"/>
    </row>
    <row r="543" spans="1:18">
      <c r="A543" s="168"/>
      <c r="D543" s="188"/>
      <c r="F543" s="168" t="s">
        <v>6202</v>
      </c>
      <c r="G543" s="193">
        <f>IF(_1_541284561214624104645789101745678[[#This Row],[Type]]&gt;0,VLOOKUP(_1_541284561214624104645789101745678[[#This Row],[Type]],Main[[#All],[TYPE]:[UNIT]],'Unit Price'!C$1,FALSE),0)</f>
        <v>0</v>
      </c>
      <c r="H543" s="197">
        <f>IF(_1_541284561214624104645789101745678[[#This Row],[Type]]&gt;0,VLOOKUP(_1_541284561214624104645789101745678[[#This Row],[Type]],Main[[#All],[TYPE]:[UNIT]],'Unit Price'!D$1,FALSE),0)</f>
        <v>0</v>
      </c>
      <c r="I543" s="194">
        <f>IF(_1_541284561214624104645789101745678[[#This Row],[Type]]&gt;0,VLOOKUP(_1_541284561214624104645789101745678[[#This Row],[Type]],Main[[#All],[TYPE]:[UNIT]],'Unit Price'!G$1,FALSE),0)</f>
        <v>0</v>
      </c>
      <c r="J543" s="194">
        <f>IF(_1_541284561214624104645789101745678[[#This Row],[Type]]&gt;0,VLOOKUP(_1_541284561214624104645789101745678[[#This Row],[Type]],Main[[#All],[TYPE]:[UNIT]],'Unit Price'!H$1,FALSE),0)</f>
        <v>0</v>
      </c>
      <c r="K543" s="194">
        <f>IF(_1_541284561214624104645789101745678[[#This Row],[Discount selection]]&gt;0,VLOOKUP(_1_541284561214624104645789101745678[[#This Row],[Discount selection]],'Discount Structure'!$A$2:$B$30,2,"false"),0)</f>
        <v>1</v>
      </c>
      <c r="L543" s="194">
        <f>_1_541284561214624104645789101745678[[#This Row],[LIST $]]*_1_541284561214624104645789101745678[[#This Row],[DISCOUNT]]*_1_541284561214624104645789101745678[[#This Row],[DISCOUNT 2]]</f>
        <v>0</v>
      </c>
      <c r="M543" s="194">
        <f>IF(OR(_1_541284561214624104645789101745678[[#This Row],[UNIT]]&gt;0,_1_541284561214624104645789101745678[[#This Row],[UNIT]]&lt;0),_1_541284561214624104645789101745678[[#This Row],[UNIT]]*_1_541284561214624104645789101745678[[#This Row],[COST]],0)</f>
        <v>0</v>
      </c>
      <c r="N543" s="194">
        <f t="shared" si="8"/>
        <v>1.3</v>
      </c>
      <c r="O543" s="198">
        <f>_1_541284561214624104645789101745678[[#This Row],[TOTAL]]*_1_541284561214624104645789101745678[[#This Row],[MARGIN]]</f>
        <v>0</v>
      </c>
      <c r="R543" s="41"/>
    </row>
    <row r="544" spans="1:18">
      <c r="D544" s="188"/>
      <c r="F544" s="168" t="s">
        <v>6202</v>
      </c>
      <c r="G544" s="193">
        <f>IF(_1_541284561214624104645789101745678[[#This Row],[Type]]&gt;0,VLOOKUP(_1_541284561214624104645789101745678[[#This Row],[Type]],Main[[#All],[TYPE]:[UNIT]],'Unit Price'!C$1,FALSE),0)</f>
        <v>0</v>
      </c>
      <c r="H544" s="197">
        <f>IF(_1_541284561214624104645789101745678[[#This Row],[Type]]&gt;0,VLOOKUP(_1_541284561214624104645789101745678[[#This Row],[Type]],Main[[#All],[TYPE]:[UNIT]],'Unit Price'!D$1,FALSE),0)</f>
        <v>0</v>
      </c>
      <c r="I544" s="194">
        <f>IF(_1_541284561214624104645789101745678[[#This Row],[Type]]&gt;0,VLOOKUP(_1_541284561214624104645789101745678[[#This Row],[Type]],Main[[#All],[TYPE]:[UNIT]],'Unit Price'!G$1,FALSE),0)</f>
        <v>0</v>
      </c>
      <c r="J544" s="194">
        <f>IF(_1_541284561214624104645789101745678[[#This Row],[Type]]&gt;0,VLOOKUP(_1_541284561214624104645789101745678[[#This Row],[Type]],Main[[#All],[TYPE]:[UNIT]],'Unit Price'!H$1,FALSE),0)</f>
        <v>0</v>
      </c>
      <c r="K544" s="194">
        <f>IF(_1_541284561214624104645789101745678[[#This Row],[Discount selection]]&gt;0,VLOOKUP(_1_541284561214624104645789101745678[[#This Row],[Discount selection]],'Discount Structure'!$A$2:$B$30,2,"false"),0)</f>
        <v>1</v>
      </c>
      <c r="L544" s="194">
        <f>_1_541284561214624104645789101745678[[#This Row],[LIST $]]*_1_541284561214624104645789101745678[[#This Row],[DISCOUNT]]*_1_541284561214624104645789101745678[[#This Row],[DISCOUNT 2]]</f>
        <v>0</v>
      </c>
      <c r="M544" s="194">
        <f>IF(OR(_1_541284561214624104645789101745678[[#This Row],[UNIT]]&gt;0,_1_541284561214624104645789101745678[[#This Row],[UNIT]]&lt;0),_1_541284561214624104645789101745678[[#This Row],[UNIT]]*_1_541284561214624104645789101745678[[#This Row],[COST]],0)</f>
        <v>0</v>
      </c>
      <c r="N544" s="194">
        <f t="shared" si="8"/>
        <v>1.3</v>
      </c>
      <c r="O544" s="198">
        <f>_1_541284561214624104645789101745678[[#This Row],[TOTAL]]*_1_541284561214624104645789101745678[[#This Row],[MARGIN]]</f>
        <v>0</v>
      </c>
      <c r="R544" s="41"/>
    </row>
    <row r="545" spans="1:18">
      <c r="D545" s="188"/>
      <c r="F545" s="168" t="s">
        <v>6202</v>
      </c>
      <c r="G545" s="193">
        <f>IF(_1_541284561214624104645789101745678[[#This Row],[Type]]&gt;0,VLOOKUP(_1_541284561214624104645789101745678[[#This Row],[Type]],Main[[#All],[TYPE]:[UNIT]],'Unit Price'!C$1,FALSE),0)</f>
        <v>0</v>
      </c>
      <c r="H545" s="197">
        <f>IF(_1_541284561214624104645789101745678[[#This Row],[Type]]&gt;0,VLOOKUP(_1_541284561214624104645789101745678[[#This Row],[Type]],Main[[#All],[TYPE]:[UNIT]],'Unit Price'!D$1,FALSE),0)</f>
        <v>0</v>
      </c>
      <c r="I545" s="194">
        <f>IF(_1_541284561214624104645789101745678[[#This Row],[Type]]&gt;0,VLOOKUP(_1_541284561214624104645789101745678[[#This Row],[Type]],Main[[#All],[TYPE]:[UNIT]],'Unit Price'!G$1,FALSE),0)</f>
        <v>0</v>
      </c>
      <c r="J545" s="194">
        <f>IF(_1_541284561214624104645789101745678[[#This Row],[Type]]&gt;0,VLOOKUP(_1_541284561214624104645789101745678[[#This Row],[Type]],Main[[#All],[TYPE]:[UNIT]],'Unit Price'!H$1,FALSE),0)</f>
        <v>0</v>
      </c>
      <c r="K545" s="194">
        <f>IF(_1_541284561214624104645789101745678[[#This Row],[Discount selection]]&gt;0,VLOOKUP(_1_541284561214624104645789101745678[[#This Row],[Discount selection]],'Discount Structure'!$A$2:$B$30,2,"false"),0)</f>
        <v>1</v>
      </c>
      <c r="L545" s="194">
        <f>_1_541284561214624104645789101745678[[#This Row],[LIST $]]*_1_541284561214624104645789101745678[[#This Row],[DISCOUNT]]*_1_541284561214624104645789101745678[[#This Row],[DISCOUNT 2]]</f>
        <v>0</v>
      </c>
      <c r="M545" s="194">
        <f>IF(OR(_1_541284561214624104645789101745678[[#This Row],[UNIT]]&gt;0,_1_541284561214624104645789101745678[[#This Row],[UNIT]]&lt;0),_1_541284561214624104645789101745678[[#This Row],[UNIT]]*_1_541284561214624104645789101745678[[#This Row],[COST]],0)</f>
        <v>0</v>
      </c>
      <c r="N545" s="194">
        <f t="shared" si="8"/>
        <v>1.3</v>
      </c>
      <c r="O545" s="198">
        <f>_1_541284561214624104645789101745678[[#This Row],[TOTAL]]*_1_541284561214624104645789101745678[[#This Row],[MARGIN]]</f>
        <v>0</v>
      </c>
      <c r="R545" s="41"/>
    </row>
    <row r="546" spans="1:18">
      <c r="D546" s="188"/>
      <c r="F546" s="168" t="s">
        <v>6202</v>
      </c>
      <c r="G546" s="193">
        <f>IF(_1_541284561214624104645789101745678[[#This Row],[Type]]&gt;0,VLOOKUP(_1_541284561214624104645789101745678[[#This Row],[Type]],Main[[#All],[TYPE]:[UNIT]],'Unit Price'!C$1,FALSE),0)</f>
        <v>0</v>
      </c>
      <c r="H546" s="197">
        <f>IF(_1_541284561214624104645789101745678[[#This Row],[Type]]&gt;0,VLOOKUP(_1_541284561214624104645789101745678[[#This Row],[Type]],Main[[#All],[TYPE]:[UNIT]],'Unit Price'!D$1,FALSE),0)</f>
        <v>0</v>
      </c>
      <c r="I546" s="194">
        <f>IF(_1_541284561214624104645789101745678[[#This Row],[Type]]&gt;0,VLOOKUP(_1_541284561214624104645789101745678[[#This Row],[Type]],Main[[#All],[TYPE]:[UNIT]],'Unit Price'!G$1,FALSE),0)</f>
        <v>0</v>
      </c>
      <c r="J546" s="194">
        <f>IF(_1_541284561214624104645789101745678[[#This Row],[Type]]&gt;0,VLOOKUP(_1_541284561214624104645789101745678[[#This Row],[Type]],Main[[#All],[TYPE]:[UNIT]],'Unit Price'!H$1,FALSE),0)</f>
        <v>0</v>
      </c>
      <c r="K546" s="194">
        <f>IF(_1_541284561214624104645789101745678[[#This Row],[Discount selection]]&gt;0,VLOOKUP(_1_541284561214624104645789101745678[[#This Row],[Discount selection]],'Discount Structure'!$A$2:$B$30,2,"false"),0)</f>
        <v>1</v>
      </c>
      <c r="L546" s="194">
        <f>_1_541284561214624104645789101745678[[#This Row],[LIST $]]*_1_541284561214624104645789101745678[[#This Row],[DISCOUNT]]*_1_541284561214624104645789101745678[[#This Row],[DISCOUNT 2]]</f>
        <v>0</v>
      </c>
      <c r="M546" s="194">
        <f>IF(OR(_1_541284561214624104645789101745678[[#This Row],[UNIT]]&gt;0,_1_541284561214624104645789101745678[[#This Row],[UNIT]]&lt;0),_1_541284561214624104645789101745678[[#This Row],[UNIT]]*_1_541284561214624104645789101745678[[#This Row],[COST]],0)</f>
        <v>0</v>
      </c>
      <c r="N546" s="194">
        <f t="shared" si="8"/>
        <v>1.3</v>
      </c>
      <c r="O546" s="198">
        <f>_1_541284561214624104645789101745678[[#This Row],[TOTAL]]*_1_541284561214624104645789101745678[[#This Row],[MARGIN]]</f>
        <v>0</v>
      </c>
      <c r="R546" s="41"/>
    </row>
    <row r="547" spans="1:18">
      <c r="D547" s="188"/>
      <c r="F547" s="168" t="s">
        <v>6202</v>
      </c>
      <c r="G547" s="193">
        <f>IF(_1_541284561214624104645789101745678[[#This Row],[Type]]&gt;0,VLOOKUP(_1_541284561214624104645789101745678[[#This Row],[Type]],Main[[#All],[TYPE]:[UNIT]],'Unit Price'!C$1,FALSE),0)</f>
        <v>0</v>
      </c>
      <c r="H547" s="197">
        <f>IF(_1_541284561214624104645789101745678[[#This Row],[Type]]&gt;0,VLOOKUP(_1_541284561214624104645789101745678[[#This Row],[Type]],Main[[#All],[TYPE]:[UNIT]],'Unit Price'!D$1,FALSE),0)</f>
        <v>0</v>
      </c>
      <c r="I547" s="194">
        <f>IF(_1_541284561214624104645789101745678[[#This Row],[Type]]&gt;0,VLOOKUP(_1_541284561214624104645789101745678[[#This Row],[Type]],Main[[#All],[TYPE]:[UNIT]],'Unit Price'!G$1,FALSE),0)</f>
        <v>0</v>
      </c>
      <c r="J547" s="194">
        <f>IF(_1_541284561214624104645789101745678[[#This Row],[Type]]&gt;0,VLOOKUP(_1_541284561214624104645789101745678[[#This Row],[Type]],Main[[#All],[TYPE]:[UNIT]],'Unit Price'!H$1,FALSE),0)</f>
        <v>0</v>
      </c>
      <c r="K547" s="194">
        <f>IF(_1_541284561214624104645789101745678[[#This Row],[Discount selection]]&gt;0,VLOOKUP(_1_541284561214624104645789101745678[[#This Row],[Discount selection]],'Discount Structure'!$A$2:$B$30,2,"false"),0)</f>
        <v>1</v>
      </c>
      <c r="L547" s="194">
        <f>_1_541284561214624104645789101745678[[#This Row],[LIST $]]*_1_541284561214624104645789101745678[[#This Row],[DISCOUNT]]*_1_541284561214624104645789101745678[[#This Row],[DISCOUNT 2]]</f>
        <v>0</v>
      </c>
      <c r="M547" s="194">
        <f>IF(OR(_1_541284561214624104645789101745678[[#This Row],[UNIT]]&gt;0,_1_541284561214624104645789101745678[[#This Row],[UNIT]]&lt;0),_1_541284561214624104645789101745678[[#This Row],[UNIT]]*_1_541284561214624104645789101745678[[#This Row],[COST]],0)</f>
        <v>0</v>
      </c>
      <c r="N547" s="194">
        <f t="shared" si="8"/>
        <v>1.3</v>
      </c>
      <c r="O547" s="198">
        <f>_1_541284561214624104645789101745678[[#This Row],[TOTAL]]*_1_541284561214624104645789101745678[[#This Row],[MARGIN]]</f>
        <v>0</v>
      </c>
      <c r="R547" s="41"/>
    </row>
    <row r="548" spans="1:18">
      <c r="D548" s="188"/>
      <c r="F548" s="168" t="s">
        <v>6202</v>
      </c>
      <c r="G548" s="193">
        <f>IF(_1_541284561214624104645789101745678[[#This Row],[Type]]&gt;0,VLOOKUP(_1_541284561214624104645789101745678[[#This Row],[Type]],Main[[#All],[TYPE]:[UNIT]],'Unit Price'!C$1,FALSE),0)</f>
        <v>0</v>
      </c>
      <c r="H548" s="197">
        <f>IF(_1_541284561214624104645789101745678[[#This Row],[Type]]&gt;0,VLOOKUP(_1_541284561214624104645789101745678[[#This Row],[Type]],Main[[#All],[TYPE]:[UNIT]],'Unit Price'!D$1,FALSE),0)</f>
        <v>0</v>
      </c>
      <c r="I548" s="194">
        <f>IF(_1_541284561214624104645789101745678[[#This Row],[Type]]&gt;0,VLOOKUP(_1_541284561214624104645789101745678[[#This Row],[Type]],Main[[#All],[TYPE]:[UNIT]],'Unit Price'!G$1,FALSE),0)</f>
        <v>0</v>
      </c>
      <c r="J548" s="194">
        <f>IF(_1_541284561214624104645789101745678[[#This Row],[Type]]&gt;0,VLOOKUP(_1_541284561214624104645789101745678[[#This Row],[Type]],Main[[#All],[TYPE]:[UNIT]],'Unit Price'!H$1,FALSE),0)</f>
        <v>0</v>
      </c>
      <c r="K548" s="194">
        <f>IF(_1_541284561214624104645789101745678[[#This Row],[Discount selection]]&gt;0,VLOOKUP(_1_541284561214624104645789101745678[[#This Row],[Discount selection]],'Discount Structure'!$A$2:$B$30,2,"false"),0)</f>
        <v>1</v>
      </c>
      <c r="L548" s="194">
        <f>_1_541284561214624104645789101745678[[#This Row],[LIST $]]*_1_541284561214624104645789101745678[[#This Row],[DISCOUNT]]*_1_541284561214624104645789101745678[[#This Row],[DISCOUNT 2]]</f>
        <v>0</v>
      </c>
      <c r="M548" s="194">
        <f>IF(OR(_1_541284561214624104645789101745678[[#This Row],[UNIT]]&gt;0,_1_541284561214624104645789101745678[[#This Row],[UNIT]]&lt;0),_1_541284561214624104645789101745678[[#This Row],[UNIT]]*_1_541284561214624104645789101745678[[#This Row],[COST]],0)</f>
        <v>0</v>
      </c>
      <c r="N548" s="194">
        <f t="shared" si="8"/>
        <v>1.3</v>
      </c>
      <c r="O548" s="198">
        <f>_1_541284561214624104645789101745678[[#This Row],[TOTAL]]*_1_541284561214624104645789101745678[[#This Row],[MARGIN]]</f>
        <v>0</v>
      </c>
      <c r="R548" s="41"/>
    </row>
    <row r="549" spans="1:18">
      <c r="A549" s="168"/>
      <c r="B549" s="168"/>
      <c r="D549" s="188"/>
      <c r="F549" s="168" t="s">
        <v>6202</v>
      </c>
      <c r="G549" s="193">
        <f>IF(_1_541284561214624104645789101745678[[#This Row],[Type]]&gt;0,VLOOKUP(_1_541284561214624104645789101745678[[#This Row],[Type]],Main[[#All],[TYPE]:[UNIT]],'Unit Price'!C$1,FALSE),0)</f>
        <v>0</v>
      </c>
      <c r="H549" s="197">
        <f>IF(_1_541284561214624104645789101745678[[#This Row],[Type]]&gt;0,VLOOKUP(_1_541284561214624104645789101745678[[#This Row],[Type]],Main[[#All],[TYPE]:[UNIT]],'Unit Price'!D$1,FALSE),0)</f>
        <v>0</v>
      </c>
      <c r="I549" s="194">
        <f>IF(_1_541284561214624104645789101745678[[#This Row],[Type]]&gt;0,VLOOKUP(_1_541284561214624104645789101745678[[#This Row],[Type]],Main[[#All],[TYPE]:[UNIT]],'Unit Price'!G$1,FALSE),0)</f>
        <v>0</v>
      </c>
      <c r="J549" s="194">
        <f>IF(_1_541284561214624104645789101745678[[#This Row],[Type]]&gt;0,VLOOKUP(_1_541284561214624104645789101745678[[#This Row],[Type]],Main[[#All],[TYPE]:[UNIT]],'Unit Price'!H$1,FALSE),0)</f>
        <v>0</v>
      </c>
      <c r="K549" s="194">
        <f>IF(_1_541284561214624104645789101745678[[#This Row],[Discount selection]]&gt;0,VLOOKUP(_1_541284561214624104645789101745678[[#This Row],[Discount selection]],'Discount Structure'!$A$2:$B$30,2,"false"),0)</f>
        <v>1</v>
      </c>
      <c r="L549" s="194">
        <f>_1_541284561214624104645789101745678[[#This Row],[LIST $]]*_1_541284561214624104645789101745678[[#This Row],[DISCOUNT]]*_1_541284561214624104645789101745678[[#This Row],[DISCOUNT 2]]</f>
        <v>0</v>
      </c>
      <c r="M549" s="194">
        <f>IF(OR(_1_541284561214624104645789101745678[[#This Row],[UNIT]]&gt;0,_1_541284561214624104645789101745678[[#This Row],[UNIT]]&lt;0),_1_541284561214624104645789101745678[[#This Row],[UNIT]]*_1_541284561214624104645789101745678[[#This Row],[COST]],0)</f>
        <v>0</v>
      </c>
      <c r="N549" s="194">
        <f t="shared" si="8"/>
        <v>1.3</v>
      </c>
      <c r="O549" s="198">
        <f>_1_541284561214624104645789101745678[[#This Row],[TOTAL]]*_1_541284561214624104645789101745678[[#This Row],[MARGIN]]</f>
        <v>0</v>
      </c>
      <c r="R549" s="41"/>
    </row>
    <row r="550" spans="1:18">
      <c r="D550" s="188"/>
      <c r="F550" s="168" t="s">
        <v>6202</v>
      </c>
      <c r="G550" s="193">
        <f>IF(_1_541284561214624104645789101745678[[#This Row],[Type]]&gt;0,VLOOKUP(_1_541284561214624104645789101745678[[#This Row],[Type]],Main[[#All],[TYPE]:[UNIT]],'Unit Price'!C$1,FALSE),0)</f>
        <v>0</v>
      </c>
      <c r="H550" s="197">
        <f>IF(_1_541284561214624104645789101745678[[#This Row],[Type]]&gt;0,VLOOKUP(_1_541284561214624104645789101745678[[#This Row],[Type]],Main[[#All],[TYPE]:[UNIT]],'Unit Price'!D$1,FALSE),0)</f>
        <v>0</v>
      </c>
      <c r="I550" s="194">
        <f>IF(_1_541284561214624104645789101745678[[#This Row],[Type]]&gt;0,VLOOKUP(_1_541284561214624104645789101745678[[#This Row],[Type]],Main[[#All],[TYPE]:[UNIT]],'Unit Price'!G$1,FALSE),0)</f>
        <v>0</v>
      </c>
      <c r="J550" s="194">
        <f>IF(_1_541284561214624104645789101745678[[#This Row],[Type]]&gt;0,VLOOKUP(_1_541284561214624104645789101745678[[#This Row],[Type]],Main[[#All],[TYPE]:[UNIT]],'Unit Price'!H$1,FALSE),0)</f>
        <v>0</v>
      </c>
      <c r="K550" s="194">
        <f>IF(_1_541284561214624104645789101745678[[#This Row],[Discount selection]]&gt;0,VLOOKUP(_1_541284561214624104645789101745678[[#This Row],[Discount selection]],'Discount Structure'!$A$2:$B$30,2,"false"),0)</f>
        <v>1</v>
      </c>
      <c r="L550" s="194">
        <f>_1_541284561214624104645789101745678[[#This Row],[LIST $]]*_1_541284561214624104645789101745678[[#This Row],[DISCOUNT]]*_1_541284561214624104645789101745678[[#This Row],[DISCOUNT 2]]</f>
        <v>0</v>
      </c>
      <c r="M550" s="194">
        <f>IF(OR(_1_541284561214624104645789101745678[[#This Row],[UNIT]]&gt;0,_1_541284561214624104645789101745678[[#This Row],[UNIT]]&lt;0),_1_541284561214624104645789101745678[[#This Row],[UNIT]]*_1_541284561214624104645789101745678[[#This Row],[COST]],0)</f>
        <v>0</v>
      </c>
      <c r="N550" s="194">
        <f t="shared" si="8"/>
        <v>1.3</v>
      </c>
      <c r="O550" s="198">
        <f>_1_541284561214624104645789101745678[[#This Row],[TOTAL]]*_1_541284561214624104645789101745678[[#This Row],[MARGIN]]</f>
        <v>0</v>
      </c>
      <c r="R550" s="41"/>
    </row>
    <row r="551" spans="1:18">
      <c r="D551" s="188"/>
      <c r="F551" s="168" t="s">
        <v>6202</v>
      </c>
      <c r="G551" s="193">
        <f>IF(_1_541284561214624104645789101745678[[#This Row],[Type]]&gt;0,VLOOKUP(_1_541284561214624104645789101745678[[#This Row],[Type]],Main[[#All],[TYPE]:[UNIT]],'Unit Price'!C$1,FALSE),0)</f>
        <v>0</v>
      </c>
      <c r="H551" s="197">
        <f>IF(_1_541284561214624104645789101745678[[#This Row],[Type]]&gt;0,VLOOKUP(_1_541284561214624104645789101745678[[#This Row],[Type]],Main[[#All],[TYPE]:[UNIT]],'Unit Price'!D$1,FALSE),0)</f>
        <v>0</v>
      </c>
      <c r="I551" s="194">
        <f>IF(_1_541284561214624104645789101745678[[#This Row],[Type]]&gt;0,VLOOKUP(_1_541284561214624104645789101745678[[#This Row],[Type]],Main[[#All],[TYPE]:[UNIT]],'Unit Price'!G$1,FALSE),0)</f>
        <v>0</v>
      </c>
      <c r="J551" s="194">
        <f>IF(_1_541284561214624104645789101745678[[#This Row],[Type]]&gt;0,VLOOKUP(_1_541284561214624104645789101745678[[#This Row],[Type]],Main[[#All],[TYPE]:[UNIT]],'Unit Price'!H$1,FALSE),0)</f>
        <v>0</v>
      </c>
      <c r="K551" s="194">
        <f>IF(_1_541284561214624104645789101745678[[#This Row],[Discount selection]]&gt;0,VLOOKUP(_1_541284561214624104645789101745678[[#This Row],[Discount selection]],'Discount Structure'!$A$2:$B$30,2,"false"),0)</f>
        <v>1</v>
      </c>
      <c r="L551" s="194">
        <f>_1_541284561214624104645789101745678[[#This Row],[LIST $]]*_1_541284561214624104645789101745678[[#This Row],[DISCOUNT]]*_1_541284561214624104645789101745678[[#This Row],[DISCOUNT 2]]</f>
        <v>0</v>
      </c>
      <c r="M551" s="194">
        <f>IF(OR(_1_541284561214624104645789101745678[[#This Row],[UNIT]]&gt;0,_1_541284561214624104645789101745678[[#This Row],[UNIT]]&lt;0),_1_541284561214624104645789101745678[[#This Row],[UNIT]]*_1_541284561214624104645789101745678[[#This Row],[COST]],0)</f>
        <v>0</v>
      </c>
      <c r="N551" s="194">
        <f t="shared" si="8"/>
        <v>1.3</v>
      </c>
      <c r="O551" s="198">
        <f>_1_541284561214624104645789101745678[[#This Row],[TOTAL]]*_1_541284561214624104645789101745678[[#This Row],[MARGIN]]</f>
        <v>0</v>
      </c>
      <c r="R551" s="41"/>
    </row>
    <row r="552" spans="1:18">
      <c r="A552" s="168"/>
      <c r="D552" s="188"/>
      <c r="F552" s="168" t="s">
        <v>6202</v>
      </c>
      <c r="G552" s="193">
        <f>IF(_1_541284561214624104645789101745678[[#This Row],[Type]]&gt;0,VLOOKUP(_1_541284561214624104645789101745678[[#This Row],[Type]],Main[[#All],[TYPE]:[UNIT]],'Unit Price'!C$1,FALSE),0)</f>
        <v>0</v>
      </c>
      <c r="H552" s="197">
        <f>IF(_1_541284561214624104645789101745678[[#This Row],[Type]]&gt;0,VLOOKUP(_1_541284561214624104645789101745678[[#This Row],[Type]],Main[[#All],[TYPE]:[UNIT]],'Unit Price'!D$1,FALSE),0)</f>
        <v>0</v>
      </c>
      <c r="I552" s="194">
        <f>IF(_1_541284561214624104645789101745678[[#This Row],[Type]]&gt;0,VLOOKUP(_1_541284561214624104645789101745678[[#This Row],[Type]],Main[[#All],[TYPE]:[UNIT]],'Unit Price'!G$1,FALSE),0)</f>
        <v>0</v>
      </c>
      <c r="J552" s="194">
        <f>IF(_1_541284561214624104645789101745678[[#This Row],[Type]]&gt;0,VLOOKUP(_1_541284561214624104645789101745678[[#This Row],[Type]],Main[[#All],[TYPE]:[UNIT]],'Unit Price'!H$1,FALSE),0)</f>
        <v>0</v>
      </c>
      <c r="K552" s="194">
        <f>IF(_1_541284561214624104645789101745678[[#This Row],[Discount selection]]&gt;0,VLOOKUP(_1_541284561214624104645789101745678[[#This Row],[Discount selection]],'Discount Structure'!$A$2:$B$30,2,"false"),0)</f>
        <v>1</v>
      </c>
      <c r="L552" s="194">
        <f>_1_541284561214624104645789101745678[[#This Row],[LIST $]]*_1_541284561214624104645789101745678[[#This Row],[DISCOUNT]]*_1_541284561214624104645789101745678[[#This Row],[DISCOUNT 2]]</f>
        <v>0</v>
      </c>
      <c r="M552" s="194">
        <f>IF(OR(_1_541284561214624104645789101745678[[#This Row],[UNIT]]&gt;0,_1_541284561214624104645789101745678[[#This Row],[UNIT]]&lt;0),_1_541284561214624104645789101745678[[#This Row],[UNIT]]*_1_541284561214624104645789101745678[[#This Row],[COST]],0)</f>
        <v>0</v>
      </c>
      <c r="N552" s="194">
        <f t="shared" si="8"/>
        <v>1.3</v>
      </c>
      <c r="O552" s="198">
        <f>_1_541284561214624104645789101745678[[#This Row],[TOTAL]]*_1_541284561214624104645789101745678[[#This Row],[MARGIN]]</f>
        <v>0</v>
      </c>
      <c r="R552" s="41"/>
    </row>
    <row r="553" spans="1:18">
      <c r="D553" s="188"/>
      <c r="F553" s="168" t="s">
        <v>6202</v>
      </c>
      <c r="G553" s="193">
        <f>IF(_1_541284561214624104645789101745678[[#This Row],[Type]]&gt;0,VLOOKUP(_1_541284561214624104645789101745678[[#This Row],[Type]],Main[[#All],[TYPE]:[UNIT]],'Unit Price'!C$1,FALSE),0)</f>
        <v>0</v>
      </c>
      <c r="H553" s="197">
        <f>IF(_1_541284561214624104645789101745678[[#This Row],[Type]]&gt;0,VLOOKUP(_1_541284561214624104645789101745678[[#This Row],[Type]],Main[[#All],[TYPE]:[UNIT]],'Unit Price'!D$1,FALSE),0)</f>
        <v>0</v>
      </c>
      <c r="I553" s="194">
        <f>IF(_1_541284561214624104645789101745678[[#This Row],[Type]]&gt;0,VLOOKUP(_1_541284561214624104645789101745678[[#This Row],[Type]],Main[[#All],[TYPE]:[UNIT]],'Unit Price'!G$1,FALSE),0)</f>
        <v>0</v>
      </c>
      <c r="J553" s="194">
        <f>IF(_1_541284561214624104645789101745678[[#This Row],[Type]]&gt;0,VLOOKUP(_1_541284561214624104645789101745678[[#This Row],[Type]],Main[[#All],[TYPE]:[UNIT]],'Unit Price'!H$1,FALSE),0)</f>
        <v>0</v>
      </c>
      <c r="K553" s="194">
        <f>IF(_1_541284561214624104645789101745678[[#This Row],[Discount selection]]&gt;0,VLOOKUP(_1_541284561214624104645789101745678[[#This Row],[Discount selection]],'Discount Structure'!$A$2:$B$30,2,"false"),0)</f>
        <v>1</v>
      </c>
      <c r="L553" s="194">
        <f>_1_541284561214624104645789101745678[[#This Row],[LIST $]]*_1_541284561214624104645789101745678[[#This Row],[DISCOUNT]]*_1_541284561214624104645789101745678[[#This Row],[DISCOUNT 2]]</f>
        <v>0</v>
      </c>
      <c r="M553" s="194">
        <f>IF(OR(_1_541284561214624104645789101745678[[#This Row],[UNIT]]&gt;0,_1_541284561214624104645789101745678[[#This Row],[UNIT]]&lt;0),_1_541284561214624104645789101745678[[#This Row],[UNIT]]*_1_541284561214624104645789101745678[[#This Row],[COST]],0)</f>
        <v>0</v>
      </c>
      <c r="N553" s="194">
        <f t="shared" si="8"/>
        <v>1.3</v>
      </c>
      <c r="O553" s="198">
        <f>_1_541284561214624104645789101745678[[#This Row],[TOTAL]]*_1_541284561214624104645789101745678[[#This Row],[MARGIN]]</f>
        <v>0</v>
      </c>
      <c r="R553" s="41"/>
    </row>
    <row r="554" spans="1:18">
      <c r="D554" s="188"/>
      <c r="F554" s="168" t="s">
        <v>6202</v>
      </c>
      <c r="G554" s="193">
        <f>IF(_1_541284561214624104645789101745678[[#This Row],[Type]]&gt;0,VLOOKUP(_1_541284561214624104645789101745678[[#This Row],[Type]],Main[[#All],[TYPE]:[UNIT]],'Unit Price'!C$1,FALSE),0)</f>
        <v>0</v>
      </c>
      <c r="H554" s="197">
        <f>IF(_1_541284561214624104645789101745678[[#This Row],[Type]]&gt;0,VLOOKUP(_1_541284561214624104645789101745678[[#This Row],[Type]],Main[[#All],[TYPE]:[UNIT]],'Unit Price'!D$1,FALSE),0)</f>
        <v>0</v>
      </c>
      <c r="I554" s="194">
        <f>IF(_1_541284561214624104645789101745678[[#This Row],[Type]]&gt;0,VLOOKUP(_1_541284561214624104645789101745678[[#This Row],[Type]],Main[[#All],[TYPE]:[UNIT]],'Unit Price'!G$1,FALSE),0)</f>
        <v>0</v>
      </c>
      <c r="J554" s="194">
        <f>IF(_1_541284561214624104645789101745678[[#This Row],[Type]]&gt;0,VLOOKUP(_1_541284561214624104645789101745678[[#This Row],[Type]],Main[[#All],[TYPE]:[UNIT]],'Unit Price'!H$1,FALSE),0)</f>
        <v>0</v>
      </c>
      <c r="K554" s="194">
        <f>IF(_1_541284561214624104645789101745678[[#This Row],[Discount selection]]&gt;0,VLOOKUP(_1_541284561214624104645789101745678[[#This Row],[Discount selection]],'Discount Structure'!$A$2:$B$30,2,"false"),0)</f>
        <v>1</v>
      </c>
      <c r="L554" s="194">
        <f>_1_541284561214624104645789101745678[[#This Row],[LIST $]]*_1_541284561214624104645789101745678[[#This Row],[DISCOUNT]]*_1_541284561214624104645789101745678[[#This Row],[DISCOUNT 2]]</f>
        <v>0</v>
      </c>
      <c r="M554" s="194">
        <f>IF(OR(_1_541284561214624104645789101745678[[#This Row],[UNIT]]&gt;0,_1_541284561214624104645789101745678[[#This Row],[UNIT]]&lt;0),_1_541284561214624104645789101745678[[#This Row],[UNIT]]*_1_541284561214624104645789101745678[[#This Row],[COST]],0)</f>
        <v>0</v>
      </c>
      <c r="N554" s="194">
        <f t="shared" si="8"/>
        <v>1.3</v>
      </c>
      <c r="O554" s="198">
        <f>_1_541284561214624104645789101745678[[#This Row],[TOTAL]]*_1_541284561214624104645789101745678[[#This Row],[MARGIN]]</f>
        <v>0</v>
      </c>
      <c r="R554" s="41"/>
    </row>
    <row r="555" spans="1:18">
      <c r="D555" s="188"/>
      <c r="F555" s="168" t="s">
        <v>6202</v>
      </c>
      <c r="G555" s="193">
        <f>IF(_1_541284561214624104645789101745678[[#This Row],[Type]]&gt;0,VLOOKUP(_1_541284561214624104645789101745678[[#This Row],[Type]],Main[[#All],[TYPE]:[UNIT]],'Unit Price'!C$1,FALSE),0)</f>
        <v>0</v>
      </c>
      <c r="H555" s="197">
        <f>IF(_1_541284561214624104645789101745678[[#This Row],[Type]]&gt;0,VLOOKUP(_1_541284561214624104645789101745678[[#This Row],[Type]],Main[[#All],[TYPE]:[UNIT]],'Unit Price'!D$1,FALSE),0)</f>
        <v>0</v>
      </c>
      <c r="I555" s="194">
        <f>IF(_1_541284561214624104645789101745678[[#This Row],[Type]]&gt;0,VLOOKUP(_1_541284561214624104645789101745678[[#This Row],[Type]],Main[[#All],[TYPE]:[UNIT]],'Unit Price'!G$1,FALSE),0)</f>
        <v>0</v>
      </c>
      <c r="J555" s="194">
        <f>IF(_1_541284561214624104645789101745678[[#This Row],[Type]]&gt;0,VLOOKUP(_1_541284561214624104645789101745678[[#This Row],[Type]],Main[[#All],[TYPE]:[UNIT]],'Unit Price'!H$1,FALSE),0)</f>
        <v>0</v>
      </c>
      <c r="K555" s="194">
        <f>IF(_1_541284561214624104645789101745678[[#This Row],[Discount selection]]&gt;0,VLOOKUP(_1_541284561214624104645789101745678[[#This Row],[Discount selection]],'Discount Structure'!$A$2:$B$30,2,"false"),0)</f>
        <v>1</v>
      </c>
      <c r="L555" s="194">
        <f>_1_541284561214624104645789101745678[[#This Row],[LIST $]]*_1_541284561214624104645789101745678[[#This Row],[DISCOUNT]]*_1_541284561214624104645789101745678[[#This Row],[DISCOUNT 2]]</f>
        <v>0</v>
      </c>
      <c r="M555" s="194">
        <f>IF(OR(_1_541284561214624104645789101745678[[#This Row],[UNIT]]&gt;0,_1_541284561214624104645789101745678[[#This Row],[UNIT]]&lt;0),_1_541284561214624104645789101745678[[#This Row],[UNIT]]*_1_541284561214624104645789101745678[[#This Row],[COST]],0)</f>
        <v>0</v>
      </c>
      <c r="N555" s="194">
        <f t="shared" si="8"/>
        <v>1.3</v>
      </c>
      <c r="O555" s="198">
        <f>_1_541284561214624104645789101745678[[#This Row],[TOTAL]]*_1_541284561214624104645789101745678[[#This Row],[MARGIN]]</f>
        <v>0</v>
      </c>
      <c r="R555" s="41"/>
    </row>
    <row r="556" spans="1:18">
      <c r="D556" s="188"/>
      <c r="F556" s="168" t="s">
        <v>6202</v>
      </c>
      <c r="G556" s="193">
        <f>IF(_1_541284561214624104645789101745678[[#This Row],[Type]]&gt;0,VLOOKUP(_1_541284561214624104645789101745678[[#This Row],[Type]],Main[[#All],[TYPE]:[UNIT]],'Unit Price'!C$1,FALSE),0)</f>
        <v>0</v>
      </c>
      <c r="H556" s="197">
        <f>IF(_1_541284561214624104645789101745678[[#This Row],[Type]]&gt;0,VLOOKUP(_1_541284561214624104645789101745678[[#This Row],[Type]],Main[[#All],[TYPE]:[UNIT]],'Unit Price'!D$1,FALSE),0)</f>
        <v>0</v>
      </c>
      <c r="I556" s="194">
        <f>IF(_1_541284561214624104645789101745678[[#This Row],[Type]]&gt;0,VLOOKUP(_1_541284561214624104645789101745678[[#This Row],[Type]],Main[[#All],[TYPE]:[UNIT]],'Unit Price'!G$1,FALSE),0)</f>
        <v>0</v>
      </c>
      <c r="J556" s="194">
        <f>IF(_1_541284561214624104645789101745678[[#This Row],[Type]]&gt;0,VLOOKUP(_1_541284561214624104645789101745678[[#This Row],[Type]],Main[[#All],[TYPE]:[UNIT]],'Unit Price'!H$1,FALSE),0)</f>
        <v>0</v>
      </c>
      <c r="K556" s="194">
        <f>IF(_1_541284561214624104645789101745678[[#This Row],[Discount selection]]&gt;0,VLOOKUP(_1_541284561214624104645789101745678[[#This Row],[Discount selection]],'Discount Structure'!$A$2:$B$30,2,"false"),0)</f>
        <v>1</v>
      </c>
      <c r="L556" s="194">
        <f>_1_541284561214624104645789101745678[[#This Row],[LIST $]]*_1_541284561214624104645789101745678[[#This Row],[DISCOUNT]]*_1_541284561214624104645789101745678[[#This Row],[DISCOUNT 2]]</f>
        <v>0</v>
      </c>
      <c r="M556" s="194">
        <f>IF(OR(_1_541284561214624104645789101745678[[#This Row],[UNIT]]&gt;0,_1_541284561214624104645789101745678[[#This Row],[UNIT]]&lt;0),_1_541284561214624104645789101745678[[#This Row],[UNIT]]*_1_541284561214624104645789101745678[[#This Row],[COST]],0)</f>
        <v>0</v>
      </c>
      <c r="N556" s="194">
        <f t="shared" si="8"/>
        <v>1.3</v>
      </c>
      <c r="O556" s="198">
        <f>_1_541284561214624104645789101745678[[#This Row],[TOTAL]]*_1_541284561214624104645789101745678[[#This Row],[MARGIN]]</f>
        <v>0</v>
      </c>
      <c r="R556" s="41"/>
    </row>
    <row r="557" spans="1:18">
      <c r="D557" s="188"/>
      <c r="F557" s="168" t="s">
        <v>6202</v>
      </c>
      <c r="G557" s="193">
        <f>IF(_1_541284561214624104645789101745678[[#This Row],[Type]]&gt;0,VLOOKUP(_1_541284561214624104645789101745678[[#This Row],[Type]],Main[[#All],[TYPE]:[UNIT]],'Unit Price'!C$1,FALSE),0)</f>
        <v>0</v>
      </c>
      <c r="H557" s="197">
        <f>IF(_1_541284561214624104645789101745678[[#This Row],[Type]]&gt;0,VLOOKUP(_1_541284561214624104645789101745678[[#This Row],[Type]],Main[[#All],[TYPE]:[UNIT]],'Unit Price'!D$1,FALSE),0)</f>
        <v>0</v>
      </c>
      <c r="I557" s="194">
        <f>IF(_1_541284561214624104645789101745678[[#This Row],[Type]]&gt;0,VLOOKUP(_1_541284561214624104645789101745678[[#This Row],[Type]],Main[[#All],[TYPE]:[UNIT]],'Unit Price'!G$1,FALSE),0)</f>
        <v>0</v>
      </c>
      <c r="J557" s="194">
        <f>IF(_1_541284561214624104645789101745678[[#This Row],[Type]]&gt;0,VLOOKUP(_1_541284561214624104645789101745678[[#This Row],[Type]],Main[[#All],[TYPE]:[UNIT]],'Unit Price'!H$1,FALSE),0)</f>
        <v>0</v>
      </c>
      <c r="K557" s="194">
        <f>IF(_1_541284561214624104645789101745678[[#This Row],[Discount selection]]&gt;0,VLOOKUP(_1_541284561214624104645789101745678[[#This Row],[Discount selection]],'Discount Structure'!$A$2:$B$30,2,"false"),0)</f>
        <v>1</v>
      </c>
      <c r="L557" s="194">
        <f>_1_541284561214624104645789101745678[[#This Row],[LIST $]]*_1_541284561214624104645789101745678[[#This Row],[DISCOUNT]]*_1_541284561214624104645789101745678[[#This Row],[DISCOUNT 2]]</f>
        <v>0</v>
      </c>
      <c r="M557" s="194">
        <f>IF(OR(_1_541284561214624104645789101745678[[#This Row],[UNIT]]&gt;0,_1_541284561214624104645789101745678[[#This Row],[UNIT]]&lt;0),_1_541284561214624104645789101745678[[#This Row],[UNIT]]*_1_541284561214624104645789101745678[[#This Row],[COST]],0)</f>
        <v>0</v>
      </c>
      <c r="N557" s="194">
        <f t="shared" si="8"/>
        <v>1.3</v>
      </c>
      <c r="O557" s="198">
        <f>_1_541284561214624104645789101745678[[#This Row],[TOTAL]]*_1_541284561214624104645789101745678[[#This Row],[MARGIN]]</f>
        <v>0</v>
      </c>
      <c r="R557" s="41"/>
    </row>
    <row r="558" spans="1:18">
      <c r="D558" s="188"/>
      <c r="F558" s="168" t="s">
        <v>6202</v>
      </c>
      <c r="G558" s="193">
        <f>IF(_1_541284561214624104645789101745678[[#This Row],[Type]]&gt;0,VLOOKUP(_1_541284561214624104645789101745678[[#This Row],[Type]],Main[[#All],[TYPE]:[UNIT]],'Unit Price'!C$1,FALSE),0)</f>
        <v>0</v>
      </c>
      <c r="H558" s="197">
        <f>IF(_1_541284561214624104645789101745678[[#This Row],[Type]]&gt;0,VLOOKUP(_1_541284561214624104645789101745678[[#This Row],[Type]],Main[[#All],[TYPE]:[UNIT]],'Unit Price'!D$1,FALSE),0)</f>
        <v>0</v>
      </c>
      <c r="I558" s="194">
        <f>IF(_1_541284561214624104645789101745678[[#This Row],[Type]]&gt;0,VLOOKUP(_1_541284561214624104645789101745678[[#This Row],[Type]],Main[[#All],[TYPE]:[UNIT]],'Unit Price'!G$1,FALSE),0)</f>
        <v>0</v>
      </c>
      <c r="J558" s="194">
        <f>IF(_1_541284561214624104645789101745678[[#This Row],[Type]]&gt;0,VLOOKUP(_1_541284561214624104645789101745678[[#This Row],[Type]],Main[[#All],[TYPE]:[UNIT]],'Unit Price'!H$1,FALSE),0)</f>
        <v>0</v>
      </c>
      <c r="K558" s="194">
        <f>IF(_1_541284561214624104645789101745678[[#This Row],[Discount selection]]&gt;0,VLOOKUP(_1_541284561214624104645789101745678[[#This Row],[Discount selection]],'Discount Structure'!$A$2:$B$30,2,"false"),0)</f>
        <v>1</v>
      </c>
      <c r="L558" s="194">
        <f>_1_541284561214624104645789101745678[[#This Row],[LIST $]]*_1_541284561214624104645789101745678[[#This Row],[DISCOUNT]]*_1_541284561214624104645789101745678[[#This Row],[DISCOUNT 2]]</f>
        <v>0</v>
      </c>
      <c r="M558" s="194">
        <f>IF(OR(_1_541284561214624104645789101745678[[#This Row],[UNIT]]&gt;0,_1_541284561214624104645789101745678[[#This Row],[UNIT]]&lt;0),_1_541284561214624104645789101745678[[#This Row],[UNIT]]*_1_541284561214624104645789101745678[[#This Row],[COST]],0)</f>
        <v>0</v>
      </c>
      <c r="N558" s="194">
        <f t="shared" si="8"/>
        <v>1.3</v>
      </c>
      <c r="O558" s="198">
        <f>_1_541284561214624104645789101745678[[#This Row],[TOTAL]]*_1_541284561214624104645789101745678[[#This Row],[MARGIN]]</f>
        <v>0</v>
      </c>
      <c r="R558" s="41"/>
    </row>
    <row r="559" spans="1:18">
      <c r="D559" s="188"/>
      <c r="F559" s="168" t="s">
        <v>6202</v>
      </c>
      <c r="G559" s="193">
        <f>IF(_1_541284561214624104645789101745678[[#This Row],[Type]]&gt;0,VLOOKUP(_1_541284561214624104645789101745678[[#This Row],[Type]],Main[[#All],[TYPE]:[UNIT]],'Unit Price'!C$1,FALSE),0)</f>
        <v>0</v>
      </c>
      <c r="H559" s="197">
        <f>IF(_1_541284561214624104645789101745678[[#This Row],[Type]]&gt;0,VLOOKUP(_1_541284561214624104645789101745678[[#This Row],[Type]],Main[[#All],[TYPE]:[UNIT]],'Unit Price'!D$1,FALSE),0)</f>
        <v>0</v>
      </c>
      <c r="I559" s="194">
        <f>IF(_1_541284561214624104645789101745678[[#This Row],[Type]]&gt;0,VLOOKUP(_1_541284561214624104645789101745678[[#This Row],[Type]],Main[[#All],[TYPE]:[UNIT]],'Unit Price'!G$1,FALSE),0)</f>
        <v>0</v>
      </c>
      <c r="J559" s="194">
        <f>IF(_1_541284561214624104645789101745678[[#This Row],[Type]]&gt;0,VLOOKUP(_1_541284561214624104645789101745678[[#This Row],[Type]],Main[[#All],[TYPE]:[UNIT]],'Unit Price'!H$1,FALSE),0)</f>
        <v>0</v>
      </c>
      <c r="K559" s="194">
        <f>IF(_1_541284561214624104645789101745678[[#This Row],[Discount selection]]&gt;0,VLOOKUP(_1_541284561214624104645789101745678[[#This Row],[Discount selection]],'Discount Structure'!$A$2:$B$30,2,"false"),0)</f>
        <v>1</v>
      </c>
      <c r="L559" s="194">
        <f>_1_541284561214624104645789101745678[[#This Row],[LIST $]]*_1_541284561214624104645789101745678[[#This Row],[DISCOUNT]]*_1_541284561214624104645789101745678[[#This Row],[DISCOUNT 2]]</f>
        <v>0</v>
      </c>
      <c r="M559" s="194">
        <f>IF(OR(_1_541284561214624104645789101745678[[#This Row],[UNIT]]&gt;0,_1_541284561214624104645789101745678[[#This Row],[UNIT]]&lt;0),_1_541284561214624104645789101745678[[#This Row],[UNIT]]*_1_541284561214624104645789101745678[[#This Row],[COST]],0)</f>
        <v>0</v>
      </c>
      <c r="N559" s="194">
        <f t="shared" si="8"/>
        <v>1.3</v>
      </c>
      <c r="O559" s="198">
        <f>_1_541284561214624104645789101745678[[#This Row],[TOTAL]]*_1_541284561214624104645789101745678[[#This Row],[MARGIN]]</f>
        <v>0</v>
      </c>
      <c r="R559" s="41"/>
    </row>
    <row r="560" spans="1:18">
      <c r="A560" s="168"/>
      <c r="D560" s="188"/>
      <c r="F560" s="168" t="s">
        <v>6202</v>
      </c>
      <c r="G560" s="193">
        <f>IF(_1_541284561214624104645789101745678[[#This Row],[Type]]&gt;0,VLOOKUP(_1_541284561214624104645789101745678[[#This Row],[Type]],Main[[#All],[TYPE]:[UNIT]],'Unit Price'!C$1,FALSE),0)</f>
        <v>0</v>
      </c>
      <c r="H560" s="197">
        <f>IF(_1_541284561214624104645789101745678[[#This Row],[Type]]&gt;0,VLOOKUP(_1_541284561214624104645789101745678[[#This Row],[Type]],Main[[#All],[TYPE]:[UNIT]],'Unit Price'!D$1,FALSE),0)</f>
        <v>0</v>
      </c>
      <c r="I560" s="194">
        <f>IF(_1_541284561214624104645789101745678[[#This Row],[Type]]&gt;0,VLOOKUP(_1_541284561214624104645789101745678[[#This Row],[Type]],Main[[#All],[TYPE]:[UNIT]],'Unit Price'!G$1,FALSE),0)</f>
        <v>0</v>
      </c>
      <c r="J560" s="194">
        <f>IF(_1_541284561214624104645789101745678[[#This Row],[Type]]&gt;0,VLOOKUP(_1_541284561214624104645789101745678[[#This Row],[Type]],Main[[#All],[TYPE]:[UNIT]],'Unit Price'!H$1,FALSE),0)</f>
        <v>0</v>
      </c>
      <c r="K560" s="194">
        <f>IF(_1_541284561214624104645789101745678[[#This Row],[Discount selection]]&gt;0,VLOOKUP(_1_541284561214624104645789101745678[[#This Row],[Discount selection]],'Discount Structure'!$A$2:$B$30,2,"false"),0)</f>
        <v>1</v>
      </c>
      <c r="L560" s="194">
        <f>_1_541284561214624104645789101745678[[#This Row],[LIST $]]*_1_541284561214624104645789101745678[[#This Row],[DISCOUNT]]*_1_541284561214624104645789101745678[[#This Row],[DISCOUNT 2]]</f>
        <v>0</v>
      </c>
      <c r="M560" s="194">
        <f>IF(OR(_1_541284561214624104645789101745678[[#This Row],[UNIT]]&gt;0,_1_541284561214624104645789101745678[[#This Row],[UNIT]]&lt;0),_1_541284561214624104645789101745678[[#This Row],[UNIT]]*_1_541284561214624104645789101745678[[#This Row],[COST]],0)</f>
        <v>0</v>
      </c>
      <c r="N560" s="194">
        <f t="shared" si="8"/>
        <v>1.3</v>
      </c>
      <c r="O560" s="198">
        <f>_1_541284561214624104645789101745678[[#This Row],[TOTAL]]*_1_541284561214624104645789101745678[[#This Row],[MARGIN]]</f>
        <v>0</v>
      </c>
      <c r="R560" s="41"/>
    </row>
    <row r="561" spans="1:18">
      <c r="D561" s="188"/>
      <c r="F561" s="168" t="s">
        <v>6202</v>
      </c>
      <c r="G561" s="193">
        <f>IF(_1_541284561214624104645789101745678[[#This Row],[Type]]&gt;0,VLOOKUP(_1_541284561214624104645789101745678[[#This Row],[Type]],Main[[#All],[TYPE]:[UNIT]],'Unit Price'!C$1,FALSE),0)</f>
        <v>0</v>
      </c>
      <c r="H561" s="197">
        <f>IF(_1_541284561214624104645789101745678[[#This Row],[Type]]&gt;0,VLOOKUP(_1_541284561214624104645789101745678[[#This Row],[Type]],Main[[#All],[TYPE]:[UNIT]],'Unit Price'!D$1,FALSE),0)</f>
        <v>0</v>
      </c>
      <c r="I561" s="194">
        <f>IF(_1_541284561214624104645789101745678[[#This Row],[Type]]&gt;0,VLOOKUP(_1_541284561214624104645789101745678[[#This Row],[Type]],Main[[#All],[TYPE]:[UNIT]],'Unit Price'!G$1,FALSE),0)</f>
        <v>0</v>
      </c>
      <c r="J561" s="194">
        <f>IF(_1_541284561214624104645789101745678[[#This Row],[Type]]&gt;0,VLOOKUP(_1_541284561214624104645789101745678[[#This Row],[Type]],Main[[#All],[TYPE]:[UNIT]],'Unit Price'!H$1,FALSE),0)</f>
        <v>0</v>
      </c>
      <c r="K561" s="194">
        <f>IF(_1_541284561214624104645789101745678[[#This Row],[Discount selection]]&gt;0,VLOOKUP(_1_541284561214624104645789101745678[[#This Row],[Discount selection]],'Discount Structure'!$A$2:$B$30,2,"false"),0)</f>
        <v>1</v>
      </c>
      <c r="L561" s="194">
        <f>_1_541284561214624104645789101745678[[#This Row],[LIST $]]*_1_541284561214624104645789101745678[[#This Row],[DISCOUNT]]*_1_541284561214624104645789101745678[[#This Row],[DISCOUNT 2]]</f>
        <v>0</v>
      </c>
      <c r="M561" s="194">
        <f>IF(OR(_1_541284561214624104645789101745678[[#This Row],[UNIT]]&gt;0,_1_541284561214624104645789101745678[[#This Row],[UNIT]]&lt;0),_1_541284561214624104645789101745678[[#This Row],[UNIT]]*_1_541284561214624104645789101745678[[#This Row],[COST]],0)</f>
        <v>0</v>
      </c>
      <c r="N561" s="194">
        <f t="shared" si="8"/>
        <v>1.3</v>
      </c>
      <c r="O561" s="198">
        <f>_1_541284561214624104645789101745678[[#This Row],[TOTAL]]*_1_541284561214624104645789101745678[[#This Row],[MARGIN]]</f>
        <v>0</v>
      </c>
      <c r="R561" s="41"/>
    </row>
    <row r="562" spans="1:18">
      <c r="D562" s="188"/>
      <c r="F562" s="168" t="s">
        <v>6202</v>
      </c>
      <c r="G562" s="193">
        <f>IF(_1_541284561214624104645789101745678[[#This Row],[Type]]&gt;0,VLOOKUP(_1_541284561214624104645789101745678[[#This Row],[Type]],Main[[#All],[TYPE]:[UNIT]],'Unit Price'!C$1,FALSE),0)</f>
        <v>0</v>
      </c>
      <c r="H562" s="197">
        <f>IF(_1_541284561214624104645789101745678[[#This Row],[Type]]&gt;0,VLOOKUP(_1_541284561214624104645789101745678[[#This Row],[Type]],Main[[#All],[TYPE]:[UNIT]],'Unit Price'!D$1,FALSE),0)</f>
        <v>0</v>
      </c>
      <c r="I562" s="194">
        <f>IF(_1_541284561214624104645789101745678[[#This Row],[Type]]&gt;0,VLOOKUP(_1_541284561214624104645789101745678[[#This Row],[Type]],Main[[#All],[TYPE]:[UNIT]],'Unit Price'!G$1,FALSE),0)</f>
        <v>0</v>
      </c>
      <c r="J562" s="194">
        <f>IF(_1_541284561214624104645789101745678[[#This Row],[Type]]&gt;0,VLOOKUP(_1_541284561214624104645789101745678[[#This Row],[Type]],Main[[#All],[TYPE]:[UNIT]],'Unit Price'!H$1,FALSE),0)</f>
        <v>0</v>
      </c>
      <c r="K562" s="194">
        <f>IF(_1_541284561214624104645789101745678[[#This Row],[Discount selection]]&gt;0,VLOOKUP(_1_541284561214624104645789101745678[[#This Row],[Discount selection]],'Discount Structure'!$A$2:$B$30,2,"false"),0)</f>
        <v>1</v>
      </c>
      <c r="L562" s="194">
        <f>_1_541284561214624104645789101745678[[#This Row],[LIST $]]*_1_541284561214624104645789101745678[[#This Row],[DISCOUNT]]*_1_541284561214624104645789101745678[[#This Row],[DISCOUNT 2]]</f>
        <v>0</v>
      </c>
      <c r="M562" s="194">
        <f>IF(OR(_1_541284561214624104645789101745678[[#This Row],[UNIT]]&gt;0,_1_541284561214624104645789101745678[[#This Row],[UNIT]]&lt;0),_1_541284561214624104645789101745678[[#This Row],[UNIT]]*_1_541284561214624104645789101745678[[#This Row],[COST]],0)</f>
        <v>0</v>
      </c>
      <c r="N562" s="194">
        <f t="shared" si="8"/>
        <v>1.3</v>
      </c>
      <c r="O562" s="198">
        <f>_1_541284561214624104645789101745678[[#This Row],[TOTAL]]*_1_541284561214624104645789101745678[[#This Row],[MARGIN]]</f>
        <v>0</v>
      </c>
      <c r="R562" s="41"/>
    </row>
    <row r="563" spans="1:18">
      <c r="A563" s="168"/>
      <c r="D563" s="188"/>
      <c r="F563" s="168" t="s">
        <v>6202</v>
      </c>
      <c r="G563" s="193">
        <f>IF(_1_541284561214624104645789101745678[[#This Row],[Type]]&gt;0,VLOOKUP(_1_541284561214624104645789101745678[[#This Row],[Type]],Main[[#All],[TYPE]:[UNIT]],'Unit Price'!C$1,FALSE),0)</f>
        <v>0</v>
      </c>
      <c r="H563" s="197">
        <f>IF(_1_541284561214624104645789101745678[[#This Row],[Type]]&gt;0,VLOOKUP(_1_541284561214624104645789101745678[[#This Row],[Type]],Main[[#All],[TYPE]:[UNIT]],'Unit Price'!D$1,FALSE),0)</f>
        <v>0</v>
      </c>
      <c r="I563" s="194">
        <f>IF(_1_541284561214624104645789101745678[[#This Row],[Type]]&gt;0,VLOOKUP(_1_541284561214624104645789101745678[[#This Row],[Type]],Main[[#All],[TYPE]:[UNIT]],'Unit Price'!G$1,FALSE),0)</f>
        <v>0</v>
      </c>
      <c r="J563" s="194">
        <f>IF(_1_541284561214624104645789101745678[[#This Row],[Type]]&gt;0,VLOOKUP(_1_541284561214624104645789101745678[[#This Row],[Type]],Main[[#All],[TYPE]:[UNIT]],'Unit Price'!H$1,FALSE),0)</f>
        <v>0</v>
      </c>
      <c r="K563" s="194">
        <f>IF(_1_541284561214624104645789101745678[[#This Row],[Discount selection]]&gt;0,VLOOKUP(_1_541284561214624104645789101745678[[#This Row],[Discount selection]],'Discount Structure'!$A$2:$B$30,2,"false"),0)</f>
        <v>1</v>
      </c>
      <c r="L563" s="194">
        <f>_1_541284561214624104645789101745678[[#This Row],[LIST $]]*_1_541284561214624104645789101745678[[#This Row],[DISCOUNT]]*_1_541284561214624104645789101745678[[#This Row],[DISCOUNT 2]]</f>
        <v>0</v>
      </c>
      <c r="M563" s="194">
        <f>IF(OR(_1_541284561214624104645789101745678[[#This Row],[UNIT]]&gt;0,_1_541284561214624104645789101745678[[#This Row],[UNIT]]&lt;0),_1_541284561214624104645789101745678[[#This Row],[UNIT]]*_1_541284561214624104645789101745678[[#This Row],[COST]],0)</f>
        <v>0</v>
      </c>
      <c r="N563" s="194">
        <f t="shared" si="8"/>
        <v>1.3</v>
      </c>
      <c r="O563" s="198">
        <f>_1_541284561214624104645789101745678[[#This Row],[TOTAL]]*_1_541284561214624104645789101745678[[#This Row],[MARGIN]]</f>
        <v>0</v>
      </c>
      <c r="R563" s="41"/>
    </row>
    <row r="564" spans="1:18">
      <c r="D564" s="188"/>
      <c r="F564" s="168" t="s">
        <v>6202</v>
      </c>
      <c r="G564" s="193">
        <f>IF(_1_541284561214624104645789101745678[[#This Row],[Type]]&gt;0,VLOOKUP(_1_541284561214624104645789101745678[[#This Row],[Type]],Main[[#All],[TYPE]:[UNIT]],'Unit Price'!C$1,FALSE),0)</f>
        <v>0</v>
      </c>
      <c r="H564" s="197">
        <f>IF(_1_541284561214624104645789101745678[[#This Row],[Type]]&gt;0,VLOOKUP(_1_541284561214624104645789101745678[[#This Row],[Type]],Main[[#All],[TYPE]:[UNIT]],'Unit Price'!D$1,FALSE),0)</f>
        <v>0</v>
      </c>
      <c r="I564" s="194">
        <f>IF(_1_541284561214624104645789101745678[[#This Row],[Type]]&gt;0,VLOOKUP(_1_541284561214624104645789101745678[[#This Row],[Type]],Main[[#All],[TYPE]:[UNIT]],'Unit Price'!G$1,FALSE),0)</f>
        <v>0</v>
      </c>
      <c r="J564" s="194">
        <f>IF(_1_541284561214624104645789101745678[[#This Row],[Type]]&gt;0,VLOOKUP(_1_541284561214624104645789101745678[[#This Row],[Type]],Main[[#All],[TYPE]:[UNIT]],'Unit Price'!H$1,FALSE),0)</f>
        <v>0</v>
      </c>
      <c r="K564" s="194">
        <f>IF(_1_541284561214624104645789101745678[[#This Row],[Discount selection]]&gt;0,VLOOKUP(_1_541284561214624104645789101745678[[#This Row],[Discount selection]],'Discount Structure'!$A$2:$B$30,2,"false"),0)</f>
        <v>1</v>
      </c>
      <c r="L564" s="194">
        <f>_1_541284561214624104645789101745678[[#This Row],[LIST $]]*_1_541284561214624104645789101745678[[#This Row],[DISCOUNT]]*_1_541284561214624104645789101745678[[#This Row],[DISCOUNT 2]]</f>
        <v>0</v>
      </c>
      <c r="M564" s="194">
        <f>IF(OR(_1_541284561214624104645789101745678[[#This Row],[UNIT]]&gt;0,_1_541284561214624104645789101745678[[#This Row],[UNIT]]&lt;0),_1_541284561214624104645789101745678[[#This Row],[UNIT]]*_1_541284561214624104645789101745678[[#This Row],[COST]],0)</f>
        <v>0</v>
      </c>
      <c r="N564" s="194">
        <f t="shared" si="8"/>
        <v>1.3</v>
      </c>
      <c r="O564" s="198">
        <f>_1_541284561214624104645789101745678[[#This Row],[TOTAL]]*_1_541284561214624104645789101745678[[#This Row],[MARGIN]]</f>
        <v>0</v>
      </c>
      <c r="R564" s="41"/>
    </row>
    <row r="565" spans="1:18">
      <c r="D565" s="188"/>
      <c r="F565" s="168" t="s">
        <v>6202</v>
      </c>
      <c r="G565" s="193">
        <f>IF(_1_541284561214624104645789101745678[[#This Row],[Type]]&gt;0,VLOOKUP(_1_541284561214624104645789101745678[[#This Row],[Type]],Main[[#All],[TYPE]:[UNIT]],'Unit Price'!C$1,FALSE),0)</f>
        <v>0</v>
      </c>
      <c r="H565" s="197">
        <f>IF(_1_541284561214624104645789101745678[[#This Row],[Type]]&gt;0,VLOOKUP(_1_541284561214624104645789101745678[[#This Row],[Type]],Main[[#All],[TYPE]:[UNIT]],'Unit Price'!D$1,FALSE),0)</f>
        <v>0</v>
      </c>
      <c r="I565" s="194">
        <f>IF(_1_541284561214624104645789101745678[[#This Row],[Type]]&gt;0,VLOOKUP(_1_541284561214624104645789101745678[[#This Row],[Type]],Main[[#All],[TYPE]:[UNIT]],'Unit Price'!G$1,FALSE),0)</f>
        <v>0</v>
      </c>
      <c r="J565" s="194">
        <f>IF(_1_541284561214624104645789101745678[[#This Row],[Type]]&gt;0,VLOOKUP(_1_541284561214624104645789101745678[[#This Row],[Type]],Main[[#All],[TYPE]:[UNIT]],'Unit Price'!H$1,FALSE),0)</f>
        <v>0</v>
      </c>
      <c r="K565" s="194">
        <f>IF(_1_541284561214624104645789101745678[[#This Row],[Discount selection]]&gt;0,VLOOKUP(_1_541284561214624104645789101745678[[#This Row],[Discount selection]],'Discount Structure'!$A$2:$B$30,2,"false"),0)</f>
        <v>1</v>
      </c>
      <c r="L565" s="194">
        <f>_1_541284561214624104645789101745678[[#This Row],[LIST $]]*_1_541284561214624104645789101745678[[#This Row],[DISCOUNT]]*_1_541284561214624104645789101745678[[#This Row],[DISCOUNT 2]]</f>
        <v>0</v>
      </c>
      <c r="M565" s="194">
        <f>IF(OR(_1_541284561214624104645789101745678[[#This Row],[UNIT]]&gt;0,_1_541284561214624104645789101745678[[#This Row],[UNIT]]&lt;0),_1_541284561214624104645789101745678[[#This Row],[UNIT]]*_1_541284561214624104645789101745678[[#This Row],[COST]],0)</f>
        <v>0</v>
      </c>
      <c r="N565" s="194">
        <f t="shared" si="8"/>
        <v>1.3</v>
      </c>
      <c r="O565" s="198">
        <f>_1_541284561214624104645789101745678[[#This Row],[TOTAL]]*_1_541284561214624104645789101745678[[#This Row],[MARGIN]]</f>
        <v>0</v>
      </c>
      <c r="R565" s="41"/>
    </row>
    <row r="566" spans="1:18">
      <c r="A566" s="168"/>
      <c r="D566" s="188"/>
      <c r="F566" s="168" t="s">
        <v>6202</v>
      </c>
      <c r="G566" s="193">
        <f>IF(_1_541284561214624104645789101745678[[#This Row],[Type]]&gt;0,VLOOKUP(_1_541284561214624104645789101745678[[#This Row],[Type]],Main[[#All],[TYPE]:[UNIT]],'Unit Price'!C$1,FALSE),0)</f>
        <v>0</v>
      </c>
      <c r="H566" s="197">
        <f>IF(_1_541284561214624104645789101745678[[#This Row],[Type]]&gt;0,VLOOKUP(_1_541284561214624104645789101745678[[#This Row],[Type]],Main[[#All],[TYPE]:[UNIT]],'Unit Price'!D$1,FALSE),0)</f>
        <v>0</v>
      </c>
      <c r="I566" s="194">
        <f>IF(_1_541284561214624104645789101745678[[#This Row],[Type]]&gt;0,VLOOKUP(_1_541284561214624104645789101745678[[#This Row],[Type]],Main[[#All],[TYPE]:[UNIT]],'Unit Price'!G$1,FALSE),0)</f>
        <v>0</v>
      </c>
      <c r="J566" s="194">
        <f>IF(_1_541284561214624104645789101745678[[#This Row],[Type]]&gt;0,VLOOKUP(_1_541284561214624104645789101745678[[#This Row],[Type]],Main[[#All],[TYPE]:[UNIT]],'Unit Price'!H$1,FALSE),0)</f>
        <v>0</v>
      </c>
      <c r="K566" s="194">
        <f>IF(_1_541284561214624104645789101745678[[#This Row],[Discount selection]]&gt;0,VLOOKUP(_1_541284561214624104645789101745678[[#This Row],[Discount selection]],'Discount Structure'!$A$2:$B$30,2,"false"),0)</f>
        <v>1</v>
      </c>
      <c r="L566" s="194">
        <f>_1_541284561214624104645789101745678[[#This Row],[LIST $]]*_1_541284561214624104645789101745678[[#This Row],[DISCOUNT]]*_1_541284561214624104645789101745678[[#This Row],[DISCOUNT 2]]</f>
        <v>0</v>
      </c>
      <c r="M566" s="194">
        <f>IF(OR(_1_541284561214624104645789101745678[[#This Row],[UNIT]]&gt;0,_1_541284561214624104645789101745678[[#This Row],[UNIT]]&lt;0),_1_541284561214624104645789101745678[[#This Row],[UNIT]]*_1_541284561214624104645789101745678[[#This Row],[COST]],0)</f>
        <v>0</v>
      </c>
      <c r="N566" s="194">
        <f t="shared" si="8"/>
        <v>1.3</v>
      </c>
      <c r="O566" s="198">
        <f>_1_541284561214624104645789101745678[[#This Row],[TOTAL]]*_1_541284561214624104645789101745678[[#This Row],[MARGIN]]</f>
        <v>0</v>
      </c>
      <c r="R566" s="41"/>
    </row>
    <row r="567" spans="1:18">
      <c r="D567" s="188"/>
      <c r="F567" s="168" t="s">
        <v>6202</v>
      </c>
      <c r="G567" s="193">
        <f>IF(_1_541284561214624104645789101745678[[#This Row],[Type]]&gt;0,VLOOKUP(_1_541284561214624104645789101745678[[#This Row],[Type]],Main[[#All],[TYPE]:[UNIT]],'Unit Price'!C$1,FALSE),0)</f>
        <v>0</v>
      </c>
      <c r="H567" s="197">
        <f>IF(_1_541284561214624104645789101745678[[#This Row],[Type]]&gt;0,VLOOKUP(_1_541284561214624104645789101745678[[#This Row],[Type]],Main[[#All],[TYPE]:[UNIT]],'Unit Price'!D$1,FALSE),0)</f>
        <v>0</v>
      </c>
      <c r="I567" s="194">
        <f>IF(_1_541284561214624104645789101745678[[#This Row],[Type]]&gt;0,VLOOKUP(_1_541284561214624104645789101745678[[#This Row],[Type]],Main[[#All],[TYPE]:[UNIT]],'Unit Price'!G$1,FALSE),0)</f>
        <v>0</v>
      </c>
      <c r="J567" s="194">
        <f>IF(_1_541284561214624104645789101745678[[#This Row],[Type]]&gt;0,VLOOKUP(_1_541284561214624104645789101745678[[#This Row],[Type]],Main[[#All],[TYPE]:[UNIT]],'Unit Price'!H$1,FALSE),0)</f>
        <v>0</v>
      </c>
      <c r="K567" s="194">
        <f>IF(_1_541284561214624104645789101745678[[#This Row],[Discount selection]]&gt;0,VLOOKUP(_1_541284561214624104645789101745678[[#This Row],[Discount selection]],'Discount Structure'!$A$2:$B$30,2,"false"),0)</f>
        <v>1</v>
      </c>
      <c r="L567" s="194">
        <f>_1_541284561214624104645789101745678[[#This Row],[LIST $]]*_1_541284561214624104645789101745678[[#This Row],[DISCOUNT]]*_1_541284561214624104645789101745678[[#This Row],[DISCOUNT 2]]</f>
        <v>0</v>
      </c>
      <c r="M567" s="194">
        <f>IF(OR(_1_541284561214624104645789101745678[[#This Row],[UNIT]]&gt;0,_1_541284561214624104645789101745678[[#This Row],[UNIT]]&lt;0),_1_541284561214624104645789101745678[[#This Row],[UNIT]]*_1_541284561214624104645789101745678[[#This Row],[COST]],0)</f>
        <v>0</v>
      </c>
      <c r="N567" s="194">
        <f t="shared" si="8"/>
        <v>1.3</v>
      </c>
      <c r="O567" s="198">
        <f>_1_541284561214624104645789101745678[[#This Row],[TOTAL]]*_1_541284561214624104645789101745678[[#This Row],[MARGIN]]</f>
        <v>0</v>
      </c>
      <c r="R567" s="41"/>
    </row>
    <row r="568" spans="1:18">
      <c r="D568" s="188"/>
      <c r="F568" s="168" t="s">
        <v>6202</v>
      </c>
      <c r="G568" s="193">
        <f>IF(_1_541284561214624104645789101745678[[#This Row],[Type]]&gt;0,VLOOKUP(_1_541284561214624104645789101745678[[#This Row],[Type]],Main[[#All],[TYPE]:[UNIT]],'Unit Price'!C$1,FALSE),0)</f>
        <v>0</v>
      </c>
      <c r="H568" s="197">
        <f>IF(_1_541284561214624104645789101745678[[#This Row],[Type]]&gt;0,VLOOKUP(_1_541284561214624104645789101745678[[#This Row],[Type]],Main[[#All],[TYPE]:[UNIT]],'Unit Price'!D$1,FALSE),0)</f>
        <v>0</v>
      </c>
      <c r="I568" s="194">
        <f>IF(_1_541284561214624104645789101745678[[#This Row],[Type]]&gt;0,VLOOKUP(_1_541284561214624104645789101745678[[#This Row],[Type]],Main[[#All],[TYPE]:[UNIT]],'Unit Price'!G$1,FALSE),0)</f>
        <v>0</v>
      </c>
      <c r="J568" s="194">
        <f>IF(_1_541284561214624104645789101745678[[#This Row],[Type]]&gt;0,VLOOKUP(_1_541284561214624104645789101745678[[#This Row],[Type]],Main[[#All],[TYPE]:[UNIT]],'Unit Price'!H$1,FALSE),0)</f>
        <v>0</v>
      </c>
      <c r="K568" s="194">
        <f>IF(_1_541284561214624104645789101745678[[#This Row],[Discount selection]]&gt;0,VLOOKUP(_1_541284561214624104645789101745678[[#This Row],[Discount selection]],'Discount Structure'!$A$2:$B$30,2,"false"),0)</f>
        <v>1</v>
      </c>
      <c r="L568" s="194">
        <f>_1_541284561214624104645789101745678[[#This Row],[LIST $]]*_1_541284561214624104645789101745678[[#This Row],[DISCOUNT]]*_1_541284561214624104645789101745678[[#This Row],[DISCOUNT 2]]</f>
        <v>0</v>
      </c>
      <c r="M568" s="194">
        <f>IF(OR(_1_541284561214624104645789101745678[[#This Row],[UNIT]]&gt;0,_1_541284561214624104645789101745678[[#This Row],[UNIT]]&lt;0),_1_541284561214624104645789101745678[[#This Row],[UNIT]]*_1_541284561214624104645789101745678[[#This Row],[COST]],0)</f>
        <v>0</v>
      </c>
      <c r="N568" s="194">
        <f t="shared" si="8"/>
        <v>1.3</v>
      </c>
      <c r="O568" s="198">
        <f>_1_541284561214624104645789101745678[[#This Row],[TOTAL]]*_1_541284561214624104645789101745678[[#This Row],[MARGIN]]</f>
        <v>0</v>
      </c>
      <c r="R568" s="41"/>
    </row>
    <row r="569" spans="1:18">
      <c r="D569" s="188"/>
      <c r="F569" s="168" t="s">
        <v>6202</v>
      </c>
      <c r="G569" s="193">
        <f>IF(_1_541284561214624104645789101745678[[#This Row],[Type]]&gt;0,VLOOKUP(_1_541284561214624104645789101745678[[#This Row],[Type]],Main[[#All],[TYPE]:[UNIT]],'Unit Price'!C$1,FALSE),0)</f>
        <v>0</v>
      </c>
      <c r="H569" s="197">
        <f>IF(_1_541284561214624104645789101745678[[#This Row],[Type]]&gt;0,VLOOKUP(_1_541284561214624104645789101745678[[#This Row],[Type]],Main[[#All],[TYPE]:[UNIT]],'Unit Price'!D$1,FALSE),0)</f>
        <v>0</v>
      </c>
      <c r="I569" s="194">
        <f>IF(_1_541284561214624104645789101745678[[#This Row],[Type]]&gt;0,VLOOKUP(_1_541284561214624104645789101745678[[#This Row],[Type]],Main[[#All],[TYPE]:[UNIT]],'Unit Price'!G$1,FALSE),0)</f>
        <v>0</v>
      </c>
      <c r="J569" s="194">
        <f>IF(_1_541284561214624104645789101745678[[#This Row],[Type]]&gt;0,VLOOKUP(_1_541284561214624104645789101745678[[#This Row],[Type]],Main[[#All],[TYPE]:[UNIT]],'Unit Price'!H$1,FALSE),0)</f>
        <v>0</v>
      </c>
      <c r="K569" s="194">
        <f>IF(_1_541284561214624104645789101745678[[#This Row],[Discount selection]]&gt;0,VLOOKUP(_1_541284561214624104645789101745678[[#This Row],[Discount selection]],'Discount Structure'!$A$2:$B$30,2,"false"),0)</f>
        <v>1</v>
      </c>
      <c r="L569" s="194">
        <f>_1_541284561214624104645789101745678[[#This Row],[LIST $]]*_1_541284561214624104645789101745678[[#This Row],[DISCOUNT]]*_1_541284561214624104645789101745678[[#This Row],[DISCOUNT 2]]</f>
        <v>0</v>
      </c>
      <c r="M569" s="194">
        <f>IF(OR(_1_541284561214624104645789101745678[[#This Row],[UNIT]]&gt;0,_1_541284561214624104645789101745678[[#This Row],[UNIT]]&lt;0),_1_541284561214624104645789101745678[[#This Row],[UNIT]]*_1_541284561214624104645789101745678[[#This Row],[COST]],0)</f>
        <v>0</v>
      </c>
      <c r="N569" s="194">
        <f t="shared" si="8"/>
        <v>1.3</v>
      </c>
      <c r="O569" s="198">
        <f>_1_541284561214624104645789101745678[[#This Row],[TOTAL]]*_1_541284561214624104645789101745678[[#This Row],[MARGIN]]</f>
        <v>0</v>
      </c>
      <c r="R569" s="41"/>
    </row>
    <row r="570" spans="1:18">
      <c r="D570" s="188"/>
      <c r="F570" s="168" t="s">
        <v>6202</v>
      </c>
      <c r="G570" s="193">
        <f>IF(_1_541284561214624104645789101745678[[#This Row],[Type]]&gt;0,VLOOKUP(_1_541284561214624104645789101745678[[#This Row],[Type]],Main[[#All],[TYPE]:[UNIT]],'Unit Price'!C$1,FALSE),0)</f>
        <v>0</v>
      </c>
      <c r="H570" s="197">
        <f>IF(_1_541284561214624104645789101745678[[#This Row],[Type]]&gt;0,VLOOKUP(_1_541284561214624104645789101745678[[#This Row],[Type]],Main[[#All],[TYPE]:[UNIT]],'Unit Price'!D$1,FALSE),0)</f>
        <v>0</v>
      </c>
      <c r="I570" s="194">
        <f>IF(_1_541284561214624104645789101745678[[#This Row],[Type]]&gt;0,VLOOKUP(_1_541284561214624104645789101745678[[#This Row],[Type]],Main[[#All],[TYPE]:[UNIT]],'Unit Price'!G$1,FALSE),0)</f>
        <v>0</v>
      </c>
      <c r="J570" s="194">
        <f>IF(_1_541284561214624104645789101745678[[#This Row],[Type]]&gt;0,VLOOKUP(_1_541284561214624104645789101745678[[#This Row],[Type]],Main[[#All],[TYPE]:[UNIT]],'Unit Price'!H$1,FALSE),0)</f>
        <v>0</v>
      </c>
      <c r="K570" s="194">
        <f>IF(_1_541284561214624104645789101745678[[#This Row],[Discount selection]]&gt;0,VLOOKUP(_1_541284561214624104645789101745678[[#This Row],[Discount selection]],'Discount Structure'!$A$2:$B$30,2,"false"),0)</f>
        <v>1</v>
      </c>
      <c r="L570" s="194">
        <f>_1_541284561214624104645789101745678[[#This Row],[LIST $]]*_1_541284561214624104645789101745678[[#This Row],[DISCOUNT]]*_1_541284561214624104645789101745678[[#This Row],[DISCOUNT 2]]</f>
        <v>0</v>
      </c>
      <c r="M570" s="194">
        <f>IF(OR(_1_541284561214624104645789101745678[[#This Row],[UNIT]]&gt;0,_1_541284561214624104645789101745678[[#This Row],[UNIT]]&lt;0),_1_541284561214624104645789101745678[[#This Row],[UNIT]]*_1_541284561214624104645789101745678[[#This Row],[COST]],0)</f>
        <v>0</v>
      </c>
      <c r="N570" s="194">
        <f t="shared" si="8"/>
        <v>1.3</v>
      </c>
      <c r="O570" s="198">
        <f>_1_541284561214624104645789101745678[[#This Row],[TOTAL]]*_1_541284561214624104645789101745678[[#This Row],[MARGIN]]</f>
        <v>0</v>
      </c>
      <c r="R570" s="41"/>
    </row>
    <row r="571" spans="1:18">
      <c r="D571" s="188"/>
      <c r="F571" s="168" t="s">
        <v>6202</v>
      </c>
      <c r="G571" s="193">
        <f>IF(_1_541284561214624104645789101745678[[#This Row],[Type]]&gt;0,VLOOKUP(_1_541284561214624104645789101745678[[#This Row],[Type]],Main[[#All],[TYPE]:[UNIT]],'Unit Price'!C$1,FALSE),0)</f>
        <v>0</v>
      </c>
      <c r="H571" s="197">
        <f>IF(_1_541284561214624104645789101745678[[#This Row],[Type]]&gt;0,VLOOKUP(_1_541284561214624104645789101745678[[#This Row],[Type]],Main[[#All],[TYPE]:[UNIT]],'Unit Price'!D$1,FALSE),0)</f>
        <v>0</v>
      </c>
      <c r="I571" s="194">
        <f>IF(_1_541284561214624104645789101745678[[#This Row],[Type]]&gt;0,VLOOKUP(_1_541284561214624104645789101745678[[#This Row],[Type]],Main[[#All],[TYPE]:[UNIT]],'Unit Price'!G$1,FALSE),0)</f>
        <v>0</v>
      </c>
      <c r="J571" s="194">
        <f>IF(_1_541284561214624104645789101745678[[#This Row],[Type]]&gt;0,VLOOKUP(_1_541284561214624104645789101745678[[#This Row],[Type]],Main[[#All],[TYPE]:[UNIT]],'Unit Price'!H$1,FALSE),0)</f>
        <v>0</v>
      </c>
      <c r="K571" s="194">
        <f>IF(_1_541284561214624104645789101745678[[#This Row],[Discount selection]]&gt;0,VLOOKUP(_1_541284561214624104645789101745678[[#This Row],[Discount selection]],'Discount Structure'!$A$2:$B$30,2,"false"),0)</f>
        <v>1</v>
      </c>
      <c r="L571" s="194">
        <f>_1_541284561214624104645789101745678[[#This Row],[LIST $]]*_1_541284561214624104645789101745678[[#This Row],[DISCOUNT]]*_1_541284561214624104645789101745678[[#This Row],[DISCOUNT 2]]</f>
        <v>0</v>
      </c>
      <c r="M571" s="194">
        <f>IF(OR(_1_541284561214624104645789101745678[[#This Row],[UNIT]]&gt;0,_1_541284561214624104645789101745678[[#This Row],[UNIT]]&lt;0),_1_541284561214624104645789101745678[[#This Row],[UNIT]]*_1_541284561214624104645789101745678[[#This Row],[COST]],0)</f>
        <v>0</v>
      </c>
      <c r="N571" s="194">
        <f t="shared" si="8"/>
        <v>1.3</v>
      </c>
      <c r="O571" s="198">
        <f>_1_541284561214624104645789101745678[[#This Row],[TOTAL]]*_1_541284561214624104645789101745678[[#This Row],[MARGIN]]</f>
        <v>0</v>
      </c>
      <c r="R571" s="41"/>
    </row>
    <row r="572" spans="1:18">
      <c r="D572" s="188"/>
      <c r="F572" s="168" t="s">
        <v>6202</v>
      </c>
      <c r="G572" s="193">
        <f>IF(_1_541284561214624104645789101745678[[#This Row],[Type]]&gt;0,VLOOKUP(_1_541284561214624104645789101745678[[#This Row],[Type]],Main[[#All],[TYPE]:[UNIT]],'Unit Price'!C$1,FALSE),0)</f>
        <v>0</v>
      </c>
      <c r="H572" s="197">
        <f>IF(_1_541284561214624104645789101745678[[#This Row],[Type]]&gt;0,VLOOKUP(_1_541284561214624104645789101745678[[#This Row],[Type]],Main[[#All],[TYPE]:[UNIT]],'Unit Price'!D$1,FALSE),0)</f>
        <v>0</v>
      </c>
      <c r="I572" s="194">
        <f>IF(_1_541284561214624104645789101745678[[#This Row],[Type]]&gt;0,VLOOKUP(_1_541284561214624104645789101745678[[#This Row],[Type]],Main[[#All],[TYPE]:[UNIT]],'Unit Price'!G$1,FALSE),0)</f>
        <v>0</v>
      </c>
      <c r="J572" s="194">
        <f>IF(_1_541284561214624104645789101745678[[#This Row],[Type]]&gt;0,VLOOKUP(_1_541284561214624104645789101745678[[#This Row],[Type]],Main[[#All],[TYPE]:[UNIT]],'Unit Price'!H$1,FALSE),0)</f>
        <v>0</v>
      </c>
      <c r="K572" s="194">
        <f>IF(_1_541284561214624104645789101745678[[#This Row],[Discount selection]]&gt;0,VLOOKUP(_1_541284561214624104645789101745678[[#This Row],[Discount selection]],'Discount Structure'!$A$2:$B$30,2,"false"),0)</f>
        <v>1</v>
      </c>
      <c r="L572" s="194">
        <f>_1_541284561214624104645789101745678[[#This Row],[LIST $]]*_1_541284561214624104645789101745678[[#This Row],[DISCOUNT]]*_1_541284561214624104645789101745678[[#This Row],[DISCOUNT 2]]</f>
        <v>0</v>
      </c>
      <c r="M572" s="194">
        <f>IF(OR(_1_541284561214624104645789101745678[[#This Row],[UNIT]]&gt;0,_1_541284561214624104645789101745678[[#This Row],[UNIT]]&lt;0),_1_541284561214624104645789101745678[[#This Row],[UNIT]]*_1_541284561214624104645789101745678[[#This Row],[COST]],0)</f>
        <v>0</v>
      </c>
      <c r="N572" s="194">
        <f t="shared" si="8"/>
        <v>1.3</v>
      </c>
      <c r="O572" s="198">
        <f>_1_541284561214624104645789101745678[[#This Row],[TOTAL]]*_1_541284561214624104645789101745678[[#This Row],[MARGIN]]</f>
        <v>0</v>
      </c>
      <c r="R572" s="41"/>
    </row>
    <row r="573" spans="1:18">
      <c r="D573" s="188"/>
      <c r="F573" s="168" t="s">
        <v>6202</v>
      </c>
      <c r="G573" s="193">
        <f>IF(_1_541284561214624104645789101745678[[#This Row],[Type]]&gt;0,VLOOKUP(_1_541284561214624104645789101745678[[#This Row],[Type]],Main[[#All],[TYPE]:[UNIT]],'Unit Price'!C$1,FALSE),0)</f>
        <v>0</v>
      </c>
      <c r="H573" s="197">
        <f>IF(_1_541284561214624104645789101745678[[#This Row],[Type]]&gt;0,VLOOKUP(_1_541284561214624104645789101745678[[#This Row],[Type]],Main[[#All],[TYPE]:[UNIT]],'Unit Price'!D$1,FALSE),0)</f>
        <v>0</v>
      </c>
      <c r="I573" s="194">
        <f>IF(_1_541284561214624104645789101745678[[#This Row],[Type]]&gt;0,VLOOKUP(_1_541284561214624104645789101745678[[#This Row],[Type]],Main[[#All],[TYPE]:[UNIT]],'Unit Price'!G$1,FALSE),0)</f>
        <v>0</v>
      </c>
      <c r="J573" s="194">
        <f>IF(_1_541284561214624104645789101745678[[#This Row],[Type]]&gt;0,VLOOKUP(_1_541284561214624104645789101745678[[#This Row],[Type]],Main[[#All],[TYPE]:[UNIT]],'Unit Price'!H$1,FALSE),0)</f>
        <v>0</v>
      </c>
      <c r="K573" s="194">
        <f>IF(_1_541284561214624104645789101745678[[#This Row],[Discount selection]]&gt;0,VLOOKUP(_1_541284561214624104645789101745678[[#This Row],[Discount selection]],'Discount Structure'!$A$2:$B$30,2,"false"),0)</f>
        <v>1</v>
      </c>
      <c r="L573" s="194">
        <f>_1_541284561214624104645789101745678[[#This Row],[LIST $]]*_1_541284561214624104645789101745678[[#This Row],[DISCOUNT]]*_1_541284561214624104645789101745678[[#This Row],[DISCOUNT 2]]</f>
        <v>0</v>
      </c>
      <c r="M573" s="194">
        <f>IF(OR(_1_541284561214624104645789101745678[[#This Row],[UNIT]]&gt;0,_1_541284561214624104645789101745678[[#This Row],[UNIT]]&lt;0),_1_541284561214624104645789101745678[[#This Row],[UNIT]]*_1_541284561214624104645789101745678[[#This Row],[COST]],0)</f>
        <v>0</v>
      </c>
      <c r="N573" s="194">
        <f t="shared" si="8"/>
        <v>1.3</v>
      </c>
      <c r="O573" s="198">
        <f>_1_541284561214624104645789101745678[[#This Row],[TOTAL]]*_1_541284561214624104645789101745678[[#This Row],[MARGIN]]</f>
        <v>0</v>
      </c>
      <c r="R573" s="41"/>
    </row>
    <row r="574" spans="1:18">
      <c r="A574" s="168"/>
      <c r="D574" s="188"/>
      <c r="F574" s="168" t="s">
        <v>6202</v>
      </c>
      <c r="G574" s="193">
        <f>IF(_1_541284561214624104645789101745678[[#This Row],[Type]]&gt;0,VLOOKUP(_1_541284561214624104645789101745678[[#This Row],[Type]],Main[[#All],[TYPE]:[UNIT]],'Unit Price'!C$1,FALSE),0)</f>
        <v>0</v>
      </c>
      <c r="H574" s="197">
        <f>IF(_1_541284561214624104645789101745678[[#This Row],[Type]]&gt;0,VLOOKUP(_1_541284561214624104645789101745678[[#This Row],[Type]],Main[[#All],[TYPE]:[UNIT]],'Unit Price'!D$1,FALSE),0)</f>
        <v>0</v>
      </c>
      <c r="I574" s="194">
        <f>IF(_1_541284561214624104645789101745678[[#This Row],[Type]]&gt;0,VLOOKUP(_1_541284561214624104645789101745678[[#This Row],[Type]],Main[[#All],[TYPE]:[UNIT]],'Unit Price'!G$1,FALSE),0)</f>
        <v>0</v>
      </c>
      <c r="J574" s="194">
        <f>IF(_1_541284561214624104645789101745678[[#This Row],[Type]]&gt;0,VLOOKUP(_1_541284561214624104645789101745678[[#This Row],[Type]],Main[[#All],[TYPE]:[UNIT]],'Unit Price'!H$1,FALSE),0)</f>
        <v>0</v>
      </c>
      <c r="K574" s="194">
        <f>IF(_1_541284561214624104645789101745678[[#This Row],[Discount selection]]&gt;0,VLOOKUP(_1_541284561214624104645789101745678[[#This Row],[Discount selection]],'Discount Structure'!$A$2:$B$30,2,"false"),0)</f>
        <v>1</v>
      </c>
      <c r="L574" s="194">
        <f>_1_541284561214624104645789101745678[[#This Row],[LIST $]]*_1_541284561214624104645789101745678[[#This Row],[DISCOUNT]]*_1_541284561214624104645789101745678[[#This Row],[DISCOUNT 2]]</f>
        <v>0</v>
      </c>
      <c r="M574" s="194">
        <f>IF(OR(_1_541284561214624104645789101745678[[#This Row],[UNIT]]&gt;0,_1_541284561214624104645789101745678[[#This Row],[UNIT]]&lt;0),_1_541284561214624104645789101745678[[#This Row],[UNIT]]*_1_541284561214624104645789101745678[[#This Row],[COST]],0)</f>
        <v>0</v>
      </c>
      <c r="N574" s="194">
        <f t="shared" si="8"/>
        <v>1.3</v>
      </c>
      <c r="O574" s="198">
        <f>_1_541284561214624104645789101745678[[#This Row],[TOTAL]]*_1_541284561214624104645789101745678[[#This Row],[MARGIN]]</f>
        <v>0</v>
      </c>
      <c r="R574" s="41"/>
    </row>
    <row r="575" spans="1:18">
      <c r="B575" s="168"/>
      <c r="C575" s="168"/>
      <c r="D575" s="188"/>
      <c r="F575" s="168" t="s">
        <v>6202</v>
      </c>
      <c r="G575" s="193">
        <f>IF(_1_541284561214624104645789101745678[[#This Row],[Type]]&gt;0,VLOOKUP(_1_541284561214624104645789101745678[[#This Row],[Type]],Main[[#All],[TYPE]:[UNIT]],'Unit Price'!C$1,FALSE),0)</f>
        <v>0</v>
      </c>
      <c r="H575" s="197">
        <f>IF(_1_541284561214624104645789101745678[[#This Row],[Type]]&gt;0,VLOOKUP(_1_541284561214624104645789101745678[[#This Row],[Type]],Main[[#All],[TYPE]:[UNIT]],'Unit Price'!D$1,FALSE),0)</f>
        <v>0</v>
      </c>
      <c r="I575" s="194">
        <f>IF(_1_541284561214624104645789101745678[[#This Row],[Type]]&gt;0,VLOOKUP(_1_541284561214624104645789101745678[[#This Row],[Type]],Main[[#All],[TYPE]:[UNIT]],'Unit Price'!G$1,FALSE),0)</f>
        <v>0</v>
      </c>
      <c r="J575" s="194">
        <f>IF(_1_541284561214624104645789101745678[[#This Row],[Type]]&gt;0,VLOOKUP(_1_541284561214624104645789101745678[[#This Row],[Type]],Main[[#All],[TYPE]:[UNIT]],'Unit Price'!H$1,FALSE),0)</f>
        <v>0</v>
      </c>
      <c r="K575" s="194">
        <f>IF(_1_541284561214624104645789101745678[[#This Row],[Discount selection]]&gt;0,VLOOKUP(_1_541284561214624104645789101745678[[#This Row],[Discount selection]],'Discount Structure'!$A$2:$B$30,2,"false"),0)</f>
        <v>1</v>
      </c>
      <c r="L575" s="194">
        <f>_1_541284561214624104645789101745678[[#This Row],[LIST $]]*_1_541284561214624104645789101745678[[#This Row],[DISCOUNT]]*_1_541284561214624104645789101745678[[#This Row],[DISCOUNT 2]]</f>
        <v>0</v>
      </c>
      <c r="M575" s="194">
        <f>IF(OR(_1_541284561214624104645789101745678[[#This Row],[UNIT]]&gt;0,_1_541284561214624104645789101745678[[#This Row],[UNIT]]&lt;0),_1_541284561214624104645789101745678[[#This Row],[UNIT]]*_1_541284561214624104645789101745678[[#This Row],[COST]],0)</f>
        <v>0</v>
      </c>
      <c r="N575" s="194">
        <f t="shared" si="8"/>
        <v>1.3</v>
      </c>
      <c r="O575" s="198">
        <f>_1_541284561214624104645789101745678[[#This Row],[TOTAL]]*_1_541284561214624104645789101745678[[#This Row],[MARGIN]]</f>
        <v>0</v>
      </c>
      <c r="R575" s="41"/>
    </row>
    <row r="576" spans="1:18">
      <c r="D576" s="188"/>
      <c r="F576" s="168" t="s">
        <v>6202</v>
      </c>
      <c r="G576" s="193">
        <f>IF(_1_541284561214624104645789101745678[[#This Row],[Type]]&gt;0,VLOOKUP(_1_541284561214624104645789101745678[[#This Row],[Type]],Main[[#All],[TYPE]:[UNIT]],'Unit Price'!C$1,FALSE),0)</f>
        <v>0</v>
      </c>
      <c r="H576" s="197">
        <f>IF(_1_541284561214624104645789101745678[[#This Row],[Type]]&gt;0,VLOOKUP(_1_541284561214624104645789101745678[[#This Row],[Type]],Main[[#All],[TYPE]:[UNIT]],'Unit Price'!D$1,FALSE),0)</f>
        <v>0</v>
      </c>
      <c r="I576" s="194">
        <f>IF(_1_541284561214624104645789101745678[[#This Row],[Type]]&gt;0,VLOOKUP(_1_541284561214624104645789101745678[[#This Row],[Type]],Main[[#All],[TYPE]:[UNIT]],'Unit Price'!G$1,FALSE),0)</f>
        <v>0</v>
      </c>
      <c r="J576" s="194">
        <f>IF(_1_541284561214624104645789101745678[[#This Row],[Type]]&gt;0,VLOOKUP(_1_541284561214624104645789101745678[[#This Row],[Type]],Main[[#All],[TYPE]:[UNIT]],'Unit Price'!H$1,FALSE),0)</f>
        <v>0</v>
      </c>
      <c r="K576" s="194">
        <f>IF(_1_541284561214624104645789101745678[[#This Row],[Discount selection]]&gt;0,VLOOKUP(_1_541284561214624104645789101745678[[#This Row],[Discount selection]],'Discount Structure'!$A$2:$B$30,2,"false"),0)</f>
        <v>1</v>
      </c>
      <c r="L576" s="194">
        <f>_1_541284561214624104645789101745678[[#This Row],[LIST $]]*_1_541284561214624104645789101745678[[#This Row],[DISCOUNT]]*_1_541284561214624104645789101745678[[#This Row],[DISCOUNT 2]]</f>
        <v>0</v>
      </c>
      <c r="M576" s="194">
        <f>IF(OR(_1_541284561214624104645789101745678[[#This Row],[UNIT]]&gt;0,_1_541284561214624104645789101745678[[#This Row],[UNIT]]&lt;0),_1_541284561214624104645789101745678[[#This Row],[UNIT]]*_1_541284561214624104645789101745678[[#This Row],[COST]],0)</f>
        <v>0</v>
      </c>
      <c r="N576" s="194">
        <f t="shared" si="8"/>
        <v>1.3</v>
      </c>
      <c r="O576" s="198">
        <f>_1_541284561214624104645789101745678[[#This Row],[TOTAL]]*_1_541284561214624104645789101745678[[#This Row],[MARGIN]]</f>
        <v>0</v>
      </c>
      <c r="R576" s="41"/>
    </row>
    <row r="577" spans="1:18">
      <c r="D577" s="188"/>
      <c r="F577" s="168" t="s">
        <v>6202</v>
      </c>
      <c r="G577" s="193">
        <f>IF(_1_541284561214624104645789101745678[[#This Row],[Type]]&gt;0,VLOOKUP(_1_541284561214624104645789101745678[[#This Row],[Type]],Main[[#All],[TYPE]:[UNIT]],'Unit Price'!C$1,FALSE),0)</f>
        <v>0</v>
      </c>
      <c r="H577" s="197">
        <f>IF(_1_541284561214624104645789101745678[[#This Row],[Type]]&gt;0,VLOOKUP(_1_541284561214624104645789101745678[[#This Row],[Type]],Main[[#All],[TYPE]:[UNIT]],'Unit Price'!D$1,FALSE),0)</f>
        <v>0</v>
      </c>
      <c r="I577" s="194">
        <f>IF(_1_541284561214624104645789101745678[[#This Row],[Type]]&gt;0,VLOOKUP(_1_541284561214624104645789101745678[[#This Row],[Type]],Main[[#All],[TYPE]:[UNIT]],'Unit Price'!G$1,FALSE),0)</f>
        <v>0</v>
      </c>
      <c r="J577" s="194">
        <f>IF(_1_541284561214624104645789101745678[[#This Row],[Type]]&gt;0,VLOOKUP(_1_541284561214624104645789101745678[[#This Row],[Type]],Main[[#All],[TYPE]:[UNIT]],'Unit Price'!H$1,FALSE),0)</f>
        <v>0</v>
      </c>
      <c r="K577" s="194">
        <f>IF(_1_541284561214624104645789101745678[[#This Row],[Discount selection]]&gt;0,VLOOKUP(_1_541284561214624104645789101745678[[#This Row],[Discount selection]],'Discount Structure'!$A$2:$B$30,2,"false"),0)</f>
        <v>1</v>
      </c>
      <c r="L577" s="194">
        <f>_1_541284561214624104645789101745678[[#This Row],[LIST $]]*_1_541284561214624104645789101745678[[#This Row],[DISCOUNT]]*_1_541284561214624104645789101745678[[#This Row],[DISCOUNT 2]]</f>
        <v>0</v>
      </c>
      <c r="M577" s="194">
        <f>IF(OR(_1_541284561214624104645789101745678[[#This Row],[UNIT]]&gt;0,_1_541284561214624104645789101745678[[#This Row],[UNIT]]&lt;0),_1_541284561214624104645789101745678[[#This Row],[UNIT]]*_1_541284561214624104645789101745678[[#This Row],[COST]],0)</f>
        <v>0</v>
      </c>
      <c r="N577" s="194">
        <f t="shared" si="8"/>
        <v>1.3</v>
      </c>
      <c r="O577" s="198">
        <f>_1_541284561214624104645789101745678[[#This Row],[TOTAL]]*_1_541284561214624104645789101745678[[#This Row],[MARGIN]]</f>
        <v>0</v>
      </c>
      <c r="R577" s="41"/>
    </row>
    <row r="578" spans="1:18">
      <c r="D578" s="188"/>
      <c r="F578" s="168" t="s">
        <v>6202</v>
      </c>
      <c r="G578" s="193">
        <f>IF(_1_541284561214624104645789101745678[[#This Row],[Type]]&gt;0,VLOOKUP(_1_541284561214624104645789101745678[[#This Row],[Type]],Main[[#All],[TYPE]:[UNIT]],'Unit Price'!C$1,FALSE),0)</f>
        <v>0</v>
      </c>
      <c r="H578" s="197">
        <f>IF(_1_541284561214624104645789101745678[[#This Row],[Type]]&gt;0,VLOOKUP(_1_541284561214624104645789101745678[[#This Row],[Type]],Main[[#All],[TYPE]:[UNIT]],'Unit Price'!D$1,FALSE),0)</f>
        <v>0</v>
      </c>
      <c r="I578" s="194">
        <f>IF(_1_541284561214624104645789101745678[[#This Row],[Type]]&gt;0,VLOOKUP(_1_541284561214624104645789101745678[[#This Row],[Type]],Main[[#All],[TYPE]:[UNIT]],'Unit Price'!G$1,FALSE),0)</f>
        <v>0</v>
      </c>
      <c r="J578" s="194">
        <f>IF(_1_541284561214624104645789101745678[[#This Row],[Type]]&gt;0,VLOOKUP(_1_541284561214624104645789101745678[[#This Row],[Type]],Main[[#All],[TYPE]:[UNIT]],'Unit Price'!H$1,FALSE),0)</f>
        <v>0</v>
      </c>
      <c r="K578" s="194">
        <f>IF(_1_541284561214624104645789101745678[[#This Row],[Discount selection]]&gt;0,VLOOKUP(_1_541284561214624104645789101745678[[#This Row],[Discount selection]],'Discount Structure'!$A$2:$B$30,2,"false"),0)</f>
        <v>1</v>
      </c>
      <c r="L578" s="194">
        <f>_1_541284561214624104645789101745678[[#This Row],[LIST $]]*_1_541284561214624104645789101745678[[#This Row],[DISCOUNT]]*_1_541284561214624104645789101745678[[#This Row],[DISCOUNT 2]]</f>
        <v>0</v>
      </c>
      <c r="M578" s="194">
        <f>IF(OR(_1_541284561214624104645789101745678[[#This Row],[UNIT]]&gt;0,_1_541284561214624104645789101745678[[#This Row],[UNIT]]&lt;0),_1_541284561214624104645789101745678[[#This Row],[UNIT]]*_1_541284561214624104645789101745678[[#This Row],[COST]],0)</f>
        <v>0</v>
      </c>
      <c r="N578" s="194">
        <f t="shared" si="8"/>
        <v>1.3</v>
      </c>
      <c r="O578" s="198">
        <f>_1_541284561214624104645789101745678[[#This Row],[TOTAL]]*_1_541284561214624104645789101745678[[#This Row],[MARGIN]]</f>
        <v>0</v>
      </c>
      <c r="R578" s="41"/>
    </row>
    <row r="579" spans="1:18">
      <c r="D579" s="188"/>
      <c r="F579" s="168" t="s">
        <v>6202</v>
      </c>
      <c r="G579" s="193">
        <f>IF(_1_541284561214624104645789101745678[[#This Row],[Type]]&gt;0,VLOOKUP(_1_541284561214624104645789101745678[[#This Row],[Type]],Main[[#All],[TYPE]:[UNIT]],'Unit Price'!C$1,FALSE),0)</f>
        <v>0</v>
      </c>
      <c r="H579" s="197">
        <f>IF(_1_541284561214624104645789101745678[[#This Row],[Type]]&gt;0,VLOOKUP(_1_541284561214624104645789101745678[[#This Row],[Type]],Main[[#All],[TYPE]:[UNIT]],'Unit Price'!D$1,FALSE),0)</f>
        <v>0</v>
      </c>
      <c r="I579" s="194">
        <f>IF(_1_541284561214624104645789101745678[[#This Row],[Type]]&gt;0,VLOOKUP(_1_541284561214624104645789101745678[[#This Row],[Type]],Main[[#All],[TYPE]:[UNIT]],'Unit Price'!G$1,FALSE),0)</f>
        <v>0</v>
      </c>
      <c r="J579" s="194">
        <f>IF(_1_541284561214624104645789101745678[[#This Row],[Type]]&gt;0,VLOOKUP(_1_541284561214624104645789101745678[[#This Row],[Type]],Main[[#All],[TYPE]:[UNIT]],'Unit Price'!H$1,FALSE),0)</f>
        <v>0</v>
      </c>
      <c r="K579" s="194">
        <f>IF(_1_541284561214624104645789101745678[[#This Row],[Discount selection]]&gt;0,VLOOKUP(_1_541284561214624104645789101745678[[#This Row],[Discount selection]],'Discount Structure'!$A$2:$B$30,2,"false"),0)</f>
        <v>1</v>
      </c>
      <c r="L579" s="194">
        <f>_1_541284561214624104645789101745678[[#This Row],[LIST $]]*_1_541284561214624104645789101745678[[#This Row],[DISCOUNT]]*_1_541284561214624104645789101745678[[#This Row],[DISCOUNT 2]]</f>
        <v>0</v>
      </c>
      <c r="M579" s="194">
        <f>IF(OR(_1_541284561214624104645789101745678[[#This Row],[UNIT]]&gt;0,_1_541284561214624104645789101745678[[#This Row],[UNIT]]&lt;0),_1_541284561214624104645789101745678[[#This Row],[UNIT]]*_1_541284561214624104645789101745678[[#This Row],[COST]],0)</f>
        <v>0</v>
      </c>
      <c r="N579" s="194">
        <f t="shared" si="8"/>
        <v>1.3</v>
      </c>
      <c r="O579" s="198">
        <f>_1_541284561214624104645789101745678[[#This Row],[TOTAL]]*_1_541284561214624104645789101745678[[#This Row],[MARGIN]]</f>
        <v>0</v>
      </c>
      <c r="R579" s="41"/>
    </row>
    <row r="580" spans="1:18">
      <c r="D580" s="188"/>
      <c r="F580" s="168" t="s">
        <v>6202</v>
      </c>
      <c r="G580" s="193">
        <f>IF(_1_541284561214624104645789101745678[[#This Row],[Type]]&gt;0,VLOOKUP(_1_541284561214624104645789101745678[[#This Row],[Type]],Main[[#All],[TYPE]:[UNIT]],'Unit Price'!C$1,FALSE),0)</f>
        <v>0</v>
      </c>
      <c r="H580" s="197">
        <f>IF(_1_541284561214624104645789101745678[[#This Row],[Type]]&gt;0,VLOOKUP(_1_541284561214624104645789101745678[[#This Row],[Type]],Main[[#All],[TYPE]:[UNIT]],'Unit Price'!D$1,FALSE),0)</f>
        <v>0</v>
      </c>
      <c r="I580" s="194">
        <f>IF(_1_541284561214624104645789101745678[[#This Row],[Type]]&gt;0,VLOOKUP(_1_541284561214624104645789101745678[[#This Row],[Type]],Main[[#All],[TYPE]:[UNIT]],'Unit Price'!G$1,FALSE),0)</f>
        <v>0</v>
      </c>
      <c r="J580" s="194">
        <f>IF(_1_541284561214624104645789101745678[[#This Row],[Type]]&gt;0,VLOOKUP(_1_541284561214624104645789101745678[[#This Row],[Type]],Main[[#All],[TYPE]:[UNIT]],'Unit Price'!H$1,FALSE),0)</f>
        <v>0</v>
      </c>
      <c r="K580" s="194">
        <f>IF(_1_541284561214624104645789101745678[[#This Row],[Discount selection]]&gt;0,VLOOKUP(_1_541284561214624104645789101745678[[#This Row],[Discount selection]],'Discount Structure'!$A$2:$B$30,2,"false"),0)</f>
        <v>1</v>
      </c>
      <c r="L580" s="194">
        <f>_1_541284561214624104645789101745678[[#This Row],[LIST $]]*_1_541284561214624104645789101745678[[#This Row],[DISCOUNT]]*_1_541284561214624104645789101745678[[#This Row],[DISCOUNT 2]]</f>
        <v>0</v>
      </c>
      <c r="M580" s="194">
        <f>IF(OR(_1_541284561214624104645789101745678[[#This Row],[UNIT]]&gt;0,_1_541284561214624104645789101745678[[#This Row],[UNIT]]&lt;0),_1_541284561214624104645789101745678[[#This Row],[UNIT]]*_1_541284561214624104645789101745678[[#This Row],[COST]],0)</f>
        <v>0</v>
      </c>
      <c r="N580" s="194">
        <f t="shared" si="8"/>
        <v>1.3</v>
      </c>
      <c r="O580" s="198">
        <f>_1_541284561214624104645789101745678[[#This Row],[TOTAL]]*_1_541284561214624104645789101745678[[#This Row],[MARGIN]]</f>
        <v>0</v>
      </c>
      <c r="R580" s="41"/>
    </row>
    <row r="581" spans="1:18">
      <c r="A581" s="168"/>
      <c r="D581" s="188"/>
      <c r="F581" s="168" t="s">
        <v>6202</v>
      </c>
      <c r="G581" s="193">
        <f>IF(_1_541284561214624104645789101745678[[#This Row],[Type]]&gt;0,VLOOKUP(_1_541284561214624104645789101745678[[#This Row],[Type]],Main[[#All],[TYPE]:[UNIT]],'Unit Price'!C$1,FALSE),0)</f>
        <v>0</v>
      </c>
      <c r="H581" s="197">
        <f>IF(_1_541284561214624104645789101745678[[#This Row],[Type]]&gt;0,VLOOKUP(_1_541284561214624104645789101745678[[#This Row],[Type]],Main[[#All],[TYPE]:[UNIT]],'Unit Price'!D$1,FALSE),0)</f>
        <v>0</v>
      </c>
      <c r="I581" s="194">
        <f>IF(_1_541284561214624104645789101745678[[#This Row],[Type]]&gt;0,VLOOKUP(_1_541284561214624104645789101745678[[#This Row],[Type]],Main[[#All],[TYPE]:[UNIT]],'Unit Price'!G$1,FALSE),0)</f>
        <v>0</v>
      </c>
      <c r="J581" s="194">
        <f>IF(_1_541284561214624104645789101745678[[#This Row],[Type]]&gt;0,VLOOKUP(_1_541284561214624104645789101745678[[#This Row],[Type]],Main[[#All],[TYPE]:[UNIT]],'Unit Price'!H$1,FALSE),0)</f>
        <v>0</v>
      </c>
      <c r="K581" s="194">
        <f>IF(_1_541284561214624104645789101745678[[#This Row],[Discount selection]]&gt;0,VLOOKUP(_1_541284561214624104645789101745678[[#This Row],[Discount selection]],'Discount Structure'!$A$2:$B$30,2,"false"),0)</f>
        <v>1</v>
      </c>
      <c r="L581" s="194">
        <f>_1_541284561214624104645789101745678[[#This Row],[LIST $]]*_1_541284561214624104645789101745678[[#This Row],[DISCOUNT]]*_1_541284561214624104645789101745678[[#This Row],[DISCOUNT 2]]</f>
        <v>0</v>
      </c>
      <c r="M581" s="194">
        <f>IF(OR(_1_541284561214624104645789101745678[[#This Row],[UNIT]]&gt;0,_1_541284561214624104645789101745678[[#This Row],[UNIT]]&lt;0),_1_541284561214624104645789101745678[[#This Row],[UNIT]]*_1_541284561214624104645789101745678[[#This Row],[COST]],0)</f>
        <v>0</v>
      </c>
      <c r="N581" s="194">
        <f t="shared" si="8"/>
        <v>1.3</v>
      </c>
      <c r="O581" s="198">
        <f>_1_541284561214624104645789101745678[[#This Row],[TOTAL]]*_1_541284561214624104645789101745678[[#This Row],[MARGIN]]</f>
        <v>0</v>
      </c>
      <c r="R581" s="41"/>
    </row>
    <row r="582" spans="1:18">
      <c r="D582" s="188"/>
      <c r="F582" s="168" t="s">
        <v>6202</v>
      </c>
      <c r="G582" s="193">
        <f>IF(_1_541284561214624104645789101745678[[#This Row],[Type]]&gt;0,VLOOKUP(_1_541284561214624104645789101745678[[#This Row],[Type]],Main[[#All],[TYPE]:[UNIT]],'Unit Price'!C$1,FALSE),0)</f>
        <v>0</v>
      </c>
      <c r="H582" s="197">
        <f>IF(_1_541284561214624104645789101745678[[#This Row],[Type]]&gt;0,VLOOKUP(_1_541284561214624104645789101745678[[#This Row],[Type]],Main[[#All],[TYPE]:[UNIT]],'Unit Price'!D$1,FALSE),0)</f>
        <v>0</v>
      </c>
      <c r="I582" s="194">
        <f>IF(_1_541284561214624104645789101745678[[#This Row],[Type]]&gt;0,VLOOKUP(_1_541284561214624104645789101745678[[#This Row],[Type]],Main[[#All],[TYPE]:[UNIT]],'Unit Price'!G$1,FALSE),0)</f>
        <v>0</v>
      </c>
      <c r="J582" s="194">
        <f>IF(_1_541284561214624104645789101745678[[#This Row],[Type]]&gt;0,VLOOKUP(_1_541284561214624104645789101745678[[#This Row],[Type]],Main[[#All],[TYPE]:[UNIT]],'Unit Price'!H$1,FALSE),0)</f>
        <v>0</v>
      </c>
      <c r="K582" s="194">
        <f>IF(_1_541284561214624104645789101745678[[#This Row],[Discount selection]]&gt;0,VLOOKUP(_1_541284561214624104645789101745678[[#This Row],[Discount selection]],'Discount Structure'!$A$2:$B$30,2,"false"),0)</f>
        <v>1</v>
      </c>
      <c r="L582" s="194">
        <f>_1_541284561214624104645789101745678[[#This Row],[LIST $]]*_1_541284561214624104645789101745678[[#This Row],[DISCOUNT]]*_1_541284561214624104645789101745678[[#This Row],[DISCOUNT 2]]</f>
        <v>0</v>
      </c>
      <c r="M582" s="194">
        <f>IF(OR(_1_541284561214624104645789101745678[[#This Row],[UNIT]]&gt;0,_1_541284561214624104645789101745678[[#This Row],[UNIT]]&lt;0),_1_541284561214624104645789101745678[[#This Row],[UNIT]]*_1_541284561214624104645789101745678[[#This Row],[COST]],0)</f>
        <v>0</v>
      </c>
      <c r="N582" s="194">
        <f t="shared" si="8"/>
        <v>1.3</v>
      </c>
      <c r="O582" s="198">
        <f>_1_541284561214624104645789101745678[[#This Row],[TOTAL]]*_1_541284561214624104645789101745678[[#This Row],[MARGIN]]</f>
        <v>0</v>
      </c>
      <c r="R582" s="41"/>
    </row>
    <row r="583" spans="1:18">
      <c r="D583" s="188"/>
      <c r="F583" s="168" t="s">
        <v>6202</v>
      </c>
      <c r="G583" s="193">
        <f>IF(_1_541284561214624104645789101745678[[#This Row],[Type]]&gt;0,VLOOKUP(_1_541284561214624104645789101745678[[#This Row],[Type]],Main[[#All],[TYPE]:[UNIT]],'Unit Price'!C$1,FALSE),0)</f>
        <v>0</v>
      </c>
      <c r="H583" s="197">
        <f>IF(_1_541284561214624104645789101745678[[#This Row],[Type]]&gt;0,VLOOKUP(_1_541284561214624104645789101745678[[#This Row],[Type]],Main[[#All],[TYPE]:[UNIT]],'Unit Price'!D$1,FALSE),0)</f>
        <v>0</v>
      </c>
      <c r="I583" s="194">
        <f>IF(_1_541284561214624104645789101745678[[#This Row],[Type]]&gt;0,VLOOKUP(_1_541284561214624104645789101745678[[#This Row],[Type]],Main[[#All],[TYPE]:[UNIT]],'Unit Price'!G$1,FALSE),0)</f>
        <v>0</v>
      </c>
      <c r="J583" s="194">
        <f>IF(_1_541284561214624104645789101745678[[#This Row],[Type]]&gt;0,VLOOKUP(_1_541284561214624104645789101745678[[#This Row],[Type]],Main[[#All],[TYPE]:[UNIT]],'Unit Price'!H$1,FALSE),0)</f>
        <v>0</v>
      </c>
      <c r="K583" s="194">
        <f>IF(_1_541284561214624104645789101745678[[#This Row],[Discount selection]]&gt;0,VLOOKUP(_1_541284561214624104645789101745678[[#This Row],[Discount selection]],'Discount Structure'!$A$2:$B$30,2,"false"),0)</f>
        <v>1</v>
      </c>
      <c r="L583" s="194">
        <f>_1_541284561214624104645789101745678[[#This Row],[LIST $]]*_1_541284561214624104645789101745678[[#This Row],[DISCOUNT]]*_1_541284561214624104645789101745678[[#This Row],[DISCOUNT 2]]</f>
        <v>0</v>
      </c>
      <c r="M583" s="194">
        <f>IF(OR(_1_541284561214624104645789101745678[[#This Row],[UNIT]]&gt;0,_1_541284561214624104645789101745678[[#This Row],[UNIT]]&lt;0),_1_541284561214624104645789101745678[[#This Row],[UNIT]]*_1_541284561214624104645789101745678[[#This Row],[COST]],0)</f>
        <v>0</v>
      </c>
      <c r="N583" s="194">
        <f t="shared" si="8"/>
        <v>1.3</v>
      </c>
      <c r="O583" s="198">
        <f>_1_541284561214624104645789101745678[[#This Row],[TOTAL]]*_1_541284561214624104645789101745678[[#This Row],[MARGIN]]</f>
        <v>0</v>
      </c>
      <c r="R583" s="41"/>
    </row>
    <row r="584" spans="1:18">
      <c r="D584" s="188"/>
      <c r="F584" s="168" t="s">
        <v>6202</v>
      </c>
      <c r="G584" s="193">
        <f>IF(_1_541284561214624104645789101745678[[#This Row],[Type]]&gt;0,VLOOKUP(_1_541284561214624104645789101745678[[#This Row],[Type]],Main[[#All],[TYPE]:[UNIT]],'Unit Price'!C$1,FALSE),0)</f>
        <v>0</v>
      </c>
      <c r="H584" s="197">
        <f>IF(_1_541284561214624104645789101745678[[#This Row],[Type]]&gt;0,VLOOKUP(_1_541284561214624104645789101745678[[#This Row],[Type]],Main[[#All],[TYPE]:[UNIT]],'Unit Price'!D$1,FALSE),0)</f>
        <v>0</v>
      </c>
      <c r="I584" s="194">
        <f>IF(_1_541284561214624104645789101745678[[#This Row],[Type]]&gt;0,VLOOKUP(_1_541284561214624104645789101745678[[#This Row],[Type]],Main[[#All],[TYPE]:[UNIT]],'Unit Price'!G$1,FALSE),0)</f>
        <v>0</v>
      </c>
      <c r="J584" s="194">
        <f>IF(_1_541284561214624104645789101745678[[#This Row],[Type]]&gt;0,VLOOKUP(_1_541284561214624104645789101745678[[#This Row],[Type]],Main[[#All],[TYPE]:[UNIT]],'Unit Price'!H$1,FALSE),0)</f>
        <v>0</v>
      </c>
      <c r="K584" s="194">
        <f>IF(_1_541284561214624104645789101745678[[#This Row],[Discount selection]]&gt;0,VLOOKUP(_1_541284561214624104645789101745678[[#This Row],[Discount selection]],'Discount Structure'!$A$2:$B$30,2,"false"),0)</f>
        <v>1</v>
      </c>
      <c r="L584" s="194">
        <f>_1_541284561214624104645789101745678[[#This Row],[LIST $]]*_1_541284561214624104645789101745678[[#This Row],[DISCOUNT]]*_1_541284561214624104645789101745678[[#This Row],[DISCOUNT 2]]</f>
        <v>0</v>
      </c>
      <c r="M584" s="194">
        <f>IF(OR(_1_541284561214624104645789101745678[[#This Row],[UNIT]]&gt;0,_1_541284561214624104645789101745678[[#This Row],[UNIT]]&lt;0),_1_541284561214624104645789101745678[[#This Row],[UNIT]]*_1_541284561214624104645789101745678[[#This Row],[COST]],0)</f>
        <v>0</v>
      </c>
      <c r="N584" s="194">
        <f t="shared" si="8"/>
        <v>1.3</v>
      </c>
      <c r="O584" s="198">
        <f>_1_541284561214624104645789101745678[[#This Row],[TOTAL]]*_1_541284561214624104645789101745678[[#This Row],[MARGIN]]</f>
        <v>0</v>
      </c>
      <c r="R584" s="41"/>
    </row>
    <row r="585" spans="1:18">
      <c r="D585" s="188"/>
      <c r="F585" s="168" t="s">
        <v>6202</v>
      </c>
      <c r="G585" s="193">
        <f>IF(_1_541284561214624104645789101745678[[#This Row],[Type]]&gt;0,VLOOKUP(_1_541284561214624104645789101745678[[#This Row],[Type]],Main[[#All],[TYPE]:[UNIT]],'Unit Price'!C$1,FALSE),0)</f>
        <v>0</v>
      </c>
      <c r="H585" s="197">
        <f>IF(_1_541284561214624104645789101745678[[#This Row],[Type]]&gt;0,VLOOKUP(_1_541284561214624104645789101745678[[#This Row],[Type]],Main[[#All],[TYPE]:[UNIT]],'Unit Price'!D$1,FALSE),0)</f>
        <v>0</v>
      </c>
      <c r="I585" s="194">
        <f>IF(_1_541284561214624104645789101745678[[#This Row],[Type]]&gt;0,VLOOKUP(_1_541284561214624104645789101745678[[#This Row],[Type]],Main[[#All],[TYPE]:[UNIT]],'Unit Price'!G$1,FALSE),0)</f>
        <v>0</v>
      </c>
      <c r="J585" s="194">
        <f>IF(_1_541284561214624104645789101745678[[#This Row],[Type]]&gt;0,VLOOKUP(_1_541284561214624104645789101745678[[#This Row],[Type]],Main[[#All],[TYPE]:[UNIT]],'Unit Price'!H$1,FALSE),0)</f>
        <v>0</v>
      </c>
      <c r="K585" s="194">
        <f>IF(_1_541284561214624104645789101745678[[#This Row],[Discount selection]]&gt;0,VLOOKUP(_1_541284561214624104645789101745678[[#This Row],[Discount selection]],'Discount Structure'!$A$2:$B$30,2,"false"),0)</f>
        <v>1</v>
      </c>
      <c r="L585" s="194">
        <f>_1_541284561214624104645789101745678[[#This Row],[LIST $]]*_1_541284561214624104645789101745678[[#This Row],[DISCOUNT]]*_1_541284561214624104645789101745678[[#This Row],[DISCOUNT 2]]</f>
        <v>0</v>
      </c>
      <c r="M585" s="194">
        <f>IF(OR(_1_541284561214624104645789101745678[[#This Row],[UNIT]]&gt;0,_1_541284561214624104645789101745678[[#This Row],[UNIT]]&lt;0),_1_541284561214624104645789101745678[[#This Row],[UNIT]]*_1_541284561214624104645789101745678[[#This Row],[COST]],0)</f>
        <v>0</v>
      </c>
      <c r="N585" s="194">
        <f t="shared" si="8"/>
        <v>1.3</v>
      </c>
      <c r="O585" s="198">
        <f>_1_541284561214624104645789101745678[[#This Row],[TOTAL]]*_1_541284561214624104645789101745678[[#This Row],[MARGIN]]</f>
        <v>0</v>
      </c>
      <c r="R585" s="41"/>
    </row>
    <row r="586" spans="1:18">
      <c r="D586" s="188"/>
      <c r="F586" s="168" t="s">
        <v>6202</v>
      </c>
      <c r="G586" s="193">
        <f>IF(_1_541284561214624104645789101745678[[#This Row],[Type]]&gt;0,VLOOKUP(_1_541284561214624104645789101745678[[#This Row],[Type]],Main[[#All],[TYPE]:[UNIT]],'Unit Price'!C$1,FALSE),0)</f>
        <v>0</v>
      </c>
      <c r="H586" s="197">
        <f>IF(_1_541284561214624104645789101745678[[#This Row],[Type]]&gt;0,VLOOKUP(_1_541284561214624104645789101745678[[#This Row],[Type]],Main[[#All],[TYPE]:[UNIT]],'Unit Price'!D$1,FALSE),0)</f>
        <v>0</v>
      </c>
      <c r="I586" s="194">
        <f>IF(_1_541284561214624104645789101745678[[#This Row],[Type]]&gt;0,VLOOKUP(_1_541284561214624104645789101745678[[#This Row],[Type]],Main[[#All],[TYPE]:[UNIT]],'Unit Price'!G$1,FALSE),0)</f>
        <v>0</v>
      </c>
      <c r="J586" s="194">
        <f>IF(_1_541284561214624104645789101745678[[#This Row],[Type]]&gt;0,VLOOKUP(_1_541284561214624104645789101745678[[#This Row],[Type]],Main[[#All],[TYPE]:[UNIT]],'Unit Price'!H$1,FALSE),0)</f>
        <v>0</v>
      </c>
      <c r="K586" s="194">
        <f>IF(_1_541284561214624104645789101745678[[#This Row],[Discount selection]]&gt;0,VLOOKUP(_1_541284561214624104645789101745678[[#This Row],[Discount selection]],'Discount Structure'!$A$2:$B$30,2,"false"),0)</f>
        <v>1</v>
      </c>
      <c r="L586" s="194">
        <f>_1_541284561214624104645789101745678[[#This Row],[LIST $]]*_1_541284561214624104645789101745678[[#This Row],[DISCOUNT]]*_1_541284561214624104645789101745678[[#This Row],[DISCOUNT 2]]</f>
        <v>0</v>
      </c>
      <c r="M586" s="194">
        <f>IF(OR(_1_541284561214624104645789101745678[[#This Row],[UNIT]]&gt;0,_1_541284561214624104645789101745678[[#This Row],[UNIT]]&lt;0),_1_541284561214624104645789101745678[[#This Row],[UNIT]]*_1_541284561214624104645789101745678[[#This Row],[COST]],0)</f>
        <v>0</v>
      </c>
      <c r="N586" s="194">
        <f t="shared" ref="N586:N649" si="9">$N$7</f>
        <v>1.3</v>
      </c>
      <c r="O586" s="198">
        <f>_1_541284561214624104645789101745678[[#This Row],[TOTAL]]*_1_541284561214624104645789101745678[[#This Row],[MARGIN]]</f>
        <v>0</v>
      </c>
      <c r="R586" s="41"/>
    </row>
    <row r="587" spans="1:18">
      <c r="D587" s="188"/>
      <c r="F587" s="168" t="s">
        <v>6202</v>
      </c>
      <c r="G587" s="193">
        <f>IF(_1_541284561214624104645789101745678[[#This Row],[Type]]&gt;0,VLOOKUP(_1_541284561214624104645789101745678[[#This Row],[Type]],Main[[#All],[TYPE]:[UNIT]],'Unit Price'!C$1,FALSE),0)</f>
        <v>0</v>
      </c>
      <c r="H587" s="197">
        <f>IF(_1_541284561214624104645789101745678[[#This Row],[Type]]&gt;0,VLOOKUP(_1_541284561214624104645789101745678[[#This Row],[Type]],Main[[#All],[TYPE]:[UNIT]],'Unit Price'!D$1,FALSE),0)</f>
        <v>0</v>
      </c>
      <c r="I587" s="194">
        <f>IF(_1_541284561214624104645789101745678[[#This Row],[Type]]&gt;0,VLOOKUP(_1_541284561214624104645789101745678[[#This Row],[Type]],Main[[#All],[TYPE]:[UNIT]],'Unit Price'!G$1,FALSE),0)</f>
        <v>0</v>
      </c>
      <c r="J587" s="194">
        <f>IF(_1_541284561214624104645789101745678[[#This Row],[Type]]&gt;0,VLOOKUP(_1_541284561214624104645789101745678[[#This Row],[Type]],Main[[#All],[TYPE]:[UNIT]],'Unit Price'!H$1,FALSE),0)</f>
        <v>0</v>
      </c>
      <c r="K587" s="194">
        <f>IF(_1_541284561214624104645789101745678[[#This Row],[Discount selection]]&gt;0,VLOOKUP(_1_541284561214624104645789101745678[[#This Row],[Discount selection]],'Discount Structure'!$A$2:$B$30,2,"false"),0)</f>
        <v>1</v>
      </c>
      <c r="L587" s="194">
        <f>_1_541284561214624104645789101745678[[#This Row],[LIST $]]*_1_541284561214624104645789101745678[[#This Row],[DISCOUNT]]*_1_541284561214624104645789101745678[[#This Row],[DISCOUNT 2]]</f>
        <v>0</v>
      </c>
      <c r="M587" s="194">
        <f>IF(OR(_1_541284561214624104645789101745678[[#This Row],[UNIT]]&gt;0,_1_541284561214624104645789101745678[[#This Row],[UNIT]]&lt;0),_1_541284561214624104645789101745678[[#This Row],[UNIT]]*_1_541284561214624104645789101745678[[#This Row],[COST]],0)</f>
        <v>0</v>
      </c>
      <c r="N587" s="194">
        <f t="shared" si="9"/>
        <v>1.3</v>
      </c>
      <c r="O587" s="198">
        <f>_1_541284561214624104645789101745678[[#This Row],[TOTAL]]*_1_541284561214624104645789101745678[[#This Row],[MARGIN]]</f>
        <v>0</v>
      </c>
      <c r="R587" s="41"/>
    </row>
    <row r="588" spans="1:18">
      <c r="D588" s="188"/>
      <c r="F588" s="168" t="s">
        <v>6202</v>
      </c>
      <c r="G588" s="193">
        <f>IF(_1_541284561214624104645789101745678[[#This Row],[Type]]&gt;0,VLOOKUP(_1_541284561214624104645789101745678[[#This Row],[Type]],Main[[#All],[TYPE]:[UNIT]],'Unit Price'!C$1,FALSE),0)</f>
        <v>0</v>
      </c>
      <c r="H588" s="197">
        <f>IF(_1_541284561214624104645789101745678[[#This Row],[Type]]&gt;0,VLOOKUP(_1_541284561214624104645789101745678[[#This Row],[Type]],Main[[#All],[TYPE]:[UNIT]],'Unit Price'!D$1,FALSE),0)</f>
        <v>0</v>
      </c>
      <c r="I588" s="194">
        <f>IF(_1_541284561214624104645789101745678[[#This Row],[Type]]&gt;0,VLOOKUP(_1_541284561214624104645789101745678[[#This Row],[Type]],Main[[#All],[TYPE]:[UNIT]],'Unit Price'!G$1,FALSE),0)</f>
        <v>0</v>
      </c>
      <c r="J588" s="194">
        <f>IF(_1_541284561214624104645789101745678[[#This Row],[Type]]&gt;0,VLOOKUP(_1_541284561214624104645789101745678[[#This Row],[Type]],Main[[#All],[TYPE]:[UNIT]],'Unit Price'!H$1,FALSE),0)</f>
        <v>0</v>
      </c>
      <c r="K588" s="194">
        <f>IF(_1_541284561214624104645789101745678[[#This Row],[Discount selection]]&gt;0,VLOOKUP(_1_541284561214624104645789101745678[[#This Row],[Discount selection]],'Discount Structure'!$A$2:$B$30,2,"false"),0)</f>
        <v>1</v>
      </c>
      <c r="L588" s="194">
        <f>_1_541284561214624104645789101745678[[#This Row],[LIST $]]*_1_541284561214624104645789101745678[[#This Row],[DISCOUNT]]*_1_541284561214624104645789101745678[[#This Row],[DISCOUNT 2]]</f>
        <v>0</v>
      </c>
      <c r="M588" s="194">
        <f>IF(OR(_1_541284561214624104645789101745678[[#This Row],[UNIT]]&gt;0,_1_541284561214624104645789101745678[[#This Row],[UNIT]]&lt;0),_1_541284561214624104645789101745678[[#This Row],[UNIT]]*_1_541284561214624104645789101745678[[#This Row],[COST]],0)</f>
        <v>0</v>
      </c>
      <c r="N588" s="194">
        <f t="shared" si="9"/>
        <v>1.3</v>
      </c>
      <c r="O588" s="198">
        <f>_1_541284561214624104645789101745678[[#This Row],[TOTAL]]*_1_541284561214624104645789101745678[[#This Row],[MARGIN]]</f>
        <v>0</v>
      </c>
      <c r="R588" s="41"/>
    </row>
    <row r="589" spans="1:18">
      <c r="D589" s="188"/>
      <c r="F589" s="168" t="s">
        <v>6202</v>
      </c>
      <c r="G589" s="193">
        <f>IF(_1_541284561214624104645789101745678[[#This Row],[Type]]&gt;0,VLOOKUP(_1_541284561214624104645789101745678[[#This Row],[Type]],Main[[#All],[TYPE]:[UNIT]],'Unit Price'!C$1,FALSE),0)</f>
        <v>0</v>
      </c>
      <c r="H589" s="197">
        <f>IF(_1_541284561214624104645789101745678[[#This Row],[Type]]&gt;0,VLOOKUP(_1_541284561214624104645789101745678[[#This Row],[Type]],Main[[#All],[TYPE]:[UNIT]],'Unit Price'!D$1,FALSE),0)</f>
        <v>0</v>
      </c>
      <c r="I589" s="194">
        <f>IF(_1_541284561214624104645789101745678[[#This Row],[Type]]&gt;0,VLOOKUP(_1_541284561214624104645789101745678[[#This Row],[Type]],Main[[#All],[TYPE]:[UNIT]],'Unit Price'!G$1,FALSE),0)</f>
        <v>0</v>
      </c>
      <c r="J589" s="194">
        <f>IF(_1_541284561214624104645789101745678[[#This Row],[Type]]&gt;0,VLOOKUP(_1_541284561214624104645789101745678[[#This Row],[Type]],Main[[#All],[TYPE]:[UNIT]],'Unit Price'!H$1,FALSE),0)</f>
        <v>0</v>
      </c>
      <c r="K589" s="194">
        <f>IF(_1_541284561214624104645789101745678[[#This Row],[Discount selection]]&gt;0,VLOOKUP(_1_541284561214624104645789101745678[[#This Row],[Discount selection]],'Discount Structure'!$A$2:$B$30,2,"false"),0)</f>
        <v>1</v>
      </c>
      <c r="L589" s="194">
        <f>_1_541284561214624104645789101745678[[#This Row],[LIST $]]*_1_541284561214624104645789101745678[[#This Row],[DISCOUNT]]*_1_541284561214624104645789101745678[[#This Row],[DISCOUNT 2]]</f>
        <v>0</v>
      </c>
      <c r="M589" s="194">
        <f>IF(OR(_1_541284561214624104645789101745678[[#This Row],[UNIT]]&gt;0,_1_541284561214624104645789101745678[[#This Row],[UNIT]]&lt;0),_1_541284561214624104645789101745678[[#This Row],[UNIT]]*_1_541284561214624104645789101745678[[#This Row],[COST]],0)</f>
        <v>0</v>
      </c>
      <c r="N589" s="194">
        <f t="shared" si="9"/>
        <v>1.3</v>
      </c>
      <c r="O589" s="198">
        <f>_1_541284561214624104645789101745678[[#This Row],[TOTAL]]*_1_541284561214624104645789101745678[[#This Row],[MARGIN]]</f>
        <v>0</v>
      </c>
      <c r="R589" s="41"/>
    </row>
    <row r="590" spans="1:18">
      <c r="D590" s="188"/>
      <c r="F590" s="168" t="s">
        <v>6202</v>
      </c>
      <c r="G590" s="193">
        <f>IF(_1_541284561214624104645789101745678[[#This Row],[Type]]&gt;0,VLOOKUP(_1_541284561214624104645789101745678[[#This Row],[Type]],Main[[#All],[TYPE]:[UNIT]],'Unit Price'!C$1,FALSE),0)</f>
        <v>0</v>
      </c>
      <c r="H590" s="197">
        <f>IF(_1_541284561214624104645789101745678[[#This Row],[Type]]&gt;0,VLOOKUP(_1_541284561214624104645789101745678[[#This Row],[Type]],Main[[#All],[TYPE]:[UNIT]],'Unit Price'!D$1,FALSE),0)</f>
        <v>0</v>
      </c>
      <c r="I590" s="194">
        <f>IF(_1_541284561214624104645789101745678[[#This Row],[Type]]&gt;0,VLOOKUP(_1_541284561214624104645789101745678[[#This Row],[Type]],Main[[#All],[TYPE]:[UNIT]],'Unit Price'!G$1,FALSE),0)</f>
        <v>0</v>
      </c>
      <c r="J590" s="194">
        <f>IF(_1_541284561214624104645789101745678[[#This Row],[Type]]&gt;0,VLOOKUP(_1_541284561214624104645789101745678[[#This Row],[Type]],Main[[#All],[TYPE]:[UNIT]],'Unit Price'!H$1,FALSE),0)</f>
        <v>0</v>
      </c>
      <c r="K590" s="194">
        <f>IF(_1_541284561214624104645789101745678[[#This Row],[Discount selection]]&gt;0,VLOOKUP(_1_541284561214624104645789101745678[[#This Row],[Discount selection]],'Discount Structure'!$A$2:$B$30,2,"false"),0)</f>
        <v>1</v>
      </c>
      <c r="L590" s="194">
        <f>_1_541284561214624104645789101745678[[#This Row],[LIST $]]*_1_541284561214624104645789101745678[[#This Row],[DISCOUNT]]*_1_541284561214624104645789101745678[[#This Row],[DISCOUNT 2]]</f>
        <v>0</v>
      </c>
      <c r="M590" s="194">
        <f>IF(OR(_1_541284561214624104645789101745678[[#This Row],[UNIT]]&gt;0,_1_541284561214624104645789101745678[[#This Row],[UNIT]]&lt;0),_1_541284561214624104645789101745678[[#This Row],[UNIT]]*_1_541284561214624104645789101745678[[#This Row],[COST]],0)</f>
        <v>0</v>
      </c>
      <c r="N590" s="194">
        <f t="shared" si="9"/>
        <v>1.3</v>
      </c>
      <c r="O590" s="198">
        <f>_1_541284561214624104645789101745678[[#This Row],[TOTAL]]*_1_541284561214624104645789101745678[[#This Row],[MARGIN]]</f>
        <v>0</v>
      </c>
      <c r="R590" s="41"/>
    </row>
    <row r="591" spans="1:18">
      <c r="D591" s="188"/>
      <c r="F591" s="168" t="s">
        <v>6202</v>
      </c>
      <c r="G591" s="193">
        <f>IF(_1_541284561214624104645789101745678[[#This Row],[Type]]&gt;0,VLOOKUP(_1_541284561214624104645789101745678[[#This Row],[Type]],Main[[#All],[TYPE]:[UNIT]],'Unit Price'!C$1,FALSE),0)</f>
        <v>0</v>
      </c>
      <c r="H591" s="197">
        <f>IF(_1_541284561214624104645789101745678[[#This Row],[Type]]&gt;0,VLOOKUP(_1_541284561214624104645789101745678[[#This Row],[Type]],Main[[#All],[TYPE]:[UNIT]],'Unit Price'!D$1,FALSE),0)</f>
        <v>0</v>
      </c>
      <c r="I591" s="194">
        <f>IF(_1_541284561214624104645789101745678[[#This Row],[Type]]&gt;0,VLOOKUP(_1_541284561214624104645789101745678[[#This Row],[Type]],Main[[#All],[TYPE]:[UNIT]],'Unit Price'!G$1,FALSE),0)</f>
        <v>0</v>
      </c>
      <c r="J591" s="194">
        <f>IF(_1_541284561214624104645789101745678[[#This Row],[Type]]&gt;0,VLOOKUP(_1_541284561214624104645789101745678[[#This Row],[Type]],Main[[#All],[TYPE]:[UNIT]],'Unit Price'!H$1,FALSE),0)</f>
        <v>0</v>
      </c>
      <c r="K591" s="194">
        <f>IF(_1_541284561214624104645789101745678[[#This Row],[Discount selection]]&gt;0,VLOOKUP(_1_541284561214624104645789101745678[[#This Row],[Discount selection]],'Discount Structure'!$A$2:$B$30,2,"false"),0)</f>
        <v>1</v>
      </c>
      <c r="L591" s="194">
        <f>_1_541284561214624104645789101745678[[#This Row],[LIST $]]*_1_541284561214624104645789101745678[[#This Row],[DISCOUNT]]*_1_541284561214624104645789101745678[[#This Row],[DISCOUNT 2]]</f>
        <v>0</v>
      </c>
      <c r="M591" s="194">
        <f>IF(OR(_1_541284561214624104645789101745678[[#This Row],[UNIT]]&gt;0,_1_541284561214624104645789101745678[[#This Row],[UNIT]]&lt;0),_1_541284561214624104645789101745678[[#This Row],[UNIT]]*_1_541284561214624104645789101745678[[#This Row],[COST]],0)</f>
        <v>0</v>
      </c>
      <c r="N591" s="194">
        <f t="shared" si="9"/>
        <v>1.3</v>
      </c>
      <c r="O591" s="198">
        <f>_1_541284561214624104645789101745678[[#This Row],[TOTAL]]*_1_541284561214624104645789101745678[[#This Row],[MARGIN]]</f>
        <v>0</v>
      </c>
      <c r="R591" s="41"/>
    </row>
    <row r="592" spans="1:18">
      <c r="D592" s="188"/>
      <c r="F592" s="168" t="s">
        <v>6202</v>
      </c>
      <c r="G592" s="193">
        <f>IF(_1_541284561214624104645789101745678[[#This Row],[Type]]&gt;0,VLOOKUP(_1_541284561214624104645789101745678[[#This Row],[Type]],Main[[#All],[TYPE]:[UNIT]],'Unit Price'!C$1,FALSE),0)</f>
        <v>0</v>
      </c>
      <c r="H592" s="197">
        <f>IF(_1_541284561214624104645789101745678[[#This Row],[Type]]&gt;0,VLOOKUP(_1_541284561214624104645789101745678[[#This Row],[Type]],Main[[#All],[TYPE]:[UNIT]],'Unit Price'!D$1,FALSE),0)</f>
        <v>0</v>
      </c>
      <c r="I592" s="194">
        <f>IF(_1_541284561214624104645789101745678[[#This Row],[Type]]&gt;0,VLOOKUP(_1_541284561214624104645789101745678[[#This Row],[Type]],Main[[#All],[TYPE]:[UNIT]],'Unit Price'!G$1,FALSE),0)</f>
        <v>0</v>
      </c>
      <c r="J592" s="194">
        <f>IF(_1_541284561214624104645789101745678[[#This Row],[Type]]&gt;0,VLOOKUP(_1_541284561214624104645789101745678[[#This Row],[Type]],Main[[#All],[TYPE]:[UNIT]],'Unit Price'!H$1,FALSE),0)</f>
        <v>0</v>
      </c>
      <c r="K592" s="194">
        <f>IF(_1_541284561214624104645789101745678[[#This Row],[Discount selection]]&gt;0,VLOOKUP(_1_541284561214624104645789101745678[[#This Row],[Discount selection]],'Discount Structure'!$A$2:$B$30,2,"false"),0)</f>
        <v>1</v>
      </c>
      <c r="L592" s="194">
        <f>_1_541284561214624104645789101745678[[#This Row],[LIST $]]*_1_541284561214624104645789101745678[[#This Row],[DISCOUNT]]*_1_541284561214624104645789101745678[[#This Row],[DISCOUNT 2]]</f>
        <v>0</v>
      </c>
      <c r="M592" s="194">
        <f>IF(OR(_1_541284561214624104645789101745678[[#This Row],[UNIT]]&gt;0,_1_541284561214624104645789101745678[[#This Row],[UNIT]]&lt;0),_1_541284561214624104645789101745678[[#This Row],[UNIT]]*_1_541284561214624104645789101745678[[#This Row],[COST]],0)</f>
        <v>0</v>
      </c>
      <c r="N592" s="194">
        <f t="shared" si="9"/>
        <v>1.3</v>
      </c>
      <c r="O592" s="198">
        <f>_1_541284561214624104645789101745678[[#This Row],[TOTAL]]*_1_541284561214624104645789101745678[[#This Row],[MARGIN]]</f>
        <v>0</v>
      </c>
      <c r="R592" s="41"/>
    </row>
    <row r="593" spans="4:18">
      <c r="D593" s="188"/>
      <c r="F593" s="168" t="s">
        <v>6202</v>
      </c>
      <c r="G593" s="193">
        <f>IF(_1_541284561214624104645789101745678[[#This Row],[Type]]&gt;0,VLOOKUP(_1_541284561214624104645789101745678[[#This Row],[Type]],Main[[#All],[TYPE]:[UNIT]],'Unit Price'!C$1,FALSE),0)</f>
        <v>0</v>
      </c>
      <c r="H593" s="197">
        <f>IF(_1_541284561214624104645789101745678[[#This Row],[Type]]&gt;0,VLOOKUP(_1_541284561214624104645789101745678[[#This Row],[Type]],Main[[#All],[TYPE]:[UNIT]],'Unit Price'!D$1,FALSE),0)</f>
        <v>0</v>
      </c>
      <c r="I593" s="194">
        <f>IF(_1_541284561214624104645789101745678[[#This Row],[Type]]&gt;0,VLOOKUP(_1_541284561214624104645789101745678[[#This Row],[Type]],Main[[#All],[TYPE]:[UNIT]],'Unit Price'!G$1,FALSE),0)</f>
        <v>0</v>
      </c>
      <c r="J593" s="194">
        <f>IF(_1_541284561214624104645789101745678[[#This Row],[Type]]&gt;0,VLOOKUP(_1_541284561214624104645789101745678[[#This Row],[Type]],Main[[#All],[TYPE]:[UNIT]],'Unit Price'!H$1,FALSE),0)</f>
        <v>0</v>
      </c>
      <c r="K593" s="194">
        <f>IF(_1_541284561214624104645789101745678[[#This Row],[Discount selection]]&gt;0,VLOOKUP(_1_541284561214624104645789101745678[[#This Row],[Discount selection]],'Discount Structure'!$A$2:$B$30,2,"false"),0)</f>
        <v>1</v>
      </c>
      <c r="L593" s="194">
        <f>_1_541284561214624104645789101745678[[#This Row],[LIST $]]*_1_541284561214624104645789101745678[[#This Row],[DISCOUNT]]*_1_541284561214624104645789101745678[[#This Row],[DISCOUNT 2]]</f>
        <v>0</v>
      </c>
      <c r="M593" s="194">
        <f>IF(OR(_1_541284561214624104645789101745678[[#This Row],[UNIT]]&gt;0,_1_541284561214624104645789101745678[[#This Row],[UNIT]]&lt;0),_1_541284561214624104645789101745678[[#This Row],[UNIT]]*_1_541284561214624104645789101745678[[#This Row],[COST]],0)</f>
        <v>0</v>
      </c>
      <c r="N593" s="194">
        <f t="shared" si="9"/>
        <v>1.3</v>
      </c>
      <c r="O593" s="198">
        <f>_1_541284561214624104645789101745678[[#This Row],[TOTAL]]*_1_541284561214624104645789101745678[[#This Row],[MARGIN]]</f>
        <v>0</v>
      </c>
      <c r="R593" s="41"/>
    </row>
    <row r="594" spans="4:18">
      <c r="D594" s="188"/>
      <c r="F594" s="168" t="s">
        <v>6202</v>
      </c>
      <c r="G594" s="193">
        <f>IF(_1_541284561214624104645789101745678[[#This Row],[Type]]&gt;0,VLOOKUP(_1_541284561214624104645789101745678[[#This Row],[Type]],Main[[#All],[TYPE]:[UNIT]],'Unit Price'!C$1,FALSE),0)</f>
        <v>0</v>
      </c>
      <c r="H594" s="197">
        <f>IF(_1_541284561214624104645789101745678[[#This Row],[Type]]&gt;0,VLOOKUP(_1_541284561214624104645789101745678[[#This Row],[Type]],Main[[#All],[TYPE]:[UNIT]],'Unit Price'!D$1,FALSE),0)</f>
        <v>0</v>
      </c>
      <c r="I594" s="194">
        <f>IF(_1_541284561214624104645789101745678[[#This Row],[Type]]&gt;0,VLOOKUP(_1_541284561214624104645789101745678[[#This Row],[Type]],Main[[#All],[TYPE]:[UNIT]],'Unit Price'!G$1,FALSE),0)</f>
        <v>0</v>
      </c>
      <c r="J594" s="194">
        <f>IF(_1_541284561214624104645789101745678[[#This Row],[Type]]&gt;0,VLOOKUP(_1_541284561214624104645789101745678[[#This Row],[Type]],Main[[#All],[TYPE]:[UNIT]],'Unit Price'!H$1,FALSE),0)</f>
        <v>0</v>
      </c>
      <c r="K594" s="194">
        <f>IF(_1_541284561214624104645789101745678[[#This Row],[Discount selection]]&gt;0,VLOOKUP(_1_541284561214624104645789101745678[[#This Row],[Discount selection]],'Discount Structure'!$A$2:$B$30,2,"false"),0)</f>
        <v>1</v>
      </c>
      <c r="L594" s="194">
        <f>_1_541284561214624104645789101745678[[#This Row],[LIST $]]*_1_541284561214624104645789101745678[[#This Row],[DISCOUNT]]*_1_541284561214624104645789101745678[[#This Row],[DISCOUNT 2]]</f>
        <v>0</v>
      </c>
      <c r="M594" s="194">
        <f>IF(OR(_1_541284561214624104645789101745678[[#This Row],[UNIT]]&gt;0,_1_541284561214624104645789101745678[[#This Row],[UNIT]]&lt;0),_1_541284561214624104645789101745678[[#This Row],[UNIT]]*_1_541284561214624104645789101745678[[#This Row],[COST]],0)</f>
        <v>0</v>
      </c>
      <c r="N594" s="194">
        <f t="shared" si="9"/>
        <v>1.3</v>
      </c>
      <c r="O594" s="198">
        <f>_1_541284561214624104645789101745678[[#This Row],[TOTAL]]*_1_541284561214624104645789101745678[[#This Row],[MARGIN]]</f>
        <v>0</v>
      </c>
      <c r="R594" s="41"/>
    </row>
    <row r="595" spans="4:18">
      <c r="D595" s="188"/>
      <c r="F595" s="168" t="s">
        <v>6202</v>
      </c>
      <c r="G595" s="193">
        <f>IF(_1_541284561214624104645789101745678[[#This Row],[Type]]&gt;0,VLOOKUP(_1_541284561214624104645789101745678[[#This Row],[Type]],Main[[#All],[TYPE]:[UNIT]],'Unit Price'!C$1,FALSE),0)</f>
        <v>0</v>
      </c>
      <c r="H595" s="197">
        <f>IF(_1_541284561214624104645789101745678[[#This Row],[Type]]&gt;0,VLOOKUP(_1_541284561214624104645789101745678[[#This Row],[Type]],Main[[#All],[TYPE]:[UNIT]],'Unit Price'!D$1,FALSE),0)</f>
        <v>0</v>
      </c>
      <c r="I595" s="194">
        <f>IF(_1_541284561214624104645789101745678[[#This Row],[Type]]&gt;0,VLOOKUP(_1_541284561214624104645789101745678[[#This Row],[Type]],Main[[#All],[TYPE]:[UNIT]],'Unit Price'!G$1,FALSE),0)</f>
        <v>0</v>
      </c>
      <c r="J595" s="194">
        <f>IF(_1_541284561214624104645789101745678[[#This Row],[Type]]&gt;0,VLOOKUP(_1_541284561214624104645789101745678[[#This Row],[Type]],Main[[#All],[TYPE]:[UNIT]],'Unit Price'!H$1,FALSE),0)</f>
        <v>0</v>
      </c>
      <c r="K595" s="194">
        <f>IF(_1_541284561214624104645789101745678[[#This Row],[Discount selection]]&gt;0,VLOOKUP(_1_541284561214624104645789101745678[[#This Row],[Discount selection]],'Discount Structure'!$A$2:$B$30,2,"false"),0)</f>
        <v>1</v>
      </c>
      <c r="L595" s="194">
        <f>_1_541284561214624104645789101745678[[#This Row],[LIST $]]*_1_541284561214624104645789101745678[[#This Row],[DISCOUNT]]*_1_541284561214624104645789101745678[[#This Row],[DISCOUNT 2]]</f>
        <v>0</v>
      </c>
      <c r="M595" s="194">
        <f>IF(OR(_1_541284561214624104645789101745678[[#This Row],[UNIT]]&gt;0,_1_541284561214624104645789101745678[[#This Row],[UNIT]]&lt;0),_1_541284561214624104645789101745678[[#This Row],[UNIT]]*_1_541284561214624104645789101745678[[#This Row],[COST]],0)</f>
        <v>0</v>
      </c>
      <c r="N595" s="194">
        <f t="shared" si="9"/>
        <v>1.3</v>
      </c>
      <c r="O595" s="198">
        <f>_1_541284561214624104645789101745678[[#This Row],[TOTAL]]*_1_541284561214624104645789101745678[[#This Row],[MARGIN]]</f>
        <v>0</v>
      </c>
      <c r="R595" s="41"/>
    </row>
    <row r="596" spans="4:18">
      <c r="D596" s="188"/>
      <c r="F596" s="168" t="s">
        <v>6202</v>
      </c>
      <c r="G596" s="193">
        <f>IF(_1_541284561214624104645789101745678[[#This Row],[Type]]&gt;0,VLOOKUP(_1_541284561214624104645789101745678[[#This Row],[Type]],Main[[#All],[TYPE]:[UNIT]],'Unit Price'!C$1,FALSE),0)</f>
        <v>0</v>
      </c>
      <c r="H596" s="197">
        <f>IF(_1_541284561214624104645789101745678[[#This Row],[Type]]&gt;0,VLOOKUP(_1_541284561214624104645789101745678[[#This Row],[Type]],Main[[#All],[TYPE]:[UNIT]],'Unit Price'!D$1,FALSE),0)</f>
        <v>0</v>
      </c>
      <c r="I596" s="194">
        <f>IF(_1_541284561214624104645789101745678[[#This Row],[Type]]&gt;0,VLOOKUP(_1_541284561214624104645789101745678[[#This Row],[Type]],Main[[#All],[TYPE]:[UNIT]],'Unit Price'!G$1,FALSE),0)</f>
        <v>0</v>
      </c>
      <c r="J596" s="194">
        <f>IF(_1_541284561214624104645789101745678[[#This Row],[Type]]&gt;0,VLOOKUP(_1_541284561214624104645789101745678[[#This Row],[Type]],Main[[#All],[TYPE]:[UNIT]],'Unit Price'!H$1,FALSE),0)</f>
        <v>0</v>
      </c>
      <c r="K596" s="194">
        <f>IF(_1_541284561214624104645789101745678[[#This Row],[Discount selection]]&gt;0,VLOOKUP(_1_541284561214624104645789101745678[[#This Row],[Discount selection]],'Discount Structure'!$A$2:$B$30,2,"false"),0)</f>
        <v>1</v>
      </c>
      <c r="L596" s="194">
        <f>_1_541284561214624104645789101745678[[#This Row],[LIST $]]*_1_541284561214624104645789101745678[[#This Row],[DISCOUNT]]*_1_541284561214624104645789101745678[[#This Row],[DISCOUNT 2]]</f>
        <v>0</v>
      </c>
      <c r="M596" s="194">
        <f>IF(OR(_1_541284561214624104645789101745678[[#This Row],[UNIT]]&gt;0,_1_541284561214624104645789101745678[[#This Row],[UNIT]]&lt;0),_1_541284561214624104645789101745678[[#This Row],[UNIT]]*_1_541284561214624104645789101745678[[#This Row],[COST]],0)</f>
        <v>0</v>
      </c>
      <c r="N596" s="194">
        <f t="shared" si="9"/>
        <v>1.3</v>
      </c>
      <c r="O596" s="198">
        <f>_1_541284561214624104645789101745678[[#This Row],[TOTAL]]*_1_541284561214624104645789101745678[[#This Row],[MARGIN]]</f>
        <v>0</v>
      </c>
      <c r="R596" s="41"/>
    </row>
    <row r="597" spans="4:18">
      <c r="D597" s="188"/>
      <c r="F597" s="168" t="s">
        <v>6202</v>
      </c>
      <c r="G597" s="193">
        <f>IF(_1_541284561214624104645789101745678[[#This Row],[Type]]&gt;0,VLOOKUP(_1_541284561214624104645789101745678[[#This Row],[Type]],Main[[#All],[TYPE]:[UNIT]],'Unit Price'!C$1,FALSE),0)</f>
        <v>0</v>
      </c>
      <c r="H597" s="197">
        <f>IF(_1_541284561214624104645789101745678[[#This Row],[Type]]&gt;0,VLOOKUP(_1_541284561214624104645789101745678[[#This Row],[Type]],Main[[#All],[TYPE]:[UNIT]],'Unit Price'!D$1,FALSE),0)</f>
        <v>0</v>
      </c>
      <c r="I597" s="194">
        <f>IF(_1_541284561214624104645789101745678[[#This Row],[Type]]&gt;0,VLOOKUP(_1_541284561214624104645789101745678[[#This Row],[Type]],Main[[#All],[TYPE]:[UNIT]],'Unit Price'!G$1,FALSE),0)</f>
        <v>0</v>
      </c>
      <c r="J597" s="194">
        <f>IF(_1_541284561214624104645789101745678[[#This Row],[Type]]&gt;0,VLOOKUP(_1_541284561214624104645789101745678[[#This Row],[Type]],Main[[#All],[TYPE]:[UNIT]],'Unit Price'!H$1,FALSE),0)</f>
        <v>0</v>
      </c>
      <c r="K597" s="194">
        <f>IF(_1_541284561214624104645789101745678[[#This Row],[Discount selection]]&gt;0,VLOOKUP(_1_541284561214624104645789101745678[[#This Row],[Discount selection]],'Discount Structure'!$A$2:$B$30,2,"false"),0)</f>
        <v>1</v>
      </c>
      <c r="L597" s="194">
        <f>_1_541284561214624104645789101745678[[#This Row],[LIST $]]*_1_541284561214624104645789101745678[[#This Row],[DISCOUNT]]*_1_541284561214624104645789101745678[[#This Row],[DISCOUNT 2]]</f>
        <v>0</v>
      </c>
      <c r="M597" s="194">
        <f>IF(OR(_1_541284561214624104645789101745678[[#This Row],[UNIT]]&gt;0,_1_541284561214624104645789101745678[[#This Row],[UNIT]]&lt;0),_1_541284561214624104645789101745678[[#This Row],[UNIT]]*_1_541284561214624104645789101745678[[#This Row],[COST]],0)</f>
        <v>0</v>
      </c>
      <c r="N597" s="194">
        <f t="shared" si="9"/>
        <v>1.3</v>
      </c>
      <c r="O597" s="198">
        <f>_1_541284561214624104645789101745678[[#This Row],[TOTAL]]*_1_541284561214624104645789101745678[[#This Row],[MARGIN]]</f>
        <v>0</v>
      </c>
      <c r="R597" s="41"/>
    </row>
    <row r="598" spans="4:18">
      <c r="D598" s="188"/>
      <c r="F598" s="168" t="s">
        <v>6202</v>
      </c>
      <c r="G598" s="193">
        <f>IF(_1_541284561214624104645789101745678[[#This Row],[Type]]&gt;0,VLOOKUP(_1_541284561214624104645789101745678[[#This Row],[Type]],Main[[#All],[TYPE]:[UNIT]],'Unit Price'!C$1,FALSE),0)</f>
        <v>0</v>
      </c>
      <c r="H598" s="197">
        <f>IF(_1_541284561214624104645789101745678[[#This Row],[Type]]&gt;0,VLOOKUP(_1_541284561214624104645789101745678[[#This Row],[Type]],Main[[#All],[TYPE]:[UNIT]],'Unit Price'!D$1,FALSE),0)</f>
        <v>0</v>
      </c>
      <c r="I598" s="194">
        <f>IF(_1_541284561214624104645789101745678[[#This Row],[Type]]&gt;0,VLOOKUP(_1_541284561214624104645789101745678[[#This Row],[Type]],Main[[#All],[TYPE]:[UNIT]],'Unit Price'!G$1,FALSE),0)</f>
        <v>0</v>
      </c>
      <c r="J598" s="194">
        <f>IF(_1_541284561214624104645789101745678[[#This Row],[Type]]&gt;0,VLOOKUP(_1_541284561214624104645789101745678[[#This Row],[Type]],Main[[#All],[TYPE]:[UNIT]],'Unit Price'!H$1,FALSE),0)</f>
        <v>0</v>
      </c>
      <c r="K598" s="194">
        <f>IF(_1_541284561214624104645789101745678[[#This Row],[Discount selection]]&gt;0,VLOOKUP(_1_541284561214624104645789101745678[[#This Row],[Discount selection]],'Discount Structure'!$A$2:$B$30,2,"false"),0)</f>
        <v>1</v>
      </c>
      <c r="L598" s="194">
        <f>_1_541284561214624104645789101745678[[#This Row],[LIST $]]*_1_541284561214624104645789101745678[[#This Row],[DISCOUNT]]*_1_541284561214624104645789101745678[[#This Row],[DISCOUNT 2]]</f>
        <v>0</v>
      </c>
      <c r="M598" s="194">
        <f>IF(OR(_1_541284561214624104645789101745678[[#This Row],[UNIT]]&gt;0,_1_541284561214624104645789101745678[[#This Row],[UNIT]]&lt;0),_1_541284561214624104645789101745678[[#This Row],[UNIT]]*_1_541284561214624104645789101745678[[#This Row],[COST]],0)</f>
        <v>0</v>
      </c>
      <c r="N598" s="194">
        <f t="shared" si="9"/>
        <v>1.3</v>
      </c>
      <c r="O598" s="198">
        <f>_1_541284561214624104645789101745678[[#This Row],[TOTAL]]*_1_541284561214624104645789101745678[[#This Row],[MARGIN]]</f>
        <v>0</v>
      </c>
      <c r="R598" s="41"/>
    </row>
    <row r="599" spans="4:18">
      <c r="D599" s="188"/>
      <c r="F599" s="168" t="s">
        <v>6202</v>
      </c>
      <c r="G599" s="193">
        <f>IF(_1_541284561214624104645789101745678[[#This Row],[Type]]&gt;0,VLOOKUP(_1_541284561214624104645789101745678[[#This Row],[Type]],Main[[#All],[TYPE]:[UNIT]],'Unit Price'!C$1,FALSE),0)</f>
        <v>0</v>
      </c>
      <c r="H599" s="197">
        <f>IF(_1_541284561214624104645789101745678[[#This Row],[Type]]&gt;0,VLOOKUP(_1_541284561214624104645789101745678[[#This Row],[Type]],Main[[#All],[TYPE]:[UNIT]],'Unit Price'!D$1,FALSE),0)</f>
        <v>0</v>
      </c>
      <c r="I599" s="194">
        <f>IF(_1_541284561214624104645789101745678[[#This Row],[Type]]&gt;0,VLOOKUP(_1_541284561214624104645789101745678[[#This Row],[Type]],Main[[#All],[TYPE]:[UNIT]],'Unit Price'!G$1,FALSE),0)</f>
        <v>0</v>
      </c>
      <c r="J599" s="194">
        <f>IF(_1_541284561214624104645789101745678[[#This Row],[Type]]&gt;0,VLOOKUP(_1_541284561214624104645789101745678[[#This Row],[Type]],Main[[#All],[TYPE]:[UNIT]],'Unit Price'!H$1,FALSE),0)</f>
        <v>0</v>
      </c>
      <c r="K599" s="194">
        <f>IF(_1_541284561214624104645789101745678[[#This Row],[Discount selection]]&gt;0,VLOOKUP(_1_541284561214624104645789101745678[[#This Row],[Discount selection]],'Discount Structure'!$A$2:$B$30,2,"false"),0)</f>
        <v>1</v>
      </c>
      <c r="L599" s="194">
        <f>_1_541284561214624104645789101745678[[#This Row],[LIST $]]*_1_541284561214624104645789101745678[[#This Row],[DISCOUNT]]*_1_541284561214624104645789101745678[[#This Row],[DISCOUNT 2]]</f>
        <v>0</v>
      </c>
      <c r="M599" s="194">
        <f>IF(OR(_1_541284561214624104645789101745678[[#This Row],[UNIT]]&gt;0,_1_541284561214624104645789101745678[[#This Row],[UNIT]]&lt;0),_1_541284561214624104645789101745678[[#This Row],[UNIT]]*_1_541284561214624104645789101745678[[#This Row],[COST]],0)</f>
        <v>0</v>
      </c>
      <c r="N599" s="194">
        <f t="shared" si="9"/>
        <v>1.3</v>
      </c>
      <c r="O599" s="198">
        <f>_1_541284561214624104645789101745678[[#This Row],[TOTAL]]*_1_541284561214624104645789101745678[[#This Row],[MARGIN]]</f>
        <v>0</v>
      </c>
      <c r="R599" s="41"/>
    </row>
    <row r="600" spans="4:18">
      <c r="D600" s="188"/>
      <c r="F600" s="168" t="s">
        <v>6202</v>
      </c>
      <c r="G600" s="193">
        <f>IF(_1_541284561214624104645789101745678[[#This Row],[Type]]&gt;0,VLOOKUP(_1_541284561214624104645789101745678[[#This Row],[Type]],Main[[#All],[TYPE]:[UNIT]],'Unit Price'!C$1,FALSE),0)</f>
        <v>0</v>
      </c>
      <c r="H600" s="197">
        <f>IF(_1_541284561214624104645789101745678[[#This Row],[Type]]&gt;0,VLOOKUP(_1_541284561214624104645789101745678[[#This Row],[Type]],Main[[#All],[TYPE]:[UNIT]],'Unit Price'!D$1,FALSE),0)</f>
        <v>0</v>
      </c>
      <c r="I600" s="194">
        <f>IF(_1_541284561214624104645789101745678[[#This Row],[Type]]&gt;0,VLOOKUP(_1_541284561214624104645789101745678[[#This Row],[Type]],Main[[#All],[TYPE]:[UNIT]],'Unit Price'!G$1,FALSE),0)</f>
        <v>0</v>
      </c>
      <c r="J600" s="194">
        <f>IF(_1_541284561214624104645789101745678[[#This Row],[Type]]&gt;0,VLOOKUP(_1_541284561214624104645789101745678[[#This Row],[Type]],Main[[#All],[TYPE]:[UNIT]],'Unit Price'!H$1,FALSE),0)</f>
        <v>0</v>
      </c>
      <c r="K600" s="194">
        <f>IF(_1_541284561214624104645789101745678[[#This Row],[Discount selection]]&gt;0,VLOOKUP(_1_541284561214624104645789101745678[[#This Row],[Discount selection]],'Discount Structure'!$A$2:$B$30,2,"false"),0)</f>
        <v>1</v>
      </c>
      <c r="L600" s="194">
        <f>_1_541284561214624104645789101745678[[#This Row],[LIST $]]*_1_541284561214624104645789101745678[[#This Row],[DISCOUNT]]*_1_541284561214624104645789101745678[[#This Row],[DISCOUNT 2]]</f>
        <v>0</v>
      </c>
      <c r="M600" s="194">
        <f>IF(OR(_1_541284561214624104645789101745678[[#This Row],[UNIT]]&gt;0,_1_541284561214624104645789101745678[[#This Row],[UNIT]]&lt;0),_1_541284561214624104645789101745678[[#This Row],[UNIT]]*_1_541284561214624104645789101745678[[#This Row],[COST]],0)</f>
        <v>0</v>
      </c>
      <c r="N600" s="194">
        <f t="shared" si="9"/>
        <v>1.3</v>
      </c>
      <c r="O600" s="198">
        <f>_1_541284561214624104645789101745678[[#This Row],[TOTAL]]*_1_541284561214624104645789101745678[[#This Row],[MARGIN]]</f>
        <v>0</v>
      </c>
      <c r="R600" s="41"/>
    </row>
    <row r="601" spans="4:18">
      <c r="D601" s="188"/>
      <c r="F601" s="168" t="s">
        <v>6202</v>
      </c>
      <c r="G601" s="193">
        <f>IF(_1_541284561214624104645789101745678[[#This Row],[Type]]&gt;0,VLOOKUP(_1_541284561214624104645789101745678[[#This Row],[Type]],Main[[#All],[TYPE]:[UNIT]],'Unit Price'!C$1,FALSE),0)</f>
        <v>0</v>
      </c>
      <c r="H601" s="197">
        <f>IF(_1_541284561214624104645789101745678[[#This Row],[Type]]&gt;0,VLOOKUP(_1_541284561214624104645789101745678[[#This Row],[Type]],Main[[#All],[TYPE]:[UNIT]],'Unit Price'!D$1,FALSE),0)</f>
        <v>0</v>
      </c>
      <c r="I601" s="194">
        <f>IF(_1_541284561214624104645789101745678[[#This Row],[Type]]&gt;0,VLOOKUP(_1_541284561214624104645789101745678[[#This Row],[Type]],Main[[#All],[TYPE]:[UNIT]],'Unit Price'!G$1,FALSE),0)</f>
        <v>0</v>
      </c>
      <c r="J601" s="194">
        <f>IF(_1_541284561214624104645789101745678[[#This Row],[Type]]&gt;0,VLOOKUP(_1_541284561214624104645789101745678[[#This Row],[Type]],Main[[#All],[TYPE]:[UNIT]],'Unit Price'!H$1,FALSE),0)</f>
        <v>0</v>
      </c>
      <c r="K601" s="194">
        <f>IF(_1_541284561214624104645789101745678[[#This Row],[Discount selection]]&gt;0,VLOOKUP(_1_541284561214624104645789101745678[[#This Row],[Discount selection]],'Discount Structure'!$A$2:$B$30,2,"false"),0)</f>
        <v>1</v>
      </c>
      <c r="L601" s="194">
        <f>_1_541284561214624104645789101745678[[#This Row],[LIST $]]*_1_541284561214624104645789101745678[[#This Row],[DISCOUNT]]*_1_541284561214624104645789101745678[[#This Row],[DISCOUNT 2]]</f>
        <v>0</v>
      </c>
      <c r="M601" s="194">
        <f>IF(OR(_1_541284561214624104645789101745678[[#This Row],[UNIT]]&gt;0,_1_541284561214624104645789101745678[[#This Row],[UNIT]]&lt;0),_1_541284561214624104645789101745678[[#This Row],[UNIT]]*_1_541284561214624104645789101745678[[#This Row],[COST]],0)</f>
        <v>0</v>
      </c>
      <c r="N601" s="194">
        <f t="shared" si="9"/>
        <v>1.3</v>
      </c>
      <c r="O601" s="198">
        <f>_1_541284561214624104645789101745678[[#This Row],[TOTAL]]*_1_541284561214624104645789101745678[[#This Row],[MARGIN]]</f>
        <v>0</v>
      </c>
      <c r="R601" s="41"/>
    </row>
    <row r="602" spans="4:18">
      <c r="D602" s="188"/>
      <c r="F602" s="168" t="s">
        <v>6202</v>
      </c>
      <c r="G602" s="193">
        <f>IF(_1_541284561214624104645789101745678[[#This Row],[Type]]&gt;0,VLOOKUP(_1_541284561214624104645789101745678[[#This Row],[Type]],Main[[#All],[TYPE]:[UNIT]],'Unit Price'!C$1,FALSE),0)</f>
        <v>0</v>
      </c>
      <c r="H602" s="197">
        <f>IF(_1_541284561214624104645789101745678[[#This Row],[Type]]&gt;0,VLOOKUP(_1_541284561214624104645789101745678[[#This Row],[Type]],Main[[#All],[TYPE]:[UNIT]],'Unit Price'!D$1,FALSE),0)</f>
        <v>0</v>
      </c>
      <c r="I602" s="194">
        <f>IF(_1_541284561214624104645789101745678[[#This Row],[Type]]&gt;0,VLOOKUP(_1_541284561214624104645789101745678[[#This Row],[Type]],Main[[#All],[TYPE]:[UNIT]],'Unit Price'!G$1,FALSE),0)</f>
        <v>0</v>
      </c>
      <c r="J602" s="194">
        <f>IF(_1_541284561214624104645789101745678[[#This Row],[Type]]&gt;0,VLOOKUP(_1_541284561214624104645789101745678[[#This Row],[Type]],Main[[#All],[TYPE]:[UNIT]],'Unit Price'!H$1,FALSE),0)</f>
        <v>0</v>
      </c>
      <c r="K602" s="194">
        <f>IF(_1_541284561214624104645789101745678[[#This Row],[Discount selection]]&gt;0,VLOOKUP(_1_541284561214624104645789101745678[[#This Row],[Discount selection]],'Discount Structure'!$A$2:$B$30,2,"false"),0)</f>
        <v>1</v>
      </c>
      <c r="L602" s="194">
        <f>_1_541284561214624104645789101745678[[#This Row],[LIST $]]*_1_541284561214624104645789101745678[[#This Row],[DISCOUNT]]*_1_541284561214624104645789101745678[[#This Row],[DISCOUNT 2]]</f>
        <v>0</v>
      </c>
      <c r="M602" s="194">
        <f>IF(OR(_1_541284561214624104645789101745678[[#This Row],[UNIT]]&gt;0,_1_541284561214624104645789101745678[[#This Row],[UNIT]]&lt;0),_1_541284561214624104645789101745678[[#This Row],[UNIT]]*_1_541284561214624104645789101745678[[#This Row],[COST]],0)</f>
        <v>0</v>
      </c>
      <c r="N602" s="194">
        <f t="shared" si="9"/>
        <v>1.3</v>
      </c>
      <c r="O602" s="198">
        <f>_1_541284561214624104645789101745678[[#This Row],[TOTAL]]*_1_541284561214624104645789101745678[[#This Row],[MARGIN]]</f>
        <v>0</v>
      </c>
      <c r="R602" s="41"/>
    </row>
    <row r="603" spans="4:18">
      <c r="D603" s="188"/>
      <c r="F603" s="168" t="s">
        <v>6202</v>
      </c>
      <c r="G603" s="193">
        <f>IF(_1_541284561214624104645789101745678[[#This Row],[Type]]&gt;0,VLOOKUP(_1_541284561214624104645789101745678[[#This Row],[Type]],Main[[#All],[TYPE]:[UNIT]],'Unit Price'!C$1,FALSE),0)</f>
        <v>0</v>
      </c>
      <c r="H603" s="197">
        <f>IF(_1_541284561214624104645789101745678[[#This Row],[Type]]&gt;0,VLOOKUP(_1_541284561214624104645789101745678[[#This Row],[Type]],Main[[#All],[TYPE]:[UNIT]],'Unit Price'!D$1,FALSE),0)</f>
        <v>0</v>
      </c>
      <c r="I603" s="194">
        <f>IF(_1_541284561214624104645789101745678[[#This Row],[Type]]&gt;0,VLOOKUP(_1_541284561214624104645789101745678[[#This Row],[Type]],Main[[#All],[TYPE]:[UNIT]],'Unit Price'!G$1,FALSE),0)</f>
        <v>0</v>
      </c>
      <c r="J603" s="194">
        <f>IF(_1_541284561214624104645789101745678[[#This Row],[Type]]&gt;0,VLOOKUP(_1_541284561214624104645789101745678[[#This Row],[Type]],Main[[#All],[TYPE]:[UNIT]],'Unit Price'!H$1,FALSE),0)</f>
        <v>0</v>
      </c>
      <c r="K603" s="194">
        <f>IF(_1_541284561214624104645789101745678[[#This Row],[Discount selection]]&gt;0,VLOOKUP(_1_541284561214624104645789101745678[[#This Row],[Discount selection]],'Discount Structure'!$A$2:$B$30,2,"false"),0)</f>
        <v>1</v>
      </c>
      <c r="L603" s="194">
        <f>_1_541284561214624104645789101745678[[#This Row],[LIST $]]*_1_541284561214624104645789101745678[[#This Row],[DISCOUNT]]*_1_541284561214624104645789101745678[[#This Row],[DISCOUNT 2]]</f>
        <v>0</v>
      </c>
      <c r="M603" s="194">
        <f>IF(OR(_1_541284561214624104645789101745678[[#This Row],[UNIT]]&gt;0,_1_541284561214624104645789101745678[[#This Row],[UNIT]]&lt;0),_1_541284561214624104645789101745678[[#This Row],[UNIT]]*_1_541284561214624104645789101745678[[#This Row],[COST]],0)</f>
        <v>0</v>
      </c>
      <c r="N603" s="194">
        <f t="shared" si="9"/>
        <v>1.3</v>
      </c>
      <c r="O603" s="198">
        <f>_1_541284561214624104645789101745678[[#This Row],[TOTAL]]*_1_541284561214624104645789101745678[[#This Row],[MARGIN]]</f>
        <v>0</v>
      </c>
      <c r="R603" s="41"/>
    </row>
    <row r="604" spans="4:18">
      <c r="D604" s="188"/>
      <c r="F604" s="168" t="s">
        <v>6202</v>
      </c>
      <c r="G604" s="193">
        <f>IF(_1_541284561214624104645789101745678[[#This Row],[Type]]&gt;0,VLOOKUP(_1_541284561214624104645789101745678[[#This Row],[Type]],Main[[#All],[TYPE]:[UNIT]],'Unit Price'!C$1,FALSE),0)</f>
        <v>0</v>
      </c>
      <c r="H604" s="197">
        <f>IF(_1_541284561214624104645789101745678[[#This Row],[Type]]&gt;0,VLOOKUP(_1_541284561214624104645789101745678[[#This Row],[Type]],Main[[#All],[TYPE]:[UNIT]],'Unit Price'!D$1,FALSE),0)</f>
        <v>0</v>
      </c>
      <c r="I604" s="194">
        <f>IF(_1_541284561214624104645789101745678[[#This Row],[Type]]&gt;0,VLOOKUP(_1_541284561214624104645789101745678[[#This Row],[Type]],Main[[#All],[TYPE]:[UNIT]],'Unit Price'!G$1,FALSE),0)</f>
        <v>0</v>
      </c>
      <c r="J604" s="194">
        <f>IF(_1_541284561214624104645789101745678[[#This Row],[Type]]&gt;0,VLOOKUP(_1_541284561214624104645789101745678[[#This Row],[Type]],Main[[#All],[TYPE]:[UNIT]],'Unit Price'!H$1,FALSE),0)</f>
        <v>0</v>
      </c>
      <c r="K604" s="194">
        <f>IF(_1_541284561214624104645789101745678[[#This Row],[Discount selection]]&gt;0,VLOOKUP(_1_541284561214624104645789101745678[[#This Row],[Discount selection]],'Discount Structure'!$A$2:$B$30,2,"false"),0)</f>
        <v>1</v>
      </c>
      <c r="L604" s="194">
        <f>_1_541284561214624104645789101745678[[#This Row],[LIST $]]*_1_541284561214624104645789101745678[[#This Row],[DISCOUNT]]*_1_541284561214624104645789101745678[[#This Row],[DISCOUNT 2]]</f>
        <v>0</v>
      </c>
      <c r="M604" s="194">
        <f>IF(OR(_1_541284561214624104645789101745678[[#This Row],[UNIT]]&gt;0,_1_541284561214624104645789101745678[[#This Row],[UNIT]]&lt;0),_1_541284561214624104645789101745678[[#This Row],[UNIT]]*_1_541284561214624104645789101745678[[#This Row],[COST]],0)</f>
        <v>0</v>
      </c>
      <c r="N604" s="194">
        <f t="shared" si="9"/>
        <v>1.3</v>
      </c>
      <c r="O604" s="198">
        <f>_1_541284561214624104645789101745678[[#This Row],[TOTAL]]*_1_541284561214624104645789101745678[[#This Row],[MARGIN]]</f>
        <v>0</v>
      </c>
      <c r="R604" s="41"/>
    </row>
    <row r="605" spans="4:18">
      <c r="D605" s="188"/>
      <c r="F605" s="168" t="s">
        <v>6202</v>
      </c>
      <c r="G605" s="193">
        <f>IF(_1_541284561214624104645789101745678[[#This Row],[Type]]&gt;0,VLOOKUP(_1_541284561214624104645789101745678[[#This Row],[Type]],Main[[#All],[TYPE]:[UNIT]],'Unit Price'!C$1,FALSE),0)</f>
        <v>0</v>
      </c>
      <c r="H605" s="197">
        <f>IF(_1_541284561214624104645789101745678[[#This Row],[Type]]&gt;0,VLOOKUP(_1_541284561214624104645789101745678[[#This Row],[Type]],Main[[#All],[TYPE]:[UNIT]],'Unit Price'!D$1,FALSE),0)</f>
        <v>0</v>
      </c>
      <c r="I605" s="194">
        <f>IF(_1_541284561214624104645789101745678[[#This Row],[Type]]&gt;0,VLOOKUP(_1_541284561214624104645789101745678[[#This Row],[Type]],Main[[#All],[TYPE]:[UNIT]],'Unit Price'!G$1,FALSE),0)</f>
        <v>0</v>
      </c>
      <c r="J605" s="194">
        <f>IF(_1_541284561214624104645789101745678[[#This Row],[Type]]&gt;0,VLOOKUP(_1_541284561214624104645789101745678[[#This Row],[Type]],Main[[#All],[TYPE]:[UNIT]],'Unit Price'!H$1,FALSE),0)</f>
        <v>0</v>
      </c>
      <c r="K605" s="194">
        <f>IF(_1_541284561214624104645789101745678[[#This Row],[Discount selection]]&gt;0,VLOOKUP(_1_541284561214624104645789101745678[[#This Row],[Discount selection]],'Discount Structure'!$A$2:$B$30,2,"false"),0)</f>
        <v>1</v>
      </c>
      <c r="L605" s="194">
        <f>_1_541284561214624104645789101745678[[#This Row],[LIST $]]*_1_541284561214624104645789101745678[[#This Row],[DISCOUNT]]*_1_541284561214624104645789101745678[[#This Row],[DISCOUNT 2]]</f>
        <v>0</v>
      </c>
      <c r="M605" s="194">
        <f>IF(OR(_1_541284561214624104645789101745678[[#This Row],[UNIT]]&gt;0,_1_541284561214624104645789101745678[[#This Row],[UNIT]]&lt;0),_1_541284561214624104645789101745678[[#This Row],[UNIT]]*_1_541284561214624104645789101745678[[#This Row],[COST]],0)</f>
        <v>0</v>
      </c>
      <c r="N605" s="194">
        <f t="shared" si="9"/>
        <v>1.3</v>
      </c>
      <c r="O605" s="198">
        <f>_1_541284561214624104645789101745678[[#This Row],[TOTAL]]*_1_541284561214624104645789101745678[[#This Row],[MARGIN]]</f>
        <v>0</v>
      </c>
      <c r="R605" s="41"/>
    </row>
    <row r="606" spans="4:18">
      <c r="D606" s="188"/>
      <c r="F606" s="168" t="s">
        <v>6202</v>
      </c>
      <c r="G606" s="193">
        <f>IF(_1_541284561214624104645789101745678[[#This Row],[Type]]&gt;0,VLOOKUP(_1_541284561214624104645789101745678[[#This Row],[Type]],Main[[#All],[TYPE]:[UNIT]],'Unit Price'!C$1,FALSE),0)</f>
        <v>0</v>
      </c>
      <c r="H606" s="197">
        <f>IF(_1_541284561214624104645789101745678[[#This Row],[Type]]&gt;0,VLOOKUP(_1_541284561214624104645789101745678[[#This Row],[Type]],Main[[#All],[TYPE]:[UNIT]],'Unit Price'!D$1,FALSE),0)</f>
        <v>0</v>
      </c>
      <c r="I606" s="194">
        <f>IF(_1_541284561214624104645789101745678[[#This Row],[Type]]&gt;0,VLOOKUP(_1_541284561214624104645789101745678[[#This Row],[Type]],Main[[#All],[TYPE]:[UNIT]],'Unit Price'!G$1,FALSE),0)</f>
        <v>0</v>
      </c>
      <c r="J606" s="194">
        <f>IF(_1_541284561214624104645789101745678[[#This Row],[Type]]&gt;0,VLOOKUP(_1_541284561214624104645789101745678[[#This Row],[Type]],Main[[#All],[TYPE]:[UNIT]],'Unit Price'!H$1,FALSE),0)</f>
        <v>0</v>
      </c>
      <c r="K606" s="194">
        <f>IF(_1_541284561214624104645789101745678[[#This Row],[Discount selection]]&gt;0,VLOOKUP(_1_541284561214624104645789101745678[[#This Row],[Discount selection]],'Discount Structure'!$A$2:$B$30,2,"false"),0)</f>
        <v>1</v>
      </c>
      <c r="L606" s="194">
        <f>_1_541284561214624104645789101745678[[#This Row],[LIST $]]*_1_541284561214624104645789101745678[[#This Row],[DISCOUNT]]*_1_541284561214624104645789101745678[[#This Row],[DISCOUNT 2]]</f>
        <v>0</v>
      </c>
      <c r="M606" s="194">
        <f>IF(OR(_1_541284561214624104645789101745678[[#This Row],[UNIT]]&gt;0,_1_541284561214624104645789101745678[[#This Row],[UNIT]]&lt;0),_1_541284561214624104645789101745678[[#This Row],[UNIT]]*_1_541284561214624104645789101745678[[#This Row],[COST]],0)</f>
        <v>0</v>
      </c>
      <c r="N606" s="194">
        <f t="shared" si="9"/>
        <v>1.3</v>
      </c>
      <c r="O606" s="198">
        <f>_1_541284561214624104645789101745678[[#This Row],[TOTAL]]*_1_541284561214624104645789101745678[[#This Row],[MARGIN]]</f>
        <v>0</v>
      </c>
      <c r="R606" s="41"/>
    </row>
    <row r="607" spans="4:18">
      <c r="D607" s="188"/>
      <c r="F607" s="168" t="s">
        <v>6202</v>
      </c>
      <c r="G607" s="193">
        <f>IF(_1_541284561214624104645789101745678[[#This Row],[Type]]&gt;0,VLOOKUP(_1_541284561214624104645789101745678[[#This Row],[Type]],Main[[#All],[TYPE]:[UNIT]],'Unit Price'!C$1,FALSE),0)</f>
        <v>0</v>
      </c>
      <c r="H607" s="197">
        <f>IF(_1_541284561214624104645789101745678[[#This Row],[Type]]&gt;0,VLOOKUP(_1_541284561214624104645789101745678[[#This Row],[Type]],Main[[#All],[TYPE]:[UNIT]],'Unit Price'!D$1,FALSE),0)</f>
        <v>0</v>
      </c>
      <c r="I607" s="194">
        <f>IF(_1_541284561214624104645789101745678[[#This Row],[Type]]&gt;0,VLOOKUP(_1_541284561214624104645789101745678[[#This Row],[Type]],Main[[#All],[TYPE]:[UNIT]],'Unit Price'!G$1,FALSE),0)</f>
        <v>0</v>
      </c>
      <c r="J607" s="194">
        <f>IF(_1_541284561214624104645789101745678[[#This Row],[Type]]&gt;0,VLOOKUP(_1_541284561214624104645789101745678[[#This Row],[Type]],Main[[#All],[TYPE]:[UNIT]],'Unit Price'!H$1,FALSE),0)</f>
        <v>0</v>
      </c>
      <c r="K607" s="194">
        <f>IF(_1_541284561214624104645789101745678[[#This Row],[Discount selection]]&gt;0,VLOOKUP(_1_541284561214624104645789101745678[[#This Row],[Discount selection]],'Discount Structure'!$A$2:$B$30,2,"false"),0)</f>
        <v>1</v>
      </c>
      <c r="L607" s="194">
        <f>_1_541284561214624104645789101745678[[#This Row],[LIST $]]*_1_541284561214624104645789101745678[[#This Row],[DISCOUNT]]*_1_541284561214624104645789101745678[[#This Row],[DISCOUNT 2]]</f>
        <v>0</v>
      </c>
      <c r="M607" s="194">
        <f>IF(OR(_1_541284561214624104645789101745678[[#This Row],[UNIT]]&gt;0,_1_541284561214624104645789101745678[[#This Row],[UNIT]]&lt;0),_1_541284561214624104645789101745678[[#This Row],[UNIT]]*_1_541284561214624104645789101745678[[#This Row],[COST]],0)</f>
        <v>0</v>
      </c>
      <c r="N607" s="194">
        <f t="shared" si="9"/>
        <v>1.3</v>
      </c>
      <c r="O607" s="198">
        <f>_1_541284561214624104645789101745678[[#This Row],[TOTAL]]*_1_541284561214624104645789101745678[[#This Row],[MARGIN]]</f>
        <v>0</v>
      </c>
      <c r="R607" s="41"/>
    </row>
    <row r="608" spans="4:18">
      <c r="D608" s="188"/>
      <c r="F608" s="168" t="s">
        <v>6202</v>
      </c>
      <c r="G608" s="193">
        <f>IF(_1_541284561214624104645789101745678[[#This Row],[Type]]&gt;0,VLOOKUP(_1_541284561214624104645789101745678[[#This Row],[Type]],Main[[#All],[TYPE]:[UNIT]],'Unit Price'!C$1,FALSE),0)</f>
        <v>0</v>
      </c>
      <c r="H608" s="197">
        <f>IF(_1_541284561214624104645789101745678[[#This Row],[Type]]&gt;0,VLOOKUP(_1_541284561214624104645789101745678[[#This Row],[Type]],Main[[#All],[TYPE]:[UNIT]],'Unit Price'!D$1,FALSE),0)</f>
        <v>0</v>
      </c>
      <c r="I608" s="194">
        <f>IF(_1_541284561214624104645789101745678[[#This Row],[Type]]&gt;0,VLOOKUP(_1_541284561214624104645789101745678[[#This Row],[Type]],Main[[#All],[TYPE]:[UNIT]],'Unit Price'!G$1,FALSE),0)</f>
        <v>0</v>
      </c>
      <c r="J608" s="194">
        <f>IF(_1_541284561214624104645789101745678[[#This Row],[Type]]&gt;0,VLOOKUP(_1_541284561214624104645789101745678[[#This Row],[Type]],Main[[#All],[TYPE]:[UNIT]],'Unit Price'!H$1,FALSE),0)</f>
        <v>0</v>
      </c>
      <c r="K608" s="194">
        <f>IF(_1_541284561214624104645789101745678[[#This Row],[Discount selection]]&gt;0,VLOOKUP(_1_541284561214624104645789101745678[[#This Row],[Discount selection]],'Discount Structure'!$A$2:$B$30,2,"false"),0)</f>
        <v>1</v>
      </c>
      <c r="L608" s="194">
        <f>_1_541284561214624104645789101745678[[#This Row],[LIST $]]*_1_541284561214624104645789101745678[[#This Row],[DISCOUNT]]*_1_541284561214624104645789101745678[[#This Row],[DISCOUNT 2]]</f>
        <v>0</v>
      </c>
      <c r="M608" s="194">
        <f>IF(OR(_1_541284561214624104645789101745678[[#This Row],[UNIT]]&gt;0,_1_541284561214624104645789101745678[[#This Row],[UNIT]]&lt;0),_1_541284561214624104645789101745678[[#This Row],[UNIT]]*_1_541284561214624104645789101745678[[#This Row],[COST]],0)</f>
        <v>0</v>
      </c>
      <c r="N608" s="194">
        <f t="shared" si="9"/>
        <v>1.3</v>
      </c>
      <c r="O608" s="198">
        <f>_1_541284561214624104645789101745678[[#This Row],[TOTAL]]*_1_541284561214624104645789101745678[[#This Row],[MARGIN]]</f>
        <v>0</v>
      </c>
      <c r="R608" s="41"/>
    </row>
    <row r="609" spans="4:18">
      <c r="D609" s="188"/>
      <c r="F609" s="168" t="s">
        <v>6202</v>
      </c>
      <c r="G609" s="193">
        <f>IF(_1_541284561214624104645789101745678[[#This Row],[Type]]&gt;0,VLOOKUP(_1_541284561214624104645789101745678[[#This Row],[Type]],Main[[#All],[TYPE]:[UNIT]],'Unit Price'!C$1,FALSE),0)</f>
        <v>0</v>
      </c>
      <c r="H609" s="197">
        <f>IF(_1_541284561214624104645789101745678[[#This Row],[Type]]&gt;0,VLOOKUP(_1_541284561214624104645789101745678[[#This Row],[Type]],Main[[#All],[TYPE]:[UNIT]],'Unit Price'!D$1,FALSE),0)</f>
        <v>0</v>
      </c>
      <c r="I609" s="194">
        <f>IF(_1_541284561214624104645789101745678[[#This Row],[Type]]&gt;0,VLOOKUP(_1_541284561214624104645789101745678[[#This Row],[Type]],Main[[#All],[TYPE]:[UNIT]],'Unit Price'!G$1,FALSE),0)</f>
        <v>0</v>
      </c>
      <c r="J609" s="194">
        <f>IF(_1_541284561214624104645789101745678[[#This Row],[Type]]&gt;0,VLOOKUP(_1_541284561214624104645789101745678[[#This Row],[Type]],Main[[#All],[TYPE]:[UNIT]],'Unit Price'!H$1,FALSE),0)</f>
        <v>0</v>
      </c>
      <c r="K609" s="194">
        <f>IF(_1_541284561214624104645789101745678[[#This Row],[Discount selection]]&gt;0,VLOOKUP(_1_541284561214624104645789101745678[[#This Row],[Discount selection]],'Discount Structure'!$A$2:$B$30,2,"false"),0)</f>
        <v>1</v>
      </c>
      <c r="L609" s="194">
        <f>_1_541284561214624104645789101745678[[#This Row],[LIST $]]*_1_541284561214624104645789101745678[[#This Row],[DISCOUNT]]*_1_541284561214624104645789101745678[[#This Row],[DISCOUNT 2]]</f>
        <v>0</v>
      </c>
      <c r="M609" s="194">
        <f>IF(OR(_1_541284561214624104645789101745678[[#This Row],[UNIT]]&gt;0,_1_541284561214624104645789101745678[[#This Row],[UNIT]]&lt;0),_1_541284561214624104645789101745678[[#This Row],[UNIT]]*_1_541284561214624104645789101745678[[#This Row],[COST]],0)</f>
        <v>0</v>
      </c>
      <c r="N609" s="194">
        <f t="shared" si="9"/>
        <v>1.3</v>
      </c>
      <c r="O609" s="198">
        <f>_1_541284561214624104645789101745678[[#This Row],[TOTAL]]*_1_541284561214624104645789101745678[[#This Row],[MARGIN]]</f>
        <v>0</v>
      </c>
      <c r="R609" s="41"/>
    </row>
    <row r="610" spans="4:18">
      <c r="D610" s="188"/>
      <c r="F610" s="168" t="s">
        <v>6202</v>
      </c>
      <c r="G610" s="193">
        <f>IF(_1_541284561214624104645789101745678[[#This Row],[Type]]&gt;0,VLOOKUP(_1_541284561214624104645789101745678[[#This Row],[Type]],Main[[#All],[TYPE]:[UNIT]],'Unit Price'!C$1,FALSE),0)</f>
        <v>0</v>
      </c>
      <c r="H610" s="197">
        <f>IF(_1_541284561214624104645789101745678[[#This Row],[Type]]&gt;0,VLOOKUP(_1_541284561214624104645789101745678[[#This Row],[Type]],Main[[#All],[TYPE]:[UNIT]],'Unit Price'!D$1,FALSE),0)</f>
        <v>0</v>
      </c>
      <c r="I610" s="194">
        <f>IF(_1_541284561214624104645789101745678[[#This Row],[Type]]&gt;0,VLOOKUP(_1_541284561214624104645789101745678[[#This Row],[Type]],Main[[#All],[TYPE]:[UNIT]],'Unit Price'!G$1,FALSE),0)</f>
        <v>0</v>
      </c>
      <c r="J610" s="194">
        <f>IF(_1_541284561214624104645789101745678[[#This Row],[Type]]&gt;0,VLOOKUP(_1_541284561214624104645789101745678[[#This Row],[Type]],Main[[#All],[TYPE]:[UNIT]],'Unit Price'!H$1,FALSE),0)</f>
        <v>0</v>
      </c>
      <c r="K610" s="194">
        <f>IF(_1_541284561214624104645789101745678[[#This Row],[Discount selection]]&gt;0,VLOOKUP(_1_541284561214624104645789101745678[[#This Row],[Discount selection]],'Discount Structure'!$A$2:$B$30,2,"false"),0)</f>
        <v>1</v>
      </c>
      <c r="L610" s="194">
        <f>_1_541284561214624104645789101745678[[#This Row],[LIST $]]*_1_541284561214624104645789101745678[[#This Row],[DISCOUNT]]*_1_541284561214624104645789101745678[[#This Row],[DISCOUNT 2]]</f>
        <v>0</v>
      </c>
      <c r="M610" s="194">
        <f>IF(OR(_1_541284561214624104645789101745678[[#This Row],[UNIT]]&gt;0,_1_541284561214624104645789101745678[[#This Row],[UNIT]]&lt;0),_1_541284561214624104645789101745678[[#This Row],[UNIT]]*_1_541284561214624104645789101745678[[#This Row],[COST]],0)</f>
        <v>0</v>
      </c>
      <c r="N610" s="194">
        <f t="shared" si="9"/>
        <v>1.3</v>
      </c>
      <c r="O610" s="198">
        <f>_1_541284561214624104645789101745678[[#This Row],[TOTAL]]*_1_541284561214624104645789101745678[[#This Row],[MARGIN]]</f>
        <v>0</v>
      </c>
      <c r="R610" s="41"/>
    </row>
    <row r="611" spans="4:18">
      <c r="D611" s="188"/>
      <c r="F611" s="168" t="s">
        <v>6202</v>
      </c>
      <c r="G611" s="193">
        <f>IF(_1_541284561214624104645789101745678[[#This Row],[Type]]&gt;0,VLOOKUP(_1_541284561214624104645789101745678[[#This Row],[Type]],Main[[#All],[TYPE]:[UNIT]],'Unit Price'!C$1,FALSE),0)</f>
        <v>0</v>
      </c>
      <c r="H611" s="197">
        <f>IF(_1_541284561214624104645789101745678[[#This Row],[Type]]&gt;0,VLOOKUP(_1_541284561214624104645789101745678[[#This Row],[Type]],Main[[#All],[TYPE]:[UNIT]],'Unit Price'!D$1,FALSE),0)</f>
        <v>0</v>
      </c>
      <c r="I611" s="194">
        <f>IF(_1_541284561214624104645789101745678[[#This Row],[Type]]&gt;0,VLOOKUP(_1_541284561214624104645789101745678[[#This Row],[Type]],Main[[#All],[TYPE]:[UNIT]],'Unit Price'!G$1,FALSE),0)</f>
        <v>0</v>
      </c>
      <c r="J611" s="194">
        <f>IF(_1_541284561214624104645789101745678[[#This Row],[Type]]&gt;0,VLOOKUP(_1_541284561214624104645789101745678[[#This Row],[Type]],Main[[#All],[TYPE]:[UNIT]],'Unit Price'!H$1,FALSE),0)</f>
        <v>0</v>
      </c>
      <c r="K611" s="194">
        <f>IF(_1_541284561214624104645789101745678[[#This Row],[Discount selection]]&gt;0,VLOOKUP(_1_541284561214624104645789101745678[[#This Row],[Discount selection]],'Discount Structure'!$A$2:$B$30,2,"false"),0)</f>
        <v>1</v>
      </c>
      <c r="L611" s="194">
        <f>_1_541284561214624104645789101745678[[#This Row],[LIST $]]*_1_541284561214624104645789101745678[[#This Row],[DISCOUNT]]*_1_541284561214624104645789101745678[[#This Row],[DISCOUNT 2]]</f>
        <v>0</v>
      </c>
      <c r="M611" s="194">
        <f>IF(OR(_1_541284561214624104645789101745678[[#This Row],[UNIT]]&gt;0,_1_541284561214624104645789101745678[[#This Row],[UNIT]]&lt;0),_1_541284561214624104645789101745678[[#This Row],[UNIT]]*_1_541284561214624104645789101745678[[#This Row],[COST]],0)</f>
        <v>0</v>
      </c>
      <c r="N611" s="194">
        <f t="shared" si="9"/>
        <v>1.3</v>
      </c>
      <c r="O611" s="198">
        <f>_1_541284561214624104645789101745678[[#This Row],[TOTAL]]*_1_541284561214624104645789101745678[[#This Row],[MARGIN]]</f>
        <v>0</v>
      </c>
      <c r="R611" s="41"/>
    </row>
    <row r="612" spans="4:18">
      <c r="D612" s="188"/>
      <c r="F612" s="168" t="s">
        <v>6202</v>
      </c>
      <c r="G612" s="193">
        <f>IF(_1_541284561214624104645789101745678[[#This Row],[Type]]&gt;0,VLOOKUP(_1_541284561214624104645789101745678[[#This Row],[Type]],Main[[#All],[TYPE]:[UNIT]],'Unit Price'!C$1,FALSE),0)</f>
        <v>0</v>
      </c>
      <c r="H612" s="197">
        <f>IF(_1_541284561214624104645789101745678[[#This Row],[Type]]&gt;0,VLOOKUP(_1_541284561214624104645789101745678[[#This Row],[Type]],Main[[#All],[TYPE]:[UNIT]],'Unit Price'!D$1,FALSE),0)</f>
        <v>0</v>
      </c>
      <c r="I612" s="194">
        <f>IF(_1_541284561214624104645789101745678[[#This Row],[Type]]&gt;0,VLOOKUP(_1_541284561214624104645789101745678[[#This Row],[Type]],Main[[#All],[TYPE]:[UNIT]],'Unit Price'!G$1,FALSE),0)</f>
        <v>0</v>
      </c>
      <c r="J612" s="194">
        <f>IF(_1_541284561214624104645789101745678[[#This Row],[Type]]&gt;0,VLOOKUP(_1_541284561214624104645789101745678[[#This Row],[Type]],Main[[#All],[TYPE]:[UNIT]],'Unit Price'!H$1,FALSE),0)</f>
        <v>0</v>
      </c>
      <c r="K612" s="194">
        <f>IF(_1_541284561214624104645789101745678[[#This Row],[Discount selection]]&gt;0,VLOOKUP(_1_541284561214624104645789101745678[[#This Row],[Discount selection]],'Discount Structure'!$A$2:$B$30,2,"false"),0)</f>
        <v>1</v>
      </c>
      <c r="L612" s="194">
        <f>_1_541284561214624104645789101745678[[#This Row],[LIST $]]*_1_541284561214624104645789101745678[[#This Row],[DISCOUNT]]*_1_541284561214624104645789101745678[[#This Row],[DISCOUNT 2]]</f>
        <v>0</v>
      </c>
      <c r="M612" s="194">
        <f>IF(OR(_1_541284561214624104645789101745678[[#This Row],[UNIT]]&gt;0,_1_541284561214624104645789101745678[[#This Row],[UNIT]]&lt;0),_1_541284561214624104645789101745678[[#This Row],[UNIT]]*_1_541284561214624104645789101745678[[#This Row],[COST]],0)</f>
        <v>0</v>
      </c>
      <c r="N612" s="194">
        <f t="shared" si="9"/>
        <v>1.3</v>
      </c>
      <c r="O612" s="198">
        <f>_1_541284561214624104645789101745678[[#This Row],[TOTAL]]*_1_541284561214624104645789101745678[[#This Row],[MARGIN]]</f>
        <v>0</v>
      </c>
      <c r="R612" s="41"/>
    </row>
    <row r="613" spans="4:18">
      <c r="D613" s="188"/>
      <c r="F613" s="168" t="s">
        <v>6202</v>
      </c>
      <c r="G613" s="193">
        <f>IF(_1_541284561214624104645789101745678[[#This Row],[Type]]&gt;0,VLOOKUP(_1_541284561214624104645789101745678[[#This Row],[Type]],Main[[#All],[TYPE]:[UNIT]],'Unit Price'!C$1,FALSE),0)</f>
        <v>0</v>
      </c>
      <c r="H613" s="197">
        <f>IF(_1_541284561214624104645789101745678[[#This Row],[Type]]&gt;0,VLOOKUP(_1_541284561214624104645789101745678[[#This Row],[Type]],Main[[#All],[TYPE]:[UNIT]],'Unit Price'!D$1,FALSE),0)</f>
        <v>0</v>
      </c>
      <c r="I613" s="194">
        <f>IF(_1_541284561214624104645789101745678[[#This Row],[Type]]&gt;0,VLOOKUP(_1_541284561214624104645789101745678[[#This Row],[Type]],Main[[#All],[TYPE]:[UNIT]],'Unit Price'!G$1,FALSE),0)</f>
        <v>0</v>
      </c>
      <c r="J613" s="194">
        <f>IF(_1_541284561214624104645789101745678[[#This Row],[Type]]&gt;0,VLOOKUP(_1_541284561214624104645789101745678[[#This Row],[Type]],Main[[#All],[TYPE]:[UNIT]],'Unit Price'!H$1,FALSE),0)</f>
        <v>0</v>
      </c>
      <c r="K613" s="194">
        <f>IF(_1_541284561214624104645789101745678[[#This Row],[Discount selection]]&gt;0,VLOOKUP(_1_541284561214624104645789101745678[[#This Row],[Discount selection]],'Discount Structure'!$A$2:$B$30,2,"false"),0)</f>
        <v>1</v>
      </c>
      <c r="L613" s="194">
        <f>_1_541284561214624104645789101745678[[#This Row],[LIST $]]*_1_541284561214624104645789101745678[[#This Row],[DISCOUNT]]*_1_541284561214624104645789101745678[[#This Row],[DISCOUNT 2]]</f>
        <v>0</v>
      </c>
      <c r="M613" s="194">
        <f>IF(OR(_1_541284561214624104645789101745678[[#This Row],[UNIT]]&gt;0,_1_541284561214624104645789101745678[[#This Row],[UNIT]]&lt;0),_1_541284561214624104645789101745678[[#This Row],[UNIT]]*_1_541284561214624104645789101745678[[#This Row],[COST]],0)</f>
        <v>0</v>
      </c>
      <c r="N613" s="194">
        <f t="shared" si="9"/>
        <v>1.3</v>
      </c>
      <c r="O613" s="198">
        <f>_1_541284561214624104645789101745678[[#This Row],[TOTAL]]*_1_541284561214624104645789101745678[[#This Row],[MARGIN]]</f>
        <v>0</v>
      </c>
      <c r="R613" s="41"/>
    </row>
    <row r="614" spans="4:18">
      <c r="D614" s="188"/>
      <c r="F614" s="168" t="s">
        <v>6202</v>
      </c>
      <c r="G614" s="193">
        <f>IF(_1_541284561214624104645789101745678[[#This Row],[Type]]&gt;0,VLOOKUP(_1_541284561214624104645789101745678[[#This Row],[Type]],Main[[#All],[TYPE]:[UNIT]],'Unit Price'!C$1,FALSE),0)</f>
        <v>0</v>
      </c>
      <c r="H614" s="197">
        <f>IF(_1_541284561214624104645789101745678[[#This Row],[Type]]&gt;0,VLOOKUP(_1_541284561214624104645789101745678[[#This Row],[Type]],Main[[#All],[TYPE]:[UNIT]],'Unit Price'!D$1,FALSE),0)</f>
        <v>0</v>
      </c>
      <c r="I614" s="194">
        <f>IF(_1_541284561214624104645789101745678[[#This Row],[Type]]&gt;0,VLOOKUP(_1_541284561214624104645789101745678[[#This Row],[Type]],Main[[#All],[TYPE]:[UNIT]],'Unit Price'!G$1,FALSE),0)</f>
        <v>0</v>
      </c>
      <c r="J614" s="194">
        <f>IF(_1_541284561214624104645789101745678[[#This Row],[Type]]&gt;0,VLOOKUP(_1_541284561214624104645789101745678[[#This Row],[Type]],Main[[#All],[TYPE]:[UNIT]],'Unit Price'!H$1,FALSE),0)</f>
        <v>0</v>
      </c>
      <c r="K614" s="194">
        <f>IF(_1_541284561214624104645789101745678[[#This Row],[Discount selection]]&gt;0,VLOOKUP(_1_541284561214624104645789101745678[[#This Row],[Discount selection]],'Discount Structure'!$A$2:$B$30,2,"false"),0)</f>
        <v>1</v>
      </c>
      <c r="L614" s="194">
        <f>_1_541284561214624104645789101745678[[#This Row],[LIST $]]*_1_541284561214624104645789101745678[[#This Row],[DISCOUNT]]*_1_541284561214624104645789101745678[[#This Row],[DISCOUNT 2]]</f>
        <v>0</v>
      </c>
      <c r="M614" s="194">
        <f>IF(OR(_1_541284561214624104645789101745678[[#This Row],[UNIT]]&gt;0,_1_541284561214624104645789101745678[[#This Row],[UNIT]]&lt;0),_1_541284561214624104645789101745678[[#This Row],[UNIT]]*_1_541284561214624104645789101745678[[#This Row],[COST]],0)</f>
        <v>0</v>
      </c>
      <c r="N614" s="194">
        <f t="shared" si="9"/>
        <v>1.3</v>
      </c>
      <c r="O614" s="198">
        <f>_1_541284561214624104645789101745678[[#This Row],[TOTAL]]*_1_541284561214624104645789101745678[[#This Row],[MARGIN]]</f>
        <v>0</v>
      </c>
      <c r="R614" s="41"/>
    </row>
    <row r="615" spans="4:18">
      <c r="D615" s="188"/>
      <c r="F615" s="168" t="s">
        <v>6202</v>
      </c>
      <c r="G615" s="193">
        <f>IF(_1_541284561214624104645789101745678[[#This Row],[Type]]&gt;0,VLOOKUP(_1_541284561214624104645789101745678[[#This Row],[Type]],Main[[#All],[TYPE]:[UNIT]],'Unit Price'!C$1,FALSE),0)</f>
        <v>0</v>
      </c>
      <c r="H615" s="197">
        <f>IF(_1_541284561214624104645789101745678[[#This Row],[Type]]&gt;0,VLOOKUP(_1_541284561214624104645789101745678[[#This Row],[Type]],Main[[#All],[TYPE]:[UNIT]],'Unit Price'!D$1,FALSE),0)</f>
        <v>0</v>
      </c>
      <c r="I615" s="194">
        <f>IF(_1_541284561214624104645789101745678[[#This Row],[Type]]&gt;0,VLOOKUP(_1_541284561214624104645789101745678[[#This Row],[Type]],Main[[#All],[TYPE]:[UNIT]],'Unit Price'!G$1,FALSE),0)</f>
        <v>0</v>
      </c>
      <c r="J615" s="194">
        <f>IF(_1_541284561214624104645789101745678[[#This Row],[Type]]&gt;0,VLOOKUP(_1_541284561214624104645789101745678[[#This Row],[Type]],Main[[#All],[TYPE]:[UNIT]],'Unit Price'!H$1,FALSE),0)</f>
        <v>0</v>
      </c>
      <c r="K615" s="194">
        <f>IF(_1_541284561214624104645789101745678[[#This Row],[Discount selection]]&gt;0,VLOOKUP(_1_541284561214624104645789101745678[[#This Row],[Discount selection]],'Discount Structure'!$A$2:$B$30,2,"false"),0)</f>
        <v>1</v>
      </c>
      <c r="L615" s="194">
        <f>_1_541284561214624104645789101745678[[#This Row],[LIST $]]*_1_541284561214624104645789101745678[[#This Row],[DISCOUNT]]*_1_541284561214624104645789101745678[[#This Row],[DISCOUNT 2]]</f>
        <v>0</v>
      </c>
      <c r="M615" s="194">
        <f>IF(OR(_1_541284561214624104645789101745678[[#This Row],[UNIT]]&gt;0,_1_541284561214624104645789101745678[[#This Row],[UNIT]]&lt;0),_1_541284561214624104645789101745678[[#This Row],[UNIT]]*_1_541284561214624104645789101745678[[#This Row],[COST]],0)</f>
        <v>0</v>
      </c>
      <c r="N615" s="194">
        <f t="shared" si="9"/>
        <v>1.3</v>
      </c>
      <c r="O615" s="198">
        <f>_1_541284561214624104645789101745678[[#This Row],[TOTAL]]*_1_541284561214624104645789101745678[[#This Row],[MARGIN]]</f>
        <v>0</v>
      </c>
      <c r="R615" s="41"/>
    </row>
    <row r="616" spans="4:18">
      <c r="D616" s="188"/>
      <c r="F616" s="168" t="s">
        <v>6202</v>
      </c>
      <c r="G616" s="193">
        <f>IF(_1_541284561214624104645789101745678[[#This Row],[Type]]&gt;0,VLOOKUP(_1_541284561214624104645789101745678[[#This Row],[Type]],Main[[#All],[TYPE]:[UNIT]],'Unit Price'!C$1,FALSE),0)</f>
        <v>0</v>
      </c>
      <c r="H616" s="197">
        <f>IF(_1_541284561214624104645789101745678[[#This Row],[Type]]&gt;0,VLOOKUP(_1_541284561214624104645789101745678[[#This Row],[Type]],Main[[#All],[TYPE]:[UNIT]],'Unit Price'!D$1,FALSE),0)</f>
        <v>0</v>
      </c>
      <c r="I616" s="194">
        <f>IF(_1_541284561214624104645789101745678[[#This Row],[Type]]&gt;0,VLOOKUP(_1_541284561214624104645789101745678[[#This Row],[Type]],Main[[#All],[TYPE]:[UNIT]],'Unit Price'!G$1,FALSE),0)</f>
        <v>0</v>
      </c>
      <c r="J616" s="194">
        <f>IF(_1_541284561214624104645789101745678[[#This Row],[Type]]&gt;0,VLOOKUP(_1_541284561214624104645789101745678[[#This Row],[Type]],Main[[#All],[TYPE]:[UNIT]],'Unit Price'!H$1,FALSE),0)</f>
        <v>0</v>
      </c>
      <c r="K616" s="194">
        <f>IF(_1_541284561214624104645789101745678[[#This Row],[Discount selection]]&gt;0,VLOOKUP(_1_541284561214624104645789101745678[[#This Row],[Discount selection]],'Discount Structure'!$A$2:$B$30,2,"false"),0)</f>
        <v>1</v>
      </c>
      <c r="L616" s="194">
        <f>_1_541284561214624104645789101745678[[#This Row],[LIST $]]*_1_541284561214624104645789101745678[[#This Row],[DISCOUNT]]*_1_541284561214624104645789101745678[[#This Row],[DISCOUNT 2]]</f>
        <v>0</v>
      </c>
      <c r="M616" s="194">
        <f>IF(OR(_1_541284561214624104645789101745678[[#This Row],[UNIT]]&gt;0,_1_541284561214624104645789101745678[[#This Row],[UNIT]]&lt;0),_1_541284561214624104645789101745678[[#This Row],[UNIT]]*_1_541284561214624104645789101745678[[#This Row],[COST]],0)</f>
        <v>0</v>
      </c>
      <c r="N616" s="194">
        <f t="shared" si="9"/>
        <v>1.3</v>
      </c>
      <c r="O616" s="198">
        <f>_1_541284561214624104645789101745678[[#This Row],[TOTAL]]*_1_541284561214624104645789101745678[[#This Row],[MARGIN]]</f>
        <v>0</v>
      </c>
      <c r="R616" s="41"/>
    </row>
    <row r="617" spans="4:18">
      <c r="D617" s="188"/>
      <c r="F617" s="168" t="s">
        <v>6202</v>
      </c>
      <c r="G617" s="193">
        <f>IF(_1_541284561214624104645789101745678[[#This Row],[Type]]&gt;0,VLOOKUP(_1_541284561214624104645789101745678[[#This Row],[Type]],Main[[#All],[TYPE]:[UNIT]],'Unit Price'!C$1,FALSE),0)</f>
        <v>0</v>
      </c>
      <c r="H617" s="197">
        <f>IF(_1_541284561214624104645789101745678[[#This Row],[Type]]&gt;0,VLOOKUP(_1_541284561214624104645789101745678[[#This Row],[Type]],Main[[#All],[TYPE]:[UNIT]],'Unit Price'!D$1,FALSE),0)</f>
        <v>0</v>
      </c>
      <c r="I617" s="194">
        <f>IF(_1_541284561214624104645789101745678[[#This Row],[Type]]&gt;0,VLOOKUP(_1_541284561214624104645789101745678[[#This Row],[Type]],Main[[#All],[TYPE]:[UNIT]],'Unit Price'!G$1,FALSE),0)</f>
        <v>0</v>
      </c>
      <c r="J617" s="194">
        <f>IF(_1_541284561214624104645789101745678[[#This Row],[Type]]&gt;0,VLOOKUP(_1_541284561214624104645789101745678[[#This Row],[Type]],Main[[#All],[TYPE]:[UNIT]],'Unit Price'!H$1,FALSE),0)</f>
        <v>0</v>
      </c>
      <c r="K617" s="194">
        <f>IF(_1_541284561214624104645789101745678[[#This Row],[Discount selection]]&gt;0,VLOOKUP(_1_541284561214624104645789101745678[[#This Row],[Discount selection]],'Discount Structure'!$A$2:$B$30,2,"false"),0)</f>
        <v>1</v>
      </c>
      <c r="L617" s="194">
        <f>_1_541284561214624104645789101745678[[#This Row],[LIST $]]*_1_541284561214624104645789101745678[[#This Row],[DISCOUNT]]*_1_541284561214624104645789101745678[[#This Row],[DISCOUNT 2]]</f>
        <v>0</v>
      </c>
      <c r="M617" s="194">
        <f>IF(OR(_1_541284561214624104645789101745678[[#This Row],[UNIT]]&gt;0,_1_541284561214624104645789101745678[[#This Row],[UNIT]]&lt;0),_1_541284561214624104645789101745678[[#This Row],[UNIT]]*_1_541284561214624104645789101745678[[#This Row],[COST]],0)</f>
        <v>0</v>
      </c>
      <c r="N617" s="194">
        <f t="shared" si="9"/>
        <v>1.3</v>
      </c>
      <c r="O617" s="198">
        <f>_1_541284561214624104645789101745678[[#This Row],[TOTAL]]*_1_541284561214624104645789101745678[[#This Row],[MARGIN]]</f>
        <v>0</v>
      </c>
      <c r="R617" s="41"/>
    </row>
    <row r="618" spans="4:18">
      <c r="D618" s="188"/>
      <c r="F618" s="168" t="s">
        <v>6202</v>
      </c>
      <c r="G618" s="193">
        <f>IF(_1_541284561214624104645789101745678[[#This Row],[Type]]&gt;0,VLOOKUP(_1_541284561214624104645789101745678[[#This Row],[Type]],Main[[#All],[TYPE]:[UNIT]],'Unit Price'!C$1,FALSE),0)</f>
        <v>0</v>
      </c>
      <c r="H618" s="197">
        <f>IF(_1_541284561214624104645789101745678[[#This Row],[Type]]&gt;0,VLOOKUP(_1_541284561214624104645789101745678[[#This Row],[Type]],Main[[#All],[TYPE]:[UNIT]],'Unit Price'!D$1,FALSE),0)</f>
        <v>0</v>
      </c>
      <c r="I618" s="194">
        <f>IF(_1_541284561214624104645789101745678[[#This Row],[Type]]&gt;0,VLOOKUP(_1_541284561214624104645789101745678[[#This Row],[Type]],Main[[#All],[TYPE]:[UNIT]],'Unit Price'!G$1,FALSE),0)</f>
        <v>0</v>
      </c>
      <c r="J618" s="194">
        <f>IF(_1_541284561214624104645789101745678[[#This Row],[Type]]&gt;0,VLOOKUP(_1_541284561214624104645789101745678[[#This Row],[Type]],Main[[#All],[TYPE]:[UNIT]],'Unit Price'!H$1,FALSE),0)</f>
        <v>0</v>
      </c>
      <c r="K618" s="194">
        <f>IF(_1_541284561214624104645789101745678[[#This Row],[Discount selection]]&gt;0,VLOOKUP(_1_541284561214624104645789101745678[[#This Row],[Discount selection]],'Discount Structure'!$A$2:$B$30,2,"false"),0)</f>
        <v>1</v>
      </c>
      <c r="L618" s="194">
        <f>_1_541284561214624104645789101745678[[#This Row],[LIST $]]*_1_541284561214624104645789101745678[[#This Row],[DISCOUNT]]*_1_541284561214624104645789101745678[[#This Row],[DISCOUNT 2]]</f>
        <v>0</v>
      </c>
      <c r="M618" s="194">
        <f>IF(OR(_1_541284561214624104645789101745678[[#This Row],[UNIT]]&gt;0,_1_541284561214624104645789101745678[[#This Row],[UNIT]]&lt;0),_1_541284561214624104645789101745678[[#This Row],[UNIT]]*_1_541284561214624104645789101745678[[#This Row],[COST]],0)</f>
        <v>0</v>
      </c>
      <c r="N618" s="194">
        <f t="shared" si="9"/>
        <v>1.3</v>
      </c>
      <c r="O618" s="198">
        <f>_1_541284561214624104645789101745678[[#This Row],[TOTAL]]*_1_541284561214624104645789101745678[[#This Row],[MARGIN]]</f>
        <v>0</v>
      </c>
      <c r="R618" s="41"/>
    </row>
    <row r="619" spans="4:18">
      <c r="D619" s="188"/>
      <c r="F619" s="168" t="s">
        <v>6202</v>
      </c>
      <c r="G619" s="193">
        <f>IF(_1_541284561214624104645789101745678[[#This Row],[Type]]&gt;0,VLOOKUP(_1_541284561214624104645789101745678[[#This Row],[Type]],Main[[#All],[TYPE]:[UNIT]],'Unit Price'!C$1,FALSE),0)</f>
        <v>0</v>
      </c>
      <c r="H619" s="197">
        <f>IF(_1_541284561214624104645789101745678[[#This Row],[Type]]&gt;0,VLOOKUP(_1_541284561214624104645789101745678[[#This Row],[Type]],Main[[#All],[TYPE]:[UNIT]],'Unit Price'!D$1,FALSE),0)</f>
        <v>0</v>
      </c>
      <c r="I619" s="194">
        <f>IF(_1_541284561214624104645789101745678[[#This Row],[Type]]&gt;0,VLOOKUP(_1_541284561214624104645789101745678[[#This Row],[Type]],Main[[#All],[TYPE]:[UNIT]],'Unit Price'!G$1,FALSE),0)</f>
        <v>0</v>
      </c>
      <c r="J619" s="194">
        <f>IF(_1_541284561214624104645789101745678[[#This Row],[Type]]&gt;0,VLOOKUP(_1_541284561214624104645789101745678[[#This Row],[Type]],Main[[#All],[TYPE]:[UNIT]],'Unit Price'!H$1,FALSE),0)</f>
        <v>0</v>
      </c>
      <c r="K619" s="194">
        <f>IF(_1_541284561214624104645789101745678[[#This Row],[Discount selection]]&gt;0,VLOOKUP(_1_541284561214624104645789101745678[[#This Row],[Discount selection]],'Discount Structure'!$A$2:$B$30,2,"false"),0)</f>
        <v>1</v>
      </c>
      <c r="L619" s="194">
        <f>_1_541284561214624104645789101745678[[#This Row],[LIST $]]*_1_541284561214624104645789101745678[[#This Row],[DISCOUNT]]*_1_541284561214624104645789101745678[[#This Row],[DISCOUNT 2]]</f>
        <v>0</v>
      </c>
      <c r="M619" s="194">
        <f>IF(OR(_1_541284561214624104645789101745678[[#This Row],[UNIT]]&gt;0,_1_541284561214624104645789101745678[[#This Row],[UNIT]]&lt;0),_1_541284561214624104645789101745678[[#This Row],[UNIT]]*_1_541284561214624104645789101745678[[#This Row],[COST]],0)</f>
        <v>0</v>
      </c>
      <c r="N619" s="194">
        <f t="shared" si="9"/>
        <v>1.3</v>
      </c>
      <c r="O619" s="198">
        <f>_1_541284561214624104645789101745678[[#This Row],[TOTAL]]*_1_541284561214624104645789101745678[[#This Row],[MARGIN]]</f>
        <v>0</v>
      </c>
      <c r="R619" s="41"/>
    </row>
    <row r="620" spans="4:18">
      <c r="D620" s="188"/>
      <c r="F620" s="168" t="s">
        <v>6202</v>
      </c>
      <c r="G620" s="193">
        <f>IF(_1_541284561214624104645789101745678[[#This Row],[Type]]&gt;0,VLOOKUP(_1_541284561214624104645789101745678[[#This Row],[Type]],Main[[#All],[TYPE]:[UNIT]],'Unit Price'!C$1,FALSE),0)</f>
        <v>0</v>
      </c>
      <c r="H620" s="197">
        <f>IF(_1_541284561214624104645789101745678[[#This Row],[Type]]&gt;0,VLOOKUP(_1_541284561214624104645789101745678[[#This Row],[Type]],Main[[#All],[TYPE]:[UNIT]],'Unit Price'!D$1,FALSE),0)</f>
        <v>0</v>
      </c>
      <c r="I620" s="194">
        <f>IF(_1_541284561214624104645789101745678[[#This Row],[Type]]&gt;0,VLOOKUP(_1_541284561214624104645789101745678[[#This Row],[Type]],Main[[#All],[TYPE]:[UNIT]],'Unit Price'!G$1,FALSE),0)</f>
        <v>0</v>
      </c>
      <c r="J620" s="194">
        <f>IF(_1_541284561214624104645789101745678[[#This Row],[Type]]&gt;0,VLOOKUP(_1_541284561214624104645789101745678[[#This Row],[Type]],Main[[#All],[TYPE]:[UNIT]],'Unit Price'!H$1,FALSE),0)</f>
        <v>0</v>
      </c>
      <c r="K620" s="194">
        <f>IF(_1_541284561214624104645789101745678[[#This Row],[Discount selection]]&gt;0,VLOOKUP(_1_541284561214624104645789101745678[[#This Row],[Discount selection]],'Discount Structure'!$A$2:$B$30,2,"false"),0)</f>
        <v>1</v>
      </c>
      <c r="L620" s="194">
        <f>_1_541284561214624104645789101745678[[#This Row],[LIST $]]*_1_541284561214624104645789101745678[[#This Row],[DISCOUNT]]*_1_541284561214624104645789101745678[[#This Row],[DISCOUNT 2]]</f>
        <v>0</v>
      </c>
      <c r="M620" s="194">
        <f>IF(OR(_1_541284561214624104645789101745678[[#This Row],[UNIT]]&gt;0,_1_541284561214624104645789101745678[[#This Row],[UNIT]]&lt;0),_1_541284561214624104645789101745678[[#This Row],[UNIT]]*_1_541284561214624104645789101745678[[#This Row],[COST]],0)</f>
        <v>0</v>
      </c>
      <c r="N620" s="194">
        <f t="shared" si="9"/>
        <v>1.3</v>
      </c>
      <c r="O620" s="198">
        <f>_1_541284561214624104645789101745678[[#This Row],[TOTAL]]*_1_541284561214624104645789101745678[[#This Row],[MARGIN]]</f>
        <v>0</v>
      </c>
      <c r="R620" s="41"/>
    </row>
    <row r="621" spans="4:18">
      <c r="D621" s="188"/>
      <c r="F621" s="168" t="s">
        <v>6202</v>
      </c>
      <c r="G621" s="193">
        <f>IF(_1_541284561214624104645789101745678[[#This Row],[Type]]&gt;0,VLOOKUP(_1_541284561214624104645789101745678[[#This Row],[Type]],Main[[#All],[TYPE]:[UNIT]],'Unit Price'!C$1,FALSE),0)</f>
        <v>0</v>
      </c>
      <c r="H621" s="197">
        <f>IF(_1_541284561214624104645789101745678[[#This Row],[Type]]&gt;0,VLOOKUP(_1_541284561214624104645789101745678[[#This Row],[Type]],Main[[#All],[TYPE]:[UNIT]],'Unit Price'!D$1,FALSE),0)</f>
        <v>0</v>
      </c>
      <c r="I621" s="194">
        <f>IF(_1_541284561214624104645789101745678[[#This Row],[Type]]&gt;0,VLOOKUP(_1_541284561214624104645789101745678[[#This Row],[Type]],Main[[#All],[TYPE]:[UNIT]],'Unit Price'!G$1,FALSE),0)</f>
        <v>0</v>
      </c>
      <c r="J621" s="194">
        <f>IF(_1_541284561214624104645789101745678[[#This Row],[Type]]&gt;0,VLOOKUP(_1_541284561214624104645789101745678[[#This Row],[Type]],Main[[#All],[TYPE]:[UNIT]],'Unit Price'!H$1,FALSE),0)</f>
        <v>0</v>
      </c>
      <c r="K621" s="194">
        <f>IF(_1_541284561214624104645789101745678[[#This Row],[Discount selection]]&gt;0,VLOOKUP(_1_541284561214624104645789101745678[[#This Row],[Discount selection]],'Discount Structure'!$A$2:$B$30,2,"false"),0)</f>
        <v>1</v>
      </c>
      <c r="L621" s="194">
        <f>_1_541284561214624104645789101745678[[#This Row],[LIST $]]*_1_541284561214624104645789101745678[[#This Row],[DISCOUNT]]*_1_541284561214624104645789101745678[[#This Row],[DISCOUNT 2]]</f>
        <v>0</v>
      </c>
      <c r="M621" s="194">
        <f>IF(OR(_1_541284561214624104645789101745678[[#This Row],[UNIT]]&gt;0,_1_541284561214624104645789101745678[[#This Row],[UNIT]]&lt;0),_1_541284561214624104645789101745678[[#This Row],[UNIT]]*_1_541284561214624104645789101745678[[#This Row],[COST]],0)</f>
        <v>0</v>
      </c>
      <c r="N621" s="194">
        <f t="shared" si="9"/>
        <v>1.3</v>
      </c>
      <c r="O621" s="198">
        <f>_1_541284561214624104645789101745678[[#This Row],[TOTAL]]*_1_541284561214624104645789101745678[[#This Row],[MARGIN]]</f>
        <v>0</v>
      </c>
      <c r="R621" s="41"/>
    </row>
    <row r="622" spans="4:18">
      <c r="D622" s="188"/>
      <c r="F622" s="168" t="s">
        <v>6202</v>
      </c>
      <c r="G622" s="193">
        <f>IF(_1_541284561214624104645789101745678[[#This Row],[Type]]&gt;0,VLOOKUP(_1_541284561214624104645789101745678[[#This Row],[Type]],Main[[#All],[TYPE]:[UNIT]],'Unit Price'!C$1,FALSE),0)</f>
        <v>0</v>
      </c>
      <c r="H622" s="197">
        <f>IF(_1_541284561214624104645789101745678[[#This Row],[Type]]&gt;0,VLOOKUP(_1_541284561214624104645789101745678[[#This Row],[Type]],Main[[#All],[TYPE]:[UNIT]],'Unit Price'!D$1,FALSE),0)</f>
        <v>0</v>
      </c>
      <c r="I622" s="194">
        <f>IF(_1_541284561214624104645789101745678[[#This Row],[Type]]&gt;0,VLOOKUP(_1_541284561214624104645789101745678[[#This Row],[Type]],Main[[#All],[TYPE]:[UNIT]],'Unit Price'!G$1,FALSE),0)</f>
        <v>0</v>
      </c>
      <c r="J622" s="194">
        <f>IF(_1_541284561214624104645789101745678[[#This Row],[Type]]&gt;0,VLOOKUP(_1_541284561214624104645789101745678[[#This Row],[Type]],Main[[#All],[TYPE]:[UNIT]],'Unit Price'!H$1,FALSE),0)</f>
        <v>0</v>
      </c>
      <c r="K622" s="194">
        <f>IF(_1_541284561214624104645789101745678[[#This Row],[Discount selection]]&gt;0,VLOOKUP(_1_541284561214624104645789101745678[[#This Row],[Discount selection]],'Discount Structure'!$A$2:$B$30,2,"false"),0)</f>
        <v>1</v>
      </c>
      <c r="L622" s="194">
        <f>_1_541284561214624104645789101745678[[#This Row],[LIST $]]*_1_541284561214624104645789101745678[[#This Row],[DISCOUNT]]*_1_541284561214624104645789101745678[[#This Row],[DISCOUNT 2]]</f>
        <v>0</v>
      </c>
      <c r="M622" s="194">
        <f>IF(OR(_1_541284561214624104645789101745678[[#This Row],[UNIT]]&gt;0,_1_541284561214624104645789101745678[[#This Row],[UNIT]]&lt;0),_1_541284561214624104645789101745678[[#This Row],[UNIT]]*_1_541284561214624104645789101745678[[#This Row],[COST]],0)</f>
        <v>0</v>
      </c>
      <c r="N622" s="194">
        <f t="shared" si="9"/>
        <v>1.3</v>
      </c>
      <c r="O622" s="198">
        <f>_1_541284561214624104645789101745678[[#This Row],[TOTAL]]*_1_541284561214624104645789101745678[[#This Row],[MARGIN]]</f>
        <v>0</v>
      </c>
      <c r="R622" s="41"/>
    </row>
    <row r="623" spans="4:18">
      <c r="D623" s="188"/>
      <c r="F623" s="168" t="s">
        <v>6202</v>
      </c>
      <c r="G623" s="193">
        <f>IF(_1_541284561214624104645789101745678[[#This Row],[Type]]&gt;0,VLOOKUP(_1_541284561214624104645789101745678[[#This Row],[Type]],Main[[#All],[TYPE]:[UNIT]],'Unit Price'!C$1,FALSE),0)</f>
        <v>0</v>
      </c>
      <c r="H623" s="197">
        <f>IF(_1_541284561214624104645789101745678[[#This Row],[Type]]&gt;0,VLOOKUP(_1_541284561214624104645789101745678[[#This Row],[Type]],Main[[#All],[TYPE]:[UNIT]],'Unit Price'!D$1,FALSE),0)</f>
        <v>0</v>
      </c>
      <c r="I623" s="194">
        <f>IF(_1_541284561214624104645789101745678[[#This Row],[Type]]&gt;0,VLOOKUP(_1_541284561214624104645789101745678[[#This Row],[Type]],Main[[#All],[TYPE]:[UNIT]],'Unit Price'!G$1,FALSE),0)</f>
        <v>0</v>
      </c>
      <c r="J623" s="194">
        <f>IF(_1_541284561214624104645789101745678[[#This Row],[Type]]&gt;0,VLOOKUP(_1_541284561214624104645789101745678[[#This Row],[Type]],Main[[#All],[TYPE]:[UNIT]],'Unit Price'!H$1,FALSE),0)</f>
        <v>0</v>
      </c>
      <c r="K623" s="194">
        <f>IF(_1_541284561214624104645789101745678[[#This Row],[Discount selection]]&gt;0,VLOOKUP(_1_541284561214624104645789101745678[[#This Row],[Discount selection]],'Discount Structure'!$A$2:$B$30,2,"false"),0)</f>
        <v>1</v>
      </c>
      <c r="L623" s="194">
        <f>_1_541284561214624104645789101745678[[#This Row],[LIST $]]*_1_541284561214624104645789101745678[[#This Row],[DISCOUNT]]*_1_541284561214624104645789101745678[[#This Row],[DISCOUNT 2]]</f>
        <v>0</v>
      </c>
      <c r="M623" s="194">
        <f>IF(OR(_1_541284561214624104645789101745678[[#This Row],[UNIT]]&gt;0,_1_541284561214624104645789101745678[[#This Row],[UNIT]]&lt;0),_1_541284561214624104645789101745678[[#This Row],[UNIT]]*_1_541284561214624104645789101745678[[#This Row],[COST]],0)</f>
        <v>0</v>
      </c>
      <c r="N623" s="194">
        <f t="shared" si="9"/>
        <v>1.3</v>
      </c>
      <c r="O623" s="198">
        <f>_1_541284561214624104645789101745678[[#This Row],[TOTAL]]*_1_541284561214624104645789101745678[[#This Row],[MARGIN]]</f>
        <v>0</v>
      </c>
      <c r="R623" s="41"/>
    </row>
    <row r="624" spans="4:18">
      <c r="D624" s="188"/>
      <c r="F624" s="168" t="s">
        <v>6202</v>
      </c>
      <c r="G624" s="193">
        <f>IF(_1_541284561214624104645789101745678[[#This Row],[Type]]&gt;0,VLOOKUP(_1_541284561214624104645789101745678[[#This Row],[Type]],Main[[#All],[TYPE]:[UNIT]],'Unit Price'!C$1,FALSE),0)</f>
        <v>0</v>
      </c>
      <c r="H624" s="197">
        <f>IF(_1_541284561214624104645789101745678[[#This Row],[Type]]&gt;0,VLOOKUP(_1_541284561214624104645789101745678[[#This Row],[Type]],Main[[#All],[TYPE]:[UNIT]],'Unit Price'!D$1,FALSE),0)</f>
        <v>0</v>
      </c>
      <c r="I624" s="194">
        <f>IF(_1_541284561214624104645789101745678[[#This Row],[Type]]&gt;0,VLOOKUP(_1_541284561214624104645789101745678[[#This Row],[Type]],Main[[#All],[TYPE]:[UNIT]],'Unit Price'!G$1,FALSE),0)</f>
        <v>0</v>
      </c>
      <c r="J624" s="194">
        <f>IF(_1_541284561214624104645789101745678[[#This Row],[Type]]&gt;0,VLOOKUP(_1_541284561214624104645789101745678[[#This Row],[Type]],Main[[#All],[TYPE]:[UNIT]],'Unit Price'!H$1,FALSE),0)</f>
        <v>0</v>
      </c>
      <c r="K624" s="194">
        <f>IF(_1_541284561214624104645789101745678[[#This Row],[Discount selection]]&gt;0,VLOOKUP(_1_541284561214624104645789101745678[[#This Row],[Discount selection]],'Discount Structure'!$A$2:$B$30,2,"false"),0)</f>
        <v>1</v>
      </c>
      <c r="L624" s="194">
        <f>_1_541284561214624104645789101745678[[#This Row],[LIST $]]*_1_541284561214624104645789101745678[[#This Row],[DISCOUNT]]*_1_541284561214624104645789101745678[[#This Row],[DISCOUNT 2]]</f>
        <v>0</v>
      </c>
      <c r="M624" s="194">
        <f>IF(OR(_1_541284561214624104645789101745678[[#This Row],[UNIT]]&gt;0,_1_541284561214624104645789101745678[[#This Row],[UNIT]]&lt;0),_1_541284561214624104645789101745678[[#This Row],[UNIT]]*_1_541284561214624104645789101745678[[#This Row],[COST]],0)</f>
        <v>0</v>
      </c>
      <c r="N624" s="194">
        <f t="shared" si="9"/>
        <v>1.3</v>
      </c>
      <c r="O624" s="198">
        <f>_1_541284561214624104645789101745678[[#This Row],[TOTAL]]*_1_541284561214624104645789101745678[[#This Row],[MARGIN]]</f>
        <v>0</v>
      </c>
      <c r="R624" s="41"/>
    </row>
    <row r="625" spans="4:18">
      <c r="D625" s="188"/>
      <c r="F625" s="168" t="s">
        <v>6202</v>
      </c>
      <c r="G625" s="193">
        <f>IF(_1_541284561214624104645789101745678[[#This Row],[Type]]&gt;0,VLOOKUP(_1_541284561214624104645789101745678[[#This Row],[Type]],Main[[#All],[TYPE]:[UNIT]],'Unit Price'!C$1,FALSE),0)</f>
        <v>0</v>
      </c>
      <c r="H625" s="197">
        <f>IF(_1_541284561214624104645789101745678[[#This Row],[Type]]&gt;0,VLOOKUP(_1_541284561214624104645789101745678[[#This Row],[Type]],Main[[#All],[TYPE]:[UNIT]],'Unit Price'!D$1,FALSE),0)</f>
        <v>0</v>
      </c>
      <c r="I625" s="194">
        <f>IF(_1_541284561214624104645789101745678[[#This Row],[Type]]&gt;0,VLOOKUP(_1_541284561214624104645789101745678[[#This Row],[Type]],Main[[#All],[TYPE]:[UNIT]],'Unit Price'!G$1,FALSE),0)</f>
        <v>0</v>
      </c>
      <c r="J625" s="194">
        <f>IF(_1_541284561214624104645789101745678[[#This Row],[Type]]&gt;0,VLOOKUP(_1_541284561214624104645789101745678[[#This Row],[Type]],Main[[#All],[TYPE]:[UNIT]],'Unit Price'!H$1,FALSE),0)</f>
        <v>0</v>
      </c>
      <c r="K625" s="194">
        <f>IF(_1_541284561214624104645789101745678[[#This Row],[Discount selection]]&gt;0,VLOOKUP(_1_541284561214624104645789101745678[[#This Row],[Discount selection]],'Discount Structure'!$A$2:$B$30,2,"false"),0)</f>
        <v>1</v>
      </c>
      <c r="L625" s="194">
        <f>_1_541284561214624104645789101745678[[#This Row],[LIST $]]*_1_541284561214624104645789101745678[[#This Row],[DISCOUNT]]*_1_541284561214624104645789101745678[[#This Row],[DISCOUNT 2]]</f>
        <v>0</v>
      </c>
      <c r="M625" s="194">
        <f>IF(OR(_1_541284561214624104645789101745678[[#This Row],[UNIT]]&gt;0,_1_541284561214624104645789101745678[[#This Row],[UNIT]]&lt;0),_1_541284561214624104645789101745678[[#This Row],[UNIT]]*_1_541284561214624104645789101745678[[#This Row],[COST]],0)</f>
        <v>0</v>
      </c>
      <c r="N625" s="194">
        <f t="shared" si="9"/>
        <v>1.3</v>
      </c>
      <c r="O625" s="198">
        <f>_1_541284561214624104645789101745678[[#This Row],[TOTAL]]*_1_541284561214624104645789101745678[[#This Row],[MARGIN]]</f>
        <v>0</v>
      </c>
      <c r="R625" s="41"/>
    </row>
    <row r="626" spans="4:18">
      <c r="D626" s="188"/>
      <c r="F626" s="168" t="s">
        <v>6202</v>
      </c>
      <c r="G626" s="193">
        <f>IF(_1_541284561214624104645789101745678[[#This Row],[Type]]&gt;0,VLOOKUP(_1_541284561214624104645789101745678[[#This Row],[Type]],Main[[#All],[TYPE]:[UNIT]],'Unit Price'!C$1,FALSE),0)</f>
        <v>0</v>
      </c>
      <c r="H626" s="197">
        <f>IF(_1_541284561214624104645789101745678[[#This Row],[Type]]&gt;0,VLOOKUP(_1_541284561214624104645789101745678[[#This Row],[Type]],Main[[#All],[TYPE]:[UNIT]],'Unit Price'!D$1,FALSE),0)</f>
        <v>0</v>
      </c>
      <c r="I626" s="194">
        <f>IF(_1_541284561214624104645789101745678[[#This Row],[Type]]&gt;0,VLOOKUP(_1_541284561214624104645789101745678[[#This Row],[Type]],Main[[#All],[TYPE]:[UNIT]],'Unit Price'!G$1,FALSE),0)</f>
        <v>0</v>
      </c>
      <c r="J626" s="194">
        <f>IF(_1_541284561214624104645789101745678[[#This Row],[Type]]&gt;0,VLOOKUP(_1_541284561214624104645789101745678[[#This Row],[Type]],Main[[#All],[TYPE]:[UNIT]],'Unit Price'!H$1,FALSE),0)</f>
        <v>0</v>
      </c>
      <c r="K626" s="194">
        <f>IF(_1_541284561214624104645789101745678[[#This Row],[Discount selection]]&gt;0,VLOOKUP(_1_541284561214624104645789101745678[[#This Row],[Discount selection]],'Discount Structure'!$A$2:$B$30,2,"false"),0)</f>
        <v>1</v>
      </c>
      <c r="L626" s="194">
        <f>_1_541284561214624104645789101745678[[#This Row],[LIST $]]*_1_541284561214624104645789101745678[[#This Row],[DISCOUNT]]*_1_541284561214624104645789101745678[[#This Row],[DISCOUNT 2]]</f>
        <v>0</v>
      </c>
      <c r="M626" s="194">
        <f>IF(OR(_1_541284561214624104645789101745678[[#This Row],[UNIT]]&gt;0,_1_541284561214624104645789101745678[[#This Row],[UNIT]]&lt;0),_1_541284561214624104645789101745678[[#This Row],[UNIT]]*_1_541284561214624104645789101745678[[#This Row],[COST]],0)</f>
        <v>0</v>
      </c>
      <c r="N626" s="194">
        <f t="shared" si="9"/>
        <v>1.3</v>
      </c>
      <c r="O626" s="198">
        <f>_1_541284561214624104645789101745678[[#This Row],[TOTAL]]*_1_541284561214624104645789101745678[[#This Row],[MARGIN]]</f>
        <v>0</v>
      </c>
      <c r="R626" s="41"/>
    </row>
    <row r="627" spans="4:18">
      <c r="D627" s="188"/>
      <c r="F627" s="168" t="s">
        <v>6202</v>
      </c>
      <c r="G627" s="193">
        <f>IF(_1_541284561214624104645789101745678[[#This Row],[Type]]&gt;0,VLOOKUP(_1_541284561214624104645789101745678[[#This Row],[Type]],Main[[#All],[TYPE]:[UNIT]],'Unit Price'!C$1,FALSE),0)</f>
        <v>0</v>
      </c>
      <c r="H627" s="197">
        <f>IF(_1_541284561214624104645789101745678[[#This Row],[Type]]&gt;0,VLOOKUP(_1_541284561214624104645789101745678[[#This Row],[Type]],Main[[#All],[TYPE]:[UNIT]],'Unit Price'!D$1,FALSE),0)</f>
        <v>0</v>
      </c>
      <c r="I627" s="194">
        <f>IF(_1_541284561214624104645789101745678[[#This Row],[Type]]&gt;0,VLOOKUP(_1_541284561214624104645789101745678[[#This Row],[Type]],Main[[#All],[TYPE]:[UNIT]],'Unit Price'!G$1,FALSE),0)</f>
        <v>0</v>
      </c>
      <c r="J627" s="194">
        <f>IF(_1_541284561214624104645789101745678[[#This Row],[Type]]&gt;0,VLOOKUP(_1_541284561214624104645789101745678[[#This Row],[Type]],Main[[#All],[TYPE]:[UNIT]],'Unit Price'!H$1,FALSE),0)</f>
        <v>0</v>
      </c>
      <c r="K627" s="194">
        <f>IF(_1_541284561214624104645789101745678[[#This Row],[Discount selection]]&gt;0,VLOOKUP(_1_541284561214624104645789101745678[[#This Row],[Discount selection]],'Discount Structure'!$A$2:$B$30,2,"false"),0)</f>
        <v>1</v>
      </c>
      <c r="L627" s="194">
        <f>_1_541284561214624104645789101745678[[#This Row],[LIST $]]*_1_541284561214624104645789101745678[[#This Row],[DISCOUNT]]*_1_541284561214624104645789101745678[[#This Row],[DISCOUNT 2]]</f>
        <v>0</v>
      </c>
      <c r="M627" s="194">
        <f>IF(OR(_1_541284561214624104645789101745678[[#This Row],[UNIT]]&gt;0,_1_541284561214624104645789101745678[[#This Row],[UNIT]]&lt;0),_1_541284561214624104645789101745678[[#This Row],[UNIT]]*_1_541284561214624104645789101745678[[#This Row],[COST]],0)</f>
        <v>0</v>
      </c>
      <c r="N627" s="194">
        <f t="shared" si="9"/>
        <v>1.3</v>
      </c>
      <c r="O627" s="198">
        <f>_1_541284561214624104645789101745678[[#This Row],[TOTAL]]*_1_541284561214624104645789101745678[[#This Row],[MARGIN]]</f>
        <v>0</v>
      </c>
      <c r="R627" s="41"/>
    </row>
    <row r="628" spans="4:18">
      <c r="D628" s="188"/>
      <c r="F628" s="168" t="s">
        <v>6202</v>
      </c>
      <c r="G628" s="193">
        <f>IF(_1_541284561214624104645789101745678[[#This Row],[Type]]&gt;0,VLOOKUP(_1_541284561214624104645789101745678[[#This Row],[Type]],Main[[#All],[TYPE]:[UNIT]],'Unit Price'!C$1,FALSE),0)</f>
        <v>0</v>
      </c>
      <c r="H628" s="197">
        <f>IF(_1_541284561214624104645789101745678[[#This Row],[Type]]&gt;0,VLOOKUP(_1_541284561214624104645789101745678[[#This Row],[Type]],Main[[#All],[TYPE]:[UNIT]],'Unit Price'!D$1,FALSE),0)</f>
        <v>0</v>
      </c>
      <c r="I628" s="194">
        <f>IF(_1_541284561214624104645789101745678[[#This Row],[Type]]&gt;0,VLOOKUP(_1_541284561214624104645789101745678[[#This Row],[Type]],Main[[#All],[TYPE]:[UNIT]],'Unit Price'!G$1,FALSE),0)</f>
        <v>0</v>
      </c>
      <c r="J628" s="194">
        <f>IF(_1_541284561214624104645789101745678[[#This Row],[Type]]&gt;0,VLOOKUP(_1_541284561214624104645789101745678[[#This Row],[Type]],Main[[#All],[TYPE]:[UNIT]],'Unit Price'!H$1,FALSE),0)</f>
        <v>0</v>
      </c>
      <c r="K628" s="194">
        <f>IF(_1_541284561214624104645789101745678[[#This Row],[Discount selection]]&gt;0,VLOOKUP(_1_541284561214624104645789101745678[[#This Row],[Discount selection]],'Discount Structure'!$A$2:$B$30,2,"false"),0)</f>
        <v>1</v>
      </c>
      <c r="L628" s="194">
        <f>_1_541284561214624104645789101745678[[#This Row],[LIST $]]*_1_541284561214624104645789101745678[[#This Row],[DISCOUNT]]*_1_541284561214624104645789101745678[[#This Row],[DISCOUNT 2]]</f>
        <v>0</v>
      </c>
      <c r="M628" s="194">
        <f>IF(OR(_1_541284561214624104645789101745678[[#This Row],[UNIT]]&gt;0,_1_541284561214624104645789101745678[[#This Row],[UNIT]]&lt;0),_1_541284561214624104645789101745678[[#This Row],[UNIT]]*_1_541284561214624104645789101745678[[#This Row],[COST]],0)</f>
        <v>0</v>
      </c>
      <c r="N628" s="194">
        <f t="shared" si="9"/>
        <v>1.3</v>
      </c>
      <c r="O628" s="198">
        <f>_1_541284561214624104645789101745678[[#This Row],[TOTAL]]*_1_541284561214624104645789101745678[[#This Row],[MARGIN]]</f>
        <v>0</v>
      </c>
      <c r="R628" s="41"/>
    </row>
    <row r="629" spans="4:18">
      <c r="D629" s="188"/>
      <c r="F629" s="168" t="s">
        <v>6202</v>
      </c>
      <c r="G629" s="193">
        <f>IF(_1_541284561214624104645789101745678[[#This Row],[Type]]&gt;0,VLOOKUP(_1_541284561214624104645789101745678[[#This Row],[Type]],Main[[#All],[TYPE]:[UNIT]],'Unit Price'!C$1,FALSE),0)</f>
        <v>0</v>
      </c>
      <c r="H629" s="197">
        <f>IF(_1_541284561214624104645789101745678[[#This Row],[Type]]&gt;0,VLOOKUP(_1_541284561214624104645789101745678[[#This Row],[Type]],Main[[#All],[TYPE]:[UNIT]],'Unit Price'!D$1,FALSE),0)</f>
        <v>0</v>
      </c>
      <c r="I629" s="194">
        <f>IF(_1_541284561214624104645789101745678[[#This Row],[Type]]&gt;0,VLOOKUP(_1_541284561214624104645789101745678[[#This Row],[Type]],Main[[#All],[TYPE]:[UNIT]],'Unit Price'!G$1,FALSE),0)</f>
        <v>0</v>
      </c>
      <c r="J629" s="194">
        <f>IF(_1_541284561214624104645789101745678[[#This Row],[Type]]&gt;0,VLOOKUP(_1_541284561214624104645789101745678[[#This Row],[Type]],Main[[#All],[TYPE]:[UNIT]],'Unit Price'!H$1,FALSE),0)</f>
        <v>0</v>
      </c>
      <c r="K629" s="194">
        <f>IF(_1_541284561214624104645789101745678[[#This Row],[Discount selection]]&gt;0,VLOOKUP(_1_541284561214624104645789101745678[[#This Row],[Discount selection]],'Discount Structure'!$A$2:$B$30,2,"false"),0)</f>
        <v>1</v>
      </c>
      <c r="L629" s="194">
        <f>_1_541284561214624104645789101745678[[#This Row],[LIST $]]*_1_541284561214624104645789101745678[[#This Row],[DISCOUNT]]*_1_541284561214624104645789101745678[[#This Row],[DISCOUNT 2]]</f>
        <v>0</v>
      </c>
      <c r="M629" s="194">
        <f>IF(OR(_1_541284561214624104645789101745678[[#This Row],[UNIT]]&gt;0,_1_541284561214624104645789101745678[[#This Row],[UNIT]]&lt;0),_1_541284561214624104645789101745678[[#This Row],[UNIT]]*_1_541284561214624104645789101745678[[#This Row],[COST]],0)</f>
        <v>0</v>
      </c>
      <c r="N629" s="194">
        <f t="shared" si="9"/>
        <v>1.3</v>
      </c>
      <c r="O629" s="198">
        <f>_1_541284561214624104645789101745678[[#This Row],[TOTAL]]*_1_541284561214624104645789101745678[[#This Row],[MARGIN]]</f>
        <v>0</v>
      </c>
      <c r="R629" s="41"/>
    </row>
    <row r="630" spans="4:18">
      <c r="D630" s="188"/>
      <c r="F630" s="168" t="s">
        <v>6202</v>
      </c>
      <c r="G630" s="193">
        <f>IF(_1_541284561214624104645789101745678[[#This Row],[Type]]&gt;0,VLOOKUP(_1_541284561214624104645789101745678[[#This Row],[Type]],Main[[#All],[TYPE]:[UNIT]],'Unit Price'!C$1,FALSE),0)</f>
        <v>0</v>
      </c>
      <c r="H630" s="197">
        <f>IF(_1_541284561214624104645789101745678[[#This Row],[Type]]&gt;0,VLOOKUP(_1_541284561214624104645789101745678[[#This Row],[Type]],Main[[#All],[TYPE]:[UNIT]],'Unit Price'!D$1,FALSE),0)</f>
        <v>0</v>
      </c>
      <c r="I630" s="194">
        <f>IF(_1_541284561214624104645789101745678[[#This Row],[Type]]&gt;0,VLOOKUP(_1_541284561214624104645789101745678[[#This Row],[Type]],Main[[#All],[TYPE]:[UNIT]],'Unit Price'!G$1,FALSE),0)</f>
        <v>0</v>
      </c>
      <c r="J630" s="194">
        <f>IF(_1_541284561214624104645789101745678[[#This Row],[Type]]&gt;0,VLOOKUP(_1_541284561214624104645789101745678[[#This Row],[Type]],Main[[#All],[TYPE]:[UNIT]],'Unit Price'!H$1,FALSE),0)</f>
        <v>0</v>
      </c>
      <c r="K630" s="194">
        <f>IF(_1_541284561214624104645789101745678[[#This Row],[Discount selection]]&gt;0,VLOOKUP(_1_541284561214624104645789101745678[[#This Row],[Discount selection]],'Discount Structure'!$A$2:$B$30,2,"false"),0)</f>
        <v>1</v>
      </c>
      <c r="L630" s="194">
        <f>_1_541284561214624104645789101745678[[#This Row],[LIST $]]*_1_541284561214624104645789101745678[[#This Row],[DISCOUNT]]*_1_541284561214624104645789101745678[[#This Row],[DISCOUNT 2]]</f>
        <v>0</v>
      </c>
      <c r="M630" s="194">
        <f>IF(OR(_1_541284561214624104645789101745678[[#This Row],[UNIT]]&gt;0,_1_541284561214624104645789101745678[[#This Row],[UNIT]]&lt;0),_1_541284561214624104645789101745678[[#This Row],[UNIT]]*_1_541284561214624104645789101745678[[#This Row],[COST]],0)</f>
        <v>0</v>
      </c>
      <c r="N630" s="194">
        <f t="shared" si="9"/>
        <v>1.3</v>
      </c>
      <c r="O630" s="198">
        <f>_1_541284561214624104645789101745678[[#This Row],[TOTAL]]*_1_541284561214624104645789101745678[[#This Row],[MARGIN]]</f>
        <v>0</v>
      </c>
      <c r="R630" s="41"/>
    </row>
    <row r="631" spans="4:18">
      <c r="D631" s="188"/>
      <c r="F631" s="168" t="s">
        <v>6202</v>
      </c>
      <c r="G631" s="193">
        <f>IF(_1_541284561214624104645789101745678[[#This Row],[Type]]&gt;0,VLOOKUP(_1_541284561214624104645789101745678[[#This Row],[Type]],Main[[#All],[TYPE]:[UNIT]],'Unit Price'!C$1,FALSE),0)</f>
        <v>0</v>
      </c>
      <c r="H631" s="197">
        <f>IF(_1_541284561214624104645789101745678[[#This Row],[Type]]&gt;0,VLOOKUP(_1_541284561214624104645789101745678[[#This Row],[Type]],Main[[#All],[TYPE]:[UNIT]],'Unit Price'!D$1,FALSE),0)</f>
        <v>0</v>
      </c>
      <c r="I631" s="194">
        <f>IF(_1_541284561214624104645789101745678[[#This Row],[Type]]&gt;0,VLOOKUP(_1_541284561214624104645789101745678[[#This Row],[Type]],Main[[#All],[TYPE]:[UNIT]],'Unit Price'!G$1,FALSE),0)</f>
        <v>0</v>
      </c>
      <c r="J631" s="194">
        <f>IF(_1_541284561214624104645789101745678[[#This Row],[Type]]&gt;0,VLOOKUP(_1_541284561214624104645789101745678[[#This Row],[Type]],Main[[#All],[TYPE]:[UNIT]],'Unit Price'!H$1,FALSE),0)</f>
        <v>0</v>
      </c>
      <c r="K631" s="194">
        <f>IF(_1_541284561214624104645789101745678[[#This Row],[Discount selection]]&gt;0,VLOOKUP(_1_541284561214624104645789101745678[[#This Row],[Discount selection]],'Discount Structure'!$A$2:$B$30,2,"false"),0)</f>
        <v>1</v>
      </c>
      <c r="L631" s="194">
        <f>_1_541284561214624104645789101745678[[#This Row],[LIST $]]*_1_541284561214624104645789101745678[[#This Row],[DISCOUNT]]*_1_541284561214624104645789101745678[[#This Row],[DISCOUNT 2]]</f>
        <v>0</v>
      </c>
      <c r="M631" s="194">
        <f>IF(OR(_1_541284561214624104645789101745678[[#This Row],[UNIT]]&gt;0,_1_541284561214624104645789101745678[[#This Row],[UNIT]]&lt;0),_1_541284561214624104645789101745678[[#This Row],[UNIT]]*_1_541284561214624104645789101745678[[#This Row],[COST]],0)</f>
        <v>0</v>
      </c>
      <c r="N631" s="194">
        <f t="shared" si="9"/>
        <v>1.3</v>
      </c>
      <c r="O631" s="198">
        <f>_1_541284561214624104645789101745678[[#This Row],[TOTAL]]*_1_541284561214624104645789101745678[[#This Row],[MARGIN]]</f>
        <v>0</v>
      </c>
      <c r="R631" s="41"/>
    </row>
    <row r="632" spans="4:18">
      <c r="D632" s="188"/>
      <c r="F632" s="168" t="s">
        <v>6202</v>
      </c>
      <c r="G632" s="193">
        <f>IF(_1_541284561214624104645789101745678[[#This Row],[Type]]&gt;0,VLOOKUP(_1_541284561214624104645789101745678[[#This Row],[Type]],Main[[#All],[TYPE]:[UNIT]],'Unit Price'!C$1,FALSE),0)</f>
        <v>0</v>
      </c>
      <c r="H632" s="197">
        <f>IF(_1_541284561214624104645789101745678[[#This Row],[Type]]&gt;0,VLOOKUP(_1_541284561214624104645789101745678[[#This Row],[Type]],Main[[#All],[TYPE]:[UNIT]],'Unit Price'!D$1,FALSE),0)</f>
        <v>0</v>
      </c>
      <c r="I632" s="194">
        <f>IF(_1_541284561214624104645789101745678[[#This Row],[Type]]&gt;0,VLOOKUP(_1_541284561214624104645789101745678[[#This Row],[Type]],Main[[#All],[TYPE]:[UNIT]],'Unit Price'!G$1,FALSE),0)</f>
        <v>0</v>
      </c>
      <c r="J632" s="194">
        <f>IF(_1_541284561214624104645789101745678[[#This Row],[Type]]&gt;0,VLOOKUP(_1_541284561214624104645789101745678[[#This Row],[Type]],Main[[#All],[TYPE]:[UNIT]],'Unit Price'!H$1,FALSE),0)</f>
        <v>0</v>
      </c>
      <c r="K632" s="194">
        <f>IF(_1_541284561214624104645789101745678[[#This Row],[Discount selection]]&gt;0,VLOOKUP(_1_541284561214624104645789101745678[[#This Row],[Discount selection]],'Discount Structure'!$A$2:$B$30,2,"false"),0)</f>
        <v>1</v>
      </c>
      <c r="L632" s="194">
        <f>_1_541284561214624104645789101745678[[#This Row],[LIST $]]*_1_541284561214624104645789101745678[[#This Row],[DISCOUNT]]*_1_541284561214624104645789101745678[[#This Row],[DISCOUNT 2]]</f>
        <v>0</v>
      </c>
      <c r="M632" s="194">
        <f>IF(OR(_1_541284561214624104645789101745678[[#This Row],[UNIT]]&gt;0,_1_541284561214624104645789101745678[[#This Row],[UNIT]]&lt;0),_1_541284561214624104645789101745678[[#This Row],[UNIT]]*_1_541284561214624104645789101745678[[#This Row],[COST]],0)</f>
        <v>0</v>
      </c>
      <c r="N632" s="194">
        <f t="shared" si="9"/>
        <v>1.3</v>
      </c>
      <c r="O632" s="198">
        <f>_1_541284561214624104645789101745678[[#This Row],[TOTAL]]*_1_541284561214624104645789101745678[[#This Row],[MARGIN]]</f>
        <v>0</v>
      </c>
      <c r="R632" s="41"/>
    </row>
    <row r="633" spans="4:18">
      <c r="D633" s="188"/>
      <c r="F633" s="168" t="s">
        <v>6202</v>
      </c>
      <c r="G633" s="193">
        <f>IF(_1_541284561214624104645789101745678[[#This Row],[Type]]&gt;0,VLOOKUP(_1_541284561214624104645789101745678[[#This Row],[Type]],Main[[#All],[TYPE]:[UNIT]],'Unit Price'!C$1,FALSE),0)</f>
        <v>0</v>
      </c>
      <c r="H633" s="197">
        <f>IF(_1_541284561214624104645789101745678[[#This Row],[Type]]&gt;0,VLOOKUP(_1_541284561214624104645789101745678[[#This Row],[Type]],Main[[#All],[TYPE]:[UNIT]],'Unit Price'!D$1,FALSE),0)</f>
        <v>0</v>
      </c>
      <c r="I633" s="194">
        <f>IF(_1_541284561214624104645789101745678[[#This Row],[Type]]&gt;0,VLOOKUP(_1_541284561214624104645789101745678[[#This Row],[Type]],Main[[#All],[TYPE]:[UNIT]],'Unit Price'!G$1,FALSE),0)</f>
        <v>0</v>
      </c>
      <c r="J633" s="194">
        <f>IF(_1_541284561214624104645789101745678[[#This Row],[Type]]&gt;0,VLOOKUP(_1_541284561214624104645789101745678[[#This Row],[Type]],Main[[#All],[TYPE]:[UNIT]],'Unit Price'!H$1,FALSE),0)</f>
        <v>0</v>
      </c>
      <c r="K633" s="194">
        <f>IF(_1_541284561214624104645789101745678[[#This Row],[Discount selection]]&gt;0,VLOOKUP(_1_541284561214624104645789101745678[[#This Row],[Discount selection]],'Discount Structure'!$A$2:$B$30,2,"false"),0)</f>
        <v>1</v>
      </c>
      <c r="L633" s="194">
        <f>_1_541284561214624104645789101745678[[#This Row],[LIST $]]*_1_541284561214624104645789101745678[[#This Row],[DISCOUNT]]*_1_541284561214624104645789101745678[[#This Row],[DISCOUNT 2]]</f>
        <v>0</v>
      </c>
      <c r="M633" s="194">
        <f>IF(OR(_1_541284561214624104645789101745678[[#This Row],[UNIT]]&gt;0,_1_541284561214624104645789101745678[[#This Row],[UNIT]]&lt;0),_1_541284561214624104645789101745678[[#This Row],[UNIT]]*_1_541284561214624104645789101745678[[#This Row],[COST]],0)</f>
        <v>0</v>
      </c>
      <c r="N633" s="194">
        <f t="shared" si="9"/>
        <v>1.3</v>
      </c>
      <c r="O633" s="198">
        <f>_1_541284561214624104645789101745678[[#This Row],[TOTAL]]*_1_541284561214624104645789101745678[[#This Row],[MARGIN]]</f>
        <v>0</v>
      </c>
      <c r="R633" s="41"/>
    </row>
    <row r="634" spans="4:18">
      <c r="D634" s="188"/>
      <c r="F634" s="168" t="s">
        <v>6202</v>
      </c>
      <c r="G634" s="193">
        <f>IF(_1_541284561214624104645789101745678[[#This Row],[Type]]&gt;0,VLOOKUP(_1_541284561214624104645789101745678[[#This Row],[Type]],Main[[#All],[TYPE]:[UNIT]],'Unit Price'!C$1,FALSE),0)</f>
        <v>0</v>
      </c>
      <c r="H634" s="197">
        <f>IF(_1_541284561214624104645789101745678[[#This Row],[Type]]&gt;0,VLOOKUP(_1_541284561214624104645789101745678[[#This Row],[Type]],Main[[#All],[TYPE]:[UNIT]],'Unit Price'!D$1,FALSE),0)</f>
        <v>0</v>
      </c>
      <c r="I634" s="194">
        <f>IF(_1_541284561214624104645789101745678[[#This Row],[Type]]&gt;0,VLOOKUP(_1_541284561214624104645789101745678[[#This Row],[Type]],Main[[#All],[TYPE]:[UNIT]],'Unit Price'!G$1,FALSE),0)</f>
        <v>0</v>
      </c>
      <c r="J634" s="194">
        <f>IF(_1_541284561214624104645789101745678[[#This Row],[Type]]&gt;0,VLOOKUP(_1_541284561214624104645789101745678[[#This Row],[Type]],Main[[#All],[TYPE]:[UNIT]],'Unit Price'!H$1,FALSE),0)</f>
        <v>0</v>
      </c>
      <c r="K634" s="194">
        <f>IF(_1_541284561214624104645789101745678[[#This Row],[Discount selection]]&gt;0,VLOOKUP(_1_541284561214624104645789101745678[[#This Row],[Discount selection]],'Discount Structure'!$A$2:$B$30,2,"false"),0)</f>
        <v>1</v>
      </c>
      <c r="L634" s="194">
        <f>_1_541284561214624104645789101745678[[#This Row],[LIST $]]*_1_541284561214624104645789101745678[[#This Row],[DISCOUNT]]*_1_541284561214624104645789101745678[[#This Row],[DISCOUNT 2]]</f>
        <v>0</v>
      </c>
      <c r="M634" s="194">
        <f>IF(OR(_1_541284561214624104645789101745678[[#This Row],[UNIT]]&gt;0,_1_541284561214624104645789101745678[[#This Row],[UNIT]]&lt;0),_1_541284561214624104645789101745678[[#This Row],[UNIT]]*_1_541284561214624104645789101745678[[#This Row],[COST]],0)</f>
        <v>0</v>
      </c>
      <c r="N634" s="194">
        <f t="shared" si="9"/>
        <v>1.3</v>
      </c>
      <c r="O634" s="198">
        <f>_1_541284561214624104645789101745678[[#This Row],[TOTAL]]*_1_541284561214624104645789101745678[[#This Row],[MARGIN]]</f>
        <v>0</v>
      </c>
      <c r="R634" s="41"/>
    </row>
    <row r="635" spans="4:18">
      <c r="D635" s="188"/>
      <c r="F635" s="168" t="s">
        <v>6202</v>
      </c>
      <c r="G635" s="193">
        <f>IF(_1_541284561214624104645789101745678[[#This Row],[Type]]&gt;0,VLOOKUP(_1_541284561214624104645789101745678[[#This Row],[Type]],Main[[#All],[TYPE]:[UNIT]],'Unit Price'!C$1,FALSE),0)</f>
        <v>0</v>
      </c>
      <c r="H635" s="197">
        <f>IF(_1_541284561214624104645789101745678[[#This Row],[Type]]&gt;0,VLOOKUP(_1_541284561214624104645789101745678[[#This Row],[Type]],Main[[#All],[TYPE]:[UNIT]],'Unit Price'!D$1,FALSE),0)</f>
        <v>0</v>
      </c>
      <c r="I635" s="194">
        <f>IF(_1_541284561214624104645789101745678[[#This Row],[Type]]&gt;0,VLOOKUP(_1_541284561214624104645789101745678[[#This Row],[Type]],Main[[#All],[TYPE]:[UNIT]],'Unit Price'!G$1,FALSE),0)</f>
        <v>0</v>
      </c>
      <c r="J635" s="194">
        <f>IF(_1_541284561214624104645789101745678[[#This Row],[Type]]&gt;0,VLOOKUP(_1_541284561214624104645789101745678[[#This Row],[Type]],Main[[#All],[TYPE]:[UNIT]],'Unit Price'!H$1,FALSE),0)</f>
        <v>0</v>
      </c>
      <c r="K635" s="194">
        <f>IF(_1_541284561214624104645789101745678[[#This Row],[Discount selection]]&gt;0,VLOOKUP(_1_541284561214624104645789101745678[[#This Row],[Discount selection]],'Discount Structure'!$A$2:$B$30,2,"false"),0)</f>
        <v>1</v>
      </c>
      <c r="L635" s="194">
        <f>_1_541284561214624104645789101745678[[#This Row],[LIST $]]*_1_541284561214624104645789101745678[[#This Row],[DISCOUNT]]*_1_541284561214624104645789101745678[[#This Row],[DISCOUNT 2]]</f>
        <v>0</v>
      </c>
      <c r="M635" s="194">
        <f>IF(OR(_1_541284561214624104645789101745678[[#This Row],[UNIT]]&gt;0,_1_541284561214624104645789101745678[[#This Row],[UNIT]]&lt;0),_1_541284561214624104645789101745678[[#This Row],[UNIT]]*_1_541284561214624104645789101745678[[#This Row],[COST]],0)</f>
        <v>0</v>
      </c>
      <c r="N635" s="194">
        <f t="shared" si="9"/>
        <v>1.3</v>
      </c>
      <c r="O635" s="198">
        <f>_1_541284561214624104645789101745678[[#This Row],[TOTAL]]*_1_541284561214624104645789101745678[[#This Row],[MARGIN]]</f>
        <v>0</v>
      </c>
      <c r="R635" s="41"/>
    </row>
    <row r="636" spans="4:18">
      <c r="D636" s="188"/>
      <c r="F636" s="168" t="s">
        <v>6202</v>
      </c>
      <c r="G636" s="193">
        <f>IF(_1_541284561214624104645789101745678[[#This Row],[Type]]&gt;0,VLOOKUP(_1_541284561214624104645789101745678[[#This Row],[Type]],Main[[#All],[TYPE]:[UNIT]],'Unit Price'!C$1,FALSE),0)</f>
        <v>0</v>
      </c>
      <c r="H636" s="197">
        <f>IF(_1_541284561214624104645789101745678[[#This Row],[Type]]&gt;0,VLOOKUP(_1_541284561214624104645789101745678[[#This Row],[Type]],Main[[#All],[TYPE]:[UNIT]],'Unit Price'!D$1,FALSE),0)</f>
        <v>0</v>
      </c>
      <c r="I636" s="194">
        <f>IF(_1_541284561214624104645789101745678[[#This Row],[Type]]&gt;0,VLOOKUP(_1_541284561214624104645789101745678[[#This Row],[Type]],Main[[#All],[TYPE]:[UNIT]],'Unit Price'!G$1,FALSE),0)</f>
        <v>0</v>
      </c>
      <c r="J636" s="194">
        <f>IF(_1_541284561214624104645789101745678[[#This Row],[Type]]&gt;0,VLOOKUP(_1_541284561214624104645789101745678[[#This Row],[Type]],Main[[#All],[TYPE]:[UNIT]],'Unit Price'!H$1,FALSE),0)</f>
        <v>0</v>
      </c>
      <c r="K636" s="194">
        <f>IF(_1_541284561214624104645789101745678[[#This Row],[Discount selection]]&gt;0,VLOOKUP(_1_541284561214624104645789101745678[[#This Row],[Discount selection]],'Discount Structure'!$A$2:$B$30,2,"false"),0)</f>
        <v>1</v>
      </c>
      <c r="L636" s="194">
        <f>_1_541284561214624104645789101745678[[#This Row],[LIST $]]*_1_541284561214624104645789101745678[[#This Row],[DISCOUNT]]*_1_541284561214624104645789101745678[[#This Row],[DISCOUNT 2]]</f>
        <v>0</v>
      </c>
      <c r="M636" s="194">
        <f>IF(OR(_1_541284561214624104645789101745678[[#This Row],[UNIT]]&gt;0,_1_541284561214624104645789101745678[[#This Row],[UNIT]]&lt;0),_1_541284561214624104645789101745678[[#This Row],[UNIT]]*_1_541284561214624104645789101745678[[#This Row],[COST]],0)</f>
        <v>0</v>
      </c>
      <c r="N636" s="194">
        <f t="shared" si="9"/>
        <v>1.3</v>
      </c>
      <c r="O636" s="198">
        <f>_1_541284561214624104645789101745678[[#This Row],[TOTAL]]*_1_541284561214624104645789101745678[[#This Row],[MARGIN]]</f>
        <v>0</v>
      </c>
      <c r="R636" s="41"/>
    </row>
    <row r="637" spans="4:18">
      <c r="D637" s="188"/>
      <c r="F637" s="168" t="s">
        <v>6202</v>
      </c>
      <c r="G637" s="193">
        <f>IF(_1_541284561214624104645789101745678[[#This Row],[Type]]&gt;0,VLOOKUP(_1_541284561214624104645789101745678[[#This Row],[Type]],Main[[#All],[TYPE]:[UNIT]],'Unit Price'!C$1,FALSE),0)</f>
        <v>0</v>
      </c>
      <c r="H637" s="197">
        <f>IF(_1_541284561214624104645789101745678[[#This Row],[Type]]&gt;0,VLOOKUP(_1_541284561214624104645789101745678[[#This Row],[Type]],Main[[#All],[TYPE]:[UNIT]],'Unit Price'!D$1,FALSE),0)</f>
        <v>0</v>
      </c>
      <c r="I637" s="194">
        <f>IF(_1_541284561214624104645789101745678[[#This Row],[Type]]&gt;0,VLOOKUP(_1_541284561214624104645789101745678[[#This Row],[Type]],Main[[#All],[TYPE]:[UNIT]],'Unit Price'!G$1,FALSE),0)</f>
        <v>0</v>
      </c>
      <c r="J637" s="194">
        <f>IF(_1_541284561214624104645789101745678[[#This Row],[Type]]&gt;0,VLOOKUP(_1_541284561214624104645789101745678[[#This Row],[Type]],Main[[#All],[TYPE]:[UNIT]],'Unit Price'!H$1,FALSE),0)</f>
        <v>0</v>
      </c>
      <c r="K637" s="194">
        <f>IF(_1_541284561214624104645789101745678[[#This Row],[Discount selection]]&gt;0,VLOOKUP(_1_541284561214624104645789101745678[[#This Row],[Discount selection]],'Discount Structure'!$A$2:$B$30,2,"false"),0)</f>
        <v>1</v>
      </c>
      <c r="L637" s="194">
        <f>_1_541284561214624104645789101745678[[#This Row],[LIST $]]*_1_541284561214624104645789101745678[[#This Row],[DISCOUNT]]*_1_541284561214624104645789101745678[[#This Row],[DISCOUNT 2]]</f>
        <v>0</v>
      </c>
      <c r="M637" s="194">
        <f>IF(OR(_1_541284561214624104645789101745678[[#This Row],[UNIT]]&gt;0,_1_541284561214624104645789101745678[[#This Row],[UNIT]]&lt;0),_1_541284561214624104645789101745678[[#This Row],[UNIT]]*_1_541284561214624104645789101745678[[#This Row],[COST]],0)</f>
        <v>0</v>
      </c>
      <c r="N637" s="194">
        <f t="shared" si="9"/>
        <v>1.3</v>
      </c>
      <c r="O637" s="198">
        <f>_1_541284561214624104645789101745678[[#This Row],[TOTAL]]*_1_541284561214624104645789101745678[[#This Row],[MARGIN]]</f>
        <v>0</v>
      </c>
      <c r="R637" s="41"/>
    </row>
    <row r="638" spans="4:18">
      <c r="D638" s="188"/>
      <c r="F638" s="168" t="s">
        <v>6202</v>
      </c>
      <c r="G638" s="193">
        <f>IF(_1_541284561214624104645789101745678[[#This Row],[Type]]&gt;0,VLOOKUP(_1_541284561214624104645789101745678[[#This Row],[Type]],Main[[#All],[TYPE]:[UNIT]],'Unit Price'!C$1,FALSE),0)</f>
        <v>0</v>
      </c>
      <c r="H638" s="197">
        <f>IF(_1_541284561214624104645789101745678[[#This Row],[Type]]&gt;0,VLOOKUP(_1_541284561214624104645789101745678[[#This Row],[Type]],Main[[#All],[TYPE]:[UNIT]],'Unit Price'!D$1,FALSE),0)</f>
        <v>0</v>
      </c>
      <c r="I638" s="194">
        <f>IF(_1_541284561214624104645789101745678[[#This Row],[Type]]&gt;0,VLOOKUP(_1_541284561214624104645789101745678[[#This Row],[Type]],Main[[#All],[TYPE]:[UNIT]],'Unit Price'!G$1,FALSE),0)</f>
        <v>0</v>
      </c>
      <c r="J638" s="194">
        <f>IF(_1_541284561214624104645789101745678[[#This Row],[Type]]&gt;0,VLOOKUP(_1_541284561214624104645789101745678[[#This Row],[Type]],Main[[#All],[TYPE]:[UNIT]],'Unit Price'!H$1,FALSE),0)</f>
        <v>0</v>
      </c>
      <c r="K638" s="194">
        <f>IF(_1_541284561214624104645789101745678[[#This Row],[Discount selection]]&gt;0,VLOOKUP(_1_541284561214624104645789101745678[[#This Row],[Discount selection]],'Discount Structure'!$A$2:$B$30,2,"false"),0)</f>
        <v>1</v>
      </c>
      <c r="L638" s="194">
        <f>_1_541284561214624104645789101745678[[#This Row],[LIST $]]*_1_541284561214624104645789101745678[[#This Row],[DISCOUNT]]*_1_541284561214624104645789101745678[[#This Row],[DISCOUNT 2]]</f>
        <v>0</v>
      </c>
      <c r="M638" s="194">
        <f>IF(OR(_1_541284561214624104645789101745678[[#This Row],[UNIT]]&gt;0,_1_541284561214624104645789101745678[[#This Row],[UNIT]]&lt;0),_1_541284561214624104645789101745678[[#This Row],[UNIT]]*_1_541284561214624104645789101745678[[#This Row],[COST]],0)</f>
        <v>0</v>
      </c>
      <c r="N638" s="194">
        <f t="shared" si="9"/>
        <v>1.3</v>
      </c>
      <c r="O638" s="198">
        <f>_1_541284561214624104645789101745678[[#This Row],[TOTAL]]*_1_541284561214624104645789101745678[[#This Row],[MARGIN]]</f>
        <v>0</v>
      </c>
      <c r="R638" s="41"/>
    </row>
    <row r="639" spans="4:18">
      <c r="D639" s="188"/>
      <c r="F639" s="168" t="s">
        <v>6202</v>
      </c>
      <c r="G639" s="193">
        <f>IF(_1_541284561214624104645789101745678[[#This Row],[Type]]&gt;0,VLOOKUP(_1_541284561214624104645789101745678[[#This Row],[Type]],Main[[#All],[TYPE]:[UNIT]],'Unit Price'!C$1,FALSE),0)</f>
        <v>0</v>
      </c>
      <c r="H639" s="197">
        <f>IF(_1_541284561214624104645789101745678[[#This Row],[Type]]&gt;0,VLOOKUP(_1_541284561214624104645789101745678[[#This Row],[Type]],Main[[#All],[TYPE]:[UNIT]],'Unit Price'!D$1,FALSE),0)</f>
        <v>0</v>
      </c>
      <c r="I639" s="194">
        <f>IF(_1_541284561214624104645789101745678[[#This Row],[Type]]&gt;0,VLOOKUP(_1_541284561214624104645789101745678[[#This Row],[Type]],Main[[#All],[TYPE]:[UNIT]],'Unit Price'!G$1,FALSE),0)</f>
        <v>0</v>
      </c>
      <c r="J639" s="194">
        <f>IF(_1_541284561214624104645789101745678[[#This Row],[Type]]&gt;0,VLOOKUP(_1_541284561214624104645789101745678[[#This Row],[Type]],Main[[#All],[TYPE]:[UNIT]],'Unit Price'!H$1,FALSE),0)</f>
        <v>0</v>
      </c>
      <c r="K639" s="194">
        <f>IF(_1_541284561214624104645789101745678[[#This Row],[Discount selection]]&gt;0,VLOOKUP(_1_541284561214624104645789101745678[[#This Row],[Discount selection]],'Discount Structure'!$A$2:$B$30,2,"false"),0)</f>
        <v>1</v>
      </c>
      <c r="L639" s="194">
        <f>_1_541284561214624104645789101745678[[#This Row],[LIST $]]*_1_541284561214624104645789101745678[[#This Row],[DISCOUNT]]*_1_541284561214624104645789101745678[[#This Row],[DISCOUNT 2]]</f>
        <v>0</v>
      </c>
      <c r="M639" s="194">
        <f>IF(OR(_1_541284561214624104645789101745678[[#This Row],[UNIT]]&gt;0,_1_541284561214624104645789101745678[[#This Row],[UNIT]]&lt;0),_1_541284561214624104645789101745678[[#This Row],[UNIT]]*_1_541284561214624104645789101745678[[#This Row],[COST]],0)</f>
        <v>0</v>
      </c>
      <c r="N639" s="194">
        <f t="shared" si="9"/>
        <v>1.3</v>
      </c>
      <c r="O639" s="198">
        <f>_1_541284561214624104645789101745678[[#This Row],[TOTAL]]*_1_541284561214624104645789101745678[[#This Row],[MARGIN]]</f>
        <v>0</v>
      </c>
      <c r="R639" s="41"/>
    </row>
    <row r="640" spans="4:18">
      <c r="D640" s="188"/>
      <c r="F640" s="168" t="s">
        <v>6202</v>
      </c>
      <c r="G640" s="193">
        <f>IF(_1_541284561214624104645789101745678[[#This Row],[Type]]&gt;0,VLOOKUP(_1_541284561214624104645789101745678[[#This Row],[Type]],Main[[#All],[TYPE]:[UNIT]],'Unit Price'!C$1,FALSE),0)</f>
        <v>0</v>
      </c>
      <c r="H640" s="197">
        <f>IF(_1_541284561214624104645789101745678[[#This Row],[Type]]&gt;0,VLOOKUP(_1_541284561214624104645789101745678[[#This Row],[Type]],Main[[#All],[TYPE]:[UNIT]],'Unit Price'!D$1,FALSE),0)</f>
        <v>0</v>
      </c>
      <c r="I640" s="194">
        <f>IF(_1_541284561214624104645789101745678[[#This Row],[Type]]&gt;0,VLOOKUP(_1_541284561214624104645789101745678[[#This Row],[Type]],Main[[#All],[TYPE]:[UNIT]],'Unit Price'!G$1,FALSE),0)</f>
        <v>0</v>
      </c>
      <c r="J640" s="194">
        <f>IF(_1_541284561214624104645789101745678[[#This Row],[Type]]&gt;0,VLOOKUP(_1_541284561214624104645789101745678[[#This Row],[Type]],Main[[#All],[TYPE]:[UNIT]],'Unit Price'!H$1,FALSE),0)</f>
        <v>0</v>
      </c>
      <c r="K640" s="194">
        <f>IF(_1_541284561214624104645789101745678[[#This Row],[Discount selection]]&gt;0,VLOOKUP(_1_541284561214624104645789101745678[[#This Row],[Discount selection]],'Discount Structure'!$A$2:$B$30,2,"false"),0)</f>
        <v>1</v>
      </c>
      <c r="L640" s="194">
        <f>_1_541284561214624104645789101745678[[#This Row],[LIST $]]*_1_541284561214624104645789101745678[[#This Row],[DISCOUNT]]*_1_541284561214624104645789101745678[[#This Row],[DISCOUNT 2]]</f>
        <v>0</v>
      </c>
      <c r="M640" s="194">
        <f>IF(OR(_1_541284561214624104645789101745678[[#This Row],[UNIT]]&gt;0,_1_541284561214624104645789101745678[[#This Row],[UNIT]]&lt;0),_1_541284561214624104645789101745678[[#This Row],[UNIT]]*_1_541284561214624104645789101745678[[#This Row],[COST]],0)</f>
        <v>0</v>
      </c>
      <c r="N640" s="194">
        <f t="shared" si="9"/>
        <v>1.3</v>
      </c>
      <c r="O640" s="198">
        <f>_1_541284561214624104645789101745678[[#This Row],[TOTAL]]*_1_541284561214624104645789101745678[[#This Row],[MARGIN]]</f>
        <v>0</v>
      </c>
      <c r="R640" s="41"/>
    </row>
    <row r="641" spans="4:18">
      <c r="D641" s="188"/>
      <c r="F641" s="168" t="s">
        <v>6202</v>
      </c>
      <c r="G641" s="193">
        <f>IF(_1_541284561214624104645789101745678[[#This Row],[Type]]&gt;0,VLOOKUP(_1_541284561214624104645789101745678[[#This Row],[Type]],Main[[#All],[TYPE]:[UNIT]],'Unit Price'!C$1,FALSE),0)</f>
        <v>0</v>
      </c>
      <c r="H641" s="197">
        <f>IF(_1_541284561214624104645789101745678[[#This Row],[Type]]&gt;0,VLOOKUP(_1_541284561214624104645789101745678[[#This Row],[Type]],Main[[#All],[TYPE]:[UNIT]],'Unit Price'!D$1,FALSE),0)</f>
        <v>0</v>
      </c>
      <c r="I641" s="194">
        <f>IF(_1_541284561214624104645789101745678[[#This Row],[Type]]&gt;0,VLOOKUP(_1_541284561214624104645789101745678[[#This Row],[Type]],Main[[#All],[TYPE]:[UNIT]],'Unit Price'!G$1,FALSE),0)</f>
        <v>0</v>
      </c>
      <c r="J641" s="194">
        <f>IF(_1_541284561214624104645789101745678[[#This Row],[Type]]&gt;0,VLOOKUP(_1_541284561214624104645789101745678[[#This Row],[Type]],Main[[#All],[TYPE]:[UNIT]],'Unit Price'!H$1,FALSE),0)</f>
        <v>0</v>
      </c>
      <c r="K641" s="194">
        <f>IF(_1_541284561214624104645789101745678[[#This Row],[Discount selection]]&gt;0,VLOOKUP(_1_541284561214624104645789101745678[[#This Row],[Discount selection]],'Discount Structure'!$A$2:$B$30,2,"false"),0)</f>
        <v>1</v>
      </c>
      <c r="L641" s="194">
        <f>_1_541284561214624104645789101745678[[#This Row],[LIST $]]*_1_541284561214624104645789101745678[[#This Row],[DISCOUNT]]*_1_541284561214624104645789101745678[[#This Row],[DISCOUNT 2]]</f>
        <v>0</v>
      </c>
      <c r="M641" s="194">
        <f>IF(OR(_1_541284561214624104645789101745678[[#This Row],[UNIT]]&gt;0,_1_541284561214624104645789101745678[[#This Row],[UNIT]]&lt;0),_1_541284561214624104645789101745678[[#This Row],[UNIT]]*_1_541284561214624104645789101745678[[#This Row],[COST]],0)</f>
        <v>0</v>
      </c>
      <c r="N641" s="194">
        <f t="shared" si="9"/>
        <v>1.3</v>
      </c>
      <c r="O641" s="198">
        <f>_1_541284561214624104645789101745678[[#This Row],[TOTAL]]*_1_541284561214624104645789101745678[[#This Row],[MARGIN]]</f>
        <v>0</v>
      </c>
      <c r="R641" s="41"/>
    </row>
    <row r="642" spans="4:18">
      <c r="D642" s="188"/>
      <c r="F642" s="168" t="s">
        <v>6202</v>
      </c>
      <c r="G642" s="193">
        <f>IF(_1_541284561214624104645789101745678[[#This Row],[Type]]&gt;0,VLOOKUP(_1_541284561214624104645789101745678[[#This Row],[Type]],Main[[#All],[TYPE]:[UNIT]],'Unit Price'!C$1,FALSE),0)</f>
        <v>0</v>
      </c>
      <c r="H642" s="197">
        <f>IF(_1_541284561214624104645789101745678[[#This Row],[Type]]&gt;0,VLOOKUP(_1_541284561214624104645789101745678[[#This Row],[Type]],Main[[#All],[TYPE]:[UNIT]],'Unit Price'!D$1,FALSE),0)</f>
        <v>0</v>
      </c>
      <c r="I642" s="194">
        <f>IF(_1_541284561214624104645789101745678[[#This Row],[Type]]&gt;0,VLOOKUP(_1_541284561214624104645789101745678[[#This Row],[Type]],Main[[#All],[TYPE]:[UNIT]],'Unit Price'!G$1,FALSE),0)</f>
        <v>0</v>
      </c>
      <c r="J642" s="194">
        <f>IF(_1_541284561214624104645789101745678[[#This Row],[Type]]&gt;0,VLOOKUP(_1_541284561214624104645789101745678[[#This Row],[Type]],Main[[#All],[TYPE]:[UNIT]],'Unit Price'!H$1,FALSE),0)</f>
        <v>0</v>
      </c>
      <c r="K642" s="194">
        <f>IF(_1_541284561214624104645789101745678[[#This Row],[Discount selection]]&gt;0,VLOOKUP(_1_541284561214624104645789101745678[[#This Row],[Discount selection]],'Discount Structure'!$A$2:$B$30,2,"false"),0)</f>
        <v>1</v>
      </c>
      <c r="L642" s="194">
        <f>_1_541284561214624104645789101745678[[#This Row],[LIST $]]*_1_541284561214624104645789101745678[[#This Row],[DISCOUNT]]*_1_541284561214624104645789101745678[[#This Row],[DISCOUNT 2]]</f>
        <v>0</v>
      </c>
      <c r="M642" s="194">
        <f>IF(OR(_1_541284561214624104645789101745678[[#This Row],[UNIT]]&gt;0,_1_541284561214624104645789101745678[[#This Row],[UNIT]]&lt;0),_1_541284561214624104645789101745678[[#This Row],[UNIT]]*_1_541284561214624104645789101745678[[#This Row],[COST]],0)</f>
        <v>0</v>
      </c>
      <c r="N642" s="194">
        <f t="shared" si="9"/>
        <v>1.3</v>
      </c>
      <c r="O642" s="198">
        <f>_1_541284561214624104645789101745678[[#This Row],[TOTAL]]*_1_541284561214624104645789101745678[[#This Row],[MARGIN]]</f>
        <v>0</v>
      </c>
      <c r="R642" s="41"/>
    </row>
    <row r="643" spans="4:18">
      <c r="D643" s="188"/>
      <c r="F643" s="168" t="s">
        <v>6202</v>
      </c>
      <c r="G643" s="193">
        <f>IF(_1_541284561214624104645789101745678[[#This Row],[Type]]&gt;0,VLOOKUP(_1_541284561214624104645789101745678[[#This Row],[Type]],Main[[#All],[TYPE]:[UNIT]],'Unit Price'!C$1,FALSE),0)</f>
        <v>0</v>
      </c>
      <c r="H643" s="197">
        <f>IF(_1_541284561214624104645789101745678[[#This Row],[Type]]&gt;0,VLOOKUP(_1_541284561214624104645789101745678[[#This Row],[Type]],Main[[#All],[TYPE]:[UNIT]],'Unit Price'!D$1,FALSE),0)</f>
        <v>0</v>
      </c>
      <c r="I643" s="194">
        <f>IF(_1_541284561214624104645789101745678[[#This Row],[Type]]&gt;0,VLOOKUP(_1_541284561214624104645789101745678[[#This Row],[Type]],Main[[#All],[TYPE]:[UNIT]],'Unit Price'!G$1,FALSE),0)</f>
        <v>0</v>
      </c>
      <c r="J643" s="194">
        <f>IF(_1_541284561214624104645789101745678[[#This Row],[Type]]&gt;0,VLOOKUP(_1_541284561214624104645789101745678[[#This Row],[Type]],Main[[#All],[TYPE]:[UNIT]],'Unit Price'!H$1,FALSE),0)</f>
        <v>0</v>
      </c>
      <c r="K643" s="194">
        <f>IF(_1_541284561214624104645789101745678[[#This Row],[Discount selection]]&gt;0,VLOOKUP(_1_541284561214624104645789101745678[[#This Row],[Discount selection]],'Discount Structure'!$A$2:$B$30,2,"false"),0)</f>
        <v>1</v>
      </c>
      <c r="L643" s="194">
        <f>_1_541284561214624104645789101745678[[#This Row],[LIST $]]*_1_541284561214624104645789101745678[[#This Row],[DISCOUNT]]*_1_541284561214624104645789101745678[[#This Row],[DISCOUNT 2]]</f>
        <v>0</v>
      </c>
      <c r="M643" s="194">
        <f>IF(OR(_1_541284561214624104645789101745678[[#This Row],[UNIT]]&gt;0,_1_541284561214624104645789101745678[[#This Row],[UNIT]]&lt;0),_1_541284561214624104645789101745678[[#This Row],[UNIT]]*_1_541284561214624104645789101745678[[#This Row],[COST]],0)</f>
        <v>0</v>
      </c>
      <c r="N643" s="194">
        <f t="shared" si="9"/>
        <v>1.3</v>
      </c>
      <c r="O643" s="198">
        <f>_1_541284561214624104645789101745678[[#This Row],[TOTAL]]*_1_541284561214624104645789101745678[[#This Row],[MARGIN]]</f>
        <v>0</v>
      </c>
      <c r="R643" s="41"/>
    </row>
    <row r="644" spans="4:18">
      <c r="D644" s="188"/>
      <c r="F644" s="168" t="s">
        <v>6202</v>
      </c>
      <c r="G644" s="193">
        <f>IF(_1_541284561214624104645789101745678[[#This Row],[Type]]&gt;0,VLOOKUP(_1_541284561214624104645789101745678[[#This Row],[Type]],Main[[#All],[TYPE]:[UNIT]],'Unit Price'!C$1,FALSE),0)</f>
        <v>0</v>
      </c>
      <c r="H644" s="197">
        <f>IF(_1_541284561214624104645789101745678[[#This Row],[Type]]&gt;0,VLOOKUP(_1_541284561214624104645789101745678[[#This Row],[Type]],Main[[#All],[TYPE]:[UNIT]],'Unit Price'!D$1,FALSE),0)</f>
        <v>0</v>
      </c>
      <c r="I644" s="194">
        <f>IF(_1_541284561214624104645789101745678[[#This Row],[Type]]&gt;0,VLOOKUP(_1_541284561214624104645789101745678[[#This Row],[Type]],Main[[#All],[TYPE]:[UNIT]],'Unit Price'!G$1,FALSE),0)</f>
        <v>0</v>
      </c>
      <c r="J644" s="194">
        <f>IF(_1_541284561214624104645789101745678[[#This Row],[Type]]&gt;0,VLOOKUP(_1_541284561214624104645789101745678[[#This Row],[Type]],Main[[#All],[TYPE]:[UNIT]],'Unit Price'!H$1,FALSE),0)</f>
        <v>0</v>
      </c>
      <c r="K644" s="194">
        <f>IF(_1_541284561214624104645789101745678[[#This Row],[Discount selection]]&gt;0,VLOOKUP(_1_541284561214624104645789101745678[[#This Row],[Discount selection]],'Discount Structure'!$A$2:$B$30,2,"false"),0)</f>
        <v>1</v>
      </c>
      <c r="L644" s="194">
        <f>_1_541284561214624104645789101745678[[#This Row],[LIST $]]*_1_541284561214624104645789101745678[[#This Row],[DISCOUNT]]*_1_541284561214624104645789101745678[[#This Row],[DISCOUNT 2]]</f>
        <v>0</v>
      </c>
      <c r="M644" s="194">
        <f>IF(OR(_1_541284561214624104645789101745678[[#This Row],[UNIT]]&gt;0,_1_541284561214624104645789101745678[[#This Row],[UNIT]]&lt;0),_1_541284561214624104645789101745678[[#This Row],[UNIT]]*_1_541284561214624104645789101745678[[#This Row],[COST]],0)</f>
        <v>0</v>
      </c>
      <c r="N644" s="194">
        <f t="shared" si="9"/>
        <v>1.3</v>
      </c>
      <c r="O644" s="198">
        <f>_1_541284561214624104645789101745678[[#This Row],[TOTAL]]*_1_541284561214624104645789101745678[[#This Row],[MARGIN]]</f>
        <v>0</v>
      </c>
      <c r="R644" s="41"/>
    </row>
    <row r="645" spans="4:18">
      <c r="D645" s="188"/>
      <c r="F645" s="168" t="s">
        <v>6202</v>
      </c>
      <c r="G645" s="193">
        <f>IF(_1_541284561214624104645789101745678[[#This Row],[Type]]&gt;0,VLOOKUP(_1_541284561214624104645789101745678[[#This Row],[Type]],Main[[#All],[TYPE]:[UNIT]],'Unit Price'!C$1,FALSE),0)</f>
        <v>0</v>
      </c>
      <c r="H645" s="197">
        <f>IF(_1_541284561214624104645789101745678[[#This Row],[Type]]&gt;0,VLOOKUP(_1_541284561214624104645789101745678[[#This Row],[Type]],Main[[#All],[TYPE]:[UNIT]],'Unit Price'!D$1,FALSE),0)</f>
        <v>0</v>
      </c>
      <c r="I645" s="194">
        <f>IF(_1_541284561214624104645789101745678[[#This Row],[Type]]&gt;0,VLOOKUP(_1_541284561214624104645789101745678[[#This Row],[Type]],Main[[#All],[TYPE]:[UNIT]],'Unit Price'!G$1,FALSE),0)</f>
        <v>0</v>
      </c>
      <c r="J645" s="194">
        <f>IF(_1_541284561214624104645789101745678[[#This Row],[Type]]&gt;0,VLOOKUP(_1_541284561214624104645789101745678[[#This Row],[Type]],Main[[#All],[TYPE]:[UNIT]],'Unit Price'!H$1,FALSE),0)</f>
        <v>0</v>
      </c>
      <c r="K645" s="194">
        <f>IF(_1_541284561214624104645789101745678[[#This Row],[Discount selection]]&gt;0,VLOOKUP(_1_541284561214624104645789101745678[[#This Row],[Discount selection]],'Discount Structure'!$A$2:$B$30,2,"false"),0)</f>
        <v>1</v>
      </c>
      <c r="L645" s="194">
        <f>_1_541284561214624104645789101745678[[#This Row],[LIST $]]*_1_541284561214624104645789101745678[[#This Row],[DISCOUNT]]*_1_541284561214624104645789101745678[[#This Row],[DISCOUNT 2]]</f>
        <v>0</v>
      </c>
      <c r="M645" s="194">
        <f>IF(OR(_1_541284561214624104645789101745678[[#This Row],[UNIT]]&gt;0,_1_541284561214624104645789101745678[[#This Row],[UNIT]]&lt;0),_1_541284561214624104645789101745678[[#This Row],[UNIT]]*_1_541284561214624104645789101745678[[#This Row],[COST]],0)</f>
        <v>0</v>
      </c>
      <c r="N645" s="194">
        <f t="shared" si="9"/>
        <v>1.3</v>
      </c>
      <c r="O645" s="198">
        <f>_1_541284561214624104645789101745678[[#This Row],[TOTAL]]*_1_541284561214624104645789101745678[[#This Row],[MARGIN]]</f>
        <v>0</v>
      </c>
      <c r="R645" s="41"/>
    </row>
    <row r="646" spans="4:18">
      <c r="D646" s="188"/>
      <c r="F646" s="168" t="s">
        <v>6202</v>
      </c>
      <c r="G646" s="193">
        <f>IF(_1_541284561214624104645789101745678[[#This Row],[Type]]&gt;0,VLOOKUP(_1_541284561214624104645789101745678[[#This Row],[Type]],Main[[#All],[TYPE]:[UNIT]],'Unit Price'!C$1,FALSE),0)</f>
        <v>0</v>
      </c>
      <c r="H646" s="197">
        <f>IF(_1_541284561214624104645789101745678[[#This Row],[Type]]&gt;0,VLOOKUP(_1_541284561214624104645789101745678[[#This Row],[Type]],Main[[#All],[TYPE]:[UNIT]],'Unit Price'!D$1,FALSE),0)</f>
        <v>0</v>
      </c>
      <c r="I646" s="194">
        <f>IF(_1_541284561214624104645789101745678[[#This Row],[Type]]&gt;0,VLOOKUP(_1_541284561214624104645789101745678[[#This Row],[Type]],Main[[#All],[TYPE]:[UNIT]],'Unit Price'!G$1,FALSE),0)</f>
        <v>0</v>
      </c>
      <c r="J646" s="194">
        <f>IF(_1_541284561214624104645789101745678[[#This Row],[Type]]&gt;0,VLOOKUP(_1_541284561214624104645789101745678[[#This Row],[Type]],Main[[#All],[TYPE]:[UNIT]],'Unit Price'!H$1,FALSE),0)</f>
        <v>0</v>
      </c>
      <c r="K646" s="194">
        <f>IF(_1_541284561214624104645789101745678[[#This Row],[Discount selection]]&gt;0,VLOOKUP(_1_541284561214624104645789101745678[[#This Row],[Discount selection]],'Discount Structure'!$A$2:$B$30,2,"false"),0)</f>
        <v>1</v>
      </c>
      <c r="L646" s="194">
        <f>_1_541284561214624104645789101745678[[#This Row],[LIST $]]*_1_541284561214624104645789101745678[[#This Row],[DISCOUNT]]*_1_541284561214624104645789101745678[[#This Row],[DISCOUNT 2]]</f>
        <v>0</v>
      </c>
      <c r="M646" s="194">
        <f>IF(OR(_1_541284561214624104645789101745678[[#This Row],[UNIT]]&gt;0,_1_541284561214624104645789101745678[[#This Row],[UNIT]]&lt;0),_1_541284561214624104645789101745678[[#This Row],[UNIT]]*_1_541284561214624104645789101745678[[#This Row],[COST]],0)</f>
        <v>0</v>
      </c>
      <c r="N646" s="194">
        <f t="shared" si="9"/>
        <v>1.3</v>
      </c>
      <c r="O646" s="198">
        <f>_1_541284561214624104645789101745678[[#This Row],[TOTAL]]*_1_541284561214624104645789101745678[[#This Row],[MARGIN]]</f>
        <v>0</v>
      </c>
      <c r="R646" s="41"/>
    </row>
    <row r="647" spans="4:18">
      <c r="D647" s="188"/>
      <c r="F647" s="168" t="s">
        <v>6202</v>
      </c>
      <c r="G647" s="193">
        <f>IF(_1_541284561214624104645789101745678[[#This Row],[Type]]&gt;0,VLOOKUP(_1_541284561214624104645789101745678[[#This Row],[Type]],Main[[#All],[TYPE]:[UNIT]],'Unit Price'!C$1,FALSE),0)</f>
        <v>0</v>
      </c>
      <c r="H647" s="197">
        <f>IF(_1_541284561214624104645789101745678[[#This Row],[Type]]&gt;0,VLOOKUP(_1_541284561214624104645789101745678[[#This Row],[Type]],Main[[#All],[TYPE]:[UNIT]],'Unit Price'!D$1,FALSE),0)</f>
        <v>0</v>
      </c>
      <c r="I647" s="194">
        <f>IF(_1_541284561214624104645789101745678[[#This Row],[Type]]&gt;0,VLOOKUP(_1_541284561214624104645789101745678[[#This Row],[Type]],Main[[#All],[TYPE]:[UNIT]],'Unit Price'!G$1,FALSE),0)</f>
        <v>0</v>
      </c>
      <c r="J647" s="194">
        <f>IF(_1_541284561214624104645789101745678[[#This Row],[Type]]&gt;0,VLOOKUP(_1_541284561214624104645789101745678[[#This Row],[Type]],Main[[#All],[TYPE]:[UNIT]],'Unit Price'!H$1,FALSE),0)</f>
        <v>0</v>
      </c>
      <c r="K647" s="194">
        <f>IF(_1_541284561214624104645789101745678[[#This Row],[Discount selection]]&gt;0,VLOOKUP(_1_541284561214624104645789101745678[[#This Row],[Discount selection]],'Discount Structure'!$A$2:$B$30,2,"false"),0)</f>
        <v>1</v>
      </c>
      <c r="L647" s="194">
        <f>_1_541284561214624104645789101745678[[#This Row],[LIST $]]*_1_541284561214624104645789101745678[[#This Row],[DISCOUNT]]*_1_541284561214624104645789101745678[[#This Row],[DISCOUNT 2]]</f>
        <v>0</v>
      </c>
      <c r="M647" s="194">
        <f>IF(OR(_1_541284561214624104645789101745678[[#This Row],[UNIT]]&gt;0,_1_541284561214624104645789101745678[[#This Row],[UNIT]]&lt;0),_1_541284561214624104645789101745678[[#This Row],[UNIT]]*_1_541284561214624104645789101745678[[#This Row],[COST]],0)</f>
        <v>0</v>
      </c>
      <c r="N647" s="194">
        <f t="shared" si="9"/>
        <v>1.3</v>
      </c>
      <c r="O647" s="198">
        <f>_1_541284561214624104645789101745678[[#This Row],[TOTAL]]*_1_541284561214624104645789101745678[[#This Row],[MARGIN]]</f>
        <v>0</v>
      </c>
      <c r="R647" s="41"/>
    </row>
    <row r="648" spans="4:18">
      <c r="D648" s="188"/>
      <c r="F648" s="168" t="s">
        <v>6202</v>
      </c>
      <c r="G648" s="193">
        <f>IF(_1_541284561214624104645789101745678[[#This Row],[Type]]&gt;0,VLOOKUP(_1_541284561214624104645789101745678[[#This Row],[Type]],Main[[#All],[TYPE]:[UNIT]],'Unit Price'!C$1,FALSE),0)</f>
        <v>0</v>
      </c>
      <c r="H648" s="197">
        <f>IF(_1_541284561214624104645789101745678[[#This Row],[Type]]&gt;0,VLOOKUP(_1_541284561214624104645789101745678[[#This Row],[Type]],Main[[#All],[TYPE]:[UNIT]],'Unit Price'!D$1,FALSE),0)</f>
        <v>0</v>
      </c>
      <c r="I648" s="194">
        <f>IF(_1_541284561214624104645789101745678[[#This Row],[Type]]&gt;0,VLOOKUP(_1_541284561214624104645789101745678[[#This Row],[Type]],Main[[#All],[TYPE]:[UNIT]],'Unit Price'!G$1,FALSE),0)</f>
        <v>0</v>
      </c>
      <c r="J648" s="194">
        <f>IF(_1_541284561214624104645789101745678[[#This Row],[Type]]&gt;0,VLOOKUP(_1_541284561214624104645789101745678[[#This Row],[Type]],Main[[#All],[TYPE]:[UNIT]],'Unit Price'!H$1,FALSE),0)</f>
        <v>0</v>
      </c>
      <c r="K648" s="194">
        <f>IF(_1_541284561214624104645789101745678[[#This Row],[Discount selection]]&gt;0,VLOOKUP(_1_541284561214624104645789101745678[[#This Row],[Discount selection]],'Discount Structure'!$A$2:$B$30,2,"false"),0)</f>
        <v>1</v>
      </c>
      <c r="L648" s="194">
        <f>_1_541284561214624104645789101745678[[#This Row],[LIST $]]*_1_541284561214624104645789101745678[[#This Row],[DISCOUNT]]*_1_541284561214624104645789101745678[[#This Row],[DISCOUNT 2]]</f>
        <v>0</v>
      </c>
      <c r="M648" s="194">
        <f>IF(OR(_1_541284561214624104645789101745678[[#This Row],[UNIT]]&gt;0,_1_541284561214624104645789101745678[[#This Row],[UNIT]]&lt;0),_1_541284561214624104645789101745678[[#This Row],[UNIT]]*_1_541284561214624104645789101745678[[#This Row],[COST]],0)</f>
        <v>0</v>
      </c>
      <c r="N648" s="194">
        <f t="shared" si="9"/>
        <v>1.3</v>
      </c>
      <c r="O648" s="198">
        <f>_1_541284561214624104645789101745678[[#This Row],[TOTAL]]*_1_541284561214624104645789101745678[[#This Row],[MARGIN]]</f>
        <v>0</v>
      </c>
      <c r="R648" s="41"/>
    </row>
    <row r="649" spans="4:18">
      <c r="D649" s="188"/>
      <c r="F649" s="168" t="s">
        <v>6202</v>
      </c>
      <c r="G649" s="193">
        <f>IF(_1_541284561214624104645789101745678[[#This Row],[Type]]&gt;0,VLOOKUP(_1_541284561214624104645789101745678[[#This Row],[Type]],Main[[#All],[TYPE]:[UNIT]],'Unit Price'!C$1,FALSE),0)</f>
        <v>0</v>
      </c>
      <c r="H649" s="197">
        <f>IF(_1_541284561214624104645789101745678[[#This Row],[Type]]&gt;0,VLOOKUP(_1_541284561214624104645789101745678[[#This Row],[Type]],Main[[#All],[TYPE]:[UNIT]],'Unit Price'!D$1,FALSE),0)</f>
        <v>0</v>
      </c>
      <c r="I649" s="194">
        <f>IF(_1_541284561214624104645789101745678[[#This Row],[Type]]&gt;0,VLOOKUP(_1_541284561214624104645789101745678[[#This Row],[Type]],Main[[#All],[TYPE]:[UNIT]],'Unit Price'!G$1,FALSE),0)</f>
        <v>0</v>
      </c>
      <c r="J649" s="194">
        <f>IF(_1_541284561214624104645789101745678[[#This Row],[Type]]&gt;0,VLOOKUP(_1_541284561214624104645789101745678[[#This Row],[Type]],Main[[#All],[TYPE]:[UNIT]],'Unit Price'!H$1,FALSE),0)</f>
        <v>0</v>
      </c>
      <c r="K649" s="194">
        <f>IF(_1_541284561214624104645789101745678[[#This Row],[Discount selection]]&gt;0,VLOOKUP(_1_541284561214624104645789101745678[[#This Row],[Discount selection]],'Discount Structure'!$A$2:$B$30,2,"false"),0)</f>
        <v>1</v>
      </c>
      <c r="L649" s="194">
        <f>_1_541284561214624104645789101745678[[#This Row],[LIST $]]*_1_541284561214624104645789101745678[[#This Row],[DISCOUNT]]*_1_541284561214624104645789101745678[[#This Row],[DISCOUNT 2]]</f>
        <v>0</v>
      </c>
      <c r="M649" s="194">
        <f>IF(OR(_1_541284561214624104645789101745678[[#This Row],[UNIT]]&gt;0,_1_541284561214624104645789101745678[[#This Row],[UNIT]]&lt;0),_1_541284561214624104645789101745678[[#This Row],[UNIT]]*_1_541284561214624104645789101745678[[#This Row],[COST]],0)</f>
        <v>0</v>
      </c>
      <c r="N649" s="194">
        <f t="shared" si="9"/>
        <v>1.3</v>
      </c>
      <c r="O649" s="198">
        <f>_1_541284561214624104645789101745678[[#This Row],[TOTAL]]*_1_541284561214624104645789101745678[[#This Row],[MARGIN]]</f>
        <v>0</v>
      </c>
      <c r="R649" s="41"/>
    </row>
    <row r="650" spans="4:18">
      <c r="D650" s="188"/>
      <c r="F650" s="168" t="s">
        <v>6202</v>
      </c>
      <c r="G650" s="193">
        <f>IF(_1_541284561214624104645789101745678[[#This Row],[Type]]&gt;0,VLOOKUP(_1_541284561214624104645789101745678[[#This Row],[Type]],Main[[#All],[TYPE]:[UNIT]],'Unit Price'!C$1,FALSE),0)</f>
        <v>0</v>
      </c>
      <c r="H650" s="197">
        <f>IF(_1_541284561214624104645789101745678[[#This Row],[Type]]&gt;0,VLOOKUP(_1_541284561214624104645789101745678[[#This Row],[Type]],Main[[#All],[TYPE]:[UNIT]],'Unit Price'!D$1,FALSE),0)</f>
        <v>0</v>
      </c>
      <c r="I650" s="194">
        <f>IF(_1_541284561214624104645789101745678[[#This Row],[Type]]&gt;0,VLOOKUP(_1_541284561214624104645789101745678[[#This Row],[Type]],Main[[#All],[TYPE]:[UNIT]],'Unit Price'!G$1,FALSE),0)</f>
        <v>0</v>
      </c>
      <c r="J650" s="194">
        <f>IF(_1_541284561214624104645789101745678[[#This Row],[Type]]&gt;0,VLOOKUP(_1_541284561214624104645789101745678[[#This Row],[Type]],Main[[#All],[TYPE]:[UNIT]],'Unit Price'!H$1,FALSE),0)</f>
        <v>0</v>
      </c>
      <c r="K650" s="194">
        <f>IF(_1_541284561214624104645789101745678[[#This Row],[Discount selection]]&gt;0,VLOOKUP(_1_541284561214624104645789101745678[[#This Row],[Discount selection]],'Discount Structure'!$A$2:$B$30,2,"false"),0)</f>
        <v>1</v>
      </c>
      <c r="L650" s="194">
        <f>_1_541284561214624104645789101745678[[#This Row],[LIST $]]*_1_541284561214624104645789101745678[[#This Row],[DISCOUNT]]*_1_541284561214624104645789101745678[[#This Row],[DISCOUNT 2]]</f>
        <v>0</v>
      </c>
      <c r="M650" s="194">
        <f>IF(OR(_1_541284561214624104645789101745678[[#This Row],[UNIT]]&gt;0,_1_541284561214624104645789101745678[[#This Row],[UNIT]]&lt;0),_1_541284561214624104645789101745678[[#This Row],[UNIT]]*_1_541284561214624104645789101745678[[#This Row],[COST]],0)</f>
        <v>0</v>
      </c>
      <c r="N650" s="194">
        <f t="shared" ref="N650:N713" si="10">$N$7</f>
        <v>1.3</v>
      </c>
      <c r="O650" s="198">
        <f>_1_541284561214624104645789101745678[[#This Row],[TOTAL]]*_1_541284561214624104645789101745678[[#This Row],[MARGIN]]</f>
        <v>0</v>
      </c>
      <c r="R650" s="41"/>
    </row>
    <row r="651" spans="4:18">
      <c r="D651" s="188"/>
      <c r="F651" s="168" t="s">
        <v>6202</v>
      </c>
      <c r="G651" s="193">
        <f>IF(_1_541284561214624104645789101745678[[#This Row],[Type]]&gt;0,VLOOKUP(_1_541284561214624104645789101745678[[#This Row],[Type]],Main[[#All],[TYPE]:[UNIT]],'Unit Price'!C$1,FALSE),0)</f>
        <v>0</v>
      </c>
      <c r="H651" s="197">
        <f>IF(_1_541284561214624104645789101745678[[#This Row],[Type]]&gt;0,VLOOKUP(_1_541284561214624104645789101745678[[#This Row],[Type]],Main[[#All],[TYPE]:[UNIT]],'Unit Price'!D$1,FALSE),0)</f>
        <v>0</v>
      </c>
      <c r="I651" s="194">
        <f>IF(_1_541284561214624104645789101745678[[#This Row],[Type]]&gt;0,VLOOKUP(_1_541284561214624104645789101745678[[#This Row],[Type]],Main[[#All],[TYPE]:[UNIT]],'Unit Price'!G$1,FALSE),0)</f>
        <v>0</v>
      </c>
      <c r="J651" s="194">
        <f>IF(_1_541284561214624104645789101745678[[#This Row],[Type]]&gt;0,VLOOKUP(_1_541284561214624104645789101745678[[#This Row],[Type]],Main[[#All],[TYPE]:[UNIT]],'Unit Price'!H$1,FALSE),0)</f>
        <v>0</v>
      </c>
      <c r="K651" s="194">
        <f>IF(_1_541284561214624104645789101745678[[#This Row],[Discount selection]]&gt;0,VLOOKUP(_1_541284561214624104645789101745678[[#This Row],[Discount selection]],'Discount Structure'!$A$2:$B$30,2,"false"),0)</f>
        <v>1</v>
      </c>
      <c r="L651" s="194">
        <f>_1_541284561214624104645789101745678[[#This Row],[LIST $]]*_1_541284561214624104645789101745678[[#This Row],[DISCOUNT]]*_1_541284561214624104645789101745678[[#This Row],[DISCOUNT 2]]</f>
        <v>0</v>
      </c>
      <c r="M651" s="194">
        <f>IF(OR(_1_541284561214624104645789101745678[[#This Row],[UNIT]]&gt;0,_1_541284561214624104645789101745678[[#This Row],[UNIT]]&lt;0),_1_541284561214624104645789101745678[[#This Row],[UNIT]]*_1_541284561214624104645789101745678[[#This Row],[COST]],0)</f>
        <v>0</v>
      </c>
      <c r="N651" s="194">
        <f t="shared" si="10"/>
        <v>1.3</v>
      </c>
      <c r="O651" s="198">
        <f>_1_541284561214624104645789101745678[[#This Row],[TOTAL]]*_1_541284561214624104645789101745678[[#This Row],[MARGIN]]</f>
        <v>0</v>
      </c>
      <c r="R651" s="41"/>
    </row>
    <row r="652" spans="4:18">
      <c r="D652" s="188"/>
      <c r="F652" s="168" t="s">
        <v>6202</v>
      </c>
      <c r="G652" s="193">
        <f>IF(_1_541284561214624104645789101745678[[#This Row],[Type]]&gt;0,VLOOKUP(_1_541284561214624104645789101745678[[#This Row],[Type]],Main[[#All],[TYPE]:[UNIT]],'Unit Price'!C$1,FALSE),0)</f>
        <v>0</v>
      </c>
      <c r="H652" s="197">
        <f>IF(_1_541284561214624104645789101745678[[#This Row],[Type]]&gt;0,VLOOKUP(_1_541284561214624104645789101745678[[#This Row],[Type]],Main[[#All],[TYPE]:[UNIT]],'Unit Price'!D$1,FALSE),0)</f>
        <v>0</v>
      </c>
      <c r="I652" s="194">
        <f>IF(_1_541284561214624104645789101745678[[#This Row],[Type]]&gt;0,VLOOKUP(_1_541284561214624104645789101745678[[#This Row],[Type]],Main[[#All],[TYPE]:[UNIT]],'Unit Price'!G$1,FALSE),0)</f>
        <v>0</v>
      </c>
      <c r="J652" s="194">
        <f>IF(_1_541284561214624104645789101745678[[#This Row],[Type]]&gt;0,VLOOKUP(_1_541284561214624104645789101745678[[#This Row],[Type]],Main[[#All],[TYPE]:[UNIT]],'Unit Price'!H$1,FALSE),0)</f>
        <v>0</v>
      </c>
      <c r="K652" s="194">
        <f>IF(_1_541284561214624104645789101745678[[#This Row],[Discount selection]]&gt;0,VLOOKUP(_1_541284561214624104645789101745678[[#This Row],[Discount selection]],'Discount Structure'!$A$2:$B$30,2,"false"),0)</f>
        <v>1</v>
      </c>
      <c r="L652" s="194">
        <f>_1_541284561214624104645789101745678[[#This Row],[LIST $]]*_1_541284561214624104645789101745678[[#This Row],[DISCOUNT]]*_1_541284561214624104645789101745678[[#This Row],[DISCOUNT 2]]</f>
        <v>0</v>
      </c>
      <c r="M652" s="194">
        <f>IF(OR(_1_541284561214624104645789101745678[[#This Row],[UNIT]]&gt;0,_1_541284561214624104645789101745678[[#This Row],[UNIT]]&lt;0),_1_541284561214624104645789101745678[[#This Row],[UNIT]]*_1_541284561214624104645789101745678[[#This Row],[COST]],0)</f>
        <v>0</v>
      </c>
      <c r="N652" s="194">
        <f t="shared" si="10"/>
        <v>1.3</v>
      </c>
      <c r="O652" s="198">
        <f>_1_541284561214624104645789101745678[[#This Row],[TOTAL]]*_1_541284561214624104645789101745678[[#This Row],[MARGIN]]</f>
        <v>0</v>
      </c>
      <c r="R652" s="41"/>
    </row>
    <row r="653" spans="4:18">
      <c r="D653" s="188"/>
      <c r="F653" s="168" t="s">
        <v>6202</v>
      </c>
      <c r="G653" s="193">
        <f>IF(_1_541284561214624104645789101745678[[#This Row],[Type]]&gt;0,VLOOKUP(_1_541284561214624104645789101745678[[#This Row],[Type]],Main[[#All],[TYPE]:[UNIT]],'Unit Price'!C$1,FALSE),0)</f>
        <v>0</v>
      </c>
      <c r="H653" s="197">
        <f>IF(_1_541284561214624104645789101745678[[#This Row],[Type]]&gt;0,VLOOKUP(_1_541284561214624104645789101745678[[#This Row],[Type]],Main[[#All],[TYPE]:[UNIT]],'Unit Price'!D$1,FALSE),0)</f>
        <v>0</v>
      </c>
      <c r="I653" s="194">
        <f>IF(_1_541284561214624104645789101745678[[#This Row],[Type]]&gt;0,VLOOKUP(_1_541284561214624104645789101745678[[#This Row],[Type]],Main[[#All],[TYPE]:[UNIT]],'Unit Price'!G$1,FALSE),0)</f>
        <v>0</v>
      </c>
      <c r="J653" s="194">
        <f>IF(_1_541284561214624104645789101745678[[#This Row],[Type]]&gt;0,VLOOKUP(_1_541284561214624104645789101745678[[#This Row],[Type]],Main[[#All],[TYPE]:[UNIT]],'Unit Price'!H$1,FALSE),0)</f>
        <v>0</v>
      </c>
      <c r="K653" s="194">
        <f>IF(_1_541284561214624104645789101745678[[#This Row],[Discount selection]]&gt;0,VLOOKUP(_1_541284561214624104645789101745678[[#This Row],[Discount selection]],'Discount Structure'!$A$2:$B$30,2,"false"),0)</f>
        <v>1</v>
      </c>
      <c r="L653" s="194">
        <f>_1_541284561214624104645789101745678[[#This Row],[LIST $]]*_1_541284561214624104645789101745678[[#This Row],[DISCOUNT]]*_1_541284561214624104645789101745678[[#This Row],[DISCOUNT 2]]</f>
        <v>0</v>
      </c>
      <c r="M653" s="194">
        <f>IF(OR(_1_541284561214624104645789101745678[[#This Row],[UNIT]]&gt;0,_1_541284561214624104645789101745678[[#This Row],[UNIT]]&lt;0),_1_541284561214624104645789101745678[[#This Row],[UNIT]]*_1_541284561214624104645789101745678[[#This Row],[COST]],0)</f>
        <v>0</v>
      </c>
      <c r="N653" s="194">
        <f t="shared" si="10"/>
        <v>1.3</v>
      </c>
      <c r="O653" s="198">
        <f>_1_541284561214624104645789101745678[[#This Row],[TOTAL]]*_1_541284561214624104645789101745678[[#This Row],[MARGIN]]</f>
        <v>0</v>
      </c>
      <c r="R653" s="41"/>
    </row>
    <row r="654" spans="4:18">
      <c r="D654" s="188"/>
      <c r="F654" s="168" t="s">
        <v>6202</v>
      </c>
      <c r="G654" s="193">
        <f>IF(_1_541284561214624104645789101745678[[#This Row],[Type]]&gt;0,VLOOKUP(_1_541284561214624104645789101745678[[#This Row],[Type]],Main[[#All],[TYPE]:[UNIT]],'Unit Price'!C$1,FALSE),0)</f>
        <v>0</v>
      </c>
      <c r="H654" s="197">
        <f>IF(_1_541284561214624104645789101745678[[#This Row],[Type]]&gt;0,VLOOKUP(_1_541284561214624104645789101745678[[#This Row],[Type]],Main[[#All],[TYPE]:[UNIT]],'Unit Price'!D$1,FALSE),0)</f>
        <v>0</v>
      </c>
      <c r="I654" s="194">
        <f>IF(_1_541284561214624104645789101745678[[#This Row],[Type]]&gt;0,VLOOKUP(_1_541284561214624104645789101745678[[#This Row],[Type]],Main[[#All],[TYPE]:[UNIT]],'Unit Price'!G$1,FALSE),0)</f>
        <v>0</v>
      </c>
      <c r="J654" s="194">
        <f>IF(_1_541284561214624104645789101745678[[#This Row],[Type]]&gt;0,VLOOKUP(_1_541284561214624104645789101745678[[#This Row],[Type]],Main[[#All],[TYPE]:[UNIT]],'Unit Price'!H$1,FALSE),0)</f>
        <v>0</v>
      </c>
      <c r="K654" s="194">
        <f>IF(_1_541284561214624104645789101745678[[#This Row],[Discount selection]]&gt;0,VLOOKUP(_1_541284561214624104645789101745678[[#This Row],[Discount selection]],'Discount Structure'!$A$2:$B$30,2,"false"),0)</f>
        <v>1</v>
      </c>
      <c r="L654" s="194">
        <f>_1_541284561214624104645789101745678[[#This Row],[LIST $]]*_1_541284561214624104645789101745678[[#This Row],[DISCOUNT]]*_1_541284561214624104645789101745678[[#This Row],[DISCOUNT 2]]</f>
        <v>0</v>
      </c>
      <c r="M654" s="194">
        <f>IF(OR(_1_541284561214624104645789101745678[[#This Row],[UNIT]]&gt;0,_1_541284561214624104645789101745678[[#This Row],[UNIT]]&lt;0),_1_541284561214624104645789101745678[[#This Row],[UNIT]]*_1_541284561214624104645789101745678[[#This Row],[COST]],0)</f>
        <v>0</v>
      </c>
      <c r="N654" s="194">
        <f t="shared" si="10"/>
        <v>1.3</v>
      </c>
      <c r="O654" s="198">
        <f>_1_541284561214624104645789101745678[[#This Row],[TOTAL]]*_1_541284561214624104645789101745678[[#This Row],[MARGIN]]</f>
        <v>0</v>
      </c>
      <c r="R654" s="41"/>
    </row>
    <row r="655" spans="4:18">
      <c r="D655" s="188"/>
      <c r="F655" s="168" t="s">
        <v>6202</v>
      </c>
      <c r="G655" s="193">
        <f>IF(_1_541284561214624104645789101745678[[#This Row],[Type]]&gt;0,VLOOKUP(_1_541284561214624104645789101745678[[#This Row],[Type]],Main[[#All],[TYPE]:[UNIT]],'Unit Price'!C$1,FALSE),0)</f>
        <v>0</v>
      </c>
      <c r="H655" s="197">
        <f>IF(_1_541284561214624104645789101745678[[#This Row],[Type]]&gt;0,VLOOKUP(_1_541284561214624104645789101745678[[#This Row],[Type]],Main[[#All],[TYPE]:[UNIT]],'Unit Price'!D$1,FALSE),0)</f>
        <v>0</v>
      </c>
      <c r="I655" s="194">
        <f>IF(_1_541284561214624104645789101745678[[#This Row],[Type]]&gt;0,VLOOKUP(_1_541284561214624104645789101745678[[#This Row],[Type]],Main[[#All],[TYPE]:[UNIT]],'Unit Price'!G$1,FALSE),0)</f>
        <v>0</v>
      </c>
      <c r="J655" s="194">
        <f>IF(_1_541284561214624104645789101745678[[#This Row],[Type]]&gt;0,VLOOKUP(_1_541284561214624104645789101745678[[#This Row],[Type]],Main[[#All],[TYPE]:[UNIT]],'Unit Price'!H$1,FALSE),0)</f>
        <v>0</v>
      </c>
      <c r="K655" s="194">
        <f>IF(_1_541284561214624104645789101745678[[#This Row],[Discount selection]]&gt;0,VLOOKUP(_1_541284561214624104645789101745678[[#This Row],[Discount selection]],'Discount Structure'!$A$2:$B$30,2,"false"),0)</f>
        <v>1</v>
      </c>
      <c r="L655" s="194">
        <f>_1_541284561214624104645789101745678[[#This Row],[LIST $]]*_1_541284561214624104645789101745678[[#This Row],[DISCOUNT]]*_1_541284561214624104645789101745678[[#This Row],[DISCOUNT 2]]</f>
        <v>0</v>
      </c>
      <c r="M655" s="194">
        <f>IF(OR(_1_541284561214624104645789101745678[[#This Row],[UNIT]]&gt;0,_1_541284561214624104645789101745678[[#This Row],[UNIT]]&lt;0),_1_541284561214624104645789101745678[[#This Row],[UNIT]]*_1_541284561214624104645789101745678[[#This Row],[COST]],0)</f>
        <v>0</v>
      </c>
      <c r="N655" s="194">
        <f t="shared" si="10"/>
        <v>1.3</v>
      </c>
      <c r="O655" s="198">
        <f>_1_541284561214624104645789101745678[[#This Row],[TOTAL]]*_1_541284561214624104645789101745678[[#This Row],[MARGIN]]</f>
        <v>0</v>
      </c>
      <c r="R655" s="41"/>
    </row>
    <row r="656" spans="4:18">
      <c r="D656" s="188"/>
      <c r="F656" s="168" t="s">
        <v>6202</v>
      </c>
      <c r="G656" s="193">
        <f>IF(_1_541284561214624104645789101745678[[#This Row],[Type]]&gt;0,VLOOKUP(_1_541284561214624104645789101745678[[#This Row],[Type]],Main[[#All],[TYPE]:[UNIT]],'Unit Price'!C$1,FALSE),0)</f>
        <v>0</v>
      </c>
      <c r="H656" s="197">
        <f>IF(_1_541284561214624104645789101745678[[#This Row],[Type]]&gt;0,VLOOKUP(_1_541284561214624104645789101745678[[#This Row],[Type]],Main[[#All],[TYPE]:[UNIT]],'Unit Price'!D$1,FALSE),0)</f>
        <v>0</v>
      </c>
      <c r="I656" s="194">
        <f>IF(_1_541284561214624104645789101745678[[#This Row],[Type]]&gt;0,VLOOKUP(_1_541284561214624104645789101745678[[#This Row],[Type]],Main[[#All],[TYPE]:[UNIT]],'Unit Price'!G$1,FALSE),0)</f>
        <v>0</v>
      </c>
      <c r="J656" s="194">
        <f>IF(_1_541284561214624104645789101745678[[#This Row],[Type]]&gt;0,VLOOKUP(_1_541284561214624104645789101745678[[#This Row],[Type]],Main[[#All],[TYPE]:[UNIT]],'Unit Price'!H$1,FALSE),0)</f>
        <v>0</v>
      </c>
      <c r="K656" s="194">
        <f>IF(_1_541284561214624104645789101745678[[#This Row],[Discount selection]]&gt;0,VLOOKUP(_1_541284561214624104645789101745678[[#This Row],[Discount selection]],'Discount Structure'!$A$2:$B$30,2,"false"),0)</f>
        <v>1</v>
      </c>
      <c r="L656" s="194">
        <f>_1_541284561214624104645789101745678[[#This Row],[LIST $]]*_1_541284561214624104645789101745678[[#This Row],[DISCOUNT]]*_1_541284561214624104645789101745678[[#This Row],[DISCOUNT 2]]</f>
        <v>0</v>
      </c>
      <c r="M656" s="194">
        <f>IF(OR(_1_541284561214624104645789101745678[[#This Row],[UNIT]]&gt;0,_1_541284561214624104645789101745678[[#This Row],[UNIT]]&lt;0),_1_541284561214624104645789101745678[[#This Row],[UNIT]]*_1_541284561214624104645789101745678[[#This Row],[COST]],0)</f>
        <v>0</v>
      </c>
      <c r="N656" s="194">
        <f t="shared" si="10"/>
        <v>1.3</v>
      </c>
      <c r="O656" s="198">
        <f>_1_541284561214624104645789101745678[[#This Row],[TOTAL]]*_1_541284561214624104645789101745678[[#This Row],[MARGIN]]</f>
        <v>0</v>
      </c>
      <c r="R656" s="41"/>
    </row>
    <row r="657" spans="4:18">
      <c r="D657" s="188"/>
      <c r="F657" s="168" t="s">
        <v>6202</v>
      </c>
      <c r="G657" s="193">
        <f>IF(_1_541284561214624104645789101745678[[#This Row],[Type]]&gt;0,VLOOKUP(_1_541284561214624104645789101745678[[#This Row],[Type]],Main[[#All],[TYPE]:[UNIT]],'Unit Price'!C$1,FALSE),0)</f>
        <v>0</v>
      </c>
      <c r="H657" s="197">
        <f>IF(_1_541284561214624104645789101745678[[#This Row],[Type]]&gt;0,VLOOKUP(_1_541284561214624104645789101745678[[#This Row],[Type]],Main[[#All],[TYPE]:[UNIT]],'Unit Price'!D$1,FALSE),0)</f>
        <v>0</v>
      </c>
      <c r="I657" s="194">
        <f>IF(_1_541284561214624104645789101745678[[#This Row],[Type]]&gt;0,VLOOKUP(_1_541284561214624104645789101745678[[#This Row],[Type]],Main[[#All],[TYPE]:[UNIT]],'Unit Price'!G$1,FALSE),0)</f>
        <v>0</v>
      </c>
      <c r="J657" s="194">
        <f>IF(_1_541284561214624104645789101745678[[#This Row],[Type]]&gt;0,VLOOKUP(_1_541284561214624104645789101745678[[#This Row],[Type]],Main[[#All],[TYPE]:[UNIT]],'Unit Price'!H$1,FALSE),0)</f>
        <v>0</v>
      </c>
      <c r="K657" s="194">
        <f>IF(_1_541284561214624104645789101745678[[#This Row],[Discount selection]]&gt;0,VLOOKUP(_1_541284561214624104645789101745678[[#This Row],[Discount selection]],'Discount Structure'!$A$2:$B$30,2,"false"),0)</f>
        <v>1</v>
      </c>
      <c r="L657" s="194">
        <f>_1_541284561214624104645789101745678[[#This Row],[LIST $]]*_1_541284561214624104645789101745678[[#This Row],[DISCOUNT]]*_1_541284561214624104645789101745678[[#This Row],[DISCOUNT 2]]</f>
        <v>0</v>
      </c>
      <c r="M657" s="194">
        <f>IF(OR(_1_541284561214624104645789101745678[[#This Row],[UNIT]]&gt;0,_1_541284561214624104645789101745678[[#This Row],[UNIT]]&lt;0),_1_541284561214624104645789101745678[[#This Row],[UNIT]]*_1_541284561214624104645789101745678[[#This Row],[COST]],0)</f>
        <v>0</v>
      </c>
      <c r="N657" s="194">
        <f t="shared" si="10"/>
        <v>1.3</v>
      </c>
      <c r="O657" s="198">
        <f>_1_541284561214624104645789101745678[[#This Row],[TOTAL]]*_1_541284561214624104645789101745678[[#This Row],[MARGIN]]</f>
        <v>0</v>
      </c>
      <c r="R657" s="41"/>
    </row>
    <row r="658" spans="4:18">
      <c r="D658" s="188"/>
      <c r="F658" s="168" t="s">
        <v>6202</v>
      </c>
      <c r="G658" s="193">
        <f>IF(_1_541284561214624104645789101745678[[#This Row],[Type]]&gt;0,VLOOKUP(_1_541284561214624104645789101745678[[#This Row],[Type]],Main[[#All],[TYPE]:[UNIT]],'Unit Price'!C$1,FALSE),0)</f>
        <v>0</v>
      </c>
      <c r="H658" s="197">
        <f>IF(_1_541284561214624104645789101745678[[#This Row],[Type]]&gt;0,VLOOKUP(_1_541284561214624104645789101745678[[#This Row],[Type]],Main[[#All],[TYPE]:[UNIT]],'Unit Price'!D$1,FALSE),0)</f>
        <v>0</v>
      </c>
      <c r="I658" s="194">
        <f>IF(_1_541284561214624104645789101745678[[#This Row],[Type]]&gt;0,VLOOKUP(_1_541284561214624104645789101745678[[#This Row],[Type]],Main[[#All],[TYPE]:[UNIT]],'Unit Price'!G$1,FALSE),0)</f>
        <v>0</v>
      </c>
      <c r="J658" s="194">
        <f>IF(_1_541284561214624104645789101745678[[#This Row],[Type]]&gt;0,VLOOKUP(_1_541284561214624104645789101745678[[#This Row],[Type]],Main[[#All],[TYPE]:[UNIT]],'Unit Price'!H$1,FALSE),0)</f>
        <v>0</v>
      </c>
      <c r="K658" s="194">
        <f>IF(_1_541284561214624104645789101745678[[#This Row],[Discount selection]]&gt;0,VLOOKUP(_1_541284561214624104645789101745678[[#This Row],[Discount selection]],'Discount Structure'!$A$2:$B$30,2,"false"),0)</f>
        <v>1</v>
      </c>
      <c r="L658" s="194">
        <f>_1_541284561214624104645789101745678[[#This Row],[LIST $]]*_1_541284561214624104645789101745678[[#This Row],[DISCOUNT]]*_1_541284561214624104645789101745678[[#This Row],[DISCOUNT 2]]</f>
        <v>0</v>
      </c>
      <c r="M658" s="194">
        <f>IF(OR(_1_541284561214624104645789101745678[[#This Row],[UNIT]]&gt;0,_1_541284561214624104645789101745678[[#This Row],[UNIT]]&lt;0),_1_541284561214624104645789101745678[[#This Row],[UNIT]]*_1_541284561214624104645789101745678[[#This Row],[COST]],0)</f>
        <v>0</v>
      </c>
      <c r="N658" s="194">
        <f t="shared" si="10"/>
        <v>1.3</v>
      </c>
      <c r="O658" s="198">
        <f>_1_541284561214624104645789101745678[[#This Row],[TOTAL]]*_1_541284561214624104645789101745678[[#This Row],[MARGIN]]</f>
        <v>0</v>
      </c>
      <c r="R658" s="41"/>
    </row>
    <row r="659" spans="4:18">
      <c r="D659" s="188"/>
      <c r="F659" s="168" t="s">
        <v>6202</v>
      </c>
      <c r="G659" s="193">
        <f>IF(_1_541284561214624104645789101745678[[#This Row],[Type]]&gt;0,VLOOKUP(_1_541284561214624104645789101745678[[#This Row],[Type]],Main[[#All],[TYPE]:[UNIT]],'Unit Price'!C$1,FALSE),0)</f>
        <v>0</v>
      </c>
      <c r="H659" s="197">
        <f>IF(_1_541284561214624104645789101745678[[#This Row],[Type]]&gt;0,VLOOKUP(_1_541284561214624104645789101745678[[#This Row],[Type]],Main[[#All],[TYPE]:[UNIT]],'Unit Price'!D$1,FALSE),0)</f>
        <v>0</v>
      </c>
      <c r="I659" s="194">
        <f>IF(_1_541284561214624104645789101745678[[#This Row],[Type]]&gt;0,VLOOKUP(_1_541284561214624104645789101745678[[#This Row],[Type]],Main[[#All],[TYPE]:[UNIT]],'Unit Price'!G$1,FALSE),0)</f>
        <v>0</v>
      </c>
      <c r="J659" s="194">
        <f>IF(_1_541284561214624104645789101745678[[#This Row],[Type]]&gt;0,VLOOKUP(_1_541284561214624104645789101745678[[#This Row],[Type]],Main[[#All],[TYPE]:[UNIT]],'Unit Price'!H$1,FALSE),0)</f>
        <v>0</v>
      </c>
      <c r="K659" s="194">
        <f>IF(_1_541284561214624104645789101745678[[#This Row],[Discount selection]]&gt;0,VLOOKUP(_1_541284561214624104645789101745678[[#This Row],[Discount selection]],'Discount Structure'!$A$2:$B$30,2,"false"),0)</f>
        <v>1</v>
      </c>
      <c r="L659" s="194">
        <f>_1_541284561214624104645789101745678[[#This Row],[LIST $]]*_1_541284561214624104645789101745678[[#This Row],[DISCOUNT]]*_1_541284561214624104645789101745678[[#This Row],[DISCOUNT 2]]</f>
        <v>0</v>
      </c>
      <c r="M659" s="194">
        <f>IF(OR(_1_541284561214624104645789101745678[[#This Row],[UNIT]]&gt;0,_1_541284561214624104645789101745678[[#This Row],[UNIT]]&lt;0),_1_541284561214624104645789101745678[[#This Row],[UNIT]]*_1_541284561214624104645789101745678[[#This Row],[COST]],0)</f>
        <v>0</v>
      </c>
      <c r="N659" s="194">
        <f t="shared" si="10"/>
        <v>1.3</v>
      </c>
      <c r="O659" s="198">
        <f>_1_541284561214624104645789101745678[[#This Row],[TOTAL]]*_1_541284561214624104645789101745678[[#This Row],[MARGIN]]</f>
        <v>0</v>
      </c>
      <c r="R659" s="41"/>
    </row>
    <row r="660" spans="4:18">
      <c r="D660" s="188"/>
      <c r="F660" s="168" t="s">
        <v>6202</v>
      </c>
      <c r="G660" s="193">
        <f>IF(_1_541284561214624104645789101745678[[#This Row],[Type]]&gt;0,VLOOKUP(_1_541284561214624104645789101745678[[#This Row],[Type]],Main[[#All],[TYPE]:[UNIT]],'Unit Price'!C$1,FALSE),0)</f>
        <v>0</v>
      </c>
      <c r="H660" s="197">
        <f>IF(_1_541284561214624104645789101745678[[#This Row],[Type]]&gt;0,VLOOKUP(_1_541284561214624104645789101745678[[#This Row],[Type]],Main[[#All],[TYPE]:[UNIT]],'Unit Price'!D$1,FALSE),0)</f>
        <v>0</v>
      </c>
      <c r="I660" s="194">
        <f>IF(_1_541284561214624104645789101745678[[#This Row],[Type]]&gt;0,VLOOKUP(_1_541284561214624104645789101745678[[#This Row],[Type]],Main[[#All],[TYPE]:[UNIT]],'Unit Price'!G$1,FALSE),0)</f>
        <v>0</v>
      </c>
      <c r="J660" s="194">
        <f>IF(_1_541284561214624104645789101745678[[#This Row],[Type]]&gt;0,VLOOKUP(_1_541284561214624104645789101745678[[#This Row],[Type]],Main[[#All],[TYPE]:[UNIT]],'Unit Price'!H$1,FALSE),0)</f>
        <v>0</v>
      </c>
      <c r="K660" s="194">
        <f>IF(_1_541284561214624104645789101745678[[#This Row],[Discount selection]]&gt;0,VLOOKUP(_1_541284561214624104645789101745678[[#This Row],[Discount selection]],'Discount Structure'!$A$2:$B$30,2,"false"),0)</f>
        <v>1</v>
      </c>
      <c r="L660" s="194">
        <f>_1_541284561214624104645789101745678[[#This Row],[LIST $]]*_1_541284561214624104645789101745678[[#This Row],[DISCOUNT]]*_1_541284561214624104645789101745678[[#This Row],[DISCOUNT 2]]</f>
        <v>0</v>
      </c>
      <c r="M660" s="194">
        <f>IF(OR(_1_541284561214624104645789101745678[[#This Row],[UNIT]]&gt;0,_1_541284561214624104645789101745678[[#This Row],[UNIT]]&lt;0),_1_541284561214624104645789101745678[[#This Row],[UNIT]]*_1_541284561214624104645789101745678[[#This Row],[COST]],0)</f>
        <v>0</v>
      </c>
      <c r="N660" s="194">
        <f t="shared" si="10"/>
        <v>1.3</v>
      </c>
      <c r="O660" s="198">
        <f>_1_541284561214624104645789101745678[[#This Row],[TOTAL]]*_1_541284561214624104645789101745678[[#This Row],[MARGIN]]</f>
        <v>0</v>
      </c>
      <c r="R660" s="41"/>
    </row>
    <row r="661" spans="4:18">
      <c r="D661" s="188"/>
      <c r="F661" s="168" t="s">
        <v>6202</v>
      </c>
      <c r="G661" s="193">
        <f>IF(_1_541284561214624104645789101745678[[#This Row],[Type]]&gt;0,VLOOKUP(_1_541284561214624104645789101745678[[#This Row],[Type]],Main[[#All],[TYPE]:[UNIT]],'Unit Price'!C$1,FALSE),0)</f>
        <v>0</v>
      </c>
      <c r="H661" s="197">
        <f>IF(_1_541284561214624104645789101745678[[#This Row],[Type]]&gt;0,VLOOKUP(_1_541284561214624104645789101745678[[#This Row],[Type]],Main[[#All],[TYPE]:[UNIT]],'Unit Price'!D$1,FALSE),0)</f>
        <v>0</v>
      </c>
      <c r="I661" s="194">
        <f>IF(_1_541284561214624104645789101745678[[#This Row],[Type]]&gt;0,VLOOKUP(_1_541284561214624104645789101745678[[#This Row],[Type]],Main[[#All],[TYPE]:[UNIT]],'Unit Price'!G$1,FALSE),0)</f>
        <v>0</v>
      </c>
      <c r="J661" s="194">
        <f>IF(_1_541284561214624104645789101745678[[#This Row],[Type]]&gt;0,VLOOKUP(_1_541284561214624104645789101745678[[#This Row],[Type]],Main[[#All],[TYPE]:[UNIT]],'Unit Price'!H$1,FALSE),0)</f>
        <v>0</v>
      </c>
      <c r="K661" s="194">
        <f>IF(_1_541284561214624104645789101745678[[#This Row],[Discount selection]]&gt;0,VLOOKUP(_1_541284561214624104645789101745678[[#This Row],[Discount selection]],'Discount Structure'!$A$2:$B$30,2,"false"),0)</f>
        <v>1</v>
      </c>
      <c r="L661" s="194">
        <f>_1_541284561214624104645789101745678[[#This Row],[LIST $]]*_1_541284561214624104645789101745678[[#This Row],[DISCOUNT]]*_1_541284561214624104645789101745678[[#This Row],[DISCOUNT 2]]</f>
        <v>0</v>
      </c>
      <c r="M661" s="194">
        <f>IF(OR(_1_541284561214624104645789101745678[[#This Row],[UNIT]]&gt;0,_1_541284561214624104645789101745678[[#This Row],[UNIT]]&lt;0),_1_541284561214624104645789101745678[[#This Row],[UNIT]]*_1_541284561214624104645789101745678[[#This Row],[COST]],0)</f>
        <v>0</v>
      </c>
      <c r="N661" s="194">
        <f t="shared" si="10"/>
        <v>1.3</v>
      </c>
      <c r="O661" s="198">
        <f>_1_541284561214624104645789101745678[[#This Row],[TOTAL]]*_1_541284561214624104645789101745678[[#This Row],[MARGIN]]</f>
        <v>0</v>
      </c>
      <c r="R661" s="41"/>
    </row>
    <row r="662" spans="4:18">
      <c r="D662" s="188"/>
      <c r="F662" s="168" t="s">
        <v>6202</v>
      </c>
      <c r="G662" s="193">
        <f>IF(_1_541284561214624104645789101745678[[#This Row],[Type]]&gt;0,VLOOKUP(_1_541284561214624104645789101745678[[#This Row],[Type]],Main[[#All],[TYPE]:[UNIT]],'Unit Price'!C$1,FALSE),0)</f>
        <v>0</v>
      </c>
      <c r="H662" s="197">
        <f>IF(_1_541284561214624104645789101745678[[#This Row],[Type]]&gt;0,VLOOKUP(_1_541284561214624104645789101745678[[#This Row],[Type]],Main[[#All],[TYPE]:[UNIT]],'Unit Price'!D$1,FALSE),0)</f>
        <v>0</v>
      </c>
      <c r="I662" s="194">
        <f>IF(_1_541284561214624104645789101745678[[#This Row],[Type]]&gt;0,VLOOKUP(_1_541284561214624104645789101745678[[#This Row],[Type]],Main[[#All],[TYPE]:[UNIT]],'Unit Price'!G$1,FALSE),0)</f>
        <v>0</v>
      </c>
      <c r="J662" s="194">
        <f>IF(_1_541284561214624104645789101745678[[#This Row],[Type]]&gt;0,VLOOKUP(_1_541284561214624104645789101745678[[#This Row],[Type]],Main[[#All],[TYPE]:[UNIT]],'Unit Price'!H$1,FALSE),0)</f>
        <v>0</v>
      </c>
      <c r="K662" s="194">
        <f>IF(_1_541284561214624104645789101745678[[#This Row],[Discount selection]]&gt;0,VLOOKUP(_1_541284561214624104645789101745678[[#This Row],[Discount selection]],'Discount Structure'!$A$2:$B$30,2,"false"),0)</f>
        <v>1</v>
      </c>
      <c r="L662" s="194">
        <f>_1_541284561214624104645789101745678[[#This Row],[LIST $]]*_1_541284561214624104645789101745678[[#This Row],[DISCOUNT]]*_1_541284561214624104645789101745678[[#This Row],[DISCOUNT 2]]</f>
        <v>0</v>
      </c>
      <c r="M662" s="194">
        <f>IF(OR(_1_541284561214624104645789101745678[[#This Row],[UNIT]]&gt;0,_1_541284561214624104645789101745678[[#This Row],[UNIT]]&lt;0),_1_541284561214624104645789101745678[[#This Row],[UNIT]]*_1_541284561214624104645789101745678[[#This Row],[COST]],0)</f>
        <v>0</v>
      </c>
      <c r="N662" s="194">
        <f t="shared" si="10"/>
        <v>1.3</v>
      </c>
      <c r="O662" s="198">
        <f>_1_541284561214624104645789101745678[[#This Row],[TOTAL]]*_1_541284561214624104645789101745678[[#This Row],[MARGIN]]</f>
        <v>0</v>
      </c>
      <c r="R662" s="41"/>
    </row>
    <row r="663" spans="4:18">
      <c r="D663" s="188"/>
      <c r="F663" s="168" t="s">
        <v>6202</v>
      </c>
      <c r="G663" s="193">
        <f>IF(_1_541284561214624104645789101745678[[#This Row],[Type]]&gt;0,VLOOKUP(_1_541284561214624104645789101745678[[#This Row],[Type]],Main[[#All],[TYPE]:[UNIT]],'Unit Price'!C$1,FALSE),0)</f>
        <v>0</v>
      </c>
      <c r="H663" s="197">
        <f>IF(_1_541284561214624104645789101745678[[#This Row],[Type]]&gt;0,VLOOKUP(_1_541284561214624104645789101745678[[#This Row],[Type]],Main[[#All],[TYPE]:[UNIT]],'Unit Price'!D$1,FALSE),0)</f>
        <v>0</v>
      </c>
      <c r="I663" s="194">
        <f>IF(_1_541284561214624104645789101745678[[#This Row],[Type]]&gt;0,VLOOKUP(_1_541284561214624104645789101745678[[#This Row],[Type]],Main[[#All],[TYPE]:[UNIT]],'Unit Price'!G$1,FALSE),0)</f>
        <v>0</v>
      </c>
      <c r="J663" s="194">
        <f>IF(_1_541284561214624104645789101745678[[#This Row],[Type]]&gt;0,VLOOKUP(_1_541284561214624104645789101745678[[#This Row],[Type]],Main[[#All],[TYPE]:[UNIT]],'Unit Price'!H$1,FALSE),0)</f>
        <v>0</v>
      </c>
      <c r="K663" s="194">
        <f>IF(_1_541284561214624104645789101745678[[#This Row],[Discount selection]]&gt;0,VLOOKUP(_1_541284561214624104645789101745678[[#This Row],[Discount selection]],'Discount Structure'!$A$2:$B$30,2,"false"),0)</f>
        <v>1</v>
      </c>
      <c r="L663" s="194">
        <f>_1_541284561214624104645789101745678[[#This Row],[LIST $]]*_1_541284561214624104645789101745678[[#This Row],[DISCOUNT]]*_1_541284561214624104645789101745678[[#This Row],[DISCOUNT 2]]</f>
        <v>0</v>
      </c>
      <c r="M663" s="194">
        <f>IF(OR(_1_541284561214624104645789101745678[[#This Row],[UNIT]]&gt;0,_1_541284561214624104645789101745678[[#This Row],[UNIT]]&lt;0),_1_541284561214624104645789101745678[[#This Row],[UNIT]]*_1_541284561214624104645789101745678[[#This Row],[COST]],0)</f>
        <v>0</v>
      </c>
      <c r="N663" s="194">
        <f t="shared" si="10"/>
        <v>1.3</v>
      </c>
      <c r="O663" s="198">
        <f>_1_541284561214624104645789101745678[[#This Row],[TOTAL]]*_1_541284561214624104645789101745678[[#This Row],[MARGIN]]</f>
        <v>0</v>
      </c>
      <c r="R663" s="41"/>
    </row>
    <row r="664" spans="4:18">
      <c r="D664" s="188"/>
      <c r="F664" s="168" t="s">
        <v>6202</v>
      </c>
      <c r="G664" s="193">
        <f>IF(_1_541284561214624104645789101745678[[#This Row],[Type]]&gt;0,VLOOKUP(_1_541284561214624104645789101745678[[#This Row],[Type]],Main[[#All],[TYPE]:[UNIT]],'Unit Price'!C$1,FALSE),0)</f>
        <v>0</v>
      </c>
      <c r="H664" s="197">
        <f>IF(_1_541284561214624104645789101745678[[#This Row],[Type]]&gt;0,VLOOKUP(_1_541284561214624104645789101745678[[#This Row],[Type]],Main[[#All],[TYPE]:[UNIT]],'Unit Price'!D$1,FALSE),0)</f>
        <v>0</v>
      </c>
      <c r="I664" s="194">
        <f>IF(_1_541284561214624104645789101745678[[#This Row],[Type]]&gt;0,VLOOKUP(_1_541284561214624104645789101745678[[#This Row],[Type]],Main[[#All],[TYPE]:[UNIT]],'Unit Price'!G$1,FALSE),0)</f>
        <v>0</v>
      </c>
      <c r="J664" s="194">
        <f>IF(_1_541284561214624104645789101745678[[#This Row],[Type]]&gt;0,VLOOKUP(_1_541284561214624104645789101745678[[#This Row],[Type]],Main[[#All],[TYPE]:[UNIT]],'Unit Price'!H$1,FALSE),0)</f>
        <v>0</v>
      </c>
      <c r="K664" s="194">
        <f>IF(_1_541284561214624104645789101745678[[#This Row],[Discount selection]]&gt;0,VLOOKUP(_1_541284561214624104645789101745678[[#This Row],[Discount selection]],'Discount Structure'!$A$2:$B$30,2,"false"),0)</f>
        <v>1</v>
      </c>
      <c r="L664" s="194">
        <f>_1_541284561214624104645789101745678[[#This Row],[LIST $]]*_1_541284561214624104645789101745678[[#This Row],[DISCOUNT]]*_1_541284561214624104645789101745678[[#This Row],[DISCOUNT 2]]</f>
        <v>0</v>
      </c>
      <c r="M664" s="194">
        <f>IF(OR(_1_541284561214624104645789101745678[[#This Row],[UNIT]]&gt;0,_1_541284561214624104645789101745678[[#This Row],[UNIT]]&lt;0),_1_541284561214624104645789101745678[[#This Row],[UNIT]]*_1_541284561214624104645789101745678[[#This Row],[COST]],0)</f>
        <v>0</v>
      </c>
      <c r="N664" s="194">
        <f t="shared" si="10"/>
        <v>1.3</v>
      </c>
      <c r="O664" s="198">
        <f>_1_541284561214624104645789101745678[[#This Row],[TOTAL]]*_1_541284561214624104645789101745678[[#This Row],[MARGIN]]</f>
        <v>0</v>
      </c>
      <c r="R664" s="41"/>
    </row>
    <row r="665" spans="4:18">
      <c r="D665" s="188"/>
      <c r="F665" s="168" t="s">
        <v>6202</v>
      </c>
      <c r="G665" s="193">
        <f>IF(_1_541284561214624104645789101745678[[#This Row],[Type]]&gt;0,VLOOKUP(_1_541284561214624104645789101745678[[#This Row],[Type]],Main[[#All],[TYPE]:[UNIT]],'Unit Price'!C$1,FALSE),0)</f>
        <v>0</v>
      </c>
      <c r="H665" s="197">
        <f>IF(_1_541284561214624104645789101745678[[#This Row],[Type]]&gt;0,VLOOKUP(_1_541284561214624104645789101745678[[#This Row],[Type]],Main[[#All],[TYPE]:[UNIT]],'Unit Price'!D$1,FALSE),0)</f>
        <v>0</v>
      </c>
      <c r="I665" s="194">
        <f>IF(_1_541284561214624104645789101745678[[#This Row],[Type]]&gt;0,VLOOKUP(_1_541284561214624104645789101745678[[#This Row],[Type]],Main[[#All],[TYPE]:[UNIT]],'Unit Price'!G$1,FALSE),0)</f>
        <v>0</v>
      </c>
      <c r="J665" s="194">
        <f>IF(_1_541284561214624104645789101745678[[#This Row],[Type]]&gt;0,VLOOKUP(_1_541284561214624104645789101745678[[#This Row],[Type]],Main[[#All],[TYPE]:[UNIT]],'Unit Price'!H$1,FALSE),0)</f>
        <v>0</v>
      </c>
      <c r="K665" s="194">
        <f>IF(_1_541284561214624104645789101745678[[#This Row],[Discount selection]]&gt;0,VLOOKUP(_1_541284561214624104645789101745678[[#This Row],[Discount selection]],'Discount Structure'!$A$2:$B$30,2,"false"),0)</f>
        <v>1</v>
      </c>
      <c r="L665" s="194">
        <f>_1_541284561214624104645789101745678[[#This Row],[LIST $]]*_1_541284561214624104645789101745678[[#This Row],[DISCOUNT]]*_1_541284561214624104645789101745678[[#This Row],[DISCOUNT 2]]</f>
        <v>0</v>
      </c>
      <c r="M665" s="194">
        <f>IF(OR(_1_541284561214624104645789101745678[[#This Row],[UNIT]]&gt;0,_1_541284561214624104645789101745678[[#This Row],[UNIT]]&lt;0),_1_541284561214624104645789101745678[[#This Row],[UNIT]]*_1_541284561214624104645789101745678[[#This Row],[COST]],0)</f>
        <v>0</v>
      </c>
      <c r="N665" s="194">
        <f t="shared" si="10"/>
        <v>1.3</v>
      </c>
      <c r="O665" s="198">
        <f>_1_541284561214624104645789101745678[[#This Row],[TOTAL]]*_1_541284561214624104645789101745678[[#This Row],[MARGIN]]</f>
        <v>0</v>
      </c>
      <c r="R665" s="41"/>
    </row>
    <row r="666" spans="4:18">
      <c r="D666" s="188"/>
      <c r="F666" s="168" t="s">
        <v>6202</v>
      </c>
      <c r="G666" s="193">
        <f>IF(_1_541284561214624104645789101745678[[#This Row],[Type]]&gt;0,VLOOKUP(_1_541284561214624104645789101745678[[#This Row],[Type]],Main[[#All],[TYPE]:[UNIT]],'Unit Price'!C$1,FALSE),0)</f>
        <v>0</v>
      </c>
      <c r="H666" s="197">
        <f>IF(_1_541284561214624104645789101745678[[#This Row],[Type]]&gt;0,VLOOKUP(_1_541284561214624104645789101745678[[#This Row],[Type]],Main[[#All],[TYPE]:[UNIT]],'Unit Price'!D$1,FALSE),0)</f>
        <v>0</v>
      </c>
      <c r="I666" s="194">
        <f>IF(_1_541284561214624104645789101745678[[#This Row],[Type]]&gt;0,VLOOKUP(_1_541284561214624104645789101745678[[#This Row],[Type]],Main[[#All],[TYPE]:[UNIT]],'Unit Price'!G$1,FALSE),0)</f>
        <v>0</v>
      </c>
      <c r="J666" s="194">
        <f>IF(_1_541284561214624104645789101745678[[#This Row],[Type]]&gt;0,VLOOKUP(_1_541284561214624104645789101745678[[#This Row],[Type]],Main[[#All],[TYPE]:[UNIT]],'Unit Price'!H$1,FALSE),0)</f>
        <v>0</v>
      </c>
      <c r="K666" s="194">
        <f>IF(_1_541284561214624104645789101745678[[#This Row],[Discount selection]]&gt;0,VLOOKUP(_1_541284561214624104645789101745678[[#This Row],[Discount selection]],'Discount Structure'!$A$2:$B$30,2,"false"),0)</f>
        <v>1</v>
      </c>
      <c r="L666" s="194">
        <f>_1_541284561214624104645789101745678[[#This Row],[LIST $]]*_1_541284561214624104645789101745678[[#This Row],[DISCOUNT]]*_1_541284561214624104645789101745678[[#This Row],[DISCOUNT 2]]</f>
        <v>0</v>
      </c>
      <c r="M666" s="194">
        <f>IF(OR(_1_541284561214624104645789101745678[[#This Row],[UNIT]]&gt;0,_1_541284561214624104645789101745678[[#This Row],[UNIT]]&lt;0),_1_541284561214624104645789101745678[[#This Row],[UNIT]]*_1_541284561214624104645789101745678[[#This Row],[COST]],0)</f>
        <v>0</v>
      </c>
      <c r="N666" s="194">
        <f t="shared" si="10"/>
        <v>1.3</v>
      </c>
      <c r="O666" s="198">
        <f>_1_541284561214624104645789101745678[[#This Row],[TOTAL]]*_1_541284561214624104645789101745678[[#This Row],[MARGIN]]</f>
        <v>0</v>
      </c>
      <c r="R666" s="41"/>
    </row>
    <row r="667" spans="4:18">
      <c r="D667" s="188"/>
      <c r="F667" s="168" t="s">
        <v>6202</v>
      </c>
      <c r="G667" s="193">
        <f>IF(_1_541284561214624104645789101745678[[#This Row],[Type]]&gt;0,VLOOKUP(_1_541284561214624104645789101745678[[#This Row],[Type]],Main[[#All],[TYPE]:[UNIT]],'Unit Price'!C$1,FALSE),0)</f>
        <v>0</v>
      </c>
      <c r="H667" s="197">
        <f>IF(_1_541284561214624104645789101745678[[#This Row],[Type]]&gt;0,VLOOKUP(_1_541284561214624104645789101745678[[#This Row],[Type]],Main[[#All],[TYPE]:[UNIT]],'Unit Price'!D$1,FALSE),0)</f>
        <v>0</v>
      </c>
      <c r="I667" s="194">
        <f>IF(_1_541284561214624104645789101745678[[#This Row],[Type]]&gt;0,VLOOKUP(_1_541284561214624104645789101745678[[#This Row],[Type]],Main[[#All],[TYPE]:[UNIT]],'Unit Price'!G$1,FALSE),0)</f>
        <v>0</v>
      </c>
      <c r="J667" s="194">
        <f>IF(_1_541284561214624104645789101745678[[#This Row],[Type]]&gt;0,VLOOKUP(_1_541284561214624104645789101745678[[#This Row],[Type]],Main[[#All],[TYPE]:[UNIT]],'Unit Price'!H$1,FALSE),0)</f>
        <v>0</v>
      </c>
      <c r="K667" s="194">
        <f>IF(_1_541284561214624104645789101745678[[#This Row],[Discount selection]]&gt;0,VLOOKUP(_1_541284561214624104645789101745678[[#This Row],[Discount selection]],'Discount Structure'!$A$2:$B$30,2,"false"),0)</f>
        <v>1</v>
      </c>
      <c r="L667" s="194">
        <f>_1_541284561214624104645789101745678[[#This Row],[LIST $]]*_1_541284561214624104645789101745678[[#This Row],[DISCOUNT]]*_1_541284561214624104645789101745678[[#This Row],[DISCOUNT 2]]</f>
        <v>0</v>
      </c>
      <c r="M667" s="194">
        <f>IF(OR(_1_541284561214624104645789101745678[[#This Row],[UNIT]]&gt;0,_1_541284561214624104645789101745678[[#This Row],[UNIT]]&lt;0),_1_541284561214624104645789101745678[[#This Row],[UNIT]]*_1_541284561214624104645789101745678[[#This Row],[COST]],0)</f>
        <v>0</v>
      </c>
      <c r="N667" s="194">
        <f t="shared" si="10"/>
        <v>1.3</v>
      </c>
      <c r="O667" s="198">
        <f>_1_541284561214624104645789101745678[[#This Row],[TOTAL]]*_1_541284561214624104645789101745678[[#This Row],[MARGIN]]</f>
        <v>0</v>
      </c>
      <c r="R667" s="41"/>
    </row>
    <row r="668" spans="4:18">
      <c r="D668" s="188"/>
      <c r="F668" s="168" t="s">
        <v>6202</v>
      </c>
      <c r="G668" s="193">
        <f>IF(_1_541284561214624104645789101745678[[#This Row],[Type]]&gt;0,VLOOKUP(_1_541284561214624104645789101745678[[#This Row],[Type]],Main[[#All],[TYPE]:[UNIT]],'Unit Price'!C$1,FALSE),0)</f>
        <v>0</v>
      </c>
      <c r="H668" s="197">
        <f>IF(_1_541284561214624104645789101745678[[#This Row],[Type]]&gt;0,VLOOKUP(_1_541284561214624104645789101745678[[#This Row],[Type]],Main[[#All],[TYPE]:[UNIT]],'Unit Price'!D$1,FALSE),0)</f>
        <v>0</v>
      </c>
      <c r="I668" s="194">
        <f>IF(_1_541284561214624104645789101745678[[#This Row],[Type]]&gt;0,VLOOKUP(_1_541284561214624104645789101745678[[#This Row],[Type]],Main[[#All],[TYPE]:[UNIT]],'Unit Price'!G$1,FALSE),0)</f>
        <v>0</v>
      </c>
      <c r="J668" s="194">
        <f>IF(_1_541284561214624104645789101745678[[#This Row],[Type]]&gt;0,VLOOKUP(_1_541284561214624104645789101745678[[#This Row],[Type]],Main[[#All],[TYPE]:[UNIT]],'Unit Price'!H$1,FALSE),0)</f>
        <v>0</v>
      </c>
      <c r="K668" s="194">
        <f>IF(_1_541284561214624104645789101745678[[#This Row],[Discount selection]]&gt;0,VLOOKUP(_1_541284561214624104645789101745678[[#This Row],[Discount selection]],'Discount Structure'!$A$2:$B$30,2,"false"),0)</f>
        <v>1</v>
      </c>
      <c r="L668" s="194">
        <f>_1_541284561214624104645789101745678[[#This Row],[LIST $]]*_1_541284561214624104645789101745678[[#This Row],[DISCOUNT]]*_1_541284561214624104645789101745678[[#This Row],[DISCOUNT 2]]</f>
        <v>0</v>
      </c>
      <c r="M668" s="194">
        <f>IF(OR(_1_541284561214624104645789101745678[[#This Row],[UNIT]]&gt;0,_1_541284561214624104645789101745678[[#This Row],[UNIT]]&lt;0),_1_541284561214624104645789101745678[[#This Row],[UNIT]]*_1_541284561214624104645789101745678[[#This Row],[COST]],0)</f>
        <v>0</v>
      </c>
      <c r="N668" s="194">
        <f t="shared" si="10"/>
        <v>1.3</v>
      </c>
      <c r="O668" s="198">
        <f>_1_541284561214624104645789101745678[[#This Row],[TOTAL]]*_1_541284561214624104645789101745678[[#This Row],[MARGIN]]</f>
        <v>0</v>
      </c>
      <c r="R668" s="41"/>
    </row>
    <row r="669" spans="4:18">
      <c r="D669" s="188"/>
      <c r="F669" s="168" t="s">
        <v>6202</v>
      </c>
      <c r="G669" s="193">
        <f>IF(_1_541284561214624104645789101745678[[#This Row],[Type]]&gt;0,VLOOKUP(_1_541284561214624104645789101745678[[#This Row],[Type]],Main[[#All],[TYPE]:[UNIT]],'Unit Price'!C$1,FALSE),0)</f>
        <v>0</v>
      </c>
      <c r="H669" s="197">
        <f>IF(_1_541284561214624104645789101745678[[#This Row],[Type]]&gt;0,VLOOKUP(_1_541284561214624104645789101745678[[#This Row],[Type]],Main[[#All],[TYPE]:[UNIT]],'Unit Price'!D$1,FALSE),0)</f>
        <v>0</v>
      </c>
      <c r="I669" s="194">
        <f>IF(_1_541284561214624104645789101745678[[#This Row],[Type]]&gt;0,VLOOKUP(_1_541284561214624104645789101745678[[#This Row],[Type]],Main[[#All],[TYPE]:[UNIT]],'Unit Price'!G$1,FALSE),0)</f>
        <v>0</v>
      </c>
      <c r="J669" s="194">
        <f>IF(_1_541284561214624104645789101745678[[#This Row],[Type]]&gt;0,VLOOKUP(_1_541284561214624104645789101745678[[#This Row],[Type]],Main[[#All],[TYPE]:[UNIT]],'Unit Price'!H$1,FALSE),0)</f>
        <v>0</v>
      </c>
      <c r="K669" s="194">
        <f>IF(_1_541284561214624104645789101745678[[#This Row],[Discount selection]]&gt;0,VLOOKUP(_1_541284561214624104645789101745678[[#This Row],[Discount selection]],'Discount Structure'!$A$2:$B$30,2,"false"),0)</f>
        <v>1</v>
      </c>
      <c r="L669" s="194">
        <f>_1_541284561214624104645789101745678[[#This Row],[LIST $]]*_1_541284561214624104645789101745678[[#This Row],[DISCOUNT]]*_1_541284561214624104645789101745678[[#This Row],[DISCOUNT 2]]</f>
        <v>0</v>
      </c>
      <c r="M669" s="194">
        <f>IF(OR(_1_541284561214624104645789101745678[[#This Row],[UNIT]]&gt;0,_1_541284561214624104645789101745678[[#This Row],[UNIT]]&lt;0),_1_541284561214624104645789101745678[[#This Row],[UNIT]]*_1_541284561214624104645789101745678[[#This Row],[COST]],0)</f>
        <v>0</v>
      </c>
      <c r="N669" s="194">
        <f t="shared" si="10"/>
        <v>1.3</v>
      </c>
      <c r="O669" s="198">
        <f>_1_541284561214624104645789101745678[[#This Row],[TOTAL]]*_1_541284561214624104645789101745678[[#This Row],[MARGIN]]</f>
        <v>0</v>
      </c>
      <c r="R669" s="41"/>
    </row>
    <row r="670" spans="4:18">
      <c r="D670" s="188"/>
      <c r="F670" s="168" t="s">
        <v>6202</v>
      </c>
      <c r="G670" s="193">
        <f>IF(_1_541284561214624104645789101745678[[#This Row],[Type]]&gt;0,VLOOKUP(_1_541284561214624104645789101745678[[#This Row],[Type]],Main[[#All],[TYPE]:[UNIT]],'Unit Price'!C$1,FALSE),0)</f>
        <v>0</v>
      </c>
      <c r="H670" s="197">
        <f>IF(_1_541284561214624104645789101745678[[#This Row],[Type]]&gt;0,VLOOKUP(_1_541284561214624104645789101745678[[#This Row],[Type]],Main[[#All],[TYPE]:[UNIT]],'Unit Price'!D$1,FALSE),0)</f>
        <v>0</v>
      </c>
      <c r="I670" s="194">
        <f>IF(_1_541284561214624104645789101745678[[#This Row],[Type]]&gt;0,VLOOKUP(_1_541284561214624104645789101745678[[#This Row],[Type]],Main[[#All],[TYPE]:[UNIT]],'Unit Price'!G$1,FALSE),0)</f>
        <v>0</v>
      </c>
      <c r="J670" s="194">
        <f>IF(_1_541284561214624104645789101745678[[#This Row],[Type]]&gt;0,VLOOKUP(_1_541284561214624104645789101745678[[#This Row],[Type]],Main[[#All],[TYPE]:[UNIT]],'Unit Price'!H$1,FALSE),0)</f>
        <v>0</v>
      </c>
      <c r="K670" s="194">
        <f>IF(_1_541284561214624104645789101745678[[#This Row],[Discount selection]]&gt;0,VLOOKUP(_1_541284561214624104645789101745678[[#This Row],[Discount selection]],'Discount Structure'!$A$2:$B$30,2,"false"),0)</f>
        <v>1</v>
      </c>
      <c r="L670" s="194">
        <f>_1_541284561214624104645789101745678[[#This Row],[LIST $]]*_1_541284561214624104645789101745678[[#This Row],[DISCOUNT]]*_1_541284561214624104645789101745678[[#This Row],[DISCOUNT 2]]</f>
        <v>0</v>
      </c>
      <c r="M670" s="194">
        <f>IF(OR(_1_541284561214624104645789101745678[[#This Row],[UNIT]]&gt;0,_1_541284561214624104645789101745678[[#This Row],[UNIT]]&lt;0),_1_541284561214624104645789101745678[[#This Row],[UNIT]]*_1_541284561214624104645789101745678[[#This Row],[COST]],0)</f>
        <v>0</v>
      </c>
      <c r="N670" s="194">
        <f t="shared" si="10"/>
        <v>1.3</v>
      </c>
      <c r="O670" s="198">
        <f>_1_541284561214624104645789101745678[[#This Row],[TOTAL]]*_1_541284561214624104645789101745678[[#This Row],[MARGIN]]</f>
        <v>0</v>
      </c>
      <c r="R670" s="41"/>
    </row>
    <row r="671" spans="4:18">
      <c r="D671" s="188"/>
      <c r="F671" s="168" t="s">
        <v>6202</v>
      </c>
      <c r="G671" s="193">
        <f>IF(_1_541284561214624104645789101745678[[#This Row],[Type]]&gt;0,VLOOKUP(_1_541284561214624104645789101745678[[#This Row],[Type]],Main[[#All],[TYPE]:[UNIT]],'Unit Price'!C$1,FALSE),0)</f>
        <v>0</v>
      </c>
      <c r="H671" s="197">
        <f>IF(_1_541284561214624104645789101745678[[#This Row],[Type]]&gt;0,VLOOKUP(_1_541284561214624104645789101745678[[#This Row],[Type]],Main[[#All],[TYPE]:[UNIT]],'Unit Price'!D$1,FALSE),0)</f>
        <v>0</v>
      </c>
      <c r="I671" s="194">
        <f>IF(_1_541284561214624104645789101745678[[#This Row],[Type]]&gt;0,VLOOKUP(_1_541284561214624104645789101745678[[#This Row],[Type]],Main[[#All],[TYPE]:[UNIT]],'Unit Price'!G$1,FALSE),0)</f>
        <v>0</v>
      </c>
      <c r="J671" s="194">
        <f>IF(_1_541284561214624104645789101745678[[#This Row],[Type]]&gt;0,VLOOKUP(_1_541284561214624104645789101745678[[#This Row],[Type]],Main[[#All],[TYPE]:[UNIT]],'Unit Price'!H$1,FALSE),0)</f>
        <v>0</v>
      </c>
      <c r="K671" s="194">
        <f>IF(_1_541284561214624104645789101745678[[#This Row],[Discount selection]]&gt;0,VLOOKUP(_1_541284561214624104645789101745678[[#This Row],[Discount selection]],'Discount Structure'!$A$2:$B$30,2,"false"),0)</f>
        <v>1</v>
      </c>
      <c r="L671" s="194">
        <f>_1_541284561214624104645789101745678[[#This Row],[LIST $]]*_1_541284561214624104645789101745678[[#This Row],[DISCOUNT]]*_1_541284561214624104645789101745678[[#This Row],[DISCOUNT 2]]</f>
        <v>0</v>
      </c>
      <c r="M671" s="194">
        <f>IF(OR(_1_541284561214624104645789101745678[[#This Row],[UNIT]]&gt;0,_1_541284561214624104645789101745678[[#This Row],[UNIT]]&lt;0),_1_541284561214624104645789101745678[[#This Row],[UNIT]]*_1_541284561214624104645789101745678[[#This Row],[COST]],0)</f>
        <v>0</v>
      </c>
      <c r="N671" s="194">
        <f t="shared" si="10"/>
        <v>1.3</v>
      </c>
      <c r="O671" s="198">
        <f>_1_541284561214624104645789101745678[[#This Row],[TOTAL]]*_1_541284561214624104645789101745678[[#This Row],[MARGIN]]</f>
        <v>0</v>
      </c>
      <c r="R671" s="41"/>
    </row>
    <row r="672" spans="4:18">
      <c r="D672" s="188"/>
      <c r="F672" s="168" t="s">
        <v>6202</v>
      </c>
      <c r="G672" s="193">
        <f>IF(_1_541284561214624104645789101745678[[#This Row],[Type]]&gt;0,VLOOKUP(_1_541284561214624104645789101745678[[#This Row],[Type]],Main[[#All],[TYPE]:[UNIT]],'Unit Price'!C$1,FALSE),0)</f>
        <v>0</v>
      </c>
      <c r="H672" s="197">
        <f>IF(_1_541284561214624104645789101745678[[#This Row],[Type]]&gt;0,VLOOKUP(_1_541284561214624104645789101745678[[#This Row],[Type]],Main[[#All],[TYPE]:[UNIT]],'Unit Price'!D$1,FALSE),0)</f>
        <v>0</v>
      </c>
      <c r="I672" s="194">
        <f>IF(_1_541284561214624104645789101745678[[#This Row],[Type]]&gt;0,VLOOKUP(_1_541284561214624104645789101745678[[#This Row],[Type]],Main[[#All],[TYPE]:[UNIT]],'Unit Price'!G$1,FALSE),0)</f>
        <v>0</v>
      </c>
      <c r="J672" s="194">
        <f>IF(_1_541284561214624104645789101745678[[#This Row],[Type]]&gt;0,VLOOKUP(_1_541284561214624104645789101745678[[#This Row],[Type]],Main[[#All],[TYPE]:[UNIT]],'Unit Price'!H$1,FALSE),0)</f>
        <v>0</v>
      </c>
      <c r="K672" s="194">
        <f>IF(_1_541284561214624104645789101745678[[#This Row],[Discount selection]]&gt;0,VLOOKUP(_1_541284561214624104645789101745678[[#This Row],[Discount selection]],'Discount Structure'!$A$2:$B$30,2,"false"),0)</f>
        <v>1</v>
      </c>
      <c r="L672" s="194">
        <f>_1_541284561214624104645789101745678[[#This Row],[LIST $]]*_1_541284561214624104645789101745678[[#This Row],[DISCOUNT]]*_1_541284561214624104645789101745678[[#This Row],[DISCOUNT 2]]</f>
        <v>0</v>
      </c>
      <c r="M672" s="194">
        <f>IF(OR(_1_541284561214624104645789101745678[[#This Row],[UNIT]]&gt;0,_1_541284561214624104645789101745678[[#This Row],[UNIT]]&lt;0),_1_541284561214624104645789101745678[[#This Row],[UNIT]]*_1_541284561214624104645789101745678[[#This Row],[COST]],0)</f>
        <v>0</v>
      </c>
      <c r="N672" s="194">
        <f t="shared" si="10"/>
        <v>1.3</v>
      </c>
      <c r="O672" s="198">
        <f>_1_541284561214624104645789101745678[[#This Row],[TOTAL]]*_1_541284561214624104645789101745678[[#This Row],[MARGIN]]</f>
        <v>0</v>
      </c>
      <c r="R672" s="41"/>
    </row>
    <row r="673" spans="4:18">
      <c r="D673" s="188"/>
      <c r="F673" s="168" t="s">
        <v>6202</v>
      </c>
      <c r="G673" s="193">
        <f>IF(_1_541284561214624104645789101745678[[#This Row],[Type]]&gt;0,VLOOKUP(_1_541284561214624104645789101745678[[#This Row],[Type]],Main[[#All],[TYPE]:[UNIT]],'Unit Price'!C$1,FALSE),0)</f>
        <v>0</v>
      </c>
      <c r="H673" s="197">
        <f>IF(_1_541284561214624104645789101745678[[#This Row],[Type]]&gt;0,VLOOKUP(_1_541284561214624104645789101745678[[#This Row],[Type]],Main[[#All],[TYPE]:[UNIT]],'Unit Price'!D$1,FALSE),0)</f>
        <v>0</v>
      </c>
      <c r="I673" s="194">
        <f>IF(_1_541284561214624104645789101745678[[#This Row],[Type]]&gt;0,VLOOKUP(_1_541284561214624104645789101745678[[#This Row],[Type]],Main[[#All],[TYPE]:[UNIT]],'Unit Price'!G$1,FALSE),0)</f>
        <v>0</v>
      </c>
      <c r="J673" s="194">
        <f>IF(_1_541284561214624104645789101745678[[#This Row],[Type]]&gt;0,VLOOKUP(_1_541284561214624104645789101745678[[#This Row],[Type]],Main[[#All],[TYPE]:[UNIT]],'Unit Price'!H$1,FALSE),0)</f>
        <v>0</v>
      </c>
      <c r="K673" s="194">
        <f>IF(_1_541284561214624104645789101745678[[#This Row],[Discount selection]]&gt;0,VLOOKUP(_1_541284561214624104645789101745678[[#This Row],[Discount selection]],'Discount Structure'!$A$2:$B$30,2,"false"),0)</f>
        <v>1</v>
      </c>
      <c r="L673" s="194">
        <f>_1_541284561214624104645789101745678[[#This Row],[LIST $]]*_1_541284561214624104645789101745678[[#This Row],[DISCOUNT]]*_1_541284561214624104645789101745678[[#This Row],[DISCOUNT 2]]</f>
        <v>0</v>
      </c>
      <c r="M673" s="194">
        <f>IF(OR(_1_541284561214624104645789101745678[[#This Row],[UNIT]]&gt;0,_1_541284561214624104645789101745678[[#This Row],[UNIT]]&lt;0),_1_541284561214624104645789101745678[[#This Row],[UNIT]]*_1_541284561214624104645789101745678[[#This Row],[COST]],0)</f>
        <v>0</v>
      </c>
      <c r="N673" s="194">
        <f t="shared" si="10"/>
        <v>1.3</v>
      </c>
      <c r="O673" s="198">
        <f>_1_541284561214624104645789101745678[[#This Row],[TOTAL]]*_1_541284561214624104645789101745678[[#This Row],[MARGIN]]</f>
        <v>0</v>
      </c>
      <c r="R673" s="41"/>
    </row>
    <row r="674" spans="4:18">
      <c r="D674" s="188"/>
      <c r="F674" s="168" t="s">
        <v>6202</v>
      </c>
      <c r="G674" s="193">
        <f>IF(_1_541284561214624104645789101745678[[#This Row],[Type]]&gt;0,VLOOKUP(_1_541284561214624104645789101745678[[#This Row],[Type]],Main[[#All],[TYPE]:[UNIT]],'Unit Price'!C$1,FALSE),0)</f>
        <v>0</v>
      </c>
      <c r="H674" s="197">
        <f>IF(_1_541284561214624104645789101745678[[#This Row],[Type]]&gt;0,VLOOKUP(_1_541284561214624104645789101745678[[#This Row],[Type]],Main[[#All],[TYPE]:[UNIT]],'Unit Price'!D$1,FALSE),0)</f>
        <v>0</v>
      </c>
      <c r="I674" s="194">
        <f>IF(_1_541284561214624104645789101745678[[#This Row],[Type]]&gt;0,VLOOKUP(_1_541284561214624104645789101745678[[#This Row],[Type]],Main[[#All],[TYPE]:[UNIT]],'Unit Price'!G$1,FALSE),0)</f>
        <v>0</v>
      </c>
      <c r="J674" s="194">
        <f>IF(_1_541284561214624104645789101745678[[#This Row],[Type]]&gt;0,VLOOKUP(_1_541284561214624104645789101745678[[#This Row],[Type]],Main[[#All],[TYPE]:[UNIT]],'Unit Price'!H$1,FALSE),0)</f>
        <v>0</v>
      </c>
      <c r="K674" s="194">
        <f>IF(_1_541284561214624104645789101745678[[#This Row],[Discount selection]]&gt;0,VLOOKUP(_1_541284561214624104645789101745678[[#This Row],[Discount selection]],'Discount Structure'!$A$2:$B$30,2,"false"),0)</f>
        <v>1</v>
      </c>
      <c r="L674" s="194">
        <f>_1_541284561214624104645789101745678[[#This Row],[LIST $]]*_1_541284561214624104645789101745678[[#This Row],[DISCOUNT]]*_1_541284561214624104645789101745678[[#This Row],[DISCOUNT 2]]</f>
        <v>0</v>
      </c>
      <c r="M674" s="194">
        <f>IF(OR(_1_541284561214624104645789101745678[[#This Row],[UNIT]]&gt;0,_1_541284561214624104645789101745678[[#This Row],[UNIT]]&lt;0),_1_541284561214624104645789101745678[[#This Row],[UNIT]]*_1_541284561214624104645789101745678[[#This Row],[COST]],0)</f>
        <v>0</v>
      </c>
      <c r="N674" s="194">
        <f t="shared" si="10"/>
        <v>1.3</v>
      </c>
      <c r="O674" s="198">
        <f>_1_541284561214624104645789101745678[[#This Row],[TOTAL]]*_1_541284561214624104645789101745678[[#This Row],[MARGIN]]</f>
        <v>0</v>
      </c>
      <c r="R674" s="41"/>
    </row>
    <row r="675" spans="4:18">
      <c r="D675" s="188"/>
      <c r="F675" s="168" t="s">
        <v>6202</v>
      </c>
      <c r="G675" s="193">
        <f>IF(_1_541284561214624104645789101745678[[#This Row],[Type]]&gt;0,VLOOKUP(_1_541284561214624104645789101745678[[#This Row],[Type]],Main[[#All],[TYPE]:[UNIT]],'Unit Price'!C$1,FALSE),0)</f>
        <v>0</v>
      </c>
      <c r="H675" s="197">
        <f>IF(_1_541284561214624104645789101745678[[#This Row],[Type]]&gt;0,VLOOKUP(_1_541284561214624104645789101745678[[#This Row],[Type]],Main[[#All],[TYPE]:[UNIT]],'Unit Price'!D$1,FALSE),0)</f>
        <v>0</v>
      </c>
      <c r="I675" s="194">
        <f>IF(_1_541284561214624104645789101745678[[#This Row],[Type]]&gt;0,VLOOKUP(_1_541284561214624104645789101745678[[#This Row],[Type]],Main[[#All],[TYPE]:[UNIT]],'Unit Price'!G$1,FALSE),0)</f>
        <v>0</v>
      </c>
      <c r="J675" s="194">
        <f>IF(_1_541284561214624104645789101745678[[#This Row],[Type]]&gt;0,VLOOKUP(_1_541284561214624104645789101745678[[#This Row],[Type]],Main[[#All],[TYPE]:[UNIT]],'Unit Price'!H$1,FALSE),0)</f>
        <v>0</v>
      </c>
      <c r="K675" s="194">
        <f>IF(_1_541284561214624104645789101745678[[#This Row],[Discount selection]]&gt;0,VLOOKUP(_1_541284561214624104645789101745678[[#This Row],[Discount selection]],'Discount Structure'!$A$2:$B$30,2,"false"),0)</f>
        <v>1</v>
      </c>
      <c r="L675" s="194">
        <f>_1_541284561214624104645789101745678[[#This Row],[LIST $]]*_1_541284561214624104645789101745678[[#This Row],[DISCOUNT]]*_1_541284561214624104645789101745678[[#This Row],[DISCOUNT 2]]</f>
        <v>0</v>
      </c>
      <c r="M675" s="194">
        <f>IF(OR(_1_541284561214624104645789101745678[[#This Row],[UNIT]]&gt;0,_1_541284561214624104645789101745678[[#This Row],[UNIT]]&lt;0),_1_541284561214624104645789101745678[[#This Row],[UNIT]]*_1_541284561214624104645789101745678[[#This Row],[COST]],0)</f>
        <v>0</v>
      </c>
      <c r="N675" s="194">
        <f t="shared" si="10"/>
        <v>1.3</v>
      </c>
      <c r="O675" s="198">
        <f>_1_541284561214624104645789101745678[[#This Row],[TOTAL]]*_1_541284561214624104645789101745678[[#This Row],[MARGIN]]</f>
        <v>0</v>
      </c>
      <c r="R675" s="41"/>
    </row>
    <row r="676" spans="4:18">
      <c r="D676" s="188"/>
      <c r="F676" s="168" t="s">
        <v>6202</v>
      </c>
      <c r="G676" s="193">
        <f>IF(_1_541284561214624104645789101745678[[#This Row],[Type]]&gt;0,VLOOKUP(_1_541284561214624104645789101745678[[#This Row],[Type]],Main[[#All],[TYPE]:[UNIT]],'Unit Price'!C$1,FALSE),0)</f>
        <v>0</v>
      </c>
      <c r="H676" s="197">
        <f>IF(_1_541284561214624104645789101745678[[#This Row],[Type]]&gt;0,VLOOKUP(_1_541284561214624104645789101745678[[#This Row],[Type]],Main[[#All],[TYPE]:[UNIT]],'Unit Price'!D$1,FALSE),0)</f>
        <v>0</v>
      </c>
      <c r="I676" s="194">
        <f>IF(_1_541284561214624104645789101745678[[#This Row],[Type]]&gt;0,VLOOKUP(_1_541284561214624104645789101745678[[#This Row],[Type]],Main[[#All],[TYPE]:[UNIT]],'Unit Price'!G$1,FALSE),0)</f>
        <v>0</v>
      </c>
      <c r="J676" s="194">
        <f>IF(_1_541284561214624104645789101745678[[#This Row],[Type]]&gt;0,VLOOKUP(_1_541284561214624104645789101745678[[#This Row],[Type]],Main[[#All],[TYPE]:[UNIT]],'Unit Price'!H$1,FALSE),0)</f>
        <v>0</v>
      </c>
      <c r="K676" s="194">
        <f>IF(_1_541284561214624104645789101745678[[#This Row],[Discount selection]]&gt;0,VLOOKUP(_1_541284561214624104645789101745678[[#This Row],[Discount selection]],'Discount Structure'!$A$2:$B$30,2,"false"),0)</f>
        <v>1</v>
      </c>
      <c r="L676" s="194">
        <f>_1_541284561214624104645789101745678[[#This Row],[LIST $]]*_1_541284561214624104645789101745678[[#This Row],[DISCOUNT]]*_1_541284561214624104645789101745678[[#This Row],[DISCOUNT 2]]</f>
        <v>0</v>
      </c>
      <c r="M676" s="194">
        <f>IF(OR(_1_541284561214624104645789101745678[[#This Row],[UNIT]]&gt;0,_1_541284561214624104645789101745678[[#This Row],[UNIT]]&lt;0),_1_541284561214624104645789101745678[[#This Row],[UNIT]]*_1_541284561214624104645789101745678[[#This Row],[COST]],0)</f>
        <v>0</v>
      </c>
      <c r="N676" s="194">
        <f t="shared" si="10"/>
        <v>1.3</v>
      </c>
      <c r="O676" s="198">
        <f>_1_541284561214624104645789101745678[[#This Row],[TOTAL]]*_1_541284561214624104645789101745678[[#This Row],[MARGIN]]</f>
        <v>0</v>
      </c>
      <c r="R676" s="41"/>
    </row>
    <row r="677" spans="4:18">
      <c r="D677" s="188"/>
      <c r="F677" s="168" t="s">
        <v>6202</v>
      </c>
      <c r="G677" s="193">
        <f>IF(_1_541284561214624104645789101745678[[#This Row],[Type]]&gt;0,VLOOKUP(_1_541284561214624104645789101745678[[#This Row],[Type]],Main[[#All],[TYPE]:[UNIT]],'Unit Price'!C$1,FALSE),0)</f>
        <v>0</v>
      </c>
      <c r="H677" s="197">
        <f>IF(_1_541284561214624104645789101745678[[#This Row],[Type]]&gt;0,VLOOKUP(_1_541284561214624104645789101745678[[#This Row],[Type]],Main[[#All],[TYPE]:[UNIT]],'Unit Price'!D$1,FALSE),0)</f>
        <v>0</v>
      </c>
      <c r="I677" s="194">
        <f>IF(_1_541284561214624104645789101745678[[#This Row],[Type]]&gt;0,VLOOKUP(_1_541284561214624104645789101745678[[#This Row],[Type]],Main[[#All],[TYPE]:[UNIT]],'Unit Price'!G$1,FALSE),0)</f>
        <v>0</v>
      </c>
      <c r="J677" s="194">
        <f>IF(_1_541284561214624104645789101745678[[#This Row],[Type]]&gt;0,VLOOKUP(_1_541284561214624104645789101745678[[#This Row],[Type]],Main[[#All],[TYPE]:[UNIT]],'Unit Price'!H$1,FALSE),0)</f>
        <v>0</v>
      </c>
      <c r="K677" s="194">
        <f>IF(_1_541284561214624104645789101745678[[#This Row],[Discount selection]]&gt;0,VLOOKUP(_1_541284561214624104645789101745678[[#This Row],[Discount selection]],'Discount Structure'!$A$2:$B$30,2,"false"),0)</f>
        <v>1</v>
      </c>
      <c r="L677" s="194">
        <f>_1_541284561214624104645789101745678[[#This Row],[LIST $]]*_1_541284561214624104645789101745678[[#This Row],[DISCOUNT]]*_1_541284561214624104645789101745678[[#This Row],[DISCOUNT 2]]</f>
        <v>0</v>
      </c>
      <c r="M677" s="194">
        <f>IF(OR(_1_541284561214624104645789101745678[[#This Row],[UNIT]]&gt;0,_1_541284561214624104645789101745678[[#This Row],[UNIT]]&lt;0),_1_541284561214624104645789101745678[[#This Row],[UNIT]]*_1_541284561214624104645789101745678[[#This Row],[COST]],0)</f>
        <v>0</v>
      </c>
      <c r="N677" s="194">
        <f t="shared" si="10"/>
        <v>1.3</v>
      </c>
      <c r="O677" s="198">
        <f>_1_541284561214624104645789101745678[[#This Row],[TOTAL]]*_1_541284561214624104645789101745678[[#This Row],[MARGIN]]</f>
        <v>0</v>
      </c>
      <c r="R677" s="41"/>
    </row>
    <row r="678" spans="4:18">
      <c r="D678" s="188"/>
      <c r="F678" s="168" t="s">
        <v>6202</v>
      </c>
      <c r="G678" s="193">
        <f>IF(_1_541284561214624104645789101745678[[#This Row],[Type]]&gt;0,VLOOKUP(_1_541284561214624104645789101745678[[#This Row],[Type]],Main[[#All],[TYPE]:[UNIT]],'Unit Price'!C$1,FALSE),0)</f>
        <v>0</v>
      </c>
      <c r="H678" s="197">
        <f>IF(_1_541284561214624104645789101745678[[#This Row],[Type]]&gt;0,VLOOKUP(_1_541284561214624104645789101745678[[#This Row],[Type]],Main[[#All],[TYPE]:[UNIT]],'Unit Price'!D$1,FALSE),0)</f>
        <v>0</v>
      </c>
      <c r="I678" s="194">
        <f>IF(_1_541284561214624104645789101745678[[#This Row],[Type]]&gt;0,VLOOKUP(_1_541284561214624104645789101745678[[#This Row],[Type]],Main[[#All],[TYPE]:[UNIT]],'Unit Price'!G$1,FALSE),0)</f>
        <v>0</v>
      </c>
      <c r="J678" s="194">
        <f>IF(_1_541284561214624104645789101745678[[#This Row],[Type]]&gt;0,VLOOKUP(_1_541284561214624104645789101745678[[#This Row],[Type]],Main[[#All],[TYPE]:[UNIT]],'Unit Price'!H$1,FALSE),0)</f>
        <v>0</v>
      </c>
      <c r="K678" s="194">
        <f>IF(_1_541284561214624104645789101745678[[#This Row],[Discount selection]]&gt;0,VLOOKUP(_1_541284561214624104645789101745678[[#This Row],[Discount selection]],'Discount Structure'!$A$2:$B$30,2,"false"),0)</f>
        <v>1</v>
      </c>
      <c r="L678" s="194">
        <f>_1_541284561214624104645789101745678[[#This Row],[LIST $]]*_1_541284561214624104645789101745678[[#This Row],[DISCOUNT]]*_1_541284561214624104645789101745678[[#This Row],[DISCOUNT 2]]</f>
        <v>0</v>
      </c>
      <c r="M678" s="194">
        <f>IF(OR(_1_541284561214624104645789101745678[[#This Row],[UNIT]]&gt;0,_1_541284561214624104645789101745678[[#This Row],[UNIT]]&lt;0),_1_541284561214624104645789101745678[[#This Row],[UNIT]]*_1_541284561214624104645789101745678[[#This Row],[COST]],0)</f>
        <v>0</v>
      </c>
      <c r="N678" s="194">
        <f t="shared" si="10"/>
        <v>1.3</v>
      </c>
      <c r="O678" s="198">
        <f>_1_541284561214624104645789101745678[[#This Row],[TOTAL]]*_1_541284561214624104645789101745678[[#This Row],[MARGIN]]</f>
        <v>0</v>
      </c>
      <c r="R678" s="41"/>
    </row>
    <row r="679" spans="4:18">
      <c r="D679" s="188"/>
      <c r="F679" s="168" t="s">
        <v>6202</v>
      </c>
      <c r="G679" s="193">
        <f>IF(_1_541284561214624104645789101745678[[#This Row],[Type]]&gt;0,VLOOKUP(_1_541284561214624104645789101745678[[#This Row],[Type]],Main[[#All],[TYPE]:[UNIT]],'Unit Price'!C$1,FALSE),0)</f>
        <v>0</v>
      </c>
      <c r="H679" s="197">
        <f>IF(_1_541284561214624104645789101745678[[#This Row],[Type]]&gt;0,VLOOKUP(_1_541284561214624104645789101745678[[#This Row],[Type]],Main[[#All],[TYPE]:[UNIT]],'Unit Price'!D$1,FALSE),0)</f>
        <v>0</v>
      </c>
      <c r="I679" s="194">
        <f>IF(_1_541284561214624104645789101745678[[#This Row],[Type]]&gt;0,VLOOKUP(_1_541284561214624104645789101745678[[#This Row],[Type]],Main[[#All],[TYPE]:[UNIT]],'Unit Price'!G$1,FALSE),0)</f>
        <v>0</v>
      </c>
      <c r="J679" s="194">
        <f>IF(_1_541284561214624104645789101745678[[#This Row],[Type]]&gt;0,VLOOKUP(_1_541284561214624104645789101745678[[#This Row],[Type]],Main[[#All],[TYPE]:[UNIT]],'Unit Price'!H$1,FALSE),0)</f>
        <v>0</v>
      </c>
      <c r="K679" s="194">
        <f>IF(_1_541284561214624104645789101745678[[#This Row],[Discount selection]]&gt;0,VLOOKUP(_1_541284561214624104645789101745678[[#This Row],[Discount selection]],'Discount Structure'!$A$2:$B$30,2,"false"),0)</f>
        <v>1</v>
      </c>
      <c r="L679" s="194">
        <f>_1_541284561214624104645789101745678[[#This Row],[LIST $]]*_1_541284561214624104645789101745678[[#This Row],[DISCOUNT]]*_1_541284561214624104645789101745678[[#This Row],[DISCOUNT 2]]</f>
        <v>0</v>
      </c>
      <c r="M679" s="194">
        <f>IF(OR(_1_541284561214624104645789101745678[[#This Row],[UNIT]]&gt;0,_1_541284561214624104645789101745678[[#This Row],[UNIT]]&lt;0),_1_541284561214624104645789101745678[[#This Row],[UNIT]]*_1_541284561214624104645789101745678[[#This Row],[COST]],0)</f>
        <v>0</v>
      </c>
      <c r="N679" s="194">
        <f t="shared" si="10"/>
        <v>1.3</v>
      </c>
      <c r="O679" s="198">
        <f>_1_541284561214624104645789101745678[[#This Row],[TOTAL]]*_1_541284561214624104645789101745678[[#This Row],[MARGIN]]</f>
        <v>0</v>
      </c>
      <c r="R679" s="41"/>
    </row>
    <row r="680" spans="4:18">
      <c r="D680" s="188"/>
      <c r="F680" s="168" t="s">
        <v>6202</v>
      </c>
      <c r="G680" s="193">
        <f>IF(_1_541284561214624104645789101745678[[#This Row],[Type]]&gt;0,VLOOKUP(_1_541284561214624104645789101745678[[#This Row],[Type]],Main[[#All],[TYPE]:[UNIT]],'Unit Price'!C$1,FALSE),0)</f>
        <v>0</v>
      </c>
      <c r="H680" s="197">
        <f>IF(_1_541284561214624104645789101745678[[#This Row],[Type]]&gt;0,VLOOKUP(_1_541284561214624104645789101745678[[#This Row],[Type]],Main[[#All],[TYPE]:[UNIT]],'Unit Price'!D$1,FALSE),0)</f>
        <v>0</v>
      </c>
      <c r="I680" s="194">
        <f>IF(_1_541284561214624104645789101745678[[#This Row],[Type]]&gt;0,VLOOKUP(_1_541284561214624104645789101745678[[#This Row],[Type]],Main[[#All],[TYPE]:[UNIT]],'Unit Price'!G$1,FALSE),0)</f>
        <v>0</v>
      </c>
      <c r="J680" s="194">
        <f>IF(_1_541284561214624104645789101745678[[#This Row],[Type]]&gt;0,VLOOKUP(_1_541284561214624104645789101745678[[#This Row],[Type]],Main[[#All],[TYPE]:[UNIT]],'Unit Price'!H$1,FALSE),0)</f>
        <v>0</v>
      </c>
      <c r="K680" s="194">
        <f>IF(_1_541284561214624104645789101745678[[#This Row],[Discount selection]]&gt;0,VLOOKUP(_1_541284561214624104645789101745678[[#This Row],[Discount selection]],'Discount Structure'!$A$2:$B$30,2,"false"),0)</f>
        <v>1</v>
      </c>
      <c r="L680" s="194">
        <f>_1_541284561214624104645789101745678[[#This Row],[LIST $]]*_1_541284561214624104645789101745678[[#This Row],[DISCOUNT]]*_1_541284561214624104645789101745678[[#This Row],[DISCOUNT 2]]</f>
        <v>0</v>
      </c>
      <c r="M680" s="194">
        <f>IF(OR(_1_541284561214624104645789101745678[[#This Row],[UNIT]]&gt;0,_1_541284561214624104645789101745678[[#This Row],[UNIT]]&lt;0),_1_541284561214624104645789101745678[[#This Row],[UNIT]]*_1_541284561214624104645789101745678[[#This Row],[COST]],0)</f>
        <v>0</v>
      </c>
      <c r="N680" s="194">
        <f t="shared" si="10"/>
        <v>1.3</v>
      </c>
      <c r="O680" s="198">
        <f>_1_541284561214624104645789101745678[[#This Row],[TOTAL]]*_1_541284561214624104645789101745678[[#This Row],[MARGIN]]</f>
        <v>0</v>
      </c>
      <c r="R680" s="41"/>
    </row>
    <row r="681" spans="4:18">
      <c r="D681" s="188"/>
      <c r="F681" s="168" t="s">
        <v>6202</v>
      </c>
      <c r="G681" s="193">
        <f>IF(_1_541284561214624104645789101745678[[#This Row],[Type]]&gt;0,VLOOKUP(_1_541284561214624104645789101745678[[#This Row],[Type]],Main[[#All],[TYPE]:[UNIT]],'Unit Price'!C$1,FALSE),0)</f>
        <v>0</v>
      </c>
      <c r="H681" s="197">
        <f>IF(_1_541284561214624104645789101745678[[#This Row],[Type]]&gt;0,VLOOKUP(_1_541284561214624104645789101745678[[#This Row],[Type]],Main[[#All],[TYPE]:[UNIT]],'Unit Price'!D$1,FALSE),0)</f>
        <v>0</v>
      </c>
      <c r="I681" s="194">
        <f>IF(_1_541284561214624104645789101745678[[#This Row],[Type]]&gt;0,VLOOKUP(_1_541284561214624104645789101745678[[#This Row],[Type]],Main[[#All],[TYPE]:[UNIT]],'Unit Price'!G$1,FALSE),0)</f>
        <v>0</v>
      </c>
      <c r="J681" s="194">
        <f>IF(_1_541284561214624104645789101745678[[#This Row],[Type]]&gt;0,VLOOKUP(_1_541284561214624104645789101745678[[#This Row],[Type]],Main[[#All],[TYPE]:[UNIT]],'Unit Price'!H$1,FALSE),0)</f>
        <v>0</v>
      </c>
      <c r="K681" s="194">
        <f>IF(_1_541284561214624104645789101745678[[#This Row],[Discount selection]]&gt;0,VLOOKUP(_1_541284561214624104645789101745678[[#This Row],[Discount selection]],'Discount Structure'!$A$2:$B$30,2,"false"),0)</f>
        <v>1</v>
      </c>
      <c r="L681" s="194">
        <f>_1_541284561214624104645789101745678[[#This Row],[LIST $]]*_1_541284561214624104645789101745678[[#This Row],[DISCOUNT]]*_1_541284561214624104645789101745678[[#This Row],[DISCOUNT 2]]</f>
        <v>0</v>
      </c>
      <c r="M681" s="194">
        <f>IF(OR(_1_541284561214624104645789101745678[[#This Row],[UNIT]]&gt;0,_1_541284561214624104645789101745678[[#This Row],[UNIT]]&lt;0),_1_541284561214624104645789101745678[[#This Row],[UNIT]]*_1_541284561214624104645789101745678[[#This Row],[COST]],0)</f>
        <v>0</v>
      </c>
      <c r="N681" s="194">
        <f t="shared" si="10"/>
        <v>1.3</v>
      </c>
      <c r="O681" s="198">
        <f>_1_541284561214624104645789101745678[[#This Row],[TOTAL]]*_1_541284561214624104645789101745678[[#This Row],[MARGIN]]</f>
        <v>0</v>
      </c>
      <c r="R681" s="41"/>
    </row>
    <row r="682" spans="4:18">
      <c r="D682" s="188"/>
      <c r="F682" s="168" t="s">
        <v>6202</v>
      </c>
      <c r="G682" s="193">
        <f>IF(_1_541284561214624104645789101745678[[#This Row],[Type]]&gt;0,VLOOKUP(_1_541284561214624104645789101745678[[#This Row],[Type]],Main[[#All],[TYPE]:[UNIT]],'Unit Price'!C$1,FALSE),0)</f>
        <v>0</v>
      </c>
      <c r="H682" s="197">
        <f>IF(_1_541284561214624104645789101745678[[#This Row],[Type]]&gt;0,VLOOKUP(_1_541284561214624104645789101745678[[#This Row],[Type]],Main[[#All],[TYPE]:[UNIT]],'Unit Price'!D$1,FALSE),0)</f>
        <v>0</v>
      </c>
      <c r="I682" s="194">
        <f>IF(_1_541284561214624104645789101745678[[#This Row],[Type]]&gt;0,VLOOKUP(_1_541284561214624104645789101745678[[#This Row],[Type]],Main[[#All],[TYPE]:[UNIT]],'Unit Price'!G$1,FALSE),0)</f>
        <v>0</v>
      </c>
      <c r="J682" s="194">
        <f>IF(_1_541284561214624104645789101745678[[#This Row],[Type]]&gt;0,VLOOKUP(_1_541284561214624104645789101745678[[#This Row],[Type]],Main[[#All],[TYPE]:[UNIT]],'Unit Price'!H$1,FALSE),0)</f>
        <v>0</v>
      </c>
      <c r="K682" s="194">
        <f>IF(_1_541284561214624104645789101745678[[#This Row],[Discount selection]]&gt;0,VLOOKUP(_1_541284561214624104645789101745678[[#This Row],[Discount selection]],'Discount Structure'!$A$2:$B$30,2,"false"),0)</f>
        <v>1</v>
      </c>
      <c r="L682" s="194">
        <f>_1_541284561214624104645789101745678[[#This Row],[LIST $]]*_1_541284561214624104645789101745678[[#This Row],[DISCOUNT]]*_1_541284561214624104645789101745678[[#This Row],[DISCOUNT 2]]</f>
        <v>0</v>
      </c>
      <c r="M682" s="194">
        <f>IF(OR(_1_541284561214624104645789101745678[[#This Row],[UNIT]]&gt;0,_1_541284561214624104645789101745678[[#This Row],[UNIT]]&lt;0),_1_541284561214624104645789101745678[[#This Row],[UNIT]]*_1_541284561214624104645789101745678[[#This Row],[COST]],0)</f>
        <v>0</v>
      </c>
      <c r="N682" s="194">
        <f t="shared" si="10"/>
        <v>1.3</v>
      </c>
      <c r="O682" s="198">
        <f>_1_541284561214624104645789101745678[[#This Row],[TOTAL]]*_1_541284561214624104645789101745678[[#This Row],[MARGIN]]</f>
        <v>0</v>
      </c>
      <c r="R682" s="41"/>
    </row>
    <row r="683" spans="4:18">
      <c r="D683" s="188"/>
      <c r="F683" s="168" t="s">
        <v>6202</v>
      </c>
      <c r="G683" s="193">
        <f>IF(_1_541284561214624104645789101745678[[#This Row],[Type]]&gt;0,VLOOKUP(_1_541284561214624104645789101745678[[#This Row],[Type]],Main[[#All],[TYPE]:[UNIT]],'Unit Price'!C$1,FALSE),0)</f>
        <v>0</v>
      </c>
      <c r="H683" s="197">
        <f>IF(_1_541284561214624104645789101745678[[#This Row],[Type]]&gt;0,VLOOKUP(_1_541284561214624104645789101745678[[#This Row],[Type]],Main[[#All],[TYPE]:[UNIT]],'Unit Price'!D$1,FALSE),0)</f>
        <v>0</v>
      </c>
      <c r="I683" s="194">
        <f>IF(_1_541284561214624104645789101745678[[#This Row],[Type]]&gt;0,VLOOKUP(_1_541284561214624104645789101745678[[#This Row],[Type]],Main[[#All],[TYPE]:[UNIT]],'Unit Price'!G$1,FALSE),0)</f>
        <v>0</v>
      </c>
      <c r="J683" s="194">
        <f>IF(_1_541284561214624104645789101745678[[#This Row],[Type]]&gt;0,VLOOKUP(_1_541284561214624104645789101745678[[#This Row],[Type]],Main[[#All],[TYPE]:[UNIT]],'Unit Price'!H$1,FALSE),0)</f>
        <v>0</v>
      </c>
      <c r="K683" s="194">
        <f>IF(_1_541284561214624104645789101745678[[#This Row],[Discount selection]]&gt;0,VLOOKUP(_1_541284561214624104645789101745678[[#This Row],[Discount selection]],'Discount Structure'!$A$2:$B$30,2,"false"),0)</f>
        <v>1</v>
      </c>
      <c r="L683" s="194">
        <f>_1_541284561214624104645789101745678[[#This Row],[LIST $]]*_1_541284561214624104645789101745678[[#This Row],[DISCOUNT]]*_1_541284561214624104645789101745678[[#This Row],[DISCOUNT 2]]</f>
        <v>0</v>
      </c>
      <c r="M683" s="194">
        <f>IF(OR(_1_541284561214624104645789101745678[[#This Row],[UNIT]]&gt;0,_1_541284561214624104645789101745678[[#This Row],[UNIT]]&lt;0),_1_541284561214624104645789101745678[[#This Row],[UNIT]]*_1_541284561214624104645789101745678[[#This Row],[COST]],0)</f>
        <v>0</v>
      </c>
      <c r="N683" s="194">
        <f t="shared" si="10"/>
        <v>1.3</v>
      </c>
      <c r="O683" s="198">
        <f>_1_541284561214624104645789101745678[[#This Row],[TOTAL]]*_1_541284561214624104645789101745678[[#This Row],[MARGIN]]</f>
        <v>0</v>
      </c>
      <c r="R683" s="41"/>
    </row>
    <row r="684" spans="4:18">
      <c r="D684" s="188"/>
      <c r="F684" s="168" t="s">
        <v>6202</v>
      </c>
      <c r="G684" s="193">
        <f>IF(_1_541284561214624104645789101745678[[#This Row],[Type]]&gt;0,VLOOKUP(_1_541284561214624104645789101745678[[#This Row],[Type]],Main[[#All],[TYPE]:[UNIT]],'Unit Price'!C$1,FALSE),0)</f>
        <v>0</v>
      </c>
      <c r="H684" s="197">
        <f>IF(_1_541284561214624104645789101745678[[#This Row],[Type]]&gt;0,VLOOKUP(_1_541284561214624104645789101745678[[#This Row],[Type]],Main[[#All],[TYPE]:[UNIT]],'Unit Price'!D$1,FALSE),0)</f>
        <v>0</v>
      </c>
      <c r="I684" s="194">
        <f>IF(_1_541284561214624104645789101745678[[#This Row],[Type]]&gt;0,VLOOKUP(_1_541284561214624104645789101745678[[#This Row],[Type]],Main[[#All],[TYPE]:[UNIT]],'Unit Price'!G$1,FALSE),0)</f>
        <v>0</v>
      </c>
      <c r="J684" s="194">
        <f>IF(_1_541284561214624104645789101745678[[#This Row],[Type]]&gt;0,VLOOKUP(_1_541284561214624104645789101745678[[#This Row],[Type]],Main[[#All],[TYPE]:[UNIT]],'Unit Price'!H$1,FALSE),0)</f>
        <v>0</v>
      </c>
      <c r="K684" s="194">
        <f>IF(_1_541284561214624104645789101745678[[#This Row],[Discount selection]]&gt;0,VLOOKUP(_1_541284561214624104645789101745678[[#This Row],[Discount selection]],'Discount Structure'!$A$2:$B$30,2,"false"),0)</f>
        <v>1</v>
      </c>
      <c r="L684" s="194">
        <f>_1_541284561214624104645789101745678[[#This Row],[LIST $]]*_1_541284561214624104645789101745678[[#This Row],[DISCOUNT]]*_1_541284561214624104645789101745678[[#This Row],[DISCOUNT 2]]</f>
        <v>0</v>
      </c>
      <c r="M684" s="194">
        <f>IF(OR(_1_541284561214624104645789101745678[[#This Row],[UNIT]]&gt;0,_1_541284561214624104645789101745678[[#This Row],[UNIT]]&lt;0),_1_541284561214624104645789101745678[[#This Row],[UNIT]]*_1_541284561214624104645789101745678[[#This Row],[COST]],0)</f>
        <v>0</v>
      </c>
      <c r="N684" s="194">
        <f t="shared" si="10"/>
        <v>1.3</v>
      </c>
      <c r="O684" s="198">
        <f>_1_541284561214624104645789101745678[[#This Row],[TOTAL]]*_1_541284561214624104645789101745678[[#This Row],[MARGIN]]</f>
        <v>0</v>
      </c>
      <c r="R684" s="41"/>
    </row>
    <row r="685" spans="4:18">
      <c r="D685" s="188"/>
      <c r="F685" s="168" t="s">
        <v>6202</v>
      </c>
      <c r="G685" s="193">
        <f>IF(_1_541284561214624104645789101745678[[#This Row],[Type]]&gt;0,VLOOKUP(_1_541284561214624104645789101745678[[#This Row],[Type]],Main[[#All],[TYPE]:[UNIT]],'Unit Price'!C$1,FALSE),0)</f>
        <v>0</v>
      </c>
      <c r="H685" s="197">
        <f>IF(_1_541284561214624104645789101745678[[#This Row],[Type]]&gt;0,VLOOKUP(_1_541284561214624104645789101745678[[#This Row],[Type]],Main[[#All],[TYPE]:[UNIT]],'Unit Price'!D$1,FALSE),0)</f>
        <v>0</v>
      </c>
      <c r="I685" s="194">
        <f>IF(_1_541284561214624104645789101745678[[#This Row],[Type]]&gt;0,VLOOKUP(_1_541284561214624104645789101745678[[#This Row],[Type]],Main[[#All],[TYPE]:[UNIT]],'Unit Price'!G$1,FALSE),0)</f>
        <v>0</v>
      </c>
      <c r="J685" s="194">
        <f>IF(_1_541284561214624104645789101745678[[#This Row],[Type]]&gt;0,VLOOKUP(_1_541284561214624104645789101745678[[#This Row],[Type]],Main[[#All],[TYPE]:[UNIT]],'Unit Price'!H$1,FALSE),0)</f>
        <v>0</v>
      </c>
      <c r="K685" s="194">
        <f>IF(_1_541284561214624104645789101745678[[#This Row],[Discount selection]]&gt;0,VLOOKUP(_1_541284561214624104645789101745678[[#This Row],[Discount selection]],'Discount Structure'!$A$2:$B$30,2,"false"),0)</f>
        <v>1</v>
      </c>
      <c r="L685" s="194">
        <f>_1_541284561214624104645789101745678[[#This Row],[LIST $]]*_1_541284561214624104645789101745678[[#This Row],[DISCOUNT]]*_1_541284561214624104645789101745678[[#This Row],[DISCOUNT 2]]</f>
        <v>0</v>
      </c>
      <c r="M685" s="194">
        <f>IF(OR(_1_541284561214624104645789101745678[[#This Row],[UNIT]]&gt;0,_1_541284561214624104645789101745678[[#This Row],[UNIT]]&lt;0),_1_541284561214624104645789101745678[[#This Row],[UNIT]]*_1_541284561214624104645789101745678[[#This Row],[COST]],0)</f>
        <v>0</v>
      </c>
      <c r="N685" s="194">
        <f t="shared" si="10"/>
        <v>1.3</v>
      </c>
      <c r="O685" s="198">
        <f>_1_541284561214624104645789101745678[[#This Row],[TOTAL]]*_1_541284561214624104645789101745678[[#This Row],[MARGIN]]</f>
        <v>0</v>
      </c>
      <c r="R685" s="41"/>
    </row>
    <row r="686" spans="4:18">
      <c r="D686" s="188"/>
      <c r="F686" s="168" t="s">
        <v>6202</v>
      </c>
      <c r="G686" s="193">
        <f>IF(_1_541284561214624104645789101745678[[#This Row],[Type]]&gt;0,VLOOKUP(_1_541284561214624104645789101745678[[#This Row],[Type]],Main[[#All],[TYPE]:[UNIT]],'Unit Price'!C$1,FALSE),0)</f>
        <v>0</v>
      </c>
      <c r="H686" s="197">
        <f>IF(_1_541284561214624104645789101745678[[#This Row],[Type]]&gt;0,VLOOKUP(_1_541284561214624104645789101745678[[#This Row],[Type]],Main[[#All],[TYPE]:[UNIT]],'Unit Price'!D$1,FALSE),0)</f>
        <v>0</v>
      </c>
      <c r="I686" s="194">
        <f>IF(_1_541284561214624104645789101745678[[#This Row],[Type]]&gt;0,VLOOKUP(_1_541284561214624104645789101745678[[#This Row],[Type]],Main[[#All],[TYPE]:[UNIT]],'Unit Price'!G$1,FALSE),0)</f>
        <v>0</v>
      </c>
      <c r="J686" s="194">
        <f>IF(_1_541284561214624104645789101745678[[#This Row],[Type]]&gt;0,VLOOKUP(_1_541284561214624104645789101745678[[#This Row],[Type]],Main[[#All],[TYPE]:[UNIT]],'Unit Price'!H$1,FALSE),0)</f>
        <v>0</v>
      </c>
      <c r="K686" s="194">
        <f>IF(_1_541284561214624104645789101745678[[#This Row],[Discount selection]]&gt;0,VLOOKUP(_1_541284561214624104645789101745678[[#This Row],[Discount selection]],'Discount Structure'!$A$2:$B$30,2,"false"),0)</f>
        <v>1</v>
      </c>
      <c r="L686" s="194">
        <f>_1_541284561214624104645789101745678[[#This Row],[LIST $]]*_1_541284561214624104645789101745678[[#This Row],[DISCOUNT]]*_1_541284561214624104645789101745678[[#This Row],[DISCOUNT 2]]</f>
        <v>0</v>
      </c>
      <c r="M686" s="194">
        <f>IF(OR(_1_541284561214624104645789101745678[[#This Row],[UNIT]]&gt;0,_1_541284561214624104645789101745678[[#This Row],[UNIT]]&lt;0),_1_541284561214624104645789101745678[[#This Row],[UNIT]]*_1_541284561214624104645789101745678[[#This Row],[COST]],0)</f>
        <v>0</v>
      </c>
      <c r="N686" s="194">
        <f t="shared" si="10"/>
        <v>1.3</v>
      </c>
      <c r="O686" s="198">
        <f>_1_541284561214624104645789101745678[[#This Row],[TOTAL]]*_1_541284561214624104645789101745678[[#This Row],[MARGIN]]</f>
        <v>0</v>
      </c>
      <c r="R686" s="41"/>
    </row>
    <row r="687" spans="4:18">
      <c r="D687" s="188"/>
      <c r="F687" s="168" t="s">
        <v>6202</v>
      </c>
      <c r="G687" s="193">
        <f>IF(_1_541284561214624104645789101745678[[#This Row],[Type]]&gt;0,VLOOKUP(_1_541284561214624104645789101745678[[#This Row],[Type]],Main[[#All],[TYPE]:[UNIT]],'Unit Price'!C$1,FALSE),0)</f>
        <v>0</v>
      </c>
      <c r="H687" s="197">
        <f>IF(_1_541284561214624104645789101745678[[#This Row],[Type]]&gt;0,VLOOKUP(_1_541284561214624104645789101745678[[#This Row],[Type]],Main[[#All],[TYPE]:[UNIT]],'Unit Price'!D$1,FALSE),0)</f>
        <v>0</v>
      </c>
      <c r="I687" s="194">
        <f>IF(_1_541284561214624104645789101745678[[#This Row],[Type]]&gt;0,VLOOKUP(_1_541284561214624104645789101745678[[#This Row],[Type]],Main[[#All],[TYPE]:[UNIT]],'Unit Price'!G$1,FALSE),0)</f>
        <v>0</v>
      </c>
      <c r="J687" s="194">
        <f>IF(_1_541284561214624104645789101745678[[#This Row],[Type]]&gt;0,VLOOKUP(_1_541284561214624104645789101745678[[#This Row],[Type]],Main[[#All],[TYPE]:[UNIT]],'Unit Price'!H$1,FALSE),0)</f>
        <v>0</v>
      </c>
      <c r="K687" s="194">
        <f>IF(_1_541284561214624104645789101745678[[#This Row],[Discount selection]]&gt;0,VLOOKUP(_1_541284561214624104645789101745678[[#This Row],[Discount selection]],'Discount Structure'!$A$2:$B$30,2,"false"),0)</f>
        <v>1</v>
      </c>
      <c r="L687" s="194">
        <f>_1_541284561214624104645789101745678[[#This Row],[LIST $]]*_1_541284561214624104645789101745678[[#This Row],[DISCOUNT]]*_1_541284561214624104645789101745678[[#This Row],[DISCOUNT 2]]</f>
        <v>0</v>
      </c>
      <c r="M687" s="194">
        <f>IF(OR(_1_541284561214624104645789101745678[[#This Row],[UNIT]]&gt;0,_1_541284561214624104645789101745678[[#This Row],[UNIT]]&lt;0),_1_541284561214624104645789101745678[[#This Row],[UNIT]]*_1_541284561214624104645789101745678[[#This Row],[COST]],0)</f>
        <v>0</v>
      </c>
      <c r="N687" s="194">
        <f t="shared" si="10"/>
        <v>1.3</v>
      </c>
      <c r="O687" s="198">
        <f>_1_541284561214624104645789101745678[[#This Row],[TOTAL]]*_1_541284561214624104645789101745678[[#This Row],[MARGIN]]</f>
        <v>0</v>
      </c>
      <c r="R687" s="41"/>
    </row>
    <row r="688" spans="4:18">
      <c r="D688" s="188"/>
      <c r="F688" s="168" t="s">
        <v>6202</v>
      </c>
      <c r="G688" s="193">
        <f>IF(_1_541284561214624104645789101745678[[#This Row],[Type]]&gt;0,VLOOKUP(_1_541284561214624104645789101745678[[#This Row],[Type]],Main[[#All],[TYPE]:[UNIT]],'Unit Price'!C$1,FALSE),0)</f>
        <v>0</v>
      </c>
      <c r="H688" s="197">
        <f>IF(_1_541284561214624104645789101745678[[#This Row],[Type]]&gt;0,VLOOKUP(_1_541284561214624104645789101745678[[#This Row],[Type]],Main[[#All],[TYPE]:[UNIT]],'Unit Price'!D$1,FALSE),0)</f>
        <v>0</v>
      </c>
      <c r="I688" s="194">
        <f>IF(_1_541284561214624104645789101745678[[#This Row],[Type]]&gt;0,VLOOKUP(_1_541284561214624104645789101745678[[#This Row],[Type]],Main[[#All],[TYPE]:[UNIT]],'Unit Price'!G$1,FALSE),0)</f>
        <v>0</v>
      </c>
      <c r="J688" s="194">
        <f>IF(_1_541284561214624104645789101745678[[#This Row],[Type]]&gt;0,VLOOKUP(_1_541284561214624104645789101745678[[#This Row],[Type]],Main[[#All],[TYPE]:[UNIT]],'Unit Price'!H$1,FALSE),0)</f>
        <v>0</v>
      </c>
      <c r="K688" s="194">
        <f>IF(_1_541284561214624104645789101745678[[#This Row],[Discount selection]]&gt;0,VLOOKUP(_1_541284561214624104645789101745678[[#This Row],[Discount selection]],'Discount Structure'!$A$2:$B$30,2,"false"),0)</f>
        <v>1</v>
      </c>
      <c r="L688" s="194">
        <f>_1_541284561214624104645789101745678[[#This Row],[LIST $]]*_1_541284561214624104645789101745678[[#This Row],[DISCOUNT]]*_1_541284561214624104645789101745678[[#This Row],[DISCOUNT 2]]</f>
        <v>0</v>
      </c>
      <c r="M688" s="194">
        <f>IF(OR(_1_541284561214624104645789101745678[[#This Row],[UNIT]]&gt;0,_1_541284561214624104645789101745678[[#This Row],[UNIT]]&lt;0),_1_541284561214624104645789101745678[[#This Row],[UNIT]]*_1_541284561214624104645789101745678[[#This Row],[COST]],0)</f>
        <v>0</v>
      </c>
      <c r="N688" s="194">
        <f t="shared" si="10"/>
        <v>1.3</v>
      </c>
      <c r="O688" s="198">
        <f>_1_541284561214624104645789101745678[[#This Row],[TOTAL]]*_1_541284561214624104645789101745678[[#This Row],[MARGIN]]</f>
        <v>0</v>
      </c>
      <c r="R688" s="41"/>
    </row>
    <row r="689" spans="4:18">
      <c r="D689" s="188"/>
      <c r="F689" s="168" t="s">
        <v>6202</v>
      </c>
      <c r="G689" s="193">
        <f>IF(_1_541284561214624104645789101745678[[#This Row],[Type]]&gt;0,VLOOKUP(_1_541284561214624104645789101745678[[#This Row],[Type]],Main[[#All],[TYPE]:[UNIT]],'Unit Price'!C$1,FALSE),0)</f>
        <v>0</v>
      </c>
      <c r="H689" s="197">
        <f>IF(_1_541284561214624104645789101745678[[#This Row],[Type]]&gt;0,VLOOKUP(_1_541284561214624104645789101745678[[#This Row],[Type]],Main[[#All],[TYPE]:[UNIT]],'Unit Price'!D$1,FALSE),0)</f>
        <v>0</v>
      </c>
      <c r="I689" s="194">
        <f>IF(_1_541284561214624104645789101745678[[#This Row],[Type]]&gt;0,VLOOKUP(_1_541284561214624104645789101745678[[#This Row],[Type]],Main[[#All],[TYPE]:[UNIT]],'Unit Price'!G$1,FALSE),0)</f>
        <v>0</v>
      </c>
      <c r="J689" s="194">
        <f>IF(_1_541284561214624104645789101745678[[#This Row],[Type]]&gt;0,VLOOKUP(_1_541284561214624104645789101745678[[#This Row],[Type]],Main[[#All],[TYPE]:[UNIT]],'Unit Price'!H$1,FALSE),0)</f>
        <v>0</v>
      </c>
      <c r="K689" s="194">
        <f>IF(_1_541284561214624104645789101745678[[#This Row],[Discount selection]]&gt;0,VLOOKUP(_1_541284561214624104645789101745678[[#This Row],[Discount selection]],'Discount Structure'!$A$2:$B$30,2,"false"),0)</f>
        <v>1</v>
      </c>
      <c r="L689" s="194">
        <f>_1_541284561214624104645789101745678[[#This Row],[LIST $]]*_1_541284561214624104645789101745678[[#This Row],[DISCOUNT]]*_1_541284561214624104645789101745678[[#This Row],[DISCOUNT 2]]</f>
        <v>0</v>
      </c>
      <c r="M689" s="194">
        <f>IF(OR(_1_541284561214624104645789101745678[[#This Row],[UNIT]]&gt;0,_1_541284561214624104645789101745678[[#This Row],[UNIT]]&lt;0),_1_541284561214624104645789101745678[[#This Row],[UNIT]]*_1_541284561214624104645789101745678[[#This Row],[COST]],0)</f>
        <v>0</v>
      </c>
      <c r="N689" s="194">
        <f t="shared" si="10"/>
        <v>1.3</v>
      </c>
      <c r="O689" s="198">
        <f>_1_541284561214624104645789101745678[[#This Row],[TOTAL]]*_1_541284561214624104645789101745678[[#This Row],[MARGIN]]</f>
        <v>0</v>
      </c>
      <c r="R689" s="41"/>
    </row>
    <row r="690" spans="4:18">
      <c r="D690" s="188"/>
      <c r="F690" s="168" t="s">
        <v>6202</v>
      </c>
      <c r="G690" s="193">
        <f>IF(_1_541284561214624104645789101745678[[#This Row],[Type]]&gt;0,VLOOKUP(_1_541284561214624104645789101745678[[#This Row],[Type]],Main[[#All],[TYPE]:[UNIT]],'Unit Price'!C$1,FALSE),0)</f>
        <v>0</v>
      </c>
      <c r="H690" s="197">
        <f>IF(_1_541284561214624104645789101745678[[#This Row],[Type]]&gt;0,VLOOKUP(_1_541284561214624104645789101745678[[#This Row],[Type]],Main[[#All],[TYPE]:[UNIT]],'Unit Price'!D$1,FALSE),0)</f>
        <v>0</v>
      </c>
      <c r="I690" s="194">
        <f>IF(_1_541284561214624104645789101745678[[#This Row],[Type]]&gt;0,VLOOKUP(_1_541284561214624104645789101745678[[#This Row],[Type]],Main[[#All],[TYPE]:[UNIT]],'Unit Price'!G$1,FALSE),0)</f>
        <v>0</v>
      </c>
      <c r="J690" s="194">
        <f>IF(_1_541284561214624104645789101745678[[#This Row],[Type]]&gt;0,VLOOKUP(_1_541284561214624104645789101745678[[#This Row],[Type]],Main[[#All],[TYPE]:[UNIT]],'Unit Price'!H$1,FALSE),0)</f>
        <v>0</v>
      </c>
      <c r="K690" s="194">
        <f>IF(_1_541284561214624104645789101745678[[#This Row],[Discount selection]]&gt;0,VLOOKUP(_1_541284561214624104645789101745678[[#This Row],[Discount selection]],'Discount Structure'!$A$2:$B$30,2,"false"),0)</f>
        <v>1</v>
      </c>
      <c r="L690" s="194">
        <f>_1_541284561214624104645789101745678[[#This Row],[LIST $]]*_1_541284561214624104645789101745678[[#This Row],[DISCOUNT]]*_1_541284561214624104645789101745678[[#This Row],[DISCOUNT 2]]</f>
        <v>0</v>
      </c>
      <c r="M690" s="194">
        <f>IF(OR(_1_541284561214624104645789101745678[[#This Row],[UNIT]]&gt;0,_1_541284561214624104645789101745678[[#This Row],[UNIT]]&lt;0),_1_541284561214624104645789101745678[[#This Row],[UNIT]]*_1_541284561214624104645789101745678[[#This Row],[COST]],0)</f>
        <v>0</v>
      </c>
      <c r="N690" s="194">
        <f t="shared" si="10"/>
        <v>1.3</v>
      </c>
      <c r="O690" s="198">
        <f>_1_541284561214624104645789101745678[[#This Row],[TOTAL]]*_1_541284561214624104645789101745678[[#This Row],[MARGIN]]</f>
        <v>0</v>
      </c>
      <c r="R690" s="41"/>
    </row>
    <row r="691" spans="4:18">
      <c r="D691" s="188"/>
      <c r="F691" s="168" t="s">
        <v>6202</v>
      </c>
      <c r="G691" s="193">
        <f>IF(_1_541284561214624104645789101745678[[#This Row],[Type]]&gt;0,VLOOKUP(_1_541284561214624104645789101745678[[#This Row],[Type]],Main[[#All],[TYPE]:[UNIT]],'Unit Price'!C$1,FALSE),0)</f>
        <v>0</v>
      </c>
      <c r="H691" s="197">
        <f>IF(_1_541284561214624104645789101745678[[#This Row],[Type]]&gt;0,VLOOKUP(_1_541284561214624104645789101745678[[#This Row],[Type]],Main[[#All],[TYPE]:[UNIT]],'Unit Price'!D$1,FALSE),0)</f>
        <v>0</v>
      </c>
      <c r="I691" s="194">
        <f>IF(_1_541284561214624104645789101745678[[#This Row],[Type]]&gt;0,VLOOKUP(_1_541284561214624104645789101745678[[#This Row],[Type]],Main[[#All],[TYPE]:[UNIT]],'Unit Price'!G$1,FALSE),0)</f>
        <v>0</v>
      </c>
      <c r="J691" s="194">
        <f>IF(_1_541284561214624104645789101745678[[#This Row],[Type]]&gt;0,VLOOKUP(_1_541284561214624104645789101745678[[#This Row],[Type]],Main[[#All],[TYPE]:[UNIT]],'Unit Price'!H$1,FALSE),0)</f>
        <v>0</v>
      </c>
      <c r="K691" s="194">
        <f>IF(_1_541284561214624104645789101745678[[#This Row],[Discount selection]]&gt;0,VLOOKUP(_1_541284561214624104645789101745678[[#This Row],[Discount selection]],'Discount Structure'!$A$2:$B$30,2,"false"),0)</f>
        <v>1</v>
      </c>
      <c r="L691" s="194">
        <f>_1_541284561214624104645789101745678[[#This Row],[LIST $]]*_1_541284561214624104645789101745678[[#This Row],[DISCOUNT]]*_1_541284561214624104645789101745678[[#This Row],[DISCOUNT 2]]</f>
        <v>0</v>
      </c>
      <c r="M691" s="194">
        <f>IF(OR(_1_541284561214624104645789101745678[[#This Row],[UNIT]]&gt;0,_1_541284561214624104645789101745678[[#This Row],[UNIT]]&lt;0),_1_541284561214624104645789101745678[[#This Row],[UNIT]]*_1_541284561214624104645789101745678[[#This Row],[COST]],0)</f>
        <v>0</v>
      </c>
      <c r="N691" s="194">
        <f t="shared" si="10"/>
        <v>1.3</v>
      </c>
      <c r="O691" s="198">
        <f>_1_541284561214624104645789101745678[[#This Row],[TOTAL]]*_1_541284561214624104645789101745678[[#This Row],[MARGIN]]</f>
        <v>0</v>
      </c>
      <c r="R691" s="41"/>
    </row>
    <row r="692" spans="4:18">
      <c r="D692" s="188"/>
      <c r="F692" s="168" t="s">
        <v>6202</v>
      </c>
      <c r="G692" s="193">
        <f>IF(_1_541284561214624104645789101745678[[#This Row],[Type]]&gt;0,VLOOKUP(_1_541284561214624104645789101745678[[#This Row],[Type]],Main[[#All],[TYPE]:[UNIT]],'Unit Price'!C$1,FALSE),0)</f>
        <v>0</v>
      </c>
      <c r="H692" s="197">
        <f>IF(_1_541284561214624104645789101745678[[#This Row],[Type]]&gt;0,VLOOKUP(_1_541284561214624104645789101745678[[#This Row],[Type]],Main[[#All],[TYPE]:[UNIT]],'Unit Price'!D$1,FALSE),0)</f>
        <v>0</v>
      </c>
      <c r="I692" s="194">
        <f>IF(_1_541284561214624104645789101745678[[#This Row],[Type]]&gt;0,VLOOKUP(_1_541284561214624104645789101745678[[#This Row],[Type]],Main[[#All],[TYPE]:[UNIT]],'Unit Price'!G$1,FALSE),0)</f>
        <v>0</v>
      </c>
      <c r="J692" s="194">
        <f>IF(_1_541284561214624104645789101745678[[#This Row],[Type]]&gt;0,VLOOKUP(_1_541284561214624104645789101745678[[#This Row],[Type]],Main[[#All],[TYPE]:[UNIT]],'Unit Price'!H$1,FALSE),0)</f>
        <v>0</v>
      </c>
      <c r="K692" s="194">
        <f>IF(_1_541284561214624104645789101745678[[#This Row],[Discount selection]]&gt;0,VLOOKUP(_1_541284561214624104645789101745678[[#This Row],[Discount selection]],'Discount Structure'!$A$2:$B$30,2,"false"),0)</f>
        <v>1</v>
      </c>
      <c r="L692" s="194">
        <f>_1_541284561214624104645789101745678[[#This Row],[LIST $]]*_1_541284561214624104645789101745678[[#This Row],[DISCOUNT]]*_1_541284561214624104645789101745678[[#This Row],[DISCOUNT 2]]</f>
        <v>0</v>
      </c>
      <c r="M692" s="194">
        <f>IF(OR(_1_541284561214624104645789101745678[[#This Row],[UNIT]]&gt;0,_1_541284561214624104645789101745678[[#This Row],[UNIT]]&lt;0),_1_541284561214624104645789101745678[[#This Row],[UNIT]]*_1_541284561214624104645789101745678[[#This Row],[COST]],0)</f>
        <v>0</v>
      </c>
      <c r="N692" s="194">
        <f t="shared" si="10"/>
        <v>1.3</v>
      </c>
      <c r="O692" s="198">
        <f>_1_541284561214624104645789101745678[[#This Row],[TOTAL]]*_1_541284561214624104645789101745678[[#This Row],[MARGIN]]</f>
        <v>0</v>
      </c>
      <c r="R692" s="41"/>
    </row>
    <row r="693" spans="4:18">
      <c r="D693" s="188"/>
      <c r="F693" s="168" t="s">
        <v>6202</v>
      </c>
      <c r="G693" s="193">
        <f>IF(_1_541284561214624104645789101745678[[#This Row],[Type]]&gt;0,VLOOKUP(_1_541284561214624104645789101745678[[#This Row],[Type]],Main[[#All],[TYPE]:[UNIT]],'Unit Price'!C$1,FALSE),0)</f>
        <v>0</v>
      </c>
      <c r="H693" s="197">
        <f>IF(_1_541284561214624104645789101745678[[#This Row],[Type]]&gt;0,VLOOKUP(_1_541284561214624104645789101745678[[#This Row],[Type]],Main[[#All],[TYPE]:[UNIT]],'Unit Price'!D$1,FALSE),0)</f>
        <v>0</v>
      </c>
      <c r="I693" s="194">
        <f>IF(_1_541284561214624104645789101745678[[#This Row],[Type]]&gt;0,VLOOKUP(_1_541284561214624104645789101745678[[#This Row],[Type]],Main[[#All],[TYPE]:[UNIT]],'Unit Price'!G$1,FALSE),0)</f>
        <v>0</v>
      </c>
      <c r="J693" s="194">
        <f>IF(_1_541284561214624104645789101745678[[#This Row],[Type]]&gt;0,VLOOKUP(_1_541284561214624104645789101745678[[#This Row],[Type]],Main[[#All],[TYPE]:[UNIT]],'Unit Price'!H$1,FALSE),0)</f>
        <v>0</v>
      </c>
      <c r="K693" s="194">
        <f>IF(_1_541284561214624104645789101745678[[#This Row],[Discount selection]]&gt;0,VLOOKUP(_1_541284561214624104645789101745678[[#This Row],[Discount selection]],'Discount Structure'!$A$2:$B$30,2,"false"),0)</f>
        <v>1</v>
      </c>
      <c r="L693" s="194">
        <f>_1_541284561214624104645789101745678[[#This Row],[LIST $]]*_1_541284561214624104645789101745678[[#This Row],[DISCOUNT]]*_1_541284561214624104645789101745678[[#This Row],[DISCOUNT 2]]</f>
        <v>0</v>
      </c>
      <c r="M693" s="194">
        <f>IF(OR(_1_541284561214624104645789101745678[[#This Row],[UNIT]]&gt;0,_1_541284561214624104645789101745678[[#This Row],[UNIT]]&lt;0),_1_541284561214624104645789101745678[[#This Row],[UNIT]]*_1_541284561214624104645789101745678[[#This Row],[COST]],0)</f>
        <v>0</v>
      </c>
      <c r="N693" s="194">
        <f t="shared" si="10"/>
        <v>1.3</v>
      </c>
      <c r="O693" s="198">
        <f>_1_541284561214624104645789101745678[[#This Row],[TOTAL]]*_1_541284561214624104645789101745678[[#This Row],[MARGIN]]</f>
        <v>0</v>
      </c>
      <c r="R693" s="41"/>
    </row>
    <row r="694" spans="4:18">
      <c r="D694" s="188"/>
      <c r="F694" s="168" t="s">
        <v>6202</v>
      </c>
      <c r="G694" s="193">
        <f>IF(_1_541284561214624104645789101745678[[#This Row],[Type]]&gt;0,VLOOKUP(_1_541284561214624104645789101745678[[#This Row],[Type]],Main[[#All],[TYPE]:[UNIT]],'Unit Price'!C$1,FALSE),0)</f>
        <v>0</v>
      </c>
      <c r="H694" s="197">
        <f>IF(_1_541284561214624104645789101745678[[#This Row],[Type]]&gt;0,VLOOKUP(_1_541284561214624104645789101745678[[#This Row],[Type]],Main[[#All],[TYPE]:[UNIT]],'Unit Price'!D$1,FALSE),0)</f>
        <v>0</v>
      </c>
      <c r="I694" s="194">
        <f>IF(_1_541284561214624104645789101745678[[#This Row],[Type]]&gt;0,VLOOKUP(_1_541284561214624104645789101745678[[#This Row],[Type]],Main[[#All],[TYPE]:[UNIT]],'Unit Price'!G$1,FALSE),0)</f>
        <v>0</v>
      </c>
      <c r="J694" s="194">
        <f>IF(_1_541284561214624104645789101745678[[#This Row],[Type]]&gt;0,VLOOKUP(_1_541284561214624104645789101745678[[#This Row],[Type]],Main[[#All],[TYPE]:[UNIT]],'Unit Price'!H$1,FALSE),0)</f>
        <v>0</v>
      </c>
      <c r="K694" s="194">
        <f>IF(_1_541284561214624104645789101745678[[#This Row],[Discount selection]]&gt;0,VLOOKUP(_1_541284561214624104645789101745678[[#This Row],[Discount selection]],'Discount Structure'!$A$2:$B$30,2,"false"),0)</f>
        <v>1</v>
      </c>
      <c r="L694" s="194">
        <f>_1_541284561214624104645789101745678[[#This Row],[LIST $]]*_1_541284561214624104645789101745678[[#This Row],[DISCOUNT]]*_1_541284561214624104645789101745678[[#This Row],[DISCOUNT 2]]</f>
        <v>0</v>
      </c>
      <c r="M694" s="194">
        <f>IF(OR(_1_541284561214624104645789101745678[[#This Row],[UNIT]]&gt;0,_1_541284561214624104645789101745678[[#This Row],[UNIT]]&lt;0),_1_541284561214624104645789101745678[[#This Row],[UNIT]]*_1_541284561214624104645789101745678[[#This Row],[COST]],0)</f>
        <v>0</v>
      </c>
      <c r="N694" s="194">
        <f t="shared" si="10"/>
        <v>1.3</v>
      </c>
      <c r="O694" s="198">
        <f>_1_541284561214624104645789101745678[[#This Row],[TOTAL]]*_1_541284561214624104645789101745678[[#This Row],[MARGIN]]</f>
        <v>0</v>
      </c>
      <c r="R694" s="41"/>
    </row>
    <row r="695" spans="4:18">
      <c r="D695" s="188"/>
      <c r="F695" s="168" t="s">
        <v>6202</v>
      </c>
      <c r="G695" s="193">
        <f>IF(_1_541284561214624104645789101745678[[#This Row],[Type]]&gt;0,VLOOKUP(_1_541284561214624104645789101745678[[#This Row],[Type]],Main[[#All],[TYPE]:[UNIT]],'Unit Price'!C$1,FALSE),0)</f>
        <v>0</v>
      </c>
      <c r="H695" s="197">
        <f>IF(_1_541284561214624104645789101745678[[#This Row],[Type]]&gt;0,VLOOKUP(_1_541284561214624104645789101745678[[#This Row],[Type]],Main[[#All],[TYPE]:[UNIT]],'Unit Price'!D$1,FALSE),0)</f>
        <v>0</v>
      </c>
      <c r="I695" s="194">
        <f>IF(_1_541284561214624104645789101745678[[#This Row],[Type]]&gt;0,VLOOKUP(_1_541284561214624104645789101745678[[#This Row],[Type]],Main[[#All],[TYPE]:[UNIT]],'Unit Price'!G$1,FALSE),0)</f>
        <v>0</v>
      </c>
      <c r="J695" s="194">
        <f>IF(_1_541284561214624104645789101745678[[#This Row],[Type]]&gt;0,VLOOKUP(_1_541284561214624104645789101745678[[#This Row],[Type]],Main[[#All],[TYPE]:[UNIT]],'Unit Price'!H$1,FALSE),0)</f>
        <v>0</v>
      </c>
      <c r="K695" s="194">
        <f>IF(_1_541284561214624104645789101745678[[#This Row],[Discount selection]]&gt;0,VLOOKUP(_1_541284561214624104645789101745678[[#This Row],[Discount selection]],'Discount Structure'!$A$2:$B$30,2,"false"),0)</f>
        <v>1</v>
      </c>
      <c r="L695" s="194">
        <f>_1_541284561214624104645789101745678[[#This Row],[LIST $]]*_1_541284561214624104645789101745678[[#This Row],[DISCOUNT]]*_1_541284561214624104645789101745678[[#This Row],[DISCOUNT 2]]</f>
        <v>0</v>
      </c>
      <c r="M695" s="194">
        <f>IF(OR(_1_541284561214624104645789101745678[[#This Row],[UNIT]]&gt;0,_1_541284561214624104645789101745678[[#This Row],[UNIT]]&lt;0),_1_541284561214624104645789101745678[[#This Row],[UNIT]]*_1_541284561214624104645789101745678[[#This Row],[COST]],0)</f>
        <v>0</v>
      </c>
      <c r="N695" s="194">
        <f t="shared" si="10"/>
        <v>1.3</v>
      </c>
      <c r="O695" s="198">
        <f>_1_541284561214624104645789101745678[[#This Row],[TOTAL]]*_1_541284561214624104645789101745678[[#This Row],[MARGIN]]</f>
        <v>0</v>
      </c>
      <c r="R695" s="41"/>
    </row>
    <row r="696" spans="4:18">
      <c r="D696" s="188"/>
      <c r="F696" s="168" t="s">
        <v>6202</v>
      </c>
      <c r="G696" s="193">
        <f>IF(_1_541284561214624104645789101745678[[#This Row],[Type]]&gt;0,VLOOKUP(_1_541284561214624104645789101745678[[#This Row],[Type]],Main[[#All],[TYPE]:[UNIT]],'Unit Price'!C$1,FALSE),0)</f>
        <v>0</v>
      </c>
      <c r="H696" s="197">
        <f>IF(_1_541284561214624104645789101745678[[#This Row],[Type]]&gt;0,VLOOKUP(_1_541284561214624104645789101745678[[#This Row],[Type]],Main[[#All],[TYPE]:[UNIT]],'Unit Price'!D$1,FALSE),0)</f>
        <v>0</v>
      </c>
      <c r="I696" s="194">
        <f>IF(_1_541284561214624104645789101745678[[#This Row],[Type]]&gt;0,VLOOKUP(_1_541284561214624104645789101745678[[#This Row],[Type]],Main[[#All],[TYPE]:[UNIT]],'Unit Price'!G$1,FALSE),0)</f>
        <v>0</v>
      </c>
      <c r="J696" s="194">
        <f>IF(_1_541284561214624104645789101745678[[#This Row],[Type]]&gt;0,VLOOKUP(_1_541284561214624104645789101745678[[#This Row],[Type]],Main[[#All],[TYPE]:[UNIT]],'Unit Price'!H$1,FALSE),0)</f>
        <v>0</v>
      </c>
      <c r="K696" s="194">
        <f>IF(_1_541284561214624104645789101745678[[#This Row],[Discount selection]]&gt;0,VLOOKUP(_1_541284561214624104645789101745678[[#This Row],[Discount selection]],'Discount Structure'!$A$2:$B$30,2,"false"),0)</f>
        <v>1</v>
      </c>
      <c r="L696" s="194">
        <f>_1_541284561214624104645789101745678[[#This Row],[LIST $]]*_1_541284561214624104645789101745678[[#This Row],[DISCOUNT]]*_1_541284561214624104645789101745678[[#This Row],[DISCOUNT 2]]</f>
        <v>0</v>
      </c>
      <c r="M696" s="194">
        <f>IF(OR(_1_541284561214624104645789101745678[[#This Row],[UNIT]]&gt;0,_1_541284561214624104645789101745678[[#This Row],[UNIT]]&lt;0),_1_541284561214624104645789101745678[[#This Row],[UNIT]]*_1_541284561214624104645789101745678[[#This Row],[COST]],0)</f>
        <v>0</v>
      </c>
      <c r="N696" s="194">
        <f t="shared" si="10"/>
        <v>1.3</v>
      </c>
      <c r="O696" s="198">
        <f>_1_541284561214624104645789101745678[[#This Row],[TOTAL]]*_1_541284561214624104645789101745678[[#This Row],[MARGIN]]</f>
        <v>0</v>
      </c>
      <c r="R696" s="41"/>
    </row>
    <row r="697" spans="4:18">
      <c r="D697" s="188"/>
      <c r="F697" s="168" t="s">
        <v>6202</v>
      </c>
      <c r="G697" s="193">
        <f>IF(_1_541284561214624104645789101745678[[#This Row],[Type]]&gt;0,VLOOKUP(_1_541284561214624104645789101745678[[#This Row],[Type]],Main[[#All],[TYPE]:[UNIT]],'Unit Price'!C$1,FALSE),0)</f>
        <v>0</v>
      </c>
      <c r="H697" s="197">
        <f>IF(_1_541284561214624104645789101745678[[#This Row],[Type]]&gt;0,VLOOKUP(_1_541284561214624104645789101745678[[#This Row],[Type]],Main[[#All],[TYPE]:[UNIT]],'Unit Price'!D$1,FALSE),0)</f>
        <v>0</v>
      </c>
      <c r="I697" s="194">
        <f>IF(_1_541284561214624104645789101745678[[#This Row],[Type]]&gt;0,VLOOKUP(_1_541284561214624104645789101745678[[#This Row],[Type]],Main[[#All],[TYPE]:[UNIT]],'Unit Price'!G$1,FALSE),0)</f>
        <v>0</v>
      </c>
      <c r="J697" s="194">
        <f>IF(_1_541284561214624104645789101745678[[#This Row],[Type]]&gt;0,VLOOKUP(_1_541284561214624104645789101745678[[#This Row],[Type]],Main[[#All],[TYPE]:[UNIT]],'Unit Price'!H$1,FALSE),0)</f>
        <v>0</v>
      </c>
      <c r="K697" s="194">
        <f>IF(_1_541284561214624104645789101745678[[#This Row],[Discount selection]]&gt;0,VLOOKUP(_1_541284561214624104645789101745678[[#This Row],[Discount selection]],'Discount Structure'!$A$2:$B$30,2,"false"),0)</f>
        <v>1</v>
      </c>
      <c r="L697" s="194">
        <f>_1_541284561214624104645789101745678[[#This Row],[LIST $]]*_1_541284561214624104645789101745678[[#This Row],[DISCOUNT]]*_1_541284561214624104645789101745678[[#This Row],[DISCOUNT 2]]</f>
        <v>0</v>
      </c>
      <c r="M697" s="194">
        <f>IF(OR(_1_541284561214624104645789101745678[[#This Row],[UNIT]]&gt;0,_1_541284561214624104645789101745678[[#This Row],[UNIT]]&lt;0),_1_541284561214624104645789101745678[[#This Row],[UNIT]]*_1_541284561214624104645789101745678[[#This Row],[COST]],0)</f>
        <v>0</v>
      </c>
      <c r="N697" s="194">
        <f t="shared" si="10"/>
        <v>1.3</v>
      </c>
      <c r="O697" s="198">
        <f>_1_541284561214624104645789101745678[[#This Row],[TOTAL]]*_1_541284561214624104645789101745678[[#This Row],[MARGIN]]</f>
        <v>0</v>
      </c>
      <c r="R697" s="41"/>
    </row>
    <row r="698" spans="4:18">
      <c r="D698" s="188"/>
      <c r="F698" s="168" t="s">
        <v>6202</v>
      </c>
      <c r="G698" s="193">
        <f>IF(_1_541284561214624104645789101745678[[#This Row],[Type]]&gt;0,VLOOKUP(_1_541284561214624104645789101745678[[#This Row],[Type]],Main[[#All],[TYPE]:[UNIT]],'Unit Price'!C$1,FALSE),0)</f>
        <v>0</v>
      </c>
      <c r="H698" s="197">
        <f>IF(_1_541284561214624104645789101745678[[#This Row],[Type]]&gt;0,VLOOKUP(_1_541284561214624104645789101745678[[#This Row],[Type]],Main[[#All],[TYPE]:[UNIT]],'Unit Price'!D$1,FALSE),0)</f>
        <v>0</v>
      </c>
      <c r="I698" s="194">
        <f>IF(_1_541284561214624104645789101745678[[#This Row],[Type]]&gt;0,VLOOKUP(_1_541284561214624104645789101745678[[#This Row],[Type]],Main[[#All],[TYPE]:[UNIT]],'Unit Price'!G$1,FALSE),0)</f>
        <v>0</v>
      </c>
      <c r="J698" s="194">
        <f>IF(_1_541284561214624104645789101745678[[#This Row],[Type]]&gt;0,VLOOKUP(_1_541284561214624104645789101745678[[#This Row],[Type]],Main[[#All],[TYPE]:[UNIT]],'Unit Price'!H$1,FALSE),0)</f>
        <v>0</v>
      </c>
      <c r="K698" s="194">
        <f>IF(_1_541284561214624104645789101745678[[#This Row],[Discount selection]]&gt;0,VLOOKUP(_1_541284561214624104645789101745678[[#This Row],[Discount selection]],'Discount Structure'!$A$2:$B$30,2,"false"),0)</f>
        <v>1</v>
      </c>
      <c r="L698" s="194">
        <f>_1_541284561214624104645789101745678[[#This Row],[LIST $]]*_1_541284561214624104645789101745678[[#This Row],[DISCOUNT]]*_1_541284561214624104645789101745678[[#This Row],[DISCOUNT 2]]</f>
        <v>0</v>
      </c>
      <c r="M698" s="194">
        <f>IF(OR(_1_541284561214624104645789101745678[[#This Row],[UNIT]]&gt;0,_1_541284561214624104645789101745678[[#This Row],[UNIT]]&lt;0),_1_541284561214624104645789101745678[[#This Row],[UNIT]]*_1_541284561214624104645789101745678[[#This Row],[COST]],0)</f>
        <v>0</v>
      </c>
      <c r="N698" s="194">
        <f t="shared" si="10"/>
        <v>1.3</v>
      </c>
      <c r="O698" s="198">
        <f>_1_541284561214624104645789101745678[[#This Row],[TOTAL]]*_1_541284561214624104645789101745678[[#This Row],[MARGIN]]</f>
        <v>0</v>
      </c>
      <c r="R698" s="41"/>
    </row>
    <row r="699" spans="4:18">
      <c r="D699" s="188"/>
      <c r="F699" s="168" t="s">
        <v>6202</v>
      </c>
      <c r="G699" s="193">
        <f>IF(_1_541284561214624104645789101745678[[#This Row],[Type]]&gt;0,VLOOKUP(_1_541284561214624104645789101745678[[#This Row],[Type]],Main[[#All],[TYPE]:[UNIT]],'Unit Price'!C$1,FALSE),0)</f>
        <v>0</v>
      </c>
      <c r="H699" s="197">
        <f>IF(_1_541284561214624104645789101745678[[#This Row],[Type]]&gt;0,VLOOKUP(_1_541284561214624104645789101745678[[#This Row],[Type]],Main[[#All],[TYPE]:[UNIT]],'Unit Price'!D$1,FALSE),0)</f>
        <v>0</v>
      </c>
      <c r="I699" s="194">
        <f>IF(_1_541284561214624104645789101745678[[#This Row],[Type]]&gt;0,VLOOKUP(_1_541284561214624104645789101745678[[#This Row],[Type]],Main[[#All],[TYPE]:[UNIT]],'Unit Price'!G$1,FALSE),0)</f>
        <v>0</v>
      </c>
      <c r="J699" s="194">
        <f>IF(_1_541284561214624104645789101745678[[#This Row],[Type]]&gt;0,VLOOKUP(_1_541284561214624104645789101745678[[#This Row],[Type]],Main[[#All],[TYPE]:[UNIT]],'Unit Price'!H$1,FALSE),0)</f>
        <v>0</v>
      </c>
      <c r="K699" s="194">
        <f>IF(_1_541284561214624104645789101745678[[#This Row],[Discount selection]]&gt;0,VLOOKUP(_1_541284561214624104645789101745678[[#This Row],[Discount selection]],'Discount Structure'!$A$2:$B$30,2,"false"),0)</f>
        <v>1</v>
      </c>
      <c r="L699" s="194">
        <f>_1_541284561214624104645789101745678[[#This Row],[LIST $]]*_1_541284561214624104645789101745678[[#This Row],[DISCOUNT]]*_1_541284561214624104645789101745678[[#This Row],[DISCOUNT 2]]</f>
        <v>0</v>
      </c>
      <c r="M699" s="194">
        <f>IF(OR(_1_541284561214624104645789101745678[[#This Row],[UNIT]]&gt;0,_1_541284561214624104645789101745678[[#This Row],[UNIT]]&lt;0),_1_541284561214624104645789101745678[[#This Row],[UNIT]]*_1_541284561214624104645789101745678[[#This Row],[COST]],0)</f>
        <v>0</v>
      </c>
      <c r="N699" s="194">
        <f t="shared" si="10"/>
        <v>1.3</v>
      </c>
      <c r="O699" s="198">
        <f>_1_541284561214624104645789101745678[[#This Row],[TOTAL]]*_1_541284561214624104645789101745678[[#This Row],[MARGIN]]</f>
        <v>0</v>
      </c>
      <c r="R699" s="41"/>
    </row>
    <row r="700" spans="4:18">
      <c r="D700" s="188"/>
      <c r="F700" s="168" t="s">
        <v>6202</v>
      </c>
      <c r="G700" s="193">
        <f>IF(_1_541284561214624104645789101745678[[#This Row],[Type]]&gt;0,VLOOKUP(_1_541284561214624104645789101745678[[#This Row],[Type]],Main[[#All],[TYPE]:[UNIT]],'Unit Price'!C$1,FALSE),0)</f>
        <v>0</v>
      </c>
      <c r="H700" s="197">
        <f>IF(_1_541284561214624104645789101745678[[#This Row],[Type]]&gt;0,VLOOKUP(_1_541284561214624104645789101745678[[#This Row],[Type]],Main[[#All],[TYPE]:[UNIT]],'Unit Price'!D$1,FALSE),0)</f>
        <v>0</v>
      </c>
      <c r="I700" s="194">
        <f>IF(_1_541284561214624104645789101745678[[#This Row],[Type]]&gt;0,VLOOKUP(_1_541284561214624104645789101745678[[#This Row],[Type]],Main[[#All],[TYPE]:[UNIT]],'Unit Price'!G$1,FALSE),0)</f>
        <v>0</v>
      </c>
      <c r="J700" s="194">
        <f>IF(_1_541284561214624104645789101745678[[#This Row],[Type]]&gt;0,VLOOKUP(_1_541284561214624104645789101745678[[#This Row],[Type]],Main[[#All],[TYPE]:[UNIT]],'Unit Price'!H$1,FALSE),0)</f>
        <v>0</v>
      </c>
      <c r="K700" s="194">
        <f>IF(_1_541284561214624104645789101745678[[#This Row],[Discount selection]]&gt;0,VLOOKUP(_1_541284561214624104645789101745678[[#This Row],[Discount selection]],'Discount Structure'!$A$2:$B$30,2,"false"),0)</f>
        <v>1</v>
      </c>
      <c r="L700" s="194">
        <f>_1_541284561214624104645789101745678[[#This Row],[LIST $]]*_1_541284561214624104645789101745678[[#This Row],[DISCOUNT]]*_1_541284561214624104645789101745678[[#This Row],[DISCOUNT 2]]</f>
        <v>0</v>
      </c>
      <c r="M700" s="194">
        <f>IF(OR(_1_541284561214624104645789101745678[[#This Row],[UNIT]]&gt;0,_1_541284561214624104645789101745678[[#This Row],[UNIT]]&lt;0),_1_541284561214624104645789101745678[[#This Row],[UNIT]]*_1_541284561214624104645789101745678[[#This Row],[COST]],0)</f>
        <v>0</v>
      </c>
      <c r="N700" s="194">
        <f t="shared" si="10"/>
        <v>1.3</v>
      </c>
      <c r="O700" s="198">
        <f>_1_541284561214624104645789101745678[[#This Row],[TOTAL]]*_1_541284561214624104645789101745678[[#This Row],[MARGIN]]</f>
        <v>0</v>
      </c>
      <c r="R700" s="41"/>
    </row>
    <row r="701" spans="4:18">
      <c r="D701" s="188"/>
      <c r="F701" s="168" t="s">
        <v>6202</v>
      </c>
      <c r="G701" s="193">
        <f>IF(_1_541284561214624104645789101745678[[#This Row],[Type]]&gt;0,VLOOKUP(_1_541284561214624104645789101745678[[#This Row],[Type]],Main[[#All],[TYPE]:[UNIT]],'Unit Price'!C$1,FALSE),0)</f>
        <v>0</v>
      </c>
      <c r="H701" s="197">
        <f>IF(_1_541284561214624104645789101745678[[#This Row],[Type]]&gt;0,VLOOKUP(_1_541284561214624104645789101745678[[#This Row],[Type]],Main[[#All],[TYPE]:[UNIT]],'Unit Price'!D$1,FALSE),0)</f>
        <v>0</v>
      </c>
      <c r="I701" s="194">
        <f>IF(_1_541284561214624104645789101745678[[#This Row],[Type]]&gt;0,VLOOKUP(_1_541284561214624104645789101745678[[#This Row],[Type]],Main[[#All],[TYPE]:[UNIT]],'Unit Price'!G$1,FALSE),0)</f>
        <v>0</v>
      </c>
      <c r="J701" s="194">
        <f>IF(_1_541284561214624104645789101745678[[#This Row],[Type]]&gt;0,VLOOKUP(_1_541284561214624104645789101745678[[#This Row],[Type]],Main[[#All],[TYPE]:[UNIT]],'Unit Price'!H$1,FALSE),0)</f>
        <v>0</v>
      </c>
      <c r="K701" s="194">
        <f>IF(_1_541284561214624104645789101745678[[#This Row],[Discount selection]]&gt;0,VLOOKUP(_1_541284561214624104645789101745678[[#This Row],[Discount selection]],'Discount Structure'!$A$2:$B$30,2,"false"),0)</f>
        <v>1</v>
      </c>
      <c r="L701" s="194">
        <f>_1_541284561214624104645789101745678[[#This Row],[LIST $]]*_1_541284561214624104645789101745678[[#This Row],[DISCOUNT]]*_1_541284561214624104645789101745678[[#This Row],[DISCOUNT 2]]</f>
        <v>0</v>
      </c>
      <c r="M701" s="194">
        <f>IF(OR(_1_541284561214624104645789101745678[[#This Row],[UNIT]]&gt;0,_1_541284561214624104645789101745678[[#This Row],[UNIT]]&lt;0),_1_541284561214624104645789101745678[[#This Row],[UNIT]]*_1_541284561214624104645789101745678[[#This Row],[COST]],0)</f>
        <v>0</v>
      </c>
      <c r="N701" s="194">
        <f t="shared" si="10"/>
        <v>1.3</v>
      </c>
      <c r="O701" s="198">
        <f>_1_541284561214624104645789101745678[[#This Row],[TOTAL]]*_1_541284561214624104645789101745678[[#This Row],[MARGIN]]</f>
        <v>0</v>
      </c>
      <c r="R701" s="41"/>
    </row>
    <row r="702" spans="4:18">
      <c r="D702" s="188"/>
      <c r="F702" s="168" t="s">
        <v>6202</v>
      </c>
      <c r="G702" s="193">
        <f>IF(_1_541284561214624104645789101745678[[#This Row],[Type]]&gt;0,VLOOKUP(_1_541284561214624104645789101745678[[#This Row],[Type]],Main[[#All],[TYPE]:[UNIT]],'Unit Price'!C$1,FALSE),0)</f>
        <v>0</v>
      </c>
      <c r="H702" s="197">
        <f>IF(_1_541284561214624104645789101745678[[#This Row],[Type]]&gt;0,VLOOKUP(_1_541284561214624104645789101745678[[#This Row],[Type]],Main[[#All],[TYPE]:[UNIT]],'Unit Price'!D$1,FALSE),0)</f>
        <v>0</v>
      </c>
      <c r="I702" s="194">
        <f>IF(_1_541284561214624104645789101745678[[#This Row],[Type]]&gt;0,VLOOKUP(_1_541284561214624104645789101745678[[#This Row],[Type]],Main[[#All],[TYPE]:[UNIT]],'Unit Price'!G$1,FALSE),0)</f>
        <v>0</v>
      </c>
      <c r="J702" s="194">
        <f>IF(_1_541284561214624104645789101745678[[#This Row],[Type]]&gt;0,VLOOKUP(_1_541284561214624104645789101745678[[#This Row],[Type]],Main[[#All],[TYPE]:[UNIT]],'Unit Price'!H$1,FALSE),0)</f>
        <v>0</v>
      </c>
      <c r="K702" s="194">
        <f>IF(_1_541284561214624104645789101745678[[#This Row],[Discount selection]]&gt;0,VLOOKUP(_1_541284561214624104645789101745678[[#This Row],[Discount selection]],'Discount Structure'!$A$2:$B$30,2,"false"),0)</f>
        <v>1</v>
      </c>
      <c r="L702" s="194">
        <f>_1_541284561214624104645789101745678[[#This Row],[LIST $]]*_1_541284561214624104645789101745678[[#This Row],[DISCOUNT]]*_1_541284561214624104645789101745678[[#This Row],[DISCOUNT 2]]</f>
        <v>0</v>
      </c>
      <c r="M702" s="194">
        <f>IF(OR(_1_541284561214624104645789101745678[[#This Row],[UNIT]]&gt;0,_1_541284561214624104645789101745678[[#This Row],[UNIT]]&lt;0),_1_541284561214624104645789101745678[[#This Row],[UNIT]]*_1_541284561214624104645789101745678[[#This Row],[COST]],0)</f>
        <v>0</v>
      </c>
      <c r="N702" s="194">
        <f t="shared" si="10"/>
        <v>1.3</v>
      </c>
      <c r="O702" s="198">
        <f>_1_541284561214624104645789101745678[[#This Row],[TOTAL]]*_1_541284561214624104645789101745678[[#This Row],[MARGIN]]</f>
        <v>0</v>
      </c>
      <c r="R702" s="41"/>
    </row>
    <row r="703" spans="4:18">
      <c r="D703" s="188"/>
      <c r="F703" s="168" t="s">
        <v>6202</v>
      </c>
      <c r="G703" s="193">
        <f>IF(_1_541284561214624104645789101745678[[#This Row],[Type]]&gt;0,VLOOKUP(_1_541284561214624104645789101745678[[#This Row],[Type]],Main[[#All],[TYPE]:[UNIT]],'Unit Price'!C$1,FALSE),0)</f>
        <v>0</v>
      </c>
      <c r="H703" s="197">
        <f>IF(_1_541284561214624104645789101745678[[#This Row],[Type]]&gt;0,VLOOKUP(_1_541284561214624104645789101745678[[#This Row],[Type]],Main[[#All],[TYPE]:[UNIT]],'Unit Price'!D$1,FALSE),0)</f>
        <v>0</v>
      </c>
      <c r="I703" s="194">
        <f>IF(_1_541284561214624104645789101745678[[#This Row],[Type]]&gt;0,VLOOKUP(_1_541284561214624104645789101745678[[#This Row],[Type]],Main[[#All],[TYPE]:[UNIT]],'Unit Price'!G$1,FALSE),0)</f>
        <v>0</v>
      </c>
      <c r="J703" s="194">
        <f>IF(_1_541284561214624104645789101745678[[#This Row],[Type]]&gt;0,VLOOKUP(_1_541284561214624104645789101745678[[#This Row],[Type]],Main[[#All],[TYPE]:[UNIT]],'Unit Price'!H$1,FALSE),0)</f>
        <v>0</v>
      </c>
      <c r="K703" s="194">
        <f>IF(_1_541284561214624104645789101745678[[#This Row],[Discount selection]]&gt;0,VLOOKUP(_1_541284561214624104645789101745678[[#This Row],[Discount selection]],'Discount Structure'!$A$2:$B$30,2,"false"),0)</f>
        <v>1</v>
      </c>
      <c r="L703" s="194">
        <f>_1_541284561214624104645789101745678[[#This Row],[LIST $]]*_1_541284561214624104645789101745678[[#This Row],[DISCOUNT]]*_1_541284561214624104645789101745678[[#This Row],[DISCOUNT 2]]</f>
        <v>0</v>
      </c>
      <c r="M703" s="194">
        <f>IF(OR(_1_541284561214624104645789101745678[[#This Row],[UNIT]]&gt;0,_1_541284561214624104645789101745678[[#This Row],[UNIT]]&lt;0),_1_541284561214624104645789101745678[[#This Row],[UNIT]]*_1_541284561214624104645789101745678[[#This Row],[COST]],0)</f>
        <v>0</v>
      </c>
      <c r="N703" s="194">
        <f t="shared" si="10"/>
        <v>1.3</v>
      </c>
      <c r="O703" s="198">
        <f>_1_541284561214624104645789101745678[[#This Row],[TOTAL]]*_1_541284561214624104645789101745678[[#This Row],[MARGIN]]</f>
        <v>0</v>
      </c>
      <c r="R703" s="41"/>
    </row>
    <row r="704" spans="4:18">
      <c r="D704" s="188"/>
      <c r="F704" s="168" t="s">
        <v>6202</v>
      </c>
      <c r="G704" s="193">
        <f>IF(_1_541284561214624104645789101745678[[#This Row],[Type]]&gt;0,VLOOKUP(_1_541284561214624104645789101745678[[#This Row],[Type]],Main[[#All],[TYPE]:[UNIT]],'Unit Price'!C$1,FALSE),0)</f>
        <v>0</v>
      </c>
      <c r="H704" s="197">
        <f>IF(_1_541284561214624104645789101745678[[#This Row],[Type]]&gt;0,VLOOKUP(_1_541284561214624104645789101745678[[#This Row],[Type]],Main[[#All],[TYPE]:[UNIT]],'Unit Price'!D$1,FALSE),0)</f>
        <v>0</v>
      </c>
      <c r="I704" s="194">
        <f>IF(_1_541284561214624104645789101745678[[#This Row],[Type]]&gt;0,VLOOKUP(_1_541284561214624104645789101745678[[#This Row],[Type]],Main[[#All],[TYPE]:[UNIT]],'Unit Price'!G$1,FALSE),0)</f>
        <v>0</v>
      </c>
      <c r="J704" s="194">
        <f>IF(_1_541284561214624104645789101745678[[#This Row],[Type]]&gt;0,VLOOKUP(_1_541284561214624104645789101745678[[#This Row],[Type]],Main[[#All],[TYPE]:[UNIT]],'Unit Price'!H$1,FALSE),0)</f>
        <v>0</v>
      </c>
      <c r="K704" s="194">
        <f>IF(_1_541284561214624104645789101745678[[#This Row],[Discount selection]]&gt;0,VLOOKUP(_1_541284561214624104645789101745678[[#This Row],[Discount selection]],'Discount Structure'!$A$2:$B$30,2,"false"),0)</f>
        <v>1</v>
      </c>
      <c r="L704" s="194">
        <f>_1_541284561214624104645789101745678[[#This Row],[LIST $]]*_1_541284561214624104645789101745678[[#This Row],[DISCOUNT]]*_1_541284561214624104645789101745678[[#This Row],[DISCOUNT 2]]</f>
        <v>0</v>
      </c>
      <c r="M704" s="194">
        <f>IF(OR(_1_541284561214624104645789101745678[[#This Row],[UNIT]]&gt;0,_1_541284561214624104645789101745678[[#This Row],[UNIT]]&lt;0),_1_541284561214624104645789101745678[[#This Row],[UNIT]]*_1_541284561214624104645789101745678[[#This Row],[COST]],0)</f>
        <v>0</v>
      </c>
      <c r="N704" s="194">
        <f t="shared" si="10"/>
        <v>1.3</v>
      </c>
      <c r="O704" s="198">
        <f>_1_541284561214624104645789101745678[[#This Row],[TOTAL]]*_1_541284561214624104645789101745678[[#This Row],[MARGIN]]</f>
        <v>0</v>
      </c>
      <c r="R704" s="41"/>
    </row>
    <row r="705" spans="4:18">
      <c r="D705" s="188"/>
      <c r="F705" s="168" t="s">
        <v>6202</v>
      </c>
      <c r="G705" s="193">
        <f>IF(_1_541284561214624104645789101745678[[#This Row],[Type]]&gt;0,VLOOKUP(_1_541284561214624104645789101745678[[#This Row],[Type]],Main[[#All],[TYPE]:[UNIT]],'Unit Price'!C$1,FALSE),0)</f>
        <v>0</v>
      </c>
      <c r="H705" s="197">
        <f>IF(_1_541284561214624104645789101745678[[#This Row],[Type]]&gt;0,VLOOKUP(_1_541284561214624104645789101745678[[#This Row],[Type]],Main[[#All],[TYPE]:[UNIT]],'Unit Price'!D$1,FALSE),0)</f>
        <v>0</v>
      </c>
      <c r="I705" s="194">
        <f>IF(_1_541284561214624104645789101745678[[#This Row],[Type]]&gt;0,VLOOKUP(_1_541284561214624104645789101745678[[#This Row],[Type]],Main[[#All],[TYPE]:[UNIT]],'Unit Price'!G$1,FALSE),0)</f>
        <v>0</v>
      </c>
      <c r="J705" s="194">
        <f>IF(_1_541284561214624104645789101745678[[#This Row],[Type]]&gt;0,VLOOKUP(_1_541284561214624104645789101745678[[#This Row],[Type]],Main[[#All],[TYPE]:[UNIT]],'Unit Price'!H$1,FALSE),0)</f>
        <v>0</v>
      </c>
      <c r="K705" s="194">
        <f>IF(_1_541284561214624104645789101745678[[#This Row],[Discount selection]]&gt;0,VLOOKUP(_1_541284561214624104645789101745678[[#This Row],[Discount selection]],'Discount Structure'!$A$2:$B$30,2,"false"),0)</f>
        <v>1</v>
      </c>
      <c r="L705" s="194">
        <f>_1_541284561214624104645789101745678[[#This Row],[LIST $]]*_1_541284561214624104645789101745678[[#This Row],[DISCOUNT]]*_1_541284561214624104645789101745678[[#This Row],[DISCOUNT 2]]</f>
        <v>0</v>
      </c>
      <c r="M705" s="194">
        <f>IF(OR(_1_541284561214624104645789101745678[[#This Row],[UNIT]]&gt;0,_1_541284561214624104645789101745678[[#This Row],[UNIT]]&lt;0),_1_541284561214624104645789101745678[[#This Row],[UNIT]]*_1_541284561214624104645789101745678[[#This Row],[COST]],0)</f>
        <v>0</v>
      </c>
      <c r="N705" s="194">
        <f t="shared" si="10"/>
        <v>1.3</v>
      </c>
      <c r="O705" s="198">
        <f>_1_541284561214624104645789101745678[[#This Row],[TOTAL]]*_1_541284561214624104645789101745678[[#This Row],[MARGIN]]</f>
        <v>0</v>
      </c>
      <c r="R705" s="41"/>
    </row>
    <row r="706" spans="4:18">
      <c r="D706" s="188"/>
      <c r="F706" s="168" t="s">
        <v>6202</v>
      </c>
      <c r="G706" s="193">
        <f>IF(_1_541284561214624104645789101745678[[#This Row],[Type]]&gt;0,VLOOKUP(_1_541284561214624104645789101745678[[#This Row],[Type]],Main[[#All],[TYPE]:[UNIT]],'Unit Price'!C$1,FALSE),0)</f>
        <v>0</v>
      </c>
      <c r="H706" s="197">
        <f>IF(_1_541284561214624104645789101745678[[#This Row],[Type]]&gt;0,VLOOKUP(_1_541284561214624104645789101745678[[#This Row],[Type]],Main[[#All],[TYPE]:[UNIT]],'Unit Price'!D$1,FALSE),0)</f>
        <v>0</v>
      </c>
      <c r="I706" s="194">
        <f>IF(_1_541284561214624104645789101745678[[#This Row],[Type]]&gt;0,VLOOKUP(_1_541284561214624104645789101745678[[#This Row],[Type]],Main[[#All],[TYPE]:[UNIT]],'Unit Price'!G$1,FALSE),0)</f>
        <v>0</v>
      </c>
      <c r="J706" s="194">
        <f>IF(_1_541284561214624104645789101745678[[#This Row],[Type]]&gt;0,VLOOKUP(_1_541284561214624104645789101745678[[#This Row],[Type]],Main[[#All],[TYPE]:[UNIT]],'Unit Price'!H$1,FALSE),0)</f>
        <v>0</v>
      </c>
      <c r="K706" s="194">
        <f>IF(_1_541284561214624104645789101745678[[#This Row],[Discount selection]]&gt;0,VLOOKUP(_1_541284561214624104645789101745678[[#This Row],[Discount selection]],'Discount Structure'!$A$2:$B$30,2,"false"),0)</f>
        <v>1</v>
      </c>
      <c r="L706" s="194">
        <f>_1_541284561214624104645789101745678[[#This Row],[LIST $]]*_1_541284561214624104645789101745678[[#This Row],[DISCOUNT]]*_1_541284561214624104645789101745678[[#This Row],[DISCOUNT 2]]</f>
        <v>0</v>
      </c>
      <c r="M706" s="194">
        <f>IF(OR(_1_541284561214624104645789101745678[[#This Row],[UNIT]]&gt;0,_1_541284561214624104645789101745678[[#This Row],[UNIT]]&lt;0),_1_541284561214624104645789101745678[[#This Row],[UNIT]]*_1_541284561214624104645789101745678[[#This Row],[COST]],0)</f>
        <v>0</v>
      </c>
      <c r="N706" s="194">
        <f t="shared" si="10"/>
        <v>1.3</v>
      </c>
      <c r="O706" s="198">
        <f>_1_541284561214624104645789101745678[[#This Row],[TOTAL]]*_1_541284561214624104645789101745678[[#This Row],[MARGIN]]</f>
        <v>0</v>
      </c>
      <c r="R706" s="41"/>
    </row>
    <row r="707" spans="4:18">
      <c r="D707" s="188"/>
      <c r="F707" s="168" t="s">
        <v>6202</v>
      </c>
      <c r="G707" s="193">
        <f>IF(_1_541284561214624104645789101745678[[#This Row],[Type]]&gt;0,VLOOKUP(_1_541284561214624104645789101745678[[#This Row],[Type]],Main[[#All],[TYPE]:[UNIT]],'Unit Price'!C$1,FALSE),0)</f>
        <v>0</v>
      </c>
      <c r="H707" s="197">
        <f>IF(_1_541284561214624104645789101745678[[#This Row],[Type]]&gt;0,VLOOKUP(_1_541284561214624104645789101745678[[#This Row],[Type]],Main[[#All],[TYPE]:[UNIT]],'Unit Price'!D$1,FALSE),0)</f>
        <v>0</v>
      </c>
      <c r="I707" s="194">
        <f>IF(_1_541284561214624104645789101745678[[#This Row],[Type]]&gt;0,VLOOKUP(_1_541284561214624104645789101745678[[#This Row],[Type]],Main[[#All],[TYPE]:[UNIT]],'Unit Price'!G$1,FALSE),0)</f>
        <v>0</v>
      </c>
      <c r="J707" s="194">
        <f>IF(_1_541284561214624104645789101745678[[#This Row],[Type]]&gt;0,VLOOKUP(_1_541284561214624104645789101745678[[#This Row],[Type]],Main[[#All],[TYPE]:[UNIT]],'Unit Price'!H$1,FALSE),0)</f>
        <v>0</v>
      </c>
      <c r="K707" s="194">
        <f>IF(_1_541284561214624104645789101745678[[#This Row],[Discount selection]]&gt;0,VLOOKUP(_1_541284561214624104645789101745678[[#This Row],[Discount selection]],'Discount Structure'!$A$2:$B$30,2,"false"),0)</f>
        <v>1</v>
      </c>
      <c r="L707" s="194">
        <f>_1_541284561214624104645789101745678[[#This Row],[LIST $]]*_1_541284561214624104645789101745678[[#This Row],[DISCOUNT]]*_1_541284561214624104645789101745678[[#This Row],[DISCOUNT 2]]</f>
        <v>0</v>
      </c>
      <c r="M707" s="194">
        <f>IF(OR(_1_541284561214624104645789101745678[[#This Row],[UNIT]]&gt;0,_1_541284561214624104645789101745678[[#This Row],[UNIT]]&lt;0),_1_541284561214624104645789101745678[[#This Row],[UNIT]]*_1_541284561214624104645789101745678[[#This Row],[COST]],0)</f>
        <v>0</v>
      </c>
      <c r="N707" s="194">
        <f t="shared" si="10"/>
        <v>1.3</v>
      </c>
      <c r="O707" s="198">
        <f>_1_541284561214624104645789101745678[[#This Row],[TOTAL]]*_1_541284561214624104645789101745678[[#This Row],[MARGIN]]</f>
        <v>0</v>
      </c>
      <c r="R707" s="41"/>
    </row>
    <row r="708" spans="4:18">
      <c r="D708" s="188"/>
      <c r="F708" s="168" t="s">
        <v>6202</v>
      </c>
      <c r="G708" s="193">
        <f>IF(_1_541284561214624104645789101745678[[#This Row],[Type]]&gt;0,VLOOKUP(_1_541284561214624104645789101745678[[#This Row],[Type]],Main[[#All],[TYPE]:[UNIT]],'Unit Price'!C$1,FALSE),0)</f>
        <v>0</v>
      </c>
      <c r="H708" s="197">
        <f>IF(_1_541284561214624104645789101745678[[#This Row],[Type]]&gt;0,VLOOKUP(_1_541284561214624104645789101745678[[#This Row],[Type]],Main[[#All],[TYPE]:[UNIT]],'Unit Price'!D$1,FALSE),0)</f>
        <v>0</v>
      </c>
      <c r="I708" s="194">
        <f>IF(_1_541284561214624104645789101745678[[#This Row],[Type]]&gt;0,VLOOKUP(_1_541284561214624104645789101745678[[#This Row],[Type]],Main[[#All],[TYPE]:[UNIT]],'Unit Price'!G$1,FALSE),0)</f>
        <v>0</v>
      </c>
      <c r="J708" s="194">
        <f>IF(_1_541284561214624104645789101745678[[#This Row],[Type]]&gt;0,VLOOKUP(_1_541284561214624104645789101745678[[#This Row],[Type]],Main[[#All],[TYPE]:[UNIT]],'Unit Price'!H$1,FALSE),0)</f>
        <v>0</v>
      </c>
      <c r="K708" s="194">
        <f>IF(_1_541284561214624104645789101745678[[#This Row],[Discount selection]]&gt;0,VLOOKUP(_1_541284561214624104645789101745678[[#This Row],[Discount selection]],'Discount Structure'!$A$2:$B$30,2,"false"),0)</f>
        <v>1</v>
      </c>
      <c r="L708" s="194">
        <f>_1_541284561214624104645789101745678[[#This Row],[LIST $]]*_1_541284561214624104645789101745678[[#This Row],[DISCOUNT]]*_1_541284561214624104645789101745678[[#This Row],[DISCOUNT 2]]</f>
        <v>0</v>
      </c>
      <c r="M708" s="194">
        <f>IF(OR(_1_541284561214624104645789101745678[[#This Row],[UNIT]]&gt;0,_1_541284561214624104645789101745678[[#This Row],[UNIT]]&lt;0),_1_541284561214624104645789101745678[[#This Row],[UNIT]]*_1_541284561214624104645789101745678[[#This Row],[COST]],0)</f>
        <v>0</v>
      </c>
      <c r="N708" s="194">
        <f t="shared" si="10"/>
        <v>1.3</v>
      </c>
      <c r="O708" s="198">
        <f>_1_541284561214624104645789101745678[[#This Row],[TOTAL]]*_1_541284561214624104645789101745678[[#This Row],[MARGIN]]</f>
        <v>0</v>
      </c>
      <c r="R708" s="41"/>
    </row>
    <row r="709" spans="4:18">
      <c r="D709" s="188"/>
      <c r="F709" s="168" t="s">
        <v>6202</v>
      </c>
      <c r="G709" s="193">
        <f>IF(_1_541284561214624104645789101745678[[#This Row],[Type]]&gt;0,VLOOKUP(_1_541284561214624104645789101745678[[#This Row],[Type]],Main[[#All],[TYPE]:[UNIT]],'Unit Price'!C$1,FALSE),0)</f>
        <v>0</v>
      </c>
      <c r="H709" s="197">
        <f>IF(_1_541284561214624104645789101745678[[#This Row],[Type]]&gt;0,VLOOKUP(_1_541284561214624104645789101745678[[#This Row],[Type]],Main[[#All],[TYPE]:[UNIT]],'Unit Price'!D$1,FALSE),0)</f>
        <v>0</v>
      </c>
      <c r="I709" s="194">
        <f>IF(_1_541284561214624104645789101745678[[#This Row],[Type]]&gt;0,VLOOKUP(_1_541284561214624104645789101745678[[#This Row],[Type]],Main[[#All],[TYPE]:[UNIT]],'Unit Price'!G$1,FALSE),0)</f>
        <v>0</v>
      </c>
      <c r="J709" s="194">
        <f>IF(_1_541284561214624104645789101745678[[#This Row],[Type]]&gt;0,VLOOKUP(_1_541284561214624104645789101745678[[#This Row],[Type]],Main[[#All],[TYPE]:[UNIT]],'Unit Price'!H$1,FALSE),0)</f>
        <v>0</v>
      </c>
      <c r="K709" s="194">
        <f>IF(_1_541284561214624104645789101745678[[#This Row],[Discount selection]]&gt;0,VLOOKUP(_1_541284561214624104645789101745678[[#This Row],[Discount selection]],'Discount Structure'!$A$2:$B$30,2,"false"),0)</f>
        <v>1</v>
      </c>
      <c r="L709" s="194">
        <f>_1_541284561214624104645789101745678[[#This Row],[LIST $]]*_1_541284561214624104645789101745678[[#This Row],[DISCOUNT]]*_1_541284561214624104645789101745678[[#This Row],[DISCOUNT 2]]</f>
        <v>0</v>
      </c>
      <c r="M709" s="194">
        <f>IF(OR(_1_541284561214624104645789101745678[[#This Row],[UNIT]]&gt;0,_1_541284561214624104645789101745678[[#This Row],[UNIT]]&lt;0),_1_541284561214624104645789101745678[[#This Row],[UNIT]]*_1_541284561214624104645789101745678[[#This Row],[COST]],0)</f>
        <v>0</v>
      </c>
      <c r="N709" s="194">
        <f t="shared" si="10"/>
        <v>1.3</v>
      </c>
      <c r="O709" s="198">
        <f>_1_541284561214624104645789101745678[[#This Row],[TOTAL]]*_1_541284561214624104645789101745678[[#This Row],[MARGIN]]</f>
        <v>0</v>
      </c>
      <c r="R709" s="41"/>
    </row>
    <row r="710" spans="4:18">
      <c r="D710" s="188"/>
      <c r="F710" s="168" t="s">
        <v>6202</v>
      </c>
      <c r="G710" s="193">
        <f>IF(_1_541284561214624104645789101745678[[#This Row],[Type]]&gt;0,VLOOKUP(_1_541284561214624104645789101745678[[#This Row],[Type]],Main[[#All],[TYPE]:[UNIT]],'Unit Price'!C$1,FALSE),0)</f>
        <v>0</v>
      </c>
      <c r="H710" s="197">
        <f>IF(_1_541284561214624104645789101745678[[#This Row],[Type]]&gt;0,VLOOKUP(_1_541284561214624104645789101745678[[#This Row],[Type]],Main[[#All],[TYPE]:[UNIT]],'Unit Price'!D$1,FALSE),0)</f>
        <v>0</v>
      </c>
      <c r="I710" s="194">
        <f>IF(_1_541284561214624104645789101745678[[#This Row],[Type]]&gt;0,VLOOKUP(_1_541284561214624104645789101745678[[#This Row],[Type]],Main[[#All],[TYPE]:[UNIT]],'Unit Price'!G$1,FALSE),0)</f>
        <v>0</v>
      </c>
      <c r="J710" s="194">
        <f>IF(_1_541284561214624104645789101745678[[#This Row],[Type]]&gt;0,VLOOKUP(_1_541284561214624104645789101745678[[#This Row],[Type]],Main[[#All],[TYPE]:[UNIT]],'Unit Price'!H$1,FALSE),0)</f>
        <v>0</v>
      </c>
      <c r="K710" s="194">
        <f>IF(_1_541284561214624104645789101745678[[#This Row],[Discount selection]]&gt;0,VLOOKUP(_1_541284561214624104645789101745678[[#This Row],[Discount selection]],'Discount Structure'!$A$2:$B$30,2,"false"),0)</f>
        <v>1</v>
      </c>
      <c r="L710" s="194">
        <f>_1_541284561214624104645789101745678[[#This Row],[LIST $]]*_1_541284561214624104645789101745678[[#This Row],[DISCOUNT]]*_1_541284561214624104645789101745678[[#This Row],[DISCOUNT 2]]</f>
        <v>0</v>
      </c>
      <c r="M710" s="194">
        <f>IF(OR(_1_541284561214624104645789101745678[[#This Row],[UNIT]]&gt;0,_1_541284561214624104645789101745678[[#This Row],[UNIT]]&lt;0),_1_541284561214624104645789101745678[[#This Row],[UNIT]]*_1_541284561214624104645789101745678[[#This Row],[COST]],0)</f>
        <v>0</v>
      </c>
      <c r="N710" s="194">
        <f t="shared" si="10"/>
        <v>1.3</v>
      </c>
      <c r="O710" s="198">
        <f>_1_541284561214624104645789101745678[[#This Row],[TOTAL]]*_1_541284561214624104645789101745678[[#This Row],[MARGIN]]</f>
        <v>0</v>
      </c>
      <c r="R710" s="41"/>
    </row>
    <row r="711" spans="4:18">
      <c r="D711" s="188"/>
      <c r="F711" s="168" t="s">
        <v>6202</v>
      </c>
      <c r="G711" s="193">
        <f>IF(_1_541284561214624104645789101745678[[#This Row],[Type]]&gt;0,VLOOKUP(_1_541284561214624104645789101745678[[#This Row],[Type]],Main[[#All],[TYPE]:[UNIT]],'Unit Price'!C$1,FALSE),0)</f>
        <v>0</v>
      </c>
      <c r="H711" s="197">
        <f>IF(_1_541284561214624104645789101745678[[#This Row],[Type]]&gt;0,VLOOKUP(_1_541284561214624104645789101745678[[#This Row],[Type]],Main[[#All],[TYPE]:[UNIT]],'Unit Price'!D$1,FALSE),0)</f>
        <v>0</v>
      </c>
      <c r="I711" s="194">
        <f>IF(_1_541284561214624104645789101745678[[#This Row],[Type]]&gt;0,VLOOKUP(_1_541284561214624104645789101745678[[#This Row],[Type]],Main[[#All],[TYPE]:[UNIT]],'Unit Price'!G$1,FALSE),0)</f>
        <v>0</v>
      </c>
      <c r="J711" s="194">
        <f>IF(_1_541284561214624104645789101745678[[#This Row],[Type]]&gt;0,VLOOKUP(_1_541284561214624104645789101745678[[#This Row],[Type]],Main[[#All],[TYPE]:[UNIT]],'Unit Price'!H$1,FALSE),0)</f>
        <v>0</v>
      </c>
      <c r="K711" s="194">
        <f>IF(_1_541284561214624104645789101745678[[#This Row],[Discount selection]]&gt;0,VLOOKUP(_1_541284561214624104645789101745678[[#This Row],[Discount selection]],'Discount Structure'!$A$2:$B$30,2,"false"),0)</f>
        <v>1</v>
      </c>
      <c r="L711" s="194">
        <f>_1_541284561214624104645789101745678[[#This Row],[LIST $]]*_1_541284561214624104645789101745678[[#This Row],[DISCOUNT]]*_1_541284561214624104645789101745678[[#This Row],[DISCOUNT 2]]</f>
        <v>0</v>
      </c>
      <c r="M711" s="194">
        <f>IF(OR(_1_541284561214624104645789101745678[[#This Row],[UNIT]]&gt;0,_1_541284561214624104645789101745678[[#This Row],[UNIT]]&lt;0),_1_541284561214624104645789101745678[[#This Row],[UNIT]]*_1_541284561214624104645789101745678[[#This Row],[COST]],0)</f>
        <v>0</v>
      </c>
      <c r="N711" s="194">
        <f t="shared" si="10"/>
        <v>1.3</v>
      </c>
      <c r="O711" s="198">
        <f>_1_541284561214624104645789101745678[[#This Row],[TOTAL]]*_1_541284561214624104645789101745678[[#This Row],[MARGIN]]</f>
        <v>0</v>
      </c>
      <c r="R711" s="41"/>
    </row>
    <row r="712" spans="4:18">
      <c r="D712" s="188"/>
      <c r="F712" s="168" t="s">
        <v>6202</v>
      </c>
      <c r="G712" s="193">
        <f>IF(_1_541284561214624104645789101745678[[#This Row],[Type]]&gt;0,VLOOKUP(_1_541284561214624104645789101745678[[#This Row],[Type]],Main[[#All],[TYPE]:[UNIT]],'Unit Price'!C$1,FALSE),0)</f>
        <v>0</v>
      </c>
      <c r="H712" s="197">
        <f>IF(_1_541284561214624104645789101745678[[#This Row],[Type]]&gt;0,VLOOKUP(_1_541284561214624104645789101745678[[#This Row],[Type]],Main[[#All],[TYPE]:[UNIT]],'Unit Price'!D$1,FALSE),0)</f>
        <v>0</v>
      </c>
      <c r="I712" s="194">
        <f>IF(_1_541284561214624104645789101745678[[#This Row],[Type]]&gt;0,VLOOKUP(_1_541284561214624104645789101745678[[#This Row],[Type]],Main[[#All],[TYPE]:[UNIT]],'Unit Price'!G$1,FALSE),0)</f>
        <v>0</v>
      </c>
      <c r="J712" s="194">
        <f>IF(_1_541284561214624104645789101745678[[#This Row],[Type]]&gt;0,VLOOKUP(_1_541284561214624104645789101745678[[#This Row],[Type]],Main[[#All],[TYPE]:[UNIT]],'Unit Price'!H$1,FALSE),0)</f>
        <v>0</v>
      </c>
      <c r="K712" s="194">
        <f>IF(_1_541284561214624104645789101745678[[#This Row],[Discount selection]]&gt;0,VLOOKUP(_1_541284561214624104645789101745678[[#This Row],[Discount selection]],'Discount Structure'!$A$2:$B$30,2,"false"),0)</f>
        <v>1</v>
      </c>
      <c r="L712" s="194">
        <f>_1_541284561214624104645789101745678[[#This Row],[LIST $]]*_1_541284561214624104645789101745678[[#This Row],[DISCOUNT]]*_1_541284561214624104645789101745678[[#This Row],[DISCOUNT 2]]</f>
        <v>0</v>
      </c>
      <c r="M712" s="194">
        <f>IF(OR(_1_541284561214624104645789101745678[[#This Row],[UNIT]]&gt;0,_1_541284561214624104645789101745678[[#This Row],[UNIT]]&lt;0),_1_541284561214624104645789101745678[[#This Row],[UNIT]]*_1_541284561214624104645789101745678[[#This Row],[COST]],0)</f>
        <v>0</v>
      </c>
      <c r="N712" s="194">
        <f t="shared" si="10"/>
        <v>1.3</v>
      </c>
      <c r="O712" s="198">
        <f>_1_541284561214624104645789101745678[[#This Row],[TOTAL]]*_1_541284561214624104645789101745678[[#This Row],[MARGIN]]</f>
        <v>0</v>
      </c>
      <c r="R712" s="41"/>
    </row>
    <row r="713" spans="4:18">
      <c r="D713" s="188"/>
      <c r="F713" s="168" t="s">
        <v>6202</v>
      </c>
      <c r="G713" s="193">
        <f>IF(_1_541284561214624104645789101745678[[#This Row],[Type]]&gt;0,VLOOKUP(_1_541284561214624104645789101745678[[#This Row],[Type]],Main[[#All],[TYPE]:[UNIT]],'Unit Price'!C$1,FALSE),0)</f>
        <v>0</v>
      </c>
      <c r="H713" s="197">
        <f>IF(_1_541284561214624104645789101745678[[#This Row],[Type]]&gt;0,VLOOKUP(_1_541284561214624104645789101745678[[#This Row],[Type]],Main[[#All],[TYPE]:[UNIT]],'Unit Price'!D$1,FALSE),0)</f>
        <v>0</v>
      </c>
      <c r="I713" s="194">
        <f>IF(_1_541284561214624104645789101745678[[#This Row],[Type]]&gt;0,VLOOKUP(_1_541284561214624104645789101745678[[#This Row],[Type]],Main[[#All],[TYPE]:[UNIT]],'Unit Price'!G$1,FALSE),0)</f>
        <v>0</v>
      </c>
      <c r="J713" s="194">
        <f>IF(_1_541284561214624104645789101745678[[#This Row],[Type]]&gt;0,VLOOKUP(_1_541284561214624104645789101745678[[#This Row],[Type]],Main[[#All],[TYPE]:[UNIT]],'Unit Price'!H$1,FALSE),0)</f>
        <v>0</v>
      </c>
      <c r="K713" s="194">
        <f>IF(_1_541284561214624104645789101745678[[#This Row],[Discount selection]]&gt;0,VLOOKUP(_1_541284561214624104645789101745678[[#This Row],[Discount selection]],'Discount Structure'!$A$2:$B$30,2,"false"),0)</f>
        <v>1</v>
      </c>
      <c r="L713" s="194">
        <f>_1_541284561214624104645789101745678[[#This Row],[LIST $]]*_1_541284561214624104645789101745678[[#This Row],[DISCOUNT]]*_1_541284561214624104645789101745678[[#This Row],[DISCOUNT 2]]</f>
        <v>0</v>
      </c>
      <c r="M713" s="194">
        <f>IF(OR(_1_541284561214624104645789101745678[[#This Row],[UNIT]]&gt;0,_1_541284561214624104645789101745678[[#This Row],[UNIT]]&lt;0),_1_541284561214624104645789101745678[[#This Row],[UNIT]]*_1_541284561214624104645789101745678[[#This Row],[COST]],0)</f>
        <v>0</v>
      </c>
      <c r="N713" s="194">
        <f t="shared" si="10"/>
        <v>1.3</v>
      </c>
      <c r="O713" s="198">
        <f>_1_541284561214624104645789101745678[[#This Row],[TOTAL]]*_1_541284561214624104645789101745678[[#This Row],[MARGIN]]</f>
        <v>0</v>
      </c>
      <c r="R713" s="41"/>
    </row>
    <row r="714" spans="4:18">
      <c r="D714" s="188"/>
      <c r="F714" s="168" t="s">
        <v>6202</v>
      </c>
      <c r="G714" s="193">
        <f>IF(_1_541284561214624104645789101745678[[#This Row],[Type]]&gt;0,VLOOKUP(_1_541284561214624104645789101745678[[#This Row],[Type]],Main[[#All],[TYPE]:[UNIT]],'Unit Price'!C$1,FALSE),0)</f>
        <v>0</v>
      </c>
      <c r="H714" s="197">
        <f>IF(_1_541284561214624104645789101745678[[#This Row],[Type]]&gt;0,VLOOKUP(_1_541284561214624104645789101745678[[#This Row],[Type]],Main[[#All],[TYPE]:[UNIT]],'Unit Price'!D$1,FALSE),0)</f>
        <v>0</v>
      </c>
      <c r="I714" s="194">
        <f>IF(_1_541284561214624104645789101745678[[#This Row],[Type]]&gt;0,VLOOKUP(_1_541284561214624104645789101745678[[#This Row],[Type]],Main[[#All],[TYPE]:[UNIT]],'Unit Price'!G$1,FALSE),0)</f>
        <v>0</v>
      </c>
      <c r="J714" s="194">
        <f>IF(_1_541284561214624104645789101745678[[#This Row],[Type]]&gt;0,VLOOKUP(_1_541284561214624104645789101745678[[#This Row],[Type]],Main[[#All],[TYPE]:[UNIT]],'Unit Price'!H$1,FALSE),0)</f>
        <v>0</v>
      </c>
      <c r="K714" s="194">
        <f>IF(_1_541284561214624104645789101745678[[#This Row],[Discount selection]]&gt;0,VLOOKUP(_1_541284561214624104645789101745678[[#This Row],[Discount selection]],'Discount Structure'!$A$2:$B$30,2,"false"),0)</f>
        <v>1</v>
      </c>
      <c r="L714" s="194">
        <f>_1_541284561214624104645789101745678[[#This Row],[LIST $]]*_1_541284561214624104645789101745678[[#This Row],[DISCOUNT]]*_1_541284561214624104645789101745678[[#This Row],[DISCOUNT 2]]</f>
        <v>0</v>
      </c>
      <c r="M714" s="194">
        <f>IF(OR(_1_541284561214624104645789101745678[[#This Row],[UNIT]]&gt;0,_1_541284561214624104645789101745678[[#This Row],[UNIT]]&lt;0),_1_541284561214624104645789101745678[[#This Row],[UNIT]]*_1_541284561214624104645789101745678[[#This Row],[COST]],0)</f>
        <v>0</v>
      </c>
      <c r="N714" s="194">
        <f t="shared" ref="N714:N777" si="11">$N$7</f>
        <v>1.3</v>
      </c>
      <c r="O714" s="198">
        <f>_1_541284561214624104645789101745678[[#This Row],[TOTAL]]*_1_541284561214624104645789101745678[[#This Row],[MARGIN]]</f>
        <v>0</v>
      </c>
      <c r="R714" s="41"/>
    </row>
    <row r="715" spans="4:18">
      <c r="D715" s="188"/>
      <c r="F715" s="168" t="s">
        <v>6202</v>
      </c>
      <c r="G715" s="193">
        <f>IF(_1_541284561214624104645789101745678[[#This Row],[Type]]&gt;0,VLOOKUP(_1_541284561214624104645789101745678[[#This Row],[Type]],Main[[#All],[TYPE]:[UNIT]],'Unit Price'!C$1,FALSE),0)</f>
        <v>0</v>
      </c>
      <c r="H715" s="197">
        <f>IF(_1_541284561214624104645789101745678[[#This Row],[Type]]&gt;0,VLOOKUP(_1_541284561214624104645789101745678[[#This Row],[Type]],Main[[#All],[TYPE]:[UNIT]],'Unit Price'!D$1,FALSE),0)</f>
        <v>0</v>
      </c>
      <c r="I715" s="194">
        <f>IF(_1_541284561214624104645789101745678[[#This Row],[Type]]&gt;0,VLOOKUP(_1_541284561214624104645789101745678[[#This Row],[Type]],Main[[#All],[TYPE]:[UNIT]],'Unit Price'!G$1,FALSE),0)</f>
        <v>0</v>
      </c>
      <c r="J715" s="194">
        <f>IF(_1_541284561214624104645789101745678[[#This Row],[Type]]&gt;0,VLOOKUP(_1_541284561214624104645789101745678[[#This Row],[Type]],Main[[#All],[TYPE]:[UNIT]],'Unit Price'!H$1,FALSE),0)</f>
        <v>0</v>
      </c>
      <c r="K715" s="194">
        <f>IF(_1_541284561214624104645789101745678[[#This Row],[Discount selection]]&gt;0,VLOOKUP(_1_541284561214624104645789101745678[[#This Row],[Discount selection]],'Discount Structure'!$A$2:$B$30,2,"false"),0)</f>
        <v>1</v>
      </c>
      <c r="L715" s="194">
        <f>_1_541284561214624104645789101745678[[#This Row],[LIST $]]*_1_541284561214624104645789101745678[[#This Row],[DISCOUNT]]*_1_541284561214624104645789101745678[[#This Row],[DISCOUNT 2]]</f>
        <v>0</v>
      </c>
      <c r="M715" s="194">
        <f>IF(OR(_1_541284561214624104645789101745678[[#This Row],[UNIT]]&gt;0,_1_541284561214624104645789101745678[[#This Row],[UNIT]]&lt;0),_1_541284561214624104645789101745678[[#This Row],[UNIT]]*_1_541284561214624104645789101745678[[#This Row],[COST]],0)</f>
        <v>0</v>
      </c>
      <c r="N715" s="194">
        <f t="shared" si="11"/>
        <v>1.3</v>
      </c>
      <c r="O715" s="198">
        <f>_1_541284561214624104645789101745678[[#This Row],[TOTAL]]*_1_541284561214624104645789101745678[[#This Row],[MARGIN]]</f>
        <v>0</v>
      </c>
      <c r="R715" s="41"/>
    </row>
    <row r="716" spans="4:18">
      <c r="D716" s="188"/>
      <c r="F716" s="168" t="s">
        <v>6202</v>
      </c>
      <c r="G716" s="193">
        <f>IF(_1_541284561214624104645789101745678[[#This Row],[Type]]&gt;0,VLOOKUP(_1_541284561214624104645789101745678[[#This Row],[Type]],Main[[#All],[TYPE]:[UNIT]],'Unit Price'!C$1,FALSE),0)</f>
        <v>0</v>
      </c>
      <c r="H716" s="197">
        <f>IF(_1_541284561214624104645789101745678[[#This Row],[Type]]&gt;0,VLOOKUP(_1_541284561214624104645789101745678[[#This Row],[Type]],Main[[#All],[TYPE]:[UNIT]],'Unit Price'!D$1,FALSE),0)</f>
        <v>0</v>
      </c>
      <c r="I716" s="194">
        <f>IF(_1_541284561214624104645789101745678[[#This Row],[Type]]&gt;0,VLOOKUP(_1_541284561214624104645789101745678[[#This Row],[Type]],Main[[#All],[TYPE]:[UNIT]],'Unit Price'!G$1,FALSE),0)</f>
        <v>0</v>
      </c>
      <c r="J716" s="194">
        <f>IF(_1_541284561214624104645789101745678[[#This Row],[Type]]&gt;0,VLOOKUP(_1_541284561214624104645789101745678[[#This Row],[Type]],Main[[#All],[TYPE]:[UNIT]],'Unit Price'!H$1,FALSE),0)</f>
        <v>0</v>
      </c>
      <c r="K716" s="194">
        <f>IF(_1_541284561214624104645789101745678[[#This Row],[Discount selection]]&gt;0,VLOOKUP(_1_541284561214624104645789101745678[[#This Row],[Discount selection]],'Discount Structure'!$A$2:$B$30,2,"false"),0)</f>
        <v>1</v>
      </c>
      <c r="L716" s="194">
        <f>_1_541284561214624104645789101745678[[#This Row],[LIST $]]*_1_541284561214624104645789101745678[[#This Row],[DISCOUNT]]*_1_541284561214624104645789101745678[[#This Row],[DISCOUNT 2]]</f>
        <v>0</v>
      </c>
      <c r="M716" s="194">
        <f>IF(OR(_1_541284561214624104645789101745678[[#This Row],[UNIT]]&gt;0,_1_541284561214624104645789101745678[[#This Row],[UNIT]]&lt;0),_1_541284561214624104645789101745678[[#This Row],[UNIT]]*_1_541284561214624104645789101745678[[#This Row],[COST]],0)</f>
        <v>0</v>
      </c>
      <c r="N716" s="194">
        <f t="shared" si="11"/>
        <v>1.3</v>
      </c>
      <c r="O716" s="198">
        <f>_1_541284561214624104645789101745678[[#This Row],[TOTAL]]*_1_541284561214624104645789101745678[[#This Row],[MARGIN]]</f>
        <v>0</v>
      </c>
      <c r="R716" s="41"/>
    </row>
    <row r="717" spans="4:18">
      <c r="D717" s="188"/>
      <c r="F717" s="168" t="s">
        <v>6202</v>
      </c>
      <c r="G717" s="193">
        <f>IF(_1_541284561214624104645789101745678[[#This Row],[Type]]&gt;0,VLOOKUP(_1_541284561214624104645789101745678[[#This Row],[Type]],Main[[#All],[TYPE]:[UNIT]],'Unit Price'!C$1,FALSE),0)</f>
        <v>0</v>
      </c>
      <c r="H717" s="197">
        <f>IF(_1_541284561214624104645789101745678[[#This Row],[Type]]&gt;0,VLOOKUP(_1_541284561214624104645789101745678[[#This Row],[Type]],Main[[#All],[TYPE]:[UNIT]],'Unit Price'!D$1,FALSE),0)</f>
        <v>0</v>
      </c>
      <c r="I717" s="194">
        <f>IF(_1_541284561214624104645789101745678[[#This Row],[Type]]&gt;0,VLOOKUP(_1_541284561214624104645789101745678[[#This Row],[Type]],Main[[#All],[TYPE]:[UNIT]],'Unit Price'!G$1,FALSE),0)</f>
        <v>0</v>
      </c>
      <c r="J717" s="194">
        <f>IF(_1_541284561214624104645789101745678[[#This Row],[Type]]&gt;0,VLOOKUP(_1_541284561214624104645789101745678[[#This Row],[Type]],Main[[#All],[TYPE]:[UNIT]],'Unit Price'!H$1,FALSE),0)</f>
        <v>0</v>
      </c>
      <c r="K717" s="194">
        <f>IF(_1_541284561214624104645789101745678[[#This Row],[Discount selection]]&gt;0,VLOOKUP(_1_541284561214624104645789101745678[[#This Row],[Discount selection]],'Discount Structure'!$A$2:$B$30,2,"false"),0)</f>
        <v>1</v>
      </c>
      <c r="L717" s="194">
        <f>_1_541284561214624104645789101745678[[#This Row],[LIST $]]*_1_541284561214624104645789101745678[[#This Row],[DISCOUNT]]*_1_541284561214624104645789101745678[[#This Row],[DISCOUNT 2]]</f>
        <v>0</v>
      </c>
      <c r="M717" s="194">
        <f>IF(OR(_1_541284561214624104645789101745678[[#This Row],[UNIT]]&gt;0,_1_541284561214624104645789101745678[[#This Row],[UNIT]]&lt;0),_1_541284561214624104645789101745678[[#This Row],[UNIT]]*_1_541284561214624104645789101745678[[#This Row],[COST]],0)</f>
        <v>0</v>
      </c>
      <c r="N717" s="194">
        <f t="shared" si="11"/>
        <v>1.3</v>
      </c>
      <c r="O717" s="198">
        <f>_1_541284561214624104645789101745678[[#This Row],[TOTAL]]*_1_541284561214624104645789101745678[[#This Row],[MARGIN]]</f>
        <v>0</v>
      </c>
      <c r="R717" s="41"/>
    </row>
    <row r="718" spans="4:18">
      <c r="D718" s="188"/>
      <c r="F718" s="168" t="s">
        <v>6202</v>
      </c>
      <c r="G718" s="193">
        <f>IF(_1_541284561214624104645789101745678[[#This Row],[Type]]&gt;0,VLOOKUP(_1_541284561214624104645789101745678[[#This Row],[Type]],Main[[#All],[TYPE]:[UNIT]],'Unit Price'!C$1,FALSE),0)</f>
        <v>0</v>
      </c>
      <c r="H718" s="197">
        <f>IF(_1_541284561214624104645789101745678[[#This Row],[Type]]&gt;0,VLOOKUP(_1_541284561214624104645789101745678[[#This Row],[Type]],Main[[#All],[TYPE]:[UNIT]],'Unit Price'!D$1,FALSE),0)</f>
        <v>0</v>
      </c>
      <c r="I718" s="194">
        <f>IF(_1_541284561214624104645789101745678[[#This Row],[Type]]&gt;0,VLOOKUP(_1_541284561214624104645789101745678[[#This Row],[Type]],Main[[#All],[TYPE]:[UNIT]],'Unit Price'!G$1,FALSE),0)</f>
        <v>0</v>
      </c>
      <c r="J718" s="194">
        <f>IF(_1_541284561214624104645789101745678[[#This Row],[Type]]&gt;0,VLOOKUP(_1_541284561214624104645789101745678[[#This Row],[Type]],Main[[#All],[TYPE]:[UNIT]],'Unit Price'!H$1,FALSE),0)</f>
        <v>0</v>
      </c>
      <c r="K718" s="194">
        <f>IF(_1_541284561214624104645789101745678[[#This Row],[Discount selection]]&gt;0,VLOOKUP(_1_541284561214624104645789101745678[[#This Row],[Discount selection]],'Discount Structure'!$A$2:$B$30,2,"false"),0)</f>
        <v>1</v>
      </c>
      <c r="L718" s="194">
        <f>_1_541284561214624104645789101745678[[#This Row],[LIST $]]*_1_541284561214624104645789101745678[[#This Row],[DISCOUNT]]*_1_541284561214624104645789101745678[[#This Row],[DISCOUNT 2]]</f>
        <v>0</v>
      </c>
      <c r="M718" s="194">
        <f>IF(OR(_1_541284561214624104645789101745678[[#This Row],[UNIT]]&gt;0,_1_541284561214624104645789101745678[[#This Row],[UNIT]]&lt;0),_1_541284561214624104645789101745678[[#This Row],[UNIT]]*_1_541284561214624104645789101745678[[#This Row],[COST]],0)</f>
        <v>0</v>
      </c>
      <c r="N718" s="194">
        <f t="shared" si="11"/>
        <v>1.3</v>
      </c>
      <c r="O718" s="198">
        <f>_1_541284561214624104645789101745678[[#This Row],[TOTAL]]*_1_541284561214624104645789101745678[[#This Row],[MARGIN]]</f>
        <v>0</v>
      </c>
      <c r="R718" s="41"/>
    </row>
    <row r="719" spans="4:18">
      <c r="D719" s="188"/>
      <c r="F719" s="168" t="s">
        <v>6202</v>
      </c>
      <c r="G719" s="193">
        <f>IF(_1_541284561214624104645789101745678[[#This Row],[Type]]&gt;0,VLOOKUP(_1_541284561214624104645789101745678[[#This Row],[Type]],Main[[#All],[TYPE]:[UNIT]],'Unit Price'!C$1,FALSE),0)</f>
        <v>0</v>
      </c>
      <c r="H719" s="197">
        <f>IF(_1_541284561214624104645789101745678[[#This Row],[Type]]&gt;0,VLOOKUP(_1_541284561214624104645789101745678[[#This Row],[Type]],Main[[#All],[TYPE]:[UNIT]],'Unit Price'!D$1,FALSE),0)</f>
        <v>0</v>
      </c>
      <c r="I719" s="194">
        <f>IF(_1_541284561214624104645789101745678[[#This Row],[Type]]&gt;0,VLOOKUP(_1_541284561214624104645789101745678[[#This Row],[Type]],Main[[#All],[TYPE]:[UNIT]],'Unit Price'!G$1,FALSE),0)</f>
        <v>0</v>
      </c>
      <c r="J719" s="194">
        <f>IF(_1_541284561214624104645789101745678[[#This Row],[Type]]&gt;0,VLOOKUP(_1_541284561214624104645789101745678[[#This Row],[Type]],Main[[#All],[TYPE]:[UNIT]],'Unit Price'!H$1,FALSE),0)</f>
        <v>0</v>
      </c>
      <c r="K719" s="194">
        <f>IF(_1_541284561214624104645789101745678[[#This Row],[Discount selection]]&gt;0,VLOOKUP(_1_541284561214624104645789101745678[[#This Row],[Discount selection]],'Discount Structure'!$A$2:$B$30,2,"false"),0)</f>
        <v>1</v>
      </c>
      <c r="L719" s="194">
        <f>_1_541284561214624104645789101745678[[#This Row],[LIST $]]*_1_541284561214624104645789101745678[[#This Row],[DISCOUNT]]*_1_541284561214624104645789101745678[[#This Row],[DISCOUNT 2]]</f>
        <v>0</v>
      </c>
      <c r="M719" s="194">
        <f>IF(OR(_1_541284561214624104645789101745678[[#This Row],[UNIT]]&gt;0,_1_541284561214624104645789101745678[[#This Row],[UNIT]]&lt;0),_1_541284561214624104645789101745678[[#This Row],[UNIT]]*_1_541284561214624104645789101745678[[#This Row],[COST]],0)</f>
        <v>0</v>
      </c>
      <c r="N719" s="194">
        <f t="shared" si="11"/>
        <v>1.3</v>
      </c>
      <c r="O719" s="198">
        <f>_1_541284561214624104645789101745678[[#This Row],[TOTAL]]*_1_541284561214624104645789101745678[[#This Row],[MARGIN]]</f>
        <v>0</v>
      </c>
      <c r="R719" s="41"/>
    </row>
    <row r="720" spans="4:18">
      <c r="D720" s="188"/>
      <c r="F720" s="168" t="s">
        <v>6202</v>
      </c>
      <c r="G720" s="193">
        <f>IF(_1_541284561214624104645789101745678[[#This Row],[Type]]&gt;0,VLOOKUP(_1_541284561214624104645789101745678[[#This Row],[Type]],Main[[#All],[TYPE]:[UNIT]],'Unit Price'!C$1,FALSE),0)</f>
        <v>0</v>
      </c>
      <c r="H720" s="197">
        <f>IF(_1_541284561214624104645789101745678[[#This Row],[Type]]&gt;0,VLOOKUP(_1_541284561214624104645789101745678[[#This Row],[Type]],Main[[#All],[TYPE]:[UNIT]],'Unit Price'!D$1,FALSE),0)</f>
        <v>0</v>
      </c>
      <c r="I720" s="194">
        <f>IF(_1_541284561214624104645789101745678[[#This Row],[Type]]&gt;0,VLOOKUP(_1_541284561214624104645789101745678[[#This Row],[Type]],Main[[#All],[TYPE]:[UNIT]],'Unit Price'!G$1,FALSE),0)</f>
        <v>0</v>
      </c>
      <c r="J720" s="194">
        <f>IF(_1_541284561214624104645789101745678[[#This Row],[Type]]&gt;0,VLOOKUP(_1_541284561214624104645789101745678[[#This Row],[Type]],Main[[#All],[TYPE]:[UNIT]],'Unit Price'!H$1,FALSE),0)</f>
        <v>0</v>
      </c>
      <c r="K720" s="194">
        <f>IF(_1_541284561214624104645789101745678[[#This Row],[Discount selection]]&gt;0,VLOOKUP(_1_541284561214624104645789101745678[[#This Row],[Discount selection]],'Discount Structure'!$A$2:$B$30,2,"false"),0)</f>
        <v>1</v>
      </c>
      <c r="L720" s="194">
        <f>_1_541284561214624104645789101745678[[#This Row],[LIST $]]*_1_541284561214624104645789101745678[[#This Row],[DISCOUNT]]*_1_541284561214624104645789101745678[[#This Row],[DISCOUNT 2]]</f>
        <v>0</v>
      </c>
      <c r="M720" s="194">
        <f>IF(OR(_1_541284561214624104645789101745678[[#This Row],[UNIT]]&gt;0,_1_541284561214624104645789101745678[[#This Row],[UNIT]]&lt;0),_1_541284561214624104645789101745678[[#This Row],[UNIT]]*_1_541284561214624104645789101745678[[#This Row],[COST]],0)</f>
        <v>0</v>
      </c>
      <c r="N720" s="194">
        <f t="shared" si="11"/>
        <v>1.3</v>
      </c>
      <c r="O720" s="198">
        <f>_1_541284561214624104645789101745678[[#This Row],[TOTAL]]*_1_541284561214624104645789101745678[[#This Row],[MARGIN]]</f>
        <v>0</v>
      </c>
      <c r="R720" s="41"/>
    </row>
    <row r="721" spans="4:18">
      <c r="D721" s="188"/>
      <c r="F721" s="168" t="s">
        <v>6202</v>
      </c>
      <c r="G721" s="193">
        <f>IF(_1_541284561214624104645789101745678[[#This Row],[Type]]&gt;0,VLOOKUP(_1_541284561214624104645789101745678[[#This Row],[Type]],Main[[#All],[TYPE]:[UNIT]],'Unit Price'!C$1,FALSE),0)</f>
        <v>0</v>
      </c>
      <c r="H721" s="197">
        <f>IF(_1_541284561214624104645789101745678[[#This Row],[Type]]&gt;0,VLOOKUP(_1_541284561214624104645789101745678[[#This Row],[Type]],Main[[#All],[TYPE]:[UNIT]],'Unit Price'!D$1,FALSE),0)</f>
        <v>0</v>
      </c>
      <c r="I721" s="194">
        <f>IF(_1_541284561214624104645789101745678[[#This Row],[Type]]&gt;0,VLOOKUP(_1_541284561214624104645789101745678[[#This Row],[Type]],Main[[#All],[TYPE]:[UNIT]],'Unit Price'!G$1,FALSE),0)</f>
        <v>0</v>
      </c>
      <c r="J721" s="194">
        <f>IF(_1_541284561214624104645789101745678[[#This Row],[Type]]&gt;0,VLOOKUP(_1_541284561214624104645789101745678[[#This Row],[Type]],Main[[#All],[TYPE]:[UNIT]],'Unit Price'!H$1,FALSE),0)</f>
        <v>0</v>
      </c>
      <c r="K721" s="194">
        <f>IF(_1_541284561214624104645789101745678[[#This Row],[Discount selection]]&gt;0,VLOOKUP(_1_541284561214624104645789101745678[[#This Row],[Discount selection]],'Discount Structure'!$A$2:$B$30,2,"false"),0)</f>
        <v>1</v>
      </c>
      <c r="L721" s="194">
        <f>_1_541284561214624104645789101745678[[#This Row],[LIST $]]*_1_541284561214624104645789101745678[[#This Row],[DISCOUNT]]*_1_541284561214624104645789101745678[[#This Row],[DISCOUNT 2]]</f>
        <v>0</v>
      </c>
      <c r="M721" s="194">
        <f>IF(OR(_1_541284561214624104645789101745678[[#This Row],[UNIT]]&gt;0,_1_541284561214624104645789101745678[[#This Row],[UNIT]]&lt;0),_1_541284561214624104645789101745678[[#This Row],[UNIT]]*_1_541284561214624104645789101745678[[#This Row],[COST]],0)</f>
        <v>0</v>
      </c>
      <c r="N721" s="194">
        <f t="shared" si="11"/>
        <v>1.3</v>
      </c>
      <c r="O721" s="198">
        <f>_1_541284561214624104645789101745678[[#This Row],[TOTAL]]*_1_541284561214624104645789101745678[[#This Row],[MARGIN]]</f>
        <v>0</v>
      </c>
      <c r="R721" s="41"/>
    </row>
    <row r="722" spans="4:18">
      <c r="D722" s="188"/>
      <c r="F722" s="168" t="s">
        <v>6202</v>
      </c>
      <c r="G722" s="193">
        <f>IF(_1_541284561214624104645789101745678[[#This Row],[Type]]&gt;0,VLOOKUP(_1_541284561214624104645789101745678[[#This Row],[Type]],Main[[#All],[TYPE]:[UNIT]],'Unit Price'!C$1,FALSE),0)</f>
        <v>0</v>
      </c>
      <c r="H722" s="197">
        <f>IF(_1_541284561214624104645789101745678[[#This Row],[Type]]&gt;0,VLOOKUP(_1_541284561214624104645789101745678[[#This Row],[Type]],Main[[#All],[TYPE]:[UNIT]],'Unit Price'!D$1,FALSE),0)</f>
        <v>0</v>
      </c>
      <c r="I722" s="194">
        <f>IF(_1_541284561214624104645789101745678[[#This Row],[Type]]&gt;0,VLOOKUP(_1_541284561214624104645789101745678[[#This Row],[Type]],Main[[#All],[TYPE]:[UNIT]],'Unit Price'!G$1,FALSE),0)</f>
        <v>0</v>
      </c>
      <c r="J722" s="194">
        <f>IF(_1_541284561214624104645789101745678[[#This Row],[Type]]&gt;0,VLOOKUP(_1_541284561214624104645789101745678[[#This Row],[Type]],Main[[#All],[TYPE]:[UNIT]],'Unit Price'!H$1,FALSE),0)</f>
        <v>0</v>
      </c>
      <c r="K722" s="194">
        <f>IF(_1_541284561214624104645789101745678[[#This Row],[Discount selection]]&gt;0,VLOOKUP(_1_541284561214624104645789101745678[[#This Row],[Discount selection]],'Discount Structure'!$A$2:$B$30,2,"false"),0)</f>
        <v>1</v>
      </c>
      <c r="L722" s="194">
        <f>_1_541284561214624104645789101745678[[#This Row],[LIST $]]*_1_541284561214624104645789101745678[[#This Row],[DISCOUNT]]*_1_541284561214624104645789101745678[[#This Row],[DISCOUNT 2]]</f>
        <v>0</v>
      </c>
      <c r="M722" s="194">
        <f>IF(OR(_1_541284561214624104645789101745678[[#This Row],[UNIT]]&gt;0,_1_541284561214624104645789101745678[[#This Row],[UNIT]]&lt;0),_1_541284561214624104645789101745678[[#This Row],[UNIT]]*_1_541284561214624104645789101745678[[#This Row],[COST]],0)</f>
        <v>0</v>
      </c>
      <c r="N722" s="194">
        <f t="shared" si="11"/>
        <v>1.3</v>
      </c>
      <c r="O722" s="198">
        <f>_1_541284561214624104645789101745678[[#This Row],[TOTAL]]*_1_541284561214624104645789101745678[[#This Row],[MARGIN]]</f>
        <v>0</v>
      </c>
      <c r="R722" s="41"/>
    </row>
    <row r="723" spans="4:18">
      <c r="D723" s="188"/>
      <c r="F723" s="168" t="s">
        <v>6202</v>
      </c>
      <c r="G723" s="193">
        <f>IF(_1_541284561214624104645789101745678[[#This Row],[Type]]&gt;0,VLOOKUP(_1_541284561214624104645789101745678[[#This Row],[Type]],Main[[#All],[TYPE]:[UNIT]],'Unit Price'!C$1,FALSE),0)</f>
        <v>0</v>
      </c>
      <c r="H723" s="197">
        <f>IF(_1_541284561214624104645789101745678[[#This Row],[Type]]&gt;0,VLOOKUP(_1_541284561214624104645789101745678[[#This Row],[Type]],Main[[#All],[TYPE]:[UNIT]],'Unit Price'!D$1,FALSE),0)</f>
        <v>0</v>
      </c>
      <c r="I723" s="194">
        <f>IF(_1_541284561214624104645789101745678[[#This Row],[Type]]&gt;0,VLOOKUP(_1_541284561214624104645789101745678[[#This Row],[Type]],Main[[#All],[TYPE]:[UNIT]],'Unit Price'!G$1,FALSE),0)</f>
        <v>0</v>
      </c>
      <c r="J723" s="194">
        <f>IF(_1_541284561214624104645789101745678[[#This Row],[Type]]&gt;0,VLOOKUP(_1_541284561214624104645789101745678[[#This Row],[Type]],Main[[#All],[TYPE]:[UNIT]],'Unit Price'!H$1,FALSE),0)</f>
        <v>0</v>
      </c>
      <c r="K723" s="194">
        <f>IF(_1_541284561214624104645789101745678[[#This Row],[Discount selection]]&gt;0,VLOOKUP(_1_541284561214624104645789101745678[[#This Row],[Discount selection]],'Discount Structure'!$A$2:$B$30,2,"false"),0)</f>
        <v>1</v>
      </c>
      <c r="L723" s="194">
        <f>_1_541284561214624104645789101745678[[#This Row],[LIST $]]*_1_541284561214624104645789101745678[[#This Row],[DISCOUNT]]*_1_541284561214624104645789101745678[[#This Row],[DISCOUNT 2]]</f>
        <v>0</v>
      </c>
      <c r="M723" s="194">
        <f>IF(OR(_1_541284561214624104645789101745678[[#This Row],[UNIT]]&gt;0,_1_541284561214624104645789101745678[[#This Row],[UNIT]]&lt;0),_1_541284561214624104645789101745678[[#This Row],[UNIT]]*_1_541284561214624104645789101745678[[#This Row],[COST]],0)</f>
        <v>0</v>
      </c>
      <c r="N723" s="194">
        <f t="shared" si="11"/>
        <v>1.3</v>
      </c>
      <c r="O723" s="198">
        <f>_1_541284561214624104645789101745678[[#This Row],[TOTAL]]*_1_541284561214624104645789101745678[[#This Row],[MARGIN]]</f>
        <v>0</v>
      </c>
      <c r="R723" s="41"/>
    </row>
    <row r="724" spans="4:18">
      <c r="D724" s="188"/>
      <c r="F724" s="168" t="s">
        <v>6202</v>
      </c>
      <c r="G724" s="193">
        <f>IF(_1_541284561214624104645789101745678[[#This Row],[Type]]&gt;0,VLOOKUP(_1_541284561214624104645789101745678[[#This Row],[Type]],Main[[#All],[TYPE]:[UNIT]],'Unit Price'!C$1,FALSE),0)</f>
        <v>0</v>
      </c>
      <c r="H724" s="197">
        <f>IF(_1_541284561214624104645789101745678[[#This Row],[Type]]&gt;0,VLOOKUP(_1_541284561214624104645789101745678[[#This Row],[Type]],Main[[#All],[TYPE]:[UNIT]],'Unit Price'!D$1,FALSE),0)</f>
        <v>0</v>
      </c>
      <c r="I724" s="194">
        <f>IF(_1_541284561214624104645789101745678[[#This Row],[Type]]&gt;0,VLOOKUP(_1_541284561214624104645789101745678[[#This Row],[Type]],Main[[#All],[TYPE]:[UNIT]],'Unit Price'!G$1,FALSE),0)</f>
        <v>0</v>
      </c>
      <c r="J724" s="194">
        <f>IF(_1_541284561214624104645789101745678[[#This Row],[Type]]&gt;0,VLOOKUP(_1_541284561214624104645789101745678[[#This Row],[Type]],Main[[#All],[TYPE]:[UNIT]],'Unit Price'!H$1,FALSE),0)</f>
        <v>0</v>
      </c>
      <c r="K724" s="194">
        <f>IF(_1_541284561214624104645789101745678[[#This Row],[Discount selection]]&gt;0,VLOOKUP(_1_541284561214624104645789101745678[[#This Row],[Discount selection]],'Discount Structure'!$A$2:$B$30,2,"false"),0)</f>
        <v>1</v>
      </c>
      <c r="L724" s="194">
        <f>_1_541284561214624104645789101745678[[#This Row],[LIST $]]*_1_541284561214624104645789101745678[[#This Row],[DISCOUNT]]*_1_541284561214624104645789101745678[[#This Row],[DISCOUNT 2]]</f>
        <v>0</v>
      </c>
      <c r="M724" s="194">
        <f>IF(OR(_1_541284561214624104645789101745678[[#This Row],[UNIT]]&gt;0,_1_541284561214624104645789101745678[[#This Row],[UNIT]]&lt;0),_1_541284561214624104645789101745678[[#This Row],[UNIT]]*_1_541284561214624104645789101745678[[#This Row],[COST]],0)</f>
        <v>0</v>
      </c>
      <c r="N724" s="194">
        <f t="shared" si="11"/>
        <v>1.3</v>
      </c>
      <c r="O724" s="198">
        <f>_1_541284561214624104645789101745678[[#This Row],[TOTAL]]*_1_541284561214624104645789101745678[[#This Row],[MARGIN]]</f>
        <v>0</v>
      </c>
      <c r="R724" s="41"/>
    </row>
    <row r="725" spans="4:18">
      <c r="D725" s="188"/>
      <c r="F725" s="168" t="s">
        <v>6202</v>
      </c>
      <c r="G725" s="193">
        <f>IF(_1_541284561214624104645789101745678[[#This Row],[Type]]&gt;0,VLOOKUP(_1_541284561214624104645789101745678[[#This Row],[Type]],Main[[#All],[TYPE]:[UNIT]],'Unit Price'!C$1,FALSE),0)</f>
        <v>0</v>
      </c>
      <c r="H725" s="197">
        <f>IF(_1_541284561214624104645789101745678[[#This Row],[Type]]&gt;0,VLOOKUP(_1_541284561214624104645789101745678[[#This Row],[Type]],Main[[#All],[TYPE]:[UNIT]],'Unit Price'!D$1,FALSE),0)</f>
        <v>0</v>
      </c>
      <c r="I725" s="194">
        <f>IF(_1_541284561214624104645789101745678[[#This Row],[Type]]&gt;0,VLOOKUP(_1_541284561214624104645789101745678[[#This Row],[Type]],Main[[#All],[TYPE]:[UNIT]],'Unit Price'!G$1,FALSE),0)</f>
        <v>0</v>
      </c>
      <c r="J725" s="194">
        <f>IF(_1_541284561214624104645789101745678[[#This Row],[Type]]&gt;0,VLOOKUP(_1_541284561214624104645789101745678[[#This Row],[Type]],Main[[#All],[TYPE]:[UNIT]],'Unit Price'!H$1,FALSE),0)</f>
        <v>0</v>
      </c>
      <c r="K725" s="194">
        <f>IF(_1_541284561214624104645789101745678[[#This Row],[Discount selection]]&gt;0,VLOOKUP(_1_541284561214624104645789101745678[[#This Row],[Discount selection]],'Discount Structure'!$A$2:$B$30,2,"false"),0)</f>
        <v>1</v>
      </c>
      <c r="L725" s="194">
        <f>_1_541284561214624104645789101745678[[#This Row],[LIST $]]*_1_541284561214624104645789101745678[[#This Row],[DISCOUNT]]*_1_541284561214624104645789101745678[[#This Row],[DISCOUNT 2]]</f>
        <v>0</v>
      </c>
      <c r="M725" s="194">
        <f>IF(OR(_1_541284561214624104645789101745678[[#This Row],[UNIT]]&gt;0,_1_541284561214624104645789101745678[[#This Row],[UNIT]]&lt;0),_1_541284561214624104645789101745678[[#This Row],[UNIT]]*_1_541284561214624104645789101745678[[#This Row],[COST]],0)</f>
        <v>0</v>
      </c>
      <c r="N725" s="194">
        <f t="shared" si="11"/>
        <v>1.3</v>
      </c>
      <c r="O725" s="198">
        <f>_1_541284561214624104645789101745678[[#This Row],[TOTAL]]*_1_541284561214624104645789101745678[[#This Row],[MARGIN]]</f>
        <v>0</v>
      </c>
      <c r="R725" s="41"/>
    </row>
    <row r="726" spans="4:18">
      <c r="D726" s="188"/>
      <c r="F726" s="168" t="s">
        <v>6202</v>
      </c>
      <c r="G726" s="193">
        <f>IF(_1_541284561214624104645789101745678[[#This Row],[Type]]&gt;0,VLOOKUP(_1_541284561214624104645789101745678[[#This Row],[Type]],Main[[#All],[TYPE]:[UNIT]],'Unit Price'!C$1,FALSE),0)</f>
        <v>0</v>
      </c>
      <c r="H726" s="197">
        <f>IF(_1_541284561214624104645789101745678[[#This Row],[Type]]&gt;0,VLOOKUP(_1_541284561214624104645789101745678[[#This Row],[Type]],Main[[#All],[TYPE]:[UNIT]],'Unit Price'!D$1,FALSE),0)</f>
        <v>0</v>
      </c>
      <c r="I726" s="194">
        <f>IF(_1_541284561214624104645789101745678[[#This Row],[Type]]&gt;0,VLOOKUP(_1_541284561214624104645789101745678[[#This Row],[Type]],Main[[#All],[TYPE]:[UNIT]],'Unit Price'!G$1,FALSE),0)</f>
        <v>0</v>
      </c>
      <c r="J726" s="194">
        <f>IF(_1_541284561214624104645789101745678[[#This Row],[Type]]&gt;0,VLOOKUP(_1_541284561214624104645789101745678[[#This Row],[Type]],Main[[#All],[TYPE]:[UNIT]],'Unit Price'!H$1,FALSE),0)</f>
        <v>0</v>
      </c>
      <c r="K726" s="194">
        <f>IF(_1_541284561214624104645789101745678[[#This Row],[Discount selection]]&gt;0,VLOOKUP(_1_541284561214624104645789101745678[[#This Row],[Discount selection]],'Discount Structure'!$A$2:$B$30,2,"false"),0)</f>
        <v>1</v>
      </c>
      <c r="L726" s="194">
        <f>_1_541284561214624104645789101745678[[#This Row],[LIST $]]*_1_541284561214624104645789101745678[[#This Row],[DISCOUNT]]*_1_541284561214624104645789101745678[[#This Row],[DISCOUNT 2]]</f>
        <v>0</v>
      </c>
      <c r="M726" s="194">
        <f>IF(OR(_1_541284561214624104645789101745678[[#This Row],[UNIT]]&gt;0,_1_541284561214624104645789101745678[[#This Row],[UNIT]]&lt;0),_1_541284561214624104645789101745678[[#This Row],[UNIT]]*_1_541284561214624104645789101745678[[#This Row],[COST]],0)</f>
        <v>0</v>
      </c>
      <c r="N726" s="194">
        <f t="shared" si="11"/>
        <v>1.3</v>
      </c>
      <c r="O726" s="198">
        <f>_1_541284561214624104645789101745678[[#This Row],[TOTAL]]*_1_541284561214624104645789101745678[[#This Row],[MARGIN]]</f>
        <v>0</v>
      </c>
      <c r="R726" s="41"/>
    </row>
    <row r="727" spans="4:18">
      <c r="D727" s="188"/>
      <c r="F727" s="168" t="s">
        <v>6202</v>
      </c>
      <c r="G727" s="193">
        <f>IF(_1_541284561214624104645789101745678[[#This Row],[Type]]&gt;0,VLOOKUP(_1_541284561214624104645789101745678[[#This Row],[Type]],Main[[#All],[TYPE]:[UNIT]],'Unit Price'!C$1,FALSE),0)</f>
        <v>0</v>
      </c>
      <c r="H727" s="197">
        <f>IF(_1_541284561214624104645789101745678[[#This Row],[Type]]&gt;0,VLOOKUP(_1_541284561214624104645789101745678[[#This Row],[Type]],Main[[#All],[TYPE]:[UNIT]],'Unit Price'!D$1,FALSE),0)</f>
        <v>0</v>
      </c>
      <c r="I727" s="194">
        <f>IF(_1_541284561214624104645789101745678[[#This Row],[Type]]&gt;0,VLOOKUP(_1_541284561214624104645789101745678[[#This Row],[Type]],Main[[#All],[TYPE]:[UNIT]],'Unit Price'!G$1,FALSE),0)</f>
        <v>0</v>
      </c>
      <c r="J727" s="194">
        <f>IF(_1_541284561214624104645789101745678[[#This Row],[Type]]&gt;0,VLOOKUP(_1_541284561214624104645789101745678[[#This Row],[Type]],Main[[#All],[TYPE]:[UNIT]],'Unit Price'!H$1,FALSE),0)</f>
        <v>0</v>
      </c>
      <c r="K727" s="194">
        <f>IF(_1_541284561214624104645789101745678[[#This Row],[Discount selection]]&gt;0,VLOOKUP(_1_541284561214624104645789101745678[[#This Row],[Discount selection]],'Discount Structure'!$A$2:$B$30,2,"false"),0)</f>
        <v>1</v>
      </c>
      <c r="L727" s="194">
        <f>_1_541284561214624104645789101745678[[#This Row],[LIST $]]*_1_541284561214624104645789101745678[[#This Row],[DISCOUNT]]*_1_541284561214624104645789101745678[[#This Row],[DISCOUNT 2]]</f>
        <v>0</v>
      </c>
      <c r="M727" s="194">
        <f>IF(OR(_1_541284561214624104645789101745678[[#This Row],[UNIT]]&gt;0,_1_541284561214624104645789101745678[[#This Row],[UNIT]]&lt;0),_1_541284561214624104645789101745678[[#This Row],[UNIT]]*_1_541284561214624104645789101745678[[#This Row],[COST]],0)</f>
        <v>0</v>
      </c>
      <c r="N727" s="194">
        <f t="shared" si="11"/>
        <v>1.3</v>
      </c>
      <c r="O727" s="198">
        <f>_1_541284561214624104645789101745678[[#This Row],[TOTAL]]*_1_541284561214624104645789101745678[[#This Row],[MARGIN]]</f>
        <v>0</v>
      </c>
      <c r="R727" s="41"/>
    </row>
    <row r="728" spans="4:18">
      <c r="D728" s="188"/>
      <c r="F728" s="168" t="s">
        <v>6202</v>
      </c>
      <c r="G728" s="193">
        <f>IF(_1_541284561214624104645789101745678[[#This Row],[Type]]&gt;0,VLOOKUP(_1_541284561214624104645789101745678[[#This Row],[Type]],Main[[#All],[TYPE]:[UNIT]],'Unit Price'!C$1,FALSE),0)</f>
        <v>0</v>
      </c>
      <c r="H728" s="197">
        <f>IF(_1_541284561214624104645789101745678[[#This Row],[Type]]&gt;0,VLOOKUP(_1_541284561214624104645789101745678[[#This Row],[Type]],Main[[#All],[TYPE]:[UNIT]],'Unit Price'!D$1,FALSE),0)</f>
        <v>0</v>
      </c>
      <c r="I728" s="194">
        <f>IF(_1_541284561214624104645789101745678[[#This Row],[Type]]&gt;0,VLOOKUP(_1_541284561214624104645789101745678[[#This Row],[Type]],Main[[#All],[TYPE]:[UNIT]],'Unit Price'!G$1,FALSE),0)</f>
        <v>0</v>
      </c>
      <c r="J728" s="194">
        <f>IF(_1_541284561214624104645789101745678[[#This Row],[Type]]&gt;0,VLOOKUP(_1_541284561214624104645789101745678[[#This Row],[Type]],Main[[#All],[TYPE]:[UNIT]],'Unit Price'!H$1,FALSE),0)</f>
        <v>0</v>
      </c>
      <c r="K728" s="194">
        <f>IF(_1_541284561214624104645789101745678[[#This Row],[Discount selection]]&gt;0,VLOOKUP(_1_541284561214624104645789101745678[[#This Row],[Discount selection]],'Discount Structure'!$A$2:$B$30,2,"false"),0)</f>
        <v>1</v>
      </c>
      <c r="L728" s="194">
        <f>_1_541284561214624104645789101745678[[#This Row],[LIST $]]*_1_541284561214624104645789101745678[[#This Row],[DISCOUNT]]*_1_541284561214624104645789101745678[[#This Row],[DISCOUNT 2]]</f>
        <v>0</v>
      </c>
      <c r="M728" s="194">
        <f>IF(OR(_1_541284561214624104645789101745678[[#This Row],[UNIT]]&gt;0,_1_541284561214624104645789101745678[[#This Row],[UNIT]]&lt;0),_1_541284561214624104645789101745678[[#This Row],[UNIT]]*_1_541284561214624104645789101745678[[#This Row],[COST]],0)</f>
        <v>0</v>
      </c>
      <c r="N728" s="194">
        <f t="shared" si="11"/>
        <v>1.3</v>
      </c>
      <c r="O728" s="198">
        <f>_1_541284561214624104645789101745678[[#This Row],[TOTAL]]*_1_541284561214624104645789101745678[[#This Row],[MARGIN]]</f>
        <v>0</v>
      </c>
      <c r="R728" s="41"/>
    </row>
    <row r="729" spans="4:18">
      <c r="D729" s="188"/>
      <c r="F729" s="168" t="s">
        <v>6202</v>
      </c>
      <c r="G729" s="193">
        <f>IF(_1_541284561214624104645789101745678[[#This Row],[Type]]&gt;0,VLOOKUP(_1_541284561214624104645789101745678[[#This Row],[Type]],Main[[#All],[TYPE]:[UNIT]],'Unit Price'!C$1,FALSE),0)</f>
        <v>0</v>
      </c>
      <c r="H729" s="197">
        <f>IF(_1_541284561214624104645789101745678[[#This Row],[Type]]&gt;0,VLOOKUP(_1_541284561214624104645789101745678[[#This Row],[Type]],Main[[#All],[TYPE]:[UNIT]],'Unit Price'!D$1,FALSE),0)</f>
        <v>0</v>
      </c>
      <c r="I729" s="194">
        <f>IF(_1_541284561214624104645789101745678[[#This Row],[Type]]&gt;0,VLOOKUP(_1_541284561214624104645789101745678[[#This Row],[Type]],Main[[#All],[TYPE]:[UNIT]],'Unit Price'!G$1,FALSE),0)</f>
        <v>0</v>
      </c>
      <c r="J729" s="194">
        <f>IF(_1_541284561214624104645789101745678[[#This Row],[Type]]&gt;0,VLOOKUP(_1_541284561214624104645789101745678[[#This Row],[Type]],Main[[#All],[TYPE]:[UNIT]],'Unit Price'!H$1,FALSE),0)</f>
        <v>0</v>
      </c>
      <c r="K729" s="194">
        <f>IF(_1_541284561214624104645789101745678[[#This Row],[Discount selection]]&gt;0,VLOOKUP(_1_541284561214624104645789101745678[[#This Row],[Discount selection]],'Discount Structure'!$A$2:$B$30,2,"false"),0)</f>
        <v>1</v>
      </c>
      <c r="L729" s="194">
        <f>_1_541284561214624104645789101745678[[#This Row],[LIST $]]*_1_541284561214624104645789101745678[[#This Row],[DISCOUNT]]*_1_541284561214624104645789101745678[[#This Row],[DISCOUNT 2]]</f>
        <v>0</v>
      </c>
      <c r="M729" s="194">
        <f>IF(OR(_1_541284561214624104645789101745678[[#This Row],[UNIT]]&gt;0,_1_541284561214624104645789101745678[[#This Row],[UNIT]]&lt;0),_1_541284561214624104645789101745678[[#This Row],[UNIT]]*_1_541284561214624104645789101745678[[#This Row],[COST]],0)</f>
        <v>0</v>
      </c>
      <c r="N729" s="194">
        <f t="shared" si="11"/>
        <v>1.3</v>
      </c>
      <c r="O729" s="198">
        <f>_1_541284561214624104645789101745678[[#This Row],[TOTAL]]*_1_541284561214624104645789101745678[[#This Row],[MARGIN]]</f>
        <v>0</v>
      </c>
      <c r="R729" s="41"/>
    </row>
    <row r="730" spans="4:18">
      <c r="D730" s="188"/>
      <c r="F730" s="168" t="s">
        <v>6202</v>
      </c>
      <c r="G730" s="193">
        <f>IF(_1_541284561214624104645789101745678[[#This Row],[Type]]&gt;0,VLOOKUP(_1_541284561214624104645789101745678[[#This Row],[Type]],Main[[#All],[TYPE]:[UNIT]],'Unit Price'!C$1,FALSE),0)</f>
        <v>0</v>
      </c>
      <c r="H730" s="197">
        <f>IF(_1_541284561214624104645789101745678[[#This Row],[Type]]&gt;0,VLOOKUP(_1_541284561214624104645789101745678[[#This Row],[Type]],Main[[#All],[TYPE]:[UNIT]],'Unit Price'!D$1,FALSE),0)</f>
        <v>0</v>
      </c>
      <c r="I730" s="194">
        <f>IF(_1_541284561214624104645789101745678[[#This Row],[Type]]&gt;0,VLOOKUP(_1_541284561214624104645789101745678[[#This Row],[Type]],Main[[#All],[TYPE]:[UNIT]],'Unit Price'!G$1,FALSE),0)</f>
        <v>0</v>
      </c>
      <c r="J730" s="194">
        <f>IF(_1_541284561214624104645789101745678[[#This Row],[Type]]&gt;0,VLOOKUP(_1_541284561214624104645789101745678[[#This Row],[Type]],Main[[#All],[TYPE]:[UNIT]],'Unit Price'!H$1,FALSE),0)</f>
        <v>0</v>
      </c>
      <c r="K730" s="194">
        <f>IF(_1_541284561214624104645789101745678[[#This Row],[Discount selection]]&gt;0,VLOOKUP(_1_541284561214624104645789101745678[[#This Row],[Discount selection]],'Discount Structure'!$A$2:$B$30,2,"false"),0)</f>
        <v>1</v>
      </c>
      <c r="L730" s="194">
        <f>_1_541284561214624104645789101745678[[#This Row],[LIST $]]*_1_541284561214624104645789101745678[[#This Row],[DISCOUNT]]*_1_541284561214624104645789101745678[[#This Row],[DISCOUNT 2]]</f>
        <v>0</v>
      </c>
      <c r="M730" s="194">
        <f>IF(OR(_1_541284561214624104645789101745678[[#This Row],[UNIT]]&gt;0,_1_541284561214624104645789101745678[[#This Row],[UNIT]]&lt;0),_1_541284561214624104645789101745678[[#This Row],[UNIT]]*_1_541284561214624104645789101745678[[#This Row],[COST]],0)</f>
        <v>0</v>
      </c>
      <c r="N730" s="194">
        <f t="shared" si="11"/>
        <v>1.3</v>
      </c>
      <c r="O730" s="198">
        <f>_1_541284561214624104645789101745678[[#This Row],[TOTAL]]*_1_541284561214624104645789101745678[[#This Row],[MARGIN]]</f>
        <v>0</v>
      </c>
      <c r="R730" s="41"/>
    </row>
    <row r="731" spans="4:18">
      <c r="D731" s="188"/>
      <c r="F731" s="168" t="s">
        <v>6202</v>
      </c>
      <c r="G731" s="193">
        <f>IF(_1_541284561214624104645789101745678[[#This Row],[Type]]&gt;0,VLOOKUP(_1_541284561214624104645789101745678[[#This Row],[Type]],Main[[#All],[TYPE]:[UNIT]],'Unit Price'!C$1,FALSE),0)</f>
        <v>0</v>
      </c>
      <c r="H731" s="197">
        <f>IF(_1_541284561214624104645789101745678[[#This Row],[Type]]&gt;0,VLOOKUP(_1_541284561214624104645789101745678[[#This Row],[Type]],Main[[#All],[TYPE]:[UNIT]],'Unit Price'!D$1,FALSE),0)</f>
        <v>0</v>
      </c>
      <c r="I731" s="194">
        <f>IF(_1_541284561214624104645789101745678[[#This Row],[Type]]&gt;0,VLOOKUP(_1_541284561214624104645789101745678[[#This Row],[Type]],Main[[#All],[TYPE]:[UNIT]],'Unit Price'!G$1,FALSE),0)</f>
        <v>0</v>
      </c>
      <c r="J731" s="194">
        <f>IF(_1_541284561214624104645789101745678[[#This Row],[Type]]&gt;0,VLOOKUP(_1_541284561214624104645789101745678[[#This Row],[Type]],Main[[#All],[TYPE]:[UNIT]],'Unit Price'!H$1,FALSE),0)</f>
        <v>0</v>
      </c>
      <c r="K731" s="194">
        <f>IF(_1_541284561214624104645789101745678[[#This Row],[Discount selection]]&gt;0,VLOOKUP(_1_541284561214624104645789101745678[[#This Row],[Discount selection]],'Discount Structure'!$A$2:$B$30,2,"false"),0)</f>
        <v>1</v>
      </c>
      <c r="L731" s="194">
        <f>_1_541284561214624104645789101745678[[#This Row],[LIST $]]*_1_541284561214624104645789101745678[[#This Row],[DISCOUNT]]*_1_541284561214624104645789101745678[[#This Row],[DISCOUNT 2]]</f>
        <v>0</v>
      </c>
      <c r="M731" s="194">
        <f>IF(OR(_1_541284561214624104645789101745678[[#This Row],[UNIT]]&gt;0,_1_541284561214624104645789101745678[[#This Row],[UNIT]]&lt;0),_1_541284561214624104645789101745678[[#This Row],[UNIT]]*_1_541284561214624104645789101745678[[#This Row],[COST]],0)</f>
        <v>0</v>
      </c>
      <c r="N731" s="194">
        <f t="shared" si="11"/>
        <v>1.3</v>
      </c>
      <c r="O731" s="198">
        <f>_1_541284561214624104645789101745678[[#This Row],[TOTAL]]*_1_541284561214624104645789101745678[[#This Row],[MARGIN]]</f>
        <v>0</v>
      </c>
      <c r="R731" s="41"/>
    </row>
    <row r="732" spans="4:18">
      <c r="D732" s="188"/>
      <c r="F732" s="168" t="s">
        <v>6202</v>
      </c>
      <c r="G732" s="193">
        <f>IF(_1_541284561214624104645789101745678[[#This Row],[Type]]&gt;0,VLOOKUP(_1_541284561214624104645789101745678[[#This Row],[Type]],Main[[#All],[TYPE]:[UNIT]],'Unit Price'!C$1,FALSE),0)</f>
        <v>0</v>
      </c>
      <c r="H732" s="197">
        <f>IF(_1_541284561214624104645789101745678[[#This Row],[Type]]&gt;0,VLOOKUP(_1_541284561214624104645789101745678[[#This Row],[Type]],Main[[#All],[TYPE]:[UNIT]],'Unit Price'!D$1,FALSE),0)</f>
        <v>0</v>
      </c>
      <c r="I732" s="194">
        <f>IF(_1_541284561214624104645789101745678[[#This Row],[Type]]&gt;0,VLOOKUP(_1_541284561214624104645789101745678[[#This Row],[Type]],Main[[#All],[TYPE]:[UNIT]],'Unit Price'!G$1,FALSE),0)</f>
        <v>0</v>
      </c>
      <c r="J732" s="194">
        <f>IF(_1_541284561214624104645789101745678[[#This Row],[Type]]&gt;0,VLOOKUP(_1_541284561214624104645789101745678[[#This Row],[Type]],Main[[#All],[TYPE]:[UNIT]],'Unit Price'!H$1,FALSE),0)</f>
        <v>0</v>
      </c>
      <c r="K732" s="194">
        <f>IF(_1_541284561214624104645789101745678[[#This Row],[Discount selection]]&gt;0,VLOOKUP(_1_541284561214624104645789101745678[[#This Row],[Discount selection]],'Discount Structure'!$A$2:$B$30,2,"false"),0)</f>
        <v>1</v>
      </c>
      <c r="L732" s="194">
        <f>_1_541284561214624104645789101745678[[#This Row],[LIST $]]*_1_541284561214624104645789101745678[[#This Row],[DISCOUNT]]*_1_541284561214624104645789101745678[[#This Row],[DISCOUNT 2]]</f>
        <v>0</v>
      </c>
      <c r="M732" s="194">
        <f>IF(OR(_1_541284561214624104645789101745678[[#This Row],[UNIT]]&gt;0,_1_541284561214624104645789101745678[[#This Row],[UNIT]]&lt;0),_1_541284561214624104645789101745678[[#This Row],[UNIT]]*_1_541284561214624104645789101745678[[#This Row],[COST]],0)</f>
        <v>0</v>
      </c>
      <c r="N732" s="194">
        <f t="shared" si="11"/>
        <v>1.3</v>
      </c>
      <c r="O732" s="198">
        <f>_1_541284561214624104645789101745678[[#This Row],[TOTAL]]*_1_541284561214624104645789101745678[[#This Row],[MARGIN]]</f>
        <v>0</v>
      </c>
      <c r="R732" s="41"/>
    </row>
    <row r="733" spans="4:18">
      <c r="D733" s="188"/>
      <c r="F733" s="168" t="s">
        <v>6202</v>
      </c>
      <c r="G733" s="193">
        <f>IF(_1_541284561214624104645789101745678[[#This Row],[Type]]&gt;0,VLOOKUP(_1_541284561214624104645789101745678[[#This Row],[Type]],Main[[#All],[TYPE]:[UNIT]],'Unit Price'!C$1,FALSE),0)</f>
        <v>0</v>
      </c>
      <c r="H733" s="197">
        <f>IF(_1_541284561214624104645789101745678[[#This Row],[Type]]&gt;0,VLOOKUP(_1_541284561214624104645789101745678[[#This Row],[Type]],Main[[#All],[TYPE]:[UNIT]],'Unit Price'!D$1,FALSE),0)</f>
        <v>0</v>
      </c>
      <c r="I733" s="194">
        <f>IF(_1_541284561214624104645789101745678[[#This Row],[Type]]&gt;0,VLOOKUP(_1_541284561214624104645789101745678[[#This Row],[Type]],Main[[#All],[TYPE]:[UNIT]],'Unit Price'!G$1,FALSE),0)</f>
        <v>0</v>
      </c>
      <c r="J733" s="194">
        <f>IF(_1_541284561214624104645789101745678[[#This Row],[Type]]&gt;0,VLOOKUP(_1_541284561214624104645789101745678[[#This Row],[Type]],Main[[#All],[TYPE]:[UNIT]],'Unit Price'!H$1,FALSE),0)</f>
        <v>0</v>
      </c>
      <c r="K733" s="194">
        <f>IF(_1_541284561214624104645789101745678[[#This Row],[Discount selection]]&gt;0,VLOOKUP(_1_541284561214624104645789101745678[[#This Row],[Discount selection]],'Discount Structure'!$A$2:$B$30,2,"false"),0)</f>
        <v>1</v>
      </c>
      <c r="L733" s="194">
        <f>_1_541284561214624104645789101745678[[#This Row],[LIST $]]*_1_541284561214624104645789101745678[[#This Row],[DISCOUNT]]*_1_541284561214624104645789101745678[[#This Row],[DISCOUNT 2]]</f>
        <v>0</v>
      </c>
      <c r="M733" s="194">
        <f>IF(OR(_1_541284561214624104645789101745678[[#This Row],[UNIT]]&gt;0,_1_541284561214624104645789101745678[[#This Row],[UNIT]]&lt;0),_1_541284561214624104645789101745678[[#This Row],[UNIT]]*_1_541284561214624104645789101745678[[#This Row],[COST]],0)</f>
        <v>0</v>
      </c>
      <c r="N733" s="194">
        <f t="shared" si="11"/>
        <v>1.3</v>
      </c>
      <c r="O733" s="198">
        <f>_1_541284561214624104645789101745678[[#This Row],[TOTAL]]*_1_541284561214624104645789101745678[[#This Row],[MARGIN]]</f>
        <v>0</v>
      </c>
      <c r="R733" s="41"/>
    </row>
    <row r="734" spans="4:18">
      <c r="D734" s="188"/>
      <c r="F734" s="168" t="s">
        <v>6202</v>
      </c>
      <c r="G734" s="193">
        <f>IF(_1_541284561214624104645789101745678[[#This Row],[Type]]&gt;0,VLOOKUP(_1_541284561214624104645789101745678[[#This Row],[Type]],Main[[#All],[TYPE]:[UNIT]],'Unit Price'!C$1,FALSE),0)</f>
        <v>0</v>
      </c>
      <c r="H734" s="197">
        <f>IF(_1_541284561214624104645789101745678[[#This Row],[Type]]&gt;0,VLOOKUP(_1_541284561214624104645789101745678[[#This Row],[Type]],Main[[#All],[TYPE]:[UNIT]],'Unit Price'!D$1,FALSE),0)</f>
        <v>0</v>
      </c>
      <c r="I734" s="194">
        <f>IF(_1_541284561214624104645789101745678[[#This Row],[Type]]&gt;0,VLOOKUP(_1_541284561214624104645789101745678[[#This Row],[Type]],Main[[#All],[TYPE]:[UNIT]],'Unit Price'!G$1,FALSE),0)</f>
        <v>0</v>
      </c>
      <c r="J734" s="194">
        <f>IF(_1_541284561214624104645789101745678[[#This Row],[Type]]&gt;0,VLOOKUP(_1_541284561214624104645789101745678[[#This Row],[Type]],Main[[#All],[TYPE]:[UNIT]],'Unit Price'!H$1,FALSE),0)</f>
        <v>0</v>
      </c>
      <c r="K734" s="194">
        <f>IF(_1_541284561214624104645789101745678[[#This Row],[Discount selection]]&gt;0,VLOOKUP(_1_541284561214624104645789101745678[[#This Row],[Discount selection]],'Discount Structure'!$A$2:$B$30,2,"false"),0)</f>
        <v>1</v>
      </c>
      <c r="L734" s="194">
        <f>_1_541284561214624104645789101745678[[#This Row],[LIST $]]*_1_541284561214624104645789101745678[[#This Row],[DISCOUNT]]*_1_541284561214624104645789101745678[[#This Row],[DISCOUNT 2]]</f>
        <v>0</v>
      </c>
      <c r="M734" s="194">
        <f>IF(OR(_1_541284561214624104645789101745678[[#This Row],[UNIT]]&gt;0,_1_541284561214624104645789101745678[[#This Row],[UNIT]]&lt;0),_1_541284561214624104645789101745678[[#This Row],[UNIT]]*_1_541284561214624104645789101745678[[#This Row],[COST]],0)</f>
        <v>0</v>
      </c>
      <c r="N734" s="194">
        <f t="shared" si="11"/>
        <v>1.3</v>
      </c>
      <c r="O734" s="198">
        <f>_1_541284561214624104645789101745678[[#This Row],[TOTAL]]*_1_541284561214624104645789101745678[[#This Row],[MARGIN]]</f>
        <v>0</v>
      </c>
      <c r="R734" s="41"/>
    </row>
    <row r="735" spans="4:18">
      <c r="D735" s="188"/>
      <c r="F735" s="168" t="s">
        <v>6202</v>
      </c>
      <c r="G735" s="193">
        <f>IF(_1_541284561214624104645789101745678[[#This Row],[Type]]&gt;0,VLOOKUP(_1_541284561214624104645789101745678[[#This Row],[Type]],Main[[#All],[TYPE]:[UNIT]],'Unit Price'!C$1,FALSE),0)</f>
        <v>0</v>
      </c>
      <c r="H735" s="197">
        <f>IF(_1_541284561214624104645789101745678[[#This Row],[Type]]&gt;0,VLOOKUP(_1_541284561214624104645789101745678[[#This Row],[Type]],Main[[#All],[TYPE]:[UNIT]],'Unit Price'!D$1,FALSE),0)</f>
        <v>0</v>
      </c>
      <c r="I735" s="194">
        <f>IF(_1_541284561214624104645789101745678[[#This Row],[Type]]&gt;0,VLOOKUP(_1_541284561214624104645789101745678[[#This Row],[Type]],Main[[#All],[TYPE]:[UNIT]],'Unit Price'!G$1,FALSE),0)</f>
        <v>0</v>
      </c>
      <c r="J735" s="194">
        <f>IF(_1_541284561214624104645789101745678[[#This Row],[Type]]&gt;0,VLOOKUP(_1_541284561214624104645789101745678[[#This Row],[Type]],Main[[#All],[TYPE]:[UNIT]],'Unit Price'!H$1,FALSE),0)</f>
        <v>0</v>
      </c>
      <c r="K735" s="194">
        <f>IF(_1_541284561214624104645789101745678[[#This Row],[Discount selection]]&gt;0,VLOOKUP(_1_541284561214624104645789101745678[[#This Row],[Discount selection]],'Discount Structure'!$A$2:$B$30,2,"false"),0)</f>
        <v>1</v>
      </c>
      <c r="L735" s="194">
        <f>_1_541284561214624104645789101745678[[#This Row],[LIST $]]*_1_541284561214624104645789101745678[[#This Row],[DISCOUNT]]*_1_541284561214624104645789101745678[[#This Row],[DISCOUNT 2]]</f>
        <v>0</v>
      </c>
      <c r="M735" s="194">
        <f>IF(OR(_1_541284561214624104645789101745678[[#This Row],[UNIT]]&gt;0,_1_541284561214624104645789101745678[[#This Row],[UNIT]]&lt;0),_1_541284561214624104645789101745678[[#This Row],[UNIT]]*_1_541284561214624104645789101745678[[#This Row],[COST]],0)</f>
        <v>0</v>
      </c>
      <c r="N735" s="194">
        <f t="shared" si="11"/>
        <v>1.3</v>
      </c>
      <c r="O735" s="198">
        <f>_1_541284561214624104645789101745678[[#This Row],[TOTAL]]*_1_541284561214624104645789101745678[[#This Row],[MARGIN]]</f>
        <v>0</v>
      </c>
      <c r="R735" s="41"/>
    </row>
    <row r="736" spans="4:18">
      <c r="D736" s="188"/>
      <c r="F736" s="168" t="s">
        <v>6202</v>
      </c>
      <c r="G736" s="193">
        <f>IF(_1_541284561214624104645789101745678[[#This Row],[Type]]&gt;0,VLOOKUP(_1_541284561214624104645789101745678[[#This Row],[Type]],Main[[#All],[TYPE]:[UNIT]],'Unit Price'!C$1,FALSE),0)</f>
        <v>0</v>
      </c>
      <c r="H736" s="197">
        <f>IF(_1_541284561214624104645789101745678[[#This Row],[Type]]&gt;0,VLOOKUP(_1_541284561214624104645789101745678[[#This Row],[Type]],Main[[#All],[TYPE]:[UNIT]],'Unit Price'!D$1,FALSE),0)</f>
        <v>0</v>
      </c>
      <c r="I736" s="194">
        <f>IF(_1_541284561214624104645789101745678[[#This Row],[Type]]&gt;0,VLOOKUP(_1_541284561214624104645789101745678[[#This Row],[Type]],Main[[#All],[TYPE]:[UNIT]],'Unit Price'!G$1,FALSE),0)</f>
        <v>0</v>
      </c>
      <c r="J736" s="194">
        <f>IF(_1_541284561214624104645789101745678[[#This Row],[Type]]&gt;0,VLOOKUP(_1_541284561214624104645789101745678[[#This Row],[Type]],Main[[#All],[TYPE]:[UNIT]],'Unit Price'!H$1,FALSE),0)</f>
        <v>0</v>
      </c>
      <c r="K736" s="194">
        <f>IF(_1_541284561214624104645789101745678[[#This Row],[Discount selection]]&gt;0,VLOOKUP(_1_541284561214624104645789101745678[[#This Row],[Discount selection]],'Discount Structure'!$A$2:$B$30,2,"false"),0)</f>
        <v>1</v>
      </c>
      <c r="L736" s="194">
        <f>_1_541284561214624104645789101745678[[#This Row],[LIST $]]*_1_541284561214624104645789101745678[[#This Row],[DISCOUNT]]*_1_541284561214624104645789101745678[[#This Row],[DISCOUNT 2]]</f>
        <v>0</v>
      </c>
      <c r="M736" s="194">
        <f>IF(OR(_1_541284561214624104645789101745678[[#This Row],[UNIT]]&gt;0,_1_541284561214624104645789101745678[[#This Row],[UNIT]]&lt;0),_1_541284561214624104645789101745678[[#This Row],[UNIT]]*_1_541284561214624104645789101745678[[#This Row],[COST]],0)</f>
        <v>0</v>
      </c>
      <c r="N736" s="194">
        <f t="shared" si="11"/>
        <v>1.3</v>
      </c>
      <c r="O736" s="198">
        <f>_1_541284561214624104645789101745678[[#This Row],[TOTAL]]*_1_541284561214624104645789101745678[[#This Row],[MARGIN]]</f>
        <v>0</v>
      </c>
      <c r="R736" s="41"/>
    </row>
    <row r="737" spans="4:18">
      <c r="D737" s="188"/>
      <c r="F737" s="168" t="s">
        <v>6202</v>
      </c>
      <c r="G737" s="193">
        <f>IF(_1_541284561214624104645789101745678[[#This Row],[Type]]&gt;0,VLOOKUP(_1_541284561214624104645789101745678[[#This Row],[Type]],Main[[#All],[TYPE]:[UNIT]],'Unit Price'!C$1,FALSE),0)</f>
        <v>0</v>
      </c>
      <c r="H737" s="197">
        <f>IF(_1_541284561214624104645789101745678[[#This Row],[Type]]&gt;0,VLOOKUP(_1_541284561214624104645789101745678[[#This Row],[Type]],Main[[#All],[TYPE]:[UNIT]],'Unit Price'!D$1,FALSE),0)</f>
        <v>0</v>
      </c>
      <c r="I737" s="194">
        <f>IF(_1_541284561214624104645789101745678[[#This Row],[Type]]&gt;0,VLOOKUP(_1_541284561214624104645789101745678[[#This Row],[Type]],Main[[#All],[TYPE]:[UNIT]],'Unit Price'!G$1,FALSE),0)</f>
        <v>0</v>
      </c>
      <c r="J737" s="194">
        <f>IF(_1_541284561214624104645789101745678[[#This Row],[Type]]&gt;0,VLOOKUP(_1_541284561214624104645789101745678[[#This Row],[Type]],Main[[#All],[TYPE]:[UNIT]],'Unit Price'!H$1,FALSE),0)</f>
        <v>0</v>
      </c>
      <c r="K737" s="194">
        <f>IF(_1_541284561214624104645789101745678[[#This Row],[Discount selection]]&gt;0,VLOOKUP(_1_541284561214624104645789101745678[[#This Row],[Discount selection]],'Discount Structure'!$A$2:$B$30,2,"false"),0)</f>
        <v>1</v>
      </c>
      <c r="L737" s="194">
        <f>_1_541284561214624104645789101745678[[#This Row],[LIST $]]*_1_541284561214624104645789101745678[[#This Row],[DISCOUNT]]*_1_541284561214624104645789101745678[[#This Row],[DISCOUNT 2]]</f>
        <v>0</v>
      </c>
      <c r="M737" s="194">
        <f>IF(OR(_1_541284561214624104645789101745678[[#This Row],[UNIT]]&gt;0,_1_541284561214624104645789101745678[[#This Row],[UNIT]]&lt;0),_1_541284561214624104645789101745678[[#This Row],[UNIT]]*_1_541284561214624104645789101745678[[#This Row],[COST]],0)</f>
        <v>0</v>
      </c>
      <c r="N737" s="194">
        <f t="shared" si="11"/>
        <v>1.3</v>
      </c>
      <c r="O737" s="198">
        <f>_1_541284561214624104645789101745678[[#This Row],[TOTAL]]*_1_541284561214624104645789101745678[[#This Row],[MARGIN]]</f>
        <v>0</v>
      </c>
      <c r="R737" s="41"/>
    </row>
    <row r="738" spans="4:18">
      <c r="D738" s="188"/>
      <c r="F738" s="168" t="s">
        <v>6202</v>
      </c>
      <c r="G738" s="193">
        <f>IF(_1_541284561214624104645789101745678[[#This Row],[Type]]&gt;0,VLOOKUP(_1_541284561214624104645789101745678[[#This Row],[Type]],Main[[#All],[TYPE]:[UNIT]],'Unit Price'!C$1,FALSE),0)</f>
        <v>0</v>
      </c>
      <c r="H738" s="197">
        <f>IF(_1_541284561214624104645789101745678[[#This Row],[Type]]&gt;0,VLOOKUP(_1_541284561214624104645789101745678[[#This Row],[Type]],Main[[#All],[TYPE]:[UNIT]],'Unit Price'!D$1,FALSE),0)</f>
        <v>0</v>
      </c>
      <c r="I738" s="194">
        <f>IF(_1_541284561214624104645789101745678[[#This Row],[Type]]&gt;0,VLOOKUP(_1_541284561214624104645789101745678[[#This Row],[Type]],Main[[#All],[TYPE]:[UNIT]],'Unit Price'!G$1,FALSE),0)</f>
        <v>0</v>
      </c>
      <c r="J738" s="194">
        <f>IF(_1_541284561214624104645789101745678[[#This Row],[Type]]&gt;0,VLOOKUP(_1_541284561214624104645789101745678[[#This Row],[Type]],Main[[#All],[TYPE]:[UNIT]],'Unit Price'!H$1,FALSE),0)</f>
        <v>0</v>
      </c>
      <c r="K738" s="194">
        <f>IF(_1_541284561214624104645789101745678[[#This Row],[Discount selection]]&gt;0,VLOOKUP(_1_541284561214624104645789101745678[[#This Row],[Discount selection]],'Discount Structure'!$A$2:$B$30,2,"false"),0)</f>
        <v>1</v>
      </c>
      <c r="L738" s="194">
        <f>_1_541284561214624104645789101745678[[#This Row],[LIST $]]*_1_541284561214624104645789101745678[[#This Row],[DISCOUNT]]*_1_541284561214624104645789101745678[[#This Row],[DISCOUNT 2]]</f>
        <v>0</v>
      </c>
      <c r="M738" s="194">
        <f>IF(OR(_1_541284561214624104645789101745678[[#This Row],[UNIT]]&gt;0,_1_541284561214624104645789101745678[[#This Row],[UNIT]]&lt;0),_1_541284561214624104645789101745678[[#This Row],[UNIT]]*_1_541284561214624104645789101745678[[#This Row],[COST]],0)</f>
        <v>0</v>
      </c>
      <c r="N738" s="194">
        <f t="shared" si="11"/>
        <v>1.3</v>
      </c>
      <c r="O738" s="198">
        <f>_1_541284561214624104645789101745678[[#This Row],[TOTAL]]*_1_541284561214624104645789101745678[[#This Row],[MARGIN]]</f>
        <v>0</v>
      </c>
      <c r="R738" s="41"/>
    </row>
    <row r="739" spans="4:18">
      <c r="D739" s="188"/>
      <c r="F739" s="168" t="s">
        <v>6202</v>
      </c>
      <c r="G739" s="193">
        <f>IF(_1_541284561214624104645789101745678[[#This Row],[Type]]&gt;0,VLOOKUP(_1_541284561214624104645789101745678[[#This Row],[Type]],Main[[#All],[TYPE]:[UNIT]],'Unit Price'!C$1,FALSE),0)</f>
        <v>0</v>
      </c>
      <c r="H739" s="197">
        <f>IF(_1_541284561214624104645789101745678[[#This Row],[Type]]&gt;0,VLOOKUP(_1_541284561214624104645789101745678[[#This Row],[Type]],Main[[#All],[TYPE]:[UNIT]],'Unit Price'!D$1,FALSE),0)</f>
        <v>0</v>
      </c>
      <c r="I739" s="194">
        <f>IF(_1_541284561214624104645789101745678[[#This Row],[Type]]&gt;0,VLOOKUP(_1_541284561214624104645789101745678[[#This Row],[Type]],Main[[#All],[TYPE]:[UNIT]],'Unit Price'!G$1,FALSE),0)</f>
        <v>0</v>
      </c>
      <c r="J739" s="194">
        <f>IF(_1_541284561214624104645789101745678[[#This Row],[Type]]&gt;0,VLOOKUP(_1_541284561214624104645789101745678[[#This Row],[Type]],Main[[#All],[TYPE]:[UNIT]],'Unit Price'!H$1,FALSE),0)</f>
        <v>0</v>
      </c>
      <c r="K739" s="194">
        <f>IF(_1_541284561214624104645789101745678[[#This Row],[Discount selection]]&gt;0,VLOOKUP(_1_541284561214624104645789101745678[[#This Row],[Discount selection]],'Discount Structure'!$A$2:$B$30,2,"false"),0)</f>
        <v>1</v>
      </c>
      <c r="L739" s="194">
        <f>_1_541284561214624104645789101745678[[#This Row],[LIST $]]*_1_541284561214624104645789101745678[[#This Row],[DISCOUNT]]*_1_541284561214624104645789101745678[[#This Row],[DISCOUNT 2]]</f>
        <v>0</v>
      </c>
      <c r="M739" s="194">
        <f>IF(OR(_1_541284561214624104645789101745678[[#This Row],[UNIT]]&gt;0,_1_541284561214624104645789101745678[[#This Row],[UNIT]]&lt;0),_1_541284561214624104645789101745678[[#This Row],[UNIT]]*_1_541284561214624104645789101745678[[#This Row],[COST]],0)</f>
        <v>0</v>
      </c>
      <c r="N739" s="194">
        <f t="shared" si="11"/>
        <v>1.3</v>
      </c>
      <c r="O739" s="198">
        <f>_1_541284561214624104645789101745678[[#This Row],[TOTAL]]*_1_541284561214624104645789101745678[[#This Row],[MARGIN]]</f>
        <v>0</v>
      </c>
      <c r="R739" s="41"/>
    </row>
    <row r="740" spans="4:18">
      <c r="D740" s="188"/>
      <c r="F740" s="168" t="s">
        <v>6202</v>
      </c>
      <c r="G740" s="193">
        <f>IF(_1_541284561214624104645789101745678[[#This Row],[Type]]&gt;0,VLOOKUP(_1_541284561214624104645789101745678[[#This Row],[Type]],Main[[#All],[TYPE]:[UNIT]],'Unit Price'!C$1,FALSE),0)</f>
        <v>0</v>
      </c>
      <c r="H740" s="197">
        <f>IF(_1_541284561214624104645789101745678[[#This Row],[Type]]&gt;0,VLOOKUP(_1_541284561214624104645789101745678[[#This Row],[Type]],Main[[#All],[TYPE]:[UNIT]],'Unit Price'!D$1,FALSE),0)</f>
        <v>0</v>
      </c>
      <c r="I740" s="194">
        <f>IF(_1_541284561214624104645789101745678[[#This Row],[Type]]&gt;0,VLOOKUP(_1_541284561214624104645789101745678[[#This Row],[Type]],Main[[#All],[TYPE]:[UNIT]],'Unit Price'!G$1,FALSE),0)</f>
        <v>0</v>
      </c>
      <c r="J740" s="194">
        <f>IF(_1_541284561214624104645789101745678[[#This Row],[Type]]&gt;0,VLOOKUP(_1_541284561214624104645789101745678[[#This Row],[Type]],Main[[#All],[TYPE]:[UNIT]],'Unit Price'!H$1,FALSE),0)</f>
        <v>0</v>
      </c>
      <c r="K740" s="194">
        <f>IF(_1_541284561214624104645789101745678[[#This Row],[Discount selection]]&gt;0,VLOOKUP(_1_541284561214624104645789101745678[[#This Row],[Discount selection]],'Discount Structure'!$A$2:$B$30,2,"false"),0)</f>
        <v>1</v>
      </c>
      <c r="L740" s="194">
        <f>_1_541284561214624104645789101745678[[#This Row],[LIST $]]*_1_541284561214624104645789101745678[[#This Row],[DISCOUNT]]*_1_541284561214624104645789101745678[[#This Row],[DISCOUNT 2]]</f>
        <v>0</v>
      </c>
      <c r="M740" s="194">
        <f>IF(OR(_1_541284561214624104645789101745678[[#This Row],[UNIT]]&gt;0,_1_541284561214624104645789101745678[[#This Row],[UNIT]]&lt;0),_1_541284561214624104645789101745678[[#This Row],[UNIT]]*_1_541284561214624104645789101745678[[#This Row],[COST]],0)</f>
        <v>0</v>
      </c>
      <c r="N740" s="194">
        <f t="shared" si="11"/>
        <v>1.3</v>
      </c>
      <c r="O740" s="198">
        <f>_1_541284561214624104645789101745678[[#This Row],[TOTAL]]*_1_541284561214624104645789101745678[[#This Row],[MARGIN]]</f>
        <v>0</v>
      </c>
      <c r="R740" s="41"/>
    </row>
    <row r="741" spans="4:18">
      <c r="D741" s="188"/>
      <c r="F741" s="168" t="s">
        <v>6202</v>
      </c>
      <c r="G741" s="193">
        <f>IF(_1_541284561214624104645789101745678[[#This Row],[Type]]&gt;0,VLOOKUP(_1_541284561214624104645789101745678[[#This Row],[Type]],Main[[#All],[TYPE]:[UNIT]],'Unit Price'!C$1,FALSE),0)</f>
        <v>0</v>
      </c>
      <c r="H741" s="197">
        <f>IF(_1_541284561214624104645789101745678[[#This Row],[Type]]&gt;0,VLOOKUP(_1_541284561214624104645789101745678[[#This Row],[Type]],Main[[#All],[TYPE]:[UNIT]],'Unit Price'!D$1,FALSE),0)</f>
        <v>0</v>
      </c>
      <c r="I741" s="194">
        <f>IF(_1_541284561214624104645789101745678[[#This Row],[Type]]&gt;0,VLOOKUP(_1_541284561214624104645789101745678[[#This Row],[Type]],Main[[#All],[TYPE]:[UNIT]],'Unit Price'!G$1,FALSE),0)</f>
        <v>0</v>
      </c>
      <c r="J741" s="194">
        <f>IF(_1_541284561214624104645789101745678[[#This Row],[Type]]&gt;0,VLOOKUP(_1_541284561214624104645789101745678[[#This Row],[Type]],Main[[#All],[TYPE]:[UNIT]],'Unit Price'!H$1,FALSE),0)</f>
        <v>0</v>
      </c>
      <c r="K741" s="194">
        <f>IF(_1_541284561214624104645789101745678[[#This Row],[Discount selection]]&gt;0,VLOOKUP(_1_541284561214624104645789101745678[[#This Row],[Discount selection]],'Discount Structure'!$A$2:$B$30,2,"false"),0)</f>
        <v>1</v>
      </c>
      <c r="L741" s="194">
        <f>_1_541284561214624104645789101745678[[#This Row],[LIST $]]*_1_541284561214624104645789101745678[[#This Row],[DISCOUNT]]*_1_541284561214624104645789101745678[[#This Row],[DISCOUNT 2]]</f>
        <v>0</v>
      </c>
      <c r="M741" s="194">
        <f>IF(OR(_1_541284561214624104645789101745678[[#This Row],[UNIT]]&gt;0,_1_541284561214624104645789101745678[[#This Row],[UNIT]]&lt;0),_1_541284561214624104645789101745678[[#This Row],[UNIT]]*_1_541284561214624104645789101745678[[#This Row],[COST]],0)</f>
        <v>0</v>
      </c>
      <c r="N741" s="194">
        <f t="shared" si="11"/>
        <v>1.3</v>
      </c>
      <c r="O741" s="198">
        <f>_1_541284561214624104645789101745678[[#This Row],[TOTAL]]*_1_541284561214624104645789101745678[[#This Row],[MARGIN]]</f>
        <v>0</v>
      </c>
      <c r="R741" s="41"/>
    </row>
    <row r="742" spans="4:18">
      <c r="D742" s="188"/>
      <c r="F742" s="168" t="s">
        <v>6202</v>
      </c>
      <c r="G742" s="193">
        <f>IF(_1_541284561214624104645789101745678[[#This Row],[Type]]&gt;0,VLOOKUP(_1_541284561214624104645789101745678[[#This Row],[Type]],Main[[#All],[TYPE]:[UNIT]],'Unit Price'!C$1,FALSE),0)</f>
        <v>0</v>
      </c>
      <c r="H742" s="197">
        <f>IF(_1_541284561214624104645789101745678[[#This Row],[Type]]&gt;0,VLOOKUP(_1_541284561214624104645789101745678[[#This Row],[Type]],Main[[#All],[TYPE]:[UNIT]],'Unit Price'!D$1,FALSE),0)</f>
        <v>0</v>
      </c>
      <c r="I742" s="194">
        <f>IF(_1_541284561214624104645789101745678[[#This Row],[Type]]&gt;0,VLOOKUP(_1_541284561214624104645789101745678[[#This Row],[Type]],Main[[#All],[TYPE]:[UNIT]],'Unit Price'!G$1,FALSE),0)</f>
        <v>0</v>
      </c>
      <c r="J742" s="194">
        <f>IF(_1_541284561214624104645789101745678[[#This Row],[Type]]&gt;0,VLOOKUP(_1_541284561214624104645789101745678[[#This Row],[Type]],Main[[#All],[TYPE]:[UNIT]],'Unit Price'!H$1,FALSE),0)</f>
        <v>0</v>
      </c>
      <c r="K742" s="194">
        <f>IF(_1_541284561214624104645789101745678[[#This Row],[Discount selection]]&gt;0,VLOOKUP(_1_541284561214624104645789101745678[[#This Row],[Discount selection]],'Discount Structure'!$A$2:$B$30,2,"false"),0)</f>
        <v>1</v>
      </c>
      <c r="L742" s="194">
        <f>_1_541284561214624104645789101745678[[#This Row],[LIST $]]*_1_541284561214624104645789101745678[[#This Row],[DISCOUNT]]*_1_541284561214624104645789101745678[[#This Row],[DISCOUNT 2]]</f>
        <v>0</v>
      </c>
      <c r="M742" s="194">
        <f>IF(OR(_1_541284561214624104645789101745678[[#This Row],[UNIT]]&gt;0,_1_541284561214624104645789101745678[[#This Row],[UNIT]]&lt;0),_1_541284561214624104645789101745678[[#This Row],[UNIT]]*_1_541284561214624104645789101745678[[#This Row],[COST]],0)</f>
        <v>0</v>
      </c>
      <c r="N742" s="194">
        <f t="shared" si="11"/>
        <v>1.3</v>
      </c>
      <c r="O742" s="198">
        <f>_1_541284561214624104645789101745678[[#This Row],[TOTAL]]*_1_541284561214624104645789101745678[[#This Row],[MARGIN]]</f>
        <v>0</v>
      </c>
      <c r="R742" s="41"/>
    </row>
    <row r="743" spans="4:18">
      <c r="D743" s="188"/>
      <c r="F743" s="168" t="s">
        <v>6202</v>
      </c>
      <c r="G743" s="193">
        <f>IF(_1_541284561214624104645789101745678[[#This Row],[Type]]&gt;0,VLOOKUP(_1_541284561214624104645789101745678[[#This Row],[Type]],Main[[#All],[TYPE]:[UNIT]],'Unit Price'!C$1,FALSE),0)</f>
        <v>0</v>
      </c>
      <c r="H743" s="197">
        <f>IF(_1_541284561214624104645789101745678[[#This Row],[Type]]&gt;0,VLOOKUP(_1_541284561214624104645789101745678[[#This Row],[Type]],Main[[#All],[TYPE]:[UNIT]],'Unit Price'!D$1,FALSE),0)</f>
        <v>0</v>
      </c>
      <c r="I743" s="194">
        <f>IF(_1_541284561214624104645789101745678[[#This Row],[Type]]&gt;0,VLOOKUP(_1_541284561214624104645789101745678[[#This Row],[Type]],Main[[#All],[TYPE]:[UNIT]],'Unit Price'!G$1,FALSE),0)</f>
        <v>0</v>
      </c>
      <c r="J743" s="194">
        <f>IF(_1_541284561214624104645789101745678[[#This Row],[Type]]&gt;0,VLOOKUP(_1_541284561214624104645789101745678[[#This Row],[Type]],Main[[#All],[TYPE]:[UNIT]],'Unit Price'!H$1,FALSE),0)</f>
        <v>0</v>
      </c>
      <c r="K743" s="194">
        <f>IF(_1_541284561214624104645789101745678[[#This Row],[Discount selection]]&gt;0,VLOOKUP(_1_541284561214624104645789101745678[[#This Row],[Discount selection]],'Discount Structure'!$A$2:$B$30,2,"false"),0)</f>
        <v>1</v>
      </c>
      <c r="L743" s="194">
        <f>_1_541284561214624104645789101745678[[#This Row],[LIST $]]*_1_541284561214624104645789101745678[[#This Row],[DISCOUNT]]*_1_541284561214624104645789101745678[[#This Row],[DISCOUNT 2]]</f>
        <v>0</v>
      </c>
      <c r="M743" s="194">
        <f>IF(OR(_1_541284561214624104645789101745678[[#This Row],[UNIT]]&gt;0,_1_541284561214624104645789101745678[[#This Row],[UNIT]]&lt;0),_1_541284561214624104645789101745678[[#This Row],[UNIT]]*_1_541284561214624104645789101745678[[#This Row],[COST]],0)</f>
        <v>0</v>
      </c>
      <c r="N743" s="194">
        <f t="shared" si="11"/>
        <v>1.3</v>
      </c>
      <c r="O743" s="198">
        <f>_1_541284561214624104645789101745678[[#This Row],[TOTAL]]*_1_541284561214624104645789101745678[[#This Row],[MARGIN]]</f>
        <v>0</v>
      </c>
      <c r="R743" s="41"/>
    </row>
    <row r="744" spans="4:18">
      <c r="D744" s="188"/>
      <c r="F744" s="168" t="s">
        <v>6202</v>
      </c>
      <c r="G744" s="193">
        <f>IF(_1_541284561214624104645789101745678[[#This Row],[Type]]&gt;0,VLOOKUP(_1_541284561214624104645789101745678[[#This Row],[Type]],Main[[#All],[TYPE]:[UNIT]],'Unit Price'!C$1,FALSE),0)</f>
        <v>0</v>
      </c>
      <c r="H744" s="197">
        <f>IF(_1_541284561214624104645789101745678[[#This Row],[Type]]&gt;0,VLOOKUP(_1_541284561214624104645789101745678[[#This Row],[Type]],Main[[#All],[TYPE]:[UNIT]],'Unit Price'!D$1,FALSE),0)</f>
        <v>0</v>
      </c>
      <c r="I744" s="194">
        <f>IF(_1_541284561214624104645789101745678[[#This Row],[Type]]&gt;0,VLOOKUP(_1_541284561214624104645789101745678[[#This Row],[Type]],Main[[#All],[TYPE]:[UNIT]],'Unit Price'!G$1,FALSE),0)</f>
        <v>0</v>
      </c>
      <c r="J744" s="194">
        <f>IF(_1_541284561214624104645789101745678[[#This Row],[Type]]&gt;0,VLOOKUP(_1_541284561214624104645789101745678[[#This Row],[Type]],Main[[#All],[TYPE]:[UNIT]],'Unit Price'!H$1,FALSE),0)</f>
        <v>0</v>
      </c>
      <c r="K744" s="194">
        <f>IF(_1_541284561214624104645789101745678[[#This Row],[Discount selection]]&gt;0,VLOOKUP(_1_541284561214624104645789101745678[[#This Row],[Discount selection]],'Discount Structure'!$A$2:$B$30,2,"false"),0)</f>
        <v>1</v>
      </c>
      <c r="L744" s="194">
        <f>_1_541284561214624104645789101745678[[#This Row],[LIST $]]*_1_541284561214624104645789101745678[[#This Row],[DISCOUNT]]*_1_541284561214624104645789101745678[[#This Row],[DISCOUNT 2]]</f>
        <v>0</v>
      </c>
      <c r="M744" s="194">
        <f>IF(OR(_1_541284561214624104645789101745678[[#This Row],[UNIT]]&gt;0,_1_541284561214624104645789101745678[[#This Row],[UNIT]]&lt;0),_1_541284561214624104645789101745678[[#This Row],[UNIT]]*_1_541284561214624104645789101745678[[#This Row],[COST]],0)</f>
        <v>0</v>
      </c>
      <c r="N744" s="194">
        <f t="shared" si="11"/>
        <v>1.3</v>
      </c>
      <c r="O744" s="198">
        <f>_1_541284561214624104645789101745678[[#This Row],[TOTAL]]*_1_541284561214624104645789101745678[[#This Row],[MARGIN]]</f>
        <v>0</v>
      </c>
      <c r="R744" s="41"/>
    </row>
    <row r="745" spans="4:18">
      <c r="D745" s="188"/>
      <c r="F745" s="168" t="s">
        <v>6202</v>
      </c>
      <c r="G745" s="193">
        <f>IF(_1_541284561214624104645789101745678[[#This Row],[Type]]&gt;0,VLOOKUP(_1_541284561214624104645789101745678[[#This Row],[Type]],Main[[#All],[TYPE]:[UNIT]],'Unit Price'!C$1,FALSE),0)</f>
        <v>0</v>
      </c>
      <c r="H745" s="197">
        <f>IF(_1_541284561214624104645789101745678[[#This Row],[Type]]&gt;0,VLOOKUP(_1_541284561214624104645789101745678[[#This Row],[Type]],Main[[#All],[TYPE]:[UNIT]],'Unit Price'!D$1,FALSE),0)</f>
        <v>0</v>
      </c>
      <c r="I745" s="194">
        <f>IF(_1_541284561214624104645789101745678[[#This Row],[Type]]&gt;0,VLOOKUP(_1_541284561214624104645789101745678[[#This Row],[Type]],Main[[#All],[TYPE]:[UNIT]],'Unit Price'!G$1,FALSE),0)</f>
        <v>0</v>
      </c>
      <c r="J745" s="194">
        <f>IF(_1_541284561214624104645789101745678[[#This Row],[Type]]&gt;0,VLOOKUP(_1_541284561214624104645789101745678[[#This Row],[Type]],Main[[#All],[TYPE]:[UNIT]],'Unit Price'!H$1,FALSE),0)</f>
        <v>0</v>
      </c>
      <c r="K745" s="194">
        <f>IF(_1_541284561214624104645789101745678[[#This Row],[Discount selection]]&gt;0,VLOOKUP(_1_541284561214624104645789101745678[[#This Row],[Discount selection]],'Discount Structure'!$A$2:$B$30,2,"false"),0)</f>
        <v>1</v>
      </c>
      <c r="L745" s="194">
        <f>_1_541284561214624104645789101745678[[#This Row],[LIST $]]*_1_541284561214624104645789101745678[[#This Row],[DISCOUNT]]*_1_541284561214624104645789101745678[[#This Row],[DISCOUNT 2]]</f>
        <v>0</v>
      </c>
      <c r="M745" s="194">
        <f>IF(OR(_1_541284561214624104645789101745678[[#This Row],[UNIT]]&gt;0,_1_541284561214624104645789101745678[[#This Row],[UNIT]]&lt;0),_1_541284561214624104645789101745678[[#This Row],[UNIT]]*_1_541284561214624104645789101745678[[#This Row],[COST]],0)</f>
        <v>0</v>
      </c>
      <c r="N745" s="194">
        <f t="shared" si="11"/>
        <v>1.3</v>
      </c>
      <c r="O745" s="198">
        <f>_1_541284561214624104645789101745678[[#This Row],[TOTAL]]*_1_541284561214624104645789101745678[[#This Row],[MARGIN]]</f>
        <v>0</v>
      </c>
      <c r="R745" s="41"/>
    </row>
    <row r="746" spans="4:18">
      <c r="D746" s="188"/>
      <c r="F746" s="168" t="s">
        <v>6202</v>
      </c>
      <c r="G746" s="193">
        <f>IF(_1_541284561214624104645789101745678[[#This Row],[Type]]&gt;0,VLOOKUP(_1_541284561214624104645789101745678[[#This Row],[Type]],Main[[#All],[TYPE]:[UNIT]],'Unit Price'!C$1,FALSE),0)</f>
        <v>0</v>
      </c>
      <c r="H746" s="197">
        <f>IF(_1_541284561214624104645789101745678[[#This Row],[Type]]&gt;0,VLOOKUP(_1_541284561214624104645789101745678[[#This Row],[Type]],Main[[#All],[TYPE]:[UNIT]],'Unit Price'!D$1,FALSE),0)</f>
        <v>0</v>
      </c>
      <c r="I746" s="194">
        <f>IF(_1_541284561214624104645789101745678[[#This Row],[Type]]&gt;0,VLOOKUP(_1_541284561214624104645789101745678[[#This Row],[Type]],Main[[#All],[TYPE]:[UNIT]],'Unit Price'!G$1,FALSE),0)</f>
        <v>0</v>
      </c>
      <c r="J746" s="194">
        <f>IF(_1_541284561214624104645789101745678[[#This Row],[Type]]&gt;0,VLOOKUP(_1_541284561214624104645789101745678[[#This Row],[Type]],Main[[#All],[TYPE]:[UNIT]],'Unit Price'!H$1,FALSE),0)</f>
        <v>0</v>
      </c>
      <c r="K746" s="194">
        <f>IF(_1_541284561214624104645789101745678[[#This Row],[Discount selection]]&gt;0,VLOOKUP(_1_541284561214624104645789101745678[[#This Row],[Discount selection]],'Discount Structure'!$A$2:$B$30,2,"false"),0)</f>
        <v>1</v>
      </c>
      <c r="L746" s="194">
        <f>_1_541284561214624104645789101745678[[#This Row],[LIST $]]*_1_541284561214624104645789101745678[[#This Row],[DISCOUNT]]*_1_541284561214624104645789101745678[[#This Row],[DISCOUNT 2]]</f>
        <v>0</v>
      </c>
      <c r="M746" s="194">
        <f>IF(OR(_1_541284561214624104645789101745678[[#This Row],[UNIT]]&gt;0,_1_541284561214624104645789101745678[[#This Row],[UNIT]]&lt;0),_1_541284561214624104645789101745678[[#This Row],[UNIT]]*_1_541284561214624104645789101745678[[#This Row],[COST]],0)</f>
        <v>0</v>
      </c>
      <c r="N746" s="194">
        <f t="shared" si="11"/>
        <v>1.3</v>
      </c>
      <c r="O746" s="198">
        <f>_1_541284561214624104645789101745678[[#This Row],[TOTAL]]*_1_541284561214624104645789101745678[[#This Row],[MARGIN]]</f>
        <v>0</v>
      </c>
      <c r="R746" s="41"/>
    </row>
    <row r="747" spans="4:18">
      <c r="D747" s="188"/>
      <c r="F747" s="168" t="s">
        <v>6202</v>
      </c>
      <c r="G747" s="193">
        <f>IF(_1_541284561214624104645789101745678[[#This Row],[Type]]&gt;0,VLOOKUP(_1_541284561214624104645789101745678[[#This Row],[Type]],Main[[#All],[TYPE]:[UNIT]],'Unit Price'!C$1,FALSE),0)</f>
        <v>0</v>
      </c>
      <c r="H747" s="197">
        <f>IF(_1_541284561214624104645789101745678[[#This Row],[Type]]&gt;0,VLOOKUP(_1_541284561214624104645789101745678[[#This Row],[Type]],Main[[#All],[TYPE]:[UNIT]],'Unit Price'!D$1,FALSE),0)</f>
        <v>0</v>
      </c>
      <c r="I747" s="194">
        <f>IF(_1_541284561214624104645789101745678[[#This Row],[Type]]&gt;0,VLOOKUP(_1_541284561214624104645789101745678[[#This Row],[Type]],Main[[#All],[TYPE]:[UNIT]],'Unit Price'!G$1,FALSE),0)</f>
        <v>0</v>
      </c>
      <c r="J747" s="194">
        <f>IF(_1_541284561214624104645789101745678[[#This Row],[Type]]&gt;0,VLOOKUP(_1_541284561214624104645789101745678[[#This Row],[Type]],Main[[#All],[TYPE]:[UNIT]],'Unit Price'!H$1,FALSE),0)</f>
        <v>0</v>
      </c>
      <c r="K747" s="194">
        <f>IF(_1_541284561214624104645789101745678[[#This Row],[Discount selection]]&gt;0,VLOOKUP(_1_541284561214624104645789101745678[[#This Row],[Discount selection]],'Discount Structure'!$A$2:$B$30,2,"false"),0)</f>
        <v>1</v>
      </c>
      <c r="L747" s="194">
        <f>_1_541284561214624104645789101745678[[#This Row],[LIST $]]*_1_541284561214624104645789101745678[[#This Row],[DISCOUNT]]*_1_541284561214624104645789101745678[[#This Row],[DISCOUNT 2]]</f>
        <v>0</v>
      </c>
      <c r="M747" s="194">
        <f>IF(OR(_1_541284561214624104645789101745678[[#This Row],[UNIT]]&gt;0,_1_541284561214624104645789101745678[[#This Row],[UNIT]]&lt;0),_1_541284561214624104645789101745678[[#This Row],[UNIT]]*_1_541284561214624104645789101745678[[#This Row],[COST]],0)</f>
        <v>0</v>
      </c>
      <c r="N747" s="194">
        <f t="shared" si="11"/>
        <v>1.3</v>
      </c>
      <c r="O747" s="198">
        <f>_1_541284561214624104645789101745678[[#This Row],[TOTAL]]*_1_541284561214624104645789101745678[[#This Row],[MARGIN]]</f>
        <v>0</v>
      </c>
      <c r="R747" s="41"/>
    </row>
    <row r="748" spans="4:18">
      <c r="D748" s="188"/>
      <c r="F748" s="168" t="s">
        <v>6202</v>
      </c>
      <c r="G748" s="193">
        <f>IF(_1_541284561214624104645789101745678[[#This Row],[Type]]&gt;0,VLOOKUP(_1_541284561214624104645789101745678[[#This Row],[Type]],Main[[#All],[TYPE]:[UNIT]],'Unit Price'!C$1,FALSE),0)</f>
        <v>0</v>
      </c>
      <c r="H748" s="197">
        <f>IF(_1_541284561214624104645789101745678[[#This Row],[Type]]&gt;0,VLOOKUP(_1_541284561214624104645789101745678[[#This Row],[Type]],Main[[#All],[TYPE]:[UNIT]],'Unit Price'!D$1,FALSE),0)</f>
        <v>0</v>
      </c>
      <c r="I748" s="194">
        <f>IF(_1_541284561214624104645789101745678[[#This Row],[Type]]&gt;0,VLOOKUP(_1_541284561214624104645789101745678[[#This Row],[Type]],Main[[#All],[TYPE]:[UNIT]],'Unit Price'!G$1,FALSE),0)</f>
        <v>0</v>
      </c>
      <c r="J748" s="194">
        <f>IF(_1_541284561214624104645789101745678[[#This Row],[Type]]&gt;0,VLOOKUP(_1_541284561214624104645789101745678[[#This Row],[Type]],Main[[#All],[TYPE]:[UNIT]],'Unit Price'!H$1,FALSE),0)</f>
        <v>0</v>
      </c>
      <c r="K748" s="194">
        <f>IF(_1_541284561214624104645789101745678[[#This Row],[Discount selection]]&gt;0,VLOOKUP(_1_541284561214624104645789101745678[[#This Row],[Discount selection]],'Discount Structure'!$A$2:$B$30,2,"false"),0)</f>
        <v>1</v>
      </c>
      <c r="L748" s="194">
        <f>_1_541284561214624104645789101745678[[#This Row],[LIST $]]*_1_541284561214624104645789101745678[[#This Row],[DISCOUNT]]*_1_541284561214624104645789101745678[[#This Row],[DISCOUNT 2]]</f>
        <v>0</v>
      </c>
      <c r="M748" s="194">
        <f>IF(OR(_1_541284561214624104645789101745678[[#This Row],[UNIT]]&gt;0,_1_541284561214624104645789101745678[[#This Row],[UNIT]]&lt;0),_1_541284561214624104645789101745678[[#This Row],[UNIT]]*_1_541284561214624104645789101745678[[#This Row],[COST]],0)</f>
        <v>0</v>
      </c>
      <c r="N748" s="194">
        <f t="shared" si="11"/>
        <v>1.3</v>
      </c>
      <c r="O748" s="198">
        <f>_1_541284561214624104645789101745678[[#This Row],[TOTAL]]*_1_541284561214624104645789101745678[[#This Row],[MARGIN]]</f>
        <v>0</v>
      </c>
      <c r="R748" s="41"/>
    </row>
    <row r="749" spans="4:18">
      <c r="D749" s="188"/>
      <c r="F749" s="168" t="s">
        <v>6202</v>
      </c>
      <c r="G749" s="193">
        <f>IF(_1_541284561214624104645789101745678[[#This Row],[Type]]&gt;0,VLOOKUP(_1_541284561214624104645789101745678[[#This Row],[Type]],Main[[#All],[TYPE]:[UNIT]],'Unit Price'!C$1,FALSE),0)</f>
        <v>0</v>
      </c>
      <c r="H749" s="197">
        <f>IF(_1_541284561214624104645789101745678[[#This Row],[Type]]&gt;0,VLOOKUP(_1_541284561214624104645789101745678[[#This Row],[Type]],Main[[#All],[TYPE]:[UNIT]],'Unit Price'!D$1,FALSE),0)</f>
        <v>0</v>
      </c>
      <c r="I749" s="194">
        <f>IF(_1_541284561214624104645789101745678[[#This Row],[Type]]&gt;0,VLOOKUP(_1_541284561214624104645789101745678[[#This Row],[Type]],Main[[#All],[TYPE]:[UNIT]],'Unit Price'!G$1,FALSE),0)</f>
        <v>0</v>
      </c>
      <c r="J749" s="194">
        <f>IF(_1_541284561214624104645789101745678[[#This Row],[Type]]&gt;0,VLOOKUP(_1_541284561214624104645789101745678[[#This Row],[Type]],Main[[#All],[TYPE]:[UNIT]],'Unit Price'!H$1,FALSE),0)</f>
        <v>0</v>
      </c>
      <c r="K749" s="194">
        <f>IF(_1_541284561214624104645789101745678[[#This Row],[Discount selection]]&gt;0,VLOOKUP(_1_541284561214624104645789101745678[[#This Row],[Discount selection]],'Discount Structure'!$A$2:$B$30,2,"false"),0)</f>
        <v>1</v>
      </c>
      <c r="L749" s="194">
        <f>_1_541284561214624104645789101745678[[#This Row],[LIST $]]*_1_541284561214624104645789101745678[[#This Row],[DISCOUNT]]*_1_541284561214624104645789101745678[[#This Row],[DISCOUNT 2]]</f>
        <v>0</v>
      </c>
      <c r="M749" s="194">
        <f>IF(OR(_1_541284561214624104645789101745678[[#This Row],[UNIT]]&gt;0,_1_541284561214624104645789101745678[[#This Row],[UNIT]]&lt;0),_1_541284561214624104645789101745678[[#This Row],[UNIT]]*_1_541284561214624104645789101745678[[#This Row],[COST]],0)</f>
        <v>0</v>
      </c>
      <c r="N749" s="194">
        <f t="shared" si="11"/>
        <v>1.3</v>
      </c>
      <c r="O749" s="198">
        <f>_1_541284561214624104645789101745678[[#This Row],[TOTAL]]*_1_541284561214624104645789101745678[[#This Row],[MARGIN]]</f>
        <v>0</v>
      </c>
      <c r="R749" s="41"/>
    </row>
    <row r="750" spans="4:18">
      <c r="D750" s="188"/>
      <c r="F750" s="168" t="s">
        <v>6202</v>
      </c>
      <c r="G750" s="193">
        <f>IF(_1_541284561214624104645789101745678[[#This Row],[Type]]&gt;0,VLOOKUP(_1_541284561214624104645789101745678[[#This Row],[Type]],Main[[#All],[TYPE]:[UNIT]],'Unit Price'!C$1,FALSE),0)</f>
        <v>0</v>
      </c>
      <c r="H750" s="197">
        <f>IF(_1_541284561214624104645789101745678[[#This Row],[Type]]&gt;0,VLOOKUP(_1_541284561214624104645789101745678[[#This Row],[Type]],Main[[#All],[TYPE]:[UNIT]],'Unit Price'!D$1,FALSE),0)</f>
        <v>0</v>
      </c>
      <c r="I750" s="194">
        <f>IF(_1_541284561214624104645789101745678[[#This Row],[Type]]&gt;0,VLOOKUP(_1_541284561214624104645789101745678[[#This Row],[Type]],Main[[#All],[TYPE]:[UNIT]],'Unit Price'!G$1,FALSE),0)</f>
        <v>0</v>
      </c>
      <c r="J750" s="194">
        <f>IF(_1_541284561214624104645789101745678[[#This Row],[Type]]&gt;0,VLOOKUP(_1_541284561214624104645789101745678[[#This Row],[Type]],Main[[#All],[TYPE]:[UNIT]],'Unit Price'!H$1,FALSE),0)</f>
        <v>0</v>
      </c>
      <c r="K750" s="194">
        <f>IF(_1_541284561214624104645789101745678[[#This Row],[Discount selection]]&gt;0,VLOOKUP(_1_541284561214624104645789101745678[[#This Row],[Discount selection]],'Discount Structure'!$A$2:$B$30,2,"false"),0)</f>
        <v>1</v>
      </c>
      <c r="L750" s="194">
        <f>_1_541284561214624104645789101745678[[#This Row],[LIST $]]*_1_541284561214624104645789101745678[[#This Row],[DISCOUNT]]*_1_541284561214624104645789101745678[[#This Row],[DISCOUNT 2]]</f>
        <v>0</v>
      </c>
      <c r="M750" s="194">
        <f>IF(OR(_1_541284561214624104645789101745678[[#This Row],[UNIT]]&gt;0,_1_541284561214624104645789101745678[[#This Row],[UNIT]]&lt;0),_1_541284561214624104645789101745678[[#This Row],[UNIT]]*_1_541284561214624104645789101745678[[#This Row],[COST]],0)</f>
        <v>0</v>
      </c>
      <c r="N750" s="194">
        <f t="shared" si="11"/>
        <v>1.3</v>
      </c>
      <c r="O750" s="198">
        <f>_1_541284561214624104645789101745678[[#This Row],[TOTAL]]*_1_541284561214624104645789101745678[[#This Row],[MARGIN]]</f>
        <v>0</v>
      </c>
      <c r="R750" s="41"/>
    </row>
    <row r="751" spans="4:18">
      <c r="D751" s="188"/>
      <c r="F751" s="168" t="s">
        <v>6202</v>
      </c>
      <c r="G751" s="193">
        <f>IF(_1_541284561214624104645789101745678[[#This Row],[Type]]&gt;0,VLOOKUP(_1_541284561214624104645789101745678[[#This Row],[Type]],Main[[#All],[TYPE]:[UNIT]],'Unit Price'!C$1,FALSE),0)</f>
        <v>0</v>
      </c>
      <c r="H751" s="197">
        <f>IF(_1_541284561214624104645789101745678[[#This Row],[Type]]&gt;0,VLOOKUP(_1_541284561214624104645789101745678[[#This Row],[Type]],Main[[#All],[TYPE]:[UNIT]],'Unit Price'!D$1,FALSE),0)</f>
        <v>0</v>
      </c>
      <c r="I751" s="194">
        <f>IF(_1_541284561214624104645789101745678[[#This Row],[Type]]&gt;0,VLOOKUP(_1_541284561214624104645789101745678[[#This Row],[Type]],Main[[#All],[TYPE]:[UNIT]],'Unit Price'!G$1,FALSE),0)</f>
        <v>0</v>
      </c>
      <c r="J751" s="194">
        <f>IF(_1_541284561214624104645789101745678[[#This Row],[Type]]&gt;0,VLOOKUP(_1_541284561214624104645789101745678[[#This Row],[Type]],Main[[#All],[TYPE]:[UNIT]],'Unit Price'!H$1,FALSE),0)</f>
        <v>0</v>
      </c>
      <c r="K751" s="194">
        <f>IF(_1_541284561214624104645789101745678[[#This Row],[Discount selection]]&gt;0,VLOOKUP(_1_541284561214624104645789101745678[[#This Row],[Discount selection]],'Discount Structure'!$A$2:$B$30,2,"false"),0)</f>
        <v>1</v>
      </c>
      <c r="L751" s="194">
        <f>_1_541284561214624104645789101745678[[#This Row],[LIST $]]*_1_541284561214624104645789101745678[[#This Row],[DISCOUNT]]*_1_541284561214624104645789101745678[[#This Row],[DISCOUNT 2]]</f>
        <v>0</v>
      </c>
      <c r="M751" s="194">
        <f>IF(OR(_1_541284561214624104645789101745678[[#This Row],[UNIT]]&gt;0,_1_541284561214624104645789101745678[[#This Row],[UNIT]]&lt;0),_1_541284561214624104645789101745678[[#This Row],[UNIT]]*_1_541284561214624104645789101745678[[#This Row],[COST]],0)</f>
        <v>0</v>
      </c>
      <c r="N751" s="194">
        <f t="shared" si="11"/>
        <v>1.3</v>
      </c>
      <c r="O751" s="198">
        <f>_1_541284561214624104645789101745678[[#This Row],[TOTAL]]*_1_541284561214624104645789101745678[[#This Row],[MARGIN]]</f>
        <v>0</v>
      </c>
      <c r="R751" s="41"/>
    </row>
    <row r="752" spans="4:18">
      <c r="D752" s="188"/>
      <c r="F752" s="168" t="s">
        <v>6202</v>
      </c>
      <c r="G752" s="193">
        <f>IF(_1_541284561214624104645789101745678[[#This Row],[Type]]&gt;0,VLOOKUP(_1_541284561214624104645789101745678[[#This Row],[Type]],Main[[#All],[TYPE]:[UNIT]],'Unit Price'!C$1,FALSE),0)</f>
        <v>0</v>
      </c>
      <c r="H752" s="197">
        <f>IF(_1_541284561214624104645789101745678[[#This Row],[Type]]&gt;0,VLOOKUP(_1_541284561214624104645789101745678[[#This Row],[Type]],Main[[#All],[TYPE]:[UNIT]],'Unit Price'!D$1,FALSE),0)</f>
        <v>0</v>
      </c>
      <c r="I752" s="194">
        <f>IF(_1_541284561214624104645789101745678[[#This Row],[Type]]&gt;0,VLOOKUP(_1_541284561214624104645789101745678[[#This Row],[Type]],Main[[#All],[TYPE]:[UNIT]],'Unit Price'!G$1,FALSE),0)</f>
        <v>0</v>
      </c>
      <c r="J752" s="194">
        <f>IF(_1_541284561214624104645789101745678[[#This Row],[Type]]&gt;0,VLOOKUP(_1_541284561214624104645789101745678[[#This Row],[Type]],Main[[#All],[TYPE]:[UNIT]],'Unit Price'!H$1,FALSE),0)</f>
        <v>0</v>
      </c>
      <c r="K752" s="194">
        <f>IF(_1_541284561214624104645789101745678[[#This Row],[Discount selection]]&gt;0,VLOOKUP(_1_541284561214624104645789101745678[[#This Row],[Discount selection]],'Discount Structure'!$A$2:$B$30,2,"false"),0)</f>
        <v>1</v>
      </c>
      <c r="L752" s="194">
        <f>_1_541284561214624104645789101745678[[#This Row],[LIST $]]*_1_541284561214624104645789101745678[[#This Row],[DISCOUNT]]*_1_541284561214624104645789101745678[[#This Row],[DISCOUNT 2]]</f>
        <v>0</v>
      </c>
      <c r="M752" s="194">
        <f>IF(OR(_1_541284561214624104645789101745678[[#This Row],[UNIT]]&gt;0,_1_541284561214624104645789101745678[[#This Row],[UNIT]]&lt;0),_1_541284561214624104645789101745678[[#This Row],[UNIT]]*_1_541284561214624104645789101745678[[#This Row],[COST]],0)</f>
        <v>0</v>
      </c>
      <c r="N752" s="194">
        <f t="shared" si="11"/>
        <v>1.3</v>
      </c>
      <c r="O752" s="198">
        <f>_1_541284561214624104645789101745678[[#This Row],[TOTAL]]*_1_541284561214624104645789101745678[[#This Row],[MARGIN]]</f>
        <v>0</v>
      </c>
      <c r="R752" s="41"/>
    </row>
    <row r="753" spans="4:18">
      <c r="D753" s="188"/>
      <c r="F753" s="168" t="s">
        <v>6202</v>
      </c>
      <c r="G753" s="193">
        <f>IF(_1_541284561214624104645789101745678[[#This Row],[Type]]&gt;0,VLOOKUP(_1_541284561214624104645789101745678[[#This Row],[Type]],Main[[#All],[TYPE]:[UNIT]],'Unit Price'!C$1,FALSE),0)</f>
        <v>0</v>
      </c>
      <c r="H753" s="197">
        <f>IF(_1_541284561214624104645789101745678[[#This Row],[Type]]&gt;0,VLOOKUP(_1_541284561214624104645789101745678[[#This Row],[Type]],Main[[#All],[TYPE]:[UNIT]],'Unit Price'!D$1,FALSE),0)</f>
        <v>0</v>
      </c>
      <c r="I753" s="194">
        <f>IF(_1_541284561214624104645789101745678[[#This Row],[Type]]&gt;0,VLOOKUP(_1_541284561214624104645789101745678[[#This Row],[Type]],Main[[#All],[TYPE]:[UNIT]],'Unit Price'!G$1,FALSE),0)</f>
        <v>0</v>
      </c>
      <c r="J753" s="194">
        <f>IF(_1_541284561214624104645789101745678[[#This Row],[Type]]&gt;0,VLOOKUP(_1_541284561214624104645789101745678[[#This Row],[Type]],Main[[#All],[TYPE]:[UNIT]],'Unit Price'!H$1,FALSE),0)</f>
        <v>0</v>
      </c>
      <c r="K753" s="194">
        <f>IF(_1_541284561214624104645789101745678[[#This Row],[Discount selection]]&gt;0,VLOOKUP(_1_541284561214624104645789101745678[[#This Row],[Discount selection]],'Discount Structure'!$A$2:$B$30,2,"false"),0)</f>
        <v>1</v>
      </c>
      <c r="L753" s="194">
        <f>_1_541284561214624104645789101745678[[#This Row],[LIST $]]*_1_541284561214624104645789101745678[[#This Row],[DISCOUNT]]*_1_541284561214624104645789101745678[[#This Row],[DISCOUNT 2]]</f>
        <v>0</v>
      </c>
      <c r="M753" s="194">
        <f>IF(OR(_1_541284561214624104645789101745678[[#This Row],[UNIT]]&gt;0,_1_541284561214624104645789101745678[[#This Row],[UNIT]]&lt;0),_1_541284561214624104645789101745678[[#This Row],[UNIT]]*_1_541284561214624104645789101745678[[#This Row],[COST]],0)</f>
        <v>0</v>
      </c>
      <c r="N753" s="194">
        <f t="shared" si="11"/>
        <v>1.3</v>
      </c>
      <c r="O753" s="198">
        <f>_1_541284561214624104645789101745678[[#This Row],[TOTAL]]*_1_541284561214624104645789101745678[[#This Row],[MARGIN]]</f>
        <v>0</v>
      </c>
      <c r="R753" s="41"/>
    </row>
    <row r="754" spans="4:18">
      <c r="D754" s="188"/>
      <c r="F754" s="168" t="s">
        <v>6202</v>
      </c>
      <c r="G754" s="193">
        <f>IF(_1_541284561214624104645789101745678[[#This Row],[Type]]&gt;0,VLOOKUP(_1_541284561214624104645789101745678[[#This Row],[Type]],Main[[#All],[TYPE]:[UNIT]],'Unit Price'!C$1,FALSE),0)</f>
        <v>0</v>
      </c>
      <c r="H754" s="197">
        <f>IF(_1_541284561214624104645789101745678[[#This Row],[Type]]&gt;0,VLOOKUP(_1_541284561214624104645789101745678[[#This Row],[Type]],Main[[#All],[TYPE]:[UNIT]],'Unit Price'!D$1,FALSE),0)</f>
        <v>0</v>
      </c>
      <c r="I754" s="194">
        <f>IF(_1_541284561214624104645789101745678[[#This Row],[Type]]&gt;0,VLOOKUP(_1_541284561214624104645789101745678[[#This Row],[Type]],Main[[#All],[TYPE]:[UNIT]],'Unit Price'!G$1,FALSE),0)</f>
        <v>0</v>
      </c>
      <c r="J754" s="194">
        <f>IF(_1_541284561214624104645789101745678[[#This Row],[Type]]&gt;0,VLOOKUP(_1_541284561214624104645789101745678[[#This Row],[Type]],Main[[#All],[TYPE]:[UNIT]],'Unit Price'!H$1,FALSE),0)</f>
        <v>0</v>
      </c>
      <c r="K754" s="194">
        <f>IF(_1_541284561214624104645789101745678[[#This Row],[Discount selection]]&gt;0,VLOOKUP(_1_541284561214624104645789101745678[[#This Row],[Discount selection]],'Discount Structure'!$A$2:$B$30,2,"false"),0)</f>
        <v>1</v>
      </c>
      <c r="L754" s="194">
        <f>_1_541284561214624104645789101745678[[#This Row],[LIST $]]*_1_541284561214624104645789101745678[[#This Row],[DISCOUNT]]*_1_541284561214624104645789101745678[[#This Row],[DISCOUNT 2]]</f>
        <v>0</v>
      </c>
      <c r="M754" s="194">
        <f>IF(OR(_1_541284561214624104645789101745678[[#This Row],[UNIT]]&gt;0,_1_541284561214624104645789101745678[[#This Row],[UNIT]]&lt;0),_1_541284561214624104645789101745678[[#This Row],[UNIT]]*_1_541284561214624104645789101745678[[#This Row],[COST]],0)</f>
        <v>0</v>
      </c>
      <c r="N754" s="194">
        <f t="shared" si="11"/>
        <v>1.3</v>
      </c>
      <c r="O754" s="198">
        <f>_1_541284561214624104645789101745678[[#This Row],[TOTAL]]*_1_541284561214624104645789101745678[[#This Row],[MARGIN]]</f>
        <v>0</v>
      </c>
      <c r="R754" s="41"/>
    </row>
    <row r="755" spans="4:18">
      <c r="D755" s="188"/>
      <c r="F755" s="168" t="s">
        <v>6202</v>
      </c>
      <c r="G755" s="193">
        <f>IF(_1_541284561214624104645789101745678[[#This Row],[Type]]&gt;0,VLOOKUP(_1_541284561214624104645789101745678[[#This Row],[Type]],Main[[#All],[TYPE]:[UNIT]],'Unit Price'!C$1,FALSE),0)</f>
        <v>0</v>
      </c>
      <c r="H755" s="197">
        <f>IF(_1_541284561214624104645789101745678[[#This Row],[Type]]&gt;0,VLOOKUP(_1_541284561214624104645789101745678[[#This Row],[Type]],Main[[#All],[TYPE]:[UNIT]],'Unit Price'!D$1,FALSE),0)</f>
        <v>0</v>
      </c>
      <c r="I755" s="194">
        <f>IF(_1_541284561214624104645789101745678[[#This Row],[Type]]&gt;0,VLOOKUP(_1_541284561214624104645789101745678[[#This Row],[Type]],Main[[#All],[TYPE]:[UNIT]],'Unit Price'!G$1,FALSE),0)</f>
        <v>0</v>
      </c>
      <c r="J755" s="194">
        <f>IF(_1_541284561214624104645789101745678[[#This Row],[Type]]&gt;0,VLOOKUP(_1_541284561214624104645789101745678[[#This Row],[Type]],Main[[#All],[TYPE]:[UNIT]],'Unit Price'!H$1,FALSE),0)</f>
        <v>0</v>
      </c>
      <c r="K755" s="194">
        <f>IF(_1_541284561214624104645789101745678[[#This Row],[Discount selection]]&gt;0,VLOOKUP(_1_541284561214624104645789101745678[[#This Row],[Discount selection]],'Discount Structure'!$A$2:$B$30,2,"false"),0)</f>
        <v>1</v>
      </c>
      <c r="L755" s="194">
        <f>_1_541284561214624104645789101745678[[#This Row],[LIST $]]*_1_541284561214624104645789101745678[[#This Row],[DISCOUNT]]*_1_541284561214624104645789101745678[[#This Row],[DISCOUNT 2]]</f>
        <v>0</v>
      </c>
      <c r="M755" s="194">
        <f>IF(OR(_1_541284561214624104645789101745678[[#This Row],[UNIT]]&gt;0,_1_541284561214624104645789101745678[[#This Row],[UNIT]]&lt;0),_1_541284561214624104645789101745678[[#This Row],[UNIT]]*_1_541284561214624104645789101745678[[#This Row],[COST]],0)</f>
        <v>0</v>
      </c>
      <c r="N755" s="194">
        <f t="shared" si="11"/>
        <v>1.3</v>
      </c>
      <c r="O755" s="198">
        <f>_1_541284561214624104645789101745678[[#This Row],[TOTAL]]*_1_541284561214624104645789101745678[[#This Row],[MARGIN]]</f>
        <v>0</v>
      </c>
      <c r="R755" s="41"/>
    </row>
    <row r="756" spans="4:18">
      <c r="D756" s="188"/>
      <c r="F756" s="168" t="s">
        <v>6202</v>
      </c>
      <c r="G756" s="193">
        <f>IF(_1_541284561214624104645789101745678[[#This Row],[Type]]&gt;0,VLOOKUP(_1_541284561214624104645789101745678[[#This Row],[Type]],Main[[#All],[TYPE]:[UNIT]],'Unit Price'!C$1,FALSE),0)</f>
        <v>0</v>
      </c>
      <c r="H756" s="197">
        <f>IF(_1_541284561214624104645789101745678[[#This Row],[Type]]&gt;0,VLOOKUP(_1_541284561214624104645789101745678[[#This Row],[Type]],Main[[#All],[TYPE]:[UNIT]],'Unit Price'!D$1,FALSE),0)</f>
        <v>0</v>
      </c>
      <c r="I756" s="194">
        <f>IF(_1_541284561214624104645789101745678[[#This Row],[Type]]&gt;0,VLOOKUP(_1_541284561214624104645789101745678[[#This Row],[Type]],Main[[#All],[TYPE]:[UNIT]],'Unit Price'!G$1,FALSE),0)</f>
        <v>0</v>
      </c>
      <c r="J756" s="194">
        <f>IF(_1_541284561214624104645789101745678[[#This Row],[Type]]&gt;0,VLOOKUP(_1_541284561214624104645789101745678[[#This Row],[Type]],Main[[#All],[TYPE]:[UNIT]],'Unit Price'!H$1,FALSE),0)</f>
        <v>0</v>
      </c>
      <c r="K756" s="194">
        <f>IF(_1_541284561214624104645789101745678[[#This Row],[Discount selection]]&gt;0,VLOOKUP(_1_541284561214624104645789101745678[[#This Row],[Discount selection]],'Discount Structure'!$A$2:$B$30,2,"false"),0)</f>
        <v>1</v>
      </c>
      <c r="L756" s="194">
        <f>_1_541284561214624104645789101745678[[#This Row],[LIST $]]*_1_541284561214624104645789101745678[[#This Row],[DISCOUNT]]*_1_541284561214624104645789101745678[[#This Row],[DISCOUNT 2]]</f>
        <v>0</v>
      </c>
      <c r="M756" s="194">
        <f>IF(OR(_1_541284561214624104645789101745678[[#This Row],[UNIT]]&gt;0,_1_541284561214624104645789101745678[[#This Row],[UNIT]]&lt;0),_1_541284561214624104645789101745678[[#This Row],[UNIT]]*_1_541284561214624104645789101745678[[#This Row],[COST]],0)</f>
        <v>0</v>
      </c>
      <c r="N756" s="194">
        <f t="shared" si="11"/>
        <v>1.3</v>
      </c>
      <c r="O756" s="198">
        <f>_1_541284561214624104645789101745678[[#This Row],[TOTAL]]*_1_541284561214624104645789101745678[[#This Row],[MARGIN]]</f>
        <v>0</v>
      </c>
      <c r="R756" s="41"/>
    </row>
    <row r="757" spans="4:18">
      <c r="D757" s="188"/>
      <c r="F757" s="168" t="s">
        <v>6202</v>
      </c>
      <c r="G757" s="193">
        <f>IF(_1_541284561214624104645789101745678[[#This Row],[Type]]&gt;0,VLOOKUP(_1_541284561214624104645789101745678[[#This Row],[Type]],Main[[#All],[TYPE]:[UNIT]],'Unit Price'!C$1,FALSE),0)</f>
        <v>0</v>
      </c>
      <c r="H757" s="197">
        <f>IF(_1_541284561214624104645789101745678[[#This Row],[Type]]&gt;0,VLOOKUP(_1_541284561214624104645789101745678[[#This Row],[Type]],Main[[#All],[TYPE]:[UNIT]],'Unit Price'!D$1,FALSE),0)</f>
        <v>0</v>
      </c>
      <c r="I757" s="194">
        <f>IF(_1_541284561214624104645789101745678[[#This Row],[Type]]&gt;0,VLOOKUP(_1_541284561214624104645789101745678[[#This Row],[Type]],Main[[#All],[TYPE]:[UNIT]],'Unit Price'!G$1,FALSE),0)</f>
        <v>0</v>
      </c>
      <c r="J757" s="194">
        <f>IF(_1_541284561214624104645789101745678[[#This Row],[Type]]&gt;0,VLOOKUP(_1_541284561214624104645789101745678[[#This Row],[Type]],Main[[#All],[TYPE]:[UNIT]],'Unit Price'!H$1,FALSE),0)</f>
        <v>0</v>
      </c>
      <c r="K757" s="194">
        <f>IF(_1_541284561214624104645789101745678[[#This Row],[Discount selection]]&gt;0,VLOOKUP(_1_541284561214624104645789101745678[[#This Row],[Discount selection]],'Discount Structure'!$A$2:$B$30,2,"false"),0)</f>
        <v>1</v>
      </c>
      <c r="L757" s="194">
        <f>_1_541284561214624104645789101745678[[#This Row],[LIST $]]*_1_541284561214624104645789101745678[[#This Row],[DISCOUNT]]*_1_541284561214624104645789101745678[[#This Row],[DISCOUNT 2]]</f>
        <v>0</v>
      </c>
      <c r="M757" s="194">
        <f>IF(OR(_1_541284561214624104645789101745678[[#This Row],[UNIT]]&gt;0,_1_541284561214624104645789101745678[[#This Row],[UNIT]]&lt;0),_1_541284561214624104645789101745678[[#This Row],[UNIT]]*_1_541284561214624104645789101745678[[#This Row],[COST]],0)</f>
        <v>0</v>
      </c>
      <c r="N757" s="194">
        <f t="shared" si="11"/>
        <v>1.3</v>
      </c>
      <c r="O757" s="198">
        <f>_1_541284561214624104645789101745678[[#This Row],[TOTAL]]*_1_541284561214624104645789101745678[[#This Row],[MARGIN]]</f>
        <v>0</v>
      </c>
      <c r="R757" s="41"/>
    </row>
    <row r="758" spans="4:18">
      <c r="D758" s="188"/>
      <c r="F758" s="168" t="s">
        <v>6202</v>
      </c>
      <c r="G758" s="193">
        <f>IF(_1_541284561214624104645789101745678[[#This Row],[Type]]&gt;0,VLOOKUP(_1_541284561214624104645789101745678[[#This Row],[Type]],Main[[#All],[TYPE]:[UNIT]],'Unit Price'!C$1,FALSE),0)</f>
        <v>0</v>
      </c>
      <c r="H758" s="197">
        <f>IF(_1_541284561214624104645789101745678[[#This Row],[Type]]&gt;0,VLOOKUP(_1_541284561214624104645789101745678[[#This Row],[Type]],Main[[#All],[TYPE]:[UNIT]],'Unit Price'!D$1,FALSE),0)</f>
        <v>0</v>
      </c>
      <c r="I758" s="194">
        <f>IF(_1_541284561214624104645789101745678[[#This Row],[Type]]&gt;0,VLOOKUP(_1_541284561214624104645789101745678[[#This Row],[Type]],Main[[#All],[TYPE]:[UNIT]],'Unit Price'!G$1,FALSE),0)</f>
        <v>0</v>
      </c>
      <c r="J758" s="194">
        <f>IF(_1_541284561214624104645789101745678[[#This Row],[Type]]&gt;0,VLOOKUP(_1_541284561214624104645789101745678[[#This Row],[Type]],Main[[#All],[TYPE]:[UNIT]],'Unit Price'!H$1,FALSE),0)</f>
        <v>0</v>
      </c>
      <c r="K758" s="194">
        <f>IF(_1_541284561214624104645789101745678[[#This Row],[Discount selection]]&gt;0,VLOOKUP(_1_541284561214624104645789101745678[[#This Row],[Discount selection]],'Discount Structure'!$A$2:$B$30,2,"false"),0)</f>
        <v>1</v>
      </c>
      <c r="L758" s="194">
        <f>_1_541284561214624104645789101745678[[#This Row],[LIST $]]*_1_541284561214624104645789101745678[[#This Row],[DISCOUNT]]*_1_541284561214624104645789101745678[[#This Row],[DISCOUNT 2]]</f>
        <v>0</v>
      </c>
      <c r="M758" s="194">
        <f>IF(OR(_1_541284561214624104645789101745678[[#This Row],[UNIT]]&gt;0,_1_541284561214624104645789101745678[[#This Row],[UNIT]]&lt;0),_1_541284561214624104645789101745678[[#This Row],[UNIT]]*_1_541284561214624104645789101745678[[#This Row],[COST]],0)</f>
        <v>0</v>
      </c>
      <c r="N758" s="194">
        <f t="shared" si="11"/>
        <v>1.3</v>
      </c>
      <c r="O758" s="198">
        <f>_1_541284561214624104645789101745678[[#This Row],[TOTAL]]*_1_541284561214624104645789101745678[[#This Row],[MARGIN]]</f>
        <v>0</v>
      </c>
      <c r="R758" s="41"/>
    </row>
    <row r="759" spans="4:18">
      <c r="D759" s="188"/>
      <c r="F759" s="168" t="s">
        <v>6202</v>
      </c>
      <c r="G759" s="193">
        <f>IF(_1_541284561214624104645789101745678[[#This Row],[Type]]&gt;0,VLOOKUP(_1_541284561214624104645789101745678[[#This Row],[Type]],Main[[#All],[TYPE]:[UNIT]],'Unit Price'!C$1,FALSE),0)</f>
        <v>0</v>
      </c>
      <c r="H759" s="197">
        <f>IF(_1_541284561214624104645789101745678[[#This Row],[Type]]&gt;0,VLOOKUP(_1_541284561214624104645789101745678[[#This Row],[Type]],Main[[#All],[TYPE]:[UNIT]],'Unit Price'!D$1,FALSE),0)</f>
        <v>0</v>
      </c>
      <c r="I759" s="194">
        <f>IF(_1_541284561214624104645789101745678[[#This Row],[Type]]&gt;0,VLOOKUP(_1_541284561214624104645789101745678[[#This Row],[Type]],Main[[#All],[TYPE]:[UNIT]],'Unit Price'!G$1,FALSE),0)</f>
        <v>0</v>
      </c>
      <c r="J759" s="194">
        <f>IF(_1_541284561214624104645789101745678[[#This Row],[Type]]&gt;0,VLOOKUP(_1_541284561214624104645789101745678[[#This Row],[Type]],Main[[#All],[TYPE]:[UNIT]],'Unit Price'!H$1,FALSE),0)</f>
        <v>0</v>
      </c>
      <c r="K759" s="194">
        <f>IF(_1_541284561214624104645789101745678[[#This Row],[Discount selection]]&gt;0,VLOOKUP(_1_541284561214624104645789101745678[[#This Row],[Discount selection]],'Discount Structure'!$A$2:$B$30,2,"false"),0)</f>
        <v>1</v>
      </c>
      <c r="L759" s="194">
        <f>_1_541284561214624104645789101745678[[#This Row],[LIST $]]*_1_541284561214624104645789101745678[[#This Row],[DISCOUNT]]*_1_541284561214624104645789101745678[[#This Row],[DISCOUNT 2]]</f>
        <v>0</v>
      </c>
      <c r="M759" s="194">
        <f>IF(OR(_1_541284561214624104645789101745678[[#This Row],[UNIT]]&gt;0,_1_541284561214624104645789101745678[[#This Row],[UNIT]]&lt;0),_1_541284561214624104645789101745678[[#This Row],[UNIT]]*_1_541284561214624104645789101745678[[#This Row],[COST]],0)</f>
        <v>0</v>
      </c>
      <c r="N759" s="194">
        <f t="shared" si="11"/>
        <v>1.3</v>
      </c>
      <c r="O759" s="198">
        <f>_1_541284561214624104645789101745678[[#This Row],[TOTAL]]*_1_541284561214624104645789101745678[[#This Row],[MARGIN]]</f>
        <v>0</v>
      </c>
      <c r="R759" s="41"/>
    </row>
    <row r="760" spans="4:18">
      <c r="D760" s="188"/>
      <c r="F760" s="168" t="s">
        <v>6202</v>
      </c>
      <c r="G760" s="193">
        <f>IF(_1_541284561214624104645789101745678[[#This Row],[Type]]&gt;0,VLOOKUP(_1_541284561214624104645789101745678[[#This Row],[Type]],Main[[#All],[TYPE]:[UNIT]],'Unit Price'!C$1,FALSE),0)</f>
        <v>0</v>
      </c>
      <c r="H760" s="197">
        <f>IF(_1_541284561214624104645789101745678[[#This Row],[Type]]&gt;0,VLOOKUP(_1_541284561214624104645789101745678[[#This Row],[Type]],Main[[#All],[TYPE]:[UNIT]],'Unit Price'!D$1,FALSE),0)</f>
        <v>0</v>
      </c>
      <c r="I760" s="194">
        <f>IF(_1_541284561214624104645789101745678[[#This Row],[Type]]&gt;0,VLOOKUP(_1_541284561214624104645789101745678[[#This Row],[Type]],Main[[#All],[TYPE]:[UNIT]],'Unit Price'!G$1,FALSE),0)</f>
        <v>0</v>
      </c>
      <c r="J760" s="194">
        <f>IF(_1_541284561214624104645789101745678[[#This Row],[Type]]&gt;0,VLOOKUP(_1_541284561214624104645789101745678[[#This Row],[Type]],Main[[#All],[TYPE]:[UNIT]],'Unit Price'!H$1,FALSE),0)</f>
        <v>0</v>
      </c>
      <c r="K760" s="194">
        <f>IF(_1_541284561214624104645789101745678[[#This Row],[Discount selection]]&gt;0,VLOOKUP(_1_541284561214624104645789101745678[[#This Row],[Discount selection]],'Discount Structure'!$A$2:$B$30,2,"false"),0)</f>
        <v>1</v>
      </c>
      <c r="L760" s="194">
        <f>_1_541284561214624104645789101745678[[#This Row],[LIST $]]*_1_541284561214624104645789101745678[[#This Row],[DISCOUNT]]*_1_541284561214624104645789101745678[[#This Row],[DISCOUNT 2]]</f>
        <v>0</v>
      </c>
      <c r="M760" s="194">
        <f>IF(OR(_1_541284561214624104645789101745678[[#This Row],[UNIT]]&gt;0,_1_541284561214624104645789101745678[[#This Row],[UNIT]]&lt;0),_1_541284561214624104645789101745678[[#This Row],[UNIT]]*_1_541284561214624104645789101745678[[#This Row],[COST]],0)</f>
        <v>0</v>
      </c>
      <c r="N760" s="194">
        <f t="shared" si="11"/>
        <v>1.3</v>
      </c>
      <c r="O760" s="198">
        <f>_1_541284561214624104645789101745678[[#This Row],[TOTAL]]*_1_541284561214624104645789101745678[[#This Row],[MARGIN]]</f>
        <v>0</v>
      </c>
      <c r="R760" s="41"/>
    </row>
    <row r="761" spans="4:18">
      <c r="D761" s="188"/>
      <c r="F761" s="168" t="s">
        <v>6202</v>
      </c>
      <c r="G761" s="193">
        <f>IF(_1_541284561214624104645789101745678[[#This Row],[Type]]&gt;0,VLOOKUP(_1_541284561214624104645789101745678[[#This Row],[Type]],Main[[#All],[TYPE]:[UNIT]],'Unit Price'!C$1,FALSE),0)</f>
        <v>0</v>
      </c>
      <c r="H761" s="197">
        <f>IF(_1_541284561214624104645789101745678[[#This Row],[Type]]&gt;0,VLOOKUP(_1_541284561214624104645789101745678[[#This Row],[Type]],Main[[#All],[TYPE]:[UNIT]],'Unit Price'!D$1,FALSE),0)</f>
        <v>0</v>
      </c>
      <c r="I761" s="194">
        <f>IF(_1_541284561214624104645789101745678[[#This Row],[Type]]&gt;0,VLOOKUP(_1_541284561214624104645789101745678[[#This Row],[Type]],Main[[#All],[TYPE]:[UNIT]],'Unit Price'!G$1,FALSE),0)</f>
        <v>0</v>
      </c>
      <c r="J761" s="194">
        <f>IF(_1_541284561214624104645789101745678[[#This Row],[Type]]&gt;0,VLOOKUP(_1_541284561214624104645789101745678[[#This Row],[Type]],Main[[#All],[TYPE]:[UNIT]],'Unit Price'!H$1,FALSE),0)</f>
        <v>0</v>
      </c>
      <c r="K761" s="194">
        <f>IF(_1_541284561214624104645789101745678[[#This Row],[Discount selection]]&gt;0,VLOOKUP(_1_541284561214624104645789101745678[[#This Row],[Discount selection]],'Discount Structure'!$A$2:$B$30,2,"false"),0)</f>
        <v>1</v>
      </c>
      <c r="L761" s="194">
        <f>_1_541284561214624104645789101745678[[#This Row],[LIST $]]*_1_541284561214624104645789101745678[[#This Row],[DISCOUNT]]*_1_541284561214624104645789101745678[[#This Row],[DISCOUNT 2]]</f>
        <v>0</v>
      </c>
      <c r="M761" s="194">
        <f>IF(OR(_1_541284561214624104645789101745678[[#This Row],[UNIT]]&gt;0,_1_541284561214624104645789101745678[[#This Row],[UNIT]]&lt;0),_1_541284561214624104645789101745678[[#This Row],[UNIT]]*_1_541284561214624104645789101745678[[#This Row],[COST]],0)</f>
        <v>0</v>
      </c>
      <c r="N761" s="194">
        <f t="shared" si="11"/>
        <v>1.3</v>
      </c>
      <c r="O761" s="198">
        <f>_1_541284561214624104645789101745678[[#This Row],[TOTAL]]*_1_541284561214624104645789101745678[[#This Row],[MARGIN]]</f>
        <v>0</v>
      </c>
      <c r="R761" s="41"/>
    </row>
    <row r="762" spans="4:18">
      <c r="D762" s="188"/>
      <c r="F762" s="168" t="s">
        <v>6202</v>
      </c>
      <c r="G762" s="193">
        <f>IF(_1_541284561214624104645789101745678[[#This Row],[Type]]&gt;0,VLOOKUP(_1_541284561214624104645789101745678[[#This Row],[Type]],Main[[#All],[TYPE]:[UNIT]],'Unit Price'!C$1,FALSE),0)</f>
        <v>0</v>
      </c>
      <c r="H762" s="197">
        <f>IF(_1_541284561214624104645789101745678[[#This Row],[Type]]&gt;0,VLOOKUP(_1_541284561214624104645789101745678[[#This Row],[Type]],Main[[#All],[TYPE]:[UNIT]],'Unit Price'!D$1,FALSE),0)</f>
        <v>0</v>
      </c>
      <c r="I762" s="194">
        <f>IF(_1_541284561214624104645789101745678[[#This Row],[Type]]&gt;0,VLOOKUP(_1_541284561214624104645789101745678[[#This Row],[Type]],Main[[#All],[TYPE]:[UNIT]],'Unit Price'!G$1,FALSE),0)</f>
        <v>0</v>
      </c>
      <c r="J762" s="194">
        <f>IF(_1_541284561214624104645789101745678[[#This Row],[Type]]&gt;0,VLOOKUP(_1_541284561214624104645789101745678[[#This Row],[Type]],Main[[#All],[TYPE]:[UNIT]],'Unit Price'!H$1,FALSE),0)</f>
        <v>0</v>
      </c>
      <c r="K762" s="194">
        <f>IF(_1_541284561214624104645789101745678[[#This Row],[Discount selection]]&gt;0,VLOOKUP(_1_541284561214624104645789101745678[[#This Row],[Discount selection]],'Discount Structure'!$A$2:$B$30,2,"false"),0)</f>
        <v>1</v>
      </c>
      <c r="L762" s="194">
        <f>_1_541284561214624104645789101745678[[#This Row],[LIST $]]*_1_541284561214624104645789101745678[[#This Row],[DISCOUNT]]*_1_541284561214624104645789101745678[[#This Row],[DISCOUNT 2]]</f>
        <v>0</v>
      </c>
      <c r="M762" s="194">
        <f>IF(OR(_1_541284561214624104645789101745678[[#This Row],[UNIT]]&gt;0,_1_541284561214624104645789101745678[[#This Row],[UNIT]]&lt;0),_1_541284561214624104645789101745678[[#This Row],[UNIT]]*_1_541284561214624104645789101745678[[#This Row],[COST]],0)</f>
        <v>0</v>
      </c>
      <c r="N762" s="194">
        <f t="shared" si="11"/>
        <v>1.3</v>
      </c>
      <c r="O762" s="198">
        <f>_1_541284561214624104645789101745678[[#This Row],[TOTAL]]*_1_541284561214624104645789101745678[[#This Row],[MARGIN]]</f>
        <v>0</v>
      </c>
      <c r="R762" s="41"/>
    </row>
    <row r="763" spans="4:18">
      <c r="D763" s="188"/>
      <c r="F763" s="168" t="s">
        <v>6202</v>
      </c>
      <c r="G763" s="193">
        <f>IF(_1_541284561214624104645789101745678[[#This Row],[Type]]&gt;0,VLOOKUP(_1_541284561214624104645789101745678[[#This Row],[Type]],Main[[#All],[TYPE]:[UNIT]],'Unit Price'!C$1,FALSE),0)</f>
        <v>0</v>
      </c>
      <c r="H763" s="197">
        <f>IF(_1_541284561214624104645789101745678[[#This Row],[Type]]&gt;0,VLOOKUP(_1_541284561214624104645789101745678[[#This Row],[Type]],Main[[#All],[TYPE]:[UNIT]],'Unit Price'!D$1,FALSE),0)</f>
        <v>0</v>
      </c>
      <c r="I763" s="194">
        <f>IF(_1_541284561214624104645789101745678[[#This Row],[Type]]&gt;0,VLOOKUP(_1_541284561214624104645789101745678[[#This Row],[Type]],Main[[#All],[TYPE]:[UNIT]],'Unit Price'!G$1,FALSE),0)</f>
        <v>0</v>
      </c>
      <c r="J763" s="194">
        <f>IF(_1_541284561214624104645789101745678[[#This Row],[Type]]&gt;0,VLOOKUP(_1_541284561214624104645789101745678[[#This Row],[Type]],Main[[#All],[TYPE]:[UNIT]],'Unit Price'!H$1,FALSE),0)</f>
        <v>0</v>
      </c>
      <c r="K763" s="194">
        <f>IF(_1_541284561214624104645789101745678[[#This Row],[Discount selection]]&gt;0,VLOOKUP(_1_541284561214624104645789101745678[[#This Row],[Discount selection]],'Discount Structure'!$A$2:$B$30,2,"false"),0)</f>
        <v>1</v>
      </c>
      <c r="L763" s="194">
        <f>_1_541284561214624104645789101745678[[#This Row],[LIST $]]*_1_541284561214624104645789101745678[[#This Row],[DISCOUNT]]*_1_541284561214624104645789101745678[[#This Row],[DISCOUNT 2]]</f>
        <v>0</v>
      </c>
      <c r="M763" s="194">
        <f>IF(OR(_1_541284561214624104645789101745678[[#This Row],[UNIT]]&gt;0,_1_541284561214624104645789101745678[[#This Row],[UNIT]]&lt;0),_1_541284561214624104645789101745678[[#This Row],[UNIT]]*_1_541284561214624104645789101745678[[#This Row],[COST]],0)</f>
        <v>0</v>
      </c>
      <c r="N763" s="194">
        <f t="shared" si="11"/>
        <v>1.3</v>
      </c>
      <c r="O763" s="198">
        <f>_1_541284561214624104645789101745678[[#This Row],[TOTAL]]*_1_541284561214624104645789101745678[[#This Row],[MARGIN]]</f>
        <v>0</v>
      </c>
      <c r="R763" s="41"/>
    </row>
    <row r="764" spans="4:18">
      <c r="D764" s="188"/>
      <c r="F764" s="168" t="s">
        <v>6202</v>
      </c>
      <c r="G764" s="193">
        <f>IF(_1_541284561214624104645789101745678[[#This Row],[Type]]&gt;0,VLOOKUP(_1_541284561214624104645789101745678[[#This Row],[Type]],Main[[#All],[TYPE]:[UNIT]],'Unit Price'!C$1,FALSE),0)</f>
        <v>0</v>
      </c>
      <c r="H764" s="197">
        <f>IF(_1_541284561214624104645789101745678[[#This Row],[Type]]&gt;0,VLOOKUP(_1_541284561214624104645789101745678[[#This Row],[Type]],Main[[#All],[TYPE]:[UNIT]],'Unit Price'!D$1,FALSE),0)</f>
        <v>0</v>
      </c>
      <c r="I764" s="194">
        <f>IF(_1_541284561214624104645789101745678[[#This Row],[Type]]&gt;0,VLOOKUP(_1_541284561214624104645789101745678[[#This Row],[Type]],Main[[#All],[TYPE]:[UNIT]],'Unit Price'!G$1,FALSE),0)</f>
        <v>0</v>
      </c>
      <c r="J764" s="194">
        <f>IF(_1_541284561214624104645789101745678[[#This Row],[Type]]&gt;0,VLOOKUP(_1_541284561214624104645789101745678[[#This Row],[Type]],Main[[#All],[TYPE]:[UNIT]],'Unit Price'!H$1,FALSE),0)</f>
        <v>0</v>
      </c>
      <c r="K764" s="194">
        <f>IF(_1_541284561214624104645789101745678[[#This Row],[Discount selection]]&gt;0,VLOOKUP(_1_541284561214624104645789101745678[[#This Row],[Discount selection]],'Discount Structure'!$A$2:$B$30,2,"false"),0)</f>
        <v>1</v>
      </c>
      <c r="L764" s="194">
        <f>_1_541284561214624104645789101745678[[#This Row],[LIST $]]*_1_541284561214624104645789101745678[[#This Row],[DISCOUNT]]*_1_541284561214624104645789101745678[[#This Row],[DISCOUNT 2]]</f>
        <v>0</v>
      </c>
      <c r="M764" s="194">
        <f>IF(OR(_1_541284561214624104645789101745678[[#This Row],[UNIT]]&gt;0,_1_541284561214624104645789101745678[[#This Row],[UNIT]]&lt;0),_1_541284561214624104645789101745678[[#This Row],[UNIT]]*_1_541284561214624104645789101745678[[#This Row],[COST]],0)</f>
        <v>0</v>
      </c>
      <c r="N764" s="194">
        <f t="shared" si="11"/>
        <v>1.3</v>
      </c>
      <c r="O764" s="198">
        <f>_1_541284561214624104645789101745678[[#This Row],[TOTAL]]*_1_541284561214624104645789101745678[[#This Row],[MARGIN]]</f>
        <v>0</v>
      </c>
      <c r="R764" s="41"/>
    </row>
    <row r="765" spans="4:18">
      <c r="D765" s="188"/>
      <c r="F765" s="168" t="s">
        <v>6202</v>
      </c>
      <c r="G765" s="193">
        <f>IF(_1_541284561214624104645789101745678[[#This Row],[Type]]&gt;0,VLOOKUP(_1_541284561214624104645789101745678[[#This Row],[Type]],Main[[#All],[TYPE]:[UNIT]],'Unit Price'!C$1,FALSE),0)</f>
        <v>0</v>
      </c>
      <c r="H765" s="197">
        <f>IF(_1_541284561214624104645789101745678[[#This Row],[Type]]&gt;0,VLOOKUP(_1_541284561214624104645789101745678[[#This Row],[Type]],Main[[#All],[TYPE]:[UNIT]],'Unit Price'!D$1,FALSE),0)</f>
        <v>0</v>
      </c>
      <c r="I765" s="194">
        <f>IF(_1_541284561214624104645789101745678[[#This Row],[Type]]&gt;0,VLOOKUP(_1_541284561214624104645789101745678[[#This Row],[Type]],Main[[#All],[TYPE]:[UNIT]],'Unit Price'!G$1,FALSE),0)</f>
        <v>0</v>
      </c>
      <c r="J765" s="194">
        <f>IF(_1_541284561214624104645789101745678[[#This Row],[Type]]&gt;0,VLOOKUP(_1_541284561214624104645789101745678[[#This Row],[Type]],Main[[#All],[TYPE]:[UNIT]],'Unit Price'!H$1,FALSE),0)</f>
        <v>0</v>
      </c>
      <c r="K765" s="194">
        <f>IF(_1_541284561214624104645789101745678[[#This Row],[Discount selection]]&gt;0,VLOOKUP(_1_541284561214624104645789101745678[[#This Row],[Discount selection]],'Discount Structure'!$A$2:$B$30,2,"false"),0)</f>
        <v>1</v>
      </c>
      <c r="L765" s="194">
        <f>_1_541284561214624104645789101745678[[#This Row],[LIST $]]*_1_541284561214624104645789101745678[[#This Row],[DISCOUNT]]*_1_541284561214624104645789101745678[[#This Row],[DISCOUNT 2]]</f>
        <v>0</v>
      </c>
      <c r="M765" s="194">
        <f>IF(OR(_1_541284561214624104645789101745678[[#This Row],[UNIT]]&gt;0,_1_541284561214624104645789101745678[[#This Row],[UNIT]]&lt;0),_1_541284561214624104645789101745678[[#This Row],[UNIT]]*_1_541284561214624104645789101745678[[#This Row],[COST]],0)</f>
        <v>0</v>
      </c>
      <c r="N765" s="194">
        <f t="shared" si="11"/>
        <v>1.3</v>
      </c>
      <c r="O765" s="198">
        <f>_1_541284561214624104645789101745678[[#This Row],[TOTAL]]*_1_541284561214624104645789101745678[[#This Row],[MARGIN]]</f>
        <v>0</v>
      </c>
      <c r="R765" s="41"/>
    </row>
    <row r="766" spans="4:18">
      <c r="D766" s="188"/>
      <c r="F766" s="168" t="s">
        <v>6202</v>
      </c>
      <c r="G766" s="193">
        <f>IF(_1_541284561214624104645789101745678[[#This Row],[Type]]&gt;0,VLOOKUP(_1_541284561214624104645789101745678[[#This Row],[Type]],Main[[#All],[TYPE]:[UNIT]],'Unit Price'!C$1,FALSE),0)</f>
        <v>0</v>
      </c>
      <c r="H766" s="197">
        <f>IF(_1_541284561214624104645789101745678[[#This Row],[Type]]&gt;0,VLOOKUP(_1_541284561214624104645789101745678[[#This Row],[Type]],Main[[#All],[TYPE]:[UNIT]],'Unit Price'!D$1,FALSE),0)</f>
        <v>0</v>
      </c>
      <c r="I766" s="194">
        <f>IF(_1_541284561214624104645789101745678[[#This Row],[Type]]&gt;0,VLOOKUP(_1_541284561214624104645789101745678[[#This Row],[Type]],Main[[#All],[TYPE]:[UNIT]],'Unit Price'!G$1,FALSE),0)</f>
        <v>0</v>
      </c>
      <c r="J766" s="194">
        <f>IF(_1_541284561214624104645789101745678[[#This Row],[Type]]&gt;0,VLOOKUP(_1_541284561214624104645789101745678[[#This Row],[Type]],Main[[#All],[TYPE]:[UNIT]],'Unit Price'!H$1,FALSE),0)</f>
        <v>0</v>
      </c>
      <c r="K766" s="194">
        <f>IF(_1_541284561214624104645789101745678[[#This Row],[Discount selection]]&gt;0,VLOOKUP(_1_541284561214624104645789101745678[[#This Row],[Discount selection]],'Discount Structure'!$A$2:$B$30,2,"false"),0)</f>
        <v>1</v>
      </c>
      <c r="L766" s="194">
        <f>_1_541284561214624104645789101745678[[#This Row],[LIST $]]*_1_541284561214624104645789101745678[[#This Row],[DISCOUNT]]*_1_541284561214624104645789101745678[[#This Row],[DISCOUNT 2]]</f>
        <v>0</v>
      </c>
      <c r="M766" s="194">
        <f>IF(OR(_1_541284561214624104645789101745678[[#This Row],[UNIT]]&gt;0,_1_541284561214624104645789101745678[[#This Row],[UNIT]]&lt;0),_1_541284561214624104645789101745678[[#This Row],[UNIT]]*_1_541284561214624104645789101745678[[#This Row],[COST]],0)</f>
        <v>0</v>
      </c>
      <c r="N766" s="194">
        <f t="shared" si="11"/>
        <v>1.3</v>
      </c>
      <c r="O766" s="198">
        <f>_1_541284561214624104645789101745678[[#This Row],[TOTAL]]*_1_541284561214624104645789101745678[[#This Row],[MARGIN]]</f>
        <v>0</v>
      </c>
      <c r="R766" s="41"/>
    </row>
    <row r="767" spans="4:18">
      <c r="D767" s="188"/>
      <c r="F767" s="168" t="s">
        <v>6202</v>
      </c>
      <c r="G767" s="193">
        <f>IF(_1_541284561214624104645789101745678[[#This Row],[Type]]&gt;0,VLOOKUP(_1_541284561214624104645789101745678[[#This Row],[Type]],Main[[#All],[TYPE]:[UNIT]],'Unit Price'!C$1,FALSE),0)</f>
        <v>0</v>
      </c>
      <c r="H767" s="197">
        <f>IF(_1_541284561214624104645789101745678[[#This Row],[Type]]&gt;0,VLOOKUP(_1_541284561214624104645789101745678[[#This Row],[Type]],Main[[#All],[TYPE]:[UNIT]],'Unit Price'!D$1,FALSE),0)</f>
        <v>0</v>
      </c>
      <c r="I767" s="194">
        <f>IF(_1_541284561214624104645789101745678[[#This Row],[Type]]&gt;0,VLOOKUP(_1_541284561214624104645789101745678[[#This Row],[Type]],Main[[#All],[TYPE]:[UNIT]],'Unit Price'!G$1,FALSE),0)</f>
        <v>0</v>
      </c>
      <c r="J767" s="194">
        <f>IF(_1_541284561214624104645789101745678[[#This Row],[Type]]&gt;0,VLOOKUP(_1_541284561214624104645789101745678[[#This Row],[Type]],Main[[#All],[TYPE]:[UNIT]],'Unit Price'!H$1,FALSE),0)</f>
        <v>0</v>
      </c>
      <c r="K767" s="194">
        <f>IF(_1_541284561214624104645789101745678[[#This Row],[Discount selection]]&gt;0,VLOOKUP(_1_541284561214624104645789101745678[[#This Row],[Discount selection]],'Discount Structure'!$A$2:$B$30,2,"false"),0)</f>
        <v>1</v>
      </c>
      <c r="L767" s="194">
        <f>_1_541284561214624104645789101745678[[#This Row],[LIST $]]*_1_541284561214624104645789101745678[[#This Row],[DISCOUNT]]*_1_541284561214624104645789101745678[[#This Row],[DISCOUNT 2]]</f>
        <v>0</v>
      </c>
      <c r="M767" s="194">
        <f>IF(OR(_1_541284561214624104645789101745678[[#This Row],[UNIT]]&gt;0,_1_541284561214624104645789101745678[[#This Row],[UNIT]]&lt;0),_1_541284561214624104645789101745678[[#This Row],[UNIT]]*_1_541284561214624104645789101745678[[#This Row],[COST]],0)</f>
        <v>0</v>
      </c>
      <c r="N767" s="194">
        <f t="shared" si="11"/>
        <v>1.3</v>
      </c>
      <c r="O767" s="198">
        <f>_1_541284561214624104645789101745678[[#This Row],[TOTAL]]*_1_541284561214624104645789101745678[[#This Row],[MARGIN]]</f>
        <v>0</v>
      </c>
      <c r="R767" s="41"/>
    </row>
    <row r="768" spans="4:18">
      <c r="D768" s="188"/>
      <c r="F768" s="168" t="s">
        <v>6202</v>
      </c>
      <c r="G768" s="193">
        <f>IF(_1_541284561214624104645789101745678[[#This Row],[Type]]&gt;0,VLOOKUP(_1_541284561214624104645789101745678[[#This Row],[Type]],Main[[#All],[TYPE]:[UNIT]],'Unit Price'!C$1,FALSE),0)</f>
        <v>0</v>
      </c>
      <c r="H768" s="197">
        <f>IF(_1_541284561214624104645789101745678[[#This Row],[Type]]&gt;0,VLOOKUP(_1_541284561214624104645789101745678[[#This Row],[Type]],Main[[#All],[TYPE]:[UNIT]],'Unit Price'!D$1,FALSE),0)</f>
        <v>0</v>
      </c>
      <c r="I768" s="194">
        <f>IF(_1_541284561214624104645789101745678[[#This Row],[Type]]&gt;0,VLOOKUP(_1_541284561214624104645789101745678[[#This Row],[Type]],Main[[#All],[TYPE]:[UNIT]],'Unit Price'!G$1,FALSE),0)</f>
        <v>0</v>
      </c>
      <c r="J768" s="194">
        <f>IF(_1_541284561214624104645789101745678[[#This Row],[Type]]&gt;0,VLOOKUP(_1_541284561214624104645789101745678[[#This Row],[Type]],Main[[#All],[TYPE]:[UNIT]],'Unit Price'!H$1,FALSE),0)</f>
        <v>0</v>
      </c>
      <c r="K768" s="194">
        <f>IF(_1_541284561214624104645789101745678[[#This Row],[Discount selection]]&gt;0,VLOOKUP(_1_541284561214624104645789101745678[[#This Row],[Discount selection]],'Discount Structure'!$A$2:$B$30,2,"false"),0)</f>
        <v>1</v>
      </c>
      <c r="L768" s="194">
        <f>_1_541284561214624104645789101745678[[#This Row],[LIST $]]*_1_541284561214624104645789101745678[[#This Row],[DISCOUNT]]*_1_541284561214624104645789101745678[[#This Row],[DISCOUNT 2]]</f>
        <v>0</v>
      </c>
      <c r="M768" s="194">
        <f>IF(OR(_1_541284561214624104645789101745678[[#This Row],[UNIT]]&gt;0,_1_541284561214624104645789101745678[[#This Row],[UNIT]]&lt;0),_1_541284561214624104645789101745678[[#This Row],[UNIT]]*_1_541284561214624104645789101745678[[#This Row],[COST]],0)</f>
        <v>0</v>
      </c>
      <c r="N768" s="194">
        <f t="shared" si="11"/>
        <v>1.3</v>
      </c>
      <c r="O768" s="198">
        <f>_1_541284561214624104645789101745678[[#This Row],[TOTAL]]*_1_541284561214624104645789101745678[[#This Row],[MARGIN]]</f>
        <v>0</v>
      </c>
      <c r="R768" s="41"/>
    </row>
    <row r="769" spans="4:18">
      <c r="D769" s="188"/>
      <c r="F769" s="168" t="s">
        <v>6202</v>
      </c>
      <c r="G769" s="193">
        <f>IF(_1_541284561214624104645789101745678[[#This Row],[Type]]&gt;0,VLOOKUP(_1_541284561214624104645789101745678[[#This Row],[Type]],Main[[#All],[TYPE]:[UNIT]],'Unit Price'!C$1,FALSE),0)</f>
        <v>0</v>
      </c>
      <c r="H769" s="197">
        <f>IF(_1_541284561214624104645789101745678[[#This Row],[Type]]&gt;0,VLOOKUP(_1_541284561214624104645789101745678[[#This Row],[Type]],Main[[#All],[TYPE]:[UNIT]],'Unit Price'!D$1,FALSE),0)</f>
        <v>0</v>
      </c>
      <c r="I769" s="194">
        <f>IF(_1_541284561214624104645789101745678[[#This Row],[Type]]&gt;0,VLOOKUP(_1_541284561214624104645789101745678[[#This Row],[Type]],Main[[#All],[TYPE]:[UNIT]],'Unit Price'!G$1,FALSE),0)</f>
        <v>0</v>
      </c>
      <c r="J769" s="194">
        <f>IF(_1_541284561214624104645789101745678[[#This Row],[Type]]&gt;0,VLOOKUP(_1_541284561214624104645789101745678[[#This Row],[Type]],Main[[#All],[TYPE]:[UNIT]],'Unit Price'!H$1,FALSE),0)</f>
        <v>0</v>
      </c>
      <c r="K769" s="194">
        <f>IF(_1_541284561214624104645789101745678[[#This Row],[Discount selection]]&gt;0,VLOOKUP(_1_541284561214624104645789101745678[[#This Row],[Discount selection]],'Discount Structure'!$A$2:$B$30,2,"false"),0)</f>
        <v>1</v>
      </c>
      <c r="L769" s="194">
        <f>_1_541284561214624104645789101745678[[#This Row],[LIST $]]*_1_541284561214624104645789101745678[[#This Row],[DISCOUNT]]*_1_541284561214624104645789101745678[[#This Row],[DISCOUNT 2]]</f>
        <v>0</v>
      </c>
      <c r="M769" s="194">
        <f>IF(OR(_1_541284561214624104645789101745678[[#This Row],[UNIT]]&gt;0,_1_541284561214624104645789101745678[[#This Row],[UNIT]]&lt;0),_1_541284561214624104645789101745678[[#This Row],[UNIT]]*_1_541284561214624104645789101745678[[#This Row],[COST]],0)</f>
        <v>0</v>
      </c>
      <c r="N769" s="194">
        <f t="shared" si="11"/>
        <v>1.3</v>
      </c>
      <c r="O769" s="198">
        <f>_1_541284561214624104645789101745678[[#This Row],[TOTAL]]*_1_541284561214624104645789101745678[[#This Row],[MARGIN]]</f>
        <v>0</v>
      </c>
      <c r="R769" s="41"/>
    </row>
    <row r="770" spans="4:18">
      <c r="D770" s="188"/>
      <c r="F770" s="168" t="s">
        <v>6202</v>
      </c>
      <c r="G770" s="193">
        <f>IF(_1_541284561214624104645789101745678[[#This Row],[Type]]&gt;0,VLOOKUP(_1_541284561214624104645789101745678[[#This Row],[Type]],Main[[#All],[TYPE]:[UNIT]],'Unit Price'!C$1,FALSE),0)</f>
        <v>0</v>
      </c>
      <c r="H770" s="197">
        <f>IF(_1_541284561214624104645789101745678[[#This Row],[Type]]&gt;0,VLOOKUP(_1_541284561214624104645789101745678[[#This Row],[Type]],Main[[#All],[TYPE]:[UNIT]],'Unit Price'!D$1,FALSE),0)</f>
        <v>0</v>
      </c>
      <c r="I770" s="194">
        <f>IF(_1_541284561214624104645789101745678[[#This Row],[Type]]&gt;0,VLOOKUP(_1_541284561214624104645789101745678[[#This Row],[Type]],Main[[#All],[TYPE]:[UNIT]],'Unit Price'!G$1,FALSE),0)</f>
        <v>0</v>
      </c>
      <c r="J770" s="194">
        <f>IF(_1_541284561214624104645789101745678[[#This Row],[Type]]&gt;0,VLOOKUP(_1_541284561214624104645789101745678[[#This Row],[Type]],Main[[#All],[TYPE]:[UNIT]],'Unit Price'!H$1,FALSE),0)</f>
        <v>0</v>
      </c>
      <c r="K770" s="194">
        <f>IF(_1_541284561214624104645789101745678[[#This Row],[Discount selection]]&gt;0,VLOOKUP(_1_541284561214624104645789101745678[[#This Row],[Discount selection]],'Discount Structure'!$A$2:$B$30,2,"false"),0)</f>
        <v>1</v>
      </c>
      <c r="L770" s="194">
        <f>_1_541284561214624104645789101745678[[#This Row],[LIST $]]*_1_541284561214624104645789101745678[[#This Row],[DISCOUNT]]*_1_541284561214624104645789101745678[[#This Row],[DISCOUNT 2]]</f>
        <v>0</v>
      </c>
      <c r="M770" s="194">
        <f>IF(OR(_1_541284561214624104645789101745678[[#This Row],[UNIT]]&gt;0,_1_541284561214624104645789101745678[[#This Row],[UNIT]]&lt;0),_1_541284561214624104645789101745678[[#This Row],[UNIT]]*_1_541284561214624104645789101745678[[#This Row],[COST]],0)</f>
        <v>0</v>
      </c>
      <c r="N770" s="194">
        <f t="shared" si="11"/>
        <v>1.3</v>
      </c>
      <c r="O770" s="198">
        <f>_1_541284561214624104645789101745678[[#This Row],[TOTAL]]*_1_541284561214624104645789101745678[[#This Row],[MARGIN]]</f>
        <v>0</v>
      </c>
      <c r="R770" s="41"/>
    </row>
    <row r="771" spans="4:18">
      <c r="D771" s="188"/>
      <c r="F771" s="168" t="s">
        <v>6202</v>
      </c>
      <c r="G771" s="193">
        <f>IF(_1_541284561214624104645789101745678[[#This Row],[Type]]&gt;0,VLOOKUP(_1_541284561214624104645789101745678[[#This Row],[Type]],Main[[#All],[TYPE]:[UNIT]],'Unit Price'!C$1,FALSE),0)</f>
        <v>0</v>
      </c>
      <c r="H771" s="197">
        <f>IF(_1_541284561214624104645789101745678[[#This Row],[Type]]&gt;0,VLOOKUP(_1_541284561214624104645789101745678[[#This Row],[Type]],Main[[#All],[TYPE]:[UNIT]],'Unit Price'!D$1,FALSE),0)</f>
        <v>0</v>
      </c>
      <c r="I771" s="194">
        <f>IF(_1_541284561214624104645789101745678[[#This Row],[Type]]&gt;0,VLOOKUP(_1_541284561214624104645789101745678[[#This Row],[Type]],Main[[#All],[TYPE]:[UNIT]],'Unit Price'!G$1,FALSE),0)</f>
        <v>0</v>
      </c>
      <c r="J771" s="194">
        <f>IF(_1_541284561214624104645789101745678[[#This Row],[Type]]&gt;0,VLOOKUP(_1_541284561214624104645789101745678[[#This Row],[Type]],Main[[#All],[TYPE]:[UNIT]],'Unit Price'!H$1,FALSE),0)</f>
        <v>0</v>
      </c>
      <c r="K771" s="194">
        <f>IF(_1_541284561214624104645789101745678[[#This Row],[Discount selection]]&gt;0,VLOOKUP(_1_541284561214624104645789101745678[[#This Row],[Discount selection]],'Discount Structure'!$A$2:$B$30,2,"false"),0)</f>
        <v>1</v>
      </c>
      <c r="L771" s="194">
        <f>_1_541284561214624104645789101745678[[#This Row],[LIST $]]*_1_541284561214624104645789101745678[[#This Row],[DISCOUNT]]*_1_541284561214624104645789101745678[[#This Row],[DISCOUNT 2]]</f>
        <v>0</v>
      </c>
      <c r="M771" s="194">
        <f>IF(OR(_1_541284561214624104645789101745678[[#This Row],[UNIT]]&gt;0,_1_541284561214624104645789101745678[[#This Row],[UNIT]]&lt;0),_1_541284561214624104645789101745678[[#This Row],[UNIT]]*_1_541284561214624104645789101745678[[#This Row],[COST]],0)</f>
        <v>0</v>
      </c>
      <c r="N771" s="194">
        <f t="shared" si="11"/>
        <v>1.3</v>
      </c>
      <c r="O771" s="198">
        <f>_1_541284561214624104645789101745678[[#This Row],[TOTAL]]*_1_541284561214624104645789101745678[[#This Row],[MARGIN]]</f>
        <v>0</v>
      </c>
      <c r="R771" s="41"/>
    </row>
    <row r="772" spans="4:18">
      <c r="D772" s="188"/>
      <c r="F772" s="168" t="s">
        <v>6202</v>
      </c>
      <c r="G772" s="193">
        <f>IF(_1_541284561214624104645789101745678[[#This Row],[Type]]&gt;0,VLOOKUP(_1_541284561214624104645789101745678[[#This Row],[Type]],Main[[#All],[TYPE]:[UNIT]],'Unit Price'!C$1,FALSE),0)</f>
        <v>0</v>
      </c>
      <c r="H772" s="197">
        <f>IF(_1_541284561214624104645789101745678[[#This Row],[Type]]&gt;0,VLOOKUP(_1_541284561214624104645789101745678[[#This Row],[Type]],Main[[#All],[TYPE]:[UNIT]],'Unit Price'!D$1,FALSE),0)</f>
        <v>0</v>
      </c>
      <c r="I772" s="194">
        <f>IF(_1_541284561214624104645789101745678[[#This Row],[Type]]&gt;0,VLOOKUP(_1_541284561214624104645789101745678[[#This Row],[Type]],Main[[#All],[TYPE]:[UNIT]],'Unit Price'!G$1,FALSE),0)</f>
        <v>0</v>
      </c>
      <c r="J772" s="194">
        <f>IF(_1_541284561214624104645789101745678[[#This Row],[Type]]&gt;0,VLOOKUP(_1_541284561214624104645789101745678[[#This Row],[Type]],Main[[#All],[TYPE]:[UNIT]],'Unit Price'!H$1,FALSE),0)</f>
        <v>0</v>
      </c>
      <c r="K772" s="194">
        <f>IF(_1_541284561214624104645789101745678[[#This Row],[Discount selection]]&gt;0,VLOOKUP(_1_541284561214624104645789101745678[[#This Row],[Discount selection]],'Discount Structure'!$A$2:$B$30,2,"false"),0)</f>
        <v>1</v>
      </c>
      <c r="L772" s="194">
        <f>_1_541284561214624104645789101745678[[#This Row],[LIST $]]*_1_541284561214624104645789101745678[[#This Row],[DISCOUNT]]*_1_541284561214624104645789101745678[[#This Row],[DISCOUNT 2]]</f>
        <v>0</v>
      </c>
      <c r="M772" s="194">
        <f>IF(OR(_1_541284561214624104645789101745678[[#This Row],[UNIT]]&gt;0,_1_541284561214624104645789101745678[[#This Row],[UNIT]]&lt;0),_1_541284561214624104645789101745678[[#This Row],[UNIT]]*_1_541284561214624104645789101745678[[#This Row],[COST]],0)</f>
        <v>0</v>
      </c>
      <c r="N772" s="194">
        <f t="shared" si="11"/>
        <v>1.3</v>
      </c>
      <c r="O772" s="198">
        <f>_1_541284561214624104645789101745678[[#This Row],[TOTAL]]*_1_541284561214624104645789101745678[[#This Row],[MARGIN]]</f>
        <v>0</v>
      </c>
      <c r="R772" s="41"/>
    </row>
    <row r="773" spans="4:18">
      <c r="D773" s="188"/>
      <c r="F773" s="168" t="s">
        <v>6202</v>
      </c>
      <c r="G773" s="193">
        <f>IF(_1_541284561214624104645789101745678[[#This Row],[Type]]&gt;0,VLOOKUP(_1_541284561214624104645789101745678[[#This Row],[Type]],Main[[#All],[TYPE]:[UNIT]],'Unit Price'!C$1,FALSE),0)</f>
        <v>0</v>
      </c>
      <c r="H773" s="197">
        <f>IF(_1_541284561214624104645789101745678[[#This Row],[Type]]&gt;0,VLOOKUP(_1_541284561214624104645789101745678[[#This Row],[Type]],Main[[#All],[TYPE]:[UNIT]],'Unit Price'!D$1,FALSE),0)</f>
        <v>0</v>
      </c>
      <c r="I773" s="194">
        <f>IF(_1_541284561214624104645789101745678[[#This Row],[Type]]&gt;0,VLOOKUP(_1_541284561214624104645789101745678[[#This Row],[Type]],Main[[#All],[TYPE]:[UNIT]],'Unit Price'!G$1,FALSE),0)</f>
        <v>0</v>
      </c>
      <c r="J773" s="194">
        <f>IF(_1_541284561214624104645789101745678[[#This Row],[Type]]&gt;0,VLOOKUP(_1_541284561214624104645789101745678[[#This Row],[Type]],Main[[#All],[TYPE]:[UNIT]],'Unit Price'!H$1,FALSE),0)</f>
        <v>0</v>
      </c>
      <c r="K773" s="194">
        <f>IF(_1_541284561214624104645789101745678[[#This Row],[Discount selection]]&gt;0,VLOOKUP(_1_541284561214624104645789101745678[[#This Row],[Discount selection]],'Discount Structure'!$A$2:$B$30,2,"false"),0)</f>
        <v>1</v>
      </c>
      <c r="L773" s="194">
        <f>_1_541284561214624104645789101745678[[#This Row],[LIST $]]*_1_541284561214624104645789101745678[[#This Row],[DISCOUNT]]*_1_541284561214624104645789101745678[[#This Row],[DISCOUNT 2]]</f>
        <v>0</v>
      </c>
      <c r="M773" s="194">
        <f>IF(OR(_1_541284561214624104645789101745678[[#This Row],[UNIT]]&gt;0,_1_541284561214624104645789101745678[[#This Row],[UNIT]]&lt;0),_1_541284561214624104645789101745678[[#This Row],[UNIT]]*_1_541284561214624104645789101745678[[#This Row],[COST]],0)</f>
        <v>0</v>
      </c>
      <c r="N773" s="194">
        <f t="shared" si="11"/>
        <v>1.3</v>
      </c>
      <c r="O773" s="198">
        <f>_1_541284561214624104645789101745678[[#This Row],[TOTAL]]*_1_541284561214624104645789101745678[[#This Row],[MARGIN]]</f>
        <v>0</v>
      </c>
      <c r="R773" s="41"/>
    </row>
    <row r="774" spans="4:18">
      <c r="D774" s="188"/>
      <c r="F774" s="168" t="s">
        <v>6202</v>
      </c>
      <c r="G774" s="193">
        <f>IF(_1_541284561214624104645789101745678[[#This Row],[Type]]&gt;0,VLOOKUP(_1_541284561214624104645789101745678[[#This Row],[Type]],Main[[#All],[TYPE]:[UNIT]],'Unit Price'!C$1,FALSE),0)</f>
        <v>0</v>
      </c>
      <c r="H774" s="197">
        <f>IF(_1_541284561214624104645789101745678[[#This Row],[Type]]&gt;0,VLOOKUP(_1_541284561214624104645789101745678[[#This Row],[Type]],Main[[#All],[TYPE]:[UNIT]],'Unit Price'!D$1,FALSE),0)</f>
        <v>0</v>
      </c>
      <c r="I774" s="194">
        <f>IF(_1_541284561214624104645789101745678[[#This Row],[Type]]&gt;0,VLOOKUP(_1_541284561214624104645789101745678[[#This Row],[Type]],Main[[#All],[TYPE]:[UNIT]],'Unit Price'!G$1,FALSE),0)</f>
        <v>0</v>
      </c>
      <c r="J774" s="194">
        <f>IF(_1_541284561214624104645789101745678[[#This Row],[Type]]&gt;0,VLOOKUP(_1_541284561214624104645789101745678[[#This Row],[Type]],Main[[#All],[TYPE]:[UNIT]],'Unit Price'!H$1,FALSE),0)</f>
        <v>0</v>
      </c>
      <c r="K774" s="194">
        <f>IF(_1_541284561214624104645789101745678[[#This Row],[Discount selection]]&gt;0,VLOOKUP(_1_541284561214624104645789101745678[[#This Row],[Discount selection]],'Discount Structure'!$A$2:$B$30,2,"false"),0)</f>
        <v>1</v>
      </c>
      <c r="L774" s="194">
        <f>_1_541284561214624104645789101745678[[#This Row],[LIST $]]*_1_541284561214624104645789101745678[[#This Row],[DISCOUNT]]*_1_541284561214624104645789101745678[[#This Row],[DISCOUNT 2]]</f>
        <v>0</v>
      </c>
      <c r="M774" s="194">
        <f>IF(OR(_1_541284561214624104645789101745678[[#This Row],[UNIT]]&gt;0,_1_541284561214624104645789101745678[[#This Row],[UNIT]]&lt;0),_1_541284561214624104645789101745678[[#This Row],[UNIT]]*_1_541284561214624104645789101745678[[#This Row],[COST]],0)</f>
        <v>0</v>
      </c>
      <c r="N774" s="194">
        <f t="shared" si="11"/>
        <v>1.3</v>
      </c>
      <c r="O774" s="198">
        <f>_1_541284561214624104645789101745678[[#This Row],[TOTAL]]*_1_541284561214624104645789101745678[[#This Row],[MARGIN]]</f>
        <v>0</v>
      </c>
      <c r="R774" s="41"/>
    </row>
    <row r="775" spans="4:18">
      <c r="D775" s="188"/>
      <c r="F775" s="168" t="s">
        <v>6202</v>
      </c>
      <c r="G775" s="193">
        <f>IF(_1_541284561214624104645789101745678[[#This Row],[Type]]&gt;0,VLOOKUP(_1_541284561214624104645789101745678[[#This Row],[Type]],Main[[#All],[TYPE]:[UNIT]],'Unit Price'!C$1,FALSE),0)</f>
        <v>0</v>
      </c>
      <c r="H775" s="197">
        <f>IF(_1_541284561214624104645789101745678[[#This Row],[Type]]&gt;0,VLOOKUP(_1_541284561214624104645789101745678[[#This Row],[Type]],Main[[#All],[TYPE]:[UNIT]],'Unit Price'!D$1,FALSE),0)</f>
        <v>0</v>
      </c>
      <c r="I775" s="194">
        <f>IF(_1_541284561214624104645789101745678[[#This Row],[Type]]&gt;0,VLOOKUP(_1_541284561214624104645789101745678[[#This Row],[Type]],Main[[#All],[TYPE]:[UNIT]],'Unit Price'!G$1,FALSE),0)</f>
        <v>0</v>
      </c>
      <c r="J775" s="194">
        <f>IF(_1_541284561214624104645789101745678[[#This Row],[Type]]&gt;0,VLOOKUP(_1_541284561214624104645789101745678[[#This Row],[Type]],Main[[#All],[TYPE]:[UNIT]],'Unit Price'!H$1,FALSE),0)</f>
        <v>0</v>
      </c>
      <c r="K775" s="194">
        <f>IF(_1_541284561214624104645789101745678[[#This Row],[Discount selection]]&gt;0,VLOOKUP(_1_541284561214624104645789101745678[[#This Row],[Discount selection]],'Discount Structure'!$A$2:$B$30,2,"false"),0)</f>
        <v>1</v>
      </c>
      <c r="L775" s="194">
        <f>_1_541284561214624104645789101745678[[#This Row],[LIST $]]*_1_541284561214624104645789101745678[[#This Row],[DISCOUNT]]*_1_541284561214624104645789101745678[[#This Row],[DISCOUNT 2]]</f>
        <v>0</v>
      </c>
      <c r="M775" s="194">
        <f>IF(OR(_1_541284561214624104645789101745678[[#This Row],[UNIT]]&gt;0,_1_541284561214624104645789101745678[[#This Row],[UNIT]]&lt;0),_1_541284561214624104645789101745678[[#This Row],[UNIT]]*_1_541284561214624104645789101745678[[#This Row],[COST]],0)</f>
        <v>0</v>
      </c>
      <c r="N775" s="194">
        <f t="shared" si="11"/>
        <v>1.3</v>
      </c>
      <c r="O775" s="198">
        <f>_1_541284561214624104645789101745678[[#This Row],[TOTAL]]*_1_541284561214624104645789101745678[[#This Row],[MARGIN]]</f>
        <v>0</v>
      </c>
      <c r="R775" s="41"/>
    </row>
    <row r="776" spans="4:18">
      <c r="D776" s="188"/>
      <c r="F776" s="168" t="s">
        <v>6202</v>
      </c>
      <c r="G776" s="193">
        <f>IF(_1_541284561214624104645789101745678[[#This Row],[Type]]&gt;0,VLOOKUP(_1_541284561214624104645789101745678[[#This Row],[Type]],Main[[#All],[TYPE]:[UNIT]],'Unit Price'!C$1,FALSE),0)</f>
        <v>0</v>
      </c>
      <c r="H776" s="197">
        <f>IF(_1_541284561214624104645789101745678[[#This Row],[Type]]&gt;0,VLOOKUP(_1_541284561214624104645789101745678[[#This Row],[Type]],Main[[#All],[TYPE]:[UNIT]],'Unit Price'!D$1,FALSE),0)</f>
        <v>0</v>
      </c>
      <c r="I776" s="194">
        <f>IF(_1_541284561214624104645789101745678[[#This Row],[Type]]&gt;0,VLOOKUP(_1_541284561214624104645789101745678[[#This Row],[Type]],Main[[#All],[TYPE]:[UNIT]],'Unit Price'!G$1,FALSE),0)</f>
        <v>0</v>
      </c>
      <c r="J776" s="194">
        <f>IF(_1_541284561214624104645789101745678[[#This Row],[Type]]&gt;0,VLOOKUP(_1_541284561214624104645789101745678[[#This Row],[Type]],Main[[#All],[TYPE]:[UNIT]],'Unit Price'!H$1,FALSE),0)</f>
        <v>0</v>
      </c>
      <c r="K776" s="194">
        <f>IF(_1_541284561214624104645789101745678[[#This Row],[Discount selection]]&gt;0,VLOOKUP(_1_541284561214624104645789101745678[[#This Row],[Discount selection]],'Discount Structure'!$A$2:$B$30,2,"false"),0)</f>
        <v>1</v>
      </c>
      <c r="L776" s="194">
        <f>_1_541284561214624104645789101745678[[#This Row],[LIST $]]*_1_541284561214624104645789101745678[[#This Row],[DISCOUNT]]*_1_541284561214624104645789101745678[[#This Row],[DISCOUNT 2]]</f>
        <v>0</v>
      </c>
      <c r="M776" s="194">
        <f>IF(OR(_1_541284561214624104645789101745678[[#This Row],[UNIT]]&gt;0,_1_541284561214624104645789101745678[[#This Row],[UNIT]]&lt;0),_1_541284561214624104645789101745678[[#This Row],[UNIT]]*_1_541284561214624104645789101745678[[#This Row],[COST]],0)</f>
        <v>0</v>
      </c>
      <c r="N776" s="194">
        <f t="shared" si="11"/>
        <v>1.3</v>
      </c>
      <c r="O776" s="198">
        <f>_1_541284561214624104645789101745678[[#This Row],[TOTAL]]*_1_541284561214624104645789101745678[[#This Row],[MARGIN]]</f>
        <v>0</v>
      </c>
      <c r="R776" s="41"/>
    </row>
    <row r="777" spans="4:18">
      <c r="D777" s="188"/>
      <c r="F777" s="168" t="s">
        <v>6202</v>
      </c>
      <c r="G777" s="193">
        <f>IF(_1_541284561214624104645789101745678[[#This Row],[Type]]&gt;0,VLOOKUP(_1_541284561214624104645789101745678[[#This Row],[Type]],Main[[#All],[TYPE]:[UNIT]],'Unit Price'!C$1,FALSE),0)</f>
        <v>0</v>
      </c>
      <c r="H777" s="197">
        <f>IF(_1_541284561214624104645789101745678[[#This Row],[Type]]&gt;0,VLOOKUP(_1_541284561214624104645789101745678[[#This Row],[Type]],Main[[#All],[TYPE]:[UNIT]],'Unit Price'!D$1,FALSE),0)</f>
        <v>0</v>
      </c>
      <c r="I777" s="194">
        <f>IF(_1_541284561214624104645789101745678[[#This Row],[Type]]&gt;0,VLOOKUP(_1_541284561214624104645789101745678[[#This Row],[Type]],Main[[#All],[TYPE]:[UNIT]],'Unit Price'!G$1,FALSE),0)</f>
        <v>0</v>
      </c>
      <c r="J777" s="194">
        <f>IF(_1_541284561214624104645789101745678[[#This Row],[Type]]&gt;0,VLOOKUP(_1_541284561214624104645789101745678[[#This Row],[Type]],Main[[#All],[TYPE]:[UNIT]],'Unit Price'!H$1,FALSE),0)</f>
        <v>0</v>
      </c>
      <c r="K777" s="194">
        <f>IF(_1_541284561214624104645789101745678[[#This Row],[Discount selection]]&gt;0,VLOOKUP(_1_541284561214624104645789101745678[[#This Row],[Discount selection]],'Discount Structure'!$A$2:$B$30,2,"false"),0)</f>
        <v>1</v>
      </c>
      <c r="L777" s="194">
        <f>_1_541284561214624104645789101745678[[#This Row],[LIST $]]*_1_541284561214624104645789101745678[[#This Row],[DISCOUNT]]*_1_541284561214624104645789101745678[[#This Row],[DISCOUNT 2]]</f>
        <v>0</v>
      </c>
      <c r="M777" s="194">
        <f>IF(OR(_1_541284561214624104645789101745678[[#This Row],[UNIT]]&gt;0,_1_541284561214624104645789101745678[[#This Row],[UNIT]]&lt;0),_1_541284561214624104645789101745678[[#This Row],[UNIT]]*_1_541284561214624104645789101745678[[#This Row],[COST]],0)</f>
        <v>0</v>
      </c>
      <c r="N777" s="194">
        <f t="shared" si="11"/>
        <v>1.3</v>
      </c>
      <c r="O777" s="198">
        <f>_1_541284561214624104645789101745678[[#This Row],[TOTAL]]*_1_541284561214624104645789101745678[[#This Row],[MARGIN]]</f>
        <v>0</v>
      </c>
      <c r="R777" s="41"/>
    </row>
    <row r="778" spans="4:18">
      <c r="D778" s="188"/>
      <c r="F778" s="168" t="s">
        <v>6202</v>
      </c>
      <c r="G778" s="193">
        <f>IF(_1_541284561214624104645789101745678[[#This Row],[Type]]&gt;0,VLOOKUP(_1_541284561214624104645789101745678[[#This Row],[Type]],Main[[#All],[TYPE]:[UNIT]],'Unit Price'!C$1,FALSE),0)</f>
        <v>0</v>
      </c>
      <c r="H778" s="197">
        <f>IF(_1_541284561214624104645789101745678[[#This Row],[Type]]&gt;0,VLOOKUP(_1_541284561214624104645789101745678[[#This Row],[Type]],Main[[#All],[TYPE]:[UNIT]],'Unit Price'!D$1,FALSE),0)</f>
        <v>0</v>
      </c>
      <c r="I778" s="194">
        <f>IF(_1_541284561214624104645789101745678[[#This Row],[Type]]&gt;0,VLOOKUP(_1_541284561214624104645789101745678[[#This Row],[Type]],Main[[#All],[TYPE]:[UNIT]],'Unit Price'!G$1,FALSE),0)</f>
        <v>0</v>
      </c>
      <c r="J778" s="194">
        <f>IF(_1_541284561214624104645789101745678[[#This Row],[Type]]&gt;0,VLOOKUP(_1_541284561214624104645789101745678[[#This Row],[Type]],Main[[#All],[TYPE]:[UNIT]],'Unit Price'!H$1,FALSE),0)</f>
        <v>0</v>
      </c>
      <c r="K778" s="194">
        <f>IF(_1_541284561214624104645789101745678[[#This Row],[Discount selection]]&gt;0,VLOOKUP(_1_541284561214624104645789101745678[[#This Row],[Discount selection]],'Discount Structure'!$A$2:$B$30,2,"false"),0)</f>
        <v>1</v>
      </c>
      <c r="L778" s="194">
        <f>_1_541284561214624104645789101745678[[#This Row],[LIST $]]*_1_541284561214624104645789101745678[[#This Row],[DISCOUNT]]*_1_541284561214624104645789101745678[[#This Row],[DISCOUNT 2]]</f>
        <v>0</v>
      </c>
      <c r="M778" s="194">
        <f>IF(OR(_1_541284561214624104645789101745678[[#This Row],[UNIT]]&gt;0,_1_541284561214624104645789101745678[[#This Row],[UNIT]]&lt;0),_1_541284561214624104645789101745678[[#This Row],[UNIT]]*_1_541284561214624104645789101745678[[#This Row],[COST]],0)</f>
        <v>0</v>
      </c>
      <c r="N778" s="194">
        <f t="shared" ref="N778:N841" si="12">$N$7</f>
        <v>1.3</v>
      </c>
      <c r="O778" s="198">
        <f>_1_541284561214624104645789101745678[[#This Row],[TOTAL]]*_1_541284561214624104645789101745678[[#This Row],[MARGIN]]</f>
        <v>0</v>
      </c>
      <c r="R778" s="41"/>
    </row>
    <row r="779" spans="4:18">
      <c r="D779" s="188"/>
      <c r="F779" s="168" t="s">
        <v>6202</v>
      </c>
      <c r="G779" s="193">
        <f>IF(_1_541284561214624104645789101745678[[#This Row],[Type]]&gt;0,VLOOKUP(_1_541284561214624104645789101745678[[#This Row],[Type]],Main[[#All],[TYPE]:[UNIT]],'Unit Price'!C$1,FALSE),0)</f>
        <v>0</v>
      </c>
      <c r="H779" s="197">
        <f>IF(_1_541284561214624104645789101745678[[#This Row],[Type]]&gt;0,VLOOKUP(_1_541284561214624104645789101745678[[#This Row],[Type]],Main[[#All],[TYPE]:[UNIT]],'Unit Price'!D$1,FALSE),0)</f>
        <v>0</v>
      </c>
      <c r="I779" s="194">
        <f>IF(_1_541284561214624104645789101745678[[#This Row],[Type]]&gt;0,VLOOKUP(_1_541284561214624104645789101745678[[#This Row],[Type]],Main[[#All],[TYPE]:[UNIT]],'Unit Price'!G$1,FALSE),0)</f>
        <v>0</v>
      </c>
      <c r="J779" s="194">
        <f>IF(_1_541284561214624104645789101745678[[#This Row],[Type]]&gt;0,VLOOKUP(_1_541284561214624104645789101745678[[#This Row],[Type]],Main[[#All],[TYPE]:[UNIT]],'Unit Price'!H$1,FALSE),0)</f>
        <v>0</v>
      </c>
      <c r="K779" s="194">
        <f>IF(_1_541284561214624104645789101745678[[#This Row],[Discount selection]]&gt;0,VLOOKUP(_1_541284561214624104645789101745678[[#This Row],[Discount selection]],'Discount Structure'!$A$2:$B$30,2,"false"),0)</f>
        <v>1</v>
      </c>
      <c r="L779" s="194">
        <f>_1_541284561214624104645789101745678[[#This Row],[LIST $]]*_1_541284561214624104645789101745678[[#This Row],[DISCOUNT]]*_1_541284561214624104645789101745678[[#This Row],[DISCOUNT 2]]</f>
        <v>0</v>
      </c>
      <c r="M779" s="194">
        <f>IF(OR(_1_541284561214624104645789101745678[[#This Row],[UNIT]]&gt;0,_1_541284561214624104645789101745678[[#This Row],[UNIT]]&lt;0),_1_541284561214624104645789101745678[[#This Row],[UNIT]]*_1_541284561214624104645789101745678[[#This Row],[COST]],0)</f>
        <v>0</v>
      </c>
      <c r="N779" s="194">
        <f t="shared" si="12"/>
        <v>1.3</v>
      </c>
      <c r="O779" s="198">
        <f>_1_541284561214624104645789101745678[[#This Row],[TOTAL]]*_1_541284561214624104645789101745678[[#This Row],[MARGIN]]</f>
        <v>0</v>
      </c>
      <c r="R779" s="41"/>
    </row>
    <row r="780" spans="4:18">
      <c r="D780" s="188"/>
      <c r="F780" s="168" t="s">
        <v>6202</v>
      </c>
      <c r="G780" s="193">
        <f>IF(_1_541284561214624104645789101745678[[#This Row],[Type]]&gt;0,VLOOKUP(_1_541284561214624104645789101745678[[#This Row],[Type]],Main[[#All],[TYPE]:[UNIT]],'Unit Price'!C$1,FALSE),0)</f>
        <v>0</v>
      </c>
      <c r="H780" s="197">
        <f>IF(_1_541284561214624104645789101745678[[#This Row],[Type]]&gt;0,VLOOKUP(_1_541284561214624104645789101745678[[#This Row],[Type]],Main[[#All],[TYPE]:[UNIT]],'Unit Price'!D$1,FALSE),0)</f>
        <v>0</v>
      </c>
      <c r="I780" s="194">
        <f>IF(_1_541284561214624104645789101745678[[#This Row],[Type]]&gt;0,VLOOKUP(_1_541284561214624104645789101745678[[#This Row],[Type]],Main[[#All],[TYPE]:[UNIT]],'Unit Price'!G$1,FALSE),0)</f>
        <v>0</v>
      </c>
      <c r="J780" s="194">
        <f>IF(_1_541284561214624104645789101745678[[#This Row],[Type]]&gt;0,VLOOKUP(_1_541284561214624104645789101745678[[#This Row],[Type]],Main[[#All],[TYPE]:[UNIT]],'Unit Price'!H$1,FALSE),0)</f>
        <v>0</v>
      </c>
      <c r="K780" s="194">
        <f>IF(_1_541284561214624104645789101745678[[#This Row],[Discount selection]]&gt;0,VLOOKUP(_1_541284561214624104645789101745678[[#This Row],[Discount selection]],'Discount Structure'!$A$2:$B$30,2,"false"),0)</f>
        <v>1</v>
      </c>
      <c r="L780" s="194">
        <f>_1_541284561214624104645789101745678[[#This Row],[LIST $]]*_1_541284561214624104645789101745678[[#This Row],[DISCOUNT]]*_1_541284561214624104645789101745678[[#This Row],[DISCOUNT 2]]</f>
        <v>0</v>
      </c>
      <c r="M780" s="194">
        <f>IF(OR(_1_541284561214624104645789101745678[[#This Row],[UNIT]]&gt;0,_1_541284561214624104645789101745678[[#This Row],[UNIT]]&lt;0),_1_541284561214624104645789101745678[[#This Row],[UNIT]]*_1_541284561214624104645789101745678[[#This Row],[COST]],0)</f>
        <v>0</v>
      </c>
      <c r="N780" s="194">
        <f t="shared" si="12"/>
        <v>1.3</v>
      </c>
      <c r="O780" s="198">
        <f>_1_541284561214624104645789101745678[[#This Row],[TOTAL]]*_1_541284561214624104645789101745678[[#This Row],[MARGIN]]</f>
        <v>0</v>
      </c>
      <c r="R780" s="41"/>
    </row>
    <row r="781" spans="4:18">
      <c r="D781" s="188"/>
      <c r="F781" s="168" t="s">
        <v>6202</v>
      </c>
      <c r="G781" s="193">
        <f>IF(_1_541284561214624104645789101745678[[#This Row],[Type]]&gt;0,VLOOKUP(_1_541284561214624104645789101745678[[#This Row],[Type]],Main[[#All],[TYPE]:[UNIT]],'Unit Price'!C$1,FALSE),0)</f>
        <v>0</v>
      </c>
      <c r="H781" s="197">
        <f>IF(_1_541284561214624104645789101745678[[#This Row],[Type]]&gt;0,VLOOKUP(_1_541284561214624104645789101745678[[#This Row],[Type]],Main[[#All],[TYPE]:[UNIT]],'Unit Price'!D$1,FALSE),0)</f>
        <v>0</v>
      </c>
      <c r="I781" s="194">
        <f>IF(_1_541284561214624104645789101745678[[#This Row],[Type]]&gt;0,VLOOKUP(_1_541284561214624104645789101745678[[#This Row],[Type]],Main[[#All],[TYPE]:[UNIT]],'Unit Price'!G$1,FALSE),0)</f>
        <v>0</v>
      </c>
      <c r="J781" s="194">
        <f>IF(_1_541284561214624104645789101745678[[#This Row],[Type]]&gt;0,VLOOKUP(_1_541284561214624104645789101745678[[#This Row],[Type]],Main[[#All],[TYPE]:[UNIT]],'Unit Price'!H$1,FALSE),0)</f>
        <v>0</v>
      </c>
      <c r="K781" s="194">
        <f>IF(_1_541284561214624104645789101745678[[#This Row],[Discount selection]]&gt;0,VLOOKUP(_1_541284561214624104645789101745678[[#This Row],[Discount selection]],'Discount Structure'!$A$2:$B$30,2,"false"),0)</f>
        <v>1</v>
      </c>
      <c r="L781" s="194">
        <f>_1_541284561214624104645789101745678[[#This Row],[LIST $]]*_1_541284561214624104645789101745678[[#This Row],[DISCOUNT]]*_1_541284561214624104645789101745678[[#This Row],[DISCOUNT 2]]</f>
        <v>0</v>
      </c>
      <c r="M781" s="194">
        <f>IF(OR(_1_541284561214624104645789101745678[[#This Row],[UNIT]]&gt;0,_1_541284561214624104645789101745678[[#This Row],[UNIT]]&lt;0),_1_541284561214624104645789101745678[[#This Row],[UNIT]]*_1_541284561214624104645789101745678[[#This Row],[COST]],0)</f>
        <v>0</v>
      </c>
      <c r="N781" s="194">
        <f t="shared" si="12"/>
        <v>1.3</v>
      </c>
      <c r="O781" s="198">
        <f>_1_541284561214624104645789101745678[[#This Row],[TOTAL]]*_1_541284561214624104645789101745678[[#This Row],[MARGIN]]</f>
        <v>0</v>
      </c>
      <c r="R781" s="41"/>
    </row>
    <row r="782" spans="4:18">
      <c r="D782" s="188"/>
      <c r="F782" s="168" t="s">
        <v>6202</v>
      </c>
      <c r="G782" s="193">
        <f>IF(_1_541284561214624104645789101745678[[#This Row],[Type]]&gt;0,VLOOKUP(_1_541284561214624104645789101745678[[#This Row],[Type]],Main[[#All],[TYPE]:[UNIT]],'Unit Price'!C$1,FALSE),0)</f>
        <v>0</v>
      </c>
      <c r="H782" s="197">
        <f>IF(_1_541284561214624104645789101745678[[#This Row],[Type]]&gt;0,VLOOKUP(_1_541284561214624104645789101745678[[#This Row],[Type]],Main[[#All],[TYPE]:[UNIT]],'Unit Price'!D$1,FALSE),0)</f>
        <v>0</v>
      </c>
      <c r="I782" s="194">
        <f>IF(_1_541284561214624104645789101745678[[#This Row],[Type]]&gt;0,VLOOKUP(_1_541284561214624104645789101745678[[#This Row],[Type]],Main[[#All],[TYPE]:[UNIT]],'Unit Price'!G$1,FALSE),0)</f>
        <v>0</v>
      </c>
      <c r="J782" s="194">
        <f>IF(_1_541284561214624104645789101745678[[#This Row],[Type]]&gt;0,VLOOKUP(_1_541284561214624104645789101745678[[#This Row],[Type]],Main[[#All],[TYPE]:[UNIT]],'Unit Price'!H$1,FALSE),0)</f>
        <v>0</v>
      </c>
      <c r="K782" s="194">
        <f>IF(_1_541284561214624104645789101745678[[#This Row],[Discount selection]]&gt;0,VLOOKUP(_1_541284561214624104645789101745678[[#This Row],[Discount selection]],'Discount Structure'!$A$2:$B$30,2,"false"),0)</f>
        <v>1</v>
      </c>
      <c r="L782" s="194">
        <f>_1_541284561214624104645789101745678[[#This Row],[LIST $]]*_1_541284561214624104645789101745678[[#This Row],[DISCOUNT]]*_1_541284561214624104645789101745678[[#This Row],[DISCOUNT 2]]</f>
        <v>0</v>
      </c>
      <c r="M782" s="194">
        <f>IF(OR(_1_541284561214624104645789101745678[[#This Row],[UNIT]]&gt;0,_1_541284561214624104645789101745678[[#This Row],[UNIT]]&lt;0),_1_541284561214624104645789101745678[[#This Row],[UNIT]]*_1_541284561214624104645789101745678[[#This Row],[COST]],0)</f>
        <v>0</v>
      </c>
      <c r="N782" s="194">
        <f t="shared" si="12"/>
        <v>1.3</v>
      </c>
      <c r="O782" s="198">
        <f>_1_541284561214624104645789101745678[[#This Row],[TOTAL]]*_1_541284561214624104645789101745678[[#This Row],[MARGIN]]</f>
        <v>0</v>
      </c>
      <c r="R782" s="41"/>
    </row>
    <row r="783" spans="4:18">
      <c r="D783" s="188"/>
      <c r="F783" s="168" t="s">
        <v>6202</v>
      </c>
      <c r="G783" s="193">
        <f>IF(_1_541284561214624104645789101745678[[#This Row],[Type]]&gt;0,VLOOKUP(_1_541284561214624104645789101745678[[#This Row],[Type]],Main[[#All],[TYPE]:[UNIT]],'Unit Price'!C$1,FALSE),0)</f>
        <v>0</v>
      </c>
      <c r="H783" s="197">
        <f>IF(_1_541284561214624104645789101745678[[#This Row],[Type]]&gt;0,VLOOKUP(_1_541284561214624104645789101745678[[#This Row],[Type]],Main[[#All],[TYPE]:[UNIT]],'Unit Price'!D$1,FALSE),0)</f>
        <v>0</v>
      </c>
      <c r="I783" s="194">
        <f>IF(_1_541284561214624104645789101745678[[#This Row],[Type]]&gt;0,VLOOKUP(_1_541284561214624104645789101745678[[#This Row],[Type]],Main[[#All],[TYPE]:[UNIT]],'Unit Price'!G$1,FALSE),0)</f>
        <v>0</v>
      </c>
      <c r="J783" s="194">
        <f>IF(_1_541284561214624104645789101745678[[#This Row],[Type]]&gt;0,VLOOKUP(_1_541284561214624104645789101745678[[#This Row],[Type]],Main[[#All],[TYPE]:[UNIT]],'Unit Price'!H$1,FALSE),0)</f>
        <v>0</v>
      </c>
      <c r="K783" s="194">
        <f>IF(_1_541284561214624104645789101745678[[#This Row],[Discount selection]]&gt;0,VLOOKUP(_1_541284561214624104645789101745678[[#This Row],[Discount selection]],'Discount Structure'!$A$2:$B$30,2,"false"),0)</f>
        <v>1</v>
      </c>
      <c r="L783" s="194">
        <f>_1_541284561214624104645789101745678[[#This Row],[LIST $]]*_1_541284561214624104645789101745678[[#This Row],[DISCOUNT]]*_1_541284561214624104645789101745678[[#This Row],[DISCOUNT 2]]</f>
        <v>0</v>
      </c>
      <c r="M783" s="194">
        <f>IF(OR(_1_541284561214624104645789101745678[[#This Row],[UNIT]]&gt;0,_1_541284561214624104645789101745678[[#This Row],[UNIT]]&lt;0),_1_541284561214624104645789101745678[[#This Row],[UNIT]]*_1_541284561214624104645789101745678[[#This Row],[COST]],0)</f>
        <v>0</v>
      </c>
      <c r="N783" s="194">
        <f t="shared" si="12"/>
        <v>1.3</v>
      </c>
      <c r="O783" s="198">
        <f>_1_541284561214624104645789101745678[[#This Row],[TOTAL]]*_1_541284561214624104645789101745678[[#This Row],[MARGIN]]</f>
        <v>0</v>
      </c>
      <c r="R783" s="41"/>
    </row>
    <row r="784" spans="4:18">
      <c r="D784" s="188"/>
      <c r="F784" s="168" t="s">
        <v>6202</v>
      </c>
      <c r="G784" s="193">
        <f>IF(_1_541284561214624104645789101745678[[#This Row],[Type]]&gt;0,VLOOKUP(_1_541284561214624104645789101745678[[#This Row],[Type]],Main[[#All],[TYPE]:[UNIT]],'Unit Price'!C$1,FALSE),0)</f>
        <v>0</v>
      </c>
      <c r="H784" s="197">
        <f>IF(_1_541284561214624104645789101745678[[#This Row],[Type]]&gt;0,VLOOKUP(_1_541284561214624104645789101745678[[#This Row],[Type]],Main[[#All],[TYPE]:[UNIT]],'Unit Price'!D$1,FALSE),0)</f>
        <v>0</v>
      </c>
      <c r="I784" s="194">
        <f>IF(_1_541284561214624104645789101745678[[#This Row],[Type]]&gt;0,VLOOKUP(_1_541284561214624104645789101745678[[#This Row],[Type]],Main[[#All],[TYPE]:[UNIT]],'Unit Price'!G$1,FALSE),0)</f>
        <v>0</v>
      </c>
      <c r="J784" s="194">
        <f>IF(_1_541284561214624104645789101745678[[#This Row],[Type]]&gt;0,VLOOKUP(_1_541284561214624104645789101745678[[#This Row],[Type]],Main[[#All],[TYPE]:[UNIT]],'Unit Price'!H$1,FALSE),0)</f>
        <v>0</v>
      </c>
      <c r="K784" s="194">
        <f>IF(_1_541284561214624104645789101745678[[#This Row],[Discount selection]]&gt;0,VLOOKUP(_1_541284561214624104645789101745678[[#This Row],[Discount selection]],'Discount Structure'!$A$2:$B$30,2,"false"),0)</f>
        <v>1</v>
      </c>
      <c r="L784" s="194">
        <f>_1_541284561214624104645789101745678[[#This Row],[LIST $]]*_1_541284561214624104645789101745678[[#This Row],[DISCOUNT]]*_1_541284561214624104645789101745678[[#This Row],[DISCOUNT 2]]</f>
        <v>0</v>
      </c>
      <c r="M784" s="194">
        <f>IF(OR(_1_541284561214624104645789101745678[[#This Row],[UNIT]]&gt;0,_1_541284561214624104645789101745678[[#This Row],[UNIT]]&lt;0),_1_541284561214624104645789101745678[[#This Row],[UNIT]]*_1_541284561214624104645789101745678[[#This Row],[COST]],0)</f>
        <v>0</v>
      </c>
      <c r="N784" s="194">
        <f t="shared" si="12"/>
        <v>1.3</v>
      </c>
      <c r="O784" s="198">
        <f>_1_541284561214624104645789101745678[[#This Row],[TOTAL]]*_1_541284561214624104645789101745678[[#This Row],[MARGIN]]</f>
        <v>0</v>
      </c>
      <c r="R784" s="41"/>
    </row>
    <row r="785" spans="4:18">
      <c r="D785" s="188"/>
      <c r="F785" s="168" t="s">
        <v>6202</v>
      </c>
      <c r="G785" s="193">
        <f>IF(_1_541284561214624104645789101745678[[#This Row],[Type]]&gt;0,VLOOKUP(_1_541284561214624104645789101745678[[#This Row],[Type]],Main[[#All],[TYPE]:[UNIT]],'Unit Price'!C$1,FALSE),0)</f>
        <v>0</v>
      </c>
      <c r="H785" s="197">
        <f>IF(_1_541284561214624104645789101745678[[#This Row],[Type]]&gt;0,VLOOKUP(_1_541284561214624104645789101745678[[#This Row],[Type]],Main[[#All],[TYPE]:[UNIT]],'Unit Price'!D$1,FALSE),0)</f>
        <v>0</v>
      </c>
      <c r="I785" s="194">
        <f>IF(_1_541284561214624104645789101745678[[#This Row],[Type]]&gt;0,VLOOKUP(_1_541284561214624104645789101745678[[#This Row],[Type]],Main[[#All],[TYPE]:[UNIT]],'Unit Price'!G$1,FALSE),0)</f>
        <v>0</v>
      </c>
      <c r="J785" s="194">
        <f>IF(_1_541284561214624104645789101745678[[#This Row],[Type]]&gt;0,VLOOKUP(_1_541284561214624104645789101745678[[#This Row],[Type]],Main[[#All],[TYPE]:[UNIT]],'Unit Price'!H$1,FALSE),0)</f>
        <v>0</v>
      </c>
      <c r="K785" s="194">
        <f>IF(_1_541284561214624104645789101745678[[#This Row],[Discount selection]]&gt;0,VLOOKUP(_1_541284561214624104645789101745678[[#This Row],[Discount selection]],'Discount Structure'!$A$2:$B$30,2,"false"),0)</f>
        <v>1</v>
      </c>
      <c r="L785" s="194">
        <f>_1_541284561214624104645789101745678[[#This Row],[LIST $]]*_1_541284561214624104645789101745678[[#This Row],[DISCOUNT]]*_1_541284561214624104645789101745678[[#This Row],[DISCOUNT 2]]</f>
        <v>0</v>
      </c>
      <c r="M785" s="194">
        <f>IF(OR(_1_541284561214624104645789101745678[[#This Row],[UNIT]]&gt;0,_1_541284561214624104645789101745678[[#This Row],[UNIT]]&lt;0),_1_541284561214624104645789101745678[[#This Row],[UNIT]]*_1_541284561214624104645789101745678[[#This Row],[COST]],0)</f>
        <v>0</v>
      </c>
      <c r="N785" s="194">
        <f t="shared" si="12"/>
        <v>1.3</v>
      </c>
      <c r="O785" s="198">
        <f>_1_541284561214624104645789101745678[[#This Row],[TOTAL]]*_1_541284561214624104645789101745678[[#This Row],[MARGIN]]</f>
        <v>0</v>
      </c>
      <c r="R785" s="41"/>
    </row>
    <row r="786" spans="4:18">
      <c r="D786" s="188"/>
      <c r="F786" s="168" t="s">
        <v>6202</v>
      </c>
      <c r="G786" s="193">
        <f>IF(_1_541284561214624104645789101745678[[#This Row],[Type]]&gt;0,VLOOKUP(_1_541284561214624104645789101745678[[#This Row],[Type]],Main[[#All],[TYPE]:[UNIT]],'Unit Price'!C$1,FALSE),0)</f>
        <v>0</v>
      </c>
      <c r="H786" s="197">
        <f>IF(_1_541284561214624104645789101745678[[#This Row],[Type]]&gt;0,VLOOKUP(_1_541284561214624104645789101745678[[#This Row],[Type]],Main[[#All],[TYPE]:[UNIT]],'Unit Price'!D$1,FALSE),0)</f>
        <v>0</v>
      </c>
      <c r="I786" s="194">
        <f>IF(_1_541284561214624104645789101745678[[#This Row],[Type]]&gt;0,VLOOKUP(_1_541284561214624104645789101745678[[#This Row],[Type]],Main[[#All],[TYPE]:[UNIT]],'Unit Price'!G$1,FALSE),0)</f>
        <v>0</v>
      </c>
      <c r="J786" s="194">
        <f>IF(_1_541284561214624104645789101745678[[#This Row],[Type]]&gt;0,VLOOKUP(_1_541284561214624104645789101745678[[#This Row],[Type]],Main[[#All],[TYPE]:[UNIT]],'Unit Price'!H$1,FALSE),0)</f>
        <v>0</v>
      </c>
      <c r="K786" s="194">
        <f>IF(_1_541284561214624104645789101745678[[#This Row],[Discount selection]]&gt;0,VLOOKUP(_1_541284561214624104645789101745678[[#This Row],[Discount selection]],'Discount Structure'!$A$2:$B$30,2,"false"),0)</f>
        <v>1</v>
      </c>
      <c r="L786" s="194">
        <f>_1_541284561214624104645789101745678[[#This Row],[LIST $]]*_1_541284561214624104645789101745678[[#This Row],[DISCOUNT]]*_1_541284561214624104645789101745678[[#This Row],[DISCOUNT 2]]</f>
        <v>0</v>
      </c>
      <c r="M786" s="194">
        <f>IF(OR(_1_541284561214624104645789101745678[[#This Row],[UNIT]]&gt;0,_1_541284561214624104645789101745678[[#This Row],[UNIT]]&lt;0),_1_541284561214624104645789101745678[[#This Row],[UNIT]]*_1_541284561214624104645789101745678[[#This Row],[COST]],0)</f>
        <v>0</v>
      </c>
      <c r="N786" s="194">
        <f t="shared" si="12"/>
        <v>1.3</v>
      </c>
      <c r="O786" s="198">
        <f>_1_541284561214624104645789101745678[[#This Row],[TOTAL]]*_1_541284561214624104645789101745678[[#This Row],[MARGIN]]</f>
        <v>0</v>
      </c>
      <c r="R786" s="41"/>
    </row>
    <row r="787" spans="4:18">
      <c r="D787" s="188"/>
      <c r="F787" s="168" t="s">
        <v>6202</v>
      </c>
      <c r="G787" s="193">
        <f>IF(_1_541284561214624104645789101745678[[#This Row],[Type]]&gt;0,VLOOKUP(_1_541284561214624104645789101745678[[#This Row],[Type]],Main[[#All],[TYPE]:[UNIT]],'Unit Price'!C$1,FALSE),0)</f>
        <v>0</v>
      </c>
      <c r="H787" s="197">
        <f>IF(_1_541284561214624104645789101745678[[#This Row],[Type]]&gt;0,VLOOKUP(_1_541284561214624104645789101745678[[#This Row],[Type]],Main[[#All],[TYPE]:[UNIT]],'Unit Price'!D$1,FALSE),0)</f>
        <v>0</v>
      </c>
      <c r="I787" s="194">
        <f>IF(_1_541284561214624104645789101745678[[#This Row],[Type]]&gt;0,VLOOKUP(_1_541284561214624104645789101745678[[#This Row],[Type]],Main[[#All],[TYPE]:[UNIT]],'Unit Price'!G$1,FALSE),0)</f>
        <v>0</v>
      </c>
      <c r="J787" s="194">
        <f>IF(_1_541284561214624104645789101745678[[#This Row],[Type]]&gt;0,VLOOKUP(_1_541284561214624104645789101745678[[#This Row],[Type]],Main[[#All],[TYPE]:[UNIT]],'Unit Price'!H$1,FALSE),0)</f>
        <v>0</v>
      </c>
      <c r="K787" s="194">
        <f>IF(_1_541284561214624104645789101745678[[#This Row],[Discount selection]]&gt;0,VLOOKUP(_1_541284561214624104645789101745678[[#This Row],[Discount selection]],'Discount Structure'!$A$2:$B$30,2,"false"),0)</f>
        <v>1</v>
      </c>
      <c r="L787" s="194">
        <f>_1_541284561214624104645789101745678[[#This Row],[LIST $]]*_1_541284561214624104645789101745678[[#This Row],[DISCOUNT]]*_1_541284561214624104645789101745678[[#This Row],[DISCOUNT 2]]</f>
        <v>0</v>
      </c>
      <c r="M787" s="194">
        <f>IF(OR(_1_541284561214624104645789101745678[[#This Row],[UNIT]]&gt;0,_1_541284561214624104645789101745678[[#This Row],[UNIT]]&lt;0),_1_541284561214624104645789101745678[[#This Row],[UNIT]]*_1_541284561214624104645789101745678[[#This Row],[COST]],0)</f>
        <v>0</v>
      </c>
      <c r="N787" s="194">
        <f t="shared" si="12"/>
        <v>1.3</v>
      </c>
      <c r="O787" s="198">
        <f>_1_541284561214624104645789101745678[[#This Row],[TOTAL]]*_1_541284561214624104645789101745678[[#This Row],[MARGIN]]</f>
        <v>0</v>
      </c>
      <c r="R787" s="41"/>
    </row>
    <row r="788" spans="4:18">
      <c r="D788" s="188"/>
      <c r="F788" s="168" t="s">
        <v>6202</v>
      </c>
      <c r="G788" s="193">
        <f>IF(_1_541284561214624104645789101745678[[#This Row],[Type]]&gt;0,VLOOKUP(_1_541284561214624104645789101745678[[#This Row],[Type]],Main[[#All],[TYPE]:[UNIT]],'Unit Price'!C$1,FALSE),0)</f>
        <v>0</v>
      </c>
      <c r="H788" s="197">
        <f>IF(_1_541284561214624104645789101745678[[#This Row],[Type]]&gt;0,VLOOKUP(_1_541284561214624104645789101745678[[#This Row],[Type]],Main[[#All],[TYPE]:[UNIT]],'Unit Price'!D$1,FALSE),0)</f>
        <v>0</v>
      </c>
      <c r="I788" s="194">
        <f>IF(_1_541284561214624104645789101745678[[#This Row],[Type]]&gt;0,VLOOKUP(_1_541284561214624104645789101745678[[#This Row],[Type]],Main[[#All],[TYPE]:[UNIT]],'Unit Price'!G$1,FALSE),0)</f>
        <v>0</v>
      </c>
      <c r="J788" s="194">
        <f>IF(_1_541284561214624104645789101745678[[#This Row],[Type]]&gt;0,VLOOKUP(_1_541284561214624104645789101745678[[#This Row],[Type]],Main[[#All],[TYPE]:[UNIT]],'Unit Price'!H$1,FALSE),0)</f>
        <v>0</v>
      </c>
      <c r="K788" s="194">
        <f>IF(_1_541284561214624104645789101745678[[#This Row],[Discount selection]]&gt;0,VLOOKUP(_1_541284561214624104645789101745678[[#This Row],[Discount selection]],'Discount Structure'!$A$2:$B$30,2,"false"),0)</f>
        <v>1</v>
      </c>
      <c r="L788" s="194">
        <f>_1_541284561214624104645789101745678[[#This Row],[LIST $]]*_1_541284561214624104645789101745678[[#This Row],[DISCOUNT]]*_1_541284561214624104645789101745678[[#This Row],[DISCOUNT 2]]</f>
        <v>0</v>
      </c>
      <c r="M788" s="194">
        <f>IF(OR(_1_541284561214624104645789101745678[[#This Row],[UNIT]]&gt;0,_1_541284561214624104645789101745678[[#This Row],[UNIT]]&lt;0),_1_541284561214624104645789101745678[[#This Row],[UNIT]]*_1_541284561214624104645789101745678[[#This Row],[COST]],0)</f>
        <v>0</v>
      </c>
      <c r="N788" s="194">
        <f t="shared" si="12"/>
        <v>1.3</v>
      </c>
      <c r="O788" s="198">
        <f>_1_541284561214624104645789101745678[[#This Row],[TOTAL]]*_1_541284561214624104645789101745678[[#This Row],[MARGIN]]</f>
        <v>0</v>
      </c>
      <c r="R788" s="41"/>
    </row>
    <row r="789" spans="4:18">
      <c r="D789" s="188"/>
      <c r="F789" s="168" t="s">
        <v>6202</v>
      </c>
      <c r="G789" s="193">
        <f>IF(_1_541284561214624104645789101745678[[#This Row],[Type]]&gt;0,VLOOKUP(_1_541284561214624104645789101745678[[#This Row],[Type]],Main[[#All],[TYPE]:[UNIT]],'Unit Price'!C$1,FALSE),0)</f>
        <v>0</v>
      </c>
      <c r="H789" s="197">
        <f>IF(_1_541284561214624104645789101745678[[#This Row],[Type]]&gt;0,VLOOKUP(_1_541284561214624104645789101745678[[#This Row],[Type]],Main[[#All],[TYPE]:[UNIT]],'Unit Price'!D$1,FALSE),0)</f>
        <v>0</v>
      </c>
      <c r="I789" s="194">
        <f>IF(_1_541284561214624104645789101745678[[#This Row],[Type]]&gt;0,VLOOKUP(_1_541284561214624104645789101745678[[#This Row],[Type]],Main[[#All],[TYPE]:[UNIT]],'Unit Price'!G$1,FALSE),0)</f>
        <v>0</v>
      </c>
      <c r="J789" s="194">
        <f>IF(_1_541284561214624104645789101745678[[#This Row],[Type]]&gt;0,VLOOKUP(_1_541284561214624104645789101745678[[#This Row],[Type]],Main[[#All],[TYPE]:[UNIT]],'Unit Price'!H$1,FALSE),0)</f>
        <v>0</v>
      </c>
      <c r="K789" s="194">
        <f>IF(_1_541284561214624104645789101745678[[#This Row],[Discount selection]]&gt;0,VLOOKUP(_1_541284561214624104645789101745678[[#This Row],[Discount selection]],'Discount Structure'!$A$2:$B$30,2,"false"),0)</f>
        <v>1</v>
      </c>
      <c r="L789" s="194">
        <f>_1_541284561214624104645789101745678[[#This Row],[LIST $]]*_1_541284561214624104645789101745678[[#This Row],[DISCOUNT]]*_1_541284561214624104645789101745678[[#This Row],[DISCOUNT 2]]</f>
        <v>0</v>
      </c>
      <c r="M789" s="194">
        <f>IF(OR(_1_541284561214624104645789101745678[[#This Row],[UNIT]]&gt;0,_1_541284561214624104645789101745678[[#This Row],[UNIT]]&lt;0),_1_541284561214624104645789101745678[[#This Row],[UNIT]]*_1_541284561214624104645789101745678[[#This Row],[COST]],0)</f>
        <v>0</v>
      </c>
      <c r="N789" s="194">
        <f t="shared" si="12"/>
        <v>1.3</v>
      </c>
      <c r="O789" s="198">
        <f>_1_541284561214624104645789101745678[[#This Row],[TOTAL]]*_1_541284561214624104645789101745678[[#This Row],[MARGIN]]</f>
        <v>0</v>
      </c>
      <c r="R789" s="41"/>
    </row>
    <row r="790" spans="4:18">
      <c r="D790" s="188"/>
      <c r="F790" s="168" t="s">
        <v>6202</v>
      </c>
      <c r="G790" s="193">
        <f>IF(_1_541284561214624104645789101745678[[#This Row],[Type]]&gt;0,VLOOKUP(_1_541284561214624104645789101745678[[#This Row],[Type]],Main[[#All],[TYPE]:[UNIT]],'Unit Price'!C$1,FALSE),0)</f>
        <v>0</v>
      </c>
      <c r="H790" s="197">
        <f>IF(_1_541284561214624104645789101745678[[#This Row],[Type]]&gt;0,VLOOKUP(_1_541284561214624104645789101745678[[#This Row],[Type]],Main[[#All],[TYPE]:[UNIT]],'Unit Price'!D$1,FALSE),0)</f>
        <v>0</v>
      </c>
      <c r="I790" s="194">
        <f>IF(_1_541284561214624104645789101745678[[#This Row],[Type]]&gt;0,VLOOKUP(_1_541284561214624104645789101745678[[#This Row],[Type]],Main[[#All],[TYPE]:[UNIT]],'Unit Price'!G$1,FALSE),0)</f>
        <v>0</v>
      </c>
      <c r="J790" s="194">
        <f>IF(_1_541284561214624104645789101745678[[#This Row],[Type]]&gt;0,VLOOKUP(_1_541284561214624104645789101745678[[#This Row],[Type]],Main[[#All],[TYPE]:[UNIT]],'Unit Price'!H$1,FALSE),0)</f>
        <v>0</v>
      </c>
      <c r="K790" s="194">
        <f>IF(_1_541284561214624104645789101745678[[#This Row],[Discount selection]]&gt;0,VLOOKUP(_1_541284561214624104645789101745678[[#This Row],[Discount selection]],'Discount Structure'!$A$2:$B$30,2,"false"),0)</f>
        <v>1</v>
      </c>
      <c r="L790" s="194">
        <f>_1_541284561214624104645789101745678[[#This Row],[LIST $]]*_1_541284561214624104645789101745678[[#This Row],[DISCOUNT]]*_1_541284561214624104645789101745678[[#This Row],[DISCOUNT 2]]</f>
        <v>0</v>
      </c>
      <c r="M790" s="194">
        <f>IF(OR(_1_541284561214624104645789101745678[[#This Row],[UNIT]]&gt;0,_1_541284561214624104645789101745678[[#This Row],[UNIT]]&lt;0),_1_541284561214624104645789101745678[[#This Row],[UNIT]]*_1_541284561214624104645789101745678[[#This Row],[COST]],0)</f>
        <v>0</v>
      </c>
      <c r="N790" s="194">
        <f t="shared" si="12"/>
        <v>1.3</v>
      </c>
      <c r="O790" s="198">
        <f>_1_541284561214624104645789101745678[[#This Row],[TOTAL]]*_1_541284561214624104645789101745678[[#This Row],[MARGIN]]</f>
        <v>0</v>
      </c>
      <c r="R790" s="41"/>
    </row>
    <row r="791" spans="4:18">
      <c r="D791" s="188"/>
      <c r="F791" s="168" t="s">
        <v>6202</v>
      </c>
      <c r="G791" s="193">
        <f>IF(_1_541284561214624104645789101745678[[#This Row],[Type]]&gt;0,VLOOKUP(_1_541284561214624104645789101745678[[#This Row],[Type]],Main[[#All],[TYPE]:[UNIT]],'Unit Price'!C$1,FALSE),0)</f>
        <v>0</v>
      </c>
      <c r="H791" s="197">
        <f>IF(_1_541284561214624104645789101745678[[#This Row],[Type]]&gt;0,VLOOKUP(_1_541284561214624104645789101745678[[#This Row],[Type]],Main[[#All],[TYPE]:[UNIT]],'Unit Price'!D$1,FALSE),0)</f>
        <v>0</v>
      </c>
      <c r="I791" s="194">
        <f>IF(_1_541284561214624104645789101745678[[#This Row],[Type]]&gt;0,VLOOKUP(_1_541284561214624104645789101745678[[#This Row],[Type]],Main[[#All],[TYPE]:[UNIT]],'Unit Price'!G$1,FALSE),0)</f>
        <v>0</v>
      </c>
      <c r="J791" s="194">
        <f>IF(_1_541284561214624104645789101745678[[#This Row],[Type]]&gt;0,VLOOKUP(_1_541284561214624104645789101745678[[#This Row],[Type]],Main[[#All],[TYPE]:[UNIT]],'Unit Price'!H$1,FALSE),0)</f>
        <v>0</v>
      </c>
      <c r="K791" s="194">
        <f>IF(_1_541284561214624104645789101745678[[#This Row],[Discount selection]]&gt;0,VLOOKUP(_1_541284561214624104645789101745678[[#This Row],[Discount selection]],'Discount Structure'!$A$2:$B$30,2,"false"),0)</f>
        <v>1</v>
      </c>
      <c r="L791" s="194">
        <f>_1_541284561214624104645789101745678[[#This Row],[LIST $]]*_1_541284561214624104645789101745678[[#This Row],[DISCOUNT]]*_1_541284561214624104645789101745678[[#This Row],[DISCOUNT 2]]</f>
        <v>0</v>
      </c>
      <c r="M791" s="194">
        <f>IF(OR(_1_541284561214624104645789101745678[[#This Row],[UNIT]]&gt;0,_1_541284561214624104645789101745678[[#This Row],[UNIT]]&lt;0),_1_541284561214624104645789101745678[[#This Row],[UNIT]]*_1_541284561214624104645789101745678[[#This Row],[COST]],0)</f>
        <v>0</v>
      </c>
      <c r="N791" s="194">
        <f t="shared" si="12"/>
        <v>1.3</v>
      </c>
      <c r="O791" s="198">
        <f>_1_541284561214624104645789101745678[[#This Row],[TOTAL]]*_1_541284561214624104645789101745678[[#This Row],[MARGIN]]</f>
        <v>0</v>
      </c>
      <c r="R791" s="41"/>
    </row>
    <row r="792" spans="4:18">
      <c r="D792" s="188"/>
      <c r="F792" s="168" t="s">
        <v>6202</v>
      </c>
      <c r="G792" s="193">
        <f>IF(_1_541284561214624104645789101745678[[#This Row],[Type]]&gt;0,VLOOKUP(_1_541284561214624104645789101745678[[#This Row],[Type]],Main[[#All],[TYPE]:[UNIT]],'Unit Price'!C$1,FALSE),0)</f>
        <v>0</v>
      </c>
      <c r="H792" s="197">
        <f>IF(_1_541284561214624104645789101745678[[#This Row],[Type]]&gt;0,VLOOKUP(_1_541284561214624104645789101745678[[#This Row],[Type]],Main[[#All],[TYPE]:[UNIT]],'Unit Price'!D$1,FALSE),0)</f>
        <v>0</v>
      </c>
      <c r="I792" s="194">
        <f>IF(_1_541284561214624104645789101745678[[#This Row],[Type]]&gt;0,VLOOKUP(_1_541284561214624104645789101745678[[#This Row],[Type]],Main[[#All],[TYPE]:[UNIT]],'Unit Price'!G$1,FALSE),0)</f>
        <v>0</v>
      </c>
      <c r="J792" s="194">
        <f>IF(_1_541284561214624104645789101745678[[#This Row],[Type]]&gt;0,VLOOKUP(_1_541284561214624104645789101745678[[#This Row],[Type]],Main[[#All],[TYPE]:[UNIT]],'Unit Price'!H$1,FALSE),0)</f>
        <v>0</v>
      </c>
      <c r="K792" s="194">
        <f>IF(_1_541284561214624104645789101745678[[#This Row],[Discount selection]]&gt;0,VLOOKUP(_1_541284561214624104645789101745678[[#This Row],[Discount selection]],'Discount Structure'!$A$2:$B$30,2,"false"),0)</f>
        <v>1</v>
      </c>
      <c r="L792" s="194">
        <f>_1_541284561214624104645789101745678[[#This Row],[LIST $]]*_1_541284561214624104645789101745678[[#This Row],[DISCOUNT]]*_1_541284561214624104645789101745678[[#This Row],[DISCOUNT 2]]</f>
        <v>0</v>
      </c>
      <c r="M792" s="194">
        <f>IF(OR(_1_541284561214624104645789101745678[[#This Row],[UNIT]]&gt;0,_1_541284561214624104645789101745678[[#This Row],[UNIT]]&lt;0),_1_541284561214624104645789101745678[[#This Row],[UNIT]]*_1_541284561214624104645789101745678[[#This Row],[COST]],0)</f>
        <v>0</v>
      </c>
      <c r="N792" s="194">
        <f t="shared" si="12"/>
        <v>1.3</v>
      </c>
      <c r="O792" s="198">
        <f>_1_541284561214624104645789101745678[[#This Row],[TOTAL]]*_1_541284561214624104645789101745678[[#This Row],[MARGIN]]</f>
        <v>0</v>
      </c>
      <c r="R792" s="41"/>
    </row>
    <row r="793" spans="4:18">
      <c r="D793" s="188"/>
      <c r="F793" s="168" t="s">
        <v>6202</v>
      </c>
      <c r="G793" s="193">
        <f>IF(_1_541284561214624104645789101745678[[#This Row],[Type]]&gt;0,VLOOKUP(_1_541284561214624104645789101745678[[#This Row],[Type]],Main[[#All],[TYPE]:[UNIT]],'Unit Price'!C$1,FALSE),0)</f>
        <v>0</v>
      </c>
      <c r="H793" s="197">
        <f>IF(_1_541284561214624104645789101745678[[#This Row],[Type]]&gt;0,VLOOKUP(_1_541284561214624104645789101745678[[#This Row],[Type]],Main[[#All],[TYPE]:[UNIT]],'Unit Price'!D$1,FALSE),0)</f>
        <v>0</v>
      </c>
      <c r="I793" s="194">
        <f>IF(_1_541284561214624104645789101745678[[#This Row],[Type]]&gt;0,VLOOKUP(_1_541284561214624104645789101745678[[#This Row],[Type]],Main[[#All],[TYPE]:[UNIT]],'Unit Price'!G$1,FALSE),0)</f>
        <v>0</v>
      </c>
      <c r="J793" s="194">
        <f>IF(_1_541284561214624104645789101745678[[#This Row],[Type]]&gt;0,VLOOKUP(_1_541284561214624104645789101745678[[#This Row],[Type]],Main[[#All],[TYPE]:[UNIT]],'Unit Price'!H$1,FALSE),0)</f>
        <v>0</v>
      </c>
      <c r="K793" s="194">
        <f>IF(_1_541284561214624104645789101745678[[#This Row],[Discount selection]]&gt;0,VLOOKUP(_1_541284561214624104645789101745678[[#This Row],[Discount selection]],'Discount Structure'!$A$2:$B$30,2,"false"),0)</f>
        <v>1</v>
      </c>
      <c r="L793" s="194">
        <f>_1_541284561214624104645789101745678[[#This Row],[LIST $]]*_1_541284561214624104645789101745678[[#This Row],[DISCOUNT]]*_1_541284561214624104645789101745678[[#This Row],[DISCOUNT 2]]</f>
        <v>0</v>
      </c>
      <c r="M793" s="194">
        <f>IF(OR(_1_541284561214624104645789101745678[[#This Row],[UNIT]]&gt;0,_1_541284561214624104645789101745678[[#This Row],[UNIT]]&lt;0),_1_541284561214624104645789101745678[[#This Row],[UNIT]]*_1_541284561214624104645789101745678[[#This Row],[COST]],0)</f>
        <v>0</v>
      </c>
      <c r="N793" s="194">
        <f t="shared" si="12"/>
        <v>1.3</v>
      </c>
      <c r="O793" s="198">
        <f>_1_541284561214624104645789101745678[[#This Row],[TOTAL]]*_1_541284561214624104645789101745678[[#This Row],[MARGIN]]</f>
        <v>0</v>
      </c>
      <c r="R793" s="41"/>
    </row>
    <row r="794" spans="4:18">
      <c r="D794" s="188"/>
      <c r="F794" s="168" t="s">
        <v>6202</v>
      </c>
      <c r="G794" s="193">
        <f>IF(_1_541284561214624104645789101745678[[#This Row],[Type]]&gt;0,VLOOKUP(_1_541284561214624104645789101745678[[#This Row],[Type]],Main[[#All],[TYPE]:[UNIT]],'Unit Price'!C$1,FALSE),0)</f>
        <v>0</v>
      </c>
      <c r="H794" s="197">
        <f>IF(_1_541284561214624104645789101745678[[#This Row],[Type]]&gt;0,VLOOKUP(_1_541284561214624104645789101745678[[#This Row],[Type]],Main[[#All],[TYPE]:[UNIT]],'Unit Price'!D$1,FALSE),0)</f>
        <v>0</v>
      </c>
      <c r="I794" s="194">
        <f>IF(_1_541284561214624104645789101745678[[#This Row],[Type]]&gt;0,VLOOKUP(_1_541284561214624104645789101745678[[#This Row],[Type]],Main[[#All],[TYPE]:[UNIT]],'Unit Price'!G$1,FALSE),0)</f>
        <v>0</v>
      </c>
      <c r="J794" s="194">
        <f>IF(_1_541284561214624104645789101745678[[#This Row],[Type]]&gt;0,VLOOKUP(_1_541284561214624104645789101745678[[#This Row],[Type]],Main[[#All],[TYPE]:[UNIT]],'Unit Price'!H$1,FALSE),0)</f>
        <v>0</v>
      </c>
      <c r="K794" s="194">
        <f>IF(_1_541284561214624104645789101745678[[#This Row],[Discount selection]]&gt;0,VLOOKUP(_1_541284561214624104645789101745678[[#This Row],[Discount selection]],'Discount Structure'!$A$2:$B$30,2,"false"),0)</f>
        <v>1</v>
      </c>
      <c r="L794" s="194">
        <f>_1_541284561214624104645789101745678[[#This Row],[LIST $]]*_1_541284561214624104645789101745678[[#This Row],[DISCOUNT]]*_1_541284561214624104645789101745678[[#This Row],[DISCOUNT 2]]</f>
        <v>0</v>
      </c>
      <c r="M794" s="194">
        <f>IF(OR(_1_541284561214624104645789101745678[[#This Row],[UNIT]]&gt;0,_1_541284561214624104645789101745678[[#This Row],[UNIT]]&lt;0),_1_541284561214624104645789101745678[[#This Row],[UNIT]]*_1_541284561214624104645789101745678[[#This Row],[COST]],0)</f>
        <v>0</v>
      </c>
      <c r="N794" s="194">
        <f t="shared" si="12"/>
        <v>1.3</v>
      </c>
      <c r="O794" s="198">
        <f>_1_541284561214624104645789101745678[[#This Row],[TOTAL]]*_1_541284561214624104645789101745678[[#This Row],[MARGIN]]</f>
        <v>0</v>
      </c>
      <c r="R794" s="41"/>
    </row>
    <row r="795" spans="4:18">
      <c r="D795" s="188"/>
      <c r="F795" s="168" t="s">
        <v>6202</v>
      </c>
      <c r="G795" s="193">
        <f>IF(_1_541284561214624104645789101745678[[#This Row],[Type]]&gt;0,VLOOKUP(_1_541284561214624104645789101745678[[#This Row],[Type]],Main[[#All],[TYPE]:[UNIT]],'Unit Price'!C$1,FALSE),0)</f>
        <v>0</v>
      </c>
      <c r="H795" s="197">
        <f>IF(_1_541284561214624104645789101745678[[#This Row],[Type]]&gt;0,VLOOKUP(_1_541284561214624104645789101745678[[#This Row],[Type]],Main[[#All],[TYPE]:[UNIT]],'Unit Price'!D$1,FALSE),0)</f>
        <v>0</v>
      </c>
      <c r="I795" s="194">
        <f>IF(_1_541284561214624104645789101745678[[#This Row],[Type]]&gt;0,VLOOKUP(_1_541284561214624104645789101745678[[#This Row],[Type]],Main[[#All],[TYPE]:[UNIT]],'Unit Price'!G$1,FALSE),0)</f>
        <v>0</v>
      </c>
      <c r="J795" s="194">
        <f>IF(_1_541284561214624104645789101745678[[#This Row],[Type]]&gt;0,VLOOKUP(_1_541284561214624104645789101745678[[#This Row],[Type]],Main[[#All],[TYPE]:[UNIT]],'Unit Price'!H$1,FALSE),0)</f>
        <v>0</v>
      </c>
      <c r="K795" s="194">
        <f>IF(_1_541284561214624104645789101745678[[#This Row],[Discount selection]]&gt;0,VLOOKUP(_1_541284561214624104645789101745678[[#This Row],[Discount selection]],'Discount Structure'!$A$2:$B$30,2,"false"),0)</f>
        <v>1</v>
      </c>
      <c r="L795" s="194">
        <f>_1_541284561214624104645789101745678[[#This Row],[LIST $]]*_1_541284561214624104645789101745678[[#This Row],[DISCOUNT]]*_1_541284561214624104645789101745678[[#This Row],[DISCOUNT 2]]</f>
        <v>0</v>
      </c>
      <c r="M795" s="194">
        <f>IF(OR(_1_541284561214624104645789101745678[[#This Row],[UNIT]]&gt;0,_1_541284561214624104645789101745678[[#This Row],[UNIT]]&lt;0),_1_541284561214624104645789101745678[[#This Row],[UNIT]]*_1_541284561214624104645789101745678[[#This Row],[COST]],0)</f>
        <v>0</v>
      </c>
      <c r="N795" s="194">
        <f t="shared" si="12"/>
        <v>1.3</v>
      </c>
      <c r="O795" s="198">
        <f>_1_541284561214624104645789101745678[[#This Row],[TOTAL]]*_1_541284561214624104645789101745678[[#This Row],[MARGIN]]</f>
        <v>0</v>
      </c>
      <c r="R795" s="41"/>
    </row>
    <row r="796" spans="4:18">
      <c r="D796" s="188"/>
      <c r="F796" s="168" t="s">
        <v>6202</v>
      </c>
      <c r="G796" s="193">
        <f>IF(_1_541284561214624104645789101745678[[#This Row],[Type]]&gt;0,VLOOKUP(_1_541284561214624104645789101745678[[#This Row],[Type]],Main[[#All],[TYPE]:[UNIT]],'Unit Price'!C$1,FALSE),0)</f>
        <v>0</v>
      </c>
      <c r="H796" s="197">
        <f>IF(_1_541284561214624104645789101745678[[#This Row],[Type]]&gt;0,VLOOKUP(_1_541284561214624104645789101745678[[#This Row],[Type]],Main[[#All],[TYPE]:[UNIT]],'Unit Price'!D$1,FALSE),0)</f>
        <v>0</v>
      </c>
      <c r="I796" s="194">
        <f>IF(_1_541284561214624104645789101745678[[#This Row],[Type]]&gt;0,VLOOKUP(_1_541284561214624104645789101745678[[#This Row],[Type]],Main[[#All],[TYPE]:[UNIT]],'Unit Price'!G$1,FALSE),0)</f>
        <v>0</v>
      </c>
      <c r="J796" s="194">
        <f>IF(_1_541284561214624104645789101745678[[#This Row],[Type]]&gt;0,VLOOKUP(_1_541284561214624104645789101745678[[#This Row],[Type]],Main[[#All],[TYPE]:[UNIT]],'Unit Price'!H$1,FALSE),0)</f>
        <v>0</v>
      </c>
      <c r="K796" s="194">
        <f>IF(_1_541284561214624104645789101745678[[#This Row],[Discount selection]]&gt;0,VLOOKUP(_1_541284561214624104645789101745678[[#This Row],[Discount selection]],'Discount Structure'!$A$2:$B$30,2,"false"),0)</f>
        <v>1</v>
      </c>
      <c r="L796" s="194">
        <f>_1_541284561214624104645789101745678[[#This Row],[LIST $]]*_1_541284561214624104645789101745678[[#This Row],[DISCOUNT]]*_1_541284561214624104645789101745678[[#This Row],[DISCOUNT 2]]</f>
        <v>0</v>
      </c>
      <c r="M796" s="194">
        <f>IF(OR(_1_541284561214624104645789101745678[[#This Row],[UNIT]]&gt;0,_1_541284561214624104645789101745678[[#This Row],[UNIT]]&lt;0),_1_541284561214624104645789101745678[[#This Row],[UNIT]]*_1_541284561214624104645789101745678[[#This Row],[COST]],0)</f>
        <v>0</v>
      </c>
      <c r="N796" s="194">
        <f t="shared" si="12"/>
        <v>1.3</v>
      </c>
      <c r="O796" s="198">
        <f>_1_541284561214624104645789101745678[[#This Row],[TOTAL]]*_1_541284561214624104645789101745678[[#This Row],[MARGIN]]</f>
        <v>0</v>
      </c>
      <c r="R796" s="41"/>
    </row>
    <row r="797" spans="4:18">
      <c r="D797" s="188"/>
      <c r="F797" s="168" t="s">
        <v>6202</v>
      </c>
      <c r="G797" s="193">
        <f>IF(_1_541284561214624104645789101745678[[#This Row],[Type]]&gt;0,VLOOKUP(_1_541284561214624104645789101745678[[#This Row],[Type]],Main[[#All],[TYPE]:[UNIT]],'Unit Price'!C$1,FALSE),0)</f>
        <v>0</v>
      </c>
      <c r="H797" s="197">
        <f>IF(_1_541284561214624104645789101745678[[#This Row],[Type]]&gt;0,VLOOKUP(_1_541284561214624104645789101745678[[#This Row],[Type]],Main[[#All],[TYPE]:[UNIT]],'Unit Price'!D$1,FALSE),0)</f>
        <v>0</v>
      </c>
      <c r="I797" s="194">
        <f>IF(_1_541284561214624104645789101745678[[#This Row],[Type]]&gt;0,VLOOKUP(_1_541284561214624104645789101745678[[#This Row],[Type]],Main[[#All],[TYPE]:[UNIT]],'Unit Price'!G$1,FALSE),0)</f>
        <v>0</v>
      </c>
      <c r="J797" s="194">
        <f>IF(_1_541284561214624104645789101745678[[#This Row],[Type]]&gt;0,VLOOKUP(_1_541284561214624104645789101745678[[#This Row],[Type]],Main[[#All],[TYPE]:[UNIT]],'Unit Price'!H$1,FALSE),0)</f>
        <v>0</v>
      </c>
      <c r="K797" s="194">
        <f>IF(_1_541284561214624104645789101745678[[#This Row],[Discount selection]]&gt;0,VLOOKUP(_1_541284561214624104645789101745678[[#This Row],[Discount selection]],'Discount Structure'!$A$2:$B$30,2,"false"),0)</f>
        <v>1</v>
      </c>
      <c r="L797" s="194">
        <f>_1_541284561214624104645789101745678[[#This Row],[LIST $]]*_1_541284561214624104645789101745678[[#This Row],[DISCOUNT]]*_1_541284561214624104645789101745678[[#This Row],[DISCOUNT 2]]</f>
        <v>0</v>
      </c>
      <c r="M797" s="194">
        <f>IF(OR(_1_541284561214624104645789101745678[[#This Row],[UNIT]]&gt;0,_1_541284561214624104645789101745678[[#This Row],[UNIT]]&lt;0),_1_541284561214624104645789101745678[[#This Row],[UNIT]]*_1_541284561214624104645789101745678[[#This Row],[COST]],0)</f>
        <v>0</v>
      </c>
      <c r="N797" s="194">
        <f t="shared" si="12"/>
        <v>1.3</v>
      </c>
      <c r="O797" s="198">
        <f>_1_541284561214624104645789101745678[[#This Row],[TOTAL]]*_1_541284561214624104645789101745678[[#This Row],[MARGIN]]</f>
        <v>0</v>
      </c>
      <c r="R797" s="41"/>
    </row>
    <row r="798" spans="4:18">
      <c r="D798" s="188"/>
      <c r="F798" s="168" t="s">
        <v>6202</v>
      </c>
      <c r="G798" s="193">
        <f>IF(_1_541284561214624104645789101745678[[#This Row],[Type]]&gt;0,VLOOKUP(_1_541284561214624104645789101745678[[#This Row],[Type]],Main[[#All],[TYPE]:[UNIT]],'Unit Price'!C$1,FALSE),0)</f>
        <v>0</v>
      </c>
      <c r="H798" s="197">
        <f>IF(_1_541284561214624104645789101745678[[#This Row],[Type]]&gt;0,VLOOKUP(_1_541284561214624104645789101745678[[#This Row],[Type]],Main[[#All],[TYPE]:[UNIT]],'Unit Price'!D$1,FALSE),0)</f>
        <v>0</v>
      </c>
      <c r="I798" s="194">
        <f>IF(_1_541284561214624104645789101745678[[#This Row],[Type]]&gt;0,VLOOKUP(_1_541284561214624104645789101745678[[#This Row],[Type]],Main[[#All],[TYPE]:[UNIT]],'Unit Price'!G$1,FALSE),0)</f>
        <v>0</v>
      </c>
      <c r="J798" s="194">
        <f>IF(_1_541284561214624104645789101745678[[#This Row],[Type]]&gt;0,VLOOKUP(_1_541284561214624104645789101745678[[#This Row],[Type]],Main[[#All],[TYPE]:[UNIT]],'Unit Price'!H$1,FALSE),0)</f>
        <v>0</v>
      </c>
      <c r="K798" s="194">
        <f>IF(_1_541284561214624104645789101745678[[#This Row],[Discount selection]]&gt;0,VLOOKUP(_1_541284561214624104645789101745678[[#This Row],[Discount selection]],'Discount Structure'!$A$2:$B$30,2,"false"),0)</f>
        <v>1</v>
      </c>
      <c r="L798" s="194">
        <f>_1_541284561214624104645789101745678[[#This Row],[LIST $]]*_1_541284561214624104645789101745678[[#This Row],[DISCOUNT]]*_1_541284561214624104645789101745678[[#This Row],[DISCOUNT 2]]</f>
        <v>0</v>
      </c>
      <c r="M798" s="194">
        <f>IF(OR(_1_541284561214624104645789101745678[[#This Row],[UNIT]]&gt;0,_1_541284561214624104645789101745678[[#This Row],[UNIT]]&lt;0),_1_541284561214624104645789101745678[[#This Row],[UNIT]]*_1_541284561214624104645789101745678[[#This Row],[COST]],0)</f>
        <v>0</v>
      </c>
      <c r="N798" s="194">
        <f t="shared" si="12"/>
        <v>1.3</v>
      </c>
      <c r="O798" s="198">
        <f>_1_541284561214624104645789101745678[[#This Row],[TOTAL]]*_1_541284561214624104645789101745678[[#This Row],[MARGIN]]</f>
        <v>0</v>
      </c>
      <c r="R798" s="41"/>
    </row>
    <row r="799" spans="4:18">
      <c r="D799" s="188"/>
      <c r="F799" s="168" t="s">
        <v>6202</v>
      </c>
      <c r="G799" s="193">
        <f>IF(_1_541284561214624104645789101745678[[#This Row],[Type]]&gt;0,VLOOKUP(_1_541284561214624104645789101745678[[#This Row],[Type]],Main[[#All],[TYPE]:[UNIT]],'Unit Price'!C$1,FALSE),0)</f>
        <v>0</v>
      </c>
      <c r="H799" s="197">
        <f>IF(_1_541284561214624104645789101745678[[#This Row],[Type]]&gt;0,VLOOKUP(_1_541284561214624104645789101745678[[#This Row],[Type]],Main[[#All],[TYPE]:[UNIT]],'Unit Price'!D$1,FALSE),0)</f>
        <v>0</v>
      </c>
      <c r="I799" s="194">
        <f>IF(_1_541284561214624104645789101745678[[#This Row],[Type]]&gt;0,VLOOKUP(_1_541284561214624104645789101745678[[#This Row],[Type]],Main[[#All],[TYPE]:[UNIT]],'Unit Price'!G$1,FALSE),0)</f>
        <v>0</v>
      </c>
      <c r="J799" s="194">
        <f>IF(_1_541284561214624104645789101745678[[#This Row],[Type]]&gt;0,VLOOKUP(_1_541284561214624104645789101745678[[#This Row],[Type]],Main[[#All],[TYPE]:[UNIT]],'Unit Price'!H$1,FALSE),0)</f>
        <v>0</v>
      </c>
      <c r="K799" s="194">
        <f>IF(_1_541284561214624104645789101745678[[#This Row],[Discount selection]]&gt;0,VLOOKUP(_1_541284561214624104645789101745678[[#This Row],[Discount selection]],'Discount Structure'!$A$2:$B$30,2,"false"),0)</f>
        <v>1</v>
      </c>
      <c r="L799" s="194">
        <f>_1_541284561214624104645789101745678[[#This Row],[LIST $]]*_1_541284561214624104645789101745678[[#This Row],[DISCOUNT]]*_1_541284561214624104645789101745678[[#This Row],[DISCOUNT 2]]</f>
        <v>0</v>
      </c>
      <c r="M799" s="194">
        <f>IF(OR(_1_541284561214624104645789101745678[[#This Row],[UNIT]]&gt;0,_1_541284561214624104645789101745678[[#This Row],[UNIT]]&lt;0),_1_541284561214624104645789101745678[[#This Row],[UNIT]]*_1_541284561214624104645789101745678[[#This Row],[COST]],0)</f>
        <v>0</v>
      </c>
      <c r="N799" s="194">
        <f t="shared" si="12"/>
        <v>1.3</v>
      </c>
      <c r="O799" s="198">
        <f>_1_541284561214624104645789101745678[[#This Row],[TOTAL]]*_1_541284561214624104645789101745678[[#This Row],[MARGIN]]</f>
        <v>0</v>
      </c>
      <c r="R799" s="41"/>
    </row>
    <row r="800" spans="4:18">
      <c r="D800" s="188"/>
      <c r="F800" s="168" t="s">
        <v>6202</v>
      </c>
      <c r="G800" s="193">
        <f>IF(_1_541284561214624104645789101745678[[#This Row],[Type]]&gt;0,VLOOKUP(_1_541284561214624104645789101745678[[#This Row],[Type]],Main[[#All],[TYPE]:[UNIT]],'Unit Price'!C$1,FALSE),0)</f>
        <v>0</v>
      </c>
      <c r="H800" s="197">
        <f>IF(_1_541284561214624104645789101745678[[#This Row],[Type]]&gt;0,VLOOKUP(_1_541284561214624104645789101745678[[#This Row],[Type]],Main[[#All],[TYPE]:[UNIT]],'Unit Price'!D$1,FALSE),0)</f>
        <v>0</v>
      </c>
      <c r="I800" s="194">
        <f>IF(_1_541284561214624104645789101745678[[#This Row],[Type]]&gt;0,VLOOKUP(_1_541284561214624104645789101745678[[#This Row],[Type]],Main[[#All],[TYPE]:[UNIT]],'Unit Price'!G$1,FALSE),0)</f>
        <v>0</v>
      </c>
      <c r="J800" s="194">
        <f>IF(_1_541284561214624104645789101745678[[#This Row],[Type]]&gt;0,VLOOKUP(_1_541284561214624104645789101745678[[#This Row],[Type]],Main[[#All],[TYPE]:[UNIT]],'Unit Price'!H$1,FALSE),0)</f>
        <v>0</v>
      </c>
      <c r="K800" s="194">
        <f>IF(_1_541284561214624104645789101745678[[#This Row],[Discount selection]]&gt;0,VLOOKUP(_1_541284561214624104645789101745678[[#This Row],[Discount selection]],'Discount Structure'!$A$2:$B$30,2,"false"),0)</f>
        <v>1</v>
      </c>
      <c r="L800" s="194">
        <f>_1_541284561214624104645789101745678[[#This Row],[LIST $]]*_1_541284561214624104645789101745678[[#This Row],[DISCOUNT]]*_1_541284561214624104645789101745678[[#This Row],[DISCOUNT 2]]</f>
        <v>0</v>
      </c>
      <c r="M800" s="194">
        <f>IF(OR(_1_541284561214624104645789101745678[[#This Row],[UNIT]]&gt;0,_1_541284561214624104645789101745678[[#This Row],[UNIT]]&lt;0),_1_541284561214624104645789101745678[[#This Row],[UNIT]]*_1_541284561214624104645789101745678[[#This Row],[COST]],0)</f>
        <v>0</v>
      </c>
      <c r="N800" s="194">
        <f t="shared" si="12"/>
        <v>1.3</v>
      </c>
      <c r="O800" s="198">
        <f>_1_541284561214624104645789101745678[[#This Row],[TOTAL]]*_1_541284561214624104645789101745678[[#This Row],[MARGIN]]</f>
        <v>0</v>
      </c>
      <c r="R800" s="41"/>
    </row>
    <row r="801" spans="4:18">
      <c r="D801" s="188"/>
      <c r="F801" s="168" t="s">
        <v>6202</v>
      </c>
      <c r="G801" s="193">
        <f>IF(_1_541284561214624104645789101745678[[#This Row],[Type]]&gt;0,VLOOKUP(_1_541284561214624104645789101745678[[#This Row],[Type]],Main[[#All],[TYPE]:[UNIT]],'Unit Price'!C$1,FALSE),0)</f>
        <v>0</v>
      </c>
      <c r="H801" s="197">
        <f>IF(_1_541284561214624104645789101745678[[#This Row],[Type]]&gt;0,VLOOKUP(_1_541284561214624104645789101745678[[#This Row],[Type]],Main[[#All],[TYPE]:[UNIT]],'Unit Price'!D$1,FALSE),0)</f>
        <v>0</v>
      </c>
      <c r="I801" s="194">
        <f>IF(_1_541284561214624104645789101745678[[#This Row],[Type]]&gt;0,VLOOKUP(_1_541284561214624104645789101745678[[#This Row],[Type]],Main[[#All],[TYPE]:[UNIT]],'Unit Price'!G$1,FALSE),0)</f>
        <v>0</v>
      </c>
      <c r="J801" s="194">
        <f>IF(_1_541284561214624104645789101745678[[#This Row],[Type]]&gt;0,VLOOKUP(_1_541284561214624104645789101745678[[#This Row],[Type]],Main[[#All],[TYPE]:[UNIT]],'Unit Price'!H$1,FALSE),0)</f>
        <v>0</v>
      </c>
      <c r="K801" s="194">
        <f>IF(_1_541284561214624104645789101745678[[#This Row],[Discount selection]]&gt;0,VLOOKUP(_1_541284561214624104645789101745678[[#This Row],[Discount selection]],'Discount Structure'!$A$2:$B$30,2,"false"),0)</f>
        <v>1</v>
      </c>
      <c r="L801" s="194">
        <f>_1_541284561214624104645789101745678[[#This Row],[LIST $]]*_1_541284561214624104645789101745678[[#This Row],[DISCOUNT]]*_1_541284561214624104645789101745678[[#This Row],[DISCOUNT 2]]</f>
        <v>0</v>
      </c>
      <c r="M801" s="194">
        <f>IF(OR(_1_541284561214624104645789101745678[[#This Row],[UNIT]]&gt;0,_1_541284561214624104645789101745678[[#This Row],[UNIT]]&lt;0),_1_541284561214624104645789101745678[[#This Row],[UNIT]]*_1_541284561214624104645789101745678[[#This Row],[COST]],0)</f>
        <v>0</v>
      </c>
      <c r="N801" s="194">
        <f t="shared" si="12"/>
        <v>1.3</v>
      </c>
      <c r="O801" s="198">
        <f>_1_541284561214624104645789101745678[[#This Row],[TOTAL]]*_1_541284561214624104645789101745678[[#This Row],[MARGIN]]</f>
        <v>0</v>
      </c>
      <c r="R801" s="41"/>
    </row>
    <row r="802" spans="4:18">
      <c r="D802" s="188"/>
      <c r="F802" s="168" t="s">
        <v>6202</v>
      </c>
      <c r="G802" s="193">
        <f>IF(_1_541284561214624104645789101745678[[#This Row],[Type]]&gt;0,VLOOKUP(_1_541284561214624104645789101745678[[#This Row],[Type]],Main[[#All],[TYPE]:[UNIT]],'Unit Price'!C$1,FALSE),0)</f>
        <v>0</v>
      </c>
      <c r="H802" s="197">
        <f>IF(_1_541284561214624104645789101745678[[#This Row],[Type]]&gt;0,VLOOKUP(_1_541284561214624104645789101745678[[#This Row],[Type]],Main[[#All],[TYPE]:[UNIT]],'Unit Price'!D$1,FALSE),0)</f>
        <v>0</v>
      </c>
      <c r="I802" s="194">
        <f>IF(_1_541284561214624104645789101745678[[#This Row],[Type]]&gt;0,VLOOKUP(_1_541284561214624104645789101745678[[#This Row],[Type]],Main[[#All],[TYPE]:[UNIT]],'Unit Price'!G$1,FALSE),0)</f>
        <v>0</v>
      </c>
      <c r="J802" s="194">
        <f>IF(_1_541284561214624104645789101745678[[#This Row],[Type]]&gt;0,VLOOKUP(_1_541284561214624104645789101745678[[#This Row],[Type]],Main[[#All],[TYPE]:[UNIT]],'Unit Price'!H$1,FALSE),0)</f>
        <v>0</v>
      </c>
      <c r="K802" s="194">
        <f>IF(_1_541284561214624104645789101745678[[#This Row],[Discount selection]]&gt;0,VLOOKUP(_1_541284561214624104645789101745678[[#This Row],[Discount selection]],'Discount Structure'!$A$2:$B$30,2,"false"),0)</f>
        <v>1</v>
      </c>
      <c r="L802" s="194">
        <f>_1_541284561214624104645789101745678[[#This Row],[LIST $]]*_1_541284561214624104645789101745678[[#This Row],[DISCOUNT]]*_1_541284561214624104645789101745678[[#This Row],[DISCOUNT 2]]</f>
        <v>0</v>
      </c>
      <c r="M802" s="194">
        <f>IF(OR(_1_541284561214624104645789101745678[[#This Row],[UNIT]]&gt;0,_1_541284561214624104645789101745678[[#This Row],[UNIT]]&lt;0),_1_541284561214624104645789101745678[[#This Row],[UNIT]]*_1_541284561214624104645789101745678[[#This Row],[COST]],0)</f>
        <v>0</v>
      </c>
      <c r="N802" s="194">
        <f t="shared" si="12"/>
        <v>1.3</v>
      </c>
      <c r="O802" s="198">
        <f>_1_541284561214624104645789101745678[[#This Row],[TOTAL]]*_1_541284561214624104645789101745678[[#This Row],[MARGIN]]</f>
        <v>0</v>
      </c>
      <c r="R802" s="41"/>
    </row>
    <row r="803" spans="4:18">
      <c r="D803" s="188"/>
      <c r="F803" s="168" t="s">
        <v>6202</v>
      </c>
      <c r="G803" s="193">
        <f>IF(_1_541284561214624104645789101745678[[#This Row],[Type]]&gt;0,VLOOKUP(_1_541284561214624104645789101745678[[#This Row],[Type]],Main[[#All],[TYPE]:[UNIT]],'Unit Price'!C$1,FALSE),0)</f>
        <v>0</v>
      </c>
      <c r="H803" s="197">
        <f>IF(_1_541284561214624104645789101745678[[#This Row],[Type]]&gt;0,VLOOKUP(_1_541284561214624104645789101745678[[#This Row],[Type]],Main[[#All],[TYPE]:[UNIT]],'Unit Price'!D$1,FALSE),0)</f>
        <v>0</v>
      </c>
      <c r="I803" s="194">
        <f>IF(_1_541284561214624104645789101745678[[#This Row],[Type]]&gt;0,VLOOKUP(_1_541284561214624104645789101745678[[#This Row],[Type]],Main[[#All],[TYPE]:[UNIT]],'Unit Price'!G$1,FALSE),0)</f>
        <v>0</v>
      </c>
      <c r="J803" s="194">
        <f>IF(_1_541284561214624104645789101745678[[#This Row],[Type]]&gt;0,VLOOKUP(_1_541284561214624104645789101745678[[#This Row],[Type]],Main[[#All],[TYPE]:[UNIT]],'Unit Price'!H$1,FALSE),0)</f>
        <v>0</v>
      </c>
      <c r="K803" s="194">
        <f>IF(_1_541284561214624104645789101745678[[#This Row],[Discount selection]]&gt;0,VLOOKUP(_1_541284561214624104645789101745678[[#This Row],[Discount selection]],'Discount Structure'!$A$2:$B$30,2,"false"),0)</f>
        <v>1</v>
      </c>
      <c r="L803" s="194">
        <f>_1_541284561214624104645789101745678[[#This Row],[LIST $]]*_1_541284561214624104645789101745678[[#This Row],[DISCOUNT]]*_1_541284561214624104645789101745678[[#This Row],[DISCOUNT 2]]</f>
        <v>0</v>
      </c>
      <c r="M803" s="194">
        <f>IF(OR(_1_541284561214624104645789101745678[[#This Row],[UNIT]]&gt;0,_1_541284561214624104645789101745678[[#This Row],[UNIT]]&lt;0),_1_541284561214624104645789101745678[[#This Row],[UNIT]]*_1_541284561214624104645789101745678[[#This Row],[COST]],0)</f>
        <v>0</v>
      </c>
      <c r="N803" s="194">
        <f t="shared" si="12"/>
        <v>1.3</v>
      </c>
      <c r="O803" s="198">
        <f>_1_541284561214624104645789101745678[[#This Row],[TOTAL]]*_1_541284561214624104645789101745678[[#This Row],[MARGIN]]</f>
        <v>0</v>
      </c>
      <c r="R803" s="41"/>
    </row>
    <row r="804" spans="4:18">
      <c r="D804" s="188"/>
      <c r="F804" s="168" t="s">
        <v>6202</v>
      </c>
      <c r="G804" s="193">
        <f>IF(_1_541284561214624104645789101745678[[#This Row],[Type]]&gt;0,VLOOKUP(_1_541284561214624104645789101745678[[#This Row],[Type]],Main[[#All],[TYPE]:[UNIT]],'Unit Price'!C$1,FALSE),0)</f>
        <v>0</v>
      </c>
      <c r="H804" s="197">
        <f>IF(_1_541284561214624104645789101745678[[#This Row],[Type]]&gt;0,VLOOKUP(_1_541284561214624104645789101745678[[#This Row],[Type]],Main[[#All],[TYPE]:[UNIT]],'Unit Price'!D$1,FALSE),0)</f>
        <v>0</v>
      </c>
      <c r="I804" s="194">
        <f>IF(_1_541284561214624104645789101745678[[#This Row],[Type]]&gt;0,VLOOKUP(_1_541284561214624104645789101745678[[#This Row],[Type]],Main[[#All],[TYPE]:[UNIT]],'Unit Price'!G$1,FALSE),0)</f>
        <v>0</v>
      </c>
      <c r="J804" s="194">
        <f>IF(_1_541284561214624104645789101745678[[#This Row],[Type]]&gt;0,VLOOKUP(_1_541284561214624104645789101745678[[#This Row],[Type]],Main[[#All],[TYPE]:[UNIT]],'Unit Price'!H$1,FALSE),0)</f>
        <v>0</v>
      </c>
      <c r="K804" s="194">
        <f>IF(_1_541284561214624104645789101745678[[#This Row],[Discount selection]]&gt;0,VLOOKUP(_1_541284561214624104645789101745678[[#This Row],[Discount selection]],'Discount Structure'!$A$2:$B$30,2,"false"),0)</f>
        <v>1</v>
      </c>
      <c r="L804" s="194">
        <f>_1_541284561214624104645789101745678[[#This Row],[LIST $]]*_1_541284561214624104645789101745678[[#This Row],[DISCOUNT]]*_1_541284561214624104645789101745678[[#This Row],[DISCOUNT 2]]</f>
        <v>0</v>
      </c>
      <c r="M804" s="194">
        <f>IF(OR(_1_541284561214624104645789101745678[[#This Row],[UNIT]]&gt;0,_1_541284561214624104645789101745678[[#This Row],[UNIT]]&lt;0),_1_541284561214624104645789101745678[[#This Row],[UNIT]]*_1_541284561214624104645789101745678[[#This Row],[COST]],0)</f>
        <v>0</v>
      </c>
      <c r="N804" s="194">
        <f t="shared" si="12"/>
        <v>1.3</v>
      </c>
      <c r="O804" s="198">
        <f>_1_541284561214624104645789101745678[[#This Row],[TOTAL]]*_1_541284561214624104645789101745678[[#This Row],[MARGIN]]</f>
        <v>0</v>
      </c>
      <c r="R804" s="41"/>
    </row>
    <row r="805" spans="4:18">
      <c r="D805" s="188"/>
      <c r="F805" s="168" t="s">
        <v>6202</v>
      </c>
      <c r="G805" s="193">
        <f>IF(_1_541284561214624104645789101745678[[#This Row],[Type]]&gt;0,VLOOKUP(_1_541284561214624104645789101745678[[#This Row],[Type]],Main[[#All],[TYPE]:[UNIT]],'Unit Price'!C$1,FALSE),0)</f>
        <v>0</v>
      </c>
      <c r="H805" s="197">
        <f>IF(_1_541284561214624104645789101745678[[#This Row],[Type]]&gt;0,VLOOKUP(_1_541284561214624104645789101745678[[#This Row],[Type]],Main[[#All],[TYPE]:[UNIT]],'Unit Price'!D$1,FALSE),0)</f>
        <v>0</v>
      </c>
      <c r="I805" s="194">
        <f>IF(_1_541284561214624104645789101745678[[#This Row],[Type]]&gt;0,VLOOKUP(_1_541284561214624104645789101745678[[#This Row],[Type]],Main[[#All],[TYPE]:[UNIT]],'Unit Price'!G$1,FALSE),0)</f>
        <v>0</v>
      </c>
      <c r="J805" s="194">
        <f>IF(_1_541284561214624104645789101745678[[#This Row],[Type]]&gt;0,VLOOKUP(_1_541284561214624104645789101745678[[#This Row],[Type]],Main[[#All],[TYPE]:[UNIT]],'Unit Price'!H$1,FALSE),0)</f>
        <v>0</v>
      </c>
      <c r="K805" s="194">
        <f>IF(_1_541284561214624104645789101745678[[#This Row],[Discount selection]]&gt;0,VLOOKUP(_1_541284561214624104645789101745678[[#This Row],[Discount selection]],'Discount Structure'!$A$2:$B$30,2,"false"),0)</f>
        <v>1</v>
      </c>
      <c r="L805" s="194">
        <f>_1_541284561214624104645789101745678[[#This Row],[LIST $]]*_1_541284561214624104645789101745678[[#This Row],[DISCOUNT]]*_1_541284561214624104645789101745678[[#This Row],[DISCOUNT 2]]</f>
        <v>0</v>
      </c>
      <c r="M805" s="194">
        <f>IF(OR(_1_541284561214624104645789101745678[[#This Row],[UNIT]]&gt;0,_1_541284561214624104645789101745678[[#This Row],[UNIT]]&lt;0),_1_541284561214624104645789101745678[[#This Row],[UNIT]]*_1_541284561214624104645789101745678[[#This Row],[COST]],0)</f>
        <v>0</v>
      </c>
      <c r="N805" s="194">
        <f t="shared" si="12"/>
        <v>1.3</v>
      </c>
      <c r="O805" s="198">
        <f>_1_541284561214624104645789101745678[[#This Row],[TOTAL]]*_1_541284561214624104645789101745678[[#This Row],[MARGIN]]</f>
        <v>0</v>
      </c>
      <c r="R805" s="41"/>
    </row>
    <row r="806" spans="4:18">
      <c r="D806" s="188"/>
      <c r="F806" s="168" t="s">
        <v>6202</v>
      </c>
      <c r="G806" s="193">
        <f>IF(_1_541284561214624104645789101745678[[#This Row],[Type]]&gt;0,VLOOKUP(_1_541284561214624104645789101745678[[#This Row],[Type]],Main[[#All],[TYPE]:[UNIT]],'Unit Price'!C$1,FALSE),0)</f>
        <v>0</v>
      </c>
      <c r="H806" s="197">
        <f>IF(_1_541284561214624104645789101745678[[#This Row],[Type]]&gt;0,VLOOKUP(_1_541284561214624104645789101745678[[#This Row],[Type]],Main[[#All],[TYPE]:[UNIT]],'Unit Price'!D$1,FALSE),0)</f>
        <v>0</v>
      </c>
      <c r="I806" s="194">
        <f>IF(_1_541284561214624104645789101745678[[#This Row],[Type]]&gt;0,VLOOKUP(_1_541284561214624104645789101745678[[#This Row],[Type]],Main[[#All],[TYPE]:[UNIT]],'Unit Price'!G$1,FALSE),0)</f>
        <v>0</v>
      </c>
      <c r="J806" s="194">
        <f>IF(_1_541284561214624104645789101745678[[#This Row],[Type]]&gt;0,VLOOKUP(_1_541284561214624104645789101745678[[#This Row],[Type]],Main[[#All],[TYPE]:[UNIT]],'Unit Price'!H$1,FALSE),0)</f>
        <v>0</v>
      </c>
      <c r="K806" s="194">
        <f>IF(_1_541284561214624104645789101745678[[#This Row],[Discount selection]]&gt;0,VLOOKUP(_1_541284561214624104645789101745678[[#This Row],[Discount selection]],'Discount Structure'!$A$2:$B$30,2,"false"),0)</f>
        <v>1</v>
      </c>
      <c r="L806" s="194">
        <f>_1_541284561214624104645789101745678[[#This Row],[LIST $]]*_1_541284561214624104645789101745678[[#This Row],[DISCOUNT]]*_1_541284561214624104645789101745678[[#This Row],[DISCOUNT 2]]</f>
        <v>0</v>
      </c>
      <c r="M806" s="194">
        <f>IF(OR(_1_541284561214624104645789101745678[[#This Row],[UNIT]]&gt;0,_1_541284561214624104645789101745678[[#This Row],[UNIT]]&lt;0),_1_541284561214624104645789101745678[[#This Row],[UNIT]]*_1_541284561214624104645789101745678[[#This Row],[COST]],0)</f>
        <v>0</v>
      </c>
      <c r="N806" s="194">
        <f t="shared" si="12"/>
        <v>1.3</v>
      </c>
      <c r="O806" s="198">
        <f>_1_541284561214624104645789101745678[[#This Row],[TOTAL]]*_1_541284561214624104645789101745678[[#This Row],[MARGIN]]</f>
        <v>0</v>
      </c>
      <c r="R806" s="41"/>
    </row>
    <row r="807" spans="4:18">
      <c r="D807" s="188"/>
      <c r="F807" s="168" t="s">
        <v>6202</v>
      </c>
      <c r="G807" s="193">
        <f>IF(_1_541284561214624104645789101745678[[#This Row],[Type]]&gt;0,VLOOKUP(_1_541284561214624104645789101745678[[#This Row],[Type]],Main[[#All],[TYPE]:[UNIT]],'Unit Price'!C$1,FALSE),0)</f>
        <v>0</v>
      </c>
      <c r="H807" s="197">
        <f>IF(_1_541284561214624104645789101745678[[#This Row],[Type]]&gt;0,VLOOKUP(_1_541284561214624104645789101745678[[#This Row],[Type]],Main[[#All],[TYPE]:[UNIT]],'Unit Price'!D$1,FALSE),0)</f>
        <v>0</v>
      </c>
      <c r="I807" s="194">
        <f>IF(_1_541284561214624104645789101745678[[#This Row],[Type]]&gt;0,VLOOKUP(_1_541284561214624104645789101745678[[#This Row],[Type]],Main[[#All],[TYPE]:[UNIT]],'Unit Price'!G$1,FALSE),0)</f>
        <v>0</v>
      </c>
      <c r="J807" s="194">
        <f>IF(_1_541284561214624104645789101745678[[#This Row],[Type]]&gt;0,VLOOKUP(_1_541284561214624104645789101745678[[#This Row],[Type]],Main[[#All],[TYPE]:[UNIT]],'Unit Price'!H$1,FALSE),0)</f>
        <v>0</v>
      </c>
      <c r="K807" s="194">
        <f>IF(_1_541284561214624104645789101745678[[#This Row],[Discount selection]]&gt;0,VLOOKUP(_1_541284561214624104645789101745678[[#This Row],[Discount selection]],'Discount Structure'!$A$2:$B$30,2,"false"),0)</f>
        <v>1</v>
      </c>
      <c r="L807" s="194">
        <f>_1_541284561214624104645789101745678[[#This Row],[LIST $]]*_1_541284561214624104645789101745678[[#This Row],[DISCOUNT]]*_1_541284561214624104645789101745678[[#This Row],[DISCOUNT 2]]</f>
        <v>0</v>
      </c>
      <c r="M807" s="194">
        <f>IF(OR(_1_541284561214624104645789101745678[[#This Row],[UNIT]]&gt;0,_1_541284561214624104645789101745678[[#This Row],[UNIT]]&lt;0),_1_541284561214624104645789101745678[[#This Row],[UNIT]]*_1_541284561214624104645789101745678[[#This Row],[COST]],0)</f>
        <v>0</v>
      </c>
      <c r="N807" s="194">
        <f t="shared" si="12"/>
        <v>1.3</v>
      </c>
      <c r="O807" s="198">
        <f>_1_541284561214624104645789101745678[[#This Row],[TOTAL]]*_1_541284561214624104645789101745678[[#This Row],[MARGIN]]</f>
        <v>0</v>
      </c>
      <c r="R807" s="41"/>
    </row>
    <row r="808" spans="4:18">
      <c r="D808" s="188"/>
      <c r="F808" s="168" t="s">
        <v>6202</v>
      </c>
      <c r="G808" s="193">
        <f>IF(_1_541284561214624104645789101745678[[#This Row],[Type]]&gt;0,VLOOKUP(_1_541284561214624104645789101745678[[#This Row],[Type]],Main[[#All],[TYPE]:[UNIT]],'Unit Price'!C$1,FALSE),0)</f>
        <v>0</v>
      </c>
      <c r="H808" s="197">
        <f>IF(_1_541284561214624104645789101745678[[#This Row],[Type]]&gt;0,VLOOKUP(_1_541284561214624104645789101745678[[#This Row],[Type]],Main[[#All],[TYPE]:[UNIT]],'Unit Price'!D$1,FALSE),0)</f>
        <v>0</v>
      </c>
      <c r="I808" s="194">
        <f>IF(_1_541284561214624104645789101745678[[#This Row],[Type]]&gt;0,VLOOKUP(_1_541284561214624104645789101745678[[#This Row],[Type]],Main[[#All],[TYPE]:[UNIT]],'Unit Price'!G$1,FALSE),0)</f>
        <v>0</v>
      </c>
      <c r="J808" s="194">
        <f>IF(_1_541284561214624104645789101745678[[#This Row],[Type]]&gt;0,VLOOKUP(_1_541284561214624104645789101745678[[#This Row],[Type]],Main[[#All],[TYPE]:[UNIT]],'Unit Price'!H$1,FALSE),0)</f>
        <v>0</v>
      </c>
      <c r="K808" s="194">
        <f>IF(_1_541284561214624104645789101745678[[#This Row],[Discount selection]]&gt;0,VLOOKUP(_1_541284561214624104645789101745678[[#This Row],[Discount selection]],'Discount Structure'!$A$2:$B$30,2,"false"),0)</f>
        <v>1</v>
      </c>
      <c r="L808" s="194">
        <f>_1_541284561214624104645789101745678[[#This Row],[LIST $]]*_1_541284561214624104645789101745678[[#This Row],[DISCOUNT]]*_1_541284561214624104645789101745678[[#This Row],[DISCOUNT 2]]</f>
        <v>0</v>
      </c>
      <c r="M808" s="194">
        <f>IF(OR(_1_541284561214624104645789101745678[[#This Row],[UNIT]]&gt;0,_1_541284561214624104645789101745678[[#This Row],[UNIT]]&lt;0),_1_541284561214624104645789101745678[[#This Row],[UNIT]]*_1_541284561214624104645789101745678[[#This Row],[COST]],0)</f>
        <v>0</v>
      </c>
      <c r="N808" s="194">
        <f t="shared" si="12"/>
        <v>1.3</v>
      </c>
      <c r="O808" s="198">
        <f>_1_541284561214624104645789101745678[[#This Row],[TOTAL]]*_1_541284561214624104645789101745678[[#This Row],[MARGIN]]</f>
        <v>0</v>
      </c>
      <c r="R808" s="41"/>
    </row>
    <row r="809" spans="4:18">
      <c r="D809" s="188"/>
      <c r="F809" s="168" t="s">
        <v>6202</v>
      </c>
      <c r="G809" s="193">
        <f>IF(_1_541284561214624104645789101745678[[#This Row],[Type]]&gt;0,VLOOKUP(_1_541284561214624104645789101745678[[#This Row],[Type]],Main[[#All],[TYPE]:[UNIT]],'Unit Price'!C$1,FALSE),0)</f>
        <v>0</v>
      </c>
      <c r="H809" s="197">
        <f>IF(_1_541284561214624104645789101745678[[#This Row],[Type]]&gt;0,VLOOKUP(_1_541284561214624104645789101745678[[#This Row],[Type]],Main[[#All],[TYPE]:[UNIT]],'Unit Price'!D$1,FALSE),0)</f>
        <v>0</v>
      </c>
      <c r="I809" s="194">
        <f>IF(_1_541284561214624104645789101745678[[#This Row],[Type]]&gt;0,VLOOKUP(_1_541284561214624104645789101745678[[#This Row],[Type]],Main[[#All],[TYPE]:[UNIT]],'Unit Price'!G$1,FALSE),0)</f>
        <v>0</v>
      </c>
      <c r="J809" s="194">
        <f>IF(_1_541284561214624104645789101745678[[#This Row],[Type]]&gt;0,VLOOKUP(_1_541284561214624104645789101745678[[#This Row],[Type]],Main[[#All],[TYPE]:[UNIT]],'Unit Price'!H$1,FALSE),0)</f>
        <v>0</v>
      </c>
      <c r="K809" s="194">
        <f>IF(_1_541284561214624104645789101745678[[#This Row],[Discount selection]]&gt;0,VLOOKUP(_1_541284561214624104645789101745678[[#This Row],[Discount selection]],'Discount Structure'!$A$2:$B$30,2,"false"),0)</f>
        <v>1</v>
      </c>
      <c r="L809" s="194">
        <f>_1_541284561214624104645789101745678[[#This Row],[LIST $]]*_1_541284561214624104645789101745678[[#This Row],[DISCOUNT]]*_1_541284561214624104645789101745678[[#This Row],[DISCOUNT 2]]</f>
        <v>0</v>
      </c>
      <c r="M809" s="194">
        <f>IF(OR(_1_541284561214624104645789101745678[[#This Row],[UNIT]]&gt;0,_1_541284561214624104645789101745678[[#This Row],[UNIT]]&lt;0),_1_541284561214624104645789101745678[[#This Row],[UNIT]]*_1_541284561214624104645789101745678[[#This Row],[COST]],0)</f>
        <v>0</v>
      </c>
      <c r="N809" s="194">
        <f t="shared" si="12"/>
        <v>1.3</v>
      </c>
      <c r="O809" s="198">
        <f>_1_541284561214624104645789101745678[[#This Row],[TOTAL]]*_1_541284561214624104645789101745678[[#This Row],[MARGIN]]</f>
        <v>0</v>
      </c>
      <c r="R809" s="41"/>
    </row>
    <row r="810" spans="4:18">
      <c r="D810" s="188"/>
      <c r="F810" s="168" t="s">
        <v>6202</v>
      </c>
      <c r="G810" s="193">
        <f>IF(_1_541284561214624104645789101745678[[#This Row],[Type]]&gt;0,VLOOKUP(_1_541284561214624104645789101745678[[#This Row],[Type]],Main[[#All],[TYPE]:[UNIT]],'Unit Price'!C$1,FALSE),0)</f>
        <v>0</v>
      </c>
      <c r="H810" s="197">
        <f>IF(_1_541284561214624104645789101745678[[#This Row],[Type]]&gt;0,VLOOKUP(_1_541284561214624104645789101745678[[#This Row],[Type]],Main[[#All],[TYPE]:[UNIT]],'Unit Price'!D$1,FALSE),0)</f>
        <v>0</v>
      </c>
      <c r="I810" s="194">
        <f>IF(_1_541284561214624104645789101745678[[#This Row],[Type]]&gt;0,VLOOKUP(_1_541284561214624104645789101745678[[#This Row],[Type]],Main[[#All],[TYPE]:[UNIT]],'Unit Price'!G$1,FALSE),0)</f>
        <v>0</v>
      </c>
      <c r="J810" s="194">
        <f>IF(_1_541284561214624104645789101745678[[#This Row],[Type]]&gt;0,VLOOKUP(_1_541284561214624104645789101745678[[#This Row],[Type]],Main[[#All],[TYPE]:[UNIT]],'Unit Price'!H$1,FALSE),0)</f>
        <v>0</v>
      </c>
      <c r="K810" s="194">
        <f>IF(_1_541284561214624104645789101745678[[#This Row],[Discount selection]]&gt;0,VLOOKUP(_1_541284561214624104645789101745678[[#This Row],[Discount selection]],'Discount Structure'!$A$2:$B$30,2,"false"),0)</f>
        <v>1</v>
      </c>
      <c r="L810" s="194">
        <f>_1_541284561214624104645789101745678[[#This Row],[LIST $]]*_1_541284561214624104645789101745678[[#This Row],[DISCOUNT]]*_1_541284561214624104645789101745678[[#This Row],[DISCOUNT 2]]</f>
        <v>0</v>
      </c>
      <c r="M810" s="194">
        <f>IF(OR(_1_541284561214624104645789101745678[[#This Row],[UNIT]]&gt;0,_1_541284561214624104645789101745678[[#This Row],[UNIT]]&lt;0),_1_541284561214624104645789101745678[[#This Row],[UNIT]]*_1_541284561214624104645789101745678[[#This Row],[COST]],0)</f>
        <v>0</v>
      </c>
      <c r="N810" s="194">
        <f t="shared" si="12"/>
        <v>1.3</v>
      </c>
      <c r="O810" s="198">
        <f>_1_541284561214624104645789101745678[[#This Row],[TOTAL]]*_1_541284561214624104645789101745678[[#This Row],[MARGIN]]</f>
        <v>0</v>
      </c>
      <c r="R810" s="41"/>
    </row>
    <row r="811" spans="4:18">
      <c r="D811" s="188"/>
      <c r="F811" s="168" t="s">
        <v>6202</v>
      </c>
      <c r="G811" s="193">
        <f>IF(_1_541284561214624104645789101745678[[#This Row],[Type]]&gt;0,VLOOKUP(_1_541284561214624104645789101745678[[#This Row],[Type]],Main[[#All],[TYPE]:[UNIT]],'Unit Price'!C$1,FALSE),0)</f>
        <v>0</v>
      </c>
      <c r="H811" s="197">
        <f>IF(_1_541284561214624104645789101745678[[#This Row],[Type]]&gt;0,VLOOKUP(_1_541284561214624104645789101745678[[#This Row],[Type]],Main[[#All],[TYPE]:[UNIT]],'Unit Price'!D$1,FALSE),0)</f>
        <v>0</v>
      </c>
      <c r="I811" s="194">
        <f>IF(_1_541284561214624104645789101745678[[#This Row],[Type]]&gt;0,VLOOKUP(_1_541284561214624104645789101745678[[#This Row],[Type]],Main[[#All],[TYPE]:[UNIT]],'Unit Price'!G$1,FALSE),0)</f>
        <v>0</v>
      </c>
      <c r="J811" s="194">
        <f>IF(_1_541284561214624104645789101745678[[#This Row],[Type]]&gt;0,VLOOKUP(_1_541284561214624104645789101745678[[#This Row],[Type]],Main[[#All],[TYPE]:[UNIT]],'Unit Price'!H$1,FALSE),0)</f>
        <v>0</v>
      </c>
      <c r="K811" s="194">
        <f>IF(_1_541284561214624104645789101745678[[#This Row],[Discount selection]]&gt;0,VLOOKUP(_1_541284561214624104645789101745678[[#This Row],[Discount selection]],'Discount Structure'!$A$2:$B$30,2,"false"),0)</f>
        <v>1</v>
      </c>
      <c r="L811" s="194">
        <f>_1_541284561214624104645789101745678[[#This Row],[LIST $]]*_1_541284561214624104645789101745678[[#This Row],[DISCOUNT]]*_1_541284561214624104645789101745678[[#This Row],[DISCOUNT 2]]</f>
        <v>0</v>
      </c>
      <c r="M811" s="194">
        <f>IF(OR(_1_541284561214624104645789101745678[[#This Row],[UNIT]]&gt;0,_1_541284561214624104645789101745678[[#This Row],[UNIT]]&lt;0),_1_541284561214624104645789101745678[[#This Row],[UNIT]]*_1_541284561214624104645789101745678[[#This Row],[COST]],0)</f>
        <v>0</v>
      </c>
      <c r="N811" s="194">
        <f t="shared" si="12"/>
        <v>1.3</v>
      </c>
      <c r="O811" s="198">
        <f>_1_541284561214624104645789101745678[[#This Row],[TOTAL]]*_1_541284561214624104645789101745678[[#This Row],[MARGIN]]</f>
        <v>0</v>
      </c>
      <c r="R811" s="41"/>
    </row>
    <row r="812" spans="4:18">
      <c r="D812" s="188"/>
      <c r="F812" s="168" t="s">
        <v>6202</v>
      </c>
      <c r="G812" s="193">
        <f>IF(_1_541284561214624104645789101745678[[#This Row],[Type]]&gt;0,VLOOKUP(_1_541284561214624104645789101745678[[#This Row],[Type]],Main[[#All],[TYPE]:[UNIT]],'Unit Price'!C$1,FALSE),0)</f>
        <v>0</v>
      </c>
      <c r="H812" s="197">
        <f>IF(_1_541284561214624104645789101745678[[#This Row],[Type]]&gt;0,VLOOKUP(_1_541284561214624104645789101745678[[#This Row],[Type]],Main[[#All],[TYPE]:[UNIT]],'Unit Price'!D$1,FALSE),0)</f>
        <v>0</v>
      </c>
      <c r="I812" s="194">
        <f>IF(_1_541284561214624104645789101745678[[#This Row],[Type]]&gt;0,VLOOKUP(_1_541284561214624104645789101745678[[#This Row],[Type]],Main[[#All],[TYPE]:[UNIT]],'Unit Price'!G$1,FALSE),0)</f>
        <v>0</v>
      </c>
      <c r="J812" s="194">
        <f>IF(_1_541284561214624104645789101745678[[#This Row],[Type]]&gt;0,VLOOKUP(_1_541284561214624104645789101745678[[#This Row],[Type]],Main[[#All],[TYPE]:[UNIT]],'Unit Price'!H$1,FALSE),0)</f>
        <v>0</v>
      </c>
      <c r="K812" s="194">
        <f>IF(_1_541284561214624104645789101745678[[#This Row],[Discount selection]]&gt;0,VLOOKUP(_1_541284561214624104645789101745678[[#This Row],[Discount selection]],'Discount Structure'!$A$2:$B$30,2,"false"),0)</f>
        <v>1</v>
      </c>
      <c r="L812" s="194">
        <f>_1_541284561214624104645789101745678[[#This Row],[LIST $]]*_1_541284561214624104645789101745678[[#This Row],[DISCOUNT]]*_1_541284561214624104645789101745678[[#This Row],[DISCOUNT 2]]</f>
        <v>0</v>
      </c>
      <c r="M812" s="194">
        <f>IF(OR(_1_541284561214624104645789101745678[[#This Row],[UNIT]]&gt;0,_1_541284561214624104645789101745678[[#This Row],[UNIT]]&lt;0),_1_541284561214624104645789101745678[[#This Row],[UNIT]]*_1_541284561214624104645789101745678[[#This Row],[COST]],0)</f>
        <v>0</v>
      </c>
      <c r="N812" s="194">
        <f t="shared" si="12"/>
        <v>1.3</v>
      </c>
      <c r="O812" s="198">
        <f>_1_541284561214624104645789101745678[[#This Row],[TOTAL]]*_1_541284561214624104645789101745678[[#This Row],[MARGIN]]</f>
        <v>0</v>
      </c>
      <c r="R812" s="41"/>
    </row>
    <row r="813" spans="4:18">
      <c r="D813" s="188"/>
      <c r="F813" s="168" t="s">
        <v>6202</v>
      </c>
      <c r="G813" s="193">
        <f>IF(_1_541284561214624104645789101745678[[#This Row],[Type]]&gt;0,VLOOKUP(_1_541284561214624104645789101745678[[#This Row],[Type]],Main[[#All],[TYPE]:[UNIT]],'Unit Price'!C$1,FALSE),0)</f>
        <v>0</v>
      </c>
      <c r="H813" s="197">
        <f>IF(_1_541284561214624104645789101745678[[#This Row],[Type]]&gt;0,VLOOKUP(_1_541284561214624104645789101745678[[#This Row],[Type]],Main[[#All],[TYPE]:[UNIT]],'Unit Price'!D$1,FALSE),0)</f>
        <v>0</v>
      </c>
      <c r="I813" s="194">
        <f>IF(_1_541284561214624104645789101745678[[#This Row],[Type]]&gt;0,VLOOKUP(_1_541284561214624104645789101745678[[#This Row],[Type]],Main[[#All],[TYPE]:[UNIT]],'Unit Price'!G$1,FALSE),0)</f>
        <v>0</v>
      </c>
      <c r="J813" s="194">
        <f>IF(_1_541284561214624104645789101745678[[#This Row],[Type]]&gt;0,VLOOKUP(_1_541284561214624104645789101745678[[#This Row],[Type]],Main[[#All],[TYPE]:[UNIT]],'Unit Price'!H$1,FALSE),0)</f>
        <v>0</v>
      </c>
      <c r="K813" s="194">
        <f>IF(_1_541284561214624104645789101745678[[#This Row],[Discount selection]]&gt;0,VLOOKUP(_1_541284561214624104645789101745678[[#This Row],[Discount selection]],'Discount Structure'!$A$2:$B$30,2,"false"),0)</f>
        <v>1</v>
      </c>
      <c r="L813" s="194">
        <f>_1_541284561214624104645789101745678[[#This Row],[LIST $]]*_1_541284561214624104645789101745678[[#This Row],[DISCOUNT]]*_1_541284561214624104645789101745678[[#This Row],[DISCOUNT 2]]</f>
        <v>0</v>
      </c>
      <c r="M813" s="194">
        <f>IF(OR(_1_541284561214624104645789101745678[[#This Row],[UNIT]]&gt;0,_1_541284561214624104645789101745678[[#This Row],[UNIT]]&lt;0),_1_541284561214624104645789101745678[[#This Row],[UNIT]]*_1_541284561214624104645789101745678[[#This Row],[COST]],0)</f>
        <v>0</v>
      </c>
      <c r="N813" s="194">
        <f t="shared" si="12"/>
        <v>1.3</v>
      </c>
      <c r="O813" s="198">
        <f>_1_541284561214624104645789101745678[[#This Row],[TOTAL]]*_1_541284561214624104645789101745678[[#This Row],[MARGIN]]</f>
        <v>0</v>
      </c>
      <c r="R813" s="41"/>
    </row>
    <row r="814" spans="4:18">
      <c r="D814" s="188"/>
      <c r="F814" s="168" t="s">
        <v>6202</v>
      </c>
      <c r="G814" s="193">
        <f>IF(_1_541284561214624104645789101745678[[#This Row],[Type]]&gt;0,VLOOKUP(_1_541284561214624104645789101745678[[#This Row],[Type]],Main[[#All],[TYPE]:[UNIT]],'Unit Price'!C$1,FALSE),0)</f>
        <v>0</v>
      </c>
      <c r="H814" s="197">
        <f>IF(_1_541284561214624104645789101745678[[#This Row],[Type]]&gt;0,VLOOKUP(_1_541284561214624104645789101745678[[#This Row],[Type]],Main[[#All],[TYPE]:[UNIT]],'Unit Price'!D$1,FALSE),0)</f>
        <v>0</v>
      </c>
      <c r="I814" s="194">
        <f>IF(_1_541284561214624104645789101745678[[#This Row],[Type]]&gt;0,VLOOKUP(_1_541284561214624104645789101745678[[#This Row],[Type]],Main[[#All],[TYPE]:[UNIT]],'Unit Price'!G$1,FALSE),0)</f>
        <v>0</v>
      </c>
      <c r="J814" s="194">
        <f>IF(_1_541284561214624104645789101745678[[#This Row],[Type]]&gt;0,VLOOKUP(_1_541284561214624104645789101745678[[#This Row],[Type]],Main[[#All],[TYPE]:[UNIT]],'Unit Price'!H$1,FALSE),0)</f>
        <v>0</v>
      </c>
      <c r="K814" s="194">
        <f>IF(_1_541284561214624104645789101745678[[#This Row],[Discount selection]]&gt;0,VLOOKUP(_1_541284561214624104645789101745678[[#This Row],[Discount selection]],'Discount Structure'!$A$2:$B$30,2,"false"),0)</f>
        <v>1</v>
      </c>
      <c r="L814" s="194">
        <f>_1_541284561214624104645789101745678[[#This Row],[LIST $]]*_1_541284561214624104645789101745678[[#This Row],[DISCOUNT]]*_1_541284561214624104645789101745678[[#This Row],[DISCOUNT 2]]</f>
        <v>0</v>
      </c>
      <c r="M814" s="194">
        <f>IF(OR(_1_541284561214624104645789101745678[[#This Row],[UNIT]]&gt;0,_1_541284561214624104645789101745678[[#This Row],[UNIT]]&lt;0),_1_541284561214624104645789101745678[[#This Row],[UNIT]]*_1_541284561214624104645789101745678[[#This Row],[COST]],0)</f>
        <v>0</v>
      </c>
      <c r="N814" s="194">
        <f t="shared" si="12"/>
        <v>1.3</v>
      </c>
      <c r="O814" s="198">
        <f>_1_541284561214624104645789101745678[[#This Row],[TOTAL]]*_1_541284561214624104645789101745678[[#This Row],[MARGIN]]</f>
        <v>0</v>
      </c>
      <c r="R814" s="41"/>
    </row>
    <row r="815" spans="4:18">
      <c r="D815" s="188"/>
      <c r="F815" s="168" t="s">
        <v>6202</v>
      </c>
      <c r="G815" s="193">
        <f>IF(_1_541284561214624104645789101745678[[#This Row],[Type]]&gt;0,VLOOKUP(_1_541284561214624104645789101745678[[#This Row],[Type]],Main[[#All],[TYPE]:[UNIT]],'Unit Price'!C$1,FALSE),0)</f>
        <v>0</v>
      </c>
      <c r="H815" s="197">
        <f>IF(_1_541284561214624104645789101745678[[#This Row],[Type]]&gt;0,VLOOKUP(_1_541284561214624104645789101745678[[#This Row],[Type]],Main[[#All],[TYPE]:[UNIT]],'Unit Price'!D$1,FALSE),0)</f>
        <v>0</v>
      </c>
      <c r="I815" s="194">
        <f>IF(_1_541284561214624104645789101745678[[#This Row],[Type]]&gt;0,VLOOKUP(_1_541284561214624104645789101745678[[#This Row],[Type]],Main[[#All],[TYPE]:[UNIT]],'Unit Price'!G$1,FALSE),0)</f>
        <v>0</v>
      </c>
      <c r="J815" s="194">
        <f>IF(_1_541284561214624104645789101745678[[#This Row],[Type]]&gt;0,VLOOKUP(_1_541284561214624104645789101745678[[#This Row],[Type]],Main[[#All],[TYPE]:[UNIT]],'Unit Price'!H$1,FALSE),0)</f>
        <v>0</v>
      </c>
      <c r="K815" s="194">
        <f>IF(_1_541284561214624104645789101745678[[#This Row],[Discount selection]]&gt;0,VLOOKUP(_1_541284561214624104645789101745678[[#This Row],[Discount selection]],'Discount Structure'!$A$2:$B$30,2,"false"),0)</f>
        <v>1</v>
      </c>
      <c r="L815" s="194">
        <f>_1_541284561214624104645789101745678[[#This Row],[LIST $]]*_1_541284561214624104645789101745678[[#This Row],[DISCOUNT]]*_1_541284561214624104645789101745678[[#This Row],[DISCOUNT 2]]</f>
        <v>0</v>
      </c>
      <c r="M815" s="194">
        <f>IF(OR(_1_541284561214624104645789101745678[[#This Row],[UNIT]]&gt;0,_1_541284561214624104645789101745678[[#This Row],[UNIT]]&lt;0),_1_541284561214624104645789101745678[[#This Row],[UNIT]]*_1_541284561214624104645789101745678[[#This Row],[COST]],0)</f>
        <v>0</v>
      </c>
      <c r="N815" s="194">
        <f t="shared" si="12"/>
        <v>1.3</v>
      </c>
      <c r="O815" s="198">
        <f>_1_541284561214624104645789101745678[[#This Row],[TOTAL]]*_1_541284561214624104645789101745678[[#This Row],[MARGIN]]</f>
        <v>0</v>
      </c>
      <c r="R815" s="41"/>
    </row>
    <row r="816" spans="4:18">
      <c r="D816" s="188"/>
      <c r="F816" s="168" t="s">
        <v>6202</v>
      </c>
      <c r="G816" s="193">
        <f>IF(_1_541284561214624104645789101745678[[#This Row],[Type]]&gt;0,VLOOKUP(_1_541284561214624104645789101745678[[#This Row],[Type]],Main[[#All],[TYPE]:[UNIT]],'Unit Price'!C$1,FALSE),0)</f>
        <v>0</v>
      </c>
      <c r="H816" s="197">
        <f>IF(_1_541284561214624104645789101745678[[#This Row],[Type]]&gt;0,VLOOKUP(_1_541284561214624104645789101745678[[#This Row],[Type]],Main[[#All],[TYPE]:[UNIT]],'Unit Price'!D$1,FALSE),0)</f>
        <v>0</v>
      </c>
      <c r="I816" s="194">
        <f>IF(_1_541284561214624104645789101745678[[#This Row],[Type]]&gt;0,VLOOKUP(_1_541284561214624104645789101745678[[#This Row],[Type]],Main[[#All],[TYPE]:[UNIT]],'Unit Price'!G$1,FALSE),0)</f>
        <v>0</v>
      </c>
      <c r="J816" s="194">
        <f>IF(_1_541284561214624104645789101745678[[#This Row],[Type]]&gt;0,VLOOKUP(_1_541284561214624104645789101745678[[#This Row],[Type]],Main[[#All],[TYPE]:[UNIT]],'Unit Price'!H$1,FALSE),0)</f>
        <v>0</v>
      </c>
      <c r="K816" s="194">
        <f>IF(_1_541284561214624104645789101745678[[#This Row],[Discount selection]]&gt;0,VLOOKUP(_1_541284561214624104645789101745678[[#This Row],[Discount selection]],'Discount Structure'!$A$2:$B$30,2,"false"),0)</f>
        <v>1</v>
      </c>
      <c r="L816" s="194">
        <f>_1_541284561214624104645789101745678[[#This Row],[LIST $]]*_1_541284561214624104645789101745678[[#This Row],[DISCOUNT]]*_1_541284561214624104645789101745678[[#This Row],[DISCOUNT 2]]</f>
        <v>0</v>
      </c>
      <c r="M816" s="194">
        <f>IF(OR(_1_541284561214624104645789101745678[[#This Row],[UNIT]]&gt;0,_1_541284561214624104645789101745678[[#This Row],[UNIT]]&lt;0),_1_541284561214624104645789101745678[[#This Row],[UNIT]]*_1_541284561214624104645789101745678[[#This Row],[COST]],0)</f>
        <v>0</v>
      </c>
      <c r="N816" s="194">
        <f t="shared" si="12"/>
        <v>1.3</v>
      </c>
      <c r="O816" s="198">
        <f>_1_541284561214624104645789101745678[[#This Row],[TOTAL]]*_1_541284561214624104645789101745678[[#This Row],[MARGIN]]</f>
        <v>0</v>
      </c>
      <c r="R816" s="41"/>
    </row>
    <row r="817" spans="4:18">
      <c r="D817" s="188"/>
      <c r="F817" s="168" t="s">
        <v>6202</v>
      </c>
      <c r="G817" s="193">
        <f>IF(_1_541284561214624104645789101745678[[#This Row],[Type]]&gt;0,VLOOKUP(_1_541284561214624104645789101745678[[#This Row],[Type]],Main[[#All],[TYPE]:[UNIT]],'Unit Price'!C$1,FALSE),0)</f>
        <v>0</v>
      </c>
      <c r="H817" s="197">
        <f>IF(_1_541284561214624104645789101745678[[#This Row],[Type]]&gt;0,VLOOKUP(_1_541284561214624104645789101745678[[#This Row],[Type]],Main[[#All],[TYPE]:[UNIT]],'Unit Price'!D$1,FALSE),0)</f>
        <v>0</v>
      </c>
      <c r="I817" s="194">
        <f>IF(_1_541284561214624104645789101745678[[#This Row],[Type]]&gt;0,VLOOKUP(_1_541284561214624104645789101745678[[#This Row],[Type]],Main[[#All],[TYPE]:[UNIT]],'Unit Price'!G$1,FALSE),0)</f>
        <v>0</v>
      </c>
      <c r="J817" s="194">
        <f>IF(_1_541284561214624104645789101745678[[#This Row],[Type]]&gt;0,VLOOKUP(_1_541284561214624104645789101745678[[#This Row],[Type]],Main[[#All],[TYPE]:[UNIT]],'Unit Price'!H$1,FALSE),0)</f>
        <v>0</v>
      </c>
      <c r="K817" s="194">
        <f>IF(_1_541284561214624104645789101745678[[#This Row],[Discount selection]]&gt;0,VLOOKUP(_1_541284561214624104645789101745678[[#This Row],[Discount selection]],'Discount Structure'!$A$2:$B$30,2,"false"),0)</f>
        <v>1</v>
      </c>
      <c r="L817" s="194">
        <f>_1_541284561214624104645789101745678[[#This Row],[LIST $]]*_1_541284561214624104645789101745678[[#This Row],[DISCOUNT]]*_1_541284561214624104645789101745678[[#This Row],[DISCOUNT 2]]</f>
        <v>0</v>
      </c>
      <c r="M817" s="194">
        <f>IF(OR(_1_541284561214624104645789101745678[[#This Row],[UNIT]]&gt;0,_1_541284561214624104645789101745678[[#This Row],[UNIT]]&lt;0),_1_541284561214624104645789101745678[[#This Row],[UNIT]]*_1_541284561214624104645789101745678[[#This Row],[COST]],0)</f>
        <v>0</v>
      </c>
      <c r="N817" s="194">
        <f t="shared" si="12"/>
        <v>1.3</v>
      </c>
      <c r="O817" s="198">
        <f>_1_541284561214624104645789101745678[[#This Row],[TOTAL]]*_1_541284561214624104645789101745678[[#This Row],[MARGIN]]</f>
        <v>0</v>
      </c>
      <c r="R817" s="41"/>
    </row>
    <row r="818" spans="4:18">
      <c r="D818" s="188"/>
      <c r="F818" s="168" t="s">
        <v>6202</v>
      </c>
      <c r="G818" s="193">
        <f>IF(_1_541284561214624104645789101745678[[#This Row],[Type]]&gt;0,VLOOKUP(_1_541284561214624104645789101745678[[#This Row],[Type]],Main[[#All],[TYPE]:[UNIT]],'Unit Price'!C$1,FALSE),0)</f>
        <v>0</v>
      </c>
      <c r="H818" s="197">
        <f>IF(_1_541284561214624104645789101745678[[#This Row],[Type]]&gt;0,VLOOKUP(_1_541284561214624104645789101745678[[#This Row],[Type]],Main[[#All],[TYPE]:[UNIT]],'Unit Price'!D$1,FALSE),0)</f>
        <v>0</v>
      </c>
      <c r="I818" s="194">
        <f>IF(_1_541284561214624104645789101745678[[#This Row],[Type]]&gt;0,VLOOKUP(_1_541284561214624104645789101745678[[#This Row],[Type]],Main[[#All],[TYPE]:[UNIT]],'Unit Price'!G$1,FALSE),0)</f>
        <v>0</v>
      </c>
      <c r="J818" s="194">
        <f>IF(_1_541284561214624104645789101745678[[#This Row],[Type]]&gt;0,VLOOKUP(_1_541284561214624104645789101745678[[#This Row],[Type]],Main[[#All],[TYPE]:[UNIT]],'Unit Price'!H$1,FALSE),0)</f>
        <v>0</v>
      </c>
      <c r="K818" s="194">
        <f>IF(_1_541284561214624104645789101745678[[#This Row],[Discount selection]]&gt;0,VLOOKUP(_1_541284561214624104645789101745678[[#This Row],[Discount selection]],'Discount Structure'!$A$2:$B$30,2,"false"),0)</f>
        <v>1</v>
      </c>
      <c r="L818" s="194">
        <f>_1_541284561214624104645789101745678[[#This Row],[LIST $]]*_1_541284561214624104645789101745678[[#This Row],[DISCOUNT]]*_1_541284561214624104645789101745678[[#This Row],[DISCOUNT 2]]</f>
        <v>0</v>
      </c>
      <c r="M818" s="194">
        <f>IF(OR(_1_541284561214624104645789101745678[[#This Row],[UNIT]]&gt;0,_1_541284561214624104645789101745678[[#This Row],[UNIT]]&lt;0),_1_541284561214624104645789101745678[[#This Row],[UNIT]]*_1_541284561214624104645789101745678[[#This Row],[COST]],0)</f>
        <v>0</v>
      </c>
      <c r="N818" s="194">
        <f t="shared" si="12"/>
        <v>1.3</v>
      </c>
      <c r="O818" s="198">
        <f>_1_541284561214624104645789101745678[[#This Row],[TOTAL]]*_1_541284561214624104645789101745678[[#This Row],[MARGIN]]</f>
        <v>0</v>
      </c>
      <c r="R818" s="41"/>
    </row>
    <row r="819" spans="4:18">
      <c r="D819" s="188"/>
      <c r="F819" s="168" t="s">
        <v>6202</v>
      </c>
      <c r="G819" s="193">
        <f>IF(_1_541284561214624104645789101745678[[#This Row],[Type]]&gt;0,VLOOKUP(_1_541284561214624104645789101745678[[#This Row],[Type]],Main[[#All],[TYPE]:[UNIT]],'Unit Price'!C$1,FALSE),0)</f>
        <v>0</v>
      </c>
      <c r="H819" s="197">
        <f>IF(_1_541284561214624104645789101745678[[#This Row],[Type]]&gt;0,VLOOKUP(_1_541284561214624104645789101745678[[#This Row],[Type]],Main[[#All],[TYPE]:[UNIT]],'Unit Price'!D$1,FALSE),0)</f>
        <v>0</v>
      </c>
      <c r="I819" s="194">
        <f>IF(_1_541284561214624104645789101745678[[#This Row],[Type]]&gt;0,VLOOKUP(_1_541284561214624104645789101745678[[#This Row],[Type]],Main[[#All],[TYPE]:[UNIT]],'Unit Price'!G$1,FALSE),0)</f>
        <v>0</v>
      </c>
      <c r="J819" s="194">
        <f>IF(_1_541284561214624104645789101745678[[#This Row],[Type]]&gt;0,VLOOKUP(_1_541284561214624104645789101745678[[#This Row],[Type]],Main[[#All],[TYPE]:[UNIT]],'Unit Price'!H$1,FALSE),0)</f>
        <v>0</v>
      </c>
      <c r="K819" s="194">
        <f>IF(_1_541284561214624104645789101745678[[#This Row],[Discount selection]]&gt;0,VLOOKUP(_1_541284561214624104645789101745678[[#This Row],[Discount selection]],'Discount Structure'!$A$2:$B$30,2,"false"),0)</f>
        <v>1</v>
      </c>
      <c r="L819" s="194">
        <f>_1_541284561214624104645789101745678[[#This Row],[LIST $]]*_1_541284561214624104645789101745678[[#This Row],[DISCOUNT]]*_1_541284561214624104645789101745678[[#This Row],[DISCOUNT 2]]</f>
        <v>0</v>
      </c>
      <c r="M819" s="194">
        <f>IF(OR(_1_541284561214624104645789101745678[[#This Row],[UNIT]]&gt;0,_1_541284561214624104645789101745678[[#This Row],[UNIT]]&lt;0),_1_541284561214624104645789101745678[[#This Row],[UNIT]]*_1_541284561214624104645789101745678[[#This Row],[COST]],0)</f>
        <v>0</v>
      </c>
      <c r="N819" s="194">
        <f t="shared" si="12"/>
        <v>1.3</v>
      </c>
      <c r="O819" s="198">
        <f>_1_541284561214624104645789101745678[[#This Row],[TOTAL]]*_1_541284561214624104645789101745678[[#This Row],[MARGIN]]</f>
        <v>0</v>
      </c>
      <c r="R819" s="41"/>
    </row>
    <row r="820" spans="4:18">
      <c r="D820" s="188"/>
      <c r="F820" s="168" t="s">
        <v>6202</v>
      </c>
      <c r="G820" s="193">
        <f>IF(_1_541284561214624104645789101745678[[#This Row],[Type]]&gt;0,VLOOKUP(_1_541284561214624104645789101745678[[#This Row],[Type]],Main[[#All],[TYPE]:[UNIT]],'Unit Price'!C$1,FALSE),0)</f>
        <v>0</v>
      </c>
      <c r="H820" s="197">
        <f>IF(_1_541284561214624104645789101745678[[#This Row],[Type]]&gt;0,VLOOKUP(_1_541284561214624104645789101745678[[#This Row],[Type]],Main[[#All],[TYPE]:[UNIT]],'Unit Price'!D$1,FALSE),0)</f>
        <v>0</v>
      </c>
      <c r="I820" s="194">
        <f>IF(_1_541284561214624104645789101745678[[#This Row],[Type]]&gt;0,VLOOKUP(_1_541284561214624104645789101745678[[#This Row],[Type]],Main[[#All],[TYPE]:[UNIT]],'Unit Price'!G$1,FALSE),0)</f>
        <v>0</v>
      </c>
      <c r="J820" s="194">
        <f>IF(_1_541284561214624104645789101745678[[#This Row],[Type]]&gt;0,VLOOKUP(_1_541284561214624104645789101745678[[#This Row],[Type]],Main[[#All],[TYPE]:[UNIT]],'Unit Price'!H$1,FALSE),0)</f>
        <v>0</v>
      </c>
      <c r="K820" s="194">
        <f>IF(_1_541284561214624104645789101745678[[#This Row],[Discount selection]]&gt;0,VLOOKUP(_1_541284561214624104645789101745678[[#This Row],[Discount selection]],'Discount Structure'!$A$2:$B$30,2,"false"),0)</f>
        <v>1</v>
      </c>
      <c r="L820" s="194">
        <f>_1_541284561214624104645789101745678[[#This Row],[LIST $]]*_1_541284561214624104645789101745678[[#This Row],[DISCOUNT]]*_1_541284561214624104645789101745678[[#This Row],[DISCOUNT 2]]</f>
        <v>0</v>
      </c>
      <c r="M820" s="194">
        <f>IF(OR(_1_541284561214624104645789101745678[[#This Row],[UNIT]]&gt;0,_1_541284561214624104645789101745678[[#This Row],[UNIT]]&lt;0),_1_541284561214624104645789101745678[[#This Row],[UNIT]]*_1_541284561214624104645789101745678[[#This Row],[COST]],0)</f>
        <v>0</v>
      </c>
      <c r="N820" s="194">
        <f t="shared" si="12"/>
        <v>1.3</v>
      </c>
      <c r="O820" s="198">
        <f>_1_541284561214624104645789101745678[[#This Row],[TOTAL]]*_1_541284561214624104645789101745678[[#This Row],[MARGIN]]</f>
        <v>0</v>
      </c>
      <c r="R820" s="41"/>
    </row>
    <row r="821" spans="4:18">
      <c r="D821" s="188"/>
      <c r="F821" s="168" t="s">
        <v>6202</v>
      </c>
      <c r="G821" s="193">
        <f>IF(_1_541284561214624104645789101745678[[#This Row],[Type]]&gt;0,VLOOKUP(_1_541284561214624104645789101745678[[#This Row],[Type]],Main[[#All],[TYPE]:[UNIT]],'Unit Price'!C$1,FALSE),0)</f>
        <v>0</v>
      </c>
      <c r="H821" s="197">
        <f>IF(_1_541284561214624104645789101745678[[#This Row],[Type]]&gt;0,VLOOKUP(_1_541284561214624104645789101745678[[#This Row],[Type]],Main[[#All],[TYPE]:[UNIT]],'Unit Price'!D$1,FALSE),0)</f>
        <v>0</v>
      </c>
      <c r="I821" s="194">
        <f>IF(_1_541284561214624104645789101745678[[#This Row],[Type]]&gt;0,VLOOKUP(_1_541284561214624104645789101745678[[#This Row],[Type]],Main[[#All],[TYPE]:[UNIT]],'Unit Price'!G$1,FALSE),0)</f>
        <v>0</v>
      </c>
      <c r="J821" s="194">
        <f>IF(_1_541284561214624104645789101745678[[#This Row],[Type]]&gt;0,VLOOKUP(_1_541284561214624104645789101745678[[#This Row],[Type]],Main[[#All],[TYPE]:[UNIT]],'Unit Price'!H$1,FALSE),0)</f>
        <v>0</v>
      </c>
      <c r="K821" s="194">
        <f>IF(_1_541284561214624104645789101745678[[#This Row],[Discount selection]]&gt;0,VLOOKUP(_1_541284561214624104645789101745678[[#This Row],[Discount selection]],'Discount Structure'!$A$2:$B$30,2,"false"),0)</f>
        <v>1</v>
      </c>
      <c r="L821" s="194">
        <f>_1_541284561214624104645789101745678[[#This Row],[LIST $]]*_1_541284561214624104645789101745678[[#This Row],[DISCOUNT]]*_1_541284561214624104645789101745678[[#This Row],[DISCOUNT 2]]</f>
        <v>0</v>
      </c>
      <c r="M821" s="194">
        <f>IF(OR(_1_541284561214624104645789101745678[[#This Row],[UNIT]]&gt;0,_1_541284561214624104645789101745678[[#This Row],[UNIT]]&lt;0),_1_541284561214624104645789101745678[[#This Row],[UNIT]]*_1_541284561214624104645789101745678[[#This Row],[COST]],0)</f>
        <v>0</v>
      </c>
      <c r="N821" s="194">
        <f t="shared" si="12"/>
        <v>1.3</v>
      </c>
      <c r="O821" s="198">
        <f>_1_541284561214624104645789101745678[[#This Row],[TOTAL]]*_1_541284561214624104645789101745678[[#This Row],[MARGIN]]</f>
        <v>0</v>
      </c>
      <c r="R821" s="41"/>
    </row>
    <row r="822" spans="4:18">
      <c r="D822" s="188"/>
      <c r="F822" s="168" t="s">
        <v>6202</v>
      </c>
      <c r="G822" s="193">
        <f>IF(_1_541284561214624104645789101745678[[#This Row],[Type]]&gt;0,VLOOKUP(_1_541284561214624104645789101745678[[#This Row],[Type]],Main[[#All],[TYPE]:[UNIT]],'Unit Price'!C$1,FALSE),0)</f>
        <v>0</v>
      </c>
      <c r="H822" s="197">
        <f>IF(_1_541284561214624104645789101745678[[#This Row],[Type]]&gt;0,VLOOKUP(_1_541284561214624104645789101745678[[#This Row],[Type]],Main[[#All],[TYPE]:[UNIT]],'Unit Price'!D$1,FALSE),0)</f>
        <v>0</v>
      </c>
      <c r="I822" s="194">
        <f>IF(_1_541284561214624104645789101745678[[#This Row],[Type]]&gt;0,VLOOKUP(_1_541284561214624104645789101745678[[#This Row],[Type]],Main[[#All],[TYPE]:[UNIT]],'Unit Price'!G$1,FALSE),0)</f>
        <v>0</v>
      </c>
      <c r="J822" s="194">
        <f>IF(_1_541284561214624104645789101745678[[#This Row],[Type]]&gt;0,VLOOKUP(_1_541284561214624104645789101745678[[#This Row],[Type]],Main[[#All],[TYPE]:[UNIT]],'Unit Price'!H$1,FALSE),0)</f>
        <v>0</v>
      </c>
      <c r="K822" s="194">
        <f>IF(_1_541284561214624104645789101745678[[#This Row],[Discount selection]]&gt;0,VLOOKUP(_1_541284561214624104645789101745678[[#This Row],[Discount selection]],'Discount Structure'!$A$2:$B$30,2,"false"),0)</f>
        <v>1</v>
      </c>
      <c r="L822" s="194">
        <f>_1_541284561214624104645789101745678[[#This Row],[LIST $]]*_1_541284561214624104645789101745678[[#This Row],[DISCOUNT]]*_1_541284561214624104645789101745678[[#This Row],[DISCOUNT 2]]</f>
        <v>0</v>
      </c>
      <c r="M822" s="194">
        <f>IF(OR(_1_541284561214624104645789101745678[[#This Row],[UNIT]]&gt;0,_1_541284561214624104645789101745678[[#This Row],[UNIT]]&lt;0),_1_541284561214624104645789101745678[[#This Row],[UNIT]]*_1_541284561214624104645789101745678[[#This Row],[COST]],0)</f>
        <v>0</v>
      </c>
      <c r="N822" s="194">
        <f t="shared" si="12"/>
        <v>1.3</v>
      </c>
      <c r="O822" s="198">
        <f>_1_541284561214624104645789101745678[[#This Row],[TOTAL]]*_1_541284561214624104645789101745678[[#This Row],[MARGIN]]</f>
        <v>0</v>
      </c>
      <c r="R822" s="41"/>
    </row>
    <row r="823" spans="4:18">
      <c r="D823" s="188"/>
      <c r="F823" s="168" t="s">
        <v>6202</v>
      </c>
      <c r="G823" s="193">
        <f>IF(_1_541284561214624104645789101745678[[#This Row],[Type]]&gt;0,VLOOKUP(_1_541284561214624104645789101745678[[#This Row],[Type]],Main[[#All],[TYPE]:[UNIT]],'Unit Price'!C$1,FALSE),0)</f>
        <v>0</v>
      </c>
      <c r="H823" s="197">
        <f>IF(_1_541284561214624104645789101745678[[#This Row],[Type]]&gt;0,VLOOKUP(_1_541284561214624104645789101745678[[#This Row],[Type]],Main[[#All],[TYPE]:[UNIT]],'Unit Price'!D$1,FALSE),0)</f>
        <v>0</v>
      </c>
      <c r="I823" s="194">
        <f>IF(_1_541284561214624104645789101745678[[#This Row],[Type]]&gt;0,VLOOKUP(_1_541284561214624104645789101745678[[#This Row],[Type]],Main[[#All],[TYPE]:[UNIT]],'Unit Price'!G$1,FALSE),0)</f>
        <v>0</v>
      </c>
      <c r="J823" s="194">
        <f>IF(_1_541284561214624104645789101745678[[#This Row],[Type]]&gt;0,VLOOKUP(_1_541284561214624104645789101745678[[#This Row],[Type]],Main[[#All],[TYPE]:[UNIT]],'Unit Price'!H$1,FALSE),0)</f>
        <v>0</v>
      </c>
      <c r="K823" s="194">
        <f>IF(_1_541284561214624104645789101745678[[#This Row],[Discount selection]]&gt;0,VLOOKUP(_1_541284561214624104645789101745678[[#This Row],[Discount selection]],'Discount Structure'!$A$2:$B$30,2,"false"),0)</f>
        <v>1</v>
      </c>
      <c r="L823" s="194">
        <f>_1_541284561214624104645789101745678[[#This Row],[LIST $]]*_1_541284561214624104645789101745678[[#This Row],[DISCOUNT]]*_1_541284561214624104645789101745678[[#This Row],[DISCOUNT 2]]</f>
        <v>0</v>
      </c>
      <c r="M823" s="194">
        <f>IF(OR(_1_541284561214624104645789101745678[[#This Row],[UNIT]]&gt;0,_1_541284561214624104645789101745678[[#This Row],[UNIT]]&lt;0),_1_541284561214624104645789101745678[[#This Row],[UNIT]]*_1_541284561214624104645789101745678[[#This Row],[COST]],0)</f>
        <v>0</v>
      </c>
      <c r="N823" s="194">
        <f t="shared" si="12"/>
        <v>1.3</v>
      </c>
      <c r="O823" s="198">
        <f>_1_541284561214624104645789101745678[[#This Row],[TOTAL]]*_1_541284561214624104645789101745678[[#This Row],[MARGIN]]</f>
        <v>0</v>
      </c>
      <c r="R823" s="41"/>
    </row>
    <row r="824" spans="4:18">
      <c r="D824" s="188"/>
      <c r="F824" s="168" t="s">
        <v>6202</v>
      </c>
      <c r="G824" s="193">
        <f>IF(_1_541284561214624104645789101745678[[#This Row],[Type]]&gt;0,VLOOKUP(_1_541284561214624104645789101745678[[#This Row],[Type]],Main[[#All],[TYPE]:[UNIT]],'Unit Price'!C$1,FALSE),0)</f>
        <v>0</v>
      </c>
      <c r="H824" s="197">
        <f>IF(_1_541284561214624104645789101745678[[#This Row],[Type]]&gt;0,VLOOKUP(_1_541284561214624104645789101745678[[#This Row],[Type]],Main[[#All],[TYPE]:[UNIT]],'Unit Price'!D$1,FALSE),0)</f>
        <v>0</v>
      </c>
      <c r="I824" s="194">
        <f>IF(_1_541284561214624104645789101745678[[#This Row],[Type]]&gt;0,VLOOKUP(_1_541284561214624104645789101745678[[#This Row],[Type]],Main[[#All],[TYPE]:[UNIT]],'Unit Price'!G$1,FALSE),0)</f>
        <v>0</v>
      </c>
      <c r="J824" s="194">
        <f>IF(_1_541284561214624104645789101745678[[#This Row],[Type]]&gt;0,VLOOKUP(_1_541284561214624104645789101745678[[#This Row],[Type]],Main[[#All],[TYPE]:[UNIT]],'Unit Price'!H$1,FALSE),0)</f>
        <v>0</v>
      </c>
      <c r="K824" s="194">
        <f>IF(_1_541284561214624104645789101745678[[#This Row],[Discount selection]]&gt;0,VLOOKUP(_1_541284561214624104645789101745678[[#This Row],[Discount selection]],'Discount Structure'!$A$2:$B$30,2,"false"),0)</f>
        <v>1</v>
      </c>
      <c r="L824" s="194">
        <f>_1_541284561214624104645789101745678[[#This Row],[LIST $]]*_1_541284561214624104645789101745678[[#This Row],[DISCOUNT]]*_1_541284561214624104645789101745678[[#This Row],[DISCOUNT 2]]</f>
        <v>0</v>
      </c>
      <c r="M824" s="194">
        <f>IF(OR(_1_541284561214624104645789101745678[[#This Row],[UNIT]]&gt;0,_1_541284561214624104645789101745678[[#This Row],[UNIT]]&lt;0),_1_541284561214624104645789101745678[[#This Row],[UNIT]]*_1_541284561214624104645789101745678[[#This Row],[COST]],0)</f>
        <v>0</v>
      </c>
      <c r="N824" s="194">
        <f t="shared" si="12"/>
        <v>1.3</v>
      </c>
      <c r="O824" s="198">
        <f>_1_541284561214624104645789101745678[[#This Row],[TOTAL]]*_1_541284561214624104645789101745678[[#This Row],[MARGIN]]</f>
        <v>0</v>
      </c>
      <c r="R824" s="41"/>
    </row>
    <row r="825" spans="4:18">
      <c r="D825" s="188"/>
      <c r="F825" s="168" t="s">
        <v>6202</v>
      </c>
      <c r="G825" s="193">
        <f>IF(_1_541284561214624104645789101745678[[#This Row],[Type]]&gt;0,VLOOKUP(_1_541284561214624104645789101745678[[#This Row],[Type]],Main[[#All],[TYPE]:[UNIT]],'Unit Price'!C$1,FALSE),0)</f>
        <v>0</v>
      </c>
      <c r="H825" s="197">
        <f>IF(_1_541284561214624104645789101745678[[#This Row],[Type]]&gt;0,VLOOKUP(_1_541284561214624104645789101745678[[#This Row],[Type]],Main[[#All],[TYPE]:[UNIT]],'Unit Price'!D$1,FALSE),0)</f>
        <v>0</v>
      </c>
      <c r="I825" s="194">
        <f>IF(_1_541284561214624104645789101745678[[#This Row],[Type]]&gt;0,VLOOKUP(_1_541284561214624104645789101745678[[#This Row],[Type]],Main[[#All],[TYPE]:[UNIT]],'Unit Price'!G$1,FALSE),0)</f>
        <v>0</v>
      </c>
      <c r="J825" s="194">
        <f>IF(_1_541284561214624104645789101745678[[#This Row],[Type]]&gt;0,VLOOKUP(_1_541284561214624104645789101745678[[#This Row],[Type]],Main[[#All],[TYPE]:[UNIT]],'Unit Price'!H$1,FALSE),0)</f>
        <v>0</v>
      </c>
      <c r="K825" s="194">
        <f>IF(_1_541284561214624104645789101745678[[#This Row],[Discount selection]]&gt;0,VLOOKUP(_1_541284561214624104645789101745678[[#This Row],[Discount selection]],'Discount Structure'!$A$2:$B$30,2,"false"),0)</f>
        <v>1</v>
      </c>
      <c r="L825" s="194">
        <f>_1_541284561214624104645789101745678[[#This Row],[LIST $]]*_1_541284561214624104645789101745678[[#This Row],[DISCOUNT]]*_1_541284561214624104645789101745678[[#This Row],[DISCOUNT 2]]</f>
        <v>0</v>
      </c>
      <c r="M825" s="194">
        <f>IF(OR(_1_541284561214624104645789101745678[[#This Row],[UNIT]]&gt;0,_1_541284561214624104645789101745678[[#This Row],[UNIT]]&lt;0),_1_541284561214624104645789101745678[[#This Row],[UNIT]]*_1_541284561214624104645789101745678[[#This Row],[COST]],0)</f>
        <v>0</v>
      </c>
      <c r="N825" s="194">
        <f t="shared" si="12"/>
        <v>1.3</v>
      </c>
      <c r="O825" s="198">
        <f>_1_541284561214624104645789101745678[[#This Row],[TOTAL]]*_1_541284561214624104645789101745678[[#This Row],[MARGIN]]</f>
        <v>0</v>
      </c>
      <c r="R825" s="41"/>
    </row>
    <row r="826" spans="4:18">
      <c r="D826" s="188"/>
      <c r="F826" s="168" t="s">
        <v>6202</v>
      </c>
      <c r="G826" s="193">
        <f>IF(_1_541284561214624104645789101745678[[#This Row],[Type]]&gt;0,VLOOKUP(_1_541284561214624104645789101745678[[#This Row],[Type]],Main[[#All],[TYPE]:[UNIT]],'Unit Price'!C$1,FALSE),0)</f>
        <v>0</v>
      </c>
      <c r="H826" s="197">
        <f>IF(_1_541284561214624104645789101745678[[#This Row],[Type]]&gt;0,VLOOKUP(_1_541284561214624104645789101745678[[#This Row],[Type]],Main[[#All],[TYPE]:[UNIT]],'Unit Price'!D$1,FALSE),0)</f>
        <v>0</v>
      </c>
      <c r="I826" s="194">
        <f>IF(_1_541284561214624104645789101745678[[#This Row],[Type]]&gt;0,VLOOKUP(_1_541284561214624104645789101745678[[#This Row],[Type]],Main[[#All],[TYPE]:[UNIT]],'Unit Price'!G$1,FALSE),0)</f>
        <v>0</v>
      </c>
      <c r="J826" s="194">
        <f>IF(_1_541284561214624104645789101745678[[#This Row],[Type]]&gt;0,VLOOKUP(_1_541284561214624104645789101745678[[#This Row],[Type]],Main[[#All],[TYPE]:[UNIT]],'Unit Price'!H$1,FALSE),0)</f>
        <v>0</v>
      </c>
      <c r="K826" s="194">
        <f>IF(_1_541284561214624104645789101745678[[#This Row],[Discount selection]]&gt;0,VLOOKUP(_1_541284561214624104645789101745678[[#This Row],[Discount selection]],'Discount Structure'!$A$2:$B$30,2,"false"),0)</f>
        <v>1</v>
      </c>
      <c r="L826" s="194">
        <f>_1_541284561214624104645789101745678[[#This Row],[LIST $]]*_1_541284561214624104645789101745678[[#This Row],[DISCOUNT]]*_1_541284561214624104645789101745678[[#This Row],[DISCOUNT 2]]</f>
        <v>0</v>
      </c>
      <c r="M826" s="194">
        <f>IF(OR(_1_541284561214624104645789101745678[[#This Row],[UNIT]]&gt;0,_1_541284561214624104645789101745678[[#This Row],[UNIT]]&lt;0),_1_541284561214624104645789101745678[[#This Row],[UNIT]]*_1_541284561214624104645789101745678[[#This Row],[COST]],0)</f>
        <v>0</v>
      </c>
      <c r="N826" s="194">
        <f t="shared" si="12"/>
        <v>1.3</v>
      </c>
      <c r="O826" s="198">
        <f>_1_541284561214624104645789101745678[[#This Row],[TOTAL]]*_1_541284561214624104645789101745678[[#This Row],[MARGIN]]</f>
        <v>0</v>
      </c>
      <c r="R826" s="41"/>
    </row>
    <row r="827" spans="4:18">
      <c r="D827" s="188"/>
      <c r="F827" s="168" t="s">
        <v>6202</v>
      </c>
      <c r="G827" s="193">
        <f>IF(_1_541284561214624104645789101745678[[#This Row],[Type]]&gt;0,VLOOKUP(_1_541284561214624104645789101745678[[#This Row],[Type]],Main[[#All],[TYPE]:[UNIT]],'Unit Price'!C$1,FALSE),0)</f>
        <v>0</v>
      </c>
      <c r="H827" s="197">
        <f>IF(_1_541284561214624104645789101745678[[#This Row],[Type]]&gt;0,VLOOKUP(_1_541284561214624104645789101745678[[#This Row],[Type]],Main[[#All],[TYPE]:[UNIT]],'Unit Price'!D$1,FALSE),0)</f>
        <v>0</v>
      </c>
      <c r="I827" s="194">
        <f>IF(_1_541284561214624104645789101745678[[#This Row],[Type]]&gt;0,VLOOKUP(_1_541284561214624104645789101745678[[#This Row],[Type]],Main[[#All],[TYPE]:[UNIT]],'Unit Price'!G$1,FALSE),0)</f>
        <v>0</v>
      </c>
      <c r="J827" s="194">
        <f>IF(_1_541284561214624104645789101745678[[#This Row],[Type]]&gt;0,VLOOKUP(_1_541284561214624104645789101745678[[#This Row],[Type]],Main[[#All],[TYPE]:[UNIT]],'Unit Price'!H$1,FALSE),0)</f>
        <v>0</v>
      </c>
      <c r="K827" s="194">
        <f>IF(_1_541284561214624104645789101745678[[#This Row],[Discount selection]]&gt;0,VLOOKUP(_1_541284561214624104645789101745678[[#This Row],[Discount selection]],'Discount Structure'!$A$2:$B$30,2,"false"),0)</f>
        <v>1</v>
      </c>
      <c r="L827" s="194">
        <f>_1_541284561214624104645789101745678[[#This Row],[LIST $]]*_1_541284561214624104645789101745678[[#This Row],[DISCOUNT]]*_1_541284561214624104645789101745678[[#This Row],[DISCOUNT 2]]</f>
        <v>0</v>
      </c>
      <c r="M827" s="194">
        <f>IF(OR(_1_541284561214624104645789101745678[[#This Row],[UNIT]]&gt;0,_1_541284561214624104645789101745678[[#This Row],[UNIT]]&lt;0),_1_541284561214624104645789101745678[[#This Row],[UNIT]]*_1_541284561214624104645789101745678[[#This Row],[COST]],0)</f>
        <v>0</v>
      </c>
      <c r="N827" s="194">
        <f t="shared" si="12"/>
        <v>1.3</v>
      </c>
      <c r="O827" s="198">
        <f>_1_541284561214624104645789101745678[[#This Row],[TOTAL]]*_1_541284561214624104645789101745678[[#This Row],[MARGIN]]</f>
        <v>0</v>
      </c>
      <c r="R827" s="41"/>
    </row>
    <row r="828" spans="4:18">
      <c r="D828" s="188"/>
      <c r="F828" s="168" t="s">
        <v>6202</v>
      </c>
      <c r="G828" s="193">
        <f>IF(_1_541284561214624104645789101745678[[#This Row],[Type]]&gt;0,VLOOKUP(_1_541284561214624104645789101745678[[#This Row],[Type]],Main[[#All],[TYPE]:[UNIT]],'Unit Price'!C$1,FALSE),0)</f>
        <v>0</v>
      </c>
      <c r="H828" s="197">
        <f>IF(_1_541284561214624104645789101745678[[#This Row],[Type]]&gt;0,VLOOKUP(_1_541284561214624104645789101745678[[#This Row],[Type]],Main[[#All],[TYPE]:[UNIT]],'Unit Price'!D$1,FALSE),0)</f>
        <v>0</v>
      </c>
      <c r="I828" s="194">
        <f>IF(_1_541284561214624104645789101745678[[#This Row],[Type]]&gt;0,VLOOKUP(_1_541284561214624104645789101745678[[#This Row],[Type]],Main[[#All],[TYPE]:[UNIT]],'Unit Price'!G$1,FALSE),0)</f>
        <v>0</v>
      </c>
      <c r="J828" s="194">
        <f>IF(_1_541284561214624104645789101745678[[#This Row],[Type]]&gt;0,VLOOKUP(_1_541284561214624104645789101745678[[#This Row],[Type]],Main[[#All],[TYPE]:[UNIT]],'Unit Price'!H$1,FALSE),0)</f>
        <v>0</v>
      </c>
      <c r="K828" s="194">
        <f>IF(_1_541284561214624104645789101745678[[#This Row],[Discount selection]]&gt;0,VLOOKUP(_1_541284561214624104645789101745678[[#This Row],[Discount selection]],'Discount Structure'!$A$2:$B$30,2,"false"),0)</f>
        <v>1</v>
      </c>
      <c r="L828" s="194">
        <f>_1_541284561214624104645789101745678[[#This Row],[LIST $]]*_1_541284561214624104645789101745678[[#This Row],[DISCOUNT]]*_1_541284561214624104645789101745678[[#This Row],[DISCOUNT 2]]</f>
        <v>0</v>
      </c>
      <c r="M828" s="194">
        <f>IF(OR(_1_541284561214624104645789101745678[[#This Row],[UNIT]]&gt;0,_1_541284561214624104645789101745678[[#This Row],[UNIT]]&lt;0),_1_541284561214624104645789101745678[[#This Row],[UNIT]]*_1_541284561214624104645789101745678[[#This Row],[COST]],0)</f>
        <v>0</v>
      </c>
      <c r="N828" s="194">
        <f t="shared" si="12"/>
        <v>1.3</v>
      </c>
      <c r="O828" s="198">
        <f>_1_541284561214624104645789101745678[[#This Row],[TOTAL]]*_1_541284561214624104645789101745678[[#This Row],[MARGIN]]</f>
        <v>0</v>
      </c>
      <c r="R828" s="41"/>
    </row>
    <row r="829" spans="4:18">
      <c r="D829" s="188"/>
      <c r="F829" s="168" t="s">
        <v>6202</v>
      </c>
      <c r="G829" s="193">
        <f>IF(_1_541284561214624104645789101745678[[#This Row],[Type]]&gt;0,VLOOKUP(_1_541284561214624104645789101745678[[#This Row],[Type]],Main[[#All],[TYPE]:[UNIT]],'Unit Price'!C$1,FALSE),0)</f>
        <v>0</v>
      </c>
      <c r="H829" s="197">
        <f>IF(_1_541284561214624104645789101745678[[#This Row],[Type]]&gt;0,VLOOKUP(_1_541284561214624104645789101745678[[#This Row],[Type]],Main[[#All],[TYPE]:[UNIT]],'Unit Price'!D$1,FALSE),0)</f>
        <v>0</v>
      </c>
      <c r="I829" s="194">
        <f>IF(_1_541284561214624104645789101745678[[#This Row],[Type]]&gt;0,VLOOKUP(_1_541284561214624104645789101745678[[#This Row],[Type]],Main[[#All],[TYPE]:[UNIT]],'Unit Price'!G$1,FALSE),0)</f>
        <v>0</v>
      </c>
      <c r="J829" s="194">
        <f>IF(_1_541284561214624104645789101745678[[#This Row],[Type]]&gt;0,VLOOKUP(_1_541284561214624104645789101745678[[#This Row],[Type]],Main[[#All],[TYPE]:[UNIT]],'Unit Price'!H$1,FALSE),0)</f>
        <v>0</v>
      </c>
      <c r="K829" s="194">
        <f>IF(_1_541284561214624104645789101745678[[#This Row],[Discount selection]]&gt;0,VLOOKUP(_1_541284561214624104645789101745678[[#This Row],[Discount selection]],'Discount Structure'!$A$2:$B$30,2,"false"),0)</f>
        <v>1</v>
      </c>
      <c r="L829" s="194">
        <f>_1_541284561214624104645789101745678[[#This Row],[LIST $]]*_1_541284561214624104645789101745678[[#This Row],[DISCOUNT]]*_1_541284561214624104645789101745678[[#This Row],[DISCOUNT 2]]</f>
        <v>0</v>
      </c>
      <c r="M829" s="194">
        <f>IF(OR(_1_541284561214624104645789101745678[[#This Row],[UNIT]]&gt;0,_1_541284561214624104645789101745678[[#This Row],[UNIT]]&lt;0),_1_541284561214624104645789101745678[[#This Row],[UNIT]]*_1_541284561214624104645789101745678[[#This Row],[COST]],0)</f>
        <v>0</v>
      </c>
      <c r="N829" s="194">
        <f t="shared" si="12"/>
        <v>1.3</v>
      </c>
      <c r="O829" s="198">
        <f>_1_541284561214624104645789101745678[[#This Row],[TOTAL]]*_1_541284561214624104645789101745678[[#This Row],[MARGIN]]</f>
        <v>0</v>
      </c>
      <c r="R829" s="41"/>
    </row>
    <row r="830" spans="4:18">
      <c r="D830" s="188"/>
      <c r="F830" s="168" t="s">
        <v>6202</v>
      </c>
      <c r="G830" s="193">
        <f>IF(_1_541284561214624104645789101745678[[#This Row],[Type]]&gt;0,VLOOKUP(_1_541284561214624104645789101745678[[#This Row],[Type]],Main[[#All],[TYPE]:[UNIT]],'Unit Price'!C$1,FALSE),0)</f>
        <v>0</v>
      </c>
      <c r="H830" s="197">
        <f>IF(_1_541284561214624104645789101745678[[#This Row],[Type]]&gt;0,VLOOKUP(_1_541284561214624104645789101745678[[#This Row],[Type]],Main[[#All],[TYPE]:[UNIT]],'Unit Price'!D$1,FALSE),0)</f>
        <v>0</v>
      </c>
      <c r="I830" s="194">
        <f>IF(_1_541284561214624104645789101745678[[#This Row],[Type]]&gt;0,VLOOKUP(_1_541284561214624104645789101745678[[#This Row],[Type]],Main[[#All],[TYPE]:[UNIT]],'Unit Price'!G$1,FALSE),0)</f>
        <v>0</v>
      </c>
      <c r="J830" s="194">
        <f>IF(_1_541284561214624104645789101745678[[#This Row],[Type]]&gt;0,VLOOKUP(_1_541284561214624104645789101745678[[#This Row],[Type]],Main[[#All],[TYPE]:[UNIT]],'Unit Price'!H$1,FALSE),0)</f>
        <v>0</v>
      </c>
      <c r="K830" s="194">
        <f>IF(_1_541284561214624104645789101745678[[#This Row],[Discount selection]]&gt;0,VLOOKUP(_1_541284561214624104645789101745678[[#This Row],[Discount selection]],'Discount Structure'!$A$2:$B$30,2,"false"),0)</f>
        <v>1</v>
      </c>
      <c r="L830" s="194">
        <f>_1_541284561214624104645789101745678[[#This Row],[LIST $]]*_1_541284561214624104645789101745678[[#This Row],[DISCOUNT]]*_1_541284561214624104645789101745678[[#This Row],[DISCOUNT 2]]</f>
        <v>0</v>
      </c>
      <c r="M830" s="194">
        <f>IF(OR(_1_541284561214624104645789101745678[[#This Row],[UNIT]]&gt;0,_1_541284561214624104645789101745678[[#This Row],[UNIT]]&lt;0),_1_541284561214624104645789101745678[[#This Row],[UNIT]]*_1_541284561214624104645789101745678[[#This Row],[COST]],0)</f>
        <v>0</v>
      </c>
      <c r="N830" s="194">
        <f t="shared" si="12"/>
        <v>1.3</v>
      </c>
      <c r="O830" s="198">
        <f>_1_541284561214624104645789101745678[[#This Row],[TOTAL]]*_1_541284561214624104645789101745678[[#This Row],[MARGIN]]</f>
        <v>0</v>
      </c>
      <c r="R830" s="41"/>
    </row>
    <row r="831" spans="4:18">
      <c r="D831" s="188"/>
      <c r="F831" s="168" t="s">
        <v>6202</v>
      </c>
      <c r="G831" s="193">
        <f>IF(_1_541284561214624104645789101745678[[#This Row],[Type]]&gt;0,VLOOKUP(_1_541284561214624104645789101745678[[#This Row],[Type]],Main[[#All],[TYPE]:[UNIT]],'Unit Price'!C$1,FALSE),0)</f>
        <v>0</v>
      </c>
      <c r="H831" s="197">
        <f>IF(_1_541284561214624104645789101745678[[#This Row],[Type]]&gt;0,VLOOKUP(_1_541284561214624104645789101745678[[#This Row],[Type]],Main[[#All],[TYPE]:[UNIT]],'Unit Price'!D$1,FALSE),0)</f>
        <v>0</v>
      </c>
      <c r="I831" s="194">
        <f>IF(_1_541284561214624104645789101745678[[#This Row],[Type]]&gt;0,VLOOKUP(_1_541284561214624104645789101745678[[#This Row],[Type]],Main[[#All],[TYPE]:[UNIT]],'Unit Price'!G$1,FALSE),0)</f>
        <v>0</v>
      </c>
      <c r="J831" s="194">
        <f>IF(_1_541284561214624104645789101745678[[#This Row],[Type]]&gt;0,VLOOKUP(_1_541284561214624104645789101745678[[#This Row],[Type]],Main[[#All],[TYPE]:[UNIT]],'Unit Price'!H$1,FALSE),0)</f>
        <v>0</v>
      </c>
      <c r="K831" s="194">
        <f>IF(_1_541284561214624104645789101745678[[#This Row],[Discount selection]]&gt;0,VLOOKUP(_1_541284561214624104645789101745678[[#This Row],[Discount selection]],'Discount Structure'!$A$2:$B$30,2,"false"),0)</f>
        <v>1</v>
      </c>
      <c r="L831" s="194">
        <f>_1_541284561214624104645789101745678[[#This Row],[LIST $]]*_1_541284561214624104645789101745678[[#This Row],[DISCOUNT]]*_1_541284561214624104645789101745678[[#This Row],[DISCOUNT 2]]</f>
        <v>0</v>
      </c>
      <c r="M831" s="194">
        <f>IF(OR(_1_541284561214624104645789101745678[[#This Row],[UNIT]]&gt;0,_1_541284561214624104645789101745678[[#This Row],[UNIT]]&lt;0),_1_541284561214624104645789101745678[[#This Row],[UNIT]]*_1_541284561214624104645789101745678[[#This Row],[COST]],0)</f>
        <v>0</v>
      </c>
      <c r="N831" s="194">
        <f t="shared" si="12"/>
        <v>1.3</v>
      </c>
      <c r="O831" s="198">
        <f>_1_541284561214624104645789101745678[[#This Row],[TOTAL]]*_1_541284561214624104645789101745678[[#This Row],[MARGIN]]</f>
        <v>0</v>
      </c>
      <c r="R831" s="41"/>
    </row>
    <row r="832" spans="4:18">
      <c r="D832" s="188"/>
      <c r="F832" s="168" t="s">
        <v>6202</v>
      </c>
      <c r="G832" s="193">
        <f>IF(_1_541284561214624104645789101745678[[#This Row],[Type]]&gt;0,VLOOKUP(_1_541284561214624104645789101745678[[#This Row],[Type]],Main[[#All],[TYPE]:[UNIT]],'Unit Price'!C$1,FALSE),0)</f>
        <v>0</v>
      </c>
      <c r="H832" s="197">
        <f>IF(_1_541284561214624104645789101745678[[#This Row],[Type]]&gt;0,VLOOKUP(_1_541284561214624104645789101745678[[#This Row],[Type]],Main[[#All],[TYPE]:[UNIT]],'Unit Price'!D$1,FALSE),0)</f>
        <v>0</v>
      </c>
      <c r="I832" s="194">
        <f>IF(_1_541284561214624104645789101745678[[#This Row],[Type]]&gt;0,VLOOKUP(_1_541284561214624104645789101745678[[#This Row],[Type]],Main[[#All],[TYPE]:[UNIT]],'Unit Price'!G$1,FALSE),0)</f>
        <v>0</v>
      </c>
      <c r="J832" s="194">
        <f>IF(_1_541284561214624104645789101745678[[#This Row],[Type]]&gt;0,VLOOKUP(_1_541284561214624104645789101745678[[#This Row],[Type]],Main[[#All],[TYPE]:[UNIT]],'Unit Price'!H$1,FALSE),0)</f>
        <v>0</v>
      </c>
      <c r="K832" s="194">
        <f>IF(_1_541284561214624104645789101745678[[#This Row],[Discount selection]]&gt;0,VLOOKUP(_1_541284561214624104645789101745678[[#This Row],[Discount selection]],'Discount Structure'!$A$2:$B$30,2,"false"),0)</f>
        <v>1</v>
      </c>
      <c r="L832" s="194">
        <f>_1_541284561214624104645789101745678[[#This Row],[LIST $]]*_1_541284561214624104645789101745678[[#This Row],[DISCOUNT]]*_1_541284561214624104645789101745678[[#This Row],[DISCOUNT 2]]</f>
        <v>0</v>
      </c>
      <c r="M832" s="194">
        <f>IF(OR(_1_541284561214624104645789101745678[[#This Row],[UNIT]]&gt;0,_1_541284561214624104645789101745678[[#This Row],[UNIT]]&lt;0),_1_541284561214624104645789101745678[[#This Row],[UNIT]]*_1_541284561214624104645789101745678[[#This Row],[COST]],0)</f>
        <v>0</v>
      </c>
      <c r="N832" s="194">
        <f t="shared" si="12"/>
        <v>1.3</v>
      </c>
      <c r="O832" s="198">
        <f>_1_541284561214624104645789101745678[[#This Row],[TOTAL]]*_1_541284561214624104645789101745678[[#This Row],[MARGIN]]</f>
        <v>0</v>
      </c>
      <c r="R832" s="41"/>
    </row>
    <row r="833" spans="4:18">
      <c r="D833" s="188"/>
      <c r="F833" s="168" t="s">
        <v>6202</v>
      </c>
      <c r="G833" s="193">
        <f>IF(_1_541284561214624104645789101745678[[#This Row],[Type]]&gt;0,VLOOKUP(_1_541284561214624104645789101745678[[#This Row],[Type]],Main[[#All],[TYPE]:[UNIT]],'Unit Price'!C$1,FALSE),0)</f>
        <v>0</v>
      </c>
      <c r="H833" s="197">
        <f>IF(_1_541284561214624104645789101745678[[#This Row],[Type]]&gt;0,VLOOKUP(_1_541284561214624104645789101745678[[#This Row],[Type]],Main[[#All],[TYPE]:[UNIT]],'Unit Price'!D$1,FALSE),0)</f>
        <v>0</v>
      </c>
      <c r="I833" s="194">
        <f>IF(_1_541284561214624104645789101745678[[#This Row],[Type]]&gt;0,VLOOKUP(_1_541284561214624104645789101745678[[#This Row],[Type]],Main[[#All],[TYPE]:[UNIT]],'Unit Price'!G$1,FALSE),0)</f>
        <v>0</v>
      </c>
      <c r="J833" s="194">
        <f>IF(_1_541284561214624104645789101745678[[#This Row],[Type]]&gt;0,VLOOKUP(_1_541284561214624104645789101745678[[#This Row],[Type]],Main[[#All],[TYPE]:[UNIT]],'Unit Price'!H$1,FALSE),0)</f>
        <v>0</v>
      </c>
      <c r="K833" s="194">
        <f>IF(_1_541284561214624104645789101745678[[#This Row],[Discount selection]]&gt;0,VLOOKUP(_1_541284561214624104645789101745678[[#This Row],[Discount selection]],'Discount Structure'!$A$2:$B$30,2,"false"),0)</f>
        <v>1</v>
      </c>
      <c r="L833" s="194">
        <f>_1_541284561214624104645789101745678[[#This Row],[LIST $]]*_1_541284561214624104645789101745678[[#This Row],[DISCOUNT]]*_1_541284561214624104645789101745678[[#This Row],[DISCOUNT 2]]</f>
        <v>0</v>
      </c>
      <c r="M833" s="194">
        <f>IF(OR(_1_541284561214624104645789101745678[[#This Row],[UNIT]]&gt;0,_1_541284561214624104645789101745678[[#This Row],[UNIT]]&lt;0),_1_541284561214624104645789101745678[[#This Row],[UNIT]]*_1_541284561214624104645789101745678[[#This Row],[COST]],0)</f>
        <v>0</v>
      </c>
      <c r="N833" s="194">
        <f t="shared" si="12"/>
        <v>1.3</v>
      </c>
      <c r="O833" s="198">
        <f>_1_541284561214624104645789101745678[[#This Row],[TOTAL]]*_1_541284561214624104645789101745678[[#This Row],[MARGIN]]</f>
        <v>0</v>
      </c>
      <c r="R833" s="41"/>
    </row>
    <row r="834" spans="4:18">
      <c r="D834" s="188"/>
      <c r="F834" s="168" t="s">
        <v>6202</v>
      </c>
      <c r="G834" s="193">
        <f>IF(_1_541284561214624104645789101745678[[#This Row],[Type]]&gt;0,VLOOKUP(_1_541284561214624104645789101745678[[#This Row],[Type]],Main[[#All],[TYPE]:[UNIT]],'Unit Price'!C$1,FALSE),0)</f>
        <v>0</v>
      </c>
      <c r="H834" s="197">
        <f>IF(_1_541284561214624104645789101745678[[#This Row],[Type]]&gt;0,VLOOKUP(_1_541284561214624104645789101745678[[#This Row],[Type]],Main[[#All],[TYPE]:[UNIT]],'Unit Price'!D$1,FALSE),0)</f>
        <v>0</v>
      </c>
      <c r="I834" s="194">
        <f>IF(_1_541284561214624104645789101745678[[#This Row],[Type]]&gt;0,VLOOKUP(_1_541284561214624104645789101745678[[#This Row],[Type]],Main[[#All],[TYPE]:[UNIT]],'Unit Price'!G$1,FALSE),0)</f>
        <v>0</v>
      </c>
      <c r="J834" s="194">
        <f>IF(_1_541284561214624104645789101745678[[#This Row],[Type]]&gt;0,VLOOKUP(_1_541284561214624104645789101745678[[#This Row],[Type]],Main[[#All],[TYPE]:[UNIT]],'Unit Price'!H$1,FALSE),0)</f>
        <v>0</v>
      </c>
      <c r="K834" s="194">
        <f>IF(_1_541284561214624104645789101745678[[#This Row],[Discount selection]]&gt;0,VLOOKUP(_1_541284561214624104645789101745678[[#This Row],[Discount selection]],'Discount Structure'!$A$2:$B$30,2,"false"),0)</f>
        <v>1</v>
      </c>
      <c r="L834" s="194">
        <f>_1_541284561214624104645789101745678[[#This Row],[LIST $]]*_1_541284561214624104645789101745678[[#This Row],[DISCOUNT]]*_1_541284561214624104645789101745678[[#This Row],[DISCOUNT 2]]</f>
        <v>0</v>
      </c>
      <c r="M834" s="194">
        <f>IF(OR(_1_541284561214624104645789101745678[[#This Row],[UNIT]]&gt;0,_1_541284561214624104645789101745678[[#This Row],[UNIT]]&lt;0),_1_541284561214624104645789101745678[[#This Row],[UNIT]]*_1_541284561214624104645789101745678[[#This Row],[COST]],0)</f>
        <v>0</v>
      </c>
      <c r="N834" s="194">
        <f t="shared" si="12"/>
        <v>1.3</v>
      </c>
      <c r="O834" s="198">
        <f>_1_541284561214624104645789101745678[[#This Row],[TOTAL]]*_1_541284561214624104645789101745678[[#This Row],[MARGIN]]</f>
        <v>0</v>
      </c>
      <c r="R834" s="41"/>
    </row>
    <row r="835" spans="4:18">
      <c r="D835" s="188"/>
      <c r="F835" s="168" t="s">
        <v>6202</v>
      </c>
      <c r="G835" s="193">
        <f>IF(_1_541284561214624104645789101745678[[#This Row],[Type]]&gt;0,VLOOKUP(_1_541284561214624104645789101745678[[#This Row],[Type]],Main[[#All],[TYPE]:[UNIT]],'Unit Price'!C$1,FALSE),0)</f>
        <v>0</v>
      </c>
      <c r="H835" s="197">
        <f>IF(_1_541284561214624104645789101745678[[#This Row],[Type]]&gt;0,VLOOKUP(_1_541284561214624104645789101745678[[#This Row],[Type]],Main[[#All],[TYPE]:[UNIT]],'Unit Price'!D$1,FALSE),0)</f>
        <v>0</v>
      </c>
      <c r="I835" s="194">
        <f>IF(_1_541284561214624104645789101745678[[#This Row],[Type]]&gt;0,VLOOKUP(_1_541284561214624104645789101745678[[#This Row],[Type]],Main[[#All],[TYPE]:[UNIT]],'Unit Price'!G$1,FALSE),0)</f>
        <v>0</v>
      </c>
      <c r="J835" s="194">
        <f>IF(_1_541284561214624104645789101745678[[#This Row],[Type]]&gt;0,VLOOKUP(_1_541284561214624104645789101745678[[#This Row],[Type]],Main[[#All],[TYPE]:[UNIT]],'Unit Price'!H$1,FALSE),0)</f>
        <v>0</v>
      </c>
      <c r="K835" s="194">
        <f>IF(_1_541284561214624104645789101745678[[#This Row],[Discount selection]]&gt;0,VLOOKUP(_1_541284561214624104645789101745678[[#This Row],[Discount selection]],'Discount Structure'!$A$2:$B$30,2,"false"),0)</f>
        <v>1</v>
      </c>
      <c r="L835" s="194">
        <f>_1_541284561214624104645789101745678[[#This Row],[LIST $]]*_1_541284561214624104645789101745678[[#This Row],[DISCOUNT]]*_1_541284561214624104645789101745678[[#This Row],[DISCOUNT 2]]</f>
        <v>0</v>
      </c>
      <c r="M835" s="194">
        <f>IF(OR(_1_541284561214624104645789101745678[[#This Row],[UNIT]]&gt;0,_1_541284561214624104645789101745678[[#This Row],[UNIT]]&lt;0),_1_541284561214624104645789101745678[[#This Row],[UNIT]]*_1_541284561214624104645789101745678[[#This Row],[COST]],0)</f>
        <v>0</v>
      </c>
      <c r="N835" s="194">
        <f t="shared" si="12"/>
        <v>1.3</v>
      </c>
      <c r="O835" s="198">
        <f>_1_541284561214624104645789101745678[[#This Row],[TOTAL]]*_1_541284561214624104645789101745678[[#This Row],[MARGIN]]</f>
        <v>0</v>
      </c>
      <c r="R835" s="41"/>
    </row>
    <row r="836" spans="4:18">
      <c r="D836" s="188"/>
      <c r="F836" s="168" t="s">
        <v>6202</v>
      </c>
      <c r="G836" s="193">
        <f>IF(_1_541284561214624104645789101745678[[#This Row],[Type]]&gt;0,VLOOKUP(_1_541284561214624104645789101745678[[#This Row],[Type]],Main[[#All],[TYPE]:[UNIT]],'Unit Price'!C$1,FALSE),0)</f>
        <v>0</v>
      </c>
      <c r="H836" s="197">
        <f>IF(_1_541284561214624104645789101745678[[#This Row],[Type]]&gt;0,VLOOKUP(_1_541284561214624104645789101745678[[#This Row],[Type]],Main[[#All],[TYPE]:[UNIT]],'Unit Price'!D$1,FALSE),0)</f>
        <v>0</v>
      </c>
      <c r="I836" s="194">
        <f>IF(_1_541284561214624104645789101745678[[#This Row],[Type]]&gt;0,VLOOKUP(_1_541284561214624104645789101745678[[#This Row],[Type]],Main[[#All],[TYPE]:[UNIT]],'Unit Price'!G$1,FALSE),0)</f>
        <v>0</v>
      </c>
      <c r="J836" s="194">
        <f>IF(_1_541284561214624104645789101745678[[#This Row],[Type]]&gt;0,VLOOKUP(_1_541284561214624104645789101745678[[#This Row],[Type]],Main[[#All],[TYPE]:[UNIT]],'Unit Price'!H$1,FALSE),0)</f>
        <v>0</v>
      </c>
      <c r="K836" s="194">
        <f>IF(_1_541284561214624104645789101745678[[#This Row],[Discount selection]]&gt;0,VLOOKUP(_1_541284561214624104645789101745678[[#This Row],[Discount selection]],'Discount Structure'!$A$2:$B$30,2,"false"),0)</f>
        <v>1</v>
      </c>
      <c r="L836" s="194">
        <f>_1_541284561214624104645789101745678[[#This Row],[LIST $]]*_1_541284561214624104645789101745678[[#This Row],[DISCOUNT]]*_1_541284561214624104645789101745678[[#This Row],[DISCOUNT 2]]</f>
        <v>0</v>
      </c>
      <c r="M836" s="194">
        <f>IF(OR(_1_541284561214624104645789101745678[[#This Row],[UNIT]]&gt;0,_1_541284561214624104645789101745678[[#This Row],[UNIT]]&lt;0),_1_541284561214624104645789101745678[[#This Row],[UNIT]]*_1_541284561214624104645789101745678[[#This Row],[COST]],0)</f>
        <v>0</v>
      </c>
      <c r="N836" s="194">
        <f t="shared" si="12"/>
        <v>1.3</v>
      </c>
      <c r="O836" s="198">
        <f>_1_541284561214624104645789101745678[[#This Row],[TOTAL]]*_1_541284561214624104645789101745678[[#This Row],[MARGIN]]</f>
        <v>0</v>
      </c>
      <c r="R836" s="41"/>
    </row>
    <row r="837" spans="4:18">
      <c r="D837" s="188"/>
      <c r="F837" s="168" t="s">
        <v>6202</v>
      </c>
      <c r="G837" s="193">
        <f>IF(_1_541284561214624104645789101745678[[#This Row],[Type]]&gt;0,VLOOKUP(_1_541284561214624104645789101745678[[#This Row],[Type]],Main[[#All],[TYPE]:[UNIT]],'Unit Price'!C$1,FALSE),0)</f>
        <v>0</v>
      </c>
      <c r="H837" s="197">
        <f>IF(_1_541284561214624104645789101745678[[#This Row],[Type]]&gt;0,VLOOKUP(_1_541284561214624104645789101745678[[#This Row],[Type]],Main[[#All],[TYPE]:[UNIT]],'Unit Price'!D$1,FALSE),0)</f>
        <v>0</v>
      </c>
      <c r="I837" s="194">
        <f>IF(_1_541284561214624104645789101745678[[#This Row],[Type]]&gt;0,VLOOKUP(_1_541284561214624104645789101745678[[#This Row],[Type]],Main[[#All],[TYPE]:[UNIT]],'Unit Price'!G$1,FALSE),0)</f>
        <v>0</v>
      </c>
      <c r="J837" s="194">
        <f>IF(_1_541284561214624104645789101745678[[#This Row],[Type]]&gt;0,VLOOKUP(_1_541284561214624104645789101745678[[#This Row],[Type]],Main[[#All],[TYPE]:[UNIT]],'Unit Price'!H$1,FALSE),0)</f>
        <v>0</v>
      </c>
      <c r="K837" s="194">
        <f>IF(_1_541284561214624104645789101745678[[#This Row],[Discount selection]]&gt;0,VLOOKUP(_1_541284561214624104645789101745678[[#This Row],[Discount selection]],'Discount Structure'!$A$2:$B$30,2,"false"),0)</f>
        <v>1</v>
      </c>
      <c r="L837" s="194">
        <f>_1_541284561214624104645789101745678[[#This Row],[LIST $]]*_1_541284561214624104645789101745678[[#This Row],[DISCOUNT]]*_1_541284561214624104645789101745678[[#This Row],[DISCOUNT 2]]</f>
        <v>0</v>
      </c>
      <c r="M837" s="194">
        <f>IF(OR(_1_541284561214624104645789101745678[[#This Row],[UNIT]]&gt;0,_1_541284561214624104645789101745678[[#This Row],[UNIT]]&lt;0),_1_541284561214624104645789101745678[[#This Row],[UNIT]]*_1_541284561214624104645789101745678[[#This Row],[COST]],0)</f>
        <v>0</v>
      </c>
      <c r="N837" s="194">
        <f t="shared" si="12"/>
        <v>1.3</v>
      </c>
      <c r="O837" s="198">
        <f>_1_541284561214624104645789101745678[[#This Row],[TOTAL]]*_1_541284561214624104645789101745678[[#This Row],[MARGIN]]</f>
        <v>0</v>
      </c>
      <c r="R837" s="41"/>
    </row>
    <row r="838" spans="4:18">
      <c r="D838" s="188"/>
      <c r="F838" s="168" t="s">
        <v>6202</v>
      </c>
      <c r="G838" s="193">
        <f>IF(_1_541284561214624104645789101745678[[#This Row],[Type]]&gt;0,VLOOKUP(_1_541284561214624104645789101745678[[#This Row],[Type]],Main[[#All],[TYPE]:[UNIT]],'Unit Price'!C$1,FALSE),0)</f>
        <v>0</v>
      </c>
      <c r="H838" s="197">
        <f>IF(_1_541284561214624104645789101745678[[#This Row],[Type]]&gt;0,VLOOKUP(_1_541284561214624104645789101745678[[#This Row],[Type]],Main[[#All],[TYPE]:[UNIT]],'Unit Price'!D$1,FALSE),0)</f>
        <v>0</v>
      </c>
      <c r="I838" s="194">
        <f>IF(_1_541284561214624104645789101745678[[#This Row],[Type]]&gt;0,VLOOKUP(_1_541284561214624104645789101745678[[#This Row],[Type]],Main[[#All],[TYPE]:[UNIT]],'Unit Price'!G$1,FALSE),0)</f>
        <v>0</v>
      </c>
      <c r="J838" s="194">
        <f>IF(_1_541284561214624104645789101745678[[#This Row],[Type]]&gt;0,VLOOKUP(_1_541284561214624104645789101745678[[#This Row],[Type]],Main[[#All],[TYPE]:[UNIT]],'Unit Price'!H$1,FALSE),0)</f>
        <v>0</v>
      </c>
      <c r="K838" s="194">
        <f>IF(_1_541284561214624104645789101745678[[#This Row],[Discount selection]]&gt;0,VLOOKUP(_1_541284561214624104645789101745678[[#This Row],[Discount selection]],'Discount Structure'!$A$2:$B$30,2,"false"),0)</f>
        <v>1</v>
      </c>
      <c r="L838" s="194">
        <f>_1_541284561214624104645789101745678[[#This Row],[LIST $]]*_1_541284561214624104645789101745678[[#This Row],[DISCOUNT]]*_1_541284561214624104645789101745678[[#This Row],[DISCOUNT 2]]</f>
        <v>0</v>
      </c>
      <c r="M838" s="194">
        <f>IF(OR(_1_541284561214624104645789101745678[[#This Row],[UNIT]]&gt;0,_1_541284561214624104645789101745678[[#This Row],[UNIT]]&lt;0),_1_541284561214624104645789101745678[[#This Row],[UNIT]]*_1_541284561214624104645789101745678[[#This Row],[COST]],0)</f>
        <v>0</v>
      </c>
      <c r="N838" s="194">
        <f t="shared" si="12"/>
        <v>1.3</v>
      </c>
      <c r="O838" s="198">
        <f>_1_541284561214624104645789101745678[[#This Row],[TOTAL]]*_1_541284561214624104645789101745678[[#This Row],[MARGIN]]</f>
        <v>0</v>
      </c>
      <c r="R838" s="41"/>
    </row>
    <row r="839" spans="4:18">
      <c r="D839" s="188"/>
      <c r="F839" s="168" t="s">
        <v>6202</v>
      </c>
      <c r="G839" s="193">
        <f>IF(_1_541284561214624104645789101745678[[#This Row],[Type]]&gt;0,VLOOKUP(_1_541284561214624104645789101745678[[#This Row],[Type]],Main[[#All],[TYPE]:[UNIT]],'Unit Price'!C$1,FALSE),0)</f>
        <v>0</v>
      </c>
      <c r="H839" s="197">
        <f>IF(_1_541284561214624104645789101745678[[#This Row],[Type]]&gt;0,VLOOKUP(_1_541284561214624104645789101745678[[#This Row],[Type]],Main[[#All],[TYPE]:[UNIT]],'Unit Price'!D$1,FALSE),0)</f>
        <v>0</v>
      </c>
      <c r="I839" s="194">
        <f>IF(_1_541284561214624104645789101745678[[#This Row],[Type]]&gt;0,VLOOKUP(_1_541284561214624104645789101745678[[#This Row],[Type]],Main[[#All],[TYPE]:[UNIT]],'Unit Price'!G$1,FALSE),0)</f>
        <v>0</v>
      </c>
      <c r="J839" s="194">
        <f>IF(_1_541284561214624104645789101745678[[#This Row],[Type]]&gt;0,VLOOKUP(_1_541284561214624104645789101745678[[#This Row],[Type]],Main[[#All],[TYPE]:[UNIT]],'Unit Price'!H$1,FALSE),0)</f>
        <v>0</v>
      </c>
      <c r="K839" s="194">
        <f>IF(_1_541284561214624104645789101745678[[#This Row],[Discount selection]]&gt;0,VLOOKUP(_1_541284561214624104645789101745678[[#This Row],[Discount selection]],'Discount Structure'!$A$2:$B$30,2,"false"),0)</f>
        <v>1</v>
      </c>
      <c r="L839" s="194">
        <f>_1_541284561214624104645789101745678[[#This Row],[LIST $]]*_1_541284561214624104645789101745678[[#This Row],[DISCOUNT]]*_1_541284561214624104645789101745678[[#This Row],[DISCOUNT 2]]</f>
        <v>0</v>
      </c>
      <c r="M839" s="194">
        <f>IF(OR(_1_541284561214624104645789101745678[[#This Row],[UNIT]]&gt;0,_1_541284561214624104645789101745678[[#This Row],[UNIT]]&lt;0),_1_541284561214624104645789101745678[[#This Row],[UNIT]]*_1_541284561214624104645789101745678[[#This Row],[COST]],0)</f>
        <v>0</v>
      </c>
      <c r="N839" s="194">
        <f t="shared" si="12"/>
        <v>1.3</v>
      </c>
      <c r="O839" s="198">
        <f>_1_541284561214624104645789101745678[[#This Row],[TOTAL]]*_1_541284561214624104645789101745678[[#This Row],[MARGIN]]</f>
        <v>0</v>
      </c>
      <c r="R839" s="41"/>
    </row>
    <row r="840" spans="4:18">
      <c r="D840" s="188"/>
      <c r="F840" s="168" t="s">
        <v>6202</v>
      </c>
      <c r="G840" s="193">
        <f>IF(_1_541284561214624104645789101745678[[#This Row],[Type]]&gt;0,VLOOKUP(_1_541284561214624104645789101745678[[#This Row],[Type]],Main[[#All],[TYPE]:[UNIT]],'Unit Price'!C$1,FALSE),0)</f>
        <v>0</v>
      </c>
      <c r="H840" s="197">
        <f>IF(_1_541284561214624104645789101745678[[#This Row],[Type]]&gt;0,VLOOKUP(_1_541284561214624104645789101745678[[#This Row],[Type]],Main[[#All],[TYPE]:[UNIT]],'Unit Price'!D$1,FALSE),0)</f>
        <v>0</v>
      </c>
      <c r="I840" s="194">
        <f>IF(_1_541284561214624104645789101745678[[#This Row],[Type]]&gt;0,VLOOKUP(_1_541284561214624104645789101745678[[#This Row],[Type]],Main[[#All],[TYPE]:[UNIT]],'Unit Price'!G$1,FALSE),0)</f>
        <v>0</v>
      </c>
      <c r="J840" s="194">
        <f>IF(_1_541284561214624104645789101745678[[#This Row],[Type]]&gt;0,VLOOKUP(_1_541284561214624104645789101745678[[#This Row],[Type]],Main[[#All],[TYPE]:[UNIT]],'Unit Price'!H$1,FALSE),0)</f>
        <v>0</v>
      </c>
      <c r="K840" s="194">
        <f>IF(_1_541284561214624104645789101745678[[#This Row],[Discount selection]]&gt;0,VLOOKUP(_1_541284561214624104645789101745678[[#This Row],[Discount selection]],'Discount Structure'!$A$2:$B$30,2,"false"),0)</f>
        <v>1</v>
      </c>
      <c r="L840" s="194">
        <f>_1_541284561214624104645789101745678[[#This Row],[LIST $]]*_1_541284561214624104645789101745678[[#This Row],[DISCOUNT]]*_1_541284561214624104645789101745678[[#This Row],[DISCOUNT 2]]</f>
        <v>0</v>
      </c>
      <c r="M840" s="194">
        <f>IF(OR(_1_541284561214624104645789101745678[[#This Row],[UNIT]]&gt;0,_1_541284561214624104645789101745678[[#This Row],[UNIT]]&lt;0),_1_541284561214624104645789101745678[[#This Row],[UNIT]]*_1_541284561214624104645789101745678[[#This Row],[COST]],0)</f>
        <v>0</v>
      </c>
      <c r="N840" s="194">
        <f t="shared" si="12"/>
        <v>1.3</v>
      </c>
      <c r="O840" s="198">
        <f>_1_541284561214624104645789101745678[[#This Row],[TOTAL]]*_1_541284561214624104645789101745678[[#This Row],[MARGIN]]</f>
        <v>0</v>
      </c>
      <c r="R840" s="41"/>
    </row>
    <row r="841" spans="4:18">
      <c r="D841" s="188"/>
      <c r="F841" s="168" t="s">
        <v>6202</v>
      </c>
      <c r="G841" s="193">
        <f>IF(_1_541284561214624104645789101745678[[#This Row],[Type]]&gt;0,VLOOKUP(_1_541284561214624104645789101745678[[#This Row],[Type]],Main[[#All],[TYPE]:[UNIT]],'Unit Price'!C$1,FALSE),0)</f>
        <v>0</v>
      </c>
      <c r="H841" s="197">
        <f>IF(_1_541284561214624104645789101745678[[#This Row],[Type]]&gt;0,VLOOKUP(_1_541284561214624104645789101745678[[#This Row],[Type]],Main[[#All],[TYPE]:[UNIT]],'Unit Price'!D$1,FALSE),0)</f>
        <v>0</v>
      </c>
      <c r="I841" s="194">
        <f>IF(_1_541284561214624104645789101745678[[#This Row],[Type]]&gt;0,VLOOKUP(_1_541284561214624104645789101745678[[#This Row],[Type]],Main[[#All],[TYPE]:[UNIT]],'Unit Price'!G$1,FALSE),0)</f>
        <v>0</v>
      </c>
      <c r="J841" s="194">
        <f>IF(_1_541284561214624104645789101745678[[#This Row],[Type]]&gt;0,VLOOKUP(_1_541284561214624104645789101745678[[#This Row],[Type]],Main[[#All],[TYPE]:[UNIT]],'Unit Price'!H$1,FALSE),0)</f>
        <v>0</v>
      </c>
      <c r="K841" s="194">
        <f>IF(_1_541284561214624104645789101745678[[#This Row],[Discount selection]]&gt;0,VLOOKUP(_1_541284561214624104645789101745678[[#This Row],[Discount selection]],'Discount Structure'!$A$2:$B$30,2,"false"),0)</f>
        <v>1</v>
      </c>
      <c r="L841" s="194">
        <f>_1_541284561214624104645789101745678[[#This Row],[LIST $]]*_1_541284561214624104645789101745678[[#This Row],[DISCOUNT]]*_1_541284561214624104645789101745678[[#This Row],[DISCOUNT 2]]</f>
        <v>0</v>
      </c>
      <c r="M841" s="194">
        <f>IF(OR(_1_541284561214624104645789101745678[[#This Row],[UNIT]]&gt;0,_1_541284561214624104645789101745678[[#This Row],[UNIT]]&lt;0),_1_541284561214624104645789101745678[[#This Row],[UNIT]]*_1_541284561214624104645789101745678[[#This Row],[COST]],0)</f>
        <v>0</v>
      </c>
      <c r="N841" s="194">
        <f t="shared" si="12"/>
        <v>1.3</v>
      </c>
      <c r="O841" s="198">
        <f>_1_541284561214624104645789101745678[[#This Row],[TOTAL]]*_1_541284561214624104645789101745678[[#This Row],[MARGIN]]</f>
        <v>0</v>
      </c>
      <c r="R841" s="41"/>
    </row>
    <row r="842" spans="4:18">
      <c r="D842" s="188"/>
      <c r="F842" s="168" t="s">
        <v>6202</v>
      </c>
      <c r="G842" s="193">
        <f>IF(_1_541284561214624104645789101745678[[#This Row],[Type]]&gt;0,VLOOKUP(_1_541284561214624104645789101745678[[#This Row],[Type]],Main[[#All],[TYPE]:[UNIT]],'Unit Price'!C$1,FALSE),0)</f>
        <v>0</v>
      </c>
      <c r="H842" s="197">
        <f>IF(_1_541284561214624104645789101745678[[#This Row],[Type]]&gt;0,VLOOKUP(_1_541284561214624104645789101745678[[#This Row],[Type]],Main[[#All],[TYPE]:[UNIT]],'Unit Price'!D$1,FALSE),0)</f>
        <v>0</v>
      </c>
      <c r="I842" s="194">
        <f>IF(_1_541284561214624104645789101745678[[#This Row],[Type]]&gt;0,VLOOKUP(_1_541284561214624104645789101745678[[#This Row],[Type]],Main[[#All],[TYPE]:[UNIT]],'Unit Price'!G$1,FALSE),0)</f>
        <v>0</v>
      </c>
      <c r="J842" s="194">
        <f>IF(_1_541284561214624104645789101745678[[#This Row],[Type]]&gt;0,VLOOKUP(_1_541284561214624104645789101745678[[#This Row],[Type]],Main[[#All],[TYPE]:[UNIT]],'Unit Price'!H$1,FALSE),0)</f>
        <v>0</v>
      </c>
      <c r="K842" s="194">
        <f>IF(_1_541284561214624104645789101745678[[#This Row],[Discount selection]]&gt;0,VLOOKUP(_1_541284561214624104645789101745678[[#This Row],[Discount selection]],'Discount Structure'!$A$2:$B$30,2,"false"),0)</f>
        <v>1</v>
      </c>
      <c r="L842" s="194">
        <f>_1_541284561214624104645789101745678[[#This Row],[LIST $]]*_1_541284561214624104645789101745678[[#This Row],[DISCOUNT]]*_1_541284561214624104645789101745678[[#This Row],[DISCOUNT 2]]</f>
        <v>0</v>
      </c>
      <c r="M842" s="194">
        <f>IF(OR(_1_541284561214624104645789101745678[[#This Row],[UNIT]]&gt;0,_1_541284561214624104645789101745678[[#This Row],[UNIT]]&lt;0),_1_541284561214624104645789101745678[[#This Row],[UNIT]]*_1_541284561214624104645789101745678[[#This Row],[COST]],0)</f>
        <v>0</v>
      </c>
      <c r="N842" s="194">
        <f t="shared" ref="N842:N905" si="13">$N$7</f>
        <v>1.3</v>
      </c>
      <c r="O842" s="198">
        <f>_1_541284561214624104645789101745678[[#This Row],[TOTAL]]*_1_541284561214624104645789101745678[[#This Row],[MARGIN]]</f>
        <v>0</v>
      </c>
      <c r="R842" s="41"/>
    </row>
    <row r="843" spans="4:18">
      <c r="D843" s="188"/>
      <c r="F843" s="168" t="s">
        <v>6202</v>
      </c>
      <c r="G843" s="193">
        <f>IF(_1_541284561214624104645789101745678[[#This Row],[Type]]&gt;0,VLOOKUP(_1_541284561214624104645789101745678[[#This Row],[Type]],Main[[#All],[TYPE]:[UNIT]],'Unit Price'!C$1,FALSE),0)</f>
        <v>0</v>
      </c>
      <c r="H843" s="197">
        <f>IF(_1_541284561214624104645789101745678[[#This Row],[Type]]&gt;0,VLOOKUP(_1_541284561214624104645789101745678[[#This Row],[Type]],Main[[#All],[TYPE]:[UNIT]],'Unit Price'!D$1,FALSE),0)</f>
        <v>0</v>
      </c>
      <c r="I843" s="194">
        <f>IF(_1_541284561214624104645789101745678[[#This Row],[Type]]&gt;0,VLOOKUP(_1_541284561214624104645789101745678[[#This Row],[Type]],Main[[#All],[TYPE]:[UNIT]],'Unit Price'!G$1,FALSE),0)</f>
        <v>0</v>
      </c>
      <c r="J843" s="194">
        <f>IF(_1_541284561214624104645789101745678[[#This Row],[Type]]&gt;0,VLOOKUP(_1_541284561214624104645789101745678[[#This Row],[Type]],Main[[#All],[TYPE]:[UNIT]],'Unit Price'!H$1,FALSE),0)</f>
        <v>0</v>
      </c>
      <c r="K843" s="194">
        <f>IF(_1_541284561214624104645789101745678[[#This Row],[Discount selection]]&gt;0,VLOOKUP(_1_541284561214624104645789101745678[[#This Row],[Discount selection]],'Discount Structure'!$A$2:$B$30,2,"false"),0)</f>
        <v>1</v>
      </c>
      <c r="L843" s="194">
        <f>_1_541284561214624104645789101745678[[#This Row],[LIST $]]*_1_541284561214624104645789101745678[[#This Row],[DISCOUNT]]*_1_541284561214624104645789101745678[[#This Row],[DISCOUNT 2]]</f>
        <v>0</v>
      </c>
      <c r="M843" s="194">
        <f>IF(OR(_1_541284561214624104645789101745678[[#This Row],[UNIT]]&gt;0,_1_541284561214624104645789101745678[[#This Row],[UNIT]]&lt;0),_1_541284561214624104645789101745678[[#This Row],[UNIT]]*_1_541284561214624104645789101745678[[#This Row],[COST]],0)</f>
        <v>0</v>
      </c>
      <c r="N843" s="194">
        <f t="shared" si="13"/>
        <v>1.3</v>
      </c>
      <c r="O843" s="198">
        <f>_1_541284561214624104645789101745678[[#This Row],[TOTAL]]*_1_541284561214624104645789101745678[[#This Row],[MARGIN]]</f>
        <v>0</v>
      </c>
      <c r="R843" s="41"/>
    </row>
    <row r="844" spans="4:18">
      <c r="D844" s="188"/>
      <c r="F844" s="168" t="s">
        <v>6202</v>
      </c>
      <c r="G844" s="193">
        <f>IF(_1_541284561214624104645789101745678[[#This Row],[Type]]&gt;0,VLOOKUP(_1_541284561214624104645789101745678[[#This Row],[Type]],Main[[#All],[TYPE]:[UNIT]],'Unit Price'!C$1,FALSE),0)</f>
        <v>0</v>
      </c>
      <c r="H844" s="197">
        <f>IF(_1_541284561214624104645789101745678[[#This Row],[Type]]&gt;0,VLOOKUP(_1_541284561214624104645789101745678[[#This Row],[Type]],Main[[#All],[TYPE]:[UNIT]],'Unit Price'!D$1,FALSE),0)</f>
        <v>0</v>
      </c>
      <c r="I844" s="194">
        <f>IF(_1_541284561214624104645789101745678[[#This Row],[Type]]&gt;0,VLOOKUP(_1_541284561214624104645789101745678[[#This Row],[Type]],Main[[#All],[TYPE]:[UNIT]],'Unit Price'!G$1,FALSE),0)</f>
        <v>0</v>
      </c>
      <c r="J844" s="194">
        <f>IF(_1_541284561214624104645789101745678[[#This Row],[Type]]&gt;0,VLOOKUP(_1_541284561214624104645789101745678[[#This Row],[Type]],Main[[#All],[TYPE]:[UNIT]],'Unit Price'!H$1,FALSE),0)</f>
        <v>0</v>
      </c>
      <c r="K844" s="194">
        <f>IF(_1_541284561214624104645789101745678[[#This Row],[Discount selection]]&gt;0,VLOOKUP(_1_541284561214624104645789101745678[[#This Row],[Discount selection]],'Discount Structure'!$A$2:$B$30,2,"false"),0)</f>
        <v>1</v>
      </c>
      <c r="L844" s="194">
        <f>_1_541284561214624104645789101745678[[#This Row],[LIST $]]*_1_541284561214624104645789101745678[[#This Row],[DISCOUNT]]*_1_541284561214624104645789101745678[[#This Row],[DISCOUNT 2]]</f>
        <v>0</v>
      </c>
      <c r="M844" s="194">
        <f>IF(OR(_1_541284561214624104645789101745678[[#This Row],[UNIT]]&gt;0,_1_541284561214624104645789101745678[[#This Row],[UNIT]]&lt;0),_1_541284561214624104645789101745678[[#This Row],[UNIT]]*_1_541284561214624104645789101745678[[#This Row],[COST]],0)</f>
        <v>0</v>
      </c>
      <c r="N844" s="194">
        <f t="shared" si="13"/>
        <v>1.3</v>
      </c>
      <c r="O844" s="198">
        <f>_1_541284561214624104645789101745678[[#This Row],[TOTAL]]*_1_541284561214624104645789101745678[[#This Row],[MARGIN]]</f>
        <v>0</v>
      </c>
      <c r="R844" s="41"/>
    </row>
    <row r="845" spans="4:18">
      <c r="D845" s="188"/>
      <c r="F845" s="168" t="s">
        <v>6202</v>
      </c>
      <c r="G845" s="193">
        <f>IF(_1_541284561214624104645789101745678[[#This Row],[Type]]&gt;0,VLOOKUP(_1_541284561214624104645789101745678[[#This Row],[Type]],Main[[#All],[TYPE]:[UNIT]],'Unit Price'!C$1,FALSE),0)</f>
        <v>0</v>
      </c>
      <c r="H845" s="197">
        <f>IF(_1_541284561214624104645789101745678[[#This Row],[Type]]&gt;0,VLOOKUP(_1_541284561214624104645789101745678[[#This Row],[Type]],Main[[#All],[TYPE]:[UNIT]],'Unit Price'!D$1,FALSE),0)</f>
        <v>0</v>
      </c>
      <c r="I845" s="194">
        <f>IF(_1_541284561214624104645789101745678[[#This Row],[Type]]&gt;0,VLOOKUP(_1_541284561214624104645789101745678[[#This Row],[Type]],Main[[#All],[TYPE]:[UNIT]],'Unit Price'!G$1,FALSE),0)</f>
        <v>0</v>
      </c>
      <c r="J845" s="194">
        <f>IF(_1_541284561214624104645789101745678[[#This Row],[Type]]&gt;0,VLOOKUP(_1_541284561214624104645789101745678[[#This Row],[Type]],Main[[#All],[TYPE]:[UNIT]],'Unit Price'!H$1,FALSE),0)</f>
        <v>0</v>
      </c>
      <c r="K845" s="194">
        <f>IF(_1_541284561214624104645789101745678[[#This Row],[Discount selection]]&gt;0,VLOOKUP(_1_541284561214624104645789101745678[[#This Row],[Discount selection]],'Discount Structure'!$A$2:$B$30,2,"false"),0)</f>
        <v>1</v>
      </c>
      <c r="L845" s="194">
        <f>_1_541284561214624104645789101745678[[#This Row],[LIST $]]*_1_541284561214624104645789101745678[[#This Row],[DISCOUNT]]*_1_541284561214624104645789101745678[[#This Row],[DISCOUNT 2]]</f>
        <v>0</v>
      </c>
      <c r="M845" s="194">
        <f>IF(OR(_1_541284561214624104645789101745678[[#This Row],[UNIT]]&gt;0,_1_541284561214624104645789101745678[[#This Row],[UNIT]]&lt;0),_1_541284561214624104645789101745678[[#This Row],[UNIT]]*_1_541284561214624104645789101745678[[#This Row],[COST]],0)</f>
        <v>0</v>
      </c>
      <c r="N845" s="194">
        <f t="shared" si="13"/>
        <v>1.3</v>
      </c>
      <c r="O845" s="198">
        <f>_1_541284561214624104645789101745678[[#This Row],[TOTAL]]*_1_541284561214624104645789101745678[[#This Row],[MARGIN]]</f>
        <v>0</v>
      </c>
      <c r="R845" s="41"/>
    </row>
    <row r="846" spans="4:18">
      <c r="D846" s="188"/>
      <c r="F846" s="168" t="s">
        <v>6202</v>
      </c>
      <c r="G846" s="193">
        <f>IF(_1_541284561214624104645789101745678[[#This Row],[Type]]&gt;0,VLOOKUP(_1_541284561214624104645789101745678[[#This Row],[Type]],Main[[#All],[TYPE]:[UNIT]],'Unit Price'!C$1,FALSE),0)</f>
        <v>0</v>
      </c>
      <c r="H846" s="197">
        <f>IF(_1_541284561214624104645789101745678[[#This Row],[Type]]&gt;0,VLOOKUP(_1_541284561214624104645789101745678[[#This Row],[Type]],Main[[#All],[TYPE]:[UNIT]],'Unit Price'!D$1,FALSE),0)</f>
        <v>0</v>
      </c>
      <c r="I846" s="194">
        <f>IF(_1_541284561214624104645789101745678[[#This Row],[Type]]&gt;0,VLOOKUP(_1_541284561214624104645789101745678[[#This Row],[Type]],Main[[#All],[TYPE]:[UNIT]],'Unit Price'!G$1,FALSE),0)</f>
        <v>0</v>
      </c>
      <c r="J846" s="194">
        <f>IF(_1_541284561214624104645789101745678[[#This Row],[Type]]&gt;0,VLOOKUP(_1_541284561214624104645789101745678[[#This Row],[Type]],Main[[#All],[TYPE]:[UNIT]],'Unit Price'!H$1,FALSE),0)</f>
        <v>0</v>
      </c>
      <c r="K846" s="194">
        <f>IF(_1_541284561214624104645789101745678[[#This Row],[Discount selection]]&gt;0,VLOOKUP(_1_541284561214624104645789101745678[[#This Row],[Discount selection]],'Discount Structure'!$A$2:$B$30,2,"false"),0)</f>
        <v>1</v>
      </c>
      <c r="L846" s="194">
        <f>_1_541284561214624104645789101745678[[#This Row],[LIST $]]*_1_541284561214624104645789101745678[[#This Row],[DISCOUNT]]*_1_541284561214624104645789101745678[[#This Row],[DISCOUNT 2]]</f>
        <v>0</v>
      </c>
      <c r="M846" s="194">
        <f>IF(OR(_1_541284561214624104645789101745678[[#This Row],[UNIT]]&gt;0,_1_541284561214624104645789101745678[[#This Row],[UNIT]]&lt;0),_1_541284561214624104645789101745678[[#This Row],[UNIT]]*_1_541284561214624104645789101745678[[#This Row],[COST]],0)</f>
        <v>0</v>
      </c>
      <c r="N846" s="194">
        <f t="shared" si="13"/>
        <v>1.3</v>
      </c>
      <c r="O846" s="198">
        <f>_1_541284561214624104645789101745678[[#This Row],[TOTAL]]*_1_541284561214624104645789101745678[[#This Row],[MARGIN]]</f>
        <v>0</v>
      </c>
      <c r="R846" s="41"/>
    </row>
    <row r="847" spans="4:18">
      <c r="D847" s="188"/>
      <c r="F847" s="168" t="s">
        <v>6202</v>
      </c>
      <c r="G847" s="193">
        <f>IF(_1_541284561214624104645789101745678[[#This Row],[Type]]&gt;0,VLOOKUP(_1_541284561214624104645789101745678[[#This Row],[Type]],Main[[#All],[TYPE]:[UNIT]],'Unit Price'!C$1,FALSE),0)</f>
        <v>0</v>
      </c>
      <c r="H847" s="197">
        <f>IF(_1_541284561214624104645789101745678[[#This Row],[Type]]&gt;0,VLOOKUP(_1_541284561214624104645789101745678[[#This Row],[Type]],Main[[#All],[TYPE]:[UNIT]],'Unit Price'!D$1,FALSE),0)</f>
        <v>0</v>
      </c>
      <c r="I847" s="194">
        <f>IF(_1_541284561214624104645789101745678[[#This Row],[Type]]&gt;0,VLOOKUP(_1_541284561214624104645789101745678[[#This Row],[Type]],Main[[#All],[TYPE]:[UNIT]],'Unit Price'!G$1,FALSE),0)</f>
        <v>0</v>
      </c>
      <c r="J847" s="194">
        <f>IF(_1_541284561214624104645789101745678[[#This Row],[Type]]&gt;0,VLOOKUP(_1_541284561214624104645789101745678[[#This Row],[Type]],Main[[#All],[TYPE]:[UNIT]],'Unit Price'!H$1,FALSE),0)</f>
        <v>0</v>
      </c>
      <c r="K847" s="194">
        <f>IF(_1_541284561214624104645789101745678[[#This Row],[Discount selection]]&gt;0,VLOOKUP(_1_541284561214624104645789101745678[[#This Row],[Discount selection]],'Discount Structure'!$A$2:$B$30,2,"false"),0)</f>
        <v>1</v>
      </c>
      <c r="L847" s="194">
        <f>_1_541284561214624104645789101745678[[#This Row],[LIST $]]*_1_541284561214624104645789101745678[[#This Row],[DISCOUNT]]*_1_541284561214624104645789101745678[[#This Row],[DISCOUNT 2]]</f>
        <v>0</v>
      </c>
      <c r="M847" s="194">
        <f>IF(OR(_1_541284561214624104645789101745678[[#This Row],[UNIT]]&gt;0,_1_541284561214624104645789101745678[[#This Row],[UNIT]]&lt;0),_1_541284561214624104645789101745678[[#This Row],[UNIT]]*_1_541284561214624104645789101745678[[#This Row],[COST]],0)</f>
        <v>0</v>
      </c>
      <c r="N847" s="194">
        <f t="shared" si="13"/>
        <v>1.3</v>
      </c>
      <c r="O847" s="198">
        <f>_1_541284561214624104645789101745678[[#This Row],[TOTAL]]*_1_541284561214624104645789101745678[[#This Row],[MARGIN]]</f>
        <v>0</v>
      </c>
      <c r="R847" s="41"/>
    </row>
    <row r="848" spans="4:18">
      <c r="D848" s="188"/>
      <c r="F848" s="168" t="s">
        <v>6202</v>
      </c>
      <c r="G848" s="193">
        <f>IF(_1_541284561214624104645789101745678[[#This Row],[Type]]&gt;0,VLOOKUP(_1_541284561214624104645789101745678[[#This Row],[Type]],Main[[#All],[TYPE]:[UNIT]],'Unit Price'!C$1,FALSE),0)</f>
        <v>0</v>
      </c>
      <c r="H848" s="197">
        <f>IF(_1_541284561214624104645789101745678[[#This Row],[Type]]&gt;0,VLOOKUP(_1_541284561214624104645789101745678[[#This Row],[Type]],Main[[#All],[TYPE]:[UNIT]],'Unit Price'!D$1,FALSE),0)</f>
        <v>0</v>
      </c>
      <c r="I848" s="194">
        <f>IF(_1_541284561214624104645789101745678[[#This Row],[Type]]&gt;0,VLOOKUP(_1_541284561214624104645789101745678[[#This Row],[Type]],Main[[#All],[TYPE]:[UNIT]],'Unit Price'!G$1,FALSE),0)</f>
        <v>0</v>
      </c>
      <c r="J848" s="194">
        <f>IF(_1_541284561214624104645789101745678[[#This Row],[Type]]&gt;0,VLOOKUP(_1_541284561214624104645789101745678[[#This Row],[Type]],Main[[#All],[TYPE]:[UNIT]],'Unit Price'!H$1,FALSE),0)</f>
        <v>0</v>
      </c>
      <c r="K848" s="194">
        <f>IF(_1_541284561214624104645789101745678[[#This Row],[Discount selection]]&gt;0,VLOOKUP(_1_541284561214624104645789101745678[[#This Row],[Discount selection]],'Discount Structure'!$A$2:$B$30,2,"false"),0)</f>
        <v>1</v>
      </c>
      <c r="L848" s="194">
        <f>_1_541284561214624104645789101745678[[#This Row],[LIST $]]*_1_541284561214624104645789101745678[[#This Row],[DISCOUNT]]*_1_541284561214624104645789101745678[[#This Row],[DISCOUNT 2]]</f>
        <v>0</v>
      </c>
      <c r="M848" s="194">
        <f>IF(OR(_1_541284561214624104645789101745678[[#This Row],[UNIT]]&gt;0,_1_541284561214624104645789101745678[[#This Row],[UNIT]]&lt;0),_1_541284561214624104645789101745678[[#This Row],[UNIT]]*_1_541284561214624104645789101745678[[#This Row],[COST]],0)</f>
        <v>0</v>
      </c>
      <c r="N848" s="194">
        <f t="shared" si="13"/>
        <v>1.3</v>
      </c>
      <c r="O848" s="198">
        <f>_1_541284561214624104645789101745678[[#This Row],[TOTAL]]*_1_541284561214624104645789101745678[[#This Row],[MARGIN]]</f>
        <v>0</v>
      </c>
      <c r="R848" s="41"/>
    </row>
    <row r="849" spans="4:18">
      <c r="D849" s="188"/>
      <c r="F849" s="168" t="s">
        <v>6202</v>
      </c>
      <c r="G849" s="193">
        <f>IF(_1_541284561214624104645789101745678[[#This Row],[Type]]&gt;0,VLOOKUP(_1_541284561214624104645789101745678[[#This Row],[Type]],Main[[#All],[TYPE]:[UNIT]],'Unit Price'!C$1,FALSE),0)</f>
        <v>0</v>
      </c>
      <c r="H849" s="197">
        <f>IF(_1_541284561214624104645789101745678[[#This Row],[Type]]&gt;0,VLOOKUP(_1_541284561214624104645789101745678[[#This Row],[Type]],Main[[#All],[TYPE]:[UNIT]],'Unit Price'!D$1,FALSE),0)</f>
        <v>0</v>
      </c>
      <c r="I849" s="194">
        <f>IF(_1_541284561214624104645789101745678[[#This Row],[Type]]&gt;0,VLOOKUP(_1_541284561214624104645789101745678[[#This Row],[Type]],Main[[#All],[TYPE]:[UNIT]],'Unit Price'!G$1,FALSE),0)</f>
        <v>0</v>
      </c>
      <c r="J849" s="194">
        <f>IF(_1_541284561214624104645789101745678[[#This Row],[Type]]&gt;0,VLOOKUP(_1_541284561214624104645789101745678[[#This Row],[Type]],Main[[#All],[TYPE]:[UNIT]],'Unit Price'!H$1,FALSE),0)</f>
        <v>0</v>
      </c>
      <c r="K849" s="194">
        <f>IF(_1_541284561214624104645789101745678[[#This Row],[Discount selection]]&gt;0,VLOOKUP(_1_541284561214624104645789101745678[[#This Row],[Discount selection]],'Discount Structure'!$A$2:$B$30,2,"false"),0)</f>
        <v>1</v>
      </c>
      <c r="L849" s="194">
        <f>_1_541284561214624104645789101745678[[#This Row],[LIST $]]*_1_541284561214624104645789101745678[[#This Row],[DISCOUNT]]*_1_541284561214624104645789101745678[[#This Row],[DISCOUNT 2]]</f>
        <v>0</v>
      </c>
      <c r="M849" s="194">
        <f>IF(OR(_1_541284561214624104645789101745678[[#This Row],[UNIT]]&gt;0,_1_541284561214624104645789101745678[[#This Row],[UNIT]]&lt;0),_1_541284561214624104645789101745678[[#This Row],[UNIT]]*_1_541284561214624104645789101745678[[#This Row],[COST]],0)</f>
        <v>0</v>
      </c>
      <c r="N849" s="194">
        <f t="shared" si="13"/>
        <v>1.3</v>
      </c>
      <c r="O849" s="198">
        <f>_1_541284561214624104645789101745678[[#This Row],[TOTAL]]*_1_541284561214624104645789101745678[[#This Row],[MARGIN]]</f>
        <v>0</v>
      </c>
      <c r="R849" s="41"/>
    </row>
    <row r="850" spans="4:18">
      <c r="D850" s="188"/>
      <c r="F850" s="168" t="s">
        <v>6202</v>
      </c>
      <c r="G850" s="193">
        <f>IF(_1_541284561214624104645789101745678[[#This Row],[Type]]&gt;0,VLOOKUP(_1_541284561214624104645789101745678[[#This Row],[Type]],Main[[#All],[TYPE]:[UNIT]],'Unit Price'!C$1,FALSE),0)</f>
        <v>0</v>
      </c>
      <c r="H850" s="197">
        <f>IF(_1_541284561214624104645789101745678[[#This Row],[Type]]&gt;0,VLOOKUP(_1_541284561214624104645789101745678[[#This Row],[Type]],Main[[#All],[TYPE]:[UNIT]],'Unit Price'!D$1,FALSE),0)</f>
        <v>0</v>
      </c>
      <c r="I850" s="194">
        <f>IF(_1_541284561214624104645789101745678[[#This Row],[Type]]&gt;0,VLOOKUP(_1_541284561214624104645789101745678[[#This Row],[Type]],Main[[#All],[TYPE]:[UNIT]],'Unit Price'!G$1,FALSE),0)</f>
        <v>0</v>
      </c>
      <c r="J850" s="194">
        <f>IF(_1_541284561214624104645789101745678[[#This Row],[Type]]&gt;0,VLOOKUP(_1_541284561214624104645789101745678[[#This Row],[Type]],Main[[#All],[TYPE]:[UNIT]],'Unit Price'!H$1,FALSE),0)</f>
        <v>0</v>
      </c>
      <c r="K850" s="194">
        <f>IF(_1_541284561214624104645789101745678[[#This Row],[Discount selection]]&gt;0,VLOOKUP(_1_541284561214624104645789101745678[[#This Row],[Discount selection]],'Discount Structure'!$A$2:$B$30,2,"false"),0)</f>
        <v>1</v>
      </c>
      <c r="L850" s="194">
        <f>_1_541284561214624104645789101745678[[#This Row],[LIST $]]*_1_541284561214624104645789101745678[[#This Row],[DISCOUNT]]*_1_541284561214624104645789101745678[[#This Row],[DISCOUNT 2]]</f>
        <v>0</v>
      </c>
      <c r="M850" s="194">
        <f>IF(OR(_1_541284561214624104645789101745678[[#This Row],[UNIT]]&gt;0,_1_541284561214624104645789101745678[[#This Row],[UNIT]]&lt;0),_1_541284561214624104645789101745678[[#This Row],[UNIT]]*_1_541284561214624104645789101745678[[#This Row],[COST]],0)</f>
        <v>0</v>
      </c>
      <c r="N850" s="194">
        <f t="shared" si="13"/>
        <v>1.3</v>
      </c>
      <c r="O850" s="198">
        <f>_1_541284561214624104645789101745678[[#This Row],[TOTAL]]*_1_541284561214624104645789101745678[[#This Row],[MARGIN]]</f>
        <v>0</v>
      </c>
      <c r="R850" s="41"/>
    </row>
    <row r="851" spans="4:18">
      <c r="D851" s="188"/>
      <c r="F851" s="168" t="s">
        <v>6202</v>
      </c>
      <c r="G851" s="193">
        <f>IF(_1_541284561214624104645789101745678[[#This Row],[Type]]&gt;0,VLOOKUP(_1_541284561214624104645789101745678[[#This Row],[Type]],Main[[#All],[TYPE]:[UNIT]],'Unit Price'!C$1,FALSE),0)</f>
        <v>0</v>
      </c>
      <c r="H851" s="197">
        <f>IF(_1_541284561214624104645789101745678[[#This Row],[Type]]&gt;0,VLOOKUP(_1_541284561214624104645789101745678[[#This Row],[Type]],Main[[#All],[TYPE]:[UNIT]],'Unit Price'!D$1,FALSE),0)</f>
        <v>0</v>
      </c>
      <c r="I851" s="194">
        <f>IF(_1_541284561214624104645789101745678[[#This Row],[Type]]&gt;0,VLOOKUP(_1_541284561214624104645789101745678[[#This Row],[Type]],Main[[#All],[TYPE]:[UNIT]],'Unit Price'!G$1,FALSE),0)</f>
        <v>0</v>
      </c>
      <c r="J851" s="194">
        <f>IF(_1_541284561214624104645789101745678[[#This Row],[Type]]&gt;0,VLOOKUP(_1_541284561214624104645789101745678[[#This Row],[Type]],Main[[#All],[TYPE]:[UNIT]],'Unit Price'!H$1,FALSE),0)</f>
        <v>0</v>
      </c>
      <c r="K851" s="194">
        <f>IF(_1_541284561214624104645789101745678[[#This Row],[Discount selection]]&gt;0,VLOOKUP(_1_541284561214624104645789101745678[[#This Row],[Discount selection]],'Discount Structure'!$A$2:$B$30,2,"false"),0)</f>
        <v>1</v>
      </c>
      <c r="L851" s="194">
        <f>_1_541284561214624104645789101745678[[#This Row],[LIST $]]*_1_541284561214624104645789101745678[[#This Row],[DISCOUNT]]*_1_541284561214624104645789101745678[[#This Row],[DISCOUNT 2]]</f>
        <v>0</v>
      </c>
      <c r="M851" s="194">
        <f>IF(OR(_1_541284561214624104645789101745678[[#This Row],[UNIT]]&gt;0,_1_541284561214624104645789101745678[[#This Row],[UNIT]]&lt;0),_1_541284561214624104645789101745678[[#This Row],[UNIT]]*_1_541284561214624104645789101745678[[#This Row],[COST]],0)</f>
        <v>0</v>
      </c>
      <c r="N851" s="194">
        <f t="shared" si="13"/>
        <v>1.3</v>
      </c>
      <c r="O851" s="198">
        <f>_1_541284561214624104645789101745678[[#This Row],[TOTAL]]*_1_541284561214624104645789101745678[[#This Row],[MARGIN]]</f>
        <v>0</v>
      </c>
      <c r="R851" s="41"/>
    </row>
    <row r="852" spans="4:18">
      <c r="D852" s="188"/>
      <c r="F852" s="168" t="s">
        <v>6202</v>
      </c>
      <c r="G852" s="193">
        <f>IF(_1_541284561214624104645789101745678[[#This Row],[Type]]&gt;0,VLOOKUP(_1_541284561214624104645789101745678[[#This Row],[Type]],Main[[#All],[TYPE]:[UNIT]],'Unit Price'!C$1,FALSE),0)</f>
        <v>0</v>
      </c>
      <c r="H852" s="197">
        <f>IF(_1_541284561214624104645789101745678[[#This Row],[Type]]&gt;0,VLOOKUP(_1_541284561214624104645789101745678[[#This Row],[Type]],Main[[#All],[TYPE]:[UNIT]],'Unit Price'!D$1,FALSE),0)</f>
        <v>0</v>
      </c>
      <c r="I852" s="194">
        <f>IF(_1_541284561214624104645789101745678[[#This Row],[Type]]&gt;0,VLOOKUP(_1_541284561214624104645789101745678[[#This Row],[Type]],Main[[#All],[TYPE]:[UNIT]],'Unit Price'!G$1,FALSE),0)</f>
        <v>0</v>
      </c>
      <c r="J852" s="194">
        <f>IF(_1_541284561214624104645789101745678[[#This Row],[Type]]&gt;0,VLOOKUP(_1_541284561214624104645789101745678[[#This Row],[Type]],Main[[#All],[TYPE]:[UNIT]],'Unit Price'!H$1,FALSE),0)</f>
        <v>0</v>
      </c>
      <c r="K852" s="194">
        <f>IF(_1_541284561214624104645789101745678[[#This Row],[Discount selection]]&gt;0,VLOOKUP(_1_541284561214624104645789101745678[[#This Row],[Discount selection]],'Discount Structure'!$A$2:$B$30,2,"false"),0)</f>
        <v>1</v>
      </c>
      <c r="L852" s="194">
        <f>_1_541284561214624104645789101745678[[#This Row],[LIST $]]*_1_541284561214624104645789101745678[[#This Row],[DISCOUNT]]*_1_541284561214624104645789101745678[[#This Row],[DISCOUNT 2]]</f>
        <v>0</v>
      </c>
      <c r="M852" s="194">
        <f>IF(OR(_1_541284561214624104645789101745678[[#This Row],[UNIT]]&gt;0,_1_541284561214624104645789101745678[[#This Row],[UNIT]]&lt;0),_1_541284561214624104645789101745678[[#This Row],[UNIT]]*_1_541284561214624104645789101745678[[#This Row],[COST]],0)</f>
        <v>0</v>
      </c>
      <c r="N852" s="194">
        <f t="shared" si="13"/>
        <v>1.3</v>
      </c>
      <c r="O852" s="198">
        <f>_1_541284561214624104645789101745678[[#This Row],[TOTAL]]*_1_541284561214624104645789101745678[[#This Row],[MARGIN]]</f>
        <v>0</v>
      </c>
      <c r="R852" s="41"/>
    </row>
    <row r="853" spans="4:18">
      <c r="D853" s="188"/>
      <c r="F853" s="168" t="s">
        <v>6202</v>
      </c>
      <c r="G853" s="193">
        <f>IF(_1_541284561214624104645789101745678[[#This Row],[Type]]&gt;0,VLOOKUP(_1_541284561214624104645789101745678[[#This Row],[Type]],Main[[#All],[TYPE]:[UNIT]],'Unit Price'!C$1,FALSE),0)</f>
        <v>0</v>
      </c>
      <c r="H853" s="197">
        <f>IF(_1_541284561214624104645789101745678[[#This Row],[Type]]&gt;0,VLOOKUP(_1_541284561214624104645789101745678[[#This Row],[Type]],Main[[#All],[TYPE]:[UNIT]],'Unit Price'!D$1,FALSE),0)</f>
        <v>0</v>
      </c>
      <c r="I853" s="194">
        <f>IF(_1_541284561214624104645789101745678[[#This Row],[Type]]&gt;0,VLOOKUP(_1_541284561214624104645789101745678[[#This Row],[Type]],Main[[#All],[TYPE]:[UNIT]],'Unit Price'!G$1,FALSE),0)</f>
        <v>0</v>
      </c>
      <c r="J853" s="194">
        <f>IF(_1_541284561214624104645789101745678[[#This Row],[Type]]&gt;0,VLOOKUP(_1_541284561214624104645789101745678[[#This Row],[Type]],Main[[#All],[TYPE]:[UNIT]],'Unit Price'!H$1,FALSE),0)</f>
        <v>0</v>
      </c>
      <c r="K853" s="194">
        <f>IF(_1_541284561214624104645789101745678[[#This Row],[Discount selection]]&gt;0,VLOOKUP(_1_541284561214624104645789101745678[[#This Row],[Discount selection]],'Discount Structure'!$A$2:$B$30,2,"false"),0)</f>
        <v>1</v>
      </c>
      <c r="L853" s="194">
        <f>_1_541284561214624104645789101745678[[#This Row],[LIST $]]*_1_541284561214624104645789101745678[[#This Row],[DISCOUNT]]*_1_541284561214624104645789101745678[[#This Row],[DISCOUNT 2]]</f>
        <v>0</v>
      </c>
      <c r="M853" s="194">
        <f>IF(OR(_1_541284561214624104645789101745678[[#This Row],[UNIT]]&gt;0,_1_541284561214624104645789101745678[[#This Row],[UNIT]]&lt;0),_1_541284561214624104645789101745678[[#This Row],[UNIT]]*_1_541284561214624104645789101745678[[#This Row],[COST]],0)</f>
        <v>0</v>
      </c>
      <c r="N853" s="194">
        <f t="shared" si="13"/>
        <v>1.3</v>
      </c>
      <c r="O853" s="198">
        <f>_1_541284561214624104645789101745678[[#This Row],[TOTAL]]*_1_541284561214624104645789101745678[[#This Row],[MARGIN]]</f>
        <v>0</v>
      </c>
      <c r="R853" s="41"/>
    </row>
    <row r="854" spans="4:18">
      <c r="D854" s="188"/>
      <c r="F854" s="168" t="s">
        <v>6202</v>
      </c>
      <c r="G854" s="193">
        <f>IF(_1_541284561214624104645789101745678[[#This Row],[Type]]&gt;0,VLOOKUP(_1_541284561214624104645789101745678[[#This Row],[Type]],Main[[#All],[TYPE]:[UNIT]],'Unit Price'!C$1,FALSE),0)</f>
        <v>0</v>
      </c>
      <c r="H854" s="197">
        <f>IF(_1_541284561214624104645789101745678[[#This Row],[Type]]&gt;0,VLOOKUP(_1_541284561214624104645789101745678[[#This Row],[Type]],Main[[#All],[TYPE]:[UNIT]],'Unit Price'!D$1,FALSE),0)</f>
        <v>0</v>
      </c>
      <c r="I854" s="194">
        <f>IF(_1_541284561214624104645789101745678[[#This Row],[Type]]&gt;0,VLOOKUP(_1_541284561214624104645789101745678[[#This Row],[Type]],Main[[#All],[TYPE]:[UNIT]],'Unit Price'!G$1,FALSE),0)</f>
        <v>0</v>
      </c>
      <c r="J854" s="194">
        <f>IF(_1_541284561214624104645789101745678[[#This Row],[Type]]&gt;0,VLOOKUP(_1_541284561214624104645789101745678[[#This Row],[Type]],Main[[#All],[TYPE]:[UNIT]],'Unit Price'!H$1,FALSE),0)</f>
        <v>0</v>
      </c>
      <c r="K854" s="194">
        <f>IF(_1_541284561214624104645789101745678[[#This Row],[Discount selection]]&gt;0,VLOOKUP(_1_541284561214624104645789101745678[[#This Row],[Discount selection]],'Discount Structure'!$A$2:$B$30,2,"false"),0)</f>
        <v>1</v>
      </c>
      <c r="L854" s="194">
        <f>_1_541284561214624104645789101745678[[#This Row],[LIST $]]*_1_541284561214624104645789101745678[[#This Row],[DISCOUNT]]*_1_541284561214624104645789101745678[[#This Row],[DISCOUNT 2]]</f>
        <v>0</v>
      </c>
      <c r="M854" s="194">
        <f>IF(OR(_1_541284561214624104645789101745678[[#This Row],[UNIT]]&gt;0,_1_541284561214624104645789101745678[[#This Row],[UNIT]]&lt;0),_1_541284561214624104645789101745678[[#This Row],[UNIT]]*_1_541284561214624104645789101745678[[#This Row],[COST]],0)</f>
        <v>0</v>
      </c>
      <c r="N854" s="194">
        <f t="shared" si="13"/>
        <v>1.3</v>
      </c>
      <c r="O854" s="198">
        <f>_1_541284561214624104645789101745678[[#This Row],[TOTAL]]*_1_541284561214624104645789101745678[[#This Row],[MARGIN]]</f>
        <v>0</v>
      </c>
      <c r="R854" s="41"/>
    </row>
    <row r="855" spans="4:18">
      <c r="D855" s="188"/>
      <c r="F855" s="168" t="s">
        <v>6202</v>
      </c>
      <c r="G855" s="193">
        <f>IF(_1_541284561214624104645789101745678[[#This Row],[Type]]&gt;0,VLOOKUP(_1_541284561214624104645789101745678[[#This Row],[Type]],Main[[#All],[TYPE]:[UNIT]],'Unit Price'!C$1,FALSE),0)</f>
        <v>0</v>
      </c>
      <c r="H855" s="197">
        <f>IF(_1_541284561214624104645789101745678[[#This Row],[Type]]&gt;0,VLOOKUP(_1_541284561214624104645789101745678[[#This Row],[Type]],Main[[#All],[TYPE]:[UNIT]],'Unit Price'!D$1,FALSE),0)</f>
        <v>0</v>
      </c>
      <c r="I855" s="194">
        <f>IF(_1_541284561214624104645789101745678[[#This Row],[Type]]&gt;0,VLOOKUP(_1_541284561214624104645789101745678[[#This Row],[Type]],Main[[#All],[TYPE]:[UNIT]],'Unit Price'!G$1,FALSE),0)</f>
        <v>0</v>
      </c>
      <c r="J855" s="194">
        <f>IF(_1_541284561214624104645789101745678[[#This Row],[Type]]&gt;0,VLOOKUP(_1_541284561214624104645789101745678[[#This Row],[Type]],Main[[#All],[TYPE]:[UNIT]],'Unit Price'!H$1,FALSE),0)</f>
        <v>0</v>
      </c>
      <c r="K855" s="194">
        <f>IF(_1_541284561214624104645789101745678[[#This Row],[Discount selection]]&gt;0,VLOOKUP(_1_541284561214624104645789101745678[[#This Row],[Discount selection]],'Discount Structure'!$A$2:$B$30,2,"false"),0)</f>
        <v>1</v>
      </c>
      <c r="L855" s="194">
        <f>_1_541284561214624104645789101745678[[#This Row],[LIST $]]*_1_541284561214624104645789101745678[[#This Row],[DISCOUNT]]*_1_541284561214624104645789101745678[[#This Row],[DISCOUNT 2]]</f>
        <v>0</v>
      </c>
      <c r="M855" s="194">
        <f>IF(OR(_1_541284561214624104645789101745678[[#This Row],[UNIT]]&gt;0,_1_541284561214624104645789101745678[[#This Row],[UNIT]]&lt;0),_1_541284561214624104645789101745678[[#This Row],[UNIT]]*_1_541284561214624104645789101745678[[#This Row],[COST]],0)</f>
        <v>0</v>
      </c>
      <c r="N855" s="194">
        <f t="shared" si="13"/>
        <v>1.3</v>
      </c>
      <c r="O855" s="198">
        <f>_1_541284561214624104645789101745678[[#This Row],[TOTAL]]*_1_541284561214624104645789101745678[[#This Row],[MARGIN]]</f>
        <v>0</v>
      </c>
      <c r="R855" s="41"/>
    </row>
    <row r="856" spans="4:18">
      <c r="D856" s="188"/>
      <c r="F856" s="168" t="s">
        <v>6202</v>
      </c>
      <c r="G856" s="193">
        <f>IF(_1_541284561214624104645789101745678[[#This Row],[Type]]&gt;0,VLOOKUP(_1_541284561214624104645789101745678[[#This Row],[Type]],Main[[#All],[TYPE]:[UNIT]],'Unit Price'!C$1,FALSE),0)</f>
        <v>0</v>
      </c>
      <c r="H856" s="197">
        <f>IF(_1_541284561214624104645789101745678[[#This Row],[Type]]&gt;0,VLOOKUP(_1_541284561214624104645789101745678[[#This Row],[Type]],Main[[#All],[TYPE]:[UNIT]],'Unit Price'!D$1,FALSE),0)</f>
        <v>0</v>
      </c>
      <c r="I856" s="194">
        <f>IF(_1_541284561214624104645789101745678[[#This Row],[Type]]&gt;0,VLOOKUP(_1_541284561214624104645789101745678[[#This Row],[Type]],Main[[#All],[TYPE]:[UNIT]],'Unit Price'!G$1,FALSE),0)</f>
        <v>0</v>
      </c>
      <c r="J856" s="194">
        <f>IF(_1_541284561214624104645789101745678[[#This Row],[Type]]&gt;0,VLOOKUP(_1_541284561214624104645789101745678[[#This Row],[Type]],Main[[#All],[TYPE]:[UNIT]],'Unit Price'!H$1,FALSE),0)</f>
        <v>0</v>
      </c>
      <c r="K856" s="194">
        <f>IF(_1_541284561214624104645789101745678[[#This Row],[Discount selection]]&gt;0,VLOOKUP(_1_541284561214624104645789101745678[[#This Row],[Discount selection]],'Discount Structure'!$A$2:$B$30,2,"false"),0)</f>
        <v>1</v>
      </c>
      <c r="L856" s="194">
        <f>_1_541284561214624104645789101745678[[#This Row],[LIST $]]*_1_541284561214624104645789101745678[[#This Row],[DISCOUNT]]*_1_541284561214624104645789101745678[[#This Row],[DISCOUNT 2]]</f>
        <v>0</v>
      </c>
      <c r="M856" s="194">
        <f>IF(OR(_1_541284561214624104645789101745678[[#This Row],[UNIT]]&gt;0,_1_541284561214624104645789101745678[[#This Row],[UNIT]]&lt;0),_1_541284561214624104645789101745678[[#This Row],[UNIT]]*_1_541284561214624104645789101745678[[#This Row],[COST]],0)</f>
        <v>0</v>
      </c>
      <c r="N856" s="194">
        <f t="shared" si="13"/>
        <v>1.3</v>
      </c>
      <c r="O856" s="198">
        <f>_1_541284561214624104645789101745678[[#This Row],[TOTAL]]*_1_541284561214624104645789101745678[[#This Row],[MARGIN]]</f>
        <v>0</v>
      </c>
      <c r="R856" s="41"/>
    </row>
    <row r="857" spans="4:18">
      <c r="D857" s="188"/>
      <c r="F857" s="168" t="s">
        <v>6202</v>
      </c>
      <c r="G857" s="193">
        <f>IF(_1_541284561214624104645789101745678[[#This Row],[Type]]&gt;0,VLOOKUP(_1_541284561214624104645789101745678[[#This Row],[Type]],Main[[#All],[TYPE]:[UNIT]],'Unit Price'!C$1,FALSE),0)</f>
        <v>0</v>
      </c>
      <c r="H857" s="197">
        <f>IF(_1_541284561214624104645789101745678[[#This Row],[Type]]&gt;0,VLOOKUP(_1_541284561214624104645789101745678[[#This Row],[Type]],Main[[#All],[TYPE]:[UNIT]],'Unit Price'!D$1,FALSE),0)</f>
        <v>0</v>
      </c>
      <c r="I857" s="194">
        <f>IF(_1_541284561214624104645789101745678[[#This Row],[Type]]&gt;0,VLOOKUP(_1_541284561214624104645789101745678[[#This Row],[Type]],Main[[#All],[TYPE]:[UNIT]],'Unit Price'!G$1,FALSE),0)</f>
        <v>0</v>
      </c>
      <c r="J857" s="194">
        <f>IF(_1_541284561214624104645789101745678[[#This Row],[Type]]&gt;0,VLOOKUP(_1_541284561214624104645789101745678[[#This Row],[Type]],Main[[#All],[TYPE]:[UNIT]],'Unit Price'!H$1,FALSE),0)</f>
        <v>0</v>
      </c>
      <c r="K857" s="194">
        <f>IF(_1_541284561214624104645789101745678[[#This Row],[Discount selection]]&gt;0,VLOOKUP(_1_541284561214624104645789101745678[[#This Row],[Discount selection]],'Discount Structure'!$A$2:$B$30,2,"false"),0)</f>
        <v>1</v>
      </c>
      <c r="L857" s="194">
        <f>_1_541284561214624104645789101745678[[#This Row],[LIST $]]*_1_541284561214624104645789101745678[[#This Row],[DISCOUNT]]*_1_541284561214624104645789101745678[[#This Row],[DISCOUNT 2]]</f>
        <v>0</v>
      </c>
      <c r="M857" s="194">
        <f>IF(OR(_1_541284561214624104645789101745678[[#This Row],[UNIT]]&gt;0,_1_541284561214624104645789101745678[[#This Row],[UNIT]]&lt;0),_1_541284561214624104645789101745678[[#This Row],[UNIT]]*_1_541284561214624104645789101745678[[#This Row],[COST]],0)</f>
        <v>0</v>
      </c>
      <c r="N857" s="194">
        <f t="shared" si="13"/>
        <v>1.3</v>
      </c>
      <c r="O857" s="198">
        <f>_1_541284561214624104645789101745678[[#This Row],[TOTAL]]*_1_541284561214624104645789101745678[[#This Row],[MARGIN]]</f>
        <v>0</v>
      </c>
      <c r="R857" s="41"/>
    </row>
    <row r="858" spans="4:18">
      <c r="D858" s="188"/>
      <c r="F858" s="168" t="s">
        <v>6202</v>
      </c>
      <c r="G858" s="193">
        <f>IF(_1_541284561214624104645789101745678[[#This Row],[Type]]&gt;0,VLOOKUP(_1_541284561214624104645789101745678[[#This Row],[Type]],Main[[#All],[TYPE]:[UNIT]],'Unit Price'!C$1,FALSE),0)</f>
        <v>0</v>
      </c>
      <c r="H858" s="197">
        <f>IF(_1_541284561214624104645789101745678[[#This Row],[Type]]&gt;0,VLOOKUP(_1_541284561214624104645789101745678[[#This Row],[Type]],Main[[#All],[TYPE]:[UNIT]],'Unit Price'!D$1,FALSE),0)</f>
        <v>0</v>
      </c>
      <c r="I858" s="194">
        <f>IF(_1_541284561214624104645789101745678[[#This Row],[Type]]&gt;0,VLOOKUP(_1_541284561214624104645789101745678[[#This Row],[Type]],Main[[#All],[TYPE]:[UNIT]],'Unit Price'!G$1,FALSE),0)</f>
        <v>0</v>
      </c>
      <c r="J858" s="194">
        <f>IF(_1_541284561214624104645789101745678[[#This Row],[Type]]&gt;0,VLOOKUP(_1_541284561214624104645789101745678[[#This Row],[Type]],Main[[#All],[TYPE]:[UNIT]],'Unit Price'!H$1,FALSE),0)</f>
        <v>0</v>
      </c>
      <c r="K858" s="194">
        <f>IF(_1_541284561214624104645789101745678[[#This Row],[Discount selection]]&gt;0,VLOOKUP(_1_541284561214624104645789101745678[[#This Row],[Discount selection]],'Discount Structure'!$A$2:$B$30,2,"false"),0)</f>
        <v>1</v>
      </c>
      <c r="L858" s="194">
        <f>_1_541284561214624104645789101745678[[#This Row],[LIST $]]*_1_541284561214624104645789101745678[[#This Row],[DISCOUNT]]*_1_541284561214624104645789101745678[[#This Row],[DISCOUNT 2]]</f>
        <v>0</v>
      </c>
      <c r="M858" s="194">
        <f>IF(OR(_1_541284561214624104645789101745678[[#This Row],[UNIT]]&gt;0,_1_541284561214624104645789101745678[[#This Row],[UNIT]]&lt;0),_1_541284561214624104645789101745678[[#This Row],[UNIT]]*_1_541284561214624104645789101745678[[#This Row],[COST]],0)</f>
        <v>0</v>
      </c>
      <c r="N858" s="194">
        <f t="shared" si="13"/>
        <v>1.3</v>
      </c>
      <c r="O858" s="198">
        <f>_1_541284561214624104645789101745678[[#This Row],[TOTAL]]*_1_541284561214624104645789101745678[[#This Row],[MARGIN]]</f>
        <v>0</v>
      </c>
      <c r="R858" s="41"/>
    </row>
    <row r="859" spans="4:18">
      <c r="D859" s="188"/>
      <c r="F859" s="168" t="s">
        <v>6202</v>
      </c>
      <c r="G859" s="193">
        <f>IF(_1_541284561214624104645789101745678[[#This Row],[Type]]&gt;0,VLOOKUP(_1_541284561214624104645789101745678[[#This Row],[Type]],Main[[#All],[TYPE]:[UNIT]],'Unit Price'!C$1,FALSE),0)</f>
        <v>0</v>
      </c>
      <c r="H859" s="197">
        <f>IF(_1_541284561214624104645789101745678[[#This Row],[Type]]&gt;0,VLOOKUP(_1_541284561214624104645789101745678[[#This Row],[Type]],Main[[#All],[TYPE]:[UNIT]],'Unit Price'!D$1,FALSE),0)</f>
        <v>0</v>
      </c>
      <c r="I859" s="194">
        <f>IF(_1_541284561214624104645789101745678[[#This Row],[Type]]&gt;0,VLOOKUP(_1_541284561214624104645789101745678[[#This Row],[Type]],Main[[#All],[TYPE]:[UNIT]],'Unit Price'!G$1,FALSE),0)</f>
        <v>0</v>
      </c>
      <c r="J859" s="194">
        <f>IF(_1_541284561214624104645789101745678[[#This Row],[Type]]&gt;0,VLOOKUP(_1_541284561214624104645789101745678[[#This Row],[Type]],Main[[#All],[TYPE]:[UNIT]],'Unit Price'!H$1,FALSE),0)</f>
        <v>0</v>
      </c>
      <c r="K859" s="194">
        <f>IF(_1_541284561214624104645789101745678[[#This Row],[Discount selection]]&gt;0,VLOOKUP(_1_541284561214624104645789101745678[[#This Row],[Discount selection]],'Discount Structure'!$A$2:$B$30,2,"false"),0)</f>
        <v>1</v>
      </c>
      <c r="L859" s="194">
        <f>_1_541284561214624104645789101745678[[#This Row],[LIST $]]*_1_541284561214624104645789101745678[[#This Row],[DISCOUNT]]*_1_541284561214624104645789101745678[[#This Row],[DISCOUNT 2]]</f>
        <v>0</v>
      </c>
      <c r="M859" s="194">
        <f>IF(OR(_1_541284561214624104645789101745678[[#This Row],[UNIT]]&gt;0,_1_541284561214624104645789101745678[[#This Row],[UNIT]]&lt;0),_1_541284561214624104645789101745678[[#This Row],[UNIT]]*_1_541284561214624104645789101745678[[#This Row],[COST]],0)</f>
        <v>0</v>
      </c>
      <c r="N859" s="194">
        <f t="shared" si="13"/>
        <v>1.3</v>
      </c>
      <c r="O859" s="198">
        <f>_1_541284561214624104645789101745678[[#This Row],[TOTAL]]*_1_541284561214624104645789101745678[[#This Row],[MARGIN]]</f>
        <v>0</v>
      </c>
      <c r="R859" s="41"/>
    </row>
    <row r="860" spans="4:18">
      <c r="D860" s="188"/>
      <c r="F860" s="168" t="s">
        <v>6202</v>
      </c>
      <c r="G860" s="193">
        <f>IF(_1_541284561214624104645789101745678[[#This Row],[Type]]&gt;0,VLOOKUP(_1_541284561214624104645789101745678[[#This Row],[Type]],Main[[#All],[TYPE]:[UNIT]],'Unit Price'!C$1,FALSE),0)</f>
        <v>0</v>
      </c>
      <c r="H860" s="197">
        <f>IF(_1_541284561214624104645789101745678[[#This Row],[Type]]&gt;0,VLOOKUP(_1_541284561214624104645789101745678[[#This Row],[Type]],Main[[#All],[TYPE]:[UNIT]],'Unit Price'!D$1,FALSE),0)</f>
        <v>0</v>
      </c>
      <c r="I860" s="194">
        <f>IF(_1_541284561214624104645789101745678[[#This Row],[Type]]&gt;0,VLOOKUP(_1_541284561214624104645789101745678[[#This Row],[Type]],Main[[#All],[TYPE]:[UNIT]],'Unit Price'!G$1,FALSE),0)</f>
        <v>0</v>
      </c>
      <c r="J860" s="194">
        <f>IF(_1_541284561214624104645789101745678[[#This Row],[Type]]&gt;0,VLOOKUP(_1_541284561214624104645789101745678[[#This Row],[Type]],Main[[#All],[TYPE]:[UNIT]],'Unit Price'!H$1,FALSE),0)</f>
        <v>0</v>
      </c>
      <c r="K860" s="194">
        <f>IF(_1_541284561214624104645789101745678[[#This Row],[Discount selection]]&gt;0,VLOOKUP(_1_541284561214624104645789101745678[[#This Row],[Discount selection]],'Discount Structure'!$A$2:$B$30,2,"false"),0)</f>
        <v>1</v>
      </c>
      <c r="L860" s="194">
        <f>_1_541284561214624104645789101745678[[#This Row],[LIST $]]*_1_541284561214624104645789101745678[[#This Row],[DISCOUNT]]*_1_541284561214624104645789101745678[[#This Row],[DISCOUNT 2]]</f>
        <v>0</v>
      </c>
      <c r="M860" s="194">
        <f>IF(OR(_1_541284561214624104645789101745678[[#This Row],[UNIT]]&gt;0,_1_541284561214624104645789101745678[[#This Row],[UNIT]]&lt;0),_1_541284561214624104645789101745678[[#This Row],[UNIT]]*_1_541284561214624104645789101745678[[#This Row],[COST]],0)</f>
        <v>0</v>
      </c>
      <c r="N860" s="194">
        <f t="shared" si="13"/>
        <v>1.3</v>
      </c>
      <c r="O860" s="198">
        <f>_1_541284561214624104645789101745678[[#This Row],[TOTAL]]*_1_541284561214624104645789101745678[[#This Row],[MARGIN]]</f>
        <v>0</v>
      </c>
      <c r="R860" s="41"/>
    </row>
    <row r="861" spans="4:18">
      <c r="D861" s="188"/>
      <c r="F861" s="168" t="s">
        <v>6202</v>
      </c>
      <c r="G861" s="193">
        <f>IF(_1_541284561214624104645789101745678[[#This Row],[Type]]&gt;0,VLOOKUP(_1_541284561214624104645789101745678[[#This Row],[Type]],Main[[#All],[TYPE]:[UNIT]],'Unit Price'!C$1,FALSE),0)</f>
        <v>0</v>
      </c>
      <c r="H861" s="197">
        <f>IF(_1_541284561214624104645789101745678[[#This Row],[Type]]&gt;0,VLOOKUP(_1_541284561214624104645789101745678[[#This Row],[Type]],Main[[#All],[TYPE]:[UNIT]],'Unit Price'!D$1,FALSE),0)</f>
        <v>0</v>
      </c>
      <c r="I861" s="194">
        <f>IF(_1_541284561214624104645789101745678[[#This Row],[Type]]&gt;0,VLOOKUP(_1_541284561214624104645789101745678[[#This Row],[Type]],Main[[#All],[TYPE]:[UNIT]],'Unit Price'!G$1,FALSE),0)</f>
        <v>0</v>
      </c>
      <c r="J861" s="194">
        <f>IF(_1_541284561214624104645789101745678[[#This Row],[Type]]&gt;0,VLOOKUP(_1_541284561214624104645789101745678[[#This Row],[Type]],Main[[#All],[TYPE]:[UNIT]],'Unit Price'!H$1,FALSE),0)</f>
        <v>0</v>
      </c>
      <c r="K861" s="194">
        <f>IF(_1_541284561214624104645789101745678[[#This Row],[Discount selection]]&gt;0,VLOOKUP(_1_541284561214624104645789101745678[[#This Row],[Discount selection]],'Discount Structure'!$A$2:$B$30,2,"false"),0)</f>
        <v>1</v>
      </c>
      <c r="L861" s="194">
        <f>_1_541284561214624104645789101745678[[#This Row],[LIST $]]*_1_541284561214624104645789101745678[[#This Row],[DISCOUNT]]*_1_541284561214624104645789101745678[[#This Row],[DISCOUNT 2]]</f>
        <v>0</v>
      </c>
      <c r="M861" s="194">
        <f>IF(OR(_1_541284561214624104645789101745678[[#This Row],[UNIT]]&gt;0,_1_541284561214624104645789101745678[[#This Row],[UNIT]]&lt;0),_1_541284561214624104645789101745678[[#This Row],[UNIT]]*_1_541284561214624104645789101745678[[#This Row],[COST]],0)</f>
        <v>0</v>
      </c>
      <c r="N861" s="194">
        <f t="shared" si="13"/>
        <v>1.3</v>
      </c>
      <c r="O861" s="198">
        <f>_1_541284561214624104645789101745678[[#This Row],[TOTAL]]*_1_541284561214624104645789101745678[[#This Row],[MARGIN]]</f>
        <v>0</v>
      </c>
      <c r="R861" s="41"/>
    </row>
    <row r="862" spans="4:18">
      <c r="D862" s="188"/>
      <c r="F862" s="168" t="s">
        <v>6202</v>
      </c>
      <c r="G862" s="193">
        <f>IF(_1_541284561214624104645789101745678[[#This Row],[Type]]&gt;0,VLOOKUP(_1_541284561214624104645789101745678[[#This Row],[Type]],Main[[#All],[TYPE]:[UNIT]],'Unit Price'!C$1,FALSE),0)</f>
        <v>0</v>
      </c>
      <c r="H862" s="197">
        <f>IF(_1_541284561214624104645789101745678[[#This Row],[Type]]&gt;0,VLOOKUP(_1_541284561214624104645789101745678[[#This Row],[Type]],Main[[#All],[TYPE]:[UNIT]],'Unit Price'!D$1,FALSE),0)</f>
        <v>0</v>
      </c>
      <c r="I862" s="194">
        <f>IF(_1_541284561214624104645789101745678[[#This Row],[Type]]&gt;0,VLOOKUP(_1_541284561214624104645789101745678[[#This Row],[Type]],Main[[#All],[TYPE]:[UNIT]],'Unit Price'!G$1,FALSE),0)</f>
        <v>0</v>
      </c>
      <c r="J862" s="194">
        <f>IF(_1_541284561214624104645789101745678[[#This Row],[Type]]&gt;0,VLOOKUP(_1_541284561214624104645789101745678[[#This Row],[Type]],Main[[#All],[TYPE]:[UNIT]],'Unit Price'!H$1,FALSE),0)</f>
        <v>0</v>
      </c>
      <c r="K862" s="194">
        <f>IF(_1_541284561214624104645789101745678[[#This Row],[Discount selection]]&gt;0,VLOOKUP(_1_541284561214624104645789101745678[[#This Row],[Discount selection]],'Discount Structure'!$A$2:$B$30,2,"false"),0)</f>
        <v>1</v>
      </c>
      <c r="L862" s="194">
        <f>_1_541284561214624104645789101745678[[#This Row],[LIST $]]*_1_541284561214624104645789101745678[[#This Row],[DISCOUNT]]*_1_541284561214624104645789101745678[[#This Row],[DISCOUNT 2]]</f>
        <v>0</v>
      </c>
      <c r="M862" s="194">
        <f>IF(OR(_1_541284561214624104645789101745678[[#This Row],[UNIT]]&gt;0,_1_541284561214624104645789101745678[[#This Row],[UNIT]]&lt;0),_1_541284561214624104645789101745678[[#This Row],[UNIT]]*_1_541284561214624104645789101745678[[#This Row],[COST]],0)</f>
        <v>0</v>
      </c>
      <c r="N862" s="194">
        <f t="shared" si="13"/>
        <v>1.3</v>
      </c>
      <c r="O862" s="198">
        <f>_1_541284561214624104645789101745678[[#This Row],[TOTAL]]*_1_541284561214624104645789101745678[[#This Row],[MARGIN]]</f>
        <v>0</v>
      </c>
      <c r="R862" s="41"/>
    </row>
    <row r="863" spans="4:18">
      <c r="D863" s="188"/>
      <c r="F863" s="168" t="s">
        <v>6202</v>
      </c>
      <c r="G863" s="193">
        <f>IF(_1_541284561214624104645789101745678[[#This Row],[Type]]&gt;0,VLOOKUP(_1_541284561214624104645789101745678[[#This Row],[Type]],Main[[#All],[TYPE]:[UNIT]],'Unit Price'!C$1,FALSE),0)</f>
        <v>0</v>
      </c>
      <c r="H863" s="197">
        <f>IF(_1_541284561214624104645789101745678[[#This Row],[Type]]&gt;0,VLOOKUP(_1_541284561214624104645789101745678[[#This Row],[Type]],Main[[#All],[TYPE]:[UNIT]],'Unit Price'!D$1,FALSE),0)</f>
        <v>0</v>
      </c>
      <c r="I863" s="194">
        <f>IF(_1_541284561214624104645789101745678[[#This Row],[Type]]&gt;0,VLOOKUP(_1_541284561214624104645789101745678[[#This Row],[Type]],Main[[#All],[TYPE]:[UNIT]],'Unit Price'!G$1,FALSE),0)</f>
        <v>0</v>
      </c>
      <c r="J863" s="194">
        <f>IF(_1_541284561214624104645789101745678[[#This Row],[Type]]&gt;0,VLOOKUP(_1_541284561214624104645789101745678[[#This Row],[Type]],Main[[#All],[TYPE]:[UNIT]],'Unit Price'!H$1,FALSE),0)</f>
        <v>0</v>
      </c>
      <c r="K863" s="194">
        <f>IF(_1_541284561214624104645789101745678[[#This Row],[Discount selection]]&gt;0,VLOOKUP(_1_541284561214624104645789101745678[[#This Row],[Discount selection]],'Discount Structure'!$A$2:$B$30,2,"false"),0)</f>
        <v>1</v>
      </c>
      <c r="L863" s="194">
        <f>_1_541284561214624104645789101745678[[#This Row],[LIST $]]*_1_541284561214624104645789101745678[[#This Row],[DISCOUNT]]*_1_541284561214624104645789101745678[[#This Row],[DISCOUNT 2]]</f>
        <v>0</v>
      </c>
      <c r="M863" s="194">
        <f>IF(OR(_1_541284561214624104645789101745678[[#This Row],[UNIT]]&gt;0,_1_541284561214624104645789101745678[[#This Row],[UNIT]]&lt;0),_1_541284561214624104645789101745678[[#This Row],[UNIT]]*_1_541284561214624104645789101745678[[#This Row],[COST]],0)</f>
        <v>0</v>
      </c>
      <c r="N863" s="194">
        <f t="shared" si="13"/>
        <v>1.3</v>
      </c>
      <c r="O863" s="198">
        <f>_1_541284561214624104645789101745678[[#This Row],[TOTAL]]*_1_541284561214624104645789101745678[[#This Row],[MARGIN]]</f>
        <v>0</v>
      </c>
      <c r="R863" s="41"/>
    </row>
    <row r="864" spans="4:18">
      <c r="D864" s="188"/>
      <c r="F864" s="168" t="s">
        <v>6202</v>
      </c>
      <c r="G864" s="193">
        <f>IF(_1_541284561214624104645789101745678[[#This Row],[Type]]&gt;0,VLOOKUP(_1_541284561214624104645789101745678[[#This Row],[Type]],Main[[#All],[TYPE]:[UNIT]],'Unit Price'!C$1,FALSE),0)</f>
        <v>0</v>
      </c>
      <c r="H864" s="197">
        <f>IF(_1_541284561214624104645789101745678[[#This Row],[Type]]&gt;0,VLOOKUP(_1_541284561214624104645789101745678[[#This Row],[Type]],Main[[#All],[TYPE]:[UNIT]],'Unit Price'!D$1,FALSE),0)</f>
        <v>0</v>
      </c>
      <c r="I864" s="194">
        <f>IF(_1_541284561214624104645789101745678[[#This Row],[Type]]&gt;0,VLOOKUP(_1_541284561214624104645789101745678[[#This Row],[Type]],Main[[#All],[TYPE]:[UNIT]],'Unit Price'!G$1,FALSE),0)</f>
        <v>0</v>
      </c>
      <c r="J864" s="194">
        <f>IF(_1_541284561214624104645789101745678[[#This Row],[Type]]&gt;0,VLOOKUP(_1_541284561214624104645789101745678[[#This Row],[Type]],Main[[#All],[TYPE]:[UNIT]],'Unit Price'!H$1,FALSE),0)</f>
        <v>0</v>
      </c>
      <c r="K864" s="194">
        <f>IF(_1_541284561214624104645789101745678[[#This Row],[Discount selection]]&gt;0,VLOOKUP(_1_541284561214624104645789101745678[[#This Row],[Discount selection]],'Discount Structure'!$A$2:$B$30,2,"false"),0)</f>
        <v>1</v>
      </c>
      <c r="L864" s="194">
        <f>_1_541284561214624104645789101745678[[#This Row],[LIST $]]*_1_541284561214624104645789101745678[[#This Row],[DISCOUNT]]*_1_541284561214624104645789101745678[[#This Row],[DISCOUNT 2]]</f>
        <v>0</v>
      </c>
      <c r="M864" s="194">
        <f>IF(OR(_1_541284561214624104645789101745678[[#This Row],[UNIT]]&gt;0,_1_541284561214624104645789101745678[[#This Row],[UNIT]]&lt;0),_1_541284561214624104645789101745678[[#This Row],[UNIT]]*_1_541284561214624104645789101745678[[#This Row],[COST]],0)</f>
        <v>0</v>
      </c>
      <c r="N864" s="194">
        <f t="shared" si="13"/>
        <v>1.3</v>
      </c>
      <c r="O864" s="198">
        <f>_1_541284561214624104645789101745678[[#This Row],[TOTAL]]*_1_541284561214624104645789101745678[[#This Row],[MARGIN]]</f>
        <v>0</v>
      </c>
      <c r="R864" s="41"/>
    </row>
    <row r="865" spans="4:18">
      <c r="D865" s="188"/>
      <c r="E865" s="42"/>
      <c r="F865" s="168" t="s">
        <v>6202</v>
      </c>
      <c r="G865" s="193">
        <f>IF(_1_541284561214624104645789101745678[[#This Row],[Type]]&gt;0,VLOOKUP(_1_541284561214624104645789101745678[[#This Row],[Type]],Main[[#All],[TYPE]:[UNIT]],'Unit Price'!C$1,FALSE),0)</f>
        <v>0</v>
      </c>
      <c r="H865" s="197">
        <f>IF(_1_541284561214624104645789101745678[[#This Row],[Type]]&gt;0,VLOOKUP(_1_541284561214624104645789101745678[[#This Row],[Type]],Main[[#All],[TYPE]:[UNIT]],'Unit Price'!D$1,FALSE),0)</f>
        <v>0</v>
      </c>
      <c r="I865" s="194">
        <f>IF(_1_541284561214624104645789101745678[[#This Row],[Type]]&gt;0,VLOOKUP(_1_541284561214624104645789101745678[[#This Row],[Type]],Main[[#All],[TYPE]:[UNIT]],'Unit Price'!G$1,FALSE),0)</f>
        <v>0</v>
      </c>
      <c r="J865" s="194">
        <f>IF(_1_541284561214624104645789101745678[[#This Row],[Type]]&gt;0,VLOOKUP(_1_541284561214624104645789101745678[[#This Row],[Type]],Main[[#All],[TYPE]:[UNIT]],'Unit Price'!H$1,FALSE),0)</f>
        <v>0</v>
      </c>
      <c r="K865" s="194">
        <f>IF(_1_541284561214624104645789101745678[[#This Row],[Discount selection]]&gt;0,VLOOKUP(_1_541284561214624104645789101745678[[#This Row],[Discount selection]],'Discount Structure'!$A$2:$B$30,2,"false"),0)</f>
        <v>1</v>
      </c>
      <c r="L865" s="194">
        <f>_1_541284561214624104645789101745678[[#This Row],[LIST $]]*_1_541284561214624104645789101745678[[#This Row],[DISCOUNT]]*_1_541284561214624104645789101745678[[#This Row],[DISCOUNT 2]]</f>
        <v>0</v>
      </c>
      <c r="M865" s="194">
        <f>IF(OR(_1_541284561214624104645789101745678[[#This Row],[UNIT]]&gt;0,_1_541284561214624104645789101745678[[#This Row],[UNIT]]&lt;0),_1_541284561214624104645789101745678[[#This Row],[UNIT]]*_1_541284561214624104645789101745678[[#This Row],[COST]],0)</f>
        <v>0</v>
      </c>
      <c r="N865" s="194">
        <f t="shared" si="13"/>
        <v>1.3</v>
      </c>
      <c r="O865" s="198">
        <f>_1_541284561214624104645789101745678[[#This Row],[TOTAL]]*_1_541284561214624104645789101745678[[#This Row],[MARGIN]]</f>
        <v>0</v>
      </c>
      <c r="P865" s="198"/>
      <c r="R865" s="41"/>
    </row>
    <row r="866" spans="4:18">
      <c r="D866" s="188"/>
      <c r="E866" s="42"/>
      <c r="F866" s="168" t="s">
        <v>6202</v>
      </c>
      <c r="G866" s="193">
        <f>IF(_1_541284561214624104645789101745678[[#This Row],[Type]]&gt;0,VLOOKUP(_1_541284561214624104645789101745678[[#This Row],[Type]],Main[[#All],[TYPE]:[UNIT]],'Unit Price'!C$1,FALSE),0)</f>
        <v>0</v>
      </c>
      <c r="H866" s="197">
        <f>IF(_1_541284561214624104645789101745678[[#This Row],[Type]]&gt;0,VLOOKUP(_1_541284561214624104645789101745678[[#This Row],[Type]],Main[[#All],[TYPE]:[UNIT]],'Unit Price'!D$1,FALSE),0)</f>
        <v>0</v>
      </c>
      <c r="I866" s="194">
        <f>IF(_1_541284561214624104645789101745678[[#This Row],[Type]]&gt;0,VLOOKUP(_1_541284561214624104645789101745678[[#This Row],[Type]],Main[[#All],[TYPE]:[UNIT]],'Unit Price'!G$1,FALSE),0)</f>
        <v>0</v>
      </c>
      <c r="J866" s="194">
        <f>IF(_1_541284561214624104645789101745678[[#This Row],[Type]]&gt;0,VLOOKUP(_1_541284561214624104645789101745678[[#This Row],[Type]],Main[[#All],[TYPE]:[UNIT]],'Unit Price'!H$1,FALSE),0)</f>
        <v>0</v>
      </c>
      <c r="K866" s="194">
        <f>IF(_1_541284561214624104645789101745678[[#This Row],[Discount selection]]&gt;0,VLOOKUP(_1_541284561214624104645789101745678[[#This Row],[Discount selection]],'Discount Structure'!$A$2:$B$30,2,"false"),0)</f>
        <v>1</v>
      </c>
      <c r="L866" s="194">
        <f>_1_541284561214624104645789101745678[[#This Row],[LIST $]]*_1_541284561214624104645789101745678[[#This Row],[DISCOUNT]]*_1_541284561214624104645789101745678[[#This Row],[DISCOUNT 2]]</f>
        <v>0</v>
      </c>
      <c r="M866" s="194">
        <f>IF(OR(_1_541284561214624104645789101745678[[#This Row],[UNIT]]&gt;0,_1_541284561214624104645789101745678[[#This Row],[UNIT]]&lt;0),_1_541284561214624104645789101745678[[#This Row],[UNIT]]*_1_541284561214624104645789101745678[[#This Row],[COST]],0)</f>
        <v>0</v>
      </c>
      <c r="N866" s="194">
        <f t="shared" si="13"/>
        <v>1.3</v>
      </c>
      <c r="O866" s="198">
        <f>_1_541284561214624104645789101745678[[#This Row],[TOTAL]]*_1_541284561214624104645789101745678[[#This Row],[MARGIN]]</f>
        <v>0</v>
      </c>
      <c r="P866" s="198"/>
      <c r="R866" s="41"/>
    </row>
    <row r="867" spans="4:18">
      <c r="D867" s="188"/>
      <c r="E867" s="42"/>
      <c r="F867" s="168" t="s">
        <v>6202</v>
      </c>
      <c r="G867" s="193">
        <f>IF(_1_541284561214624104645789101745678[[#This Row],[Type]]&gt;0,VLOOKUP(_1_541284561214624104645789101745678[[#This Row],[Type]],Main[[#All],[TYPE]:[UNIT]],'Unit Price'!C$1,FALSE),0)</f>
        <v>0</v>
      </c>
      <c r="H867" s="197">
        <f>IF(_1_541284561214624104645789101745678[[#This Row],[Type]]&gt;0,VLOOKUP(_1_541284561214624104645789101745678[[#This Row],[Type]],Main[[#All],[TYPE]:[UNIT]],'Unit Price'!D$1,FALSE),0)</f>
        <v>0</v>
      </c>
      <c r="I867" s="194">
        <f>IF(_1_541284561214624104645789101745678[[#This Row],[Type]]&gt;0,VLOOKUP(_1_541284561214624104645789101745678[[#This Row],[Type]],Main[[#All],[TYPE]:[UNIT]],'Unit Price'!G$1,FALSE),0)</f>
        <v>0</v>
      </c>
      <c r="J867" s="194">
        <f>IF(_1_541284561214624104645789101745678[[#This Row],[Type]]&gt;0,VLOOKUP(_1_541284561214624104645789101745678[[#This Row],[Type]],Main[[#All],[TYPE]:[UNIT]],'Unit Price'!H$1,FALSE),0)</f>
        <v>0</v>
      </c>
      <c r="K867" s="194">
        <f>IF(_1_541284561214624104645789101745678[[#This Row],[Discount selection]]&gt;0,VLOOKUP(_1_541284561214624104645789101745678[[#This Row],[Discount selection]],'Discount Structure'!$A$2:$B$30,2,"false"),0)</f>
        <v>1</v>
      </c>
      <c r="L867" s="194">
        <f>_1_541284561214624104645789101745678[[#This Row],[LIST $]]*_1_541284561214624104645789101745678[[#This Row],[DISCOUNT]]*_1_541284561214624104645789101745678[[#This Row],[DISCOUNT 2]]</f>
        <v>0</v>
      </c>
      <c r="M867" s="194">
        <f>IF(OR(_1_541284561214624104645789101745678[[#This Row],[UNIT]]&gt;0,_1_541284561214624104645789101745678[[#This Row],[UNIT]]&lt;0),_1_541284561214624104645789101745678[[#This Row],[UNIT]]*_1_541284561214624104645789101745678[[#This Row],[COST]],0)</f>
        <v>0</v>
      </c>
      <c r="N867" s="194">
        <f t="shared" si="13"/>
        <v>1.3</v>
      </c>
      <c r="O867" s="198">
        <f>_1_541284561214624104645789101745678[[#This Row],[TOTAL]]*_1_541284561214624104645789101745678[[#This Row],[MARGIN]]</f>
        <v>0</v>
      </c>
      <c r="P867" s="198"/>
      <c r="R867" s="41"/>
    </row>
    <row r="868" spans="4:18">
      <c r="D868" s="188"/>
      <c r="E868" s="42"/>
      <c r="F868" s="168" t="s">
        <v>6202</v>
      </c>
      <c r="G868" s="193">
        <f>IF(_1_541284561214624104645789101745678[[#This Row],[Type]]&gt;0,VLOOKUP(_1_541284561214624104645789101745678[[#This Row],[Type]],Main[[#All],[TYPE]:[UNIT]],'Unit Price'!C$1,FALSE),0)</f>
        <v>0</v>
      </c>
      <c r="H868" s="197">
        <f>IF(_1_541284561214624104645789101745678[[#This Row],[Type]]&gt;0,VLOOKUP(_1_541284561214624104645789101745678[[#This Row],[Type]],Main[[#All],[TYPE]:[UNIT]],'Unit Price'!D$1,FALSE),0)</f>
        <v>0</v>
      </c>
      <c r="I868" s="194">
        <f>IF(_1_541284561214624104645789101745678[[#This Row],[Type]]&gt;0,VLOOKUP(_1_541284561214624104645789101745678[[#This Row],[Type]],Main[[#All],[TYPE]:[UNIT]],'Unit Price'!G$1,FALSE),0)</f>
        <v>0</v>
      </c>
      <c r="J868" s="194">
        <f>IF(_1_541284561214624104645789101745678[[#This Row],[Type]]&gt;0,VLOOKUP(_1_541284561214624104645789101745678[[#This Row],[Type]],Main[[#All],[TYPE]:[UNIT]],'Unit Price'!H$1,FALSE),0)</f>
        <v>0</v>
      </c>
      <c r="K868" s="194">
        <f>IF(_1_541284561214624104645789101745678[[#This Row],[Discount selection]]&gt;0,VLOOKUP(_1_541284561214624104645789101745678[[#This Row],[Discount selection]],'Discount Structure'!$A$2:$B$30,2,"false"),0)</f>
        <v>1</v>
      </c>
      <c r="L868" s="194">
        <f>_1_541284561214624104645789101745678[[#This Row],[LIST $]]*_1_541284561214624104645789101745678[[#This Row],[DISCOUNT]]*_1_541284561214624104645789101745678[[#This Row],[DISCOUNT 2]]</f>
        <v>0</v>
      </c>
      <c r="M868" s="194">
        <f>IF(OR(_1_541284561214624104645789101745678[[#This Row],[UNIT]]&gt;0,_1_541284561214624104645789101745678[[#This Row],[UNIT]]&lt;0),_1_541284561214624104645789101745678[[#This Row],[UNIT]]*_1_541284561214624104645789101745678[[#This Row],[COST]],0)</f>
        <v>0</v>
      </c>
      <c r="N868" s="194">
        <f t="shared" si="13"/>
        <v>1.3</v>
      </c>
      <c r="O868" s="198">
        <f>_1_541284561214624104645789101745678[[#This Row],[TOTAL]]*_1_541284561214624104645789101745678[[#This Row],[MARGIN]]</f>
        <v>0</v>
      </c>
      <c r="P868" s="198"/>
      <c r="R868" s="41"/>
    </row>
    <row r="869" spans="4:18">
      <c r="D869" s="188"/>
      <c r="E869" s="42"/>
      <c r="F869" s="168" t="s">
        <v>6202</v>
      </c>
      <c r="G869" s="193">
        <f>IF(_1_541284561214624104645789101745678[[#This Row],[Type]]&gt;0,VLOOKUP(_1_541284561214624104645789101745678[[#This Row],[Type]],Main[[#All],[TYPE]:[UNIT]],'Unit Price'!C$1,FALSE),0)</f>
        <v>0</v>
      </c>
      <c r="H869" s="197">
        <f>IF(_1_541284561214624104645789101745678[[#This Row],[Type]]&gt;0,VLOOKUP(_1_541284561214624104645789101745678[[#This Row],[Type]],Main[[#All],[TYPE]:[UNIT]],'Unit Price'!D$1,FALSE),0)</f>
        <v>0</v>
      </c>
      <c r="I869" s="194">
        <f>IF(_1_541284561214624104645789101745678[[#This Row],[Type]]&gt;0,VLOOKUP(_1_541284561214624104645789101745678[[#This Row],[Type]],Main[[#All],[TYPE]:[UNIT]],'Unit Price'!G$1,FALSE),0)</f>
        <v>0</v>
      </c>
      <c r="J869" s="194">
        <f>IF(_1_541284561214624104645789101745678[[#This Row],[Type]]&gt;0,VLOOKUP(_1_541284561214624104645789101745678[[#This Row],[Type]],Main[[#All],[TYPE]:[UNIT]],'Unit Price'!H$1,FALSE),0)</f>
        <v>0</v>
      </c>
      <c r="K869" s="194">
        <f>IF(_1_541284561214624104645789101745678[[#This Row],[Discount selection]]&gt;0,VLOOKUP(_1_541284561214624104645789101745678[[#This Row],[Discount selection]],'Discount Structure'!$A$2:$B$30,2,"false"),0)</f>
        <v>1</v>
      </c>
      <c r="L869" s="194">
        <f>_1_541284561214624104645789101745678[[#This Row],[LIST $]]*_1_541284561214624104645789101745678[[#This Row],[DISCOUNT]]*_1_541284561214624104645789101745678[[#This Row],[DISCOUNT 2]]</f>
        <v>0</v>
      </c>
      <c r="M869" s="194">
        <f>IF(OR(_1_541284561214624104645789101745678[[#This Row],[UNIT]]&gt;0,_1_541284561214624104645789101745678[[#This Row],[UNIT]]&lt;0),_1_541284561214624104645789101745678[[#This Row],[UNIT]]*_1_541284561214624104645789101745678[[#This Row],[COST]],0)</f>
        <v>0</v>
      </c>
      <c r="N869" s="194">
        <f t="shared" si="13"/>
        <v>1.3</v>
      </c>
      <c r="O869" s="198">
        <f>_1_541284561214624104645789101745678[[#This Row],[TOTAL]]*_1_541284561214624104645789101745678[[#This Row],[MARGIN]]</f>
        <v>0</v>
      </c>
      <c r="P869" s="198"/>
      <c r="R869" s="41"/>
    </row>
    <row r="870" spans="4:18">
      <c r="D870" s="188"/>
      <c r="E870" s="42"/>
      <c r="F870" s="168" t="s">
        <v>6202</v>
      </c>
      <c r="G870" s="193">
        <f>IF(_1_541284561214624104645789101745678[[#This Row],[Type]]&gt;0,VLOOKUP(_1_541284561214624104645789101745678[[#This Row],[Type]],Main[[#All],[TYPE]:[UNIT]],'Unit Price'!C$1,FALSE),0)</f>
        <v>0</v>
      </c>
      <c r="H870" s="197">
        <f>IF(_1_541284561214624104645789101745678[[#This Row],[Type]]&gt;0,VLOOKUP(_1_541284561214624104645789101745678[[#This Row],[Type]],Main[[#All],[TYPE]:[UNIT]],'Unit Price'!D$1,FALSE),0)</f>
        <v>0</v>
      </c>
      <c r="I870" s="194">
        <f>IF(_1_541284561214624104645789101745678[[#This Row],[Type]]&gt;0,VLOOKUP(_1_541284561214624104645789101745678[[#This Row],[Type]],Main[[#All],[TYPE]:[UNIT]],'Unit Price'!G$1,FALSE),0)</f>
        <v>0</v>
      </c>
      <c r="J870" s="194">
        <f>IF(_1_541284561214624104645789101745678[[#This Row],[Type]]&gt;0,VLOOKUP(_1_541284561214624104645789101745678[[#This Row],[Type]],Main[[#All],[TYPE]:[UNIT]],'Unit Price'!H$1,FALSE),0)</f>
        <v>0</v>
      </c>
      <c r="K870" s="194">
        <f>IF(_1_541284561214624104645789101745678[[#This Row],[Discount selection]]&gt;0,VLOOKUP(_1_541284561214624104645789101745678[[#This Row],[Discount selection]],'Discount Structure'!$A$2:$B$30,2,"false"),0)</f>
        <v>1</v>
      </c>
      <c r="L870" s="194">
        <f>_1_541284561214624104645789101745678[[#This Row],[LIST $]]*_1_541284561214624104645789101745678[[#This Row],[DISCOUNT]]*_1_541284561214624104645789101745678[[#This Row],[DISCOUNT 2]]</f>
        <v>0</v>
      </c>
      <c r="M870" s="194">
        <f>IF(OR(_1_541284561214624104645789101745678[[#This Row],[UNIT]]&gt;0,_1_541284561214624104645789101745678[[#This Row],[UNIT]]&lt;0),_1_541284561214624104645789101745678[[#This Row],[UNIT]]*_1_541284561214624104645789101745678[[#This Row],[COST]],0)</f>
        <v>0</v>
      </c>
      <c r="N870" s="194">
        <f t="shared" si="13"/>
        <v>1.3</v>
      </c>
      <c r="O870" s="198">
        <f>_1_541284561214624104645789101745678[[#This Row],[TOTAL]]*_1_541284561214624104645789101745678[[#This Row],[MARGIN]]</f>
        <v>0</v>
      </c>
      <c r="P870" s="198"/>
      <c r="R870" s="41"/>
    </row>
    <row r="871" spans="4:18">
      <c r="D871" s="188"/>
      <c r="E871" s="42"/>
      <c r="F871" s="168" t="s">
        <v>6202</v>
      </c>
      <c r="G871" s="193">
        <f>IF(_1_541284561214624104645789101745678[[#This Row],[Type]]&gt;0,VLOOKUP(_1_541284561214624104645789101745678[[#This Row],[Type]],Main[[#All],[TYPE]:[UNIT]],'Unit Price'!C$1,FALSE),0)</f>
        <v>0</v>
      </c>
      <c r="H871" s="197">
        <f>IF(_1_541284561214624104645789101745678[[#This Row],[Type]]&gt;0,VLOOKUP(_1_541284561214624104645789101745678[[#This Row],[Type]],Main[[#All],[TYPE]:[UNIT]],'Unit Price'!D$1,FALSE),0)</f>
        <v>0</v>
      </c>
      <c r="I871" s="194">
        <f>IF(_1_541284561214624104645789101745678[[#This Row],[Type]]&gt;0,VLOOKUP(_1_541284561214624104645789101745678[[#This Row],[Type]],Main[[#All],[TYPE]:[UNIT]],'Unit Price'!G$1,FALSE),0)</f>
        <v>0</v>
      </c>
      <c r="J871" s="194">
        <f>IF(_1_541284561214624104645789101745678[[#This Row],[Type]]&gt;0,VLOOKUP(_1_541284561214624104645789101745678[[#This Row],[Type]],Main[[#All],[TYPE]:[UNIT]],'Unit Price'!H$1,FALSE),0)</f>
        <v>0</v>
      </c>
      <c r="K871" s="194">
        <f>IF(_1_541284561214624104645789101745678[[#This Row],[Discount selection]]&gt;0,VLOOKUP(_1_541284561214624104645789101745678[[#This Row],[Discount selection]],'Discount Structure'!$A$2:$B$30,2,"false"),0)</f>
        <v>1</v>
      </c>
      <c r="L871" s="194">
        <f>_1_541284561214624104645789101745678[[#This Row],[LIST $]]*_1_541284561214624104645789101745678[[#This Row],[DISCOUNT]]*_1_541284561214624104645789101745678[[#This Row],[DISCOUNT 2]]</f>
        <v>0</v>
      </c>
      <c r="M871" s="194">
        <f>IF(OR(_1_541284561214624104645789101745678[[#This Row],[UNIT]]&gt;0,_1_541284561214624104645789101745678[[#This Row],[UNIT]]&lt;0),_1_541284561214624104645789101745678[[#This Row],[UNIT]]*_1_541284561214624104645789101745678[[#This Row],[COST]],0)</f>
        <v>0</v>
      </c>
      <c r="N871" s="194">
        <f t="shared" si="13"/>
        <v>1.3</v>
      </c>
      <c r="O871" s="198">
        <f>_1_541284561214624104645789101745678[[#This Row],[TOTAL]]*_1_541284561214624104645789101745678[[#This Row],[MARGIN]]</f>
        <v>0</v>
      </c>
      <c r="P871" s="198"/>
      <c r="R871" s="41"/>
    </row>
    <row r="872" spans="4:18">
      <c r="D872" s="188"/>
      <c r="E872" s="42"/>
      <c r="F872" s="168" t="s">
        <v>6202</v>
      </c>
      <c r="G872" s="193">
        <f>IF(_1_541284561214624104645789101745678[[#This Row],[Type]]&gt;0,VLOOKUP(_1_541284561214624104645789101745678[[#This Row],[Type]],Main[[#All],[TYPE]:[UNIT]],'Unit Price'!C$1,FALSE),0)</f>
        <v>0</v>
      </c>
      <c r="H872" s="197">
        <f>IF(_1_541284561214624104645789101745678[[#This Row],[Type]]&gt;0,VLOOKUP(_1_541284561214624104645789101745678[[#This Row],[Type]],Main[[#All],[TYPE]:[UNIT]],'Unit Price'!D$1,FALSE),0)</f>
        <v>0</v>
      </c>
      <c r="I872" s="194">
        <f>IF(_1_541284561214624104645789101745678[[#This Row],[Type]]&gt;0,VLOOKUP(_1_541284561214624104645789101745678[[#This Row],[Type]],Main[[#All],[TYPE]:[UNIT]],'Unit Price'!G$1,FALSE),0)</f>
        <v>0</v>
      </c>
      <c r="J872" s="194">
        <f>IF(_1_541284561214624104645789101745678[[#This Row],[Type]]&gt;0,VLOOKUP(_1_541284561214624104645789101745678[[#This Row],[Type]],Main[[#All],[TYPE]:[UNIT]],'Unit Price'!H$1,FALSE),0)</f>
        <v>0</v>
      </c>
      <c r="K872" s="194">
        <f>IF(_1_541284561214624104645789101745678[[#This Row],[Discount selection]]&gt;0,VLOOKUP(_1_541284561214624104645789101745678[[#This Row],[Discount selection]],'Discount Structure'!$A$2:$B$30,2,"false"),0)</f>
        <v>1</v>
      </c>
      <c r="L872" s="194">
        <f>_1_541284561214624104645789101745678[[#This Row],[LIST $]]*_1_541284561214624104645789101745678[[#This Row],[DISCOUNT]]*_1_541284561214624104645789101745678[[#This Row],[DISCOUNT 2]]</f>
        <v>0</v>
      </c>
      <c r="M872" s="194">
        <f>IF(OR(_1_541284561214624104645789101745678[[#This Row],[UNIT]]&gt;0,_1_541284561214624104645789101745678[[#This Row],[UNIT]]&lt;0),_1_541284561214624104645789101745678[[#This Row],[UNIT]]*_1_541284561214624104645789101745678[[#This Row],[COST]],0)</f>
        <v>0</v>
      </c>
      <c r="N872" s="194">
        <f t="shared" si="13"/>
        <v>1.3</v>
      </c>
      <c r="O872" s="198">
        <f>_1_541284561214624104645789101745678[[#This Row],[TOTAL]]*_1_541284561214624104645789101745678[[#This Row],[MARGIN]]</f>
        <v>0</v>
      </c>
      <c r="P872" s="198"/>
      <c r="R872" s="41"/>
    </row>
    <row r="873" spans="4:18">
      <c r="D873" s="188"/>
      <c r="E873" s="42"/>
      <c r="F873" s="168" t="s">
        <v>6202</v>
      </c>
      <c r="G873" s="193">
        <f>IF(_1_541284561214624104645789101745678[[#This Row],[Type]]&gt;0,VLOOKUP(_1_541284561214624104645789101745678[[#This Row],[Type]],Main[[#All],[TYPE]:[UNIT]],'Unit Price'!C$1,FALSE),0)</f>
        <v>0</v>
      </c>
      <c r="H873" s="197">
        <f>IF(_1_541284561214624104645789101745678[[#This Row],[Type]]&gt;0,VLOOKUP(_1_541284561214624104645789101745678[[#This Row],[Type]],Main[[#All],[TYPE]:[UNIT]],'Unit Price'!D$1,FALSE),0)</f>
        <v>0</v>
      </c>
      <c r="I873" s="194">
        <f>IF(_1_541284561214624104645789101745678[[#This Row],[Type]]&gt;0,VLOOKUP(_1_541284561214624104645789101745678[[#This Row],[Type]],Main[[#All],[TYPE]:[UNIT]],'Unit Price'!G$1,FALSE),0)</f>
        <v>0</v>
      </c>
      <c r="J873" s="194">
        <f>IF(_1_541284561214624104645789101745678[[#This Row],[Type]]&gt;0,VLOOKUP(_1_541284561214624104645789101745678[[#This Row],[Type]],Main[[#All],[TYPE]:[UNIT]],'Unit Price'!H$1,FALSE),0)</f>
        <v>0</v>
      </c>
      <c r="K873" s="194">
        <f>IF(_1_541284561214624104645789101745678[[#This Row],[Discount selection]]&gt;0,VLOOKUP(_1_541284561214624104645789101745678[[#This Row],[Discount selection]],'Discount Structure'!$A$2:$B$30,2,"false"),0)</f>
        <v>1</v>
      </c>
      <c r="L873" s="194">
        <f>_1_541284561214624104645789101745678[[#This Row],[LIST $]]*_1_541284561214624104645789101745678[[#This Row],[DISCOUNT]]*_1_541284561214624104645789101745678[[#This Row],[DISCOUNT 2]]</f>
        <v>0</v>
      </c>
      <c r="M873" s="194">
        <f>IF(OR(_1_541284561214624104645789101745678[[#This Row],[UNIT]]&gt;0,_1_541284561214624104645789101745678[[#This Row],[UNIT]]&lt;0),_1_541284561214624104645789101745678[[#This Row],[UNIT]]*_1_541284561214624104645789101745678[[#This Row],[COST]],0)</f>
        <v>0</v>
      </c>
      <c r="N873" s="194">
        <f t="shared" si="13"/>
        <v>1.3</v>
      </c>
      <c r="O873" s="198">
        <f>_1_541284561214624104645789101745678[[#This Row],[TOTAL]]*_1_541284561214624104645789101745678[[#This Row],[MARGIN]]</f>
        <v>0</v>
      </c>
      <c r="P873" s="198"/>
      <c r="R873" s="41"/>
    </row>
    <row r="874" spans="4:18">
      <c r="D874" s="188"/>
      <c r="E874" s="42"/>
      <c r="F874" s="168" t="s">
        <v>6202</v>
      </c>
      <c r="G874" s="193">
        <f>IF(_1_541284561214624104645789101745678[[#This Row],[Type]]&gt;0,VLOOKUP(_1_541284561214624104645789101745678[[#This Row],[Type]],Main[[#All],[TYPE]:[UNIT]],'Unit Price'!C$1,FALSE),0)</f>
        <v>0</v>
      </c>
      <c r="H874" s="197">
        <f>IF(_1_541284561214624104645789101745678[[#This Row],[Type]]&gt;0,VLOOKUP(_1_541284561214624104645789101745678[[#This Row],[Type]],Main[[#All],[TYPE]:[UNIT]],'Unit Price'!D$1,FALSE),0)</f>
        <v>0</v>
      </c>
      <c r="I874" s="194">
        <f>IF(_1_541284561214624104645789101745678[[#This Row],[Type]]&gt;0,VLOOKUP(_1_541284561214624104645789101745678[[#This Row],[Type]],Main[[#All],[TYPE]:[UNIT]],'Unit Price'!G$1,FALSE),0)</f>
        <v>0</v>
      </c>
      <c r="J874" s="194">
        <f>IF(_1_541284561214624104645789101745678[[#This Row],[Type]]&gt;0,VLOOKUP(_1_541284561214624104645789101745678[[#This Row],[Type]],Main[[#All],[TYPE]:[UNIT]],'Unit Price'!H$1,FALSE),0)</f>
        <v>0</v>
      </c>
      <c r="K874" s="194">
        <f>IF(_1_541284561214624104645789101745678[[#This Row],[Discount selection]]&gt;0,VLOOKUP(_1_541284561214624104645789101745678[[#This Row],[Discount selection]],'Discount Structure'!$A$2:$B$30,2,"false"),0)</f>
        <v>1</v>
      </c>
      <c r="L874" s="194">
        <f>_1_541284561214624104645789101745678[[#This Row],[LIST $]]*_1_541284561214624104645789101745678[[#This Row],[DISCOUNT]]*_1_541284561214624104645789101745678[[#This Row],[DISCOUNT 2]]</f>
        <v>0</v>
      </c>
      <c r="M874" s="194">
        <f>IF(OR(_1_541284561214624104645789101745678[[#This Row],[UNIT]]&gt;0,_1_541284561214624104645789101745678[[#This Row],[UNIT]]&lt;0),_1_541284561214624104645789101745678[[#This Row],[UNIT]]*_1_541284561214624104645789101745678[[#This Row],[COST]],0)</f>
        <v>0</v>
      </c>
      <c r="N874" s="194">
        <f t="shared" si="13"/>
        <v>1.3</v>
      </c>
      <c r="O874" s="198">
        <f>_1_541284561214624104645789101745678[[#This Row],[TOTAL]]*_1_541284561214624104645789101745678[[#This Row],[MARGIN]]</f>
        <v>0</v>
      </c>
      <c r="P874" s="198"/>
      <c r="R874" s="41"/>
    </row>
    <row r="875" spans="4:18">
      <c r="D875" s="188"/>
      <c r="E875" s="42"/>
      <c r="F875" s="168" t="s">
        <v>6202</v>
      </c>
      <c r="G875" s="193">
        <f>IF(_1_541284561214624104645789101745678[[#This Row],[Type]]&gt;0,VLOOKUP(_1_541284561214624104645789101745678[[#This Row],[Type]],Main[[#All],[TYPE]:[UNIT]],'Unit Price'!C$1,FALSE),0)</f>
        <v>0</v>
      </c>
      <c r="H875" s="197">
        <f>IF(_1_541284561214624104645789101745678[[#This Row],[Type]]&gt;0,VLOOKUP(_1_541284561214624104645789101745678[[#This Row],[Type]],Main[[#All],[TYPE]:[UNIT]],'Unit Price'!D$1,FALSE),0)</f>
        <v>0</v>
      </c>
      <c r="I875" s="194">
        <f>IF(_1_541284561214624104645789101745678[[#This Row],[Type]]&gt;0,VLOOKUP(_1_541284561214624104645789101745678[[#This Row],[Type]],Main[[#All],[TYPE]:[UNIT]],'Unit Price'!G$1,FALSE),0)</f>
        <v>0</v>
      </c>
      <c r="J875" s="194">
        <f>IF(_1_541284561214624104645789101745678[[#This Row],[Type]]&gt;0,VLOOKUP(_1_541284561214624104645789101745678[[#This Row],[Type]],Main[[#All],[TYPE]:[UNIT]],'Unit Price'!H$1,FALSE),0)</f>
        <v>0</v>
      </c>
      <c r="K875" s="194">
        <f>IF(_1_541284561214624104645789101745678[[#This Row],[Discount selection]]&gt;0,VLOOKUP(_1_541284561214624104645789101745678[[#This Row],[Discount selection]],'Discount Structure'!$A$2:$B$30,2,"false"),0)</f>
        <v>1</v>
      </c>
      <c r="L875" s="194">
        <f>_1_541284561214624104645789101745678[[#This Row],[LIST $]]*_1_541284561214624104645789101745678[[#This Row],[DISCOUNT]]*_1_541284561214624104645789101745678[[#This Row],[DISCOUNT 2]]</f>
        <v>0</v>
      </c>
      <c r="M875" s="194">
        <f>IF(OR(_1_541284561214624104645789101745678[[#This Row],[UNIT]]&gt;0,_1_541284561214624104645789101745678[[#This Row],[UNIT]]&lt;0),_1_541284561214624104645789101745678[[#This Row],[UNIT]]*_1_541284561214624104645789101745678[[#This Row],[COST]],0)</f>
        <v>0</v>
      </c>
      <c r="N875" s="194">
        <f t="shared" si="13"/>
        <v>1.3</v>
      </c>
      <c r="O875" s="198">
        <f>_1_541284561214624104645789101745678[[#This Row],[TOTAL]]*_1_541284561214624104645789101745678[[#This Row],[MARGIN]]</f>
        <v>0</v>
      </c>
      <c r="P875" s="198"/>
      <c r="R875" s="41"/>
    </row>
    <row r="876" spans="4:18">
      <c r="D876" s="188"/>
      <c r="E876" s="42"/>
      <c r="F876" s="168" t="s">
        <v>6202</v>
      </c>
      <c r="G876" s="193">
        <f>IF(_1_541284561214624104645789101745678[[#This Row],[Type]]&gt;0,VLOOKUP(_1_541284561214624104645789101745678[[#This Row],[Type]],Main[[#All],[TYPE]:[UNIT]],'Unit Price'!C$1,FALSE),0)</f>
        <v>0</v>
      </c>
      <c r="H876" s="197">
        <f>IF(_1_541284561214624104645789101745678[[#This Row],[Type]]&gt;0,VLOOKUP(_1_541284561214624104645789101745678[[#This Row],[Type]],Main[[#All],[TYPE]:[UNIT]],'Unit Price'!D$1,FALSE),0)</f>
        <v>0</v>
      </c>
      <c r="I876" s="194">
        <f>IF(_1_541284561214624104645789101745678[[#This Row],[Type]]&gt;0,VLOOKUP(_1_541284561214624104645789101745678[[#This Row],[Type]],Main[[#All],[TYPE]:[UNIT]],'Unit Price'!G$1,FALSE),0)</f>
        <v>0</v>
      </c>
      <c r="J876" s="194">
        <f>IF(_1_541284561214624104645789101745678[[#This Row],[Type]]&gt;0,VLOOKUP(_1_541284561214624104645789101745678[[#This Row],[Type]],Main[[#All],[TYPE]:[UNIT]],'Unit Price'!H$1,FALSE),0)</f>
        <v>0</v>
      </c>
      <c r="K876" s="194">
        <f>IF(_1_541284561214624104645789101745678[[#This Row],[Discount selection]]&gt;0,VLOOKUP(_1_541284561214624104645789101745678[[#This Row],[Discount selection]],'Discount Structure'!$A$2:$B$30,2,"false"),0)</f>
        <v>1</v>
      </c>
      <c r="L876" s="194">
        <f>_1_541284561214624104645789101745678[[#This Row],[LIST $]]*_1_541284561214624104645789101745678[[#This Row],[DISCOUNT]]*_1_541284561214624104645789101745678[[#This Row],[DISCOUNT 2]]</f>
        <v>0</v>
      </c>
      <c r="M876" s="194">
        <f>IF(OR(_1_541284561214624104645789101745678[[#This Row],[UNIT]]&gt;0,_1_541284561214624104645789101745678[[#This Row],[UNIT]]&lt;0),_1_541284561214624104645789101745678[[#This Row],[UNIT]]*_1_541284561214624104645789101745678[[#This Row],[COST]],0)</f>
        <v>0</v>
      </c>
      <c r="N876" s="194">
        <f t="shared" si="13"/>
        <v>1.3</v>
      </c>
      <c r="O876" s="198">
        <f>_1_541284561214624104645789101745678[[#This Row],[TOTAL]]*_1_541284561214624104645789101745678[[#This Row],[MARGIN]]</f>
        <v>0</v>
      </c>
      <c r="P876" s="198"/>
      <c r="R876" s="41"/>
    </row>
    <row r="877" spans="4:18">
      <c r="D877" s="188"/>
      <c r="E877" s="42"/>
      <c r="F877" s="168" t="s">
        <v>6202</v>
      </c>
      <c r="G877" s="193">
        <f>IF(_1_541284561214624104645789101745678[[#This Row],[Type]]&gt;0,VLOOKUP(_1_541284561214624104645789101745678[[#This Row],[Type]],Main[[#All],[TYPE]:[UNIT]],'Unit Price'!C$1,FALSE),0)</f>
        <v>0</v>
      </c>
      <c r="H877" s="197">
        <f>IF(_1_541284561214624104645789101745678[[#This Row],[Type]]&gt;0,VLOOKUP(_1_541284561214624104645789101745678[[#This Row],[Type]],Main[[#All],[TYPE]:[UNIT]],'Unit Price'!D$1,FALSE),0)</f>
        <v>0</v>
      </c>
      <c r="I877" s="194">
        <f>IF(_1_541284561214624104645789101745678[[#This Row],[Type]]&gt;0,VLOOKUP(_1_541284561214624104645789101745678[[#This Row],[Type]],Main[[#All],[TYPE]:[UNIT]],'Unit Price'!G$1,FALSE),0)</f>
        <v>0</v>
      </c>
      <c r="J877" s="194">
        <f>IF(_1_541284561214624104645789101745678[[#This Row],[Type]]&gt;0,VLOOKUP(_1_541284561214624104645789101745678[[#This Row],[Type]],Main[[#All],[TYPE]:[UNIT]],'Unit Price'!H$1,FALSE),0)</f>
        <v>0</v>
      </c>
      <c r="K877" s="194">
        <f>IF(_1_541284561214624104645789101745678[[#This Row],[Discount selection]]&gt;0,VLOOKUP(_1_541284561214624104645789101745678[[#This Row],[Discount selection]],'Discount Structure'!$A$2:$B$30,2,"false"),0)</f>
        <v>1</v>
      </c>
      <c r="L877" s="194">
        <f>_1_541284561214624104645789101745678[[#This Row],[LIST $]]*_1_541284561214624104645789101745678[[#This Row],[DISCOUNT]]*_1_541284561214624104645789101745678[[#This Row],[DISCOUNT 2]]</f>
        <v>0</v>
      </c>
      <c r="M877" s="194">
        <f>IF(OR(_1_541284561214624104645789101745678[[#This Row],[UNIT]]&gt;0,_1_541284561214624104645789101745678[[#This Row],[UNIT]]&lt;0),_1_541284561214624104645789101745678[[#This Row],[UNIT]]*_1_541284561214624104645789101745678[[#This Row],[COST]],0)</f>
        <v>0</v>
      </c>
      <c r="N877" s="194">
        <f t="shared" si="13"/>
        <v>1.3</v>
      </c>
      <c r="O877" s="198">
        <f>_1_541284561214624104645789101745678[[#This Row],[TOTAL]]*_1_541284561214624104645789101745678[[#This Row],[MARGIN]]</f>
        <v>0</v>
      </c>
      <c r="P877" s="198"/>
      <c r="R877" s="41"/>
    </row>
    <row r="878" spans="4:18">
      <c r="D878" s="188"/>
      <c r="E878" s="42"/>
      <c r="F878" s="168" t="s">
        <v>6202</v>
      </c>
      <c r="G878" s="193">
        <f>IF(_1_541284561214624104645789101745678[[#This Row],[Type]]&gt;0,VLOOKUP(_1_541284561214624104645789101745678[[#This Row],[Type]],Main[[#All],[TYPE]:[UNIT]],'Unit Price'!C$1,FALSE),0)</f>
        <v>0</v>
      </c>
      <c r="H878" s="197">
        <f>IF(_1_541284561214624104645789101745678[[#This Row],[Type]]&gt;0,VLOOKUP(_1_541284561214624104645789101745678[[#This Row],[Type]],Main[[#All],[TYPE]:[UNIT]],'Unit Price'!D$1,FALSE),0)</f>
        <v>0</v>
      </c>
      <c r="I878" s="194">
        <f>IF(_1_541284561214624104645789101745678[[#This Row],[Type]]&gt;0,VLOOKUP(_1_541284561214624104645789101745678[[#This Row],[Type]],Main[[#All],[TYPE]:[UNIT]],'Unit Price'!G$1,FALSE),0)</f>
        <v>0</v>
      </c>
      <c r="J878" s="194">
        <f>IF(_1_541284561214624104645789101745678[[#This Row],[Type]]&gt;0,VLOOKUP(_1_541284561214624104645789101745678[[#This Row],[Type]],Main[[#All],[TYPE]:[UNIT]],'Unit Price'!H$1,FALSE),0)</f>
        <v>0</v>
      </c>
      <c r="K878" s="194">
        <f>IF(_1_541284561214624104645789101745678[[#This Row],[Discount selection]]&gt;0,VLOOKUP(_1_541284561214624104645789101745678[[#This Row],[Discount selection]],'Discount Structure'!$A$2:$B$30,2,"false"),0)</f>
        <v>1</v>
      </c>
      <c r="L878" s="194">
        <f>_1_541284561214624104645789101745678[[#This Row],[LIST $]]*_1_541284561214624104645789101745678[[#This Row],[DISCOUNT]]*_1_541284561214624104645789101745678[[#This Row],[DISCOUNT 2]]</f>
        <v>0</v>
      </c>
      <c r="M878" s="194">
        <f>IF(OR(_1_541284561214624104645789101745678[[#This Row],[UNIT]]&gt;0,_1_541284561214624104645789101745678[[#This Row],[UNIT]]&lt;0),_1_541284561214624104645789101745678[[#This Row],[UNIT]]*_1_541284561214624104645789101745678[[#This Row],[COST]],0)</f>
        <v>0</v>
      </c>
      <c r="N878" s="194">
        <f t="shared" si="13"/>
        <v>1.3</v>
      </c>
      <c r="O878" s="198">
        <f>_1_541284561214624104645789101745678[[#This Row],[TOTAL]]*_1_541284561214624104645789101745678[[#This Row],[MARGIN]]</f>
        <v>0</v>
      </c>
      <c r="P878" s="198"/>
      <c r="R878" s="41"/>
    </row>
    <row r="879" spans="4:18">
      <c r="D879" s="188"/>
      <c r="E879" s="42"/>
      <c r="F879" s="168" t="s">
        <v>6202</v>
      </c>
      <c r="G879" s="193">
        <f>IF(_1_541284561214624104645789101745678[[#This Row],[Type]]&gt;0,VLOOKUP(_1_541284561214624104645789101745678[[#This Row],[Type]],Main[[#All],[TYPE]:[UNIT]],'Unit Price'!C$1,FALSE),0)</f>
        <v>0</v>
      </c>
      <c r="H879" s="197">
        <f>IF(_1_541284561214624104645789101745678[[#This Row],[Type]]&gt;0,VLOOKUP(_1_541284561214624104645789101745678[[#This Row],[Type]],Main[[#All],[TYPE]:[UNIT]],'Unit Price'!D$1,FALSE),0)</f>
        <v>0</v>
      </c>
      <c r="I879" s="194">
        <f>IF(_1_541284561214624104645789101745678[[#This Row],[Type]]&gt;0,VLOOKUP(_1_541284561214624104645789101745678[[#This Row],[Type]],Main[[#All],[TYPE]:[UNIT]],'Unit Price'!G$1,FALSE),0)</f>
        <v>0</v>
      </c>
      <c r="J879" s="194">
        <f>IF(_1_541284561214624104645789101745678[[#This Row],[Type]]&gt;0,VLOOKUP(_1_541284561214624104645789101745678[[#This Row],[Type]],Main[[#All],[TYPE]:[UNIT]],'Unit Price'!H$1,FALSE),0)</f>
        <v>0</v>
      </c>
      <c r="K879" s="194">
        <f>IF(_1_541284561214624104645789101745678[[#This Row],[Discount selection]]&gt;0,VLOOKUP(_1_541284561214624104645789101745678[[#This Row],[Discount selection]],'Discount Structure'!$A$2:$B$30,2,"false"),0)</f>
        <v>1</v>
      </c>
      <c r="L879" s="194">
        <f>_1_541284561214624104645789101745678[[#This Row],[LIST $]]*_1_541284561214624104645789101745678[[#This Row],[DISCOUNT]]*_1_541284561214624104645789101745678[[#This Row],[DISCOUNT 2]]</f>
        <v>0</v>
      </c>
      <c r="M879" s="194">
        <f>IF(OR(_1_541284561214624104645789101745678[[#This Row],[UNIT]]&gt;0,_1_541284561214624104645789101745678[[#This Row],[UNIT]]&lt;0),_1_541284561214624104645789101745678[[#This Row],[UNIT]]*_1_541284561214624104645789101745678[[#This Row],[COST]],0)</f>
        <v>0</v>
      </c>
      <c r="N879" s="194">
        <f t="shared" si="13"/>
        <v>1.3</v>
      </c>
      <c r="O879" s="198">
        <f>_1_541284561214624104645789101745678[[#This Row],[TOTAL]]*_1_541284561214624104645789101745678[[#This Row],[MARGIN]]</f>
        <v>0</v>
      </c>
      <c r="P879" s="198"/>
      <c r="R879" s="41"/>
    </row>
    <row r="880" spans="4:18">
      <c r="D880" s="188"/>
      <c r="E880" s="42"/>
      <c r="F880" s="168" t="s">
        <v>6202</v>
      </c>
      <c r="G880" s="193">
        <f>IF(_1_541284561214624104645789101745678[[#This Row],[Type]]&gt;0,VLOOKUP(_1_541284561214624104645789101745678[[#This Row],[Type]],Main[[#All],[TYPE]:[UNIT]],'Unit Price'!C$1,FALSE),0)</f>
        <v>0</v>
      </c>
      <c r="H880" s="197">
        <f>IF(_1_541284561214624104645789101745678[[#This Row],[Type]]&gt;0,VLOOKUP(_1_541284561214624104645789101745678[[#This Row],[Type]],Main[[#All],[TYPE]:[UNIT]],'Unit Price'!D$1,FALSE),0)</f>
        <v>0</v>
      </c>
      <c r="I880" s="194">
        <f>IF(_1_541284561214624104645789101745678[[#This Row],[Type]]&gt;0,VLOOKUP(_1_541284561214624104645789101745678[[#This Row],[Type]],Main[[#All],[TYPE]:[UNIT]],'Unit Price'!G$1,FALSE),0)</f>
        <v>0</v>
      </c>
      <c r="J880" s="194">
        <f>IF(_1_541284561214624104645789101745678[[#This Row],[Type]]&gt;0,VLOOKUP(_1_541284561214624104645789101745678[[#This Row],[Type]],Main[[#All],[TYPE]:[UNIT]],'Unit Price'!H$1,FALSE),0)</f>
        <v>0</v>
      </c>
      <c r="K880" s="194">
        <f>IF(_1_541284561214624104645789101745678[[#This Row],[Discount selection]]&gt;0,VLOOKUP(_1_541284561214624104645789101745678[[#This Row],[Discount selection]],'Discount Structure'!$A$2:$B$30,2,"false"),0)</f>
        <v>1</v>
      </c>
      <c r="L880" s="194">
        <f>_1_541284561214624104645789101745678[[#This Row],[LIST $]]*_1_541284561214624104645789101745678[[#This Row],[DISCOUNT]]*_1_541284561214624104645789101745678[[#This Row],[DISCOUNT 2]]</f>
        <v>0</v>
      </c>
      <c r="M880" s="194">
        <f>IF(OR(_1_541284561214624104645789101745678[[#This Row],[UNIT]]&gt;0,_1_541284561214624104645789101745678[[#This Row],[UNIT]]&lt;0),_1_541284561214624104645789101745678[[#This Row],[UNIT]]*_1_541284561214624104645789101745678[[#This Row],[COST]],0)</f>
        <v>0</v>
      </c>
      <c r="N880" s="194">
        <f t="shared" si="13"/>
        <v>1.3</v>
      </c>
      <c r="O880" s="198">
        <f>_1_541284561214624104645789101745678[[#This Row],[TOTAL]]*_1_541284561214624104645789101745678[[#This Row],[MARGIN]]</f>
        <v>0</v>
      </c>
      <c r="P880" s="198"/>
      <c r="R880" s="41"/>
    </row>
    <row r="881" spans="4:18">
      <c r="D881" s="188"/>
      <c r="E881" s="42"/>
      <c r="F881" s="168" t="s">
        <v>6202</v>
      </c>
      <c r="G881" s="193">
        <f>IF(_1_541284561214624104645789101745678[[#This Row],[Type]]&gt;0,VLOOKUP(_1_541284561214624104645789101745678[[#This Row],[Type]],Main[[#All],[TYPE]:[UNIT]],'Unit Price'!C$1,FALSE),0)</f>
        <v>0</v>
      </c>
      <c r="H881" s="197">
        <f>IF(_1_541284561214624104645789101745678[[#This Row],[Type]]&gt;0,VLOOKUP(_1_541284561214624104645789101745678[[#This Row],[Type]],Main[[#All],[TYPE]:[UNIT]],'Unit Price'!D$1,FALSE),0)</f>
        <v>0</v>
      </c>
      <c r="I881" s="194">
        <f>IF(_1_541284561214624104645789101745678[[#This Row],[Type]]&gt;0,VLOOKUP(_1_541284561214624104645789101745678[[#This Row],[Type]],Main[[#All],[TYPE]:[UNIT]],'Unit Price'!G$1,FALSE),0)</f>
        <v>0</v>
      </c>
      <c r="J881" s="194">
        <f>IF(_1_541284561214624104645789101745678[[#This Row],[Type]]&gt;0,VLOOKUP(_1_541284561214624104645789101745678[[#This Row],[Type]],Main[[#All],[TYPE]:[UNIT]],'Unit Price'!H$1,FALSE),0)</f>
        <v>0</v>
      </c>
      <c r="K881" s="194">
        <f>IF(_1_541284561214624104645789101745678[[#This Row],[Discount selection]]&gt;0,VLOOKUP(_1_541284561214624104645789101745678[[#This Row],[Discount selection]],'Discount Structure'!$A$2:$B$30,2,"false"),0)</f>
        <v>1</v>
      </c>
      <c r="L881" s="194">
        <f>_1_541284561214624104645789101745678[[#This Row],[LIST $]]*_1_541284561214624104645789101745678[[#This Row],[DISCOUNT]]*_1_541284561214624104645789101745678[[#This Row],[DISCOUNT 2]]</f>
        <v>0</v>
      </c>
      <c r="M881" s="194">
        <f>IF(OR(_1_541284561214624104645789101745678[[#This Row],[UNIT]]&gt;0,_1_541284561214624104645789101745678[[#This Row],[UNIT]]&lt;0),_1_541284561214624104645789101745678[[#This Row],[UNIT]]*_1_541284561214624104645789101745678[[#This Row],[COST]],0)</f>
        <v>0</v>
      </c>
      <c r="N881" s="194">
        <f t="shared" si="13"/>
        <v>1.3</v>
      </c>
      <c r="O881" s="198">
        <f>_1_541284561214624104645789101745678[[#This Row],[TOTAL]]*_1_541284561214624104645789101745678[[#This Row],[MARGIN]]</f>
        <v>0</v>
      </c>
      <c r="P881" s="198"/>
      <c r="R881" s="41"/>
    </row>
    <row r="882" spans="4:18">
      <c r="D882" s="188"/>
      <c r="E882" s="42"/>
      <c r="F882" s="168" t="s">
        <v>6202</v>
      </c>
      <c r="G882" s="193">
        <f>IF(_1_541284561214624104645789101745678[[#This Row],[Type]]&gt;0,VLOOKUP(_1_541284561214624104645789101745678[[#This Row],[Type]],Main[[#All],[TYPE]:[UNIT]],'Unit Price'!C$1,FALSE),0)</f>
        <v>0</v>
      </c>
      <c r="H882" s="197">
        <f>IF(_1_541284561214624104645789101745678[[#This Row],[Type]]&gt;0,VLOOKUP(_1_541284561214624104645789101745678[[#This Row],[Type]],Main[[#All],[TYPE]:[UNIT]],'Unit Price'!D$1,FALSE),0)</f>
        <v>0</v>
      </c>
      <c r="I882" s="194">
        <f>IF(_1_541284561214624104645789101745678[[#This Row],[Type]]&gt;0,VLOOKUP(_1_541284561214624104645789101745678[[#This Row],[Type]],Main[[#All],[TYPE]:[UNIT]],'Unit Price'!G$1,FALSE),0)</f>
        <v>0</v>
      </c>
      <c r="J882" s="194">
        <f>IF(_1_541284561214624104645789101745678[[#This Row],[Type]]&gt;0,VLOOKUP(_1_541284561214624104645789101745678[[#This Row],[Type]],Main[[#All],[TYPE]:[UNIT]],'Unit Price'!H$1,FALSE),0)</f>
        <v>0</v>
      </c>
      <c r="K882" s="194">
        <f>IF(_1_541284561214624104645789101745678[[#This Row],[Discount selection]]&gt;0,VLOOKUP(_1_541284561214624104645789101745678[[#This Row],[Discount selection]],'Discount Structure'!$A$2:$B$30,2,"false"),0)</f>
        <v>1</v>
      </c>
      <c r="L882" s="194">
        <f>_1_541284561214624104645789101745678[[#This Row],[LIST $]]*_1_541284561214624104645789101745678[[#This Row],[DISCOUNT]]*_1_541284561214624104645789101745678[[#This Row],[DISCOUNT 2]]</f>
        <v>0</v>
      </c>
      <c r="M882" s="194">
        <f>IF(OR(_1_541284561214624104645789101745678[[#This Row],[UNIT]]&gt;0,_1_541284561214624104645789101745678[[#This Row],[UNIT]]&lt;0),_1_541284561214624104645789101745678[[#This Row],[UNIT]]*_1_541284561214624104645789101745678[[#This Row],[COST]],0)</f>
        <v>0</v>
      </c>
      <c r="N882" s="194">
        <f t="shared" si="13"/>
        <v>1.3</v>
      </c>
      <c r="O882" s="198">
        <f>_1_541284561214624104645789101745678[[#This Row],[TOTAL]]*_1_541284561214624104645789101745678[[#This Row],[MARGIN]]</f>
        <v>0</v>
      </c>
      <c r="P882" s="198"/>
      <c r="R882" s="41"/>
    </row>
    <row r="883" spans="4:18">
      <c r="D883" s="188"/>
      <c r="E883" s="42"/>
      <c r="F883" s="168" t="s">
        <v>6202</v>
      </c>
      <c r="G883" s="193">
        <f>IF(_1_541284561214624104645789101745678[[#This Row],[Type]]&gt;0,VLOOKUP(_1_541284561214624104645789101745678[[#This Row],[Type]],Main[[#All],[TYPE]:[UNIT]],'Unit Price'!C$1,FALSE),0)</f>
        <v>0</v>
      </c>
      <c r="H883" s="197">
        <f>IF(_1_541284561214624104645789101745678[[#This Row],[Type]]&gt;0,VLOOKUP(_1_541284561214624104645789101745678[[#This Row],[Type]],Main[[#All],[TYPE]:[UNIT]],'Unit Price'!D$1,FALSE),0)</f>
        <v>0</v>
      </c>
      <c r="I883" s="194">
        <f>IF(_1_541284561214624104645789101745678[[#This Row],[Type]]&gt;0,VLOOKUP(_1_541284561214624104645789101745678[[#This Row],[Type]],Main[[#All],[TYPE]:[UNIT]],'Unit Price'!G$1,FALSE),0)</f>
        <v>0</v>
      </c>
      <c r="J883" s="194">
        <f>IF(_1_541284561214624104645789101745678[[#This Row],[Type]]&gt;0,VLOOKUP(_1_541284561214624104645789101745678[[#This Row],[Type]],Main[[#All],[TYPE]:[UNIT]],'Unit Price'!H$1,FALSE),0)</f>
        <v>0</v>
      </c>
      <c r="K883" s="194">
        <f>IF(_1_541284561214624104645789101745678[[#This Row],[Discount selection]]&gt;0,VLOOKUP(_1_541284561214624104645789101745678[[#This Row],[Discount selection]],'Discount Structure'!$A$2:$B$30,2,"false"),0)</f>
        <v>1</v>
      </c>
      <c r="L883" s="194">
        <f>_1_541284561214624104645789101745678[[#This Row],[LIST $]]*_1_541284561214624104645789101745678[[#This Row],[DISCOUNT]]*_1_541284561214624104645789101745678[[#This Row],[DISCOUNT 2]]</f>
        <v>0</v>
      </c>
      <c r="M883" s="194">
        <f>IF(OR(_1_541284561214624104645789101745678[[#This Row],[UNIT]]&gt;0,_1_541284561214624104645789101745678[[#This Row],[UNIT]]&lt;0),_1_541284561214624104645789101745678[[#This Row],[UNIT]]*_1_541284561214624104645789101745678[[#This Row],[COST]],0)</f>
        <v>0</v>
      </c>
      <c r="N883" s="194">
        <f t="shared" si="13"/>
        <v>1.3</v>
      </c>
      <c r="O883" s="198">
        <f>_1_541284561214624104645789101745678[[#This Row],[TOTAL]]*_1_541284561214624104645789101745678[[#This Row],[MARGIN]]</f>
        <v>0</v>
      </c>
      <c r="P883" s="198"/>
      <c r="R883" s="41"/>
    </row>
    <row r="884" spans="4:18">
      <c r="D884" s="188"/>
      <c r="E884" s="42"/>
      <c r="F884" s="168" t="s">
        <v>6202</v>
      </c>
      <c r="G884" s="193">
        <f>IF(_1_541284561214624104645789101745678[[#This Row],[Type]]&gt;0,VLOOKUP(_1_541284561214624104645789101745678[[#This Row],[Type]],Main[[#All],[TYPE]:[UNIT]],'Unit Price'!C$1,FALSE),0)</f>
        <v>0</v>
      </c>
      <c r="H884" s="197">
        <f>IF(_1_541284561214624104645789101745678[[#This Row],[Type]]&gt;0,VLOOKUP(_1_541284561214624104645789101745678[[#This Row],[Type]],Main[[#All],[TYPE]:[UNIT]],'Unit Price'!D$1,FALSE),0)</f>
        <v>0</v>
      </c>
      <c r="I884" s="194">
        <f>IF(_1_541284561214624104645789101745678[[#This Row],[Type]]&gt;0,VLOOKUP(_1_541284561214624104645789101745678[[#This Row],[Type]],Main[[#All],[TYPE]:[UNIT]],'Unit Price'!G$1,FALSE),0)</f>
        <v>0</v>
      </c>
      <c r="J884" s="194">
        <f>IF(_1_541284561214624104645789101745678[[#This Row],[Type]]&gt;0,VLOOKUP(_1_541284561214624104645789101745678[[#This Row],[Type]],Main[[#All],[TYPE]:[UNIT]],'Unit Price'!H$1,FALSE),0)</f>
        <v>0</v>
      </c>
      <c r="K884" s="194">
        <f>IF(_1_541284561214624104645789101745678[[#This Row],[Discount selection]]&gt;0,VLOOKUP(_1_541284561214624104645789101745678[[#This Row],[Discount selection]],'Discount Structure'!$A$2:$B$30,2,"false"),0)</f>
        <v>1</v>
      </c>
      <c r="L884" s="194">
        <f>_1_541284561214624104645789101745678[[#This Row],[LIST $]]*_1_541284561214624104645789101745678[[#This Row],[DISCOUNT]]*_1_541284561214624104645789101745678[[#This Row],[DISCOUNT 2]]</f>
        <v>0</v>
      </c>
      <c r="M884" s="194">
        <f>IF(OR(_1_541284561214624104645789101745678[[#This Row],[UNIT]]&gt;0,_1_541284561214624104645789101745678[[#This Row],[UNIT]]&lt;0),_1_541284561214624104645789101745678[[#This Row],[UNIT]]*_1_541284561214624104645789101745678[[#This Row],[COST]],0)</f>
        <v>0</v>
      </c>
      <c r="N884" s="194">
        <f t="shared" si="13"/>
        <v>1.3</v>
      </c>
      <c r="O884" s="198">
        <f>_1_541284561214624104645789101745678[[#This Row],[TOTAL]]*_1_541284561214624104645789101745678[[#This Row],[MARGIN]]</f>
        <v>0</v>
      </c>
      <c r="P884" s="198"/>
      <c r="R884" s="41"/>
    </row>
    <row r="885" spans="4:18">
      <c r="D885" s="188"/>
      <c r="E885" s="42"/>
      <c r="F885" s="168" t="s">
        <v>6202</v>
      </c>
      <c r="G885" s="193">
        <f>IF(_1_541284561214624104645789101745678[[#This Row],[Type]]&gt;0,VLOOKUP(_1_541284561214624104645789101745678[[#This Row],[Type]],Main[[#All],[TYPE]:[UNIT]],'Unit Price'!C$1,FALSE),0)</f>
        <v>0</v>
      </c>
      <c r="H885" s="197">
        <f>IF(_1_541284561214624104645789101745678[[#This Row],[Type]]&gt;0,VLOOKUP(_1_541284561214624104645789101745678[[#This Row],[Type]],Main[[#All],[TYPE]:[UNIT]],'Unit Price'!D$1,FALSE),0)</f>
        <v>0</v>
      </c>
      <c r="I885" s="194">
        <f>IF(_1_541284561214624104645789101745678[[#This Row],[Type]]&gt;0,VLOOKUP(_1_541284561214624104645789101745678[[#This Row],[Type]],Main[[#All],[TYPE]:[UNIT]],'Unit Price'!G$1,FALSE),0)</f>
        <v>0</v>
      </c>
      <c r="J885" s="194">
        <f>IF(_1_541284561214624104645789101745678[[#This Row],[Type]]&gt;0,VLOOKUP(_1_541284561214624104645789101745678[[#This Row],[Type]],Main[[#All],[TYPE]:[UNIT]],'Unit Price'!H$1,FALSE),0)</f>
        <v>0</v>
      </c>
      <c r="K885" s="194">
        <f>IF(_1_541284561214624104645789101745678[[#This Row],[Discount selection]]&gt;0,VLOOKUP(_1_541284561214624104645789101745678[[#This Row],[Discount selection]],'Discount Structure'!$A$2:$B$30,2,"false"),0)</f>
        <v>1</v>
      </c>
      <c r="L885" s="194">
        <f>_1_541284561214624104645789101745678[[#This Row],[LIST $]]*_1_541284561214624104645789101745678[[#This Row],[DISCOUNT]]*_1_541284561214624104645789101745678[[#This Row],[DISCOUNT 2]]</f>
        <v>0</v>
      </c>
      <c r="M885" s="194">
        <f>IF(OR(_1_541284561214624104645789101745678[[#This Row],[UNIT]]&gt;0,_1_541284561214624104645789101745678[[#This Row],[UNIT]]&lt;0),_1_541284561214624104645789101745678[[#This Row],[UNIT]]*_1_541284561214624104645789101745678[[#This Row],[COST]],0)</f>
        <v>0</v>
      </c>
      <c r="N885" s="194">
        <f t="shared" si="13"/>
        <v>1.3</v>
      </c>
      <c r="O885" s="198">
        <f>_1_541284561214624104645789101745678[[#This Row],[TOTAL]]*_1_541284561214624104645789101745678[[#This Row],[MARGIN]]</f>
        <v>0</v>
      </c>
      <c r="P885" s="198"/>
      <c r="R885" s="41"/>
    </row>
    <row r="886" spans="4:18">
      <c r="D886" s="188"/>
      <c r="E886" s="42"/>
      <c r="F886" s="168" t="s">
        <v>6202</v>
      </c>
      <c r="G886" s="193">
        <f>IF(_1_541284561214624104645789101745678[[#This Row],[Type]]&gt;0,VLOOKUP(_1_541284561214624104645789101745678[[#This Row],[Type]],Main[[#All],[TYPE]:[UNIT]],'Unit Price'!C$1,FALSE),0)</f>
        <v>0</v>
      </c>
      <c r="H886" s="197">
        <f>IF(_1_541284561214624104645789101745678[[#This Row],[Type]]&gt;0,VLOOKUP(_1_541284561214624104645789101745678[[#This Row],[Type]],Main[[#All],[TYPE]:[UNIT]],'Unit Price'!D$1,FALSE),0)</f>
        <v>0</v>
      </c>
      <c r="I886" s="194">
        <f>IF(_1_541284561214624104645789101745678[[#This Row],[Type]]&gt;0,VLOOKUP(_1_541284561214624104645789101745678[[#This Row],[Type]],Main[[#All],[TYPE]:[UNIT]],'Unit Price'!G$1,FALSE),0)</f>
        <v>0</v>
      </c>
      <c r="J886" s="194">
        <f>IF(_1_541284561214624104645789101745678[[#This Row],[Type]]&gt;0,VLOOKUP(_1_541284561214624104645789101745678[[#This Row],[Type]],Main[[#All],[TYPE]:[UNIT]],'Unit Price'!H$1,FALSE),0)</f>
        <v>0</v>
      </c>
      <c r="K886" s="194">
        <f>IF(_1_541284561214624104645789101745678[[#This Row],[Discount selection]]&gt;0,VLOOKUP(_1_541284561214624104645789101745678[[#This Row],[Discount selection]],'Discount Structure'!$A$2:$B$30,2,"false"),0)</f>
        <v>1</v>
      </c>
      <c r="L886" s="194">
        <f>_1_541284561214624104645789101745678[[#This Row],[LIST $]]*_1_541284561214624104645789101745678[[#This Row],[DISCOUNT]]*_1_541284561214624104645789101745678[[#This Row],[DISCOUNT 2]]</f>
        <v>0</v>
      </c>
      <c r="M886" s="194">
        <f>IF(OR(_1_541284561214624104645789101745678[[#This Row],[UNIT]]&gt;0,_1_541284561214624104645789101745678[[#This Row],[UNIT]]&lt;0),_1_541284561214624104645789101745678[[#This Row],[UNIT]]*_1_541284561214624104645789101745678[[#This Row],[COST]],0)</f>
        <v>0</v>
      </c>
      <c r="N886" s="194">
        <f t="shared" si="13"/>
        <v>1.3</v>
      </c>
      <c r="O886" s="198">
        <f>_1_541284561214624104645789101745678[[#This Row],[TOTAL]]*_1_541284561214624104645789101745678[[#This Row],[MARGIN]]</f>
        <v>0</v>
      </c>
      <c r="P886" s="198"/>
      <c r="R886" s="41"/>
    </row>
    <row r="887" spans="4:18">
      <c r="D887" s="188"/>
      <c r="E887" s="42"/>
      <c r="F887" s="168" t="s">
        <v>6202</v>
      </c>
      <c r="G887" s="193">
        <f>IF(_1_541284561214624104645789101745678[[#This Row],[Type]]&gt;0,VLOOKUP(_1_541284561214624104645789101745678[[#This Row],[Type]],Main[[#All],[TYPE]:[UNIT]],'Unit Price'!C$1,FALSE),0)</f>
        <v>0</v>
      </c>
      <c r="H887" s="197">
        <f>IF(_1_541284561214624104645789101745678[[#This Row],[Type]]&gt;0,VLOOKUP(_1_541284561214624104645789101745678[[#This Row],[Type]],Main[[#All],[TYPE]:[UNIT]],'Unit Price'!D$1,FALSE),0)</f>
        <v>0</v>
      </c>
      <c r="I887" s="194">
        <f>IF(_1_541284561214624104645789101745678[[#This Row],[Type]]&gt;0,VLOOKUP(_1_541284561214624104645789101745678[[#This Row],[Type]],Main[[#All],[TYPE]:[UNIT]],'Unit Price'!G$1,FALSE),0)</f>
        <v>0</v>
      </c>
      <c r="J887" s="194">
        <f>IF(_1_541284561214624104645789101745678[[#This Row],[Type]]&gt;0,VLOOKUP(_1_541284561214624104645789101745678[[#This Row],[Type]],Main[[#All],[TYPE]:[UNIT]],'Unit Price'!H$1,FALSE),0)</f>
        <v>0</v>
      </c>
      <c r="K887" s="194">
        <f>IF(_1_541284561214624104645789101745678[[#This Row],[Discount selection]]&gt;0,VLOOKUP(_1_541284561214624104645789101745678[[#This Row],[Discount selection]],'Discount Structure'!$A$2:$B$30,2,"false"),0)</f>
        <v>1</v>
      </c>
      <c r="L887" s="194">
        <f>_1_541284561214624104645789101745678[[#This Row],[LIST $]]*_1_541284561214624104645789101745678[[#This Row],[DISCOUNT]]*_1_541284561214624104645789101745678[[#This Row],[DISCOUNT 2]]</f>
        <v>0</v>
      </c>
      <c r="M887" s="194">
        <f>IF(OR(_1_541284561214624104645789101745678[[#This Row],[UNIT]]&gt;0,_1_541284561214624104645789101745678[[#This Row],[UNIT]]&lt;0),_1_541284561214624104645789101745678[[#This Row],[UNIT]]*_1_541284561214624104645789101745678[[#This Row],[COST]],0)</f>
        <v>0</v>
      </c>
      <c r="N887" s="194">
        <f t="shared" si="13"/>
        <v>1.3</v>
      </c>
      <c r="O887" s="198">
        <f>_1_541284561214624104645789101745678[[#This Row],[TOTAL]]*_1_541284561214624104645789101745678[[#This Row],[MARGIN]]</f>
        <v>0</v>
      </c>
      <c r="P887" s="198"/>
      <c r="R887" s="41"/>
    </row>
    <row r="888" spans="4:18">
      <c r="D888" s="188"/>
      <c r="E888" s="42"/>
      <c r="F888" s="168" t="s">
        <v>6202</v>
      </c>
      <c r="G888" s="193">
        <f>IF(_1_541284561214624104645789101745678[[#This Row],[Type]]&gt;0,VLOOKUP(_1_541284561214624104645789101745678[[#This Row],[Type]],Main[[#All],[TYPE]:[UNIT]],'Unit Price'!C$1,FALSE),0)</f>
        <v>0</v>
      </c>
      <c r="H888" s="197">
        <f>IF(_1_541284561214624104645789101745678[[#This Row],[Type]]&gt;0,VLOOKUP(_1_541284561214624104645789101745678[[#This Row],[Type]],Main[[#All],[TYPE]:[UNIT]],'Unit Price'!D$1,FALSE),0)</f>
        <v>0</v>
      </c>
      <c r="I888" s="194">
        <f>IF(_1_541284561214624104645789101745678[[#This Row],[Type]]&gt;0,VLOOKUP(_1_541284561214624104645789101745678[[#This Row],[Type]],Main[[#All],[TYPE]:[UNIT]],'Unit Price'!G$1,FALSE),0)</f>
        <v>0</v>
      </c>
      <c r="J888" s="194">
        <f>IF(_1_541284561214624104645789101745678[[#This Row],[Type]]&gt;0,VLOOKUP(_1_541284561214624104645789101745678[[#This Row],[Type]],Main[[#All],[TYPE]:[UNIT]],'Unit Price'!H$1,FALSE),0)</f>
        <v>0</v>
      </c>
      <c r="K888" s="194">
        <f>IF(_1_541284561214624104645789101745678[[#This Row],[Discount selection]]&gt;0,VLOOKUP(_1_541284561214624104645789101745678[[#This Row],[Discount selection]],'Discount Structure'!$A$2:$B$30,2,"false"),0)</f>
        <v>1</v>
      </c>
      <c r="L888" s="194">
        <f>_1_541284561214624104645789101745678[[#This Row],[LIST $]]*_1_541284561214624104645789101745678[[#This Row],[DISCOUNT]]*_1_541284561214624104645789101745678[[#This Row],[DISCOUNT 2]]</f>
        <v>0</v>
      </c>
      <c r="M888" s="194">
        <f>IF(OR(_1_541284561214624104645789101745678[[#This Row],[UNIT]]&gt;0,_1_541284561214624104645789101745678[[#This Row],[UNIT]]&lt;0),_1_541284561214624104645789101745678[[#This Row],[UNIT]]*_1_541284561214624104645789101745678[[#This Row],[COST]],0)</f>
        <v>0</v>
      </c>
      <c r="N888" s="194">
        <f t="shared" si="13"/>
        <v>1.3</v>
      </c>
      <c r="O888" s="198">
        <f>_1_541284561214624104645789101745678[[#This Row],[TOTAL]]*_1_541284561214624104645789101745678[[#This Row],[MARGIN]]</f>
        <v>0</v>
      </c>
      <c r="P888" s="198"/>
      <c r="R888" s="41"/>
    </row>
    <row r="889" spans="4:18">
      <c r="D889" s="188"/>
      <c r="E889" s="42"/>
      <c r="F889" s="168" t="s">
        <v>6202</v>
      </c>
      <c r="G889" s="193">
        <f>IF(_1_541284561214624104645789101745678[[#This Row],[Type]]&gt;0,VLOOKUP(_1_541284561214624104645789101745678[[#This Row],[Type]],Main[[#All],[TYPE]:[UNIT]],'Unit Price'!C$1,FALSE),0)</f>
        <v>0</v>
      </c>
      <c r="H889" s="197">
        <f>IF(_1_541284561214624104645789101745678[[#This Row],[Type]]&gt;0,VLOOKUP(_1_541284561214624104645789101745678[[#This Row],[Type]],Main[[#All],[TYPE]:[UNIT]],'Unit Price'!D$1,FALSE),0)</f>
        <v>0</v>
      </c>
      <c r="I889" s="194">
        <f>IF(_1_541284561214624104645789101745678[[#This Row],[Type]]&gt;0,VLOOKUP(_1_541284561214624104645789101745678[[#This Row],[Type]],Main[[#All],[TYPE]:[UNIT]],'Unit Price'!G$1,FALSE),0)</f>
        <v>0</v>
      </c>
      <c r="J889" s="194">
        <f>IF(_1_541284561214624104645789101745678[[#This Row],[Type]]&gt;0,VLOOKUP(_1_541284561214624104645789101745678[[#This Row],[Type]],Main[[#All],[TYPE]:[UNIT]],'Unit Price'!H$1,FALSE),0)</f>
        <v>0</v>
      </c>
      <c r="K889" s="194">
        <f>IF(_1_541284561214624104645789101745678[[#This Row],[Discount selection]]&gt;0,VLOOKUP(_1_541284561214624104645789101745678[[#This Row],[Discount selection]],'Discount Structure'!$A$2:$B$30,2,"false"),0)</f>
        <v>1</v>
      </c>
      <c r="L889" s="194">
        <f>_1_541284561214624104645789101745678[[#This Row],[LIST $]]*_1_541284561214624104645789101745678[[#This Row],[DISCOUNT]]*_1_541284561214624104645789101745678[[#This Row],[DISCOUNT 2]]</f>
        <v>0</v>
      </c>
      <c r="M889" s="194">
        <f>IF(OR(_1_541284561214624104645789101745678[[#This Row],[UNIT]]&gt;0,_1_541284561214624104645789101745678[[#This Row],[UNIT]]&lt;0),_1_541284561214624104645789101745678[[#This Row],[UNIT]]*_1_541284561214624104645789101745678[[#This Row],[COST]],0)</f>
        <v>0</v>
      </c>
      <c r="N889" s="194">
        <f t="shared" si="13"/>
        <v>1.3</v>
      </c>
      <c r="O889" s="198">
        <f>_1_541284561214624104645789101745678[[#This Row],[TOTAL]]*_1_541284561214624104645789101745678[[#This Row],[MARGIN]]</f>
        <v>0</v>
      </c>
      <c r="P889" s="198"/>
      <c r="R889" s="41"/>
    </row>
    <row r="890" spans="4:18">
      <c r="D890" s="188"/>
      <c r="E890" s="42"/>
      <c r="F890" s="168" t="s">
        <v>6202</v>
      </c>
      <c r="G890" s="193">
        <f>IF(_1_541284561214624104645789101745678[[#This Row],[Type]]&gt;0,VLOOKUP(_1_541284561214624104645789101745678[[#This Row],[Type]],Main[[#All],[TYPE]:[UNIT]],'Unit Price'!C$1,FALSE),0)</f>
        <v>0</v>
      </c>
      <c r="H890" s="197">
        <f>IF(_1_541284561214624104645789101745678[[#This Row],[Type]]&gt;0,VLOOKUP(_1_541284561214624104645789101745678[[#This Row],[Type]],Main[[#All],[TYPE]:[UNIT]],'Unit Price'!D$1,FALSE),0)</f>
        <v>0</v>
      </c>
      <c r="I890" s="194">
        <f>IF(_1_541284561214624104645789101745678[[#This Row],[Type]]&gt;0,VLOOKUP(_1_541284561214624104645789101745678[[#This Row],[Type]],Main[[#All],[TYPE]:[UNIT]],'Unit Price'!G$1,FALSE),0)</f>
        <v>0</v>
      </c>
      <c r="J890" s="194">
        <f>IF(_1_541284561214624104645789101745678[[#This Row],[Type]]&gt;0,VLOOKUP(_1_541284561214624104645789101745678[[#This Row],[Type]],Main[[#All],[TYPE]:[UNIT]],'Unit Price'!H$1,FALSE),0)</f>
        <v>0</v>
      </c>
      <c r="K890" s="194">
        <f>IF(_1_541284561214624104645789101745678[[#This Row],[Discount selection]]&gt;0,VLOOKUP(_1_541284561214624104645789101745678[[#This Row],[Discount selection]],'Discount Structure'!$A$2:$B$30,2,"false"),0)</f>
        <v>1</v>
      </c>
      <c r="L890" s="194">
        <f>_1_541284561214624104645789101745678[[#This Row],[LIST $]]*_1_541284561214624104645789101745678[[#This Row],[DISCOUNT]]*_1_541284561214624104645789101745678[[#This Row],[DISCOUNT 2]]</f>
        <v>0</v>
      </c>
      <c r="M890" s="194">
        <f>IF(OR(_1_541284561214624104645789101745678[[#This Row],[UNIT]]&gt;0,_1_541284561214624104645789101745678[[#This Row],[UNIT]]&lt;0),_1_541284561214624104645789101745678[[#This Row],[UNIT]]*_1_541284561214624104645789101745678[[#This Row],[COST]],0)</f>
        <v>0</v>
      </c>
      <c r="N890" s="194">
        <f t="shared" si="13"/>
        <v>1.3</v>
      </c>
      <c r="O890" s="198">
        <f>_1_541284561214624104645789101745678[[#This Row],[TOTAL]]*_1_541284561214624104645789101745678[[#This Row],[MARGIN]]</f>
        <v>0</v>
      </c>
      <c r="P890" s="198"/>
      <c r="R890" s="41"/>
    </row>
    <row r="891" spans="4:18">
      <c r="D891" s="188"/>
      <c r="E891" s="42"/>
      <c r="F891" s="168" t="s">
        <v>6202</v>
      </c>
      <c r="G891" s="193">
        <f>IF(_1_541284561214624104645789101745678[[#This Row],[Type]]&gt;0,VLOOKUP(_1_541284561214624104645789101745678[[#This Row],[Type]],Main[[#All],[TYPE]:[UNIT]],'Unit Price'!C$1,FALSE),0)</f>
        <v>0</v>
      </c>
      <c r="H891" s="197">
        <f>IF(_1_541284561214624104645789101745678[[#This Row],[Type]]&gt;0,VLOOKUP(_1_541284561214624104645789101745678[[#This Row],[Type]],Main[[#All],[TYPE]:[UNIT]],'Unit Price'!D$1,FALSE),0)</f>
        <v>0</v>
      </c>
      <c r="I891" s="194">
        <f>IF(_1_541284561214624104645789101745678[[#This Row],[Type]]&gt;0,VLOOKUP(_1_541284561214624104645789101745678[[#This Row],[Type]],Main[[#All],[TYPE]:[UNIT]],'Unit Price'!G$1,FALSE),0)</f>
        <v>0</v>
      </c>
      <c r="J891" s="194">
        <f>IF(_1_541284561214624104645789101745678[[#This Row],[Type]]&gt;0,VLOOKUP(_1_541284561214624104645789101745678[[#This Row],[Type]],Main[[#All],[TYPE]:[UNIT]],'Unit Price'!H$1,FALSE),0)</f>
        <v>0</v>
      </c>
      <c r="K891" s="194">
        <f>IF(_1_541284561214624104645789101745678[[#This Row],[Discount selection]]&gt;0,VLOOKUP(_1_541284561214624104645789101745678[[#This Row],[Discount selection]],'Discount Structure'!$A$2:$B$30,2,"false"),0)</f>
        <v>1</v>
      </c>
      <c r="L891" s="194">
        <f>_1_541284561214624104645789101745678[[#This Row],[LIST $]]*_1_541284561214624104645789101745678[[#This Row],[DISCOUNT]]*_1_541284561214624104645789101745678[[#This Row],[DISCOUNT 2]]</f>
        <v>0</v>
      </c>
      <c r="M891" s="194">
        <f>IF(OR(_1_541284561214624104645789101745678[[#This Row],[UNIT]]&gt;0,_1_541284561214624104645789101745678[[#This Row],[UNIT]]&lt;0),_1_541284561214624104645789101745678[[#This Row],[UNIT]]*_1_541284561214624104645789101745678[[#This Row],[COST]],0)</f>
        <v>0</v>
      </c>
      <c r="N891" s="194">
        <f t="shared" si="13"/>
        <v>1.3</v>
      </c>
      <c r="O891" s="198">
        <f>_1_541284561214624104645789101745678[[#This Row],[TOTAL]]*_1_541284561214624104645789101745678[[#This Row],[MARGIN]]</f>
        <v>0</v>
      </c>
      <c r="P891" s="198"/>
      <c r="R891" s="41"/>
    </row>
    <row r="892" spans="4:18">
      <c r="D892" s="188"/>
      <c r="E892" s="42"/>
      <c r="F892" s="168" t="s">
        <v>6202</v>
      </c>
      <c r="G892" s="193">
        <f>IF(_1_541284561214624104645789101745678[[#This Row],[Type]]&gt;0,VLOOKUP(_1_541284561214624104645789101745678[[#This Row],[Type]],Main[[#All],[TYPE]:[UNIT]],'Unit Price'!C$1,FALSE),0)</f>
        <v>0</v>
      </c>
      <c r="H892" s="197">
        <f>IF(_1_541284561214624104645789101745678[[#This Row],[Type]]&gt;0,VLOOKUP(_1_541284561214624104645789101745678[[#This Row],[Type]],Main[[#All],[TYPE]:[UNIT]],'Unit Price'!D$1,FALSE),0)</f>
        <v>0</v>
      </c>
      <c r="I892" s="194">
        <f>IF(_1_541284561214624104645789101745678[[#This Row],[Type]]&gt;0,VLOOKUP(_1_541284561214624104645789101745678[[#This Row],[Type]],Main[[#All],[TYPE]:[UNIT]],'Unit Price'!G$1,FALSE),0)</f>
        <v>0</v>
      </c>
      <c r="J892" s="194">
        <f>IF(_1_541284561214624104645789101745678[[#This Row],[Type]]&gt;0,VLOOKUP(_1_541284561214624104645789101745678[[#This Row],[Type]],Main[[#All],[TYPE]:[UNIT]],'Unit Price'!H$1,FALSE),0)</f>
        <v>0</v>
      </c>
      <c r="K892" s="194">
        <f>IF(_1_541284561214624104645789101745678[[#This Row],[Discount selection]]&gt;0,VLOOKUP(_1_541284561214624104645789101745678[[#This Row],[Discount selection]],'Discount Structure'!$A$2:$B$30,2,"false"),0)</f>
        <v>1</v>
      </c>
      <c r="L892" s="194">
        <f>_1_541284561214624104645789101745678[[#This Row],[LIST $]]*_1_541284561214624104645789101745678[[#This Row],[DISCOUNT]]*_1_541284561214624104645789101745678[[#This Row],[DISCOUNT 2]]</f>
        <v>0</v>
      </c>
      <c r="M892" s="194">
        <f>IF(OR(_1_541284561214624104645789101745678[[#This Row],[UNIT]]&gt;0,_1_541284561214624104645789101745678[[#This Row],[UNIT]]&lt;0),_1_541284561214624104645789101745678[[#This Row],[UNIT]]*_1_541284561214624104645789101745678[[#This Row],[COST]],0)</f>
        <v>0</v>
      </c>
      <c r="N892" s="194">
        <f t="shared" si="13"/>
        <v>1.3</v>
      </c>
      <c r="O892" s="198">
        <f>_1_541284561214624104645789101745678[[#This Row],[TOTAL]]*_1_541284561214624104645789101745678[[#This Row],[MARGIN]]</f>
        <v>0</v>
      </c>
      <c r="P892" s="198"/>
      <c r="R892" s="41"/>
    </row>
    <row r="893" spans="4:18">
      <c r="D893" s="188"/>
      <c r="E893" s="42"/>
      <c r="F893" s="168" t="s">
        <v>6202</v>
      </c>
      <c r="G893" s="193">
        <f>IF(_1_541284561214624104645789101745678[[#This Row],[Type]]&gt;0,VLOOKUP(_1_541284561214624104645789101745678[[#This Row],[Type]],Main[[#All],[TYPE]:[UNIT]],'Unit Price'!C$1,FALSE),0)</f>
        <v>0</v>
      </c>
      <c r="H893" s="197">
        <f>IF(_1_541284561214624104645789101745678[[#This Row],[Type]]&gt;0,VLOOKUP(_1_541284561214624104645789101745678[[#This Row],[Type]],Main[[#All],[TYPE]:[UNIT]],'Unit Price'!D$1,FALSE),0)</f>
        <v>0</v>
      </c>
      <c r="I893" s="194">
        <f>IF(_1_541284561214624104645789101745678[[#This Row],[Type]]&gt;0,VLOOKUP(_1_541284561214624104645789101745678[[#This Row],[Type]],Main[[#All],[TYPE]:[UNIT]],'Unit Price'!G$1,FALSE),0)</f>
        <v>0</v>
      </c>
      <c r="J893" s="194">
        <f>IF(_1_541284561214624104645789101745678[[#This Row],[Type]]&gt;0,VLOOKUP(_1_541284561214624104645789101745678[[#This Row],[Type]],Main[[#All],[TYPE]:[UNIT]],'Unit Price'!H$1,FALSE),0)</f>
        <v>0</v>
      </c>
      <c r="K893" s="194">
        <f>IF(_1_541284561214624104645789101745678[[#This Row],[Discount selection]]&gt;0,VLOOKUP(_1_541284561214624104645789101745678[[#This Row],[Discount selection]],'Discount Structure'!$A$2:$B$30,2,"false"),0)</f>
        <v>1</v>
      </c>
      <c r="L893" s="194">
        <f>_1_541284561214624104645789101745678[[#This Row],[LIST $]]*_1_541284561214624104645789101745678[[#This Row],[DISCOUNT]]*_1_541284561214624104645789101745678[[#This Row],[DISCOUNT 2]]</f>
        <v>0</v>
      </c>
      <c r="M893" s="194">
        <f>IF(OR(_1_541284561214624104645789101745678[[#This Row],[UNIT]]&gt;0,_1_541284561214624104645789101745678[[#This Row],[UNIT]]&lt;0),_1_541284561214624104645789101745678[[#This Row],[UNIT]]*_1_541284561214624104645789101745678[[#This Row],[COST]],0)</f>
        <v>0</v>
      </c>
      <c r="N893" s="194">
        <f t="shared" si="13"/>
        <v>1.3</v>
      </c>
      <c r="O893" s="198">
        <f>_1_541284561214624104645789101745678[[#This Row],[TOTAL]]*_1_541284561214624104645789101745678[[#This Row],[MARGIN]]</f>
        <v>0</v>
      </c>
      <c r="P893" s="198"/>
      <c r="R893" s="41"/>
    </row>
    <row r="894" spans="4:18">
      <c r="D894" s="188"/>
      <c r="E894" s="42"/>
      <c r="F894" s="168" t="s">
        <v>6202</v>
      </c>
      <c r="G894" s="193">
        <f>IF(_1_541284561214624104645789101745678[[#This Row],[Type]]&gt;0,VLOOKUP(_1_541284561214624104645789101745678[[#This Row],[Type]],Main[[#All],[TYPE]:[UNIT]],'Unit Price'!C$1,FALSE),0)</f>
        <v>0</v>
      </c>
      <c r="H894" s="197">
        <f>IF(_1_541284561214624104645789101745678[[#This Row],[Type]]&gt;0,VLOOKUP(_1_541284561214624104645789101745678[[#This Row],[Type]],Main[[#All],[TYPE]:[UNIT]],'Unit Price'!D$1,FALSE),0)</f>
        <v>0</v>
      </c>
      <c r="I894" s="194">
        <f>IF(_1_541284561214624104645789101745678[[#This Row],[Type]]&gt;0,VLOOKUP(_1_541284561214624104645789101745678[[#This Row],[Type]],Main[[#All],[TYPE]:[UNIT]],'Unit Price'!G$1,FALSE),0)</f>
        <v>0</v>
      </c>
      <c r="J894" s="194">
        <f>IF(_1_541284561214624104645789101745678[[#This Row],[Type]]&gt;0,VLOOKUP(_1_541284561214624104645789101745678[[#This Row],[Type]],Main[[#All],[TYPE]:[UNIT]],'Unit Price'!H$1,FALSE),0)</f>
        <v>0</v>
      </c>
      <c r="K894" s="194">
        <f>IF(_1_541284561214624104645789101745678[[#This Row],[Discount selection]]&gt;0,VLOOKUP(_1_541284561214624104645789101745678[[#This Row],[Discount selection]],'Discount Structure'!$A$2:$B$30,2,"false"),0)</f>
        <v>1</v>
      </c>
      <c r="L894" s="194">
        <f>_1_541284561214624104645789101745678[[#This Row],[LIST $]]*_1_541284561214624104645789101745678[[#This Row],[DISCOUNT]]*_1_541284561214624104645789101745678[[#This Row],[DISCOUNT 2]]</f>
        <v>0</v>
      </c>
      <c r="M894" s="194">
        <f>IF(OR(_1_541284561214624104645789101745678[[#This Row],[UNIT]]&gt;0,_1_541284561214624104645789101745678[[#This Row],[UNIT]]&lt;0),_1_541284561214624104645789101745678[[#This Row],[UNIT]]*_1_541284561214624104645789101745678[[#This Row],[COST]],0)</f>
        <v>0</v>
      </c>
      <c r="N894" s="194">
        <f t="shared" si="13"/>
        <v>1.3</v>
      </c>
      <c r="O894" s="198">
        <f>_1_541284561214624104645789101745678[[#This Row],[TOTAL]]*_1_541284561214624104645789101745678[[#This Row],[MARGIN]]</f>
        <v>0</v>
      </c>
      <c r="P894" s="198"/>
      <c r="R894" s="41"/>
    </row>
    <row r="895" spans="4:18">
      <c r="D895" s="188"/>
      <c r="E895" s="42"/>
      <c r="F895" s="168" t="s">
        <v>6202</v>
      </c>
      <c r="G895" s="193">
        <f>IF(_1_541284561214624104645789101745678[[#This Row],[Type]]&gt;0,VLOOKUP(_1_541284561214624104645789101745678[[#This Row],[Type]],Main[[#All],[TYPE]:[UNIT]],'Unit Price'!C$1,FALSE),0)</f>
        <v>0</v>
      </c>
      <c r="H895" s="197">
        <f>IF(_1_541284561214624104645789101745678[[#This Row],[Type]]&gt;0,VLOOKUP(_1_541284561214624104645789101745678[[#This Row],[Type]],Main[[#All],[TYPE]:[UNIT]],'Unit Price'!D$1,FALSE),0)</f>
        <v>0</v>
      </c>
      <c r="I895" s="194">
        <f>IF(_1_541284561214624104645789101745678[[#This Row],[Type]]&gt;0,VLOOKUP(_1_541284561214624104645789101745678[[#This Row],[Type]],Main[[#All],[TYPE]:[UNIT]],'Unit Price'!G$1,FALSE),0)</f>
        <v>0</v>
      </c>
      <c r="J895" s="194">
        <f>IF(_1_541284561214624104645789101745678[[#This Row],[Type]]&gt;0,VLOOKUP(_1_541284561214624104645789101745678[[#This Row],[Type]],Main[[#All],[TYPE]:[UNIT]],'Unit Price'!H$1,FALSE),0)</f>
        <v>0</v>
      </c>
      <c r="K895" s="194">
        <f>IF(_1_541284561214624104645789101745678[[#This Row],[Discount selection]]&gt;0,VLOOKUP(_1_541284561214624104645789101745678[[#This Row],[Discount selection]],'Discount Structure'!$A$2:$B$30,2,"false"),0)</f>
        <v>1</v>
      </c>
      <c r="L895" s="194">
        <f>_1_541284561214624104645789101745678[[#This Row],[LIST $]]*_1_541284561214624104645789101745678[[#This Row],[DISCOUNT]]*_1_541284561214624104645789101745678[[#This Row],[DISCOUNT 2]]</f>
        <v>0</v>
      </c>
      <c r="M895" s="194">
        <f>IF(OR(_1_541284561214624104645789101745678[[#This Row],[UNIT]]&gt;0,_1_541284561214624104645789101745678[[#This Row],[UNIT]]&lt;0),_1_541284561214624104645789101745678[[#This Row],[UNIT]]*_1_541284561214624104645789101745678[[#This Row],[COST]],0)</f>
        <v>0</v>
      </c>
      <c r="N895" s="194">
        <f t="shared" si="13"/>
        <v>1.3</v>
      </c>
      <c r="O895" s="198">
        <f>_1_541284561214624104645789101745678[[#This Row],[TOTAL]]*_1_541284561214624104645789101745678[[#This Row],[MARGIN]]</f>
        <v>0</v>
      </c>
      <c r="P895" s="198"/>
      <c r="R895" s="41"/>
    </row>
    <row r="896" spans="4:18">
      <c r="D896" s="188"/>
      <c r="E896" s="42"/>
      <c r="F896" s="168" t="s">
        <v>6202</v>
      </c>
      <c r="G896" s="193">
        <f>IF(_1_541284561214624104645789101745678[[#This Row],[Type]]&gt;0,VLOOKUP(_1_541284561214624104645789101745678[[#This Row],[Type]],Main[[#All],[TYPE]:[UNIT]],'Unit Price'!C$1,FALSE),0)</f>
        <v>0</v>
      </c>
      <c r="H896" s="197">
        <f>IF(_1_541284561214624104645789101745678[[#This Row],[Type]]&gt;0,VLOOKUP(_1_541284561214624104645789101745678[[#This Row],[Type]],Main[[#All],[TYPE]:[UNIT]],'Unit Price'!D$1,FALSE),0)</f>
        <v>0</v>
      </c>
      <c r="I896" s="194">
        <f>IF(_1_541284561214624104645789101745678[[#This Row],[Type]]&gt;0,VLOOKUP(_1_541284561214624104645789101745678[[#This Row],[Type]],Main[[#All],[TYPE]:[UNIT]],'Unit Price'!G$1,FALSE),0)</f>
        <v>0</v>
      </c>
      <c r="J896" s="194">
        <f>IF(_1_541284561214624104645789101745678[[#This Row],[Type]]&gt;0,VLOOKUP(_1_541284561214624104645789101745678[[#This Row],[Type]],Main[[#All],[TYPE]:[UNIT]],'Unit Price'!H$1,FALSE),0)</f>
        <v>0</v>
      </c>
      <c r="K896" s="194">
        <f>IF(_1_541284561214624104645789101745678[[#This Row],[Discount selection]]&gt;0,VLOOKUP(_1_541284561214624104645789101745678[[#This Row],[Discount selection]],'Discount Structure'!$A$2:$B$30,2,"false"),0)</f>
        <v>1</v>
      </c>
      <c r="L896" s="194">
        <f>_1_541284561214624104645789101745678[[#This Row],[LIST $]]*_1_541284561214624104645789101745678[[#This Row],[DISCOUNT]]*_1_541284561214624104645789101745678[[#This Row],[DISCOUNT 2]]</f>
        <v>0</v>
      </c>
      <c r="M896" s="194">
        <f>IF(OR(_1_541284561214624104645789101745678[[#This Row],[UNIT]]&gt;0,_1_541284561214624104645789101745678[[#This Row],[UNIT]]&lt;0),_1_541284561214624104645789101745678[[#This Row],[UNIT]]*_1_541284561214624104645789101745678[[#This Row],[COST]],0)</f>
        <v>0</v>
      </c>
      <c r="N896" s="194">
        <f t="shared" si="13"/>
        <v>1.3</v>
      </c>
      <c r="O896" s="198">
        <f>_1_541284561214624104645789101745678[[#This Row],[TOTAL]]*_1_541284561214624104645789101745678[[#This Row],[MARGIN]]</f>
        <v>0</v>
      </c>
      <c r="P896" s="198"/>
      <c r="R896" s="41"/>
    </row>
    <row r="897" spans="4:18">
      <c r="D897" s="188"/>
      <c r="E897" s="42"/>
      <c r="F897" s="168" t="s">
        <v>6202</v>
      </c>
      <c r="G897" s="193">
        <f>IF(_1_541284561214624104645789101745678[[#This Row],[Type]]&gt;0,VLOOKUP(_1_541284561214624104645789101745678[[#This Row],[Type]],Main[[#All],[TYPE]:[UNIT]],'Unit Price'!C$1,FALSE),0)</f>
        <v>0</v>
      </c>
      <c r="H897" s="197">
        <f>IF(_1_541284561214624104645789101745678[[#This Row],[Type]]&gt;0,VLOOKUP(_1_541284561214624104645789101745678[[#This Row],[Type]],Main[[#All],[TYPE]:[UNIT]],'Unit Price'!D$1,FALSE),0)</f>
        <v>0</v>
      </c>
      <c r="I897" s="194">
        <f>IF(_1_541284561214624104645789101745678[[#This Row],[Type]]&gt;0,VLOOKUP(_1_541284561214624104645789101745678[[#This Row],[Type]],Main[[#All],[TYPE]:[UNIT]],'Unit Price'!G$1,FALSE),0)</f>
        <v>0</v>
      </c>
      <c r="J897" s="194">
        <f>IF(_1_541284561214624104645789101745678[[#This Row],[Type]]&gt;0,VLOOKUP(_1_541284561214624104645789101745678[[#This Row],[Type]],Main[[#All],[TYPE]:[UNIT]],'Unit Price'!H$1,FALSE),0)</f>
        <v>0</v>
      </c>
      <c r="K897" s="194">
        <f>IF(_1_541284561214624104645789101745678[[#This Row],[Discount selection]]&gt;0,VLOOKUP(_1_541284561214624104645789101745678[[#This Row],[Discount selection]],'Discount Structure'!$A$2:$B$30,2,"false"),0)</f>
        <v>1</v>
      </c>
      <c r="L897" s="194">
        <f>_1_541284561214624104645789101745678[[#This Row],[LIST $]]*_1_541284561214624104645789101745678[[#This Row],[DISCOUNT]]*_1_541284561214624104645789101745678[[#This Row],[DISCOUNT 2]]</f>
        <v>0</v>
      </c>
      <c r="M897" s="194">
        <f>IF(OR(_1_541284561214624104645789101745678[[#This Row],[UNIT]]&gt;0,_1_541284561214624104645789101745678[[#This Row],[UNIT]]&lt;0),_1_541284561214624104645789101745678[[#This Row],[UNIT]]*_1_541284561214624104645789101745678[[#This Row],[COST]],0)</f>
        <v>0</v>
      </c>
      <c r="N897" s="194">
        <f t="shared" si="13"/>
        <v>1.3</v>
      </c>
      <c r="O897" s="198">
        <f>_1_541284561214624104645789101745678[[#This Row],[TOTAL]]*_1_541284561214624104645789101745678[[#This Row],[MARGIN]]</f>
        <v>0</v>
      </c>
      <c r="P897" s="198"/>
      <c r="R897" s="41"/>
    </row>
    <row r="898" spans="4:18">
      <c r="D898" s="188"/>
      <c r="E898" s="42"/>
      <c r="F898" s="168" t="s">
        <v>6202</v>
      </c>
      <c r="G898" s="193">
        <f>IF(_1_541284561214624104645789101745678[[#This Row],[Type]]&gt;0,VLOOKUP(_1_541284561214624104645789101745678[[#This Row],[Type]],Main[[#All],[TYPE]:[UNIT]],'Unit Price'!C$1,FALSE),0)</f>
        <v>0</v>
      </c>
      <c r="H898" s="197">
        <f>IF(_1_541284561214624104645789101745678[[#This Row],[Type]]&gt;0,VLOOKUP(_1_541284561214624104645789101745678[[#This Row],[Type]],Main[[#All],[TYPE]:[UNIT]],'Unit Price'!D$1,FALSE),0)</f>
        <v>0</v>
      </c>
      <c r="I898" s="194">
        <f>IF(_1_541284561214624104645789101745678[[#This Row],[Type]]&gt;0,VLOOKUP(_1_541284561214624104645789101745678[[#This Row],[Type]],Main[[#All],[TYPE]:[UNIT]],'Unit Price'!G$1,FALSE),0)</f>
        <v>0</v>
      </c>
      <c r="J898" s="194">
        <f>IF(_1_541284561214624104645789101745678[[#This Row],[Type]]&gt;0,VLOOKUP(_1_541284561214624104645789101745678[[#This Row],[Type]],Main[[#All],[TYPE]:[UNIT]],'Unit Price'!H$1,FALSE),0)</f>
        <v>0</v>
      </c>
      <c r="K898" s="194">
        <f>IF(_1_541284561214624104645789101745678[[#This Row],[Discount selection]]&gt;0,VLOOKUP(_1_541284561214624104645789101745678[[#This Row],[Discount selection]],'Discount Structure'!$A$2:$B$30,2,"false"),0)</f>
        <v>1</v>
      </c>
      <c r="L898" s="194">
        <f>_1_541284561214624104645789101745678[[#This Row],[LIST $]]*_1_541284561214624104645789101745678[[#This Row],[DISCOUNT]]*_1_541284561214624104645789101745678[[#This Row],[DISCOUNT 2]]</f>
        <v>0</v>
      </c>
      <c r="M898" s="194">
        <f>IF(OR(_1_541284561214624104645789101745678[[#This Row],[UNIT]]&gt;0,_1_541284561214624104645789101745678[[#This Row],[UNIT]]&lt;0),_1_541284561214624104645789101745678[[#This Row],[UNIT]]*_1_541284561214624104645789101745678[[#This Row],[COST]],0)</f>
        <v>0</v>
      </c>
      <c r="N898" s="194">
        <f t="shared" si="13"/>
        <v>1.3</v>
      </c>
      <c r="O898" s="198">
        <f>_1_541284561214624104645789101745678[[#This Row],[TOTAL]]*_1_541284561214624104645789101745678[[#This Row],[MARGIN]]</f>
        <v>0</v>
      </c>
      <c r="P898" s="198"/>
      <c r="R898" s="41"/>
    </row>
    <row r="899" spans="4:18">
      <c r="D899" s="188"/>
      <c r="E899" s="42"/>
      <c r="F899" s="168" t="s">
        <v>6202</v>
      </c>
      <c r="G899" s="193">
        <f>IF(_1_541284561214624104645789101745678[[#This Row],[Type]]&gt;0,VLOOKUP(_1_541284561214624104645789101745678[[#This Row],[Type]],Main[[#All],[TYPE]:[UNIT]],'Unit Price'!C$1,FALSE),0)</f>
        <v>0</v>
      </c>
      <c r="H899" s="197">
        <f>IF(_1_541284561214624104645789101745678[[#This Row],[Type]]&gt;0,VLOOKUP(_1_541284561214624104645789101745678[[#This Row],[Type]],Main[[#All],[TYPE]:[UNIT]],'Unit Price'!D$1,FALSE),0)</f>
        <v>0</v>
      </c>
      <c r="I899" s="194">
        <f>IF(_1_541284561214624104645789101745678[[#This Row],[Type]]&gt;0,VLOOKUP(_1_541284561214624104645789101745678[[#This Row],[Type]],Main[[#All],[TYPE]:[UNIT]],'Unit Price'!G$1,FALSE),0)</f>
        <v>0</v>
      </c>
      <c r="J899" s="194">
        <f>IF(_1_541284561214624104645789101745678[[#This Row],[Type]]&gt;0,VLOOKUP(_1_541284561214624104645789101745678[[#This Row],[Type]],Main[[#All],[TYPE]:[UNIT]],'Unit Price'!H$1,FALSE),0)</f>
        <v>0</v>
      </c>
      <c r="K899" s="194">
        <f>IF(_1_541284561214624104645789101745678[[#This Row],[Discount selection]]&gt;0,VLOOKUP(_1_541284561214624104645789101745678[[#This Row],[Discount selection]],'Discount Structure'!$A$2:$B$30,2,"false"),0)</f>
        <v>1</v>
      </c>
      <c r="L899" s="194">
        <f>_1_541284561214624104645789101745678[[#This Row],[LIST $]]*_1_541284561214624104645789101745678[[#This Row],[DISCOUNT]]*_1_541284561214624104645789101745678[[#This Row],[DISCOUNT 2]]</f>
        <v>0</v>
      </c>
      <c r="M899" s="194">
        <f>IF(OR(_1_541284561214624104645789101745678[[#This Row],[UNIT]]&gt;0,_1_541284561214624104645789101745678[[#This Row],[UNIT]]&lt;0),_1_541284561214624104645789101745678[[#This Row],[UNIT]]*_1_541284561214624104645789101745678[[#This Row],[COST]],0)</f>
        <v>0</v>
      </c>
      <c r="N899" s="194">
        <f t="shared" si="13"/>
        <v>1.3</v>
      </c>
      <c r="O899" s="198">
        <f>_1_541284561214624104645789101745678[[#This Row],[TOTAL]]*_1_541284561214624104645789101745678[[#This Row],[MARGIN]]</f>
        <v>0</v>
      </c>
      <c r="P899" s="198"/>
      <c r="R899" s="41"/>
    </row>
    <row r="900" spans="4:18">
      <c r="D900" s="188"/>
      <c r="E900" s="42"/>
      <c r="F900" s="168" t="s">
        <v>6202</v>
      </c>
      <c r="G900" s="193">
        <f>IF(_1_541284561214624104645789101745678[[#This Row],[Type]]&gt;0,VLOOKUP(_1_541284561214624104645789101745678[[#This Row],[Type]],Main[[#All],[TYPE]:[UNIT]],'Unit Price'!C$1,FALSE),0)</f>
        <v>0</v>
      </c>
      <c r="H900" s="197">
        <f>IF(_1_541284561214624104645789101745678[[#This Row],[Type]]&gt;0,VLOOKUP(_1_541284561214624104645789101745678[[#This Row],[Type]],Main[[#All],[TYPE]:[UNIT]],'Unit Price'!D$1,FALSE),0)</f>
        <v>0</v>
      </c>
      <c r="I900" s="194">
        <f>IF(_1_541284561214624104645789101745678[[#This Row],[Type]]&gt;0,VLOOKUP(_1_541284561214624104645789101745678[[#This Row],[Type]],Main[[#All],[TYPE]:[UNIT]],'Unit Price'!G$1,FALSE),0)</f>
        <v>0</v>
      </c>
      <c r="J900" s="194">
        <f>IF(_1_541284561214624104645789101745678[[#This Row],[Type]]&gt;0,VLOOKUP(_1_541284561214624104645789101745678[[#This Row],[Type]],Main[[#All],[TYPE]:[UNIT]],'Unit Price'!H$1,FALSE),0)</f>
        <v>0</v>
      </c>
      <c r="K900" s="194">
        <f>IF(_1_541284561214624104645789101745678[[#This Row],[Discount selection]]&gt;0,VLOOKUP(_1_541284561214624104645789101745678[[#This Row],[Discount selection]],'Discount Structure'!$A$2:$B$30,2,"false"),0)</f>
        <v>1</v>
      </c>
      <c r="L900" s="194">
        <f>_1_541284561214624104645789101745678[[#This Row],[LIST $]]*_1_541284561214624104645789101745678[[#This Row],[DISCOUNT]]*_1_541284561214624104645789101745678[[#This Row],[DISCOUNT 2]]</f>
        <v>0</v>
      </c>
      <c r="M900" s="194">
        <f>IF(OR(_1_541284561214624104645789101745678[[#This Row],[UNIT]]&gt;0,_1_541284561214624104645789101745678[[#This Row],[UNIT]]&lt;0),_1_541284561214624104645789101745678[[#This Row],[UNIT]]*_1_541284561214624104645789101745678[[#This Row],[COST]],0)</f>
        <v>0</v>
      </c>
      <c r="N900" s="194">
        <f t="shared" si="13"/>
        <v>1.3</v>
      </c>
      <c r="O900" s="198">
        <f>_1_541284561214624104645789101745678[[#This Row],[TOTAL]]*_1_541284561214624104645789101745678[[#This Row],[MARGIN]]</f>
        <v>0</v>
      </c>
      <c r="P900" s="198"/>
      <c r="R900" s="41"/>
    </row>
    <row r="901" spans="4:18">
      <c r="D901" s="188"/>
      <c r="E901" s="42"/>
      <c r="F901" s="168" t="s">
        <v>6202</v>
      </c>
      <c r="G901" s="193">
        <f>IF(_1_541284561214624104645789101745678[[#This Row],[Type]]&gt;0,VLOOKUP(_1_541284561214624104645789101745678[[#This Row],[Type]],Main[[#All],[TYPE]:[UNIT]],'Unit Price'!C$1,FALSE),0)</f>
        <v>0</v>
      </c>
      <c r="H901" s="197">
        <f>IF(_1_541284561214624104645789101745678[[#This Row],[Type]]&gt;0,VLOOKUP(_1_541284561214624104645789101745678[[#This Row],[Type]],Main[[#All],[TYPE]:[UNIT]],'Unit Price'!D$1,FALSE),0)</f>
        <v>0</v>
      </c>
      <c r="I901" s="194">
        <f>IF(_1_541284561214624104645789101745678[[#This Row],[Type]]&gt;0,VLOOKUP(_1_541284561214624104645789101745678[[#This Row],[Type]],Main[[#All],[TYPE]:[UNIT]],'Unit Price'!G$1,FALSE),0)</f>
        <v>0</v>
      </c>
      <c r="J901" s="194">
        <f>IF(_1_541284561214624104645789101745678[[#This Row],[Type]]&gt;0,VLOOKUP(_1_541284561214624104645789101745678[[#This Row],[Type]],Main[[#All],[TYPE]:[UNIT]],'Unit Price'!H$1,FALSE),0)</f>
        <v>0</v>
      </c>
      <c r="K901" s="194">
        <f>IF(_1_541284561214624104645789101745678[[#This Row],[Discount selection]]&gt;0,VLOOKUP(_1_541284561214624104645789101745678[[#This Row],[Discount selection]],'Discount Structure'!$A$2:$B$30,2,"false"),0)</f>
        <v>1</v>
      </c>
      <c r="L901" s="194">
        <f>_1_541284561214624104645789101745678[[#This Row],[LIST $]]*_1_541284561214624104645789101745678[[#This Row],[DISCOUNT]]*_1_541284561214624104645789101745678[[#This Row],[DISCOUNT 2]]</f>
        <v>0</v>
      </c>
      <c r="M901" s="194">
        <f>IF(OR(_1_541284561214624104645789101745678[[#This Row],[UNIT]]&gt;0,_1_541284561214624104645789101745678[[#This Row],[UNIT]]&lt;0),_1_541284561214624104645789101745678[[#This Row],[UNIT]]*_1_541284561214624104645789101745678[[#This Row],[COST]],0)</f>
        <v>0</v>
      </c>
      <c r="N901" s="194">
        <f t="shared" si="13"/>
        <v>1.3</v>
      </c>
      <c r="O901" s="198">
        <f>_1_541284561214624104645789101745678[[#This Row],[TOTAL]]*_1_541284561214624104645789101745678[[#This Row],[MARGIN]]</f>
        <v>0</v>
      </c>
      <c r="P901" s="198"/>
      <c r="R901" s="41"/>
    </row>
    <row r="902" spans="4:18">
      <c r="D902" s="188"/>
      <c r="E902" s="42"/>
      <c r="F902" s="168" t="s">
        <v>6202</v>
      </c>
      <c r="G902" s="193">
        <f>IF(_1_541284561214624104645789101745678[[#This Row],[Type]]&gt;0,VLOOKUP(_1_541284561214624104645789101745678[[#This Row],[Type]],Main[[#All],[TYPE]:[UNIT]],'Unit Price'!C$1,FALSE),0)</f>
        <v>0</v>
      </c>
      <c r="H902" s="197">
        <f>IF(_1_541284561214624104645789101745678[[#This Row],[Type]]&gt;0,VLOOKUP(_1_541284561214624104645789101745678[[#This Row],[Type]],Main[[#All],[TYPE]:[UNIT]],'Unit Price'!D$1,FALSE),0)</f>
        <v>0</v>
      </c>
      <c r="I902" s="194">
        <f>IF(_1_541284561214624104645789101745678[[#This Row],[Type]]&gt;0,VLOOKUP(_1_541284561214624104645789101745678[[#This Row],[Type]],Main[[#All],[TYPE]:[UNIT]],'Unit Price'!G$1,FALSE),0)</f>
        <v>0</v>
      </c>
      <c r="J902" s="194">
        <f>IF(_1_541284561214624104645789101745678[[#This Row],[Type]]&gt;0,VLOOKUP(_1_541284561214624104645789101745678[[#This Row],[Type]],Main[[#All],[TYPE]:[UNIT]],'Unit Price'!H$1,FALSE),0)</f>
        <v>0</v>
      </c>
      <c r="K902" s="194">
        <f>IF(_1_541284561214624104645789101745678[[#This Row],[Discount selection]]&gt;0,VLOOKUP(_1_541284561214624104645789101745678[[#This Row],[Discount selection]],'Discount Structure'!$A$2:$B$30,2,"false"),0)</f>
        <v>1</v>
      </c>
      <c r="L902" s="194">
        <f>_1_541284561214624104645789101745678[[#This Row],[LIST $]]*_1_541284561214624104645789101745678[[#This Row],[DISCOUNT]]*_1_541284561214624104645789101745678[[#This Row],[DISCOUNT 2]]</f>
        <v>0</v>
      </c>
      <c r="M902" s="194">
        <f>IF(OR(_1_541284561214624104645789101745678[[#This Row],[UNIT]]&gt;0,_1_541284561214624104645789101745678[[#This Row],[UNIT]]&lt;0),_1_541284561214624104645789101745678[[#This Row],[UNIT]]*_1_541284561214624104645789101745678[[#This Row],[COST]],0)</f>
        <v>0</v>
      </c>
      <c r="N902" s="194">
        <f t="shared" si="13"/>
        <v>1.3</v>
      </c>
      <c r="O902" s="198">
        <f>_1_541284561214624104645789101745678[[#This Row],[TOTAL]]*_1_541284561214624104645789101745678[[#This Row],[MARGIN]]</f>
        <v>0</v>
      </c>
      <c r="P902" s="198"/>
      <c r="R902" s="41"/>
    </row>
    <row r="903" spans="4:18">
      <c r="D903" s="188"/>
      <c r="E903" s="42"/>
      <c r="F903" s="168" t="s">
        <v>6202</v>
      </c>
      <c r="G903" s="193">
        <f>IF(_1_541284561214624104645789101745678[[#This Row],[Type]]&gt;0,VLOOKUP(_1_541284561214624104645789101745678[[#This Row],[Type]],Main[[#All],[TYPE]:[UNIT]],'Unit Price'!C$1,FALSE),0)</f>
        <v>0</v>
      </c>
      <c r="H903" s="197">
        <f>IF(_1_541284561214624104645789101745678[[#This Row],[Type]]&gt;0,VLOOKUP(_1_541284561214624104645789101745678[[#This Row],[Type]],Main[[#All],[TYPE]:[UNIT]],'Unit Price'!D$1,FALSE),0)</f>
        <v>0</v>
      </c>
      <c r="I903" s="194">
        <f>IF(_1_541284561214624104645789101745678[[#This Row],[Type]]&gt;0,VLOOKUP(_1_541284561214624104645789101745678[[#This Row],[Type]],Main[[#All],[TYPE]:[UNIT]],'Unit Price'!G$1,FALSE),0)</f>
        <v>0</v>
      </c>
      <c r="J903" s="194">
        <f>IF(_1_541284561214624104645789101745678[[#This Row],[Type]]&gt;0,VLOOKUP(_1_541284561214624104645789101745678[[#This Row],[Type]],Main[[#All],[TYPE]:[UNIT]],'Unit Price'!H$1,FALSE),0)</f>
        <v>0</v>
      </c>
      <c r="K903" s="194">
        <f>IF(_1_541284561214624104645789101745678[[#This Row],[Discount selection]]&gt;0,VLOOKUP(_1_541284561214624104645789101745678[[#This Row],[Discount selection]],'Discount Structure'!$A$2:$B$30,2,"false"),0)</f>
        <v>1</v>
      </c>
      <c r="L903" s="194">
        <f>_1_541284561214624104645789101745678[[#This Row],[LIST $]]*_1_541284561214624104645789101745678[[#This Row],[DISCOUNT]]*_1_541284561214624104645789101745678[[#This Row],[DISCOUNT 2]]</f>
        <v>0</v>
      </c>
      <c r="M903" s="194">
        <f>IF(OR(_1_541284561214624104645789101745678[[#This Row],[UNIT]]&gt;0,_1_541284561214624104645789101745678[[#This Row],[UNIT]]&lt;0),_1_541284561214624104645789101745678[[#This Row],[UNIT]]*_1_541284561214624104645789101745678[[#This Row],[COST]],0)</f>
        <v>0</v>
      </c>
      <c r="N903" s="194">
        <f t="shared" si="13"/>
        <v>1.3</v>
      </c>
      <c r="O903" s="198">
        <f>_1_541284561214624104645789101745678[[#This Row],[TOTAL]]*_1_541284561214624104645789101745678[[#This Row],[MARGIN]]</f>
        <v>0</v>
      </c>
      <c r="P903" s="198"/>
      <c r="R903" s="41"/>
    </row>
    <row r="904" spans="4:18">
      <c r="D904" s="188"/>
      <c r="E904" s="42"/>
      <c r="F904" s="168" t="s">
        <v>6202</v>
      </c>
      <c r="G904" s="193">
        <f>IF(_1_541284561214624104645789101745678[[#This Row],[Type]]&gt;0,VLOOKUP(_1_541284561214624104645789101745678[[#This Row],[Type]],Main[[#All],[TYPE]:[UNIT]],'Unit Price'!C$1,FALSE),0)</f>
        <v>0</v>
      </c>
      <c r="H904" s="197">
        <f>IF(_1_541284561214624104645789101745678[[#This Row],[Type]]&gt;0,VLOOKUP(_1_541284561214624104645789101745678[[#This Row],[Type]],Main[[#All],[TYPE]:[UNIT]],'Unit Price'!D$1,FALSE),0)</f>
        <v>0</v>
      </c>
      <c r="I904" s="194">
        <f>IF(_1_541284561214624104645789101745678[[#This Row],[Type]]&gt;0,VLOOKUP(_1_541284561214624104645789101745678[[#This Row],[Type]],Main[[#All],[TYPE]:[UNIT]],'Unit Price'!G$1,FALSE),0)</f>
        <v>0</v>
      </c>
      <c r="J904" s="194">
        <f>IF(_1_541284561214624104645789101745678[[#This Row],[Type]]&gt;0,VLOOKUP(_1_541284561214624104645789101745678[[#This Row],[Type]],Main[[#All],[TYPE]:[UNIT]],'Unit Price'!H$1,FALSE),0)</f>
        <v>0</v>
      </c>
      <c r="K904" s="194">
        <f>IF(_1_541284561214624104645789101745678[[#This Row],[Discount selection]]&gt;0,VLOOKUP(_1_541284561214624104645789101745678[[#This Row],[Discount selection]],'Discount Structure'!$A$2:$B$30,2,"false"),0)</f>
        <v>1</v>
      </c>
      <c r="L904" s="194">
        <f>_1_541284561214624104645789101745678[[#This Row],[LIST $]]*_1_541284561214624104645789101745678[[#This Row],[DISCOUNT]]*_1_541284561214624104645789101745678[[#This Row],[DISCOUNT 2]]</f>
        <v>0</v>
      </c>
      <c r="M904" s="194">
        <f>IF(OR(_1_541284561214624104645789101745678[[#This Row],[UNIT]]&gt;0,_1_541284561214624104645789101745678[[#This Row],[UNIT]]&lt;0),_1_541284561214624104645789101745678[[#This Row],[UNIT]]*_1_541284561214624104645789101745678[[#This Row],[COST]],0)</f>
        <v>0</v>
      </c>
      <c r="N904" s="194">
        <f t="shared" si="13"/>
        <v>1.3</v>
      </c>
      <c r="O904" s="198">
        <f>_1_541284561214624104645789101745678[[#This Row],[TOTAL]]*_1_541284561214624104645789101745678[[#This Row],[MARGIN]]</f>
        <v>0</v>
      </c>
      <c r="P904" s="198"/>
      <c r="R904" s="41"/>
    </row>
    <row r="905" spans="4:18">
      <c r="D905" s="188"/>
      <c r="E905" s="42"/>
      <c r="F905" s="168" t="s">
        <v>6202</v>
      </c>
      <c r="G905" s="193">
        <f>IF(_1_541284561214624104645789101745678[[#This Row],[Type]]&gt;0,VLOOKUP(_1_541284561214624104645789101745678[[#This Row],[Type]],Main[[#All],[TYPE]:[UNIT]],'Unit Price'!C$1,FALSE),0)</f>
        <v>0</v>
      </c>
      <c r="H905" s="197">
        <f>IF(_1_541284561214624104645789101745678[[#This Row],[Type]]&gt;0,VLOOKUP(_1_541284561214624104645789101745678[[#This Row],[Type]],Main[[#All],[TYPE]:[UNIT]],'Unit Price'!D$1,FALSE),0)</f>
        <v>0</v>
      </c>
      <c r="I905" s="194">
        <f>IF(_1_541284561214624104645789101745678[[#This Row],[Type]]&gt;0,VLOOKUP(_1_541284561214624104645789101745678[[#This Row],[Type]],Main[[#All],[TYPE]:[UNIT]],'Unit Price'!G$1,FALSE),0)</f>
        <v>0</v>
      </c>
      <c r="J905" s="194">
        <f>IF(_1_541284561214624104645789101745678[[#This Row],[Type]]&gt;0,VLOOKUP(_1_541284561214624104645789101745678[[#This Row],[Type]],Main[[#All],[TYPE]:[UNIT]],'Unit Price'!H$1,FALSE),0)</f>
        <v>0</v>
      </c>
      <c r="K905" s="194">
        <f>IF(_1_541284561214624104645789101745678[[#This Row],[Discount selection]]&gt;0,VLOOKUP(_1_541284561214624104645789101745678[[#This Row],[Discount selection]],'Discount Structure'!$A$2:$B$30,2,"false"),0)</f>
        <v>1</v>
      </c>
      <c r="L905" s="194">
        <f>_1_541284561214624104645789101745678[[#This Row],[LIST $]]*_1_541284561214624104645789101745678[[#This Row],[DISCOUNT]]*_1_541284561214624104645789101745678[[#This Row],[DISCOUNT 2]]</f>
        <v>0</v>
      </c>
      <c r="M905" s="194">
        <f>IF(OR(_1_541284561214624104645789101745678[[#This Row],[UNIT]]&gt;0,_1_541284561214624104645789101745678[[#This Row],[UNIT]]&lt;0),_1_541284561214624104645789101745678[[#This Row],[UNIT]]*_1_541284561214624104645789101745678[[#This Row],[COST]],0)</f>
        <v>0</v>
      </c>
      <c r="N905" s="194">
        <f t="shared" si="13"/>
        <v>1.3</v>
      </c>
      <c r="O905" s="198">
        <f>_1_541284561214624104645789101745678[[#This Row],[TOTAL]]*_1_541284561214624104645789101745678[[#This Row],[MARGIN]]</f>
        <v>0</v>
      </c>
      <c r="P905" s="198"/>
      <c r="R905" s="41"/>
    </row>
    <row r="906" spans="4:18">
      <c r="D906" s="188"/>
      <c r="E906" s="42"/>
      <c r="F906" s="168" t="s">
        <v>6202</v>
      </c>
      <c r="G906" s="193">
        <f>IF(_1_541284561214624104645789101745678[[#This Row],[Type]]&gt;0,VLOOKUP(_1_541284561214624104645789101745678[[#This Row],[Type]],Main[[#All],[TYPE]:[UNIT]],'Unit Price'!C$1,FALSE),0)</f>
        <v>0</v>
      </c>
      <c r="H906" s="197">
        <f>IF(_1_541284561214624104645789101745678[[#This Row],[Type]]&gt;0,VLOOKUP(_1_541284561214624104645789101745678[[#This Row],[Type]],Main[[#All],[TYPE]:[UNIT]],'Unit Price'!D$1,FALSE),0)</f>
        <v>0</v>
      </c>
      <c r="I906" s="194">
        <f>IF(_1_541284561214624104645789101745678[[#This Row],[Type]]&gt;0,VLOOKUP(_1_541284561214624104645789101745678[[#This Row],[Type]],Main[[#All],[TYPE]:[UNIT]],'Unit Price'!G$1,FALSE),0)</f>
        <v>0</v>
      </c>
      <c r="J906" s="194">
        <f>IF(_1_541284561214624104645789101745678[[#This Row],[Type]]&gt;0,VLOOKUP(_1_541284561214624104645789101745678[[#This Row],[Type]],Main[[#All],[TYPE]:[UNIT]],'Unit Price'!H$1,FALSE),0)</f>
        <v>0</v>
      </c>
      <c r="K906" s="194">
        <f>IF(_1_541284561214624104645789101745678[[#This Row],[Discount selection]]&gt;0,VLOOKUP(_1_541284561214624104645789101745678[[#This Row],[Discount selection]],'Discount Structure'!$A$2:$B$30,2,"false"),0)</f>
        <v>1</v>
      </c>
      <c r="L906" s="194">
        <f>_1_541284561214624104645789101745678[[#This Row],[LIST $]]*_1_541284561214624104645789101745678[[#This Row],[DISCOUNT]]*_1_541284561214624104645789101745678[[#This Row],[DISCOUNT 2]]</f>
        <v>0</v>
      </c>
      <c r="M906" s="194">
        <f>IF(OR(_1_541284561214624104645789101745678[[#This Row],[UNIT]]&gt;0,_1_541284561214624104645789101745678[[#This Row],[UNIT]]&lt;0),_1_541284561214624104645789101745678[[#This Row],[UNIT]]*_1_541284561214624104645789101745678[[#This Row],[COST]],0)</f>
        <v>0</v>
      </c>
      <c r="N906" s="194">
        <f t="shared" ref="N906:N969" si="14">$N$7</f>
        <v>1.3</v>
      </c>
      <c r="O906" s="198">
        <f>_1_541284561214624104645789101745678[[#This Row],[TOTAL]]*_1_541284561214624104645789101745678[[#This Row],[MARGIN]]</f>
        <v>0</v>
      </c>
      <c r="P906" s="198"/>
      <c r="R906" s="41"/>
    </row>
    <row r="907" spans="4:18">
      <c r="D907" s="188"/>
      <c r="E907" s="42"/>
      <c r="F907" s="168" t="s">
        <v>6202</v>
      </c>
      <c r="G907" s="193">
        <f>IF(_1_541284561214624104645789101745678[[#This Row],[Type]]&gt;0,VLOOKUP(_1_541284561214624104645789101745678[[#This Row],[Type]],Main[[#All],[TYPE]:[UNIT]],'Unit Price'!C$1,FALSE),0)</f>
        <v>0</v>
      </c>
      <c r="H907" s="197">
        <f>IF(_1_541284561214624104645789101745678[[#This Row],[Type]]&gt;0,VLOOKUP(_1_541284561214624104645789101745678[[#This Row],[Type]],Main[[#All],[TYPE]:[UNIT]],'Unit Price'!D$1,FALSE),0)</f>
        <v>0</v>
      </c>
      <c r="I907" s="194">
        <f>IF(_1_541284561214624104645789101745678[[#This Row],[Type]]&gt;0,VLOOKUP(_1_541284561214624104645789101745678[[#This Row],[Type]],Main[[#All],[TYPE]:[UNIT]],'Unit Price'!G$1,FALSE),0)</f>
        <v>0</v>
      </c>
      <c r="J907" s="194">
        <f>IF(_1_541284561214624104645789101745678[[#This Row],[Type]]&gt;0,VLOOKUP(_1_541284561214624104645789101745678[[#This Row],[Type]],Main[[#All],[TYPE]:[UNIT]],'Unit Price'!H$1,FALSE),0)</f>
        <v>0</v>
      </c>
      <c r="K907" s="194">
        <f>IF(_1_541284561214624104645789101745678[[#This Row],[Discount selection]]&gt;0,VLOOKUP(_1_541284561214624104645789101745678[[#This Row],[Discount selection]],'Discount Structure'!$A$2:$B$30,2,"false"),0)</f>
        <v>1</v>
      </c>
      <c r="L907" s="194">
        <f>_1_541284561214624104645789101745678[[#This Row],[LIST $]]*_1_541284561214624104645789101745678[[#This Row],[DISCOUNT]]*_1_541284561214624104645789101745678[[#This Row],[DISCOUNT 2]]</f>
        <v>0</v>
      </c>
      <c r="M907" s="194">
        <f>IF(OR(_1_541284561214624104645789101745678[[#This Row],[UNIT]]&gt;0,_1_541284561214624104645789101745678[[#This Row],[UNIT]]&lt;0),_1_541284561214624104645789101745678[[#This Row],[UNIT]]*_1_541284561214624104645789101745678[[#This Row],[COST]],0)</f>
        <v>0</v>
      </c>
      <c r="N907" s="194">
        <f t="shared" si="14"/>
        <v>1.3</v>
      </c>
      <c r="O907" s="198">
        <f>_1_541284561214624104645789101745678[[#This Row],[TOTAL]]*_1_541284561214624104645789101745678[[#This Row],[MARGIN]]</f>
        <v>0</v>
      </c>
      <c r="P907" s="198"/>
      <c r="R907" s="41"/>
    </row>
    <row r="908" spans="4:18">
      <c r="D908" s="188"/>
      <c r="E908" s="42"/>
      <c r="F908" s="168" t="s">
        <v>6202</v>
      </c>
      <c r="G908" s="193">
        <f>IF(_1_541284561214624104645789101745678[[#This Row],[Type]]&gt;0,VLOOKUP(_1_541284561214624104645789101745678[[#This Row],[Type]],Main[[#All],[TYPE]:[UNIT]],'Unit Price'!C$1,FALSE),0)</f>
        <v>0</v>
      </c>
      <c r="H908" s="197">
        <f>IF(_1_541284561214624104645789101745678[[#This Row],[Type]]&gt;0,VLOOKUP(_1_541284561214624104645789101745678[[#This Row],[Type]],Main[[#All],[TYPE]:[UNIT]],'Unit Price'!D$1,FALSE),0)</f>
        <v>0</v>
      </c>
      <c r="I908" s="194">
        <f>IF(_1_541284561214624104645789101745678[[#This Row],[Type]]&gt;0,VLOOKUP(_1_541284561214624104645789101745678[[#This Row],[Type]],Main[[#All],[TYPE]:[UNIT]],'Unit Price'!G$1,FALSE),0)</f>
        <v>0</v>
      </c>
      <c r="J908" s="194">
        <f>IF(_1_541284561214624104645789101745678[[#This Row],[Type]]&gt;0,VLOOKUP(_1_541284561214624104645789101745678[[#This Row],[Type]],Main[[#All],[TYPE]:[UNIT]],'Unit Price'!H$1,FALSE),0)</f>
        <v>0</v>
      </c>
      <c r="K908" s="194">
        <f>IF(_1_541284561214624104645789101745678[[#This Row],[Discount selection]]&gt;0,VLOOKUP(_1_541284561214624104645789101745678[[#This Row],[Discount selection]],'Discount Structure'!$A$2:$B$30,2,"false"),0)</f>
        <v>1</v>
      </c>
      <c r="L908" s="194">
        <f>_1_541284561214624104645789101745678[[#This Row],[LIST $]]*_1_541284561214624104645789101745678[[#This Row],[DISCOUNT]]*_1_541284561214624104645789101745678[[#This Row],[DISCOUNT 2]]</f>
        <v>0</v>
      </c>
      <c r="M908" s="194">
        <f>IF(OR(_1_541284561214624104645789101745678[[#This Row],[UNIT]]&gt;0,_1_541284561214624104645789101745678[[#This Row],[UNIT]]&lt;0),_1_541284561214624104645789101745678[[#This Row],[UNIT]]*_1_541284561214624104645789101745678[[#This Row],[COST]],0)</f>
        <v>0</v>
      </c>
      <c r="N908" s="194">
        <f t="shared" si="14"/>
        <v>1.3</v>
      </c>
      <c r="O908" s="198">
        <f>_1_541284561214624104645789101745678[[#This Row],[TOTAL]]*_1_541284561214624104645789101745678[[#This Row],[MARGIN]]</f>
        <v>0</v>
      </c>
      <c r="P908" s="198"/>
      <c r="R908" s="41"/>
    </row>
    <row r="909" spans="4:18">
      <c r="D909" s="188"/>
      <c r="E909" s="42"/>
      <c r="F909" s="168" t="s">
        <v>6202</v>
      </c>
      <c r="G909" s="193">
        <f>IF(_1_541284561214624104645789101745678[[#This Row],[Type]]&gt;0,VLOOKUP(_1_541284561214624104645789101745678[[#This Row],[Type]],Main[[#All],[TYPE]:[UNIT]],'Unit Price'!C$1,FALSE),0)</f>
        <v>0</v>
      </c>
      <c r="H909" s="197">
        <f>IF(_1_541284561214624104645789101745678[[#This Row],[Type]]&gt;0,VLOOKUP(_1_541284561214624104645789101745678[[#This Row],[Type]],Main[[#All],[TYPE]:[UNIT]],'Unit Price'!D$1,FALSE),0)</f>
        <v>0</v>
      </c>
      <c r="I909" s="194">
        <f>IF(_1_541284561214624104645789101745678[[#This Row],[Type]]&gt;0,VLOOKUP(_1_541284561214624104645789101745678[[#This Row],[Type]],Main[[#All],[TYPE]:[UNIT]],'Unit Price'!G$1,FALSE),0)</f>
        <v>0</v>
      </c>
      <c r="J909" s="194">
        <f>IF(_1_541284561214624104645789101745678[[#This Row],[Type]]&gt;0,VLOOKUP(_1_541284561214624104645789101745678[[#This Row],[Type]],Main[[#All],[TYPE]:[UNIT]],'Unit Price'!H$1,FALSE),0)</f>
        <v>0</v>
      </c>
      <c r="K909" s="194">
        <f>IF(_1_541284561214624104645789101745678[[#This Row],[Discount selection]]&gt;0,VLOOKUP(_1_541284561214624104645789101745678[[#This Row],[Discount selection]],'Discount Structure'!$A$2:$B$30,2,"false"),0)</f>
        <v>1</v>
      </c>
      <c r="L909" s="194">
        <f>_1_541284561214624104645789101745678[[#This Row],[LIST $]]*_1_541284561214624104645789101745678[[#This Row],[DISCOUNT]]*_1_541284561214624104645789101745678[[#This Row],[DISCOUNT 2]]</f>
        <v>0</v>
      </c>
      <c r="M909" s="194">
        <f>IF(OR(_1_541284561214624104645789101745678[[#This Row],[UNIT]]&gt;0,_1_541284561214624104645789101745678[[#This Row],[UNIT]]&lt;0),_1_541284561214624104645789101745678[[#This Row],[UNIT]]*_1_541284561214624104645789101745678[[#This Row],[COST]],0)</f>
        <v>0</v>
      </c>
      <c r="N909" s="194">
        <f t="shared" si="14"/>
        <v>1.3</v>
      </c>
      <c r="O909" s="198">
        <f>_1_541284561214624104645789101745678[[#This Row],[TOTAL]]*_1_541284561214624104645789101745678[[#This Row],[MARGIN]]</f>
        <v>0</v>
      </c>
      <c r="P909" s="198"/>
      <c r="R909" s="41"/>
    </row>
    <row r="910" spans="4:18">
      <c r="D910" s="188"/>
      <c r="E910" s="42"/>
      <c r="F910" s="168" t="s">
        <v>6202</v>
      </c>
      <c r="G910" s="193">
        <f>IF(_1_541284561214624104645789101745678[[#This Row],[Type]]&gt;0,VLOOKUP(_1_541284561214624104645789101745678[[#This Row],[Type]],Main[[#All],[TYPE]:[UNIT]],'Unit Price'!C$1,FALSE),0)</f>
        <v>0</v>
      </c>
      <c r="H910" s="197">
        <f>IF(_1_541284561214624104645789101745678[[#This Row],[Type]]&gt;0,VLOOKUP(_1_541284561214624104645789101745678[[#This Row],[Type]],Main[[#All],[TYPE]:[UNIT]],'Unit Price'!D$1,FALSE),0)</f>
        <v>0</v>
      </c>
      <c r="I910" s="194">
        <f>IF(_1_541284561214624104645789101745678[[#This Row],[Type]]&gt;0,VLOOKUP(_1_541284561214624104645789101745678[[#This Row],[Type]],Main[[#All],[TYPE]:[UNIT]],'Unit Price'!G$1,FALSE),0)</f>
        <v>0</v>
      </c>
      <c r="J910" s="194">
        <f>IF(_1_541284561214624104645789101745678[[#This Row],[Type]]&gt;0,VLOOKUP(_1_541284561214624104645789101745678[[#This Row],[Type]],Main[[#All],[TYPE]:[UNIT]],'Unit Price'!H$1,FALSE),0)</f>
        <v>0</v>
      </c>
      <c r="K910" s="194">
        <f>IF(_1_541284561214624104645789101745678[[#This Row],[Discount selection]]&gt;0,VLOOKUP(_1_541284561214624104645789101745678[[#This Row],[Discount selection]],'Discount Structure'!$A$2:$B$30,2,"false"),0)</f>
        <v>1</v>
      </c>
      <c r="L910" s="194">
        <f>_1_541284561214624104645789101745678[[#This Row],[LIST $]]*_1_541284561214624104645789101745678[[#This Row],[DISCOUNT]]*_1_541284561214624104645789101745678[[#This Row],[DISCOUNT 2]]</f>
        <v>0</v>
      </c>
      <c r="M910" s="194">
        <f>IF(OR(_1_541284561214624104645789101745678[[#This Row],[UNIT]]&gt;0,_1_541284561214624104645789101745678[[#This Row],[UNIT]]&lt;0),_1_541284561214624104645789101745678[[#This Row],[UNIT]]*_1_541284561214624104645789101745678[[#This Row],[COST]],0)</f>
        <v>0</v>
      </c>
      <c r="N910" s="194">
        <f t="shared" si="14"/>
        <v>1.3</v>
      </c>
      <c r="O910" s="198">
        <f>_1_541284561214624104645789101745678[[#This Row],[TOTAL]]*_1_541284561214624104645789101745678[[#This Row],[MARGIN]]</f>
        <v>0</v>
      </c>
      <c r="P910" s="198"/>
      <c r="R910" s="41"/>
    </row>
    <row r="911" spans="4:18">
      <c r="D911" s="188"/>
      <c r="E911" s="42"/>
      <c r="F911" s="168" t="s">
        <v>6202</v>
      </c>
      <c r="G911" s="193">
        <f>IF(_1_541284561214624104645789101745678[[#This Row],[Type]]&gt;0,VLOOKUP(_1_541284561214624104645789101745678[[#This Row],[Type]],Main[[#All],[TYPE]:[UNIT]],'Unit Price'!C$1,FALSE),0)</f>
        <v>0</v>
      </c>
      <c r="H911" s="197">
        <f>IF(_1_541284561214624104645789101745678[[#This Row],[Type]]&gt;0,VLOOKUP(_1_541284561214624104645789101745678[[#This Row],[Type]],Main[[#All],[TYPE]:[UNIT]],'Unit Price'!D$1,FALSE),0)</f>
        <v>0</v>
      </c>
      <c r="I911" s="194">
        <f>IF(_1_541284561214624104645789101745678[[#This Row],[Type]]&gt;0,VLOOKUP(_1_541284561214624104645789101745678[[#This Row],[Type]],Main[[#All],[TYPE]:[UNIT]],'Unit Price'!G$1,FALSE),0)</f>
        <v>0</v>
      </c>
      <c r="J911" s="194">
        <f>IF(_1_541284561214624104645789101745678[[#This Row],[Type]]&gt;0,VLOOKUP(_1_541284561214624104645789101745678[[#This Row],[Type]],Main[[#All],[TYPE]:[UNIT]],'Unit Price'!H$1,FALSE),0)</f>
        <v>0</v>
      </c>
      <c r="K911" s="194">
        <f>IF(_1_541284561214624104645789101745678[[#This Row],[Discount selection]]&gt;0,VLOOKUP(_1_541284561214624104645789101745678[[#This Row],[Discount selection]],'Discount Structure'!$A$2:$B$30,2,"false"),0)</f>
        <v>1</v>
      </c>
      <c r="L911" s="194">
        <f>_1_541284561214624104645789101745678[[#This Row],[LIST $]]*_1_541284561214624104645789101745678[[#This Row],[DISCOUNT]]*_1_541284561214624104645789101745678[[#This Row],[DISCOUNT 2]]</f>
        <v>0</v>
      </c>
      <c r="M911" s="194">
        <f>IF(OR(_1_541284561214624104645789101745678[[#This Row],[UNIT]]&gt;0,_1_541284561214624104645789101745678[[#This Row],[UNIT]]&lt;0),_1_541284561214624104645789101745678[[#This Row],[UNIT]]*_1_541284561214624104645789101745678[[#This Row],[COST]],0)</f>
        <v>0</v>
      </c>
      <c r="N911" s="194">
        <f t="shared" si="14"/>
        <v>1.3</v>
      </c>
      <c r="O911" s="198">
        <f>_1_541284561214624104645789101745678[[#This Row],[TOTAL]]*_1_541284561214624104645789101745678[[#This Row],[MARGIN]]</f>
        <v>0</v>
      </c>
      <c r="P911" s="198"/>
      <c r="R911" s="41"/>
    </row>
    <row r="912" spans="4:18">
      <c r="D912" s="188"/>
      <c r="E912" s="42"/>
      <c r="F912" s="168" t="s">
        <v>6202</v>
      </c>
      <c r="G912" s="193">
        <f>IF(_1_541284561214624104645789101745678[[#This Row],[Type]]&gt;0,VLOOKUP(_1_541284561214624104645789101745678[[#This Row],[Type]],Main[[#All],[TYPE]:[UNIT]],'Unit Price'!C$1,FALSE),0)</f>
        <v>0</v>
      </c>
      <c r="H912" s="197">
        <f>IF(_1_541284561214624104645789101745678[[#This Row],[Type]]&gt;0,VLOOKUP(_1_541284561214624104645789101745678[[#This Row],[Type]],Main[[#All],[TYPE]:[UNIT]],'Unit Price'!D$1,FALSE),0)</f>
        <v>0</v>
      </c>
      <c r="I912" s="194">
        <f>IF(_1_541284561214624104645789101745678[[#This Row],[Type]]&gt;0,VLOOKUP(_1_541284561214624104645789101745678[[#This Row],[Type]],Main[[#All],[TYPE]:[UNIT]],'Unit Price'!G$1,FALSE),0)</f>
        <v>0</v>
      </c>
      <c r="J912" s="194">
        <f>IF(_1_541284561214624104645789101745678[[#This Row],[Type]]&gt;0,VLOOKUP(_1_541284561214624104645789101745678[[#This Row],[Type]],Main[[#All],[TYPE]:[UNIT]],'Unit Price'!H$1,FALSE),0)</f>
        <v>0</v>
      </c>
      <c r="K912" s="194">
        <f>IF(_1_541284561214624104645789101745678[[#This Row],[Discount selection]]&gt;0,VLOOKUP(_1_541284561214624104645789101745678[[#This Row],[Discount selection]],'Discount Structure'!$A$2:$B$30,2,"false"),0)</f>
        <v>1</v>
      </c>
      <c r="L912" s="194">
        <f>_1_541284561214624104645789101745678[[#This Row],[LIST $]]*_1_541284561214624104645789101745678[[#This Row],[DISCOUNT]]*_1_541284561214624104645789101745678[[#This Row],[DISCOUNT 2]]</f>
        <v>0</v>
      </c>
      <c r="M912" s="194">
        <f>IF(OR(_1_541284561214624104645789101745678[[#This Row],[UNIT]]&gt;0,_1_541284561214624104645789101745678[[#This Row],[UNIT]]&lt;0),_1_541284561214624104645789101745678[[#This Row],[UNIT]]*_1_541284561214624104645789101745678[[#This Row],[COST]],0)</f>
        <v>0</v>
      </c>
      <c r="N912" s="194">
        <f t="shared" si="14"/>
        <v>1.3</v>
      </c>
      <c r="O912" s="198">
        <f>_1_541284561214624104645789101745678[[#This Row],[TOTAL]]*_1_541284561214624104645789101745678[[#This Row],[MARGIN]]</f>
        <v>0</v>
      </c>
      <c r="P912" s="198"/>
      <c r="R912" s="41"/>
    </row>
    <row r="913" spans="4:18">
      <c r="D913" s="188"/>
      <c r="E913" s="42"/>
      <c r="F913" s="168" t="s">
        <v>6202</v>
      </c>
      <c r="G913" s="193">
        <f>IF(_1_541284561214624104645789101745678[[#This Row],[Type]]&gt;0,VLOOKUP(_1_541284561214624104645789101745678[[#This Row],[Type]],Main[[#All],[TYPE]:[UNIT]],'Unit Price'!C$1,FALSE),0)</f>
        <v>0</v>
      </c>
      <c r="H913" s="197">
        <f>IF(_1_541284561214624104645789101745678[[#This Row],[Type]]&gt;0,VLOOKUP(_1_541284561214624104645789101745678[[#This Row],[Type]],Main[[#All],[TYPE]:[UNIT]],'Unit Price'!D$1,FALSE),0)</f>
        <v>0</v>
      </c>
      <c r="I913" s="194">
        <f>IF(_1_541284561214624104645789101745678[[#This Row],[Type]]&gt;0,VLOOKUP(_1_541284561214624104645789101745678[[#This Row],[Type]],Main[[#All],[TYPE]:[UNIT]],'Unit Price'!G$1,FALSE),0)</f>
        <v>0</v>
      </c>
      <c r="J913" s="194">
        <f>IF(_1_541284561214624104645789101745678[[#This Row],[Type]]&gt;0,VLOOKUP(_1_541284561214624104645789101745678[[#This Row],[Type]],Main[[#All],[TYPE]:[UNIT]],'Unit Price'!H$1,FALSE),0)</f>
        <v>0</v>
      </c>
      <c r="K913" s="194">
        <f>IF(_1_541284561214624104645789101745678[[#This Row],[Discount selection]]&gt;0,VLOOKUP(_1_541284561214624104645789101745678[[#This Row],[Discount selection]],'Discount Structure'!$A$2:$B$30,2,"false"),0)</f>
        <v>1</v>
      </c>
      <c r="L913" s="194">
        <f>_1_541284561214624104645789101745678[[#This Row],[LIST $]]*_1_541284561214624104645789101745678[[#This Row],[DISCOUNT]]*_1_541284561214624104645789101745678[[#This Row],[DISCOUNT 2]]</f>
        <v>0</v>
      </c>
      <c r="M913" s="194">
        <f>IF(OR(_1_541284561214624104645789101745678[[#This Row],[UNIT]]&gt;0,_1_541284561214624104645789101745678[[#This Row],[UNIT]]&lt;0),_1_541284561214624104645789101745678[[#This Row],[UNIT]]*_1_541284561214624104645789101745678[[#This Row],[COST]],0)</f>
        <v>0</v>
      </c>
      <c r="N913" s="194">
        <f t="shared" si="14"/>
        <v>1.3</v>
      </c>
      <c r="O913" s="198">
        <f>_1_541284561214624104645789101745678[[#This Row],[TOTAL]]*_1_541284561214624104645789101745678[[#This Row],[MARGIN]]</f>
        <v>0</v>
      </c>
      <c r="P913" s="198"/>
      <c r="R913" s="41"/>
    </row>
    <row r="914" spans="4:18">
      <c r="D914" s="188"/>
      <c r="E914" s="42"/>
      <c r="F914" s="168" t="s">
        <v>6202</v>
      </c>
      <c r="G914" s="193">
        <f>IF(_1_541284561214624104645789101745678[[#This Row],[Type]]&gt;0,VLOOKUP(_1_541284561214624104645789101745678[[#This Row],[Type]],Main[[#All],[TYPE]:[UNIT]],'Unit Price'!C$1,FALSE),0)</f>
        <v>0</v>
      </c>
      <c r="H914" s="197">
        <f>IF(_1_541284561214624104645789101745678[[#This Row],[Type]]&gt;0,VLOOKUP(_1_541284561214624104645789101745678[[#This Row],[Type]],Main[[#All],[TYPE]:[UNIT]],'Unit Price'!D$1,FALSE),0)</f>
        <v>0</v>
      </c>
      <c r="I914" s="194">
        <f>IF(_1_541284561214624104645789101745678[[#This Row],[Type]]&gt;0,VLOOKUP(_1_541284561214624104645789101745678[[#This Row],[Type]],Main[[#All],[TYPE]:[UNIT]],'Unit Price'!G$1,FALSE),0)</f>
        <v>0</v>
      </c>
      <c r="J914" s="194">
        <f>IF(_1_541284561214624104645789101745678[[#This Row],[Type]]&gt;0,VLOOKUP(_1_541284561214624104645789101745678[[#This Row],[Type]],Main[[#All],[TYPE]:[UNIT]],'Unit Price'!H$1,FALSE),0)</f>
        <v>0</v>
      </c>
      <c r="K914" s="194">
        <f>IF(_1_541284561214624104645789101745678[[#This Row],[Discount selection]]&gt;0,VLOOKUP(_1_541284561214624104645789101745678[[#This Row],[Discount selection]],'Discount Structure'!$A$2:$B$30,2,"false"),0)</f>
        <v>1</v>
      </c>
      <c r="L914" s="194">
        <f>_1_541284561214624104645789101745678[[#This Row],[LIST $]]*_1_541284561214624104645789101745678[[#This Row],[DISCOUNT]]*_1_541284561214624104645789101745678[[#This Row],[DISCOUNT 2]]</f>
        <v>0</v>
      </c>
      <c r="M914" s="194">
        <f>IF(OR(_1_541284561214624104645789101745678[[#This Row],[UNIT]]&gt;0,_1_541284561214624104645789101745678[[#This Row],[UNIT]]&lt;0),_1_541284561214624104645789101745678[[#This Row],[UNIT]]*_1_541284561214624104645789101745678[[#This Row],[COST]],0)</f>
        <v>0</v>
      </c>
      <c r="N914" s="194">
        <f t="shared" si="14"/>
        <v>1.3</v>
      </c>
      <c r="O914" s="198">
        <f>_1_541284561214624104645789101745678[[#This Row],[TOTAL]]*_1_541284561214624104645789101745678[[#This Row],[MARGIN]]</f>
        <v>0</v>
      </c>
      <c r="P914" s="198"/>
      <c r="R914" s="41"/>
    </row>
    <row r="915" spans="4:18">
      <c r="D915" s="188"/>
      <c r="E915" s="42"/>
      <c r="F915" s="168" t="s">
        <v>6202</v>
      </c>
      <c r="G915" s="193">
        <f>IF(_1_541284561214624104645789101745678[[#This Row],[Type]]&gt;0,VLOOKUP(_1_541284561214624104645789101745678[[#This Row],[Type]],Main[[#All],[TYPE]:[UNIT]],'Unit Price'!C$1,FALSE),0)</f>
        <v>0</v>
      </c>
      <c r="H915" s="197">
        <f>IF(_1_541284561214624104645789101745678[[#This Row],[Type]]&gt;0,VLOOKUP(_1_541284561214624104645789101745678[[#This Row],[Type]],Main[[#All],[TYPE]:[UNIT]],'Unit Price'!D$1,FALSE),0)</f>
        <v>0</v>
      </c>
      <c r="I915" s="194">
        <f>IF(_1_541284561214624104645789101745678[[#This Row],[Type]]&gt;0,VLOOKUP(_1_541284561214624104645789101745678[[#This Row],[Type]],Main[[#All],[TYPE]:[UNIT]],'Unit Price'!G$1,FALSE),0)</f>
        <v>0</v>
      </c>
      <c r="J915" s="194">
        <f>IF(_1_541284561214624104645789101745678[[#This Row],[Type]]&gt;0,VLOOKUP(_1_541284561214624104645789101745678[[#This Row],[Type]],Main[[#All],[TYPE]:[UNIT]],'Unit Price'!H$1,FALSE),0)</f>
        <v>0</v>
      </c>
      <c r="K915" s="194">
        <f>IF(_1_541284561214624104645789101745678[[#This Row],[Discount selection]]&gt;0,VLOOKUP(_1_541284561214624104645789101745678[[#This Row],[Discount selection]],'Discount Structure'!$A$2:$B$30,2,"false"),0)</f>
        <v>1</v>
      </c>
      <c r="L915" s="194">
        <f>_1_541284561214624104645789101745678[[#This Row],[LIST $]]*_1_541284561214624104645789101745678[[#This Row],[DISCOUNT]]*_1_541284561214624104645789101745678[[#This Row],[DISCOUNT 2]]</f>
        <v>0</v>
      </c>
      <c r="M915" s="194">
        <f>IF(OR(_1_541284561214624104645789101745678[[#This Row],[UNIT]]&gt;0,_1_541284561214624104645789101745678[[#This Row],[UNIT]]&lt;0),_1_541284561214624104645789101745678[[#This Row],[UNIT]]*_1_541284561214624104645789101745678[[#This Row],[COST]],0)</f>
        <v>0</v>
      </c>
      <c r="N915" s="194">
        <f t="shared" si="14"/>
        <v>1.3</v>
      </c>
      <c r="O915" s="198">
        <f>_1_541284561214624104645789101745678[[#This Row],[TOTAL]]*_1_541284561214624104645789101745678[[#This Row],[MARGIN]]</f>
        <v>0</v>
      </c>
      <c r="P915" s="198"/>
      <c r="R915" s="41"/>
    </row>
    <row r="916" spans="4:18">
      <c r="D916" s="188"/>
      <c r="E916" s="42"/>
      <c r="F916" s="168" t="s">
        <v>6202</v>
      </c>
      <c r="G916" s="193">
        <f>IF(_1_541284561214624104645789101745678[[#This Row],[Type]]&gt;0,VLOOKUP(_1_541284561214624104645789101745678[[#This Row],[Type]],Main[[#All],[TYPE]:[UNIT]],'Unit Price'!C$1,FALSE),0)</f>
        <v>0</v>
      </c>
      <c r="H916" s="197">
        <f>IF(_1_541284561214624104645789101745678[[#This Row],[Type]]&gt;0,VLOOKUP(_1_541284561214624104645789101745678[[#This Row],[Type]],Main[[#All],[TYPE]:[UNIT]],'Unit Price'!D$1,FALSE),0)</f>
        <v>0</v>
      </c>
      <c r="I916" s="194">
        <f>IF(_1_541284561214624104645789101745678[[#This Row],[Type]]&gt;0,VLOOKUP(_1_541284561214624104645789101745678[[#This Row],[Type]],Main[[#All],[TYPE]:[UNIT]],'Unit Price'!G$1,FALSE),0)</f>
        <v>0</v>
      </c>
      <c r="J916" s="194">
        <f>IF(_1_541284561214624104645789101745678[[#This Row],[Type]]&gt;0,VLOOKUP(_1_541284561214624104645789101745678[[#This Row],[Type]],Main[[#All],[TYPE]:[UNIT]],'Unit Price'!H$1,FALSE),0)</f>
        <v>0</v>
      </c>
      <c r="K916" s="194">
        <f>IF(_1_541284561214624104645789101745678[[#This Row],[Discount selection]]&gt;0,VLOOKUP(_1_541284561214624104645789101745678[[#This Row],[Discount selection]],'Discount Structure'!$A$2:$B$30,2,"false"),0)</f>
        <v>1</v>
      </c>
      <c r="L916" s="194">
        <f>_1_541284561214624104645789101745678[[#This Row],[LIST $]]*_1_541284561214624104645789101745678[[#This Row],[DISCOUNT]]*_1_541284561214624104645789101745678[[#This Row],[DISCOUNT 2]]</f>
        <v>0</v>
      </c>
      <c r="M916" s="194">
        <f>IF(OR(_1_541284561214624104645789101745678[[#This Row],[UNIT]]&gt;0,_1_541284561214624104645789101745678[[#This Row],[UNIT]]&lt;0),_1_541284561214624104645789101745678[[#This Row],[UNIT]]*_1_541284561214624104645789101745678[[#This Row],[COST]],0)</f>
        <v>0</v>
      </c>
      <c r="N916" s="194">
        <f t="shared" si="14"/>
        <v>1.3</v>
      </c>
      <c r="O916" s="198">
        <f>_1_541284561214624104645789101745678[[#This Row],[TOTAL]]*_1_541284561214624104645789101745678[[#This Row],[MARGIN]]</f>
        <v>0</v>
      </c>
      <c r="P916" s="198"/>
      <c r="R916" s="41"/>
    </row>
    <row r="917" spans="4:18">
      <c r="D917" s="188"/>
      <c r="E917" s="42"/>
      <c r="F917" s="168" t="s">
        <v>6202</v>
      </c>
      <c r="G917" s="193">
        <f>IF(_1_541284561214624104645789101745678[[#This Row],[Type]]&gt;0,VLOOKUP(_1_541284561214624104645789101745678[[#This Row],[Type]],Main[[#All],[TYPE]:[UNIT]],'Unit Price'!C$1,FALSE),0)</f>
        <v>0</v>
      </c>
      <c r="H917" s="197">
        <f>IF(_1_541284561214624104645789101745678[[#This Row],[Type]]&gt;0,VLOOKUP(_1_541284561214624104645789101745678[[#This Row],[Type]],Main[[#All],[TYPE]:[UNIT]],'Unit Price'!D$1,FALSE),0)</f>
        <v>0</v>
      </c>
      <c r="I917" s="194">
        <f>IF(_1_541284561214624104645789101745678[[#This Row],[Type]]&gt;0,VLOOKUP(_1_541284561214624104645789101745678[[#This Row],[Type]],Main[[#All],[TYPE]:[UNIT]],'Unit Price'!G$1,FALSE),0)</f>
        <v>0</v>
      </c>
      <c r="J917" s="194">
        <f>IF(_1_541284561214624104645789101745678[[#This Row],[Type]]&gt;0,VLOOKUP(_1_541284561214624104645789101745678[[#This Row],[Type]],Main[[#All],[TYPE]:[UNIT]],'Unit Price'!H$1,FALSE),0)</f>
        <v>0</v>
      </c>
      <c r="K917" s="194">
        <f>IF(_1_541284561214624104645789101745678[[#This Row],[Discount selection]]&gt;0,VLOOKUP(_1_541284561214624104645789101745678[[#This Row],[Discount selection]],'Discount Structure'!$A$2:$B$30,2,"false"),0)</f>
        <v>1</v>
      </c>
      <c r="L917" s="194">
        <f>_1_541284561214624104645789101745678[[#This Row],[LIST $]]*_1_541284561214624104645789101745678[[#This Row],[DISCOUNT]]*_1_541284561214624104645789101745678[[#This Row],[DISCOUNT 2]]</f>
        <v>0</v>
      </c>
      <c r="M917" s="194">
        <f>IF(OR(_1_541284561214624104645789101745678[[#This Row],[UNIT]]&gt;0,_1_541284561214624104645789101745678[[#This Row],[UNIT]]&lt;0),_1_541284561214624104645789101745678[[#This Row],[UNIT]]*_1_541284561214624104645789101745678[[#This Row],[COST]],0)</f>
        <v>0</v>
      </c>
      <c r="N917" s="194">
        <f t="shared" si="14"/>
        <v>1.3</v>
      </c>
      <c r="O917" s="198">
        <f>_1_541284561214624104645789101745678[[#This Row],[TOTAL]]*_1_541284561214624104645789101745678[[#This Row],[MARGIN]]</f>
        <v>0</v>
      </c>
      <c r="P917" s="198"/>
      <c r="R917" s="41"/>
    </row>
    <row r="918" spans="4:18">
      <c r="D918" s="188"/>
      <c r="E918" s="42"/>
      <c r="F918" s="168" t="s">
        <v>6202</v>
      </c>
      <c r="G918" s="193">
        <f>IF(_1_541284561214624104645789101745678[[#This Row],[Type]]&gt;0,VLOOKUP(_1_541284561214624104645789101745678[[#This Row],[Type]],Main[[#All],[TYPE]:[UNIT]],'Unit Price'!C$1,FALSE),0)</f>
        <v>0</v>
      </c>
      <c r="H918" s="197">
        <f>IF(_1_541284561214624104645789101745678[[#This Row],[Type]]&gt;0,VLOOKUP(_1_541284561214624104645789101745678[[#This Row],[Type]],Main[[#All],[TYPE]:[UNIT]],'Unit Price'!D$1,FALSE),0)</f>
        <v>0</v>
      </c>
      <c r="I918" s="194">
        <f>IF(_1_541284561214624104645789101745678[[#This Row],[Type]]&gt;0,VLOOKUP(_1_541284561214624104645789101745678[[#This Row],[Type]],Main[[#All],[TYPE]:[UNIT]],'Unit Price'!G$1,FALSE),0)</f>
        <v>0</v>
      </c>
      <c r="J918" s="194">
        <f>IF(_1_541284561214624104645789101745678[[#This Row],[Type]]&gt;0,VLOOKUP(_1_541284561214624104645789101745678[[#This Row],[Type]],Main[[#All],[TYPE]:[UNIT]],'Unit Price'!H$1,FALSE),0)</f>
        <v>0</v>
      </c>
      <c r="K918" s="194">
        <f>IF(_1_541284561214624104645789101745678[[#This Row],[Discount selection]]&gt;0,VLOOKUP(_1_541284561214624104645789101745678[[#This Row],[Discount selection]],'Discount Structure'!$A$2:$B$30,2,"false"),0)</f>
        <v>1</v>
      </c>
      <c r="L918" s="194">
        <f>_1_541284561214624104645789101745678[[#This Row],[LIST $]]*_1_541284561214624104645789101745678[[#This Row],[DISCOUNT]]*_1_541284561214624104645789101745678[[#This Row],[DISCOUNT 2]]</f>
        <v>0</v>
      </c>
      <c r="M918" s="194">
        <f>IF(OR(_1_541284561214624104645789101745678[[#This Row],[UNIT]]&gt;0,_1_541284561214624104645789101745678[[#This Row],[UNIT]]&lt;0),_1_541284561214624104645789101745678[[#This Row],[UNIT]]*_1_541284561214624104645789101745678[[#This Row],[COST]],0)</f>
        <v>0</v>
      </c>
      <c r="N918" s="194">
        <f t="shared" si="14"/>
        <v>1.3</v>
      </c>
      <c r="O918" s="198">
        <f>_1_541284561214624104645789101745678[[#This Row],[TOTAL]]*_1_541284561214624104645789101745678[[#This Row],[MARGIN]]</f>
        <v>0</v>
      </c>
      <c r="P918" s="198"/>
      <c r="R918" s="41"/>
    </row>
    <row r="919" spans="4:18">
      <c r="D919" s="188"/>
      <c r="E919" s="42"/>
      <c r="F919" s="168" t="s">
        <v>6202</v>
      </c>
      <c r="G919" s="193">
        <f>IF(_1_541284561214624104645789101745678[[#This Row],[Type]]&gt;0,VLOOKUP(_1_541284561214624104645789101745678[[#This Row],[Type]],Main[[#All],[TYPE]:[UNIT]],'Unit Price'!C$1,FALSE),0)</f>
        <v>0</v>
      </c>
      <c r="H919" s="197">
        <f>IF(_1_541284561214624104645789101745678[[#This Row],[Type]]&gt;0,VLOOKUP(_1_541284561214624104645789101745678[[#This Row],[Type]],Main[[#All],[TYPE]:[UNIT]],'Unit Price'!D$1,FALSE),0)</f>
        <v>0</v>
      </c>
      <c r="I919" s="194">
        <f>IF(_1_541284561214624104645789101745678[[#This Row],[Type]]&gt;0,VLOOKUP(_1_541284561214624104645789101745678[[#This Row],[Type]],Main[[#All],[TYPE]:[UNIT]],'Unit Price'!G$1,FALSE),0)</f>
        <v>0</v>
      </c>
      <c r="J919" s="194">
        <f>IF(_1_541284561214624104645789101745678[[#This Row],[Type]]&gt;0,VLOOKUP(_1_541284561214624104645789101745678[[#This Row],[Type]],Main[[#All],[TYPE]:[UNIT]],'Unit Price'!H$1,FALSE),0)</f>
        <v>0</v>
      </c>
      <c r="K919" s="194">
        <f>IF(_1_541284561214624104645789101745678[[#This Row],[Discount selection]]&gt;0,VLOOKUP(_1_541284561214624104645789101745678[[#This Row],[Discount selection]],'Discount Structure'!$A$2:$B$30,2,"false"),0)</f>
        <v>1</v>
      </c>
      <c r="L919" s="194">
        <f>_1_541284561214624104645789101745678[[#This Row],[LIST $]]*_1_541284561214624104645789101745678[[#This Row],[DISCOUNT]]*_1_541284561214624104645789101745678[[#This Row],[DISCOUNT 2]]</f>
        <v>0</v>
      </c>
      <c r="M919" s="194">
        <f>IF(OR(_1_541284561214624104645789101745678[[#This Row],[UNIT]]&gt;0,_1_541284561214624104645789101745678[[#This Row],[UNIT]]&lt;0),_1_541284561214624104645789101745678[[#This Row],[UNIT]]*_1_541284561214624104645789101745678[[#This Row],[COST]],0)</f>
        <v>0</v>
      </c>
      <c r="N919" s="194">
        <f t="shared" si="14"/>
        <v>1.3</v>
      </c>
      <c r="O919" s="198">
        <f>_1_541284561214624104645789101745678[[#This Row],[TOTAL]]*_1_541284561214624104645789101745678[[#This Row],[MARGIN]]</f>
        <v>0</v>
      </c>
      <c r="P919" s="198"/>
      <c r="R919" s="41"/>
    </row>
    <row r="920" spans="4:18">
      <c r="D920" s="188"/>
      <c r="E920" s="42"/>
      <c r="F920" s="168" t="s">
        <v>6202</v>
      </c>
      <c r="G920" s="193">
        <f>IF(_1_541284561214624104645789101745678[[#This Row],[Type]]&gt;0,VLOOKUP(_1_541284561214624104645789101745678[[#This Row],[Type]],Main[[#All],[TYPE]:[UNIT]],'Unit Price'!C$1,FALSE),0)</f>
        <v>0</v>
      </c>
      <c r="H920" s="197">
        <f>IF(_1_541284561214624104645789101745678[[#This Row],[Type]]&gt;0,VLOOKUP(_1_541284561214624104645789101745678[[#This Row],[Type]],Main[[#All],[TYPE]:[UNIT]],'Unit Price'!D$1,FALSE),0)</f>
        <v>0</v>
      </c>
      <c r="I920" s="194">
        <f>IF(_1_541284561214624104645789101745678[[#This Row],[Type]]&gt;0,VLOOKUP(_1_541284561214624104645789101745678[[#This Row],[Type]],Main[[#All],[TYPE]:[UNIT]],'Unit Price'!G$1,FALSE),0)</f>
        <v>0</v>
      </c>
      <c r="J920" s="194">
        <f>IF(_1_541284561214624104645789101745678[[#This Row],[Type]]&gt;0,VLOOKUP(_1_541284561214624104645789101745678[[#This Row],[Type]],Main[[#All],[TYPE]:[UNIT]],'Unit Price'!H$1,FALSE),0)</f>
        <v>0</v>
      </c>
      <c r="K920" s="194">
        <f>IF(_1_541284561214624104645789101745678[[#This Row],[Discount selection]]&gt;0,VLOOKUP(_1_541284561214624104645789101745678[[#This Row],[Discount selection]],'Discount Structure'!$A$2:$B$30,2,"false"),0)</f>
        <v>1</v>
      </c>
      <c r="L920" s="194">
        <f>_1_541284561214624104645789101745678[[#This Row],[LIST $]]*_1_541284561214624104645789101745678[[#This Row],[DISCOUNT]]*_1_541284561214624104645789101745678[[#This Row],[DISCOUNT 2]]</f>
        <v>0</v>
      </c>
      <c r="M920" s="194">
        <f>IF(OR(_1_541284561214624104645789101745678[[#This Row],[UNIT]]&gt;0,_1_541284561214624104645789101745678[[#This Row],[UNIT]]&lt;0),_1_541284561214624104645789101745678[[#This Row],[UNIT]]*_1_541284561214624104645789101745678[[#This Row],[COST]],0)</f>
        <v>0</v>
      </c>
      <c r="N920" s="194">
        <f t="shared" si="14"/>
        <v>1.3</v>
      </c>
      <c r="O920" s="198">
        <f>_1_541284561214624104645789101745678[[#This Row],[TOTAL]]*_1_541284561214624104645789101745678[[#This Row],[MARGIN]]</f>
        <v>0</v>
      </c>
      <c r="P920" s="198"/>
      <c r="R920" s="41"/>
    </row>
    <row r="921" spans="4:18">
      <c r="D921" s="188"/>
      <c r="E921" s="42"/>
      <c r="F921" s="168" t="s">
        <v>6202</v>
      </c>
      <c r="G921" s="193">
        <f>IF(_1_541284561214624104645789101745678[[#This Row],[Type]]&gt;0,VLOOKUP(_1_541284561214624104645789101745678[[#This Row],[Type]],Main[[#All],[TYPE]:[UNIT]],'Unit Price'!C$1,FALSE),0)</f>
        <v>0</v>
      </c>
      <c r="H921" s="197">
        <f>IF(_1_541284561214624104645789101745678[[#This Row],[Type]]&gt;0,VLOOKUP(_1_541284561214624104645789101745678[[#This Row],[Type]],Main[[#All],[TYPE]:[UNIT]],'Unit Price'!D$1,FALSE),0)</f>
        <v>0</v>
      </c>
      <c r="I921" s="194">
        <f>IF(_1_541284561214624104645789101745678[[#This Row],[Type]]&gt;0,VLOOKUP(_1_541284561214624104645789101745678[[#This Row],[Type]],Main[[#All],[TYPE]:[UNIT]],'Unit Price'!G$1,FALSE),0)</f>
        <v>0</v>
      </c>
      <c r="J921" s="194">
        <f>IF(_1_541284561214624104645789101745678[[#This Row],[Type]]&gt;0,VLOOKUP(_1_541284561214624104645789101745678[[#This Row],[Type]],Main[[#All],[TYPE]:[UNIT]],'Unit Price'!H$1,FALSE),0)</f>
        <v>0</v>
      </c>
      <c r="K921" s="194">
        <f>IF(_1_541284561214624104645789101745678[[#This Row],[Discount selection]]&gt;0,VLOOKUP(_1_541284561214624104645789101745678[[#This Row],[Discount selection]],'Discount Structure'!$A$2:$B$30,2,"false"),0)</f>
        <v>1</v>
      </c>
      <c r="L921" s="194">
        <f>_1_541284561214624104645789101745678[[#This Row],[LIST $]]*_1_541284561214624104645789101745678[[#This Row],[DISCOUNT]]*_1_541284561214624104645789101745678[[#This Row],[DISCOUNT 2]]</f>
        <v>0</v>
      </c>
      <c r="M921" s="194">
        <f>IF(OR(_1_541284561214624104645789101745678[[#This Row],[UNIT]]&gt;0,_1_541284561214624104645789101745678[[#This Row],[UNIT]]&lt;0),_1_541284561214624104645789101745678[[#This Row],[UNIT]]*_1_541284561214624104645789101745678[[#This Row],[COST]],0)</f>
        <v>0</v>
      </c>
      <c r="N921" s="194">
        <f t="shared" si="14"/>
        <v>1.3</v>
      </c>
      <c r="O921" s="198">
        <f>_1_541284561214624104645789101745678[[#This Row],[TOTAL]]*_1_541284561214624104645789101745678[[#This Row],[MARGIN]]</f>
        <v>0</v>
      </c>
      <c r="P921" s="198"/>
      <c r="R921" s="41"/>
    </row>
    <row r="922" spans="4:18">
      <c r="D922" s="188"/>
      <c r="E922" s="42"/>
      <c r="F922" s="168" t="s">
        <v>6202</v>
      </c>
      <c r="G922" s="193">
        <f>IF(_1_541284561214624104645789101745678[[#This Row],[Type]]&gt;0,VLOOKUP(_1_541284561214624104645789101745678[[#This Row],[Type]],Main[[#All],[TYPE]:[UNIT]],'Unit Price'!C$1,FALSE),0)</f>
        <v>0</v>
      </c>
      <c r="H922" s="197">
        <f>IF(_1_541284561214624104645789101745678[[#This Row],[Type]]&gt;0,VLOOKUP(_1_541284561214624104645789101745678[[#This Row],[Type]],Main[[#All],[TYPE]:[UNIT]],'Unit Price'!D$1,FALSE),0)</f>
        <v>0</v>
      </c>
      <c r="I922" s="194">
        <f>IF(_1_541284561214624104645789101745678[[#This Row],[Type]]&gt;0,VLOOKUP(_1_541284561214624104645789101745678[[#This Row],[Type]],Main[[#All],[TYPE]:[UNIT]],'Unit Price'!G$1,FALSE),0)</f>
        <v>0</v>
      </c>
      <c r="J922" s="194">
        <f>IF(_1_541284561214624104645789101745678[[#This Row],[Type]]&gt;0,VLOOKUP(_1_541284561214624104645789101745678[[#This Row],[Type]],Main[[#All],[TYPE]:[UNIT]],'Unit Price'!H$1,FALSE),0)</f>
        <v>0</v>
      </c>
      <c r="K922" s="194">
        <f>IF(_1_541284561214624104645789101745678[[#This Row],[Discount selection]]&gt;0,VLOOKUP(_1_541284561214624104645789101745678[[#This Row],[Discount selection]],'Discount Structure'!$A$2:$B$30,2,"false"),0)</f>
        <v>1</v>
      </c>
      <c r="L922" s="194">
        <f>_1_541284561214624104645789101745678[[#This Row],[LIST $]]*_1_541284561214624104645789101745678[[#This Row],[DISCOUNT]]*_1_541284561214624104645789101745678[[#This Row],[DISCOUNT 2]]</f>
        <v>0</v>
      </c>
      <c r="M922" s="194">
        <f>IF(OR(_1_541284561214624104645789101745678[[#This Row],[UNIT]]&gt;0,_1_541284561214624104645789101745678[[#This Row],[UNIT]]&lt;0),_1_541284561214624104645789101745678[[#This Row],[UNIT]]*_1_541284561214624104645789101745678[[#This Row],[COST]],0)</f>
        <v>0</v>
      </c>
      <c r="N922" s="194">
        <f t="shared" si="14"/>
        <v>1.3</v>
      </c>
      <c r="O922" s="198">
        <f>_1_541284561214624104645789101745678[[#This Row],[TOTAL]]*_1_541284561214624104645789101745678[[#This Row],[MARGIN]]</f>
        <v>0</v>
      </c>
      <c r="P922" s="198"/>
      <c r="R922" s="41"/>
    </row>
    <row r="923" spans="4:18">
      <c r="D923" s="188"/>
      <c r="E923" s="42"/>
      <c r="F923" s="168" t="s">
        <v>6202</v>
      </c>
      <c r="G923" s="193">
        <f>IF(_1_541284561214624104645789101745678[[#This Row],[Type]]&gt;0,VLOOKUP(_1_541284561214624104645789101745678[[#This Row],[Type]],Main[[#All],[TYPE]:[UNIT]],'Unit Price'!C$1,FALSE),0)</f>
        <v>0</v>
      </c>
      <c r="H923" s="197">
        <f>IF(_1_541284561214624104645789101745678[[#This Row],[Type]]&gt;0,VLOOKUP(_1_541284561214624104645789101745678[[#This Row],[Type]],Main[[#All],[TYPE]:[UNIT]],'Unit Price'!D$1,FALSE),0)</f>
        <v>0</v>
      </c>
      <c r="I923" s="194">
        <f>IF(_1_541284561214624104645789101745678[[#This Row],[Type]]&gt;0,VLOOKUP(_1_541284561214624104645789101745678[[#This Row],[Type]],Main[[#All],[TYPE]:[UNIT]],'Unit Price'!G$1,FALSE),0)</f>
        <v>0</v>
      </c>
      <c r="J923" s="194">
        <f>IF(_1_541284561214624104645789101745678[[#This Row],[Type]]&gt;0,VLOOKUP(_1_541284561214624104645789101745678[[#This Row],[Type]],Main[[#All],[TYPE]:[UNIT]],'Unit Price'!H$1,FALSE),0)</f>
        <v>0</v>
      </c>
      <c r="K923" s="194">
        <f>IF(_1_541284561214624104645789101745678[[#This Row],[Discount selection]]&gt;0,VLOOKUP(_1_541284561214624104645789101745678[[#This Row],[Discount selection]],'Discount Structure'!$A$2:$B$30,2,"false"),0)</f>
        <v>1</v>
      </c>
      <c r="L923" s="194">
        <f>_1_541284561214624104645789101745678[[#This Row],[LIST $]]*_1_541284561214624104645789101745678[[#This Row],[DISCOUNT]]*_1_541284561214624104645789101745678[[#This Row],[DISCOUNT 2]]</f>
        <v>0</v>
      </c>
      <c r="M923" s="194">
        <f>IF(OR(_1_541284561214624104645789101745678[[#This Row],[UNIT]]&gt;0,_1_541284561214624104645789101745678[[#This Row],[UNIT]]&lt;0),_1_541284561214624104645789101745678[[#This Row],[UNIT]]*_1_541284561214624104645789101745678[[#This Row],[COST]],0)</f>
        <v>0</v>
      </c>
      <c r="N923" s="194">
        <f t="shared" si="14"/>
        <v>1.3</v>
      </c>
      <c r="O923" s="198">
        <f>_1_541284561214624104645789101745678[[#This Row],[TOTAL]]*_1_541284561214624104645789101745678[[#This Row],[MARGIN]]</f>
        <v>0</v>
      </c>
      <c r="P923" s="198"/>
      <c r="R923" s="41"/>
    </row>
    <row r="924" spans="4:18">
      <c r="D924" s="188"/>
      <c r="E924" s="42"/>
      <c r="F924" s="168" t="s">
        <v>6202</v>
      </c>
      <c r="G924" s="193">
        <f>IF(_1_541284561214624104645789101745678[[#This Row],[Type]]&gt;0,VLOOKUP(_1_541284561214624104645789101745678[[#This Row],[Type]],Main[[#All],[TYPE]:[UNIT]],'Unit Price'!C$1,FALSE),0)</f>
        <v>0</v>
      </c>
      <c r="H924" s="197">
        <f>IF(_1_541284561214624104645789101745678[[#This Row],[Type]]&gt;0,VLOOKUP(_1_541284561214624104645789101745678[[#This Row],[Type]],Main[[#All],[TYPE]:[UNIT]],'Unit Price'!D$1,FALSE),0)</f>
        <v>0</v>
      </c>
      <c r="I924" s="194">
        <f>IF(_1_541284561214624104645789101745678[[#This Row],[Type]]&gt;0,VLOOKUP(_1_541284561214624104645789101745678[[#This Row],[Type]],Main[[#All],[TYPE]:[UNIT]],'Unit Price'!G$1,FALSE),0)</f>
        <v>0</v>
      </c>
      <c r="J924" s="194">
        <f>IF(_1_541284561214624104645789101745678[[#This Row],[Type]]&gt;0,VLOOKUP(_1_541284561214624104645789101745678[[#This Row],[Type]],Main[[#All],[TYPE]:[UNIT]],'Unit Price'!H$1,FALSE),0)</f>
        <v>0</v>
      </c>
      <c r="K924" s="194">
        <f>IF(_1_541284561214624104645789101745678[[#This Row],[Discount selection]]&gt;0,VLOOKUP(_1_541284561214624104645789101745678[[#This Row],[Discount selection]],'Discount Structure'!$A$2:$B$30,2,"false"),0)</f>
        <v>1</v>
      </c>
      <c r="L924" s="194">
        <f>_1_541284561214624104645789101745678[[#This Row],[LIST $]]*_1_541284561214624104645789101745678[[#This Row],[DISCOUNT]]*_1_541284561214624104645789101745678[[#This Row],[DISCOUNT 2]]</f>
        <v>0</v>
      </c>
      <c r="M924" s="194">
        <f>IF(OR(_1_541284561214624104645789101745678[[#This Row],[UNIT]]&gt;0,_1_541284561214624104645789101745678[[#This Row],[UNIT]]&lt;0),_1_541284561214624104645789101745678[[#This Row],[UNIT]]*_1_541284561214624104645789101745678[[#This Row],[COST]],0)</f>
        <v>0</v>
      </c>
      <c r="N924" s="194">
        <f t="shared" si="14"/>
        <v>1.3</v>
      </c>
      <c r="O924" s="198">
        <f>_1_541284561214624104645789101745678[[#This Row],[TOTAL]]*_1_541284561214624104645789101745678[[#This Row],[MARGIN]]</f>
        <v>0</v>
      </c>
      <c r="P924" s="198"/>
      <c r="R924" s="41"/>
    </row>
    <row r="925" spans="4:18">
      <c r="D925" s="188"/>
      <c r="E925" s="42"/>
      <c r="F925" s="168" t="s">
        <v>6202</v>
      </c>
      <c r="G925" s="193">
        <f>IF(_1_541284561214624104645789101745678[[#This Row],[Type]]&gt;0,VLOOKUP(_1_541284561214624104645789101745678[[#This Row],[Type]],Main[[#All],[TYPE]:[UNIT]],'Unit Price'!C$1,FALSE),0)</f>
        <v>0</v>
      </c>
      <c r="H925" s="197">
        <f>IF(_1_541284561214624104645789101745678[[#This Row],[Type]]&gt;0,VLOOKUP(_1_541284561214624104645789101745678[[#This Row],[Type]],Main[[#All],[TYPE]:[UNIT]],'Unit Price'!D$1,FALSE),0)</f>
        <v>0</v>
      </c>
      <c r="I925" s="194">
        <f>IF(_1_541284561214624104645789101745678[[#This Row],[Type]]&gt;0,VLOOKUP(_1_541284561214624104645789101745678[[#This Row],[Type]],Main[[#All],[TYPE]:[UNIT]],'Unit Price'!G$1,FALSE),0)</f>
        <v>0</v>
      </c>
      <c r="J925" s="194">
        <f>IF(_1_541284561214624104645789101745678[[#This Row],[Type]]&gt;0,VLOOKUP(_1_541284561214624104645789101745678[[#This Row],[Type]],Main[[#All],[TYPE]:[UNIT]],'Unit Price'!H$1,FALSE),0)</f>
        <v>0</v>
      </c>
      <c r="K925" s="194">
        <f>IF(_1_541284561214624104645789101745678[[#This Row],[Discount selection]]&gt;0,VLOOKUP(_1_541284561214624104645789101745678[[#This Row],[Discount selection]],'Discount Structure'!$A$2:$B$30,2,"false"),0)</f>
        <v>1</v>
      </c>
      <c r="L925" s="194">
        <f>_1_541284561214624104645789101745678[[#This Row],[LIST $]]*_1_541284561214624104645789101745678[[#This Row],[DISCOUNT]]*_1_541284561214624104645789101745678[[#This Row],[DISCOUNT 2]]</f>
        <v>0</v>
      </c>
      <c r="M925" s="194">
        <f>IF(OR(_1_541284561214624104645789101745678[[#This Row],[UNIT]]&gt;0,_1_541284561214624104645789101745678[[#This Row],[UNIT]]&lt;0),_1_541284561214624104645789101745678[[#This Row],[UNIT]]*_1_541284561214624104645789101745678[[#This Row],[COST]],0)</f>
        <v>0</v>
      </c>
      <c r="N925" s="194">
        <f t="shared" si="14"/>
        <v>1.3</v>
      </c>
      <c r="O925" s="198">
        <f>_1_541284561214624104645789101745678[[#This Row],[TOTAL]]*_1_541284561214624104645789101745678[[#This Row],[MARGIN]]</f>
        <v>0</v>
      </c>
      <c r="P925" s="198"/>
      <c r="R925" s="41"/>
    </row>
    <row r="926" spans="4:18">
      <c r="D926" s="188"/>
      <c r="E926" s="42"/>
      <c r="F926" s="168" t="s">
        <v>6202</v>
      </c>
      <c r="G926" s="193">
        <f>IF(_1_541284561214624104645789101745678[[#This Row],[Type]]&gt;0,VLOOKUP(_1_541284561214624104645789101745678[[#This Row],[Type]],Main[[#All],[TYPE]:[UNIT]],'Unit Price'!C$1,FALSE),0)</f>
        <v>0</v>
      </c>
      <c r="H926" s="197">
        <f>IF(_1_541284561214624104645789101745678[[#This Row],[Type]]&gt;0,VLOOKUP(_1_541284561214624104645789101745678[[#This Row],[Type]],Main[[#All],[TYPE]:[UNIT]],'Unit Price'!D$1,FALSE),0)</f>
        <v>0</v>
      </c>
      <c r="I926" s="194">
        <f>IF(_1_541284561214624104645789101745678[[#This Row],[Type]]&gt;0,VLOOKUP(_1_541284561214624104645789101745678[[#This Row],[Type]],Main[[#All],[TYPE]:[UNIT]],'Unit Price'!G$1,FALSE),0)</f>
        <v>0</v>
      </c>
      <c r="J926" s="194">
        <f>IF(_1_541284561214624104645789101745678[[#This Row],[Type]]&gt;0,VLOOKUP(_1_541284561214624104645789101745678[[#This Row],[Type]],Main[[#All],[TYPE]:[UNIT]],'Unit Price'!H$1,FALSE),0)</f>
        <v>0</v>
      </c>
      <c r="K926" s="194">
        <f>IF(_1_541284561214624104645789101745678[[#This Row],[Discount selection]]&gt;0,VLOOKUP(_1_541284561214624104645789101745678[[#This Row],[Discount selection]],'Discount Structure'!$A$2:$B$30,2,"false"),0)</f>
        <v>1</v>
      </c>
      <c r="L926" s="194">
        <f>_1_541284561214624104645789101745678[[#This Row],[LIST $]]*_1_541284561214624104645789101745678[[#This Row],[DISCOUNT]]*_1_541284561214624104645789101745678[[#This Row],[DISCOUNT 2]]</f>
        <v>0</v>
      </c>
      <c r="M926" s="194">
        <f>IF(OR(_1_541284561214624104645789101745678[[#This Row],[UNIT]]&gt;0,_1_541284561214624104645789101745678[[#This Row],[UNIT]]&lt;0),_1_541284561214624104645789101745678[[#This Row],[UNIT]]*_1_541284561214624104645789101745678[[#This Row],[COST]],0)</f>
        <v>0</v>
      </c>
      <c r="N926" s="194">
        <f t="shared" si="14"/>
        <v>1.3</v>
      </c>
      <c r="O926" s="198">
        <f>_1_541284561214624104645789101745678[[#This Row],[TOTAL]]*_1_541284561214624104645789101745678[[#This Row],[MARGIN]]</f>
        <v>0</v>
      </c>
      <c r="P926" s="198"/>
      <c r="R926" s="41"/>
    </row>
    <row r="927" spans="4:18">
      <c r="D927" s="188"/>
      <c r="E927" s="42"/>
      <c r="F927" s="168" t="s">
        <v>6202</v>
      </c>
      <c r="G927" s="193">
        <f>IF(_1_541284561214624104645789101745678[[#This Row],[Type]]&gt;0,VLOOKUP(_1_541284561214624104645789101745678[[#This Row],[Type]],Main[[#All],[TYPE]:[UNIT]],'Unit Price'!C$1,FALSE),0)</f>
        <v>0</v>
      </c>
      <c r="H927" s="197">
        <f>IF(_1_541284561214624104645789101745678[[#This Row],[Type]]&gt;0,VLOOKUP(_1_541284561214624104645789101745678[[#This Row],[Type]],Main[[#All],[TYPE]:[UNIT]],'Unit Price'!D$1,FALSE),0)</f>
        <v>0</v>
      </c>
      <c r="I927" s="194">
        <f>IF(_1_541284561214624104645789101745678[[#This Row],[Type]]&gt;0,VLOOKUP(_1_541284561214624104645789101745678[[#This Row],[Type]],Main[[#All],[TYPE]:[UNIT]],'Unit Price'!G$1,FALSE),0)</f>
        <v>0</v>
      </c>
      <c r="J927" s="194">
        <f>IF(_1_541284561214624104645789101745678[[#This Row],[Type]]&gt;0,VLOOKUP(_1_541284561214624104645789101745678[[#This Row],[Type]],Main[[#All],[TYPE]:[UNIT]],'Unit Price'!H$1,FALSE),0)</f>
        <v>0</v>
      </c>
      <c r="K927" s="194">
        <f>IF(_1_541284561214624104645789101745678[[#This Row],[Discount selection]]&gt;0,VLOOKUP(_1_541284561214624104645789101745678[[#This Row],[Discount selection]],'Discount Structure'!$A$2:$B$30,2,"false"),0)</f>
        <v>1</v>
      </c>
      <c r="L927" s="194">
        <f>_1_541284561214624104645789101745678[[#This Row],[LIST $]]*_1_541284561214624104645789101745678[[#This Row],[DISCOUNT]]*_1_541284561214624104645789101745678[[#This Row],[DISCOUNT 2]]</f>
        <v>0</v>
      </c>
      <c r="M927" s="194">
        <f>IF(OR(_1_541284561214624104645789101745678[[#This Row],[UNIT]]&gt;0,_1_541284561214624104645789101745678[[#This Row],[UNIT]]&lt;0),_1_541284561214624104645789101745678[[#This Row],[UNIT]]*_1_541284561214624104645789101745678[[#This Row],[COST]],0)</f>
        <v>0</v>
      </c>
      <c r="N927" s="194">
        <f t="shared" si="14"/>
        <v>1.3</v>
      </c>
      <c r="O927" s="198">
        <f>_1_541284561214624104645789101745678[[#This Row],[TOTAL]]*_1_541284561214624104645789101745678[[#This Row],[MARGIN]]</f>
        <v>0</v>
      </c>
      <c r="P927" s="198"/>
      <c r="R927" s="41"/>
    </row>
    <row r="928" spans="4:18">
      <c r="D928" s="188"/>
      <c r="E928" s="42"/>
      <c r="F928" s="168" t="s">
        <v>6202</v>
      </c>
      <c r="G928" s="193">
        <f>IF(_1_541284561214624104645789101745678[[#This Row],[Type]]&gt;0,VLOOKUP(_1_541284561214624104645789101745678[[#This Row],[Type]],Main[[#All],[TYPE]:[UNIT]],'Unit Price'!C$1,FALSE),0)</f>
        <v>0</v>
      </c>
      <c r="H928" s="197">
        <f>IF(_1_541284561214624104645789101745678[[#This Row],[Type]]&gt;0,VLOOKUP(_1_541284561214624104645789101745678[[#This Row],[Type]],Main[[#All],[TYPE]:[UNIT]],'Unit Price'!D$1,FALSE),0)</f>
        <v>0</v>
      </c>
      <c r="I928" s="194">
        <f>IF(_1_541284561214624104645789101745678[[#This Row],[Type]]&gt;0,VLOOKUP(_1_541284561214624104645789101745678[[#This Row],[Type]],Main[[#All],[TYPE]:[UNIT]],'Unit Price'!G$1,FALSE),0)</f>
        <v>0</v>
      </c>
      <c r="J928" s="194">
        <f>IF(_1_541284561214624104645789101745678[[#This Row],[Type]]&gt;0,VLOOKUP(_1_541284561214624104645789101745678[[#This Row],[Type]],Main[[#All],[TYPE]:[UNIT]],'Unit Price'!H$1,FALSE),0)</f>
        <v>0</v>
      </c>
      <c r="K928" s="194">
        <f>IF(_1_541284561214624104645789101745678[[#This Row],[Discount selection]]&gt;0,VLOOKUP(_1_541284561214624104645789101745678[[#This Row],[Discount selection]],'Discount Structure'!$A$2:$B$30,2,"false"),0)</f>
        <v>1</v>
      </c>
      <c r="L928" s="194">
        <f>_1_541284561214624104645789101745678[[#This Row],[LIST $]]*_1_541284561214624104645789101745678[[#This Row],[DISCOUNT]]*_1_541284561214624104645789101745678[[#This Row],[DISCOUNT 2]]</f>
        <v>0</v>
      </c>
      <c r="M928" s="194">
        <f>IF(OR(_1_541284561214624104645789101745678[[#This Row],[UNIT]]&gt;0,_1_541284561214624104645789101745678[[#This Row],[UNIT]]&lt;0),_1_541284561214624104645789101745678[[#This Row],[UNIT]]*_1_541284561214624104645789101745678[[#This Row],[COST]],0)</f>
        <v>0</v>
      </c>
      <c r="N928" s="194">
        <f t="shared" si="14"/>
        <v>1.3</v>
      </c>
      <c r="O928" s="198">
        <f>_1_541284561214624104645789101745678[[#This Row],[TOTAL]]*_1_541284561214624104645789101745678[[#This Row],[MARGIN]]</f>
        <v>0</v>
      </c>
      <c r="P928" s="198"/>
      <c r="R928" s="41"/>
    </row>
    <row r="929" spans="4:18">
      <c r="D929" s="188"/>
      <c r="E929" s="42"/>
      <c r="F929" s="168" t="s">
        <v>6202</v>
      </c>
      <c r="G929" s="193">
        <f>IF(_1_541284561214624104645789101745678[[#This Row],[Type]]&gt;0,VLOOKUP(_1_541284561214624104645789101745678[[#This Row],[Type]],Main[[#All],[TYPE]:[UNIT]],'Unit Price'!C$1,FALSE),0)</f>
        <v>0</v>
      </c>
      <c r="H929" s="197">
        <f>IF(_1_541284561214624104645789101745678[[#This Row],[Type]]&gt;0,VLOOKUP(_1_541284561214624104645789101745678[[#This Row],[Type]],Main[[#All],[TYPE]:[UNIT]],'Unit Price'!D$1,FALSE),0)</f>
        <v>0</v>
      </c>
      <c r="I929" s="194">
        <f>IF(_1_541284561214624104645789101745678[[#This Row],[Type]]&gt;0,VLOOKUP(_1_541284561214624104645789101745678[[#This Row],[Type]],Main[[#All],[TYPE]:[UNIT]],'Unit Price'!G$1,FALSE),0)</f>
        <v>0</v>
      </c>
      <c r="J929" s="194">
        <f>IF(_1_541284561214624104645789101745678[[#This Row],[Type]]&gt;0,VLOOKUP(_1_541284561214624104645789101745678[[#This Row],[Type]],Main[[#All],[TYPE]:[UNIT]],'Unit Price'!H$1,FALSE),0)</f>
        <v>0</v>
      </c>
      <c r="K929" s="194">
        <f>IF(_1_541284561214624104645789101745678[[#This Row],[Discount selection]]&gt;0,VLOOKUP(_1_541284561214624104645789101745678[[#This Row],[Discount selection]],'Discount Structure'!$A$2:$B$30,2,"false"),0)</f>
        <v>1</v>
      </c>
      <c r="L929" s="194">
        <f>_1_541284561214624104645789101745678[[#This Row],[LIST $]]*_1_541284561214624104645789101745678[[#This Row],[DISCOUNT]]*_1_541284561214624104645789101745678[[#This Row],[DISCOUNT 2]]</f>
        <v>0</v>
      </c>
      <c r="M929" s="194">
        <f>IF(OR(_1_541284561214624104645789101745678[[#This Row],[UNIT]]&gt;0,_1_541284561214624104645789101745678[[#This Row],[UNIT]]&lt;0),_1_541284561214624104645789101745678[[#This Row],[UNIT]]*_1_541284561214624104645789101745678[[#This Row],[COST]],0)</f>
        <v>0</v>
      </c>
      <c r="N929" s="194">
        <f t="shared" si="14"/>
        <v>1.3</v>
      </c>
      <c r="O929" s="198">
        <f>_1_541284561214624104645789101745678[[#This Row],[TOTAL]]*_1_541284561214624104645789101745678[[#This Row],[MARGIN]]</f>
        <v>0</v>
      </c>
      <c r="P929" s="198"/>
      <c r="R929" s="41"/>
    </row>
    <row r="930" spans="4:18">
      <c r="D930" s="188"/>
      <c r="E930" s="42"/>
      <c r="F930" s="168" t="s">
        <v>6202</v>
      </c>
      <c r="G930" s="193">
        <f>IF(_1_541284561214624104645789101745678[[#This Row],[Type]]&gt;0,VLOOKUP(_1_541284561214624104645789101745678[[#This Row],[Type]],Main[[#All],[TYPE]:[UNIT]],'Unit Price'!C$1,FALSE),0)</f>
        <v>0</v>
      </c>
      <c r="H930" s="197">
        <f>IF(_1_541284561214624104645789101745678[[#This Row],[Type]]&gt;0,VLOOKUP(_1_541284561214624104645789101745678[[#This Row],[Type]],Main[[#All],[TYPE]:[UNIT]],'Unit Price'!D$1,FALSE),0)</f>
        <v>0</v>
      </c>
      <c r="I930" s="194">
        <f>IF(_1_541284561214624104645789101745678[[#This Row],[Type]]&gt;0,VLOOKUP(_1_541284561214624104645789101745678[[#This Row],[Type]],Main[[#All],[TYPE]:[UNIT]],'Unit Price'!G$1,FALSE),0)</f>
        <v>0</v>
      </c>
      <c r="J930" s="194">
        <f>IF(_1_541284561214624104645789101745678[[#This Row],[Type]]&gt;0,VLOOKUP(_1_541284561214624104645789101745678[[#This Row],[Type]],Main[[#All],[TYPE]:[UNIT]],'Unit Price'!H$1,FALSE),0)</f>
        <v>0</v>
      </c>
      <c r="K930" s="194">
        <f>IF(_1_541284561214624104645789101745678[[#This Row],[Discount selection]]&gt;0,VLOOKUP(_1_541284561214624104645789101745678[[#This Row],[Discount selection]],'Discount Structure'!$A$2:$B$30,2,"false"),0)</f>
        <v>1</v>
      </c>
      <c r="L930" s="194">
        <f>_1_541284561214624104645789101745678[[#This Row],[LIST $]]*_1_541284561214624104645789101745678[[#This Row],[DISCOUNT]]*_1_541284561214624104645789101745678[[#This Row],[DISCOUNT 2]]</f>
        <v>0</v>
      </c>
      <c r="M930" s="194">
        <f>IF(OR(_1_541284561214624104645789101745678[[#This Row],[UNIT]]&gt;0,_1_541284561214624104645789101745678[[#This Row],[UNIT]]&lt;0),_1_541284561214624104645789101745678[[#This Row],[UNIT]]*_1_541284561214624104645789101745678[[#This Row],[COST]],0)</f>
        <v>0</v>
      </c>
      <c r="N930" s="194">
        <f t="shared" si="14"/>
        <v>1.3</v>
      </c>
      <c r="O930" s="198">
        <f>_1_541284561214624104645789101745678[[#This Row],[TOTAL]]*_1_541284561214624104645789101745678[[#This Row],[MARGIN]]</f>
        <v>0</v>
      </c>
      <c r="P930" s="198"/>
      <c r="R930" s="41"/>
    </row>
    <row r="931" spans="4:18">
      <c r="D931" s="188"/>
      <c r="E931" s="42"/>
      <c r="F931" s="168" t="s">
        <v>6202</v>
      </c>
      <c r="G931" s="193">
        <f>IF(_1_541284561214624104645789101745678[[#This Row],[Type]]&gt;0,VLOOKUP(_1_541284561214624104645789101745678[[#This Row],[Type]],Main[[#All],[TYPE]:[UNIT]],'Unit Price'!C$1,FALSE),0)</f>
        <v>0</v>
      </c>
      <c r="H931" s="197">
        <f>IF(_1_541284561214624104645789101745678[[#This Row],[Type]]&gt;0,VLOOKUP(_1_541284561214624104645789101745678[[#This Row],[Type]],Main[[#All],[TYPE]:[UNIT]],'Unit Price'!D$1,FALSE),0)</f>
        <v>0</v>
      </c>
      <c r="I931" s="194">
        <f>IF(_1_541284561214624104645789101745678[[#This Row],[Type]]&gt;0,VLOOKUP(_1_541284561214624104645789101745678[[#This Row],[Type]],Main[[#All],[TYPE]:[UNIT]],'Unit Price'!G$1,FALSE),0)</f>
        <v>0</v>
      </c>
      <c r="J931" s="194">
        <f>IF(_1_541284561214624104645789101745678[[#This Row],[Type]]&gt;0,VLOOKUP(_1_541284561214624104645789101745678[[#This Row],[Type]],Main[[#All],[TYPE]:[UNIT]],'Unit Price'!H$1,FALSE),0)</f>
        <v>0</v>
      </c>
      <c r="K931" s="194">
        <f>IF(_1_541284561214624104645789101745678[[#This Row],[Discount selection]]&gt;0,VLOOKUP(_1_541284561214624104645789101745678[[#This Row],[Discount selection]],'Discount Structure'!$A$2:$B$30,2,"false"),0)</f>
        <v>1</v>
      </c>
      <c r="L931" s="194">
        <f>_1_541284561214624104645789101745678[[#This Row],[LIST $]]*_1_541284561214624104645789101745678[[#This Row],[DISCOUNT]]*_1_541284561214624104645789101745678[[#This Row],[DISCOUNT 2]]</f>
        <v>0</v>
      </c>
      <c r="M931" s="194">
        <f>IF(OR(_1_541284561214624104645789101745678[[#This Row],[UNIT]]&gt;0,_1_541284561214624104645789101745678[[#This Row],[UNIT]]&lt;0),_1_541284561214624104645789101745678[[#This Row],[UNIT]]*_1_541284561214624104645789101745678[[#This Row],[COST]],0)</f>
        <v>0</v>
      </c>
      <c r="N931" s="194">
        <f t="shared" si="14"/>
        <v>1.3</v>
      </c>
      <c r="O931" s="198">
        <f>_1_541284561214624104645789101745678[[#This Row],[TOTAL]]*_1_541284561214624104645789101745678[[#This Row],[MARGIN]]</f>
        <v>0</v>
      </c>
      <c r="P931" s="198"/>
      <c r="R931" s="41"/>
    </row>
    <row r="932" spans="4:18">
      <c r="D932" s="188"/>
      <c r="E932" s="42"/>
      <c r="F932" s="168" t="s">
        <v>6202</v>
      </c>
      <c r="G932" s="193">
        <f>IF(_1_541284561214624104645789101745678[[#This Row],[Type]]&gt;0,VLOOKUP(_1_541284561214624104645789101745678[[#This Row],[Type]],Main[[#All],[TYPE]:[UNIT]],'Unit Price'!C$1,FALSE),0)</f>
        <v>0</v>
      </c>
      <c r="H932" s="197">
        <f>IF(_1_541284561214624104645789101745678[[#This Row],[Type]]&gt;0,VLOOKUP(_1_541284561214624104645789101745678[[#This Row],[Type]],Main[[#All],[TYPE]:[UNIT]],'Unit Price'!D$1,FALSE),0)</f>
        <v>0</v>
      </c>
      <c r="I932" s="194">
        <f>IF(_1_541284561214624104645789101745678[[#This Row],[Type]]&gt;0,VLOOKUP(_1_541284561214624104645789101745678[[#This Row],[Type]],Main[[#All],[TYPE]:[UNIT]],'Unit Price'!G$1,FALSE),0)</f>
        <v>0</v>
      </c>
      <c r="J932" s="194">
        <f>IF(_1_541284561214624104645789101745678[[#This Row],[Type]]&gt;0,VLOOKUP(_1_541284561214624104645789101745678[[#This Row],[Type]],Main[[#All],[TYPE]:[UNIT]],'Unit Price'!H$1,FALSE),0)</f>
        <v>0</v>
      </c>
      <c r="K932" s="194">
        <f>IF(_1_541284561214624104645789101745678[[#This Row],[Discount selection]]&gt;0,VLOOKUP(_1_541284561214624104645789101745678[[#This Row],[Discount selection]],'Discount Structure'!$A$2:$B$30,2,"false"),0)</f>
        <v>1</v>
      </c>
      <c r="L932" s="194">
        <f>_1_541284561214624104645789101745678[[#This Row],[LIST $]]*_1_541284561214624104645789101745678[[#This Row],[DISCOUNT]]*_1_541284561214624104645789101745678[[#This Row],[DISCOUNT 2]]</f>
        <v>0</v>
      </c>
      <c r="M932" s="194">
        <f>IF(OR(_1_541284561214624104645789101745678[[#This Row],[UNIT]]&gt;0,_1_541284561214624104645789101745678[[#This Row],[UNIT]]&lt;0),_1_541284561214624104645789101745678[[#This Row],[UNIT]]*_1_541284561214624104645789101745678[[#This Row],[COST]],0)</f>
        <v>0</v>
      </c>
      <c r="N932" s="194">
        <f t="shared" si="14"/>
        <v>1.3</v>
      </c>
      <c r="O932" s="198">
        <f>_1_541284561214624104645789101745678[[#This Row],[TOTAL]]*_1_541284561214624104645789101745678[[#This Row],[MARGIN]]</f>
        <v>0</v>
      </c>
      <c r="P932" s="198"/>
      <c r="R932" s="41"/>
    </row>
    <row r="933" spans="4:18">
      <c r="D933" s="188"/>
      <c r="E933" s="42"/>
      <c r="F933" s="168" t="s">
        <v>6202</v>
      </c>
      <c r="G933" s="193">
        <f>IF(_1_541284561214624104645789101745678[[#This Row],[Type]]&gt;0,VLOOKUP(_1_541284561214624104645789101745678[[#This Row],[Type]],Main[[#All],[TYPE]:[UNIT]],'Unit Price'!C$1,FALSE),0)</f>
        <v>0</v>
      </c>
      <c r="H933" s="197">
        <f>IF(_1_541284561214624104645789101745678[[#This Row],[Type]]&gt;0,VLOOKUP(_1_541284561214624104645789101745678[[#This Row],[Type]],Main[[#All],[TYPE]:[UNIT]],'Unit Price'!D$1,FALSE),0)</f>
        <v>0</v>
      </c>
      <c r="I933" s="194">
        <f>IF(_1_541284561214624104645789101745678[[#This Row],[Type]]&gt;0,VLOOKUP(_1_541284561214624104645789101745678[[#This Row],[Type]],Main[[#All],[TYPE]:[UNIT]],'Unit Price'!G$1,FALSE),0)</f>
        <v>0</v>
      </c>
      <c r="J933" s="194">
        <f>IF(_1_541284561214624104645789101745678[[#This Row],[Type]]&gt;0,VLOOKUP(_1_541284561214624104645789101745678[[#This Row],[Type]],Main[[#All],[TYPE]:[UNIT]],'Unit Price'!H$1,FALSE),0)</f>
        <v>0</v>
      </c>
      <c r="K933" s="194">
        <f>IF(_1_541284561214624104645789101745678[[#This Row],[Discount selection]]&gt;0,VLOOKUP(_1_541284561214624104645789101745678[[#This Row],[Discount selection]],'Discount Structure'!$A$2:$B$30,2,"false"),0)</f>
        <v>1</v>
      </c>
      <c r="L933" s="194">
        <f>_1_541284561214624104645789101745678[[#This Row],[LIST $]]*_1_541284561214624104645789101745678[[#This Row],[DISCOUNT]]*_1_541284561214624104645789101745678[[#This Row],[DISCOUNT 2]]</f>
        <v>0</v>
      </c>
      <c r="M933" s="194">
        <f>IF(OR(_1_541284561214624104645789101745678[[#This Row],[UNIT]]&gt;0,_1_541284561214624104645789101745678[[#This Row],[UNIT]]&lt;0),_1_541284561214624104645789101745678[[#This Row],[UNIT]]*_1_541284561214624104645789101745678[[#This Row],[COST]],0)</f>
        <v>0</v>
      </c>
      <c r="N933" s="194">
        <f t="shared" si="14"/>
        <v>1.3</v>
      </c>
      <c r="O933" s="198">
        <f>_1_541284561214624104645789101745678[[#This Row],[TOTAL]]*_1_541284561214624104645789101745678[[#This Row],[MARGIN]]</f>
        <v>0</v>
      </c>
      <c r="P933" s="198"/>
      <c r="R933" s="41"/>
    </row>
    <row r="934" spans="4:18">
      <c r="D934" s="188"/>
      <c r="E934" s="42"/>
      <c r="F934" s="168" t="s">
        <v>6202</v>
      </c>
      <c r="G934" s="193">
        <f>IF(_1_541284561214624104645789101745678[[#This Row],[Type]]&gt;0,VLOOKUP(_1_541284561214624104645789101745678[[#This Row],[Type]],Main[[#All],[TYPE]:[UNIT]],'Unit Price'!C$1,FALSE),0)</f>
        <v>0</v>
      </c>
      <c r="H934" s="197">
        <f>IF(_1_541284561214624104645789101745678[[#This Row],[Type]]&gt;0,VLOOKUP(_1_541284561214624104645789101745678[[#This Row],[Type]],Main[[#All],[TYPE]:[UNIT]],'Unit Price'!D$1,FALSE),0)</f>
        <v>0</v>
      </c>
      <c r="I934" s="194">
        <f>IF(_1_541284561214624104645789101745678[[#This Row],[Type]]&gt;0,VLOOKUP(_1_541284561214624104645789101745678[[#This Row],[Type]],Main[[#All],[TYPE]:[UNIT]],'Unit Price'!G$1,FALSE),0)</f>
        <v>0</v>
      </c>
      <c r="J934" s="194">
        <f>IF(_1_541284561214624104645789101745678[[#This Row],[Type]]&gt;0,VLOOKUP(_1_541284561214624104645789101745678[[#This Row],[Type]],Main[[#All],[TYPE]:[UNIT]],'Unit Price'!H$1,FALSE),0)</f>
        <v>0</v>
      </c>
      <c r="K934" s="194">
        <f>IF(_1_541284561214624104645789101745678[[#This Row],[Discount selection]]&gt;0,VLOOKUP(_1_541284561214624104645789101745678[[#This Row],[Discount selection]],'Discount Structure'!$A$2:$B$30,2,"false"),0)</f>
        <v>1</v>
      </c>
      <c r="L934" s="194">
        <f>_1_541284561214624104645789101745678[[#This Row],[LIST $]]*_1_541284561214624104645789101745678[[#This Row],[DISCOUNT]]*_1_541284561214624104645789101745678[[#This Row],[DISCOUNT 2]]</f>
        <v>0</v>
      </c>
      <c r="M934" s="194">
        <f>IF(OR(_1_541284561214624104645789101745678[[#This Row],[UNIT]]&gt;0,_1_541284561214624104645789101745678[[#This Row],[UNIT]]&lt;0),_1_541284561214624104645789101745678[[#This Row],[UNIT]]*_1_541284561214624104645789101745678[[#This Row],[COST]],0)</f>
        <v>0</v>
      </c>
      <c r="N934" s="194">
        <f t="shared" si="14"/>
        <v>1.3</v>
      </c>
      <c r="O934" s="198">
        <f>_1_541284561214624104645789101745678[[#This Row],[TOTAL]]*_1_541284561214624104645789101745678[[#This Row],[MARGIN]]</f>
        <v>0</v>
      </c>
      <c r="P934" s="198"/>
      <c r="R934" s="41"/>
    </row>
    <row r="935" spans="4:18">
      <c r="D935" s="188"/>
      <c r="E935" s="42"/>
      <c r="F935" s="168" t="s">
        <v>6202</v>
      </c>
      <c r="G935" s="193">
        <f>IF(_1_541284561214624104645789101745678[[#This Row],[Type]]&gt;0,VLOOKUP(_1_541284561214624104645789101745678[[#This Row],[Type]],Main[[#All],[TYPE]:[UNIT]],'Unit Price'!C$1,FALSE),0)</f>
        <v>0</v>
      </c>
      <c r="H935" s="197">
        <f>IF(_1_541284561214624104645789101745678[[#This Row],[Type]]&gt;0,VLOOKUP(_1_541284561214624104645789101745678[[#This Row],[Type]],Main[[#All],[TYPE]:[UNIT]],'Unit Price'!D$1,FALSE),0)</f>
        <v>0</v>
      </c>
      <c r="I935" s="194">
        <f>IF(_1_541284561214624104645789101745678[[#This Row],[Type]]&gt;0,VLOOKUP(_1_541284561214624104645789101745678[[#This Row],[Type]],Main[[#All],[TYPE]:[UNIT]],'Unit Price'!G$1,FALSE),0)</f>
        <v>0</v>
      </c>
      <c r="J935" s="194">
        <f>IF(_1_541284561214624104645789101745678[[#This Row],[Type]]&gt;0,VLOOKUP(_1_541284561214624104645789101745678[[#This Row],[Type]],Main[[#All],[TYPE]:[UNIT]],'Unit Price'!H$1,FALSE),0)</f>
        <v>0</v>
      </c>
      <c r="K935" s="194">
        <f>IF(_1_541284561214624104645789101745678[[#This Row],[Discount selection]]&gt;0,VLOOKUP(_1_541284561214624104645789101745678[[#This Row],[Discount selection]],'Discount Structure'!$A$2:$B$30,2,"false"),0)</f>
        <v>1</v>
      </c>
      <c r="L935" s="194">
        <f>_1_541284561214624104645789101745678[[#This Row],[LIST $]]*_1_541284561214624104645789101745678[[#This Row],[DISCOUNT]]*_1_541284561214624104645789101745678[[#This Row],[DISCOUNT 2]]</f>
        <v>0</v>
      </c>
      <c r="M935" s="194">
        <f>IF(OR(_1_541284561214624104645789101745678[[#This Row],[UNIT]]&gt;0,_1_541284561214624104645789101745678[[#This Row],[UNIT]]&lt;0),_1_541284561214624104645789101745678[[#This Row],[UNIT]]*_1_541284561214624104645789101745678[[#This Row],[COST]],0)</f>
        <v>0</v>
      </c>
      <c r="N935" s="194">
        <f t="shared" si="14"/>
        <v>1.3</v>
      </c>
      <c r="O935" s="198">
        <f>_1_541284561214624104645789101745678[[#This Row],[TOTAL]]*_1_541284561214624104645789101745678[[#This Row],[MARGIN]]</f>
        <v>0</v>
      </c>
      <c r="P935" s="198"/>
      <c r="R935" s="41"/>
    </row>
    <row r="936" spans="4:18">
      <c r="D936" s="188"/>
      <c r="E936" s="42"/>
      <c r="F936" s="168" t="s">
        <v>6202</v>
      </c>
      <c r="G936" s="193">
        <f>IF(_1_541284561214624104645789101745678[[#This Row],[Type]]&gt;0,VLOOKUP(_1_541284561214624104645789101745678[[#This Row],[Type]],Main[[#All],[TYPE]:[UNIT]],'Unit Price'!C$1,FALSE),0)</f>
        <v>0</v>
      </c>
      <c r="H936" s="197">
        <f>IF(_1_541284561214624104645789101745678[[#This Row],[Type]]&gt;0,VLOOKUP(_1_541284561214624104645789101745678[[#This Row],[Type]],Main[[#All],[TYPE]:[UNIT]],'Unit Price'!D$1,FALSE),0)</f>
        <v>0</v>
      </c>
      <c r="I936" s="194">
        <f>IF(_1_541284561214624104645789101745678[[#This Row],[Type]]&gt;0,VLOOKUP(_1_541284561214624104645789101745678[[#This Row],[Type]],Main[[#All],[TYPE]:[UNIT]],'Unit Price'!G$1,FALSE),0)</f>
        <v>0</v>
      </c>
      <c r="J936" s="194">
        <f>IF(_1_541284561214624104645789101745678[[#This Row],[Type]]&gt;0,VLOOKUP(_1_541284561214624104645789101745678[[#This Row],[Type]],Main[[#All],[TYPE]:[UNIT]],'Unit Price'!H$1,FALSE),0)</f>
        <v>0</v>
      </c>
      <c r="K936" s="194">
        <f>IF(_1_541284561214624104645789101745678[[#This Row],[Discount selection]]&gt;0,VLOOKUP(_1_541284561214624104645789101745678[[#This Row],[Discount selection]],'Discount Structure'!$A$2:$B$30,2,"false"),0)</f>
        <v>1</v>
      </c>
      <c r="L936" s="194">
        <f>_1_541284561214624104645789101745678[[#This Row],[LIST $]]*_1_541284561214624104645789101745678[[#This Row],[DISCOUNT]]*_1_541284561214624104645789101745678[[#This Row],[DISCOUNT 2]]</f>
        <v>0</v>
      </c>
      <c r="M936" s="194">
        <f>IF(OR(_1_541284561214624104645789101745678[[#This Row],[UNIT]]&gt;0,_1_541284561214624104645789101745678[[#This Row],[UNIT]]&lt;0),_1_541284561214624104645789101745678[[#This Row],[UNIT]]*_1_541284561214624104645789101745678[[#This Row],[COST]],0)</f>
        <v>0</v>
      </c>
      <c r="N936" s="194">
        <f t="shared" si="14"/>
        <v>1.3</v>
      </c>
      <c r="O936" s="198">
        <f>_1_541284561214624104645789101745678[[#This Row],[TOTAL]]*_1_541284561214624104645789101745678[[#This Row],[MARGIN]]</f>
        <v>0</v>
      </c>
      <c r="P936" s="198"/>
      <c r="R936" s="41"/>
    </row>
    <row r="937" spans="4:18">
      <c r="D937" s="188"/>
      <c r="E937" s="42"/>
      <c r="F937" s="168" t="s">
        <v>6202</v>
      </c>
      <c r="G937" s="193">
        <f>IF(_1_541284561214624104645789101745678[[#This Row],[Type]]&gt;0,VLOOKUP(_1_541284561214624104645789101745678[[#This Row],[Type]],Main[[#All],[TYPE]:[UNIT]],'Unit Price'!C$1,FALSE),0)</f>
        <v>0</v>
      </c>
      <c r="H937" s="197">
        <f>IF(_1_541284561214624104645789101745678[[#This Row],[Type]]&gt;0,VLOOKUP(_1_541284561214624104645789101745678[[#This Row],[Type]],Main[[#All],[TYPE]:[UNIT]],'Unit Price'!D$1,FALSE),0)</f>
        <v>0</v>
      </c>
      <c r="I937" s="194">
        <f>IF(_1_541284561214624104645789101745678[[#This Row],[Type]]&gt;0,VLOOKUP(_1_541284561214624104645789101745678[[#This Row],[Type]],Main[[#All],[TYPE]:[UNIT]],'Unit Price'!G$1,FALSE),0)</f>
        <v>0</v>
      </c>
      <c r="J937" s="194">
        <f>IF(_1_541284561214624104645789101745678[[#This Row],[Type]]&gt;0,VLOOKUP(_1_541284561214624104645789101745678[[#This Row],[Type]],Main[[#All],[TYPE]:[UNIT]],'Unit Price'!H$1,FALSE),0)</f>
        <v>0</v>
      </c>
      <c r="K937" s="194">
        <f>IF(_1_541284561214624104645789101745678[[#This Row],[Discount selection]]&gt;0,VLOOKUP(_1_541284561214624104645789101745678[[#This Row],[Discount selection]],'Discount Structure'!$A$2:$B$30,2,"false"),0)</f>
        <v>1</v>
      </c>
      <c r="L937" s="194">
        <f>_1_541284561214624104645789101745678[[#This Row],[LIST $]]*_1_541284561214624104645789101745678[[#This Row],[DISCOUNT]]*_1_541284561214624104645789101745678[[#This Row],[DISCOUNT 2]]</f>
        <v>0</v>
      </c>
      <c r="M937" s="194">
        <f>IF(OR(_1_541284561214624104645789101745678[[#This Row],[UNIT]]&gt;0,_1_541284561214624104645789101745678[[#This Row],[UNIT]]&lt;0),_1_541284561214624104645789101745678[[#This Row],[UNIT]]*_1_541284561214624104645789101745678[[#This Row],[COST]],0)</f>
        <v>0</v>
      </c>
      <c r="N937" s="194">
        <f t="shared" si="14"/>
        <v>1.3</v>
      </c>
      <c r="O937" s="198">
        <f>_1_541284561214624104645789101745678[[#This Row],[TOTAL]]*_1_541284561214624104645789101745678[[#This Row],[MARGIN]]</f>
        <v>0</v>
      </c>
      <c r="P937" s="198"/>
      <c r="R937" s="41"/>
    </row>
    <row r="938" spans="4:18">
      <c r="D938" s="188"/>
      <c r="E938" s="42"/>
      <c r="F938" s="168" t="s">
        <v>6202</v>
      </c>
      <c r="G938" s="193">
        <f>IF(_1_541284561214624104645789101745678[[#This Row],[Type]]&gt;0,VLOOKUP(_1_541284561214624104645789101745678[[#This Row],[Type]],Main[[#All],[TYPE]:[UNIT]],'Unit Price'!C$1,FALSE),0)</f>
        <v>0</v>
      </c>
      <c r="H938" s="197">
        <f>IF(_1_541284561214624104645789101745678[[#This Row],[Type]]&gt;0,VLOOKUP(_1_541284561214624104645789101745678[[#This Row],[Type]],Main[[#All],[TYPE]:[UNIT]],'Unit Price'!D$1,FALSE),0)</f>
        <v>0</v>
      </c>
      <c r="I938" s="194">
        <f>IF(_1_541284561214624104645789101745678[[#This Row],[Type]]&gt;0,VLOOKUP(_1_541284561214624104645789101745678[[#This Row],[Type]],Main[[#All],[TYPE]:[UNIT]],'Unit Price'!G$1,FALSE),0)</f>
        <v>0</v>
      </c>
      <c r="J938" s="194">
        <f>IF(_1_541284561214624104645789101745678[[#This Row],[Type]]&gt;0,VLOOKUP(_1_541284561214624104645789101745678[[#This Row],[Type]],Main[[#All],[TYPE]:[UNIT]],'Unit Price'!H$1,FALSE),0)</f>
        <v>0</v>
      </c>
      <c r="K938" s="194">
        <f>IF(_1_541284561214624104645789101745678[[#This Row],[Discount selection]]&gt;0,VLOOKUP(_1_541284561214624104645789101745678[[#This Row],[Discount selection]],'Discount Structure'!$A$2:$B$30,2,"false"),0)</f>
        <v>1</v>
      </c>
      <c r="L938" s="194">
        <f>_1_541284561214624104645789101745678[[#This Row],[LIST $]]*_1_541284561214624104645789101745678[[#This Row],[DISCOUNT]]*_1_541284561214624104645789101745678[[#This Row],[DISCOUNT 2]]</f>
        <v>0</v>
      </c>
      <c r="M938" s="194">
        <f>IF(OR(_1_541284561214624104645789101745678[[#This Row],[UNIT]]&gt;0,_1_541284561214624104645789101745678[[#This Row],[UNIT]]&lt;0),_1_541284561214624104645789101745678[[#This Row],[UNIT]]*_1_541284561214624104645789101745678[[#This Row],[COST]],0)</f>
        <v>0</v>
      </c>
      <c r="N938" s="194">
        <f t="shared" si="14"/>
        <v>1.3</v>
      </c>
      <c r="O938" s="198">
        <f>_1_541284561214624104645789101745678[[#This Row],[TOTAL]]*_1_541284561214624104645789101745678[[#This Row],[MARGIN]]</f>
        <v>0</v>
      </c>
      <c r="P938" s="198"/>
      <c r="R938" s="41"/>
    </row>
    <row r="939" spans="4:18">
      <c r="D939" s="188"/>
      <c r="E939" s="42"/>
      <c r="F939" s="168" t="s">
        <v>6202</v>
      </c>
      <c r="G939" s="193">
        <f>IF(_1_541284561214624104645789101745678[[#This Row],[Type]]&gt;0,VLOOKUP(_1_541284561214624104645789101745678[[#This Row],[Type]],Main[[#All],[TYPE]:[UNIT]],'Unit Price'!C$1,FALSE),0)</f>
        <v>0</v>
      </c>
      <c r="H939" s="197">
        <f>IF(_1_541284561214624104645789101745678[[#This Row],[Type]]&gt;0,VLOOKUP(_1_541284561214624104645789101745678[[#This Row],[Type]],Main[[#All],[TYPE]:[UNIT]],'Unit Price'!D$1,FALSE),0)</f>
        <v>0</v>
      </c>
      <c r="I939" s="194">
        <f>IF(_1_541284561214624104645789101745678[[#This Row],[Type]]&gt;0,VLOOKUP(_1_541284561214624104645789101745678[[#This Row],[Type]],Main[[#All],[TYPE]:[UNIT]],'Unit Price'!G$1,FALSE),0)</f>
        <v>0</v>
      </c>
      <c r="J939" s="194">
        <f>IF(_1_541284561214624104645789101745678[[#This Row],[Type]]&gt;0,VLOOKUP(_1_541284561214624104645789101745678[[#This Row],[Type]],Main[[#All],[TYPE]:[UNIT]],'Unit Price'!H$1,FALSE),0)</f>
        <v>0</v>
      </c>
      <c r="K939" s="194">
        <f>IF(_1_541284561214624104645789101745678[[#This Row],[Discount selection]]&gt;0,VLOOKUP(_1_541284561214624104645789101745678[[#This Row],[Discount selection]],'Discount Structure'!$A$2:$B$30,2,"false"),0)</f>
        <v>1</v>
      </c>
      <c r="L939" s="194">
        <f>_1_541284561214624104645789101745678[[#This Row],[LIST $]]*_1_541284561214624104645789101745678[[#This Row],[DISCOUNT]]*_1_541284561214624104645789101745678[[#This Row],[DISCOUNT 2]]</f>
        <v>0</v>
      </c>
      <c r="M939" s="194">
        <f>IF(OR(_1_541284561214624104645789101745678[[#This Row],[UNIT]]&gt;0,_1_541284561214624104645789101745678[[#This Row],[UNIT]]&lt;0),_1_541284561214624104645789101745678[[#This Row],[UNIT]]*_1_541284561214624104645789101745678[[#This Row],[COST]],0)</f>
        <v>0</v>
      </c>
      <c r="N939" s="194">
        <f t="shared" si="14"/>
        <v>1.3</v>
      </c>
      <c r="O939" s="198">
        <f>_1_541284561214624104645789101745678[[#This Row],[TOTAL]]*_1_541284561214624104645789101745678[[#This Row],[MARGIN]]</f>
        <v>0</v>
      </c>
      <c r="P939" s="198"/>
      <c r="R939" s="41"/>
    </row>
    <row r="940" spans="4:18">
      <c r="D940" s="188"/>
      <c r="E940" s="42"/>
      <c r="F940" s="168" t="s">
        <v>6202</v>
      </c>
      <c r="G940" s="193">
        <f>IF(_1_541284561214624104645789101745678[[#This Row],[Type]]&gt;0,VLOOKUP(_1_541284561214624104645789101745678[[#This Row],[Type]],Main[[#All],[TYPE]:[UNIT]],'Unit Price'!C$1,FALSE),0)</f>
        <v>0</v>
      </c>
      <c r="H940" s="197">
        <f>IF(_1_541284561214624104645789101745678[[#This Row],[Type]]&gt;0,VLOOKUP(_1_541284561214624104645789101745678[[#This Row],[Type]],Main[[#All],[TYPE]:[UNIT]],'Unit Price'!D$1,FALSE),0)</f>
        <v>0</v>
      </c>
      <c r="I940" s="194">
        <f>IF(_1_541284561214624104645789101745678[[#This Row],[Type]]&gt;0,VLOOKUP(_1_541284561214624104645789101745678[[#This Row],[Type]],Main[[#All],[TYPE]:[UNIT]],'Unit Price'!G$1,FALSE),0)</f>
        <v>0</v>
      </c>
      <c r="J940" s="194">
        <f>IF(_1_541284561214624104645789101745678[[#This Row],[Type]]&gt;0,VLOOKUP(_1_541284561214624104645789101745678[[#This Row],[Type]],Main[[#All],[TYPE]:[UNIT]],'Unit Price'!H$1,FALSE),0)</f>
        <v>0</v>
      </c>
      <c r="K940" s="194">
        <f>IF(_1_541284561214624104645789101745678[[#This Row],[Discount selection]]&gt;0,VLOOKUP(_1_541284561214624104645789101745678[[#This Row],[Discount selection]],'Discount Structure'!$A$2:$B$30,2,"false"),0)</f>
        <v>1</v>
      </c>
      <c r="L940" s="194">
        <f>_1_541284561214624104645789101745678[[#This Row],[LIST $]]*_1_541284561214624104645789101745678[[#This Row],[DISCOUNT]]*_1_541284561214624104645789101745678[[#This Row],[DISCOUNT 2]]</f>
        <v>0</v>
      </c>
      <c r="M940" s="194">
        <f>IF(OR(_1_541284561214624104645789101745678[[#This Row],[UNIT]]&gt;0,_1_541284561214624104645789101745678[[#This Row],[UNIT]]&lt;0),_1_541284561214624104645789101745678[[#This Row],[UNIT]]*_1_541284561214624104645789101745678[[#This Row],[COST]],0)</f>
        <v>0</v>
      </c>
      <c r="N940" s="194">
        <f t="shared" si="14"/>
        <v>1.3</v>
      </c>
      <c r="O940" s="198">
        <f>_1_541284561214624104645789101745678[[#This Row],[TOTAL]]*_1_541284561214624104645789101745678[[#This Row],[MARGIN]]</f>
        <v>0</v>
      </c>
      <c r="P940" s="198"/>
      <c r="R940" s="41"/>
    </row>
    <row r="941" spans="4:18">
      <c r="D941" s="188"/>
      <c r="E941" s="42"/>
      <c r="F941" s="168" t="s">
        <v>6202</v>
      </c>
      <c r="G941" s="193">
        <f>IF(_1_541284561214624104645789101745678[[#This Row],[Type]]&gt;0,VLOOKUP(_1_541284561214624104645789101745678[[#This Row],[Type]],Main[[#All],[TYPE]:[UNIT]],'Unit Price'!C$1,FALSE),0)</f>
        <v>0</v>
      </c>
      <c r="H941" s="197">
        <f>IF(_1_541284561214624104645789101745678[[#This Row],[Type]]&gt;0,VLOOKUP(_1_541284561214624104645789101745678[[#This Row],[Type]],Main[[#All],[TYPE]:[UNIT]],'Unit Price'!D$1,FALSE),0)</f>
        <v>0</v>
      </c>
      <c r="I941" s="194">
        <f>IF(_1_541284561214624104645789101745678[[#This Row],[Type]]&gt;0,VLOOKUP(_1_541284561214624104645789101745678[[#This Row],[Type]],Main[[#All],[TYPE]:[UNIT]],'Unit Price'!G$1,FALSE),0)</f>
        <v>0</v>
      </c>
      <c r="J941" s="194">
        <f>IF(_1_541284561214624104645789101745678[[#This Row],[Type]]&gt;0,VLOOKUP(_1_541284561214624104645789101745678[[#This Row],[Type]],Main[[#All],[TYPE]:[UNIT]],'Unit Price'!H$1,FALSE),0)</f>
        <v>0</v>
      </c>
      <c r="K941" s="194">
        <f>IF(_1_541284561214624104645789101745678[[#This Row],[Discount selection]]&gt;0,VLOOKUP(_1_541284561214624104645789101745678[[#This Row],[Discount selection]],'Discount Structure'!$A$2:$B$30,2,"false"),0)</f>
        <v>1</v>
      </c>
      <c r="L941" s="194">
        <f>_1_541284561214624104645789101745678[[#This Row],[LIST $]]*_1_541284561214624104645789101745678[[#This Row],[DISCOUNT]]*_1_541284561214624104645789101745678[[#This Row],[DISCOUNT 2]]</f>
        <v>0</v>
      </c>
      <c r="M941" s="194">
        <f>IF(OR(_1_541284561214624104645789101745678[[#This Row],[UNIT]]&gt;0,_1_541284561214624104645789101745678[[#This Row],[UNIT]]&lt;0),_1_541284561214624104645789101745678[[#This Row],[UNIT]]*_1_541284561214624104645789101745678[[#This Row],[COST]],0)</f>
        <v>0</v>
      </c>
      <c r="N941" s="194">
        <f t="shared" si="14"/>
        <v>1.3</v>
      </c>
      <c r="O941" s="198">
        <f>_1_541284561214624104645789101745678[[#This Row],[TOTAL]]*_1_541284561214624104645789101745678[[#This Row],[MARGIN]]</f>
        <v>0</v>
      </c>
      <c r="P941" s="198"/>
      <c r="R941" s="41"/>
    </row>
    <row r="942" spans="4:18">
      <c r="D942" s="188"/>
      <c r="E942" s="42"/>
      <c r="F942" s="168" t="s">
        <v>6202</v>
      </c>
      <c r="G942" s="193">
        <f>IF(_1_541284561214624104645789101745678[[#This Row],[Type]]&gt;0,VLOOKUP(_1_541284561214624104645789101745678[[#This Row],[Type]],Main[[#All],[TYPE]:[UNIT]],'Unit Price'!C$1,FALSE),0)</f>
        <v>0</v>
      </c>
      <c r="H942" s="197">
        <f>IF(_1_541284561214624104645789101745678[[#This Row],[Type]]&gt;0,VLOOKUP(_1_541284561214624104645789101745678[[#This Row],[Type]],Main[[#All],[TYPE]:[UNIT]],'Unit Price'!D$1,FALSE),0)</f>
        <v>0</v>
      </c>
      <c r="I942" s="194">
        <f>IF(_1_541284561214624104645789101745678[[#This Row],[Type]]&gt;0,VLOOKUP(_1_541284561214624104645789101745678[[#This Row],[Type]],Main[[#All],[TYPE]:[UNIT]],'Unit Price'!G$1,FALSE),0)</f>
        <v>0</v>
      </c>
      <c r="J942" s="194">
        <f>IF(_1_541284561214624104645789101745678[[#This Row],[Type]]&gt;0,VLOOKUP(_1_541284561214624104645789101745678[[#This Row],[Type]],Main[[#All],[TYPE]:[UNIT]],'Unit Price'!H$1,FALSE),0)</f>
        <v>0</v>
      </c>
      <c r="K942" s="194">
        <f>IF(_1_541284561214624104645789101745678[[#This Row],[Discount selection]]&gt;0,VLOOKUP(_1_541284561214624104645789101745678[[#This Row],[Discount selection]],'Discount Structure'!$A$2:$B$30,2,"false"),0)</f>
        <v>1</v>
      </c>
      <c r="L942" s="194">
        <f>_1_541284561214624104645789101745678[[#This Row],[LIST $]]*_1_541284561214624104645789101745678[[#This Row],[DISCOUNT]]*_1_541284561214624104645789101745678[[#This Row],[DISCOUNT 2]]</f>
        <v>0</v>
      </c>
      <c r="M942" s="194">
        <f>IF(OR(_1_541284561214624104645789101745678[[#This Row],[UNIT]]&gt;0,_1_541284561214624104645789101745678[[#This Row],[UNIT]]&lt;0),_1_541284561214624104645789101745678[[#This Row],[UNIT]]*_1_541284561214624104645789101745678[[#This Row],[COST]],0)</f>
        <v>0</v>
      </c>
      <c r="N942" s="194">
        <f t="shared" si="14"/>
        <v>1.3</v>
      </c>
      <c r="O942" s="198">
        <f>_1_541284561214624104645789101745678[[#This Row],[TOTAL]]*_1_541284561214624104645789101745678[[#This Row],[MARGIN]]</f>
        <v>0</v>
      </c>
      <c r="P942" s="198"/>
      <c r="R942" s="41"/>
    </row>
    <row r="943" spans="4:18">
      <c r="D943" s="188"/>
      <c r="E943" s="42"/>
      <c r="F943" s="168" t="s">
        <v>6202</v>
      </c>
      <c r="G943" s="193">
        <f>IF(_1_541284561214624104645789101745678[[#This Row],[Type]]&gt;0,VLOOKUP(_1_541284561214624104645789101745678[[#This Row],[Type]],Main[[#All],[TYPE]:[UNIT]],'Unit Price'!C$1,FALSE),0)</f>
        <v>0</v>
      </c>
      <c r="H943" s="197">
        <f>IF(_1_541284561214624104645789101745678[[#This Row],[Type]]&gt;0,VLOOKUP(_1_541284561214624104645789101745678[[#This Row],[Type]],Main[[#All],[TYPE]:[UNIT]],'Unit Price'!D$1,FALSE),0)</f>
        <v>0</v>
      </c>
      <c r="I943" s="194">
        <f>IF(_1_541284561214624104645789101745678[[#This Row],[Type]]&gt;0,VLOOKUP(_1_541284561214624104645789101745678[[#This Row],[Type]],Main[[#All],[TYPE]:[UNIT]],'Unit Price'!G$1,FALSE),0)</f>
        <v>0</v>
      </c>
      <c r="J943" s="194">
        <f>IF(_1_541284561214624104645789101745678[[#This Row],[Type]]&gt;0,VLOOKUP(_1_541284561214624104645789101745678[[#This Row],[Type]],Main[[#All],[TYPE]:[UNIT]],'Unit Price'!H$1,FALSE),0)</f>
        <v>0</v>
      </c>
      <c r="K943" s="194">
        <f>IF(_1_541284561214624104645789101745678[[#This Row],[Discount selection]]&gt;0,VLOOKUP(_1_541284561214624104645789101745678[[#This Row],[Discount selection]],'Discount Structure'!$A$2:$B$30,2,"false"),0)</f>
        <v>1</v>
      </c>
      <c r="L943" s="194">
        <f>_1_541284561214624104645789101745678[[#This Row],[LIST $]]*_1_541284561214624104645789101745678[[#This Row],[DISCOUNT]]*_1_541284561214624104645789101745678[[#This Row],[DISCOUNT 2]]</f>
        <v>0</v>
      </c>
      <c r="M943" s="194">
        <f>IF(OR(_1_541284561214624104645789101745678[[#This Row],[UNIT]]&gt;0,_1_541284561214624104645789101745678[[#This Row],[UNIT]]&lt;0),_1_541284561214624104645789101745678[[#This Row],[UNIT]]*_1_541284561214624104645789101745678[[#This Row],[COST]],0)</f>
        <v>0</v>
      </c>
      <c r="N943" s="194">
        <f t="shared" si="14"/>
        <v>1.3</v>
      </c>
      <c r="O943" s="198">
        <f>_1_541284561214624104645789101745678[[#This Row],[TOTAL]]*_1_541284561214624104645789101745678[[#This Row],[MARGIN]]</f>
        <v>0</v>
      </c>
      <c r="P943" s="198"/>
      <c r="R943" s="41"/>
    </row>
    <row r="944" spans="4:18">
      <c r="D944" s="188"/>
      <c r="E944" s="42"/>
      <c r="F944" s="168" t="s">
        <v>6202</v>
      </c>
      <c r="G944" s="193">
        <f>IF(_1_541284561214624104645789101745678[[#This Row],[Type]]&gt;0,VLOOKUP(_1_541284561214624104645789101745678[[#This Row],[Type]],Main[[#All],[TYPE]:[UNIT]],'Unit Price'!C$1,FALSE),0)</f>
        <v>0</v>
      </c>
      <c r="H944" s="197">
        <f>IF(_1_541284561214624104645789101745678[[#This Row],[Type]]&gt;0,VLOOKUP(_1_541284561214624104645789101745678[[#This Row],[Type]],Main[[#All],[TYPE]:[UNIT]],'Unit Price'!D$1,FALSE),0)</f>
        <v>0</v>
      </c>
      <c r="I944" s="194">
        <f>IF(_1_541284561214624104645789101745678[[#This Row],[Type]]&gt;0,VLOOKUP(_1_541284561214624104645789101745678[[#This Row],[Type]],Main[[#All],[TYPE]:[UNIT]],'Unit Price'!G$1,FALSE),0)</f>
        <v>0</v>
      </c>
      <c r="J944" s="194">
        <f>IF(_1_541284561214624104645789101745678[[#This Row],[Type]]&gt;0,VLOOKUP(_1_541284561214624104645789101745678[[#This Row],[Type]],Main[[#All],[TYPE]:[UNIT]],'Unit Price'!H$1,FALSE),0)</f>
        <v>0</v>
      </c>
      <c r="K944" s="194">
        <f>IF(_1_541284561214624104645789101745678[[#This Row],[Discount selection]]&gt;0,VLOOKUP(_1_541284561214624104645789101745678[[#This Row],[Discount selection]],'Discount Structure'!$A$2:$B$30,2,"false"),0)</f>
        <v>1</v>
      </c>
      <c r="L944" s="194">
        <f>_1_541284561214624104645789101745678[[#This Row],[LIST $]]*_1_541284561214624104645789101745678[[#This Row],[DISCOUNT]]*_1_541284561214624104645789101745678[[#This Row],[DISCOUNT 2]]</f>
        <v>0</v>
      </c>
      <c r="M944" s="194">
        <f>IF(OR(_1_541284561214624104645789101745678[[#This Row],[UNIT]]&gt;0,_1_541284561214624104645789101745678[[#This Row],[UNIT]]&lt;0),_1_541284561214624104645789101745678[[#This Row],[UNIT]]*_1_541284561214624104645789101745678[[#This Row],[COST]],0)</f>
        <v>0</v>
      </c>
      <c r="N944" s="194">
        <f t="shared" si="14"/>
        <v>1.3</v>
      </c>
      <c r="O944" s="198">
        <f>_1_541284561214624104645789101745678[[#This Row],[TOTAL]]*_1_541284561214624104645789101745678[[#This Row],[MARGIN]]</f>
        <v>0</v>
      </c>
      <c r="P944" s="198"/>
      <c r="R944" s="41"/>
    </row>
    <row r="945" spans="4:18">
      <c r="D945" s="188"/>
      <c r="E945" s="42"/>
      <c r="F945" s="168" t="s">
        <v>6202</v>
      </c>
      <c r="G945" s="193">
        <f>IF(_1_541284561214624104645789101745678[[#This Row],[Type]]&gt;0,VLOOKUP(_1_541284561214624104645789101745678[[#This Row],[Type]],Main[[#All],[TYPE]:[UNIT]],'Unit Price'!C$1,FALSE),0)</f>
        <v>0</v>
      </c>
      <c r="H945" s="197">
        <f>IF(_1_541284561214624104645789101745678[[#This Row],[Type]]&gt;0,VLOOKUP(_1_541284561214624104645789101745678[[#This Row],[Type]],Main[[#All],[TYPE]:[UNIT]],'Unit Price'!D$1,FALSE),0)</f>
        <v>0</v>
      </c>
      <c r="I945" s="194">
        <f>IF(_1_541284561214624104645789101745678[[#This Row],[Type]]&gt;0,VLOOKUP(_1_541284561214624104645789101745678[[#This Row],[Type]],Main[[#All],[TYPE]:[UNIT]],'Unit Price'!G$1,FALSE),0)</f>
        <v>0</v>
      </c>
      <c r="J945" s="194">
        <f>IF(_1_541284561214624104645789101745678[[#This Row],[Type]]&gt;0,VLOOKUP(_1_541284561214624104645789101745678[[#This Row],[Type]],Main[[#All],[TYPE]:[UNIT]],'Unit Price'!H$1,FALSE),0)</f>
        <v>0</v>
      </c>
      <c r="K945" s="194">
        <f>IF(_1_541284561214624104645789101745678[[#This Row],[Discount selection]]&gt;0,VLOOKUP(_1_541284561214624104645789101745678[[#This Row],[Discount selection]],'Discount Structure'!$A$2:$B$30,2,"false"),0)</f>
        <v>1</v>
      </c>
      <c r="L945" s="194">
        <f>_1_541284561214624104645789101745678[[#This Row],[LIST $]]*_1_541284561214624104645789101745678[[#This Row],[DISCOUNT]]*_1_541284561214624104645789101745678[[#This Row],[DISCOUNT 2]]</f>
        <v>0</v>
      </c>
      <c r="M945" s="194">
        <f>IF(OR(_1_541284561214624104645789101745678[[#This Row],[UNIT]]&gt;0,_1_541284561214624104645789101745678[[#This Row],[UNIT]]&lt;0),_1_541284561214624104645789101745678[[#This Row],[UNIT]]*_1_541284561214624104645789101745678[[#This Row],[COST]],0)</f>
        <v>0</v>
      </c>
      <c r="N945" s="194">
        <f t="shared" si="14"/>
        <v>1.3</v>
      </c>
      <c r="O945" s="198">
        <f>_1_541284561214624104645789101745678[[#This Row],[TOTAL]]*_1_541284561214624104645789101745678[[#This Row],[MARGIN]]</f>
        <v>0</v>
      </c>
      <c r="P945" s="198"/>
      <c r="R945" s="41"/>
    </row>
    <row r="946" spans="4:18">
      <c r="D946" s="188"/>
      <c r="E946" s="42"/>
      <c r="F946" s="168" t="s">
        <v>6202</v>
      </c>
      <c r="G946" s="193">
        <f>IF(_1_541284561214624104645789101745678[[#This Row],[Type]]&gt;0,VLOOKUP(_1_541284561214624104645789101745678[[#This Row],[Type]],Main[[#All],[TYPE]:[UNIT]],'Unit Price'!C$1,FALSE),0)</f>
        <v>0</v>
      </c>
      <c r="H946" s="197">
        <f>IF(_1_541284561214624104645789101745678[[#This Row],[Type]]&gt;0,VLOOKUP(_1_541284561214624104645789101745678[[#This Row],[Type]],Main[[#All],[TYPE]:[UNIT]],'Unit Price'!D$1,FALSE),0)</f>
        <v>0</v>
      </c>
      <c r="I946" s="194">
        <f>IF(_1_541284561214624104645789101745678[[#This Row],[Type]]&gt;0,VLOOKUP(_1_541284561214624104645789101745678[[#This Row],[Type]],Main[[#All],[TYPE]:[UNIT]],'Unit Price'!G$1,FALSE),0)</f>
        <v>0</v>
      </c>
      <c r="J946" s="194">
        <f>IF(_1_541284561214624104645789101745678[[#This Row],[Type]]&gt;0,VLOOKUP(_1_541284561214624104645789101745678[[#This Row],[Type]],Main[[#All],[TYPE]:[UNIT]],'Unit Price'!H$1,FALSE),0)</f>
        <v>0</v>
      </c>
      <c r="K946" s="194">
        <f>IF(_1_541284561214624104645789101745678[[#This Row],[Discount selection]]&gt;0,VLOOKUP(_1_541284561214624104645789101745678[[#This Row],[Discount selection]],'Discount Structure'!$A$2:$B$30,2,"false"),0)</f>
        <v>1</v>
      </c>
      <c r="L946" s="194">
        <f>_1_541284561214624104645789101745678[[#This Row],[LIST $]]*_1_541284561214624104645789101745678[[#This Row],[DISCOUNT]]*_1_541284561214624104645789101745678[[#This Row],[DISCOUNT 2]]</f>
        <v>0</v>
      </c>
      <c r="M946" s="194">
        <f>IF(OR(_1_541284561214624104645789101745678[[#This Row],[UNIT]]&gt;0,_1_541284561214624104645789101745678[[#This Row],[UNIT]]&lt;0),_1_541284561214624104645789101745678[[#This Row],[UNIT]]*_1_541284561214624104645789101745678[[#This Row],[COST]],0)</f>
        <v>0</v>
      </c>
      <c r="N946" s="194">
        <f t="shared" si="14"/>
        <v>1.3</v>
      </c>
      <c r="O946" s="198">
        <f>_1_541284561214624104645789101745678[[#This Row],[TOTAL]]*_1_541284561214624104645789101745678[[#This Row],[MARGIN]]</f>
        <v>0</v>
      </c>
      <c r="P946" s="198"/>
      <c r="R946" s="41"/>
    </row>
    <row r="947" spans="4:18">
      <c r="D947" s="188"/>
      <c r="E947" s="42"/>
      <c r="F947" s="168" t="s">
        <v>6202</v>
      </c>
      <c r="G947" s="193">
        <f>IF(_1_541284561214624104645789101745678[[#This Row],[Type]]&gt;0,VLOOKUP(_1_541284561214624104645789101745678[[#This Row],[Type]],Main[[#All],[TYPE]:[UNIT]],'Unit Price'!C$1,FALSE),0)</f>
        <v>0</v>
      </c>
      <c r="H947" s="197">
        <f>IF(_1_541284561214624104645789101745678[[#This Row],[Type]]&gt;0,VLOOKUP(_1_541284561214624104645789101745678[[#This Row],[Type]],Main[[#All],[TYPE]:[UNIT]],'Unit Price'!D$1,FALSE),0)</f>
        <v>0</v>
      </c>
      <c r="I947" s="194">
        <f>IF(_1_541284561214624104645789101745678[[#This Row],[Type]]&gt;0,VLOOKUP(_1_541284561214624104645789101745678[[#This Row],[Type]],Main[[#All],[TYPE]:[UNIT]],'Unit Price'!G$1,FALSE),0)</f>
        <v>0</v>
      </c>
      <c r="J947" s="194">
        <f>IF(_1_541284561214624104645789101745678[[#This Row],[Type]]&gt;0,VLOOKUP(_1_541284561214624104645789101745678[[#This Row],[Type]],Main[[#All],[TYPE]:[UNIT]],'Unit Price'!H$1,FALSE),0)</f>
        <v>0</v>
      </c>
      <c r="K947" s="194">
        <f>IF(_1_541284561214624104645789101745678[[#This Row],[Discount selection]]&gt;0,VLOOKUP(_1_541284561214624104645789101745678[[#This Row],[Discount selection]],'Discount Structure'!$A$2:$B$30,2,"false"),0)</f>
        <v>1</v>
      </c>
      <c r="L947" s="194">
        <f>_1_541284561214624104645789101745678[[#This Row],[LIST $]]*_1_541284561214624104645789101745678[[#This Row],[DISCOUNT]]*_1_541284561214624104645789101745678[[#This Row],[DISCOUNT 2]]</f>
        <v>0</v>
      </c>
      <c r="M947" s="194">
        <f>IF(OR(_1_541284561214624104645789101745678[[#This Row],[UNIT]]&gt;0,_1_541284561214624104645789101745678[[#This Row],[UNIT]]&lt;0),_1_541284561214624104645789101745678[[#This Row],[UNIT]]*_1_541284561214624104645789101745678[[#This Row],[COST]],0)</f>
        <v>0</v>
      </c>
      <c r="N947" s="194">
        <f t="shared" si="14"/>
        <v>1.3</v>
      </c>
      <c r="O947" s="198">
        <f>_1_541284561214624104645789101745678[[#This Row],[TOTAL]]*_1_541284561214624104645789101745678[[#This Row],[MARGIN]]</f>
        <v>0</v>
      </c>
      <c r="P947" s="198"/>
      <c r="R947" s="41"/>
    </row>
    <row r="948" spans="4:18">
      <c r="D948" s="188"/>
      <c r="E948" s="42"/>
      <c r="F948" s="168" t="s">
        <v>6202</v>
      </c>
      <c r="G948" s="193">
        <f>IF(_1_541284561214624104645789101745678[[#This Row],[Type]]&gt;0,VLOOKUP(_1_541284561214624104645789101745678[[#This Row],[Type]],Main[[#All],[TYPE]:[UNIT]],'Unit Price'!C$1,FALSE),0)</f>
        <v>0</v>
      </c>
      <c r="H948" s="197">
        <f>IF(_1_541284561214624104645789101745678[[#This Row],[Type]]&gt;0,VLOOKUP(_1_541284561214624104645789101745678[[#This Row],[Type]],Main[[#All],[TYPE]:[UNIT]],'Unit Price'!D$1,FALSE),0)</f>
        <v>0</v>
      </c>
      <c r="I948" s="194">
        <f>IF(_1_541284561214624104645789101745678[[#This Row],[Type]]&gt;0,VLOOKUP(_1_541284561214624104645789101745678[[#This Row],[Type]],Main[[#All],[TYPE]:[UNIT]],'Unit Price'!G$1,FALSE),0)</f>
        <v>0</v>
      </c>
      <c r="J948" s="194">
        <f>IF(_1_541284561214624104645789101745678[[#This Row],[Type]]&gt;0,VLOOKUP(_1_541284561214624104645789101745678[[#This Row],[Type]],Main[[#All],[TYPE]:[UNIT]],'Unit Price'!H$1,FALSE),0)</f>
        <v>0</v>
      </c>
      <c r="K948" s="194">
        <f>IF(_1_541284561214624104645789101745678[[#This Row],[Discount selection]]&gt;0,VLOOKUP(_1_541284561214624104645789101745678[[#This Row],[Discount selection]],'Discount Structure'!$A$2:$B$30,2,"false"),0)</f>
        <v>1</v>
      </c>
      <c r="L948" s="194">
        <f>_1_541284561214624104645789101745678[[#This Row],[LIST $]]*_1_541284561214624104645789101745678[[#This Row],[DISCOUNT]]*_1_541284561214624104645789101745678[[#This Row],[DISCOUNT 2]]</f>
        <v>0</v>
      </c>
      <c r="M948" s="194">
        <f>IF(OR(_1_541284561214624104645789101745678[[#This Row],[UNIT]]&gt;0,_1_541284561214624104645789101745678[[#This Row],[UNIT]]&lt;0),_1_541284561214624104645789101745678[[#This Row],[UNIT]]*_1_541284561214624104645789101745678[[#This Row],[COST]],0)</f>
        <v>0</v>
      </c>
      <c r="N948" s="194">
        <f t="shared" si="14"/>
        <v>1.3</v>
      </c>
      <c r="O948" s="198">
        <f>_1_541284561214624104645789101745678[[#This Row],[TOTAL]]*_1_541284561214624104645789101745678[[#This Row],[MARGIN]]</f>
        <v>0</v>
      </c>
      <c r="P948" s="198"/>
      <c r="R948" s="41"/>
    </row>
    <row r="949" spans="4:18">
      <c r="D949" s="188"/>
      <c r="E949" s="42"/>
      <c r="F949" s="168" t="s">
        <v>6202</v>
      </c>
      <c r="G949" s="193">
        <f>IF(_1_541284561214624104645789101745678[[#This Row],[Type]]&gt;0,VLOOKUP(_1_541284561214624104645789101745678[[#This Row],[Type]],Main[[#All],[TYPE]:[UNIT]],'Unit Price'!C$1,FALSE),0)</f>
        <v>0</v>
      </c>
      <c r="H949" s="197">
        <f>IF(_1_541284561214624104645789101745678[[#This Row],[Type]]&gt;0,VLOOKUP(_1_541284561214624104645789101745678[[#This Row],[Type]],Main[[#All],[TYPE]:[UNIT]],'Unit Price'!D$1,FALSE),0)</f>
        <v>0</v>
      </c>
      <c r="I949" s="194">
        <f>IF(_1_541284561214624104645789101745678[[#This Row],[Type]]&gt;0,VLOOKUP(_1_541284561214624104645789101745678[[#This Row],[Type]],Main[[#All],[TYPE]:[UNIT]],'Unit Price'!G$1,FALSE),0)</f>
        <v>0</v>
      </c>
      <c r="J949" s="194">
        <f>IF(_1_541284561214624104645789101745678[[#This Row],[Type]]&gt;0,VLOOKUP(_1_541284561214624104645789101745678[[#This Row],[Type]],Main[[#All],[TYPE]:[UNIT]],'Unit Price'!H$1,FALSE),0)</f>
        <v>0</v>
      </c>
      <c r="K949" s="194">
        <f>IF(_1_541284561214624104645789101745678[[#This Row],[Discount selection]]&gt;0,VLOOKUP(_1_541284561214624104645789101745678[[#This Row],[Discount selection]],'Discount Structure'!$A$2:$B$30,2,"false"),0)</f>
        <v>1</v>
      </c>
      <c r="L949" s="194">
        <f>_1_541284561214624104645789101745678[[#This Row],[LIST $]]*_1_541284561214624104645789101745678[[#This Row],[DISCOUNT]]*_1_541284561214624104645789101745678[[#This Row],[DISCOUNT 2]]</f>
        <v>0</v>
      </c>
      <c r="M949" s="194">
        <f>IF(OR(_1_541284561214624104645789101745678[[#This Row],[UNIT]]&gt;0,_1_541284561214624104645789101745678[[#This Row],[UNIT]]&lt;0),_1_541284561214624104645789101745678[[#This Row],[UNIT]]*_1_541284561214624104645789101745678[[#This Row],[COST]],0)</f>
        <v>0</v>
      </c>
      <c r="N949" s="194">
        <f t="shared" si="14"/>
        <v>1.3</v>
      </c>
      <c r="O949" s="198">
        <f>_1_541284561214624104645789101745678[[#This Row],[TOTAL]]*_1_541284561214624104645789101745678[[#This Row],[MARGIN]]</f>
        <v>0</v>
      </c>
      <c r="P949" s="198"/>
      <c r="R949" s="41"/>
    </row>
    <row r="950" spans="4:18">
      <c r="D950" s="188"/>
      <c r="E950" s="42"/>
      <c r="F950" s="168" t="s">
        <v>6202</v>
      </c>
      <c r="G950" s="193">
        <f>IF(_1_541284561214624104645789101745678[[#This Row],[Type]]&gt;0,VLOOKUP(_1_541284561214624104645789101745678[[#This Row],[Type]],Main[[#All],[TYPE]:[UNIT]],'Unit Price'!C$1,FALSE),0)</f>
        <v>0</v>
      </c>
      <c r="H950" s="197">
        <f>IF(_1_541284561214624104645789101745678[[#This Row],[Type]]&gt;0,VLOOKUP(_1_541284561214624104645789101745678[[#This Row],[Type]],Main[[#All],[TYPE]:[UNIT]],'Unit Price'!D$1,FALSE),0)</f>
        <v>0</v>
      </c>
      <c r="I950" s="194">
        <f>IF(_1_541284561214624104645789101745678[[#This Row],[Type]]&gt;0,VLOOKUP(_1_541284561214624104645789101745678[[#This Row],[Type]],Main[[#All],[TYPE]:[UNIT]],'Unit Price'!G$1,FALSE),0)</f>
        <v>0</v>
      </c>
      <c r="J950" s="194">
        <f>IF(_1_541284561214624104645789101745678[[#This Row],[Type]]&gt;0,VLOOKUP(_1_541284561214624104645789101745678[[#This Row],[Type]],Main[[#All],[TYPE]:[UNIT]],'Unit Price'!H$1,FALSE),0)</f>
        <v>0</v>
      </c>
      <c r="K950" s="194">
        <f>IF(_1_541284561214624104645789101745678[[#This Row],[Discount selection]]&gt;0,VLOOKUP(_1_541284561214624104645789101745678[[#This Row],[Discount selection]],'Discount Structure'!$A$2:$B$30,2,"false"),0)</f>
        <v>1</v>
      </c>
      <c r="L950" s="194">
        <f>_1_541284561214624104645789101745678[[#This Row],[LIST $]]*_1_541284561214624104645789101745678[[#This Row],[DISCOUNT]]*_1_541284561214624104645789101745678[[#This Row],[DISCOUNT 2]]</f>
        <v>0</v>
      </c>
      <c r="M950" s="194">
        <f>IF(OR(_1_541284561214624104645789101745678[[#This Row],[UNIT]]&gt;0,_1_541284561214624104645789101745678[[#This Row],[UNIT]]&lt;0),_1_541284561214624104645789101745678[[#This Row],[UNIT]]*_1_541284561214624104645789101745678[[#This Row],[COST]],0)</f>
        <v>0</v>
      </c>
      <c r="N950" s="194">
        <f t="shared" si="14"/>
        <v>1.3</v>
      </c>
      <c r="O950" s="198">
        <f>_1_541284561214624104645789101745678[[#This Row],[TOTAL]]*_1_541284561214624104645789101745678[[#This Row],[MARGIN]]</f>
        <v>0</v>
      </c>
      <c r="P950" s="198"/>
      <c r="R950" s="41"/>
    </row>
    <row r="951" spans="4:18">
      <c r="D951" s="188"/>
      <c r="E951" s="42"/>
      <c r="F951" s="168" t="s">
        <v>6202</v>
      </c>
      <c r="G951" s="193">
        <f>IF(_1_541284561214624104645789101745678[[#This Row],[Type]]&gt;0,VLOOKUP(_1_541284561214624104645789101745678[[#This Row],[Type]],Main[[#All],[TYPE]:[UNIT]],'Unit Price'!C$1,FALSE),0)</f>
        <v>0</v>
      </c>
      <c r="H951" s="197">
        <f>IF(_1_541284561214624104645789101745678[[#This Row],[Type]]&gt;0,VLOOKUP(_1_541284561214624104645789101745678[[#This Row],[Type]],Main[[#All],[TYPE]:[UNIT]],'Unit Price'!D$1,FALSE),0)</f>
        <v>0</v>
      </c>
      <c r="I951" s="194">
        <f>IF(_1_541284561214624104645789101745678[[#This Row],[Type]]&gt;0,VLOOKUP(_1_541284561214624104645789101745678[[#This Row],[Type]],Main[[#All],[TYPE]:[UNIT]],'Unit Price'!G$1,FALSE),0)</f>
        <v>0</v>
      </c>
      <c r="J951" s="194">
        <f>IF(_1_541284561214624104645789101745678[[#This Row],[Type]]&gt;0,VLOOKUP(_1_541284561214624104645789101745678[[#This Row],[Type]],Main[[#All],[TYPE]:[UNIT]],'Unit Price'!H$1,FALSE),0)</f>
        <v>0</v>
      </c>
      <c r="K951" s="194">
        <f>IF(_1_541284561214624104645789101745678[[#This Row],[Discount selection]]&gt;0,VLOOKUP(_1_541284561214624104645789101745678[[#This Row],[Discount selection]],'Discount Structure'!$A$2:$B$30,2,"false"),0)</f>
        <v>1</v>
      </c>
      <c r="L951" s="194">
        <f>_1_541284561214624104645789101745678[[#This Row],[LIST $]]*_1_541284561214624104645789101745678[[#This Row],[DISCOUNT]]*_1_541284561214624104645789101745678[[#This Row],[DISCOUNT 2]]</f>
        <v>0</v>
      </c>
      <c r="M951" s="194">
        <f>IF(OR(_1_541284561214624104645789101745678[[#This Row],[UNIT]]&gt;0,_1_541284561214624104645789101745678[[#This Row],[UNIT]]&lt;0),_1_541284561214624104645789101745678[[#This Row],[UNIT]]*_1_541284561214624104645789101745678[[#This Row],[COST]],0)</f>
        <v>0</v>
      </c>
      <c r="N951" s="194">
        <f t="shared" si="14"/>
        <v>1.3</v>
      </c>
      <c r="O951" s="198">
        <f>_1_541284561214624104645789101745678[[#This Row],[TOTAL]]*_1_541284561214624104645789101745678[[#This Row],[MARGIN]]</f>
        <v>0</v>
      </c>
      <c r="P951" s="198"/>
      <c r="R951" s="41"/>
    </row>
    <row r="952" spans="4:18">
      <c r="D952" s="188"/>
      <c r="E952" s="42"/>
      <c r="F952" s="168" t="s">
        <v>6202</v>
      </c>
      <c r="G952" s="193">
        <f>IF(_1_541284561214624104645789101745678[[#This Row],[Type]]&gt;0,VLOOKUP(_1_541284561214624104645789101745678[[#This Row],[Type]],Main[[#All],[TYPE]:[UNIT]],'Unit Price'!C$1,FALSE),0)</f>
        <v>0</v>
      </c>
      <c r="H952" s="197">
        <f>IF(_1_541284561214624104645789101745678[[#This Row],[Type]]&gt;0,VLOOKUP(_1_541284561214624104645789101745678[[#This Row],[Type]],Main[[#All],[TYPE]:[UNIT]],'Unit Price'!D$1,FALSE),0)</f>
        <v>0</v>
      </c>
      <c r="I952" s="194">
        <f>IF(_1_541284561214624104645789101745678[[#This Row],[Type]]&gt;0,VLOOKUP(_1_541284561214624104645789101745678[[#This Row],[Type]],Main[[#All],[TYPE]:[UNIT]],'Unit Price'!G$1,FALSE),0)</f>
        <v>0</v>
      </c>
      <c r="J952" s="194">
        <f>IF(_1_541284561214624104645789101745678[[#This Row],[Type]]&gt;0,VLOOKUP(_1_541284561214624104645789101745678[[#This Row],[Type]],Main[[#All],[TYPE]:[UNIT]],'Unit Price'!H$1,FALSE),0)</f>
        <v>0</v>
      </c>
      <c r="K952" s="194">
        <f>IF(_1_541284561214624104645789101745678[[#This Row],[Discount selection]]&gt;0,VLOOKUP(_1_541284561214624104645789101745678[[#This Row],[Discount selection]],'Discount Structure'!$A$2:$B$30,2,"false"),0)</f>
        <v>1</v>
      </c>
      <c r="L952" s="194">
        <f>_1_541284561214624104645789101745678[[#This Row],[LIST $]]*_1_541284561214624104645789101745678[[#This Row],[DISCOUNT]]*_1_541284561214624104645789101745678[[#This Row],[DISCOUNT 2]]</f>
        <v>0</v>
      </c>
      <c r="M952" s="194">
        <f>IF(OR(_1_541284561214624104645789101745678[[#This Row],[UNIT]]&gt;0,_1_541284561214624104645789101745678[[#This Row],[UNIT]]&lt;0),_1_541284561214624104645789101745678[[#This Row],[UNIT]]*_1_541284561214624104645789101745678[[#This Row],[COST]],0)</f>
        <v>0</v>
      </c>
      <c r="N952" s="194">
        <f t="shared" si="14"/>
        <v>1.3</v>
      </c>
      <c r="O952" s="198">
        <f>_1_541284561214624104645789101745678[[#This Row],[TOTAL]]*_1_541284561214624104645789101745678[[#This Row],[MARGIN]]</f>
        <v>0</v>
      </c>
      <c r="P952" s="198"/>
      <c r="R952" s="41"/>
    </row>
    <row r="953" spans="4:18">
      <c r="D953" s="188"/>
      <c r="E953" s="42"/>
      <c r="F953" s="168" t="s">
        <v>6202</v>
      </c>
      <c r="G953" s="193">
        <f>IF(_1_541284561214624104645789101745678[[#This Row],[Type]]&gt;0,VLOOKUP(_1_541284561214624104645789101745678[[#This Row],[Type]],Main[[#All],[TYPE]:[UNIT]],'Unit Price'!C$1,FALSE),0)</f>
        <v>0</v>
      </c>
      <c r="H953" s="197">
        <f>IF(_1_541284561214624104645789101745678[[#This Row],[Type]]&gt;0,VLOOKUP(_1_541284561214624104645789101745678[[#This Row],[Type]],Main[[#All],[TYPE]:[UNIT]],'Unit Price'!D$1,FALSE),0)</f>
        <v>0</v>
      </c>
      <c r="I953" s="194">
        <f>IF(_1_541284561214624104645789101745678[[#This Row],[Type]]&gt;0,VLOOKUP(_1_541284561214624104645789101745678[[#This Row],[Type]],Main[[#All],[TYPE]:[UNIT]],'Unit Price'!G$1,FALSE),0)</f>
        <v>0</v>
      </c>
      <c r="J953" s="194">
        <f>IF(_1_541284561214624104645789101745678[[#This Row],[Type]]&gt;0,VLOOKUP(_1_541284561214624104645789101745678[[#This Row],[Type]],Main[[#All],[TYPE]:[UNIT]],'Unit Price'!H$1,FALSE),0)</f>
        <v>0</v>
      </c>
      <c r="K953" s="194">
        <f>IF(_1_541284561214624104645789101745678[[#This Row],[Discount selection]]&gt;0,VLOOKUP(_1_541284561214624104645789101745678[[#This Row],[Discount selection]],'Discount Structure'!$A$2:$B$30,2,"false"),0)</f>
        <v>1</v>
      </c>
      <c r="L953" s="194">
        <f>_1_541284561214624104645789101745678[[#This Row],[LIST $]]*_1_541284561214624104645789101745678[[#This Row],[DISCOUNT]]*_1_541284561214624104645789101745678[[#This Row],[DISCOUNT 2]]</f>
        <v>0</v>
      </c>
      <c r="M953" s="194">
        <f>IF(OR(_1_541284561214624104645789101745678[[#This Row],[UNIT]]&gt;0,_1_541284561214624104645789101745678[[#This Row],[UNIT]]&lt;0),_1_541284561214624104645789101745678[[#This Row],[UNIT]]*_1_541284561214624104645789101745678[[#This Row],[COST]],0)</f>
        <v>0</v>
      </c>
      <c r="N953" s="194">
        <f t="shared" si="14"/>
        <v>1.3</v>
      </c>
      <c r="O953" s="198">
        <f>_1_541284561214624104645789101745678[[#This Row],[TOTAL]]*_1_541284561214624104645789101745678[[#This Row],[MARGIN]]</f>
        <v>0</v>
      </c>
      <c r="P953" s="198"/>
      <c r="R953" s="41"/>
    </row>
    <row r="954" spans="4:18">
      <c r="D954" s="188"/>
      <c r="E954" s="42"/>
      <c r="F954" s="168" t="s">
        <v>6202</v>
      </c>
      <c r="G954" s="193">
        <f>IF(_1_541284561214624104645789101745678[[#This Row],[Type]]&gt;0,VLOOKUP(_1_541284561214624104645789101745678[[#This Row],[Type]],Main[[#All],[TYPE]:[UNIT]],'Unit Price'!C$1,FALSE),0)</f>
        <v>0</v>
      </c>
      <c r="H954" s="197">
        <f>IF(_1_541284561214624104645789101745678[[#This Row],[Type]]&gt;0,VLOOKUP(_1_541284561214624104645789101745678[[#This Row],[Type]],Main[[#All],[TYPE]:[UNIT]],'Unit Price'!D$1,FALSE),0)</f>
        <v>0</v>
      </c>
      <c r="I954" s="194">
        <f>IF(_1_541284561214624104645789101745678[[#This Row],[Type]]&gt;0,VLOOKUP(_1_541284561214624104645789101745678[[#This Row],[Type]],Main[[#All],[TYPE]:[UNIT]],'Unit Price'!G$1,FALSE),0)</f>
        <v>0</v>
      </c>
      <c r="J954" s="194">
        <f>IF(_1_541284561214624104645789101745678[[#This Row],[Type]]&gt;0,VLOOKUP(_1_541284561214624104645789101745678[[#This Row],[Type]],Main[[#All],[TYPE]:[UNIT]],'Unit Price'!H$1,FALSE),0)</f>
        <v>0</v>
      </c>
      <c r="K954" s="194">
        <f>IF(_1_541284561214624104645789101745678[[#This Row],[Discount selection]]&gt;0,VLOOKUP(_1_541284561214624104645789101745678[[#This Row],[Discount selection]],'Discount Structure'!$A$2:$B$30,2,"false"),0)</f>
        <v>1</v>
      </c>
      <c r="L954" s="194">
        <f>_1_541284561214624104645789101745678[[#This Row],[LIST $]]*_1_541284561214624104645789101745678[[#This Row],[DISCOUNT]]*_1_541284561214624104645789101745678[[#This Row],[DISCOUNT 2]]</f>
        <v>0</v>
      </c>
      <c r="M954" s="194">
        <f>IF(OR(_1_541284561214624104645789101745678[[#This Row],[UNIT]]&gt;0,_1_541284561214624104645789101745678[[#This Row],[UNIT]]&lt;0),_1_541284561214624104645789101745678[[#This Row],[UNIT]]*_1_541284561214624104645789101745678[[#This Row],[COST]],0)</f>
        <v>0</v>
      </c>
      <c r="N954" s="194">
        <f t="shared" si="14"/>
        <v>1.3</v>
      </c>
      <c r="O954" s="198">
        <f>_1_541284561214624104645789101745678[[#This Row],[TOTAL]]*_1_541284561214624104645789101745678[[#This Row],[MARGIN]]</f>
        <v>0</v>
      </c>
      <c r="P954" s="198"/>
      <c r="R954" s="41"/>
    </row>
    <row r="955" spans="4:18">
      <c r="D955" s="188"/>
      <c r="E955" s="42"/>
      <c r="F955" s="168" t="s">
        <v>6202</v>
      </c>
      <c r="G955" s="193">
        <f>IF(_1_541284561214624104645789101745678[[#This Row],[Type]]&gt;0,VLOOKUP(_1_541284561214624104645789101745678[[#This Row],[Type]],Main[[#All],[TYPE]:[UNIT]],'Unit Price'!C$1,FALSE),0)</f>
        <v>0</v>
      </c>
      <c r="H955" s="197">
        <f>IF(_1_541284561214624104645789101745678[[#This Row],[Type]]&gt;0,VLOOKUP(_1_541284561214624104645789101745678[[#This Row],[Type]],Main[[#All],[TYPE]:[UNIT]],'Unit Price'!D$1,FALSE),0)</f>
        <v>0</v>
      </c>
      <c r="I955" s="194">
        <f>IF(_1_541284561214624104645789101745678[[#This Row],[Type]]&gt;0,VLOOKUP(_1_541284561214624104645789101745678[[#This Row],[Type]],Main[[#All],[TYPE]:[UNIT]],'Unit Price'!G$1,FALSE),0)</f>
        <v>0</v>
      </c>
      <c r="J955" s="194">
        <f>IF(_1_541284561214624104645789101745678[[#This Row],[Type]]&gt;0,VLOOKUP(_1_541284561214624104645789101745678[[#This Row],[Type]],Main[[#All],[TYPE]:[UNIT]],'Unit Price'!H$1,FALSE),0)</f>
        <v>0</v>
      </c>
      <c r="K955" s="194">
        <f>IF(_1_541284561214624104645789101745678[[#This Row],[Discount selection]]&gt;0,VLOOKUP(_1_541284561214624104645789101745678[[#This Row],[Discount selection]],'Discount Structure'!$A$2:$B$30,2,"false"),0)</f>
        <v>1</v>
      </c>
      <c r="L955" s="194">
        <f>_1_541284561214624104645789101745678[[#This Row],[LIST $]]*_1_541284561214624104645789101745678[[#This Row],[DISCOUNT]]*_1_541284561214624104645789101745678[[#This Row],[DISCOUNT 2]]</f>
        <v>0</v>
      </c>
      <c r="M955" s="194">
        <f>IF(OR(_1_541284561214624104645789101745678[[#This Row],[UNIT]]&gt;0,_1_541284561214624104645789101745678[[#This Row],[UNIT]]&lt;0),_1_541284561214624104645789101745678[[#This Row],[UNIT]]*_1_541284561214624104645789101745678[[#This Row],[COST]],0)</f>
        <v>0</v>
      </c>
      <c r="N955" s="194">
        <f t="shared" si="14"/>
        <v>1.3</v>
      </c>
      <c r="O955" s="198">
        <f>_1_541284561214624104645789101745678[[#This Row],[TOTAL]]*_1_541284561214624104645789101745678[[#This Row],[MARGIN]]</f>
        <v>0</v>
      </c>
      <c r="P955" s="198"/>
      <c r="R955" s="41"/>
    </row>
    <row r="956" spans="4:18">
      <c r="D956" s="188"/>
      <c r="E956" s="42"/>
      <c r="F956" s="168" t="s">
        <v>6202</v>
      </c>
      <c r="G956" s="193">
        <f>IF(_1_541284561214624104645789101745678[[#This Row],[Type]]&gt;0,VLOOKUP(_1_541284561214624104645789101745678[[#This Row],[Type]],Main[[#All],[TYPE]:[UNIT]],'Unit Price'!C$1,FALSE),0)</f>
        <v>0</v>
      </c>
      <c r="H956" s="197">
        <f>IF(_1_541284561214624104645789101745678[[#This Row],[Type]]&gt;0,VLOOKUP(_1_541284561214624104645789101745678[[#This Row],[Type]],Main[[#All],[TYPE]:[UNIT]],'Unit Price'!D$1,FALSE),0)</f>
        <v>0</v>
      </c>
      <c r="I956" s="194">
        <f>IF(_1_541284561214624104645789101745678[[#This Row],[Type]]&gt;0,VLOOKUP(_1_541284561214624104645789101745678[[#This Row],[Type]],Main[[#All],[TYPE]:[UNIT]],'Unit Price'!G$1,FALSE),0)</f>
        <v>0</v>
      </c>
      <c r="J956" s="194">
        <f>IF(_1_541284561214624104645789101745678[[#This Row],[Type]]&gt;0,VLOOKUP(_1_541284561214624104645789101745678[[#This Row],[Type]],Main[[#All],[TYPE]:[UNIT]],'Unit Price'!H$1,FALSE),0)</f>
        <v>0</v>
      </c>
      <c r="K956" s="194">
        <f>IF(_1_541284561214624104645789101745678[[#This Row],[Discount selection]]&gt;0,VLOOKUP(_1_541284561214624104645789101745678[[#This Row],[Discount selection]],'Discount Structure'!$A$2:$B$30,2,"false"),0)</f>
        <v>1</v>
      </c>
      <c r="L956" s="194">
        <f>_1_541284561214624104645789101745678[[#This Row],[LIST $]]*_1_541284561214624104645789101745678[[#This Row],[DISCOUNT]]*_1_541284561214624104645789101745678[[#This Row],[DISCOUNT 2]]</f>
        <v>0</v>
      </c>
      <c r="M956" s="194">
        <f>IF(OR(_1_541284561214624104645789101745678[[#This Row],[UNIT]]&gt;0,_1_541284561214624104645789101745678[[#This Row],[UNIT]]&lt;0),_1_541284561214624104645789101745678[[#This Row],[UNIT]]*_1_541284561214624104645789101745678[[#This Row],[COST]],0)</f>
        <v>0</v>
      </c>
      <c r="N956" s="194">
        <f t="shared" si="14"/>
        <v>1.3</v>
      </c>
      <c r="O956" s="198">
        <f>_1_541284561214624104645789101745678[[#This Row],[TOTAL]]*_1_541284561214624104645789101745678[[#This Row],[MARGIN]]</f>
        <v>0</v>
      </c>
      <c r="P956" s="198"/>
      <c r="R956" s="41"/>
    </row>
    <row r="957" spans="4:18">
      <c r="D957" s="188"/>
      <c r="E957" s="42"/>
      <c r="F957" s="168" t="s">
        <v>6202</v>
      </c>
      <c r="G957" s="193">
        <f>IF(_1_541284561214624104645789101745678[[#This Row],[Type]]&gt;0,VLOOKUP(_1_541284561214624104645789101745678[[#This Row],[Type]],Main[[#All],[TYPE]:[UNIT]],'Unit Price'!C$1,FALSE),0)</f>
        <v>0</v>
      </c>
      <c r="H957" s="197">
        <f>IF(_1_541284561214624104645789101745678[[#This Row],[Type]]&gt;0,VLOOKUP(_1_541284561214624104645789101745678[[#This Row],[Type]],Main[[#All],[TYPE]:[UNIT]],'Unit Price'!D$1,FALSE),0)</f>
        <v>0</v>
      </c>
      <c r="I957" s="194">
        <f>IF(_1_541284561214624104645789101745678[[#This Row],[Type]]&gt;0,VLOOKUP(_1_541284561214624104645789101745678[[#This Row],[Type]],Main[[#All],[TYPE]:[UNIT]],'Unit Price'!G$1,FALSE),0)</f>
        <v>0</v>
      </c>
      <c r="J957" s="194">
        <f>IF(_1_541284561214624104645789101745678[[#This Row],[Type]]&gt;0,VLOOKUP(_1_541284561214624104645789101745678[[#This Row],[Type]],Main[[#All],[TYPE]:[UNIT]],'Unit Price'!H$1,FALSE),0)</f>
        <v>0</v>
      </c>
      <c r="K957" s="194">
        <f>IF(_1_541284561214624104645789101745678[[#This Row],[Discount selection]]&gt;0,VLOOKUP(_1_541284561214624104645789101745678[[#This Row],[Discount selection]],'Discount Structure'!$A$2:$B$30,2,"false"),0)</f>
        <v>1</v>
      </c>
      <c r="L957" s="194">
        <f>_1_541284561214624104645789101745678[[#This Row],[LIST $]]*_1_541284561214624104645789101745678[[#This Row],[DISCOUNT]]*_1_541284561214624104645789101745678[[#This Row],[DISCOUNT 2]]</f>
        <v>0</v>
      </c>
      <c r="M957" s="194">
        <f>IF(OR(_1_541284561214624104645789101745678[[#This Row],[UNIT]]&gt;0,_1_541284561214624104645789101745678[[#This Row],[UNIT]]&lt;0),_1_541284561214624104645789101745678[[#This Row],[UNIT]]*_1_541284561214624104645789101745678[[#This Row],[COST]],0)</f>
        <v>0</v>
      </c>
      <c r="N957" s="194">
        <f t="shared" si="14"/>
        <v>1.3</v>
      </c>
      <c r="O957" s="198">
        <f>_1_541284561214624104645789101745678[[#This Row],[TOTAL]]*_1_541284561214624104645789101745678[[#This Row],[MARGIN]]</f>
        <v>0</v>
      </c>
      <c r="P957" s="198"/>
      <c r="R957" s="41"/>
    </row>
    <row r="958" spans="4:18">
      <c r="D958" s="188"/>
      <c r="E958" s="42"/>
      <c r="F958" s="168" t="s">
        <v>6202</v>
      </c>
      <c r="G958" s="193">
        <f>IF(_1_541284561214624104645789101745678[[#This Row],[Type]]&gt;0,VLOOKUP(_1_541284561214624104645789101745678[[#This Row],[Type]],Main[[#All],[TYPE]:[UNIT]],'Unit Price'!C$1,FALSE),0)</f>
        <v>0</v>
      </c>
      <c r="H958" s="197">
        <f>IF(_1_541284561214624104645789101745678[[#This Row],[Type]]&gt;0,VLOOKUP(_1_541284561214624104645789101745678[[#This Row],[Type]],Main[[#All],[TYPE]:[UNIT]],'Unit Price'!D$1,FALSE),0)</f>
        <v>0</v>
      </c>
      <c r="I958" s="194">
        <f>IF(_1_541284561214624104645789101745678[[#This Row],[Type]]&gt;0,VLOOKUP(_1_541284561214624104645789101745678[[#This Row],[Type]],Main[[#All],[TYPE]:[UNIT]],'Unit Price'!G$1,FALSE),0)</f>
        <v>0</v>
      </c>
      <c r="J958" s="194">
        <f>IF(_1_541284561214624104645789101745678[[#This Row],[Type]]&gt;0,VLOOKUP(_1_541284561214624104645789101745678[[#This Row],[Type]],Main[[#All],[TYPE]:[UNIT]],'Unit Price'!H$1,FALSE),0)</f>
        <v>0</v>
      </c>
      <c r="K958" s="194">
        <f>IF(_1_541284561214624104645789101745678[[#This Row],[Discount selection]]&gt;0,VLOOKUP(_1_541284561214624104645789101745678[[#This Row],[Discount selection]],'Discount Structure'!$A$2:$B$30,2,"false"),0)</f>
        <v>1</v>
      </c>
      <c r="L958" s="194">
        <f>_1_541284561214624104645789101745678[[#This Row],[LIST $]]*_1_541284561214624104645789101745678[[#This Row],[DISCOUNT]]*_1_541284561214624104645789101745678[[#This Row],[DISCOUNT 2]]</f>
        <v>0</v>
      </c>
      <c r="M958" s="194">
        <f>IF(OR(_1_541284561214624104645789101745678[[#This Row],[UNIT]]&gt;0,_1_541284561214624104645789101745678[[#This Row],[UNIT]]&lt;0),_1_541284561214624104645789101745678[[#This Row],[UNIT]]*_1_541284561214624104645789101745678[[#This Row],[COST]],0)</f>
        <v>0</v>
      </c>
      <c r="N958" s="194">
        <f t="shared" si="14"/>
        <v>1.3</v>
      </c>
      <c r="O958" s="198">
        <f>_1_541284561214624104645789101745678[[#This Row],[TOTAL]]*_1_541284561214624104645789101745678[[#This Row],[MARGIN]]</f>
        <v>0</v>
      </c>
      <c r="P958" s="198"/>
      <c r="R958" s="41"/>
    </row>
    <row r="959" spans="4:18">
      <c r="D959" s="188"/>
      <c r="E959" s="42"/>
      <c r="F959" s="168" t="s">
        <v>6202</v>
      </c>
      <c r="G959" s="193">
        <f>IF(_1_541284561214624104645789101745678[[#This Row],[Type]]&gt;0,VLOOKUP(_1_541284561214624104645789101745678[[#This Row],[Type]],Main[[#All],[TYPE]:[UNIT]],'Unit Price'!C$1,FALSE),0)</f>
        <v>0</v>
      </c>
      <c r="H959" s="197">
        <f>IF(_1_541284561214624104645789101745678[[#This Row],[Type]]&gt;0,VLOOKUP(_1_541284561214624104645789101745678[[#This Row],[Type]],Main[[#All],[TYPE]:[UNIT]],'Unit Price'!D$1,FALSE),0)</f>
        <v>0</v>
      </c>
      <c r="I959" s="194">
        <f>IF(_1_541284561214624104645789101745678[[#This Row],[Type]]&gt;0,VLOOKUP(_1_541284561214624104645789101745678[[#This Row],[Type]],Main[[#All],[TYPE]:[UNIT]],'Unit Price'!G$1,FALSE),0)</f>
        <v>0</v>
      </c>
      <c r="J959" s="194">
        <f>IF(_1_541284561214624104645789101745678[[#This Row],[Type]]&gt;0,VLOOKUP(_1_541284561214624104645789101745678[[#This Row],[Type]],Main[[#All],[TYPE]:[UNIT]],'Unit Price'!H$1,FALSE),0)</f>
        <v>0</v>
      </c>
      <c r="K959" s="194">
        <f>IF(_1_541284561214624104645789101745678[[#This Row],[Discount selection]]&gt;0,VLOOKUP(_1_541284561214624104645789101745678[[#This Row],[Discount selection]],'Discount Structure'!$A$2:$B$30,2,"false"),0)</f>
        <v>1</v>
      </c>
      <c r="L959" s="194">
        <f>_1_541284561214624104645789101745678[[#This Row],[LIST $]]*_1_541284561214624104645789101745678[[#This Row],[DISCOUNT]]*_1_541284561214624104645789101745678[[#This Row],[DISCOUNT 2]]</f>
        <v>0</v>
      </c>
      <c r="M959" s="194">
        <f>IF(OR(_1_541284561214624104645789101745678[[#This Row],[UNIT]]&gt;0,_1_541284561214624104645789101745678[[#This Row],[UNIT]]&lt;0),_1_541284561214624104645789101745678[[#This Row],[UNIT]]*_1_541284561214624104645789101745678[[#This Row],[COST]],0)</f>
        <v>0</v>
      </c>
      <c r="N959" s="194">
        <f t="shared" si="14"/>
        <v>1.3</v>
      </c>
      <c r="O959" s="198">
        <f>_1_541284561214624104645789101745678[[#This Row],[TOTAL]]*_1_541284561214624104645789101745678[[#This Row],[MARGIN]]</f>
        <v>0</v>
      </c>
      <c r="P959" s="198"/>
      <c r="R959" s="41"/>
    </row>
    <row r="960" spans="4:18">
      <c r="D960" s="188"/>
      <c r="E960" s="42"/>
      <c r="F960" s="168" t="s">
        <v>6202</v>
      </c>
      <c r="G960" s="193">
        <f>IF(_1_541284561214624104645789101745678[[#This Row],[Type]]&gt;0,VLOOKUP(_1_541284561214624104645789101745678[[#This Row],[Type]],Main[[#All],[TYPE]:[UNIT]],'Unit Price'!C$1,FALSE),0)</f>
        <v>0</v>
      </c>
      <c r="H960" s="197">
        <f>IF(_1_541284561214624104645789101745678[[#This Row],[Type]]&gt;0,VLOOKUP(_1_541284561214624104645789101745678[[#This Row],[Type]],Main[[#All],[TYPE]:[UNIT]],'Unit Price'!D$1,FALSE),0)</f>
        <v>0</v>
      </c>
      <c r="I960" s="194">
        <f>IF(_1_541284561214624104645789101745678[[#This Row],[Type]]&gt;0,VLOOKUP(_1_541284561214624104645789101745678[[#This Row],[Type]],Main[[#All],[TYPE]:[UNIT]],'Unit Price'!G$1,FALSE),0)</f>
        <v>0</v>
      </c>
      <c r="J960" s="194">
        <f>IF(_1_541284561214624104645789101745678[[#This Row],[Type]]&gt;0,VLOOKUP(_1_541284561214624104645789101745678[[#This Row],[Type]],Main[[#All],[TYPE]:[UNIT]],'Unit Price'!H$1,FALSE),0)</f>
        <v>0</v>
      </c>
      <c r="K960" s="194">
        <f>IF(_1_541284561214624104645789101745678[[#This Row],[Discount selection]]&gt;0,VLOOKUP(_1_541284561214624104645789101745678[[#This Row],[Discount selection]],'Discount Structure'!$A$2:$B$30,2,"false"),0)</f>
        <v>1</v>
      </c>
      <c r="L960" s="194">
        <f>_1_541284561214624104645789101745678[[#This Row],[LIST $]]*_1_541284561214624104645789101745678[[#This Row],[DISCOUNT]]*_1_541284561214624104645789101745678[[#This Row],[DISCOUNT 2]]</f>
        <v>0</v>
      </c>
      <c r="M960" s="194">
        <f>IF(OR(_1_541284561214624104645789101745678[[#This Row],[UNIT]]&gt;0,_1_541284561214624104645789101745678[[#This Row],[UNIT]]&lt;0),_1_541284561214624104645789101745678[[#This Row],[UNIT]]*_1_541284561214624104645789101745678[[#This Row],[COST]],0)</f>
        <v>0</v>
      </c>
      <c r="N960" s="194">
        <f t="shared" si="14"/>
        <v>1.3</v>
      </c>
      <c r="O960" s="198">
        <f>_1_541284561214624104645789101745678[[#This Row],[TOTAL]]*_1_541284561214624104645789101745678[[#This Row],[MARGIN]]</f>
        <v>0</v>
      </c>
      <c r="P960" s="198"/>
      <c r="R960" s="41"/>
    </row>
    <row r="961" spans="4:18">
      <c r="D961" s="188"/>
      <c r="E961" s="42"/>
      <c r="F961" s="168" t="s">
        <v>6202</v>
      </c>
      <c r="G961" s="193">
        <f>IF(_1_541284561214624104645789101745678[[#This Row],[Type]]&gt;0,VLOOKUP(_1_541284561214624104645789101745678[[#This Row],[Type]],Main[[#All],[TYPE]:[UNIT]],'Unit Price'!C$1,FALSE),0)</f>
        <v>0</v>
      </c>
      <c r="H961" s="197">
        <f>IF(_1_541284561214624104645789101745678[[#This Row],[Type]]&gt;0,VLOOKUP(_1_541284561214624104645789101745678[[#This Row],[Type]],Main[[#All],[TYPE]:[UNIT]],'Unit Price'!D$1,FALSE),0)</f>
        <v>0</v>
      </c>
      <c r="I961" s="194">
        <f>IF(_1_541284561214624104645789101745678[[#This Row],[Type]]&gt;0,VLOOKUP(_1_541284561214624104645789101745678[[#This Row],[Type]],Main[[#All],[TYPE]:[UNIT]],'Unit Price'!G$1,FALSE),0)</f>
        <v>0</v>
      </c>
      <c r="J961" s="194">
        <f>IF(_1_541284561214624104645789101745678[[#This Row],[Type]]&gt;0,VLOOKUP(_1_541284561214624104645789101745678[[#This Row],[Type]],Main[[#All],[TYPE]:[UNIT]],'Unit Price'!H$1,FALSE),0)</f>
        <v>0</v>
      </c>
      <c r="K961" s="194">
        <f>IF(_1_541284561214624104645789101745678[[#This Row],[Discount selection]]&gt;0,VLOOKUP(_1_541284561214624104645789101745678[[#This Row],[Discount selection]],'Discount Structure'!$A$2:$B$30,2,"false"),0)</f>
        <v>1</v>
      </c>
      <c r="L961" s="194">
        <f>_1_541284561214624104645789101745678[[#This Row],[LIST $]]*_1_541284561214624104645789101745678[[#This Row],[DISCOUNT]]*_1_541284561214624104645789101745678[[#This Row],[DISCOUNT 2]]</f>
        <v>0</v>
      </c>
      <c r="M961" s="194">
        <f>IF(OR(_1_541284561214624104645789101745678[[#This Row],[UNIT]]&gt;0,_1_541284561214624104645789101745678[[#This Row],[UNIT]]&lt;0),_1_541284561214624104645789101745678[[#This Row],[UNIT]]*_1_541284561214624104645789101745678[[#This Row],[COST]],0)</f>
        <v>0</v>
      </c>
      <c r="N961" s="194">
        <f t="shared" si="14"/>
        <v>1.3</v>
      </c>
      <c r="O961" s="198">
        <f>_1_541284561214624104645789101745678[[#This Row],[TOTAL]]*_1_541284561214624104645789101745678[[#This Row],[MARGIN]]</f>
        <v>0</v>
      </c>
      <c r="P961" s="198"/>
      <c r="R961" s="41"/>
    </row>
    <row r="962" spans="4:18">
      <c r="D962" s="188"/>
      <c r="E962" s="42"/>
      <c r="F962" s="168" t="s">
        <v>6202</v>
      </c>
      <c r="G962" s="193">
        <f>IF(_1_541284561214624104645789101745678[[#This Row],[Type]]&gt;0,VLOOKUP(_1_541284561214624104645789101745678[[#This Row],[Type]],Main[[#All],[TYPE]:[UNIT]],'Unit Price'!C$1,FALSE),0)</f>
        <v>0</v>
      </c>
      <c r="H962" s="197">
        <f>IF(_1_541284561214624104645789101745678[[#This Row],[Type]]&gt;0,VLOOKUP(_1_541284561214624104645789101745678[[#This Row],[Type]],Main[[#All],[TYPE]:[UNIT]],'Unit Price'!D$1,FALSE),0)</f>
        <v>0</v>
      </c>
      <c r="I962" s="194">
        <f>IF(_1_541284561214624104645789101745678[[#This Row],[Type]]&gt;0,VLOOKUP(_1_541284561214624104645789101745678[[#This Row],[Type]],Main[[#All],[TYPE]:[UNIT]],'Unit Price'!G$1,FALSE),0)</f>
        <v>0</v>
      </c>
      <c r="J962" s="194">
        <f>IF(_1_541284561214624104645789101745678[[#This Row],[Type]]&gt;0,VLOOKUP(_1_541284561214624104645789101745678[[#This Row],[Type]],Main[[#All],[TYPE]:[UNIT]],'Unit Price'!H$1,FALSE),0)</f>
        <v>0</v>
      </c>
      <c r="K962" s="194">
        <f>IF(_1_541284561214624104645789101745678[[#This Row],[Discount selection]]&gt;0,VLOOKUP(_1_541284561214624104645789101745678[[#This Row],[Discount selection]],'Discount Structure'!$A$2:$B$30,2,"false"),0)</f>
        <v>1</v>
      </c>
      <c r="L962" s="194">
        <f>_1_541284561214624104645789101745678[[#This Row],[LIST $]]*_1_541284561214624104645789101745678[[#This Row],[DISCOUNT]]*_1_541284561214624104645789101745678[[#This Row],[DISCOUNT 2]]</f>
        <v>0</v>
      </c>
      <c r="M962" s="194">
        <f>IF(OR(_1_541284561214624104645789101745678[[#This Row],[UNIT]]&gt;0,_1_541284561214624104645789101745678[[#This Row],[UNIT]]&lt;0),_1_541284561214624104645789101745678[[#This Row],[UNIT]]*_1_541284561214624104645789101745678[[#This Row],[COST]],0)</f>
        <v>0</v>
      </c>
      <c r="N962" s="194">
        <f t="shared" si="14"/>
        <v>1.3</v>
      </c>
      <c r="O962" s="198">
        <f>_1_541284561214624104645789101745678[[#This Row],[TOTAL]]*_1_541284561214624104645789101745678[[#This Row],[MARGIN]]</f>
        <v>0</v>
      </c>
      <c r="P962" s="198"/>
      <c r="R962" s="41"/>
    </row>
    <row r="963" spans="4:18">
      <c r="D963" s="188"/>
      <c r="E963" s="42"/>
      <c r="F963" s="168" t="s">
        <v>6202</v>
      </c>
      <c r="G963" s="193">
        <f>IF(_1_541284561214624104645789101745678[[#This Row],[Type]]&gt;0,VLOOKUP(_1_541284561214624104645789101745678[[#This Row],[Type]],Main[[#All],[TYPE]:[UNIT]],'Unit Price'!C$1,FALSE),0)</f>
        <v>0</v>
      </c>
      <c r="H963" s="197">
        <f>IF(_1_541284561214624104645789101745678[[#This Row],[Type]]&gt;0,VLOOKUP(_1_541284561214624104645789101745678[[#This Row],[Type]],Main[[#All],[TYPE]:[UNIT]],'Unit Price'!D$1,FALSE),0)</f>
        <v>0</v>
      </c>
      <c r="I963" s="194">
        <f>IF(_1_541284561214624104645789101745678[[#This Row],[Type]]&gt;0,VLOOKUP(_1_541284561214624104645789101745678[[#This Row],[Type]],Main[[#All],[TYPE]:[UNIT]],'Unit Price'!G$1,FALSE),0)</f>
        <v>0</v>
      </c>
      <c r="J963" s="194">
        <f>IF(_1_541284561214624104645789101745678[[#This Row],[Type]]&gt;0,VLOOKUP(_1_541284561214624104645789101745678[[#This Row],[Type]],Main[[#All],[TYPE]:[UNIT]],'Unit Price'!H$1,FALSE),0)</f>
        <v>0</v>
      </c>
      <c r="K963" s="194">
        <f>IF(_1_541284561214624104645789101745678[[#This Row],[Discount selection]]&gt;0,VLOOKUP(_1_541284561214624104645789101745678[[#This Row],[Discount selection]],'Discount Structure'!$A$2:$B$30,2,"false"),0)</f>
        <v>1</v>
      </c>
      <c r="L963" s="194">
        <f>_1_541284561214624104645789101745678[[#This Row],[LIST $]]*_1_541284561214624104645789101745678[[#This Row],[DISCOUNT]]*_1_541284561214624104645789101745678[[#This Row],[DISCOUNT 2]]</f>
        <v>0</v>
      </c>
      <c r="M963" s="194">
        <f>IF(OR(_1_541284561214624104645789101745678[[#This Row],[UNIT]]&gt;0,_1_541284561214624104645789101745678[[#This Row],[UNIT]]&lt;0),_1_541284561214624104645789101745678[[#This Row],[UNIT]]*_1_541284561214624104645789101745678[[#This Row],[COST]],0)</f>
        <v>0</v>
      </c>
      <c r="N963" s="194">
        <f t="shared" si="14"/>
        <v>1.3</v>
      </c>
      <c r="O963" s="198">
        <f>_1_541284561214624104645789101745678[[#This Row],[TOTAL]]*_1_541284561214624104645789101745678[[#This Row],[MARGIN]]</f>
        <v>0</v>
      </c>
      <c r="P963" s="198"/>
      <c r="R963" s="41"/>
    </row>
    <row r="964" spans="4:18">
      <c r="D964" s="188"/>
      <c r="E964" s="42"/>
      <c r="F964" s="168" t="s">
        <v>6202</v>
      </c>
      <c r="G964" s="193">
        <f>IF(_1_541284561214624104645789101745678[[#This Row],[Type]]&gt;0,VLOOKUP(_1_541284561214624104645789101745678[[#This Row],[Type]],Main[[#All],[TYPE]:[UNIT]],'Unit Price'!C$1,FALSE),0)</f>
        <v>0</v>
      </c>
      <c r="H964" s="197">
        <f>IF(_1_541284561214624104645789101745678[[#This Row],[Type]]&gt;0,VLOOKUP(_1_541284561214624104645789101745678[[#This Row],[Type]],Main[[#All],[TYPE]:[UNIT]],'Unit Price'!D$1,FALSE),0)</f>
        <v>0</v>
      </c>
      <c r="I964" s="194">
        <f>IF(_1_541284561214624104645789101745678[[#This Row],[Type]]&gt;0,VLOOKUP(_1_541284561214624104645789101745678[[#This Row],[Type]],Main[[#All],[TYPE]:[UNIT]],'Unit Price'!G$1,FALSE),0)</f>
        <v>0</v>
      </c>
      <c r="J964" s="194">
        <f>IF(_1_541284561214624104645789101745678[[#This Row],[Type]]&gt;0,VLOOKUP(_1_541284561214624104645789101745678[[#This Row],[Type]],Main[[#All],[TYPE]:[UNIT]],'Unit Price'!H$1,FALSE),0)</f>
        <v>0</v>
      </c>
      <c r="K964" s="194">
        <f>IF(_1_541284561214624104645789101745678[[#This Row],[Discount selection]]&gt;0,VLOOKUP(_1_541284561214624104645789101745678[[#This Row],[Discount selection]],'Discount Structure'!$A$2:$B$30,2,"false"),0)</f>
        <v>1</v>
      </c>
      <c r="L964" s="194">
        <f>_1_541284561214624104645789101745678[[#This Row],[LIST $]]*_1_541284561214624104645789101745678[[#This Row],[DISCOUNT]]*_1_541284561214624104645789101745678[[#This Row],[DISCOUNT 2]]</f>
        <v>0</v>
      </c>
      <c r="M964" s="194">
        <f>IF(OR(_1_541284561214624104645789101745678[[#This Row],[UNIT]]&gt;0,_1_541284561214624104645789101745678[[#This Row],[UNIT]]&lt;0),_1_541284561214624104645789101745678[[#This Row],[UNIT]]*_1_541284561214624104645789101745678[[#This Row],[COST]],0)</f>
        <v>0</v>
      </c>
      <c r="N964" s="194">
        <f t="shared" si="14"/>
        <v>1.3</v>
      </c>
      <c r="O964" s="198">
        <f>_1_541284561214624104645789101745678[[#This Row],[TOTAL]]*_1_541284561214624104645789101745678[[#This Row],[MARGIN]]</f>
        <v>0</v>
      </c>
      <c r="P964" s="198"/>
      <c r="R964" s="41"/>
    </row>
    <row r="965" spans="4:18">
      <c r="D965" s="188"/>
      <c r="E965" s="42"/>
      <c r="F965" s="168" t="s">
        <v>6202</v>
      </c>
      <c r="G965" s="193">
        <f>IF(_1_541284561214624104645789101745678[[#This Row],[Type]]&gt;0,VLOOKUP(_1_541284561214624104645789101745678[[#This Row],[Type]],Main[[#All],[TYPE]:[UNIT]],'Unit Price'!C$1,FALSE),0)</f>
        <v>0</v>
      </c>
      <c r="H965" s="197">
        <f>IF(_1_541284561214624104645789101745678[[#This Row],[Type]]&gt;0,VLOOKUP(_1_541284561214624104645789101745678[[#This Row],[Type]],Main[[#All],[TYPE]:[UNIT]],'Unit Price'!D$1,FALSE),0)</f>
        <v>0</v>
      </c>
      <c r="I965" s="194">
        <f>IF(_1_541284561214624104645789101745678[[#This Row],[Type]]&gt;0,VLOOKUP(_1_541284561214624104645789101745678[[#This Row],[Type]],Main[[#All],[TYPE]:[UNIT]],'Unit Price'!G$1,FALSE),0)</f>
        <v>0</v>
      </c>
      <c r="J965" s="194">
        <f>IF(_1_541284561214624104645789101745678[[#This Row],[Type]]&gt;0,VLOOKUP(_1_541284561214624104645789101745678[[#This Row],[Type]],Main[[#All],[TYPE]:[UNIT]],'Unit Price'!H$1,FALSE),0)</f>
        <v>0</v>
      </c>
      <c r="K965" s="194">
        <f>IF(_1_541284561214624104645789101745678[[#This Row],[Discount selection]]&gt;0,VLOOKUP(_1_541284561214624104645789101745678[[#This Row],[Discount selection]],'Discount Structure'!$A$2:$B$30,2,"false"),0)</f>
        <v>1</v>
      </c>
      <c r="L965" s="194">
        <f>_1_541284561214624104645789101745678[[#This Row],[LIST $]]*_1_541284561214624104645789101745678[[#This Row],[DISCOUNT]]*_1_541284561214624104645789101745678[[#This Row],[DISCOUNT 2]]</f>
        <v>0</v>
      </c>
      <c r="M965" s="194">
        <f>IF(OR(_1_541284561214624104645789101745678[[#This Row],[UNIT]]&gt;0,_1_541284561214624104645789101745678[[#This Row],[UNIT]]&lt;0),_1_541284561214624104645789101745678[[#This Row],[UNIT]]*_1_541284561214624104645789101745678[[#This Row],[COST]],0)</f>
        <v>0</v>
      </c>
      <c r="N965" s="194">
        <f t="shared" si="14"/>
        <v>1.3</v>
      </c>
      <c r="O965" s="198">
        <f>_1_541284561214624104645789101745678[[#This Row],[TOTAL]]*_1_541284561214624104645789101745678[[#This Row],[MARGIN]]</f>
        <v>0</v>
      </c>
      <c r="P965" s="198"/>
      <c r="R965" s="41"/>
    </row>
    <row r="966" spans="4:18">
      <c r="D966" s="188"/>
      <c r="E966" s="42"/>
      <c r="F966" s="168" t="s">
        <v>6202</v>
      </c>
      <c r="G966" s="193">
        <f>IF(_1_541284561214624104645789101745678[[#This Row],[Type]]&gt;0,VLOOKUP(_1_541284561214624104645789101745678[[#This Row],[Type]],Main[[#All],[TYPE]:[UNIT]],'Unit Price'!C$1,FALSE),0)</f>
        <v>0</v>
      </c>
      <c r="H966" s="197">
        <f>IF(_1_541284561214624104645789101745678[[#This Row],[Type]]&gt;0,VLOOKUP(_1_541284561214624104645789101745678[[#This Row],[Type]],Main[[#All],[TYPE]:[UNIT]],'Unit Price'!D$1,FALSE),0)</f>
        <v>0</v>
      </c>
      <c r="I966" s="194">
        <f>IF(_1_541284561214624104645789101745678[[#This Row],[Type]]&gt;0,VLOOKUP(_1_541284561214624104645789101745678[[#This Row],[Type]],Main[[#All],[TYPE]:[UNIT]],'Unit Price'!G$1,FALSE),0)</f>
        <v>0</v>
      </c>
      <c r="J966" s="194">
        <f>IF(_1_541284561214624104645789101745678[[#This Row],[Type]]&gt;0,VLOOKUP(_1_541284561214624104645789101745678[[#This Row],[Type]],Main[[#All],[TYPE]:[UNIT]],'Unit Price'!H$1,FALSE),0)</f>
        <v>0</v>
      </c>
      <c r="K966" s="194">
        <f>IF(_1_541284561214624104645789101745678[[#This Row],[Discount selection]]&gt;0,VLOOKUP(_1_541284561214624104645789101745678[[#This Row],[Discount selection]],'Discount Structure'!$A$2:$B$30,2,"false"),0)</f>
        <v>1</v>
      </c>
      <c r="L966" s="194">
        <f>_1_541284561214624104645789101745678[[#This Row],[LIST $]]*_1_541284561214624104645789101745678[[#This Row],[DISCOUNT]]*_1_541284561214624104645789101745678[[#This Row],[DISCOUNT 2]]</f>
        <v>0</v>
      </c>
      <c r="M966" s="194">
        <f>IF(OR(_1_541284561214624104645789101745678[[#This Row],[UNIT]]&gt;0,_1_541284561214624104645789101745678[[#This Row],[UNIT]]&lt;0),_1_541284561214624104645789101745678[[#This Row],[UNIT]]*_1_541284561214624104645789101745678[[#This Row],[COST]],0)</f>
        <v>0</v>
      </c>
      <c r="N966" s="194">
        <f t="shared" si="14"/>
        <v>1.3</v>
      </c>
      <c r="O966" s="198">
        <f>_1_541284561214624104645789101745678[[#This Row],[TOTAL]]*_1_541284561214624104645789101745678[[#This Row],[MARGIN]]</f>
        <v>0</v>
      </c>
      <c r="P966" s="198"/>
      <c r="R966" s="41"/>
    </row>
    <row r="967" spans="4:18">
      <c r="D967" s="188"/>
      <c r="E967" s="42"/>
      <c r="F967" s="168" t="s">
        <v>6202</v>
      </c>
      <c r="G967" s="193">
        <f>IF(_1_541284561214624104645789101745678[[#This Row],[Type]]&gt;0,VLOOKUP(_1_541284561214624104645789101745678[[#This Row],[Type]],Main[[#All],[TYPE]:[UNIT]],'Unit Price'!C$1,FALSE),0)</f>
        <v>0</v>
      </c>
      <c r="H967" s="197">
        <f>IF(_1_541284561214624104645789101745678[[#This Row],[Type]]&gt;0,VLOOKUP(_1_541284561214624104645789101745678[[#This Row],[Type]],Main[[#All],[TYPE]:[UNIT]],'Unit Price'!D$1,FALSE),0)</f>
        <v>0</v>
      </c>
      <c r="I967" s="194">
        <f>IF(_1_541284561214624104645789101745678[[#This Row],[Type]]&gt;0,VLOOKUP(_1_541284561214624104645789101745678[[#This Row],[Type]],Main[[#All],[TYPE]:[UNIT]],'Unit Price'!G$1,FALSE),0)</f>
        <v>0</v>
      </c>
      <c r="J967" s="194">
        <f>IF(_1_541284561214624104645789101745678[[#This Row],[Type]]&gt;0,VLOOKUP(_1_541284561214624104645789101745678[[#This Row],[Type]],Main[[#All],[TYPE]:[UNIT]],'Unit Price'!H$1,FALSE),0)</f>
        <v>0</v>
      </c>
      <c r="K967" s="194">
        <f>IF(_1_541284561214624104645789101745678[[#This Row],[Discount selection]]&gt;0,VLOOKUP(_1_541284561214624104645789101745678[[#This Row],[Discount selection]],'Discount Structure'!$A$2:$B$30,2,"false"),0)</f>
        <v>1</v>
      </c>
      <c r="L967" s="194">
        <f>_1_541284561214624104645789101745678[[#This Row],[LIST $]]*_1_541284561214624104645789101745678[[#This Row],[DISCOUNT]]*_1_541284561214624104645789101745678[[#This Row],[DISCOUNT 2]]</f>
        <v>0</v>
      </c>
      <c r="M967" s="194">
        <f>IF(OR(_1_541284561214624104645789101745678[[#This Row],[UNIT]]&gt;0,_1_541284561214624104645789101745678[[#This Row],[UNIT]]&lt;0),_1_541284561214624104645789101745678[[#This Row],[UNIT]]*_1_541284561214624104645789101745678[[#This Row],[COST]],0)</f>
        <v>0</v>
      </c>
      <c r="N967" s="194">
        <f t="shared" si="14"/>
        <v>1.3</v>
      </c>
      <c r="O967" s="198">
        <f>_1_541284561214624104645789101745678[[#This Row],[TOTAL]]*_1_541284561214624104645789101745678[[#This Row],[MARGIN]]</f>
        <v>0</v>
      </c>
      <c r="P967" s="198"/>
      <c r="R967" s="41"/>
    </row>
    <row r="968" spans="4:18">
      <c r="D968" s="188"/>
      <c r="E968" s="42"/>
      <c r="F968" s="168" t="s">
        <v>6202</v>
      </c>
      <c r="G968" s="193">
        <f>IF(_1_541284561214624104645789101745678[[#This Row],[Type]]&gt;0,VLOOKUP(_1_541284561214624104645789101745678[[#This Row],[Type]],Main[[#All],[TYPE]:[UNIT]],'Unit Price'!C$1,FALSE),0)</f>
        <v>0</v>
      </c>
      <c r="H968" s="197">
        <f>IF(_1_541284561214624104645789101745678[[#This Row],[Type]]&gt;0,VLOOKUP(_1_541284561214624104645789101745678[[#This Row],[Type]],Main[[#All],[TYPE]:[UNIT]],'Unit Price'!D$1,FALSE),0)</f>
        <v>0</v>
      </c>
      <c r="I968" s="194">
        <f>IF(_1_541284561214624104645789101745678[[#This Row],[Type]]&gt;0,VLOOKUP(_1_541284561214624104645789101745678[[#This Row],[Type]],Main[[#All],[TYPE]:[UNIT]],'Unit Price'!G$1,FALSE),0)</f>
        <v>0</v>
      </c>
      <c r="J968" s="194">
        <f>IF(_1_541284561214624104645789101745678[[#This Row],[Type]]&gt;0,VLOOKUP(_1_541284561214624104645789101745678[[#This Row],[Type]],Main[[#All],[TYPE]:[UNIT]],'Unit Price'!H$1,FALSE),0)</f>
        <v>0</v>
      </c>
      <c r="K968" s="194">
        <f>IF(_1_541284561214624104645789101745678[[#This Row],[Discount selection]]&gt;0,VLOOKUP(_1_541284561214624104645789101745678[[#This Row],[Discount selection]],'Discount Structure'!$A$2:$B$30,2,"false"),0)</f>
        <v>1</v>
      </c>
      <c r="L968" s="194">
        <f>_1_541284561214624104645789101745678[[#This Row],[LIST $]]*_1_541284561214624104645789101745678[[#This Row],[DISCOUNT]]*_1_541284561214624104645789101745678[[#This Row],[DISCOUNT 2]]</f>
        <v>0</v>
      </c>
      <c r="M968" s="194">
        <f>IF(OR(_1_541284561214624104645789101745678[[#This Row],[UNIT]]&gt;0,_1_541284561214624104645789101745678[[#This Row],[UNIT]]&lt;0),_1_541284561214624104645789101745678[[#This Row],[UNIT]]*_1_541284561214624104645789101745678[[#This Row],[COST]],0)</f>
        <v>0</v>
      </c>
      <c r="N968" s="194">
        <f t="shared" si="14"/>
        <v>1.3</v>
      </c>
      <c r="O968" s="198">
        <f>_1_541284561214624104645789101745678[[#This Row],[TOTAL]]*_1_541284561214624104645789101745678[[#This Row],[MARGIN]]</f>
        <v>0</v>
      </c>
      <c r="P968" s="198"/>
      <c r="R968" s="41"/>
    </row>
    <row r="969" spans="4:18">
      <c r="D969" s="188"/>
      <c r="E969" s="42"/>
      <c r="F969" s="168" t="s">
        <v>6202</v>
      </c>
      <c r="G969" s="193">
        <f>IF(_1_541284561214624104645789101745678[[#This Row],[Type]]&gt;0,VLOOKUP(_1_541284561214624104645789101745678[[#This Row],[Type]],Main[[#All],[TYPE]:[UNIT]],'Unit Price'!C$1,FALSE),0)</f>
        <v>0</v>
      </c>
      <c r="H969" s="197">
        <f>IF(_1_541284561214624104645789101745678[[#This Row],[Type]]&gt;0,VLOOKUP(_1_541284561214624104645789101745678[[#This Row],[Type]],Main[[#All],[TYPE]:[UNIT]],'Unit Price'!D$1,FALSE),0)</f>
        <v>0</v>
      </c>
      <c r="I969" s="194">
        <f>IF(_1_541284561214624104645789101745678[[#This Row],[Type]]&gt;0,VLOOKUP(_1_541284561214624104645789101745678[[#This Row],[Type]],Main[[#All],[TYPE]:[UNIT]],'Unit Price'!G$1,FALSE),0)</f>
        <v>0</v>
      </c>
      <c r="J969" s="194">
        <f>IF(_1_541284561214624104645789101745678[[#This Row],[Type]]&gt;0,VLOOKUP(_1_541284561214624104645789101745678[[#This Row],[Type]],Main[[#All],[TYPE]:[UNIT]],'Unit Price'!H$1,FALSE),0)</f>
        <v>0</v>
      </c>
      <c r="K969" s="194">
        <f>IF(_1_541284561214624104645789101745678[[#This Row],[Discount selection]]&gt;0,VLOOKUP(_1_541284561214624104645789101745678[[#This Row],[Discount selection]],'Discount Structure'!$A$2:$B$30,2,"false"),0)</f>
        <v>1</v>
      </c>
      <c r="L969" s="194">
        <f>_1_541284561214624104645789101745678[[#This Row],[LIST $]]*_1_541284561214624104645789101745678[[#This Row],[DISCOUNT]]*_1_541284561214624104645789101745678[[#This Row],[DISCOUNT 2]]</f>
        <v>0</v>
      </c>
      <c r="M969" s="194">
        <f>IF(OR(_1_541284561214624104645789101745678[[#This Row],[UNIT]]&gt;0,_1_541284561214624104645789101745678[[#This Row],[UNIT]]&lt;0),_1_541284561214624104645789101745678[[#This Row],[UNIT]]*_1_541284561214624104645789101745678[[#This Row],[COST]],0)</f>
        <v>0</v>
      </c>
      <c r="N969" s="194">
        <f t="shared" si="14"/>
        <v>1.3</v>
      </c>
      <c r="O969" s="198">
        <f>_1_541284561214624104645789101745678[[#This Row],[TOTAL]]*_1_541284561214624104645789101745678[[#This Row],[MARGIN]]</f>
        <v>0</v>
      </c>
      <c r="P969" s="198"/>
      <c r="R969" s="41"/>
    </row>
    <row r="970" spans="4:18">
      <c r="D970" s="188"/>
      <c r="E970" s="42"/>
      <c r="F970" s="168" t="s">
        <v>6202</v>
      </c>
      <c r="G970" s="193">
        <f>IF(_1_541284561214624104645789101745678[[#This Row],[Type]]&gt;0,VLOOKUP(_1_541284561214624104645789101745678[[#This Row],[Type]],Main[[#All],[TYPE]:[UNIT]],'Unit Price'!C$1,FALSE),0)</f>
        <v>0</v>
      </c>
      <c r="H970" s="197">
        <f>IF(_1_541284561214624104645789101745678[[#This Row],[Type]]&gt;0,VLOOKUP(_1_541284561214624104645789101745678[[#This Row],[Type]],Main[[#All],[TYPE]:[UNIT]],'Unit Price'!D$1,FALSE),0)</f>
        <v>0</v>
      </c>
      <c r="I970" s="194">
        <f>IF(_1_541284561214624104645789101745678[[#This Row],[Type]]&gt;0,VLOOKUP(_1_541284561214624104645789101745678[[#This Row],[Type]],Main[[#All],[TYPE]:[UNIT]],'Unit Price'!G$1,FALSE),0)</f>
        <v>0</v>
      </c>
      <c r="J970" s="194">
        <f>IF(_1_541284561214624104645789101745678[[#This Row],[Type]]&gt;0,VLOOKUP(_1_541284561214624104645789101745678[[#This Row],[Type]],Main[[#All],[TYPE]:[UNIT]],'Unit Price'!H$1,FALSE),0)</f>
        <v>0</v>
      </c>
      <c r="K970" s="194">
        <f>IF(_1_541284561214624104645789101745678[[#This Row],[Discount selection]]&gt;0,VLOOKUP(_1_541284561214624104645789101745678[[#This Row],[Discount selection]],'Discount Structure'!$A$2:$B$30,2,"false"),0)</f>
        <v>1</v>
      </c>
      <c r="L970" s="194">
        <f>_1_541284561214624104645789101745678[[#This Row],[LIST $]]*_1_541284561214624104645789101745678[[#This Row],[DISCOUNT]]*_1_541284561214624104645789101745678[[#This Row],[DISCOUNT 2]]</f>
        <v>0</v>
      </c>
      <c r="M970" s="194">
        <f>IF(OR(_1_541284561214624104645789101745678[[#This Row],[UNIT]]&gt;0,_1_541284561214624104645789101745678[[#This Row],[UNIT]]&lt;0),_1_541284561214624104645789101745678[[#This Row],[UNIT]]*_1_541284561214624104645789101745678[[#This Row],[COST]],0)</f>
        <v>0</v>
      </c>
      <c r="N970" s="194">
        <f t="shared" ref="N970:N999" si="15">$N$7</f>
        <v>1.3</v>
      </c>
      <c r="O970" s="198">
        <f>_1_541284561214624104645789101745678[[#This Row],[TOTAL]]*_1_541284561214624104645789101745678[[#This Row],[MARGIN]]</f>
        <v>0</v>
      </c>
      <c r="P970" s="198"/>
      <c r="R970" s="41"/>
    </row>
    <row r="971" spans="4:18">
      <c r="D971" s="188"/>
      <c r="E971" s="42"/>
      <c r="F971" s="168" t="s">
        <v>6202</v>
      </c>
      <c r="G971" s="193">
        <f>IF(_1_541284561214624104645789101745678[[#This Row],[Type]]&gt;0,VLOOKUP(_1_541284561214624104645789101745678[[#This Row],[Type]],Main[[#All],[TYPE]:[UNIT]],'Unit Price'!C$1,FALSE),0)</f>
        <v>0</v>
      </c>
      <c r="H971" s="197">
        <f>IF(_1_541284561214624104645789101745678[[#This Row],[Type]]&gt;0,VLOOKUP(_1_541284561214624104645789101745678[[#This Row],[Type]],Main[[#All],[TYPE]:[UNIT]],'Unit Price'!D$1,FALSE),0)</f>
        <v>0</v>
      </c>
      <c r="I971" s="194">
        <f>IF(_1_541284561214624104645789101745678[[#This Row],[Type]]&gt;0,VLOOKUP(_1_541284561214624104645789101745678[[#This Row],[Type]],Main[[#All],[TYPE]:[UNIT]],'Unit Price'!G$1,FALSE),0)</f>
        <v>0</v>
      </c>
      <c r="J971" s="194">
        <f>IF(_1_541284561214624104645789101745678[[#This Row],[Type]]&gt;0,VLOOKUP(_1_541284561214624104645789101745678[[#This Row],[Type]],Main[[#All],[TYPE]:[UNIT]],'Unit Price'!H$1,FALSE),0)</f>
        <v>0</v>
      </c>
      <c r="K971" s="194">
        <f>IF(_1_541284561214624104645789101745678[[#This Row],[Discount selection]]&gt;0,VLOOKUP(_1_541284561214624104645789101745678[[#This Row],[Discount selection]],'Discount Structure'!$A$2:$B$30,2,"false"),0)</f>
        <v>1</v>
      </c>
      <c r="L971" s="194">
        <f>_1_541284561214624104645789101745678[[#This Row],[LIST $]]*_1_541284561214624104645789101745678[[#This Row],[DISCOUNT]]*_1_541284561214624104645789101745678[[#This Row],[DISCOUNT 2]]</f>
        <v>0</v>
      </c>
      <c r="M971" s="194">
        <f>IF(OR(_1_541284561214624104645789101745678[[#This Row],[UNIT]]&gt;0,_1_541284561214624104645789101745678[[#This Row],[UNIT]]&lt;0),_1_541284561214624104645789101745678[[#This Row],[UNIT]]*_1_541284561214624104645789101745678[[#This Row],[COST]],0)</f>
        <v>0</v>
      </c>
      <c r="N971" s="194">
        <f t="shared" si="15"/>
        <v>1.3</v>
      </c>
      <c r="O971" s="198">
        <f>_1_541284561214624104645789101745678[[#This Row],[TOTAL]]*_1_541284561214624104645789101745678[[#This Row],[MARGIN]]</f>
        <v>0</v>
      </c>
      <c r="P971" s="198"/>
      <c r="R971" s="41"/>
    </row>
    <row r="972" spans="4:18">
      <c r="D972" s="188"/>
      <c r="E972" s="42"/>
      <c r="F972" s="168" t="s">
        <v>6202</v>
      </c>
      <c r="G972" s="193">
        <f>IF(_1_541284561214624104645789101745678[[#This Row],[Type]]&gt;0,VLOOKUP(_1_541284561214624104645789101745678[[#This Row],[Type]],Main[[#All],[TYPE]:[UNIT]],'Unit Price'!C$1,FALSE),0)</f>
        <v>0</v>
      </c>
      <c r="H972" s="197">
        <f>IF(_1_541284561214624104645789101745678[[#This Row],[Type]]&gt;0,VLOOKUP(_1_541284561214624104645789101745678[[#This Row],[Type]],Main[[#All],[TYPE]:[UNIT]],'Unit Price'!D$1,FALSE),0)</f>
        <v>0</v>
      </c>
      <c r="I972" s="194">
        <f>IF(_1_541284561214624104645789101745678[[#This Row],[Type]]&gt;0,VLOOKUP(_1_541284561214624104645789101745678[[#This Row],[Type]],Main[[#All],[TYPE]:[UNIT]],'Unit Price'!G$1,FALSE),0)</f>
        <v>0</v>
      </c>
      <c r="J972" s="194">
        <f>IF(_1_541284561214624104645789101745678[[#This Row],[Type]]&gt;0,VLOOKUP(_1_541284561214624104645789101745678[[#This Row],[Type]],Main[[#All],[TYPE]:[UNIT]],'Unit Price'!H$1,FALSE),0)</f>
        <v>0</v>
      </c>
      <c r="K972" s="194">
        <f>IF(_1_541284561214624104645789101745678[[#This Row],[Discount selection]]&gt;0,VLOOKUP(_1_541284561214624104645789101745678[[#This Row],[Discount selection]],'Discount Structure'!$A$2:$B$30,2,"false"),0)</f>
        <v>1</v>
      </c>
      <c r="L972" s="194">
        <f>_1_541284561214624104645789101745678[[#This Row],[LIST $]]*_1_541284561214624104645789101745678[[#This Row],[DISCOUNT]]*_1_541284561214624104645789101745678[[#This Row],[DISCOUNT 2]]</f>
        <v>0</v>
      </c>
      <c r="M972" s="194">
        <f>IF(OR(_1_541284561214624104645789101745678[[#This Row],[UNIT]]&gt;0,_1_541284561214624104645789101745678[[#This Row],[UNIT]]&lt;0),_1_541284561214624104645789101745678[[#This Row],[UNIT]]*_1_541284561214624104645789101745678[[#This Row],[COST]],0)</f>
        <v>0</v>
      </c>
      <c r="N972" s="194">
        <f t="shared" si="15"/>
        <v>1.3</v>
      </c>
      <c r="O972" s="198">
        <f>_1_541284561214624104645789101745678[[#This Row],[TOTAL]]*_1_541284561214624104645789101745678[[#This Row],[MARGIN]]</f>
        <v>0</v>
      </c>
      <c r="P972" s="198"/>
      <c r="R972" s="41"/>
    </row>
    <row r="973" spans="4:18">
      <c r="D973" s="188"/>
      <c r="E973" s="42"/>
      <c r="F973" s="168" t="s">
        <v>6202</v>
      </c>
      <c r="G973" s="193">
        <f>IF(_1_541284561214624104645789101745678[[#This Row],[Type]]&gt;0,VLOOKUP(_1_541284561214624104645789101745678[[#This Row],[Type]],Main[[#All],[TYPE]:[UNIT]],'Unit Price'!C$1,FALSE),0)</f>
        <v>0</v>
      </c>
      <c r="H973" s="197">
        <f>IF(_1_541284561214624104645789101745678[[#This Row],[Type]]&gt;0,VLOOKUP(_1_541284561214624104645789101745678[[#This Row],[Type]],Main[[#All],[TYPE]:[UNIT]],'Unit Price'!D$1,FALSE),0)</f>
        <v>0</v>
      </c>
      <c r="I973" s="194">
        <f>IF(_1_541284561214624104645789101745678[[#This Row],[Type]]&gt;0,VLOOKUP(_1_541284561214624104645789101745678[[#This Row],[Type]],Main[[#All],[TYPE]:[UNIT]],'Unit Price'!G$1,FALSE),0)</f>
        <v>0</v>
      </c>
      <c r="J973" s="194">
        <f>IF(_1_541284561214624104645789101745678[[#This Row],[Type]]&gt;0,VLOOKUP(_1_541284561214624104645789101745678[[#This Row],[Type]],Main[[#All],[TYPE]:[UNIT]],'Unit Price'!H$1,FALSE),0)</f>
        <v>0</v>
      </c>
      <c r="K973" s="194">
        <f>IF(_1_541284561214624104645789101745678[[#This Row],[Discount selection]]&gt;0,VLOOKUP(_1_541284561214624104645789101745678[[#This Row],[Discount selection]],'Discount Structure'!$A$2:$B$30,2,"false"),0)</f>
        <v>1</v>
      </c>
      <c r="L973" s="194">
        <f>_1_541284561214624104645789101745678[[#This Row],[LIST $]]*_1_541284561214624104645789101745678[[#This Row],[DISCOUNT]]*_1_541284561214624104645789101745678[[#This Row],[DISCOUNT 2]]</f>
        <v>0</v>
      </c>
      <c r="M973" s="194">
        <f>IF(OR(_1_541284561214624104645789101745678[[#This Row],[UNIT]]&gt;0,_1_541284561214624104645789101745678[[#This Row],[UNIT]]&lt;0),_1_541284561214624104645789101745678[[#This Row],[UNIT]]*_1_541284561214624104645789101745678[[#This Row],[COST]],0)</f>
        <v>0</v>
      </c>
      <c r="N973" s="194">
        <f t="shared" si="15"/>
        <v>1.3</v>
      </c>
      <c r="O973" s="198">
        <f>_1_541284561214624104645789101745678[[#This Row],[TOTAL]]*_1_541284561214624104645789101745678[[#This Row],[MARGIN]]</f>
        <v>0</v>
      </c>
      <c r="P973" s="198"/>
      <c r="R973" s="41"/>
    </row>
    <row r="974" spans="4:18">
      <c r="D974" s="188"/>
      <c r="E974" s="42"/>
      <c r="F974" s="168" t="s">
        <v>6202</v>
      </c>
      <c r="G974" s="193">
        <f>IF(_1_541284561214624104645789101745678[[#This Row],[Type]]&gt;0,VLOOKUP(_1_541284561214624104645789101745678[[#This Row],[Type]],Main[[#All],[TYPE]:[UNIT]],'Unit Price'!C$1,FALSE),0)</f>
        <v>0</v>
      </c>
      <c r="H974" s="197">
        <f>IF(_1_541284561214624104645789101745678[[#This Row],[Type]]&gt;0,VLOOKUP(_1_541284561214624104645789101745678[[#This Row],[Type]],Main[[#All],[TYPE]:[UNIT]],'Unit Price'!D$1,FALSE),0)</f>
        <v>0</v>
      </c>
      <c r="I974" s="194">
        <f>IF(_1_541284561214624104645789101745678[[#This Row],[Type]]&gt;0,VLOOKUP(_1_541284561214624104645789101745678[[#This Row],[Type]],Main[[#All],[TYPE]:[UNIT]],'Unit Price'!G$1,FALSE),0)</f>
        <v>0</v>
      </c>
      <c r="J974" s="194">
        <f>IF(_1_541284561214624104645789101745678[[#This Row],[Type]]&gt;0,VLOOKUP(_1_541284561214624104645789101745678[[#This Row],[Type]],Main[[#All],[TYPE]:[UNIT]],'Unit Price'!H$1,FALSE),0)</f>
        <v>0</v>
      </c>
      <c r="K974" s="194">
        <f>IF(_1_541284561214624104645789101745678[[#This Row],[Discount selection]]&gt;0,VLOOKUP(_1_541284561214624104645789101745678[[#This Row],[Discount selection]],'Discount Structure'!$A$2:$B$30,2,"false"),0)</f>
        <v>1</v>
      </c>
      <c r="L974" s="194">
        <f>_1_541284561214624104645789101745678[[#This Row],[LIST $]]*_1_541284561214624104645789101745678[[#This Row],[DISCOUNT]]*_1_541284561214624104645789101745678[[#This Row],[DISCOUNT 2]]</f>
        <v>0</v>
      </c>
      <c r="M974" s="194">
        <f>IF(OR(_1_541284561214624104645789101745678[[#This Row],[UNIT]]&gt;0,_1_541284561214624104645789101745678[[#This Row],[UNIT]]&lt;0),_1_541284561214624104645789101745678[[#This Row],[UNIT]]*_1_541284561214624104645789101745678[[#This Row],[COST]],0)</f>
        <v>0</v>
      </c>
      <c r="N974" s="194">
        <f t="shared" si="15"/>
        <v>1.3</v>
      </c>
      <c r="O974" s="198">
        <f>_1_541284561214624104645789101745678[[#This Row],[TOTAL]]*_1_541284561214624104645789101745678[[#This Row],[MARGIN]]</f>
        <v>0</v>
      </c>
      <c r="P974" s="198"/>
      <c r="R974" s="41"/>
    </row>
    <row r="975" spans="4:18">
      <c r="D975" s="188"/>
      <c r="E975" s="42"/>
      <c r="F975" s="168" t="s">
        <v>6202</v>
      </c>
      <c r="G975" s="193">
        <f>IF(_1_541284561214624104645789101745678[[#This Row],[Type]]&gt;0,VLOOKUP(_1_541284561214624104645789101745678[[#This Row],[Type]],Main[[#All],[TYPE]:[UNIT]],'Unit Price'!C$1,FALSE),0)</f>
        <v>0</v>
      </c>
      <c r="H975" s="197">
        <f>IF(_1_541284561214624104645789101745678[[#This Row],[Type]]&gt;0,VLOOKUP(_1_541284561214624104645789101745678[[#This Row],[Type]],Main[[#All],[TYPE]:[UNIT]],'Unit Price'!D$1,FALSE),0)</f>
        <v>0</v>
      </c>
      <c r="I975" s="194">
        <f>IF(_1_541284561214624104645789101745678[[#This Row],[Type]]&gt;0,VLOOKUP(_1_541284561214624104645789101745678[[#This Row],[Type]],Main[[#All],[TYPE]:[UNIT]],'Unit Price'!G$1,FALSE),0)</f>
        <v>0</v>
      </c>
      <c r="J975" s="194">
        <f>IF(_1_541284561214624104645789101745678[[#This Row],[Type]]&gt;0,VLOOKUP(_1_541284561214624104645789101745678[[#This Row],[Type]],Main[[#All],[TYPE]:[UNIT]],'Unit Price'!H$1,FALSE),0)</f>
        <v>0</v>
      </c>
      <c r="K975" s="194">
        <f>IF(_1_541284561214624104645789101745678[[#This Row],[Discount selection]]&gt;0,VLOOKUP(_1_541284561214624104645789101745678[[#This Row],[Discount selection]],'Discount Structure'!$A$2:$B$30,2,"false"),0)</f>
        <v>1</v>
      </c>
      <c r="L975" s="194">
        <f>_1_541284561214624104645789101745678[[#This Row],[LIST $]]*_1_541284561214624104645789101745678[[#This Row],[DISCOUNT]]*_1_541284561214624104645789101745678[[#This Row],[DISCOUNT 2]]</f>
        <v>0</v>
      </c>
      <c r="M975" s="194">
        <f>IF(OR(_1_541284561214624104645789101745678[[#This Row],[UNIT]]&gt;0,_1_541284561214624104645789101745678[[#This Row],[UNIT]]&lt;0),_1_541284561214624104645789101745678[[#This Row],[UNIT]]*_1_541284561214624104645789101745678[[#This Row],[COST]],0)</f>
        <v>0</v>
      </c>
      <c r="N975" s="194">
        <f t="shared" si="15"/>
        <v>1.3</v>
      </c>
      <c r="O975" s="198">
        <f>_1_541284561214624104645789101745678[[#This Row],[TOTAL]]*_1_541284561214624104645789101745678[[#This Row],[MARGIN]]</f>
        <v>0</v>
      </c>
      <c r="P975" s="198"/>
      <c r="R975" s="41"/>
    </row>
    <row r="976" spans="4:18">
      <c r="D976" s="188"/>
      <c r="E976" s="42"/>
      <c r="F976" s="168" t="s">
        <v>6202</v>
      </c>
      <c r="G976" s="193">
        <f>IF(_1_541284561214624104645789101745678[[#This Row],[Type]]&gt;0,VLOOKUP(_1_541284561214624104645789101745678[[#This Row],[Type]],Main[[#All],[TYPE]:[UNIT]],'Unit Price'!C$1,FALSE),0)</f>
        <v>0</v>
      </c>
      <c r="H976" s="197">
        <f>IF(_1_541284561214624104645789101745678[[#This Row],[Type]]&gt;0,VLOOKUP(_1_541284561214624104645789101745678[[#This Row],[Type]],Main[[#All],[TYPE]:[UNIT]],'Unit Price'!D$1,FALSE),0)</f>
        <v>0</v>
      </c>
      <c r="I976" s="194">
        <f>IF(_1_541284561214624104645789101745678[[#This Row],[Type]]&gt;0,VLOOKUP(_1_541284561214624104645789101745678[[#This Row],[Type]],Main[[#All],[TYPE]:[UNIT]],'Unit Price'!G$1,FALSE),0)</f>
        <v>0</v>
      </c>
      <c r="J976" s="194">
        <f>IF(_1_541284561214624104645789101745678[[#This Row],[Type]]&gt;0,VLOOKUP(_1_541284561214624104645789101745678[[#This Row],[Type]],Main[[#All],[TYPE]:[UNIT]],'Unit Price'!H$1,FALSE),0)</f>
        <v>0</v>
      </c>
      <c r="K976" s="194">
        <f>IF(_1_541284561214624104645789101745678[[#This Row],[Discount selection]]&gt;0,VLOOKUP(_1_541284561214624104645789101745678[[#This Row],[Discount selection]],'Discount Structure'!$A$2:$B$30,2,"false"),0)</f>
        <v>1</v>
      </c>
      <c r="L976" s="194">
        <f>_1_541284561214624104645789101745678[[#This Row],[LIST $]]*_1_541284561214624104645789101745678[[#This Row],[DISCOUNT]]*_1_541284561214624104645789101745678[[#This Row],[DISCOUNT 2]]</f>
        <v>0</v>
      </c>
      <c r="M976" s="194">
        <f>IF(OR(_1_541284561214624104645789101745678[[#This Row],[UNIT]]&gt;0,_1_541284561214624104645789101745678[[#This Row],[UNIT]]&lt;0),_1_541284561214624104645789101745678[[#This Row],[UNIT]]*_1_541284561214624104645789101745678[[#This Row],[COST]],0)</f>
        <v>0</v>
      </c>
      <c r="N976" s="194">
        <f t="shared" si="15"/>
        <v>1.3</v>
      </c>
      <c r="O976" s="198">
        <f>_1_541284561214624104645789101745678[[#This Row],[TOTAL]]*_1_541284561214624104645789101745678[[#This Row],[MARGIN]]</f>
        <v>0</v>
      </c>
      <c r="P976" s="198"/>
      <c r="R976" s="41"/>
    </row>
    <row r="977" spans="4:18">
      <c r="D977" s="188"/>
      <c r="E977" s="42"/>
      <c r="F977" s="168" t="s">
        <v>6202</v>
      </c>
      <c r="G977" s="193">
        <f>IF(_1_541284561214624104645789101745678[[#This Row],[Type]]&gt;0,VLOOKUP(_1_541284561214624104645789101745678[[#This Row],[Type]],Main[[#All],[TYPE]:[UNIT]],'Unit Price'!C$1,FALSE),0)</f>
        <v>0</v>
      </c>
      <c r="H977" s="197">
        <f>IF(_1_541284561214624104645789101745678[[#This Row],[Type]]&gt;0,VLOOKUP(_1_541284561214624104645789101745678[[#This Row],[Type]],Main[[#All],[TYPE]:[UNIT]],'Unit Price'!D$1,FALSE),0)</f>
        <v>0</v>
      </c>
      <c r="I977" s="194">
        <f>IF(_1_541284561214624104645789101745678[[#This Row],[Type]]&gt;0,VLOOKUP(_1_541284561214624104645789101745678[[#This Row],[Type]],Main[[#All],[TYPE]:[UNIT]],'Unit Price'!G$1,FALSE),0)</f>
        <v>0</v>
      </c>
      <c r="J977" s="194">
        <f>IF(_1_541284561214624104645789101745678[[#This Row],[Type]]&gt;0,VLOOKUP(_1_541284561214624104645789101745678[[#This Row],[Type]],Main[[#All],[TYPE]:[UNIT]],'Unit Price'!H$1,FALSE),0)</f>
        <v>0</v>
      </c>
      <c r="K977" s="194">
        <f>IF(_1_541284561214624104645789101745678[[#This Row],[Discount selection]]&gt;0,VLOOKUP(_1_541284561214624104645789101745678[[#This Row],[Discount selection]],'Discount Structure'!$A$2:$B$30,2,"false"),0)</f>
        <v>1</v>
      </c>
      <c r="L977" s="194">
        <f>_1_541284561214624104645789101745678[[#This Row],[LIST $]]*_1_541284561214624104645789101745678[[#This Row],[DISCOUNT]]*_1_541284561214624104645789101745678[[#This Row],[DISCOUNT 2]]</f>
        <v>0</v>
      </c>
      <c r="M977" s="194">
        <f>IF(OR(_1_541284561214624104645789101745678[[#This Row],[UNIT]]&gt;0,_1_541284561214624104645789101745678[[#This Row],[UNIT]]&lt;0),_1_541284561214624104645789101745678[[#This Row],[UNIT]]*_1_541284561214624104645789101745678[[#This Row],[COST]],0)</f>
        <v>0</v>
      </c>
      <c r="N977" s="194">
        <f t="shared" si="15"/>
        <v>1.3</v>
      </c>
      <c r="O977" s="198">
        <f>_1_541284561214624104645789101745678[[#This Row],[TOTAL]]*_1_541284561214624104645789101745678[[#This Row],[MARGIN]]</f>
        <v>0</v>
      </c>
      <c r="P977" s="198"/>
      <c r="R977" s="41"/>
    </row>
    <row r="978" spans="4:18">
      <c r="D978" s="188"/>
      <c r="E978" s="42"/>
      <c r="F978" s="168" t="s">
        <v>6202</v>
      </c>
      <c r="G978" s="193">
        <f>IF(_1_541284561214624104645789101745678[[#This Row],[Type]]&gt;0,VLOOKUP(_1_541284561214624104645789101745678[[#This Row],[Type]],Main[[#All],[TYPE]:[UNIT]],'Unit Price'!C$1,FALSE),0)</f>
        <v>0</v>
      </c>
      <c r="H978" s="197">
        <f>IF(_1_541284561214624104645789101745678[[#This Row],[Type]]&gt;0,VLOOKUP(_1_541284561214624104645789101745678[[#This Row],[Type]],Main[[#All],[TYPE]:[UNIT]],'Unit Price'!D$1,FALSE),0)</f>
        <v>0</v>
      </c>
      <c r="I978" s="194">
        <f>IF(_1_541284561214624104645789101745678[[#This Row],[Type]]&gt;0,VLOOKUP(_1_541284561214624104645789101745678[[#This Row],[Type]],Main[[#All],[TYPE]:[UNIT]],'Unit Price'!G$1,FALSE),0)</f>
        <v>0</v>
      </c>
      <c r="J978" s="194">
        <f>IF(_1_541284561214624104645789101745678[[#This Row],[Type]]&gt;0,VLOOKUP(_1_541284561214624104645789101745678[[#This Row],[Type]],Main[[#All],[TYPE]:[UNIT]],'Unit Price'!H$1,FALSE),0)</f>
        <v>0</v>
      </c>
      <c r="K978" s="194">
        <f>IF(_1_541284561214624104645789101745678[[#This Row],[Discount selection]]&gt;0,VLOOKUP(_1_541284561214624104645789101745678[[#This Row],[Discount selection]],'Discount Structure'!$A$2:$B$30,2,"false"),0)</f>
        <v>1</v>
      </c>
      <c r="L978" s="194">
        <f>_1_541284561214624104645789101745678[[#This Row],[LIST $]]*_1_541284561214624104645789101745678[[#This Row],[DISCOUNT]]*_1_541284561214624104645789101745678[[#This Row],[DISCOUNT 2]]</f>
        <v>0</v>
      </c>
      <c r="M978" s="194">
        <f>IF(OR(_1_541284561214624104645789101745678[[#This Row],[UNIT]]&gt;0,_1_541284561214624104645789101745678[[#This Row],[UNIT]]&lt;0),_1_541284561214624104645789101745678[[#This Row],[UNIT]]*_1_541284561214624104645789101745678[[#This Row],[COST]],0)</f>
        <v>0</v>
      </c>
      <c r="N978" s="194">
        <f t="shared" si="15"/>
        <v>1.3</v>
      </c>
      <c r="O978" s="198">
        <f>_1_541284561214624104645789101745678[[#This Row],[TOTAL]]*_1_541284561214624104645789101745678[[#This Row],[MARGIN]]</f>
        <v>0</v>
      </c>
      <c r="P978" s="198"/>
      <c r="R978" s="41"/>
    </row>
    <row r="979" spans="4:18">
      <c r="D979" s="188"/>
      <c r="E979" s="42"/>
      <c r="F979" s="168" t="s">
        <v>6202</v>
      </c>
      <c r="G979" s="193">
        <f>IF(_1_541284561214624104645789101745678[[#This Row],[Type]]&gt;0,VLOOKUP(_1_541284561214624104645789101745678[[#This Row],[Type]],Main[[#All],[TYPE]:[UNIT]],'Unit Price'!C$1,FALSE),0)</f>
        <v>0</v>
      </c>
      <c r="H979" s="197">
        <f>IF(_1_541284561214624104645789101745678[[#This Row],[Type]]&gt;0,VLOOKUP(_1_541284561214624104645789101745678[[#This Row],[Type]],Main[[#All],[TYPE]:[UNIT]],'Unit Price'!D$1,FALSE),0)</f>
        <v>0</v>
      </c>
      <c r="I979" s="194">
        <f>IF(_1_541284561214624104645789101745678[[#This Row],[Type]]&gt;0,VLOOKUP(_1_541284561214624104645789101745678[[#This Row],[Type]],Main[[#All],[TYPE]:[UNIT]],'Unit Price'!G$1,FALSE),0)</f>
        <v>0</v>
      </c>
      <c r="J979" s="194">
        <f>IF(_1_541284561214624104645789101745678[[#This Row],[Type]]&gt;0,VLOOKUP(_1_541284561214624104645789101745678[[#This Row],[Type]],Main[[#All],[TYPE]:[UNIT]],'Unit Price'!H$1,FALSE),0)</f>
        <v>0</v>
      </c>
      <c r="K979" s="194">
        <f>IF(_1_541284561214624104645789101745678[[#This Row],[Discount selection]]&gt;0,VLOOKUP(_1_541284561214624104645789101745678[[#This Row],[Discount selection]],'Discount Structure'!$A$2:$B$30,2,"false"),0)</f>
        <v>1</v>
      </c>
      <c r="L979" s="194">
        <f>_1_541284561214624104645789101745678[[#This Row],[LIST $]]*_1_541284561214624104645789101745678[[#This Row],[DISCOUNT]]*_1_541284561214624104645789101745678[[#This Row],[DISCOUNT 2]]</f>
        <v>0</v>
      </c>
      <c r="M979" s="194">
        <f>IF(OR(_1_541284561214624104645789101745678[[#This Row],[UNIT]]&gt;0,_1_541284561214624104645789101745678[[#This Row],[UNIT]]&lt;0),_1_541284561214624104645789101745678[[#This Row],[UNIT]]*_1_541284561214624104645789101745678[[#This Row],[COST]],0)</f>
        <v>0</v>
      </c>
      <c r="N979" s="194">
        <f t="shared" si="15"/>
        <v>1.3</v>
      </c>
      <c r="O979" s="198">
        <f>_1_541284561214624104645789101745678[[#This Row],[TOTAL]]*_1_541284561214624104645789101745678[[#This Row],[MARGIN]]</f>
        <v>0</v>
      </c>
      <c r="P979" s="198"/>
      <c r="R979" s="41"/>
    </row>
    <row r="980" spans="4:18">
      <c r="D980" s="188"/>
      <c r="E980" s="42"/>
      <c r="F980" s="168" t="s">
        <v>6202</v>
      </c>
      <c r="G980" s="193">
        <f>IF(_1_541284561214624104645789101745678[[#This Row],[Type]]&gt;0,VLOOKUP(_1_541284561214624104645789101745678[[#This Row],[Type]],Main[[#All],[TYPE]:[UNIT]],'Unit Price'!C$1,FALSE),0)</f>
        <v>0</v>
      </c>
      <c r="H980" s="197">
        <f>IF(_1_541284561214624104645789101745678[[#This Row],[Type]]&gt;0,VLOOKUP(_1_541284561214624104645789101745678[[#This Row],[Type]],Main[[#All],[TYPE]:[UNIT]],'Unit Price'!D$1,FALSE),0)</f>
        <v>0</v>
      </c>
      <c r="I980" s="194">
        <f>IF(_1_541284561214624104645789101745678[[#This Row],[Type]]&gt;0,VLOOKUP(_1_541284561214624104645789101745678[[#This Row],[Type]],Main[[#All],[TYPE]:[UNIT]],'Unit Price'!G$1,FALSE),0)</f>
        <v>0</v>
      </c>
      <c r="J980" s="194">
        <f>IF(_1_541284561214624104645789101745678[[#This Row],[Type]]&gt;0,VLOOKUP(_1_541284561214624104645789101745678[[#This Row],[Type]],Main[[#All],[TYPE]:[UNIT]],'Unit Price'!H$1,FALSE),0)</f>
        <v>0</v>
      </c>
      <c r="K980" s="194">
        <f>IF(_1_541284561214624104645789101745678[[#This Row],[Discount selection]]&gt;0,VLOOKUP(_1_541284561214624104645789101745678[[#This Row],[Discount selection]],'Discount Structure'!$A$2:$B$30,2,"false"),0)</f>
        <v>1</v>
      </c>
      <c r="L980" s="194">
        <f>_1_541284561214624104645789101745678[[#This Row],[LIST $]]*_1_541284561214624104645789101745678[[#This Row],[DISCOUNT]]*_1_541284561214624104645789101745678[[#This Row],[DISCOUNT 2]]</f>
        <v>0</v>
      </c>
      <c r="M980" s="194">
        <f>IF(OR(_1_541284561214624104645789101745678[[#This Row],[UNIT]]&gt;0,_1_541284561214624104645789101745678[[#This Row],[UNIT]]&lt;0),_1_541284561214624104645789101745678[[#This Row],[UNIT]]*_1_541284561214624104645789101745678[[#This Row],[COST]],0)</f>
        <v>0</v>
      </c>
      <c r="N980" s="194">
        <f t="shared" si="15"/>
        <v>1.3</v>
      </c>
      <c r="O980" s="198">
        <f>_1_541284561214624104645789101745678[[#This Row],[TOTAL]]*_1_541284561214624104645789101745678[[#This Row],[MARGIN]]</f>
        <v>0</v>
      </c>
      <c r="P980" s="198"/>
      <c r="R980" s="41"/>
    </row>
    <row r="981" spans="4:18">
      <c r="D981" s="188"/>
      <c r="E981" s="42"/>
      <c r="F981" s="168" t="s">
        <v>6202</v>
      </c>
      <c r="G981" s="193">
        <f>IF(_1_541284561214624104645789101745678[[#This Row],[Type]]&gt;0,VLOOKUP(_1_541284561214624104645789101745678[[#This Row],[Type]],Main[[#All],[TYPE]:[UNIT]],'Unit Price'!C$1,FALSE),0)</f>
        <v>0</v>
      </c>
      <c r="H981" s="197">
        <f>IF(_1_541284561214624104645789101745678[[#This Row],[Type]]&gt;0,VLOOKUP(_1_541284561214624104645789101745678[[#This Row],[Type]],Main[[#All],[TYPE]:[UNIT]],'Unit Price'!D$1,FALSE),0)</f>
        <v>0</v>
      </c>
      <c r="I981" s="194">
        <f>IF(_1_541284561214624104645789101745678[[#This Row],[Type]]&gt;0,VLOOKUP(_1_541284561214624104645789101745678[[#This Row],[Type]],Main[[#All],[TYPE]:[UNIT]],'Unit Price'!G$1,FALSE),0)</f>
        <v>0</v>
      </c>
      <c r="J981" s="194">
        <f>IF(_1_541284561214624104645789101745678[[#This Row],[Type]]&gt;0,VLOOKUP(_1_541284561214624104645789101745678[[#This Row],[Type]],Main[[#All],[TYPE]:[UNIT]],'Unit Price'!H$1,FALSE),0)</f>
        <v>0</v>
      </c>
      <c r="K981" s="194">
        <f>IF(_1_541284561214624104645789101745678[[#This Row],[Discount selection]]&gt;0,VLOOKUP(_1_541284561214624104645789101745678[[#This Row],[Discount selection]],'Discount Structure'!$A$2:$B$30,2,"false"),0)</f>
        <v>1</v>
      </c>
      <c r="L981" s="194">
        <f>_1_541284561214624104645789101745678[[#This Row],[LIST $]]*_1_541284561214624104645789101745678[[#This Row],[DISCOUNT]]*_1_541284561214624104645789101745678[[#This Row],[DISCOUNT 2]]</f>
        <v>0</v>
      </c>
      <c r="M981" s="194">
        <f>IF(OR(_1_541284561214624104645789101745678[[#This Row],[UNIT]]&gt;0,_1_541284561214624104645789101745678[[#This Row],[UNIT]]&lt;0),_1_541284561214624104645789101745678[[#This Row],[UNIT]]*_1_541284561214624104645789101745678[[#This Row],[COST]],0)</f>
        <v>0</v>
      </c>
      <c r="N981" s="194">
        <f t="shared" si="15"/>
        <v>1.3</v>
      </c>
      <c r="O981" s="198">
        <f>_1_541284561214624104645789101745678[[#This Row],[TOTAL]]*_1_541284561214624104645789101745678[[#This Row],[MARGIN]]</f>
        <v>0</v>
      </c>
      <c r="P981" s="198"/>
      <c r="R981" s="41"/>
    </row>
    <row r="982" spans="4:18">
      <c r="D982" s="188"/>
      <c r="E982" s="42"/>
      <c r="F982" s="168" t="s">
        <v>6202</v>
      </c>
      <c r="G982" s="193">
        <f>IF(_1_541284561214624104645789101745678[[#This Row],[Type]]&gt;0,VLOOKUP(_1_541284561214624104645789101745678[[#This Row],[Type]],Main[[#All],[TYPE]:[UNIT]],'Unit Price'!C$1,FALSE),0)</f>
        <v>0</v>
      </c>
      <c r="H982" s="197">
        <f>IF(_1_541284561214624104645789101745678[[#This Row],[Type]]&gt;0,VLOOKUP(_1_541284561214624104645789101745678[[#This Row],[Type]],Main[[#All],[TYPE]:[UNIT]],'Unit Price'!D$1,FALSE),0)</f>
        <v>0</v>
      </c>
      <c r="I982" s="194">
        <f>IF(_1_541284561214624104645789101745678[[#This Row],[Type]]&gt;0,VLOOKUP(_1_541284561214624104645789101745678[[#This Row],[Type]],Main[[#All],[TYPE]:[UNIT]],'Unit Price'!G$1,FALSE),0)</f>
        <v>0</v>
      </c>
      <c r="J982" s="194">
        <f>IF(_1_541284561214624104645789101745678[[#This Row],[Type]]&gt;0,VLOOKUP(_1_541284561214624104645789101745678[[#This Row],[Type]],Main[[#All],[TYPE]:[UNIT]],'Unit Price'!H$1,FALSE),0)</f>
        <v>0</v>
      </c>
      <c r="K982" s="194">
        <f>IF(_1_541284561214624104645789101745678[[#This Row],[Discount selection]]&gt;0,VLOOKUP(_1_541284561214624104645789101745678[[#This Row],[Discount selection]],'Discount Structure'!$A$2:$B$30,2,"false"),0)</f>
        <v>1</v>
      </c>
      <c r="L982" s="194">
        <f>_1_541284561214624104645789101745678[[#This Row],[LIST $]]*_1_541284561214624104645789101745678[[#This Row],[DISCOUNT]]*_1_541284561214624104645789101745678[[#This Row],[DISCOUNT 2]]</f>
        <v>0</v>
      </c>
      <c r="M982" s="194">
        <f>IF(OR(_1_541284561214624104645789101745678[[#This Row],[UNIT]]&gt;0,_1_541284561214624104645789101745678[[#This Row],[UNIT]]&lt;0),_1_541284561214624104645789101745678[[#This Row],[UNIT]]*_1_541284561214624104645789101745678[[#This Row],[COST]],0)</f>
        <v>0</v>
      </c>
      <c r="N982" s="194">
        <f t="shared" si="15"/>
        <v>1.3</v>
      </c>
      <c r="O982" s="198">
        <f>_1_541284561214624104645789101745678[[#This Row],[TOTAL]]*_1_541284561214624104645789101745678[[#This Row],[MARGIN]]</f>
        <v>0</v>
      </c>
      <c r="P982" s="198"/>
      <c r="R982" s="41"/>
    </row>
    <row r="983" spans="4:18">
      <c r="D983" s="188"/>
      <c r="E983" s="42"/>
      <c r="F983" s="168" t="s">
        <v>6202</v>
      </c>
      <c r="G983" s="193">
        <f>IF(_1_541284561214624104645789101745678[[#This Row],[Type]]&gt;0,VLOOKUP(_1_541284561214624104645789101745678[[#This Row],[Type]],Main[[#All],[TYPE]:[UNIT]],'Unit Price'!C$1,FALSE),0)</f>
        <v>0</v>
      </c>
      <c r="H983" s="197">
        <f>IF(_1_541284561214624104645789101745678[[#This Row],[Type]]&gt;0,VLOOKUP(_1_541284561214624104645789101745678[[#This Row],[Type]],Main[[#All],[TYPE]:[UNIT]],'Unit Price'!D$1,FALSE),0)</f>
        <v>0</v>
      </c>
      <c r="I983" s="194">
        <f>IF(_1_541284561214624104645789101745678[[#This Row],[Type]]&gt;0,VLOOKUP(_1_541284561214624104645789101745678[[#This Row],[Type]],Main[[#All],[TYPE]:[UNIT]],'Unit Price'!G$1,FALSE),0)</f>
        <v>0</v>
      </c>
      <c r="J983" s="194">
        <f>IF(_1_541284561214624104645789101745678[[#This Row],[Type]]&gt;0,VLOOKUP(_1_541284561214624104645789101745678[[#This Row],[Type]],Main[[#All],[TYPE]:[UNIT]],'Unit Price'!H$1,FALSE),0)</f>
        <v>0</v>
      </c>
      <c r="K983" s="194">
        <f>IF(_1_541284561214624104645789101745678[[#This Row],[Discount selection]]&gt;0,VLOOKUP(_1_541284561214624104645789101745678[[#This Row],[Discount selection]],'Discount Structure'!$A$2:$B$30,2,"false"),0)</f>
        <v>1</v>
      </c>
      <c r="L983" s="194">
        <f>_1_541284561214624104645789101745678[[#This Row],[LIST $]]*_1_541284561214624104645789101745678[[#This Row],[DISCOUNT]]*_1_541284561214624104645789101745678[[#This Row],[DISCOUNT 2]]</f>
        <v>0</v>
      </c>
      <c r="M983" s="194">
        <f>IF(OR(_1_541284561214624104645789101745678[[#This Row],[UNIT]]&gt;0,_1_541284561214624104645789101745678[[#This Row],[UNIT]]&lt;0),_1_541284561214624104645789101745678[[#This Row],[UNIT]]*_1_541284561214624104645789101745678[[#This Row],[COST]],0)</f>
        <v>0</v>
      </c>
      <c r="N983" s="194">
        <f t="shared" si="15"/>
        <v>1.3</v>
      </c>
      <c r="O983" s="198">
        <f>_1_541284561214624104645789101745678[[#This Row],[TOTAL]]*_1_541284561214624104645789101745678[[#This Row],[MARGIN]]</f>
        <v>0</v>
      </c>
      <c r="P983" s="198"/>
      <c r="R983" s="41"/>
    </row>
    <row r="984" spans="4:18">
      <c r="D984" s="188"/>
      <c r="E984" s="42"/>
      <c r="F984" s="168" t="s">
        <v>6202</v>
      </c>
      <c r="G984" s="193">
        <f>IF(_1_541284561214624104645789101745678[[#This Row],[Type]]&gt;0,VLOOKUP(_1_541284561214624104645789101745678[[#This Row],[Type]],Main[[#All],[TYPE]:[UNIT]],'Unit Price'!C$1,FALSE),0)</f>
        <v>0</v>
      </c>
      <c r="H984" s="197">
        <f>IF(_1_541284561214624104645789101745678[[#This Row],[Type]]&gt;0,VLOOKUP(_1_541284561214624104645789101745678[[#This Row],[Type]],Main[[#All],[TYPE]:[UNIT]],'Unit Price'!D$1,FALSE),0)</f>
        <v>0</v>
      </c>
      <c r="I984" s="194">
        <f>IF(_1_541284561214624104645789101745678[[#This Row],[Type]]&gt;0,VLOOKUP(_1_541284561214624104645789101745678[[#This Row],[Type]],Main[[#All],[TYPE]:[UNIT]],'Unit Price'!G$1,FALSE),0)</f>
        <v>0</v>
      </c>
      <c r="J984" s="194">
        <f>IF(_1_541284561214624104645789101745678[[#This Row],[Type]]&gt;0,VLOOKUP(_1_541284561214624104645789101745678[[#This Row],[Type]],Main[[#All],[TYPE]:[UNIT]],'Unit Price'!H$1,FALSE),0)</f>
        <v>0</v>
      </c>
      <c r="K984" s="194">
        <f>IF(_1_541284561214624104645789101745678[[#This Row],[Discount selection]]&gt;0,VLOOKUP(_1_541284561214624104645789101745678[[#This Row],[Discount selection]],'Discount Structure'!$A$2:$B$30,2,"false"),0)</f>
        <v>1</v>
      </c>
      <c r="L984" s="194">
        <f>_1_541284561214624104645789101745678[[#This Row],[LIST $]]*_1_541284561214624104645789101745678[[#This Row],[DISCOUNT]]*_1_541284561214624104645789101745678[[#This Row],[DISCOUNT 2]]</f>
        <v>0</v>
      </c>
      <c r="M984" s="194">
        <f>IF(OR(_1_541284561214624104645789101745678[[#This Row],[UNIT]]&gt;0,_1_541284561214624104645789101745678[[#This Row],[UNIT]]&lt;0),_1_541284561214624104645789101745678[[#This Row],[UNIT]]*_1_541284561214624104645789101745678[[#This Row],[COST]],0)</f>
        <v>0</v>
      </c>
      <c r="N984" s="194">
        <f t="shared" si="15"/>
        <v>1.3</v>
      </c>
      <c r="O984" s="198">
        <f>_1_541284561214624104645789101745678[[#This Row],[TOTAL]]*_1_541284561214624104645789101745678[[#This Row],[MARGIN]]</f>
        <v>0</v>
      </c>
      <c r="P984" s="198"/>
      <c r="R984" s="41"/>
    </row>
    <row r="985" spans="4:18">
      <c r="D985" s="188"/>
      <c r="E985" s="42"/>
      <c r="F985" s="168" t="s">
        <v>6202</v>
      </c>
      <c r="G985" s="193">
        <f>IF(_1_541284561214624104645789101745678[[#This Row],[Type]]&gt;0,VLOOKUP(_1_541284561214624104645789101745678[[#This Row],[Type]],Main[[#All],[TYPE]:[UNIT]],'Unit Price'!C$1,FALSE),0)</f>
        <v>0</v>
      </c>
      <c r="H985" s="197">
        <f>IF(_1_541284561214624104645789101745678[[#This Row],[Type]]&gt;0,VLOOKUP(_1_541284561214624104645789101745678[[#This Row],[Type]],Main[[#All],[TYPE]:[UNIT]],'Unit Price'!D$1,FALSE),0)</f>
        <v>0</v>
      </c>
      <c r="I985" s="194">
        <f>IF(_1_541284561214624104645789101745678[[#This Row],[Type]]&gt;0,VLOOKUP(_1_541284561214624104645789101745678[[#This Row],[Type]],Main[[#All],[TYPE]:[UNIT]],'Unit Price'!G$1,FALSE),0)</f>
        <v>0</v>
      </c>
      <c r="J985" s="194">
        <f>IF(_1_541284561214624104645789101745678[[#This Row],[Type]]&gt;0,VLOOKUP(_1_541284561214624104645789101745678[[#This Row],[Type]],Main[[#All],[TYPE]:[UNIT]],'Unit Price'!H$1,FALSE),0)</f>
        <v>0</v>
      </c>
      <c r="K985" s="194">
        <f>IF(_1_541284561214624104645789101745678[[#This Row],[Discount selection]]&gt;0,VLOOKUP(_1_541284561214624104645789101745678[[#This Row],[Discount selection]],'Discount Structure'!$A$2:$B$30,2,"false"),0)</f>
        <v>1</v>
      </c>
      <c r="L985" s="194">
        <f>_1_541284561214624104645789101745678[[#This Row],[LIST $]]*_1_541284561214624104645789101745678[[#This Row],[DISCOUNT]]*_1_541284561214624104645789101745678[[#This Row],[DISCOUNT 2]]</f>
        <v>0</v>
      </c>
      <c r="M985" s="194">
        <f>IF(OR(_1_541284561214624104645789101745678[[#This Row],[UNIT]]&gt;0,_1_541284561214624104645789101745678[[#This Row],[UNIT]]&lt;0),_1_541284561214624104645789101745678[[#This Row],[UNIT]]*_1_541284561214624104645789101745678[[#This Row],[COST]],0)</f>
        <v>0</v>
      </c>
      <c r="N985" s="194">
        <f t="shared" si="15"/>
        <v>1.3</v>
      </c>
      <c r="O985" s="198">
        <f>_1_541284561214624104645789101745678[[#This Row],[TOTAL]]*_1_541284561214624104645789101745678[[#This Row],[MARGIN]]</f>
        <v>0</v>
      </c>
      <c r="P985" s="198"/>
      <c r="R985" s="41"/>
    </row>
    <row r="986" spans="4:18">
      <c r="D986" s="188"/>
      <c r="E986" s="42"/>
      <c r="F986" s="168" t="s">
        <v>6202</v>
      </c>
      <c r="G986" s="193">
        <f>IF(_1_541284561214624104645789101745678[[#This Row],[Type]]&gt;0,VLOOKUP(_1_541284561214624104645789101745678[[#This Row],[Type]],Main[[#All],[TYPE]:[UNIT]],'Unit Price'!C$1,FALSE),0)</f>
        <v>0</v>
      </c>
      <c r="H986" s="197">
        <f>IF(_1_541284561214624104645789101745678[[#This Row],[Type]]&gt;0,VLOOKUP(_1_541284561214624104645789101745678[[#This Row],[Type]],Main[[#All],[TYPE]:[UNIT]],'Unit Price'!D$1,FALSE),0)</f>
        <v>0</v>
      </c>
      <c r="I986" s="194">
        <f>IF(_1_541284561214624104645789101745678[[#This Row],[Type]]&gt;0,VLOOKUP(_1_541284561214624104645789101745678[[#This Row],[Type]],Main[[#All],[TYPE]:[UNIT]],'Unit Price'!G$1,FALSE),0)</f>
        <v>0</v>
      </c>
      <c r="J986" s="194">
        <f>IF(_1_541284561214624104645789101745678[[#This Row],[Type]]&gt;0,VLOOKUP(_1_541284561214624104645789101745678[[#This Row],[Type]],Main[[#All],[TYPE]:[UNIT]],'Unit Price'!H$1,FALSE),0)</f>
        <v>0</v>
      </c>
      <c r="K986" s="194">
        <f>IF(_1_541284561214624104645789101745678[[#This Row],[Discount selection]]&gt;0,VLOOKUP(_1_541284561214624104645789101745678[[#This Row],[Discount selection]],'Discount Structure'!$A$2:$B$30,2,"false"),0)</f>
        <v>1</v>
      </c>
      <c r="L986" s="194">
        <f>_1_541284561214624104645789101745678[[#This Row],[LIST $]]*_1_541284561214624104645789101745678[[#This Row],[DISCOUNT]]*_1_541284561214624104645789101745678[[#This Row],[DISCOUNT 2]]</f>
        <v>0</v>
      </c>
      <c r="M986" s="194">
        <f>IF(OR(_1_541284561214624104645789101745678[[#This Row],[UNIT]]&gt;0,_1_541284561214624104645789101745678[[#This Row],[UNIT]]&lt;0),_1_541284561214624104645789101745678[[#This Row],[UNIT]]*_1_541284561214624104645789101745678[[#This Row],[COST]],0)</f>
        <v>0</v>
      </c>
      <c r="N986" s="194">
        <f t="shared" si="15"/>
        <v>1.3</v>
      </c>
      <c r="O986" s="198">
        <f>_1_541284561214624104645789101745678[[#This Row],[TOTAL]]*_1_541284561214624104645789101745678[[#This Row],[MARGIN]]</f>
        <v>0</v>
      </c>
      <c r="P986" s="198"/>
      <c r="R986" s="41"/>
    </row>
    <row r="987" spans="4:18">
      <c r="D987" s="188"/>
      <c r="E987" s="42"/>
      <c r="F987" s="168" t="s">
        <v>6202</v>
      </c>
      <c r="G987" s="193">
        <f>IF(_1_541284561214624104645789101745678[[#This Row],[Type]]&gt;0,VLOOKUP(_1_541284561214624104645789101745678[[#This Row],[Type]],Main[[#All],[TYPE]:[UNIT]],'Unit Price'!C$1,FALSE),0)</f>
        <v>0</v>
      </c>
      <c r="H987" s="197">
        <f>IF(_1_541284561214624104645789101745678[[#This Row],[Type]]&gt;0,VLOOKUP(_1_541284561214624104645789101745678[[#This Row],[Type]],Main[[#All],[TYPE]:[UNIT]],'Unit Price'!D$1,FALSE),0)</f>
        <v>0</v>
      </c>
      <c r="I987" s="194">
        <f>IF(_1_541284561214624104645789101745678[[#This Row],[Type]]&gt;0,VLOOKUP(_1_541284561214624104645789101745678[[#This Row],[Type]],Main[[#All],[TYPE]:[UNIT]],'Unit Price'!G$1,FALSE),0)</f>
        <v>0</v>
      </c>
      <c r="J987" s="194">
        <f>IF(_1_541284561214624104645789101745678[[#This Row],[Type]]&gt;0,VLOOKUP(_1_541284561214624104645789101745678[[#This Row],[Type]],Main[[#All],[TYPE]:[UNIT]],'Unit Price'!H$1,FALSE),0)</f>
        <v>0</v>
      </c>
      <c r="K987" s="194">
        <f>IF(_1_541284561214624104645789101745678[[#This Row],[Discount selection]]&gt;0,VLOOKUP(_1_541284561214624104645789101745678[[#This Row],[Discount selection]],'Discount Structure'!$A$2:$B$30,2,"false"),0)</f>
        <v>1</v>
      </c>
      <c r="L987" s="194">
        <f>_1_541284561214624104645789101745678[[#This Row],[LIST $]]*_1_541284561214624104645789101745678[[#This Row],[DISCOUNT]]*_1_541284561214624104645789101745678[[#This Row],[DISCOUNT 2]]</f>
        <v>0</v>
      </c>
      <c r="M987" s="194">
        <f>IF(OR(_1_541284561214624104645789101745678[[#This Row],[UNIT]]&gt;0,_1_541284561214624104645789101745678[[#This Row],[UNIT]]&lt;0),_1_541284561214624104645789101745678[[#This Row],[UNIT]]*_1_541284561214624104645789101745678[[#This Row],[COST]],0)</f>
        <v>0</v>
      </c>
      <c r="N987" s="194">
        <f t="shared" si="15"/>
        <v>1.3</v>
      </c>
      <c r="O987" s="198">
        <f>_1_541284561214624104645789101745678[[#This Row],[TOTAL]]*_1_541284561214624104645789101745678[[#This Row],[MARGIN]]</f>
        <v>0</v>
      </c>
      <c r="P987" s="198"/>
      <c r="R987" s="41"/>
    </row>
    <row r="988" spans="4:18">
      <c r="D988" s="188"/>
      <c r="E988" s="42"/>
      <c r="F988" s="168" t="s">
        <v>6202</v>
      </c>
      <c r="G988" s="193">
        <f>IF(_1_541284561214624104645789101745678[[#This Row],[Type]]&gt;0,VLOOKUP(_1_541284561214624104645789101745678[[#This Row],[Type]],Main[[#All],[TYPE]:[UNIT]],'Unit Price'!C$1,FALSE),0)</f>
        <v>0</v>
      </c>
      <c r="H988" s="197">
        <f>IF(_1_541284561214624104645789101745678[[#This Row],[Type]]&gt;0,VLOOKUP(_1_541284561214624104645789101745678[[#This Row],[Type]],Main[[#All],[TYPE]:[UNIT]],'Unit Price'!D$1,FALSE),0)</f>
        <v>0</v>
      </c>
      <c r="I988" s="194">
        <f>IF(_1_541284561214624104645789101745678[[#This Row],[Type]]&gt;0,VLOOKUP(_1_541284561214624104645789101745678[[#This Row],[Type]],Main[[#All],[TYPE]:[UNIT]],'Unit Price'!G$1,FALSE),0)</f>
        <v>0</v>
      </c>
      <c r="J988" s="194">
        <f>IF(_1_541284561214624104645789101745678[[#This Row],[Type]]&gt;0,VLOOKUP(_1_541284561214624104645789101745678[[#This Row],[Type]],Main[[#All],[TYPE]:[UNIT]],'Unit Price'!H$1,FALSE),0)</f>
        <v>0</v>
      </c>
      <c r="K988" s="194">
        <f>IF(_1_541284561214624104645789101745678[[#This Row],[Discount selection]]&gt;0,VLOOKUP(_1_541284561214624104645789101745678[[#This Row],[Discount selection]],'Discount Structure'!$A$2:$B$30,2,"false"),0)</f>
        <v>1</v>
      </c>
      <c r="L988" s="194">
        <f>_1_541284561214624104645789101745678[[#This Row],[LIST $]]*_1_541284561214624104645789101745678[[#This Row],[DISCOUNT]]*_1_541284561214624104645789101745678[[#This Row],[DISCOUNT 2]]</f>
        <v>0</v>
      </c>
      <c r="M988" s="194">
        <f>IF(OR(_1_541284561214624104645789101745678[[#This Row],[UNIT]]&gt;0,_1_541284561214624104645789101745678[[#This Row],[UNIT]]&lt;0),_1_541284561214624104645789101745678[[#This Row],[UNIT]]*_1_541284561214624104645789101745678[[#This Row],[COST]],0)</f>
        <v>0</v>
      </c>
      <c r="N988" s="194">
        <f t="shared" si="15"/>
        <v>1.3</v>
      </c>
      <c r="O988" s="198">
        <f>_1_541284561214624104645789101745678[[#This Row],[TOTAL]]*_1_541284561214624104645789101745678[[#This Row],[MARGIN]]</f>
        <v>0</v>
      </c>
      <c r="P988" s="198"/>
      <c r="R988" s="41"/>
    </row>
    <row r="989" spans="4:18">
      <c r="D989" s="188"/>
      <c r="E989" s="42"/>
      <c r="F989" s="168" t="s">
        <v>6202</v>
      </c>
      <c r="G989" s="193">
        <f>IF(_1_541284561214624104645789101745678[[#This Row],[Type]]&gt;0,VLOOKUP(_1_541284561214624104645789101745678[[#This Row],[Type]],Main[[#All],[TYPE]:[UNIT]],'Unit Price'!C$1,FALSE),0)</f>
        <v>0</v>
      </c>
      <c r="H989" s="197">
        <f>IF(_1_541284561214624104645789101745678[[#This Row],[Type]]&gt;0,VLOOKUP(_1_541284561214624104645789101745678[[#This Row],[Type]],Main[[#All],[TYPE]:[UNIT]],'Unit Price'!D$1,FALSE),0)</f>
        <v>0</v>
      </c>
      <c r="I989" s="194">
        <f>IF(_1_541284561214624104645789101745678[[#This Row],[Type]]&gt;0,VLOOKUP(_1_541284561214624104645789101745678[[#This Row],[Type]],Main[[#All],[TYPE]:[UNIT]],'Unit Price'!G$1,FALSE),0)</f>
        <v>0</v>
      </c>
      <c r="J989" s="194">
        <f>IF(_1_541284561214624104645789101745678[[#This Row],[Type]]&gt;0,VLOOKUP(_1_541284561214624104645789101745678[[#This Row],[Type]],Main[[#All],[TYPE]:[UNIT]],'Unit Price'!H$1,FALSE),0)</f>
        <v>0</v>
      </c>
      <c r="K989" s="194">
        <f>IF(_1_541284561214624104645789101745678[[#This Row],[Discount selection]]&gt;0,VLOOKUP(_1_541284561214624104645789101745678[[#This Row],[Discount selection]],'Discount Structure'!$A$2:$B$30,2,"false"),0)</f>
        <v>1</v>
      </c>
      <c r="L989" s="194">
        <f>_1_541284561214624104645789101745678[[#This Row],[LIST $]]*_1_541284561214624104645789101745678[[#This Row],[DISCOUNT]]*_1_541284561214624104645789101745678[[#This Row],[DISCOUNT 2]]</f>
        <v>0</v>
      </c>
      <c r="M989" s="194">
        <f>IF(OR(_1_541284561214624104645789101745678[[#This Row],[UNIT]]&gt;0,_1_541284561214624104645789101745678[[#This Row],[UNIT]]&lt;0),_1_541284561214624104645789101745678[[#This Row],[UNIT]]*_1_541284561214624104645789101745678[[#This Row],[COST]],0)</f>
        <v>0</v>
      </c>
      <c r="N989" s="194">
        <f t="shared" si="15"/>
        <v>1.3</v>
      </c>
      <c r="O989" s="198">
        <f>_1_541284561214624104645789101745678[[#This Row],[TOTAL]]*_1_541284561214624104645789101745678[[#This Row],[MARGIN]]</f>
        <v>0</v>
      </c>
      <c r="P989" s="198"/>
      <c r="R989" s="41"/>
    </row>
    <row r="990" spans="4:18">
      <c r="D990" s="188"/>
      <c r="E990" s="42"/>
      <c r="F990" s="168" t="s">
        <v>6202</v>
      </c>
      <c r="G990" s="193">
        <f>IF(_1_541284561214624104645789101745678[[#This Row],[Type]]&gt;0,VLOOKUP(_1_541284561214624104645789101745678[[#This Row],[Type]],Main[[#All],[TYPE]:[UNIT]],'Unit Price'!C$1,FALSE),0)</f>
        <v>0</v>
      </c>
      <c r="H990" s="197">
        <f>IF(_1_541284561214624104645789101745678[[#This Row],[Type]]&gt;0,VLOOKUP(_1_541284561214624104645789101745678[[#This Row],[Type]],Main[[#All],[TYPE]:[UNIT]],'Unit Price'!D$1,FALSE),0)</f>
        <v>0</v>
      </c>
      <c r="I990" s="194">
        <f>IF(_1_541284561214624104645789101745678[[#This Row],[Type]]&gt;0,VLOOKUP(_1_541284561214624104645789101745678[[#This Row],[Type]],Main[[#All],[TYPE]:[UNIT]],'Unit Price'!G$1,FALSE),0)</f>
        <v>0</v>
      </c>
      <c r="J990" s="194">
        <f>IF(_1_541284561214624104645789101745678[[#This Row],[Type]]&gt;0,VLOOKUP(_1_541284561214624104645789101745678[[#This Row],[Type]],Main[[#All],[TYPE]:[UNIT]],'Unit Price'!H$1,FALSE),0)</f>
        <v>0</v>
      </c>
      <c r="K990" s="194">
        <f>IF(_1_541284561214624104645789101745678[[#This Row],[Discount selection]]&gt;0,VLOOKUP(_1_541284561214624104645789101745678[[#This Row],[Discount selection]],'Discount Structure'!$A$2:$B$30,2,"false"),0)</f>
        <v>1</v>
      </c>
      <c r="L990" s="194">
        <f>_1_541284561214624104645789101745678[[#This Row],[LIST $]]*_1_541284561214624104645789101745678[[#This Row],[DISCOUNT]]*_1_541284561214624104645789101745678[[#This Row],[DISCOUNT 2]]</f>
        <v>0</v>
      </c>
      <c r="M990" s="194">
        <f>IF(OR(_1_541284561214624104645789101745678[[#This Row],[UNIT]]&gt;0,_1_541284561214624104645789101745678[[#This Row],[UNIT]]&lt;0),_1_541284561214624104645789101745678[[#This Row],[UNIT]]*_1_541284561214624104645789101745678[[#This Row],[COST]],0)</f>
        <v>0</v>
      </c>
      <c r="N990" s="194">
        <f t="shared" si="15"/>
        <v>1.3</v>
      </c>
      <c r="O990" s="198">
        <f>_1_541284561214624104645789101745678[[#This Row],[TOTAL]]*_1_541284561214624104645789101745678[[#This Row],[MARGIN]]</f>
        <v>0</v>
      </c>
      <c r="P990" s="198"/>
      <c r="R990" s="41"/>
    </row>
    <row r="991" spans="4:18">
      <c r="D991" s="188"/>
      <c r="E991" s="42"/>
      <c r="F991" s="168" t="s">
        <v>6202</v>
      </c>
      <c r="G991" s="193">
        <f>IF(_1_541284561214624104645789101745678[[#This Row],[Type]]&gt;0,VLOOKUP(_1_541284561214624104645789101745678[[#This Row],[Type]],Main[[#All],[TYPE]:[UNIT]],'Unit Price'!C$1,FALSE),0)</f>
        <v>0</v>
      </c>
      <c r="H991" s="197">
        <f>IF(_1_541284561214624104645789101745678[[#This Row],[Type]]&gt;0,VLOOKUP(_1_541284561214624104645789101745678[[#This Row],[Type]],Main[[#All],[TYPE]:[UNIT]],'Unit Price'!D$1,FALSE),0)</f>
        <v>0</v>
      </c>
      <c r="I991" s="194">
        <f>IF(_1_541284561214624104645789101745678[[#This Row],[Type]]&gt;0,VLOOKUP(_1_541284561214624104645789101745678[[#This Row],[Type]],Main[[#All],[TYPE]:[UNIT]],'Unit Price'!G$1,FALSE),0)</f>
        <v>0</v>
      </c>
      <c r="J991" s="194">
        <f>IF(_1_541284561214624104645789101745678[[#This Row],[Type]]&gt;0,VLOOKUP(_1_541284561214624104645789101745678[[#This Row],[Type]],Main[[#All],[TYPE]:[UNIT]],'Unit Price'!H$1,FALSE),0)</f>
        <v>0</v>
      </c>
      <c r="K991" s="194">
        <f>IF(_1_541284561214624104645789101745678[[#This Row],[Discount selection]]&gt;0,VLOOKUP(_1_541284561214624104645789101745678[[#This Row],[Discount selection]],'Discount Structure'!$A$2:$B$30,2,"false"),0)</f>
        <v>1</v>
      </c>
      <c r="L991" s="194">
        <f>_1_541284561214624104645789101745678[[#This Row],[LIST $]]*_1_541284561214624104645789101745678[[#This Row],[DISCOUNT]]*_1_541284561214624104645789101745678[[#This Row],[DISCOUNT 2]]</f>
        <v>0</v>
      </c>
      <c r="M991" s="194">
        <f>IF(OR(_1_541284561214624104645789101745678[[#This Row],[UNIT]]&gt;0,_1_541284561214624104645789101745678[[#This Row],[UNIT]]&lt;0),_1_541284561214624104645789101745678[[#This Row],[UNIT]]*_1_541284561214624104645789101745678[[#This Row],[COST]],0)</f>
        <v>0</v>
      </c>
      <c r="N991" s="194">
        <f t="shared" si="15"/>
        <v>1.3</v>
      </c>
      <c r="O991" s="198">
        <f>_1_541284561214624104645789101745678[[#This Row],[TOTAL]]*_1_541284561214624104645789101745678[[#This Row],[MARGIN]]</f>
        <v>0</v>
      </c>
      <c r="P991" s="198"/>
      <c r="R991" s="41"/>
    </row>
    <row r="992" spans="4:18">
      <c r="D992" s="188"/>
      <c r="E992" s="42"/>
      <c r="F992" s="168" t="s">
        <v>6202</v>
      </c>
      <c r="G992" s="193">
        <f>IF(_1_541284561214624104645789101745678[[#This Row],[Type]]&gt;0,VLOOKUP(_1_541284561214624104645789101745678[[#This Row],[Type]],Main[[#All],[TYPE]:[UNIT]],'Unit Price'!C$1,FALSE),0)</f>
        <v>0</v>
      </c>
      <c r="H992" s="197">
        <f>IF(_1_541284561214624104645789101745678[[#This Row],[Type]]&gt;0,VLOOKUP(_1_541284561214624104645789101745678[[#This Row],[Type]],Main[[#All],[TYPE]:[UNIT]],'Unit Price'!D$1,FALSE),0)</f>
        <v>0</v>
      </c>
      <c r="I992" s="194">
        <f>IF(_1_541284561214624104645789101745678[[#This Row],[Type]]&gt;0,VLOOKUP(_1_541284561214624104645789101745678[[#This Row],[Type]],Main[[#All],[TYPE]:[UNIT]],'Unit Price'!G$1,FALSE),0)</f>
        <v>0</v>
      </c>
      <c r="J992" s="194">
        <f>IF(_1_541284561214624104645789101745678[[#This Row],[Type]]&gt;0,VLOOKUP(_1_541284561214624104645789101745678[[#This Row],[Type]],Main[[#All],[TYPE]:[UNIT]],'Unit Price'!H$1,FALSE),0)</f>
        <v>0</v>
      </c>
      <c r="K992" s="194">
        <f>IF(_1_541284561214624104645789101745678[[#This Row],[Discount selection]]&gt;0,VLOOKUP(_1_541284561214624104645789101745678[[#This Row],[Discount selection]],'Discount Structure'!$A$2:$B$30,2,"false"),0)</f>
        <v>1</v>
      </c>
      <c r="L992" s="194">
        <f>_1_541284561214624104645789101745678[[#This Row],[LIST $]]*_1_541284561214624104645789101745678[[#This Row],[DISCOUNT]]*_1_541284561214624104645789101745678[[#This Row],[DISCOUNT 2]]</f>
        <v>0</v>
      </c>
      <c r="M992" s="194">
        <f>IF(OR(_1_541284561214624104645789101745678[[#This Row],[UNIT]]&gt;0,_1_541284561214624104645789101745678[[#This Row],[UNIT]]&lt;0),_1_541284561214624104645789101745678[[#This Row],[UNIT]]*_1_541284561214624104645789101745678[[#This Row],[COST]],0)</f>
        <v>0</v>
      </c>
      <c r="N992" s="194">
        <f t="shared" si="15"/>
        <v>1.3</v>
      </c>
      <c r="O992" s="198">
        <f>_1_541284561214624104645789101745678[[#This Row],[TOTAL]]*_1_541284561214624104645789101745678[[#This Row],[MARGIN]]</f>
        <v>0</v>
      </c>
      <c r="P992" s="198"/>
      <c r="R992" s="41"/>
    </row>
    <row r="993" spans="4:18">
      <c r="D993" s="188"/>
      <c r="E993" s="42"/>
      <c r="F993" s="168" t="s">
        <v>6202</v>
      </c>
      <c r="G993" s="193">
        <f>IF(_1_541284561214624104645789101745678[[#This Row],[Type]]&gt;0,VLOOKUP(_1_541284561214624104645789101745678[[#This Row],[Type]],Main[[#All],[TYPE]:[UNIT]],'Unit Price'!C$1,FALSE),0)</f>
        <v>0</v>
      </c>
      <c r="H993" s="197">
        <f>IF(_1_541284561214624104645789101745678[[#This Row],[Type]]&gt;0,VLOOKUP(_1_541284561214624104645789101745678[[#This Row],[Type]],Main[[#All],[TYPE]:[UNIT]],'Unit Price'!D$1,FALSE),0)</f>
        <v>0</v>
      </c>
      <c r="I993" s="194">
        <f>IF(_1_541284561214624104645789101745678[[#This Row],[Type]]&gt;0,VLOOKUP(_1_541284561214624104645789101745678[[#This Row],[Type]],Main[[#All],[TYPE]:[UNIT]],'Unit Price'!G$1,FALSE),0)</f>
        <v>0</v>
      </c>
      <c r="J993" s="194">
        <f>IF(_1_541284561214624104645789101745678[[#This Row],[Type]]&gt;0,VLOOKUP(_1_541284561214624104645789101745678[[#This Row],[Type]],Main[[#All],[TYPE]:[UNIT]],'Unit Price'!H$1,FALSE),0)</f>
        <v>0</v>
      </c>
      <c r="K993" s="194">
        <f>IF(_1_541284561214624104645789101745678[[#This Row],[Discount selection]]&gt;0,VLOOKUP(_1_541284561214624104645789101745678[[#This Row],[Discount selection]],'Discount Structure'!$A$2:$B$30,2,"false"),0)</f>
        <v>1</v>
      </c>
      <c r="L993" s="194">
        <f>_1_541284561214624104645789101745678[[#This Row],[LIST $]]*_1_541284561214624104645789101745678[[#This Row],[DISCOUNT]]*_1_541284561214624104645789101745678[[#This Row],[DISCOUNT 2]]</f>
        <v>0</v>
      </c>
      <c r="M993" s="194">
        <f>IF(OR(_1_541284561214624104645789101745678[[#This Row],[UNIT]]&gt;0,_1_541284561214624104645789101745678[[#This Row],[UNIT]]&lt;0),_1_541284561214624104645789101745678[[#This Row],[UNIT]]*_1_541284561214624104645789101745678[[#This Row],[COST]],0)</f>
        <v>0</v>
      </c>
      <c r="N993" s="194">
        <f t="shared" si="15"/>
        <v>1.3</v>
      </c>
      <c r="O993" s="198">
        <f>_1_541284561214624104645789101745678[[#This Row],[TOTAL]]*_1_541284561214624104645789101745678[[#This Row],[MARGIN]]</f>
        <v>0</v>
      </c>
      <c r="P993" s="198"/>
      <c r="R993" s="41"/>
    </row>
    <row r="994" spans="4:18">
      <c r="D994" s="188"/>
      <c r="E994" s="42"/>
      <c r="F994" s="168" t="s">
        <v>6202</v>
      </c>
      <c r="G994" s="193">
        <f>IF(_1_541284561214624104645789101745678[[#This Row],[Type]]&gt;0,VLOOKUP(_1_541284561214624104645789101745678[[#This Row],[Type]],Main[[#All],[TYPE]:[UNIT]],'Unit Price'!C$1,FALSE),0)</f>
        <v>0</v>
      </c>
      <c r="H994" s="197">
        <f>IF(_1_541284561214624104645789101745678[[#This Row],[Type]]&gt;0,VLOOKUP(_1_541284561214624104645789101745678[[#This Row],[Type]],Main[[#All],[TYPE]:[UNIT]],'Unit Price'!D$1,FALSE),0)</f>
        <v>0</v>
      </c>
      <c r="I994" s="194">
        <f>IF(_1_541284561214624104645789101745678[[#This Row],[Type]]&gt;0,VLOOKUP(_1_541284561214624104645789101745678[[#This Row],[Type]],Main[[#All],[TYPE]:[UNIT]],'Unit Price'!G$1,FALSE),0)</f>
        <v>0</v>
      </c>
      <c r="J994" s="194">
        <f>IF(_1_541284561214624104645789101745678[[#This Row],[Type]]&gt;0,VLOOKUP(_1_541284561214624104645789101745678[[#This Row],[Type]],Main[[#All],[TYPE]:[UNIT]],'Unit Price'!H$1,FALSE),0)</f>
        <v>0</v>
      </c>
      <c r="K994" s="194">
        <f>IF(_1_541284561214624104645789101745678[[#This Row],[Discount selection]]&gt;0,VLOOKUP(_1_541284561214624104645789101745678[[#This Row],[Discount selection]],'Discount Structure'!$A$2:$B$30,2,"false"),0)</f>
        <v>1</v>
      </c>
      <c r="L994" s="194">
        <f>_1_541284561214624104645789101745678[[#This Row],[LIST $]]*_1_541284561214624104645789101745678[[#This Row],[DISCOUNT]]*_1_541284561214624104645789101745678[[#This Row],[DISCOUNT 2]]</f>
        <v>0</v>
      </c>
      <c r="M994" s="194">
        <f>IF(OR(_1_541284561214624104645789101745678[[#This Row],[UNIT]]&gt;0,_1_541284561214624104645789101745678[[#This Row],[UNIT]]&lt;0),_1_541284561214624104645789101745678[[#This Row],[UNIT]]*_1_541284561214624104645789101745678[[#This Row],[COST]],0)</f>
        <v>0</v>
      </c>
      <c r="N994" s="194">
        <f t="shared" si="15"/>
        <v>1.3</v>
      </c>
      <c r="O994" s="198">
        <f>_1_541284561214624104645789101745678[[#This Row],[TOTAL]]*_1_541284561214624104645789101745678[[#This Row],[MARGIN]]</f>
        <v>0</v>
      </c>
      <c r="P994" s="198"/>
      <c r="R994" s="41"/>
    </row>
    <row r="995" spans="4:18">
      <c r="D995" s="188"/>
      <c r="E995" s="42"/>
      <c r="F995" s="168" t="s">
        <v>6202</v>
      </c>
      <c r="G995" s="193">
        <f>IF(_1_541284561214624104645789101745678[[#This Row],[Type]]&gt;0,VLOOKUP(_1_541284561214624104645789101745678[[#This Row],[Type]],Main[[#All],[TYPE]:[UNIT]],'Unit Price'!C$1,FALSE),0)</f>
        <v>0</v>
      </c>
      <c r="H995" s="197">
        <f>IF(_1_541284561214624104645789101745678[[#This Row],[Type]]&gt;0,VLOOKUP(_1_541284561214624104645789101745678[[#This Row],[Type]],Main[[#All],[TYPE]:[UNIT]],'Unit Price'!D$1,FALSE),0)</f>
        <v>0</v>
      </c>
      <c r="I995" s="194">
        <f>IF(_1_541284561214624104645789101745678[[#This Row],[Type]]&gt;0,VLOOKUP(_1_541284561214624104645789101745678[[#This Row],[Type]],Main[[#All],[TYPE]:[UNIT]],'Unit Price'!G$1,FALSE),0)</f>
        <v>0</v>
      </c>
      <c r="J995" s="194">
        <f>IF(_1_541284561214624104645789101745678[[#This Row],[Type]]&gt;0,VLOOKUP(_1_541284561214624104645789101745678[[#This Row],[Type]],Main[[#All],[TYPE]:[UNIT]],'Unit Price'!H$1,FALSE),0)</f>
        <v>0</v>
      </c>
      <c r="K995" s="194">
        <f>IF(_1_541284561214624104645789101745678[[#This Row],[Discount selection]]&gt;0,VLOOKUP(_1_541284561214624104645789101745678[[#This Row],[Discount selection]],'Discount Structure'!$A$2:$B$30,2,"false"),0)</f>
        <v>1</v>
      </c>
      <c r="L995" s="194">
        <f>_1_541284561214624104645789101745678[[#This Row],[LIST $]]*_1_541284561214624104645789101745678[[#This Row],[DISCOUNT]]*_1_541284561214624104645789101745678[[#This Row],[DISCOUNT 2]]</f>
        <v>0</v>
      </c>
      <c r="M995" s="194">
        <f>IF(OR(_1_541284561214624104645789101745678[[#This Row],[UNIT]]&gt;0,_1_541284561214624104645789101745678[[#This Row],[UNIT]]&lt;0),_1_541284561214624104645789101745678[[#This Row],[UNIT]]*_1_541284561214624104645789101745678[[#This Row],[COST]],0)</f>
        <v>0</v>
      </c>
      <c r="N995" s="194">
        <f t="shared" si="15"/>
        <v>1.3</v>
      </c>
      <c r="O995" s="198">
        <f>_1_541284561214624104645789101745678[[#This Row],[TOTAL]]*_1_541284561214624104645789101745678[[#This Row],[MARGIN]]</f>
        <v>0</v>
      </c>
      <c r="P995" s="198"/>
      <c r="R995" s="41"/>
    </row>
    <row r="996" spans="4:18">
      <c r="D996" s="188"/>
      <c r="E996" s="42"/>
      <c r="F996" s="168" t="s">
        <v>6202</v>
      </c>
      <c r="G996" s="193">
        <f>IF(_1_541284561214624104645789101745678[[#This Row],[Type]]&gt;0,VLOOKUP(_1_541284561214624104645789101745678[[#This Row],[Type]],Main[[#All],[TYPE]:[UNIT]],'Unit Price'!C$1,FALSE),0)</f>
        <v>0</v>
      </c>
      <c r="H996" s="197">
        <f>IF(_1_541284561214624104645789101745678[[#This Row],[Type]]&gt;0,VLOOKUP(_1_541284561214624104645789101745678[[#This Row],[Type]],Main[[#All],[TYPE]:[UNIT]],'Unit Price'!D$1,FALSE),0)</f>
        <v>0</v>
      </c>
      <c r="I996" s="194">
        <f>IF(_1_541284561214624104645789101745678[[#This Row],[Type]]&gt;0,VLOOKUP(_1_541284561214624104645789101745678[[#This Row],[Type]],Main[[#All],[TYPE]:[UNIT]],'Unit Price'!G$1,FALSE),0)</f>
        <v>0</v>
      </c>
      <c r="J996" s="194">
        <f>IF(_1_541284561214624104645789101745678[[#This Row],[Type]]&gt;0,VLOOKUP(_1_541284561214624104645789101745678[[#This Row],[Type]],Main[[#All],[TYPE]:[UNIT]],'Unit Price'!H$1,FALSE),0)</f>
        <v>0</v>
      </c>
      <c r="K996" s="194">
        <f>IF(_1_541284561214624104645789101745678[[#This Row],[Discount selection]]&gt;0,VLOOKUP(_1_541284561214624104645789101745678[[#This Row],[Discount selection]],'Discount Structure'!$A$2:$B$30,2,"false"),0)</f>
        <v>1</v>
      </c>
      <c r="L996" s="194">
        <f>_1_541284561214624104645789101745678[[#This Row],[LIST $]]*_1_541284561214624104645789101745678[[#This Row],[DISCOUNT]]*_1_541284561214624104645789101745678[[#This Row],[DISCOUNT 2]]</f>
        <v>0</v>
      </c>
      <c r="M996" s="194">
        <f>IF(OR(_1_541284561214624104645789101745678[[#This Row],[UNIT]]&gt;0,_1_541284561214624104645789101745678[[#This Row],[UNIT]]&lt;0),_1_541284561214624104645789101745678[[#This Row],[UNIT]]*_1_541284561214624104645789101745678[[#This Row],[COST]],0)</f>
        <v>0</v>
      </c>
      <c r="N996" s="194">
        <f t="shared" si="15"/>
        <v>1.3</v>
      </c>
      <c r="O996" s="198">
        <f>_1_541284561214624104645789101745678[[#This Row],[TOTAL]]*_1_541284561214624104645789101745678[[#This Row],[MARGIN]]</f>
        <v>0</v>
      </c>
      <c r="P996" s="198"/>
      <c r="R996" s="41"/>
    </row>
    <row r="997" spans="4:18">
      <c r="D997" s="188"/>
      <c r="E997" s="42"/>
      <c r="F997" s="168" t="s">
        <v>6202</v>
      </c>
      <c r="G997" s="193">
        <f>IF(_1_541284561214624104645789101745678[[#This Row],[Type]]&gt;0,VLOOKUP(_1_541284561214624104645789101745678[[#This Row],[Type]],Main[[#All],[TYPE]:[UNIT]],'Unit Price'!C$1,FALSE),0)</f>
        <v>0</v>
      </c>
      <c r="H997" s="197">
        <f>IF(_1_541284561214624104645789101745678[[#This Row],[Type]]&gt;0,VLOOKUP(_1_541284561214624104645789101745678[[#This Row],[Type]],Main[[#All],[TYPE]:[UNIT]],'Unit Price'!D$1,FALSE),0)</f>
        <v>0</v>
      </c>
      <c r="I997" s="194">
        <f>IF(_1_541284561214624104645789101745678[[#This Row],[Type]]&gt;0,VLOOKUP(_1_541284561214624104645789101745678[[#This Row],[Type]],Main[[#All],[TYPE]:[UNIT]],'Unit Price'!G$1,FALSE),0)</f>
        <v>0</v>
      </c>
      <c r="J997" s="194">
        <f>IF(_1_541284561214624104645789101745678[[#This Row],[Type]]&gt;0,VLOOKUP(_1_541284561214624104645789101745678[[#This Row],[Type]],Main[[#All],[TYPE]:[UNIT]],'Unit Price'!H$1,FALSE),0)</f>
        <v>0</v>
      </c>
      <c r="K997" s="194">
        <f>IF(_1_541284561214624104645789101745678[[#This Row],[Discount selection]]&gt;0,VLOOKUP(_1_541284561214624104645789101745678[[#This Row],[Discount selection]],'Discount Structure'!$A$2:$B$30,2,"false"),0)</f>
        <v>1</v>
      </c>
      <c r="L997" s="194">
        <f>_1_541284561214624104645789101745678[[#This Row],[LIST $]]*_1_541284561214624104645789101745678[[#This Row],[DISCOUNT]]*_1_541284561214624104645789101745678[[#This Row],[DISCOUNT 2]]</f>
        <v>0</v>
      </c>
      <c r="M997" s="194">
        <f>IF(OR(_1_541284561214624104645789101745678[[#This Row],[UNIT]]&gt;0,_1_541284561214624104645789101745678[[#This Row],[UNIT]]&lt;0),_1_541284561214624104645789101745678[[#This Row],[UNIT]]*_1_541284561214624104645789101745678[[#This Row],[COST]],0)</f>
        <v>0</v>
      </c>
      <c r="N997" s="194">
        <f t="shared" si="15"/>
        <v>1.3</v>
      </c>
      <c r="O997" s="198">
        <f>_1_541284561214624104645789101745678[[#This Row],[TOTAL]]*_1_541284561214624104645789101745678[[#This Row],[MARGIN]]</f>
        <v>0</v>
      </c>
      <c r="P997" s="198"/>
      <c r="R997" s="41"/>
    </row>
    <row r="998" spans="4:18">
      <c r="D998" s="188"/>
      <c r="E998" s="42"/>
      <c r="F998" s="168" t="s">
        <v>6202</v>
      </c>
      <c r="G998" s="193">
        <f>IF(_1_541284561214624104645789101745678[[#This Row],[Type]]&gt;0,VLOOKUP(_1_541284561214624104645789101745678[[#This Row],[Type]],Main[[#All],[TYPE]:[UNIT]],'Unit Price'!C$1,FALSE),0)</f>
        <v>0</v>
      </c>
      <c r="H998" s="197">
        <f>IF(_1_541284561214624104645789101745678[[#This Row],[Type]]&gt;0,VLOOKUP(_1_541284561214624104645789101745678[[#This Row],[Type]],Main[[#All],[TYPE]:[UNIT]],'Unit Price'!D$1,FALSE),0)</f>
        <v>0</v>
      </c>
      <c r="I998" s="194">
        <f>IF(_1_541284561214624104645789101745678[[#This Row],[Type]]&gt;0,VLOOKUP(_1_541284561214624104645789101745678[[#This Row],[Type]],Main[[#All],[TYPE]:[UNIT]],'Unit Price'!G$1,FALSE),0)</f>
        <v>0</v>
      </c>
      <c r="J998" s="194">
        <f>IF(_1_541284561214624104645789101745678[[#This Row],[Type]]&gt;0,VLOOKUP(_1_541284561214624104645789101745678[[#This Row],[Type]],Main[[#All],[TYPE]:[UNIT]],'Unit Price'!H$1,FALSE),0)</f>
        <v>0</v>
      </c>
      <c r="K998" s="194">
        <f>IF(_1_541284561214624104645789101745678[[#This Row],[Discount selection]]&gt;0,VLOOKUP(_1_541284561214624104645789101745678[[#This Row],[Discount selection]],'Discount Structure'!$A$2:$B$30,2,"false"),0)</f>
        <v>1</v>
      </c>
      <c r="L998" s="194">
        <f>_1_541284561214624104645789101745678[[#This Row],[LIST $]]*_1_541284561214624104645789101745678[[#This Row],[DISCOUNT]]*_1_541284561214624104645789101745678[[#This Row],[DISCOUNT 2]]</f>
        <v>0</v>
      </c>
      <c r="M998" s="194">
        <f>IF(OR(_1_541284561214624104645789101745678[[#This Row],[UNIT]]&gt;0,_1_541284561214624104645789101745678[[#This Row],[UNIT]]&lt;0),_1_541284561214624104645789101745678[[#This Row],[UNIT]]*_1_541284561214624104645789101745678[[#This Row],[COST]],0)</f>
        <v>0</v>
      </c>
      <c r="N998" s="194">
        <f t="shared" si="15"/>
        <v>1.3</v>
      </c>
      <c r="O998" s="198">
        <f>_1_541284561214624104645789101745678[[#This Row],[TOTAL]]*_1_541284561214624104645789101745678[[#This Row],[MARGIN]]</f>
        <v>0</v>
      </c>
      <c r="P998" s="198"/>
      <c r="R998" s="41"/>
    </row>
    <row r="999" spans="4:18">
      <c r="D999" s="188"/>
      <c r="E999" s="42"/>
      <c r="F999" s="168" t="s">
        <v>6202</v>
      </c>
      <c r="G999" s="193">
        <f>IF(_1_541284561214624104645789101745678[[#This Row],[Type]]&gt;0,VLOOKUP(_1_541284561214624104645789101745678[[#This Row],[Type]],Main[[#All],[TYPE]:[UNIT]],'Unit Price'!C$1,FALSE),0)</f>
        <v>0</v>
      </c>
      <c r="H999" s="197">
        <f>IF(_1_541284561214624104645789101745678[[#This Row],[Type]]&gt;0,VLOOKUP(_1_541284561214624104645789101745678[[#This Row],[Type]],Main[[#All],[TYPE]:[UNIT]],'Unit Price'!D$1,FALSE),0)</f>
        <v>0</v>
      </c>
      <c r="I999" s="194">
        <f>IF(_1_541284561214624104645789101745678[[#This Row],[Type]]&gt;0,VLOOKUP(_1_541284561214624104645789101745678[[#This Row],[Type]],Main[[#All],[TYPE]:[UNIT]],'Unit Price'!G$1,FALSE),0)</f>
        <v>0</v>
      </c>
      <c r="J999" s="194">
        <f>IF(_1_541284561214624104645789101745678[[#This Row],[Type]]&gt;0,VLOOKUP(_1_541284561214624104645789101745678[[#This Row],[Type]],Main[[#All],[TYPE]:[UNIT]],'Unit Price'!H$1,FALSE),0)</f>
        <v>0</v>
      </c>
      <c r="K999" s="194">
        <f>IF(_1_541284561214624104645789101745678[[#This Row],[Discount selection]]&gt;0,VLOOKUP(_1_541284561214624104645789101745678[[#This Row],[Discount selection]],'Discount Structure'!$A$2:$B$30,2,"false"),0)</f>
        <v>1</v>
      </c>
      <c r="L999" s="194">
        <f>_1_541284561214624104645789101745678[[#This Row],[LIST $]]*_1_541284561214624104645789101745678[[#This Row],[DISCOUNT]]*_1_541284561214624104645789101745678[[#This Row],[DISCOUNT 2]]</f>
        <v>0</v>
      </c>
      <c r="M999" s="194">
        <f>IF(OR(_1_541284561214624104645789101745678[[#This Row],[UNIT]]&gt;0,_1_541284561214624104645789101745678[[#This Row],[UNIT]]&lt;0),_1_541284561214624104645789101745678[[#This Row],[UNIT]]*_1_541284561214624104645789101745678[[#This Row],[COST]],0)</f>
        <v>0</v>
      </c>
      <c r="N999" s="194">
        <f t="shared" si="15"/>
        <v>1.3</v>
      </c>
      <c r="O999" s="198">
        <f>_1_541284561214624104645789101745678[[#This Row],[TOTAL]]*_1_541284561214624104645789101745678[[#This Row],[MARGIN]]</f>
        <v>0</v>
      </c>
      <c r="P999" s="198"/>
      <c r="R999" s="41"/>
    </row>
    <row r="1000" spans="4:18">
      <c r="D1000" s="188"/>
      <c r="E1000" s="42"/>
      <c r="F1000" s="168" t="s">
        <v>6202</v>
      </c>
      <c r="G1000" s="193">
        <f>IF(_1_541284561214624104645789101745678[[#This Row],[Type]]&gt;0,VLOOKUP(_1_541284561214624104645789101745678[[#This Row],[Type]],Main[[#All],[TYPE]:[UNIT]],'Unit Price'!C$1,FALSE),0)</f>
        <v>0</v>
      </c>
      <c r="H1000" s="197">
        <f>IF(_1_541284561214624104645789101745678[[#This Row],[Type]]&gt;0,VLOOKUP(_1_541284561214624104645789101745678[[#This Row],[Type]],Main[[#All],[TYPE]:[UNIT]],'Unit Price'!D$1,FALSE),0)</f>
        <v>0</v>
      </c>
      <c r="I1000" s="194">
        <f>IF(_1_541284561214624104645789101745678[[#This Row],[Type]]&gt;0,VLOOKUP(_1_541284561214624104645789101745678[[#This Row],[Type]],Main[[#All],[TYPE]:[UNIT]],'Unit Price'!G$1,FALSE),0)</f>
        <v>0</v>
      </c>
      <c r="J1000" s="194">
        <f>IF(_1_541284561214624104645789101745678[[#This Row],[Type]]&gt;0,VLOOKUP(_1_541284561214624104645789101745678[[#This Row],[Type]],Main[[#All],[TYPE]:[UNIT]],'Unit Price'!H$1,FALSE),0)</f>
        <v>0</v>
      </c>
      <c r="K1000" s="194">
        <f>IF(_1_541284561214624104645789101745678[[#This Row],[Discount selection]]&gt;0,VLOOKUP(_1_541284561214624104645789101745678[[#This Row],[Discount selection]],'Discount Structure'!$A$2:$B$30,2,"false"),0)</f>
        <v>1</v>
      </c>
      <c r="L1000" s="194">
        <f>_1_541284561214624104645789101745678[[#This Row],[LIST $]]*_1_541284561214624104645789101745678[[#This Row],[DISCOUNT]]*_1_541284561214624104645789101745678[[#This Row],[DISCOUNT 2]]</f>
        <v>0</v>
      </c>
      <c r="M1000" s="194">
        <f>IF(OR(_1_541284561214624104645789101745678[[#This Row],[UNIT]]&gt;0,_1_541284561214624104645789101745678[[#This Row],[UNIT]]&lt;0),_1_541284561214624104645789101745678[[#This Row],[UNIT]]*_1_541284561214624104645789101745678[[#This Row],[COST]],0)</f>
        <v>0</v>
      </c>
      <c r="N1000" s="194">
        <f>$N$7</f>
        <v>1.3</v>
      </c>
      <c r="O1000" s="198">
        <f>_1_541284561214624104645789101745678[[#This Row],[TOTAL]]*_1_541284561214624104645789101745678[[#This Row],[MARGIN]]</f>
        <v>0</v>
      </c>
      <c r="P1000" s="198"/>
      <c r="R1000" s="41"/>
    </row>
    <row r="1001" spans="4:18">
      <c r="D1001" s="188"/>
      <c r="E1001" s="42"/>
      <c r="F1001" s="168" t="s">
        <v>6202</v>
      </c>
      <c r="G1001" s="193">
        <f>IF(_1_541284561214624104645789101745678[[#This Row],[Type]]&gt;0,VLOOKUP(_1_541284561214624104645789101745678[[#This Row],[Type]],Main[[#All],[TYPE]:[UNIT]],'Unit Price'!C$1,FALSE),0)</f>
        <v>0</v>
      </c>
      <c r="H1001" s="197">
        <f>IF(_1_541284561214624104645789101745678[[#This Row],[Type]]&gt;0,VLOOKUP(_1_541284561214624104645789101745678[[#This Row],[Type]],Main[[#All],[TYPE]:[UNIT]],'Unit Price'!D$1,FALSE),0)</f>
        <v>0</v>
      </c>
      <c r="I1001" s="194">
        <f>IF(_1_541284561214624104645789101745678[[#This Row],[Type]]&gt;0,VLOOKUP(_1_541284561214624104645789101745678[[#This Row],[Type]],Main[[#All],[TYPE]:[UNIT]],'Unit Price'!G$1,FALSE),0)</f>
        <v>0</v>
      </c>
      <c r="J1001" s="194">
        <f>IF(_1_541284561214624104645789101745678[[#This Row],[Type]]&gt;0,VLOOKUP(_1_541284561214624104645789101745678[[#This Row],[Type]],Main[[#All],[TYPE]:[UNIT]],'Unit Price'!H$1,FALSE),0)</f>
        <v>0</v>
      </c>
      <c r="K1001" s="194">
        <f>IF(_1_541284561214624104645789101745678[[#This Row],[Discount selection]]&gt;0,VLOOKUP(_1_541284561214624104645789101745678[[#This Row],[Discount selection]],'Discount Structure'!$A$2:$B$30,2,"false"),0)</f>
        <v>1</v>
      </c>
      <c r="L1001" s="194">
        <f>_1_541284561214624104645789101745678[[#This Row],[LIST $]]*_1_541284561214624104645789101745678[[#This Row],[DISCOUNT]]*_1_541284561214624104645789101745678[[#This Row],[DISCOUNT 2]]</f>
        <v>0</v>
      </c>
      <c r="M1001" s="194">
        <f>IF(OR(_1_541284561214624104645789101745678[[#This Row],[UNIT]]&gt;0,_1_541284561214624104645789101745678[[#This Row],[UNIT]]&lt;0),_1_541284561214624104645789101745678[[#This Row],[UNIT]]*_1_541284561214624104645789101745678[[#This Row],[COST]],0)</f>
        <v>0</v>
      </c>
      <c r="N1001" s="194">
        <f>$N$7</f>
        <v>1.3</v>
      </c>
      <c r="O1001" s="198">
        <f>_1_541284561214624104645789101745678[[#This Row],[TOTAL]]*_1_541284561214624104645789101745678[[#This Row],[MARGIN]]</f>
        <v>0</v>
      </c>
      <c r="P1001" s="198"/>
      <c r="R1001" s="41"/>
    </row>
  </sheetData>
  <sheetProtection formatCells="0" formatColumns="0" formatRows="0" insertColumns="0" insertRows="0" deleteColumns="0" deleteRows="0"/>
  <conditionalFormatting sqref="E1:E1048576">
    <cfRule type="colorScale" priority="6">
      <colorScale>
        <cfvo type="min"/>
        <cfvo type="percentile" val="50"/>
        <cfvo type="max"/>
        <color rgb="FFFF7128"/>
        <color rgb="FFFFEB84"/>
        <color rgb="FFFFEF9C"/>
      </colorScale>
    </cfRule>
  </conditionalFormatting>
  <conditionalFormatting sqref="K1:K1048576">
    <cfRule type="cellIs" dxfId="8" priority="7" operator="equal">
      <formula>$K$7</formula>
    </cfRule>
  </conditionalFormatting>
  <conditionalFormatting sqref="N1:N1048576">
    <cfRule type="cellIs" dxfId="7" priority="8" operator="equal">
      <formula>$N$7</formula>
    </cfRule>
  </conditionalFormatting>
  <conditionalFormatting sqref="H1:H1048576">
    <cfRule type="containsText" dxfId="6" priority="1" operator="containsText" text="ABB">
      <formula>NOT(ISERROR(SEARCH("ABB",H1)))</formula>
    </cfRule>
    <cfRule type="containsText" dxfId="5" priority="2" operator="containsText" text="LS">
      <formula>NOT(ISERROR(SEARCH("LS",H1)))</formula>
    </cfRule>
    <cfRule type="containsText" dxfId="4" priority="3" operator="containsText" text="SCHNEIDER">
      <formula>NOT(ISERROR(SEARCH("SCHNEIDER",H1)))</formula>
    </cfRule>
    <cfRule type="containsText" dxfId="3" priority="4" operator="containsText" text="CHINT">
      <formula>NOT(ISERROR(SEARCH("CHINT",H1)))</formula>
    </cfRule>
    <cfRule type="containsText" dxfId="2" priority="5" operator="containsText" text="0">
      <formula>NOT(ISERROR(SEARCH("0",H1)))</formula>
    </cfRule>
  </conditionalFormatting>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BB4372B-8A1B-4089-96F9-923C0D2F0D1B}">
          <x14:formula1>
            <xm:f>'Unit Price'!$B:$B</xm:f>
          </x14:formula1>
          <xm:sqref>D79:D1001 D9:D77</xm:sqref>
        </x14:dataValidation>
        <x14:dataValidation type="list" allowBlank="1" showInputMessage="1" showErrorMessage="1" xr:uid="{D76B4B50-EF6C-44F4-BFD5-238274911F4A}">
          <x14:formula1>
            <xm:f>'Discount Structure'!$A$2:$A$30</xm:f>
          </x14:formula1>
          <xm:sqref>F9:F1001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B_Comp"/>
  <dimension ref="A1:BM857"/>
  <sheetViews>
    <sheetView zoomScale="85" zoomScaleNormal="85" workbookViewId="0">
      <selection activeCell="D32" sqref="D32"/>
    </sheetView>
  </sheetViews>
  <sheetFormatPr defaultColWidth="9.140625" defaultRowHeight="15"/>
  <cols>
    <col min="1" max="1" width="6.140625" style="39" customWidth="1"/>
    <col min="2" max="2" width="29.5703125" style="39" customWidth="1"/>
    <col min="3" max="4" width="11.85546875" style="39" bestFit="1" customWidth="1"/>
    <col min="5" max="5" width="29.5703125" style="131" customWidth="1"/>
    <col min="6" max="6" width="18.85546875" style="131" customWidth="1"/>
    <col min="7" max="7" width="32.85546875" style="232" customWidth="1"/>
    <col min="8" max="8" width="9.28515625" style="194" bestFit="1" customWidth="1"/>
    <col min="9" max="9" width="8.7109375" style="194" bestFit="1" customWidth="1"/>
    <col min="10" max="10" width="12.7109375" style="194" bestFit="1" customWidth="1"/>
    <col min="11" max="11" width="14.28515625" style="194" bestFit="1" customWidth="1"/>
    <col min="12" max="12" width="8.140625" style="194" bestFit="1" customWidth="1"/>
    <col min="13" max="13" width="12.28515625" style="41" bestFit="1" customWidth="1"/>
    <col min="14" max="15" width="9.140625" style="41"/>
    <col min="16" max="16" width="25.28515625" style="41" bestFit="1" customWidth="1"/>
    <col min="17" max="17" width="48.5703125" style="41" bestFit="1" customWidth="1"/>
    <col min="18" max="18" width="9.5703125" style="41" bestFit="1" customWidth="1"/>
    <col min="19" max="19" width="33.28515625" style="41" bestFit="1" customWidth="1"/>
    <col min="20" max="21" width="12.42578125" style="41" bestFit="1" customWidth="1"/>
    <col min="22" max="22" width="10" style="41" bestFit="1" customWidth="1"/>
    <col min="23" max="24" width="12.42578125" style="41" bestFit="1" customWidth="1"/>
    <col min="25" max="25" width="10" style="41" bestFit="1" customWidth="1"/>
    <col min="26" max="26" width="21" style="41" bestFit="1" customWidth="1"/>
    <col min="27" max="28" width="17.5703125" style="41" bestFit="1" customWidth="1"/>
    <col min="29" max="32" width="18.5703125" style="41" bestFit="1" customWidth="1"/>
    <col min="33" max="36" width="4.7109375" style="41" bestFit="1" customWidth="1"/>
    <col min="37" max="38" width="13.42578125" style="41" bestFit="1" customWidth="1"/>
    <col min="39" max="41" width="4.7109375" style="41" bestFit="1" customWidth="1"/>
    <col min="42" max="42" width="5.5703125" style="41" bestFit="1" customWidth="1"/>
    <col min="43" max="43" width="7" style="41" bestFit="1" customWidth="1"/>
    <col min="44" max="44" width="10.28515625" style="41" bestFit="1" customWidth="1"/>
    <col min="45" max="45" width="12.42578125" style="41" bestFit="1" customWidth="1"/>
    <col min="46" max="46" width="9.85546875" style="41" bestFit="1" customWidth="1"/>
    <col min="47" max="55" width="12.42578125" style="41" bestFit="1" customWidth="1"/>
    <col min="56" max="61" width="13.5703125" style="41" bestFit="1" customWidth="1"/>
    <col min="62" max="62" width="12.42578125" style="41" bestFit="1" customWidth="1"/>
    <col min="63" max="66" width="4.7109375" style="41" bestFit="1" customWidth="1"/>
    <col min="67" max="67" width="8.42578125" style="41" bestFit="1" customWidth="1"/>
    <col min="68" max="16384" width="9.140625" style="41"/>
  </cols>
  <sheetData>
    <row r="1" spans="1:65">
      <c r="B1" s="117" t="s">
        <v>336</v>
      </c>
      <c r="C1" s="117"/>
      <c r="D1" s="117"/>
    </row>
    <row r="2" spans="1:65">
      <c r="A2" s="166" t="s">
        <v>6199</v>
      </c>
      <c r="B2" s="103" t="s">
        <v>6194</v>
      </c>
      <c r="C2" s="103" t="s">
        <v>6195</v>
      </c>
      <c r="D2" s="103" t="s">
        <v>6196</v>
      </c>
      <c r="E2" s="168" t="s">
        <v>283</v>
      </c>
      <c r="F2" s="168" t="s">
        <v>6200</v>
      </c>
      <c r="G2" s="232" t="s">
        <v>278</v>
      </c>
      <c r="H2" s="194" t="s">
        <v>282</v>
      </c>
      <c r="I2" s="195" t="s">
        <v>285</v>
      </c>
      <c r="J2" s="195" t="s">
        <v>286</v>
      </c>
      <c r="K2" s="195" t="s">
        <v>287</v>
      </c>
      <c r="L2" s="196" t="s">
        <v>288</v>
      </c>
      <c r="P2" s="41" t="s">
        <v>6194</v>
      </c>
      <c r="Q2" s="41" t="s">
        <v>6195</v>
      </c>
      <c r="R2" s="41" t="s">
        <v>6196</v>
      </c>
      <c r="S2" s="41" t="s">
        <v>283</v>
      </c>
    </row>
    <row r="3" spans="1:65">
      <c r="A3" s="39">
        <v>1</v>
      </c>
      <c r="B3" s="164" t="s">
        <v>6277</v>
      </c>
      <c r="C3" s="165"/>
      <c r="D3" s="165"/>
      <c r="E3" s="180" t="s">
        <v>6251</v>
      </c>
      <c r="F3" s="168" t="s">
        <v>6202</v>
      </c>
      <c r="G3" s="194" t="str">
        <f>IF(DBparts1[[#This Row],[Type]]&gt;0,VLOOKUP(DBparts1[[#This Row],[Type]],Main[[#All],[TYPE]:[UNIT]],'Unit Price'!C$1,FALSE),0)</f>
        <v>40A 3P 25kA MCCB, 50%</v>
      </c>
      <c r="H3" s="194" t="str">
        <f>IF(DBparts1[[#This Row],[Type]]&gt;0,VLOOKUP(DBparts1[[#This Row],[Type]],Main[[#All],[TYPE]:[UNIT]],'Unit Price'!D$1,FALSE),0)</f>
        <v>CHINT</v>
      </c>
      <c r="I3" s="194">
        <f>IF(DBparts1[[#This Row],[Type]]&gt;0,VLOOKUP(DBparts1[[#This Row],[Type]],Main[[#All],[TYPE]:[UNIT]],'Unit Price'!G$1,FALSE),0)</f>
        <v>203</v>
      </c>
      <c r="J3" s="194">
        <f>IF(DBparts1[[#This Row],[Type]]&gt;0,VLOOKUP(DBparts1[[#This Row],[Type]],Main[[#All],[TYPE]:[UNIT]],'Unit Price'!H$1,FALSE),0)</f>
        <v>0.47155599999999998</v>
      </c>
      <c r="K3" s="194">
        <f>IF(DBparts1[[#This Row],[Type]]&gt;0,VLOOKUP(DBparts1[[#This Row],[Discount seletion]],'Discount Structure'!$A$2:$B$30,2,"false"),0)</f>
        <v>1</v>
      </c>
      <c r="L3" s="194">
        <f>DBparts1[[#This Row],[LIST $]]*DBparts1[[#This Row],[DISCOUNT]]*DBparts1[[#This Row],[DISCOUNT 2]]</f>
        <v>95.725867999999991</v>
      </c>
      <c r="O3" s="118"/>
      <c r="P3" s="41" t="s">
        <v>6168</v>
      </c>
    </row>
    <row r="4" spans="1:65">
      <c r="A4" s="39">
        <v>2</v>
      </c>
      <c r="B4" s="164"/>
      <c r="C4" s="165"/>
      <c r="D4" s="165"/>
      <c r="E4" s="180"/>
      <c r="F4" s="168" t="s">
        <v>6202</v>
      </c>
      <c r="G4" s="194">
        <f>IF(DBparts1[[#This Row],[Type]]&gt;0,VLOOKUP(DBparts1[[#This Row],[Type]],Main[[#All],[TYPE]:[UNIT]],'Unit Price'!C$1,FALSE),0)</f>
        <v>0</v>
      </c>
      <c r="H4" s="194">
        <f>IF(DBparts1[[#This Row],[Type]]&gt;0,VLOOKUP(DBparts1[[#This Row],[Type]],Main[[#All],[TYPE]:[UNIT]],'Unit Price'!D$1,FALSE),0)</f>
        <v>0</v>
      </c>
      <c r="I4" s="194">
        <f>IF(DBparts1[[#This Row],[Type]]&gt;0,VLOOKUP(DBparts1[[#This Row],[Type]],Main[[#All],[TYPE]:[UNIT]],'Unit Price'!G$1,FALSE),0)</f>
        <v>0</v>
      </c>
      <c r="J4" s="194">
        <f>IF(DBparts1[[#This Row],[Type]]&gt;0,VLOOKUP(DBparts1[[#This Row],[Type]],Main[[#All],[TYPE]:[UNIT]],'Unit Price'!H$1,FALSE),0)</f>
        <v>0</v>
      </c>
      <c r="K4" s="194">
        <f>IF(DBparts1[[#This Row],[Type]]&gt;0,VLOOKUP(DBparts1[[#This Row],[Discount seletion]],'Discount Structure'!$A$2:$B$30,2,"false"),0)</f>
        <v>0</v>
      </c>
      <c r="L4" s="194">
        <f>DBparts1[[#This Row],[LIST $]]*DBparts1[[#This Row],[DISCOUNT]]*DBparts1[[#This Row],[DISCOUNT 2]]</f>
        <v>0</v>
      </c>
      <c r="O4" s="118"/>
      <c r="P4" s="118" t="s">
        <v>6169</v>
      </c>
      <c r="Q4" s="118"/>
      <c r="R4" s="118"/>
      <c r="S4" s="118" t="s">
        <v>1735</v>
      </c>
      <c r="T4" s="118"/>
      <c r="U4" s="118"/>
      <c r="V4" s="118"/>
      <c r="W4" s="118"/>
      <c r="X4" s="118"/>
      <c r="Y4" s="118"/>
      <c r="Z4" s="118"/>
      <c r="AA4" s="118"/>
      <c r="AB4" s="118"/>
      <c r="AC4" s="118"/>
      <c r="AD4" s="118"/>
      <c r="AE4" s="118"/>
      <c r="AF4" s="118"/>
      <c r="AG4" s="118"/>
      <c r="AH4" s="118"/>
      <c r="AI4" s="118"/>
      <c r="AJ4" s="118"/>
      <c r="AK4" s="118"/>
      <c r="AL4" s="118"/>
      <c r="AM4" s="118"/>
      <c r="AN4" s="118"/>
      <c r="AO4" s="118"/>
      <c r="AP4" s="118"/>
      <c r="AQ4" s="118"/>
      <c r="AR4" s="118"/>
      <c r="AS4" s="118"/>
      <c r="AT4" s="118"/>
      <c r="AU4" s="118"/>
      <c r="AV4" s="118"/>
      <c r="AW4" s="118"/>
      <c r="AX4" s="118"/>
      <c r="AY4" s="118"/>
      <c r="AZ4" s="118"/>
      <c r="BA4" s="118"/>
      <c r="BB4" s="118"/>
      <c r="BC4" s="118"/>
      <c r="BD4" s="118"/>
      <c r="BE4" s="118"/>
      <c r="BF4" s="118"/>
      <c r="BG4" s="118"/>
      <c r="BH4" s="118"/>
      <c r="BI4" s="118"/>
      <c r="BJ4" s="118"/>
      <c r="BK4" s="118"/>
      <c r="BL4" s="118"/>
      <c r="BM4" s="118"/>
    </row>
    <row r="5" spans="1:65">
      <c r="A5" s="39">
        <v>3</v>
      </c>
      <c r="B5" s="164" t="s">
        <v>3107</v>
      </c>
      <c r="C5" s="165"/>
      <c r="D5" s="165"/>
      <c r="E5" s="180" t="s">
        <v>1555</v>
      </c>
      <c r="F5" s="168" t="s">
        <v>6202</v>
      </c>
      <c r="G5" s="233" t="str">
        <f>IF(DBparts1[[#This Row],[Type]]&gt;0,VLOOKUP(DBparts1[[#This Row],[Type]],Main[[#All],[TYPE]:[UNIT]],'Unit Price'!C$1,FALSE),0)</f>
        <v>63A 2P 100mA ELCB</v>
      </c>
      <c r="H5" s="235" t="str">
        <f>IF(DBparts1[[#This Row],[Type]]&gt;0,VLOOKUP(DBparts1[[#This Row],[Type]],Main[[#All],[TYPE]:[UNIT]],'Unit Price'!D$1,FALSE),0)</f>
        <v>CHINT</v>
      </c>
      <c r="I5" s="194">
        <f>IF(DBparts1[[#This Row],[Type]]&gt;0,VLOOKUP(DBparts1[[#This Row],[Type]],Main[[#All],[TYPE]:[UNIT]],'Unit Price'!G$1,FALSE),0)</f>
        <v>102</v>
      </c>
      <c r="J5" s="194">
        <f>IF(DBparts1[[#This Row],[Type]]&gt;0,VLOOKUP(DBparts1[[#This Row],[Type]],Main[[#All],[TYPE]:[UNIT]],'Unit Price'!H$1,FALSE),0)</f>
        <v>0.47155599999999998</v>
      </c>
      <c r="K5" s="194">
        <f>IF(DBparts1[[#This Row],[Type]]&gt;0,VLOOKUP(DBparts1[[#This Row],[Discount seletion]],'Discount Structure'!$A$2:$B$30,2,"false"),0)</f>
        <v>1</v>
      </c>
      <c r="L5" s="194">
        <f>DBparts1[[#This Row],[LIST $]]*DBparts1[[#This Row],[DISCOUNT]]*DBparts1[[#This Row],[DISCOUNT 2]]</f>
        <v>48.098711999999999</v>
      </c>
      <c r="O5" s="118"/>
      <c r="P5" s="41" t="s">
        <v>6170</v>
      </c>
      <c r="S5" s="41" t="s">
        <v>1743</v>
      </c>
    </row>
    <row r="6" spans="1:65">
      <c r="A6" s="39">
        <v>4</v>
      </c>
      <c r="B6" s="164" t="s">
        <v>3111</v>
      </c>
      <c r="C6" s="165"/>
      <c r="D6" s="165"/>
      <c r="E6" s="180" t="s">
        <v>319</v>
      </c>
      <c r="F6" s="168" t="s">
        <v>6202</v>
      </c>
      <c r="G6" s="234" t="str">
        <f>IF(DBparts1[[#This Row],[Type]]&gt;0,VLOOKUP(DBparts1[[#This Row],[Type]],Main[[#All],[TYPE]:[UNIT]],'Unit Price'!C$1,FALSE),0)</f>
        <v>63A 2P 30mA ELCB</v>
      </c>
      <c r="H6" s="236" t="str">
        <f>IF(DBparts1[[#This Row],[Type]]&gt;0,VLOOKUP(DBparts1[[#This Row],[Type]],Main[[#All],[TYPE]:[UNIT]],'Unit Price'!D$1,FALSE),0)</f>
        <v>CHINT</v>
      </c>
      <c r="I6" s="194">
        <f>IF(DBparts1[[#This Row],[Type]]&gt;0,VLOOKUP(DBparts1[[#This Row],[Type]],Main[[#All],[TYPE]:[UNIT]],'Unit Price'!G$1,FALSE),0)</f>
        <v>141</v>
      </c>
      <c r="J6" s="194">
        <f>IF(DBparts1[[#This Row],[Type]]&gt;0,VLOOKUP(DBparts1[[#This Row],[Type]],Main[[#All],[TYPE]:[UNIT]],'Unit Price'!H$1,FALSE),0)</f>
        <v>0.47155599999999998</v>
      </c>
      <c r="K6" s="194">
        <f>IF(DBparts1[[#This Row],[Type]]&gt;0,VLOOKUP(DBparts1[[#This Row],[Discount seletion]],'Discount Structure'!$A$2:$B$30,2,"false"),0)</f>
        <v>1</v>
      </c>
      <c r="L6" s="194">
        <f>DBparts1[[#This Row],[LIST $]]*DBparts1[[#This Row],[DISCOUNT]]*DBparts1[[#This Row],[DISCOUNT 2]]</f>
        <v>66.489395999999999</v>
      </c>
      <c r="O6" s="118"/>
      <c r="P6" s="41" t="s">
        <v>6171</v>
      </c>
      <c r="S6" s="41" t="s">
        <v>323</v>
      </c>
    </row>
    <row r="7" spans="1:65">
      <c r="A7" s="39">
        <v>5</v>
      </c>
      <c r="B7" s="164" t="s">
        <v>3101</v>
      </c>
      <c r="C7" s="165"/>
      <c r="D7" s="165"/>
      <c r="E7" s="180" t="s">
        <v>296</v>
      </c>
      <c r="F7" s="168" t="s">
        <v>6202</v>
      </c>
      <c r="G7" s="233" t="str">
        <f>IF(DBparts1[[#This Row],[Type]]&gt;0,VLOOKUP(DBparts1[[#This Row],[Type]],Main[[#All],[TYPE]:[UNIT]],'Unit Price'!C$1,FALSE),0)</f>
        <v>40A 2P 100mA ELCB</v>
      </c>
      <c r="H7" s="235" t="str">
        <f>IF(DBparts1[[#This Row],[Type]]&gt;0,VLOOKUP(DBparts1[[#This Row],[Type]],Main[[#All],[TYPE]:[UNIT]],'Unit Price'!D$1,FALSE),0)</f>
        <v>CHINT</v>
      </c>
      <c r="I7" s="194">
        <f>IF(DBparts1[[#This Row],[Type]]&gt;0,VLOOKUP(DBparts1[[#This Row],[Type]],Main[[#All],[TYPE]:[UNIT]],'Unit Price'!G$1,FALSE),0)</f>
        <v>85</v>
      </c>
      <c r="J7" s="194">
        <f>IF(DBparts1[[#This Row],[Type]]&gt;0,VLOOKUP(DBparts1[[#This Row],[Type]],Main[[#All],[TYPE]:[UNIT]],'Unit Price'!H$1,FALSE),0)</f>
        <v>0.47155599999999998</v>
      </c>
      <c r="K7" s="194">
        <f>IF(DBparts1[[#This Row],[Type]]&gt;0,VLOOKUP(DBparts1[[#This Row],[Discount seletion]],'Discount Structure'!$A$2:$B$30,2,"false"),0)</f>
        <v>1</v>
      </c>
      <c r="L7" s="194">
        <f>DBparts1[[#This Row],[LIST $]]*DBparts1[[#This Row],[DISCOUNT]]*DBparts1[[#This Row],[DISCOUNT 2]]</f>
        <v>40.082259999999998</v>
      </c>
      <c r="O7" s="118"/>
      <c r="P7" s="41" t="s">
        <v>1679</v>
      </c>
      <c r="S7" s="41" t="s">
        <v>1680</v>
      </c>
    </row>
    <row r="8" spans="1:65">
      <c r="A8" s="39">
        <v>6</v>
      </c>
      <c r="B8" s="164" t="s">
        <v>3105</v>
      </c>
      <c r="C8" s="165"/>
      <c r="D8" s="165"/>
      <c r="E8" s="180" t="s">
        <v>1551</v>
      </c>
      <c r="F8" s="168" t="s">
        <v>6202</v>
      </c>
      <c r="G8" s="234" t="str">
        <f>IF(DBparts1[[#This Row],[Type]]&gt;0,VLOOKUP(DBparts1[[#This Row],[Type]],Main[[#All],[TYPE]:[UNIT]],'Unit Price'!C$1,FALSE),0)</f>
        <v>40A 2P 30mA ELCB</v>
      </c>
      <c r="H8" s="236" t="str">
        <f>IF(DBparts1[[#This Row],[Type]]&gt;0,VLOOKUP(DBparts1[[#This Row],[Type]],Main[[#All],[TYPE]:[UNIT]],'Unit Price'!D$1,FALSE),0)</f>
        <v>CHINT</v>
      </c>
      <c r="I8" s="194">
        <f>IF(DBparts1[[#This Row],[Type]]&gt;0,VLOOKUP(DBparts1[[#This Row],[Type]],Main[[#All],[TYPE]:[UNIT]],'Unit Price'!G$1,FALSE),0)</f>
        <v>120</v>
      </c>
      <c r="J8" s="194">
        <f>IF(DBparts1[[#This Row],[Type]]&gt;0,VLOOKUP(DBparts1[[#This Row],[Type]],Main[[#All],[TYPE]:[UNIT]],'Unit Price'!H$1,FALSE),0)</f>
        <v>0.47155599999999998</v>
      </c>
      <c r="K8" s="194">
        <f>IF(DBparts1[[#This Row],[Type]]&gt;0,VLOOKUP(DBparts1[[#This Row],[Discount seletion]],'Discount Structure'!$A$2:$B$30,2,"false"),0)</f>
        <v>1</v>
      </c>
      <c r="L8" s="194">
        <f>DBparts1[[#This Row],[LIST $]]*DBparts1[[#This Row],[DISCOUNT]]*DBparts1[[#This Row],[DISCOUNT 2]]</f>
        <v>56.58672</v>
      </c>
      <c r="O8" s="118"/>
      <c r="P8" s="41" t="s">
        <v>6271</v>
      </c>
      <c r="S8" s="41" t="s">
        <v>1512</v>
      </c>
    </row>
    <row r="9" spans="1:65">
      <c r="A9" s="39">
        <v>7</v>
      </c>
      <c r="B9" s="164"/>
      <c r="C9" s="165"/>
      <c r="D9" s="165"/>
      <c r="F9" s="168" t="s">
        <v>6202</v>
      </c>
      <c r="G9" s="233">
        <f>IF(DBparts1[[#This Row],[Type]]&gt;0,VLOOKUP(DBparts1[[#This Row],[Type]],Main[[#All],[TYPE]:[UNIT]],'Unit Price'!C$1,FALSE),0)</f>
        <v>0</v>
      </c>
      <c r="H9" s="235">
        <f>IF(DBparts1[[#This Row],[Type]]&gt;0,VLOOKUP(DBparts1[[#This Row],[Type]],Main[[#All],[TYPE]:[UNIT]],'Unit Price'!D$1,FALSE),0)</f>
        <v>0</v>
      </c>
      <c r="I9" s="194">
        <f>IF(DBparts1[[#This Row],[Type]]&gt;0,VLOOKUP(DBparts1[[#This Row],[Type]],Main[[#All],[TYPE]:[UNIT]],'Unit Price'!G$1,FALSE),0)</f>
        <v>0</v>
      </c>
      <c r="J9" s="194">
        <f>IF(DBparts1[[#This Row],[Type]]&gt;0,VLOOKUP(DBparts1[[#This Row],[Type]],Main[[#All],[TYPE]:[UNIT]],'Unit Price'!H$1,FALSE),0)</f>
        <v>0</v>
      </c>
      <c r="K9" s="194">
        <f>IF(DBparts1[[#This Row],[Type]]&gt;0,VLOOKUP(DBparts1[[#This Row],[Discount seletion]],'Discount Structure'!$A$2:$B$30,2,"false"),0)</f>
        <v>0</v>
      </c>
      <c r="L9" s="194">
        <f>DBparts1[[#This Row],[LIST $]]*DBparts1[[#This Row],[DISCOUNT]]*DBparts1[[#This Row],[DISCOUNT 2]]</f>
        <v>0</v>
      </c>
      <c r="O9" s="118"/>
      <c r="P9" s="41" t="s">
        <v>6270</v>
      </c>
      <c r="S9" s="41" t="s">
        <v>294</v>
      </c>
    </row>
    <row r="10" spans="1:65">
      <c r="A10" s="39">
        <v>8</v>
      </c>
      <c r="B10" s="164" t="s">
        <v>5816</v>
      </c>
      <c r="C10" s="165"/>
      <c r="D10" s="165"/>
      <c r="E10" s="131" t="s">
        <v>317</v>
      </c>
      <c r="F10" s="168" t="s">
        <v>6202</v>
      </c>
      <c r="G10" s="234" t="str">
        <f>IF(DBparts1[[#This Row],[Type]]&gt;0,VLOOKUP(DBparts1[[#This Row],[Type]],Main[[#All],[TYPE]:[UNIT]],'Unit Price'!C$1,FALSE),0)</f>
        <v>16MM SQ PVC CABLE (60A)</v>
      </c>
      <c r="H10" s="236" t="str">
        <f>IF(DBparts1[[#This Row],[Type]]&gt;0,VLOOKUP(DBparts1[[#This Row],[Type]],Main[[#All],[TYPE]:[UNIT]],'Unit Price'!D$1,FALSE),0)</f>
        <v>UC</v>
      </c>
      <c r="I10" s="194">
        <f>IF(DBparts1[[#This Row],[Type]]&gt;0,VLOOKUP(DBparts1[[#This Row],[Type]],Main[[#All],[TYPE]:[UNIT]],'Unit Price'!G$1,FALSE),0)</f>
        <v>10</v>
      </c>
      <c r="J10" s="194">
        <f>IF(DBparts1[[#This Row],[Type]]&gt;0,VLOOKUP(DBparts1[[#This Row],[Type]],Main[[#All],[TYPE]:[UNIT]],'Unit Price'!H$1,FALSE),0)</f>
        <v>1</v>
      </c>
      <c r="K10" s="194">
        <f>IF(DBparts1[[#This Row],[Type]]&gt;0,VLOOKUP(DBparts1[[#This Row],[Discount seletion]],'Discount Structure'!$A$2:$B$30,2,"false"),0)</f>
        <v>1</v>
      </c>
      <c r="L10" s="194">
        <f>DBparts1[[#This Row],[LIST $]]*DBparts1[[#This Row],[DISCOUNT]]*DBparts1[[#This Row],[DISCOUNT 2]]</f>
        <v>10</v>
      </c>
      <c r="O10" s="118"/>
      <c r="P10" s="41" t="s">
        <v>314</v>
      </c>
      <c r="S10" s="41" t="s">
        <v>315</v>
      </c>
    </row>
    <row r="11" spans="1:65">
      <c r="A11" s="39">
        <v>9</v>
      </c>
      <c r="B11" s="164" t="s">
        <v>5817</v>
      </c>
      <c r="C11" s="165"/>
      <c r="D11" s="165"/>
      <c r="E11" s="180" t="s">
        <v>299</v>
      </c>
      <c r="F11" s="168" t="s">
        <v>6202</v>
      </c>
      <c r="G11" s="233" t="str">
        <f>IF(DBparts1[[#This Row],[Type]]&gt;0,VLOOKUP(DBparts1[[#This Row],[Type]],Main[[#All],[TYPE]:[UNIT]],'Unit Price'!C$1,FALSE),0)</f>
        <v>10MM SQ PVC CABLE (40A)</v>
      </c>
      <c r="H11" s="235" t="str">
        <f>IF(DBparts1[[#This Row],[Type]]&gt;0,VLOOKUP(DBparts1[[#This Row],[Type]],Main[[#All],[TYPE]:[UNIT]],'Unit Price'!D$1,FALSE),0)</f>
        <v>UC</v>
      </c>
      <c r="I11" s="194">
        <f>IF(DBparts1[[#This Row],[Type]]&gt;0,VLOOKUP(DBparts1[[#This Row],[Type]],Main[[#All],[TYPE]:[UNIT]],'Unit Price'!G$1,FALSE),0)</f>
        <v>6</v>
      </c>
      <c r="J11" s="194">
        <f>IF(DBparts1[[#This Row],[Type]]&gt;0,VLOOKUP(DBparts1[[#This Row],[Type]],Main[[#All],[TYPE]:[UNIT]],'Unit Price'!H$1,FALSE),0)</f>
        <v>1</v>
      </c>
      <c r="K11" s="194">
        <f>IF(DBparts1[[#This Row],[Type]]&gt;0,VLOOKUP(DBparts1[[#This Row],[Discount seletion]],'Discount Structure'!$A$2:$B$30,2,"false"),0)</f>
        <v>1</v>
      </c>
      <c r="L11" s="194">
        <f>DBparts1[[#This Row],[LIST $]]*DBparts1[[#This Row],[DISCOUNT]]*DBparts1[[#This Row],[DISCOUNT 2]]</f>
        <v>6</v>
      </c>
      <c r="O11" s="118"/>
      <c r="P11" s="41" t="s">
        <v>1539</v>
      </c>
      <c r="S11" s="41" t="s">
        <v>1540</v>
      </c>
    </row>
    <row r="12" spans="1:65">
      <c r="A12" s="39">
        <v>10</v>
      </c>
      <c r="B12" s="330"/>
      <c r="C12" s="165"/>
      <c r="D12" s="165"/>
      <c r="E12" s="180"/>
      <c r="F12" s="168" t="s">
        <v>6202</v>
      </c>
      <c r="G12" s="234">
        <f>IF(DBparts1[[#This Row],[Type]]&gt;0,VLOOKUP(DBparts1[[#This Row],[Type]],Main[[#All],[TYPE]:[UNIT]],'Unit Price'!C$1,FALSE),0)</f>
        <v>0</v>
      </c>
      <c r="H12" s="236">
        <f>IF(DBparts1[[#This Row],[Type]]&gt;0,VLOOKUP(DBparts1[[#This Row],[Type]],Main[[#All],[TYPE]:[UNIT]],'Unit Price'!D$1,FALSE),0)</f>
        <v>0</v>
      </c>
      <c r="I12" s="194">
        <f>IF(DBparts1[[#This Row],[Type]]&gt;0,VLOOKUP(DBparts1[[#This Row],[Type]],Main[[#All],[TYPE]:[UNIT]],'Unit Price'!G$1,FALSE),0)</f>
        <v>0</v>
      </c>
      <c r="J12" s="194">
        <f>IF(DBparts1[[#This Row],[Type]]&gt;0,VLOOKUP(DBparts1[[#This Row],[Type]],Main[[#All],[TYPE]:[UNIT]],'Unit Price'!H$1,FALSE),0)</f>
        <v>0</v>
      </c>
      <c r="K12" s="194">
        <f>IF(DBparts1[[#This Row],[Type]]&gt;0,VLOOKUP(DBparts1[[#This Row],[Discount seletion]],'Discount Structure'!$A$2:$B$30,2,"false"),0)</f>
        <v>0</v>
      </c>
      <c r="L12" s="194">
        <f>DBparts1[[#This Row],[LIST $]]*DBparts1[[#This Row],[DISCOUNT]]*DBparts1[[#This Row],[DISCOUNT 2]]</f>
        <v>0</v>
      </c>
      <c r="O12" s="118"/>
      <c r="P12" s="41" t="s">
        <v>6172</v>
      </c>
      <c r="S12" s="41" t="s">
        <v>1733</v>
      </c>
    </row>
    <row r="13" spans="1:65">
      <c r="A13" s="39">
        <v>11</v>
      </c>
      <c r="B13" s="365" t="s">
        <v>7822</v>
      </c>
      <c r="C13" s="169"/>
      <c r="D13" s="169"/>
      <c r="E13" s="181" t="s">
        <v>294</v>
      </c>
      <c r="F13" s="168" t="s">
        <v>6202</v>
      </c>
      <c r="G13" s="233" t="str">
        <f>IF(DBparts1[[#This Row],[Type]]&gt;0,VLOOKUP(DBparts1[[#This Row],[Type]],Main[[#All],[TYPE]:[UNIT]],'Unit Price'!C$1,FALSE),0)</f>
        <v>6A ~ 40A 2P 6kA MCB</v>
      </c>
      <c r="H13" s="233" t="str">
        <f>IF(DBparts1[[#This Row],[Type]]&gt;0,VLOOKUP(DBparts1[[#This Row],[Type]],Main[[#All],[TYPE]:[UNIT]],'Unit Price'!D$1,FALSE),0)</f>
        <v>CHINT</v>
      </c>
      <c r="I13" s="194">
        <f>IF(DBparts1[[#This Row],[Type]]&gt;0,VLOOKUP(DBparts1[[#This Row],[Type]],Main[[#All],[TYPE]:[UNIT]],'Unit Price'!G$1,FALSE),0)</f>
        <v>33.9</v>
      </c>
      <c r="J13" s="194">
        <f>IF(DBparts1[[#This Row],[Type]]&gt;0,VLOOKUP(DBparts1[[#This Row],[Type]],Main[[#All],[TYPE]:[UNIT]],'Unit Price'!H$1,FALSE),0)</f>
        <v>0.47155599999999998</v>
      </c>
      <c r="K13" s="194">
        <f>IF(DBparts1[[#This Row],[Type]]&gt;0,VLOOKUP(DBparts1[[#This Row],[Discount seletion]],'Discount Structure'!$A$2:$B$30,2,"false"),0)</f>
        <v>1</v>
      </c>
      <c r="L13" s="194">
        <f>DBparts1[[#This Row],[LIST $]]*DBparts1[[#This Row],[DISCOUNT]]*DBparts1[[#This Row],[DISCOUNT 2]]</f>
        <v>15.985748399999999</v>
      </c>
      <c r="O13" s="118"/>
    </row>
    <row r="14" spans="1:65">
      <c r="A14" s="39">
        <v>12</v>
      </c>
      <c r="B14" s="330" t="s">
        <v>6184</v>
      </c>
      <c r="C14" s="165"/>
      <c r="D14" s="165"/>
      <c r="E14" s="180" t="s">
        <v>335</v>
      </c>
      <c r="F14" s="168" t="s">
        <v>6202</v>
      </c>
      <c r="G14" s="234" t="str">
        <f>IF(DBparts1[[#This Row],[Type]]&gt;0,VLOOKUP(DBparts1[[#This Row],[Type]],Main[[#All],[TYPE]:[UNIT]],'Unit Price'!C$1,FALSE),0)</f>
        <v>6A ~ 40A 3P 6kA MCB</v>
      </c>
      <c r="H14" s="236" t="str">
        <f>IF(DBparts1[[#This Row],[Type]]&gt;0,VLOOKUP(DBparts1[[#This Row],[Type]],Main[[#All],[TYPE]:[UNIT]],'Unit Price'!D$1,FALSE),0)</f>
        <v>CHINT</v>
      </c>
      <c r="I14" s="194">
        <f>IF(DBparts1[[#This Row],[Type]]&gt;0,VLOOKUP(DBparts1[[#This Row],[Type]],Main[[#All],[TYPE]:[UNIT]],'Unit Price'!G$1,FALSE),0)</f>
        <v>51.8</v>
      </c>
      <c r="J14" s="194">
        <f>IF(DBparts1[[#This Row],[Type]]&gt;0,VLOOKUP(DBparts1[[#This Row],[Type]],Main[[#All],[TYPE]:[UNIT]],'Unit Price'!H$1,FALSE),0)</f>
        <v>0.47155599999999998</v>
      </c>
      <c r="K14" s="194">
        <f>IF(DBparts1[[#This Row],[Type]]&gt;0,VLOOKUP(DBparts1[[#This Row],[Discount seletion]],'Discount Structure'!$A$2:$B$30,2,"false"),0)</f>
        <v>1</v>
      </c>
      <c r="L14" s="194">
        <f>DBparts1[[#This Row],[LIST $]]*DBparts1[[#This Row],[DISCOUNT]]*DBparts1[[#This Row],[DISCOUNT 2]]</f>
        <v>24.426600799999996</v>
      </c>
      <c r="O14" s="118"/>
      <c r="P14" s="41" t="s">
        <v>6274</v>
      </c>
    </row>
    <row r="15" spans="1:65">
      <c r="A15" s="39">
        <v>13</v>
      </c>
      <c r="B15" s="332"/>
      <c r="C15" s="169"/>
      <c r="D15" s="169"/>
      <c r="E15" s="181"/>
      <c r="F15" s="168" t="s">
        <v>6202</v>
      </c>
      <c r="G15" s="233">
        <f>IF(DBparts1[[#This Row],[Type]]&gt;0,VLOOKUP(DBparts1[[#This Row],[Type]],Main[[#All],[TYPE]:[UNIT]],'Unit Price'!C$1,FALSE),0)</f>
        <v>0</v>
      </c>
      <c r="H15" s="235">
        <f>IF(DBparts1[[#This Row],[Type]]&gt;0,VLOOKUP(DBparts1[[#This Row],[Type]],Main[[#All],[TYPE]:[UNIT]],'Unit Price'!D$1,FALSE),0)</f>
        <v>0</v>
      </c>
      <c r="I15" s="194">
        <f>IF(DBparts1[[#This Row],[Type]]&gt;0,VLOOKUP(DBparts1[[#This Row],[Type]],Main[[#All],[TYPE]:[UNIT]],'Unit Price'!G$1,FALSE),0)</f>
        <v>0</v>
      </c>
      <c r="J15" s="194">
        <f>IF(DBparts1[[#This Row],[Type]]&gt;0,VLOOKUP(DBparts1[[#This Row],[Type]],Main[[#All],[TYPE]:[UNIT]],'Unit Price'!H$1,FALSE),0)</f>
        <v>0</v>
      </c>
      <c r="K15" s="194">
        <f>IF(DBparts1[[#This Row],[Type]]&gt;0,VLOOKUP(DBparts1[[#This Row],[Discount seletion]],'Discount Structure'!$A$2:$B$30,2,"false"),0)</f>
        <v>0</v>
      </c>
      <c r="L15" s="194">
        <f>DBparts1[[#This Row],[LIST $]]*DBparts1[[#This Row],[DISCOUNT]]*DBparts1[[#This Row],[DISCOUNT 2]]</f>
        <v>0</v>
      </c>
      <c r="O15" s="118"/>
      <c r="P15" s="41" t="s">
        <v>6275</v>
      </c>
      <c r="S15" s="41" t="s">
        <v>6255</v>
      </c>
    </row>
    <row r="16" spans="1:65">
      <c r="A16" s="39">
        <v>14</v>
      </c>
      <c r="B16" s="164" t="s">
        <v>6187</v>
      </c>
      <c r="C16" s="165"/>
      <c r="D16" s="165"/>
      <c r="E16" s="180" t="s">
        <v>301</v>
      </c>
      <c r="F16" s="168" t="s">
        <v>6202</v>
      </c>
      <c r="G16" s="234" t="str">
        <f>IF(DBparts1[[#This Row],[Type]]&gt;0,VLOOKUP(DBparts1[[#This Row],[Type]],Main[[#All],[TYPE]:[UNIT]],'Unit Price'!C$1,FALSE),0)</f>
        <v>HRC FUSE</v>
      </c>
      <c r="H16" s="236" t="str">
        <f>IF(DBparts1[[#This Row],[Type]]&gt;0,VLOOKUP(DBparts1[[#This Row],[Type]],Main[[#All],[TYPE]:[UNIT]],'Unit Price'!D$1,FALSE),0)</f>
        <v>HAMA</v>
      </c>
      <c r="I16" s="194">
        <f>IF(DBparts1[[#This Row],[Type]]&gt;0,VLOOKUP(DBparts1[[#This Row],[Type]],Main[[#All],[TYPE]:[UNIT]],'Unit Price'!G$1,FALSE),0)</f>
        <v>6</v>
      </c>
      <c r="J16" s="194">
        <f>IF(DBparts1[[#This Row],[Type]]&gt;0,VLOOKUP(DBparts1[[#This Row],[Type]],Main[[#All],[TYPE]:[UNIT]],'Unit Price'!H$1,FALSE),0)</f>
        <v>1</v>
      </c>
      <c r="K16" s="194">
        <f>IF(DBparts1[[#This Row],[Type]]&gt;0,VLOOKUP(DBparts1[[#This Row],[Discount seletion]],'Discount Structure'!$A$2:$B$30,2,"false"),0)</f>
        <v>1</v>
      </c>
      <c r="L16" s="194">
        <f>DBparts1[[#This Row],[LIST $]]*DBparts1[[#This Row],[DISCOUNT]]*DBparts1[[#This Row],[DISCOUNT 2]]</f>
        <v>6</v>
      </c>
      <c r="O16" s="118"/>
      <c r="P16" s="41" t="s">
        <v>6276</v>
      </c>
      <c r="S16" s="41" t="s">
        <v>6253</v>
      </c>
    </row>
    <row r="17" spans="1:19">
      <c r="A17" s="39">
        <v>15</v>
      </c>
      <c r="B17" s="330" t="s">
        <v>6188</v>
      </c>
      <c r="C17" s="165"/>
      <c r="D17" s="165"/>
      <c r="E17" s="180" t="s">
        <v>304</v>
      </c>
      <c r="F17" s="168" t="s">
        <v>6202</v>
      </c>
      <c r="G17" s="233" t="str">
        <f>IF(DBparts1[[#This Row],[Type]]&gt;0,VLOOKUP(DBparts1[[#This Row],[Type]],Main[[#All],[TYPE]:[UNIT]],'Unit Price'!C$1,FALSE),0)</f>
        <v>SELECTOR SWITCH (3 Way, Ctrl)</v>
      </c>
      <c r="H17" s="235" t="str">
        <f>IF(DBparts1[[#This Row],[Type]]&gt;0,VLOOKUP(DBparts1[[#This Row],[Type]],Main[[#All],[TYPE]:[UNIT]],'Unit Price'!D$1,FALSE),0)</f>
        <v>AMICO</v>
      </c>
      <c r="I17" s="194">
        <f>IF(DBparts1[[#This Row],[Type]]&gt;0,VLOOKUP(DBparts1[[#This Row],[Type]],Main[[#All],[TYPE]:[UNIT]],'Unit Price'!G$1,FALSE),0)</f>
        <v>16</v>
      </c>
      <c r="J17" s="194">
        <f>IF(DBparts1[[#This Row],[Type]]&gt;0,VLOOKUP(DBparts1[[#This Row],[Type]],Main[[#All],[TYPE]:[UNIT]],'Unit Price'!H$1,FALSE),0)</f>
        <v>1</v>
      </c>
      <c r="K17" s="194">
        <f>IF(DBparts1[[#This Row],[Type]]&gt;0,VLOOKUP(DBparts1[[#This Row],[Discount seletion]],'Discount Structure'!$A$2:$B$30,2,"false"),0)</f>
        <v>1</v>
      </c>
      <c r="L17" s="194">
        <f>DBparts1[[#This Row],[LIST $]]*DBparts1[[#This Row],[DISCOUNT]]*DBparts1[[#This Row],[DISCOUNT 2]]</f>
        <v>16</v>
      </c>
      <c r="O17" s="118"/>
      <c r="P17" s="41" t="s">
        <v>6277</v>
      </c>
      <c r="S17" s="41" t="s">
        <v>6251</v>
      </c>
    </row>
    <row r="18" spans="1:19">
      <c r="A18" s="39">
        <v>16</v>
      </c>
      <c r="B18" s="330" t="s">
        <v>6190</v>
      </c>
      <c r="C18" s="165"/>
      <c r="D18" s="165"/>
      <c r="E18" s="180" t="s">
        <v>307</v>
      </c>
      <c r="F18" s="168" t="s">
        <v>6202</v>
      </c>
      <c r="G18" s="234" t="str">
        <f>IF(DBparts1[[#This Row],[Type]]&gt;0,VLOOKUP(DBparts1[[#This Row],[Type]],Main[[#All],[TYPE]:[UNIT]],'Unit Price'!C$1,FALSE),0)</f>
        <v>24 Hour Timer</v>
      </c>
      <c r="H18" s="236" t="str">
        <f>IF(DBparts1[[#This Row],[Type]]&gt;0,VLOOKUP(DBparts1[[#This Row],[Type]],Main[[#All],[TYPE]:[UNIT]],'Unit Price'!D$1,FALSE),0)</f>
        <v>SCHNEIDER</v>
      </c>
      <c r="I18" s="194">
        <f>IF(DBparts1[[#This Row],[Type]]&gt;0,VLOOKUP(DBparts1[[#This Row],[Type]],Main[[#All],[TYPE]:[UNIT]],'Unit Price'!G$1,FALSE),0)</f>
        <v>65</v>
      </c>
      <c r="J18" s="194">
        <f>IF(DBparts1[[#This Row],[Type]]&gt;0,VLOOKUP(DBparts1[[#This Row],[Type]],Main[[#All],[TYPE]:[UNIT]],'Unit Price'!H$1,FALSE),0)</f>
        <v>1</v>
      </c>
      <c r="K18" s="194">
        <f>IF(DBparts1[[#This Row],[Type]]&gt;0,VLOOKUP(DBparts1[[#This Row],[Discount seletion]],'Discount Structure'!$A$2:$B$30,2,"false"),0)</f>
        <v>1</v>
      </c>
      <c r="L18" s="194">
        <f>DBparts1[[#This Row],[LIST $]]*DBparts1[[#This Row],[DISCOUNT]]*DBparts1[[#This Row],[DISCOUNT 2]]</f>
        <v>65</v>
      </c>
      <c r="O18" s="118"/>
      <c r="P18" s="41" t="s">
        <v>1685</v>
      </c>
      <c r="S18" s="41" t="s">
        <v>1686</v>
      </c>
    </row>
    <row r="19" spans="1:19">
      <c r="A19" s="39">
        <v>17</v>
      </c>
      <c r="B19" s="164" t="s">
        <v>7821</v>
      </c>
      <c r="C19" s="165"/>
      <c r="D19" s="165"/>
      <c r="E19" s="180" t="s">
        <v>2699</v>
      </c>
      <c r="F19" s="168" t="s">
        <v>6202</v>
      </c>
      <c r="G19" s="233" t="str">
        <f>IF(DBparts1[[#This Row],[Type]]&gt;0,VLOOKUP(DBparts1[[#This Row],[Type]],Main[[#All],[TYPE]:[UNIT]],'Unit Price'!C$1,FALSE),0)</f>
        <v>12A 3P CONTACTOR</v>
      </c>
      <c r="H19" s="235" t="str">
        <f>IF(DBparts1[[#This Row],[Type]]&gt;0,VLOOKUP(DBparts1[[#This Row],[Type]],Main[[#All],[TYPE]:[UNIT]],'Unit Price'!D$1,FALSE),0)</f>
        <v>LS</v>
      </c>
      <c r="I19" s="194">
        <f>IF(DBparts1[[#This Row],[Type]]&gt;0,VLOOKUP(DBparts1[[#This Row],[Type]],Main[[#All],[TYPE]:[UNIT]],'Unit Price'!G$1,FALSE),0)</f>
        <v>106.05000000000001</v>
      </c>
      <c r="J19" s="194">
        <f>IF(DBparts1[[#This Row],[Type]]&gt;0,VLOOKUP(DBparts1[[#This Row],[Type]],Main[[#All],[TYPE]:[UNIT]],'Unit Price'!H$1,FALSE),0)</f>
        <v>0.40500000000000003</v>
      </c>
      <c r="K19" s="194">
        <f>IF(DBparts1[[#This Row],[Type]]&gt;0,VLOOKUP(DBparts1[[#This Row],[Discount seletion]],'Discount Structure'!$A$2:$B$30,2,"false"),0)</f>
        <v>1</v>
      </c>
      <c r="L19" s="194">
        <f>DBparts1[[#This Row],[LIST $]]*DBparts1[[#This Row],[DISCOUNT]]*DBparts1[[#This Row],[DISCOUNT 2]]</f>
        <v>42.950250000000004</v>
      </c>
      <c r="O19" s="118"/>
      <c r="P19" s="41" t="s">
        <v>6278</v>
      </c>
      <c r="S19" s="41" t="s">
        <v>1531</v>
      </c>
    </row>
    <row r="20" spans="1:19">
      <c r="A20" s="39">
        <v>18</v>
      </c>
      <c r="B20" s="164" t="s">
        <v>6193</v>
      </c>
      <c r="C20" s="165"/>
      <c r="D20" s="165"/>
      <c r="E20" s="180" t="s">
        <v>311</v>
      </c>
      <c r="F20" s="168" t="s">
        <v>6202</v>
      </c>
      <c r="G20" s="234" t="str">
        <f>IF(DBparts1[[#This Row],[Type]]&gt;0,VLOOKUP(DBparts1[[#This Row],[Type]],Main[[#All],[TYPE]:[UNIT]],'Unit Price'!C$1,FALSE),0)</f>
        <v>CONTROL CABLE</v>
      </c>
      <c r="H20" s="236" t="str">
        <f>IF(DBparts1[[#This Row],[Type]]&gt;0,VLOOKUP(DBparts1[[#This Row],[Type]],Main[[#All],[TYPE]:[UNIT]],'Unit Price'!D$1,FALSE),0)</f>
        <v>UC</v>
      </c>
      <c r="I20" s="194">
        <f>IF(DBparts1[[#This Row],[Type]]&gt;0,VLOOKUP(DBparts1[[#This Row],[Type]],Main[[#All],[TYPE]:[UNIT]],'Unit Price'!G$1,FALSE),0)</f>
        <v>1</v>
      </c>
      <c r="J20" s="194">
        <f>IF(DBparts1[[#This Row],[Type]]&gt;0,VLOOKUP(DBparts1[[#This Row],[Type]],Main[[#All],[TYPE]:[UNIT]],'Unit Price'!H$1,FALSE),0)</f>
        <v>1</v>
      </c>
      <c r="K20" s="194">
        <f>IF(DBparts1[[#This Row],[Type]]&gt;0,VLOOKUP(DBparts1[[#This Row],[Discount seletion]],'Discount Structure'!$A$2:$B$30,2,"false"),0)</f>
        <v>1</v>
      </c>
      <c r="L20" s="194">
        <f>DBparts1[[#This Row],[LIST $]]*DBparts1[[#This Row],[DISCOUNT]]*DBparts1[[#This Row],[DISCOUNT 2]]</f>
        <v>1</v>
      </c>
      <c r="O20" s="118"/>
      <c r="P20" s="41" t="s">
        <v>3054</v>
      </c>
      <c r="S20" s="41" t="s">
        <v>1529</v>
      </c>
    </row>
    <row r="21" spans="1:19">
      <c r="A21" s="39">
        <v>19</v>
      </c>
      <c r="B21" s="164"/>
      <c r="C21" s="165"/>
      <c r="D21" s="165"/>
      <c r="E21" s="180"/>
      <c r="F21" s="168" t="s">
        <v>6202</v>
      </c>
      <c r="G21" s="233">
        <f>IF(DBparts1[[#This Row],[Type]]&gt;0,VLOOKUP(DBparts1[[#This Row],[Type]],Main[[#All],[TYPE]:[UNIT]],'Unit Price'!C$1,FALSE),0)</f>
        <v>0</v>
      </c>
      <c r="H21" s="235">
        <f>IF(DBparts1[[#This Row],[Type]]&gt;0,VLOOKUP(DBparts1[[#This Row],[Type]],Main[[#All],[TYPE]:[UNIT]],'Unit Price'!D$1,FALSE),0)</f>
        <v>0</v>
      </c>
      <c r="I21" s="194">
        <f>IF(DBparts1[[#This Row],[Type]]&gt;0,VLOOKUP(DBparts1[[#This Row],[Type]],Main[[#All],[TYPE]:[UNIT]],'Unit Price'!G$1,FALSE),0)</f>
        <v>0</v>
      </c>
      <c r="J21" s="194">
        <f>IF(DBparts1[[#This Row],[Type]]&gt;0,VLOOKUP(DBparts1[[#This Row],[Type]],Main[[#All],[TYPE]:[UNIT]],'Unit Price'!H$1,FALSE),0)</f>
        <v>0</v>
      </c>
      <c r="K21" s="194">
        <f>IF(DBparts1[[#This Row],[Type]]&gt;0,VLOOKUP(DBparts1[[#This Row],[Discount seletion]],'Discount Structure'!$A$2:$B$30,2,"false"),0)</f>
        <v>0</v>
      </c>
      <c r="L21" s="194">
        <f>DBparts1[[#This Row],[LIST $]]*DBparts1[[#This Row],[DISCOUNT]]*DBparts1[[#This Row],[DISCOUNT 2]]</f>
        <v>0</v>
      </c>
      <c r="O21" s="118"/>
      <c r="P21" s="41" t="s">
        <v>1543</v>
      </c>
      <c r="S21" s="41" t="s">
        <v>1544</v>
      </c>
    </row>
    <row r="22" spans="1:19" ht="45">
      <c r="A22" s="39">
        <v>20</v>
      </c>
      <c r="B22" s="164" t="s">
        <v>6284</v>
      </c>
      <c r="C22" s="165" t="s">
        <v>6285</v>
      </c>
      <c r="D22" s="165" t="s">
        <v>50</v>
      </c>
      <c r="E22" s="180" t="s">
        <v>5798</v>
      </c>
      <c r="F22" s="168" t="s">
        <v>6202</v>
      </c>
      <c r="G22" s="234" t="str">
        <f>IF(DBparts1[[#This Row],[Type]]&gt;0,VLOOKUP(DBparts1[[#This Row],[Type]],Main[[#All],[TYPE]:[UNIT]],'Unit Price'!C$1,FALSE),0)</f>
        <v>DB, MCCB incoming,
2R 8W
400x400x150</v>
      </c>
      <c r="H22" s="236" t="str">
        <f>IF(DBparts1[[#This Row],[Type]]&gt;0,VLOOKUP(DBparts1[[#This Row],[Type]],Main[[#All],[TYPE]:[UNIT]],'Unit Price'!D$1,FALSE),0)</f>
        <v>TK</v>
      </c>
      <c r="I22" s="194">
        <f>IF(DBparts1[[#This Row],[Type]]&gt;0,VLOOKUP(DBparts1[[#This Row],[Type]],Main[[#All],[TYPE]:[UNIT]],'Unit Price'!G$1,FALSE),0)</f>
        <v>202</v>
      </c>
      <c r="J22" s="194">
        <f>IF(DBparts1[[#This Row],[Type]]&gt;0,VLOOKUP(DBparts1[[#This Row],[Type]],Main[[#All],[TYPE]:[UNIT]],'Unit Price'!H$1,FALSE),0)</f>
        <v>1</v>
      </c>
      <c r="K22" s="194">
        <f>IF(DBparts1[[#This Row],[Type]]&gt;0,VLOOKUP(DBparts1[[#This Row],[Discount seletion]],'Discount Structure'!$A$2:$B$30,2,"false"),0)</f>
        <v>1</v>
      </c>
      <c r="L22" s="194">
        <f>DBparts1[[#This Row],[LIST $]]*DBparts1[[#This Row],[DISCOUNT]]*DBparts1[[#This Row],[DISCOUNT 2]]</f>
        <v>202</v>
      </c>
      <c r="O22" s="118"/>
      <c r="P22" s="41" t="s">
        <v>343</v>
      </c>
      <c r="S22" s="41" t="s">
        <v>344</v>
      </c>
    </row>
    <row r="23" spans="1:19" ht="45">
      <c r="A23" s="39">
        <v>21</v>
      </c>
      <c r="B23" s="274" t="s">
        <v>6288</v>
      </c>
      <c r="C23" s="169" t="s">
        <v>6289</v>
      </c>
      <c r="D23" s="169" t="s">
        <v>50</v>
      </c>
      <c r="E23" s="180" t="s">
        <v>5799</v>
      </c>
      <c r="F23" s="168" t="s">
        <v>6202</v>
      </c>
      <c r="G23" s="233" t="str">
        <f>IF(DBparts1[[#This Row],[Type]]&gt;0,VLOOKUP(DBparts1[[#This Row],[Type]],Main[[#All],[TYPE]:[UNIT]],'Unit Price'!C$1,FALSE),0)</f>
        <v>DB, MCCB incoming,
3R 2x16W+1x8W
650x400x150</v>
      </c>
      <c r="H23" s="235" t="str">
        <f>IF(DBparts1[[#This Row],[Type]]&gt;0,VLOOKUP(DBparts1[[#This Row],[Type]],Main[[#All],[TYPE]:[UNIT]],'Unit Price'!D$1,FALSE),0)</f>
        <v>TK</v>
      </c>
      <c r="I23" s="194">
        <f>IF(DBparts1[[#This Row],[Type]]&gt;0,VLOOKUP(DBparts1[[#This Row],[Type]],Main[[#All],[TYPE]:[UNIT]],'Unit Price'!G$1,FALSE),0)</f>
        <v>289</v>
      </c>
      <c r="J23" s="194">
        <f>IF(DBparts1[[#This Row],[Type]]&gt;0,VLOOKUP(DBparts1[[#This Row],[Type]],Main[[#All],[TYPE]:[UNIT]],'Unit Price'!H$1,FALSE),0)</f>
        <v>1</v>
      </c>
      <c r="K23" s="194">
        <f>IF(DBparts1[[#This Row],[Type]]&gt;0,VLOOKUP(DBparts1[[#This Row],[Discount seletion]],'Discount Structure'!$A$2:$B$30,2,"false"),0)</f>
        <v>1</v>
      </c>
      <c r="L23" s="194">
        <f>DBparts1[[#This Row],[LIST $]]*DBparts1[[#This Row],[DISCOUNT]]*DBparts1[[#This Row],[DISCOUNT 2]]</f>
        <v>289</v>
      </c>
      <c r="O23" s="118"/>
      <c r="P23" s="41" t="s">
        <v>1545</v>
      </c>
      <c r="S23" s="41" t="s">
        <v>1546</v>
      </c>
    </row>
    <row r="24" spans="1:19" ht="45">
      <c r="A24" s="39">
        <v>22</v>
      </c>
      <c r="B24" s="274" t="s">
        <v>6292</v>
      </c>
      <c r="C24" s="169" t="s">
        <v>6293</v>
      </c>
      <c r="D24" s="169" t="s">
        <v>50</v>
      </c>
      <c r="E24" s="180" t="s">
        <v>5812</v>
      </c>
      <c r="F24" s="168" t="s">
        <v>6202</v>
      </c>
      <c r="G24" s="234" t="str">
        <f>IF(DBparts1[[#This Row],[Type]]&gt;0,VLOOKUP(DBparts1[[#This Row],[Type]],Main[[#All],[TYPE]:[UNIT]],'Unit Price'!C$1,FALSE),0)</f>
        <v>DB, MCCB incoming,
4R 3x16W+1x8W
850x400x150</v>
      </c>
      <c r="H24" s="236" t="str">
        <f>IF(DBparts1[[#This Row],[Type]]&gt;0,VLOOKUP(DBparts1[[#This Row],[Type]],Main[[#All],[TYPE]:[UNIT]],'Unit Price'!D$1,FALSE),0)</f>
        <v>TK</v>
      </c>
      <c r="I24" s="194">
        <f>IF(DBparts1[[#This Row],[Type]]&gt;0,VLOOKUP(DBparts1[[#This Row],[Type]],Main[[#All],[TYPE]:[UNIT]],'Unit Price'!G$1,FALSE),0)</f>
        <v>358</v>
      </c>
      <c r="J24" s="194">
        <f>IF(DBparts1[[#This Row],[Type]]&gt;0,VLOOKUP(DBparts1[[#This Row],[Type]],Main[[#All],[TYPE]:[UNIT]],'Unit Price'!H$1,FALSE),0)</f>
        <v>1</v>
      </c>
      <c r="K24" s="194">
        <f>IF(DBparts1[[#This Row],[Type]]&gt;0,VLOOKUP(DBparts1[[#This Row],[Discount seletion]],'Discount Structure'!$A$2:$B$30,2,"false"),0)</f>
        <v>1</v>
      </c>
      <c r="L24" s="194">
        <f>DBparts1[[#This Row],[LIST $]]*DBparts1[[#This Row],[DISCOUNT]]*DBparts1[[#This Row],[DISCOUNT 2]]</f>
        <v>358</v>
      </c>
      <c r="O24" s="118"/>
      <c r="P24" s="41" t="s">
        <v>6172</v>
      </c>
      <c r="S24" s="41" t="s">
        <v>1733</v>
      </c>
    </row>
    <row r="25" spans="1:19" ht="45">
      <c r="A25" s="39">
        <v>23</v>
      </c>
      <c r="B25" s="282" t="s">
        <v>6294</v>
      </c>
      <c r="C25" s="169" t="s">
        <v>6295</v>
      </c>
      <c r="D25" s="169" t="s">
        <v>50</v>
      </c>
      <c r="E25" s="180" t="s">
        <v>5814</v>
      </c>
      <c r="F25" s="168" t="s">
        <v>6202</v>
      </c>
      <c r="G25" s="233" t="str">
        <f>IF(DBparts1[[#This Row],[Type]]&gt;0,VLOOKUP(DBparts1[[#This Row],[Type]],Main[[#All],[TYPE]:[UNIT]],'Unit Price'!C$1,FALSE),0)</f>
        <v>DB, MCCB incoming,
4R 3x20W+1x12W
850x500x150</v>
      </c>
      <c r="H25" s="235" t="str">
        <f>IF(DBparts1[[#This Row],[Type]]&gt;0,VLOOKUP(DBparts1[[#This Row],[Type]],Main[[#All],[TYPE]:[UNIT]],'Unit Price'!D$1,FALSE),0)</f>
        <v>TK</v>
      </c>
      <c r="I25" s="194">
        <f>IF(DBparts1[[#This Row],[Type]]&gt;0,VLOOKUP(DBparts1[[#This Row],[Type]],Main[[#All],[TYPE]:[UNIT]],'Unit Price'!G$1,FALSE),0)</f>
        <v>424</v>
      </c>
      <c r="J25" s="194">
        <f>IF(DBparts1[[#This Row],[Type]]&gt;0,VLOOKUP(DBparts1[[#This Row],[Type]],Main[[#All],[TYPE]:[UNIT]],'Unit Price'!H$1,FALSE),0)</f>
        <v>1</v>
      </c>
      <c r="K25" s="194">
        <f>IF(DBparts1[[#This Row],[Type]]&gt;0,VLOOKUP(DBparts1[[#This Row],[Discount seletion]],'Discount Structure'!$A$2:$B$30,2,"false"),0)</f>
        <v>1</v>
      </c>
      <c r="L25" s="194">
        <f>DBparts1[[#This Row],[LIST $]]*DBparts1[[#This Row],[DISCOUNT]]*DBparts1[[#This Row],[DISCOUNT 2]]</f>
        <v>424</v>
      </c>
      <c r="O25" s="118"/>
    </row>
    <row r="26" spans="1:19">
      <c r="A26" s="39">
        <v>24</v>
      </c>
      <c r="B26" s="164"/>
      <c r="C26" s="165"/>
      <c r="D26" s="165"/>
      <c r="E26" s="180"/>
      <c r="F26" s="168" t="s">
        <v>6202</v>
      </c>
      <c r="G26" s="234">
        <f>IF(DBparts1[[#This Row],[Type]]&gt;0,VLOOKUP(DBparts1[[#This Row],[Type]],Main[[#All],[TYPE]:[UNIT]],'Unit Price'!C$1,FALSE),0)</f>
        <v>0</v>
      </c>
      <c r="H26" s="236">
        <f>IF(DBparts1[[#This Row],[Type]]&gt;0,VLOOKUP(DBparts1[[#This Row],[Type]],Main[[#All],[TYPE]:[UNIT]],'Unit Price'!D$1,FALSE),0)</f>
        <v>0</v>
      </c>
      <c r="I26" s="194">
        <f>IF(DBparts1[[#This Row],[Type]]&gt;0,VLOOKUP(DBparts1[[#This Row],[Type]],Main[[#All],[TYPE]:[UNIT]],'Unit Price'!G$1,FALSE),0)</f>
        <v>0</v>
      </c>
      <c r="J26" s="194">
        <f>IF(DBparts1[[#This Row],[Type]]&gt;0,VLOOKUP(DBparts1[[#This Row],[Type]],Main[[#All],[TYPE]:[UNIT]],'Unit Price'!H$1,FALSE),0)</f>
        <v>0</v>
      </c>
      <c r="K26" s="194">
        <f>IF(DBparts1[[#This Row],[Type]]&gt;0,VLOOKUP(DBparts1[[#This Row],[Discount seletion]],'Discount Structure'!$A$2:$B$30,2,"false"),0)</f>
        <v>0</v>
      </c>
      <c r="L26" s="194">
        <f>DBparts1[[#This Row],[LIST $]]*DBparts1[[#This Row],[DISCOUNT]]*DBparts1[[#This Row],[DISCOUNT 2]]</f>
        <v>0</v>
      </c>
      <c r="O26" s="118"/>
      <c r="P26" s="41" t="s">
        <v>5839</v>
      </c>
    </row>
    <row r="27" spans="1:19">
      <c r="A27" s="39">
        <v>25</v>
      </c>
      <c r="B27" s="164"/>
      <c r="C27" s="165"/>
      <c r="D27" s="165"/>
      <c r="E27" s="181"/>
      <c r="F27" s="168" t="s">
        <v>6202</v>
      </c>
      <c r="G27" s="233">
        <f>IF(DBparts1[[#This Row],[Type]]&gt;0,VLOOKUP(DBparts1[[#This Row],[Type]],Main[[#All],[TYPE]:[UNIT]],'Unit Price'!C$1,FALSE),0)</f>
        <v>0</v>
      </c>
      <c r="H27" s="235">
        <f>IF(DBparts1[[#This Row],[Type]]&gt;0,VLOOKUP(DBparts1[[#This Row],[Type]],Main[[#All],[TYPE]:[UNIT]],'Unit Price'!D$1,FALSE),0)</f>
        <v>0</v>
      </c>
      <c r="I27" s="194">
        <f>IF(DBparts1[[#This Row],[Type]]&gt;0,VLOOKUP(DBparts1[[#This Row],[Type]],Main[[#All],[TYPE]:[UNIT]],'Unit Price'!G$1,FALSE),0)</f>
        <v>0</v>
      </c>
      <c r="J27" s="194">
        <f>IF(DBparts1[[#This Row],[Type]]&gt;0,VLOOKUP(DBparts1[[#This Row],[Type]],Main[[#All],[TYPE]:[UNIT]],'Unit Price'!H$1,FALSE),0)</f>
        <v>0</v>
      </c>
      <c r="K27" s="194">
        <f>IF(DBparts1[[#This Row],[Type]]&gt;0,VLOOKUP(DBparts1[[#This Row],[Discount seletion]],'Discount Structure'!$A$2:$B$30,2,"false"),0)</f>
        <v>0</v>
      </c>
      <c r="L27" s="194">
        <f>DBparts1[[#This Row],[LIST $]]*DBparts1[[#This Row],[DISCOUNT]]*DBparts1[[#This Row],[DISCOUNT 2]]</f>
        <v>0</v>
      </c>
      <c r="O27" s="118"/>
      <c r="P27" s="41" t="s">
        <v>5840</v>
      </c>
      <c r="S27" s="41" t="s">
        <v>342</v>
      </c>
    </row>
    <row r="28" spans="1:19">
      <c r="A28" s="39">
        <v>26</v>
      </c>
      <c r="B28" s="164"/>
      <c r="C28" s="165"/>
      <c r="D28" s="165"/>
      <c r="E28" s="181"/>
      <c r="F28" s="168" t="s">
        <v>6202</v>
      </c>
      <c r="G28" s="234">
        <f>IF(DBparts1[[#This Row],[Type]]&gt;0,VLOOKUP(DBparts1[[#This Row],[Type]],Main[[#All],[TYPE]:[UNIT]],'Unit Price'!C$1,FALSE),0)</f>
        <v>0</v>
      </c>
      <c r="H28" s="236">
        <f>IF(DBparts1[[#This Row],[Type]]&gt;0,VLOOKUP(DBparts1[[#This Row],[Type]],Main[[#All],[TYPE]:[UNIT]],'Unit Price'!D$1,FALSE),0)</f>
        <v>0</v>
      </c>
      <c r="I28" s="194">
        <f>IF(DBparts1[[#This Row],[Type]]&gt;0,VLOOKUP(DBparts1[[#This Row],[Type]],Main[[#All],[TYPE]:[UNIT]],'Unit Price'!G$1,FALSE),0)</f>
        <v>0</v>
      </c>
      <c r="J28" s="194">
        <f>IF(DBparts1[[#This Row],[Type]]&gt;0,VLOOKUP(DBparts1[[#This Row],[Type]],Main[[#All],[TYPE]:[UNIT]],'Unit Price'!H$1,FALSE),0)</f>
        <v>0</v>
      </c>
      <c r="K28" s="194">
        <f>IF(DBparts1[[#This Row],[Type]]&gt;0,VLOOKUP(DBparts1[[#This Row],[Discount seletion]],'Discount Structure'!$A$2:$B$30,2,"false"),0)</f>
        <v>0</v>
      </c>
      <c r="L28" s="194">
        <f>DBparts1[[#This Row],[LIST $]]*DBparts1[[#This Row],[DISCOUNT]]*DBparts1[[#This Row],[DISCOUNT 2]]</f>
        <v>0</v>
      </c>
      <c r="O28" s="118"/>
      <c r="P28" s="41" t="s">
        <v>5816</v>
      </c>
      <c r="S28" s="41" t="s">
        <v>317</v>
      </c>
    </row>
    <row r="29" spans="1:19">
      <c r="A29" s="39">
        <v>27</v>
      </c>
      <c r="B29" s="164"/>
      <c r="C29" s="165"/>
      <c r="D29" s="165"/>
      <c r="E29" s="180"/>
      <c r="F29" s="168" t="s">
        <v>6202</v>
      </c>
      <c r="G29" s="233">
        <f>IF(DBparts1[[#This Row],[Type]]&gt;0,VLOOKUP(DBparts1[[#This Row],[Type]],Main[[#All],[TYPE]:[UNIT]],'Unit Price'!C$1,FALSE),0)</f>
        <v>0</v>
      </c>
      <c r="H29" s="235">
        <f>IF(DBparts1[[#This Row],[Type]]&gt;0,VLOOKUP(DBparts1[[#This Row],[Type]],Main[[#All],[TYPE]:[UNIT]],'Unit Price'!D$1,FALSE),0)</f>
        <v>0</v>
      </c>
      <c r="I29" s="194">
        <f>IF(DBparts1[[#This Row],[Type]]&gt;0,VLOOKUP(DBparts1[[#This Row],[Type]],Main[[#All],[TYPE]:[UNIT]],'Unit Price'!G$1,FALSE),0)</f>
        <v>0</v>
      </c>
      <c r="J29" s="194">
        <f>IF(DBparts1[[#This Row],[Type]]&gt;0,VLOOKUP(DBparts1[[#This Row],[Type]],Main[[#All],[TYPE]:[UNIT]],'Unit Price'!H$1,FALSE),0)</f>
        <v>0</v>
      </c>
      <c r="K29" s="194">
        <f>IF(DBparts1[[#This Row],[Type]]&gt;0,VLOOKUP(DBparts1[[#This Row],[Discount seletion]],'Discount Structure'!$A$2:$B$30,2,"false"),0)</f>
        <v>0</v>
      </c>
      <c r="L29" s="194">
        <f>DBparts1[[#This Row],[LIST $]]*DBparts1[[#This Row],[DISCOUNT]]*DBparts1[[#This Row],[DISCOUNT 2]]</f>
        <v>0</v>
      </c>
      <c r="O29" s="118"/>
      <c r="P29" s="41" t="s">
        <v>5817</v>
      </c>
      <c r="S29" s="41" t="s">
        <v>299</v>
      </c>
    </row>
    <row r="30" spans="1:19">
      <c r="A30" s="39">
        <v>28</v>
      </c>
      <c r="B30" s="164"/>
      <c r="C30" s="165"/>
      <c r="D30" s="165"/>
      <c r="E30" s="180"/>
      <c r="F30" s="168" t="s">
        <v>6202</v>
      </c>
      <c r="G30" s="234">
        <f>IF(DBparts1[[#This Row],[Type]]&gt;0,VLOOKUP(DBparts1[[#This Row],[Type]],Main[[#All],[TYPE]:[UNIT]],'Unit Price'!C$1,FALSE),0)</f>
        <v>0</v>
      </c>
      <c r="H30" s="236">
        <f>IF(DBparts1[[#This Row],[Type]]&gt;0,VLOOKUP(DBparts1[[#This Row],[Type]],Main[[#All],[TYPE]:[UNIT]],'Unit Price'!D$1,FALSE),0)</f>
        <v>0</v>
      </c>
      <c r="I30" s="194">
        <f>IF(DBparts1[[#This Row],[Type]]&gt;0,VLOOKUP(DBparts1[[#This Row],[Type]],Main[[#All],[TYPE]:[UNIT]],'Unit Price'!G$1,FALSE),0)</f>
        <v>0</v>
      </c>
      <c r="J30" s="194">
        <f>IF(DBparts1[[#This Row],[Type]]&gt;0,VLOOKUP(DBparts1[[#This Row],[Type]],Main[[#All],[TYPE]:[UNIT]],'Unit Price'!H$1,FALSE),0)</f>
        <v>0</v>
      </c>
      <c r="K30" s="194">
        <f>IF(DBparts1[[#This Row],[Type]]&gt;0,VLOOKUP(DBparts1[[#This Row],[Discount seletion]],'Discount Structure'!$A$2:$B$30,2,"false"),0)</f>
        <v>0</v>
      </c>
      <c r="L30" s="194">
        <f>DBparts1[[#This Row],[LIST $]]*DBparts1[[#This Row],[DISCOUNT]]*DBparts1[[#This Row],[DISCOUNT 2]]</f>
        <v>0</v>
      </c>
      <c r="O30" s="118"/>
    </row>
    <row r="31" spans="1:19">
      <c r="A31" s="39">
        <v>29</v>
      </c>
      <c r="B31" s="164"/>
      <c r="C31" s="165"/>
      <c r="D31" s="165"/>
      <c r="E31" s="181"/>
      <c r="F31" s="168" t="s">
        <v>6202</v>
      </c>
      <c r="G31" s="233">
        <f>IF(DBparts1[[#This Row],[Type]]&gt;0,VLOOKUP(DBparts1[[#This Row],[Type]],Main[[#All],[TYPE]:[UNIT]],'Unit Price'!C$1,FALSE),0)</f>
        <v>0</v>
      </c>
      <c r="H31" s="235">
        <f>IF(DBparts1[[#This Row],[Type]]&gt;0,VLOOKUP(DBparts1[[#This Row],[Type]],Main[[#All],[TYPE]:[UNIT]],'Unit Price'!D$1,FALSE),0)</f>
        <v>0</v>
      </c>
      <c r="I31" s="194">
        <f>IF(DBparts1[[#This Row],[Type]]&gt;0,VLOOKUP(DBparts1[[#This Row],[Type]],Main[[#All],[TYPE]:[UNIT]],'Unit Price'!G$1,FALSE),0)</f>
        <v>0</v>
      </c>
      <c r="J31" s="194">
        <f>IF(DBparts1[[#This Row],[Type]]&gt;0,VLOOKUP(DBparts1[[#This Row],[Type]],Main[[#All],[TYPE]:[UNIT]],'Unit Price'!H$1,FALSE),0)</f>
        <v>0</v>
      </c>
      <c r="K31" s="194">
        <f>IF(DBparts1[[#This Row],[Type]]&gt;0,VLOOKUP(DBparts1[[#This Row],[Discount seletion]],'Discount Structure'!$A$2:$B$30,2,"false"),0)</f>
        <v>0</v>
      </c>
      <c r="L31" s="194">
        <f>DBparts1[[#This Row],[LIST $]]*DBparts1[[#This Row],[DISCOUNT]]*DBparts1[[#This Row],[DISCOUNT 2]]</f>
        <v>0</v>
      </c>
      <c r="O31" s="118"/>
      <c r="P31" s="41" t="s">
        <v>6173</v>
      </c>
    </row>
    <row r="32" spans="1:19">
      <c r="A32" s="39">
        <v>30</v>
      </c>
      <c r="B32" s="164"/>
      <c r="C32" s="165"/>
      <c r="D32" s="165"/>
      <c r="E32" s="181"/>
      <c r="F32" s="168" t="s">
        <v>6202</v>
      </c>
      <c r="G32" s="234">
        <f>IF(DBparts1[[#This Row],[Type]]&gt;0,VLOOKUP(DBparts1[[#This Row],[Type]],Main[[#All],[TYPE]:[UNIT]],'Unit Price'!C$1,FALSE),0)</f>
        <v>0</v>
      </c>
      <c r="H32" s="236">
        <f>IF(DBparts1[[#This Row],[Type]]&gt;0,VLOOKUP(DBparts1[[#This Row],[Type]],Main[[#All],[TYPE]:[UNIT]],'Unit Price'!D$1,FALSE),0)</f>
        <v>0</v>
      </c>
      <c r="I32" s="194">
        <f>IF(DBparts1[[#This Row],[Type]]&gt;0,VLOOKUP(DBparts1[[#This Row],[Type]],Main[[#All],[TYPE]:[UNIT]],'Unit Price'!G$1,FALSE),0)</f>
        <v>0</v>
      </c>
      <c r="J32" s="194">
        <f>IF(DBparts1[[#This Row],[Type]]&gt;0,VLOOKUP(DBparts1[[#This Row],[Type]],Main[[#All],[TYPE]:[UNIT]],'Unit Price'!H$1,FALSE),0)</f>
        <v>0</v>
      </c>
      <c r="K32" s="194">
        <f>IF(DBparts1[[#This Row],[Type]]&gt;0,VLOOKUP(DBparts1[[#This Row],[Discount seletion]],'Discount Structure'!$A$2:$B$30,2,"false"),0)</f>
        <v>0</v>
      </c>
      <c r="L32" s="194">
        <f>DBparts1[[#This Row],[LIST $]]*DBparts1[[#This Row],[DISCOUNT]]*DBparts1[[#This Row],[DISCOUNT 2]]</f>
        <v>0</v>
      </c>
      <c r="O32" s="118"/>
      <c r="P32" s="41" t="s">
        <v>3097</v>
      </c>
      <c r="S32" s="41" t="s">
        <v>1549</v>
      </c>
    </row>
    <row r="33" spans="1:19">
      <c r="A33" s="39">
        <v>31</v>
      </c>
      <c r="B33" s="164"/>
      <c r="C33" s="165"/>
      <c r="D33" s="165"/>
      <c r="E33" s="180"/>
      <c r="F33" s="168" t="s">
        <v>6202</v>
      </c>
      <c r="G33" s="233">
        <f>IF(DBparts1[[#This Row],[Type]]&gt;0,VLOOKUP(DBparts1[[#This Row],[Type]],Main[[#All],[TYPE]:[UNIT]],'Unit Price'!C$1,FALSE),0)</f>
        <v>0</v>
      </c>
      <c r="H33" s="235">
        <f>IF(DBparts1[[#This Row],[Type]]&gt;0,VLOOKUP(DBparts1[[#This Row],[Type]],Main[[#All],[TYPE]:[UNIT]],'Unit Price'!D$1,FALSE),0)</f>
        <v>0</v>
      </c>
      <c r="I33" s="194">
        <f>IF(DBparts1[[#This Row],[Type]]&gt;0,VLOOKUP(DBparts1[[#This Row],[Type]],Main[[#All],[TYPE]:[UNIT]],'Unit Price'!G$1,FALSE),0)</f>
        <v>0</v>
      </c>
      <c r="J33" s="194">
        <f>IF(DBparts1[[#This Row],[Type]]&gt;0,VLOOKUP(DBparts1[[#This Row],[Type]],Main[[#All],[TYPE]:[UNIT]],'Unit Price'!H$1,FALSE),0)</f>
        <v>0</v>
      </c>
      <c r="K33" s="194">
        <f>IF(DBparts1[[#This Row],[Type]]&gt;0,VLOOKUP(DBparts1[[#This Row],[Discount seletion]],'Discount Structure'!$A$2:$B$30,2,"false"),0)</f>
        <v>0</v>
      </c>
      <c r="L33" s="194">
        <f>DBparts1[[#This Row],[LIST $]]*DBparts1[[#This Row],[DISCOUNT]]*DBparts1[[#This Row],[DISCOUNT 2]]</f>
        <v>0</v>
      </c>
      <c r="O33" s="118"/>
      <c r="P33" s="41" t="s">
        <v>3099</v>
      </c>
      <c r="S33" s="41" t="s">
        <v>1547</v>
      </c>
    </row>
    <row r="34" spans="1:19">
      <c r="A34" s="39">
        <v>32</v>
      </c>
      <c r="B34" s="164"/>
      <c r="C34" s="165"/>
      <c r="D34" s="165"/>
      <c r="E34" s="180"/>
      <c r="F34" s="168" t="s">
        <v>6202</v>
      </c>
      <c r="G34" s="234">
        <f>IF(DBparts1[[#This Row],[Type]]&gt;0,VLOOKUP(DBparts1[[#This Row],[Type]],Main[[#All],[TYPE]:[UNIT]],'Unit Price'!C$1,FALSE),0)</f>
        <v>0</v>
      </c>
      <c r="H34" s="236">
        <f>IF(DBparts1[[#This Row],[Type]]&gt;0,VLOOKUP(DBparts1[[#This Row],[Type]],Main[[#All],[TYPE]:[UNIT]],'Unit Price'!D$1,FALSE),0)</f>
        <v>0</v>
      </c>
      <c r="I34" s="194">
        <f>IF(DBparts1[[#This Row],[Type]]&gt;0,VLOOKUP(DBparts1[[#This Row],[Type]],Main[[#All],[TYPE]:[UNIT]],'Unit Price'!G$1,FALSE),0)</f>
        <v>0</v>
      </c>
      <c r="J34" s="194">
        <f>IF(DBparts1[[#This Row],[Type]]&gt;0,VLOOKUP(DBparts1[[#This Row],[Type]],Main[[#All],[TYPE]:[UNIT]],'Unit Price'!H$1,FALSE),0)</f>
        <v>0</v>
      </c>
      <c r="K34" s="194">
        <f>IF(DBparts1[[#This Row],[Type]]&gt;0,VLOOKUP(DBparts1[[#This Row],[Discount seletion]],'Discount Structure'!$A$2:$B$30,2,"false"),0)</f>
        <v>0</v>
      </c>
      <c r="L34" s="194">
        <f>DBparts1[[#This Row],[LIST $]]*DBparts1[[#This Row],[DISCOUNT]]*DBparts1[[#This Row],[DISCOUNT 2]]</f>
        <v>0</v>
      </c>
      <c r="O34" s="118"/>
      <c r="P34" s="41" t="s">
        <v>3109</v>
      </c>
      <c r="S34" s="41" t="s">
        <v>1557</v>
      </c>
    </row>
    <row r="35" spans="1:19">
      <c r="A35" s="39">
        <v>33</v>
      </c>
      <c r="B35" s="164"/>
      <c r="C35" s="165"/>
      <c r="D35" s="165"/>
      <c r="E35" s="180"/>
      <c r="F35" s="168" t="s">
        <v>6202</v>
      </c>
      <c r="G35" s="233">
        <f>IF(DBparts1[[#This Row],[Type]]&gt;0,VLOOKUP(DBparts1[[#This Row],[Type]],Main[[#All],[TYPE]:[UNIT]],'Unit Price'!C$1,FALSE),0)</f>
        <v>0</v>
      </c>
      <c r="H35" s="235">
        <f>IF(DBparts1[[#This Row],[Type]]&gt;0,VLOOKUP(DBparts1[[#This Row],[Type]],Main[[#All],[TYPE]:[UNIT]],'Unit Price'!D$1,FALSE),0)</f>
        <v>0</v>
      </c>
      <c r="I35" s="194">
        <f>IF(DBparts1[[#This Row],[Type]]&gt;0,VLOOKUP(DBparts1[[#This Row],[Type]],Main[[#All],[TYPE]:[UNIT]],'Unit Price'!G$1,FALSE),0)</f>
        <v>0</v>
      </c>
      <c r="J35" s="194">
        <f>IF(DBparts1[[#This Row],[Type]]&gt;0,VLOOKUP(DBparts1[[#This Row],[Type]],Main[[#All],[TYPE]:[UNIT]],'Unit Price'!H$1,FALSE),0)</f>
        <v>0</v>
      </c>
      <c r="K35" s="194">
        <f>IF(DBparts1[[#This Row],[Type]]&gt;0,VLOOKUP(DBparts1[[#This Row],[Discount seletion]],'Discount Structure'!$A$2:$B$30,2,"false"),0)</f>
        <v>0</v>
      </c>
      <c r="L35" s="194">
        <f>DBparts1[[#This Row],[LIST $]]*DBparts1[[#This Row],[DISCOUNT]]*DBparts1[[#This Row],[DISCOUNT 2]]</f>
        <v>0</v>
      </c>
      <c r="O35" s="118"/>
      <c r="P35" s="41" t="s">
        <v>3107</v>
      </c>
      <c r="S35" s="41" t="s">
        <v>1555</v>
      </c>
    </row>
    <row r="36" spans="1:19">
      <c r="A36" s="39">
        <v>34</v>
      </c>
      <c r="B36" s="164"/>
      <c r="C36" s="165"/>
      <c r="D36" s="165"/>
      <c r="E36" s="180"/>
      <c r="F36" s="168" t="s">
        <v>6202</v>
      </c>
      <c r="G36" s="234">
        <f>IF(DBparts1[[#This Row],[Type]]&gt;0,VLOOKUP(DBparts1[[#This Row],[Type]],Main[[#All],[TYPE]:[UNIT]],'Unit Price'!C$1,FALSE),0)</f>
        <v>0</v>
      </c>
      <c r="H36" s="236">
        <f>IF(DBparts1[[#This Row],[Type]]&gt;0,VLOOKUP(DBparts1[[#This Row],[Type]],Main[[#All],[TYPE]:[UNIT]],'Unit Price'!D$1,FALSE),0)</f>
        <v>0</v>
      </c>
      <c r="I36" s="194">
        <f>IF(DBparts1[[#This Row],[Type]]&gt;0,VLOOKUP(DBparts1[[#This Row],[Type]],Main[[#All],[TYPE]:[UNIT]],'Unit Price'!G$1,FALSE),0)</f>
        <v>0</v>
      </c>
      <c r="J36" s="194">
        <f>IF(DBparts1[[#This Row],[Type]]&gt;0,VLOOKUP(DBparts1[[#This Row],[Type]],Main[[#All],[TYPE]:[UNIT]],'Unit Price'!H$1,FALSE),0)</f>
        <v>0</v>
      </c>
      <c r="K36" s="194">
        <f>IF(DBparts1[[#This Row],[Type]]&gt;0,VLOOKUP(DBparts1[[#This Row],[Discount seletion]],'Discount Structure'!$A$2:$B$30,2,"false"),0)</f>
        <v>0</v>
      </c>
      <c r="L36" s="194">
        <f>DBparts1[[#This Row],[LIST $]]*DBparts1[[#This Row],[DISCOUNT]]*DBparts1[[#This Row],[DISCOUNT 2]]</f>
        <v>0</v>
      </c>
      <c r="O36" s="118"/>
      <c r="P36" s="41" t="s">
        <v>3111</v>
      </c>
      <c r="S36" s="41" t="s">
        <v>319</v>
      </c>
    </row>
    <row r="37" spans="1:19">
      <c r="A37" s="39">
        <v>35</v>
      </c>
      <c r="B37" s="164"/>
      <c r="C37" s="165"/>
      <c r="D37" s="165"/>
      <c r="E37" s="180"/>
      <c r="F37" s="168" t="s">
        <v>6202</v>
      </c>
      <c r="G37" s="233">
        <f>IF(DBparts1[[#This Row],[Type]]&gt;0,VLOOKUP(DBparts1[[#This Row],[Type]],Main[[#All],[TYPE]:[UNIT]],'Unit Price'!C$1,FALSE),0)</f>
        <v>0</v>
      </c>
      <c r="H37" s="235">
        <f>IF(DBparts1[[#This Row],[Type]]&gt;0,VLOOKUP(DBparts1[[#This Row],[Type]],Main[[#All],[TYPE]:[UNIT]],'Unit Price'!D$1,FALSE),0)</f>
        <v>0</v>
      </c>
      <c r="I37" s="194">
        <f>IF(DBparts1[[#This Row],[Type]]&gt;0,VLOOKUP(DBparts1[[#This Row],[Type]],Main[[#All],[TYPE]:[UNIT]],'Unit Price'!G$1,FALSE),0)</f>
        <v>0</v>
      </c>
      <c r="J37" s="194">
        <f>IF(DBparts1[[#This Row],[Type]]&gt;0,VLOOKUP(DBparts1[[#This Row],[Type]],Main[[#All],[TYPE]:[UNIT]],'Unit Price'!H$1,FALSE),0)</f>
        <v>0</v>
      </c>
      <c r="K37" s="194">
        <f>IF(DBparts1[[#This Row],[Type]]&gt;0,VLOOKUP(DBparts1[[#This Row],[Discount seletion]],'Discount Structure'!$A$2:$B$30,2,"false"),0)</f>
        <v>0</v>
      </c>
      <c r="L37" s="194">
        <f>DBparts1[[#This Row],[LIST $]]*DBparts1[[#This Row],[DISCOUNT]]*DBparts1[[#This Row],[DISCOUNT 2]]</f>
        <v>0</v>
      </c>
      <c r="O37" s="118"/>
      <c r="P37" s="41" t="s">
        <v>3103</v>
      </c>
      <c r="S37" s="41" t="s">
        <v>1553</v>
      </c>
    </row>
    <row r="38" spans="1:19">
      <c r="A38" s="39">
        <v>36</v>
      </c>
      <c r="B38" s="164"/>
      <c r="C38" s="165"/>
      <c r="D38" s="165"/>
      <c r="E38" s="180"/>
      <c r="F38" s="168" t="s">
        <v>6202</v>
      </c>
      <c r="G38" s="234">
        <f>IF(DBparts1[[#This Row],[Type]]&gt;0,VLOOKUP(DBparts1[[#This Row],[Type]],Main[[#All],[TYPE]:[UNIT]],'Unit Price'!C$1,FALSE),0)</f>
        <v>0</v>
      </c>
      <c r="H38" s="236">
        <f>IF(DBparts1[[#This Row],[Type]]&gt;0,VLOOKUP(DBparts1[[#This Row],[Type]],Main[[#All],[TYPE]:[UNIT]],'Unit Price'!D$1,FALSE),0)</f>
        <v>0</v>
      </c>
      <c r="I38" s="194">
        <f>IF(DBparts1[[#This Row],[Type]]&gt;0,VLOOKUP(DBparts1[[#This Row],[Type]],Main[[#All],[TYPE]:[UNIT]],'Unit Price'!G$1,FALSE),0)</f>
        <v>0</v>
      </c>
      <c r="J38" s="194">
        <f>IF(DBparts1[[#This Row],[Type]]&gt;0,VLOOKUP(DBparts1[[#This Row],[Type]],Main[[#All],[TYPE]:[UNIT]],'Unit Price'!H$1,FALSE),0)</f>
        <v>0</v>
      </c>
      <c r="K38" s="194">
        <f>IF(DBparts1[[#This Row],[Type]]&gt;0,VLOOKUP(DBparts1[[#This Row],[Discount seletion]],'Discount Structure'!$A$2:$B$30,2,"false"),0)</f>
        <v>0</v>
      </c>
      <c r="L38" s="194">
        <f>DBparts1[[#This Row],[LIST $]]*DBparts1[[#This Row],[DISCOUNT]]*DBparts1[[#This Row],[DISCOUNT 2]]</f>
        <v>0</v>
      </c>
      <c r="O38" s="118"/>
      <c r="P38" s="41" t="s">
        <v>3101</v>
      </c>
      <c r="S38" s="41" t="s">
        <v>296</v>
      </c>
    </row>
    <row r="39" spans="1:19">
      <c r="A39" s="39">
        <v>37</v>
      </c>
      <c r="B39" s="164"/>
      <c r="C39" s="165"/>
      <c r="D39" s="165"/>
      <c r="E39" s="180"/>
      <c r="F39" s="168" t="s">
        <v>6202</v>
      </c>
      <c r="G39" s="233">
        <f>IF(DBparts1[[#This Row],[Type]]&gt;0,VLOOKUP(DBparts1[[#This Row],[Type]],Main[[#All],[TYPE]:[UNIT]],'Unit Price'!C$1,FALSE),0)</f>
        <v>0</v>
      </c>
      <c r="H39" s="235">
        <f>IF(DBparts1[[#This Row],[Type]]&gt;0,VLOOKUP(DBparts1[[#This Row],[Type]],Main[[#All],[TYPE]:[UNIT]],'Unit Price'!D$1,FALSE),0)</f>
        <v>0</v>
      </c>
      <c r="I39" s="194">
        <f>IF(DBparts1[[#This Row],[Type]]&gt;0,VLOOKUP(DBparts1[[#This Row],[Type]],Main[[#All],[TYPE]:[UNIT]],'Unit Price'!G$1,FALSE),0)</f>
        <v>0</v>
      </c>
      <c r="J39" s="194">
        <f>IF(DBparts1[[#This Row],[Type]]&gt;0,VLOOKUP(DBparts1[[#This Row],[Type]],Main[[#All],[TYPE]:[UNIT]],'Unit Price'!H$1,FALSE),0)</f>
        <v>0</v>
      </c>
      <c r="K39" s="194">
        <f>IF(DBparts1[[#This Row],[Type]]&gt;0,VLOOKUP(DBparts1[[#This Row],[Discount seletion]],'Discount Structure'!$A$2:$B$30,2,"false"),0)</f>
        <v>0</v>
      </c>
      <c r="L39" s="194">
        <f>DBparts1[[#This Row],[LIST $]]*DBparts1[[#This Row],[DISCOUNT]]*DBparts1[[#This Row],[DISCOUNT 2]]</f>
        <v>0</v>
      </c>
      <c r="O39" s="118"/>
      <c r="P39" s="41" t="s">
        <v>3105</v>
      </c>
      <c r="S39" s="41" t="s">
        <v>1551</v>
      </c>
    </row>
    <row r="40" spans="1:19">
      <c r="A40" s="39">
        <v>38</v>
      </c>
      <c r="B40" s="164"/>
      <c r="C40" s="165"/>
      <c r="D40" s="165"/>
      <c r="E40" s="181"/>
      <c r="F40" s="168" t="s">
        <v>6202</v>
      </c>
      <c r="G40" s="234">
        <f>IF(DBparts1[[#This Row],[Type]]&gt;0,VLOOKUP(DBparts1[[#This Row],[Type]],Main[[#All],[TYPE]:[UNIT]],'Unit Price'!C$1,FALSE),0)</f>
        <v>0</v>
      </c>
      <c r="H40" s="236">
        <f>IF(DBparts1[[#This Row],[Type]]&gt;0,VLOOKUP(DBparts1[[#This Row],[Type]],Main[[#All],[TYPE]:[UNIT]],'Unit Price'!D$1,FALSE),0)</f>
        <v>0</v>
      </c>
      <c r="I40" s="194">
        <f>IF(DBparts1[[#This Row],[Type]]&gt;0,VLOOKUP(DBparts1[[#This Row],[Type]],Main[[#All],[TYPE]:[UNIT]],'Unit Price'!G$1,FALSE),0)</f>
        <v>0</v>
      </c>
      <c r="J40" s="194">
        <f>IF(DBparts1[[#This Row],[Type]]&gt;0,VLOOKUP(DBparts1[[#This Row],[Type]],Main[[#All],[TYPE]:[UNIT]],'Unit Price'!H$1,FALSE),0)</f>
        <v>0</v>
      </c>
      <c r="K40" s="194">
        <f>IF(DBparts1[[#This Row],[Type]]&gt;0,VLOOKUP(DBparts1[[#This Row],[Discount seletion]],'Discount Structure'!$A$2:$B$30,2,"false"),0)</f>
        <v>0</v>
      </c>
      <c r="L40" s="194">
        <f>DBparts1[[#This Row],[LIST $]]*DBparts1[[#This Row],[DISCOUNT]]*DBparts1[[#This Row],[DISCOUNT 2]]</f>
        <v>0</v>
      </c>
      <c r="O40" s="118"/>
      <c r="P40" s="41" t="s">
        <v>6174</v>
      </c>
      <c r="S40" s="41" t="s">
        <v>321</v>
      </c>
    </row>
    <row r="41" spans="1:19">
      <c r="A41" s="39">
        <v>39</v>
      </c>
      <c r="B41" s="162"/>
      <c r="C41" s="163"/>
      <c r="D41" s="163"/>
      <c r="E41" s="180"/>
      <c r="F41" s="168" t="s">
        <v>6202</v>
      </c>
      <c r="G41" s="233">
        <f>IF(DBparts1[[#This Row],[Type]]&gt;0,VLOOKUP(DBparts1[[#This Row],[Type]],Main[[#All],[TYPE]:[UNIT]],'Unit Price'!C$1,FALSE),0)</f>
        <v>0</v>
      </c>
      <c r="H41" s="235">
        <f>IF(DBparts1[[#This Row],[Type]]&gt;0,VLOOKUP(DBparts1[[#This Row],[Type]],Main[[#All],[TYPE]:[UNIT]],'Unit Price'!D$1,FALSE),0)</f>
        <v>0</v>
      </c>
      <c r="I41" s="194">
        <f>IF(DBparts1[[#This Row],[Type]]&gt;0,VLOOKUP(DBparts1[[#This Row],[Type]],Main[[#All],[TYPE]:[UNIT]],'Unit Price'!G$1,FALSE),0)</f>
        <v>0</v>
      </c>
      <c r="J41" s="194">
        <f>IF(DBparts1[[#This Row],[Type]]&gt;0,VLOOKUP(DBparts1[[#This Row],[Type]],Main[[#All],[TYPE]:[UNIT]],'Unit Price'!H$1,FALSE),0)</f>
        <v>0</v>
      </c>
      <c r="K41" s="194">
        <f>IF(DBparts1[[#This Row],[Type]]&gt;0,VLOOKUP(DBparts1[[#This Row],[Discount seletion]],'Discount Structure'!$A$2:$B$30,2,"false"),0)</f>
        <v>0</v>
      </c>
      <c r="L41" s="194">
        <f>DBparts1[[#This Row],[LIST $]]*DBparts1[[#This Row],[DISCOUNT]]*DBparts1[[#This Row],[DISCOUNT 2]]</f>
        <v>0</v>
      </c>
      <c r="O41" s="118"/>
      <c r="P41" s="41" t="s">
        <v>6175</v>
      </c>
      <c r="S41" s="41" t="s">
        <v>5714</v>
      </c>
    </row>
    <row r="42" spans="1:19">
      <c r="A42" s="39">
        <v>40</v>
      </c>
      <c r="B42" s="164"/>
      <c r="C42" s="165"/>
      <c r="D42" s="165"/>
      <c r="E42" s="180"/>
      <c r="F42" s="168" t="s">
        <v>6202</v>
      </c>
      <c r="G42" s="234">
        <f>IF(DBparts1[[#This Row],[Type]]&gt;0,VLOOKUP(DBparts1[[#This Row],[Type]],Main[[#All],[TYPE]:[UNIT]],'Unit Price'!C$1,FALSE),0)</f>
        <v>0</v>
      </c>
      <c r="H42" s="236">
        <f>IF(DBparts1[[#This Row],[Type]]&gt;0,VLOOKUP(DBparts1[[#This Row],[Type]],Main[[#All],[TYPE]:[UNIT]],'Unit Price'!D$1,FALSE),0)</f>
        <v>0</v>
      </c>
      <c r="I42" s="194">
        <f>IF(DBparts1[[#This Row],[Type]]&gt;0,VLOOKUP(DBparts1[[#This Row],[Type]],Main[[#All],[TYPE]:[UNIT]],'Unit Price'!G$1,FALSE),0)</f>
        <v>0</v>
      </c>
      <c r="J42" s="194">
        <f>IF(DBparts1[[#This Row],[Type]]&gt;0,VLOOKUP(DBparts1[[#This Row],[Type]],Main[[#All],[TYPE]:[UNIT]],'Unit Price'!H$1,FALSE),0)</f>
        <v>0</v>
      </c>
      <c r="K42" s="194">
        <f>IF(DBparts1[[#This Row],[Type]]&gt;0,VLOOKUP(DBparts1[[#This Row],[Discount seletion]],'Discount Structure'!$A$2:$B$30,2,"false"),0)</f>
        <v>0</v>
      </c>
      <c r="L42" s="194">
        <f>DBparts1[[#This Row],[LIST $]]*DBparts1[[#This Row],[DISCOUNT]]*DBparts1[[#This Row],[DISCOUNT 2]]</f>
        <v>0</v>
      </c>
      <c r="O42" s="118"/>
    </row>
    <row r="43" spans="1:19">
      <c r="A43" s="39">
        <v>41</v>
      </c>
      <c r="B43" s="162"/>
      <c r="C43" s="163"/>
      <c r="D43" s="163"/>
      <c r="E43" s="180"/>
      <c r="F43" s="168" t="s">
        <v>6202</v>
      </c>
      <c r="G43" s="233">
        <f>IF(DBparts1[[#This Row],[Type]]&gt;0,VLOOKUP(DBparts1[[#This Row],[Type]],Main[[#All],[TYPE]:[UNIT]],'Unit Price'!C$1,FALSE),0)</f>
        <v>0</v>
      </c>
      <c r="H43" s="235">
        <f>IF(DBparts1[[#This Row],[Type]]&gt;0,VLOOKUP(DBparts1[[#This Row],[Type]],Main[[#All],[TYPE]:[UNIT]],'Unit Price'!D$1,FALSE),0)</f>
        <v>0</v>
      </c>
      <c r="I43" s="194">
        <f>IF(DBparts1[[#This Row],[Type]]&gt;0,VLOOKUP(DBparts1[[#This Row],[Type]],Main[[#All],[TYPE]:[UNIT]],'Unit Price'!G$1,FALSE),0)</f>
        <v>0</v>
      </c>
      <c r="J43" s="194">
        <f>IF(DBparts1[[#This Row],[Type]]&gt;0,VLOOKUP(DBparts1[[#This Row],[Type]],Main[[#All],[TYPE]:[UNIT]],'Unit Price'!H$1,FALSE),0)</f>
        <v>0</v>
      </c>
      <c r="K43" s="194">
        <f>IF(DBparts1[[#This Row],[Type]]&gt;0,VLOOKUP(DBparts1[[#This Row],[Discount seletion]],'Discount Structure'!$A$2:$B$30,2,"false"),0)</f>
        <v>0</v>
      </c>
      <c r="L43" s="194">
        <f>DBparts1[[#This Row],[LIST $]]*DBparts1[[#This Row],[DISCOUNT]]*DBparts1[[#This Row],[DISCOUNT 2]]</f>
        <v>0</v>
      </c>
      <c r="O43" s="118"/>
      <c r="P43" s="41" t="s">
        <v>5841</v>
      </c>
    </row>
    <row r="44" spans="1:19">
      <c r="A44" s="39">
        <v>42</v>
      </c>
      <c r="B44" s="164"/>
      <c r="C44" s="165"/>
      <c r="D44" s="165"/>
      <c r="E44" s="180"/>
      <c r="F44" s="168" t="s">
        <v>6202</v>
      </c>
      <c r="G44" s="234">
        <f>IF(DBparts1[[#This Row],[Type]]&gt;0,VLOOKUP(DBparts1[[#This Row],[Type]],Main[[#All],[TYPE]:[UNIT]],'Unit Price'!C$1,FALSE),0)</f>
        <v>0</v>
      </c>
      <c r="H44" s="236">
        <f>IF(DBparts1[[#This Row],[Type]]&gt;0,VLOOKUP(DBparts1[[#This Row],[Type]],Main[[#All],[TYPE]:[UNIT]],'Unit Price'!D$1,FALSE),0)</f>
        <v>0</v>
      </c>
      <c r="I44" s="194">
        <f>IF(DBparts1[[#This Row],[Type]]&gt;0,VLOOKUP(DBparts1[[#This Row],[Type]],Main[[#All],[TYPE]:[UNIT]],'Unit Price'!G$1,FALSE),0)</f>
        <v>0</v>
      </c>
      <c r="J44" s="194">
        <f>IF(DBparts1[[#This Row],[Type]]&gt;0,VLOOKUP(DBparts1[[#This Row],[Type]],Main[[#All],[TYPE]:[UNIT]],'Unit Price'!H$1,FALSE),0)</f>
        <v>0</v>
      </c>
      <c r="K44" s="194">
        <f>IF(DBparts1[[#This Row],[Type]]&gt;0,VLOOKUP(DBparts1[[#This Row],[Discount seletion]],'Discount Structure'!$A$2:$B$30,2,"false"),0)</f>
        <v>0</v>
      </c>
      <c r="L44" s="194">
        <f>DBparts1[[#This Row],[LIST $]]*DBparts1[[#This Row],[DISCOUNT]]*DBparts1[[#This Row],[DISCOUNT 2]]</f>
        <v>0</v>
      </c>
      <c r="O44" s="118"/>
      <c r="P44" s="41" t="s">
        <v>3115</v>
      </c>
      <c r="S44" s="41" t="s">
        <v>340</v>
      </c>
    </row>
    <row r="45" spans="1:19">
      <c r="A45" s="39">
        <v>43</v>
      </c>
      <c r="B45" s="162"/>
      <c r="C45" s="163"/>
      <c r="D45" s="163"/>
      <c r="E45" s="180"/>
      <c r="F45" s="168" t="s">
        <v>6202</v>
      </c>
      <c r="G45" s="233">
        <f>IF(DBparts1[[#This Row],[Type]]&gt;0,VLOOKUP(DBparts1[[#This Row],[Type]],Main[[#All],[TYPE]:[UNIT]],'Unit Price'!C$1,FALSE),0)</f>
        <v>0</v>
      </c>
      <c r="H45" s="235">
        <f>IF(DBparts1[[#This Row],[Type]]&gt;0,VLOOKUP(DBparts1[[#This Row],[Type]],Main[[#All],[TYPE]:[UNIT]],'Unit Price'!D$1,FALSE),0)</f>
        <v>0</v>
      </c>
      <c r="I45" s="194">
        <f>IF(DBparts1[[#This Row],[Type]]&gt;0,VLOOKUP(DBparts1[[#This Row],[Type]],Main[[#All],[TYPE]:[UNIT]],'Unit Price'!G$1,FALSE),0)</f>
        <v>0</v>
      </c>
      <c r="J45" s="194">
        <f>IF(DBparts1[[#This Row],[Type]]&gt;0,VLOOKUP(DBparts1[[#This Row],[Type]],Main[[#All],[TYPE]:[UNIT]],'Unit Price'!H$1,FALSE),0)</f>
        <v>0</v>
      </c>
      <c r="K45" s="194">
        <f>IF(DBparts1[[#This Row],[Type]]&gt;0,VLOOKUP(DBparts1[[#This Row],[Discount seletion]],'Discount Structure'!$A$2:$B$30,2,"false"),0)</f>
        <v>0</v>
      </c>
      <c r="L45" s="194">
        <f>DBparts1[[#This Row],[LIST $]]*DBparts1[[#This Row],[DISCOUNT]]*DBparts1[[#This Row],[DISCOUNT 2]]</f>
        <v>0</v>
      </c>
      <c r="O45" s="118"/>
      <c r="P45" s="41" t="s">
        <v>3113</v>
      </c>
      <c r="S45" s="41" t="s">
        <v>1550</v>
      </c>
    </row>
    <row r="46" spans="1:19">
      <c r="A46" s="39">
        <v>44</v>
      </c>
      <c r="B46" s="164"/>
      <c r="C46" s="165"/>
      <c r="D46" s="165"/>
      <c r="E46" s="180"/>
      <c r="F46" s="168" t="s">
        <v>6202</v>
      </c>
      <c r="G46" s="234">
        <f>IF(DBparts1[[#This Row],[Type]]&gt;0,VLOOKUP(DBparts1[[#This Row],[Type]],Main[[#All],[TYPE]:[UNIT]],'Unit Price'!C$1,FALSE),0)</f>
        <v>0</v>
      </c>
      <c r="H46" s="236">
        <f>IF(DBparts1[[#This Row],[Type]]&gt;0,VLOOKUP(DBparts1[[#This Row],[Type]],Main[[#All],[TYPE]:[UNIT]],'Unit Price'!D$1,FALSE),0)</f>
        <v>0</v>
      </c>
      <c r="I46" s="194">
        <f>IF(DBparts1[[#This Row],[Type]]&gt;0,VLOOKUP(DBparts1[[#This Row],[Type]],Main[[#All],[TYPE]:[UNIT]],'Unit Price'!G$1,FALSE),0)</f>
        <v>0</v>
      </c>
      <c r="J46" s="194">
        <f>IF(DBparts1[[#This Row],[Type]]&gt;0,VLOOKUP(DBparts1[[#This Row],[Type]],Main[[#All],[TYPE]:[UNIT]],'Unit Price'!H$1,FALSE),0)</f>
        <v>0</v>
      </c>
      <c r="K46" s="194">
        <f>IF(DBparts1[[#This Row],[Type]]&gt;0,VLOOKUP(DBparts1[[#This Row],[Discount seletion]],'Discount Structure'!$A$2:$B$30,2,"false"),0)</f>
        <v>0</v>
      </c>
      <c r="L46" s="194">
        <f>DBparts1[[#This Row],[LIST $]]*DBparts1[[#This Row],[DISCOUNT]]*DBparts1[[#This Row],[DISCOUNT 2]]</f>
        <v>0</v>
      </c>
      <c r="O46" s="118"/>
      <c r="P46" s="41" t="s">
        <v>3127</v>
      </c>
      <c r="S46" s="41" t="s">
        <v>346</v>
      </c>
    </row>
    <row r="47" spans="1:19">
      <c r="A47" s="39">
        <v>45</v>
      </c>
      <c r="B47" s="162"/>
      <c r="C47" s="163"/>
      <c r="D47" s="163"/>
      <c r="E47" s="180"/>
      <c r="F47" s="168" t="s">
        <v>6202</v>
      </c>
      <c r="G47" s="233">
        <f>IF(DBparts1[[#This Row],[Type]]&gt;0,VLOOKUP(DBparts1[[#This Row],[Type]],Main[[#All],[TYPE]:[UNIT]],'Unit Price'!C$1,FALSE),0)</f>
        <v>0</v>
      </c>
      <c r="H47" s="235">
        <f>IF(DBparts1[[#This Row],[Type]]&gt;0,VLOOKUP(DBparts1[[#This Row],[Type]],Main[[#All],[TYPE]:[UNIT]],'Unit Price'!D$1,FALSE),0)</f>
        <v>0</v>
      </c>
      <c r="I47" s="194">
        <f>IF(DBparts1[[#This Row],[Type]]&gt;0,VLOOKUP(DBparts1[[#This Row],[Type]],Main[[#All],[TYPE]:[UNIT]],'Unit Price'!G$1,FALSE),0)</f>
        <v>0</v>
      </c>
      <c r="J47" s="194">
        <f>IF(DBparts1[[#This Row],[Type]]&gt;0,VLOOKUP(DBparts1[[#This Row],[Type]],Main[[#All],[TYPE]:[UNIT]],'Unit Price'!H$1,FALSE),0)</f>
        <v>0</v>
      </c>
      <c r="K47" s="194">
        <f>IF(DBparts1[[#This Row],[Type]]&gt;0,VLOOKUP(DBparts1[[#This Row],[Discount seletion]],'Discount Structure'!$A$2:$B$30,2,"false"),0)</f>
        <v>0</v>
      </c>
      <c r="L47" s="194">
        <f>DBparts1[[#This Row],[LIST $]]*DBparts1[[#This Row],[DISCOUNT]]*DBparts1[[#This Row],[DISCOUNT 2]]</f>
        <v>0</v>
      </c>
      <c r="O47" s="118"/>
      <c r="P47" s="41" t="s">
        <v>3125</v>
      </c>
      <c r="S47" s="41" t="s">
        <v>1556</v>
      </c>
    </row>
    <row r="48" spans="1:19">
      <c r="A48" s="39">
        <v>46</v>
      </c>
      <c r="B48" s="164"/>
      <c r="C48" s="165"/>
      <c r="D48" s="165"/>
      <c r="E48" s="180"/>
      <c r="F48" s="168" t="s">
        <v>6202</v>
      </c>
      <c r="G48" s="234">
        <f>IF(DBparts1[[#This Row],[Type]]&gt;0,VLOOKUP(DBparts1[[#This Row],[Type]],Main[[#All],[TYPE]:[UNIT]],'Unit Price'!C$1,FALSE),0)</f>
        <v>0</v>
      </c>
      <c r="H48" s="236">
        <f>IF(DBparts1[[#This Row],[Type]]&gt;0,VLOOKUP(DBparts1[[#This Row],[Type]],Main[[#All],[TYPE]:[UNIT]],'Unit Price'!D$1,FALSE),0)</f>
        <v>0</v>
      </c>
      <c r="I48" s="194">
        <f>IF(DBparts1[[#This Row],[Type]]&gt;0,VLOOKUP(DBparts1[[#This Row],[Type]],Main[[#All],[TYPE]:[UNIT]],'Unit Price'!G$1,FALSE),0)</f>
        <v>0</v>
      </c>
      <c r="J48" s="194">
        <f>IF(DBparts1[[#This Row],[Type]]&gt;0,VLOOKUP(DBparts1[[#This Row],[Type]],Main[[#All],[TYPE]:[UNIT]],'Unit Price'!H$1,FALSE),0)</f>
        <v>0</v>
      </c>
      <c r="K48" s="194">
        <f>IF(DBparts1[[#This Row],[Type]]&gt;0,VLOOKUP(DBparts1[[#This Row],[Discount seletion]],'Discount Structure'!$A$2:$B$30,2,"false"),0)</f>
        <v>0</v>
      </c>
      <c r="L48" s="194">
        <f>DBparts1[[#This Row],[LIST $]]*DBparts1[[#This Row],[DISCOUNT]]*DBparts1[[#This Row],[DISCOUNT 2]]</f>
        <v>0</v>
      </c>
      <c r="O48" s="118"/>
      <c r="P48" s="41" t="s">
        <v>3129</v>
      </c>
      <c r="S48" s="41" t="s">
        <v>1554</v>
      </c>
    </row>
    <row r="49" spans="1:19">
      <c r="A49" s="39">
        <v>47</v>
      </c>
      <c r="B49" s="162"/>
      <c r="C49" s="163"/>
      <c r="D49" s="163"/>
      <c r="E49" s="180"/>
      <c r="F49" s="168" t="s">
        <v>6202</v>
      </c>
      <c r="G49" s="233">
        <f>IF(DBparts1[[#This Row],[Type]]&gt;0,VLOOKUP(DBparts1[[#This Row],[Type]],Main[[#All],[TYPE]:[UNIT]],'Unit Price'!C$1,FALSE),0)</f>
        <v>0</v>
      </c>
      <c r="H49" s="235">
        <f>IF(DBparts1[[#This Row],[Type]]&gt;0,VLOOKUP(DBparts1[[#This Row],[Type]],Main[[#All],[TYPE]:[UNIT]],'Unit Price'!D$1,FALSE),0)</f>
        <v>0</v>
      </c>
      <c r="I49" s="194">
        <f>IF(DBparts1[[#This Row],[Type]]&gt;0,VLOOKUP(DBparts1[[#This Row],[Type]],Main[[#All],[TYPE]:[UNIT]],'Unit Price'!G$1,FALSE),0)</f>
        <v>0</v>
      </c>
      <c r="J49" s="194">
        <f>IF(DBparts1[[#This Row],[Type]]&gt;0,VLOOKUP(DBparts1[[#This Row],[Type]],Main[[#All],[TYPE]:[UNIT]],'Unit Price'!H$1,FALSE),0)</f>
        <v>0</v>
      </c>
      <c r="K49" s="194">
        <f>IF(DBparts1[[#This Row],[Type]]&gt;0,VLOOKUP(DBparts1[[#This Row],[Discount seletion]],'Discount Structure'!$A$2:$B$30,2,"false"),0)</f>
        <v>0</v>
      </c>
      <c r="L49" s="194">
        <f>DBparts1[[#This Row],[LIST $]]*DBparts1[[#This Row],[DISCOUNT]]*DBparts1[[#This Row],[DISCOUNT 2]]</f>
        <v>0</v>
      </c>
      <c r="O49" s="118"/>
      <c r="P49" s="41" t="s">
        <v>3121</v>
      </c>
      <c r="S49" s="41" t="s">
        <v>333</v>
      </c>
    </row>
    <row r="50" spans="1:19">
      <c r="A50" s="39">
        <v>48</v>
      </c>
      <c r="B50" s="164"/>
      <c r="C50" s="165"/>
      <c r="D50" s="165"/>
      <c r="E50" s="180"/>
      <c r="F50" s="168" t="s">
        <v>6202</v>
      </c>
      <c r="G50" s="234">
        <f>IF(DBparts1[[#This Row],[Type]]&gt;0,VLOOKUP(DBparts1[[#This Row],[Type]],Main[[#All],[TYPE]:[UNIT]],'Unit Price'!C$1,FALSE),0)</f>
        <v>0</v>
      </c>
      <c r="H50" s="236">
        <f>IF(DBparts1[[#This Row],[Type]]&gt;0,VLOOKUP(DBparts1[[#This Row],[Type]],Main[[#All],[TYPE]:[UNIT]],'Unit Price'!D$1,FALSE),0)</f>
        <v>0</v>
      </c>
      <c r="I50" s="194">
        <f>IF(DBparts1[[#This Row],[Type]]&gt;0,VLOOKUP(DBparts1[[#This Row],[Type]],Main[[#All],[TYPE]:[UNIT]],'Unit Price'!G$1,FALSE),0)</f>
        <v>0</v>
      </c>
      <c r="J50" s="194">
        <f>IF(DBparts1[[#This Row],[Type]]&gt;0,VLOOKUP(DBparts1[[#This Row],[Type]],Main[[#All],[TYPE]:[UNIT]],'Unit Price'!H$1,FALSE),0)</f>
        <v>0</v>
      </c>
      <c r="K50" s="194">
        <f>IF(DBparts1[[#This Row],[Type]]&gt;0,VLOOKUP(DBparts1[[#This Row],[Discount seletion]],'Discount Structure'!$A$2:$B$30,2,"false"),0)</f>
        <v>0</v>
      </c>
      <c r="L50" s="194">
        <f>DBparts1[[#This Row],[LIST $]]*DBparts1[[#This Row],[DISCOUNT]]*DBparts1[[#This Row],[DISCOUNT 2]]</f>
        <v>0</v>
      </c>
      <c r="O50" s="118"/>
      <c r="P50" s="41" t="s">
        <v>3119</v>
      </c>
      <c r="S50" s="41" t="s">
        <v>331</v>
      </c>
    </row>
    <row r="51" spans="1:19">
      <c r="A51" s="39">
        <v>49</v>
      </c>
      <c r="B51" s="162"/>
      <c r="C51" s="163"/>
      <c r="D51" s="163"/>
      <c r="E51" s="180"/>
      <c r="F51" s="168" t="s">
        <v>6202</v>
      </c>
      <c r="G51" s="233">
        <f>IF(DBparts1[[#This Row],[Type]]&gt;0,VLOOKUP(DBparts1[[#This Row],[Type]],Main[[#All],[TYPE]:[UNIT]],'Unit Price'!C$1,FALSE),0)</f>
        <v>0</v>
      </c>
      <c r="H51" s="235">
        <f>IF(DBparts1[[#This Row],[Type]]&gt;0,VLOOKUP(DBparts1[[#This Row],[Type]],Main[[#All],[TYPE]:[UNIT]],'Unit Price'!D$1,FALSE),0)</f>
        <v>0</v>
      </c>
      <c r="I51" s="194">
        <f>IF(DBparts1[[#This Row],[Type]]&gt;0,VLOOKUP(DBparts1[[#This Row],[Type]],Main[[#All],[TYPE]:[UNIT]],'Unit Price'!G$1,FALSE),0)</f>
        <v>0</v>
      </c>
      <c r="J51" s="194">
        <f>IF(DBparts1[[#This Row],[Type]]&gt;0,VLOOKUP(DBparts1[[#This Row],[Type]],Main[[#All],[TYPE]:[UNIT]],'Unit Price'!H$1,FALSE),0)</f>
        <v>0</v>
      </c>
      <c r="K51" s="194">
        <f>IF(DBparts1[[#This Row],[Type]]&gt;0,VLOOKUP(DBparts1[[#This Row],[Discount seletion]],'Discount Structure'!$A$2:$B$30,2,"false"),0)</f>
        <v>0</v>
      </c>
      <c r="L51" s="194">
        <f>DBparts1[[#This Row],[LIST $]]*DBparts1[[#This Row],[DISCOUNT]]*DBparts1[[#This Row],[DISCOUNT 2]]</f>
        <v>0</v>
      </c>
      <c r="O51" s="118"/>
      <c r="P51" s="41" t="s">
        <v>3123</v>
      </c>
      <c r="S51" s="41" t="s">
        <v>1552</v>
      </c>
    </row>
    <row r="52" spans="1:19">
      <c r="A52" s="39">
        <v>50</v>
      </c>
      <c r="B52" s="224"/>
      <c r="C52" s="169"/>
      <c r="D52" s="169"/>
      <c r="E52" s="180"/>
      <c r="F52" s="168" t="s">
        <v>6202</v>
      </c>
      <c r="G52" s="234">
        <f>IF(DBparts1[[#This Row],[Type]]&gt;0,VLOOKUP(DBparts1[[#This Row],[Type]],Main[[#All],[TYPE]:[UNIT]],'Unit Price'!C$1,FALSE),0)</f>
        <v>0</v>
      </c>
      <c r="H52" s="236">
        <f>IF(DBparts1[[#This Row],[Type]]&gt;0,VLOOKUP(DBparts1[[#This Row],[Type]],Main[[#All],[TYPE]:[UNIT]],'Unit Price'!D$1,FALSE),0)</f>
        <v>0</v>
      </c>
      <c r="I52" s="194">
        <f>IF(DBparts1[[#This Row],[Type]]&gt;0,VLOOKUP(DBparts1[[#This Row],[Type]],Main[[#All],[TYPE]:[UNIT]],'Unit Price'!G$1,FALSE),0)</f>
        <v>0</v>
      </c>
      <c r="J52" s="194">
        <f>IF(DBparts1[[#This Row],[Type]]&gt;0,VLOOKUP(DBparts1[[#This Row],[Type]],Main[[#All],[TYPE]:[UNIT]],'Unit Price'!H$1,FALSE),0)</f>
        <v>0</v>
      </c>
      <c r="K52" s="194">
        <f>IF(DBparts1[[#This Row],[Type]]&gt;0,VLOOKUP(DBparts1[[#This Row],[Discount seletion]],'Discount Structure'!$A$2:$B$30,2,"false"),0)</f>
        <v>0</v>
      </c>
      <c r="L52" s="194">
        <f>DBparts1[[#This Row],[LIST $]]*DBparts1[[#This Row],[DISCOUNT]]*DBparts1[[#This Row],[DISCOUNT 2]]</f>
        <v>0</v>
      </c>
      <c r="O52" s="118"/>
      <c r="P52" s="41" t="s">
        <v>6176</v>
      </c>
      <c r="S52" s="41" t="s">
        <v>5716</v>
      </c>
    </row>
    <row r="53" spans="1:19">
      <c r="A53" s="39">
        <v>51</v>
      </c>
      <c r="B53" s="162"/>
      <c r="C53" s="163"/>
      <c r="D53" s="163"/>
      <c r="E53" s="181"/>
      <c r="F53" s="168" t="s">
        <v>6202</v>
      </c>
      <c r="G53" s="233">
        <f>IF(DBparts1[[#This Row],[Type]]&gt;0,VLOOKUP(DBparts1[[#This Row],[Type]],Main[[#All],[TYPE]:[UNIT]],'Unit Price'!C$1,FALSE),0)</f>
        <v>0</v>
      </c>
      <c r="H53" s="235">
        <f>IF(DBparts1[[#This Row],[Type]]&gt;0,VLOOKUP(DBparts1[[#This Row],[Type]],Main[[#All],[TYPE]:[UNIT]],'Unit Price'!D$1,FALSE),0)</f>
        <v>0</v>
      </c>
      <c r="I53" s="194">
        <f>IF(DBparts1[[#This Row],[Type]]&gt;0,VLOOKUP(DBparts1[[#This Row],[Type]],Main[[#All],[TYPE]:[UNIT]],'Unit Price'!G$1,FALSE),0)</f>
        <v>0</v>
      </c>
      <c r="J53" s="194">
        <f>IF(DBparts1[[#This Row],[Type]]&gt;0,VLOOKUP(DBparts1[[#This Row],[Type]],Main[[#All],[TYPE]:[UNIT]],'Unit Price'!H$1,FALSE),0)</f>
        <v>0</v>
      </c>
      <c r="K53" s="194">
        <f>IF(DBparts1[[#This Row],[Type]]&gt;0,VLOOKUP(DBparts1[[#This Row],[Discount seletion]],'Discount Structure'!$A$2:$B$30,2,"false"),0)</f>
        <v>0</v>
      </c>
      <c r="L53" s="194">
        <f>DBparts1[[#This Row],[LIST $]]*DBparts1[[#This Row],[DISCOUNT]]*DBparts1[[#This Row],[DISCOUNT 2]]</f>
        <v>0</v>
      </c>
      <c r="O53" s="118"/>
    </row>
    <row r="54" spans="1:19">
      <c r="A54" s="39">
        <v>52</v>
      </c>
      <c r="B54" s="164"/>
      <c r="C54" s="165"/>
      <c r="D54" s="165"/>
      <c r="E54" s="181"/>
      <c r="F54" s="168" t="s">
        <v>6202</v>
      </c>
      <c r="G54" s="234">
        <f>IF(DBparts1[[#This Row],[Type]]&gt;0,VLOOKUP(DBparts1[[#This Row],[Type]],Main[[#All],[TYPE]:[UNIT]],'Unit Price'!C$1,FALSE),0)</f>
        <v>0</v>
      </c>
      <c r="H54" s="236">
        <f>IF(DBparts1[[#This Row],[Type]]&gt;0,VLOOKUP(DBparts1[[#This Row],[Type]],Main[[#All],[TYPE]:[UNIT]],'Unit Price'!D$1,FALSE),0)</f>
        <v>0</v>
      </c>
      <c r="I54" s="194">
        <f>IF(DBparts1[[#This Row],[Type]]&gt;0,VLOOKUP(DBparts1[[#This Row],[Type]],Main[[#All],[TYPE]:[UNIT]],'Unit Price'!G$1,FALSE),0)</f>
        <v>0</v>
      </c>
      <c r="J54" s="194">
        <f>IF(DBparts1[[#This Row],[Type]]&gt;0,VLOOKUP(DBparts1[[#This Row],[Type]],Main[[#All],[TYPE]:[UNIT]],'Unit Price'!H$1,FALSE),0)</f>
        <v>0</v>
      </c>
      <c r="K54" s="194">
        <f>IF(DBparts1[[#This Row],[Type]]&gt;0,VLOOKUP(DBparts1[[#This Row],[Discount seletion]],'Discount Structure'!$A$2:$B$30,2,"false"),0)</f>
        <v>0</v>
      </c>
      <c r="L54" s="194">
        <f>DBparts1[[#This Row],[LIST $]]*DBparts1[[#This Row],[DISCOUNT]]*DBparts1[[#This Row],[DISCOUNT 2]]</f>
        <v>0</v>
      </c>
      <c r="O54" s="118"/>
      <c r="P54" s="41" t="s">
        <v>6177</v>
      </c>
    </row>
    <row r="55" spans="1:19">
      <c r="A55" s="39">
        <v>53</v>
      </c>
      <c r="B55" s="162"/>
      <c r="C55" s="163"/>
      <c r="D55" s="163"/>
      <c r="E55" s="181"/>
      <c r="F55" s="168" t="s">
        <v>6202</v>
      </c>
      <c r="G55" s="233">
        <f>IF(DBparts1[[#This Row],[Type]]&gt;0,VLOOKUP(DBparts1[[#This Row],[Type]],Main[[#All],[TYPE]:[UNIT]],'Unit Price'!C$1,FALSE),0)</f>
        <v>0</v>
      </c>
      <c r="H55" s="235">
        <f>IF(DBparts1[[#This Row],[Type]]&gt;0,VLOOKUP(DBparts1[[#This Row],[Type]],Main[[#All],[TYPE]:[UNIT]],'Unit Price'!D$1,FALSE),0)</f>
        <v>0</v>
      </c>
      <c r="I55" s="194">
        <f>IF(DBparts1[[#This Row],[Type]]&gt;0,VLOOKUP(DBparts1[[#This Row],[Type]],Main[[#All],[TYPE]:[UNIT]],'Unit Price'!G$1,FALSE),0)</f>
        <v>0</v>
      </c>
      <c r="J55" s="194">
        <f>IF(DBparts1[[#This Row],[Type]]&gt;0,VLOOKUP(DBparts1[[#This Row],[Type]],Main[[#All],[TYPE]:[UNIT]],'Unit Price'!H$1,FALSE),0)</f>
        <v>0</v>
      </c>
      <c r="K55" s="194">
        <f>IF(DBparts1[[#This Row],[Type]]&gt;0,VLOOKUP(DBparts1[[#This Row],[Discount seletion]],'Discount Structure'!$A$2:$B$30,2,"false"),0)</f>
        <v>0</v>
      </c>
      <c r="L55" s="194">
        <f>DBparts1[[#This Row],[LIST $]]*DBparts1[[#This Row],[DISCOUNT]]*DBparts1[[#This Row],[DISCOUNT 2]]</f>
        <v>0</v>
      </c>
      <c r="O55" s="118"/>
      <c r="P55" s="41" t="s">
        <v>6178</v>
      </c>
      <c r="S55" s="41" t="s">
        <v>1537</v>
      </c>
    </row>
    <row r="56" spans="1:19">
      <c r="A56" s="39">
        <v>54</v>
      </c>
      <c r="B56" s="164"/>
      <c r="C56" s="165"/>
      <c r="D56" s="165"/>
      <c r="E56" s="181"/>
      <c r="F56" s="168" t="s">
        <v>6202</v>
      </c>
      <c r="G56" s="234">
        <f>IF(DBparts1[[#This Row],[Type]]&gt;0,VLOOKUP(DBparts1[[#This Row],[Type]],Main[[#All],[TYPE]:[UNIT]],'Unit Price'!C$1,FALSE),0)</f>
        <v>0</v>
      </c>
      <c r="H56" s="236">
        <f>IF(DBparts1[[#This Row],[Type]]&gt;0,VLOOKUP(DBparts1[[#This Row],[Type]],Main[[#All],[TYPE]:[UNIT]],'Unit Price'!D$1,FALSE),0)</f>
        <v>0</v>
      </c>
      <c r="I56" s="194">
        <f>IF(DBparts1[[#This Row],[Type]]&gt;0,VLOOKUP(DBparts1[[#This Row],[Type]],Main[[#All],[TYPE]:[UNIT]],'Unit Price'!G$1,FALSE),0)</f>
        <v>0</v>
      </c>
      <c r="J56" s="194">
        <f>IF(DBparts1[[#This Row],[Type]]&gt;0,VLOOKUP(DBparts1[[#This Row],[Type]],Main[[#All],[TYPE]:[UNIT]],'Unit Price'!H$1,FALSE),0)</f>
        <v>0</v>
      </c>
      <c r="K56" s="194">
        <f>IF(DBparts1[[#This Row],[Type]]&gt;0,VLOOKUP(DBparts1[[#This Row],[Discount seletion]],'Discount Structure'!$A$2:$B$30,2,"false"),0)</f>
        <v>0</v>
      </c>
      <c r="L56" s="194">
        <f>DBparts1[[#This Row],[LIST $]]*DBparts1[[#This Row],[DISCOUNT]]*DBparts1[[#This Row],[DISCOUNT 2]]</f>
        <v>0</v>
      </c>
      <c r="O56" s="118"/>
      <c r="P56" s="41" t="s">
        <v>675</v>
      </c>
      <c r="S56" s="41" t="s">
        <v>5721</v>
      </c>
    </row>
    <row r="57" spans="1:19">
      <c r="A57" s="39">
        <v>55</v>
      </c>
      <c r="B57" s="162"/>
      <c r="C57" s="163"/>
      <c r="D57" s="163"/>
      <c r="E57" s="181"/>
      <c r="F57" s="168" t="s">
        <v>6202</v>
      </c>
      <c r="G57" s="233">
        <f>IF(DBparts1[[#This Row],[Type]]&gt;0,VLOOKUP(DBparts1[[#This Row],[Type]],Main[[#All],[TYPE]:[UNIT]],'Unit Price'!C$1,FALSE),0)</f>
        <v>0</v>
      </c>
      <c r="H57" s="235">
        <f>IF(DBparts1[[#This Row],[Type]]&gt;0,VLOOKUP(DBparts1[[#This Row],[Type]],Main[[#All],[TYPE]:[UNIT]],'Unit Price'!D$1,FALSE),0)</f>
        <v>0</v>
      </c>
      <c r="I57" s="194">
        <f>IF(DBparts1[[#This Row],[Type]]&gt;0,VLOOKUP(DBparts1[[#This Row],[Type]],Main[[#All],[TYPE]:[UNIT]],'Unit Price'!G$1,FALSE),0)</f>
        <v>0</v>
      </c>
      <c r="J57" s="194">
        <f>IF(DBparts1[[#This Row],[Type]]&gt;0,VLOOKUP(DBparts1[[#This Row],[Type]],Main[[#All],[TYPE]:[UNIT]],'Unit Price'!H$1,FALSE),0)</f>
        <v>0</v>
      </c>
      <c r="K57" s="194">
        <f>IF(DBparts1[[#This Row],[Type]]&gt;0,VLOOKUP(DBparts1[[#This Row],[Discount seletion]],'Discount Structure'!$A$2:$B$30,2,"false"),0)</f>
        <v>0</v>
      </c>
      <c r="L57" s="194">
        <f>DBparts1[[#This Row],[LIST $]]*DBparts1[[#This Row],[DISCOUNT]]*DBparts1[[#This Row],[DISCOUNT 2]]</f>
        <v>0</v>
      </c>
      <c r="O57" s="118"/>
      <c r="P57" s="41" t="s">
        <v>673</v>
      </c>
      <c r="S57" s="41" t="s">
        <v>5720</v>
      </c>
    </row>
    <row r="58" spans="1:19">
      <c r="A58" s="39">
        <v>56</v>
      </c>
      <c r="B58" s="164"/>
      <c r="C58" s="165"/>
      <c r="D58" s="165"/>
      <c r="E58" s="181"/>
      <c r="F58" s="168" t="s">
        <v>6202</v>
      </c>
      <c r="G58" s="234">
        <f>IF(DBparts1[[#This Row],[Type]]&gt;0,VLOOKUP(DBparts1[[#This Row],[Type]],Main[[#All],[TYPE]:[UNIT]],'Unit Price'!C$1,FALSE),0)</f>
        <v>0</v>
      </c>
      <c r="H58" s="236">
        <f>IF(DBparts1[[#This Row],[Type]]&gt;0,VLOOKUP(DBparts1[[#This Row],[Type]],Main[[#All],[TYPE]:[UNIT]],'Unit Price'!D$1,FALSE),0)</f>
        <v>0</v>
      </c>
      <c r="I58" s="194">
        <f>IF(DBparts1[[#This Row],[Type]]&gt;0,VLOOKUP(DBparts1[[#This Row],[Type]],Main[[#All],[TYPE]:[UNIT]],'Unit Price'!G$1,FALSE),0)</f>
        <v>0</v>
      </c>
      <c r="J58" s="194">
        <f>IF(DBparts1[[#This Row],[Type]]&gt;0,VLOOKUP(DBparts1[[#This Row],[Type]],Main[[#All],[TYPE]:[UNIT]],'Unit Price'!H$1,FALSE),0)</f>
        <v>0</v>
      </c>
      <c r="K58" s="194">
        <f>IF(DBparts1[[#This Row],[Type]]&gt;0,VLOOKUP(DBparts1[[#This Row],[Discount seletion]],'Discount Structure'!$A$2:$B$30,2,"false"),0)</f>
        <v>0</v>
      </c>
      <c r="L58" s="194">
        <f>DBparts1[[#This Row],[LIST $]]*DBparts1[[#This Row],[DISCOUNT]]*DBparts1[[#This Row],[DISCOUNT 2]]</f>
        <v>0</v>
      </c>
      <c r="O58" s="118"/>
      <c r="P58" s="41" t="s">
        <v>674</v>
      </c>
      <c r="S58" s="41" t="s">
        <v>5719</v>
      </c>
    </row>
    <row r="59" spans="1:19">
      <c r="A59" s="39">
        <v>57</v>
      </c>
      <c r="B59" s="162"/>
      <c r="C59" s="163"/>
      <c r="D59" s="163"/>
      <c r="E59" s="180"/>
      <c r="F59" s="168" t="s">
        <v>6202</v>
      </c>
      <c r="G59" s="233">
        <f>IF(DBparts1[[#This Row],[Type]]&gt;0,VLOOKUP(DBparts1[[#This Row],[Type]],Main[[#All],[TYPE]:[UNIT]],'Unit Price'!C$1,FALSE),0)</f>
        <v>0</v>
      </c>
      <c r="H59" s="235">
        <f>IF(DBparts1[[#This Row],[Type]]&gt;0,VLOOKUP(DBparts1[[#This Row],[Type]],Main[[#All],[TYPE]:[UNIT]],'Unit Price'!D$1,FALSE),0)</f>
        <v>0</v>
      </c>
      <c r="I59" s="194">
        <f>IF(DBparts1[[#This Row],[Type]]&gt;0,VLOOKUP(DBparts1[[#This Row],[Type]],Main[[#All],[TYPE]:[UNIT]],'Unit Price'!G$1,FALSE),0)</f>
        <v>0</v>
      </c>
      <c r="J59" s="194">
        <f>IF(DBparts1[[#This Row],[Type]]&gt;0,VLOOKUP(DBparts1[[#This Row],[Type]],Main[[#All],[TYPE]:[UNIT]],'Unit Price'!H$1,FALSE),0)</f>
        <v>0</v>
      </c>
      <c r="K59" s="194">
        <f>IF(DBparts1[[#This Row],[Type]]&gt;0,VLOOKUP(DBparts1[[#This Row],[Discount seletion]],'Discount Structure'!$A$2:$B$30,2,"false"),0)</f>
        <v>0</v>
      </c>
      <c r="L59" s="194">
        <f>DBparts1[[#This Row],[LIST $]]*DBparts1[[#This Row],[DISCOUNT]]*DBparts1[[#This Row],[DISCOUNT 2]]</f>
        <v>0</v>
      </c>
      <c r="O59" s="118"/>
      <c r="P59" s="41" t="s">
        <v>6179</v>
      </c>
      <c r="S59" s="41" t="s">
        <v>5724</v>
      </c>
    </row>
    <row r="60" spans="1:19">
      <c r="A60" s="39">
        <v>58</v>
      </c>
      <c r="B60" s="164"/>
      <c r="C60" s="165"/>
      <c r="D60" s="165"/>
      <c r="E60" s="181"/>
      <c r="F60" s="168" t="s">
        <v>6202</v>
      </c>
      <c r="G60" s="234">
        <f>IF(DBparts1[[#This Row],[Type]]&gt;0,VLOOKUP(DBparts1[[#This Row],[Type]],Main[[#All],[TYPE]:[UNIT]],'Unit Price'!C$1,FALSE),0)</f>
        <v>0</v>
      </c>
      <c r="H60" s="236">
        <f>IF(DBparts1[[#This Row],[Type]]&gt;0,VLOOKUP(DBparts1[[#This Row],[Type]],Main[[#All],[TYPE]:[UNIT]],'Unit Price'!D$1,FALSE),0)</f>
        <v>0</v>
      </c>
      <c r="I60" s="194">
        <f>IF(DBparts1[[#This Row],[Type]]&gt;0,VLOOKUP(DBparts1[[#This Row],[Type]],Main[[#All],[TYPE]:[UNIT]],'Unit Price'!G$1,FALSE),0)</f>
        <v>0</v>
      </c>
      <c r="J60" s="194">
        <f>IF(DBparts1[[#This Row],[Type]]&gt;0,VLOOKUP(DBparts1[[#This Row],[Type]],Main[[#All],[TYPE]:[UNIT]],'Unit Price'!H$1,FALSE),0)</f>
        <v>0</v>
      </c>
      <c r="K60" s="194">
        <f>IF(DBparts1[[#This Row],[Type]]&gt;0,VLOOKUP(DBparts1[[#This Row],[Discount seletion]],'Discount Structure'!$A$2:$B$30,2,"false"),0)</f>
        <v>0</v>
      </c>
      <c r="L60" s="194">
        <f>DBparts1[[#This Row],[LIST $]]*DBparts1[[#This Row],[DISCOUNT]]*DBparts1[[#This Row],[DISCOUNT 2]]</f>
        <v>0</v>
      </c>
      <c r="O60" s="118"/>
      <c r="P60" s="41" t="s">
        <v>6180</v>
      </c>
      <c r="S60" s="41" t="s">
        <v>5723</v>
      </c>
    </row>
    <row r="61" spans="1:19">
      <c r="A61" s="39">
        <v>59</v>
      </c>
      <c r="B61" s="162"/>
      <c r="C61" s="163"/>
      <c r="D61" s="163"/>
      <c r="E61" s="181"/>
      <c r="F61" s="168" t="s">
        <v>6202</v>
      </c>
      <c r="G61" s="233">
        <f>IF(DBparts1[[#This Row],[Type]]&gt;0,VLOOKUP(DBparts1[[#This Row],[Type]],Main[[#All],[TYPE]:[UNIT]],'Unit Price'!C$1,FALSE),0)</f>
        <v>0</v>
      </c>
      <c r="H61" s="235">
        <f>IF(DBparts1[[#This Row],[Type]]&gt;0,VLOOKUP(DBparts1[[#This Row],[Type]],Main[[#All],[TYPE]:[UNIT]],'Unit Price'!D$1,FALSE),0)</f>
        <v>0</v>
      </c>
      <c r="I61" s="194">
        <f>IF(DBparts1[[#This Row],[Type]]&gt;0,VLOOKUP(DBparts1[[#This Row],[Type]],Main[[#All],[TYPE]:[UNIT]],'Unit Price'!G$1,FALSE),0)</f>
        <v>0</v>
      </c>
      <c r="J61" s="194">
        <f>IF(DBparts1[[#This Row],[Type]]&gt;0,VLOOKUP(DBparts1[[#This Row],[Type]],Main[[#All],[TYPE]:[UNIT]],'Unit Price'!H$1,FALSE),0)</f>
        <v>0</v>
      </c>
      <c r="K61" s="194">
        <f>IF(DBparts1[[#This Row],[Type]]&gt;0,VLOOKUP(DBparts1[[#This Row],[Discount seletion]],'Discount Structure'!$A$2:$B$30,2,"false"),0)</f>
        <v>0</v>
      </c>
      <c r="L61" s="194">
        <f>DBparts1[[#This Row],[LIST $]]*DBparts1[[#This Row],[DISCOUNT]]*DBparts1[[#This Row],[DISCOUNT 2]]</f>
        <v>0</v>
      </c>
      <c r="O61" s="118"/>
      <c r="P61" s="41" t="s">
        <v>6181</v>
      </c>
      <c r="S61" s="41" t="s">
        <v>5722</v>
      </c>
    </row>
    <row r="62" spans="1:19">
      <c r="A62" s="39">
        <v>60</v>
      </c>
      <c r="B62" s="164"/>
      <c r="C62" s="165"/>
      <c r="D62" s="165"/>
      <c r="E62" s="180"/>
      <c r="F62" s="168" t="s">
        <v>6202</v>
      </c>
      <c r="G62" s="234">
        <f>IF(DBparts1[[#This Row],[Type]]&gt;0,VLOOKUP(DBparts1[[#This Row],[Type]],Main[[#All],[TYPE]:[UNIT]],'Unit Price'!C$1,FALSE),0)</f>
        <v>0</v>
      </c>
      <c r="H62" s="236">
        <f>IF(DBparts1[[#This Row],[Type]]&gt;0,VLOOKUP(DBparts1[[#This Row],[Type]],Main[[#All],[TYPE]:[UNIT]],'Unit Price'!D$1,FALSE),0)</f>
        <v>0</v>
      </c>
      <c r="I62" s="194">
        <f>IF(DBparts1[[#This Row],[Type]]&gt;0,VLOOKUP(DBparts1[[#This Row],[Type]],Main[[#All],[TYPE]:[UNIT]],'Unit Price'!G$1,FALSE),0)</f>
        <v>0</v>
      </c>
      <c r="J62" s="194">
        <f>IF(DBparts1[[#This Row],[Type]]&gt;0,VLOOKUP(DBparts1[[#This Row],[Type]],Main[[#All],[TYPE]:[UNIT]],'Unit Price'!H$1,FALSE),0)</f>
        <v>0</v>
      </c>
      <c r="K62" s="194">
        <f>IF(DBparts1[[#This Row],[Type]]&gt;0,VLOOKUP(DBparts1[[#This Row],[Discount seletion]],'Discount Structure'!$A$2:$B$30,2,"false"),0)</f>
        <v>0</v>
      </c>
      <c r="L62" s="194">
        <f>DBparts1[[#This Row],[LIST $]]*DBparts1[[#This Row],[DISCOUNT]]*DBparts1[[#This Row],[DISCOUNT 2]]</f>
        <v>0</v>
      </c>
      <c r="O62" s="118"/>
    </row>
    <row r="63" spans="1:19">
      <c r="A63" s="39">
        <v>61</v>
      </c>
      <c r="B63" s="162"/>
      <c r="C63" s="163"/>
      <c r="D63" s="163"/>
      <c r="E63" s="181"/>
      <c r="F63" s="168" t="s">
        <v>6202</v>
      </c>
      <c r="G63" s="233">
        <f>IF(DBparts1[[#This Row],[Type]]&gt;0,VLOOKUP(DBparts1[[#This Row],[Type]],Main[[#All],[TYPE]:[UNIT]],'Unit Price'!C$1,FALSE),0)</f>
        <v>0</v>
      </c>
      <c r="H63" s="235">
        <f>IF(DBparts1[[#This Row],[Type]]&gt;0,VLOOKUP(DBparts1[[#This Row],[Type]],Main[[#All],[TYPE]:[UNIT]],'Unit Price'!D$1,FALSE),0)</f>
        <v>0</v>
      </c>
      <c r="I63" s="194">
        <f>IF(DBparts1[[#This Row],[Type]]&gt;0,VLOOKUP(DBparts1[[#This Row],[Type]],Main[[#All],[TYPE]:[UNIT]],'Unit Price'!G$1,FALSE),0)</f>
        <v>0</v>
      </c>
      <c r="J63" s="194">
        <f>IF(DBparts1[[#This Row],[Type]]&gt;0,VLOOKUP(DBparts1[[#This Row],[Type]],Main[[#All],[TYPE]:[UNIT]],'Unit Price'!H$1,FALSE),0)</f>
        <v>0</v>
      </c>
      <c r="K63" s="194">
        <f>IF(DBparts1[[#This Row],[Type]]&gt;0,VLOOKUP(DBparts1[[#This Row],[Discount seletion]],'Discount Structure'!$A$2:$B$30,2,"false"),0)</f>
        <v>0</v>
      </c>
      <c r="L63" s="194">
        <f>DBparts1[[#This Row],[LIST $]]*DBparts1[[#This Row],[DISCOUNT]]*DBparts1[[#This Row],[DISCOUNT 2]]</f>
        <v>0</v>
      </c>
      <c r="O63" s="118"/>
      <c r="P63" s="41" t="s">
        <v>6182</v>
      </c>
    </row>
    <row r="64" spans="1:19">
      <c r="A64" s="39">
        <v>62</v>
      </c>
      <c r="B64" s="164"/>
      <c r="C64" s="165"/>
      <c r="D64" s="165"/>
      <c r="E64" s="181"/>
      <c r="F64" s="168" t="s">
        <v>6202</v>
      </c>
      <c r="G64" s="234">
        <f>IF(DBparts1[[#This Row],[Type]]&gt;0,VLOOKUP(DBparts1[[#This Row],[Type]],Main[[#All],[TYPE]:[UNIT]],'Unit Price'!C$1,FALSE),0)</f>
        <v>0</v>
      </c>
      <c r="H64" s="236">
        <f>IF(DBparts1[[#This Row],[Type]]&gt;0,VLOOKUP(DBparts1[[#This Row],[Type]],Main[[#All],[TYPE]:[UNIT]],'Unit Price'!D$1,FALSE),0)</f>
        <v>0</v>
      </c>
      <c r="I64" s="194">
        <f>IF(DBparts1[[#This Row],[Type]]&gt;0,VLOOKUP(DBparts1[[#This Row],[Type]],Main[[#All],[TYPE]:[UNIT]],'Unit Price'!G$1,FALSE),0)</f>
        <v>0</v>
      </c>
      <c r="J64" s="194">
        <f>IF(DBparts1[[#This Row],[Type]]&gt;0,VLOOKUP(DBparts1[[#This Row],[Type]],Main[[#All],[TYPE]:[UNIT]],'Unit Price'!H$1,FALSE),0)</f>
        <v>0</v>
      </c>
      <c r="K64" s="194">
        <f>IF(DBparts1[[#This Row],[Type]]&gt;0,VLOOKUP(DBparts1[[#This Row],[Discount seletion]],'Discount Structure'!$A$2:$B$30,2,"false"),0)</f>
        <v>0</v>
      </c>
      <c r="L64" s="194">
        <f>DBparts1[[#This Row],[LIST $]]*DBparts1[[#This Row],[DISCOUNT]]*DBparts1[[#This Row],[DISCOUNT 2]]</f>
        <v>0</v>
      </c>
      <c r="O64" s="118"/>
      <c r="P64" s="41" t="s">
        <v>6183</v>
      </c>
      <c r="S64" s="41" t="s">
        <v>313</v>
      </c>
    </row>
    <row r="65" spans="1:19">
      <c r="A65" s="39">
        <v>63</v>
      </c>
      <c r="B65" s="162"/>
      <c r="C65" s="163"/>
      <c r="D65" s="163"/>
      <c r="E65" s="180"/>
      <c r="F65" s="168" t="s">
        <v>6202</v>
      </c>
      <c r="G65" s="233">
        <f>IF(DBparts1[[#This Row],[Type]]&gt;0,VLOOKUP(DBparts1[[#This Row],[Type]],Main[[#All],[TYPE]:[UNIT]],'Unit Price'!C$1,FALSE),0)</f>
        <v>0</v>
      </c>
      <c r="H65" s="235">
        <f>IF(DBparts1[[#This Row],[Type]]&gt;0,VLOOKUP(DBparts1[[#This Row],[Type]],Main[[#All],[TYPE]:[UNIT]],'Unit Price'!D$1,FALSE),0)</f>
        <v>0</v>
      </c>
      <c r="I65" s="194">
        <f>IF(DBparts1[[#This Row],[Type]]&gt;0,VLOOKUP(DBparts1[[#This Row],[Type]],Main[[#All],[TYPE]:[UNIT]],'Unit Price'!G$1,FALSE),0)</f>
        <v>0</v>
      </c>
      <c r="J65" s="194">
        <f>IF(DBparts1[[#This Row],[Type]]&gt;0,VLOOKUP(DBparts1[[#This Row],[Type]],Main[[#All],[TYPE]:[UNIT]],'Unit Price'!H$1,FALSE),0)</f>
        <v>0</v>
      </c>
      <c r="K65" s="194">
        <f>IF(DBparts1[[#This Row],[Type]]&gt;0,VLOOKUP(DBparts1[[#This Row],[Discount seletion]],'Discount Structure'!$A$2:$B$30,2,"false"),0)</f>
        <v>0</v>
      </c>
      <c r="L65" s="194">
        <f>DBparts1[[#This Row],[LIST $]]*DBparts1[[#This Row],[DISCOUNT]]*DBparts1[[#This Row],[DISCOUNT 2]]</f>
        <v>0</v>
      </c>
      <c r="O65" s="118"/>
      <c r="P65" s="41" t="s">
        <v>6184</v>
      </c>
      <c r="S65" s="41" t="s">
        <v>335</v>
      </c>
    </row>
    <row r="66" spans="1:19">
      <c r="A66" s="39">
        <v>64</v>
      </c>
      <c r="B66" s="164"/>
      <c r="C66" s="165"/>
      <c r="D66" s="165"/>
      <c r="E66" s="181"/>
      <c r="F66" s="168" t="s">
        <v>6202</v>
      </c>
      <c r="G66" s="234">
        <f>IF(DBparts1[[#This Row],[Type]]&gt;0,VLOOKUP(DBparts1[[#This Row],[Type]],Main[[#All],[TYPE]:[UNIT]],'Unit Price'!C$1,FALSE),0)</f>
        <v>0</v>
      </c>
      <c r="H66" s="236">
        <f>IF(DBparts1[[#This Row],[Type]]&gt;0,VLOOKUP(DBparts1[[#This Row],[Type]],Main[[#All],[TYPE]:[UNIT]],'Unit Price'!D$1,FALSE),0)</f>
        <v>0</v>
      </c>
      <c r="I66" s="194">
        <f>IF(DBparts1[[#This Row],[Type]]&gt;0,VLOOKUP(DBparts1[[#This Row],[Type]],Main[[#All],[TYPE]:[UNIT]],'Unit Price'!G$1,FALSE),0)</f>
        <v>0</v>
      </c>
      <c r="J66" s="194">
        <f>IF(DBparts1[[#This Row],[Type]]&gt;0,VLOOKUP(DBparts1[[#This Row],[Type]],Main[[#All],[TYPE]:[UNIT]],'Unit Price'!H$1,FALSE),0)</f>
        <v>0</v>
      </c>
      <c r="K66" s="194">
        <f>IF(DBparts1[[#This Row],[Type]]&gt;0,VLOOKUP(DBparts1[[#This Row],[Discount seletion]],'Discount Structure'!$A$2:$B$30,2,"false"),0)</f>
        <v>0</v>
      </c>
      <c r="L66" s="194">
        <f>DBparts1[[#This Row],[LIST $]]*DBparts1[[#This Row],[DISCOUNT]]*DBparts1[[#This Row],[DISCOUNT 2]]</f>
        <v>0</v>
      </c>
      <c r="O66" s="118"/>
    </row>
    <row r="67" spans="1:19">
      <c r="A67" s="39">
        <v>65</v>
      </c>
      <c r="B67" s="162"/>
      <c r="C67" s="163"/>
      <c r="D67" s="163"/>
      <c r="E67" s="181"/>
      <c r="F67" s="168" t="s">
        <v>6202</v>
      </c>
      <c r="G67" s="233">
        <f>IF(DBparts1[[#This Row],[Type]]&gt;0,VLOOKUP(DBparts1[[#This Row],[Type]],Main[[#All],[TYPE]:[UNIT]],'Unit Price'!C$1,FALSE),0)</f>
        <v>0</v>
      </c>
      <c r="H67" s="235">
        <f>IF(DBparts1[[#This Row],[Type]]&gt;0,VLOOKUP(DBparts1[[#This Row],[Type]],Main[[#All],[TYPE]:[UNIT]],'Unit Price'!D$1,FALSE),0)</f>
        <v>0</v>
      </c>
      <c r="I67" s="194">
        <f>IF(DBparts1[[#This Row],[Type]]&gt;0,VLOOKUP(DBparts1[[#This Row],[Type]],Main[[#All],[TYPE]:[UNIT]],'Unit Price'!G$1,FALSE),0)</f>
        <v>0</v>
      </c>
      <c r="J67" s="194">
        <f>IF(DBparts1[[#This Row],[Type]]&gt;0,VLOOKUP(DBparts1[[#This Row],[Type]],Main[[#All],[TYPE]:[UNIT]],'Unit Price'!H$1,FALSE),0)</f>
        <v>0</v>
      </c>
      <c r="K67" s="194">
        <f>IF(DBparts1[[#This Row],[Type]]&gt;0,VLOOKUP(DBparts1[[#This Row],[Discount seletion]],'Discount Structure'!$A$2:$B$30,2,"false"),0)</f>
        <v>0</v>
      </c>
      <c r="L67" s="194">
        <f>DBparts1[[#This Row],[LIST $]]*DBparts1[[#This Row],[DISCOUNT]]*DBparts1[[#This Row],[DISCOUNT 2]]</f>
        <v>0</v>
      </c>
      <c r="O67" s="118"/>
      <c r="P67" s="41" t="s">
        <v>6185</v>
      </c>
    </row>
    <row r="68" spans="1:19">
      <c r="A68" s="39">
        <v>66</v>
      </c>
      <c r="B68" s="164"/>
      <c r="C68" s="165"/>
      <c r="D68" s="165"/>
      <c r="E68" s="181"/>
      <c r="F68" s="168" t="s">
        <v>6202</v>
      </c>
      <c r="G68" s="234">
        <f>IF(DBparts1[[#This Row],[Type]]&gt;0,VLOOKUP(DBparts1[[#This Row],[Type]],Main[[#All],[TYPE]:[UNIT]],'Unit Price'!C$1,FALSE),0)</f>
        <v>0</v>
      </c>
      <c r="H68" s="236">
        <f>IF(DBparts1[[#This Row],[Type]]&gt;0,VLOOKUP(DBparts1[[#This Row],[Type]],Main[[#All],[TYPE]:[UNIT]],'Unit Price'!D$1,FALSE),0)</f>
        <v>0</v>
      </c>
      <c r="I68" s="194">
        <f>IF(DBparts1[[#This Row],[Type]]&gt;0,VLOOKUP(DBparts1[[#This Row],[Type]],Main[[#All],[TYPE]:[UNIT]],'Unit Price'!G$1,FALSE),0)</f>
        <v>0</v>
      </c>
      <c r="J68" s="194">
        <f>IF(DBparts1[[#This Row],[Type]]&gt;0,VLOOKUP(DBparts1[[#This Row],[Type]],Main[[#All],[TYPE]:[UNIT]],'Unit Price'!H$1,FALSE),0)</f>
        <v>0</v>
      </c>
      <c r="K68" s="194">
        <f>IF(DBparts1[[#This Row],[Type]]&gt;0,VLOOKUP(DBparts1[[#This Row],[Discount seletion]],'Discount Structure'!$A$2:$B$30,2,"false"),0)</f>
        <v>0</v>
      </c>
      <c r="L68" s="194">
        <f>DBparts1[[#This Row],[LIST $]]*DBparts1[[#This Row],[DISCOUNT]]*DBparts1[[#This Row],[DISCOUNT 2]]</f>
        <v>0</v>
      </c>
      <c r="O68" s="118"/>
      <c r="P68" s="41" t="s">
        <v>6183</v>
      </c>
      <c r="S68" s="41" t="s">
        <v>1665</v>
      </c>
    </row>
    <row r="69" spans="1:19">
      <c r="A69" s="39">
        <v>67</v>
      </c>
      <c r="B69" s="162"/>
      <c r="C69" s="163"/>
      <c r="D69" s="163"/>
      <c r="E69" s="181"/>
      <c r="F69" s="168" t="s">
        <v>6202</v>
      </c>
      <c r="G69" s="233">
        <f>IF(DBparts1[[#This Row],[Type]]&gt;0,VLOOKUP(DBparts1[[#This Row],[Type]],Main[[#All],[TYPE]:[UNIT]],'Unit Price'!C$1,FALSE),0)</f>
        <v>0</v>
      </c>
      <c r="H69" s="235">
        <f>IF(DBparts1[[#This Row],[Type]]&gt;0,VLOOKUP(DBparts1[[#This Row],[Type]],Main[[#All],[TYPE]:[UNIT]],'Unit Price'!D$1,FALSE),0)</f>
        <v>0</v>
      </c>
      <c r="I69" s="194">
        <f>IF(DBparts1[[#This Row],[Type]]&gt;0,VLOOKUP(DBparts1[[#This Row],[Type]],Main[[#All],[TYPE]:[UNIT]],'Unit Price'!G$1,FALSE),0)</f>
        <v>0</v>
      </c>
      <c r="J69" s="194">
        <f>IF(DBparts1[[#This Row],[Type]]&gt;0,VLOOKUP(DBparts1[[#This Row],[Type]],Main[[#All],[TYPE]:[UNIT]],'Unit Price'!H$1,FALSE),0)</f>
        <v>0</v>
      </c>
      <c r="K69" s="194">
        <f>IF(DBparts1[[#This Row],[Type]]&gt;0,VLOOKUP(DBparts1[[#This Row],[Discount seletion]],'Discount Structure'!$A$2:$B$30,2,"false"),0)</f>
        <v>0</v>
      </c>
      <c r="L69" s="194">
        <f>DBparts1[[#This Row],[LIST $]]*DBparts1[[#This Row],[DISCOUNT]]*DBparts1[[#This Row],[DISCOUNT 2]]</f>
        <v>0</v>
      </c>
      <c r="O69" s="118"/>
      <c r="P69" s="41" t="s">
        <v>6184</v>
      </c>
      <c r="S69" s="41" t="s">
        <v>347</v>
      </c>
    </row>
    <row r="70" spans="1:19">
      <c r="A70" s="39">
        <v>68</v>
      </c>
      <c r="B70" s="164"/>
      <c r="C70" s="165"/>
      <c r="D70" s="165"/>
      <c r="E70" s="181"/>
      <c r="F70" s="168" t="s">
        <v>6202</v>
      </c>
      <c r="G70" s="234">
        <f>IF(DBparts1[[#This Row],[Type]]&gt;0,VLOOKUP(DBparts1[[#This Row],[Type]],Main[[#All],[TYPE]:[UNIT]],'Unit Price'!C$1,FALSE),0)</f>
        <v>0</v>
      </c>
      <c r="H70" s="236">
        <f>IF(DBparts1[[#This Row],[Type]]&gt;0,VLOOKUP(DBparts1[[#This Row],[Type]],Main[[#All],[TYPE]:[UNIT]],'Unit Price'!D$1,FALSE),0)</f>
        <v>0</v>
      </c>
      <c r="I70" s="194">
        <f>IF(DBparts1[[#This Row],[Type]]&gt;0,VLOOKUP(DBparts1[[#This Row],[Type]],Main[[#All],[TYPE]:[UNIT]],'Unit Price'!G$1,FALSE),0)</f>
        <v>0</v>
      </c>
      <c r="J70" s="194">
        <f>IF(DBparts1[[#This Row],[Type]]&gt;0,VLOOKUP(DBparts1[[#This Row],[Type]],Main[[#All],[TYPE]:[UNIT]],'Unit Price'!H$1,FALSE),0)</f>
        <v>0</v>
      </c>
      <c r="K70" s="194">
        <f>IF(DBparts1[[#This Row],[Type]]&gt;0,VLOOKUP(DBparts1[[#This Row],[Discount seletion]],'Discount Structure'!$A$2:$B$30,2,"false"),0)</f>
        <v>0</v>
      </c>
      <c r="L70" s="194">
        <f>DBparts1[[#This Row],[LIST $]]*DBparts1[[#This Row],[DISCOUNT]]*DBparts1[[#This Row],[DISCOUNT 2]]</f>
        <v>0</v>
      </c>
      <c r="O70" s="118"/>
    </row>
    <row r="71" spans="1:19">
      <c r="A71" s="39">
        <v>69</v>
      </c>
      <c r="B71" s="162"/>
      <c r="C71" s="163"/>
      <c r="D71" s="163"/>
      <c r="E71" s="181"/>
      <c r="F71" s="168" t="s">
        <v>6202</v>
      </c>
      <c r="G71" s="233">
        <f>IF(DBparts1[[#This Row],[Type]]&gt;0,VLOOKUP(DBparts1[[#This Row],[Type]],Main[[#All],[TYPE]:[UNIT]],'Unit Price'!C$1,FALSE),0)</f>
        <v>0</v>
      </c>
      <c r="H71" s="235">
        <f>IF(DBparts1[[#This Row],[Type]]&gt;0,VLOOKUP(DBparts1[[#This Row],[Type]],Main[[#All],[TYPE]:[UNIT]],'Unit Price'!D$1,FALSE),0)</f>
        <v>0</v>
      </c>
      <c r="I71" s="194">
        <f>IF(DBparts1[[#This Row],[Type]]&gt;0,VLOOKUP(DBparts1[[#This Row],[Type]],Main[[#All],[TYPE]:[UNIT]],'Unit Price'!G$1,FALSE),0)</f>
        <v>0</v>
      </c>
      <c r="J71" s="194">
        <f>IF(DBparts1[[#This Row],[Type]]&gt;0,VLOOKUP(DBparts1[[#This Row],[Type]],Main[[#All],[TYPE]:[UNIT]],'Unit Price'!H$1,FALSE),0)</f>
        <v>0</v>
      </c>
      <c r="K71" s="194">
        <f>IF(DBparts1[[#This Row],[Type]]&gt;0,VLOOKUP(DBparts1[[#This Row],[Discount seletion]],'Discount Structure'!$A$2:$B$30,2,"false"),0)</f>
        <v>0</v>
      </c>
      <c r="L71" s="194">
        <f>DBparts1[[#This Row],[LIST $]]*DBparts1[[#This Row],[DISCOUNT]]*DBparts1[[#This Row],[DISCOUNT 2]]</f>
        <v>0</v>
      </c>
      <c r="O71" s="118"/>
      <c r="P71" s="41" t="s">
        <v>6186</v>
      </c>
    </row>
    <row r="72" spans="1:19">
      <c r="A72" s="39">
        <v>70</v>
      </c>
      <c r="B72" s="164"/>
      <c r="C72" s="165"/>
      <c r="D72" s="165"/>
      <c r="E72" s="181"/>
      <c r="F72" s="168" t="s">
        <v>6202</v>
      </c>
      <c r="G72" s="234">
        <f>IF(DBparts1[[#This Row],[Type]]&gt;0,VLOOKUP(DBparts1[[#This Row],[Type]],Main[[#All],[TYPE]:[UNIT]],'Unit Price'!C$1,FALSE),0)</f>
        <v>0</v>
      </c>
      <c r="H72" s="236">
        <f>IF(DBparts1[[#This Row],[Type]]&gt;0,VLOOKUP(DBparts1[[#This Row],[Type]],Main[[#All],[TYPE]:[UNIT]],'Unit Price'!D$1,FALSE),0)</f>
        <v>0</v>
      </c>
      <c r="I72" s="194">
        <f>IF(DBparts1[[#This Row],[Type]]&gt;0,VLOOKUP(DBparts1[[#This Row],[Type]],Main[[#All],[TYPE]:[UNIT]],'Unit Price'!G$1,FALSE),0)</f>
        <v>0</v>
      </c>
      <c r="J72" s="194">
        <f>IF(DBparts1[[#This Row],[Type]]&gt;0,VLOOKUP(DBparts1[[#This Row],[Type]],Main[[#All],[TYPE]:[UNIT]],'Unit Price'!H$1,FALSE),0)</f>
        <v>0</v>
      </c>
      <c r="K72" s="194">
        <f>IF(DBparts1[[#This Row],[Type]]&gt;0,VLOOKUP(DBparts1[[#This Row],[Discount seletion]],'Discount Structure'!$A$2:$B$30,2,"false"),0)</f>
        <v>0</v>
      </c>
      <c r="L72" s="194">
        <f>DBparts1[[#This Row],[LIST $]]*DBparts1[[#This Row],[DISCOUNT]]*DBparts1[[#This Row],[DISCOUNT 2]]</f>
        <v>0</v>
      </c>
      <c r="O72" s="118"/>
      <c r="P72" s="41" t="s">
        <v>6187</v>
      </c>
      <c r="S72" s="41" t="s">
        <v>301</v>
      </c>
    </row>
    <row r="73" spans="1:19">
      <c r="A73" s="39">
        <v>71</v>
      </c>
      <c r="B73" s="162"/>
      <c r="C73" s="163"/>
      <c r="D73" s="163"/>
      <c r="E73" s="180"/>
      <c r="F73" s="168" t="s">
        <v>6202</v>
      </c>
      <c r="G73" s="233">
        <f>IF(DBparts1[[#This Row],[Type]]&gt;0,VLOOKUP(DBparts1[[#This Row],[Type]],Main[[#All],[TYPE]:[UNIT]],'Unit Price'!C$1,FALSE),0)</f>
        <v>0</v>
      </c>
      <c r="H73" s="235">
        <f>IF(DBparts1[[#This Row],[Type]]&gt;0,VLOOKUP(DBparts1[[#This Row],[Type]],Main[[#All],[TYPE]:[UNIT]],'Unit Price'!D$1,FALSE),0)</f>
        <v>0</v>
      </c>
      <c r="I73" s="194">
        <f>IF(DBparts1[[#This Row],[Type]]&gt;0,VLOOKUP(DBparts1[[#This Row],[Type]],Main[[#All],[TYPE]:[UNIT]],'Unit Price'!G$1,FALSE),0)</f>
        <v>0</v>
      </c>
      <c r="J73" s="194">
        <f>IF(DBparts1[[#This Row],[Type]]&gt;0,VLOOKUP(DBparts1[[#This Row],[Type]],Main[[#All],[TYPE]:[UNIT]],'Unit Price'!H$1,FALSE),0)</f>
        <v>0</v>
      </c>
      <c r="K73" s="194">
        <f>IF(DBparts1[[#This Row],[Type]]&gt;0,VLOOKUP(DBparts1[[#This Row],[Discount seletion]],'Discount Structure'!$A$2:$B$30,2,"false"),0)</f>
        <v>0</v>
      </c>
      <c r="L73" s="194">
        <f>DBparts1[[#This Row],[LIST $]]*DBparts1[[#This Row],[DISCOUNT]]*DBparts1[[#This Row],[DISCOUNT 2]]</f>
        <v>0</v>
      </c>
      <c r="O73" s="118"/>
      <c r="P73" s="41" t="s">
        <v>6188</v>
      </c>
      <c r="S73" s="41" t="s">
        <v>304</v>
      </c>
    </row>
    <row r="74" spans="1:19">
      <c r="A74" s="39">
        <v>72</v>
      </c>
      <c r="B74" s="164"/>
      <c r="C74" s="165"/>
      <c r="D74" s="165"/>
      <c r="E74" s="181"/>
      <c r="F74" s="168" t="s">
        <v>6202</v>
      </c>
      <c r="G74" s="234">
        <f>IF(DBparts1[[#This Row],[Type]]&gt;0,VLOOKUP(DBparts1[[#This Row],[Type]],Main[[#All],[TYPE]:[UNIT]],'Unit Price'!C$1,FALSE),0)</f>
        <v>0</v>
      </c>
      <c r="H74" s="236">
        <f>IF(DBparts1[[#This Row],[Type]]&gt;0,VLOOKUP(DBparts1[[#This Row],[Type]],Main[[#All],[TYPE]:[UNIT]],'Unit Price'!D$1,FALSE),0)</f>
        <v>0</v>
      </c>
      <c r="I74" s="194">
        <f>IF(DBparts1[[#This Row],[Type]]&gt;0,VLOOKUP(DBparts1[[#This Row],[Type]],Main[[#All],[TYPE]:[UNIT]],'Unit Price'!G$1,FALSE),0)</f>
        <v>0</v>
      </c>
      <c r="J74" s="194">
        <f>IF(DBparts1[[#This Row],[Type]]&gt;0,VLOOKUP(DBparts1[[#This Row],[Type]],Main[[#All],[TYPE]:[UNIT]],'Unit Price'!H$1,FALSE),0)</f>
        <v>0</v>
      </c>
      <c r="K74" s="194">
        <f>IF(DBparts1[[#This Row],[Type]]&gt;0,VLOOKUP(DBparts1[[#This Row],[Discount seletion]],'Discount Structure'!$A$2:$B$30,2,"false"),0)</f>
        <v>0</v>
      </c>
      <c r="L74" s="194">
        <f>DBparts1[[#This Row],[LIST $]]*DBparts1[[#This Row],[DISCOUNT]]*DBparts1[[#This Row],[DISCOUNT 2]]</f>
        <v>0</v>
      </c>
      <c r="O74" s="118"/>
      <c r="P74" s="41" t="s">
        <v>6189</v>
      </c>
      <c r="S74" s="41" t="s">
        <v>325</v>
      </c>
    </row>
    <row r="75" spans="1:19">
      <c r="A75" s="39">
        <v>73</v>
      </c>
      <c r="B75" s="162"/>
      <c r="C75" s="163"/>
      <c r="D75" s="163"/>
      <c r="E75" s="181"/>
      <c r="F75" s="168" t="s">
        <v>6202</v>
      </c>
      <c r="G75" s="233">
        <f>IF(DBparts1[[#This Row],[Type]]&gt;0,VLOOKUP(DBparts1[[#This Row],[Type]],Main[[#All],[TYPE]:[UNIT]],'Unit Price'!C$1,FALSE),0)</f>
        <v>0</v>
      </c>
      <c r="H75" s="235">
        <f>IF(DBparts1[[#This Row],[Type]]&gt;0,VLOOKUP(DBparts1[[#This Row],[Type]],Main[[#All],[TYPE]:[UNIT]],'Unit Price'!D$1,FALSE),0)</f>
        <v>0</v>
      </c>
      <c r="I75" s="194">
        <f>IF(DBparts1[[#This Row],[Type]]&gt;0,VLOOKUP(DBparts1[[#This Row],[Type]],Main[[#All],[TYPE]:[UNIT]],'Unit Price'!G$1,FALSE),0)</f>
        <v>0</v>
      </c>
      <c r="J75" s="194">
        <f>IF(DBparts1[[#This Row],[Type]]&gt;0,VLOOKUP(DBparts1[[#This Row],[Type]],Main[[#All],[TYPE]:[UNIT]],'Unit Price'!H$1,FALSE),0)</f>
        <v>0</v>
      </c>
      <c r="K75" s="194">
        <f>IF(DBparts1[[#This Row],[Type]]&gt;0,VLOOKUP(DBparts1[[#This Row],[Discount seletion]],'Discount Structure'!$A$2:$B$30,2,"false"),0)</f>
        <v>0</v>
      </c>
      <c r="L75" s="194">
        <f>DBparts1[[#This Row],[LIST $]]*DBparts1[[#This Row],[DISCOUNT]]*DBparts1[[#This Row],[DISCOUNT 2]]</f>
        <v>0</v>
      </c>
      <c r="O75" s="118"/>
      <c r="P75" s="41" t="s">
        <v>7311</v>
      </c>
      <c r="S75" s="41" t="s">
        <v>7311</v>
      </c>
    </row>
    <row r="76" spans="1:19">
      <c r="A76" s="39">
        <v>74</v>
      </c>
      <c r="B76" s="164"/>
      <c r="C76" s="165"/>
      <c r="D76" s="165"/>
      <c r="E76" s="181"/>
      <c r="F76" s="168" t="s">
        <v>6202</v>
      </c>
      <c r="G76" s="234">
        <f>IF(DBparts1[[#This Row],[Type]]&gt;0,VLOOKUP(DBparts1[[#This Row],[Type]],Main[[#All],[TYPE]:[UNIT]],'Unit Price'!C$1,FALSE),0)</f>
        <v>0</v>
      </c>
      <c r="H76" s="236">
        <f>IF(DBparts1[[#This Row],[Type]]&gt;0,VLOOKUP(DBparts1[[#This Row],[Type]],Main[[#All],[TYPE]:[UNIT]],'Unit Price'!D$1,FALSE),0)</f>
        <v>0</v>
      </c>
      <c r="I76" s="194">
        <f>IF(DBparts1[[#This Row],[Type]]&gt;0,VLOOKUP(DBparts1[[#This Row],[Type]],Main[[#All],[TYPE]:[UNIT]],'Unit Price'!G$1,FALSE),0)</f>
        <v>0</v>
      </c>
      <c r="J76" s="194">
        <f>IF(DBparts1[[#This Row],[Type]]&gt;0,VLOOKUP(DBparts1[[#This Row],[Type]],Main[[#All],[TYPE]:[UNIT]],'Unit Price'!H$1,FALSE),0)</f>
        <v>0</v>
      </c>
      <c r="K76" s="194">
        <f>IF(DBparts1[[#This Row],[Type]]&gt;0,VLOOKUP(DBparts1[[#This Row],[Discount seletion]],'Discount Structure'!$A$2:$B$30,2,"false"),0)</f>
        <v>0</v>
      </c>
      <c r="L76" s="194">
        <f>DBparts1[[#This Row],[LIST $]]*DBparts1[[#This Row],[DISCOUNT]]*DBparts1[[#This Row],[DISCOUNT 2]]</f>
        <v>0</v>
      </c>
      <c r="O76" s="118"/>
      <c r="P76" s="41" t="s">
        <v>6190</v>
      </c>
      <c r="S76" s="41" t="s">
        <v>307</v>
      </c>
    </row>
    <row r="77" spans="1:19">
      <c r="A77" s="39">
        <v>75</v>
      </c>
      <c r="B77" s="162"/>
      <c r="C77" s="163"/>
      <c r="D77" s="163"/>
      <c r="E77" s="181"/>
      <c r="F77" s="168" t="s">
        <v>6202</v>
      </c>
      <c r="G77" s="233">
        <f>IF(DBparts1[[#This Row],[Type]]&gt;0,VLOOKUP(DBparts1[[#This Row],[Type]],Main[[#All],[TYPE]:[UNIT]],'Unit Price'!C$1,FALSE),0)</f>
        <v>0</v>
      </c>
      <c r="H77" s="235">
        <f>IF(DBparts1[[#This Row],[Type]]&gt;0,VLOOKUP(DBparts1[[#This Row],[Type]],Main[[#All],[TYPE]:[UNIT]],'Unit Price'!D$1,FALSE),0)</f>
        <v>0</v>
      </c>
      <c r="I77" s="194">
        <f>IF(DBparts1[[#This Row],[Type]]&gt;0,VLOOKUP(DBparts1[[#This Row],[Type]],Main[[#All],[TYPE]:[UNIT]],'Unit Price'!G$1,FALSE),0)</f>
        <v>0</v>
      </c>
      <c r="J77" s="194">
        <f>IF(DBparts1[[#This Row],[Type]]&gt;0,VLOOKUP(DBparts1[[#This Row],[Type]],Main[[#All],[TYPE]:[UNIT]],'Unit Price'!H$1,FALSE),0)</f>
        <v>0</v>
      </c>
      <c r="K77" s="194">
        <f>IF(DBparts1[[#This Row],[Type]]&gt;0,VLOOKUP(DBparts1[[#This Row],[Discount seletion]],'Discount Structure'!$A$2:$B$30,2,"false"),0)</f>
        <v>0</v>
      </c>
      <c r="L77" s="194">
        <f>DBparts1[[#This Row],[LIST $]]*DBparts1[[#This Row],[DISCOUNT]]*DBparts1[[#This Row],[DISCOUNT 2]]</f>
        <v>0</v>
      </c>
      <c r="O77" s="118"/>
      <c r="P77" s="41" t="s">
        <v>6191</v>
      </c>
      <c r="S77" s="41" t="s">
        <v>327</v>
      </c>
    </row>
    <row r="78" spans="1:19">
      <c r="A78" s="39">
        <v>76</v>
      </c>
      <c r="B78" s="164"/>
      <c r="C78" s="165"/>
      <c r="D78" s="165"/>
      <c r="E78" s="181"/>
      <c r="F78" s="168" t="s">
        <v>6202</v>
      </c>
      <c r="G78" s="234">
        <f>IF(DBparts1[[#This Row],[Type]]&gt;0,VLOOKUP(DBparts1[[#This Row],[Type]],Main[[#All],[TYPE]:[UNIT]],'Unit Price'!C$1,FALSE),0)</f>
        <v>0</v>
      </c>
      <c r="H78" s="236">
        <f>IF(DBparts1[[#This Row],[Type]]&gt;0,VLOOKUP(DBparts1[[#This Row],[Type]],Main[[#All],[TYPE]:[UNIT]],'Unit Price'!D$1,FALSE),0)</f>
        <v>0</v>
      </c>
      <c r="I78" s="194">
        <f>IF(DBparts1[[#This Row],[Type]]&gt;0,VLOOKUP(DBparts1[[#This Row],[Type]],Main[[#All],[TYPE]:[UNIT]],'Unit Price'!G$1,FALSE),0)</f>
        <v>0</v>
      </c>
      <c r="J78" s="194">
        <f>IF(DBparts1[[#This Row],[Type]]&gt;0,VLOOKUP(DBparts1[[#This Row],[Type]],Main[[#All],[TYPE]:[UNIT]],'Unit Price'!H$1,FALSE),0)</f>
        <v>0</v>
      </c>
      <c r="K78" s="194">
        <f>IF(DBparts1[[#This Row],[Type]]&gt;0,VLOOKUP(DBparts1[[#This Row],[Discount seletion]],'Discount Structure'!$A$2:$B$30,2,"false"),0)</f>
        <v>0</v>
      </c>
      <c r="L78" s="194">
        <f>DBparts1[[#This Row],[LIST $]]*DBparts1[[#This Row],[DISCOUNT]]*DBparts1[[#This Row],[DISCOUNT 2]]</f>
        <v>0</v>
      </c>
      <c r="O78" s="118"/>
      <c r="P78" s="41" t="s">
        <v>6192</v>
      </c>
      <c r="S78" s="41" t="s">
        <v>1701</v>
      </c>
    </row>
    <row r="79" spans="1:19">
      <c r="A79" s="39">
        <v>77</v>
      </c>
      <c r="B79" s="162"/>
      <c r="C79" s="163"/>
      <c r="D79" s="163"/>
      <c r="E79" s="181"/>
      <c r="F79" s="168" t="s">
        <v>6202</v>
      </c>
      <c r="G79" s="233">
        <f>IF(DBparts1[[#This Row],[Type]]&gt;0,VLOOKUP(DBparts1[[#This Row],[Type]],Main[[#All],[TYPE]:[UNIT]],'Unit Price'!C$1,FALSE),0)</f>
        <v>0</v>
      </c>
      <c r="H79" s="235">
        <f>IF(DBparts1[[#This Row],[Type]]&gt;0,VLOOKUP(DBparts1[[#This Row],[Type]],Main[[#All],[TYPE]:[UNIT]],'Unit Price'!D$1,FALSE),0)</f>
        <v>0</v>
      </c>
      <c r="I79" s="194">
        <f>IF(DBparts1[[#This Row],[Type]]&gt;0,VLOOKUP(DBparts1[[#This Row],[Type]],Main[[#All],[TYPE]:[UNIT]],'Unit Price'!G$1,FALSE),0)</f>
        <v>0</v>
      </c>
      <c r="J79" s="194">
        <f>IF(DBparts1[[#This Row],[Type]]&gt;0,VLOOKUP(DBparts1[[#This Row],[Type]],Main[[#All],[TYPE]:[UNIT]],'Unit Price'!H$1,FALSE),0)</f>
        <v>0</v>
      </c>
      <c r="K79" s="194">
        <f>IF(DBparts1[[#This Row],[Type]]&gt;0,VLOOKUP(DBparts1[[#This Row],[Discount seletion]],'Discount Structure'!$A$2:$B$30,2,"false"),0)</f>
        <v>0</v>
      </c>
      <c r="L79" s="194">
        <f>DBparts1[[#This Row],[LIST $]]*DBparts1[[#This Row],[DISCOUNT]]*DBparts1[[#This Row],[DISCOUNT 2]]</f>
        <v>0</v>
      </c>
      <c r="O79" s="118"/>
      <c r="P79" s="41" t="s">
        <v>6193</v>
      </c>
      <c r="S79" s="41" t="s">
        <v>311</v>
      </c>
    </row>
    <row r="80" spans="1:19">
      <c r="A80" s="39">
        <v>78</v>
      </c>
      <c r="B80" s="164"/>
      <c r="C80" s="165"/>
      <c r="D80" s="165"/>
      <c r="E80" s="181"/>
      <c r="F80" s="168" t="s">
        <v>6202</v>
      </c>
      <c r="G80" s="234">
        <f>IF(DBparts1[[#This Row],[Type]]&gt;0,VLOOKUP(DBparts1[[#This Row],[Type]],Main[[#All],[TYPE]:[UNIT]],'Unit Price'!C$1,FALSE),0)</f>
        <v>0</v>
      </c>
      <c r="H80" s="236">
        <f>IF(DBparts1[[#This Row],[Type]]&gt;0,VLOOKUP(DBparts1[[#This Row],[Type]],Main[[#All],[TYPE]:[UNIT]],'Unit Price'!D$1,FALSE),0)</f>
        <v>0</v>
      </c>
      <c r="I80" s="194">
        <f>IF(DBparts1[[#This Row],[Type]]&gt;0,VLOOKUP(DBparts1[[#This Row],[Type]],Main[[#All],[TYPE]:[UNIT]],'Unit Price'!G$1,FALSE),0)</f>
        <v>0</v>
      </c>
      <c r="J80" s="194">
        <f>IF(DBparts1[[#This Row],[Type]]&gt;0,VLOOKUP(DBparts1[[#This Row],[Type]],Main[[#All],[TYPE]:[UNIT]],'Unit Price'!H$1,FALSE),0)</f>
        <v>0</v>
      </c>
      <c r="K80" s="194">
        <f>IF(DBparts1[[#This Row],[Type]]&gt;0,VLOOKUP(DBparts1[[#This Row],[Discount seletion]],'Discount Structure'!$A$2:$B$30,2,"false"),0)</f>
        <v>0</v>
      </c>
      <c r="L80" s="194">
        <f>DBparts1[[#This Row],[LIST $]]*DBparts1[[#This Row],[DISCOUNT]]*DBparts1[[#This Row],[DISCOUNT 2]]</f>
        <v>0</v>
      </c>
      <c r="O80" s="118"/>
    </row>
    <row r="81" spans="1:19">
      <c r="A81" s="39">
        <v>79</v>
      </c>
      <c r="B81" s="162"/>
      <c r="C81" s="163"/>
      <c r="D81" s="163"/>
      <c r="E81" s="180"/>
      <c r="F81" s="168" t="s">
        <v>6202</v>
      </c>
      <c r="G81" s="233">
        <f>IF(DBparts1[[#This Row],[Type]]&gt;0,VLOOKUP(DBparts1[[#This Row],[Type]],Main[[#All],[TYPE]:[UNIT]],'Unit Price'!C$1,FALSE),0)</f>
        <v>0</v>
      </c>
      <c r="H81" s="235">
        <f>IF(DBparts1[[#This Row],[Type]]&gt;0,VLOOKUP(DBparts1[[#This Row],[Type]],Main[[#All],[TYPE]:[UNIT]],'Unit Price'!D$1,FALSE),0)</f>
        <v>0</v>
      </c>
      <c r="I81" s="194">
        <f>IF(DBparts1[[#This Row],[Type]]&gt;0,VLOOKUP(DBparts1[[#This Row],[Type]],Main[[#All],[TYPE]:[UNIT]],'Unit Price'!G$1,FALSE),0)</f>
        <v>0</v>
      </c>
      <c r="J81" s="194">
        <f>IF(DBparts1[[#This Row],[Type]]&gt;0,VLOOKUP(DBparts1[[#This Row],[Type]],Main[[#All],[TYPE]:[UNIT]],'Unit Price'!H$1,FALSE),0)</f>
        <v>0</v>
      </c>
      <c r="K81" s="194">
        <f>IF(DBparts1[[#This Row],[Type]]&gt;0,VLOOKUP(DBparts1[[#This Row],[Discount seletion]],'Discount Structure'!$A$2:$B$30,2,"false"),0)</f>
        <v>0</v>
      </c>
      <c r="L81" s="194">
        <f>DBparts1[[#This Row],[LIST $]]*DBparts1[[#This Row],[DISCOUNT]]*DBparts1[[#This Row],[DISCOUNT 2]]</f>
        <v>0</v>
      </c>
      <c r="O81" s="118"/>
      <c r="P81" s="41" t="s">
        <v>6281</v>
      </c>
    </row>
    <row r="82" spans="1:19">
      <c r="A82" s="39">
        <v>80</v>
      </c>
      <c r="B82" s="164"/>
      <c r="C82" s="165"/>
      <c r="D82" s="165"/>
      <c r="E82" s="181"/>
      <c r="F82" s="168" t="s">
        <v>6202</v>
      </c>
      <c r="G82" s="234">
        <f>IF(DBparts1[[#This Row],[Type]]&gt;0,VLOOKUP(DBparts1[[#This Row],[Type]],Main[[#All],[TYPE]:[UNIT]],'Unit Price'!C$1,FALSE),0)</f>
        <v>0</v>
      </c>
      <c r="H82" s="236">
        <f>IF(DBparts1[[#This Row],[Type]]&gt;0,VLOOKUP(DBparts1[[#This Row],[Type]],Main[[#All],[TYPE]:[UNIT]],'Unit Price'!D$1,FALSE),0)</f>
        <v>0</v>
      </c>
      <c r="I82" s="194">
        <f>IF(DBparts1[[#This Row],[Type]]&gt;0,VLOOKUP(DBparts1[[#This Row],[Type]],Main[[#All],[TYPE]:[UNIT]],'Unit Price'!G$1,FALSE),0)</f>
        <v>0</v>
      </c>
      <c r="J82" s="194">
        <f>IF(DBparts1[[#This Row],[Type]]&gt;0,VLOOKUP(DBparts1[[#This Row],[Type]],Main[[#All],[TYPE]:[UNIT]],'Unit Price'!H$1,FALSE),0)</f>
        <v>0</v>
      </c>
      <c r="K82" s="194">
        <f>IF(DBparts1[[#This Row],[Type]]&gt;0,VLOOKUP(DBparts1[[#This Row],[Discount seletion]],'Discount Structure'!$A$2:$B$30,2,"false"),0)</f>
        <v>0</v>
      </c>
      <c r="L82" s="194">
        <f>DBparts1[[#This Row],[LIST $]]*DBparts1[[#This Row],[DISCOUNT]]*DBparts1[[#This Row],[DISCOUNT 2]]</f>
        <v>0</v>
      </c>
      <c r="O82" s="118"/>
      <c r="P82" s="41" t="s">
        <v>6282</v>
      </c>
      <c r="Q82" s="41" t="s">
        <v>6283</v>
      </c>
      <c r="R82" s="41" t="s">
        <v>50</v>
      </c>
      <c r="S82" s="41" t="s">
        <v>5796</v>
      </c>
    </row>
    <row r="83" spans="1:19">
      <c r="A83" s="39">
        <v>81</v>
      </c>
      <c r="B83" s="162"/>
      <c r="C83" s="163"/>
      <c r="D83" s="163"/>
      <c r="E83" s="181"/>
      <c r="F83" s="168" t="s">
        <v>6202</v>
      </c>
      <c r="G83" s="233">
        <f>IF(DBparts1[[#This Row],[Type]]&gt;0,VLOOKUP(DBparts1[[#This Row],[Type]],Main[[#All],[TYPE]:[UNIT]],'Unit Price'!C$1,FALSE),0)</f>
        <v>0</v>
      </c>
      <c r="H83" s="235">
        <f>IF(DBparts1[[#This Row],[Type]]&gt;0,VLOOKUP(DBparts1[[#This Row],[Type]],Main[[#All],[TYPE]:[UNIT]],'Unit Price'!D$1,FALSE),0)</f>
        <v>0</v>
      </c>
      <c r="I83" s="194">
        <f>IF(DBparts1[[#This Row],[Type]]&gt;0,VLOOKUP(DBparts1[[#This Row],[Type]],Main[[#All],[TYPE]:[UNIT]],'Unit Price'!G$1,FALSE),0)</f>
        <v>0</v>
      </c>
      <c r="J83" s="194">
        <f>IF(DBparts1[[#This Row],[Type]]&gt;0,VLOOKUP(DBparts1[[#This Row],[Type]],Main[[#All],[TYPE]:[UNIT]],'Unit Price'!H$1,FALSE),0)</f>
        <v>0</v>
      </c>
      <c r="K83" s="194">
        <f>IF(DBparts1[[#This Row],[Type]]&gt;0,VLOOKUP(DBparts1[[#This Row],[Discount seletion]],'Discount Structure'!$A$2:$B$30,2,"false"),0)</f>
        <v>0</v>
      </c>
      <c r="L83" s="194">
        <f>DBparts1[[#This Row],[LIST $]]*DBparts1[[#This Row],[DISCOUNT]]*DBparts1[[#This Row],[DISCOUNT 2]]</f>
        <v>0</v>
      </c>
      <c r="O83" s="118"/>
      <c r="P83" s="41" t="s">
        <v>6284</v>
      </c>
      <c r="Q83" s="41" t="s">
        <v>6285</v>
      </c>
      <c r="R83" s="41" t="s">
        <v>50</v>
      </c>
      <c r="S83" s="41" t="s">
        <v>5798</v>
      </c>
    </row>
    <row r="84" spans="1:19">
      <c r="A84" s="39">
        <v>82</v>
      </c>
      <c r="B84" s="164"/>
      <c r="C84" s="165"/>
      <c r="D84" s="165"/>
      <c r="E84" s="181"/>
      <c r="F84" s="168" t="s">
        <v>6202</v>
      </c>
      <c r="G84" s="234">
        <f>IF(DBparts1[[#This Row],[Type]]&gt;0,VLOOKUP(DBparts1[[#This Row],[Type]],Main[[#All],[TYPE]:[UNIT]],'Unit Price'!C$1,FALSE),0)</f>
        <v>0</v>
      </c>
      <c r="H84" s="236">
        <f>IF(DBparts1[[#This Row],[Type]]&gt;0,VLOOKUP(DBparts1[[#This Row],[Type]],Main[[#All],[TYPE]:[UNIT]],'Unit Price'!D$1,FALSE),0)</f>
        <v>0</v>
      </c>
      <c r="I84" s="194">
        <f>IF(DBparts1[[#This Row],[Type]]&gt;0,VLOOKUP(DBparts1[[#This Row],[Type]],Main[[#All],[TYPE]:[UNIT]],'Unit Price'!G$1,FALSE),0)</f>
        <v>0</v>
      </c>
      <c r="J84" s="194">
        <f>IF(DBparts1[[#This Row],[Type]]&gt;0,VLOOKUP(DBparts1[[#This Row],[Type]],Main[[#All],[TYPE]:[UNIT]],'Unit Price'!H$1,FALSE),0)</f>
        <v>0</v>
      </c>
      <c r="K84" s="194">
        <f>IF(DBparts1[[#This Row],[Type]]&gt;0,VLOOKUP(DBparts1[[#This Row],[Discount seletion]],'Discount Structure'!$A$2:$B$30,2,"false"),0)</f>
        <v>0</v>
      </c>
      <c r="L84" s="194">
        <f>DBparts1[[#This Row],[LIST $]]*DBparts1[[#This Row],[DISCOUNT]]*DBparts1[[#This Row],[DISCOUNT 2]]</f>
        <v>0</v>
      </c>
      <c r="O84" s="118"/>
      <c r="P84" s="41" t="s">
        <v>6286</v>
      </c>
      <c r="Q84" s="41" t="s">
        <v>6287</v>
      </c>
      <c r="R84" s="41" t="s">
        <v>50</v>
      </c>
      <c r="S84" s="41" t="s">
        <v>5800</v>
      </c>
    </row>
    <row r="85" spans="1:19">
      <c r="A85" s="39">
        <v>83</v>
      </c>
      <c r="B85" s="162"/>
      <c r="C85" s="163"/>
      <c r="D85" s="163"/>
      <c r="E85" s="181"/>
      <c r="F85" s="168" t="s">
        <v>6202</v>
      </c>
      <c r="G85" s="233">
        <f>IF(DBparts1[[#This Row],[Type]]&gt;0,VLOOKUP(DBparts1[[#This Row],[Type]],Main[[#All],[TYPE]:[UNIT]],'Unit Price'!C$1,FALSE),0)</f>
        <v>0</v>
      </c>
      <c r="H85" s="235">
        <f>IF(DBparts1[[#This Row],[Type]]&gt;0,VLOOKUP(DBparts1[[#This Row],[Type]],Main[[#All],[TYPE]:[UNIT]],'Unit Price'!D$1,FALSE),0)</f>
        <v>0</v>
      </c>
      <c r="I85" s="194">
        <f>IF(DBparts1[[#This Row],[Type]]&gt;0,VLOOKUP(DBparts1[[#This Row],[Type]],Main[[#All],[TYPE]:[UNIT]],'Unit Price'!G$1,FALSE),0)</f>
        <v>0</v>
      </c>
      <c r="J85" s="194">
        <f>IF(DBparts1[[#This Row],[Type]]&gt;0,VLOOKUP(DBparts1[[#This Row],[Type]],Main[[#All],[TYPE]:[UNIT]],'Unit Price'!H$1,FALSE),0)</f>
        <v>0</v>
      </c>
      <c r="K85" s="194">
        <f>IF(DBparts1[[#This Row],[Type]]&gt;0,VLOOKUP(DBparts1[[#This Row],[Discount seletion]],'Discount Structure'!$A$2:$B$30,2,"false"),0)</f>
        <v>0</v>
      </c>
      <c r="L85" s="194">
        <f>DBparts1[[#This Row],[LIST $]]*DBparts1[[#This Row],[DISCOUNT]]*DBparts1[[#This Row],[DISCOUNT 2]]</f>
        <v>0</v>
      </c>
      <c r="O85" s="118"/>
      <c r="P85" s="41" t="s">
        <v>6288</v>
      </c>
      <c r="Q85" s="41" t="s">
        <v>6289</v>
      </c>
      <c r="R85" s="41" t="s">
        <v>50</v>
      </c>
      <c r="S85" s="41" t="s">
        <v>5799</v>
      </c>
    </row>
    <row r="86" spans="1:19">
      <c r="A86" s="39">
        <v>84</v>
      </c>
      <c r="B86" s="164"/>
      <c r="C86" s="165"/>
      <c r="D86" s="165"/>
      <c r="E86" s="181"/>
      <c r="F86" s="168" t="s">
        <v>6202</v>
      </c>
      <c r="G86" s="234">
        <f>IF(DBparts1[[#This Row],[Type]]&gt;0,VLOOKUP(DBparts1[[#This Row],[Type]],Main[[#All],[TYPE]:[UNIT]],'Unit Price'!C$1,FALSE),0)</f>
        <v>0</v>
      </c>
      <c r="H86" s="236">
        <f>IF(DBparts1[[#This Row],[Type]]&gt;0,VLOOKUP(DBparts1[[#This Row],[Type]],Main[[#All],[TYPE]:[UNIT]],'Unit Price'!D$1,FALSE),0)</f>
        <v>0</v>
      </c>
      <c r="I86" s="194">
        <f>IF(DBparts1[[#This Row],[Type]]&gt;0,VLOOKUP(DBparts1[[#This Row],[Type]],Main[[#All],[TYPE]:[UNIT]],'Unit Price'!G$1,FALSE),0)</f>
        <v>0</v>
      </c>
      <c r="J86" s="194">
        <f>IF(DBparts1[[#This Row],[Type]]&gt;0,VLOOKUP(DBparts1[[#This Row],[Type]],Main[[#All],[TYPE]:[UNIT]],'Unit Price'!H$1,FALSE),0)</f>
        <v>0</v>
      </c>
      <c r="K86" s="194">
        <f>IF(DBparts1[[#This Row],[Type]]&gt;0,VLOOKUP(DBparts1[[#This Row],[Discount seletion]],'Discount Structure'!$A$2:$B$30,2,"false"),0)</f>
        <v>0</v>
      </c>
      <c r="L86" s="194">
        <f>DBparts1[[#This Row],[LIST $]]*DBparts1[[#This Row],[DISCOUNT]]*DBparts1[[#This Row],[DISCOUNT 2]]</f>
        <v>0</v>
      </c>
      <c r="O86" s="118"/>
      <c r="P86" s="41" t="s">
        <v>6290</v>
      </c>
      <c r="Q86" s="41" t="s">
        <v>6291</v>
      </c>
      <c r="R86" s="41" t="s">
        <v>50</v>
      </c>
      <c r="S86" s="41" t="s">
        <v>5810</v>
      </c>
    </row>
    <row r="87" spans="1:19">
      <c r="A87" s="39">
        <v>85</v>
      </c>
      <c r="B87" s="162"/>
      <c r="C87" s="163"/>
      <c r="D87" s="163"/>
      <c r="E87" s="181"/>
      <c r="F87" s="168" t="s">
        <v>6202</v>
      </c>
      <c r="G87" s="233">
        <f>IF(DBparts1[[#This Row],[Type]]&gt;0,VLOOKUP(DBparts1[[#This Row],[Type]],Main[[#All],[TYPE]:[UNIT]],'Unit Price'!C$1,FALSE),0)</f>
        <v>0</v>
      </c>
      <c r="H87" s="235">
        <f>IF(DBparts1[[#This Row],[Type]]&gt;0,VLOOKUP(DBparts1[[#This Row],[Type]],Main[[#All],[TYPE]:[UNIT]],'Unit Price'!D$1,FALSE),0)</f>
        <v>0</v>
      </c>
      <c r="I87" s="194">
        <f>IF(DBparts1[[#This Row],[Type]]&gt;0,VLOOKUP(DBparts1[[#This Row],[Type]],Main[[#All],[TYPE]:[UNIT]],'Unit Price'!G$1,FALSE),0)</f>
        <v>0</v>
      </c>
      <c r="J87" s="194">
        <f>IF(DBparts1[[#This Row],[Type]]&gt;0,VLOOKUP(DBparts1[[#This Row],[Type]],Main[[#All],[TYPE]:[UNIT]],'Unit Price'!H$1,FALSE),0)</f>
        <v>0</v>
      </c>
      <c r="K87" s="194">
        <f>IF(DBparts1[[#This Row],[Type]]&gt;0,VLOOKUP(DBparts1[[#This Row],[Discount seletion]],'Discount Structure'!$A$2:$B$30,2,"false"),0)</f>
        <v>0</v>
      </c>
      <c r="L87" s="194">
        <f>DBparts1[[#This Row],[LIST $]]*DBparts1[[#This Row],[DISCOUNT]]*DBparts1[[#This Row],[DISCOUNT 2]]</f>
        <v>0</v>
      </c>
      <c r="O87" s="118"/>
      <c r="P87" s="41" t="s">
        <v>6292</v>
      </c>
      <c r="Q87" s="41" t="s">
        <v>6293</v>
      </c>
      <c r="R87" s="41" t="s">
        <v>50</v>
      </c>
      <c r="S87" s="41" t="s">
        <v>5812</v>
      </c>
    </row>
    <row r="88" spans="1:19">
      <c r="A88" s="39">
        <v>86</v>
      </c>
      <c r="B88" s="164"/>
      <c r="C88" s="165"/>
      <c r="D88" s="165"/>
      <c r="E88" s="181"/>
      <c r="F88" s="168" t="s">
        <v>6202</v>
      </c>
      <c r="G88" s="234">
        <f>IF(DBparts1[[#This Row],[Type]]&gt;0,VLOOKUP(DBparts1[[#This Row],[Type]],Main[[#All],[TYPE]:[UNIT]],'Unit Price'!C$1,FALSE),0)</f>
        <v>0</v>
      </c>
      <c r="H88" s="236">
        <f>IF(DBparts1[[#This Row],[Type]]&gt;0,VLOOKUP(DBparts1[[#This Row],[Type]],Main[[#All],[TYPE]:[UNIT]],'Unit Price'!D$1,FALSE),0)</f>
        <v>0</v>
      </c>
      <c r="I88" s="194">
        <f>IF(DBparts1[[#This Row],[Type]]&gt;0,VLOOKUP(DBparts1[[#This Row],[Type]],Main[[#All],[TYPE]:[UNIT]],'Unit Price'!G$1,FALSE),0)</f>
        <v>0</v>
      </c>
      <c r="J88" s="194">
        <f>IF(DBparts1[[#This Row],[Type]]&gt;0,VLOOKUP(DBparts1[[#This Row],[Type]],Main[[#All],[TYPE]:[UNIT]],'Unit Price'!H$1,FALSE),0)</f>
        <v>0</v>
      </c>
      <c r="K88" s="194">
        <f>IF(DBparts1[[#This Row],[Type]]&gt;0,VLOOKUP(DBparts1[[#This Row],[Discount seletion]],'Discount Structure'!$A$2:$B$30,2,"false"),0)</f>
        <v>0</v>
      </c>
      <c r="L88" s="194">
        <f>DBparts1[[#This Row],[LIST $]]*DBparts1[[#This Row],[DISCOUNT]]*DBparts1[[#This Row],[DISCOUNT 2]]</f>
        <v>0</v>
      </c>
      <c r="O88" s="118"/>
      <c r="P88" s="41" t="s">
        <v>6294</v>
      </c>
      <c r="Q88" s="41" t="s">
        <v>6295</v>
      </c>
      <c r="R88" s="41" t="s">
        <v>50</v>
      </c>
      <c r="S88" s="41" t="s">
        <v>5814</v>
      </c>
    </row>
    <row r="89" spans="1:19">
      <c r="A89" s="39">
        <v>87</v>
      </c>
      <c r="B89" s="162"/>
      <c r="C89" s="163"/>
      <c r="D89" s="163"/>
      <c r="E89" s="181"/>
      <c r="F89" s="168" t="s">
        <v>6202</v>
      </c>
      <c r="G89" s="233">
        <f>IF(DBparts1[[#This Row],[Type]]&gt;0,VLOOKUP(DBparts1[[#This Row],[Type]],Main[[#All],[TYPE]:[UNIT]],'Unit Price'!C$1,FALSE),0)</f>
        <v>0</v>
      </c>
      <c r="H89" s="235">
        <f>IF(DBparts1[[#This Row],[Type]]&gt;0,VLOOKUP(DBparts1[[#This Row],[Type]],Main[[#All],[TYPE]:[UNIT]],'Unit Price'!D$1,FALSE),0)</f>
        <v>0</v>
      </c>
      <c r="I89" s="194">
        <f>IF(DBparts1[[#This Row],[Type]]&gt;0,VLOOKUP(DBparts1[[#This Row],[Type]],Main[[#All],[TYPE]:[UNIT]],'Unit Price'!G$1,FALSE),0)</f>
        <v>0</v>
      </c>
      <c r="J89" s="194">
        <f>IF(DBparts1[[#This Row],[Type]]&gt;0,VLOOKUP(DBparts1[[#This Row],[Type]],Main[[#All],[TYPE]:[UNIT]],'Unit Price'!H$1,FALSE),0)</f>
        <v>0</v>
      </c>
      <c r="K89" s="194">
        <f>IF(DBparts1[[#This Row],[Type]]&gt;0,VLOOKUP(DBparts1[[#This Row],[Discount seletion]],'Discount Structure'!$A$2:$B$30,2,"false"),0)</f>
        <v>0</v>
      </c>
      <c r="L89" s="194">
        <f>DBparts1[[#This Row],[LIST $]]*DBparts1[[#This Row],[DISCOUNT]]*DBparts1[[#This Row],[DISCOUNT 2]]</f>
        <v>0</v>
      </c>
      <c r="O89" s="118"/>
    </row>
    <row r="90" spans="1:19">
      <c r="A90" s="39">
        <v>88</v>
      </c>
      <c r="B90" s="164"/>
      <c r="C90" s="165"/>
      <c r="D90" s="165"/>
      <c r="E90" s="181"/>
      <c r="F90" s="168" t="s">
        <v>6202</v>
      </c>
      <c r="G90" s="234">
        <f>IF(DBparts1[[#This Row],[Type]]&gt;0,VLOOKUP(DBparts1[[#This Row],[Type]],Main[[#All],[TYPE]:[UNIT]],'Unit Price'!C$1,FALSE),0)</f>
        <v>0</v>
      </c>
      <c r="H90" s="236">
        <f>IF(DBparts1[[#This Row],[Type]]&gt;0,VLOOKUP(DBparts1[[#This Row],[Type]],Main[[#All],[TYPE]:[UNIT]],'Unit Price'!D$1,FALSE),0)</f>
        <v>0</v>
      </c>
      <c r="I90" s="194">
        <f>IF(DBparts1[[#This Row],[Type]]&gt;0,VLOOKUP(DBparts1[[#This Row],[Type]],Main[[#All],[TYPE]:[UNIT]],'Unit Price'!G$1,FALSE),0)</f>
        <v>0</v>
      </c>
      <c r="J90" s="194">
        <f>IF(DBparts1[[#This Row],[Type]]&gt;0,VLOOKUP(DBparts1[[#This Row],[Type]],Main[[#All],[TYPE]:[UNIT]],'Unit Price'!H$1,FALSE),0)</f>
        <v>0</v>
      </c>
      <c r="K90" s="194">
        <f>IF(DBparts1[[#This Row],[Type]]&gt;0,VLOOKUP(DBparts1[[#This Row],[Discount seletion]],'Discount Structure'!$A$2:$B$30,2,"false"),0)</f>
        <v>0</v>
      </c>
      <c r="L90" s="194">
        <f>DBparts1[[#This Row],[LIST $]]*DBparts1[[#This Row],[DISCOUNT]]*DBparts1[[#This Row],[DISCOUNT 2]]</f>
        <v>0</v>
      </c>
      <c r="O90" s="118"/>
      <c r="P90" s="41" t="s">
        <v>6296</v>
      </c>
    </row>
    <row r="91" spans="1:19">
      <c r="A91" s="39">
        <v>89</v>
      </c>
      <c r="B91" s="162"/>
      <c r="C91" s="163"/>
      <c r="D91" s="163"/>
      <c r="E91" s="180"/>
      <c r="F91" s="168" t="s">
        <v>6202</v>
      </c>
      <c r="G91" s="233">
        <f>IF(DBparts1[[#This Row],[Type]]&gt;0,VLOOKUP(DBparts1[[#This Row],[Type]],Main[[#All],[TYPE]:[UNIT]],'Unit Price'!C$1,FALSE),0)</f>
        <v>0</v>
      </c>
      <c r="H91" s="235">
        <f>IF(DBparts1[[#This Row],[Type]]&gt;0,VLOOKUP(DBparts1[[#This Row],[Type]],Main[[#All],[TYPE]:[UNIT]],'Unit Price'!D$1,FALSE),0)</f>
        <v>0</v>
      </c>
      <c r="I91" s="194">
        <f>IF(DBparts1[[#This Row],[Type]]&gt;0,VLOOKUP(DBparts1[[#This Row],[Type]],Main[[#All],[TYPE]:[UNIT]],'Unit Price'!G$1,FALSE),0)</f>
        <v>0</v>
      </c>
      <c r="J91" s="194">
        <f>IF(DBparts1[[#This Row],[Type]]&gt;0,VLOOKUP(DBparts1[[#This Row],[Type]],Main[[#All],[TYPE]:[UNIT]],'Unit Price'!H$1,FALSE),0)</f>
        <v>0</v>
      </c>
      <c r="K91" s="194">
        <f>IF(DBparts1[[#This Row],[Type]]&gt;0,VLOOKUP(DBparts1[[#This Row],[Discount seletion]],'Discount Structure'!$A$2:$B$30,2,"false"),0)</f>
        <v>0</v>
      </c>
      <c r="L91" s="194">
        <f>DBparts1[[#This Row],[LIST $]]*DBparts1[[#This Row],[DISCOUNT]]*DBparts1[[#This Row],[DISCOUNT 2]]</f>
        <v>0</v>
      </c>
      <c r="O91" s="118"/>
      <c r="P91" s="41" t="s">
        <v>6297</v>
      </c>
      <c r="Q91" s="41" t="s">
        <v>6298</v>
      </c>
      <c r="R91" s="41" t="s">
        <v>50</v>
      </c>
      <c r="S91" s="41" t="s">
        <v>5789</v>
      </c>
    </row>
    <row r="92" spans="1:19">
      <c r="A92" s="39">
        <v>90</v>
      </c>
      <c r="B92" s="164"/>
      <c r="C92" s="165"/>
      <c r="D92" s="165"/>
      <c r="E92" s="181"/>
      <c r="F92" s="168" t="s">
        <v>6202</v>
      </c>
      <c r="G92" s="234">
        <f>IF(DBparts1[[#This Row],[Type]]&gt;0,VLOOKUP(DBparts1[[#This Row],[Type]],Main[[#All],[TYPE]:[UNIT]],'Unit Price'!C$1,FALSE),0)</f>
        <v>0</v>
      </c>
      <c r="H92" s="236">
        <f>IF(DBparts1[[#This Row],[Type]]&gt;0,VLOOKUP(DBparts1[[#This Row],[Type]],Main[[#All],[TYPE]:[UNIT]],'Unit Price'!D$1,FALSE),0)</f>
        <v>0</v>
      </c>
      <c r="I92" s="194">
        <f>IF(DBparts1[[#This Row],[Type]]&gt;0,VLOOKUP(DBparts1[[#This Row],[Type]],Main[[#All],[TYPE]:[UNIT]],'Unit Price'!G$1,FALSE),0)</f>
        <v>0</v>
      </c>
      <c r="J92" s="194">
        <f>IF(DBparts1[[#This Row],[Type]]&gt;0,VLOOKUP(DBparts1[[#This Row],[Type]],Main[[#All],[TYPE]:[UNIT]],'Unit Price'!H$1,FALSE),0)</f>
        <v>0</v>
      </c>
      <c r="K92" s="194">
        <f>IF(DBparts1[[#This Row],[Type]]&gt;0,VLOOKUP(DBparts1[[#This Row],[Discount seletion]],'Discount Structure'!$A$2:$B$30,2,"false"),0)</f>
        <v>0</v>
      </c>
      <c r="L92" s="194">
        <f>DBparts1[[#This Row],[LIST $]]*DBparts1[[#This Row],[DISCOUNT]]*DBparts1[[#This Row],[DISCOUNT 2]]</f>
        <v>0</v>
      </c>
      <c r="O92" s="118"/>
      <c r="P92" s="41" t="s">
        <v>6284</v>
      </c>
      <c r="Q92" s="41" t="s">
        <v>6299</v>
      </c>
      <c r="R92" s="41" t="s">
        <v>50</v>
      </c>
      <c r="S92" s="41" t="s">
        <v>5790</v>
      </c>
    </row>
    <row r="93" spans="1:19">
      <c r="A93" s="39">
        <v>91</v>
      </c>
      <c r="B93" s="162"/>
      <c r="C93" s="163"/>
      <c r="D93" s="163"/>
      <c r="E93" s="181"/>
      <c r="F93" s="168" t="s">
        <v>6202</v>
      </c>
      <c r="G93" s="233">
        <f>IF(DBparts1[[#This Row],[Type]]&gt;0,VLOOKUP(DBparts1[[#This Row],[Type]],Main[[#All],[TYPE]:[UNIT]],'Unit Price'!C$1,FALSE),0)</f>
        <v>0</v>
      </c>
      <c r="H93" s="235">
        <f>IF(DBparts1[[#This Row],[Type]]&gt;0,VLOOKUP(DBparts1[[#This Row],[Type]],Main[[#All],[TYPE]:[UNIT]],'Unit Price'!D$1,FALSE),0)</f>
        <v>0</v>
      </c>
      <c r="I93" s="194">
        <f>IF(DBparts1[[#This Row],[Type]]&gt;0,VLOOKUP(DBparts1[[#This Row],[Type]],Main[[#All],[TYPE]:[UNIT]],'Unit Price'!G$1,FALSE),0)</f>
        <v>0</v>
      </c>
      <c r="J93" s="194">
        <f>IF(DBparts1[[#This Row],[Type]]&gt;0,VLOOKUP(DBparts1[[#This Row],[Type]],Main[[#All],[TYPE]:[UNIT]],'Unit Price'!H$1,FALSE),0)</f>
        <v>0</v>
      </c>
      <c r="K93" s="194">
        <f>IF(DBparts1[[#This Row],[Type]]&gt;0,VLOOKUP(DBparts1[[#This Row],[Discount seletion]],'Discount Structure'!$A$2:$B$30,2,"false"),0)</f>
        <v>0</v>
      </c>
      <c r="L93" s="194">
        <f>DBparts1[[#This Row],[LIST $]]*DBparts1[[#This Row],[DISCOUNT]]*DBparts1[[#This Row],[DISCOUNT 2]]</f>
        <v>0</v>
      </c>
      <c r="O93" s="118"/>
      <c r="P93" s="41" t="s">
        <v>6300</v>
      </c>
      <c r="Q93" s="41" t="s">
        <v>6301</v>
      </c>
      <c r="R93" s="41" t="s">
        <v>50</v>
      </c>
      <c r="S93" s="41" t="s">
        <v>5791</v>
      </c>
    </row>
    <row r="94" spans="1:19">
      <c r="A94" s="39">
        <v>92</v>
      </c>
      <c r="B94" s="164"/>
      <c r="C94" s="165"/>
      <c r="D94" s="165"/>
      <c r="E94" s="181"/>
      <c r="F94" s="168" t="s">
        <v>6202</v>
      </c>
      <c r="G94" s="234">
        <f>IF(DBparts1[[#This Row],[Type]]&gt;0,VLOOKUP(DBparts1[[#This Row],[Type]],Main[[#All],[TYPE]:[UNIT]],'Unit Price'!C$1,FALSE),0)</f>
        <v>0</v>
      </c>
      <c r="H94" s="236">
        <f>IF(DBparts1[[#This Row],[Type]]&gt;0,VLOOKUP(DBparts1[[#This Row],[Type]],Main[[#All],[TYPE]:[UNIT]],'Unit Price'!D$1,FALSE),0)</f>
        <v>0</v>
      </c>
      <c r="I94" s="194">
        <f>IF(DBparts1[[#This Row],[Type]]&gt;0,VLOOKUP(DBparts1[[#This Row],[Type]],Main[[#All],[TYPE]:[UNIT]],'Unit Price'!G$1,FALSE),0)</f>
        <v>0</v>
      </c>
      <c r="J94" s="194">
        <f>IF(DBparts1[[#This Row],[Type]]&gt;0,VLOOKUP(DBparts1[[#This Row],[Type]],Main[[#All],[TYPE]:[UNIT]],'Unit Price'!H$1,FALSE),0)</f>
        <v>0</v>
      </c>
      <c r="K94" s="194">
        <f>IF(DBparts1[[#This Row],[Type]]&gt;0,VLOOKUP(DBparts1[[#This Row],[Discount seletion]],'Discount Structure'!$A$2:$B$30,2,"false"),0)</f>
        <v>0</v>
      </c>
      <c r="L94" s="194">
        <f>DBparts1[[#This Row],[LIST $]]*DBparts1[[#This Row],[DISCOUNT]]*DBparts1[[#This Row],[DISCOUNT 2]]</f>
        <v>0</v>
      </c>
      <c r="O94" s="118"/>
      <c r="P94" s="41" t="s">
        <v>6302</v>
      </c>
      <c r="Q94" s="41" t="s">
        <v>6303</v>
      </c>
      <c r="R94" s="41" t="s">
        <v>50</v>
      </c>
      <c r="S94" s="41" t="s">
        <v>5797</v>
      </c>
    </row>
    <row r="95" spans="1:19">
      <c r="A95" s="39">
        <v>93</v>
      </c>
      <c r="B95" s="162"/>
      <c r="C95" s="163"/>
      <c r="D95" s="163"/>
      <c r="E95" s="181"/>
      <c r="F95" s="168" t="s">
        <v>6202</v>
      </c>
      <c r="G95" s="233">
        <f>IF(DBparts1[[#This Row],[Type]]&gt;0,VLOOKUP(DBparts1[[#This Row],[Type]],Main[[#All],[TYPE]:[UNIT]],'Unit Price'!C$1,FALSE),0)</f>
        <v>0</v>
      </c>
      <c r="H95" s="235">
        <f>IF(DBparts1[[#This Row],[Type]]&gt;0,VLOOKUP(DBparts1[[#This Row],[Type]],Main[[#All],[TYPE]:[UNIT]],'Unit Price'!D$1,FALSE),0)</f>
        <v>0</v>
      </c>
      <c r="I95" s="194">
        <f>IF(DBparts1[[#This Row],[Type]]&gt;0,VLOOKUP(DBparts1[[#This Row],[Type]],Main[[#All],[TYPE]:[UNIT]],'Unit Price'!G$1,FALSE),0)</f>
        <v>0</v>
      </c>
      <c r="J95" s="194">
        <f>IF(DBparts1[[#This Row],[Type]]&gt;0,VLOOKUP(DBparts1[[#This Row],[Type]],Main[[#All],[TYPE]:[UNIT]],'Unit Price'!H$1,FALSE),0)</f>
        <v>0</v>
      </c>
      <c r="K95" s="194">
        <f>IF(DBparts1[[#This Row],[Type]]&gt;0,VLOOKUP(DBparts1[[#This Row],[Discount seletion]],'Discount Structure'!$A$2:$B$30,2,"false"),0)</f>
        <v>0</v>
      </c>
      <c r="L95" s="194">
        <f>DBparts1[[#This Row],[LIST $]]*DBparts1[[#This Row],[DISCOUNT]]*DBparts1[[#This Row],[DISCOUNT 2]]</f>
        <v>0</v>
      </c>
      <c r="O95" s="118"/>
      <c r="P95" s="41" t="s">
        <v>6288</v>
      </c>
      <c r="Q95" s="41" t="s">
        <v>6304</v>
      </c>
      <c r="R95" s="41" t="s">
        <v>50</v>
      </c>
      <c r="S95" s="41" t="s">
        <v>5808</v>
      </c>
    </row>
    <row r="96" spans="1:19">
      <c r="A96" s="39">
        <v>94</v>
      </c>
      <c r="B96" s="164"/>
      <c r="C96" s="165"/>
      <c r="D96" s="165"/>
      <c r="E96" s="181"/>
      <c r="F96" s="168" t="s">
        <v>6202</v>
      </c>
      <c r="G96" s="234">
        <f>IF(DBparts1[[#This Row],[Type]]&gt;0,VLOOKUP(DBparts1[[#This Row],[Type]],Main[[#All],[TYPE]:[UNIT]],'Unit Price'!C$1,FALSE),0)</f>
        <v>0</v>
      </c>
      <c r="H96" s="236">
        <f>IF(DBparts1[[#This Row],[Type]]&gt;0,VLOOKUP(DBparts1[[#This Row],[Type]],Main[[#All],[TYPE]:[UNIT]],'Unit Price'!D$1,FALSE),0)</f>
        <v>0</v>
      </c>
      <c r="I96" s="194">
        <f>IF(DBparts1[[#This Row],[Type]]&gt;0,VLOOKUP(DBparts1[[#This Row],[Type]],Main[[#All],[TYPE]:[UNIT]],'Unit Price'!G$1,FALSE),0)</f>
        <v>0</v>
      </c>
      <c r="J96" s="194">
        <f>IF(DBparts1[[#This Row],[Type]]&gt;0,VLOOKUP(DBparts1[[#This Row],[Type]],Main[[#All],[TYPE]:[UNIT]],'Unit Price'!H$1,FALSE),0)</f>
        <v>0</v>
      </c>
      <c r="K96" s="194">
        <f>IF(DBparts1[[#This Row],[Type]]&gt;0,VLOOKUP(DBparts1[[#This Row],[Discount seletion]],'Discount Structure'!$A$2:$B$30,2,"false"),0)</f>
        <v>0</v>
      </c>
      <c r="L96" s="194">
        <f>DBparts1[[#This Row],[LIST $]]*DBparts1[[#This Row],[DISCOUNT]]*DBparts1[[#This Row],[DISCOUNT 2]]</f>
        <v>0</v>
      </c>
      <c r="O96" s="118"/>
      <c r="P96" s="41" t="s">
        <v>6305</v>
      </c>
      <c r="Q96" s="41" t="s">
        <v>6306</v>
      </c>
      <c r="R96" s="41" t="s">
        <v>50</v>
      </c>
      <c r="S96" s="41" t="s">
        <v>5807</v>
      </c>
    </row>
    <row r="97" spans="1:19">
      <c r="A97" s="39">
        <v>95</v>
      </c>
      <c r="B97" s="162"/>
      <c r="C97" s="163"/>
      <c r="D97" s="163"/>
      <c r="E97" s="180"/>
      <c r="F97" s="168" t="s">
        <v>6202</v>
      </c>
      <c r="G97" s="233">
        <f>IF(DBparts1[[#This Row],[Type]]&gt;0,VLOOKUP(DBparts1[[#This Row],[Type]],Main[[#All],[TYPE]:[UNIT]],'Unit Price'!C$1,FALSE),0)</f>
        <v>0</v>
      </c>
      <c r="H97" s="235">
        <f>IF(DBparts1[[#This Row],[Type]]&gt;0,VLOOKUP(DBparts1[[#This Row],[Type]],Main[[#All],[TYPE]:[UNIT]],'Unit Price'!D$1,FALSE),0)</f>
        <v>0</v>
      </c>
      <c r="I97" s="194">
        <f>IF(DBparts1[[#This Row],[Type]]&gt;0,VLOOKUP(DBparts1[[#This Row],[Type]],Main[[#All],[TYPE]:[UNIT]],'Unit Price'!G$1,FALSE),0)</f>
        <v>0</v>
      </c>
      <c r="J97" s="194">
        <f>IF(DBparts1[[#This Row],[Type]]&gt;0,VLOOKUP(DBparts1[[#This Row],[Type]],Main[[#All],[TYPE]:[UNIT]],'Unit Price'!H$1,FALSE),0)</f>
        <v>0</v>
      </c>
      <c r="K97" s="194">
        <f>IF(DBparts1[[#This Row],[Type]]&gt;0,VLOOKUP(DBparts1[[#This Row],[Discount seletion]],'Discount Structure'!$A$2:$B$30,2,"false"),0)</f>
        <v>0</v>
      </c>
      <c r="L97" s="194">
        <f>DBparts1[[#This Row],[LIST $]]*DBparts1[[#This Row],[DISCOUNT]]*DBparts1[[#This Row],[DISCOUNT 2]]</f>
        <v>0</v>
      </c>
      <c r="O97" s="118"/>
      <c r="P97" s="41" t="s">
        <v>6307</v>
      </c>
      <c r="Q97" s="41" t="s">
        <v>6308</v>
      </c>
      <c r="R97" s="41" t="s">
        <v>50</v>
      </c>
      <c r="S97" s="41" t="s">
        <v>5809</v>
      </c>
    </row>
    <row r="98" spans="1:19">
      <c r="A98" s="39">
        <v>96</v>
      </c>
      <c r="B98" s="164"/>
      <c r="C98" s="165"/>
      <c r="D98" s="165"/>
      <c r="E98" s="180"/>
      <c r="F98" s="168" t="s">
        <v>6202</v>
      </c>
      <c r="G98" s="234">
        <f>IF(DBparts1[[#This Row],[Type]]&gt;0,VLOOKUP(DBparts1[[#This Row],[Type]],Main[[#All],[TYPE]:[UNIT]],'Unit Price'!C$1,FALSE),0)</f>
        <v>0</v>
      </c>
      <c r="H98" s="236">
        <f>IF(DBparts1[[#This Row],[Type]]&gt;0,VLOOKUP(DBparts1[[#This Row],[Type]],Main[[#All],[TYPE]:[UNIT]],'Unit Price'!D$1,FALSE),0)</f>
        <v>0</v>
      </c>
      <c r="I98" s="194">
        <f>IF(DBparts1[[#This Row],[Type]]&gt;0,VLOOKUP(DBparts1[[#This Row],[Type]],Main[[#All],[TYPE]:[UNIT]],'Unit Price'!G$1,FALSE),0)</f>
        <v>0</v>
      </c>
      <c r="J98" s="194">
        <f>IF(DBparts1[[#This Row],[Type]]&gt;0,VLOOKUP(DBparts1[[#This Row],[Type]],Main[[#All],[TYPE]:[UNIT]],'Unit Price'!H$1,FALSE),0)</f>
        <v>0</v>
      </c>
      <c r="K98" s="194">
        <f>IF(DBparts1[[#This Row],[Type]]&gt;0,VLOOKUP(DBparts1[[#This Row],[Discount seletion]],'Discount Structure'!$A$2:$B$30,2,"false"),0)</f>
        <v>0</v>
      </c>
      <c r="L98" s="194">
        <f>DBparts1[[#This Row],[LIST $]]*DBparts1[[#This Row],[DISCOUNT]]*DBparts1[[#This Row],[DISCOUNT 2]]</f>
        <v>0</v>
      </c>
      <c r="O98" s="118"/>
      <c r="P98" s="41" t="s">
        <v>6280</v>
      </c>
      <c r="Q98" s="41" t="s">
        <v>6309</v>
      </c>
      <c r="R98" s="41" t="s">
        <v>50</v>
      </c>
      <c r="S98" s="41" t="s">
        <v>5811</v>
      </c>
    </row>
    <row r="99" spans="1:19">
      <c r="A99" s="39">
        <v>97</v>
      </c>
      <c r="B99" s="162"/>
      <c r="C99" s="163"/>
      <c r="D99" s="163"/>
      <c r="E99" s="180"/>
      <c r="F99" s="168" t="s">
        <v>6202</v>
      </c>
      <c r="G99" s="233">
        <f>IF(DBparts1[[#This Row],[Type]]&gt;0,VLOOKUP(DBparts1[[#This Row],[Type]],Main[[#All],[TYPE]:[UNIT]],'Unit Price'!C$1,FALSE),0)</f>
        <v>0</v>
      </c>
      <c r="H99" s="235">
        <f>IF(DBparts1[[#This Row],[Type]]&gt;0,VLOOKUP(DBparts1[[#This Row],[Type]],Main[[#All],[TYPE]:[UNIT]],'Unit Price'!D$1,FALSE),0)</f>
        <v>0</v>
      </c>
      <c r="I99" s="194">
        <f>IF(DBparts1[[#This Row],[Type]]&gt;0,VLOOKUP(DBparts1[[#This Row],[Type]],Main[[#All],[TYPE]:[UNIT]],'Unit Price'!G$1,FALSE),0)</f>
        <v>0</v>
      </c>
      <c r="J99" s="194">
        <f>IF(DBparts1[[#This Row],[Type]]&gt;0,VLOOKUP(DBparts1[[#This Row],[Type]],Main[[#All],[TYPE]:[UNIT]],'Unit Price'!H$1,FALSE),0)</f>
        <v>0</v>
      </c>
      <c r="K99" s="194">
        <f>IF(DBparts1[[#This Row],[Type]]&gt;0,VLOOKUP(DBparts1[[#This Row],[Discount seletion]],'Discount Structure'!$A$2:$B$30,2,"false"),0)</f>
        <v>0</v>
      </c>
      <c r="L99" s="194">
        <f>DBparts1[[#This Row],[LIST $]]*DBparts1[[#This Row],[DISCOUNT]]*DBparts1[[#This Row],[DISCOUNT 2]]</f>
        <v>0</v>
      </c>
      <c r="O99" s="118"/>
      <c r="P99" s="41" t="s">
        <v>6310</v>
      </c>
      <c r="Q99" s="41" t="s">
        <v>6311</v>
      </c>
      <c r="R99" s="41" t="s">
        <v>50</v>
      </c>
      <c r="S99" s="41" t="s">
        <v>5813</v>
      </c>
    </row>
    <row r="100" spans="1:19">
      <c r="A100" s="39">
        <v>98</v>
      </c>
      <c r="B100" s="164"/>
      <c r="C100" s="165"/>
      <c r="D100" s="165"/>
      <c r="E100" s="180"/>
      <c r="F100" s="168" t="s">
        <v>6202</v>
      </c>
      <c r="G100" s="234">
        <f>IF(DBparts1[[#This Row],[Type]]&gt;0,VLOOKUP(DBparts1[[#This Row],[Type]],Main[[#All],[TYPE]:[UNIT]],'Unit Price'!C$1,FALSE),0)</f>
        <v>0</v>
      </c>
      <c r="H100" s="236">
        <f>IF(DBparts1[[#This Row],[Type]]&gt;0,VLOOKUP(DBparts1[[#This Row],[Type]],Main[[#All],[TYPE]:[UNIT]],'Unit Price'!D$1,FALSE),0)</f>
        <v>0</v>
      </c>
      <c r="I100" s="194">
        <f>IF(DBparts1[[#This Row],[Type]]&gt;0,VLOOKUP(DBparts1[[#This Row],[Type]],Main[[#All],[TYPE]:[UNIT]],'Unit Price'!G$1,FALSE),0)</f>
        <v>0</v>
      </c>
      <c r="J100" s="194">
        <f>IF(DBparts1[[#This Row],[Type]]&gt;0,VLOOKUP(DBparts1[[#This Row],[Type]],Main[[#All],[TYPE]:[UNIT]],'Unit Price'!H$1,FALSE),0)</f>
        <v>0</v>
      </c>
      <c r="K100" s="194">
        <f>IF(DBparts1[[#This Row],[Type]]&gt;0,VLOOKUP(DBparts1[[#This Row],[Discount seletion]],'Discount Structure'!$A$2:$B$30,2,"false"),0)</f>
        <v>0</v>
      </c>
      <c r="L100" s="194">
        <f>DBparts1[[#This Row],[LIST $]]*DBparts1[[#This Row],[DISCOUNT]]*DBparts1[[#This Row],[DISCOUNT 2]]</f>
        <v>0</v>
      </c>
      <c r="O100" s="118"/>
    </row>
    <row r="101" spans="1:19">
      <c r="A101" s="39">
        <v>99</v>
      </c>
      <c r="B101" s="162"/>
      <c r="C101" s="163"/>
      <c r="D101" s="163"/>
      <c r="E101" s="180"/>
      <c r="F101" s="168" t="s">
        <v>6202</v>
      </c>
      <c r="G101" s="233">
        <f>IF(DBparts1[[#This Row],[Type]]&gt;0,VLOOKUP(DBparts1[[#This Row],[Type]],Main[[#All],[TYPE]:[UNIT]],'Unit Price'!C$1,FALSE),0)</f>
        <v>0</v>
      </c>
      <c r="H101" s="235">
        <f>IF(DBparts1[[#This Row],[Type]]&gt;0,VLOOKUP(DBparts1[[#This Row],[Type]],Main[[#All],[TYPE]:[UNIT]],'Unit Price'!D$1,FALSE),0)</f>
        <v>0</v>
      </c>
      <c r="I101" s="194">
        <f>IF(DBparts1[[#This Row],[Type]]&gt;0,VLOOKUP(DBparts1[[#This Row],[Type]],Main[[#All],[TYPE]:[UNIT]],'Unit Price'!G$1,FALSE),0)</f>
        <v>0</v>
      </c>
      <c r="J101" s="194">
        <f>IF(DBparts1[[#This Row],[Type]]&gt;0,VLOOKUP(DBparts1[[#This Row],[Type]],Main[[#All],[TYPE]:[UNIT]],'Unit Price'!H$1,FALSE),0)</f>
        <v>0</v>
      </c>
      <c r="K101" s="194">
        <f>IF(DBparts1[[#This Row],[Type]]&gt;0,VLOOKUP(DBparts1[[#This Row],[Discount seletion]],'Discount Structure'!$A$2:$B$30,2,"false"),0)</f>
        <v>0</v>
      </c>
      <c r="L101" s="194">
        <f>DBparts1[[#This Row],[LIST $]]*DBparts1[[#This Row],[DISCOUNT]]*DBparts1[[#This Row],[DISCOUNT 2]]</f>
        <v>0</v>
      </c>
      <c r="O101" s="118"/>
      <c r="P101" s="41" t="s">
        <v>6312</v>
      </c>
    </row>
    <row r="102" spans="1:19">
      <c r="A102" s="39">
        <v>100</v>
      </c>
      <c r="B102" s="164"/>
      <c r="C102" s="165"/>
      <c r="D102" s="165"/>
      <c r="F102" s="168" t="s">
        <v>6202</v>
      </c>
      <c r="G102" s="234">
        <f>IF(DBparts1[[#This Row],[Type]]&gt;0,VLOOKUP(DBparts1[[#This Row],[Type]],Main[[#All],[TYPE]:[UNIT]],'Unit Price'!C$1,FALSE),0)</f>
        <v>0</v>
      </c>
      <c r="H102" s="236">
        <f>IF(DBparts1[[#This Row],[Type]]&gt;0,VLOOKUP(DBparts1[[#This Row],[Type]],Main[[#All],[TYPE]:[UNIT]],'Unit Price'!D$1,FALSE),0)</f>
        <v>0</v>
      </c>
      <c r="I102" s="194">
        <f>IF(DBparts1[[#This Row],[Type]]&gt;0,VLOOKUP(DBparts1[[#This Row],[Type]],Main[[#All],[TYPE]:[UNIT]],'Unit Price'!G$1,FALSE),0)</f>
        <v>0</v>
      </c>
      <c r="J102" s="194">
        <f>IF(DBparts1[[#This Row],[Type]]&gt;0,VLOOKUP(DBparts1[[#This Row],[Type]],Main[[#All],[TYPE]:[UNIT]],'Unit Price'!H$1,FALSE),0)</f>
        <v>0</v>
      </c>
      <c r="K102" s="194">
        <f>IF(DBparts1[[#This Row],[Type]]&gt;0,VLOOKUP(DBparts1[[#This Row],[Discount seletion]],'Discount Structure'!$A$2:$B$30,2,"false"),0)</f>
        <v>0</v>
      </c>
      <c r="L102" s="194">
        <f>DBparts1[[#This Row],[LIST $]]*DBparts1[[#This Row],[DISCOUNT]]*DBparts1[[#This Row],[DISCOUNT 2]]</f>
        <v>0</v>
      </c>
      <c r="O102" s="118"/>
      <c r="P102" s="41" t="s">
        <v>6282</v>
      </c>
      <c r="Q102" s="41" t="s">
        <v>5820</v>
      </c>
      <c r="R102" s="41" t="s">
        <v>5819</v>
      </c>
      <c r="S102" s="41" t="s">
        <v>5821</v>
      </c>
    </row>
    <row r="103" spans="1:19">
      <c r="A103" s="39">
        <v>101</v>
      </c>
      <c r="B103" s="112"/>
      <c r="C103" s="112"/>
      <c r="D103" s="112"/>
      <c r="F103" s="168" t="s">
        <v>6202</v>
      </c>
      <c r="G103" s="232">
        <f>IF(DBparts1[[#This Row],[Type]]&gt;0,VLOOKUP(DBparts1[[#This Row],[Type]],Main[[#All],[TYPE]:[UNIT]],'Unit Price'!C$1,FALSE),0)</f>
        <v>0</v>
      </c>
      <c r="H103" s="194">
        <f>IF(DBparts1[[#This Row],[Type]]&gt;0,VLOOKUP(DBparts1[[#This Row],[Type]],Main[[#All],[TYPE]:[UNIT]],'Unit Price'!D$1,FALSE),0)</f>
        <v>0</v>
      </c>
      <c r="I103" s="194">
        <f>IF(DBparts1[[#This Row],[Type]]&gt;0,VLOOKUP(DBparts1[[#This Row],[Type]],Main[[#All],[TYPE]:[UNIT]],'Unit Price'!G$1,FALSE),0)</f>
        <v>0</v>
      </c>
      <c r="J103" s="194">
        <f>IF(DBparts1[[#This Row],[Type]]&gt;0,VLOOKUP(DBparts1[[#This Row],[Type]],Main[[#All],[TYPE]:[UNIT]],'Unit Price'!H$1,FALSE),0)</f>
        <v>0</v>
      </c>
      <c r="K103" s="194">
        <f>IF(DBparts1[[#This Row],[Type]]&gt;0,VLOOKUP(DBparts1[[#This Row],[Discount seletion]],'Discount Structure'!$A$2:$B$30,2,"false"),0)</f>
        <v>0</v>
      </c>
      <c r="L103" s="194">
        <f>DBparts1[[#This Row],[LIST $]]*DBparts1[[#This Row],[DISCOUNT]]*DBparts1[[#This Row],[DISCOUNT 2]]</f>
        <v>0</v>
      </c>
      <c r="O103" s="118"/>
      <c r="P103" s="41" t="s">
        <v>6297</v>
      </c>
      <c r="Q103" s="41" t="s">
        <v>5823</v>
      </c>
      <c r="R103" s="41" t="s">
        <v>5819</v>
      </c>
      <c r="S103" s="41" t="s">
        <v>5824</v>
      </c>
    </row>
    <row r="104" spans="1:19">
      <c r="A104" s="39">
        <v>102</v>
      </c>
      <c r="B104" s="112"/>
      <c r="C104" s="112"/>
      <c r="D104" s="112"/>
      <c r="F104" s="168" t="s">
        <v>6202</v>
      </c>
      <c r="G104" s="232">
        <f>IF(DBparts1[[#This Row],[Type]]&gt;0,VLOOKUP(DBparts1[[#This Row],[Type]],Main[[#All],[TYPE]:[UNIT]],'Unit Price'!C$1,FALSE),0)</f>
        <v>0</v>
      </c>
      <c r="H104" s="194">
        <f>IF(DBparts1[[#This Row],[Type]]&gt;0,VLOOKUP(DBparts1[[#This Row],[Type]],Main[[#All],[TYPE]:[UNIT]],'Unit Price'!D$1,FALSE),0)</f>
        <v>0</v>
      </c>
      <c r="I104" s="194">
        <f>IF(DBparts1[[#This Row],[Type]]&gt;0,VLOOKUP(DBparts1[[#This Row],[Type]],Main[[#All],[TYPE]:[UNIT]],'Unit Price'!G$1,FALSE),0)</f>
        <v>0</v>
      </c>
      <c r="J104" s="194">
        <f>IF(DBparts1[[#This Row],[Type]]&gt;0,VLOOKUP(DBparts1[[#This Row],[Type]],Main[[#All],[TYPE]:[UNIT]],'Unit Price'!H$1,FALSE),0)</f>
        <v>0</v>
      </c>
      <c r="K104" s="194">
        <f>IF(DBparts1[[#This Row],[Type]]&gt;0,VLOOKUP(DBparts1[[#This Row],[Discount seletion]],'Discount Structure'!$A$2:$B$30,2,"false"),0)</f>
        <v>0</v>
      </c>
      <c r="L104" s="194">
        <f>DBparts1[[#This Row],[LIST $]]*DBparts1[[#This Row],[DISCOUNT]]*DBparts1[[#This Row],[DISCOUNT 2]]</f>
        <v>0</v>
      </c>
      <c r="O104" s="118"/>
      <c r="P104" s="41" t="s">
        <v>6286</v>
      </c>
      <c r="Q104" s="41" t="s">
        <v>5825</v>
      </c>
      <c r="R104" s="41" t="s">
        <v>5819</v>
      </c>
      <c r="S104" s="41" t="s">
        <v>5826</v>
      </c>
    </row>
    <row r="105" spans="1:19">
      <c r="B105" s="112"/>
      <c r="C105" s="112"/>
      <c r="D105" s="112"/>
      <c r="F105" s="168" t="s">
        <v>6202</v>
      </c>
      <c r="G105" s="232">
        <f>IF(DBparts1[[#This Row],[Type]]&gt;0,VLOOKUP(DBparts1[[#This Row],[Type]],Main[[#All],[TYPE]:[UNIT]],'Unit Price'!C$1,FALSE),0)</f>
        <v>0</v>
      </c>
      <c r="H105" s="194">
        <f>IF(DBparts1[[#This Row],[Type]]&gt;0,VLOOKUP(DBparts1[[#This Row],[Type]],Main[[#All],[TYPE]:[UNIT]],'Unit Price'!D$1,FALSE),0)</f>
        <v>0</v>
      </c>
      <c r="I105" s="194">
        <f>IF(DBparts1[[#This Row],[Type]]&gt;0,VLOOKUP(DBparts1[[#This Row],[Type]],Main[[#All],[TYPE]:[UNIT]],'Unit Price'!G$1,FALSE),0)</f>
        <v>0</v>
      </c>
      <c r="J105" s="194">
        <f>IF(DBparts1[[#This Row],[Type]]&gt;0,VLOOKUP(DBparts1[[#This Row],[Type]],Main[[#All],[TYPE]:[UNIT]],'Unit Price'!H$1,FALSE),0)</f>
        <v>0</v>
      </c>
      <c r="K105" s="194">
        <f>IF(DBparts1[[#This Row],[Type]]&gt;0,VLOOKUP(DBparts1[[#This Row],[Discount seletion]],'Discount Structure'!$A$2:$B$30,2,"false"),0)</f>
        <v>0</v>
      </c>
      <c r="L105" s="194">
        <f>DBparts1[[#This Row],[LIST $]]*DBparts1[[#This Row],[DISCOUNT]]*DBparts1[[#This Row],[DISCOUNT 2]]</f>
        <v>0</v>
      </c>
      <c r="O105" s="118"/>
      <c r="P105" s="41" t="s">
        <v>6313</v>
      </c>
      <c r="Q105" s="41" t="s">
        <v>5827</v>
      </c>
      <c r="R105" s="41" t="s">
        <v>5819</v>
      </c>
      <c r="S105" s="41" t="s">
        <v>5828</v>
      </c>
    </row>
    <row r="106" spans="1:19">
      <c r="B106" s="112"/>
      <c r="C106" s="112"/>
      <c r="D106" s="112"/>
      <c r="F106" s="168" t="s">
        <v>6202</v>
      </c>
      <c r="G106" s="232">
        <f>IF(DBparts1[[#This Row],[Type]]&gt;0,VLOOKUP(DBparts1[[#This Row],[Type]],Main[[#All],[TYPE]:[UNIT]],'Unit Price'!C$1,FALSE),0)</f>
        <v>0</v>
      </c>
      <c r="H106" s="194">
        <f>IF(DBparts1[[#This Row],[Type]]&gt;0,VLOOKUP(DBparts1[[#This Row],[Type]],Main[[#All],[TYPE]:[UNIT]],'Unit Price'!D$1,FALSE),0)</f>
        <v>0</v>
      </c>
      <c r="I106" s="194">
        <f>IF(DBparts1[[#This Row],[Type]]&gt;0,VLOOKUP(DBparts1[[#This Row],[Type]],Main[[#All],[TYPE]:[UNIT]],'Unit Price'!G$1,FALSE),0)</f>
        <v>0</v>
      </c>
      <c r="J106" s="194">
        <f>IF(DBparts1[[#This Row],[Type]]&gt;0,VLOOKUP(DBparts1[[#This Row],[Type]],Main[[#All],[TYPE]:[UNIT]],'Unit Price'!H$1,FALSE),0)</f>
        <v>0</v>
      </c>
      <c r="K106" s="194">
        <f>IF(DBparts1[[#This Row],[Type]]&gt;0,VLOOKUP(DBparts1[[#This Row],[Discount seletion]],'Discount Structure'!$A$2:$B$30,2,"false"),0)</f>
        <v>0</v>
      </c>
      <c r="L106" s="194">
        <f>DBparts1[[#This Row],[LIST $]]*DBparts1[[#This Row],[DISCOUNT]]*DBparts1[[#This Row],[DISCOUNT 2]]</f>
        <v>0</v>
      </c>
      <c r="O106" s="118"/>
      <c r="P106" s="41" t="s">
        <v>6305</v>
      </c>
      <c r="Q106" s="41" t="s">
        <v>5829</v>
      </c>
      <c r="R106" s="41" t="s">
        <v>5819</v>
      </c>
      <c r="S106" s="41" t="s">
        <v>5830</v>
      </c>
    </row>
    <row r="107" spans="1:19">
      <c r="B107" s="112"/>
      <c r="C107" s="112"/>
      <c r="D107" s="112"/>
      <c r="F107" s="168" t="s">
        <v>6202</v>
      </c>
      <c r="G107" s="232">
        <f>IF(DBparts1[[#This Row],[Type]]&gt;0,VLOOKUP(DBparts1[[#This Row],[Type]],Main[[#All],[TYPE]:[UNIT]],'Unit Price'!C$1,FALSE),0)</f>
        <v>0</v>
      </c>
      <c r="H107" s="194">
        <f>IF(DBparts1[[#This Row],[Type]]&gt;0,VLOOKUP(DBparts1[[#This Row],[Type]],Main[[#All],[TYPE]:[UNIT]],'Unit Price'!D$1,FALSE),0)</f>
        <v>0</v>
      </c>
      <c r="I107" s="194">
        <f>IF(DBparts1[[#This Row],[Type]]&gt;0,VLOOKUP(DBparts1[[#This Row],[Type]],Main[[#All],[TYPE]:[UNIT]],'Unit Price'!G$1,FALSE),0)</f>
        <v>0</v>
      </c>
      <c r="J107" s="194">
        <f>IF(DBparts1[[#This Row],[Type]]&gt;0,VLOOKUP(DBparts1[[#This Row],[Type]],Main[[#All],[TYPE]:[UNIT]],'Unit Price'!H$1,FALSE),0)</f>
        <v>0</v>
      </c>
      <c r="K107" s="194">
        <f>IF(DBparts1[[#This Row],[Type]]&gt;0,VLOOKUP(DBparts1[[#This Row],[Discount seletion]],'Discount Structure'!$A$2:$B$30,2,"false"),0)</f>
        <v>0</v>
      </c>
      <c r="L107" s="194">
        <f>DBparts1[[#This Row],[LIST $]]*DBparts1[[#This Row],[DISCOUNT]]*DBparts1[[#This Row],[DISCOUNT 2]]</f>
        <v>0</v>
      </c>
      <c r="O107" s="118"/>
    </row>
    <row r="108" spans="1:19">
      <c r="B108" s="112"/>
      <c r="C108" s="112"/>
      <c r="D108" s="112"/>
      <c r="F108" s="168" t="s">
        <v>6202</v>
      </c>
      <c r="G108" s="232">
        <f>IF(DBparts1[[#This Row],[Type]]&gt;0,VLOOKUP(DBparts1[[#This Row],[Type]],Main[[#All],[TYPE]:[UNIT]],'Unit Price'!C$1,FALSE),0)</f>
        <v>0</v>
      </c>
      <c r="H108" s="194">
        <f>IF(DBparts1[[#This Row],[Type]]&gt;0,VLOOKUP(DBparts1[[#This Row],[Type]],Main[[#All],[TYPE]:[UNIT]],'Unit Price'!D$1,FALSE),0)</f>
        <v>0</v>
      </c>
      <c r="I108" s="194">
        <f>IF(DBparts1[[#This Row],[Type]]&gt;0,VLOOKUP(DBparts1[[#This Row],[Type]],Main[[#All],[TYPE]:[UNIT]],'Unit Price'!G$1,FALSE),0)</f>
        <v>0</v>
      </c>
      <c r="J108" s="194">
        <f>IF(DBparts1[[#This Row],[Type]]&gt;0,VLOOKUP(DBparts1[[#This Row],[Type]],Main[[#All],[TYPE]:[UNIT]],'Unit Price'!H$1,FALSE),0)</f>
        <v>0</v>
      </c>
      <c r="K108" s="194">
        <f>IF(DBparts1[[#This Row],[Type]]&gt;0,VLOOKUP(DBparts1[[#This Row],[Discount seletion]],'Discount Structure'!$A$2:$B$30,2,"false"),0)</f>
        <v>0</v>
      </c>
      <c r="L108" s="194">
        <f>DBparts1[[#This Row],[LIST $]]*DBparts1[[#This Row],[DISCOUNT]]*DBparts1[[#This Row],[DISCOUNT 2]]</f>
        <v>0</v>
      </c>
      <c r="O108" s="118"/>
      <c r="P108" s="41" t="s">
        <v>7808</v>
      </c>
    </row>
    <row r="109" spans="1:19">
      <c r="B109" s="112"/>
      <c r="C109" s="112"/>
      <c r="D109" s="112"/>
      <c r="F109" s="168" t="s">
        <v>6202</v>
      </c>
      <c r="G109" s="232">
        <f>IF(DBparts1[[#This Row],[Type]]&gt;0,VLOOKUP(DBparts1[[#This Row],[Type]],Main[[#All],[TYPE]:[UNIT]],'Unit Price'!C$1,FALSE),0)</f>
        <v>0</v>
      </c>
      <c r="H109" s="194">
        <f>IF(DBparts1[[#This Row],[Type]]&gt;0,VLOOKUP(DBparts1[[#This Row],[Type]],Main[[#All],[TYPE]:[UNIT]],'Unit Price'!D$1,FALSE),0)</f>
        <v>0</v>
      </c>
      <c r="I109" s="194">
        <f>IF(DBparts1[[#This Row],[Type]]&gt;0,VLOOKUP(DBparts1[[#This Row],[Type]],Main[[#All],[TYPE]:[UNIT]],'Unit Price'!G$1,FALSE),0)</f>
        <v>0</v>
      </c>
      <c r="J109" s="194">
        <f>IF(DBparts1[[#This Row],[Type]]&gt;0,VLOOKUP(DBparts1[[#This Row],[Type]],Main[[#All],[TYPE]:[UNIT]],'Unit Price'!H$1,FALSE),0)</f>
        <v>0</v>
      </c>
      <c r="K109" s="194">
        <f>IF(DBparts1[[#This Row],[Type]]&gt;0,VLOOKUP(DBparts1[[#This Row],[Discount seletion]],'Discount Structure'!$A$2:$B$30,2,"false"),0)</f>
        <v>0</v>
      </c>
      <c r="L109" s="194">
        <f>DBparts1[[#This Row],[LIST $]]*DBparts1[[#This Row],[DISCOUNT]]*DBparts1[[#This Row],[DISCOUNT 2]]</f>
        <v>0</v>
      </c>
      <c r="O109" s="118"/>
      <c r="P109" s="41" t="s">
        <v>6282</v>
      </c>
      <c r="R109" s="41" t="s">
        <v>50</v>
      </c>
      <c r="S109" s="41" t="s">
        <v>7806</v>
      </c>
    </row>
    <row r="110" spans="1:19">
      <c r="B110" s="112"/>
      <c r="C110" s="112"/>
      <c r="D110" s="112"/>
      <c r="F110" s="168" t="s">
        <v>6202</v>
      </c>
      <c r="G110" s="232">
        <f>IF(DBparts1[[#This Row],[Type]]&gt;0,VLOOKUP(DBparts1[[#This Row],[Type]],Main[[#All],[TYPE]:[UNIT]],'Unit Price'!C$1,FALSE),0)</f>
        <v>0</v>
      </c>
      <c r="H110" s="194">
        <f>IF(DBparts1[[#This Row],[Type]]&gt;0,VLOOKUP(DBparts1[[#This Row],[Type]],Main[[#All],[TYPE]:[UNIT]],'Unit Price'!D$1,FALSE),0)</f>
        <v>0</v>
      </c>
      <c r="I110" s="194">
        <f>IF(DBparts1[[#This Row],[Type]]&gt;0,VLOOKUP(DBparts1[[#This Row],[Type]],Main[[#All],[TYPE]:[UNIT]],'Unit Price'!G$1,FALSE),0)</f>
        <v>0</v>
      </c>
      <c r="J110" s="194">
        <f>IF(DBparts1[[#This Row],[Type]]&gt;0,VLOOKUP(DBparts1[[#This Row],[Type]],Main[[#All],[TYPE]:[UNIT]],'Unit Price'!H$1,FALSE),0)</f>
        <v>0</v>
      </c>
      <c r="K110" s="194">
        <f>IF(DBparts1[[#This Row],[Type]]&gt;0,VLOOKUP(DBparts1[[#This Row],[Discount seletion]],'Discount Structure'!$A$2:$B$30,2,"false"),0)</f>
        <v>0</v>
      </c>
      <c r="L110" s="194">
        <f>DBparts1[[#This Row],[LIST $]]*DBparts1[[#This Row],[DISCOUNT]]*DBparts1[[#This Row],[DISCOUNT 2]]</f>
        <v>0</v>
      </c>
      <c r="O110" s="118"/>
      <c r="P110" s="41" t="s">
        <v>6284</v>
      </c>
      <c r="R110" s="41" t="s">
        <v>50</v>
      </c>
      <c r="S110" s="41" t="s">
        <v>7763</v>
      </c>
    </row>
    <row r="111" spans="1:19">
      <c r="B111" s="112"/>
      <c r="C111" s="112"/>
      <c r="D111" s="112"/>
      <c r="F111" s="168" t="s">
        <v>6202</v>
      </c>
      <c r="G111" s="232">
        <f>IF(DBparts1[[#This Row],[Type]]&gt;0,VLOOKUP(DBparts1[[#This Row],[Type]],Main[[#All],[TYPE]:[UNIT]],'Unit Price'!C$1,FALSE),0)</f>
        <v>0</v>
      </c>
      <c r="H111" s="194">
        <f>IF(DBparts1[[#This Row],[Type]]&gt;0,VLOOKUP(DBparts1[[#This Row],[Type]],Main[[#All],[TYPE]:[UNIT]],'Unit Price'!D$1,FALSE),0)</f>
        <v>0</v>
      </c>
      <c r="I111" s="194">
        <f>IF(DBparts1[[#This Row],[Type]]&gt;0,VLOOKUP(DBparts1[[#This Row],[Type]],Main[[#All],[TYPE]:[UNIT]],'Unit Price'!G$1,FALSE),0)</f>
        <v>0</v>
      </c>
      <c r="J111" s="194">
        <f>IF(DBparts1[[#This Row],[Type]]&gt;0,VLOOKUP(DBparts1[[#This Row],[Type]],Main[[#All],[TYPE]:[UNIT]],'Unit Price'!H$1,FALSE),0)</f>
        <v>0</v>
      </c>
      <c r="K111" s="194">
        <f>IF(DBparts1[[#This Row],[Type]]&gt;0,VLOOKUP(DBparts1[[#This Row],[Discount seletion]],'Discount Structure'!$A$2:$B$30,2,"false"),0)</f>
        <v>0</v>
      </c>
      <c r="L111" s="194">
        <f>DBparts1[[#This Row],[LIST $]]*DBparts1[[#This Row],[DISCOUNT]]*DBparts1[[#This Row],[DISCOUNT 2]]</f>
        <v>0</v>
      </c>
      <c r="O111" s="118"/>
      <c r="P111" s="41" t="s">
        <v>6286</v>
      </c>
      <c r="R111" s="41" t="s">
        <v>50</v>
      </c>
      <c r="S111" s="41" t="s">
        <v>7765</v>
      </c>
    </row>
    <row r="112" spans="1:19">
      <c r="B112" s="112"/>
      <c r="C112" s="112"/>
      <c r="D112" s="112"/>
      <c r="F112" s="168" t="s">
        <v>6202</v>
      </c>
      <c r="G112" s="232">
        <f>IF(DBparts1[[#This Row],[Type]]&gt;0,VLOOKUP(DBparts1[[#This Row],[Type]],Main[[#All],[TYPE]:[UNIT]],'Unit Price'!C$1,FALSE),0)</f>
        <v>0</v>
      </c>
      <c r="H112" s="194">
        <f>IF(DBparts1[[#This Row],[Type]]&gt;0,VLOOKUP(DBparts1[[#This Row],[Type]],Main[[#All],[TYPE]:[UNIT]],'Unit Price'!D$1,FALSE),0)</f>
        <v>0</v>
      </c>
      <c r="I112" s="194">
        <f>IF(DBparts1[[#This Row],[Type]]&gt;0,VLOOKUP(DBparts1[[#This Row],[Type]],Main[[#All],[TYPE]:[UNIT]],'Unit Price'!G$1,FALSE),0)</f>
        <v>0</v>
      </c>
      <c r="J112" s="194">
        <f>IF(DBparts1[[#This Row],[Type]]&gt;0,VLOOKUP(DBparts1[[#This Row],[Type]],Main[[#All],[TYPE]:[UNIT]],'Unit Price'!H$1,FALSE),0)</f>
        <v>0</v>
      </c>
      <c r="K112" s="194">
        <f>IF(DBparts1[[#This Row],[Type]]&gt;0,VLOOKUP(DBparts1[[#This Row],[Discount seletion]],'Discount Structure'!$A$2:$B$30,2,"false"),0)</f>
        <v>0</v>
      </c>
      <c r="L112" s="194">
        <f>DBparts1[[#This Row],[LIST $]]*DBparts1[[#This Row],[DISCOUNT]]*DBparts1[[#This Row],[DISCOUNT 2]]</f>
        <v>0</v>
      </c>
      <c r="O112" s="118"/>
      <c r="P112" s="41" t="s">
        <v>6288</v>
      </c>
      <c r="R112" s="41" t="s">
        <v>50</v>
      </c>
      <c r="S112" s="41" t="s">
        <v>7767</v>
      </c>
    </row>
    <row r="113" spans="2:19">
      <c r="B113" s="112"/>
      <c r="C113" s="112"/>
      <c r="D113" s="112"/>
      <c r="F113" s="168" t="s">
        <v>6202</v>
      </c>
      <c r="G113" s="232">
        <f>IF(DBparts1[[#This Row],[Type]]&gt;0,VLOOKUP(DBparts1[[#This Row],[Type]],Main[[#All],[TYPE]:[UNIT]],'Unit Price'!C$1,FALSE),0)</f>
        <v>0</v>
      </c>
      <c r="H113" s="194">
        <f>IF(DBparts1[[#This Row],[Type]]&gt;0,VLOOKUP(DBparts1[[#This Row],[Type]],Main[[#All],[TYPE]:[UNIT]],'Unit Price'!D$1,FALSE),0)</f>
        <v>0</v>
      </c>
      <c r="I113" s="194">
        <f>IF(DBparts1[[#This Row],[Type]]&gt;0,VLOOKUP(DBparts1[[#This Row],[Type]],Main[[#All],[TYPE]:[UNIT]],'Unit Price'!G$1,FALSE),0)</f>
        <v>0</v>
      </c>
      <c r="J113" s="194">
        <f>IF(DBparts1[[#This Row],[Type]]&gt;0,VLOOKUP(DBparts1[[#This Row],[Type]],Main[[#All],[TYPE]:[UNIT]],'Unit Price'!H$1,FALSE),0)</f>
        <v>0</v>
      </c>
      <c r="K113" s="194">
        <f>IF(DBparts1[[#This Row],[Type]]&gt;0,VLOOKUP(DBparts1[[#This Row],[Discount seletion]],'Discount Structure'!$A$2:$B$30,2,"false"),0)</f>
        <v>0</v>
      </c>
      <c r="L113" s="194">
        <f>DBparts1[[#This Row],[LIST $]]*DBparts1[[#This Row],[DISCOUNT]]*DBparts1[[#This Row],[DISCOUNT 2]]</f>
        <v>0</v>
      </c>
      <c r="O113" s="118"/>
      <c r="P113" s="41" t="s">
        <v>6290</v>
      </c>
      <c r="R113" s="41" t="s">
        <v>50</v>
      </c>
      <c r="S113" s="41" t="s">
        <v>7769</v>
      </c>
    </row>
    <row r="114" spans="2:19">
      <c r="B114" s="112"/>
      <c r="C114" s="112"/>
      <c r="D114" s="112"/>
      <c r="F114" s="168" t="s">
        <v>6202</v>
      </c>
      <c r="G114" s="232">
        <f>IF(DBparts1[[#This Row],[Type]]&gt;0,VLOOKUP(DBparts1[[#This Row],[Type]],Main[[#All],[TYPE]:[UNIT]],'Unit Price'!C$1,FALSE),0)</f>
        <v>0</v>
      </c>
      <c r="H114" s="194">
        <f>IF(DBparts1[[#This Row],[Type]]&gt;0,VLOOKUP(DBparts1[[#This Row],[Type]],Main[[#All],[TYPE]:[UNIT]],'Unit Price'!D$1,FALSE),0)</f>
        <v>0</v>
      </c>
      <c r="I114" s="194">
        <f>IF(DBparts1[[#This Row],[Type]]&gt;0,VLOOKUP(DBparts1[[#This Row],[Type]],Main[[#All],[TYPE]:[UNIT]],'Unit Price'!G$1,FALSE),0)</f>
        <v>0</v>
      </c>
      <c r="J114" s="194">
        <f>IF(DBparts1[[#This Row],[Type]]&gt;0,VLOOKUP(DBparts1[[#This Row],[Type]],Main[[#All],[TYPE]:[UNIT]],'Unit Price'!H$1,FALSE),0)</f>
        <v>0</v>
      </c>
      <c r="K114" s="194">
        <f>IF(DBparts1[[#This Row],[Type]]&gt;0,VLOOKUP(DBparts1[[#This Row],[Discount seletion]],'Discount Structure'!$A$2:$B$30,2,"false"),0)</f>
        <v>0</v>
      </c>
      <c r="L114" s="194">
        <f>DBparts1[[#This Row],[LIST $]]*DBparts1[[#This Row],[DISCOUNT]]*DBparts1[[#This Row],[DISCOUNT 2]]</f>
        <v>0</v>
      </c>
      <c r="O114" s="118"/>
      <c r="P114" s="41" t="s">
        <v>6292</v>
      </c>
      <c r="R114" s="41" t="s">
        <v>50</v>
      </c>
      <c r="S114" s="41" t="s">
        <v>7803</v>
      </c>
    </row>
    <row r="115" spans="2:19">
      <c r="B115" s="112"/>
      <c r="C115" s="112"/>
      <c r="D115" s="112"/>
      <c r="F115" s="168" t="s">
        <v>6202</v>
      </c>
      <c r="G115" s="232">
        <f>IF(DBparts1[[#This Row],[Type]]&gt;0,VLOOKUP(DBparts1[[#This Row],[Type]],Main[[#All],[TYPE]:[UNIT]],'Unit Price'!C$1,FALSE),0)</f>
        <v>0</v>
      </c>
      <c r="H115" s="194">
        <f>IF(DBparts1[[#This Row],[Type]]&gt;0,VLOOKUP(DBparts1[[#This Row],[Type]],Main[[#All],[TYPE]:[UNIT]],'Unit Price'!D$1,FALSE),0)</f>
        <v>0</v>
      </c>
      <c r="I115" s="194">
        <f>IF(DBparts1[[#This Row],[Type]]&gt;0,VLOOKUP(DBparts1[[#This Row],[Type]],Main[[#All],[TYPE]:[UNIT]],'Unit Price'!G$1,FALSE),0)</f>
        <v>0</v>
      </c>
      <c r="J115" s="194">
        <f>IF(DBparts1[[#This Row],[Type]]&gt;0,VLOOKUP(DBparts1[[#This Row],[Type]],Main[[#All],[TYPE]:[UNIT]],'Unit Price'!H$1,FALSE),0)</f>
        <v>0</v>
      </c>
      <c r="K115" s="194">
        <f>IF(DBparts1[[#This Row],[Type]]&gt;0,VLOOKUP(DBparts1[[#This Row],[Discount seletion]],'Discount Structure'!$A$2:$B$30,2,"false"),0)</f>
        <v>0</v>
      </c>
      <c r="L115" s="194">
        <f>DBparts1[[#This Row],[LIST $]]*DBparts1[[#This Row],[DISCOUNT]]*DBparts1[[#This Row],[DISCOUNT 2]]</f>
        <v>0</v>
      </c>
      <c r="O115" s="118"/>
      <c r="P115" s="41" t="s">
        <v>6294</v>
      </c>
      <c r="R115" s="41" t="s">
        <v>50</v>
      </c>
      <c r="S115" s="41" t="s">
        <v>7805</v>
      </c>
    </row>
    <row r="116" spans="2:19">
      <c r="B116" s="112"/>
      <c r="C116" s="112"/>
      <c r="D116" s="112"/>
      <c r="F116" s="168" t="s">
        <v>6202</v>
      </c>
      <c r="G116" s="232">
        <f>IF(DBparts1[[#This Row],[Type]]&gt;0,VLOOKUP(DBparts1[[#This Row],[Type]],Main[[#All],[TYPE]:[UNIT]],'Unit Price'!C$1,FALSE),0)</f>
        <v>0</v>
      </c>
      <c r="H116" s="194">
        <f>IF(DBparts1[[#This Row],[Type]]&gt;0,VLOOKUP(DBparts1[[#This Row],[Type]],Main[[#All],[TYPE]:[UNIT]],'Unit Price'!D$1,FALSE),0)</f>
        <v>0</v>
      </c>
      <c r="I116" s="194">
        <f>IF(DBparts1[[#This Row],[Type]]&gt;0,VLOOKUP(DBparts1[[#This Row],[Type]],Main[[#All],[TYPE]:[UNIT]],'Unit Price'!G$1,FALSE),0)</f>
        <v>0</v>
      </c>
      <c r="J116" s="194">
        <f>IF(DBparts1[[#This Row],[Type]]&gt;0,VLOOKUP(DBparts1[[#This Row],[Type]],Main[[#All],[TYPE]:[UNIT]],'Unit Price'!H$1,FALSE),0)</f>
        <v>0</v>
      </c>
      <c r="K116" s="194">
        <f>IF(DBparts1[[#This Row],[Type]]&gt;0,VLOOKUP(DBparts1[[#This Row],[Discount seletion]],'Discount Structure'!$A$2:$B$30,2,"false"),0)</f>
        <v>0</v>
      </c>
      <c r="L116" s="194">
        <f>DBparts1[[#This Row],[LIST $]]*DBparts1[[#This Row],[DISCOUNT]]*DBparts1[[#This Row],[DISCOUNT 2]]</f>
        <v>0</v>
      </c>
      <c r="O116" s="118"/>
    </row>
    <row r="117" spans="2:19">
      <c r="B117" s="112"/>
      <c r="C117" s="112"/>
      <c r="D117" s="112"/>
      <c r="F117" s="168" t="s">
        <v>6202</v>
      </c>
      <c r="G117" s="232">
        <f>IF(DBparts1[[#This Row],[Type]]&gt;0,VLOOKUP(DBparts1[[#This Row],[Type]],Main[[#All],[TYPE]:[UNIT]],'Unit Price'!C$1,FALSE),0)</f>
        <v>0</v>
      </c>
      <c r="H117" s="194">
        <f>IF(DBparts1[[#This Row],[Type]]&gt;0,VLOOKUP(DBparts1[[#This Row],[Type]],Main[[#All],[TYPE]:[UNIT]],'Unit Price'!D$1,FALSE),0)</f>
        <v>0</v>
      </c>
      <c r="I117" s="194">
        <f>IF(DBparts1[[#This Row],[Type]]&gt;0,VLOOKUP(DBparts1[[#This Row],[Type]],Main[[#All],[TYPE]:[UNIT]],'Unit Price'!G$1,FALSE),0)</f>
        <v>0</v>
      </c>
      <c r="J117" s="194">
        <f>IF(DBparts1[[#This Row],[Type]]&gt;0,VLOOKUP(DBparts1[[#This Row],[Type]],Main[[#All],[TYPE]:[UNIT]],'Unit Price'!H$1,FALSE),0)</f>
        <v>0</v>
      </c>
      <c r="K117" s="194">
        <f>IF(DBparts1[[#This Row],[Type]]&gt;0,VLOOKUP(DBparts1[[#This Row],[Discount seletion]],'Discount Structure'!$A$2:$B$30,2,"false"),0)</f>
        <v>0</v>
      </c>
      <c r="L117" s="194">
        <f>DBparts1[[#This Row],[LIST $]]*DBparts1[[#This Row],[DISCOUNT]]*DBparts1[[#This Row],[DISCOUNT 2]]</f>
        <v>0</v>
      </c>
      <c r="O117" s="118"/>
    </row>
    <row r="118" spans="2:19">
      <c r="B118" s="112"/>
      <c r="C118" s="112"/>
      <c r="D118" s="112"/>
      <c r="F118" s="168" t="s">
        <v>6202</v>
      </c>
      <c r="G118" s="232">
        <f>IF(DBparts1[[#This Row],[Type]]&gt;0,VLOOKUP(DBparts1[[#This Row],[Type]],Main[[#All],[TYPE]:[UNIT]],'Unit Price'!C$1,FALSE),0)</f>
        <v>0</v>
      </c>
      <c r="H118" s="194">
        <f>IF(DBparts1[[#This Row],[Type]]&gt;0,VLOOKUP(DBparts1[[#This Row],[Type]],Main[[#All],[TYPE]:[UNIT]],'Unit Price'!D$1,FALSE),0)</f>
        <v>0</v>
      </c>
      <c r="I118" s="194">
        <f>IF(DBparts1[[#This Row],[Type]]&gt;0,VLOOKUP(DBparts1[[#This Row],[Type]],Main[[#All],[TYPE]:[UNIT]],'Unit Price'!G$1,FALSE),0)</f>
        <v>0</v>
      </c>
      <c r="J118" s="194">
        <f>IF(DBparts1[[#This Row],[Type]]&gt;0,VLOOKUP(DBparts1[[#This Row],[Type]],Main[[#All],[TYPE]:[UNIT]],'Unit Price'!H$1,FALSE),0)</f>
        <v>0</v>
      </c>
      <c r="K118" s="194">
        <f>IF(DBparts1[[#This Row],[Type]]&gt;0,VLOOKUP(DBparts1[[#This Row],[Discount seletion]],'Discount Structure'!$A$2:$B$30,2,"false"),0)</f>
        <v>0</v>
      </c>
      <c r="L118" s="194">
        <f>DBparts1[[#This Row],[LIST $]]*DBparts1[[#This Row],[DISCOUNT]]*DBparts1[[#This Row],[DISCOUNT 2]]</f>
        <v>0</v>
      </c>
      <c r="O118" s="118"/>
    </row>
    <row r="119" spans="2:19">
      <c r="B119" s="112"/>
      <c r="C119" s="112"/>
      <c r="D119" s="112"/>
      <c r="F119" s="168" t="s">
        <v>6202</v>
      </c>
      <c r="G119" s="232">
        <f>IF(DBparts1[[#This Row],[Type]]&gt;0,VLOOKUP(DBparts1[[#This Row],[Type]],Main[[#All],[TYPE]:[UNIT]],'Unit Price'!C$1,FALSE),0)</f>
        <v>0</v>
      </c>
      <c r="H119" s="194">
        <f>IF(DBparts1[[#This Row],[Type]]&gt;0,VLOOKUP(DBparts1[[#This Row],[Type]],Main[[#All],[TYPE]:[UNIT]],'Unit Price'!D$1,FALSE),0)</f>
        <v>0</v>
      </c>
      <c r="I119" s="194">
        <f>IF(DBparts1[[#This Row],[Type]]&gt;0,VLOOKUP(DBparts1[[#This Row],[Type]],Main[[#All],[TYPE]:[UNIT]],'Unit Price'!G$1,FALSE),0)</f>
        <v>0</v>
      </c>
      <c r="J119" s="194">
        <f>IF(DBparts1[[#This Row],[Type]]&gt;0,VLOOKUP(DBparts1[[#This Row],[Type]],Main[[#All],[TYPE]:[UNIT]],'Unit Price'!H$1,FALSE),0)</f>
        <v>0</v>
      </c>
      <c r="K119" s="194">
        <f>IF(DBparts1[[#This Row],[Type]]&gt;0,VLOOKUP(DBparts1[[#This Row],[Discount seletion]],'Discount Structure'!$A$2:$B$30,2,"false"),0)</f>
        <v>0</v>
      </c>
      <c r="L119" s="194">
        <f>DBparts1[[#This Row],[LIST $]]*DBparts1[[#This Row],[DISCOUNT]]*DBparts1[[#This Row],[DISCOUNT 2]]</f>
        <v>0</v>
      </c>
      <c r="O119" s="118"/>
    </row>
    <row r="120" spans="2:19">
      <c r="B120" s="112"/>
      <c r="C120" s="112"/>
      <c r="D120" s="112"/>
      <c r="F120" s="168" t="s">
        <v>6202</v>
      </c>
      <c r="G120" s="232">
        <f>IF(DBparts1[[#This Row],[Type]]&gt;0,VLOOKUP(DBparts1[[#This Row],[Type]],Main[[#All],[TYPE]:[UNIT]],'Unit Price'!C$1,FALSE),0)</f>
        <v>0</v>
      </c>
      <c r="H120" s="194">
        <f>IF(DBparts1[[#This Row],[Type]]&gt;0,VLOOKUP(DBparts1[[#This Row],[Type]],Main[[#All],[TYPE]:[UNIT]],'Unit Price'!D$1,FALSE),0)</f>
        <v>0</v>
      </c>
      <c r="I120" s="194">
        <f>IF(DBparts1[[#This Row],[Type]]&gt;0,VLOOKUP(DBparts1[[#This Row],[Type]],Main[[#All],[TYPE]:[UNIT]],'Unit Price'!G$1,FALSE),0)</f>
        <v>0</v>
      </c>
      <c r="J120" s="194">
        <f>IF(DBparts1[[#This Row],[Type]]&gt;0,VLOOKUP(DBparts1[[#This Row],[Type]],Main[[#All],[TYPE]:[UNIT]],'Unit Price'!H$1,FALSE),0)</f>
        <v>0</v>
      </c>
      <c r="K120" s="194">
        <f>IF(DBparts1[[#This Row],[Type]]&gt;0,VLOOKUP(DBparts1[[#This Row],[Discount seletion]],'Discount Structure'!$A$2:$B$30,2,"false"),0)</f>
        <v>0</v>
      </c>
      <c r="L120" s="194">
        <f>DBparts1[[#This Row],[LIST $]]*DBparts1[[#This Row],[DISCOUNT]]*DBparts1[[#This Row],[DISCOUNT 2]]</f>
        <v>0</v>
      </c>
      <c r="O120" s="118"/>
    </row>
    <row r="121" spans="2:19">
      <c r="B121" s="112"/>
      <c r="C121" s="112"/>
      <c r="D121" s="112"/>
      <c r="F121" s="168" t="s">
        <v>6202</v>
      </c>
      <c r="G121" s="232">
        <f>IF(DBparts1[[#This Row],[Type]]&gt;0,VLOOKUP(DBparts1[[#This Row],[Type]],Main[[#All],[TYPE]:[UNIT]],'Unit Price'!C$1,FALSE),0)</f>
        <v>0</v>
      </c>
      <c r="H121" s="194">
        <f>IF(DBparts1[[#This Row],[Type]]&gt;0,VLOOKUP(DBparts1[[#This Row],[Type]],Main[[#All],[TYPE]:[UNIT]],'Unit Price'!D$1,FALSE),0)</f>
        <v>0</v>
      </c>
      <c r="I121" s="194">
        <f>IF(DBparts1[[#This Row],[Type]]&gt;0,VLOOKUP(DBparts1[[#This Row],[Type]],Main[[#All],[TYPE]:[UNIT]],'Unit Price'!G$1,FALSE),0)</f>
        <v>0</v>
      </c>
      <c r="J121" s="194">
        <f>IF(DBparts1[[#This Row],[Type]]&gt;0,VLOOKUP(DBparts1[[#This Row],[Type]],Main[[#All],[TYPE]:[UNIT]],'Unit Price'!H$1,FALSE),0)</f>
        <v>0</v>
      </c>
      <c r="K121" s="194">
        <f>IF(DBparts1[[#This Row],[Type]]&gt;0,VLOOKUP(DBparts1[[#This Row],[Discount seletion]],'Discount Structure'!$A$2:$B$30,2,"false"),0)</f>
        <v>0</v>
      </c>
      <c r="L121" s="194">
        <f>DBparts1[[#This Row],[LIST $]]*DBparts1[[#This Row],[DISCOUNT]]*DBparts1[[#This Row],[DISCOUNT 2]]</f>
        <v>0</v>
      </c>
      <c r="O121" s="118"/>
    </row>
    <row r="122" spans="2:19">
      <c r="B122" s="112"/>
      <c r="C122" s="112"/>
      <c r="D122" s="112"/>
      <c r="F122" s="168" t="s">
        <v>6202</v>
      </c>
      <c r="G122" s="232">
        <f>IF(DBparts1[[#This Row],[Type]]&gt;0,VLOOKUP(DBparts1[[#This Row],[Type]],Main[[#All],[TYPE]:[UNIT]],'Unit Price'!C$1,FALSE),0)</f>
        <v>0</v>
      </c>
      <c r="H122" s="194">
        <f>IF(DBparts1[[#This Row],[Type]]&gt;0,VLOOKUP(DBparts1[[#This Row],[Type]],Main[[#All],[TYPE]:[UNIT]],'Unit Price'!D$1,FALSE),0)</f>
        <v>0</v>
      </c>
      <c r="I122" s="194">
        <f>IF(DBparts1[[#This Row],[Type]]&gt;0,VLOOKUP(DBparts1[[#This Row],[Type]],Main[[#All],[TYPE]:[UNIT]],'Unit Price'!G$1,FALSE),0)</f>
        <v>0</v>
      </c>
      <c r="J122" s="194">
        <f>IF(DBparts1[[#This Row],[Type]]&gt;0,VLOOKUP(DBparts1[[#This Row],[Type]],Main[[#All],[TYPE]:[UNIT]],'Unit Price'!H$1,FALSE),0)</f>
        <v>0</v>
      </c>
      <c r="K122" s="194">
        <f>IF(DBparts1[[#This Row],[Type]]&gt;0,VLOOKUP(DBparts1[[#This Row],[Discount seletion]],'Discount Structure'!$A$2:$B$30,2,"false"),0)</f>
        <v>0</v>
      </c>
      <c r="L122" s="194">
        <f>DBparts1[[#This Row],[LIST $]]*DBparts1[[#This Row],[DISCOUNT]]*DBparts1[[#This Row],[DISCOUNT 2]]</f>
        <v>0</v>
      </c>
      <c r="O122" s="118"/>
    </row>
    <row r="123" spans="2:19">
      <c r="B123" s="112"/>
      <c r="C123" s="112"/>
      <c r="D123" s="112"/>
      <c r="F123" s="168" t="s">
        <v>6202</v>
      </c>
      <c r="G123" s="232">
        <f>IF(DBparts1[[#This Row],[Type]]&gt;0,VLOOKUP(DBparts1[[#This Row],[Type]],Main[[#All],[TYPE]:[UNIT]],'Unit Price'!C$1,FALSE),0)</f>
        <v>0</v>
      </c>
      <c r="H123" s="194">
        <f>IF(DBparts1[[#This Row],[Type]]&gt;0,VLOOKUP(DBparts1[[#This Row],[Type]],Main[[#All],[TYPE]:[UNIT]],'Unit Price'!D$1,FALSE),0)</f>
        <v>0</v>
      </c>
      <c r="I123" s="194">
        <f>IF(DBparts1[[#This Row],[Type]]&gt;0,VLOOKUP(DBparts1[[#This Row],[Type]],Main[[#All],[TYPE]:[UNIT]],'Unit Price'!G$1,FALSE),0)</f>
        <v>0</v>
      </c>
      <c r="J123" s="194">
        <f>IF(DBparts1[[#This Row],[Type]]&gt;0,VLOOKUP(DBparts1[[#This Row],[Type]],Main[[#All],[TYPE]:[UNIT]],'Unit Price'!H$1,FALSE),0)</f>
        <v>0</v>
      </c>
      <c r="K123" s="194">
        <f>IF(DBparts1[[#This Row],[Type]]&gt;0,VLOOKUP(DBparts1[[#This Row],[Discount seletion]],'Discount Structure'!$A$2:$B$30,2,"false"),0)</f>
        <v>0</v>
      </c>
      <c r="L123" s="194">
        <f>DBparts1[[#This Row],[LIST $]]*DBparts1[[#This Row],[DISCOUNT]]*DBparts1[[#This Row],[DISCOUNT 2]]</f>
        <v>0</v>
      </c>
      <c r="O123" s="118"/>
    </row>
    <row r="124" spans="2:19">
      <c r="B124" s="112"/>
      <c r="C124" s="112"/>
      <c r="D124" s="112"/>
      <c r="F124" s="168" t="s">
        <v>6202</v>
      </c>
      <c r="G124" s="232">
        <f>IF(DBparts1[[#This Row],[Type]]&gt;0,VLOOKUP(DBparts1[[#This Row],[Type]],Main[[#All],[TYPE]:[UNIT]],'Unit Price'!C$1,FALSE),0)</f>
        <v>0</v>
      </c>
      <c r="H124" s="194">
        <f>IF(DBparts1[[#This Row],[Type]]&gt;0,VLOOKUP(DBparts1[[#This Row],[Type]],Main[[#All],[TYPE]:[UNIT]],'Unit Price'!D$1,FALSE),0)</f>
        <v>0</v>
      </c>
      <c r="I124" s="194">
        <f>IF(DBparts1[[#This Row],[Type]]&gt;0,VLOOKUP(DBparts1[[#This Row],[Type]],Main[[#All],[TYPE]:[UNIT]],'Unit Price'!G$1,FALSE),0)</f>
        <v>0</v>
      </c>
      <c r="J124" s="194">
        <f>IF(DBparts1[[#This Row],[Type]]&gt;0,VLOOKUP(DBparts1[[#This Row],[Type]],Main[[#All],[TYPE]:[UNIT]],'Unit Price'!H$1,FALSE),0)</f>
        <v>0</v>
      </c>
      <c r="K124" s="194">
        <f>IF(DBparts1[[#This Row],[Type]]&gt;0,VLOOKUP(DBparts1[[#This Row],[Discount seletion]],'Discount Structure'!$A$2:$B$30,2,"false"),0)</f>
        <v>0</v>
      </c>
      <c r="L124" s="194">
        <f>DBparts1[[#This Row],[LIST $]]*DBparts1[[#This Row],[DISCOUNT]]*DBparts1[[#This Row],[DISCOUNT 2]]</f>
        <v>0</v>
      </c>
      <c r="O124" s="118"/>
    </row>
    <row r="125" spans="2:19">
      <c r="B125" s="112"/>
      <c r="C125" s="112"/>
      <c r="D125" s="112"/>
      <c r="F125" s="168" t="s">
        <v>6202</v>
      </c>
      <c r="G125" s="232">
        <f>IF(DBparts1[[#This Row],[Type]]&gt;0,VLOOKUP(DBparts1[[#This Row],[Type]],Main[[#All],[TYPE]:[UNIT]],'Unit Price'!C$1,FALSE),0)</f>
        <v>0</v>
      </c>
      <c r="H125" s="194">
        <f>IF(DBparts1[[#This Row],[Type]]&gt;0,VLOOKUP(DBparts1[[#This Row],[Type]],Main[[#All],[TYPE]:[UNIT]],'Unit Price'!D$1,FALSE),0)</f>
        <v>0</v>
      </c>
      <c r="I125" s="194">
        <f>IF(DBparts1[[#This Row],[Type]]&gt;0,VLOOKUP(DBparts1[[#This Row],[Type]],Main[[#All],[TYPE]:[UNIT]],'Unit Price'!G$1,FALSE),0)</f>
        <v>0</v>
      </c>
      <c r="J125" s="194">
        <f>IF(DBparts1[[#This Row],[Type]]&gt;0,VLOOKUP(DBparts1[[#This Row],[Type]],Main[[#All],[TYPE]:[UNIT]],'Unit Price'!H$1,FALSE),0)</f>
        <v>0</v>
      </c>
      <c r="K125" s="194">
        <f>IF(DBparts1[[#This Row],[Type]]&gt;0,VLOOKUP(DBparts1[[#This Row],[Discount seletion]],'Discount Structure'!$A$2:$B$30,2,"false"),0)</f>
        <v>0</v>
      </c>
      <c r="L125" s="194">
        <f>DBparts1[[#This Row],[LIST $]]*DBparts1[[#This Row],[DISCOUNT]]*DBparts1[[#This Row],[DISCOUNT 2]]</f>
        <v>0</v>
      </c>
      <c r="O125" s="118"/>
    </row>
    <row r="126" spans="2:19">
      <c r="B126" s="112"/>
      <c r="C126" s="112"/>
      <c r="D126" s="112"/>
      <c r="F126" s="168" t="s">
        <v>6202</v>
      </c>
      <c r="G126" s="232">
        <f>IF(DBparts1[[#This Row],[Type]]&gt;0,VLOOKUP(DBparts1[[#This Row],[Type]],Main[[#All],[TYPE]:[UNIT]],'Unit Price'!C$1,FALSE),0)</f>
        <v>0</v>
      </c>
      <c r="H126" s="194">
        <f>IF(DBparts1[[#This Row],[Type]]&gt;0,VLOOKUP(DBparts1[[#This Row],[Type]],Main[[#All],[TYPE]:[UNIT]],'Unit Price'!D$1,FALSE),0)</f>
        <v>0</v>
      </c>
      <c r="I126" s="194">
        <f>IF(DBparts1[[#This Row],[Type]]&gt;0,VLOOKUP(DBparts1[[#This Row],[Type]],Main[[#All],[TYPE]:[UNIT]],'Unit Price'!G$1,FALSE),0)</f>
        <v>0</v>
      </c>
      <c r="J126" s="194">
        <f>IF(DBparts1[[#This Row],[Type]]&gt;0,VLOOKUP(DBparts1[[#This Row],[Type]],Main[[#All],[TYPE]:[UNIT]],'Unit Price'!H$1,FALSE),0)</f>
        <v>0</v>
      </c>
      <c r="K126" s="194">
        <f>IF(DBparts1[[#This Row],[Type]]&gt;0,VLOOKUP(DBparts1[[#This Row],[Discount seletion]],'Discount Structure'!$A$2:$B$30,2,"false"),0)</f>
        <v>0</v>
      </c>
      <c r="L126" s="194">
        <f>DBparts1[[#This Row],[LIST $]]*DBparts1[[#This Row],[DISCOUNT]]*DBparts1[[#This Row],[DISCOUNT 2]]</f>
        <v>0</v>
      </c>
      <c r="O126" s="118"/>
    </row>
    <row r="127" spans="2:19">
      <c r="B127" s="112"/>
      <c r="C127" s="112"/>
      <c r="D127" s="112"/>
      <c r="F127" s="168" t="s">
        <v>6202</v>
      </c>
      <c r="G127" s="232">
        <f>IF(DBparts1[[#This Row],[Type]]&gt;0,VLOOKUP(DBparts1[[#This Row],[Type]],Main[[#All],[TYPE]:[UNIT]],'Unit Price'!C$1,FALSE),0)</f>
        <v>0</v>
      </c>
      <c r="H127" s="194">
        <f>IF(DBparts1[[#This Row],[Type]]&gt;0,VLOOKUP(DBparts1[[#This Row],[Type]],Main[[#All],[TYPE]:[UNIT]],'Unit Price'!D$1,FALSE),0)</f>
        <v>0</v>
      </c>
      <c r="I127" s="194">
        <f>IF(DBparts1[[#This Row],[Type]]&gt;0,VLOOKUP(DBparts1[[#This Row],[Type]],Main[[#All],[TYPE]:[UNIT]],'Unit Price'!G$1,FALSE),0)</f>
        <v>0</v>
      </c>
      <c r="J127" s="194">
        <f>IF(DBparts1[[#This Row],[Type]]&gt;0,VLOOKUP(DBparts1[[#This Row],[Type]],Main[[#All],[TYPE]:[UNIT]],'Unit Price'!H$1,FALSE),0)</f>
        <v>0</v>
      </c>
      <c r="K127" s="194">
        <f>IF(DBparts1[[#This Row],[Type]]&gt;0,VLOOKUP(DBparts1[[#This Row],[Discount seletion]],'Discount Structure'!$A$2:$B$30,2,"false"),0)</f>
        <v>0</v>
      </c>
      <c r="L127" s="194">
        <f>DBparts1[[#This Row],[LIST $]]*DBparts1[[#This Row],[DISCOUNT]]*DBparts1[[#This Row],[DISCOUNT 2]]</f>
        <v>0</v>
      </c>
      <c r="O127" s="118"/>
    </row>
    <row r="128" spans="2:19">
      <c r="B128" s="112"/>
      <c r="C128" s="112"/>
      <c r="D128" s="112"/>
      <c r="F128" s="168" t="s">
        <v>6202</v>
      </c>
      <c r="G128" s="232">
        <f>IF(DBparts1[[#This Row],[Type]]&gt;0,VLOOKUP(DBparts1[[#This Row],[Type]],Main[[#All],[TYPE]:[UNIT]],'Unit Price'!C$1,FALSE),0)</f>
        <v>0</v>
      </c>
      <c r="H128" s="194">
        <f>IF(DBparts1[[#This Row],[Type]]&gt;0,VLOOKUP(DBparts1[[#This Row],[Type]],Main[[#All],[TYPE]:[UNIT]],'Unit Price'!D$1,FALSE),0)</f>
        <v>0</v>
      </c>
      <c r="I128" s="194">
        <f>IF(DBparts1[[#This Row],[Type]]&gt;0,VLOOKUP(DBparts1[[#This Row],[Type]],Main[[#All],[TYPE]:[UNIT]],'Unit Price'!G$1,FALSE),0)</f>
        <v>0</v>
      </c>
      <c r="J128" s="194">
        <f>IF(DBparts1[[#This Row],[Type]]&gt;0,VLOOKUP(DBparts1[[#This Row],[Type]],Main[[#All],[TYPE]:[UNIT]],'Unit Price'!H$1,FALSE),0)</f>
        <v>0</v>
      </c>
      <c r="K128" s="194">
        <f>IF(DBparts1[[#This Row],[Type]]&gt;0,VLOOKUP(DBparts1[[#This Row],[Discount seletion]],'Discount Structure'!$A$2:$B$30,2,"false"),0)</f>
        <v>0</v>
      </c>
      <c r="L128" s="194">
        <f>DBparts1[[#This Row],[LIST $]]*DBparts1[[#This Row],[DISCOUNT]]*DBparts1[[#This Row],[DISCOUNT 2]]</f>
        <v>0</v>
      </c>
      <c r="O128" s="118"/>
    </row>
    <row r="129" spans="2:15">
      <c r="B129" s="112"/>
      <c r="C129" s="112"/>
      <c r="D129" s="112"/>
      <c r="F129" s="168" t="s">
        <v>6202</v>
      </c>
      <c r="G129" s="232">
        <f>IF(DBparts1[[#This Row],[Type]]&gt;0,VLOOKUP(DBparts1[[#This Row],[Type]],Main[[#All],[TYPE]:[UNIT]],'Unit Price'!C$1,FALSE),0)</f>
        <v>0</v>
      </c>
      <c r="H129" s="194">
        <f>IF(DBparts1[[#This Row],[Type]]&gt;0,VLOOKUP(DBparts1[[#This Row],[Type]],Main[[#All],[TYPE]:[UNIT]],'Unit Price'!D$1,FALSE),0)</f>
        <v>0</v>
      </c>
      <c r="I129" s="194">
        <f>IF(DBparts1[[#This Row],[Type]]&gt;0,VLOOKUP(DBparts1[[#This Row],[Type]],Main[[#All],[TYPE]:[UNIT]],'Unit Price'!G$1,FALSE),0)</f>
        <v>0</v>
      </c>
      <c r="J129" s="194">
        <f>IF(DBparts1[[#This Row],[Type]]&gt;0,VLOOKUP(DBparts1[[#This Row],[Type]],Main[[#All],[TYPE]:[UNIT]],'Unit Price'!H$1,FALSE),0)</f>
        <v>0</v>
      </c>
      <c r="K129" s="194">
        <f>IF(DBparts1[[#This Row],[Type]]&gt;0,VLOOKUP(DBparts1[[#This Row],[Discount seletion]],'Discount Structure'!$A$2:$B$30,2,"false"),0)</f>
        <v>0</v>
      </c>
      <c r="L129" s="194">
        <f>DBparts1[[#This Row],[LIST $]]*DBparts1[[#This Row],[DISCOUNT]]*DBparts1[[#This Row],[DISCOUNT 2]]</f>
        <v>0</v>
      </c>
      <c r="O129" s="118"/>
    </row>
    <row r="130" spans="2:15">
      <c r="B130" s="112"/>
      <c r="C130" s="112"/>
      <c r="D130" s="112"/>
      <c r="F130" s="168" t="s">
        <v>6202</v>
      </c>
      <c r="G130" s="232">
        <f>IF(DBparts1[[#This Row],[Type]]&gt;0,VLOOKUP(DBparts1[[#This Row],[Type]],Main[[#All],[TYPE]:[UNIT]],'Unit Price'!C$1,FALSE),0)</f>
        <v>0</v>
      </c>
      <c r="H130" s="194">
        <f>IF(DBparts1[[#This Row],[Type]]&gt;0,VLOOKUP(DBparts1[[#This Row],[Type]],Main[[#All],[TYPE]:[UNIT]],'Unit Price'!D$1,FALSE),0)</f>
        <v>0</v>
      </c>
      <c r="I130" s="194">
        <f>IF(DBparts1[[#This Row],[Type]]&gt;0,VLOOKUP(DBparts1[[#This Row],[Type]],Main[[#All],[TYPE]:[UNIT]],'Unit Price'!G$1,FALSE),0)</f>
        <v>0</v>
      </c>
      <c r="J130" s="194">
        <f>IF(DBparts1[[#This Row],[Type]]&gt;0,VLOOKUP(DBparts1[[#This Row],[Type]],Main[[#All],[TYPE]:[UNIT]],'Unit Price'!H$1,FALSE),0)</f>
        <v>0</v>
      </c>
      <c r="K130" s="194">
        <f>IF(DBparts1[[#This Row],[Type]]&gt;0,VLOOKUP(DBparts1[[#This Row],[Discount seletion]],'Discount Structure'!$A$2:$B$30,2,"false"),0)</f>
        <v>0</v>
      </c>
      <c r="L130" s="194">
        <f>DBparts1[[#This Row],[LIST $]]*DBparts1[[#This Row],[DISCOUNT]]*DBparts1[[#This Row],[DISCOUNT 2]]</f>
        <v>0</v>
      </c>
      <c r="O130" s="118"/>
    </row>
    <row r="131" spans="2:15">
      <c r="B131" s="112"/>
      <c r="C131" s="112"/>
      <c r="D131" s="112"/>
      <c r="F131" s="168" t="s">
        <v>6202</v>
      </c>
      <c r="G131" s="232">
        <f>IF(DBparts1[[#This Row],[Type]]&gt;0,VLOOKUP(DBparts1[[#This Row],[Type]],Main[[#All],[TYPE]:[UNIT]],'Unit Price'!C$1,FALSE),0)</f>
        <v>0</v>
      </c>
      <c r="H131" s="194">
        <f>IF(DBparts1[[#This Row],[Type]]&gt;0,VLOOKUP(DBparts1[[#This Row],[Type]],Main[[#All],[TYPE]:[UNIT]],'Unit Price'!D$1,FALSE),0)</f>
        <v>0</v>
      </c>
      <c r="I131" s="194">
        <f>IF(DBparts1[[#This Row],[Type]]&gt;0,VLOOKUP(DBparts1[[#This Row],[Type]],Main[[#All],[TYPE]:[UNIT]],'Unit Price'!G$1,FALSE),0)</f>
        <v>0</v>
      </c>
      <c r="J131" s="194">
        <f>IF(DBparts1[[#This Row],[Type]]&gt;0,VLOOKUP(DBparts1[[#This Row],[Type]],Main[[#All],[TYPE]:[UNIT]],'Unit Price'!H$1,FALSE),0)</f>
        <v>0</v>
      </c>
      <c r="K131" s="194">
        <f>IF(DBparts1[[#This Row],[Type]]&gt;0,VLOOKUP(DBparts1[[#This Row],[Discount seletion]],'Discount Structure'!$A$2:$B$30,2,"false"),0)</f>
        <v>0</v>
      </c>
      <c r="L131" s="194">
        <f>DBparts1[[#This Row],[LIST $]]*DBparts1[[#This Row],[DISCOUNT]]*DBparts1[[#This Row],[DISCOUNT 2]]</f>
        <v>0</v>
      </c>
      <c r="O131" s="118"/>
    </row>
    <row r="132" spans="2:15">
      <c r="B132" s="112"/>
      <c r="C132" s="112"/>
      <c r="D132" s="112"/>
      <c r="F132" s="168" t="s">
        <v>6202</v>
      </c>
      <c r="G132" s="232">
        <f>IF(DBparts1[[#This Row],[Type]]&gt;0,VLOOKUP(DBparts1[[#This Row],[Type]],Main[[#All],[TYPE]:[UNIT]],'Unit Price'!C$1,FALSE),0)</f>
        <v>0</v>
      </c>
      <c r="H132" s="194">
        <f>IF(DBparts1[[#This Row],[Type]]&gt;0,VLOOKUP(DBparts1[[#This Row],[Type]],Main[[#All],[TYPE]:[UNIT]],'Unit Price'!D$1,FALSE),0)</f>
        <v>0</v>
      </c>
      <c r="I132" s="194">
        <f>IF(DBparts1[[#This Row],[Type]]&gt;0,VLOOKUP(DBparts1[[#This Row],[Type]],Main[[#All],[TYPE]:[UNIT]],'Unit Price'!G$1,FALSE),0)</f>
        <v>0</v>
      </c>
      <c r="J132" s="194">
        <f>IF(DBparts1[[#This Row],[Type]]&gt;0,VLOOKUP(DBparts1[[#This Row],[Type]],Main[[#All],[TYPE]:[UNIT]],'Unit Price'!H$1,FALSE),0)</f>
        <v>0</v>
      </c>
      <c r="K132" s="194">
        <f>IF(DBparts1[[#This Row],[Type]]&gt;0,VLOOKUP(DBparts1[[#This Row],[Discount seletion]],'Discount Structure'!$A$2:$B$30,2,"false"),0)</f>
        <v>0</v>
      </c>
      <c r="L132" s="194">
        <f>DBparts1[[#This Row],[LIST $]]*DBparts1[[#This Row],[DISCOUNT]]*DBparts1[[#This Row],[DISCOUNT 2]]</f>
        <v>0</v>
      </c>
      <c r="O132" s="118"/>
    </row>
    <row r="133" spans="2:15">
      <c r="B133" s="112"/>
      <c r="C133" s="112"/>
      <c r="D133" s="112"/>
      <c r="F133" s="168" t="s">
        <v>6202</v>
      </c>
      <c r="G133" s="232">
        <f>IF(DBparts1[[#This Row],[Type]]&gt;0,VLOOKUP(DBparts1[[#This Row],[Type]],Main[[#All],[TYPE]:[UNIT]],'Unit Price'!C$1,FALSE),0)</f>
        <v>0</v>
      </c>
      <c r="H133" s="194">
        <f>IF(DBparts1[[#This Row],[Type]]&gt;0,VLOOKUP(DBparts1[[#This Row],[Type]],Main[[#All],[TYPE]:[UNIT]],'Unit Price'!D$1,FALSE),0)</f>
        <v>0</v>
      </c>
      <c r="I133" s="194">
        <f>IF(DBparts1[[#This Row],[Type]]&gt;0,VLOOKUP(DBparts1[[#This Row],[Type]],Main[[#All],[TYPE]:[UNIT]],'Unit Price'!G$1,FALSE),0)</f>
        <v>0</v>
      </c>
      <c r="J133" s="194">
        <f>IF(DBparts1[[#This Row],[Type]]&gt;0,VLOOKUP(DBparts1[[#This Row],[Type]],Main[[#All],[TYPE]:[UNIT]],'Unit Price'!H$1,FALSE),0)</f>
        <v>0</v>
      </c>
      <c r="K133" s="194">
        <f>IF(DBparts1[[#This Row],[Type]]&gt;0,VLOOKUP(DBparts1[[#This Row],[Discount seletion]],'Discount Structure'!$A$2:$B$30,2,"false"),0)</f>
        <v>0</v>
      </c>
      <c r="L133" s="194">
        <f>DBparts1[[#This Row],[LIST $]]*DBparts1[[#This Row],[DISCOUNT]]*DBparts1[[#This Row],[DISCOUNT 2]]</f>
        <v>0</v>
      </c>
      <c r="O133" s="118"/>
    </row>
    <row r="134" spans="2:15">
      <c r="B134" s="112"/>
      <c r="C134" s="112"/>
      <c r="D134" s="112"/>
      <c r="F134" s="168" t="s">
        <v>6202</v>
      </c>
      <c r="G134" s="232">
        <f>IF(DBparts1[[#This Row],[Type]]&gt;0,VLOOKUP(DBparts1[[#This Row],[Type]],Main[[#All],[TYPE]:[UNIT]],'Unit Price'!C$1,FALSE),0)</f>
        <v>0</v>
      </c>
      <c r="H134" s="194">
        <f>IF(DBparts1[[#This Row],[Type]]&gt;0,VLOOKUP(DBparts1[[#This Row],[Type]],Main[[#All],[TYPE]:[UNIT]],'Unit Price'!D$1,FALSE),0)</f>
        <v>0</v>
      </c>
      <c r="I134" s="194">
        <f>IF(DBparts1[[#This Row],[Type]]&gt;0,VLOOKUP(DBparts1[[#This Row],[Type]],Main[[#All],[TYPE]:[UNIT]],'Unit Price'!G$1,FALSE),0)</f>
        <v>0</v>
      </c>
      <c r="J134" s="194">
        <f>IF(DBparts1[[#This Row],[Type]]&gt;0,VLOOKUP(DBparts1[[#This Row],[Type]],Main[[#All],[TYPE]:[UNIT]],'Unit Price'!H$1,FALSE),0)</f>
        <v>0</v>
      </c>
      <c r="K134" s="194">
        <f>IF(DBparts1[[#This Row],[Type]]&gt;0,VLOOKUP(DBparts1[[#This Row],[Discount seletion]],'Discount Structure'!$A$2:$B$30,2,"false"),0)</f>
        <v>0</v>
      </c>
      <c r="L134" s="194">
        <f>DBparts1[[#This Row],[LIST $]]*DBparts1[[#This Row],[DISCOUNT]]*DBparts1[[#This Row],[DISCOUNT 2]]</f>
        <v>0</v>
      </c>
      <c r="O134" s="118"/>
    </row>
    <row r="135" spans="2:15">
      <c r="B135" s="112"/>
      <c r="C135" s="112"/>
      <c r="D135" s="112"/>
      <c r="F135" s="168" t="s">
        <v>6202</v>
      </c>
      <c r="G135" s="232">
        <f>IF(DBparts1[[#This Row],[Type]]&gt;0,VLOOKUP(DBparts1[[#This Row],[Type]],Main[[#All],[TYPE]:[UNIT]],'Unit Price'!C$1,FALSE),0)</f>
        <v>0</v>
      </c>
      <c r="H135" s="194">
        <f>IF(DBparts1[[#This Row],[Type]]&gt;0,VLOOKUP(DBparts1[[#This Row],[Type]],Main[[#All],[TYPE]:[UNIT]],'Unit Price'!D$1,FALSE),0)</f>
        <v>0</v>
      </c>
      <c r="I135" s="194">
        <f>IF(DBparts1[[#This Row],[Type]]&gt;0,VLOOKUP(DBparts1[[#This Row],[Type]],Main[[#All],[TYPE]:[UNIT]],'Unit Price'!G$1,FALSE),0)</f>
        <v>0</v>
      </c>
      <c r="J135" s="194">
        <f>IF(DBparts1[[#This Row],[Type]]&gt;0,VLOOKUP(DBparts1[[#This Row],[Type]],Main[[#All],[TYPE]:[UNIT]],'Unit Price'!H$1,FALSE),0)</f>
        <v>0</v>
      </c>
      <c r="K135" s="194">
        <f>IF(DBparts1[[#This Row],[Type]]&gt;0,VLOOKUP(DBparts1[[#This Row],[Discount seletion]],'Discount Structure'!$A$2:$B$30,2,"false"),0)</f>
        <v>0</v>
      </c>
      <c r="L135" s="194">
        <f>DBparts1[[#This Row],[LIST $]]*DBparts1[[#This Row],[DISCOUNT]]*DBparts1[[#This Row],[DISCOUNT 2]]</f>
        <v>0</v>
      </c>
      <c r="O135" s="118"/>
    </row>
    <row r="136" spans="2:15">
      <c r="B136" s="112"/>
      <c r="C136" s="112"/>
      <c r="D136" s="112"/>
      <c r="F136" s="168" t="s">
        <v>6202</v>
      </c>
      <c r="G136" s="232">
        <f>IF(DBparts1[[#This Row],[Type]]&gt;0,VLOOKUP(DBparts1[[#This Row],[Type]],Main[[#All],[TYPE]:[UNIT]],'Unit Price'!C$1,FALSE),0)</f>
        <v>0</v>
      </c>
      <c r="H136" s="194">
        <f>IF(DBparts1[[#This Row],[Type]]&gt;0,VLOOKUP(DBparts1[[#This Row],[Type]],Main[[#All],[TYPE]:[UNIT]],'Unit Price'!D$1,FALSE),0)</f>
        <v>0</v>
      </c>
      <c r="I136" s="194">
        <f>IF(DBparts1[[#This Row],[Type]]&gt;0,VLOOKUP(DBparts1[[#This Row],[Type]],Main[[#All],[TYPE]:[UNIT]],'Unit Price'!G$1,FALSE),0)</f>
        <v>0</v>
      </c>
      <c r="J136" s="194">
        <f>IF(DBparts1[[#This Row],[Type]]&gt;0,VLOOKUP(DBparts1[[#This Row],[Type]],Main[[#All],[TYPE]:[UNIT]],'Unit Price'!H$1,FALSE),0)</f>
        <v>0</v>
      </c>
      <c r="K136" s="194">
        <f>IF(DBparts1[[#This Row],[Type]]&gt;0,VLOOKUP(DBparts1[[#This Row],[Discount seletion]],'Discount Structure'!$A$2:$B$30,2,"false"),0)</f>
        <v>0</v>
      </c>
      <c r="L136" s="194">
        <f>DBparts1[[#This Row],[LIST $]]*DBparts1[[#This Row],[DISCOUNT]]*DBparts1[[#This Row],[DISCOUNT 2]]</f>
        <v>0</v>
      </c>
      <c r="O136" s="118"/>
    </row>
    <row r="137" spans="2:15">
      <c r="B137" s="112"/>
      <c r="C137" s="112"/>
      <c r="D137" s="112"/>
      <c r="F137" s="168" t="s">
        <v>6202</v>
      </c>
      <c r="G137" s="232">
        <f>IF(DBparts1[[#This Row],[Type]]&gt;0,VLOOKUP(DBparts1[[#This Row],[Type]],Main[[#All],[TYPE]:[UNIT]],'Unit Price'!C$1,FALSE),0)</f>
        <v>0</v>
      </c>
      <c r="H137" s="194">
        <f>IF(DBparts1[[#This Row],[Type]]&gt;0,VLOOKUP(DBparts1[[#This Row],[Type]],Main[[#All],[TYPE]:[UNIT]],'Unit Price'!D$1,FALSE),0)</f>
        <v>0</v>
      </c>
      <c r="I137" s="194">
        <f>IF(DBparts1[[#This Row],[Type]]&gt;0,VLOOKUP(DBparts1[[#This Row],[Type]],Main[[#All],[TYPE]:[UNIT]],'Unit Price'!G$1,FALSE),0)</f>
        <v>0</v>
      </c>
      <c r="J137" s="194">
        <f>IF(DBparts1[[#This Row],[Type]]&gt;0,VLOOKUP(DBparts1[[#This Row],[Type]],Main[[#All],[TYPE]:[UNIT]],'Unit Price'!H$1,FALSE),0)</f>
        <v>0</v>
      </c>
      <c r="K137" s="194">
        <f>IF(DBparts1[[#This Row],[Type]]&gt;0,VLOOKUP(DBparts1[[#This Row],[Discount seletion]],'Discount Structure'!$A$2:$B$30,2,"false"),0)</f>
        <v>0</v>
      </c>
      <c r="L137" s="194">
        <f>DBparts1[[#This Row],[LIST $]]*DBparts1[[#This Row],[DISCOUNT]]*DBparts1[[#This Row],[DISCOUNT 2]]</f>
        <v>0</v>
      </c>
      <c r="O137" s="118"/>
    </row>
    <row r="138" spans="2:15">
      <c r="B138" s="112"/>
      <c r="C138" s="112"/>
      <c r="D138" s="112"/>
      <c r="F138" s="168" t="s">
        <v>6202</v>
      </c>
      <c r="G138" s="232">
        <f>IF(DBparts1[[#This Row],[Type]]&gt;0,VLOOKUP(DBparts1[[#This Row],[Type]],Main[[#All],[TYPE]:[UNIT]],'Unit Price'!C$1,FALSE),0)</f>
        <v>0</v>
      </c>
      <c r="H138" s="194">
        <f>IF(DBparts1[[#This Row],[Type]]&gt;0,VLOOKUP(DBparts1[[#This Row],[Type]],Main[[#All],[TYPE]:[UNIT]],'Unit Price'!D$1,FALSE),0)</f>
        <v>0</v>
      </c>
      <c r="I138" s="194">
        <f>IF(DBparts1[[#This Row],[Type]]&gt;0,VLOOKUP(DBparts1[[#This Row],[Type]],Main[[#All],[TYPE]:[UNIT]],'Unit Price'!G$1,FALSE),0)</f>
        <v>0</v>
      </c>
      <c r="J138" s="194">
        <f>IF(DBparts1[[#This Row],[Type]]&gt;0,VLOOKUP(DBparts1[[#This Row],[Type]],Main[[#All],[TYPE]:[UNIT]],'Unit Price'!H$1,FALSE),0)</f>
        <v>0</v>
      </c>
      <c r="K138" s="194">
        <f>IF(DBparts1[[#This Row],[Type]]&gt;0,VLOOKUP(DBparts1[[#This Row],[Discount seletion]],'Discount Structure'!$A$2:$B$30,2,"false"),0)</f>
        <v>0</v>
      </c>
      <c r="L138" s="194">
        <f>DBparts1[[#This Row],[LIST $]]*DBparts1[[#This Row],[DISCOUNT]]*DBparts1[[#This Row],[DISCOUNT 2]]</f>
        <v>0</v>
      </c>
      <c r="O138" s="118"/>
    </row>
    <row r="139" spans="2:15">
      <c r="B139" s="112"/>
      <c r="C139" s="112"/>
      <c r="D139" s="112"/>
      <c r="F139" s="168" t="s">
        <v>6202</v>
      </c>
      <c r="G139" s="232">
        <f>IF(DBparts1[[#This Row],[Type]]&gt;0,VLOOKUP(DBparts1[[#This Row],[Type]],Main[[#All],[TYPE]:[UNIT]],'Unit Price'!C$1,FALSE),0)</f>
        <v>0</v>
      </c>
      <c r="H139" s="194">
        <f>IF(DBparts1[[#This Row],[Type]]&gt;0,VLOOKUP(DBparts1[[#This Row],[Type]],Main[[#All],[TYPE]:[UNIT]],'Unit Price'!D$1,FALSE),0)</f>
        <v>0</v>
      </c>
      <c r="I139" s="194">
        <f>IF(DBparts1[[#This Row],[Type]]&gt;0,VLOOKUP(DBparts1[[#This Row],[Type]],Main[[#All],[TYPE]:[UNIT]],'Unit Price'!G$1,FALSE),0)</f>
        <v>0</v>
      </c>
      <c r="J139" s="194">
        <f>IF(DBparts1[[#This Row],[Type]]&gt;0,VLOOKUP(DBparts1[[#This Row],[Type]],Main[[#All],[TYPE]:[UNIT]],'Unit Price'!H$1,FALSE),0)</f>
        <v>0</v>
      </c>
      <c r="K139" s="194">
        <f>IF(DBparts1[[#This Row],[Type]]&gt;0,VLOOKUP(DBparts1[[#This Row],[Discount seletion]],'Discount Structure'!$A$2:$B$30,2,"false"),0)</f>
        <v>0</v>
      </c>
      <c r="L139" s="194">
        <f>DBparts1[[#This Row],[LIST $]]*DBparts1[[#This Row],[DISCOUNT]]*DBparts1[[#This Row],[DISCOUNT 2]]</f>
        <v>0</v>
      </c>
      <c r="O139" s="118"/>
    </row>
    <row r="140" spans="2:15">
      <c r="B140" s="112"/>
      <c r="C140" s="112"/>
      <c r="D140" s="112"/>
      <c r="F140" s="168" t="s">
        <v>6202</v>
      </c>
      <c r="G140" s="232">
        <f>IF(DBparts1[[#This Row],[Type]]&gt;0,VLOOKUP(DBparts1[[#This Row],[Type]],Main[[#All],[TYPE]:[UNIT]],'Unit Price'!C$1,FALSE),0)</f>
        <v>0</v>
      </c>
      <c r="H140" s="194">
        <f>IF(DBparts1[[#This Row],[Type]]&gt;0,VLOOKUP(DBparts1[[#This Row],[Type]],Main[[#All],[TYPE]:[UNIT]],'Unit Price'!D$1,FALSE),0)</f>
        <v>0</v>
      </c>
      <c r="I140" s="194">
        <f>IF(DBparts1[[#This Row],[Type]]&gt;0,VLOOKUP(DBparts1[[#This Row],[Type]],Main[[#All],[TYPE]:[UNIT]],'Unit Price'!G$1,FALSE),0)</f>
        <v>0</v>
      </c>
      <c r="J140" s="194">
        <f>IF(DBparts1[[#This Row],[Type]]&gt;0,VLOOKUP(DBparts1[[#This Row],[Type]],Main[[#All],[TYPE]:[UNIT]],'Unit Price'!H$1,FALSE),0)</f>
        <v>0</v>
      </c>
      <c r="K140" s="194">
        <f>IF(DBparts1[[#This Row],[Type]]&gt;0,VLOOKUP(DBparts1[[#This Row],[Discount seletion]],'Discount Structure'!$A$2:$B$30,2,"false"),0)</f>
        <v>0</v>
      </c>
      <c r="L140" s="194">
        <f>DBparts1[[#This Row],[LIST $]]*DBparts1[[#This Row],[DISCOUNT]]*DBparts1[[#This Row],[DISCOUNT 2]]</f>
        <v>0</v>
      </c>
      <c r="O140" s="118"/>
    </row>
    <row r="141" spans="2:15">
      <c r="B141" s="112"/>
      <c r="C141" s="112"/>
      <c r="D141" s="112"/>
      <c r="F141" s="168" t="s">
        <v>6202</v>
      </c>
      <c r="G141" s="232">
        <f>IF(DBparts1[[#This Row],[Type]]&gt;0,VLOOKUP(DBparts1[[#This Row],[Type]],Main[[#All],[TYPE]:[UNIT]],'Unit Price'!C$1,FALSE),0)</f>
        <v>0</v>
      </c>
      <c r="H141" s="194">
        <f>IF(DBparts1[[#This Row],[Type]]&gt;0,VLOOKUP(DBparts1[[#This Row],[Type]],Main[[#All],[TYPE]:[UNIT]],'Unit Price'!D$1,FALSE),0)</f>
        <v>0</v>
      </c>
      <c r="I141" s="194">
        <f>IF(DBparts1[[#This Row],[Type]]&gt;0,VLOOKUP(DBparts1[[#This Row],[Type]],Main[[#All],[TYPE]:[UNIT]],'Unit Price'!G$1,FALSE),0)</f>
        <v>0</v>
      </c>
      <c r="J141" s="194">
        <f>IF(DBparts1[[#This Row],[Type]]&gt;0,VLOOKUP(DBparts1[[#This Row],[Type]],Main[[#All],[TYPE]:[UNIT]],'Unit Price'!H$1,FALSE),0)</f>
        <v>0</v>
      </c>
      <c r="K141" s="194">
        <f>IF(DBparts1[[#This Row],[Type]]&gt;0,VLOOKUP(DBparts1[[#This Row],[Discount seletion]],'Discount Structure'!$A$2:$B$30,2,"false"),0)</f>
        <v>0</v>
      </c>
      <c r="L141" s="194">
        <f>DBparts1[[#This Row],[LIST $]]*DBparts1[[#This Row],[DISCOUNT]]*DBparts1[[#This Row],[DISCOUNT 2]]</f>
        <v>0</v>
      </c>
      <c r="O141" s="118"/>
    </row>
    <row r="142" spans="2:15">
      <c r="B142" s="112"/>
      <c r="C142" s="112"/>
      <c r="D142" s="112"/>
      <c r="F142" s="168" t="s">
        <v>6202</v>
      </c>
      <c r="G142" s="232">
        <f>IF(DBparts1[[#This Row],[Type]]&gt;0,VLOOKUP(DBparts1[[#This Row],[Type]],Main[[#All],[TYPE]:[UNIT]],'Unit Price'!C$1,FALSE),0)</f>
        <v>0</v>
      </c>
      <c r="H142" s="194">
        <f>IF(DBparts1[[#This Row],[Type]]&gt;0,VLOOKUP(DBparts1[[#This Row],[Type]],Main[[#All],[TYPE]:[UNIT]],'Unit Price'!D$1,FALSE),0)</f>
        <v>0</v>
      </c>
      <c r="I142" s="194">
        <f>IF(DBparts1[[#This Row],[Type]]&gt;0,VLOOKUP(DBparts1[[#This Row],[Type]],Main[[#All],[TYPE]:[UNIT]],'Unit Price'!G$1,FALSE),0)</f>
        <v>0</v>
      </c>
      <c r="J142" s="194">
        <f>IF(DBparts1[[#This Row],[Type]]&gt;0,VLOOKUP(DBparts1[[#This Row],[Type]],Main[[#All],[TYPE]:[UNIT]],'Unit Price'!H$1,FALSE),0)</f>
        <v>0</v>
      </c>
      <c r="K142" s="194">
        <f>IF(DBparts1[[#This Row],[Type]]&gt;0,VLOOKUP(DBparts1[[#This Row],[Discount seletion]],'Discount Structure'!$A$2:$B$30,2,"false"),0)</f>
        <v>0</v>
      </c>
      <c r="L142" s="194">
        <f>DBparts1[[#This Row],[LIST $]]*DBparts1[[#This Row],[DISCOUNT]]*DBparts1[[#This Row],[DISCOUNT 2]]</f>
        <v>0</v>
      </c>
      <c r="O142" s="118"/>
    </row>
    <row r="143" spans="2:15">
      <c r="B143" s="112"/>
      <c r="C143" s="112"/>
      <c r="D143" s="112"/>
      <c r="F143" s="168" t="s">
        <v>6202</v>
      </c>
      <c r="G143" s="232">
        <f>IF(DBparts1[[#This Row],[Type]]&gt;0,VLOOKUP(DBparts1[[#This Row],[Type]],Main[[#All],[TYPE]:[UNIT]],'Unit Price'!C$1,FALSE),0)</f>
        <v>0</v>
      </c>
      <c r="H143" s="194">
        <f>IF(DBparts1[[#This Row],[Type]]&gt;0,VLOOKUP(DBparts1[[#This Row],[Type]],Main[[#All],[TYPE]:[UNIT]],'Unit Price'!D$1,FALSE),0)</f>
        <v>0</v>
      </c>
      <c r="I143" s="194">
        <f>IF(DBparts1[[#This Row],[Type]]&gt;0,VLOOKUP(DBparts1[[#This Row],[Type]],Main[[#All],[TYPE]:[UNIT]],'Unit Price'!G$1,FALSE),0)</f>
        <v>0</v>
      </c>
      <c r="J143" s="194">
        <f>IF(DBparts1[[#This Row],[Type]]&gt;0,VLOOKUP(DBparts1[[#This Row],[Type]],Main[[#All],[TYPE]:[UNIT]],'Unit Price'!H$1,FALSE),0)</f>
        <v>0</v>
      </c>
      <c r="K143" s="194">
        <f>IF(DBparts1[[#This Row],[Type]]&gt;0,VLOOKUP(DBparts1[[#This Row],[Discount seletion]],'Discount Structure'!$A$2:$B$30,2,"false"),0)</f>
        <v>0</v>
      </c>
      <c r="L143" s="194">
        <f>DBparts1[[#This Row],[LIST $]]*DBparts1[[#This Row],[DISCOUNT]]*DBparts1[[#This Row],[DISCOUNT 2]]</f>
        <v>0</v>
      </c>
      <c r="O143" s="118"/>
    </row>
    <row r="144" spans="2:15">
      <c r="B144" s="112"/>
      <c r="C144" s="112"/>
      <c r="D144" s="112"/>
      <c r="F144" s="168" t="s">
        <v>6202</v>
      </c>
      <c r="G144" s="232">
        <f>IF(DBparts1[[#This Row],[Type]]&gt;0,VLOOKUP(DBparts1[[#This Row],[Type]],Main[[#All],[TYPE]:[UNIT]],'Unit Price'!C$1,FALSE),0)</f>
        <v>0</v>
      </c>
      <c r="H144" s="194">
        <f>IF(DBparts1[[#This Row],[Type]]&gt;0,VLOOKUP(DBparts1[[#This Row],[Type]],Main[[#All],[TYPE]:[UNIT]],'Unit Price'!D$1,FALSE),0)</f>
        <v>0</v>
      </c>
      <c r="I144" s="194">
        <f>IF(DBparts1[[#This Row],[Type]]&gt;0,VLOOKUP(DBparts1[[#This Row],[Type]],Main[[#All],[TYPE]:[UNIT]],'Unit Price'!G$1,FALSE),0)</f>
        <v>0</v>
      </c>
      <c r="J144" s="194">
        <f>IF(DBparts1[[#This Row],[Type]]&gt;0,VLOOKUP(DBparts1[[#This Row],[Type]],Main[[#All],[TYPE]:[UNIT]],'Unit Price'!H$1,FALSE),0)</f>
        <v>0</v>
      </c>
      <c r="K144" s="194">
        <f>IF(DBparts1[[#This Row],[Type]]&gt;0,VLOOKUP(DBparts1[[#This Row],[Discount seletion]],'Discount Structure'!$A$2:$B$30,2,"false"),0)</f>
        <v>0</v>
      </c>
      <c r="L144" s="194">
        <f>DBparts1[[#This Row],[LIST $]]*DBparts1[[#This Row],[DISCOUNT]]*DBparts1[[#This Row],[DISCOUNT 2]]</f>
        <v>0</v>
      </c>
      <c r="O144" s="118"/>
    </row>
    <row r="145" spans="2:15">
      <c r="B145" s="112"/>
      <c r="C145" s="112"/>
      <c r="D145" s="112"/>
      <c r="F145" s="168" t="s">
        <v>6202</v>
      </c>
      <c r="G145" s="232">
        <f>IF(DBparts1[[#This Row],[Type]]&gt;0,VLOOKUP(DBparts1[[#This Row],[Type]],Main[[#All],[TYPE]:[UNIT]],'Unit Price'!C$1,FALSE),0)</f>
        <v>0</v>
      </c>
      <c r="H145" s="194">
        <f>IF(DBparts1[[#This Row],[Type]]&gt;0,VLOOKUP(DBparts1[[#This Row],[Type]],Main[[#All],[TYPE]:[UNIT]],'Unit Price'!D$1,FALSE),0)</f>
        <v>0</v>
      </c>
      <c r="I145" s="194">
        <f>IF(DBparts1[[#This Row],[Type]]&gt;0,VLOOKUP(DBparts1[[#This Row],[Type]],Main[[#All],[TYPE]:[UNIT]],'Unit Price'!G$1,FALSE),0)</f>
        <v>0</v>
      </c>
      <c r="J145" s="194">
        <f>IF(DBparts1[[#This Row],[Type]]&gt;0,VLOOKUP(DBparts1[[#This Row],[Type]],Main[[#All],[TYPE]:[UNIT]],'Unit Price'!H$1,FALSE),0)</f>
        <v>0</v>
      </c>
      <c r="K145" s="194">
        <f>IF(DBparts1[[#This Row],[Type]]&gt;0,VLOOKUP(DBparts1[[#This Row],[Discount seletion]],'Discount Structure'!$A$2:$B$30,2,"false"),0)</f>
        <v>0</v>
      </c>
      <c r="L145" s="194">
        <f>DBparts1[[#This Row],[LIST $]]*DBparts1[[#This Row],[DISCOUNT]]*DBparts1[[#This Row],[DISCOUNT 2]]</f>
        <v>0</v>
      </c>
      <c r="O145" s="118"/>
    </row>
    <row r="146" spans="2:15">
      <c r="B146" s="112"/>
      <c r="C146" s="112"/>
      <c r="D146" s="112"/>
      <c r="F146" s="168" t="s">
        <v>6202</v>
      </c>
      <c r="G146" s="232">
        <f>IF(DBparts1[[#This Row],[Type]]&gt;0,VLOOKUP(DBparts1[[#This Row],[Type]],Main[[#All],[TYPE]:[UNIT]],'Unit Price'!C$1,FALSE),0)</f>
        <v>0</v>
      </c>
      <c r="H146" s="194">
        <f>IF(DBparts1[[#This Row],[Type]]&gt;0,VLOOKUP(DBparts1[[#This Row],[Type]],Main[[#All],[TYPE]:[UNIT]],'Unit Price'!D$1,FALSE),0)</f>
        <v>0</v>
      </c>
      <c r="I146" s="194">
        <f>IF(DBparts1[[#This Row],[Type]]&gt;0,VLOOKUP(DBparts1[[#This Row],[Type]],Main[[#All],[TYPE]:[UNIT]],'Unit Price'!G$1,FALSE),0)</f>
        <v>0</v>
      </c>
      <c r="J146" s="194">
        <f>IF(DBparts1[[#This Row],[Type]]&gt;0,VLOOKUP(DBparts1[[#This Row],[Type]],Main[[#All],[TYPE]:[UNIT]],'Unit Price'!H$1,FALSE),0)</f>
        <v>0</v>
      </c>
      <c r="K146" s="194">
        <f>IF(DBparts1[[#This Row],[Type]]&gt;0,VLOOKUP(DBparts1[[#This Row],[Discount seletion]],'Discount Structure'!$A$2:$B$30,2,"false"),0)</f>
        <v>0</v>
      </c>
      <c r="L146" s="194">
        <f>DBparts1[[#This Row],[LIST $]]*DBparts1[[#This Row],[DISCOUNT]]*DBparts1[[#This Row],[DISCOUNT 2]]</f>
        <v>0</v>
      </c>
      <c r="O146" s="118"/>
    </row>
    <row r="147" spans="2:15">
      <c r="B147" s="112"/>
      <c r="C147" s="112"/>
      <c r="D147" s="112"/>
      <c r="F147" s="168" t="s">
        <v>6202</v>
      </c>
      <c r="G147" s="232">
        <f>IF(DBparts1[[#This Row],[Type]]&gt;0,VLOOKUP(DBparts1[[#This Row],[Type]],Main[[#All],[TYPE]:[UNIT]],'Unit Price'!C$1,FALSE),0)</f>
        <v>0</v>
      </c>
      <c r="H147" s="194">
        <f>IF(DBparts1[[#This Row],[Type]]&gt;0,VLOOKUP(DBparts1[[#This Row],[Type]],Main[[#All],[TYPE]:[UNIT]],'Unit Price'!D$1,FALSE),0)</f>
        <v>0</v>
      </c>
      <c r="I147" s="194">
        <f>IF(DBparts1[[#This Row],[Type]]&gt;0,VLOOKUP(DBparts1[[#This Row],[Type]],Main[[#All],[TYPE]:[UNIT]],'Unit Price'!G$1,FALSE),0)</f>
        <v>0</v>
      </c>
      <c r="J147" s="194">
        <f>IF(DBparts1[[#This Row],[Type]]&gt;0,VLOOKUP(DBparts1[[#This Row],[Type]],Main[[#All],[TYPE]:[UNIT]],'Unit Price'!H$1,FALSE),0)</f>
        <v>0</v>
      </c>
      <c r="K147" s="194">
        <f>IF(DBparts1[[#This Row],[Type]]&gt;0,VLOOKUP(DBparts1[[#This Row],[Discount seletion]],'Discount Structure'!$A$2:$B$30,2,"false"),0)</f>
        <v>0</v>
      </c>
      <c r="L147" s="194">
        <f>DBparts1[[#This Row],[LIST $]]*DBparts1[[#This Row],[DISCOUNT]]*DBparts1[[#This Row],[DISCOUNT 2]]</f>
        <v>0</v>
      </c>
      <c r="O147" s="118"/>
    </row>
    <row r="148" spans="2:15">
      <c r="B148" s="112"/>
      <c r="C148" s="112"/>
      <c r="D148" s="112"/>
      <c r="F148" s="168" t="s">
        <v>6202</v>
      </c>
      <c r="G148" s="232">
        <f>IF(DBparts1[[#This Row],[Type]]&gt;0,VLOOKUP(DBparts1[[#This Row],[Type]],Main[[#All],[TYPE]:[UNIT]],'Unit Price'!C$1,FALSE),0)</f>
        <v>0</v>
      </c>
      <c r="H148" s="194">
        <f>IF(DBparts1[[#This Row],[Type]]&gt;0,VLOOKUP(DBparts1[[#This Row],[Type]],Main[[#All],[TYPE]:[UNIT]],'Unit Price'!D$1,FALSE),0)</f>
        <v>0</v>
      </c>
      <c r="I148" s="194">
        <f>IF(DBparts1[[#This Row],[Type]]&gt;0,VLOOKUP(DBparts1[[#This Row],[Type]],Main[[#All],[TYPE]:[UNIT]],'Unit Price'!G$1,FALSE),0)</f>
        <v>0</v>
      </c>
      <c r="J148" s="194">
        <f>IF(DBparts1[[#This Row],[Type]]&gt;0,VLOOKUP(DBparts1[[#This Row],[Type]],Main[[#All],[TYPE]:[UNIT]],'Unit Price'!H$1,FALSE),0)</f>
        <v>0</v>
      </c>
      <c r="K148" s="194">
        <f>IF(DBparts1[[#This Row],[Type]]&gt;0,VLOOKUP(DBparts1[[#This Row],[Discount seletion]],'Discount Structure'!$A$2:$B$30,2,"false"),0)</f>
        <v>0</v>
      </c>
      <c r="L148" s="194">
        <f>DBparts1[[#This Row],[LIST $]]*DBparts1[[#This Row],[DISCOUNT]]*DBparts1[[#This Row],[DISCOUNT 2]]</f>
        <v>0</v>
      </c>
      <c r="O148" s="118"/>
    </row>
    <row r="149" spans="2:15">
      <c r="B149" s="112"/>
      <c r="C149" s="112"/>
      <c r="D149" s="112"/>
      <c r="F149" s="168" t="s">
        <v>6202</v>
      </c>
      <c r="G149" s="232">
        <f>IF(DBparts1[[#This Row],[Type]]&gt;0,VLOOKUP(DBparts1[[#This Row],[Type]],Main[[#All],[TYPE]:[UNIT]],'Unit Price'!C$1,FALSE),0)</f>
        <v>0</v>
      </c>
      <c r="H149" s="194">
        <f>IF(DBparts1[[#This Row],[Type]]&gt;0,VLOOKUP(DBparts1[[#This Row],[Type]],Main[[#All],[TYPE]:[UNIT]],'Unit Price'!D$1,FALSE),0)</f>
        <v>0</v>
      </c>
      <c r="I149" s="194">
        <f>IF(DBparts1[[#This Row],[Type]]&gt;0,VLOOKUP(DBparts1[[#This Row],[Type]],Main[[#All],[TYPE]:[UNIT]],'Unit Price'!G$1,FALSE),0)</f>
        <v>0</v>
      </c>
      <c r="J149" s="194">
        <f>IF(DBparts1[[#This Row],[Type]]&gt;0,VLOOKUP(DBparts1[[#This Row],[Type]],Main[[#All],[TYPE]:[UNIT]],'Unit Price'!H$1,FALSE),0)</f>
        <v>0</v>
      </c>
      <c r="K149" s="194">
        <f>IF(DBparts1[[#This Row],[Type]]&gt;0,VLOOKUP(DBparts1[[#This Row],[Discount seletion]],'Discount Structure'!$A$2:$B$30,2,"false"),0)</f>
        <v>0</v>
      </c>
      <c r="L149" s="194">
        <f>DBparts1[[#This Row],[LIST $]]*DBparts1[[#This Row],[DISCOUNT]]*DBparts1[[#This Row],[DISCOUNT 2]]</f>
        <v>0</v>
      </c>
      <c r="O149" s="118"/>
    </row>
    <row r="150" spans="2:15">
      <c r="B150" s="112"/>
      <c r="C150" s="112"/>
      <c r="D150" s="112"/>
      <c r="F150" s="168" t="s">
        <v>6202</v>
      </c>
      <c r="G150" s="232">
        <f>IF(DBparts1[[#This Row],[Type]]&gt;0,VLOOKUP(DBparts1[[#This Row],[Type]],Main[[#All],[TYPE]:[UNIT]],'Unit Price'!C$1,FALSE),0)</f>
        <v>0</v>
      </c>
      <c r="H150" s="194">
        <f>IF(DBparts1[[#This Row],[Type]]&gt;0,VLOOKUP(DBparts1[[#This Row],[Type]],Main[[#All],[TYPE]:[UNIT]],'Unit Price'!D$1,FALSE),0)</f>
        <v>0</v>
      </c>
      <c r="I150" s="194">
        <f>IF(DBparts1[[#This Row],[Type]]&gt;0,VLOOKUP(DBparts1[[#This Row],[Type]],Main[[#All],[TYPE]:[UNIT]],'Unit Price'!G$1,FALSE),0)</f>
        <v>0</v>
      </c>
      <c r="J150" s="194">
        <f>IF(DBparts1[[#This Row],[Type]]&gt;0,VLOOKUP(DBparts1[[#This Row],[Type]],Main[[#All],[TYPE]:[UNIT]],'Unit Price'!H$1,FALSE),0)</f>
        <v>0</v>
      </c>
      <c r="K150" s="194">
        <f>IF(DBparts1[[#This Row],[Type]]&gt;0,VLOOKUP(DBparts1[[#This Row],[Discount seletion]],'Discount Structure'!$A$2:$B$30,2,"false"),0)</f>
        <v>0</v>
      </c>
      <c r="L150" s="194">
        <f>DBparts1[[#This Row],[LIST $]]*DBparts1[[#This Row],[DISCOUNT]]*DBparts1[[#This Row],[DISCOUNT 2]]</f>
        <v>0</v>
      </c>
      <c r="O150" s="118"/>
    </row>
    <row r="151" spans="2:15">
      <c r="B151" s="112"/>
      <c r="C151" s="112"/>
      <c r="D151" s="112"/>
      <c r="F151" s="168" t="s">
        <v>6202</v>
      </c>
      <c r="G151" s="232">
        <f>IF(DBparts1[[#This Row],[Type]]&gt;0,VLOOKUP(DBparts1[[#This Row],[Type]],Main[[#All],[TYPE]:[UNIT]],'Unit Price'!C$1,FALSE),0)</f>
        <v>0</v>
      </c>
      <c r="H151" s="194">
        <f>IF(DBparts1[[#This Row],[Type]]&gt;0,VLOOKUP(DBparts1[[#This Row],[Type]],Main[[#All],[TYPE]:[UNIT]],'Unit Price'!D$1,FALSE),0)</f>
        <v>0</v>
      </c>
      <c r="I151" s="194">
        <f>IF(DBparts1[[#This Row],[Type]]&gt;0,VLOOKUP(DBparts1[[#This Row],[Type]],Main[[#All],[TYPE]:[UNIT]],'Unit Price'!G$1,FALSE),0)</f>
        <v>0</v>
      </c>
      <c r="J151" s="194">
        <f>IF(DBparts1[[#This Row],[Type]]&gt;0,VLOOKUP(DBparts1[[#This Row],[Type]],Main[[#All],[TYPE]:[UNIT]],'Unit Price'!H$1,FALSE),0)</f>
        <v>0</v>
      </c>
      <c r="K151" s="194">
        <f>IF(DBparts1[[#This Row],[Type]]&gt;0,VLOOKUP(DBparts1[[#This Row],[Discount seletion]],'Discount Structure'!$A$2:$B$30,2,"false"),0)</f>
        <v>0</v>
      </c>
      <c r="L151" s="194">
        <f>DBparts1[[#This Row],[LIST $]]*DBparts1[[#This Row],[DISCOUNT]]*DBparts1[[#This Row],[DISCOUNT 2]]</f>
        <v>0</v>
      </c>
      <c r="O151" s="118"/>
    </row>
    <row r="152" spans="2:15">
      <c r="B152" s="112"/>
      <c r="C152" s="112"/>
      <c r="D152" s="112"/>
      <c r="F152" s="168" t="s">
        <v>6202</v>
      </c>
      <c r="G152" s="232">
        <f>IF(DBparts1[[#This Row],[Type]]&gt;0,VLOOKUP(DBparts1[[#This Row],[Type]],Main[[#All],[TYPE]:[UNIT]],'Unit Price'!C$1,FALSE),0)</f>
        <v>0</v>
      </c>
      <c r="H152" s="194">
        <f>IF(DBparts1[[#This Row],[Type]]&gt;0,VLOOKUP(DBparts1[[#This Row],[Type]],Main[[#All],[TYPE]:[UNIT]],'Unit Price'!D$1,FALSE),0)</f>
        <v>0</v>
      </c>
      <c r="I152" s="194">
        <f>IF(DBparts1[[#This Row],[Type]]&gt;0,VLOOKUP(DBparts1[[#This Row],[Type]],Main[[#All],[TYPE]:[UNIT]],'Unit Price'!G$1,FALSE),0)</f>
        <v>0</v>
      </c>
      <c r="J152" s="194">
        <f>IF(DBparts1[[#This Row],[Type]]&gt;0,VLOOKUP(DBparts1[[#This Row],[Type]],Main[[#All],[TYPE]:[UNIT]],'Unit Price'!H$1,FALSE),0)</f>
        <v>0</v>
      </c>
      <c r="K152" s="194">
        <f>IF(DBparts1[[#This Row],[Type]]&gt;0,VLOOKUP(DBparts1[[#This Row],[Discount seletion]],'Discount Structure'!$A$2:$B$30,2,"false"),0)</f>
        <v>0</v>
      </c>
      <c r="L152" s="194">
        <f>DBparts1[[#This Row],[LIST $]]*DBparts1[[#This Row],[DISCOUNT]]*DBparts1[[#This Row],[DISCOUNT 2]]</f>
        <v>0</v>
      </c>
      <c r="O152" s="118"/>
    </row>
    <row r="153" spans="2:15">
      <c r="B153" s="112"/>
      <c r="C153" s="112"/>
      <c r="D153" s="112"/>
      <c r="F153" s="168" t="s">
        <v>6202</v>
      </c>
      <c r="G153" s="232">
        <f>IF(DBparts1[[#This Row],[Type]]&gt;0,VLOOKUP(DBparts1[[#This Row],[Type]],Main[[#All],[TYPE]:[UNIT]],'Unit Price'!C$1,FALSE),0)</f>
        <v>0</v>
      </c>
      <c r="H153" s="194">
        <f>IF(DBparts1[[#This Row],[Type]]&gt;0,VLOOKUP(DBparts1[[#This Row],[Type]],Main[[#All],[TYPE]:[UNIT]],'Unit Price'!D$1,FALSE),0)</f>
        <v>0</v>
      </c>
      <c r="I153" s="194">
        <f>IF(DBparts1[[#This Row],[Type]]&gt;0,VLOOKUP(DBparts1[[#This Row],[Type]],Main[[#All],[TYPE]:[UNIT]],'Unit Price'!G$1,FALSE),0)</f>
        <v>0</v>
      </c>
      <c r="J153" s="194">
        <f>IF(DBparts1[[#This Row],[Type]]&gt;0,VLOOKUP(DBparts1[[#This Row],[Type]],Main[[#All],[TYPE]:[UNIT]],'Unit Price'!H$1,FALSE),0)</f>
        <v>0</v>
      </c>
      <c r="K153" s="194">
        <f>IF(DBparts1[[#This Row],[Type]]&gt;0,VLOOKUP(DBparts1[[#This Row],[Discount seletion]],'Discount Structure'!$A$2:$B$30,2,"false"),0)</f>
        <v>0</v>
      </c>
      <c r="L153" s="194">
        <f>DBparts1[[#This Row],[LIST $]]*DBparts1[[#This Row],[DISCOUNT]]*DBparts1[[#This Row],[DISCOUNT 2]]</f>
        <v>0</v>
      </c>
      <c r="O153" s="118"/>
    </row>
    <row r="154" spans="2:15">
      <c r="B154" s="112"/>
      <c r="C154" s="112"/>
      <c r="D154" s="112"/>
      <c r="F154" s="168" t="s">
        <v>6202</v>
      </c>
      <c r="G154" s="232">
        <f>IF(DBparts1[[#This Row],[Type]]&gt;0,VLOOKUP(DBparts1[[#This Row],[Type]],Main[[#All],[TYPE]:[UNIT]],'Unit Price'!C$1,FALSE),0)</f>
        <v>0</v>
      </c>
      <c r="H154" s="194">
        <f>IF(DBparts1[[#This Row],[Type]]&gt;0,VLOOKUP(DBparts1[[#This Row],[Type]],Main[[#All],[TYPE]:[UNIT]],'Unit Price'!D$1,FALSE),0)</f>
        <v>0</v>
      </c>
      <c r="I154" s="194">
        <f>IF(DBparts1[[#This Row],[Type]]&gt;0,VLOOKUP(DBparts1[[#This Row],[Type]],Main[[#All],[TYPE]:[UNIT]],'Unit Price'!G$1,FALSE),0)</f>
        <v>0</v>
      </c>
      <c r="J154" s="194">
        <f>IF(DBparts1[[#This Row],[Type]]&gt;0,VLOOKUP(DBparts1[[#This Row],[Type]],Main[[#All],[TYPE]:[UNIT]],'Unit Price'!H$1,FALSE),0)</f>
        <v>0</v>
      </c>
      <c r="K154" s="194">
        <f>IF(DBparts1[[#This Row],[Type]]&gt;0,VLOOKUP(DBparts1[[#This Row],[Discount seletion]],'Discount Structure'!$A$2:$B$30,2,"false"),0)</f>
        <v>0</v>
      </c>
      <c r="L154" s="194">
        <f>DBparts1[[#This Row],[LIST $]]*DBparts1[[#This Row],[DISCOUNT]]*DBparts1[[#This Row],[DISCOUNT 2]]</f>
        <v>0</v>
      </c>
      <c r="O154" s="118"/>
    </row>
    <row r="155" spans="2:15">
      <c r="B155" s="112"/>
      <c r="C155" s="112"/>
      <c r="D155" s="112"/>
      <c r="F155" s="168" t="s">
        <v>6202</v>
      </c>
      <c r="G155" s="232">
        <f>IF(DBparts1[[#This Row],[Type]]&gt;0,VLOOKUP(DBparts1[[#This Row],[Type]],Main[[#All],[TYPE]:[UNIT]],'Unit Price'!C$1,FALSE),0)</f>
        <v>0</v>
      </c>
      <c r="H155" s="194">
        <f>IF(DBparts1[[#This Row],[Type]]&gt;0,VLOOKUP(DBparts1[[#This Row],[Type]],Main[[#All],[TYPE]:[UNIT]],'Unit Price'!D$1,FALSE),0)</f>
        <v>0</v>
      </c>
      <c r="I155" s="194">
        <f>IF(DBparts1[[#This Row],[Type]]&gt;0,VLOOKUP(DBparts1[[#This Row],[Type]],Main[[#All],[TYPE]:[UNIT]],'Unit Price'!G$1,FALSE),0)</f>
        <v>0</v>
      </c>
      <c r="J155" s="194">
        <f>IF(DBparts1[[#This Row],[Type]]&gt;0,VLOOKUP(DBparts1[[#This Row],[Type]],Main[[#All],[TYPE]:[UNIT]],'Unit Price'!H$1,FALSE),0)</f>
        <v>0</v>
      </c>
      <c r="K155" s="194">
        <f>IF(DBparts1[[#This Row],[Type]]&gt;0,VLOOKUP(DBparts1[[#This Row],[Discount seletion]],'Discount Structure'!$A$2:$B$30,2,"false"),0)</f>
        <v>0</v>
      </c>
      <c r="L155" s="194">
        <f>DBparts1[[#This Row],[LIST $]]*DBparts1[[#This Row],[DISCOUNT]]*DBparts1[[#This Row],[DISCOUNT 2]]</f>
        <v>0</v>
      </c>
      <c r="O155" s="118"/>
    </row>
    <row r="156" spans="2:15">
      <c r="B156" s="112"/>
      <c r="C156" s="112"/>
      <c r="D156" s="112"/>
      <c r="F156" s="168" t="s">
        <v>6202</v>
      </c>
      <c r="G156" s="232">
        <f>IF(DBparts1[[#This Row],[Type]]&gt;0,VLOOKUP(DBparts1[[#This Row],[Type]],Main[[#All],[TYPE]:[UNIT]],'Unit Price'!C$1,FALSE),0)</f>
        <v>0</v>
      </c>
      <c r="H156" s="194">
        <f>IF(DBparts1[[#This Row],[Type]]&gt;0,VLOOKUP(DBparts1[[#This Row],[Type]],Main[[#All],[TYPE]:[UNIT]],'Unit Price'!D$1,FALSE),0)</f>
        <v>0</v>
      </c>
      <c r="I156" s="194">
        <f>IF(DBparts1[[#This Row],[Type]]&gt;0,VLOOKUP(DBparts1[[#This Row],[Type]],Main[[#All],[TYPE]:[UNIT]],'Unit Price'!G$1,FALSE),0)</f>
        <v>0</v>
      </c>
      <c r="J156" s="194">
        <f>IF(DBparts1[[#This Row],[Type]]&gt;0,VLOOKUP(DBparts1[[#This Row],[Type]],Main[[#All],[TYPE]:[UNIT]],'Unit Price'!H$1,FALSE),0)</f>
        <v>0</v>
      </c>
      <c r="K156" s="194">
        <f>IF(DBparts1[[#This Row],[Type]]&gt;0,VLOOKUP(DBparts1[[#This Row],[Discount seletion]],'Discount Structure'!$A$2:$B$30,2,"false"),0)</f>
        <v>0</v>
      </c>
      <c r="L156" s="194">
        <f>DBparts1[[#This Row],[LIST $]]*DBparts1[[#This Row],[DISCOUNT]]*DBparts1[[#This Row],[DISCOUNT 2]]</f>
        <v>0</v>
      </c>
      <c r="O156" s="118"/>
    </row>
    <row r="157" spans="2:15">
      <c r="B157" s="112"/>
      <c r="C157" s="112"/>
      <c r="D157" s="112"/>
      <c r="F157" s="168" t="s">
        <v>6202</v>
      </c>
      <c r="G157" s="232">
        <f>IF(DBparts1[[#This Row],[Type]]&gt;0,VLOOKUP(DBparts1[[#This Row],[Type]],Main[[#All],[TYPE]:[UNIT]],'Unit Price'!C$1,FALSE),0)</f>
        <v>0</v>
      </c>
      <c r="H157" s="194">
        <f>IF(DBparts1[[#This Row],[Type]]&gt;0,VLOOKUP(DBparts1[[#This Row],[Type]],Main[[#All],[TYPE]:[UNIT]],'Unit Price'!D$1,FALSE),0)</f>
        <v>0</v>
      </c>
      <c r="I157" s="194">
        <f>IF(DBparts1[[#This Row],[Type]]&gt;0,VLOOKUP(DBparts1[[#This Row],[Type]],Main[[#All],[TYPE]:[UNIT]],'Unit Price'!G$1,FALSE),0)</f>
        <v>0</v>
      </c>
      <c r="J157" s="194">
        <f>IF(DBparts1[[#This Row],[Type]]&gt;0,VLOOKUP(DBparts1[[#This Row],[Type]],Main[[#All],[TYPE]:[UNIT]],'Unit Price'!H$1,FALSE),0)</f>
        <v>0</v>
      </c>
      <c r="K157" s="194">
        <f>IF(DBparts1[[#This Row],[Type]]&gt;0,VLOOKUP(DBparts1[[#This Row],[Discount seletion]],'Discount Structure'!$A$2:$B$30,2,"false"),0)</f>
        <v>0</v>
      </c>
      <c r="L157" s="194">
        <f>DBparts1[[#This Row],[LIST $]]*DBparts1[[#This Row],[DISCOUNT]]*DBparts1[[#This Row],[DISCOUNT 2]]</f>
        <v>0</v>
      </c>
      <c r="O157" s="118"/>
    </row>
    <row r="158" spans="2:15">
      <c r="B158" s="112"/>
      <c r="C158" s="112"/>
      <c r="D158" s="112"/>
      <c r="F158" s="168" t="s">
        <v>6202</v>
      </c>
      <c r="G158" s="232">
        <f>IF(DBparts1[[#This Row],[Type]]&gt;0,VLOOKUP(DBparts1[[#This Row],[Type]],Main[[#All],[TYPE]:[UNIT]],'Unit Price'!C$1,FALSE),0)</f>
        <v>0</v>
      </c>
      <c r="H158" s="194">
        <f>IF(DBparts1[[#This Row],[Type]]&gt;0,VLOOKUP(DBparts1[[#This Row],[Type]],Main[[#All],[TYPE]:[UNIT]],'Unit Price'!D$1,FALSE),0)</f>
        <v>0</v>
      </c>
      <c r="I158" s="194">
        <f>IF(DBparts1[[#This Row],[Type]]&gt;0,VLOOKUP(DBparts1[[#This Row],[Type]],Main[[#All],[TYPE]:[UNIT]],'Unit Price'!G$1,FALSE),0)</f>
        <v>0</v>
      </c>
      <c r="J158" s="194">
        <f>IF(DBparts1[[#This Row],[Type]]&gt;0,VLOOKUP(DBparts1[[#This Row],[Type]],Main[[#All],[TYPE]:[UNIT]],'Unit Price'!H$1,FALSE),0)</f>
        <v>0</v>
      </c>
      <c r="K158" s="194">
        <f>IF(DBparts1[[#This Row],[Type]]&gt;0,VLOOKUP(DBparts1[[#This Row],[Discount seletion]],'Discount Structure'!$A$2:$B$30,2,"false"),0)</f>
        <v>0</v>
      </c>
      <c r="L158" s="194">
        <f>DBparts1[[#This Row],[LIST $]]*DBparts1[[#This Row],[DISCOUNT]]*DBparts1[[#This Row],[DISCOUNT 2]]</f>
        <v>0</v>
      </c>
      <c r="O158" s="118"/>
    </row>
    <row r="159" spans="2:15">
      <c r="B159" s="112"/>
      <c r="C159" s="112"/>
      <c r="D159" s="112"/>
      <c r="F159" s="168" t="s">
        <v>6202</v>
      </c>
      <c r="G159" s="232">
        <f>IF(DBparts1[[#This Row],[Type]]&gt;0,VLOOKUP(DBparts1[[#This Row],[Type]],Main[[#All],[TYPE]:[UNIT]],'Unit Price'!C$1,FALSE),0)</f>
        <v>0</v>
      </c>
      <c r="H159" s="194">
        <f>IF(DBparts1[[#This Row],[Type]]&gt;0,VLOOKUP(DBparts1[[#This Row],[Type]],Main[[#All],[TYPE]:[UNIT]],'Unit Price'!D$1,FALSE),0)</f>
        <v>0</v>
      </c>
      <c r="I159" s="194">
        <f>IF(DBparts1[[#This Row],[Type]]&gt;0,VLOOKUP(DBparts1[[#This Row],[Type]],Main[[#All],[TYPE]:[UNIT]],'Unit Price'!G$1,FALSE),0)</f>
        <v>0</v>
      </c>
      <c r="J159" s="194">
        <f>IF(DBparts1[[#This Row],[Type]]&gt;0,VLOOKUP(DBparts1[[#This Row],[Type]],Main[[#All],[TYPE]:[UNIT]],'Unit Price'!H$1,FALSE),0)</f>
        <v>0</v>
      </c>
      <c r="K159" s="194">
        <f>IF(DBparts1[[#This Row],[Type]]&gt;0,VLOOKUP(DBparts1[[#This Row],[Discount seletion]],'Discount Structure'!$A$2:$B$30,2,"false"),0)</f>
        <v>0</v>
      </c>
      <c r="L159" s="194">
        <f>DBparts1[[#This Row],[LIST $]]*DBparts1[[#This Row],[DISCOUNT]]*DBparts1[[#This Row],[DISCOUNT 2]]</f>
        <v>0</v>
      </c>
      <c r="O159" s="118"/>
    </row>
    <row r="160" spans="2:15">
      <c r="B160" s="112"/>
      <c r="C160" s="112"/>
      <c r="D160" s="112"/>
      <c r="F160" s="168" t="s">
        <v>6202</v>
      </c>
      <c r="G160" s="232">
        <f>IF(DBparts1[[#This Row],[Type]]&gt;0,VLOOKUP(DBparts1[[#This Row],[Type]],Main[[#All],[TYPE]:[UNIT]],'Unit Price'!C$1,FALSE),0)</f>
        <v>0</v>
      </c>
      <c r="H160" s="194">
        <f>IF(DBparts1[[#This Row],[Type]]&gt;0,VLOOKUP(DBparts1[[#This Row],[Type]],Main[[#All],[TYPE]:[UNIT]],'Unit Price'!D$1,FALSE),0)</f>
        <v>0</v>
      </c>
      <c r="I160" s="194">
        <f>IF(DBparts1[[#This Row],[Type]]&gt;0,VLOOKUP(DBparts1[[#This Row],[Type]],Main[[#All],[TYPE]:[UNIT]],'Unit Price'!G$1,FALSE),0)</f>
        <v>0</v>
      </c>
      <c r="J160" s="194">
        <f>IF(DBparts1[[#This Row],[Type]]&gt;0,VLOOKUP(DBparts1[[#This Row],[Type]],Main[[#All],[TYPE]:[UNIT]],'Unit Price'!H$1,FALSE),0)</f>
        <v>0</v>
      </c>
      <c r="K160" s="194">
        <f>IF(DBparts1[[#This Row],[Type]]&gt;0,VLOOKUP(DBparts1[[#This Row],[Discount seletion]],'Discount Structure'!$A$2:$B$30,2,"false"),0)</f>
        <v>0</v>
      </c>
      <c r="L160" s="194">
        <f>DBparts1[[#This Row],[LIST $]]*DBparts1[[#This Row],[DISCOUNT]]*DBparts1[[#This Row],[DISCOUNT 2]]</f>
        <v>0</v>
      </c>
      <c r="O160" s="118"/>
    </row>
    <row r="161" spans="2:15">
      <c r="B161" s="112"/>
      <c r="C161" s="112"/>
      <c r="D161" s="112"/>
      <c r="F161" s="168" t="s">
        <v>6202</v>
      </c>
      <c r="G161" s="232">
        <f>IF(DBparts1[[#This Row],[Type]]&gt;0,VLOOKUP(DBparts1[[#This Row],[Type]],Main[[#All],[TYPE]:[UNIT]],'Unit Price'!C$1,FALSE),0)</f>
        <v>0</v>
      </c>
      <c r="H161" s="194">
        <f>IF(DBparts1[[#This Row],[Type]]&gt;0,VLOOKUP(DBparts1[[#This Row],[Type]],Main[[#All],[TYPE]:[UNIT]],'Unit Price'!D$1,FALSE),0)</f>
        <v>0</v>
      </c>
      <c r="I161" s="194">
        <f>IF(DBparts1[[#This Row],[Type]]&gt;0,VLOOKUP(DBparts1[[#This Row],[Type]],Main[[#All],[TYPE]:[UNIT]],'Unit Price'!G$1,FALSE),0)</f>
        <v>0</v>
      </c>
      <c r="J161" s="194">
        <f>IF(DBparts1[[#This Row],[Type]]&gt;0,VLOOKUP(DBparts1[[#This Row],[Type]],Main[[#All],[TYPE]:[UNIT]],'Unit Price'!H$1,FALSE),0)</f>
        <v>0</v>
      </c>
      <c r="K161" s="194">
        <f>IF(DBparts1[[#This Row],[Type]]&gt;0,VLOOKUP(DBparts1[[#This Row],[Discount seletion]],'Discount Structure'!$A$2:$B$30,2,"false"),0)</f>
        <v>0</v>
      </c>
      <c r="L161" s="194">
        <f>DBparts1[[#This Row],[LIST $]]*DBparts1[[#This Row],[DISCOUNT]]*DBparts1[[#This Row],[DISCOUNT 2]]</f>
        <v>0</v>
      </c>
      <c r="O161" s="118"/>
    </row>
    <row r="162" spans="2:15">
      <c r="B162" s="112"/>
      <c r="C162" s="112"/>
      <c r="D162" s="112"/>
      <c r="F162" s="168" t="s">
        <v>6202</v>
      </c>
      <c r="G162" s="232">
        <f>IF(DBparts1[[#This Row],[Type]]&gt;0,VLOOKUP(DBparts1[[#This Row],[Type]],Main[[#All],[TYPE]:[UNIT]],'Unit Price'!C$1,FALSE),0)</f>
        <v>0</v>
      </c>
      <c r="H162" s="194">
        <f>IF(DBparts1[[#This Row],[Type]]&gt;0,VLOOKUP(DBparts1[[#This Row],[Type]],Main[[#All],[TYPE]:[UNIT]],'Unit Price'!D$1,FALSE),0)</f>
        <v>0</v>
      </c>
      <c r="I162" s="194">
        <f>IF(DBparts1[[#This Row],[Type]]&gt;0,VLOOKUP(DBparts1[[#This Row],[Type]],Main[[#All],[TYPE]:[UNIT]],'Unit Price'!G$1,FALSE),0)</f>
        <v>0</v>
      </c>
      <c r="J162" s="194">
        <f>IF(DBparts1[[#This Row],[Type]]&gt;0,VLOOKUP(DBparts1[[#This Row],[Type]],Main[[#All],[TYPE]:[UNIT]],'Unit Price'!H$1,FALSE),0)</f>
        <v>0</v>
      </c>
      <c r="K162" s="194">
        <f>IF(DBparts1[[#This Row],[Type]]&gt;0,VLOOKUP(DBparts1[[#This Row],[Discount seletion]],'Discount Structure'!$A$2:$B$30,2,"false"),0)</f>
        <v>0</v>
      </c>
      <c r="L162" s="194">
        <f>DBparts1[[#This Row],[LIST $]]*DBparts1[[#This Row],[DISCOUNT]]*DBparts1[[#This Row],[DISCOUNT 2]]</f>
        <v>0</v>
      </c>
      <c r="O162" s="118"/>
    </row>
    <row r="163" spans="2:15">
      <c r="B163" s="112"/>
      <c r="C163" s="112"/>
      <c r="D163" s="112"/>
      <c r="F163" s="168" t="s">
        <v>6202</v>
      </c>
      <c r="G163" s="232">
        <f>IF(DBparts1[[#This Row],[Type]]&gt;0,VLOOKUP(DBparts1[[#This Row],[Type]],Main[[#All],[TYPE]:[UNIT]],'Unit Price'!C$1,FALSE),0)</f>
        <v>0</v>
      </c>
      <c r="H163" s="194">
        <f>IF(DBparts1[[#This Row],[Type]]&gt;0,VLOOKUP(DBparts1[[#This Row],[Type]],Main[[#All],[TYPE]:[UNIT]],'Unit Price'!D$1,FALSE),0)</f>
        <v>0</v>
      </c>
      <c r="I163" s="194">
        <f>IF(DBparts1[[#This Row],[Type]]&gt;0,VLOOKUP(DBparts1[[#This Row],[Type]],Main[[#All],[TYPE]:[UNIT]],'Unit Price'!G$1,FALSE),0)</f>
        <v>0</v>
      </c>
      <c r="J163" s="194">
        <f>IF(DBparts1[[#This Row],[Type]]&gt;0,VLOOKUP(DBparts1[[#This Row],[Type]],Main[[#All],[TYPE]:[UNIT]],'Unit Price'!H$1,FALSE),0)</f>
        <v>0</v>
      </c>
      <c r="K163" s="194">
        <f>IF(DBparts1[[#This Row],[Type]]&gt;0,VLOOKUP(DBparts1[[#This Row],[Discount seletion]],'Discount Structure'!$A$2:$B$30,2,"false"),0)</f>
        <v>0</v>
      </c>
      <c r="L163" s="194">
        <f>DBparts1[[#This Row],[LIST $]]*DBparts1[[#This Row],[DISCOUNT]]*DBparts1[[#This Row],[DISCOUNT 2]]</f>
        <v>0</v>
      </c>
      <c r="O163" s="118"/>
    </row>
    <row r="164" spans="2:15">
      <c r="B164" s="112"/>
      <c r="C164" s="112"/>
      <c r="D164" s="112"/>
      <c r="F164" s="168" t="s">
        <v>6202</v>
      </c>
      <c r="G164" s="232">
        <f>IF(DBparts1[[#This Row],[Type]]&gt;0,VLOOKUP(DBparts1[[#This Row],[Type]],Main[[#All],[TYPE]:[UNIT]],'Unit Price'!C$1,FALSE),0)</f>
        <v>0</v>
      </c>
      <c r="H164" s="194">
        <f>IF(DBparts1[[#This Row],[Type]]&gt;0,VLOOKUP(DBparts1[[#This Row],[Type]],Main[[#All],[TYPE]:[UNIT]],'Unit Price'!D$1,FALSE),0)</f>
        <v>0</v>
      </c>
      <c r="I164" s="194">
        <f>IF(DBparts1[[#This Row],[Type]]&gt;0,VLOOKUP(DBparts1[[#This Row],[Type]],Main[[#All],[TYPE]:[UNIT]],'Unit Price'!G$1,FALSE),0)</f>
        <v>0</v>
      </c>
      <c r="J164" s="194">
        <f>IF(DBparts1[[#This Row],[Type]]&gt;0,VLOOKUP(DBparts1[[#This Row],[Type]],Main[[#All],[TYPE]:[UNIT]],'Unit Price'!H$1,FALSE),0)</f>
        <v>0</v>
      </c>
      <c r="K164" s="194">
        <f>IF(DBparts1[[#This Row],[Type]]&gt;0,VLOOKUP(DBparts1[[#This Row],[Discount seletion]],'Discount Structure'!$A$2:$B$30,2,"false"),0)</f>
        <v>0</v>
      </c>
      <c r="L164" s="194">
        <f>DBparts1[[#This Row],[LIST $]]*DBparts1[[#This Row],[DISCOUNT]]*DBparts1[[#This Row],[DISCOUNT 2]]</f>
        <v>0</v>
      </c>
      <c r="O164" s="118"/>
    </row>
    <row r="165" spans="2:15">
      <c r="B165" s="112"/>
      <c r="C165" s="112"/>
      <c r="D165" s="112"/>
      <c r="F165" s="168" t="s">
        <v>6202</v>
      </c>
      <c r="G165" s="232">
        <f>IF(DBparts1[[#This Row],[Type]]&gt;0,VLOOKUP(DBparts1[[#This Row],[Type]],Main[[#All],[TYPE]:[UNIT]],'Unit Price'!C$1,FALSE),0)</f>
        <v>0</v>
      </c>
      <c r="H165" s="194">
        <f>IF(DBparts1[[#This Row],[Type]]&gt;0,VLOOKUP(DBparts1[[#This Row],[Type]],Main[[#All],[TYPE]:[UNIT]],'Unit Price'!D$1,FALSE),0)</f>
        <v>0</v>
      </c>
      <c r="I165" s="194">
        <f>IF(DBparts1[[#This Row],[Type]]&gt;0,VLOOKUP(DBparts1[[#This Row],[Type]],Main[[#All],[TYPE]:[UNIT]],'Unit Price'!G$1,FALSE),0)</f>
        <v>0</v>
      </c>
      <c r="J165" s="194">
        <f>IF(DBparts1[[#This Row],[Type]]&gt;0,VLOOKUP(DBparts1[[#This Row],[Type]],Main[[#All],[TYPE]:[UNIT]],'Unit Price'!H$1,FALSE),0)</f>
        <v>0</v>
      </c>
      <c r="K165" s="194">
        <f>IF(DBparts1[[#This Row],[Type]]&gt;0,VLOOKUP(DBparts1[[#This Row],[Discount seletion]],'Discount Structure'!$A$2:$B$30,2,"false"),0)</f>
        <v>0</v>
      </c>
      <c r="L165" s="194">
        <f>DBparts1[[#This Row],[LIST $]]*DBparts1[[#This Row],[DISCOUNT]]*DBparts1[[#This Row],[DISCOUNT 2]]</f>
        <v>0</v>
      </c>
      <c r="O165" s="118"/>
    </row>
    <row r="166" spans="2:15">
      <c r="B166" s="112"/>
      <c r="C166" s="112"/>
      <c r="D166" s="112"/>
      <c r="F166" s="168" t="s">
        <v>6202</v>
      </c>
      <c r="G166" s="232">
        <f>IF(DBparts1[[#This Row],[Type]]&gt;0,VLOOKUP(DBparts1[[#This Row],[Type]],Main[[#All],[TYPE]:[UNIT]],'Unit Price'!C$1,FALSE),0)</f>
        <v>0</v>
      </c>
      <c r="H166" s="194">
        <f>IF(DBparts1[[#This Row],[Type]]&gt;0,VLOOKUP(DBparts1[[#This Row],[Type]],Main[[#All],[TYPE]:[UNIT]],'Unit Price'!D$1,FALSE),0)</f>
        <v>0</v>
      </c>
      <c r="I166" s="194">
        <f>IF(DBparts1[[#This Row],[Type]]&gt;0,VLOOKUP(DBparts1[[#This Row],[Type]],Main[[#All],[TYPE]:[UNIT]],'Unit Price'!G$1,FALSE),0)</f>
        <v>0</v>
      </c>
      <c r="J166" s="194">
        <f>IF(DBparts1[[#This Row],[Type]]&gt;0,VLOOKUP(DBparts1[[#This Row],[Type]],Main[[#All],[TYPE]:[UNIT]],'Unit Price'!H$1,FALSE),0)</f>
        <v>0</v>
      </c>
      <c r="K166" s="194">
        <f>IF(DBparts1[[#This Row],[Type]]&gt;0,VLOOKUP(DBparts1[[#This Row],[Discount seletion]],'Discount Structure'!$A$2:$B$30,2,"false"),0)</f>
        <v>0</v>
      </c>
      <c r="L166" s="194">
        <f>DBparts1[[#This Row],[LIST $]]*DBparts1[[#This Row],[DISCOUNT]]*DBparts1[[#This Row],[DISCOUNT 2]]</f>
        <v>0</v>
      </c>
      <c r="O166" s="118"/>
    </row>
    <row r="167" spans="2:15">
      <c r="B167" s="112"/>
      <c r="C167" s="112"/>
      <c r="D167" s="112"/>
      <c r="F167" s="168" t="s">
        <v>6202</v>
      </c>
      <c r="G167" s="232">
        <f>IF(DBparts1[[#This Row],[Type]]&gt;0,VLOOKUP(DBparts1[[#This Row],[Type]],Main[[#All],[TYPE]:[UNIT]],'Unit Price'!C$1,FALSE),0)</f>
        <v>0</v>
      </c>
      <c r="H167" s="194">
        <f>IF(DBparts1[[#This Row],[Type]]&gt;0,VLOOKUP(DBparts1[[#This Row],[Type]],Main[[#All],[TYPE]:[UNIT]],'Unit Price'!D$1,FALSE),0)</f>
        <v>0</v>
      </c>
      <c r="I167" s="194">
        <f>IF(DBparts1[[#This Row],[Type]]&gt;0,VLOOKUP(DBparts1[[#This Row],[Type]],Main[[#All],[TYPE]:[UNIT]],'Unit Price'!G$1,FALSE),0)</f>
        <v>0</v>
      </c>
      <c r="J167" s="194">
        <f>IF(DBparts1[[#This Row],[Type]]&gt;0,VLOOKUP(DBparts1[[#This Row],[Type]],Main[[#All],[TYPE]:[UNIT]],'Unit Price'!H$1,FALSE),0)</f>
        <v>0</v>
      </c>
      <c r="K167" s="194">
        <f>IF(DBparts1[[#This Row],[Type]]&gt;0,VLOOKUP(DBparts1[[#This Row],[Discount seletion]],'Discount Structure'!$A$2:$B$30,2,"false"),0)</f>
        <v>0</v>
      </c>
      <c r="L167" s="194">
        <f>DBparts1[[#This Row],[LIST $]]*DBparts1[[#This Row],[DISCOUNT]]*DBparts1[[#This Row],[DISCOUNT 2]]</f>
        <v>0</v>
      </c>
      <c r="O167" s="118"/>
    </row>
    <row r="168" spans="2:15">
      <c r="B168" s="112"/>
      <c r="C168" s="112"/>
      <c r="D168" s="112"/>
      <c r="F168" s="168" t="s">
        <v>6202</v>
      </c>
      <c r="G168" s="232">
        <f>IF(DBparts1[[#This Row],[Type]]&gt;0,VLOOKUP(DBparts1[[#This Row],[Type]],Main[[#All],[TYPE]:[UNIT]],'Unit Price'!C$1,FALSE),0)</f>
        <v>0</v>
      </c>
      <c r="H168" s="194">
        <f>IF(DBparts1[[#This Row],[Type]]&gt;0,VLOOKUP(DBparts1[[#This Row],[Type]],Main[[#All],[TYPE]:[UNIT]],'Unit Price'!D$1,FALSE),0)</f>
        <v>0</v>
      </c>
      <c r="I168" s="194">
        <f>IF(DBparts1[[#This Row],[Type]]&gt;0,VLOOKUP(DBparts1[[#This Row],[Type]],Main[[#All],[TYPE]:[UNIT]],'Unit Price'!G$1,FALSE),0)</f>
        <v>0</v>
      </c>
      <c r="J168" s="194">
        <f>IF(DBparts1[[#This Row],[Type]]&gt;0,VLOOKUP(DBparts1[[#This Row],[Type]],Main[[#All],[TYPE]:[UNIT]],'Unit Price'!H$1,FALSE),0)</f>
        <v>0</v>
      </c>
      <c r="K168" s="194">
        <f>IF(DBparts1[[#This Row],[Type]]&gt;0,VLOOKUP(DBparts1[[#This Row],[Discount seletion]],'Discount Structure'!$A$2:$B$30,2,"false"),0)</f>
        <v>0</v>
      </c>
      <c r="L168" s="194">
        <f>DBparts1[[#This Row],[LIST $]]*DBparts1[[#This Row],[DISCOUNT]]*DBparts1[[#This Row],[DISCOUNT 2]]</f>
        <v>0</v>
      </c>
      <c r="O168" s="118"/>
    </row>
    <row r="169" spans="2:15">
      <c r="B169" s="112"/>
      <c r="C169" s="112"/>
      <c r="D169" s="112"/>
      <c r="F169" s="168" t="s">
        <v>6202</v>
      </c>
      <c r="G169" s="232">
        <f>IF(DBparts1[[#This Row],[Type]]&gt;0,VLOOKUP(DBparts1[[#This Row],[Type]],Main[[#All],[TYPE]:[UNIT]],'Unit Price'!C$1,FALSE),0)</f>
        <v>0</v>
      </c>
      <c r="H169" s="194">
        <f>IF(DBparts1[[#This Row],[Type]]&gt;0,VLOOKUP(DBparts1[[#This Row],[Type]],Main[[#All],[TYPE]:[UNIT]],'Unit Price'!D$1,FALSE),0)</f>
        <v>0</v>
      </c>
      <c r="I169" s="194">
        <f>IF(DBparts1[[#This Row],[Type]]&gt;0,VLOOKUP(DBparts1[[#This Row],[Type]],Main[[#All],[TYPE]:[UNIT]],'Unit Price'!G$1,FALSE),0)</f>
        <v>0</v>
      </c>
      <c r="J169" s="194">
        <f>IF(DBparts1[[#This Row],[Type]]&gt;0,VLOOKUP(DBparts1[[#This Row],[Type]],Main[[#All],[TYPE]:[UNIT]],'Unit Price'!H$1,FALSE),0)</f>
        <v>0</v>
      </c>
      <c r="K169" s="194">
        <f>IF(DBparts1[[#This Row],[Type]]&gt;0,VLOOKUP(DBparts1[[#This Row],[Discount seletion]],'Discount Structure'!$A$2:$B$30,2,"false"),0)</f>
        <v>0</v>
      </c>
      <c r="L169" s="194">
        <f>DBparts1[[#This Row],[LIST $]]*DBparts1[[#This Row],[DISCOUNT]]*DBparts1[[#This Row],[DISCOUNT 2]]</f>
        <v>0</v>
      </c>
      <c r="O169" s="118"/>
    </row>
    <row r="170" spans="2:15">
      <c r="B170" s="112"/>
      <c r="C170" s="112"/>
      <c r="D170" s="112"/>
      <c r="F170" s="168" t="s">
        <v>6202</v>
      </c>
      <c r="G170" s="232">
        <f>IF(DBparts1[[#This Row],[Type]]&gt;0,VLOOKUP(DBparts1[[#This Row],[Type]],Main[[#All],[TYPE]:[UNIT]],'Unit Price'!C$1,FALSE),0)</f>
        <v>0</v>
      </c>
      <c r="H170" s="194">
        <f>IF(DBparts1[[#This Row],[Type]]&gt;0,VLOOKUP(DBparts1[[#This Row],[Type]],Main[[#All],[TYPE]:[UNIT]],'Unit Price'!D$1,FALSE),0)</f>
        <v>0</v>
      </c>
      <c r="I170" s="194">
        <f>IF(DBparts1[[#This Row],[Type]]&gt;0,VLOOKUP(DBparts1[[#This Row],[Type]],Main[[#All],[TYPE]:[UNIT]],'Unit Price'!G$1,FALSE),0)</f>
        <v>0</v>
      </c>
      <c r="J170" s="194">
        <f>IF(DBparts1[[#This Row],[Type]]&gt;0,VLOOKUP(DBparts1[[#This Row],[Type]],Main[[#All],[TYPE]:[UNIT]],'Unit Price'!H$1,FALSE),0)</f>
        <v>0</v>
      </c>
      <c r="K170" s="194">
        <f>IF(DBparts1[[#This Row],[Type]]&gt;0,VLOOKUP(DBparts1[[#This Row],[Discount seletion]],'Discount Structure'!$A$2:$B$30,2,"false"),0)</f>
        <v>0</v>
      </c>
      <c r="L170" s="194">
        <f>DBparts1[[#This Row],[LIST $]]*DBparts1[[#This Row],[DISCOUNT]]*DBparts1[[#This Row],[DISCOUNT 2]]</f>
        <v>0</v>
      </c>
      <c r="O170" s="118"/>
    </row>
    <row r="171" spans="2:15">
      <c r="B171" s="112"/>
      <c r="C171" s="112"/>
      <c r="D171" s="112"/>
      <c r="F171" s="168" t="s">
        <v>6202</v>
      </c>
      <c r="G171" s="232">
        <f>IF(DBparts1[[#This Row],[Type]]&gt;0,VLOOKUP(DBparts1[[#This Row],[Type]],Main[[#All],[TYPE]:[UNIT]],'Unit Price'!C$1,FALSE),0)</f>
        <v>0</v>
      </c>
      <c r="H171" s="194">
        <f>IF(DBparts1[[#This Row],[Type]]&gt;0,VLOOKUP(DBparts1[[#This Row],[Type]],Main[[#All],[TYPE]:[UNIT]],'Unit Price'!D$1,FALSE),0)</f>
        <v>0</v>
      </c>
      <c r="I171" s="194">
        <f>IF(DBparts1[[#This Row],[Type]]&gt;0,VLOOKUP(DBparts1[[#This Row],[Type]],Main[[#All],[TYPE]:[UNIT]],'Unit Price'!G$1,FALSE),0)</f>
        <v>0</v>
      </c>
      <c r="J171" s="194">
        <f>IF(DBparts1[[#This Row],[Type]]&gt;0,VLOOKUP(DBparts1[[#This Row],[Type]],Main[[#All],[TYPE]:[UNIT]],'Unit Price'!H$1,FALSE),0)</f>
        <v>0</v>
      </c>
      <c r="K171" s="194">
        <f>IF(DBparts1[[#This Row],[Type]]&gt;0,VLOOKUP(DBparts1[[#This Row],[Discount seletion]],'Discount Structure'!$A$2:$B$30,2,"false"),0)</f>
        <v>0</v>
      </c>
      <c r="L171" s="194">
        <f>DBparts1[[#This Row],[LIST $]]*DBparts1[[#This Row],[DISCOUNT]]*DBparts1[[#This Row],[DISCOUNT 2]]</f>
        <v>0</v>
      </c>
      <c r="O171" s="118"/>
    </row>
    <row r="172" spans="2:15">
      <c r="B172" s="112"/>
      <c r="C172" s="112"/>
      <c r="D172" s="112"/>
      <c r="F172" s="168" t="s">
        <v>6202</v>
      </c>
      <c r="G172" s="232">
        <f>IF(DBparts1[[#This Row],[Type]]&gt;0,VLOOKUP(DBparts1[[#This Row],[Type]],Main[[#All],[TYPE]:[UNIT]],'Unit Price'!C$1,FALSE),0)</f>
        <v>0</v>
      </c>
      <c r="H172" s="194">
        <f>IF(DBparts1[[#This Row],[Type]]&gt;0,VLOOKUP(DBparts1[[#This Row],[Type]],Main[[#All],[TYPE]:[UNIT]],'Unit Price'!D$1,FALSE),0)</f>
        <v>0</v>
      </c>
      <c r="I172" s="194">
        <f>IF(DBparts1[[#This Row],[Type]]&gt;0,VLOOKUP(DBparts1[[#This Row],[Type]],Main[[#All],[TYPE]:[UNIT]],'Unit Price'!G$1,FALSE),0)</f>
        <v>0</v>
      </c>
      <c r="J172" s="194">
        <f>IF(DBparts1[[#This Row],[Type]]&gt;0,VLOOKUP(DBparts1[[#This Row],[Type]],Main[[#All],[TYPE]:[UNIT]],'Unit Price'!H$1,FALSE),0)</f>
        <v>0</v>
      </c>
      <c r="K172" s="194">
        <f>IF(DBparts1[[#This Row],[Type]]&gt;0,VLOOKUP(DBparts1[[#This Row],[Discount seletion]],'Discount Structure'!$A$2:$B$30,2,"false"),0)</f>
        <v>0</v>
      </c>
      <c r="L172" s="194">
        <f>DBparts1[[#This Row],[LIST $]]*DBparts1[[#This Row],[DISCOUNT]]*DBparts1[[#This Row],[DISCOUNT 2]]</f>
        <v>0</v>
      </c>
      <c r="O172" s="118"/>
    </row>
    <row r="173" spans="2:15">
      <c r="B173" s="112"/>
      <c r="C173" s="112"/>
      <c r="D173" s="112"/>
      <c r="F173" s="168" t="s">
        <v>6202</v>
      </c>
      <c r="G173" s="232">
        <f>IF(DBparts1[[#This Row],[Type]]&gt;0,VLOOKUP(DBparts1[[#This Row],[Type]],Main[[#All],[TYPE]:[UNIT]],'Unit Price'!C$1,FALSE),0)</f>
        <v>0</v>
      </c>
      <c r="H173" s="194">
        <f>IF(DBparts1[[#This Row],[Type]]&gt;0,VLOOKUP(DBparts1[[#This Row],[Type]],Main[[#All],[TYPE]:[UNIT]],'Unit Price'!D$1,FALSE),0)</f>
        <v>0</v>
      </c>
      <c r="I173" s="194">
        <f>IF(DBparts1[[#This Row],[Type]]&gt;0,VLOOKUP(DBparts1[[#This Row],[Type]],Main[[#All],[TYPE]:[UNIT]],'Unit Price'!G$1,FALSE),0)</f>
        <v>0</v>
      </c>
      <c r="J173" s="194">
        <f>IF(DBparts1[[#This Row],[Type]]&gt;0,VLOOKUP(DBparts1[[#This Row],[Type]],Main[[#All],[TYPE]:[UNIT]],'Unit Price'!H$1,FALSE),0)</f>
        <v>0</v>
      </c>
      <c r="K173" s="194">
        <f>IF(DBparts1[[#This Row],[Type]]&gt;0,VLOOKUP(DBparts1[[#This Row],[Discount seletion]],'Discount Structure'!$A$2:$B$30,2,"false"),0)</f>
        <v>0</v>
      </c>
      <c r="L173" s="194">
        <f>DBparts1[[#This Row],[LIST $]]*DBparts1[[#This Row],[DISCOUNT]]*DBparts1[[#This Row],[DISCOUNT 2]]</f>
        <v>0</v>
      </c>
      <c r="O173" s="118"/>
    </row>
    <row r="174" spans="2:15">
      <c r="B174" s="112"/>
      <c r="C174" s="112"/>
      <c r="D174" s="112"/>
      <c r="F174" s="168" t="s">
        <v>6202</v>
      </c>
      <c r="G174" s="232">
        <f>IF(DBparts1[[#This Row],[Type]]&gt;0,VLOOKUP(DBparts1[[#This Row],[Type]],Main[[#All],[TYPE]:[UNIT]],'Unit Price'!C$1,FALSE),0)</f>
        <v>0</v>
      </c>
      <c r="H174" s="194">
        <f>IF(DBparts1[[#This Row],[Type]]&gt;0,VLOOKUP(DBparts1[[#This Row],[Type]],Main[[#All],[TYPE]:[UNIT]],'Unit Price'!D$1,FALSE),0)</f>
        <v>0</v>
      </c>
      <c r="I174" s="194">
        <f>IF(DBparts1[[#This Row],[Type]]&gt;0,VLOOKUP(DBparts1[[#This Row],[Type]],Main[[#All],[TYPE]:[UNIT]],'Unit Price'!G$1,FALSE),0)</f>
        <v>0</v>
      </c>
      <c r="J174" s="194">
        <f>IF(DBparts1[[#This Row],[Type]]&gt;0,VLOOKUP(DBparts1[[#This Row],[Type]],Main[[#All],[TYPE]:[UNIT]],'Unit Price'!H$1,FALSE),0)</f>
        <v>0</v>
      </c>
      <c r="K174" s="194">
        <f>IF(DBparts1[[#This Row],[Type]]&gt;0,VLOOKUP(DBparts1[[#This Row],[Discount seletion]],'Discount Structure'!$A$2:$B$30,2,"false"),0)</f>
        <v>0</v>
      </c>
      <c r="L174" s="194">
        <f>DBparts1[[#This Row],[LIST $]]*DBparts1[[#This Row],[DISCOUNT]]*DBparts1[[#This Row],[DISCOUNT 2]]</f>
        <v>0</v>
      </c>
      <c r="O174" s="118"/>
    </row>
    <row r="175" spans="2:15">
      <c r="B175" s="112"/>
      <c r="C175" s="112"/>
      <c r="D175" s="112"/>
      <c r="F175" s="168" t="s">
        <v>6202</v>
      </c>
      <c r="G175" s="232">
        <f>IF(DBparts1[[#This Row],[Type]]&gt;0,VLOOKUP(DBparts1[[#This Row],[Type]],Main[[#All],[TYPE]:[UNIT]],'Unit Price'!C$1,FALSE),0)</f>
        <v>0</v>
      </c>
      <c r="H175" s="194">
        <f>IF(DBparts1[[#This Row],[Type]]&gt;0,VLOOKUP(DBparts1[[#This Row],[Type]],Main[[#All],[TYPE]:[UNIT]],'Unit Price'!D$1,FALSE),0)</f>
        <v>0</v>
      </c>
      <c r="I175" s="194">
        <f>IF(DBparts1[[#This Row],[Type]]&gt;0,VLOOKUP(DBparts1[[#This Row],[Type]],Main[[#All],[TYPE]:[UNIT]],'Unit Price'!G$1,FALSE),0)</f>
        <v>0</v>
      </c>
      <c r="J175" s="194">
        <f>IF(DBparts1[[#This Row],[Type]]&gt;0,VLOOKUP(DBparts1[[#This Row],[Type]],Main[[#All],[TYPE]:[UNIT]],'Unit Price'!H$1,FALSE),0)</f>
        <v>0</v>
      </c>
      <c r="K175" s="194">
        <f>IF(DBparts1[[#This Row],[Type]]&gt;0,VLOOKUP(DBparts1[[#This Row],[Discount seletion]],'Discount Structure'!$A$2:$B$30,2,"false"),0)</f>
        <v>0</v>
      </c>
      <c r="L175" s="194">
        <f>DBparts1[[#This Row],[LIST $]]*DBparts1[[#This Row],[DISCOUNT]]*DBparts1[[#This Row],[DISCOUNT 2]]</f>
        <v>0</v>
      </c>
      <c r="O175" s="118"/>
    </row>
    <row r="176" spans="2:15">
      <c r="B176" s="112"/>
      <c r="C176" s="112"/>
      <c r="D176" s="112"/>
      <c r="F176" s="168" t="s">
        <v>6202</v>
      </c>
      <c r="G176" s="232">
        <f>IF(DBparts1[[#This Row],[Type]]&gt;0,VLOOKUP(DBparts1[[#This Row],[Type]],Main[[#All],[TYPE]:[UNIT]],'Unit Price'!C$1,FALSE),0)</f>
        <v>0</v>
      </c>
      <c r="H176" s="194">
        <f>IF(DBparts1[[#This Row],[Type]]&gt;0,VLOOKUP(DBparts1[[#This Row],[Type]],Main[[#All],[TYPE]:[UNIT]],'Unit Price'!D$1,FALSE),0)</f>
        <v>0</v>
      </c>
      <c r="I176" s="194">
        <f>IF(DBparts1[[#This Row],[Type]]&gt;0,VLOOKUP(DBparts1[[#This Row],[Type]],Main[[#All],[TYPE]:[UNIT]],'Unit Price'!G$1,FALSE),0)</f>
        <v>0</v>
      </c>
      <c r="J176" s="194">
        <f>IF(DBparts1[[#This Row],[Type]]&gt;0,VLOOKUP(DBparts1[[#This Row],[Type]],Main[[#All],[TYPE]:[UNIT]],'Unit Price'!H$1,FALSE),0)</f>
        <v>0</v>
      </c>
      <c r="K176" s="194">
        <f>IF(DBparts1[[#This Row],[Type]]&gt;0,VLOOKUP(DBparts1[[#This Row],[Discount seletion]],'Discount Structure'!$A$2:$B$30,2,"false"),0)</f>
        <v>0</v>
      </c>
      <c r="L176" s="194">
        <f>DBparts1[[#This Row],[LIST $]]*DBparts1[[#This Row],[DISCOUNT]]*DBparts1[[#This Row],[DISCOUNT 2]]</f>
        <v>0</v>
      </c>
      <c r="O176" s="118"/>
    </row>
    <row r="177" spans="2:15">
      <c r="B177" s="112"/>
      <c r="C177" s="112"/>
      <c r="D177" s="112"/>
      <c r="F177" s="168" t="s">
        <v>6202</v>
      </c>
      <c r="G177" s="232">
        <f>IF(DBparts1[[#This Row],[Type]]&gt;0,VLOOKUP(DBparts1[[#This Row],[Type]],Main[[#All],[TYPE]:[UNIT]],'Unit Price'!C$1,FALSE),0)</f>
        <v>0</v>
      </c>
      <c r="H177" s="194">
        <f>IF(DBparts1[[#This Row],[Type]]&gt;0,VLOOKUP(DBparts1[[#This Row],[Type]],Main[[#All],[TYPE]:[UNIT]],'Unit Price'!D$1,FALSE),0)</f>
        <v>0</v>
      </c>
      <c r="I177" s="194">
        <f>IF(DBparts1[[#This Row],[Type]]&gt;0,VLOOKUP(DBparts1[[#This Row],[Type]],Main[[#All],[TYPE]:[UNIT]],'Unit Price'!G$1,FALSE),0)</f>
        <v>0</v>
      </c>
      <c r="J177" s="194">
        <f>IF(DBparts1[[#This Row],[Type]]&gt;0,VLOOKUP(DBparts1[[#This Row],[Type]],Main[[#All],[TYPE]:[UNIT]],'Unit Price'!H$1,FALSE),0)</f>
        <v>0</v>
      </c>
      <c r="K177" s="194">
        <f>IF(DBparts1[[#This Row],[Type]]&gt;0,VLOOKUP(DBparts1[[#This Row],[Discount seletion]],'Discount Structure'!$A$2:$B$30,2,"false"),0)</f>
        <v>0</v>
      </c>
      <c r="L177" s="194">
        <f>DBparts1[[#This Row],[LIST $]]*DBparts1[[#This Row],[DISCOUNT]]*DBparts1[[#This Row],[DISCOUNT 2]]</f>
        <v>0</v>
      </c>
      <c r="O177" s="118"/>
    </row>
    <row r="178" spans="2:15">
      <c r="B178" s="112"/>
      <c r="C178" s="112"/>
      <c r="D178" s="112"/>
      <c r="F178" s="168" t="s">
        <v>6202</v>
      </c>
      <c r="G178" s="232">
        <f>IF(DBparts1[[#This Row],[Type]]&gt;0,VLOOKUP(DBparts1[[#This Row],[Type]],Main[[#All],[TYPE]:[UNIT]],'Unit Price'!C$1,FALSE),0)</f>
        <v>0</v>
      </c>
      <c r="H178" s="194">
        <f>IF(DBparts1[[#This Row],[Type]]&gt;0,VLOOKUP(DBparts1[[#This Row],[Type]],Main[[#All],[TYPE]:[UNIT]],'Unit Price'!D$1,FALSE),0)</f>
        <v>0</v>
      </c>
      <c r="I178" s="194">
        <f>IF(DBparts1[[#This Row],[Type]]&gt;0,VLOOKUP(DBparts1[[#This Row],[Type]],Main[[#All],[TYPE]:[UNIT]],'Unit Price'!G$1,FALSE),0)</f>
        <v>0</v>
      </c>
      <c r="J178" s="194">
        <f>IF(DBparts1[[#This Row],[Type]]&gt;0,VLOOKUP(DBparts1[[#This Row],[Type]],Main[[#All],[TYPE]:[UNIT]],'Unit Price'!H$1,FALSE),0)</f>
        <v>0</v>
      </c>
      <c r="K178" s="194">
        <f>IF(DBparts1[[#This Row],[Type]]&gt;0,VLOOKUP(DBparts1[[#This Row],[Discount seletion]],'Discount Structure'!$A$2:$B$30,2,"false"),0)</f>
        <v>0</v>
      </c>
      <c r="L178" s="194">
        <f>DBparts1[[#This Row],[LIST $]]*DBparts1[[#This Row],[DISCOUNT]]*DBparts1[[#This Row],[DISCOUNT 2]]</f>
        <v>0</v>
      </c>
      <c r="O178" s="118"/>
    </row>
    <row r="179" spans="2:15">
      <c r="B179" s="112"/>
      <c r="C179" s="112"/>
      <c r="D179" s="112"/>
      <c r="F179" s="168" t="s">
        <v>6202</v>
      </c>
      <c r="G179" s="232">
        <f>IF(DBparts1[[#This Row],[Type]]&gt;0,VLOOKUP(DBparts1[[#This Row],[Type]],Main[[#All],[TYPE]:[UNIT]],'Unit Price'!C$1,FALSE),0)</f>
        <v>0</v>
      </c>
      <c r="H179" s="194">
        <f>IF(DBparts1[[#This Row],[Type]]&gt;0,VLOOKUP(DBparts1[[#This Row],[Type]],Main[[#All],[TYPE]:[UNIT]],'Unit Price'!D$1,FALSE),0)</f>
        <v>0</v>
      </c>
      <c r="I179" s="194">
        <f>IF(DBparts1[[#This Row],[Type]]&gt;0,VLOOKUP(DBparts1[[#This Row],[Type]],Main[[#All],[TYPE]:[UNIT]],'Unit Price'!G$1,FALSE),0)</f>
        <v>0</v>
      </c>
      <c r="J179" s="194">
        <f>IF(DBparts1[[#This Row],[Type]]&gt;0,VLOOKUP(DBparts1[[#This Row],[Type]],Main[[#All],[TYPE]:[UNIT]],'Unit Price'!H$1,FALSE),0)</f>
        <v>0</v>
      </c>
      <c r="K179" s="194">
        <f>IF(DBparts1[[#This Row],[Type]]&gt;0,VLOOKUP(DBparts1[[#This Row],[Discount seletion]],'Discount Structure'!$A$2:$B$30,2,"false"),0)</f>
        <v>0</v>
      </c>
      <c r="L179" s="194">
        <f>DBparts1[[#This Row],[LIST $]]*DBparts1[[#This Row],[DISCOUNT]]*DBparts1[[#This Row],[DISCOUNT 2]]</f>
        <v>0</v>
      </c>
      <c r="O179" s="118"/>
    </row>
    <row r="180" spans="2:15">
      <c r="B180" s="112"/>
      <c r="C180" s="112"/>
      <c r="D180" s="112"/>
      <c r="F180" s="168" t="s">
        <v>6202</v>
      </c>
      <c r="G180" s="232">
        <f>IF(DBparts1[[#This Row],[Type]]&gt;0,VLOOKUP(DBparts1[[#This Row],[Type]],Main[[#All],[TYPE]:[UNIT]],'Unit Price'!C$1,FALSE),0)</f>
        <v>0</v>
      </c>
      <c r="H180" s="194">
        <f>IF(DBparts1[[#This Row],[Type]]&gt;0,VLOOKUP(DBparts1[[#This Row],[Type]],Main[[#All],[TYPE]:[UNIT]],'Unit Price'!D$1,FALSE),0)</f>
        <v>0</v>
      </c>
      <c r="I180" s="194">
        <f>IF(DBparts1[[#This Row],[Type]]&gt;0,VLOOKUP(DBparts1[[#This Row],[Type]],Main[[#All],[TYPE]:[UNIT]],'Unit Price'!G$1,FALSE),0)</f>
        <v>0</v>
      </c>
      <c r="J180" s="194">
        <f>IF(DBparts1[[#This Row],[Type]]&gt;0,VLOOKUP(DBparts1[[#This Row],[Type]],Main[[#All],[TYPE]:[UNIT]],'Unit Price'!H$1,FALSE),0)</f>
        <v>0</v>
      </c>
      <c r="K180" s="194">
        <f>IF(DBparts1[[#This Row],[Type]]&gt;0,VLOOKUP(DBparts1[[#This Row],[Discount seletion]],'Discount Structure'!$A$2:$B$30,2,"false"),0)</f>
        <v>0</v>
      </c>
      <c r="L180" s="194">
        <f>DBparts1[[#This Row],[LIST $]]*DBparts1[[#This Row],[DISCOUNT]]*DBparts1[[#This Row],[DISCOUNT 2]]</f>
        <v>0</v>
      </c>
      <c r="O180" s="118"/>
    </row>
    <row r="181" spans="2:15">
      <c r="B181" s="112"/>
      <c r="C181" s="112"/>
      <c r="D181" s="112"/>
      <c r="F181" s="168" t="s">
        <v>6202</v>
      </c>
      <c r="G181" s="232">
        <f>IF(DBparts1[[#This Row],[Type]]&gt;0,VLOOKUP(DBparts1[[#This Row],[Type]],Main[[#All],[TYPE]:[UNIT]],'Unit Price'!C$1,FALSE),0)</f>
        <v>0</v>
      </c>
      <c r="H181" s="194">
        <f>IF(DBparts1[[#This Row],[Type]]&gt;0,VLOOKUP(DBparts1[[#This Row],[Type]],Main[[#All],[TYPE]:[UNIT]],'Unit Price'!D$1,FALSE),0)</f>
        <v>0</v>
      </c>
      <c r="I181" s="194">
        <f>IF(DBparts1[[#This Row],[Type]]&gt;0,VLOOKUP(DBparts1[[#This Row],[Type]],Main[[#All],[TYPE]:[UNIT]],'Unit Price'!G$1,FALSE),0)</f>
        <v>0</v>
      </c>
      <c r="J181" s="194">
        <f>IF(DBparts1[[#This Row],[Type]]&gt;0,VLOOKUP(DBparts1[[#This Row],[Type]],Main[[#All],[TYPE]:[UNIT]],'Unit Price'!H$1,FALSE),0)</f>
        <v>0</v>
      </c>
      <c r="K181" s="194">
        <f>IF(DBparts1[[#This Row],[Type]]&gt;0,VLOOKUP(DBparts1[[#This Row],[Discount seletion]],'Discount Structure'!$A$2:$B$30,2,"false"),0)</f>
        <v>0</v>
      </c>
      <c r="L181" s="194">
        <f>DBparts1[[#This Row],[LIST $]]*DBparts1[[#This Row],[DISCOUNT]]*DBparts1[[#This Row],[DISCOUNT 2]]</f>
        <v>0</v>
      </c>
      <c r="O181" s="118"/>
    </row>
    <row r="182" spans="2:15">
      <c r="B182" s="112"/>
      <c r="C182" s="112"/>
      <c r="D182" s="112"/>
      <c r="F182" s="168" t="s">
        <v>6202</v>
      </c>
      <c r="G182" s="232">
        <f>IF(DBparts1[[#This Row],[Type]]&gt;0,VLOOKUP(DBparts1[[#This Row],[Type]],Main[[#All],[TYPE]:[UNIT]],'Unit Price'!C$1,FALSE),0)</f>
        <v>0</v>
      </c>
      <c r="H182" s="194">
        <f>IF(DBparts1[[#This Row],[Type]]&gt;0,VLOOKUP(DBparts1[[#This Row],[Type]],Main[[#All],[TYPE]:[UNIT]],'Unit Price'!D$1,FALSE),0)</f>
        <v>0</v>
      </c>
      <c r="I182" s="194">
        <f>IF(DBparts1[[#This Row],[Type]]&gt;0,VLOOKUP(DBparts1[[#This Row],[Type]],Main[[#All],[TYPE]:[UNIT]],'Unit Price'!G$1,FALSE),0)</f>
        <v>0</v>
      </c>
      <c r="J182" s="194">
        <f>IF(DBparts1[[#This Row],[Type]]&gt;0,VLOOKUP(DBparts1[[#This Row],[Type]],Main[[#All],[TYPE]:[UNIT]],'Unit Price'!H$1,FALSE),0)</f>
        <v>0</v>
      </c>
      <c r="K182" s="194">
        <f>IF(DBparts1[[#This Row],[Type]]&gt;0,VLOOKUP(DBparts1[[#This Row],[Discount seletion]],'Discount Structure'!$A$2:$B$30,2,"false"),0)</f>
        <v>0</v>
      </c>
      <c r="L182" s="194">
        <f>DBparts1[[#This Row],[LIST $]]*DBparts1[[#This Row],[DISCOUNT]]*DBparts1[[#This Row],[DISCOUNT 2]]</f>
        <v>0</v>
      </c>
      <c r="O182" s="118"/>
    </row>
    <row r="183" spans="2:15">
      <c r="B183" s="112"/>
      <c r="C183" s="112"/>
      <c r="D183" s="112"/>
      <c r="F183" s="168" t="s">
        <v>6202</v>
      </c>
      <c r="G183" s="232">
        <f>IF(DBparts1[[#This Row],[Type]]&gt;0,VLOOKUP(DBparts1[[#This Row],[Type]],Main[[#All],[TYPE]:[UNIT]],'Unit Price'!C$1,FALSE),0)</f>
        <v>0</v>
      </c>
      <c r="H183" s="194">
        <f>IF(DBparts1[[#This Row],[Type]]&gt;0,VLOOKUP(DBparts1[[#This Row],[Type]],Main[[#All],[TYPE]:[UNIT]],'Unit Price'!D$1,FALSE),0)</f>
        <v>0</v>
      </c>
      <c r="I183" s="194">
        <f>IF(DBparts1[[#This Row],[Type]]&gt;0,VLOOKUP(DBparts1[[#This Row],[Type]],Main[[#All],[TYPE]:[UNIT]],'Unit Price'!G$1,FALSE),0)</f>
        <v>0</v>
      </c>
      <c r="J183" s="194">
        <f>IF(DBparts1[[#This Row],[Type]]&gt;0,VLOOKUP(DBparts1[[#This Row],[Type]],Main[[#All],[TYPE]:[UNIT]],'Unit Price'!H$1,FALSE),0)</f>
        <v>0</v>
      </c>
      <c r="K183" s="194">
        <f>IF(DBparts1[[#This Row],[Type]]&gt;0,VLOOKUP(DBparts1[[#This Row],[Discount seletion]],'Discount Structure'!$A$2:$B$30,2,"false"),0)</f>
        <v>0</v>
      </c>
      <c r="L183" s="194">
        <f>DBparts1[[#This Row],[LIST $]]*DBparts1[[#This Row],[DISCOUNT]]*DBparts1[[#This Row],[DISCOUNT 2]]</f>
        <v>0</v>
      </c>
      <c r="O183" s="118"/>
    </row>
    <row r="184" spans="2:15">
      <c r="B184" s="112"/>
      <c r="C184" s="112"/>
      <c r="D184" s="112"/>
      <c r="F184" s="168" t="s">
        <v>6202</v>
      </c>
      <c r="G184" s="232">
        <f>IF(DBparts1[[#This Row],[Type]]&gt;0,VLOOKUP(DBparts1[[#This Row],[Type]],Main[[#All],[TYPE]:[UNIT]],'Unit Price'!C$1,FALSE),0)</f>
        <v>0</v>
      </c>
      <c r="H184" s="194">
        <f>IF(DBparts1[[#This Row],[Type]]&gt;0,VLOOKUP(DBparts1[[#This Row],[Type]],Main[[#All],[TYPE]:[UNIT]],'Unit Price'!D$1,FALSE),0)</f>
        <v>0</v>
      </c>
      <c r="I184" s="194">
        <f>IF(DBparts1[[#This Row],[Type]]&gt;0,VLOOKUP(DBparts1[[#This Row],[Type]],Main[[#All],[TYPE]:[UNIT]],'Unit Price'!G$1,FALSE),0)</f>
        <v>0</v>
      </c>
      <c r="J184" s="194">
        <f>IF(DBparts1[[#This Row],[Type]]&gt;0,VLOOKUP(DBparts1[[#This Row],[Type]],Main[[#All],[TYPE]:[UNIT]],'Unit Price'!H$1,FALSE),0)</f>
        <v>0</v>
      </c>
      <c r="K184" s="194">
        <f>IF(DBparts1[[#This Row],[Type]]&gt;0,VLOOKUP(DBparts1[[#This Row],[Discount seletion]],'Discount Structure'!$A$2:$B$30,2,"false"),0)</f>
        <v>0</v>
      </c>
      <c r="L184" s="194">
        <f>DBparts1[[#This Row],[LIST $]]*DBparts1[[#This Row],[DISCOUNT]]*DBparts1[[#This Row],[DISCOUNT 2]]</f>
        <v>0</v>
      </c>
      <c r="O184" s="118"/>
    </row>
    <row r="185" spans="2:15">
      <c r="B185" s="112"/>
      <c r="C185" s="112"/>
      <c r="D185" s="112"/>
      <c r="F185" s="168" t="s">
        <v>6202</v>
      </c>
      <c r="G185" s="232">
        <f>IF(DBparts1[[#This Row],[Type]]&gt;0,VLOOKUP(DBparts1[[#This Row],[Type]],Main[[#All],[TYPE]:[UNIT]],'Unit Price'!C$1,FALSE),0)</f>
        <v>0</v>
      </c>
      <c r="H185" s="194">
        <f>IF(DBparts1[[#This Row],[Type]]&gt;0,VLOOKUP(DBparts1[[#This Row],[Type]],Main[[#All],[TYPE]:[UNIT]],'Unit Price'!D$1,FALSE),0)</f>
        <v>0</v>
      </c>
      <c r="I185" s="194">
        <f>IF(DBparts1[[#This Row],[Type]]&gt;0,VLOOKUP(DBparts1[[#This Row],[Type]],Main[[#All],[TYPE]:[UNIT]],'Unit Price'!G$1,FALSE),0)</f>
        <v>0</v>
      </c>
      <c r="J185" s="194">
        <f>IF(DBparts1[[#This Row],[Type]]&gt;0,VLOOKUP(DBparts1[[#This Row],[Type]],Main[[#All],[TYPE]:[UNIT]],'Unit Price'!H$1,FALSE),0)</f>
        <v>0</v>
      </c>
      <c r="K185" s="194">
        <f>IF(DBparts1[[#This Row],[Type]]&gt;0,VLOOKUP(DBparts1[[#This Row],[Discount seletion]],'Discount Structure'!$A$2:$B$30,2,"false"),0)</f>
        <v>0</v>
      </c>
      <c r="L185" s="194">
        <f>DBparts1[[#This Row],[LIST $]]*DBparts1[[#This Row],[DISCOUNT]]*DBparts1[[#This Row],[DISCOUNT 2]]</f>
        <v>0</v>
      </c>
      <c r="O185" s="118"/>
    </row>
    <row r="186" spans="2:15">
      <c r="B186" s="112"/>
      <c r="C186" s="112"/>
      <c r="D186" s="112"/>
      <c r="F186" s="168" t="s">
        <v>6202</v>
      </c>
      <c r="G186" s="232">
        <f>IF(DBparts1[[#This Row],[Type]]&gt;0,VLOOKUP(DBparts1[[#This Row],[Type]],Main[[#All],[TYPE]:[UNIT]],'Unit Price'!C$1,FALSE),0)</f>
        <v>0</v>
      </c>
      <c r="H186" s="194">
        <f>IF(DBparts1[[#This Row],[Type]]&gt;0,VLOOKUP(DBparts1[[#This Row],[Type]],Main[[#All],[TYPE]:[UNIT]],'Unit Price'!D$1,FALSE),0)</f>
        <v>0</v>
      </c>
      <c r="I186" s="194">
        <f>IF(DBparts1[[#This Row],[Type]]&gt;0,VLOOKUP(DBparts1[[#This Row],[Type]],Main[[#All],[TYPE]:[UNIT]],'Unit Price'!G$1,FALSE),0)</f>
        <v>0</v>
      </c>
      <c r="J186" s="194">
        <f>IF(DBparts1[[#This Row],[Type]]&gt;0,VLOOKUP(DBparts1[[#This Row],[Type]],Main[[#All],[TYPE]:[UNIT]],'Unit Price'!H$1,FALSE),0)</f>
        <v>0</v>
      </c>
      <c r="K186" s="194">
        <f>IF(DBparts1[[#This Row],[Type]]&gt;0,VLOOKUP(DBparts1[[#This Row],[Discount seletion]],'Discount Structure'!$A$2:$B$30,2,"false"),0)</f>
        <v>0</v>
      </c>
      <c r="L186" s="194">
        <f>DBparts1[[#This Row],[LIST $]]*DBparts1[[#This Row],[DISCOUNT]]*DBparts1[[#This Row],[DISCOUNT 2]]</f>
        <v>0</v>
      </c>
      <c r="O186" s="118"/>
    </row>
    <row r="187" spans="2:15">
      <c r="B187" s="112"/>
      <c r="C187" s="112"/>
      <c r="D187" s="112"/>
      <c r="F187" s="168" t="s">
        <v>6202</v>
      </c>
      <c r="G187" s="232">
        <f>IF(DBparts1[[#This Row],[Type]]&gt;0,VLOOKUP(DBparts1[[#This Row],[Type]],Main[[#All],[TYPE]:[UNIT]],'Unit Price'!C$1,FALSE),0)</f>
        <v>0</v>
      </c>
      <c r="H187" s="194">
        <f>IF(DBparts1[[#This Row],[Type]]&gt;0,VLOOKUP(DBparts1[[#This Row],[Type]],Main[[#All],[TYPE]:[UNIT]],'Unit Price'!D$1,FALSE),0)</f>
        <v>0</v>
      </c>
      <c r="I187" s="194">
        <f>IF(DBparts1[[#This Row],[Type]]&gt;0,VLOOKUP(DBparts1[[#This Row],[Type]],Main[[#All],[TYPE]:[UNIT]],'Unit Price'!G$1,FALSE),0)</f>
        <v>0</v>
      </c>
      <c r="J187" s="194">
        <f>IF(DBparts1[[#This Row],[Type]]&gt;0,VLOOKUP(DBparts1[[#This Row],[Type]],Main[[#All],[TYPE]:[UNIT]],'Unit Price'!H$1,FALSE),0)</f>
        <v>0</v>
      </c>
      <c r="K187" s="194">
        <f>IF(DBparts1[[#This Row],[Type]]&gt;0,VLOOKUP(DBparts1[[#This Row],[Discount seletion]],'Discount Structure'!$A$2:$B$30,2,"false"),0)</f>
        <v>0</v>
      </c>
      <c r="L187" s="194">
        <f>DBparts1[[#This Row],[LIST $]]*DBparts1[[#This Row],[DISCOUNT]]*DBparts1[[#This Row],[DISCOUNT 2]]</f>
        <v>0</v>
      </c>
      <c r="O187" s="118"/>
    </row>
    <row r="188" spans="2:15">
      <c r="B188" s="112"/>
      <c r="C188" s="112"/>
      <c r="D188" s="112"/>
      <c r="F188" s="168" t="s">
        <v>6202</v>
      </c>
      <c r="G188" s="232">
        <f>IF(DBparts1[[#This Row],[Type]]&gt;0,VLOOKUP(DBparts1[[#This Row],[Type]],Main[[#All],[TYPE]:[UNIT]],'Unit Price'!C$1,FALSE),0)</f>
        <v>0</v>
      </c>
      <c r="H188" s="194">
        <f>IF(DBparts1[[#This Row],[Type]]&gt;0,VLOOKUP(DBparts1[[#This Row],[Type]],Main[[#All],[TYPE]:[UNIT]],'Unit Price'!D$1,FALSE),0)</f>
        <v>0</v>
      </c>
      <c r="I188" s="194">
        <f>IF(DBparts1[[#This Row],[Type]]&gt;0,VLOOKUP(DBparts1[[#This Row],[Type]],Main[[#All],[TYPE]:[UNIT]],'Unit Price'!G$1,FALSE),0)</f>
        <v>0</v>
      </c>
      <c r="J188" s="194">
        <f>IF(DBparts1[[#This Row],[Type]]&gt;0,VLOOKUP(DBparts1[[#This Row],[Type]],Main[[#All],[TYPE]:[UNIT]],'Unit Price'!H$1,FALSE),0)</f>
        <v>0</v>
      </c>
      <c r="K188" s="194">
        <f>IF(DBparts1[[#This Row],[Type]]&gt;0,VLOOKUP(DBparts1[[#This Row],[Discount seletion]],'Discount Structure'!$A$2:$B$30,2,"false"),0)</f>
        <v>0</v>
      </c>
      <c r="L188" s="194">
        <f>DBparts1[[#This Row],[LIST $]]*DBparts1[[#This Row],[DISCOUNT]]*DBparts1[[#This Row],[DISCOUNT 2]]</f>
        <v>0</v>
      </c>
      <c r="O188" s="118"/>
    </row>
    <row r="189" spans="2:15">
      <c r="B189" s="112"/>
      <c r="C189" s="112"/>
      <c r="D189" s="112"/>
      <c r="F189" s="168" t="s">
        <v>6202</v>
      </c>
      <c r="G189" s="232">
        <f>IF(DBparts1[[#This Row],[Type]]&gt;0,VLOOKUP(DBparts1[[#This Row],[Type]],Main[[#All],[TYPE]:[UNIT]],'Unit Price'!C$1,FALSE),0)</f>
        <v>0</v>
      </c>
      <c r="H189" s="194">
        <f>IF(DBparts1[[#This Row],[Type]]&gt;0,VLOOKUP(DBparts1[[#This Row],[Type]],Main[[#All],[TYPE]:[UNIT]],'Unit Price'!D$1,FALSE),0)</f>
        <v>0</v>
      </c>
      <c r="I189" s="194">
        <f>IF(DBparts1[[#This Row],[Type]]&gt;0,VLOOKUP(DBparts1[[#This Row],[Type]],Main[[#All],[TYPE]:[UNIT]],'Unit Price'!G$1,FALSE),0)</f>
        <v>0</v>
      </c>
      <c r="J189" s="194">
        <f>IF(DBparts1[[#This Row],[Type]]&gt;0,VLOOKUP(DBparts1[[#This Row],[Type]],Main[[#All],[TYPE]:[UNIT]],'Unit Price'!H$1,FALSE),0)</f>
        <v>0</v>
      </c>
      <c r="K189" s="194">
        <f>IF(DBparts1[[#This Row],[Type]]&gt;0,VLOOKUP(DBparts1[[#This Row],[Discount seletion]],'Discount Structure'!$A$2:$B$30,2,"false"),0)</f>
        <v>0</v>
      </c>
      <c r="L189" s="194">
        <f>DBparts1[[#This Row],[LIST $]]*DBparts1[[#This Row],[DISCOUNT]]*DBparts1[[#This Row],[DISCOUNT 2]]</f>
        <v>0</v>
      </c>
      <c r="O189" s="118"/>
    </row>
    <row r="190" spans="2:15">
      <c r="B190" s="112"/>
      <c r="C190" s="112"/>
      <c r="D190" s="112"/>
      <c r="F190" s="168" t="s">
        <v>6202</v>
      </c>
      <c r="G190" s="232">
        <f>IF(DBparts1[[#This Row],[Type]]&gt;0,VLOOKUP(DBparts1[[#This Row],[Type]],Main[[#All],[TYPE]:[UNIT]],'Unit Price'!C$1,FALSE),0)</f>
        <v>0</v>
      </c>
      <c r="H190" s="194">
        <f>IF(DBparts1[[#This Row],[Type]]&gt;0,VLOOKUP(DBparts1[[#This Row],[Type]],Main[[#All],[TYPE]:[UNIT]],'Unit Price'!D$1,FALSE),0)</f>
        <v>0</v>
      </c>
      <c r="I190" s="194">
        <f>IF(DBparts1[[#This Row],[Type]]&gt;0,VLOOKUP(DBparts1[[#This Row],[Type]],Main[[#All],[TYPE]:[UNIT]],'Unit Price'!G$1,FALSE),0)</f>
        <v>0</v>
      </c>
      <c r="J190" s="194">
        <f>IF(DBparts1[[#This Row],[Type]]&gt;0,VLOOKUP(DBparts1[[#This Row],[Type]],Main[[#All],[TYPE]:[UNIT]],'Unit Price'!H$1,FALSE),0)</f>
        <v>0</v>
      </c>
      <c r="K190" s="194">
        <f>IF(DBparts1[[#This Row],[Type]]&gt;0,VLOOKUP(DBparts1[[#This Row],[Discount seletion]],'Discount Structure'!$A$2:$B$30,2,"false"),0)</f>
        <v>0</v>
      </c>
      <c r="L190" s="194">
        <f>DBparts1[[#This Row],[LIST $]]*DBparts1[[#This Row],[DISCOUNT]]*DBparts1[[#This Row],[DISCOUNT 2]]</f>
        <v>0</v>
      </c>
      <c r="O190" s="118"/>
    </row>
    <row r="191" spans="2:15">
      <c r="B191" s="112"/>
      <c r="C191" s="112"/>
      <c r="D191" s="112"/>
      <c r="F191" s="168" t="s">
        <v>6202</v>
      </c>
      <c r="G191" s="232">
        <f>IF(DBparts1[[#This Row],[Type]]&gt;0,VLOOKUP(DBparts1[[#This Row],[Type]],Main[[#All],[TYPE]:[UNIT]],'Unit Price'!C$1,FALSE),0)</f>
        <v>0</v>
      </c>
      <c r="H191" s="194">
        <f>IF(DBparts1[[#This Row],[Type]]&gt;0,VLOOKUP(DBparts1[[#This Row],[Type]],Main[[#All],[TYPE]:[UNIT]],'Unit Price'!D$1,FALSE),0)</f>
        <v>0</v>
      </c>
      <c r="I191" s="194">
        <f>IF(DBparts1[[#This Row],[Type]]&gt;0,VLOOKUP(DBparts1[[#This Row],[Type]],Main[[#All],[TYPE]:[UNIT]],'Unit Price'!G$1,FALSE),0)</f>
        <v>0</v>
      </c>
      <c r="J191" s="194">
        <f>IF(DBparts1[[#This Row],[Type]]&gt;0,VLOOKUP(DBparts1[[#This Row],[Type]],Main[[#All],[TYPE]:[UNIT]],'Unit Price'!H$1,FALSE),0)</f>
        <v>0</v>
      </c>
      <c r="K191" s="194">
        <f>IF(DBparts1[[#This Row],[Type]]&gt;0,VLOOKUP(DBparts1[[#This Row],[Discount seletion]],'Discount Structure'!$A$2:$B$30,2,"false"),0)</f>
        <v>0</v>
      </c>
      <c r="L191" s="194">
        <f>DBparts1[[#This Row],[LIST $]]*DBparts1[[#This Row],[DISCOUNT]]*DBparts1[[#This Row],[DISCOUNT 2]]</f>
        <v>0</v>
      </c>
      <c r="O191" s="118"/>
    </row>
    <row r="192" spans="2:15">
      <c r="B192" s="112"/>
      <c r="C192" s="112"/>
      <c r="D192" s="112"/>
      <c r="F192" s="168" t="s">
        <v>6202</v>
      </c>
      <c r="G192" s="232">
        <f>IF(DBparts1[[#This Row],[Type]]&gt;0,VLOOKUP(DBparts1[[#This Row],[Type]],Main[[#All],[TYPE]:[UNIT]],'Unit Price'!C$1,FALSE),0)</f>
        <v>0</v>
      </c>
      <c r="H192" s="194">
        <f>IF(DBparts1[[#This Row],[Type]]&gt;0,VLOOKUP(DBparts1[[#This Row],[Type]],Main[[#All],[TYPE]:[UNIT]],'Unit Price'!D$1,FALSE),0)</f>
        <v>0</v>
      </c>
      <c r="I192" s="194">
        <f>IF(DBparts1[[#This Row],[Type]]&gt;0,VLOOKUP(DBparts1[[#This Row],[Type]],Main[[#All],[TYPE]:[UNIT]],'Unit Price'!G$1,FALSE),0)</f>
        <v>0</v>
      </c>
      <c r="J192" s="194">
        <f>IF(DBparts1[[#This Row],[Type]]&gt;0,VLOOKUP(DBparts1[[#This Row],[Type]],Main[[#All],[TYPE]:[UNIT]],'Unit Price'!H$1,FALSE),0)</f>
        <v>0</v>
      </c>
      <c r="K192" s="194">
        <f>IF(DBparts1[[#This Row],[Type]]&gt;0,VLOOKUP(DBparts1[[#This Row],[Discount seletion]],'Discount Structure'!$A$2:$B$30,2,"false"),0)</f>
        <v>0</v>
      </c>
      <c r="L192" s="194">
        <f>DBparts1[[#This Row],[LIST $]]*DBparts1[[#This Row],[DISCOUNT]]*DBparts1[[#This Row],[DISCOUNT 2]]</f>
        <v>0</v>
      </c>
      <c r="O192" s="118"/>
    </row>
    <row r="193" spans="2:15">
      <c r="B193" s="112"/>
      <c r="C193" s="112"/>
      <c r="D193" s="112"/>
      <c r="F193" s="168" t="s">
        <v>6202</v>
      </c>
      <c r="G193" s="232">
        <f>IF(DBparts1[[#This Row],[Type]]&gt;0,VLOOKUP(DBparts1[[#This Row],[Type]],Main[[#All],[TYPE]:[UNIT]],'Unit Price'!C$1,FALSE),0)</f>
        <v>0</v>
      </c>
      <c r="H193" s="194">
        <f>IF(DBparts1[[#This Row],[Type]]&gt;0,VLOOKUP(DBparts1[[#This Row],[Type]],Main[[#All],[TYPE]:[UNIT]],'Unit Price'!D$1,FALSE),0)</f>
        <v>0</v>
      </c>
      <c r="I193" s="194">
        <f>IF(DBparts1[[#This Row],[Type]]&gt;0,VLOOKUP(DBparts1[[#This Row],[Type]],Main[[#All],[TYPE]:[UNIT]],'Unit Price'!G$1,FALSE),0)</f>
        <v>0</v>
      </c>
      <c r="J193" s="194">
        <f>IF(DBparts1[[#This Row],[Type]]&gt;0,VLOOKUP(DBparts1[[#This Row],[Type]],Main[[#All],[TYPE]:[UNIT]],'Unit Price'!H$1,FALSE),0)</f>
        <v>0</v>
      </c>
      <c r="K193" s="194">
        <f>IF(DBparts1[[#This Row],[Type]]&gt;0,VLOOKUP(DBparts1[[#This Row],[Discount seletion]],'Discount Structure'!$A$2:$B$30,2,"false"),0)</f>
        <v>0</v>
      </c>
      <c r="L193" s="194">
        <f>DBparts1[[#This Row],[LIST $]]*DBparts1[[#This Row],[DISCOUNT]]*DBparts1[[#This Row],[DISCOUNT 2]]</f>
        <v>0</v>
      </c>
      <c r="O193" s="118"/>
    </row>
    <row r="194" spans="2:15">
      <c r="B194" s="112"/>
      <c r="C194" s="112"/>
      <c r="D194" s="112"/>
      <c r="F194" s="168" t="s">
        <v>6202</v>
      </c>
      <c r="G194" s="232">
        <f>IF(DBparts1[[#This Row],[Type]]&gt;0,VLOOKUP(DBparts1[[#This Row],[Type]],Main[[#All],[TYPE]:[UNIT]],'Unit Price'!C$1,FALSE),0)</f>
        <v>0</v>
      </c>
      <c r="H194" s="194">
        <f>IF(DBparts1[[#This Row],[Type]]&gt;0,VLOOKUP(DBparts1[[#This Row],[Type]],Main[[#All],[TYPE]:[UNIT]],'Unit Price'!D$1,FALSE),0)</f>
        <v>0</v>
      </c>
      <c r="I194" s="194">
        <f>IF(DBparts1[[#This Row],[Type]]&gt;0,VLOOKUP(DBparts1[[#This Row],[Type]],Main[[#All],[TYPE]:[UNIT]],'Unit Price'!G$1,FALSE),0)</f>
        <v>0</v>
      </c>
      <c r="J194" s="194">
        <f>IF(DBparts1[[#This Row],[Type]]&gt;0,VLOOKUP(DBparts1[[#This Row],[Type]],Main[[#All],[TYPE]:[UNIT]],'Unit Price'!H$1,FALSE),0)</f>
        <v>0</v>
      </c>
      <c r="K194" s="194">
        <f>IF(DBparts1[[#This Row],[Type]]&gt;0,VLOOKUP(DBparts1[[#This Row],[Discount seletion]],'Discount Structure'!$A$2:$B$30,2,"false"),0)</f>
        <v>0</v>
      </c>
      <c r="L194" s="194">
        <f>DBparts1[[#This Row],[LIST $]]*DBparts1[[#This Row],[DISCOUNT]]*DBparts1[[#This Row],[DISCOUNT 2]]</f>
        <v>0</v>
      </c>
      <c r="O194" s="118"/>
    </row>
    <row r="195" spans="2:15">
      <c r="B195" s="112"/>
      <c r="C195" s="112"/>
      <c r="D195" s="112"/>
      <c r="F195" s="168" t="s">
        <v>6202</v>
      </c>
      <c r="G195" s="232">
        <f>IF(DBparts1[[#This Row],[Type]]&gt;0,VLOOKUP(DBparts1[[#This Row],[Type]],Main[[#All],[TYPE]:[UNIT]],'Unit Price'!C$1,FALSE),0)</f>
        <v>0</v>
      </c>
      <c r="H195" s="194">
        <f>IF(DBparts1[[#This Row],[Type]]&gt;0,VLOOKUP(DBparts1[[#This Row],[Type]],Main[[#All],[TYPE]:[UNIT]],'Unit Price'!D$1,FALSE),0)</f>
        <v>0</v>
      </c>
      <c r="I195" s="194">
        <f>IF(DBparts1[[#This Row],[Type]]&gt;0,VLOOKUP(DBparts1[[#This Row],[Type]],Main[[#All],[TYPE]:[UNIT]],'Unit Price'!G$1,FALSE),0)</f>
        <v>0</v>
      </c>
      <c r="J195" s="194">
        <f>IF(DBparts1[[#This Row],[Type]]&gt;0,VLOOKUP(DBparts1[[#This Row],[Type]],Main[[#All],[TYPE]:[UNIT]],'Unit Price'!H$1,FALSE),0)</f>
        <v>0</v>
      </c>
      <c r="K195" s="194">
        <f>IF(DBparts1[[#This Row],[Type]]&gt;0,VLOOKUP(DBparts1[[#This Row],[Discount seletion]],'Discount Structure'!$A$2:$B$30,2,"false"),0)</f>
        <v>0</v>
      </c>
      <c r="L195" s="194">
        <f>DBparts1[[#This Row],[LIST $]]*DBparts1[[#This Row],[DISCOUNT]]*DBparts1[[#This Row],[DISCOUNT 2]]</f>
        <v>0</v>
      </c>
      <c r="O195" s="118"/>
    </row>
    <row r="196" spans="2:15">
      <c r="B196" s="112"/>
      <c r="C196" s="112"/>
      <c r="D196" s="112"/>
      <c r="F196" s="168" t="s">
        <v>6202</v>
      </c>
      <c r="G196" s="232">
        <f>IF(DBparts1[[#This Row],[Type]]&gt;0,VLOOKUP(DBparts1[[#This Row],[Type]],Main[[#All],[TYPE]:[UNIT]],'Unit Price'!C$1,FALSE),0)</f>
        <v>0</v>
      </c>
      <c r="H196" s="194">
        <f>IF(DBparts1[[#This Row],[Type]]&gt;0,VLOOKUP(DBparts1[[#This Row],[Type]],Main[[#All],[TYPE]:[UNIT]],'Unit Price'!D$1,FALSE),0)</f>
        <v>0</v>
      </c>
      <c r="I196" s="194">
        <f>IF(DBparts1[[#This Row],[Type]]&gt;0,VLOOKUP(DBparts1[[#This Row],[Type]],Main[[#All],[TYPE]:[UNIT]],'Unit Price'!G$1,FALSE),0)</f>
        <v>0</v>
      </c>
      <c r="J196" s="194">
        <f>IF(DBparts1[[#This Row],[Type]]&gt;0,VLOOKUP(DBparts1[[#This Row],[Type]],Main[[#All],[TYPE]:[UNIT]],'Unit Price'!H$1,FALSE),0)</f>
        <v>0</v>
      </c>
      <c r="K196" s="194">
        <f>IF(DBparts1[[#This Row],[Type]]&gt;0,VLOOKUP(DBparts1[[#This Row],[Discount seletion]],'Discount Structure'!$A$2:$B$30,2,"false"),0)</f>
        <v>0</v>
      </c>
      <c r="L196" s="194">
        <f>DBparts1[[#This Row],[LIST $]]*DBparts1[[#This Row],[DISCOUNT]]*DBparts1[[#This Row],[DISCOUNT 2]]</f>
        <v>0</v>
      </c>
      <c r="O196" s="118"/>
    </row>
    <row r="197" spans="2:15">
      <c r="B197" s="112"/>
      <c r="C197" s="112"/>
      <c r="D197" s="112"/>
      <c r="F197" s="168" t="s">
        <v>6202</v>
      </c>
      <c r="G197" s="232">
        <f>IF(DBparts1[[#This Row],[Type]]&gt;0,VLOOKUP(DBparts1[[#This Row],[Type]],Main[[#All],[TYPE]:[UNIT]],'Unit Price'!C$1,FALSE),0)</f>
        <v>0</v>
      </c>
      <c r="H197" s="194">
        <f>IF(DBparts1[[#This Row],[Type]]&gt;0,VLOOKUP(DBparts1[[#This Row],[Type]],Main[[#All],[TYPE]:[UNIT]],'Unit Price'!D$1,FALSE),0)</f>
        <v>0</v>
      </c>
      <c r="I197" s="194">
        <f>IF(DBparts1[[#This Row],[Type]]&gt;0,VLOOKUP(DBparts1[[#This Row],[Type]],Main[[#All],[TYPE]:[UNIT]],'Unit Price'!G$1,FALSE),0)</f>
        <v>0</v>
      </c>
      <c r="J197" s="194">
        <f>IF(DBparts1[[#This Row],[Type]]&gt;0,VLOOKUP(DBparts1[[#This Row],[Type]],Main[[#All],[TYPE]:[UNIT]],'Unit Price'!H$1,FALSE),0)</f>
        <v>0</v>
      </c>
      <c r="K197" s="194">
        <f>IF(DBparts1[[#This Row],[Type]]&gt;0,VLOOKUP(DBparts1[[#This Row],[Discount seletion]],'Discount Structure'!$A$2:$B$30,2,"false"),0)</f>
        <v>0</v>
      </c>
      <c r="L197" s="194">
        <f>DBparts1[[#This Row],[LIST $]]*DBparts1[[#This Row],[DISCOUNT]]*DBparts1[[#This Row],[DISCOUNT 2]]</f>
        <v>0</v>
      </c>
      <c r="O197" s="118"/>
    </row>
    <row r="198" spans="2:15">
      <c r="B198" s="112"/>
      <c r="C198" s="112"/>
      <c r="D198" s="112"/>
      <c r="F198" s="168" t="s">
        <v>6202</v>
      </c>
      <c r="G198" s="232">
        <f>IF(DBparts1[[#This Row],[Type]]&gt;0,VLOOKUP(DBparts1[[#This Row],[Type]],Main[[#All],[TYPE]:[UNIT]],'Unit Price'!C$1,FALSE),0)</f>
        <v>0</v>
      </c>
      <c r="H198" s="194">
        <f>IF(DBparts1[[#This Row],[Type]]&gt;0,VLOOKUP(DBparts1[[#This Row],[Type]],Main[[#All],[TYPE]:[UNIT]],'Unit Price'!D$1,FALSE),0)</f>
        <v>0</v>
      </c>
      <c r="I198" s="194">
        <f>IF(DBparts1[[#This Row],[Type]]&gt;0,VLOOKUP(DBparts1[[#This Row],[Type]],Main[[#All],[TYPE]:[UNIT]],'Unit Price'!G$1,FALSE),0)</f>
        <v>0</v>
      </c>
      <c r="J198" s="194">
        <f>IF(DBparts1[[#This Row],[Type]]&gt;0,VLOOKUP(DBparts1[[#This Row],[Type]],Main[[#All],[TYPE]:[UNIT]],'Unit Price'!H$1,FALSE),0)</f>
        <v>0</v>
      </c>
      <c r="K198" s="194">
        <f>IF(DBparts1[[#This Row],[Type]]&gt;0,VLOOKUP(DBparts1[[#This Row],[Discount seletion]],'Discount Structure'!$A$2:$B$30,2,"false"),0)</f>
        <v>0</v>
      </c>
      <c r="L198" s="194">
        <f>DBparts1[[#This Row],[LIST $]]*DBparts1[[#This Row],[DISCOUNT]]*DBparts1[[#This Row],[DISCOUNT 2]]</f>
        <v>0</v>
      </c>
      <c r="O198" s="118"/>
    </row>
    <row r="199" spans="2:15">
      <c r="B199" s="112"/>
      <c r="C199" s="112"/>
      <c r="D199" s="112"/>
      <c r="F199" s="168" t="s">
        <v>6202</v>
      </c>
      <c r="G199" s="232">
        <f>IF(DBparts1[[#This Row],[Type]]&gt;0,VLOOKUP(DBparts1[[#This Row],[Type]],Main[[#All],[TYPE]:[UNIT]],'Unit Price'!C$1,FALSE),0)</f>
        <v>0</v>
      </c>
      <c r="H199" s="194">
        <f>IF(DBparts1[[#This Row],[Type]]&gt;0,VLOOKUP(DBparts1[[#This Row],[Type]],Main[[#All],[TYPE]:[UNIT]],'Unit Price'!D$1,FALSE),0)</f>
        <v>0</v>
      </c>
      <c r="I199" s="194">
        <f>IF(DBparts1[[#This Row],[Type]]&gt;0,VLOOKUP(DBparts1[[#This Row],[Type]],Main[[#All],[TYPE]:[UNIT]],'Unit Price'!G$1,FALSE),0)</f>
        <v>0</v>
      </c>
      <c r="J199" s="194">
        <f>IF(DBparts1[[#This Row],[Type]]&gt;0,VLOOKUP(DBparts1[[#This Row],[Type]],Main[[#All],[TYPE]:[UNIT]],'Unit Price'!H$1,FALSE),0)</f>
        <v>0</v>
      </c>
      <c r="K199" s="194">
        <f>IF(DBparts1[[#This Row],[Type]]&gt;0,VLOOKUP(DBparts1[[#This Row],[Discount seletion]],'Discount Structure'!$A$2:$B$30,2,"false"),0)</f>
        <v>0</v>
      </c>
      <c r="L199" s="194">
        <f>DBparts1[[#This Row],[LIST $]]*DBparts1[[#This Row],[DISCOUNT]]*DBparts1[[#This Row],[DISCOUNT 2]]</f>
        <v>0</v>
      </c>
      <c r="O199" s="118"/>
    </row>
    <row r="200" spans="2:15">
      <c r="B200" s="112"/>
      <c r="C200" s="112"/>
      <c r="D200" s="112"/>
      <c r="F200" s="168" t="s">
        <v>6202</v>
      </c>
      <c r="G200" s="232">
        <f>IF(DBparts1[[#This Row],[Type]]&gt;0,VLOOKUP(DBparts1[[#This Row],[Type]],Main[[#All],[TYPE]:[UNIT]],'Unit Price'!C$1,FALSE),0)</f>
        <v>0</v>
      </c>
      <c r="H200" s="194">
        <f>IF(DBparts1[[#This Row],[Type]]&gt;0,VLOOKUP(DBparts1[[#This Row],[Type]],Main[[#All],[TYPE]:[UNIT]],'Unit Price'!D$1,FALSE),0)</f>
        <v>0</v>
      </c>
      <c r="I200" s="194">
        <f>IF(DBparts1[[#This Row],[Type]]&gt;0,VLOOKUP(DBparts1[[#This Row],[Type]],Main[[#All],[TYPE]:[UNIT]],'Unit Price'!G$1,FALSE),0)</f>
        <v>0</v>
      </c>
      <c r="J200" s="194">
        <f>IF(DBparts1[[#This Row],[Type]]&gt;0,VLOOKUP(DBparts1[[#This Row],[Type]],Main[[#All],[TYPE]:[UNIT]],'Unit Price'!H$1,FALSE),0)</f>
        <v>0</v>
      </c>
      <c r="K200" s="194">
        <f>IF(DBparts1[[#This Row],[Type]]&gt;0,VLOOKUP(DBparts1[[#This Row],[Discount seletion]],'Discount Structure'!$A$2:$B$30,2,"false"),0)</f>
        <v>0</v>
      </c>
      <c r="L200" s="194">
        <f>DBparts1[[#This Row],[LIST $]]*DBparts1[[#This Row],[DISCOUNT]]*DBparts1[[#This Row],[DISCOUNT 2]]</f>
        <v>0</v>
      </c>
      <c r="O200" s="118"/>
    </row>
    <row r="201" spans="2:15">
      <c r="B201" s="112"/>
      <c r="C201" s="112"/>
      <c r="D201" s="112"/>
      <c r="F201" s="168" t="s">
        <v>6202</v>
      </c>
      <c r="G201" s="232">
        <f>IF(DBparts1[[#This Row],[Type]]&gt;0,VLOOKUP(DBparts1[[#This Row],[Type]],Main[[#All],[TYPE]:[UNIT]],'Unit Price'!C$1,FALSE),0)</f>
        <v>0</v>
      </c>
      <c r="H201" s="194">
        <f>IF(DBparts1[[#This Row],[Type]]&gt;0,VLOOKUP(DBparts1[[#This Row],[Type]],Main[[#All],[TYPE]:[UNIT]],'Unit Price'!D$1,FALSE),0)</f>
        <v>0</v>
      </c>
      <c r="I201" s="194">
        <f>IF(DBparts1[[#This Row],[Type]]&gt;0,VLOOKUP(DBparts1[[#This Row],[Type]],Main[[#All],[TYPE]:[UNIT]],'Unit Price'!G$1,FALSE),0)</f>
        <v>0</v>
      </c>
      <c r="J201" s="194">
        <f>IF(DBparts1[[#This Row],[Type]]&gt;0,VLOOKUP(DBparts1[[#This Row],[Type]],Main[[#All],[TYPE]:[UNIT]],'Unit Price'!H$1,FALSE),0)</f>
        <v>0</v>
      </c>
      <c r="K201" s="194">
        <f>IF(DBparts1[[#This Row],[Type]]&gt;0,VLOOKUP(DBparts1[[#This Row],[Discount seletion]],'Discount Structure'!$A$2:$B$30,2,"false"),0)</f>
        <v>0</v>
      </c>
      <c r="L201" s="194">
        <f>DBparts1[[#This Row],[LIST $]]*DBparts1[[#This Row],[DISCOUNT]]*DBparts1[[#This Row],[DISCOUNT 2]]</f>
        <v>0</v>
      </c>
      <c r="O201" s="118"/>
    </row>
    <row r="202" spans="2:15">
      <c r="B202" s="112"/>
      <c r="C202" s="112"/>
      <c r="D202" s="112"/>
      <c r="F202" s="168" t="s">
        <v>6202</v>
      </c>
      <c r="G202" s="232">
        <f>IF(DBparts1[[#This Row],[Type]]&gt;0,VLOOKUP(DBparts1[[#This Row],[Type]],Main[[#All],[TYPE]:[UNIT]],'Unit Price'!C$1,FALSE),0)</f>
        <v>0</v>
      </c>
      <c r="H202" s="194">
        <f>IF(DBparts1[[#This Row],[Type]]&gt;0,VLOOKUP(DBparts1[[#This Row],[Type]],Main[[#All],[TYPE]:[UNIT]],'Unit Price'!D$1,FALSE),0)</f>
        <v>0</v>
      </c>
      <c r="I202" s="194">
        <f>IF(DBparts1[[#This Row],[Type]]&gt;0,VLOOKUP(DBparts1[[#This Row],[Type]],Main[[#All],[TYPE]:[UNIT]],'Unit Price'!G$1,FALSE),0)</f>
        <v>0</v>
      </c>
      <c r="J202" s="194">
        <f>IF(DBparts1[[#This Row],[Type]]&gt;0,VLOOKUP(DBparts1[[#This Row],[Type]],Main[[#All],[TYPE]:[UNIT]],'Unit Price'!H$1,FALSE),0)</f>
        <v>0</v>
      </c>
      <c r="K202" s="194">
        <f>IF(DBparts1[[#This Row],[Type]]&gt;0,VLOOKUP(DBparts1[[#This Row],[Discount seletion]],'Discount Structure'!$A$2:$B$30,2,"false"),0)</f>
        <v>0</v>
      </c>
      <c r="L202" s="194">
        <f>DBparts1[[#This Row],[LIST $]]*DBparts1[[#This Row],[DISCOUNT]]*DBparts1[[#This Row],[DISCOUNT 2]]</f>
        <v>0</v>
      </c>
      <c r="O202" s="118"/>
    </row>
    <row r="203" spans="2:15">
      <c r="B203" s="112"/>
      <c r="C203" s="112"/>
      <c r="D203" s="112"/>
      <c r="F203" s="168" t="s">
        <v>6202</v>
      </c>
      <c r="G203" s="232">
        <f>IF(DBparts1[[#This Row],[Type]]&gt;0,VLOOKUP(DBparts1[[#This Row],[Type]],Main[[#All],[TYPE]:[UNIT]],'Unit Price'!C$1,FALSE),0)</f>
        <v>0</v>
      </c>
      <c r="H203" s="194">
        <f>IF(DBparts1[[#This Row],[Type]]&gt;0,VLOOKUP(DBparts1[[#This Row],[Type]],Main[[#All],[TYPE]:[UNIT]],'Unit Price'!D$1,FALSE),0)</f>
        <v>0</v>
      </c>
      <c r="I203" s="194">
        <f>IF(DBparts1[[#This Row],[Type]]&gt;0,VLOOKUP(DBparts1[[#This Row],[Type]],Main[[#All],[TYPE]:[UNIT]],'Unit Price'!G$1,FALSE),0)</f>
        <v>0</v>
      </c>
      <c r="J203" s="194">
        <f>IF(DBparts1[[#This Row],[Type]]&gt;0,VLOOKUP(DBparts1[[#This Row],[Type]],Main[[#All],[TYPE]:[UNIT]],'Unit Price'!H$1,FALSE),0)</f>
        <v>0</v>
      </c>
      <c r="K203" s="194">
        <f>IF(DBparts1[[#This Row],[Type]]&gt;0,VLOOKUP(DBparts1[[#This Row],[Discount seletion]],'Discount Structure'!$A$2:$B$30,2,"false"),0)</f>
        <v>0</v>
      </c>
      <c r="L203" s="194">
        <f>DBparts1[[#This Row],[LIST $]]*DBparts1[[#This Row],[DISCOUNT]]*DBparts1[[#This Row],[DISCOUNT 2]]</f>
        <v>0</v>
      </c>
      <c r="O203" s="118"/>
    </row>
    <row r="204" spans="2:15">
      <c r="B204" s="112"/>
      <c r="C204" s="112"/>
      <c r="D204" s="112"/>
      <c r="F204" s="168" t="s">
        <v>6202</v>
      </c>
      <c r="G204" s="232">
        <f>IF(DBparts1[[#This Row],[Type]]&gt;0,VLOOKUP(DBparts1[[#This Row],[Type]],Main[[#All],[TYPE]:[UNIT]],'Unit Price'!C$1,FALSE),0)</f>
        <v>0</v>
      </c>
      <c r="H204" s="194">
        <f>IF(DBparts1[[#This Row],[Type]]&gt;0,VLOOKUP(DBparts1[[#This Row],[Type]],Main[[#All],[TYPE]:[UNIT]],'Unit Price'!D$1,FALSE),0)</f>
        <v>0</v>
      </c>
      <c r="I204" s="194">
        <f>IF(DBparts1[[#This Row],[Type]]&gt;0,VLOOKUP(DBparts1[[#This Row],[Type]],Main[[#All],[TYPE]:[UNIT]],'Unit Price'!G$1,FALSE),0)</f>
        <v>0</v>
      </c>
      <c r="J204" s="194">
        <f>IF(DBparts1[[#This Row],[Type]]&gt;0,VLOOKUP(DBparts1[[#This Row],[Type]],Main[[#All],[TYPE]:[UNIT]],'Unit Price'!H$1,FALSE),0)</f>
        <v>0</v>
      </c>
      <c r="K204" s="194">
        <f>IF(DBparts1[[#This Row],[Type]]&gt;0,VLOOKUP(DBparts1[[#This Row],[Discount seletion]],'Discount Structure'!$A$2:$B$30,2,"false"),0)</f>
        <v>0</v>
      </c>
      <c r="L204" s="194">
        <f>DBparts1[[#This Row],[LIST $]]*DBparts1[[#This Row],[DISCOUNT]]*DBparts1[[#This Row],[DISCOUNT 2]]</f>
        <v>0</v>
      </c>
      <c r="O204" s="118"/>
    </row>
    <row r="205" spans="2:15">
      <c r="B205" s="112"/>
      <c r="C205" s="112"/>
      <c r="D205" s="112"/>
      <c r="F205" s="168" t="s">
        <v>6202</v>
      </c>
      <c r="G205" s="232">
        <f>IF(DBparts1[[#This Row],[Type]]&gt;0,VLOOKUP(DBparts1[[#This Row],[Type]],Main[[#All],[TYPE]:[UNIT]],'Unit Price'!C$1,FALSE),0)</f>
        <v>0</v>
      </c>
      <c r="H205" s="194">
        <f>IF(DBparts1[[#This Row],[Type]]&gt;0,VLOOKUP(DBparts1[[#This Row],[Type]],Main[[#All],[TYPE]:[UNIT]],'Unit Price'!D$1,FALSE),0)</f>
        <v>0</v>
      </c>
      <c r="I205" s="194">
        <f>IF(DBparts1[[#This Row],[Type]]&gt;0,VLOOKUP(DBparts1[[#This Row],[Type]],Main[[#All],[TYPE]:[UNIT]],'Unit Price'!G$1,FALSE),0)</f>
        <v>0</v>
      </c>
      <c r="J205" s="194">
        <f>IF(DBparts1[[#This Row],[Type]]&gt;0,VLOOKUP(DBparts1[[#This Row],[Type]],Main[[#All],[TYPE]:[UNIT]],'Unit Price'!H$1,FALSE),0)</f>
        <v>0</v>
      </c>
      <c r="K205" s="194">
        <f>IF(DBparts1[[#This Row],[Type]]&gt;0,VLOOKUP(DBparts1[[#This Row],[Discount seletion]],'Discount Structure'!$A$2:$B$30,2,"false"),0)</f>
        <v>0</v>
      </c>
      <c r="L205" s="194">
        <f>DBparts1[[#This Row],[LIST $]]*DBparts1[[#This Row],[DISCOUNT]]*DBparts1[[#This Row],[DISCOUNT 2]]</f>
        <v>0</v>
      </c>
      <c r="O205" s="118"/>
    </row>
    <row r="206" spans="2:15">
      <c r="B206" s="112"/>
      <c r="C206" s="112"/>
      <c r="D206" s="112"/>
      <c r="F206" s="168" t="s">
        <v>6202</v>
      </c>
      <c r="G206" s="232">
        <f>IF(DBparts1[[#This Row],[Type]]&gt;0,VLOOKUP(DBparts1[[#This Row],[Type]],Main[[#All],[TYPE]:[UNIT]],'Unit Price'!C$1,FALSE),0)</f>
        <v>0</v>
      </c>
      <c r="H206" s="194">
        <f>IF(DBparts1[[#This Row],[Type]]&gt;0,VLOOKUP(DBparts1[[#This Row],[Type]],Main[[#All],[TYPE]:[UNIT]],'Unit Price'!D$1,FALSE),0)</f>
        <v>0</v>
      </c>
      <c r="I206" s="194">
        <f>IF(DBparts1[[#This Row],[Type]]&gt;0,VLOOKUP(DBparts1[[#This Row],[Type]],Main[[#All],[TYPE]:[UNIT]],'Unit Price'!G$1,FALSE),0)</f>
        <v>0</v>
      </c>
      <c r="J206" s="194">
        <f>IF(DBparts1[[#This Row],[Type]]&gt;0,VLOOKUP(DBparts1[[#This Row],[Type]],Main[[#All],[TYPE]:[UNIT]],'Unit Price'!H$1,FALSE),0)</f>
        <v>0</v>
      </c>
      <c r="K206" s="194">
        <f>IF(DBparts1[[#This Row],[Type]]&gt;0,VLOOKUP(DBparts1[[#This Row],[Discount seletion]],'Discount Structure'!$A$2:$B$30,2,"false"),0)</f>
        <v>0</v>
      </c>
      <c r="L206" s="194">
        <f>DBparts1[[#This Row],[LIST $]]*DBparts1[[#This Row],[DISCOUNT]]*DBparts1[[#This Row],[DISCOUNT 2]]</f>
        <v>0</v>
      </c>
      <c r="O206" s="118"/>
    </row>
    <row r="207" spans="2:15">
      <c r="B207" s="112"/>
      <c r="C207" s="112"/>
      <c r="D207" s="112"/>
      <c r="F207" s="168" t="s">
        <v>6202</v>
      </c>
      <c r="G207" s="232">
        <f>IF(DBparts1[[#This Row],[Type]]&gt;0,VLOOKUP(DBparts1[[#This Row],[Type]],Main[[#All],[TYPE]:[UNIT]],'Unit Price'!C$1,FALSE),0)</f>
        <v>0</v>
      </c>
      <c r="H207" s="194">
        <f>IF(DBparts1[[#This Row],[Type]]&gt;0,VLOOKUP(DBparts1[[#This Row],[Type]],Main[[#All],[TYPE]:[UNIT]],'Unit Price'!D$1,FALSE),0)</f>
        <v>0</v>
      </c>
      <c r="I207" s="194">
        <f>IF(DBparts1[[#This Row],[Type]]&gt;0,VLOOKUP(DBparts1[[#This Row],[Type]],Main[[#All],[TYPE]:[UNIT]],'Unit Price'!G$1,FALSE),0)</f>
        <v>0</v>
      </c>
      <c r="J207" s="194">
        <f>IF(DBparts1[[#This Row],[Type]]&gt;0,VLOOKUP(DBparts1[[#This Row],[Type]],Main[[#All],[TYPE]:[UNIT]],'Unit Price'!H$1,FALSE),0)</f>
        <v>0</v>
      </c>
      <c r="K207" s="194">
        <f>IF(DBparts1[[#This Row],[Type]]&gt;0,VLOOKUP(DBparts1[[#This Row],[Discount seletion]],'Discount Structure'!$A$2:$B$30,2,"false"),0)</f>
        <v>0</v>
      </c>
      <c r="L207" s="194">
        <f>DBparts1[[#This Row],[LIST $]]*DBparts1[[#This Row],[DISCOUNT]]*DBparts1[[#This Row],[DISCOUNT 2]]</f>
        <v>0</v>
      </c>
      <c r="O207" s="118"/>
    </row>
    <row r="208" spans="2:15">
      <c r="B208" s="112"/>
      <c r="C208" s="112"/>
      <c r="D208" s="112"/>
      <c r="F208" s="168" t="s">
        <v>6202</v>
      </c>
      <c r="G208" s="232">
        <f>IF(DBparts1[[#This Row],[Type]]&gt;0,VLOOKUP(DBparts1[[#This Row],[Type]],Main[[#All],[TYPE]:[UNIT]],'Unit Price'!C$1,FALSE),0)</f>
        <v>0</v>
      </c>
      <c r="H208" s="194">
        <f>IF(DBparts1[[#This Row],[Type]]&gt;0,VLOOKUP(DBparts1[[#This Row],[Type]],Main[[#All],[TYPE]:[UNIT]],'Unit Price'!D$1,FALSE),0)</f>
        <v>0</v>
      </c>
      <c r="I208" s="194">
        <f>IF(DBparts1[[#This Row],[Type]]&gt;0,VLOOKUP(DBparts1[[#This Row],[Type]],Main[[#All],[TYPE]:[UNIT]],'Unit Price'!G$1,FALSE),0)</f>
        <v>0</v>
      </c>
      <c r="J208" s="194">
        <f>IF(DBparts1[[#This Row],[Type]]&gt;0,VLOOKUP(DBparts1[[#This Row],[Type]],Main[[#All],[TYPE]:[UNIT]],'Unit Price'!H$1,FALSE),0)</f>
        <v>0</v>
      </c>
      <c r="K208" s="194">
        <f>IF(DBparts1[[#This Row],[Type]]&gt;0,VLOOKUP(DBparts1[[#This Row],[Discount seletion]],'Discount Structure'!$A$2:$B$30,2,"false"),0)</f>
        <v>0</v>
      </c>
      <c r="L208" s="194">
        <f>DBparts1[[#This Row],[LIST $]]*DBparts1[[#This Row],[DISCOUNT]]*DBparts1[[#This Row],[DISCOUNT 2]]</f>
        <v>0</v>
      </c>
      <c r="O208" s="118"/>
    </row>
    <row r="209" spans="2:15">
      <c r="B209" s="112"/>
      <c r="C209" s="112"/>
      <c r="D209" s="112"/>
      <c r="F209" s="168" t="s">
        <v>6202</v>
      </c>
      <c r="G209" s="232">
        <f>IF(DBparts1[[#This Row],[Type]]&gt;0,VLOOKUP(DBparts1[[#This Row],[Type]],Main[[#All],[TYPE]:[UNIT]],'Unit Price'!C$1,FALSE),0)</f>
        <v>0</v>
      </c>
      <c r="H209" s="194">
        <f>IF(DBparts1[[#This Row],[Type]]&gt;0,VLOOKUP(DBparts1[[#This Row],[Type]],Main[[#All],[TYPE]:[UNIT]],'Unit Price'!D$1,FALSE),0)</f>
        <v>0</v>
      </c>
      <c r="I209" s="194">
        <f>IF(DBparts1[[#This Row],[Type]]&gt;0,VLOOKUP(DBparts1[[#This Row],[Type]],Main[[#All],[TYPE]:[UNIT]],'Unit Price'!G$1,FALSE),0)</f>
        <v>0</v>
      </c>
      <c r="J209" s="194">
        <f>IF(DBparts1[[#This Row],[Type]]&gt;0,VLOOKUP(DBparts1[[#This Row],[Type]],Main[[#All],[TYPE]:[UNIT]],'Unit Price'!H$1,FALSE),0)</f>
        <v>0</v>
      </c>
      <c r="K209" s="194">
        <f>IF(DBparts1[[#This Row],[Type]]&gt;0,VLOOKUP(DBparts1[[#This Row],[Discount seletion]],'Discount Structure'!$A$2:$B$30,2,"false"),0)</f>
        <v>0</v>
      </c>
      <c r="L209" s="194">
        <f>DBparts1[[#This Row],[LIST $]]*DBparts1[[#This Row],[DISCOUNT]]*DBparts1[[#This Row],[DISCOUNT 2]]</f>
        <v>0</v>
      </c>
      <c r="O209" s="118"/>
    </row>
    <row r="210" spans="2:15">
      <c r="B210" s="112"/>
      <c r="C210" s="112"/>
      <c r="D210" s="112"/>
      <c r="F210" s="168" t="s">
        <v>6202</v>
      </c>
      <c r="G210" s="232">
        <f>IF(DBparts1[[#This Row],[Type]]&gt;0,VLOOKUP(DBparts1[[#This Row],[Type]],Main[[#All],[TYPE]:[UNIT]],'Unit Price'!C$1,FALSE),0)</f>
        <v>0</v>
      </c>
      <c r="H210" s="194">
        <f>IF(DBparts1[[#This Row],[Type]]&gt;0,VLOOKUP(DBparts1[[#This Row],[Type]],Main[[#All],[TYPE]:[UNIT]],'Unit Price'!D$1,FALSE),0)</f>
        <v>0</v>
      </c>
      <c r="I210" s="194">
        <f>IF(DBparts1[[#This Row],[Type]]&gt;0,VLOOKUP(DBparts1[[#This Row],[Type]],Main[[#All],[TYPE]:[UNIT]],'Unit Price'!G$1,FALSE),0)</f>
        <v>0</v>
      </c>
      <c r="J210" s="194">
        <f>IF(DBparts1[[#This Row],[Type]]&gt;0,VLOOKUP(DBparts1[[#This Row],[Type]],Main[[#All],[TYPE]:[UNIT]],'Unit Price'!H$1,FALSE),0)</f>
        <v>0</v>
      </c>
      <c r="K210" s="194">
        <f>IF(DBparts1[[#This Row],[Type]]&gt;0,VLOOKUP(DBparts1[[#This Row],[Discount seletion]],'Discount Structure'!$A$2:$B$30,2,"false"),0)</f>
        <v>0</v>
      </c>
      <c r="L210" s="194">
        <f>DBparts1[[#This Row],[LIST $]]*DBparts1[[#This Row],[DISCOUNT]]*DBparts1[[#This Row],[DISCOUNT 2]]</f>
        <v>0</v>
      </c>
      <c r="O210" s="118"/>
    </row>
    <row r="211" spans="2:15">
      <c r="B211" s="112"/>
      <c r="C211" s="112"/>
      <c r="D211" s="112"/>
      <c r="F211" s="168" t="s">
        <v>6202</v>
      </c>
      <c r="G211" s="232">
        <f>IF(DBparts1[[#This Row],[Type]]&gt;0,VLOOKUP(DBparts1[[#This Row],[Type]],Main[[#All],[TYPE]:[UNIT]],'Unit Price'!C$1,FALSE),0)</f>
        <v>0</v>
      </c>
      <c r="H211" s="194">
        <f>IF(DBparts1[[#This Row],[Type]]&gt;0,VLOOKUP(DBparts1[[#This Row],[Type]],Main[[#All],[TYPE]:[UNIT]],'Unit Price'!D$1,FALSE),0)</f>
        <v>0</v>
      </c>
      <c r="I211" s="194">
        <f>IF(DBparts1[[#This Row],[Type]]&gt;0,VLOOKUP(DBparts1[[#This Row],[Type]],Main[[#All],[TYPE]:[UNIT]],'Unit Price'!G$1,FALSE),0)</f>
        <v>0</v>
      </c>
      <c r="J211" s="194">
        <f>IF(DBparts1[[#This Row],[Type]]&gt;0,VLOOKUP(DBparts1[[#This Row],[Type]],Main[[#All],[TYPE]:[UNIT]],'Unit Price'!H$1,FALSE),0)</f>
        <v>0</v>
      </c>
      <c r="K211" s="194">
        <f>IF(DBparts1[[#This Row],[Type]]&gt;0,VLOOKUP(DBparts1[[#This Row],[Discount seletion]],'Discount Structure'!$A$2:$B$30,2,"false"),0)</f>
        <v>0</v>
      </c>
      <c r="L211" s="194">
        <f>DBparts1[[#This Row],[LIST $]]*DBparts1[[#This Row],[DISCOUNT]]*DBparts1[[#This Row],[DISCOUNT 2]]</f>
        <v>0</v>
      </c>
      <c r="O211" s="118"/>
    </row>
    <row r="212" spans="2:15">
      <c r="B212" s="112"/>
      <c r="C212" s="112"/>
      <c r="D212" s="112"/>
      <c r="F212" s="168" t="s">
        <v>6202</v>
      </c>
      <c r="G212" s="232">
        <f>IF(DBparts1[[#This Row],[Type]]&gt;0,VLOOKUP(DBparts1[[#This Row],[Type]],Main[[#All],[TYPE]:[UNIT]],'Unit Price'!C$1,FALSE),0)</f>
        <v>0</v>
      </c>
      <c r="H212" s="194">
        <f>IF(DBparts1[[#This Row],[Type]]&gt;0,VLOOKUP(DBparts1[[#This Row],[Type]],Main[[#All],[TYPE]:[UNIT]],'Unit Price'!D$1,FALSE),0)</f>
        <v>0</v>
      </c>
      <c r="I212" s="194">
        <f>IF(DBparts1[[#This Row],[Type]]&gt;0,VLOOKUP(DBparts1[[#This Row],[Type]],Main[[#All],[TYPE]:[UNIT]],'Unit Price'!G$1,FALSE),0)</f>
        <v>0</v>
      </c>
      <c r="J212" s="194">
        <f>IF(DBparts1[[#This Row],[Type]]&gt;0,VLOOKUP(DBparts1[[#This Row],[Type]],Main[[#All],[TYPE]:[UNIT]],'Unit Price'!H$1,FALSE),0)</f>
        <v>0</v>
      </c>
      <c r="K212" s="194">
        <f>IF(DBparts1[[#This Row],[Type]]&gt;0,VLOOKUP(DBparts1[[#This Row],[Discount seletion]],'Discount Structure'!$A$2:$B$30,2,"false"),0)</f>
        <v>0</v>
      </c>
      <c r="L212" s="194">
        <f>DBparts1[[#This Row],[LIST $]]*DBparts1[[#This Row],[DISCOUNT]]*DBparts1[[#This Row],[DISCOUNT 2]]</f>
        <v>0</v>
      </c>
      <c r="O212" s="118"/>
    </row>
    <row r="213" spans="2:15">
      <c r="B213" s="112"/>
      <c r="C213" s="112"/>
      <c r="D213" s="112"/>
      <c r="F213" s="168" t="s">
        <v>6202</v>
      </c>
      <c r="G213" s="232">
        <f>IF(DBparts1[[#This Row],[Type]]&gt;0,VLOOKUP(DBparts1[[#This Row],[Type]],Main[[#All],[TYPE]:[UNIT]],'Unit Price'!C$1,FALSE),0)</f>
        <v>0</v>
      </c>
      <c r="H213" s="194">
        <f>IF(DBparts1[[#This Row],[Type]]&gt;0,VLOOKUP(DBparts1[[#This Row],[Type]],Main[[#All],[TYPE]:[UNIT]],'Unit Price'!D$1,FALSE),0)</f>
        <v>0</v>
      </c>
      <c r="I213" s="194">
        <f>IF(DBparts1[[#This Row],[Type]]&gt;0,VLOOKUP(DBparts1[[#This Row],[Type]],Main[[#All],[TYPE]:[UNIT]],'Unit Price'!G$1,FALSE),0)</f>
        <v>0</v>
      </c>
      <c r="J213" s="194">
        <f>IF(DBparts1[[#This Row],[Type]]&gt;0,VLOOKUP(DBparts1[[#This Row],[Type]],Main[[#All],[TYPE]:[UNIT]],'Unit Price'!H$1,FALSE),0)</f>
        <v>0</v>
      </c>
      <c r="K213" s="194">
        <f>IF(DBparts1[[#This Row],[Type]]&gt;0,VLOOKUP(DBparts1[[#This Row],[Discount seletion]],'Discount Structure'!$A$2:$B$30,2,"false"),0)</f>
        <v>0</v>
      </c>
      <c r="L213" s="194">
        <f>DBparts1[[#This Row],[LIST $]]*DBparts1[[#This Row],[DISCOUNT]]*DBparts1[[#This Row],[DISCOUNT 2]]</f>
        <v>0</v>
      </c>
      <c r="O213" s="118"/>
    </row>
    <row r="214" spans="2:15">
      <c r="B214" s="112"/>
      <c r="C214" s="112"/>
      <c r="D214" s="112"/>
      <c r="F214" s="168" t="s">
        <v>6202</v>
      </c>
      <c r="G214" s="232">
        <f>IF(DBparts1[[#This Row],[Type]]&gt;0,VLOOKUP(DBparts1[[#This Row],[Type]],Main[[#All],[TYPE]:[UNIT]],'Unit Price'!C$1,FALSE),0)</f>
        <v>0</v>
      </c>
      <c r="H214" s="194">
        <f>IF(DBparts1[[#This Row],[Type]]&gt;0,VLOOKUP(DBparts1[[#This Row],[Type]],Main[[#All],[TYPE]:[UNIT]],'Unit Price'!D$1,FALSE),0)</f>
        <v>0</v>
      </c>
      <c r="I214" s="194">
        <f>IF(DBparts1[[#This Row],[Type]]&gt;0,VLOOKUP(DBparts1[[#This Row],[Type]],Main[[#All],[TYPE]:[UNIT]],'Unit Price'!G$1,FALSE),0)</f>
        <v>0</v>
      </c>
      <c r="J214" s="194">
        <f>IF(DBparts1[[#This Row],[Type]]&gt;0,VLOOKUP(DBparts1[[#This Row],[Type]],Main[[#All],[TYPE]:[UNIT]],'Unit Price'!H$1,FALSE),0)</f>
        <v>0</v>
      </c>
      <c r="K214" s="194">
        <f>IF(DBparts1[[#This Row],[Type]]&gt;0,VLOOKUP(DBparts1[[#This Row],[Discount seletion]],'Discount Structure'!$A$2:$B$30,2,"false"),0)</f>
        <v>0</v>
      </c>
      <c r="L214" s="194">
        <f>DBparts1[[#This Row],[LIST $]]*DBparts1[[#This Row],[DISCOUNT]]*DBparts1[[#This Row],[DISCOUNT 2]]</f>
        <v>0</v>
      </c>
      <c r="O214" s="118"/>
    </row>
    <row r="215" spans="2:15">
      <c r="B215" s="112"/>
      <c r="C215" s="112"/>
      <c r="D215" s="112"/>
      <c r="F215" s="168" t="s">
        <v>6202</v>
      </c>
      <c r="G215" s="232">
        <f>IF(DBparts1[[#This Row],[Type]]&gt;0,VLOOKUP(DBparts1[[#This Row],[Type]],Main[[#All],[TYPE]:[UNIT]],'Unit Price'!C$1,FALSE),0)</f>
        <v>0</v>
      </c>
      <c r="H215" s="194">
        <f>IF(DBparts1[[#This Row],[Type]]&gt;0,VLOOKUP(DBparts1[[#This Row],[Type]],Main[[#All],[TYPE]:[UNIT]],'Unit Price'!D$1,FALSE),0)</f>
        <v>0</v>
      </c>
      <c r="I215" s="194">
        <f>IF(DBparts1[[#This Row],[Type]]&gt;0,VLOOKUP(DBparts1[[#This Row],[Type]],Main[[#All],[TYPE]:[UNIT]],'Unit Price'!G$1,FALSE),0)</f>
        <v>0</v>
      </c>
      <c r="J215" s="194">
        <f>IF(DBparts1[[#This Row],[Type]]&gt;0,VLOOKUP(DBparts1[[#This Row],[Type]],Main[[#All],[TYPE]:[UNIT]],'Unit Price'!H$1,FALSE),0)</f>
        <v>0</v>
      </c>
      <c r="K215" s="194">
        <f>IF(DBparts1[[#This Row],[Type]]&gt;0,VLOOKUP(DBparts1[[#This Row],[Discount seletion]],'Discount Structure'!$A$2:$B$30,2,"false"),0)</f>
        <v>0</v>
      </c>
      <c r="L215" s="194">
        <f>DBparts1[[#This Row],[LIST $]]*DBparts1[[#This Row],[DISCOUNT]]*DBparts1[[#This Row],[DISCOUNT 2]]</f>
        <v>0</v>
      </c>
      <c r="O215" s="118"/>
    </row>
    <row r="216" spans="2:15">
      <c r="B216" s="112"/>
      <c r="C216" s="112"/>
      <c r="D216" s="112"/>
      <c r="F216" s="168" t="s">
        <v>6202</v>
      </c>
      <c r="G216" s="232">
        <f>IF(DBparts1[[#This Row],[Type]]&gt;0,VLOOKUP(DBparts1[[#This Row],[Type]],Main[[#All],[TYPE]:[UNIT]],'Unit Price'!C$1,FALSE),0)</f>
        <v>0</v>
      </c>
      <c r="H216" s="194">
        <f>IF(DBparts1[[#This Row],[Type]]&gt;0,VLOOKUP(DBparts1[[#This Row],[Type]],Main[[#All],[TYPE]:[UNIT]],'Unit Price'!D$1,FALSE),0)</f>
        <v>0</v>
      </c>
      <c r="I216" s="194">
        <f>IF(DBparts1[[#This Row],[Type]]&gt;0,VLOOKUP(DBparts1[[#This Row],[Type]],Main[[#All],[TYPE]:[UNIT]],'Unit Price'!G$1,FALSE),0)</f>
        <v>0</v>
      </c>
      <c r="J216" s="194">
        <f>IF(DBparts1[[#This Row],[Type]]&gt;0,VLOOKUP(DBparts1[[#This Row],[Type]],Main[[#All],[TYPE]:[UNIT]],'Unit Price'!H$1,FALSE),0)</f>
        <v>0</v>
      </c>
      <c r="K216" s="194">
        <f>IF(DBparts1[[#This Row],[Type]]&gt;0,VLOOKUP(DBparts1[[#This Row],[Discount seletion]],'Discount Structure'!$A$2:$B$30,2,"false"),0)</f>
        <v>0</v>
      </c>
      <c r="L216" s="194">
        <f>DBparts1[[#This Row],[LIST $]]*DBparts1[[#This Row],[DISCOUNT]]*DBparts1[[#This Row],[DISCOUNT 2]]</f>
        <v>0</v>
      </c>
      <c r="O216" s="118"/>
    </row>
    <row r="217" spans="2:15">
      <c r="B217" s="112"/>
      <c r="C217" s="112"/>
      <c r="D217" s="112"/>
      <c r="F217" s="168" t="s">
        <v>6202</v>
      </c>
      <c r="G217" s="232">
        <f>IF(DBparts1[[#This Row],[Type]]&gt;0,VLOOKUP(DBparts1[[#This Row],[Type]],Main[[#All],[TYPE]:[UNIT]],'Unit Price'!C$1,FALSE),0)</f>
        <v>0</v>
      </c>
      <c r="H217" s="194">
        <f>IF(DBparts1[[#This Row],[Type]]&gt;0,VLOOKUP(DBparts1[[#This Row],[Type]],Main[[#All],[TYPE]:[UNIT]],'Unit Price'!D$1,FALSE),0)</f>
        <v>0</v>
      </c>
      <c r="I217" s="194">
        <f>IF(DBparts1[[#This Row],[Type]]&gt;0,VLOOKUP(DBparts1[[#This Row],[Type]],Main[[#All],[TYPE]:[UNIT]],'Unit Price'!G$1,FALSE),0)</f>
        <v>0</v>
      </c>
      <c r="J217" s="194">
        <f>IF(DBparts1[[#This Row],[Type]]&gt;0,VLOOKUP(DBparts1[[#This Row],[Type]],Main[[#All],[TYPE]:[UNIT]],'Unit Price'!H$1,FALSE),0)</f>
        <v>0</v>
      </c>
      <c r="K217" s="194">
        <f>IF(DBparts1[[#This Row],[Type]]&gt;0,VLOOKUP(DBparts1[[#This Row],[Discount seletion]],'Discount Structure'!$A$2:$B$30,2,"false"),0)</f>
        <v>0</v>
      </c>
      <c r="L217" s="194">
        <f>DBparts1[[#This Row],[LIST $]]*DBparts1[[#This Row],[DISCOUNT]]*DBparts1[[#This Row],[DISCOUNT 2]]</f>
        <v>0</v>
      </c>
      <c r="O217" s="118"/>
    </row>
    <row r="218" spans="2:15">
      <c r="B218" s="112"/>
      <c r="C218" s="112"/>
      <c r="D218" s="112"/>
      <c r="F218" s="168" t="s">
        <v>6202</v>
      </c>
      <c r="G218" s="232">
        <f>IF(DBparts1[[#This Row],[Type]]&gt;0,VLOOKUP(DBparts1[[#This Row],[Type]],Main[[#All],[TYPE]:[UNIT]],'Unit Price'!C$1,FALSE),0)</f>
        <v>0</v>
      </c>
      <c r="H218" s="194">
        <f>IF(DBparts1[[#This Row],[Type]]&gt;0,VLOOKUP(DBparts1[[#This Row],[Type]],Main[[#All],[TYPE]:[UNIT]],'Unit Price'!D$1,FALSE),0)</f>
        <v>0</v>
      </c>
      <c r="I218" s="194">
        <f>IF(DBparts1[[#This Row],[Type]]&gt;0,VLOOKUP(DBparts1[[#This Row],[Type]],Main[[#All],[TYPE]:[UNIT]],'Unit Price'!G$1,FALSE),0)</f>
        <v>0</v>
      </c>
      <c r="J218" s="194">
        <f>IF(DBparts1[[#This Row],[Type]]&gt;0,VLOOKUP(DBparts1[[#This Row],[Type]],Main[[#All],[TYPE]:[UNIT]],'Unit Price'!H$1,FALSE),0)</f>
        <v>0</v>
      </c>
      <c r="K218" s="194">
        <f>IF(DBparts1[[#This Row],[Type]]&gt;0,VLOOKUP(DBparts1[[#This Row],[Discount seletion]],'Discount Structure'!$A$2:$B$30,2,"false"),0)</f>
        <v>0</v>
      </c>
      <c r="L218" s="194">
        <f>DBparts1[[#This Row],[LIST $]]*DBparts1[[#This Row],[DISCOUNT]]*DBparts1[[#This Row],[DISCOUNT 2]]</f>
        <v>0</v>
      </c>
      <c r="O218" s="118"/>
    </row>
    <row r="219" spans="2:15">
      <c r="B219" s="112"/>
      <c r="C219" s="112"/>
      <c r="D219" s="112"/>
      <c r="F219" s="168" t="s">
        <v>6202</v>
      </c>
      <c r="G219" s="232">
        <f>IF(DBparts1[[#This Row],[Type]]&gt;0,VLOOKUP(DBparts1[[#This Row],[Type]],Main[[#All],[TYPE]:[UNIT]],'Unit Price'!C$1,FALSE),0)</f>
        <v>0</v>
      </c>
      <c r="H219" s="194">
        <f>IF(DBparts1[[#This Row],[Type]]&gt;0,VLOOKUP(DBparts1[[#This Row],[Type]],Main[[#All],[TYPE]:[UNIT]],'Unit Price'!D$1,FALSE),0)</f>
        <v>0</v>
      </c>
      <c r="I219" s="194">
        <f>IF(DBparts1[[#This Row],[Type]]&gt;0,VLOOKUP(DBparts1[[#This Row],[Type]],Main[[#All],[TYPE]:[UNIT]],'Unit Price'!G$1,FALSE),0)</f>
        <v>0</v>
      </c>
      <c r="J219" s="194">
        <f>IF(DBparts1[[#This Row],[Type]]&gt;0,VLOOKUP(DBparts1[[#This Row],[Type]],Main[[#All],[TYPE]:[UNIT]],'Unit Price'!H$1,FALSE),0)</f>
        <v>0</v>
      </c>
      <c r="K219" s="194">
        <f>IF(DBparts1[[#This Row],[Type]]&gt;0,VLOOKUP(DBparts1[[#This Row],[Discount seletion]],'Discount Structure'!$A$2:$B$30,2,"false"),0)</f>
        <v>0</v>
      </c>
      <c r="L219" s="194">
        <f>DBparts1[[#This Row],[LIST $]]*DBparts1[[#This Row],[DISCOUNT]]*DBparts1[[#This Row],[DISCOUNT 2]]</f>
        <v>0</v>
      </c>
      <c r="O219" s="118"/>
    </row>
    <row r="220" spans="2:15">
      <c r="B220" s="112"/>
      <c r="C220" s="112"/>
      <c r="D220" s="112"/>
      <c r="F220" s="168" t="s">
        <v>6202</v>
      </c>
      <c r="G220" s="232">
        <f>IF(DBparts1[[#This Row],[Type]]&gt;0,VLOOKUP(DBparts1[[#This Row],[Type]],Main[[#All],[TYPE]:[UNIT]],'Unit Price'!C$1,FALSE),0)</f>
        <v>0</v>
      </c>
      <c r="H220" s="194">
        <f>IF(DBparts1[[#This Row],[Type]]&gt;0,VLOOKUP(DBparts1[[#This Row],[Type]],Main[[#All],[TYPE]:[UNIT]],'Unit Price'!D$1,FALSE),0)</f>
        <v>0</v>
      </c>
      <c r="I220" s="194">
        <f>IF(DBparts1[[#This Row],[Type]]&gt;0,VLOOKUP(DBparts1[[#This Row],[Type]],Main[[#All],[TYPE]:[UNIT]],'Unit Price'!G$1,FALSE),0)</f>
        <v>0</v>
      </c>
      <c r="J220" s="194">
        <f>IF(DBparts1[[#This Row],[Type]]&gt;0,VLOOKUP(DBparts1[[#This Row],[Type]],Main[[#All],[TYPE]:[UNIT]],'Unit Price'!H$1,FALSE),0)</f>
        <v>0</v>
      </c>
      <c r="K220" s="194">
        <f>IF(DBparts1[[#This Row],[Type]]&gt;0,VLOOKUP(DBparts1[[#This Row],[Discount seletion]],'Discount Structure'!$A$2:$B$30,2,"false"),0)</f>
        <v>0</v>
      </c>
      <c r="L220" s="194">
        <f>DBparts1[[#This Row],[LIST $]]*DBparts1[[#This Row],[DISCOUNT]]*DBparts1[[#This Row],[DISCOUNT 2]]</f>
        <v>0</v>
      </c>
      <c r="O220" s="118"/>
    </row>
    <row r="221" spans="2:15">
      <c r="B221" s="112"/>
      <c r="C221" s="112"/>
      <c r="D221" s="112"/>
      <c r="F221" s="168" t="s">
        <v>6202</v>
      </c>
      <c r="G221" s="232">
        <f>IF(DBparts1[[#This Row],[Type]]&gt;0,VLOOKUP(DBparts1[[#This Row],[Type]],Main[[#All],[TYPE]:[UNIT]],'Unit Price'!C$1,FALSE),0)</f>
        <v>0</v>
      </c>
      <c r="H221" s="194">
        <f>IF(DBparts1[[#This Row],[Type]]&gt;0,VLOOKUP(DBparts1[[#This Row],[Type]],Main[[#All],[TYPE]:[UNIT]],'Unit Price'!D$1,FALSE),0)</f>
        <v>0</v>
      </c>
      <c r="I221" s="194">
        <f>IF(DBparts1[[#This Row],[Type]]&gt;0,VLOOKUP(DBparts1[[#This Row],[Type]],Main[[#All],[TYPE]:[UNIT]],'Unit Price'!G$1,FALSE),0)</f>
        <v>0</v>
      </c>
      <c r="J221" s="194">
        <f>IF(DBparts1[[#This Row],[Type]]&gt;0,VLOOKUP(DBparts1[[#This Row],[Type]],Main[[#All],[TYPE]:[UNIT]],'Unit Price'!H$1,FALSE),0)</f>
        <v>0</v>
      </c>
      <c r="K221" s="194">
        <f>IF(DBparts1[[#This Row],[Type]]&gt;0,VLOOKUP(DBparts1[[#This Row],[Discount seletion]],'Discount Structure'!$A$2:$B$30,2,"false"),0)</f>
        <v>0</v>
      </c>
      <c r="L221" s="194">
        <f>DBparts1[[#This Row],[LIST $]]*DBparts1[[#This Row],[DISCOUNT]]*DBparts1[[#This Row],[DISCOUNT 2]]</f>
        <v>0</v>
      </c>
      <c r="O221" s="118"/>
    </row>
    <row r="222" spans="2:15">
      <c r="B222" s="112"/>
      <c r="C222" s="112"/>
      <c r="D222" s="112"/>
      <c r="F222" s="168" t="s">
        <v>6202</v>
      </c>
      <c r="G222" s="232">
        <f>IF(DBparts1[[#This Row],[Type]]&gt;0,VLOOKUP(DBparts1[[#This Row],[Type]],Main[[#All],[TYPE]:[UNIT]],'Unit Price'!C$1,FALSE),0)</f>
        <v>0</v>
      </c>
      <c r="H222" s="194">
        <f>IF(DBparts1[[#This Row],[Type]]&gt;0,VLOOKUP(DBparts1[[#This Row],[Type]],Main[[#All],[TYPE]:[UNIT]],'Unit Price'!D$1,FALSE),0)</f>
        <v>0</v>
      </c>
      <c r="I222" s="194">
        <f>IF(DBparts1[[#This Row],[Type]]&gt;0,VLOOKUP(DBparts1[[#This Row],[Type]],Main[[#All],[TYPE]:[UNIT]],'Unit Price'!G$1,FALSE),0)</f>
        <v>0</v>
      </c>
      <c r="J222" s="194">
        <f>IF(DBparts1[[#This Row],[Type]]&gt;0,VLOOKUP(DBparts1[[#This Row],[Type]],Main[[#All],[TYPE]:[UNIT]],'Unit Price'!H$1,FALSE),0)</f>
        <v>0</v>
      </c>
      <c r="K222" s="194">
        <f>IF(DBparts1[[#This Row],[Type]]&gt;0,VLOOKUP(DBparts1[[#This Row],[Discount seletion]],'Discount Structure'!$A$2:$B$30,2,"false"),0)</f>
        <v>0</v>
      </c>
      <c r="L222" s="194">
        <f>DBparts1[[#This Row],[LIST $]]*DBparts1[[#This Row],[DISCOUNT]]*DBparts1[[#This Row],[DISCOUNT 2]]</f>
        <v>0</v>
      </c>
      <c r="O222" s="118"/>
    </row>
    <row r="223" spans="2:15">
      <c r="B223" s="112"/>
      <c r="C223" s="112"/>
      <c r="D223" s="112"/>
      <c r="F223" s="168" t="s">
        <v>6202</v>
      </c>
      <c r="G223" s="232">
        <f>IF(DBparts1[[#This Row],[Type]]&gt;0,VLOOKUP(DBparts1[[#This Row],[Type]],Main[[#All],[TYPE]:[UNIT]],'Unit Price'!C$1,FALSE),0)</f>
        <v>0</v>
      </c>
      <c r="H223" s="194">
        <f>IF(DBparts1[[#This Row],[Type]]&gt;0,VLOOKUP(DBparts1[[#This Row],[Type]],Main[[#All],[TYPE]:[UNIT]],'Unit Price'!D$1,FALSE),0)</f>
        <v>0</v>
      </c>
      <c r="I223" s="194">
        <f>IF(DBparts1[[#This Row],[Type]]&gt;0,VLOOKUP(DBparts1[[#This Row],[Type]],Main[[#All],[TYPE]:[UNIT]],'Unit Price'!G$1,FALSE),0)</f>
        <v>0</v>
      </c>
      <c r="J223" s="194">
        <f>IF(DBparts1[[#This Row],[Type]]&gt;0,VLOOKUP(DBparts1[[#This Row],[Type]],Main[[#All],[TYPE]:[UNIT]],'Unit Price'!H$1,FALSE),0)</f>
        <v>0</v>
      </c>
      <c r="K223" s="194">
        <f>IF(DBparts1[[#This Row],[Type]]&gt;0,VLOOKUP(DBparts1[[#This Row],[Discount seletion]],'Discount Structure'!$A$2:$B$30,2,"false"),0)</f>
        <v>0</v>
      </c>
      <c r="L223" s="194">
        <f>DBparts1[[#This Row],[LIST $]]*DBparts1[[#This Row],[DISCOUNT]]*DBparts1[[#This Row],[DISCOUNT 2]]</f>
        <v>0</v>
      </c>
      <c r="O223" s="118"/>
    </row>
    <row r="224" spans="2:15">
      <c r="B224" s="112"/>
      <c r="C224" s="112"/>
      <c r="D224" s="112"/>
      <c r="F224" s="168" t="s">
        <v>6202</v>
      </c>
      <c r="G224" s="232">
        <f>IF(DBparts1[[#This Row],[Type]]&gt;0,VLOOKUP(DBparts1[[#This Row],[Type]],Main[[#All],[TYPE]:[UNIT]],'Unit Price'!C$1,FALSE),0)</f>
        <v>0</v>
      </c>
      <c r="H224" s="194">
        <f>IF(DBparts1[[#This Row],[Type]]&gt;0,VLOOKUP(DBparts1[[#This Row],[Type]],Main[[#All],[TYPE]:[UNIT]],'Unit Price'!D$1,FALSE),0)</f>
        <v>0</v>
      </c>
      <c r="I224" s="194">
        <f>IF(DBparts1[[#This Row],[Type]]&gt;0,VLOOKUP(DBparts1[[#This Row],[Type]],Main[[#All],[TYPE]:[UNIT]],'Unit Price'!G$1,FALSE),0)</f>
        <v>0</v>
      </c>
      <c r="J224" s="194">
        <f>IF(DBparts1[[#This Row],[Type]]&gt;0,VLOOKUP(DBparts1[[#This Row],[Type]],Main[[#All],[TYPE]:[UNIT]],'Unit Price'!H$1,FALSE),0)</f>
        <v>0</v>
      </c>
      <c r="K224" s="194">
        <f>IF(DBparts1[[#This Row],[Type]]&gt;0,VLOOKUP(DBparts1[[#This Row],[Discount seletion]],'Discount Structure'!$A$2:$B$30,2,"false"),0)</f>
        <v>0</v>
      </c>
      <c r="L224" s="194">
        <f>DBparts1[[#This Row],[LIST $]]*DBparts1[[#This Row],[DISCOUNT]]*DBparts1[[#This Row],[DISCOUNT 2]]</f>
        <v>0</v>
      </c>
      <c r="O224" s="118"/>
    </row>
    <row r="225" spans="2:15">
      <c r="B225" s="112"/>
      <c r="C225" s="112"/>
      <c r="D225" s="112"/>
      <c r="F225" s="168" t="s">
        <v>6202</v>
      </c>
      <c r="G225" s="232">
        <f>IF(DBparts1[[#This Row],[Type]]&gt;0,VLOOKUP(DBparts1[[#This Row],[Type]],Main[[#All],[TYPE]:[UNIT]],'Unit Price'!C$1,FALSE),0)</f>
        <v>0</v>
      </c>
      <c r="H225" s="194">
        <f>IF(DBparts1[[#This Row],[Type]]&gt;0,VLOOKUP(DBparts1[[#This Row],[Type]],Main[[#All],[TYPE]:[UNIT]],'Unit Price'!D$1,FALSE),0)</f>
        <v>0</v>
      </c>
      <c r="I225" s="194">
        <f>IF(DBparts1[[#This Row],[Type]]&gt;0,VLOOKUP(DBparts1[[#This Row],[Type]],Main[[#All],[TYPE]:[UNIT]],'Unit Price'!G$1,FALSE),0)</f>
        <v>0</v>
      </c>
      <c r="J225" s="194">
        <f>IF(DBparts1[[#This Row],[Type]]&gt;0,VLOOKUP(DBparts1[[#This Row],[Type]],Main[[#All],[TYPE]:[UNIT]],'Unit Price'!H$1,FALSE),0)</f>
        <v>0</v>
      </c>
      <c r="K225" s="194">
        <f>IF(DBparts1[[#This Row],[Type]]&gt;0,VLOOKUP(DBparts1[[#This Row],[Discount seletion]],'Discount Structure'!$A$2:$B$30,2,"false"),0)</f>
        <v>0</v>
      </c>
      <c r="L225" s="194">
        <f>DBparts1[[#This Row],[LIST $]]*DBparts1[[#This Row],[DISCOUNT]]*DBparts1[[#This Row],[DISCOUNT 2]]</f>
        <v>0</v>
      </c>
      <c r="O225" s="118"/>
    </row>
    <row r="226" spans="2:15">
      <c r="B226" s="112"/>
      <c r="C226" s="112"/>
      <c r="D226" s="112"/>
      <c r="F226" s="168" t="s">
        <v>6202</v>
      </c>
      <c r="G226" s="232">
        <f>IF(DBparts1[[#This Row],[Type]]&gt;0,VLOOKUP(DBparts1[[#This Row],[Type]],Main[[#All],[TYPE]:[UNIT]],'Unit Price'!C$1,FALSE),0)</f>
        <v>0</v>
      </c>
      <c r="H226" s="194">
        <f>IF(DBparts1[[#This Row],[Type]]&gt;0,VLOOKUP(DBparts1[[#This Row],[Type]],Main[[#All],[TYPE]:[UNIT]],'Unit Price'!D$1,FALSE),0)</f>
        <v>0</v>
      </c>
      <c r="I226" s="194">
        <f>IF(DBparts1[[#This Row],[Type]]&gt;0,VLOOKUP(DBparts1[[#This Row],[Type]],Main[[#All],[TYPE]:[UNIT]],'Unit Price'!G$1,FALSE),0)</f>
        <v>0</v>
      </c>
      <c r="J226" s="194">
        <f>IF(DBparts1[[#This Row],[Type]]&gt;0,VLOOKUP(DBparts1[[#This Row],[Type]],Main[[#All],[TYPE]:[UNIT]],'Unit Price'!H$1,FALSE),0)</f>
        <v>0</v>
      </c>
      <c r="K226" s="194">
        <f>IF(DBparts1[[#This Row],[Type]]&gt;0,VLOOKUP(DBparts1[[#This Row],[Discount seletion]],'Discount Structure'!$A$2:$B$30,2,"false"),0)</f>
        <v>0</v>
      </c>
      <c r="L226" s="194">
        <f>DBparts1[[#This Row],[LIST $]]*DBparts1[[#This Row],[DISCOUNT]]*DBparts1[[#This Row],[DISCOUNT 2]]</f>
        <v>0</v>
      </c>
      <c r="O226" s="118"/>
    </row>
    <row r="227" spans="2:15">
      <c r="B227" s="112"/>
      <c r="C227" s="112"/>
      <c r="D227" s="112"/>
      <c r="F227" s="168" t="s">
        <v>6202</v>
      </c>
      <c r="G227" s="232">
        <f>IF(DBparts1[[#This Row],[Type]]&gt;0,VLOOKUP(DBparts1[[#This Row],[Type]],Main[[#All],[TYPE]:[UNIT]],'Unit Price'!C$1,FALSE),0)</f>
        <v>0</v>
      </c>
      <c r="H227" s="194">
        <f>IF(DBparts1[[#This Row],[Type]]&gt;0,VLOOKUP(DBparts1[[#This Row],[Type]],Main[[#All],[TYPE]:[UNIT]],'Unit Price'!D$1,FALSE),0)</f>
        <v>0</v>
      </c>
      <c r="I227" s="194">
        <f>IF(DBparts1[[#This Row],[Type]]&gt;0,VLOOKUP(DBparts1[[#This Row],[Type]],Main[[#All],[TYPE]:[UNIT]],'Unit Price'!G$1,FALSE),0)</f>
        <v>0</v>
      </c>
      <c r="J227" s="194">
        <f>IF(DBparts1[[#This Row],[Type]]&gt;0,VLOOKUP(DBparts1[[#This Row],[Type]],Main[[#All],[TYPE]:[UNIT]],'Unit Price'!H$1,FALSE),0)</f>
        <v>0</v>
      </c>
      <c r="K227" s="194">
        <f>IF(DBparts1[[#This Row],[Type]]&gt;0,VLOOKUP(DBparts1[[#This Row],[Discount seletion]],'Discount Structure'!$A$2:$B$30,2,"false"),0)</f>
        <v>0</v>
      </c>
      <c r="L227" s="194">
        <f>DBparts1[[#This Row],[LIST $]]*DBparts1[[#This Row],[DISCOUNT]]*DBparts1[[#This Row],[DISCOUNT 2]]</f>
        <v>0</v>
      </c>
      <c r="O227" s="118"/>
    </row>
    <row r="228" spans="2:15">
      <c r="B228" s="112"/>
      <c r="C228" s="112"/>
      <c r="D228" s="112"/>
      <c r="F228" s="168" t="s">
        <v>6202</v>
      </c>
      <c r="G228" s="232">
        <f>IF(DBparts1[[#This Row],[Type]]&gt;0,VLOOKUP(DBparts1[[#This Row],[Type]],Main[[#All],[TYPE]:[UNIT]],'Unit Price'!C$1,FALSE),0)</f>
        <v>0</v>
      </c>
      <c r="H228" s="194">
        <f>IF(DBparts1[[#This Row],[Type]]&gt;0,VLOOKUP(DBparts1[[#This Row],[Type]],Main[[#All],[TYPE]:[UNIT]],'Unit Price'!D$1,FALSE),0)</f>
        <v>0</v>
      </c>
      <c r="I228" s="194">
        <f>IF(DBparts1[[#This Row],[Type]]&gt;0,VLOOKUP(DBparts1[[#This Row],[Type]],Main[[#All],[TYPE]:[UNIT]],'Unit Price'!G$1,FALSE),0)</f>
        <v>0</v>
      </c>
      <c r="J228" s="194">
        <f>IF(DBparts1[[#This Row],[Type]]&gt;0,VLOOKUP(DBparts1[[#This Row],[Type]],Main[[#All],[TYPE]:[UNIT]],'Unit Price'!H$1,FALSE),0)</f>
        <v>0</v>
      </c>
      <c r="K228" s="194">
        <f>IF(DBparts1[[#This Row],[Type]]&gt;0,VLOOKUP(DBparts1[[#This Row],[Discount seletion]],'Discount Structure'!$A$2:$B$30,2,"false"),0)</f>
        <v>0</v>
      </c>
      <c r="L228" s="194">
        <f>DBparts1[[#This Row],[LIST $]]*DBparts1[[#This Row],[DISCOUNT]]*DBparts1[[#This Row],[DISCOUNT 2]]</f>
        <v>0</v>
      </c>
      <c r="O228" s="118"/>
    </row>
    <row r="229" spans="2:15">
      <c r="B229" s="112"/>
      <c r="C229" s="112"/>
      <c r="D229" s="112"/>
      <c r="F229" s="168" t="s">
        <v>6202</v>
      </c>
      <c r="G229" s="232">
        <f>IF(DBparts1[[#This Row],[Type]]&gt;0,VLOOKUP(DBparts1[[#This Row],[Type]],Main[[#All],[TYPE]:[UNIT]],'Unit Price'!C$1,FALSE),0)</f>
        <v>0</v>
      </c>
      <c r="H229" s="194">
        <f>IF(DBparts1[[#This Row],[Type]]&gt;0,VLOOKUP(DBparts1[[#This Row],[Type]],Main[[#All],[TYPE]:[UNIT]],'Unit Price'!D$1,FALSE),0)</f>
        <v>0</v>
      </c>
      <c r="I229" s="194">
        <f>IF(DBparts1[[#This Row],[Type]]&gt;0,VLOOKUP(DBparts1[[#This Row],[Type]],Main[[#All],[TYPE]:[UNIT]],'Unit Price'!G$1,FALSE),0)</f>
        <v>0</v>
      </c>
      <c r="J229" s="194">
        <f>IF(DBparts1[[#This Row],[Type]]&gt;0,VLOOKUP(DBparts1[[#This Row],[Type]],Main[[#All],[TYPE]:[UNIT]],'Unit Price'!H$1,FALSE),0)</f>
        <v>0</v>
      </c>
      <c r="K229" s="194">
        <f>IF(DBparts1[[#This Row],[Type]]&gt;0,VLOOKUP(DBparts1[[#This Row],[Discount seletion]],'Discount Structure'!$A$2:$B$30,2,"false"),0)</f>
        <v>0</v>
      </c>
      <c r="L229" s="194">
        <f>DBparts1[[#This Row],[LIST $]]*DBparts1[[#This Row],[DISCOUNT]]*DBparts1[[#This Row],[DISCOUNT 2]]</f>
        <v>0</v>
      </c>
      <c r="O229" s="118"/>
    </row>
    <row r="230" spans="2:15">
      <c r="B230" s="112"/>
      <c r="C230" s="112"/>
      <c r="D230" s="112"/>
      <c r="F230" s="168" t="s">
        <v>6202</v>
      </c>
      <c r="G230" s="232">
        <f>IF(DBparts1[[#This Row],[Type]]&gt;0,VLOOKUP(DBparts1[[#This Row],[Type]],Main[[#All],[TYPE]:[UNIT]],'Unit Price'!C$1,FALSE),0)</f>
        <v>0</v>
      </c>
      <c r="H230" s="194">
        <f>IF(DBparts1[[#This Row],[Type]]&gt;0,VLOOKUP(DBparts1[[#This Row],[Type]],Main[[#All],[TYPE]:[UNIT]],'Unit Price'!D$1,FALSE),0)</f>
        <v>0</v>
      </c>
      <c r="I230" s="194">
        <f>IF(DBparts1[[#This Row],[Type]]&gt;0,VLOOKUP(DBparts1[[#This Row],[Type]],Main[[#All],[TYPE]:[UNIT]],'Unit Price'!G$1,FALSE),0)</f>
        <v>0</v>
      </c>
      <c r="J230" s="194">
        <f>IF(DBparts1[[#This Row],[Type]]&gt;0,VLOOKUP(DBparts1[[#This Row],[Type]],Main[[#All],[TYPE]:[UNIT]],'Unit Price'!H$1,FALSE),0)</f>
        <v>0</v>
      </c>
      <c r="K230" s="194">
        <f>IF(DBparts1[[#This Row],[Type]]&gt;0,VLOOKUP(DBparts1[[#This Row],[Discount seletion]],'Discount Structure'!$A$2:$B$30,2,"false"),0)</f>
        <v>0</v>
      </c>
      <c r="L230" s="194">
        <f>DBparts1[[#This Row],[LIST $]]*DBparts1[[#This Row],[DISCOUNT]]*DBparts1[[#This Row],[DISCOUNT 2]]</f>
        <v>0</v>
      </c>
      <c r="O230" s="118"/>
    </row>
    <row r="231" spans="2:15">
      <c r="B231" s="112"/>
      <c r="C231" s="112"/>
      <c r="D231" s="112"/>
      <c r="F231" s="168" t="s">
        <v>6202</v>
      </c>
      <c r="G231" s="232">
        <f>IF(DBparts1[[#This Row],[Type]]&gt;0,VLOOKUP(DBparts1[[#This Row],[Type]],Main[[#All],[TYPE]:[UNIT]],'Unit Price'!C$1,FALSE),0)</f>
        <v>0</v>
      </c>
      <c r="H231" s="194">
        <f>IF(DBparts1[[#This Row],[Type]]&gt;0,VLOOKUP(DBparts1[[#This Row],[Type]],Main[[#All],[TYPE]:[UNIT]],'Unit Price'!D$1,FALSE),0)</f>
        <v>0</v>
      </c>
      <c r="I231" s="194">
        <f>IF(DBparts1[[#This Row],[Type]]&gt;0,VLOOKUP(DBparts1[[#This Row],[Type]],Main[[#All],[TYPE]:[UNIT]],'Unit Price'!G$1,FALSE),0)</f>
        <v>0</v>
      </c>
      <c r="J231" s="194">
        <f>IF(DBparts1[[#This Row],[Type]]&gt;0,VLOOKUP(DBparts1[[#This Row],[Type]],Main[[#All],[TYPE]:[UNIT]],'Unit Price'!H$1,FALSE),0)</f>
        <v>0</v>
      </c>
      <c r="K231" s="194">
        <f>IF(DBparts1[[#This Row],[Type]]&gt;0,VLOOKUP(DBparts1[[#This Row],[Discount seletion]],'Discount Structure'!$A$2:$B$30,2,"false"),0)</f>
        <v>0</v>
      </c>
      <c r="L231" s="194">
        <f>DBparts1[[#This Row],[LIST $]]*DBparts1[[#This Row],[DISCOUNT]]*DBparts1[[#This Row],[DISCOUNT 2]]</f>
        <v>0</v>
      </c>
      <c r="O231" s="118"/>
    </row>
    <row r="232" spans="2:15">
      <c r="B232" s="112"/>
      <c r="C232" s="112"/>
      <c r="D232" s="112"/>
      <c r="F232" s="168" t="s">
        <v>6202</v>
      </c>
      <c r="G232" s="232">
        <f>IF(DBparts1[[#This Row],[Type]]&gt;0,VLOOKUP(DBparts1[[#This Row],[Type]],Main[[#All],[TYPE]:[UNIT]],'Unit Price'!C$1,FALSE),0)</f>
        <v>0</v>
      </c>
      <c r="H232" s="194">
        <f>IF(DBparts1[[#This Row],[Type]]&gt;0,VLOOKUP(DBparts1[[#This Row],[Type]],Main[[#All],[TYPE]:[UNIT]],'Unit Price'!D$1,FALSE),0)</f>
        <v>0</v>
      </c>
      <c r="I232" s="194">
        <f>IF(DBparts1[[#This Row],[Type]]&gt;0,VLOOKUP(DBparts1[[#This Row],[Type]],Main[[#All],[TYPE]:[UNIT]],'Unit Price'!G$1,FALSE),0)</f>
        <v>0</v>
      </c>
      <c r="J232" s="194">
        <f>IF(DBparts1[[#This Row],[Type]]&gt;0,VLOOKUP(DBparts1[[#This Row],[Type]],Main[[#All],[TYPE]:[UNIT]],'Unit Price'!H$1,FALSE),0)</f>
        <v>0</v>
      </c>
      <c r="K232" s="194">
        <f>IF(DBparts1[[#This Row],[Type]]&gt;0,VLOOKUP(DBparts1[[#This Row],[Discount seletion]],'Discount Structure'!$A$2:$B$30,2,"false"),0)</f>
        <v>0</v>
      </c>
      <c r="L232" s="194">
        <f>DBparts1[[#This Row],[LIST $]]*DBparts1[[#This Row],[DISCOUNT]]*DBparts1[[#This Row],[DISCOUNT 2]]</f>
        <v>0</v>
      </c>
      <c r="O232" s="118"/>
    </row>
    <row r="233" spans="2:15">
      <c r="B233" s="112"/>
      <c r="C233" s="112"/>
      <c r="D233" s="112"/>
      <c r="F233" s="168" t="s">
        <v>6202</v>
      </c>
      <c r="G233" s="232">
        <f>IF(DBparts1[[#This Row],[Type]]&gt;0,VLOOKUP(DBparts1[[#This Row],[Type]],Main[[#All],[TYPE]:[UNIT]],'Unit Price'!C$1,FALSE),0)</f>
        <v>0</v>
      </c>
      <c r="H233" s="194">
        <f>IF(DBparts1[[#This Row],[Type]]&gt;0,VLOOKUP(DBparts1[[#This Row],[Type]],Main[[#All],[TYPE]:[UNIT]],'Unit Price'!D$1,FALSE),0)</f>
        <v>0</v>
      </c>
      <c r="I233" s="194">
        <f>IF(DBparts1[[#This Row],[Type]]&gt;0,VLOOKUP(DBparts1[[#This Row],[Type]],Main[[#All],[TYPE]:[UNIT]],'Unit Price'!G$1,FALSE),0)</f>
        <v>0</v>
      </c>
      <c r="J233" s="194">
        <f>IF(DBparts1[[#This Row],[Type]]&gt;0,VLOOKUP(DBparts1[[#This Row],[Type]],Main[[#All],[TYPE]:[UNIT]],'Unit Price'!H$1,FALSE),0)</f>
        <v>0</v>
      </c>
      <c r="K233" s="194">
        <f>IF(DBparts1[[#This Row],[Type]]&gt;0,VLOOKUP(DBparts1[[#This Row],[Discount seletion]],'Discount Structure'!$A$2:$B$30,2,"false"),0)</f>
        <v>0</v>
      </c>
      <c r="L233" s="194">
        <f>DBparts1[[#This Row],[LIST $]]*DBparts1[[#This Row],[DISCOUNT]]*DBparts1[[#This Row],[DISCOUNT 2]]</f>
        <v>0</v>
      </c>
      <c r="O233" s="118"/>
    </row>
    <row r="234" spans="2:15">
      <c r="B234" s="112"/>
      <c r="C234" s="112"/>
      <c r="D234" s="112"/>
      <c r="F234" s="168" t="s">
        <v>6202</v>
      </c>
      <c r="G234" s="232">
        <f>IF(DBparts1[[#This Row],[Type]]&gt;0,VLOOKUP(DBparts1[[#This Row],[Type]],Main[[#All],[TYPE]:[UNIT]],'Unit Price'!C$1,FALSE),0)</f>
        <v>0</v>
      </c>
      <c r="H234" s="194">
        <f>IF(DBparts1[[#This Row],[Type]]&gt;0,VLOOKUP(DBparts1[[#This Row],[Type]],Main[[#All],[TYPE]:[UNIT]],'Unit Price'!D$1,FALSE),0)</f>
        <v>0</v>
      </c>
      <c r="I234" s="194">
        <f>IF(DBparts1[[#This Row],[Type]]&gt;0,VLOOKUP(DBparts1[[#This Row],[Type]],Main[[#All],[TYPE]:[UNIT]],'Unit Price'!G$1,FALSE),0)</f>
        <v>0</v>
      </c>
      <c r="J234" s="194">
        <f>IF(DBparts1[[#This Row],[Type]]&gt;0,VLOOKUP(DBparts1[[#This Row],[Type]],Main[[#All],[TYPE]:[UNIT]],'Unit Price'!H$1,FALSE),0)</f>
        <v>0</v>
      </c>
      <c r="K234" s="194">
        <f>IF(DBparts1[[#This Row],[Type]]&gt;0,VLOOKUP(DBparts1[[#This Row],[Discount seletion]],'Discount Structure'!$A$2:$B$30,2,"false"),0)</f>
        <v>0</v>
      </c>
      <c r="L234" s="194">
        <f>DBparts1[[#This Row],[LIST $]]*DBparts1[[#This Row],[DISCOUNT]]*DBparts1[[#This Row],[DISCOUNT 2]]</f>
        <v>0</v>
      </c>
      <c r="O234" s="118"/>
    </row>
    <row r="235" spans="2:15">
      <c r="B235" s="112"/>
      <c r="C235" s="112"/>
      <c r="D235" s="112"/>
      <c r="F235" s="168" t="s">
        <v>6202</v>
      </c>
      <c r="G235" s="232">
        <f>IF(DBparts1[[#This Row],[Type]]&gt;0,VLOOKUP(DBparts1[[#This Row],[Type]],Main[[#All],[TYPE]:[UNIT]],'Unit Price'!C$1,FALSE),0)</f>
        <v>0</v>
      </c>
      <c r="H235" s="194">
        <f>IF(DBparts1[[#This Row],[Type]]&gt;0,VLOOKUP(DBparts1[[#This Row],[Type]],Main[[#All],[TYPE]:[UNIT]],'Unit Price'!D$1,FALSE),0)</f>
        <v>0</v>
      </c>
      <c r="I235" s="194">
        <f>IF(DBparts1[[#This Row],[Type]]&gt;0,VLOOKUP(DBparts1[[#This Row],[Type]],Main[[#All],[TYPE]:[UNIT]],'Unit Price'!G$1,FALSE),0)</f>
        <v>0</v>
      </c>
      <c r="J235" s="194">
        <f>IF(DBparts1[[#This Row],[Type]]&gt;0,VLOOKUP(DBparts1[[#This Row],[Type]],Main[[#All],[TYPE]:[UNIT]],'Unit Price'!H$1,FALSE),0)</f>
        <v>0</v>
      </c>
      <c r="K235" s="194">
        <f>IF(DBparts1[[#This Row],[Type]]&gt;0,VLOOKUP(DBparts1[[#This Row],[Discount seletion]],'Discount Structure'!$A$2:$B$30,2,"false"),0)</f>
        <v>0</v>
      </c>
      <c r="L235" s="194">
        <f>DBparts1[[#This Row],[LIST $]]*DBparts1[[#This Row],[DISCOUNT]]*DBparts1[[#This Row],[DISCOUNT 2]]</f>
        <v>0</v>
      </c>
      <c r="O235" s="118"/>
    </row>
    <row r="236" spans="2:15">
      <c r="B236" s="112"/>
      <c r="C236" s="112"/>
      <c r="D236" s="112"/>
      <c r="F236" s="168" t="s">
        <v>6202</v>
      </c>
      <c r="G236" s="232">
        <f>IF(DBparts1[[#This Row],[Type]]&gt;0,VLOOKUP(DBparts1[[#This Row],[Type]],Main[[#All],[TYPE]:[UNIT]],'Unit Price'!C$1,FALSE),0)</f>
        <v>0</v>
      </c>
      <c r="H236" s="194">
        <f>IF(DBparts1[[#This Row],[Type]]&gt;0,VLOOKUP(DBparts1[[#This Row],[Type]],Main[[#All],[TYPE]:[UNIT]],'Unit Price'!D$1,FALSE),0)</f>
        <v>0</v>
      </c>
      <c r="I236" s="194">
        <f>IF(DBparts1[[#This Row],[Type]]&gt;0,VLOOKUP(DBparts1[[#This Row],[Type]],Main[[#All],[TYPE]:[UNIT]],'Unit Price'!G$1,FALSE),0)</f>
        <v>0</v>
      </c>
      <c r="J236" s="194">
        <f>IF(DBparts1[[#This Row],[Type]]&gt;0,VLOOKUP(DBparts1[[#This Row],[Type]],Main[[#All],[TYPE]:[UNIT]],'Unit Price'!H$1,FALSE),0)</f>
        <v>0</v>
      </c>
      <c r="K236" s="194">
        <f>IF(DBparts1[[#This Row],[Type]]&gt;0,VLOOKUP(DBparts1[[#This Row],[Discount seletion]],'Discount Structure'!$A$2:$B$30,2,"false"),0)</f>
        <v>0</v>
      </c>
      <c r="L236" s="194">
        <f>DBparts1[[#This Row],[LIST $]]*DBparts1[[#This Row],[DISCOUNT]]*DBparts1[[#This Row],[DISCOUNT 2]]</f>
        <v>0</v>
      </c>
      <c r="O236" s="118"/>
    </row>
    <row r="237" spans="2:15">
      <c r="B237" s="112"/>
      <c r="C237" s="112"/>
      <c r="D237" s="112"/>
      <c r="F237" s="168" t="s">
        <v>6202</v>
      </c>
      <c r="G237" s="232">
        <f>IF(DBparts1[[#This Row],[Type]]&gt;0,VLOOKUP(DBparts1[[#This Row],[Type]],Main[[#All],[TYPE]:[UNIT]],'Unit Price'!C$1,FALSE),0)</f>
        <v>0</v>
      </c>
      <c r="H237" s="194">
        <f>IF(DBparts1[[#This Row],[Type]]&gt;0,VLOOKUP(DBparts1[[#This Row],[Type]],Main[[#All],[TYPE]:[UNIT]],'Unit Price'!D$1,FALSE),0)</f>
        <v>0</v>
      </c>
      <c r="I237" s="194">
        <f>IF(DBparts1[[#This Row],[Type]]&gt;0,VLOOKUP(DBparts1[[#This Row],[Type]],Main[[#All],[TYPE]:[UNIT]],'Unit Price'!G$1,FALSE),0)</f>
        <v>0</v>
      </c>
      <c r="J237" s="194">
        <f>IF(DBparts1[[#This Row],[Type]]&gt;0,VLOOKUP(DBparts1[[#This Row],[Type]],Main[[#All],[TYPE]:[UNIT]],'Unit Price'!H$1,FALSE),0)</f>
        <v>0</v>
      </c>
      <c r="K237" s="194">
        <f>IF(DBparts1[[#This Row],[Type]]&gt;0,VLOOKUP(DBparts1[[#This Row],[Discount seletion]],'Discount Structure'!$A$2:$B$30,2,"false"),0)</f>
        <v>0</v>
      </c>
      <c r="L237" s="194">
        <f>DBparts1[[#This Row],[LIST $]]*DBparts1[[#This Row],[DISCOUNT]]*DBparts1[[#This Row],[DISCOUNT 2]]</f>
        <v>0</v>
      </c>
      <c r="O237" s="118"/>
    </row>
    <row r="238" spans="2:15">
      <c r="B238" s="112"/>
      <c r="C238" s="112"/>
      <c r="D238" s="112"/>
      <c r="F238" s="168" t="s">
        <v>6202</v>
      </c>
      <c r="G238" s="232">
        <f>IF(DBparts1[[#This Row],[Type]]&gt;0,VLOOKUP(DBparts1[[#This Row],[Type]],Main[[#All],[TYPE]:[UNIT]],'Unit Price'!C$1,FALSE),0)</f>
        <v>0</v>
      </c>
      <c r="H238" s="194">
        <f>IF(DBparts1[[#This Row],[Type]]&gt;0,VLOOKUP(DBparts1[[#This Row],[Type]],Main[[#All],[TYPE]:[UNIT]],'Unit Price'!D$1,FALSE),0)</f>
        <v>0</v>
      </c>
      <c r="I238" s="194">
        <f>IF(DBparts1[[#This Row],[Type]]&gt;0,VLOOKUP(DBparts1[[#This Row],[Type]],Main[[#All],[TYPE]:[UNIT]],'Unit Price'!G$1,FALSE),0)</f>
        <v>0</v>
      </c>
      <c r="J238" s="194">
        <f>IF(DBparts1[[#This Row],[Type]]&gt;0,VLOOKUP(DBparts1[[#This Row],[Type]],Main[[#All],[TYPE]:[UNIT]],'Unit Price'!H$1,FALSE),0)</f>
        <v>0</v>
      </c>
      <c r="K238" s="194">
        <f>IF(DBparts1[[#This Row],[Type]]&gt;0,VLOOKUP(DBparts1[[#This Row],[Discount seletion]],'Discount Structure'!$A$2:$B$30,2,"false"),0)</f>
        <v>0</v>
      </c>
      <c r="L238" s="194">
        <f>DBparts1[[#This Row],[LIST $]]*DBparts1[[#This Row],[DISCOUNT]]*DBparts1[[#This Row],[DISCOUNT 2]]</f>
        <v>0</v>
      </c>
      <c r="O238" s="118"/>
    </row>
    <row r="239" spans="2:15">
      <c r="B239" s="112"/>
      <c r="C239" s="112"/>
      <c r="D239" s="112"/>
      <c r="F239" s="168" t="s">
        <v>6202</v>
      </c>
      <c r="G239" s="232">
        <f>IF(DBparts1[[#This Row],[Type]]&gt;0,VLOOKUP(DBparts1[[#This Row],[Type]],Main[[#All],[TYPE]:[UNIT]],'Unit Price'!C$1,FALSE),0)</f>
        <v>0</v>
      </c>
      <c r="H239" s="194">
        <f>IF(DBparts1[[#This Row],[Type]]&gt;0,VLOOKUP(DBparts1[[#This Row],[Type]],Main[[#All],[TYPE]:[UNIT]],'Unit Price'!D$1,FALSE),0)</f>
        <v>0</v>
      </c>
      <c r="I239" s="194">
        <f>IF(DBparts1[[#This Row],[Type]]&gt;0,VLOOKUP(DBparts1[[#This Row],[Type]],Main[[#All],[TYPE]:[UNIT]],'Unit Price'!G$1,FALSE),0)</f>
        <v>0</v>
      </c>
      <c r="J239" s="194">
        <f>IF(DBparts1[[#This Row],[Type]]&gt;0,VLOOKUP(DBparts1[[#This Row],[Type]],Main[[#All],[TYPE]:[UNIT]],'Unit Price'!H$1,FALSE),0)</f>
        <v>0</v>
      </c>
      <c r="K239" s="194">
        <f>IF(DBparts1[[#This Row],[Type]]&gt;0,VLOOKUP(DBparts1[[#This Row],[Discount seletion]],'Discount Structure'!$A$2:$B$30,2,"false"),0)</f>
        <v>0</v>
      </c>
      <c r="L239" s="194">
        <f>DBparts1[[#This Row],[LIST $]]*DBparts1[[#This Row],[DISCOUNT]]*DBparts1[[#This Row],[DISCOUNT 2]]</f>
        <v>0</v>
      </c>
      <c r="O239" s="118"/>
    </row>
    <row r="240" spans="2:15">
      <c r="B240" s="112"/>
      <c r="C240" s="112"/>
      <c r="D240" s="112"/>
      <c r="F240" s="168" t="s">
        <v>6202</v>
      </c>
      <c r="G240" s="232">
        <f>IF(DBparts1[[#This Row],[Type]]&gt;0,VLOOKUP(DBparts1[[#This Row],[Type]],Main[[#All],[TYPE]:[UNIT]],'Unit Price'!C$1,FALSE),0)</f>
        <v>0</v>
      </c>
      <c r="H240" s="194">
        <f>IF(DBparts1[[#This Row],[Type]]&gt;0,VLOOKUP(DBparts1[[#This Row],[Type]],Main[[#All],[TYPE]:[UNIT]],'Unit Price'!D$1,FALSE),0)</f>
        <v>0</v>
      </c>
      <c r="I240" s="194">
        <f>IF(DBparts1[[#This Row],[Type]]&gt;0,VLOOKUP(DBparts1[[#This Row],[Type]],Main[[#All],[TYPE]:[UNIT]],'Unit Price'!G$1,FALSE),0)</f>
        <v>0</v>
      </c>
      <c r="J240" s="194">
        <f>IF(DBparts1[[#This Row],[Type]]&gt;0,VLOOKUP(DBparts1[[#This Row],[Type]],Main[[#All],[TYPE]:[UNIT]],'Unit Price'!H$1,FALSE),0)</f>
        <v>0</v>
      </c>
      <c r="K240" s="194">
        <f>IF(DBparts1[[#This Row],[Type]]&gt;0,VLOOKUP(DBparts1[[#This Row],[Discount seletion]],'Discount Structure'!$A$2:$B$30,2,"false"),0)</f>
        <v>0</v>
      </c>
      <c r="L240" s="194">
        <f>DBparts1[[#This Row],[LIST $]]*DBparts1[[#This Row],[DISCOUNT]]*DBparts1[[#This Row],[DISCOUNT 2]]</f>
        <v>0</v>
      </c>
      <c r="O240" s="118"/>
    </row>
    <row r="241" spans="2:15">
      <c r="B241" s="112"/>
      <c r="C241" s="112"/>
      <c r="D241" s="112"/>
      <c r="F241" s="168" t="s">
        <v>6202</v>
      </c>
      <c r="G241" s="232">
        <f>IF(DBparts1[[#This Row],[Type]]&gt;0,VLOOKUP(DBparts1[[#This Row],[Type]],Main[[#All],[TYPE]:[UNIT]],'Unit Price'!C$1,FALSE),0)</f>
        <v>0</v>
      </c>
      <c r="H241" s="194">
        <f>IF(DBparts1[[#This Row],[Type]]&gt;0,VLOOKUP(DBparts1[[#This Row],[Type]],Main[[#All],[TYPE]:[UNIT]],'Unit Price'!D$1,FALSE),0)</f>
        <v>0</v>
      </c>
      <c r="I241" s="194">
        <f>IF(DBparts1[[#This Row],[Type]]&gt;0,VLOOKUP(DBparts1[[#This Row],[Type]],Main[[#All],[TYPE]:[UNIT]],'Unit Price'!G$1,FALSE),0)</f>
        <v>0</v>
      </c>
      <c r="J241" s="194">
        <f>IF(DBparts1[[#This Row],[Type]]&gt;0,VLOOKUP(DBparts1[[#This Row],[Type]],Main[[#All],[TYPE]:[UNIT]],'Unit Price'!H$1,FALSE),0)</f>
        <v>0</v>
      </c>
      <c r="K241" s="194">
        <f>IF(DBparts1[[#This Row],[Type]]&gt;0,VLOOKUP(DBparts1[[#This Row],[Discount seletion]],'Discount Structure'!$A$2:$B$30,2,"false"),0)</f>
        <v>0</v>
      </c>
      <c r="L241" s="194">
        <f>DBparts1[[#This Row],[LIST $]]*DBparts1[[#This Row],[DISCOUNT]]*DBparts1[[#This Row],[DISCOUNT 2]]</f>
        <v>0</v>
      </c>
      <c r="O241" s="118"/>
    </row>
    <row r="242" spans="2:15">
      <c r="B242" s="112"/>
      <c r="C242" s="112"/>
      <c r="D242" s="112"/>
      <c r="F242" s="168" t="s">
        <v>6202</v>
      </c>
      <c r="G242" s="232">
        <f>IF(DBparts1[[#This Row],[Type]]&gt;0,VLOOKUP(DBparts1[[#This Row],[Type]],Main[[#All],[TYPE]:[UNIT]],'Unit Price'!C$1,FALSE),0)</f>
        <v>0</v>
      </c>
      <c r="H242" s="194">
        <f>IF(DBparts1[[#This Row],[Type]]&gt;0,VLOOKUP(DBparts1[[#This Row],[Type]],Main[[#All],[TYPE]:[UNIT]],'Unit Price'!D$1,FALSE),0)</f>
        <v>0</v>
      </c>
      <c r="I242" s="194">
        <f>IF(DBparts1[[#This Row],[Type]]&gt;0,VLOOKUP(DBparts1[[#This Row],[Type]],Main[[#All],[TYPE]:[UNIT]],'Unit Price'!G$1,FALSE),0)</f>
        <v>0</v>
      </c>
      <c r="J242" s="194">
        <f>IF(DBparts1[[#This Row],[Type]]&gt;0,VLOOKUP(DBparts1[[#This Row],[Type]],Main[[#All],[TYPE]:[UNIT]],'Unit Price'!H$1,FALSE),0)</f>
        <v>0</v>
      </c>
      <c r="K242" s="194">
        <f>IF(DBparts1[[#This Row],[Type]]&gt;0,VLOOKUP(DBparts1[[#This Row],[Discount seletion]],'Discount Structure'!$A$2:$B$30,2,"false"),0)</f>
        <v>0</v>
      </c>
      <c r="L242" s="194">
        <f>DBparts1[[#This Row],[LIST $]]*DBparts1[[#This Row],[DISCOUNT]]*DBparts1[[#This Row],[DISCOUNT 2]]</f>
        <v>0</v>
      </c>
      <c r="O242" s="118"/>
    </row>
    <row r="243" spans="2:15">
      <c r="B243" s="112"/>
      <c r="C243" s="112"/>
      <c r="D243" s="112"/>
      <c r="F243" s="168" t="s">
        <v>6202</v>
      </c>
      <c r="G243" s="232">
        <f>IF(DBparts1[[#This Row],[Type]]&gt;0,VLOOKUP(DBparts1[[#This Row],[Type]],Main[[#All],[TYPE]:[UNIT]],'Unit Price'!C$1,FALSE),0)</f>
        <v>0</v>
      </c>
      <c r="H243" s="194">
        <f>IF(DBparts1[[#This Row],[Type]]&gt;0,VLOOKUP(DBparts1[[#This Row],[Type]],Main[[#All],[TYPE]:[UNIT]],'Unit Price'!D$1,FALSE),0)</f>
        <v>0</v>
      </c>
      <c r="I243" s="194">
        <f>IF(DBparts1[[#This Row],[Type]]&gt;0,VLOOKUP(DBparts1[[#This Row],[Type]],Main[[#All],[TYPE]:[UNIT]],'Unit Price'!G$1,FALSE),0)</f>
        <v>0</v>
      </c>
      <c r="J243" s="194">
        <f>IF(DBparts1[[#This Row],[Type]]&gt;0,VLOOKUP(DBparts1[[#This Row],[Type]],Main[[#All],[TYPE]:[UNIT]],'Unit Price'!H$1,FALSE),0)</f>
        <v>0</v>
      </c>
      <c r="K243" s="194">
        <f>IF(DBparts1[[#This Row],[Type]]&gt;0,VLOOKUP(DBparts1[[#This Row],[Discount seletion]],'Discount Structure'!$A$2:$B$30,2,"false"),0)</f>
        <v>0</v>
      </c>
      <c r="L243" s="194">
        <f>DBparts1[[#This Row],[LIST $]]*DBparts1[[#This Row],[DISCOUNT]]*DBparts1[[#This Row],[DISCOUNT 2]]</f>
        <v>0</v>
      </c>
      <c r="O243" s="118"/>
    </row>
    <row r="244" spans="2:15">
      <c r="B244" s="112"/>
      <c r="C244" s="112"/>
      <c r="D244" s="112"/>
      <c r="F244" s="168" t="s">
        <v>6202</v>
      </c>
      <c r="G244" s="232">
        <f>IF(DBparts1[[#This Row],[Type]]&gt;0,VLOOKUP(DBparts1[[#This Row],[Type]],Main[[#All],[TYPE]:[UNIT]],'Unit Price'!C$1,FALSE),0)</f>
        <v>0</v>
      </c>
      <c r="H244" s="194">
        <f>IF(DBparts1[[#This Row],[Type]]&gt;0,VLOOKUP(DBparts1[[#This Row],[Type]],Main[[#All],[TYPE]:[UNIT]],'Unit Price'!D$1,FALSE),0)</f>
        <v>0</v>
      </c>
      <c r="I244" s="194">
        <f>IF(DBparts1[[#This Row],[Type]]&gt;0,VLOOKUP(DBparts1[[#This Row],[Type]],Main[[#All],[TYPE]:[UNIT]],'Unit Price'!G$1,FALSE),0)</f>
        <v>0</v>
      </c>
      <c r="J244" s="194">
        <f>IF(DBparts1[[#This Row],[Type]]&gt;0,VLOOKUP(DBparts1[[#This Row],[Type]],Main[[#All],[TYPE]:[UNIT]],'Unit Price'!H$1,FALSE),0)</f>
        <v>0</v>
      </c>
      <c r="K244" s="194">
        <f>IF(DBparts1[[#This Row],[Type]]&gt;0,VLOOKUP(DBparts1[[#This Row],[Discount seletion]],'Discount Structure'!$A$2:$B$30,2,"false"),0)</f>
        <v>0</v>
      </c>
      <c r="L244" s="194">
        <f>DBparts1[[#This Row],[LIST $]]*DBparts1[[#This Row],[DISCOUNT]]*DBparts1[[#This Row],[DISCOUNT 2]]</f>
        <v>0</v>
      </c>
      <c r="O244" s="118"/>
    </row>
    <row r="245" spans="2:15">
      <c r="B245" s="112"/>
      <c r="C245" s="112"/>
      <c r="D245" s="112"/>
      <c r="F245" s="168" t="s">
        <v>6202</v>
      </c>
      <c r="G245" s="232">
        <f>IF(DBparts1[[#This Row],[Type]]&gt;0,VLOOKUP(DBparts1[[#This Row],[Type]],Main[[#All],[TYPE]:[UNIT]],'Unit Price'!C$1,FALSE),0)</f>
        <v>0</v>
      </c>
      <c r="H245" s="194">
        <f>IF(DBparts1[[#This Row],[Type]]&gt;0,VLOOKUP(DBparts1[[#This Row],[Type]],Main[[#All],[TYPE]:[UNIT]],'Unit Price'!D$1,FALSE),0)</f>
        <v>0</v>
      </c>
      <c r="I245" s="194">
        <f>IF(DBparts1[[#This Row],[Type]]&gt;0,VLOOKUP(DBparts1[[#This Row],[Type]],Main[[#All],[TYPE]:[UNIT]],'Unit Price'!G$1,FALSE),0)</f>
        <v>0</v>
      </c>
      <c r="J245" s="194">
        <f>IF(DBparts1[[#This Row],[Type]]&gt;0,VLOOKUP(DBparts1[[#This Row],[Type]],Main[[#All],[TYPE]:[UNIT]],'Unit Price'!H$1,FALSE),0)</f>
        <v>0</v>
      </c>
      <c r="K245" s="194">
        <f>IF(DBparts1[[#This Row],[Type]]&gt;0,VLOOKUP(DBparts1[[#This Row],[Discount seletion]],'Discount Structure'!$A$2:$B$30,2,"false"),0)</f>
        <v>0</v>
      </c>
      <c r="L245" s="194">
        <f>DBparts1[[#This Row],[LIST $]]*DBparts1[[#This Row],[DISCOUNT]]*DBparts1[[#This Row],[DISCOUNT 2]]</f>
        <v>0</v>
      </c>
      <c r="O245" s="118"/>
    </row>
    <row r="246" spans="2:15">
      <c r="B246" s="112"/>
      <c r="C246" s="112"/>
      <c r="D246" s="112"/>
      <c r="F246" s="168" t="s">
        <v>6202</v>
      </c>
      <c r="G246" s="232">
        <f>IF(DBparts1[[#This Row],[Type]]&gt;0,VLOOKUP(DBparts1[[#This Row],[Type]],Main[[#All],[TYPE]:[UNIT]],'Unit Price'!C$1,FALSE),0)</f>
        <v>0</v>
      </c>
      <c r="H246" s="194">
        <f>IF(DBparts1[[#This Row],[Type]]&gt;0,VLOOKUP(DBparts1[[#This Row],[Type]],Main[[#All],[TYPE]:[UNIT]],'Unit Price'!D$1,FALSE),0)</f>
        <v>0</v>
      </c>
      <c r="I246" s="194">
        <f>IF(DBparts1[[#This Row],[Type]]&gt;0,VLOOKUP(DBparts1[[#This Row],[Type]],Main[[#All],[TYPE]:[UNIT]],'Unit Price'!G$1,FALSE),0)</f>
        <v>0</v>
      </c>
      <c r="J246" s="194">
        <f>IF(DBparts1[[#This Row],[Type]]&gt;0,VLOOKUP(DBparts1[[#This Row],[Type]],Main[[#All],[TYPE]:[UNIT]],'Unit Price'!H$1,FALSE),0)</f>
        <v>0</v>
      </c>
      <c r="K246" s="194">
        <f>IF(DBparts1[[#This Row],[Type]]&gt;0,VLOOKUP(DBparts1[[#This Row],[Discount seletion]],'Discount Structure'!$A$2:$B$30,2,"false"),0)</f>
        <v>0</v>
      </c>
      <c r="L246" s="194">
        <f>DBparts1[[#This Row],[LIST $]]*DBparts1[[#This Row],[DISCOUNT]]*DBparts1[[#This Row],[DISCOUNT 2]]</f>
        <v>0</v>
      </c>
      <c r="O246" s="118"/>
    </row>
    <row r="247" spans="2:15">
      <c r="B247" s="112"/>
      <c r="C247" s="112"/>
      <c r="D247" s="112"/>
      <c r="F247" s="168" t="s">
        <v>6202</v>
      </c>
      <c r="G247" s="232">
        <f>IF(DBparts1[[#This Row],[Type]]&gt;0,VLOOKUP(DBparts1[[#This Row],[Type]],Main[[#All],[TYPE]:[UNIT]],'Unit Price'!C$1,FALSE),0)</f>
        <v>0</v>
      </c>
      <c r="H247" s="194">
        <f>IF(DBparts1[[#This Row],[Type]]&gt;0,VLOOKUP(DBparts1[[#This Row],[Type]],Main[[#All],[TYPE]:[UNIT]],'Unit Price'!D$1,FALSE),0)</f>
        <v>0</v>
      </c>
      <c r="I247" s="194">
        <f>IF(DBparts1[[#This Row],[Type]]&gt;0,VLOOKUP(DBparts1[[#This Row],[Type]],Main[[#All],[TYPE]:[UNIT]],'Unit Price'!G$1,FALSE),0)</f>
        <v>0</v>
      </c>
      <c r="J247" s="194">
        <f>IF(DBparts1[[#This Row],[Type]]&gt;0,VLOOKUP(DBparts1[[#This Row],[Type]],Main[[#All],[TYPE]:[UNIT]],'Unit Price'!H$1,FALSE),0)</f>
        <v>0</v>
      </c>
      <c r="K247" s="194">
        <f>IF(DBparts1[[#This Row],[Type]]&gt;0,VLOOKUP(DBparts1[[#This Row],[Discount seletion]],'Discount Structure'!$A$2:$B$30,2,"false"),0)</f>
        <v>0</v>
      </c>
      <c r="L247" s="194">
        <f>DBparts1[[#This Row],[LIST $]]*DBparts1[[#This Row],[DISCOUNT]]*DBparts1[[#This Row],[DISCOUNT 2]]</f>
        <v>0</v>
      </c>
      <c r="O247" s="118"/>
    </row>
    <row r="248" spans="2:15">
      <c r="B248" s="112"/>
      <c r="C248" s="112"/>
      <c r="D248" s="112"/>
      <c r="F248" s="168" t="s">
        <v>6202</v>
      </c>
      <c r="G248" s="232">
        <f>IF(DBparts1[[#This Row],[Type]]&gt;0,VLOOKUP(DBparts1[[#This Row],[Type]],Main[[#All],[TYPE]:[UNIT]],'Unit Price'!C$1,FALSE),0)</f>
        <v>0</v>
      </c>
      <c r="H248" s="194">
        <f>IF(DBparts1[[#This Row],[Type]]&gt;0,VLOOKUP(DBparts1[[#This Row],[Type]],Main[[#All],[TYPE]:[UNIT]],'Unit Price'!D$1,FALSE),0)</f>
        <v>0</v>
      </c>
      <c r="I248" s="194">
        <f>IF(DBparts1[[#This Row],[Type]]&gt;0,VLOOKUP(DBparts1[[#This Row],[Type]],Main[[#All],[TYPE]:[UNIT]],'Unit Price'!G$1,FALSE),0)</f>
        <v>0</v>
      </c>
      <c r="J248" s="194">
        <f>IF(DBparts1[[#This Row],[Type]]&gt;0,VLOOKUP(DBparts1[[#This Row],[Type]],Main[[#All],[TYPE]:[UNIT]],'Unit Price'!H$1,FALSE),0)</f>
        <v>0</v>
      </c>
      <c r="K248" s="194">
        <f>IF(DBparts1[[#This Row],[Type]]&gt;0,VLOOKUP(DBparts1[[#This Row],[Discount seletion]],'Discount Structure'!$A$2:$B$30,2,"false"),0)</f>
        <v>0</v>
      </c>
      <c r="L248" s="194">
        <f>DBparts1[[#This Row],[LIST $]]*DBparts1[[#This Row],[DISCOUNT]]*DBparts1[[#This Row],[DISCOUNT 2]]</f>
        <v>0</v>
      </c>
      <c r="O248" s="118"/>
    </row>
    <row r="249" spans="2:15">
      <c r="B249" s="112"/>
      <c r="C249" s="112"/>
      <c r="D249" s="112"/>
      <c r="F249" s="168" t="s">
        <v>6202</v>
      </c>
      <c r="G249" s="232">
        <f>IF(DBparts1[[#This Row],[Type]]&gt;0,VLOOKUP(DBparts1[[#This Row],[Type]],Main[[#All],[TYPE]:[UNIT]],'Unit Price'!C$1,FALSE),0)</f>
        <v>0</v>
      </c>
      <c r="H249" s="194">
        <f>IF(DBparts1[[#This Row],[Type]]&gt;0,VLOOKUP(DBparts1[[#This Row],[Type]],Main[[#All],[TYPE]:[UNIT]],'Unit Price'!D$1,FALSE),0)</f>
        <v>0</v>
      </c>
      <c r="I249" s="194">
        <f>IF(DBparts1[[#This Row],[Type]]&gt;0,VLOOKUP(DBparts1[[#This Row],[Type]],Main[[#All],[TYPE]:[UNIT]],'Unit Price'!G$1,FALSE),0)</f>
        <v>0</v>
      </c>
      <c r="J249" s="194">
        <f>IF(DBparts1[[#This Row],[Type]]&gt;0,VLOOKUP(DBparts1[[#This Row],[Type]],Main[[#All],[TYPE]:[UNIT]],'Unit Price'!H$1,FALSE),0)</f>
        <v>0</v>
      </c>
      <c r="K249" s="194">
        <f>IF(DBparts1[[#This Row],[Type]]&gt;0,VLOOKUP(DBparts1[[#This Row],[Discount seletion]],'Discount Structure'!$A$2:$B$30,2,"false"),0)</f>
        <v>0</v>
      </c>
      <c r="L249" s="194">
        <f>DBparts1[[#This Row],[LIST $]]*DBparts1[[#This Row],[DISCOUNT]]*DBparts1[[#This Row],[DISCOUNT 2]]</f>
        <v>0</v>
      </c>
      <c r="O249" s="118"/>
    </row>
    <row r="250" spans="2:15">
      <c r="B250" s="112"/>
      <c r="C250" s="112"/>
      <c r="D250" s="112"/>
      <c r="F250" s="168" t="s">
        <v>6202</v>
      </c>
      <c r="G250" s="232">
        <f>IF(DBparts1[[#This Row],[Type]]&gt;0,VLOOKUP(DBparts1[[#This Row],[Type]],Main[[#All],[TYPE]:[UNIT]],'Unit Price'!C$1,FALSE),0)</f>
        <v>0</v>
      </c>
      <c r="H250" s="194">
        <f>IF(DBparts1[[#This Row],[Type]]&gt;0,VLOOKUP(DBparts1[[#This Row],[Type]],Main[[#All],[TYPE]:[UNIT]],'Unit Price'!D$1,FALSE),0)</f>
        <v>0</v>
      </c>
      <c r="I250" s="194">
        <f>IF(DBparts1[[#This Row],[Type]]&gt;0,VLOOKUP(DBparts1[[#This Row],[Type]],Main[[#All],[TYPE]:[UNIT]],'Unit Price'!G$1,FALSE),0)</f>
        <v>0</v>
      </c>
      <c r="J250" s="194">
        <f>IF(DBparts1[[#This Row],[Type]]&gt;0,VLOOKUP(DBparts1[[#This Row],[Type]],Main[[#All],[TYPE]:[UNIT]],'Unit Price'!H$1,FALSE),0)</f>
        <v>0</v>
      </c>
      <c r="K250" s="194">
        <f>IF(DBparts1[[#This Row],[Type]]&gt;0,VLOOKUP(DBparts1[[#This Row],[Discount seletion]],'Discount Structure'!$A$2:$B$30,2,"false"),0)</f>
        <v>0</v>
      </c>
      <c r="L250" s="194">
        <f>DBparts1[[#This Row],[LIST $]]*DBparts1[[#This Row],[DISCOUNT]]*DBparts1[[#This Row],[DISCOUNT 2]]</f>
        <v>0</v>
      </c>
      <c r="O250" s="118"/>
    </row>
    <row r="251" spans="2:15">
      <c r="B251" s="112"/>
      <c r="C251" s="112"/>
      <c r="D251" s="112"/>
      <c r="F251" s="168" t="s">
        <v>6202</v>
      </c>
      <c r="G251" s="232">
        <f>IF(DBparts1[[#This Row],[Type]]&gt;0,VLOOKUP(DBparts1[[#This Row],[Type]],Main[[#All],[TYPE]:[UNIT]],'Unit Price'!C$1,FALSE),0)</f>
        <v>0</v>
      </c>
      <c r="H251" s="194">
        <f>IF(DBparts1[[#This Row],[Type]]&gt;0,VLOOKUP(DBparts1[[#This Row],[Type]],Main[[#All],[TYPE]:[UNIT]],'Unit Price'!D$1,FALSE),0)</f>
        <v>0</v>
      </c>
      <c r="I251" s="194">
        <f>IF(DBparts1[[#This Row],[Type]]&gt;0,VLOOKUP(DBparts1[[#This Row],[Type]],Main[[#All],[TYPE]:[UNIT]],'Unit Price'!G$1,FALSE),0)</f>
        <v>0</v>
      </c>
      <c r="J251" s="194">
        <f>IF(DBparts1[[#This Row],[Type]]&gt;0,VLOOKUP(DBparts1[[#This Row],[Type]],Main[[#All],[TYPE]:[UNIT]],'Unit Price'!H$1,FALSE),0)</f>
        <v>0</v>
      </c>
      <c r="K251" s="194">
        <f>IF(DBparts1[[#This Row],[Type]]&gt;0,VLOOKUP(DBparts1[[#This Row],[Discount seletion]],'Discount Structure'!$A$2:$B$30,2,"false"),0)</f>
        <v>0</v>
      </c>
      <c r="L251" s="194">
        <f>DBparts1[[#This Row],[LIST $]]*DBparts1[[#This Row],[DISCOUNT]]*DBparts1[[#This Row],[DISCOUNT 2]]</f>
        <v>0</v>
      </c>
      <c r="O251" s="118"/>
    </row>
    <row r="252" spans="2:15">
      <c r="B252" s="112"/>
      <c r="C252" s="112"/>
      <c r="D252" s="112"/>
      <c r="F252" s="168" t="s">
        <v>6202</v>
      </c>
      <c r="G252" s="232">
        <f>IF(DBparts1[[#This Row],[Type]]&gt;0,VLOOKUP(DBparts1[[#This Row],[Type]],Main[[#All],[TYPE]:[UNIT]],'Unit Price'!C$1,FALSE),0)</f>
        <v>0</v>
      </c>
      <c r="H252" s="194">
        <f>IF(DBparts1[[#This Row],[Type]]&gt;0,VLOOKUP(DBparts1[[#This Row],[Type]],Main[[#All],[TYPE]:[UNIT]],'Unit Price'!D$1,FALSE),0)</f>
        <v>0</v>
      </c>
      <c r="I252" s="194">
        <f>IF(DBparts1[[#This Row],[Type]]&gt;0,VLOOKUP(DBparts1[[#This Row],[Type]],Main[[#All],[TYPE]:[UNIT]],'Unit Price'!G$1,FALSE),0)</f>
        <v>0</v>
      </c>
      <c r="J252" s="194">
        <f>IF(DBparts1[[#This Row],[Type]]&gt;0,VLOOKUP(DBparts1[[#This Row],[Type]],Main[[#All],[TYPE]:[UNIT]],'Unit Price'!H$1,FALSE),0)</f>
        <v>0</v>
      </c>
      <c r="K252" s="194">
        <f>IF(DBparts1[[#This Row],[Type]]&gt;0,VLOOKUP(DBparts1[[#This Row],[Discount seletion]],'Discount Structure'!$A$2:$B$30,2,"false"),0)</f>
        <v>0</v>
      </c>
      <c r="L252" s="194">
        <f>DBparts1[[#This Row],[LIST $]]*DBparts1[[#This Row],[DISCOUNT]]*DBparts1[[#This Row],[DISCOUNT 2]]</f>
        <v>0</v>
      </c>
      <c r="O252" s="118"/>
    </row>
    <row r="253" spans="2:15">
      <c r="B253" s="112"/>
      <c r="C253" s="112"/>
      <c r="D253" s="112"/>
      <c r="F253" s="168" t="s">
        <v>6202</v>
      </c>
      <c r="G253" s="232">
        <f>IF(DBparts1[[#This Row],[Type]]&gt;0,VLOOKUP(DBparts1[[#This Row],[Type]],Main[[#All],[TYPE]:[UNIT]],'Unit Price'!C$1,FALSE),0)</f>
        <v>0</v>
      </c>
      <c r="H253" s="194">
        <f>IF(DBparts1[[#This Row],[Type]]&gt;0,VLOOKUP(DBparts1[[#This Row],[Type]],Main[[#All],[TYPE]:[UNIT]],'Unit Price'!D$1,FALSE),0)</f>
        <v>0</v>
      </c>
      <c r="I253" s="194">
        <f>IF(DBparts1[[#This Row],[Type]]&gt;0,VLOOKUP(DBparts1[[#This Row],[Type]],Main[[#All],[TYPE]:[UNIT]],'Unit Price'!G$1,FALSE),0)</f>
        <v>0</v>
      </c>
      <c r="J253" s="194">
        <f>IF(DBparts1[[#This Row],[Type]]&gt;0,VLOOKUP(DBparts1[[#This Row],[Type]],Main[[#All],[TYPE]:[UNIT]],'Unit Price'!H$1,FALSE),0)</f>
        <v>0</v>
      </c>
      <c r="K253" s="194">
        <f>IF(DBparts1[[#This Row],[Type]]&gt;0,VLOOKUP(DBparts1[[#This Row],[Discount seletion]],'Discount Structure'!$A$2:$B$30,2,"false"),0)</f>
        <v>0</v>
      </c>
      <c r="L253" s="194">
        <f>DBparts1[[#This Row],[LIST $]]*DBparts1[[#This Row],[DISCOUNT]]*DBparts1[[#This Row],[DISCOUNT 2]]</f>
        <v>0</v>
      </c>
      <c r="O253" s="118"/>
    </row>
    <row r="254" spans="2:15">
      <c r="B254" s="112"/>
      <c r="C254" s="112"/>
      <c r="D254" s="112"/>
      <c r="F254" s="168" t="s">
        <v>6202</v>
      </c>
      <c r="G254" s="232">
        <f>IF(DBparts1[[#This Row],[Type]]&gt;0,VLOOKUP(DBparts1[[#This Row],[Type]],Main[[#All],[TYPE]:[UNIT]],'Unit Price'!C$1,FALSE),0)</f>
        <v>0</v>
      </c>
      <c r="H254" s="194">
        <f>IF(DBparts1[[#This Row],[Type]]&gt;0,VLOOKUP(DBparts1[[#This Row],[Type]],Main[[#All],[TYPE]:[UNIT]],'Unit Price'!D$1,FALSE),0)</f>
        <v>0</v>
      </c>
      <c r="I254" s="194">
        <f>IF(DBparts1[[#This Row],[Type]]&gt;0,VLOOKUP(DBparts1[[#This Row],[Type]],Main[[#All],[TYPE]:[UNIT]],'Unit Price'!G$1,FALSE),0)</f>
        <v>0</v>
      </c>
      <c r="J254" s="194">
        <f>IF(DBparts1[[#This Row],[Type]]&gt;0,VLOOKUP(DBparts1[[#This Row],[Type]],Main[[#All],[TYPE]:[UNIT]],'Unit Price'!H$1,FALSE),0)</f>
        <v>0</v>
      </c>
      <c r="K254" s="194">
        <f>IF(DBparts1[[#This Row],[Type]]&gt;0,VLOOKUP(DBparts1[[#This Row],[Discount seletion]],'Discount Structure'!$A$2:$B$30,2,"false"),0)</f>
        <v>0</v>
      </c>
      <c r="L254" s="194">
        <f>DBparts1[[#This Row],[LIST $]]*DBparts1[[#This Row],[DISCOUNT]]*DBparts1[[#This Row],[DISCOUNT 2]]</f>
        <v>0</v>
      </c>
      <c r="O254" s="118"/>
    </row>
    <row r="255" spans="2:15">
      <c r="B255" s="112"/>
      <c r="C255" s="112"/>
      <c r="D255" s="112"/>
      <c r="F255" s="168" t="s">
        <v>6202</v>
      </c>
      <c r="G255" s="232">
        <f>IF(DBparts1[[#This Row],[Type]]&gt;0,VLOOKUP(DBparts1[[#This Row],[Type]],Main[[#All],[TYPE]:[UNIT]],'Unit Price'!C$1,FALSE),0)</f>
        <v>0</v>
      </c>
      <c r="H255" s="194">
        <f>IF(DBparts1[[#This Row],[Type]]&gt;0,VLOOKUP(DBparts1[[#This Row],[Type]],Main[[#All],[TYPE]:[UNIT]],'Unit Price'!D$1,FALSE),0)</f>
        <v>0</v>
      </c>
      <c r="I255" s="194">
        <f>IF(DBparts1[[#This Row],[Type]]&gt;0,VLOOKUP(DBparts1[[#This Row],[Type]],Main[[#All],[TYPE]:[UNIT]],'Unit Price'!G$1,FALSE),0)</f>
        <v>0</v>
      </c>
      <c r="J255" s="194">
        <f>IF(DBparts1[[#This Row],[Type]]&gt;0,VLOOKUP(DBparts1[[#This Row],[Type]],Main[[#All],[TYPE]:[UNIT]],'Unit Price'!H$1,FALSE),0)</f>
        <v>0</v>
      </c>
      <c r="K255" s="194">
        <f>IF(DBparts1[[#This Row],[Type]]&gt;0,VLOOKUP(DBparts1[[#This Row],[Discount seletion]],'Discount Structure'!$A$2:$B$30,2,"false"),0)</f>
        <v>0</v>
      </c>
      <c r="L255" s="194">
        <f>DBparts1[[#This Row],[LIST $]]*DBparts1[[#This Row],[DISCOUNT]]*DBparts1[[#This Row],[DISCOUNT 2]]</f>
        <v>0</v>
      </c>
      <c r="O255" s="118"/>
    </row>
    <row r="256" spans="2:15">
      <c r="B256" s="112"/>
      <c r="C256" s="112"/>
      <c r="D256" s="112"/>
      <c r="F256" s="168" t="s">
        <v>6202</v>
      </c>
      <c r="G256" s="232">
        <f>IF(DBparts1[[#This Row],[Type]]&gt;0,VLOOKUP(DBparts1[[#This Row],[Type]],Main[[#All],[TYPE]:[UNIT]],'Unit Price'!C$1,FALSE),0)</f>
        <v>0</v>
      </c>
      <c r="H256" s="194">
        <f>IF(DBparts1[[#This Row],[Type]]&gt;0,VLOOKUP(DBparts1[[#This Row],[Type]],Main[[#All],[TYPE]:[UNIT]],'Unit Price'!D$1,FALSE),0)</f>
        <v>0</v>
      </c>
      <c r="I256" s="194">
        <f>IF(DBparts1[[#This Row],[Type]]&gt;0,VLOOKUP(DBparts1[[#This Row],[Type]],Main[[#All],[TYPE]:[UNIT]],'Unit Price'!G$1,FALSE),0)</f>
        <v>0</v>
      </c>
      <c r="J256" s="194">
        <f>IF(DBparts1[[#This Row],[Type]]&gt;0,VLOOKUP(DBparts1[[#This Row],[Type]],Main[[#All],[TYPE]:[UNIT]],'Unit Price'!H$1,FALSE),0)</f>
        <v>0</v>
      </c>
      <c r="K256" s="194">
        <f>IF(DBparts1[[#This Row],[Type]]&gt;0,VLOOKUP(DBparts1[[#This Row],[Discount seletion]],'Discount Structure'!$A$2:$B$30,2,"false"),0)</f>
        <v>0</v>
      </c>
      <c r="L256" s="194">
        <f>DBparts1[[#This Row],[LIST $]]*DBparts1[[#This Row],[DISCOUNT]]*DBparts1[[#This Row],[DISCOUNT 2]]</f>
        <v>0</v>
      </c>
    </row>
    <row r="257" spans="2:12">
      <c r="B257" s="112"/>
      <c r="C257" s="112"/>
      <c r="D257" s="112"/>
      <c r="F257" s="168" t="s">
        <v>6202</v>
      </c>
      <c r="G257" s="232">
        <f>IF(DBparts1[[#This Row],[Type]]&gt;0,VLOOKUP(DBparts1[[#This Row],[Type]],Main[[#All],[TYPE]:[UNIT]],'Unit Price'!C$1,FALSE),0)</f>
        <v>0</v>
      </c>
      <c r="H257" s="194">
        <f>IF(DBparts1[[#This Row],[Type]]&gt;0,VLOOKUP(DBparts1[[#This Row],[Type]],Main[[#All],[TYPE]:[UNIT]],'Unit Price'!D$1,FALSE),0)</f>
        <v>0</v>
      </c>
      <c r="I257" s="194">
        <f>IF(DBparts1[[#This Row],[Type]]&gt;0,VLOOKUP(DBparts1[[#This Row],[Type]],Main[[#All],[TYPE]:[UNIT]],'Unit Price'!G$1,FALSE),0)</f>
        <v>0</v>
      </c>
      <c r="J257" s="194">
        <f>IF(DBparts1[[#This Row],[Type]]&gt;0,VLOOKUP(DBparts1[[#This Row],[Type]],Main[[#All],[TYPE]:[UNIT]],'Unit Price'!H$1,FALSE),0)</f>
        <v>0</v>
      </c>
      <c r="K257" s="194">
        <f>IF(DBparts1[[#This Row],[Type]]&gt;0,VLOOKUP(DBparts1[[#This Row],[Discount seletion]],'Discount Structure'!$A$2:$B$30,2,"false"),0)</f>
        <v>0</v>
      </c>
      <c r="L257" s="194">
        <f>DBparts1[[#This Row],[LIST $]]*DBparts1[[#This Row],[DISCOUNT]]*DBparts1[[#This Row],[DISCOUNT 2]]</f>
        <v>0</v>
      </c>
    </row>
    <row r="258" spans="2:12">
      <c r="B258" s="112"/>
      <c r="C258" s="112"/>
      <c r="D258" s="112"/>
      <c r="F258" s="168" t="s">
        <v>6202</v>
      </c>
      <c r="G258" s="232">
        <f>IF(DBparts1[[#This Row],[Type]]&gt;0,VLOOKUP(DBparts1[[#This Row],[Type]],Main[[#All],[TYPE]:[UNIT]],'Unit Price'!C$1,FALSE),0)</f>
        <v>0</v>
      </c>
      <c r="H258" s="194">
        <f>IF(DBparts1[[#This Row],[Type]]&gt;0,VLOOKUP(DBparts1[[#This Row],[Type]],Main[[#All],[TYPE]:[UNIT]],'Unit Price'!D$1,FALSE),0)</f>
        <v>0</v>
      </c>
      <c r="I258" s="194">
        <f>IF(DBparts1[[#This Row],[Type]]&gt;0,VLOOKUP(DBparts1[[#This Row],[Type]],Main[[#All],[TYPE]:[UNIT]],'Unit Price'!G$1,FALSE),0)</f>
        <v>0</v>
      </c>
      <c r="J258" s="194">
        <f>IF(DBparts1[[#This Row],[Type]]&gt;0,VLOOKUP(DBparts1[[#This Row],[Type]],Main[[#All],[TYPE]:[UNIT]],'Unit Price'!H$1,FALSE),0)</f>
        <v>0</v>
      </c>
      <c r="K258" s="194">
        <f>IF(DBparts1[[#This Row],[Type]]&gt;0,VLOOKUP(DBparts1[[#This Row],[Discount seletion]],'Discount Structure'!$A$2:$B$30,2,"false"),0)</f>
        <v>0</v>
      </c>
      <c r="L258" s="194">
        <f>DBparts1[[#This Row],[LIST $]]*DBparts1[[#This Row],[DISCOUNT]]*DBparts1[[#This Row],[DISCOUNT 2]]</f>
        <v>0</v>
      </c>
    </row>
    <row r="259" spans="2:12">
      <c r="B259" s="112"/>
      <c r="C259" s="112"/>
      <c r="D259" s="112"/>
      <c r="F259" s="168" t="s">
        <v>6202</v>
      </c>
      <c r="G259" s="232">
        <f>IF(DBparts1[[#This Row],[Type]]&gt;0,VLOOKUP(DBparts1[[#This Row],[Type]],Main[[#All],[TYPE]:[UNIT]],'Unit Price'!C$1,FALSE),0)</f>
        <v>0</v>
      </c>
      <c r="H259" s="194">
        <f>IF(DBparts1[[#This Row],[Type]]&gt;0,VLOOKUP(DBparts1[[#This Row],[Type]],Main[[#All],[TYPE]:[UNIT]],'Unit Price'!D$1,FALSE),0)</f>
        <v>0</v>
      </c>
      <c r="I259" s="194">
        <f>IF(DBparts1[[#This Row],[Type]]&gt;0,VLOOKUP(DBparts1[[#This Row],[Type]],Main[[#All],[TYPE]:[UNIT]],'Unit Price'!G$1,FALSE),0)</f>
        <v>0</v>
      </c>
      <c r="J259" s="194">
        <f>IF(DBparts1[[#This Row],[Type]]&gt;0,VLOOKUP(DBparts1[[#This Row],[Type]],Main[[#All],[TYPE]:[UNIT]],'Unit Price'!H$1,FALSE),0)</f>
        <v>0</v>
      </c>
      <c r="K259" s="194">
        <f>IF(DBparts1[[#This Row],[Type]]&gt;0,VLOOKUP(DBparts1[[#This Row],[Discount seletion]],'Discount Structure'!$A$2:$B$30,2,"false"),0)</f>
        <v>0</v>
      </c>
      <c r="L259" s="194">
        <f>DBparts1[[#This Row],[LIST $]]*DBparts1[[#This Row],[DISCOUNT]]*DBparts1[[#This Row],[DISCOUNT 2]]</f>
        <v>0</v>
      </c>
    </row>
    <row r="260" spans="2:12">
      <c r="B260" s="112"/>
      <c r="C260" s="112"/>
      <c r="D260" s="112"/>
      <c r="F260" s="168" t="s">
        <v>6202</v>
      </c>
      <c r="G260" s="232">
        <f>IF(DBparts1[[#This Row],[Type]]&gt;0,VLOOKUP(DBparts1[[#This Row],[Type]],Main[[#All],[TYPE]:[UNIT]],'Unit Price'!C$1,FALSE),0)</f>
        <v>0</v>
      </c>
      <c r="H260" s="194">
        <f>IF(DBparts1[[#This Row],[Type]]&gt;0,VLOOKUP(DBparts1[[#This Row],[Type]],Main[[#All],[TYPE]:[UNIT]],'Unit Price'!D$1,FALSE),0)</f>
        <v>0</v>
      </c>
      <c r="I260" s="194">
        <f>IF(DBparts1[[#This Row],[Type]]&gt;0,VLOOKUP(DBparts1[[#This Row],[Type]],Main[[#All],[TYPE]:[UNIT]],'Unit Price'!G$1,FALSE),0)</f>
        <v>0</v>
      </c>
      <c r="J260" s="194">
        <f>IF(DBparts1[[#This Row],[Type]]&gt;0,VLOOKUP(DBparts1[[#This Row],[Type]],Main[[#All],[TYPE]:[UNIT]],'Unit Price'!H$1,FALSE),0)</f>
        <v>0</v>
      </c>
      <c r="K260" s="194">
        <f>IF(DBparts1[[#This Row],[Type]]&gt;0,VLOOKUP(DBparts1[[#This Row],[Discount seletion]],'Discount Structure'!$A$2:$B$30,2,"false"),0)</f>
        <v>0</v>
      </c>
      <c r="L260" s="194">
        <f>DBparts1[[#This Row],[LIST $]]*DBparts1[[#This Row],[DISCOUNT]]*DBparts1[[#This Row],[DISCOUNT 2]]</f>
        <v>0</v>
      </c>
    </row>
    <row r="261" spans="2:12">
      <c r="B261" s="112"/>
      <c r="C261" s="112"/>
      <c r="D261" s="112"/>
      <c r="F261" s="168" t="s">
        <v>6202</v>
      </c>
      <c r="G261" s="232">
        <f>IF(DBparts1[[#This Row],[Type]]&gt;0,VLOOKUP(DBparts1[[#This Row],[Type]],Main[[#All],[TYPE]:[UNIT]],'Unit Price'!C$1,FALSE),0)</f>
        <v>0</v>
      </c>
      <c r="H261" s="194">
        <f>IF(DBparts1[[#This Row],[Type]]&gt;0,VLOOKUP(DBparts1[[#This Row],[Type]],Main[[#All],[TYPE]:[UNIT]],'Unit Price'!D$1,FALSE),0)</f>
        <v>0</v>
      </c>
      <c r="I261" s="194">
        <f>IF(DBparts1[[#This Row],[Type]]&gt;0,VLOOKUP(DBparts1[[#This Row],[Type]],Main[[#All],[TYPE]:[UNIT]],'Unit Price'!G$1,FALSE),0)</f>
        <v>0</v>
      </c>
      <c r="J261" s="194">
        <f>IF(DBparts1[[#This Row],[Type]]&gt;0,VLOOKUP(DBparts1[[#This Row],[Type]],Main[[#All],[TYPE]:[UNIT]],'Unit Price'!H$1,FALSE),0)</f>
        <v>0</v>
      </c>
      <c r="K261" s="194">
        <f>IF(DBparts1[[#This Row],[Type]]&gt;0,VLOOKUP(DBparts1[[#This Row],[Discount seletion]],'Discount Structure'!$A$2:$B$30,2,"false"),0)</f>
        <v>0</v>
      </c>
      <c r="L261" s="194">
        <f>DBparts1[[#This Row],[LIST $]]*DBparts1[[#This Row],[DISCOUNT]]*DBparts1[[#This Row],[DISCOUNT 2]]</f>
        <v>0</v>
      </c>
    </row>
    <row r="262" spans="2:12">
      <c r="B262" s="112"/>
      <c r="C262" s="112"/>
      <c r="D262" s="112"/>
      <c r="F262" s="168" t="s">
        <v>6202</v>
      </c>
      <c r="G262" s="232">
        <f>IF(DBparts1[[#This Row],[Type]]&gt;0,VLOOKUP(DBparts1[[#This Row],[Type]],Main[[#All],[TYPE]:[UNIT]],'Unit Price'!C$1,FALSE),0)</f>
        <v>0</v>
      </c>
      <c r="H262" s="194">
        <f>IF(DBparts1[[#This Row],[Type]]&gt;0,VLOOKUP(DBparts1[[#This Row],[Type]],Main[[#All],[TYPE]:[UNIT]],'Unit Price'!D$1,FALSE),0)</f>
        <v>0</v>
      </c>
      <c r="I262" s="194">
        <f>IF(DBparts1[[#This Row],[Type]]&gt;0,VLOOKUP(DBparts1[[#This Row],[Type]],Main[[#All],[TYPE]:[UNIT]],'Unit Price'!G$1,FALSE),0)</f>
        <v>0</v>
      </c>
      <c r="J262" s="194">
        <f>IF(DBparts1[[#This Row],[Type]]&gt;0,VLOOKUP(DBparts1[[#This Row],[Type]],Main[[#All],[TYPE]:[UNIT]],'Unit Price'!H$1,FALSE),0)</f>
        <v>0</v>
      </c>
      <c r="K262" s="194">
        <f>IF(DBparts1[[#This Row],[Type]]&gt;0,VLOOKUP(DBparts1[[#This Row],[Discount seletion]],'Discount Structure'!$A$2:$B$30,2,"false"),0)</f>
        <v>0</v>
      </c>
      <c r="L262" s="194">
        <f>DBparts1[[#This Row],[LIST $]]*DBparts1[[#This Row],[DISCOUNT]]*DBparts1[[#This Row],[DISCOUNT 2]]</f>
        <v>0</v>
      </c>
    </row>
    <row r="263" spans="2:12">
      <c r="B263" s="112"/>
      <c r="C263" s="112"/>
      <c r="D263" s="112"/>
      <c r="F263" s="168" t="s">
        <v>6202</v>
      </c>
      <c r="G263" s="232">
        <f>IF(DBparts1[[#This Row],[Type]]&gt;0,VLOOKUP(DBparts1[[#This Row],[Type]],Main[[#All],[TYPE]:[UNIT]],'Unit Price'!C$1,FALSE),0)</f>
        <v>0</v>
      </c>
      <c r="H263" s="194">
        <f>IF(DBparts1[[#This Row],[Type]]&gt;0,VLOOKUP(DBparts1[[#This Row],[Type]],Main[[#All],[TYPE]:[UNIT]],'Unit Price'!D$1,FALSE),0)</f>
        <v>0</v>
      </c>
      <c r="I263" s="194">
        <f>IF(DBparts1[[#This Row],[Type]]&gt;0,VLOOKUP(DBparts1[[#This Row],[Type]],Main[[#All],[TYPE]:[UNIT]],'Unit Price'!G$1,FALSE),0)</f>
        <v>0</v>
      </c>
      <c r="J263" s="194">
        <f>IF(DBparts1[[#This Row],[Type]]&gt;0,VLOOKUP(DBparts1[[#This Row],[Type]],Main[[#All],[TYPE]:[UNIT]],'Unit Price'!H$1,FALSE),0)</f>
        <v>0</v>
      </c>
      <c r="K263" s="194">
        <f>IF(DBparts1[[#This Row],[Type]]&gt;0,VLOOKUP(DBparts1[[#This Row],[Discount seletion]],'Discount Structure'!$A$2:$B$30,2,"false"),0)</f>
        <v>0</v>
      </c>
      <c r="L263" s="194">
        <f>DBparts1[[#This Row],[LIST $]]*DBparts1[[#This Row],[DISCOUNT]]*DBparts1[[#This Row],[DISCOUNT 2]]</f>
        <v>0</v>
      </c>
    </row>
    <row r="264" spans="2:12">
      <c r="B264" s="112"/>
      <c r="C264" s="112"/>
      <c r="D264" s="112"/>
      <c r="F264" s="168" t="s">
        <v>6202</v>
      </c>
      <c r="G264" s="232">
        <f>IF(DBparts1[[#This Row],[Type]]&gt;0,VLOOKUP(DBparts1[[#This Row],[Type]],Main[[#All],[TYPE]:[UNIT]],'Unit Price'!C$1,FALSE),0)</f>
        <v>0</v>
      </c>
      <c r="H264" s="194">
        <f>IF(DBparts1[[#This Row],[Type]]&gt;0,VLOOKUP(DBparts1[[#This Row],[Type]],Main[[#All],[TYPE]:[UNIT]],'Unit Price'!D$1,FALSE),0)</f>
        <v>0</v>
      </c>
      <c r="I264" s="194">
        <f>IF(DBparts1[[#This Row],[Type]]&gt;0,VLOOKUP(DBparts1[[#This Row],[Type]],Main[[#All],[TYPE]:[UNIT]],'Unit Price'!G$1,FALSE),0)</f>
        <v>0</v>
      </c>
      <c r="J264" s="194">
        <f>IF(DBparts1[[#This Row],[Type]]&gt;0,VLOOKUP(DBparts1[[#This Row],[Type]],Main[[#All],[TYPE]:[UNIT]],'Unit Price'!H$1,FALSE),0)</f>
        <v>0</v>
      </c>
      <c r="K264" s="194">
        <f>IF(DBparts1[[#This Row],[Type]]&gt;0,VLOOKUP(DBparts1[[#This Row],[Discount seletion]],'Discount Structure'!$A$2:$B$30,2,"false"),0)</f>
        <v>0</v>
      </c>
      <c r="L264" s="194">
        <f>DBparts1[[#This Row],[LIST $]]*DBparts1[[#This Row],[DISCOUNT]]*DBparts1[[#This Row],[DISCOUNT 2]]</f>
        <v>0</v>
      </c>
    </row>
    <row r="265" spans="2:12">
      <c r="B265" s="112"/>
      <c r="C265" s="112"/>
      <c r="D265" s="112"/>
      <c r="F265" s="168" t="s">
        <v>6202</v>
      </c>
      <c r="G265" s="232">
        <f>IF(DBparts1[[#This Row],[Type]]&gt;0,VLOOKUP(DBparts1[[#This Row],[Type]],Main[[#All],[TYPE]:[UNIT]],'Unit Price'!C$1,FALSE),0)</f>
        <v>0</v>
      </c>
      <c r="H265" s="194">
        <f>IF(DBparts1[[#This Row],[Type]]&gt;0,VLOOKUP(DBparts1[[#This Row],[Type]],Main[[#All],[TYPE]:[UNIT]],'Unit Price'!D$1,FALSE),0)</f>
        <v>0</v>
      </c>
      <c r="I265" s="194">
        <f>IF(DBparts1[[#This Row],[Type]]&gt;0,VLOOKUP(DBparts1[[#This Row],[Type]],Main[[#All],[TYPE]:[UNIT]],'Unit Price'!G$1,FALSE),0)</f>
        <v>0</v>
      </c>
      <c r="J265" s="194">
        <f>IF(DBparts1[[#This Row],[Type]]&gt;0,VLOOKUP(DBparts1[[#This Row],[Type]],Main[[#All],[TYPE]:[UNIT]],'Unit Price'!H$1,FALSE),0)</f>
        <v>0</v>
      </c>
      <c r="K265" s="194">
        <f>IF(DBparts1[[#This Row],[Type]]&gt;0,VLOOKUP(DBparts1[[#This Row],[Discount seletion]],'Discount Structure'!$A$2:$B$30,2,"false"),0)</f>
        <v>0</v>
      </c>
      <c r="L265" s="194">
        <f>DBparts1[[#This Row],[LIST $]]*DBparts1[[#This Row],[DISCOUNT]]*DBparts1[[#This Row],[DISCOUNT 2]]</f>
        <v>0</v>
      </c>
    </row>
    <row r="266" spans="2:12">
      <c r="B266" s="112"/>
      <c r="C266" s="112"/>
      <c r="D266" s="112"/>
      <c r="F266" s="168" t="s">
        <v>6202</v>
      </c>
      <c r="G266" s="232">
        <f>IF(DBparts1[[#This Row],[Type]]&gt;0,VLOOKUP(DBparts1[[#This Row],[Type]],Main[[#All],[TYPE]:[UNIT]],'Unit Price'!C$1,FALSE),0)</f>
        <v>0</v>
      </c>
      <c r="H266" s="194">
        <f>IF(DBparts1[[#This Row],[Type]]&gt;0,VLOOKUP(DBparts1[[#This Row],[Type]],Main[[#All],[TYPE]:[UNIT]],'Unit Price'!D$1,FALSE),0)</f>
        <v>0</v>
      </c>
      <c r="I266" s="194">
        <f>IF(DBparts1[[#This Row],[Type]]&gt;0,VLOOKUP(DBparts1[[#This Row],[Type]],Main[[#All],[TYPE]:[UNIT]],'Unit Price'!G$1,FALSE),0)</f>
        <v>0</v>
      </c>
      <c r="J266" s="194">
        <f>IF(DBparts1[[#This Row],[Type]]&gt;0,VLOOKUP(DBparts1[[#This Row],[Type]],Main[[#All],[TYPE]:[UNIT]],'Unit Price'!H$1,FALSE),0)</f>
        <v>0</v>
      </c>
      <c r="K266" s="194">
        <f>IF(DBparts1[[#This Row],[Type]]&gt;0,VLOOKUP(DBparts1[[#This Row],[Discount seletion]],'Discount Structure'!$A$2:$B$30,2,"false"),0)</f>
        <v>0</v>
      </c>
      <c r="L266" s="194">
        <f>DBparts1[[#This Row],[LIST $]]*DBparts1[[#This Row],[DISCOUNT]]*DBparts1[[#This Row],[DISCOUNT 2]]</f>
        <v>0</v>
      </c>
    </row>
    <row r="267" spans="2:12">
      <c r="B267" s="112"/>
      <c r="C267" s="112"/>
      <c r="D267" s="112"/>
      <c r="F267" s="168" t="s">
        <v>6202</v>
      </c>
      <c r="G267" s="232">
        <f>IF(DBparts1[[#This Row],[Type]]&gt;0,VLOOKUP(DBparts1[[#This Row],[Type]],Main[[#All],[TYPE]:[UNIT]],'Unit Price'!C$1,FALSE),0)</f>
        <v>0</v>
      </c>
      <c r="H267" s="194">
        <f>IF(DBparts1[[#This Row],[Type]]&gt;0,VLOOKUP(DBparts1[[#This Row],[Type]],Main[[#All],[TYPE]:[UNIT]],'Unit Price'!D$1,FALSE),0)</f>
        <v>0</v>
      </c>
      <c r="I267" s="194">
        <f>IF(DBparts1[[#This Row],[Type]]&gt;0,VLOOKUP(DBparts1[[#This Row],[Type]],Main[[#All],[TYPE]:[UNIT]],'Unit Price'!G$1,FALSE),0)</f>
        <v>0</v>
      </c>
      <c r="J267" s="194">
        <f>IF(DBparts1[[#This Row],[Type]]&gt;0,VLOOKUP(DBparts1[[#This Row],[Type]],Main[[#All],[TYPE]:[UNIT]],'Unit Price'!H$1,FALSE),0)</f>
        <v>0</v>
      </c>
      <c r="K267" s="194">
        <f>IF(DBparts1[[#This Row],[Type]]&gt;0,VLOOKUP(DBparts1[[#This Row],[Discount seletion]],'Discount Structure'!$A$2:$B$30,2,"false"),0)</f>
        <v>0</v>
      </c>
      <c r="L267" s="194">
        <f>DBparts1[[#This Row],[LIST $]]*DBparts1[[#This Row],[DISCOUNT]]*DBparts1[[#This Row],[DISCOUNT 2]]</f>
        <v>0</v>
      </c>
    </row>
    <row r="268" spans="2:12">
      <c r="B268" s="112"/>
      <c r="C268" s="112"/>
      <c r="D268" s="112"/>
      <c r="F268" s="168" t="s">
        <v>6202</v>
      </c>
      <c r="G268" s="232">
        <f>IF(DBparts1[[#This Row],[Type]]&gt;0,VLOOKUP(DBparts1[[#This Row],[Type]],Main[[#All],[TYPE]:[UNIT]],'Unit Price'!C$1,FALSE),0)</f>
        <v>0</v>
      </c>
      <c r="H268" s="194">
        <f>IF(DBparts1[[#This Row],[Type]]&gt;0,VLOOKUP(DBparts1[[#This Row],[Type]],Main[[#All],[TYPE]:[UNIT]],'Unit Price'!D$1,FALSE),0)</f>
        <v>0</v>
      </c>
      <c r="I268" s="194">
        <f>IF(DBparts1[[#This Row],[Type]]&gt;0,VLOOKUP(DBparts1[[#This Row],[Type]],Main[[#All],[TYPE]:[UNIT]],'Unit Price'!G$1,FALSE),0)</f>
        <v>0</v>
      </c>
      <c r="J268" s="194">
        <f>IF(DBparts1[[#This Row],[Type]]&gt;0,VLOOKUP(DBparts1[[#This Row],[Type]],Main[[#All],[TYPE]:[UNIT]],'Unit Price'!H$1,FALSE),0)</f>
        <v>0</v>
      </c>
      <c r="K268" s="194">
        <f>IF(DBparts1[[#This Row],[Type]]&gt;0,VLOOKUP(DBparts1[[#This Row],[Discount seletion]],'Discount Structure'!$A$2:$B$30,2,"false"),0)</f>
        <v>0</v>
      </c>
      <c r="L268" s="194">
        <f>DBparts1[[#This Row],[LIST $]]*DBparts1[[#This Row],[DISCOUNT]]*DBparts1[[#This Row],[DISCOUNT 2]]</f>
        <v>0</v>
      </c>
    </row>
    <row r="269" spans="2:12">
      <c r="B269" s="112"/>
      <c r="C269" s="112"/>
      <c r="D269" s="112"/>
      <c r="F269" s="168" t="s">
        <v>6202</v>
      </c>
      <c r="G269" s="232">
        <f>IF(DBparts1[[#This Row],[Type]]&gt;0,VLOOKUP(DBparts1[[#This Row],[Type]],Main[[#All],[TYPE]:[UNIT]],'Unit Price'!C$1,FALSE),0)</f>
        <v>0</v>
      </c>
      <c r="H269" s="194">
        <f>IF(DBparts1[[#This Row],[Type]]&gt;0,VLOOKUP(DBparts1[[#This Row],[Type]],Main[[#All],[TYPE]:[UNIT]],'Unit Price'!D$1,FALSE),0)</f>
        <v>0</v>
      </c>
      <c r="I269" s="194">
        <f>IF(DBparts1[[#This Row],[Type]]&gt;0,VLOOKUP(DBparts1[[#This Row],[Type]],Main[[#All],[TYPE]:[UNIT]],'Unit Price'!G$1,FALSE),0)</f>
        <v>0</v>
      </c>
      <c r="J269" s="194">
        <f>IF(DBparts1[[#This Row],[Type]]&gt;0,VLOOKUP(DBparts1[[#This Row],[Type]],Main[[#All],[TYPE]:[UNIT]],'Unit Price'!H$1,FALSE),0)</f>
        <v>0</v>
      </c>
      <c r="K269" s="194">
        <f>IF(DBparts1[[#This Row],[Type]]&gt;0,VLOOKUP(DBparts1[[#This Row],[Discount seletion]],'Discount Structure'!$A$2:$B$30,2,"false"),0)</f>
        <v>0</v>
      </c>
      <c r="L269" s="194">
        <f>DBparts1[[#This Row],[LIST $]]*DBparts1[[#This Row],[DISCOUNT]]*DBparts1[[#This Row],[DISCOUNT 2]]</f>
        <v>0</v>
      </c>
    </row>
    <row r="270" spans="2:12">
      <c r="B270" s="112"/>
      <c r="C270" s="112"/>
      <c r="D270" s="112"/>
      <c r="F270" s="168" t="s">
        <v>6202</v>
      </c>
      <c r="G270" s="232">
        <f>IF(DBparts1[[#This Row],[Type]]&gt;0,VLOOKUP(DBparts1[[#This Row],[Type]],Main[[#All],[TYPE]:[UNIT]],'Unit Price'!C$1,FALSE),0)</f>
        <v>0</v>
      </c>
      <c r="H270" s="194">
        <f>IF(DBparts1[[#This Row],[Type]]&gt;0,VLOOKUP(DBparts1[[#This Row],[Type]],Main[[#All],[TYPE]:[UNIT]],'Unit Price'!D$1,FALSE),0)</f>
        <v>0</v>
      </c>
      <c r="I270" s="194">
        <f>IF(DBparts1[[#This Row],[Type]]&gt;0,VLOOKUP(DBparts1[[#This Row],[Type]],Main[[#All],[TYPE]:[UNIT]],'Unit Price'!G$1,FALSE),0)</f>
        <v>0</v>
      </c>
      <c r="J270" s="194">
        <f>IF(DBparts1[[#This Row],[Type]]&gt;0,VLOOKUP(DBparts1[[#This Row],[Type]],Main[[#All],[TYPE]:[UNIT]],'Unit Price'!H$1,FALSE),0)</f>
        <v>0</v>
      </c>
      <c r="K270" s="194">
        <f>IF(DBparts1[[#This Row],[Type]]&gt;0,VLOOKUP(DBparts1[[#This Row],[Discount seletion]],'Discount Structure'!$A$2:$B$30,2,"false"),0)</f>
        <v>0</v>
      </c>
      <c r="L270" s="194">
        <f>DBparts1[[#This Row],[LIST $]]*DBparts1[[#This Row],[DISCOUNT]]*DBparts1[[#This Row],[DISCOUNT 2]]</f>
        <v>0</v>
      </c>
    </row>
    <row r="271" spans="2:12">
      <c r="B271" s="112"/>
      <c r="C271" s="112"/>
      <c r="D271" s="112"/>
      <c r="F271" s="168" t="s">
        <v>6202</v>
      </c>
      <c r="G271" s="232">
        <f>IF(DBparts1[[#This Row],[Type]]&gt;0,VLOOKUP(DBparts1[[#This Row],[Type]],Main[[#All],[TYPE]:[UNIT]],'Unit Price'!C$1,FALSE),0)</f>
        <v>0</v>
      </c>
      <c r="H271" s="194">
        <f>IF(DBparts1[[#This Row],[Type]]&gt;0,VLOOKUP(DBparts1[[#This Row],[Type]],Main[[#All],[TYPE]:[UNIT]],'Unit Price'!D$1,FALSE),0)</f>
        <v>0</v>
      </c>
      <c r="I271" s="194">
        <f>IF(DBparts1[[#This Row],[Type]]&gt;0,VLOOKUP(DBparts1[[#This Row],[Type]],Main[[#All],[TYPE]:[UNIT]],'Unit Price'!G$1,FALSE),0)</f>
        <v>0</v>
      </c>
      <c r="J271" s="194">
        <f>IF(DBparts1[[#This Row],[Type]]&gt;0,VLOOKUP(DBparts1[[#This Row],[Type]],Main[[#All],[TYPE]:[UNIT]],'Unit Price'!H$1,FALSE),0)</f>
        <v>0</v>
      </c>
      <c r="K271" s="194">
        <f>IF(DBparts1[[#This Row],[Type]]&gt;0,VLOOKUP(DBparts1[[#This Row],[Discount seletion]],'Discount Structure'!$A$2:$B$30,2,"false"),0)</f>
        <v>0</v>
      </c>
      <c r="L271" s="194">
        <f>DBparts1[[#This Row],[LIST $]]*DBparts1[[#This Row],[DISCOUNT]]*DBparts1[[#This Row],[DISCOUNT 2]]</f>
        <v>0</v>
      </c>
    </row>
    <row r="272" spans="2:12">
      <c r="B272" s="112"/>
      <c r="C272" s="112"/>
      <c r="D272" s="112"/>
      <c r="F272" s="168" t="s">
        <v>6202</v>
      </c>
      <c r="G272" s="232">
        <f>IF(DBparts1[[#This Row],[Type]]&gt;0,VLOOKUP(DBparts1[[#This Row],[Type]],Main[[#All],[TYPE]:[UNIT]],'Unit Price'!C$1,FALSE),0)</f>
        <v>0</v>
      </c>
      <c r="H272" s="194">
        <f>IF(DBparts1[[#This Row],[Type]]&gt;0,VLOOKUP(DBparts1[[#This Row],[Type]],Main[[#All],[TYPE]:[UNIT]],'Unit Price'!D$1,FALSE),0)</f>
        <v>0</v>
      </c>
      <c r="I272" s="194">
        <f>IF(DBparts1[[#This Row],[Type]]&gt;0,VLOOKUP(DBparts1[[#This Row],[Type]],Main[[#All],[TYPE]:[UNIT]],'Unit Price'!G$1,FALSE),0)</f>
        <v>0</v>
      </c>
      <c r="J272" s="194">
        <f>IF(DBparts1[[#This Row],[Type]]&gt;0,VLOOKUP(DBparts1[[#This Row],[Type]],Main[[#All],[TYPE]:[UNIT]],'Unit Price'!H$1,FALSE),0)</f>
        <v>0</v>
      </c>
      <c r="K272" s="194">
        <f>IF(DBparts1[[#This Row],[Type]]&gt;0,VLOOKUP(DBparts1[[#This Row],[Discount seletion]],'Discount Structure'!$A$2:$B$30,2,"false"),0)</f>
        <v>0</v>
      </c>
      <c r="L272" s="194">
        <f>DBparts1[[#This Row],[LIST $]]*DBparts1[[#This Row],[DISCOUNT]]*DBparts1[[#This Row],[DISCOUNT 2]]</f>
        <v>0</v>
      </c>
    </row>
    <row r="273" spans="2:12">
      <c r="B273" s="112"/>
      <c r="C273" s="112"/>
      <c r="D273" s="112"/>
      <c r="F273" s="168" t="s">
        <v>6202</v>
      </c>
      <c r="G273" s="232">
        <f>IF(DBparts1[[#This Row],[Type]]&gt;0,VLOOKUP(DBparts1[[#This Row],[Type]],Main[[#All],[TYPE]:[UNIT]],'Unit Price'!C$1,FALSE),0)</f>
        <v>0</v>
      </c>
      <c r="H273" s="194">
        <f>IF(DBparts1[[#This Row],[Type]]&gt;0,VLOOKUP(DBparts1[[#This Row],[Type]],Main[[#All],[TYPE]:[UNIT]],'Unit Price'!D$1,FALSE),0)</f>
        <v>0</v>
      </c>
      <c r="I273" s="194">
        <f>IF(DBparts1[[#This Row],[Type]]&gt;0,VLOOKUP(DBparts1[[#This Row],[Type]],Main[[#All],[TYPE]:[UNIT]],'Unit Price'!G$1,FALSE),0)</f>
        <v>0</v>
      </c>
      <c r="J273" s="194">
        <f>IF(DBparts1[[#This Row],[Type]]&gt;0,VLOOKUP(DBparts1[[#This Row],[Type]],Main[[#All],[TYPE]:[UNIT]],'Unit Price'!H$1,FALSE),0)</f>
        <v>0</v>
      </c>
      <c r="K273" s="194">
        <f>IF(DBparts1[[#This Row],[Type]]&gt;0,VLOOKUP(DBparts1[[#This Row],[Discount seletion]],'Discount Structure'!$A$2:$B$30,2,"false"),0)</f>
        <v>0</v>
      </c>
      <c r="L273" s="194">
        <f>DBparts1[[#This Row],[LIST $]]*DBparts1[[#This Row],[DISCOUNT]]*DBparts1[[#This Row],[DISCOUNT 2]]</f>
        <v>0</v>
      </c>
    </row>
    <row r="274" spans="2:12">
      <c r="B274" s="112"/>
      <c r="C274" s="112"/>
      <c r="D274" s="112"/>
      <c r="F274" s="168" t="s">
        <v>6202</v>
      </c>
      <c r="G274" s="232">
        <f>IF(DBparts1[[#This Row],[Type]]&gt;0,VLOOKUP(DBparts1[[#This Row],[Type]],Main[[#All],[TYPE]:[UNIT]],'Unit Price'!C$1,FALSE),0)</f>
        <v>0</v>
      </c>
      <c r="H274" s="194">
        <f>IF(DBparts1[[#This Row],[Type]]&gt;0,VLOOKUP(DBparts1[[#This Row],[Type]],Main[[#All],[TYPE]:[UNIT]],'Unit Price'!D$1,FALSE),0)</f>
        <v>0</v>
      </c>
      <c r="I274" s="194">
        <f>IF(DBparts1[[#This Row],[Type]]&gt;0,VLOOKUP(DBparts1[[#This Row],[Type]],Main[[#All],[TYPE]:[UNIT]],'Unit Price'!G$1,FALSE),0)</f>
        <v>0</v>
      </c>
      <c r="J274" s="194">
        <f>IF(DBparts1[[#This Row],[Type]]&gt;0,VLOOKUP(DBparts1[[#This Row],[Type]],Main[[#All],[TYPE]:[UNIT]],'Unit Price'!H$1,FALSE),0)</f>
        <v>0</v>
      </c>
      <c r="K274" s="194">
        <f>IF(DBparts1[[#This Row],[Type]]&gt;0,VLOOKUP(DBparts1[[#This Row],[Discount seletion]],'Discount Structure'!$A$2:$B$30,2,"false"),0)</f>
        <v>0</v>
      </c>
      <c r="L274" s="194">
        <f>DBparts1[[#This Row],[LIST $]]*DBparts1[[#This Row],[DISCOUNT]]*DBparts1[[#This Row],[DISCOUNT 2]]</f>
        <v>0</v>
      </c>
    </row>
    <row r="275" spans="2:12">
      <c r="B275" s="112"/>
      <c r="C275" s="112"/>
      <c r="D275" s="112"/>
      <c r="F275" s="168" t="s">
        <v>6202</v>
      </c>
      <c r="G275" s="232">
        <f>IF(DBparts1[[#This Row],[Type]]&gt;0,VLOOKUP(DBparts1[[#This Row],[Type]],Main[[#All],[TYPE]:[UNIT]],'Unit Price'!C$1,FALSE),0)</f>
        <v>0</v>
      </c>
      <c r="H275" s="194">
        <f>IF(DBparts1[[#This Row],[Type]]&gt;0,VLOOKUP(DBparts1[[#This Row],[Type]],Main[[#All],[TYPE]:[UNIT]],'Unit Price'!D$1,FALSE),0)</f>
        <v>0</v>
      </c>
      <c r="I275" s="194">
        <f>IF(DBparts1[[#This Row],[Type]]&gt;0,VLOOKUP(DBparts1[[#This Row],[Type]],Main[[#All],[TYPE]:[UNIT]],'Unit Price'!G$1,FALSE),0)</f>
        <v>0</v>
      </c>
      <c r="J275" s="194">
        <f>IF(DBparts1[[#This Row],[Type]]&gt;0,VLOOKUP(DBparts1[[#This Row],[Type]],Main[[#All],[TYPE]:[UNIT]],'Unit Price'!H$1,FALSE),0)</f>
        <v>0</v>
      </c>
      <c r="K275" s="194">
        <f>IF(DBparts1[[#This Row],[Type]]&gt;0,VLOOKUP(DBparts1[[#This Row],[Discount seletion]],'Discount Structure'!$A$2:$B$30,2,"false"),0)</f>
        <v>0</v>
      </c>
      <c r="L275" s="194">
        <f>DBparts1[[#This Row],[LIST $]]*DBparts1[[#This Row],[DISCOUNT]]*DBparts1[[#This Row],[DISCOUNT 2]]</f>
        <v>0</v>
      </c>
    </row>
    <row r="276" spans="2:12">
      <c r="B276" s="112"/>
      <c r="C276" s="112"/>
      <c r="D276" s="112"/>
      <c r="F276" s="168" t="s">
        <v>6202</v>
      </c>
      <c r="G276" s="232">
        <f>IF(DBparts1[[#This Row],[Type]]&gt;0,VLOOKUP(DBparts1[[#This Row],[Type]],Main[[#All],[TYPE]:[UNIT]],'Unit Price'!C$1,FALSE),0)</f>
        <v>0</v>
      </c>
      <c r="H276" s="194">
        <f>IF(DBparts1[[#This Row],[Type]]&gt;0,VLOOKUP(DBparts1[[#This Row],[Type]],Main[[#All],[TYPE]:[UNIT]],'Unit Price'!D$1,FALSE),0)</f>
        <v>0</v>
      </c>
      <c r="I276" s="194">
        <f>IF(DBparts1[[#This Row],[Type]]&gt;0,VLOOKUP(DBparts1[[#This Row],[Type]],Main[[#All],[TYPE]:[UNIT]],'Unit Price'!G$1,FALSE),0)</f>
        <v>0</v>
      </c>
      <c r="J276" s="194">
        <f>IF(DBparts1[[#This Row],[Type]]&gt;0,VLOOKUP(DBparts1[[#This Row],[Type]],Main[[#All],[TYPE]:[UNIT]],'Unit Price'!H$1,FALSE),0)</f>
        <v>0</v>
      </c>
      <c r="K276" s="194">
        <f>IF(DBparts1[[#This Row],[Type]]&gt;0,VLOOKUP(DBparts1[[#This Row],[Discount seletion]],'Discount Structure'!$A$2:$B$30,2,"false"),0)</f>
        <v>0</v>
      </c>
      <c r="L276" s="194">
        <f>DBparts1[[#This Row],[LIST $]]*DBparts1[[#This Row],[DISCOUNT]]*DBparts1[[#This Row],[DISCOUNT 2]]</f>
        <v>0</v>
      </c>
    </row>
    <row r="277" spans="2:12">
      <c r="B277" s="112"/>
      <c r="C277" s="112"/>
      <c r="D277" s="112"/>
      <c r="F277" s="168" t="s">
        <v>6202</v>
      </c>
      <c r="G277" s="232">
        <f>IF(DBparts1[[#This Row],[Type]]&gt;0,VLOOKUP(DBparts1[[#This Row],[Type]],Main[[#All],[TYPE]:[UNIT]],'Unit Price'!C$1,FALSE),0)</f>
        <v>0</v>
      </c>
      <c r="H277" s="194">
        <f>IF(DBparts1[[#This Row],[Type]]&gt;0,VLOOKUP(DBparts1[[#This Row],[Type]],Main[[#All],[TYPE]:[UNIT]],'Unit Price'!D$1,FALSE),0)</f>
        <v>0</v>
      </c>
      <c r="I277" s="194">
        <f>IF(DBparts1[[#This Row],[Type]]&gt;0,VLOOKUP(DBparts1[[#This Row],[Type]],Main[[#All],[TYPE]:[UNIT]],'Unit Price'!G$1,FALSE),0)</f>
        <v>0</v>
      </c>
      <c r="J277" s="194">
        <f>IF(DBparts1[[#This Row],[Type]]&gt;0,VLOOKUP(DBparts1[[#This Row],[Type]],Main[[#All],[TYPE]:[UNIT]],'Unit Price'!H$1,FALSE),0)</f>
        <v>0</v>
      </c>
      <c r="K277" s="194">
        <f>IF(DBparts1[[#This Row],[Type]]&gt;0,VLOOKUP(DBparts1[[#This Row],[Discount seletion]],'Discount Structure'!$A$2:$B$30,2,"false"),0)</f>
        <v>0</v>
      </c>
      <c r="L277" s="194">
        <f>DBparts1[[#This Row],[LIST $]]*DBparts1[[#This Row],[DISCOUNT]]*DBparts1[[#This Row],[DISCOUNT 2]]</f>
        <v>0</v>
      </c>
    </row>
    <row r="278" spans="2:12">
      <c r="B278" s="112"/>
      <c r="C278" s="112"/>
      <c r="D278" s="112"/>
      <c r="F278" s="168" t="s">
        <v>6202</v>
      </c>
      <c r="G278" s="232">
        <f>IF(DBparts1[[#This Row],[Type]]&gt;0,VLOOKUP(DBparts1[[#This Row],[Type]],Main[[#All],[TYPE]:[UNIT]],'Unit Price'!C$1,FALSE),0)</f>
        <v>0</v>
      </c>
      <c r="H278" s="194">
        <f>IF(DBparts1[[#This Row],[Type]]&gt;0,VLOOKUP(DBparts1[[#This Row],[Type]],Main[[#All],[TYPE]:[UNIT]],'Unit Price'!D$1,FALSE),0)</f>
        <v>0</v>
      </c>
      <c r="I278" s="194">
        <f>IF(DBparts1[[#This Row],[Type]]&gt;0,VLOOKUP(DBparts1[[#This Row],[Type]],Main[[#All],[TYPE]:[UNIT]],'Unit Price'!G$1,FALSE),0)</f>
        <v>0</v>
      </c>
      <c r="J278" s="194">
        <f>IF(DBparts1[[#This Row],[Type]]&gt;0,VLOOKUP(DBparts1[[#This Row],[Type]],Main[[#All],[TYPE]:[UNIT]],'Unit Price'!H$1,FALSE),0)</f>
        <v>0</v>
      </c>
      <c r="K278" s="194">
        <f>IF(DBparts1[[#This Row],[Type]]&gt;0,VLOOKUP(DBparts1[[#This Row],[Discount seletion]],'Discount Structure'!$A$2:$B$30,2,"false"),0)</f>
        <v>0</v>
      </c>
      <c r="L278" s="194">
        <f>DBparts1[[#This Row],[LIST $]]*DBparts1[[#This Row],[DISCOUNT]]*DBparts1[[#This Row],[DISCOUNT 2]]</f>
        <v>0</v>
      </c>
    </row>
    <row r="279" spans="2:12">
      <c r="B279" s="112"/>
      <c r="C279" s="112"/>
      <c r="D279" s="112"/>
      <c r="F279" s="168" t="s">
        <v>6202</v>
      </c>
      <c r="G279" s="232">
        <f>IF(DBparts1[[#This Row],[Type]]&gt;0,VLOOKUP(DBparts1[[#This Row],[Type]],Main[[#All],[TYPE]:[UNIT]],'Unit Price'!C$1,FALSE),0)</f>
        <v>0</v>
      </c>
      <c r="H279" s="194">
        <f>IF(DBparts1[[#This Row],[Type]]&gt;0,VLOOKUP(DBparts1[[#This Row],[Type]],Main[[#All],[TYPE]:[UNIT]],'Unit Price'!D$1,FALSE),0)</f>
        <v>0</v>
      </c>
      <c r="I279" s="194">
        <f>IF(DBparts1[[#This Row],[Type]]&gt;0,VLOOKUP(DBparts1[[#This Row],[Type]],Main[[#All],[TYPE]:[UNIT]],'Unit Price'!G$1,FALSE),0)</f>
        <v>0</v>
      </c>
      <c r="J279" s="194">
        <f>IF(DBparts1[[#This Row],[Type]]&gt;0,VLOOKUP(DBparts1[[#This Row],[Type]],Main[[#All],[TYPE]:[UNIT]],'Unit Price'!H$1,FALSE),0)</f>
        <v>0</v>
      </c>
      <c r="K279" s="194">
        <f>IF(DBparts1[[#This Row],[Type]]&gt;0,VLOOKUP(DBparts1[[#This Row],[Discount seletion]],'Discount Structure'!$A$2:$B$30,2,"false"),0)</f>
        <v>0</v>
      </c>
      <c r="L279" s="194">
        <f>DBparts1[[#This Row],[LIST $]]*DBparts1[[#This Row],[DISCOUNT]]*DBparts1[[#This Row],[DISCOUNT 2]]</f>
        <v>0</v>
      </c>
    </row>
    <row r="280" spans="2:12">
      <c r="B280" s="112"/>
      <c r="C280" s="112"/>
      <c r="D280" s="112"/>
      <c r="F280" s="168" t="s">
        <v>6202</v>
      </c>
      <c r="G280" s="232">
        <f>IF(DBparts1[[#This Row],[Type]]&gt;0,VLOOKUP(DBparts1[[#This Row],[Type]],Main[[#All],[TYPE]:[UNIT]],'Unit Price'!C$1,FALSE),0)</f>
        <v>0</v>
      </c>
      <c r="H280" s="194">
        <f>IF(DBparts1[[#This Row],[Type]]&gt;0,VLOOKUP(DBparts1[[#This Row],[Type]],Main[[#All],[TYPE]:[UNIT]],'Unit Price'!D$1,FALSE),0)</f>
        <v>0</v>
      </c>
      <c r="I280" s="194">
        <f>IF(DBparts1[[#This Row],[Type]]&gt;0,VLOOKUP(DBparts1[[#This Row],[Type]],Main[[#All],[TYPE]:[UNIT]],'Unit Price'!G$1,FALSE),0)</f>
        <v>0</v>
      </c>
      <c r="J280" s="194">
        <f>IF(DBparts1[[#This Row],[Type]]&gt;0,VLOOKUP(DBparts1[[#This Row],[Type]],Main[[#All],[TYPE]:[UNIT]],'Unit Price'!H$1,FALSE),0)</f>
        <v>0</v>
      </c>
      <c r="K280" s="194">
        <f>IF(DBparts1[[#This Row],[Type]]&gt;0,VLOOKUP(DBparts1[[#This Row],[Discount seletion]],'Discount Structure'!$A$2:$B$30,2,"false"),0)</f>
        <v>0</v>
      </c>
      <c r="L280" s="194">
        <f>DBparts1[[#This Row],[LIST $]]*DBparts1[[#This Row],[DISCOUNT]]*DBparts1[[#This Row],[DISCOUNT 2]]</f>
        <v>0</v>
      </c>
    </row>
    <row r="281" spans="2:12">
      <c r="B281" s="112"/>
      <c r="C281" s="112"/>
      <c r="D281" s="112"/>
      <c r="F281" s="168" t="s">
        <v>6202</v>
      </c>
      <c r="G281" s="232">
        <f>IF(DBparts1[[#This Row],[Type]]&gt;0,VLOOKUP(DBparts1[[#This Row],[Type]],Main[[#All],[TYPE]:[UNIT]],'Unit Price'!C$1,FALSE),0)</f>
        <v>0</v>
      </c>
      <c r="H281" s="194">
        <f>IF(DBparts1[[#This Row],[Type]]&gt;0,VLOOKUP(DBparts1[[#This Row],[Type]],Main[[#All],[TYPE]:[UNIT]],'Unit Price'!D$1,FALSE),0)</f>
        <v>0</v>
      </c>
      <c r="I281" s="194">
        <f>IF(DBparts1[[#This Row],[Type]]&gt;0,VLOOKUP(DBparts1[[#This Row],[Type]],Main[[#All],[TYPE]:[UNIT]],'Unit Price'!G$1,FALSE),0)</f>
        <v>0</v>
      </c>
      <c r="J281" s="194">
        <f>IF(DBparts1[[#This Row],[Type]]&gt;0,VLOOKUP(DBparts1[[#This Row],[Type]],Main[[#All],[TYPE]:[UNIT]],'Unit Price'!H$1,FALSE),0)</f>
        <v>0</v>
      </c>
      <c r="K281" s="194">
        <f>IF(DBparts1[[#This Row],[Type]]&gt;0,VLOOKUP(DBparts1[[#This Row],[Discount seletion]],'Discount Structure'!$A$2:$B$30,2,"false"),0)</f>
        <v>0</v>
      </c>
      <c r="L281" s="194">
        <f>DBparts1[[#This Row],[LIST $]]*DBparts1[[#This Row],[DISCOUNT]]*DBparts1[[#This Row],[DISCOUNT 2]]</f>
        <v>0</v>
      </c>
    </row>
    <row r="282" spans="2:12">
      <c r="B282" s="112"/>
      <c r="C282" s="112"/>
      <c r="D282" s="112"/>
      <c r="F282" s="168" t="s">
        <v>6202</v>
      </c>
      <c r="G282" s="232">
        <f>IF(DBparts1[[#This Row],[Type]]&gt;0,VLOOKUP(DBparts1[[#This Row],[Type]],Main[[#All],[TYPE]:[UNIT]],'Unit Price'!C$1,FALSE),0)</f>
        <v>0</v>
      </c>
      <c r="H282" s="194">
        <f>IF(DBparts1[[#This Row],[Type]]&gt;0,VLOOKUP(DBparts1[[#This Row],[Type]],Main[[#All],[TYPE]:[UNIT]],'Unit Price'!D$1,FALSE),0)</f>
        <v>0</v>
      </c>
      <c r="I282" s="194">
        <f>IF(DBparts1[[#This Row],[Type]]&gt;0,VLOOKUP(DBparts1[[#This Row],[Type]],Main[[#All],[TYPE]:[UNIT]],'Unit Price'!G$1,FALSE),0)</f>
        <v>0</v>
      </c>
      <c r="J282" s="194">
        <f>IF(DBparts1[[#This Row],[Type]]&gt;0,VLOOKUP(DBparts1[[#This Row],[Type]],Main[[#All],[TYPE]:[UNIT]],'Unit Price'!H$1,FALSE),0)</f>
        <v>0</v>
      </c>
      <c r="K282" s="194">
        <f>IF(DBparts1[[#This Row],[Type]]&gt;0,VLOOKUP(DBparts1[[#This Row],[Discount seletion]],'Discount Structure'!$A$2:$B$30,2,"false"),0)</f>
        <v>0</v>
      </c>
      <c r="L282" s="194">
        <f>DBparts1[[#This Row],[LIST $]]*DBparts1[[#This Row],[DISCOUNT]]*DBparts1[[#This Row],[DISCOUNT 2]]</f>
        <v>0</v>
      </c>
    </row>
    <row r="283" spans="2:12">
      <c r="B283" s="112"/>
      <c r="C283" s="112"/>
      <c r="D283" s="112"/>
      <c r="F283" s="168" t="s">
        <v>6202</v>
      </c>
      <c r="G283" s="232">
        <f>IF(DBparts1[[#This Row],[Type]]&gt;0,VLOOKUP(DBparts1[[#This Row],[Type]],Main[[#All],[TYPE]:[UNIT]],'Unit Price'!C$1,FALSE),0)</f>
        <v>0</v>
      </c>
      <c r="H283" s="194">
        <f>IF(DBparts1[[#This Row],[Type]]&gt;0,VLOOKUP(DBparts1[[#This Row],[Type]],Main[[#All],[TYPE]:[UNIT]],'Unit Price'!D$1,FALSE),0)</f>
        <v>0</v>
      </c>
      <c r="I283" s="194">
        <f>IF(DBparts1[[#This Row],[Type]]&gt;0,VLOOKUP(DBparts1[[#This Row],[Type]],Main[[#All],[TYPE]:[UNIT]],'Unit Price'!G$1,FALSE),0)</f>
        <v>0</v>
      </c>
      <c r="J283" s="194">
        <f>IF(DBparts1[[#This Row],[Type]]&gt;0,VLOOKUP(DBparts1[[#This Row],[Type]],Main[[#All],[TYPE]:[UNIT]],'Unit Price'!H$1,FALSE),0)</f>
        <v>0</v>
      </c>
      <c r="K283" s="194">
        <f>IF(DBparts1[[#This Row],[Type]]&gt;0,VLOOKUP(DBparts1[[#This Row],[Discount seletion]],'Discount Structure'!$A$2:$B$30,2,"false"),0)</f>
        <v>0</v>
      </c>
      <c r="L283" s="194">
        <f>DBparts1[[#This Row],[LIST $]]*DBparts1[[#This Row],[DISCOUNT]]*DBparts1[[#This Row],[DISCOUNT 2]]</f>
        <v>0</v>
      </c>
    </row>
    <row r="284" spans="2:12">
      <c r="B284" s="112"/>
      <c r="C284" s="112"/>
      <c r="D284" s="112"/>
      <c r="F284" s="168" t="s">
        <v>6202</v>
      </c>
      <c r="G284" s="232">
        <f>IF(DBparts1[[#This Row],[Type]]&gt;0,VLOOKUP(DBparts1[[#This Row],[Type]],Main[[#All],[TYPE]:[UNIT]],'Unit Price'!C$1,FALSE),0)</f>
        <v>0</v>
      </c>
      <c r="H284" s="194">
        <f>IF(DBparts1[[#This Row],[Type]]&gt;0,VLOOKUP(DBparts1[[#This Row],[Type]],Main[[#All],[TYPE]:[UNIT]],'Unit Price'!D$1,FALSE),0)</f>
        <v>0</v>
      </c>
      <c r="I284" s="194">
        <f>IF(DBparts1[[#This Row],[Type]]&gt;0,VLOOKUP(DBparts1[[#This Row],[Type]],Main[[#All],[TYPE]:[UNIT]],'Unit Price'!G$1,FALSE),0)</f>
        <v>0</v>
      </c>
      <c r="J284" s="194">
        <f>IF(DBparts1[[#This Row],[Type]]&gt;0,VLOOKUP(DBparts1[[#This Row],[Type]],Main[[#All],[TYPE]:[UNIT]],'Unit Price'!H$1,FALSE),0)</f>
        <v>0</v>
      </c>
      <c r="K284" s="194">
        <f>IF(DBparts1[[#This Row],[Type]]&gt;0,VLOOKUP(DBparts1[[#This Row],[Discount seletion]],'Discount Structure'!$A$2:$B$30,2,"false"),0)</f>
        <v>0</v>
      </c>
      <c r="L284" s="194">
        <f>DBparts1[[#This Row],[LIST $]]*DBparts1[[#This Row],[DISCOUNT]]*DBparts1[[#This Row],[DISCOUNT 2]]</f>
        <v>0</v>
      </c>
    </row>
    <row r="285" spans="2:12">
      <c r="B285" s="112"/>
      <c r="C285" s="112"/>
      <c r="D285" s="112"/>
      <c r="F285" s="168" t="s">
        <v>6202</v>
      </c>
      <c r="G285" s="232">
        <f>IF(DBparts1[[#This Row],[Type]]&gt;0,VLOOKUP(DBparts1[[#This Row],[Type]],Main[[#All],[TYPE]:[UNIT]],'Unit Price'!C$1,FALSE),0)</f>
        <v>0</v>
      </c>
      <c r="H285" s="194">
        <f>IF(DBparts1[[#This Row],[Type]]&gt;0,VLOOKUP(DBparts1[[#This Row],[Type]],Main[[#All],[TYPE]:[UNIT]],'Unit Price'!D$1,FALSE),0)</f>
        <v>0</v>
      </c>
      <c r="I285" s="194">
        <f>IF(DBparts1[[#This Row],[Type]]&gt;0,VLOOKUP(DBparts1[[#This Row],[Type]],Main[[#All],[TYPE]:[UNIT]],'Unit Price'!G$1,FALSE),0)</f>
        <v>0</v>
      </c>
      <c r="J285" s="194">
        <f>IF(DBparts1[[#This Row],[Type]]&gt;0,VLOOKUP(DBparts1[[#This Row],[Type]],Main[[#All],[TYPE]:[UNIT]],'Unit Price'!H$1,FALSE),0)</f>
        <v>0</v>
      </c>
      <c r="K285" s="194">
        <f>IF(DBparts1[[#This Row],[Type]]&gt;0,VLOOKUP(DBparts1[[#This Row],[Discount seletion]],'Discount Structure'!$A$2:$B$30,2,"false"),0)</f>
        <v>0</v>
      </c>
      <c r="L285" s="194">
        <f>DBparts1[[#This Row],[LIST $]]*DBparts1[[#This Row],[DISCOUNT]]*DBparts1[[#This Row],[DISCOUNT 2]]</f>
        <v>0</v>
      </c>
    </row>
    <row r="286" spans="2:12">
      <c r="B286" s="112"/>
      <c r="C286" s="112"/>
      <c r="D286" s="112"/>
      <c r="F286" s="168" t="s">
        <v>6202</v>
      </c>
      <c r="G286" s="232">
        <f>IF(DBparts1[[#This Row],[Type]]&gt;0,VLOOKUP(DBparts1[[#This Row],[Type]],Main[[#All],[TYPE]:[UNIT]],'Unit Price'!C$1,FALSE),0)</f>
        <v>0</v>
      </c>
      <c r="H286" s="194">
        <f>IF(DBparts1[[#This Row],[Type]]&gt;0,VLOOKUP(DBparts1[[#This Row],[Type]],Main[[#All],[TYPE]:[UNIT]],'Unit Price'!D$1,FALSE),0)</f>
        <v>0</v>
      </c>
      <c r="I286" s="194">
        <f>IF(DBparts1[[#This Row],[Type]]&gt;0,VLOOKUP(DBparts1[[#This Row],[Type]],Main[[#All],[TYPE]:[UNIT]],'Unit Price'!G$1,FALSE),0)</f>
        <v>0</v>
      </c>
      <c r="J286" s="194">
        <f>IF(DBparts1[[#This Row],[Type]]&gt;0,VLOOKUP(DBparts1[[#This Row],[Type]],Main[[#All],[TYPE]:[UNIT]],'Unit Price'!H$1,FALSE),0)</f>
        <v>0</v>
      </c>
      <c r="K286" s="194">
        <f>IF(DBparts1[[#This Row],[Type]]&gt;0,VLOOKUP(DBparts1[[#This Row],[Discount seletion]],'Discount Structure'!$A$2:$B$30,2,"false"),0)</f>
        <v>0</v>
      </c>
      <c r="L286" s="194">
        <f>DBparts1[[#This Row],[LIST $]]*DBparts1[[#This Row],[DISCOUNT]]*DBparts1[[#This Row],[DISCOUNT 2]]</f>
        <v>0</v>
      </c>
    </row>
    <row r="287" spans="2:12">
      <c r="B287" s="112"/>
      <c r="C287" s="112"/>
      <c r="D287" s="112"/>
      <c r="F287" s="168" t="s">
        <v>6202</v>
      </c>
      <c r="G287" s="232">
        <f>IF(DBparts1[[#This Row],[Type]]&gt;0,VLOOKUP(DBparts1[[#This Row],[Type]],Main[[#All],[TYPE]:[UNIT]],'Unit Price'!C$1,FALSE),0)</f>
        <v>0</v>
      </c>
      <c r="H287" s="194">
        <f>IF(DBparts1[[#This Row],[Type]]&gt;0,VLOOKUP(DBparts1[[#This Row],[Type]],Main[[#All],[TYPE]:[UNIT]],'Unit Price'!D$1,FALSE),0)</f>
        <v>0</v>
      </c>
      <c r="I287" s="194">
        <f>IF(DBparts1[[#This Row],[Type]]&gt;0,VLOOKUP(DBparts1[[#This Row],[Type]],Main[[#All],[TYPE]:[UNIT]],'Unit Price'!G$1,FALSE),0)</f>
        <v>0</v>
      </c>
      <c r="J287" s="194">
        <f>IF(DBparts1[[#This Row],[Type]]&gt;0,VLOOKUP(DBparts1[[#This Row],[Type]],Main[[#All],[TYPE]:[UNIT]],'Unit Price'!H$1,FALSE),0)</f>
        <v>0</v>
      </c>
      <c r="K287" s="194">
        <f>IF(DBparts1[[#This Row],[Type]]&gt;0,VLOOKUP(DBparts1[[#This Row],[Discount seletion]],'Discount Structure'!$A$2:$B$30,2,"false"),0)</f>
        <v>0</v>
      </c>
      <c r="L287" s="194">
        <f>DBparts1[[#This Row],[LIST $]]*DBparts1[[#This Row],[DISCOUNT]]*DBparts1[[#This Row],[DISCOUNT 2]]</f>
        <v>0</v>
      </c>
    </row>
    <row r="288" spans="2:12">
      <c r="B288" s="112"/>
      <c r="C288" s="112"/>
      <c r="D288" s="112"/>
      <c r="F288" s="168" t="s">
        <v>6202</v>
      </c>
      <c r="G288" s="232">
        <f>IF(DBparts1[[#This Row],[Type]]&gt;0,VLOOKUP(DBparts1[[#This Row],[Type]],Main[[#All],[TYPE]:[UNIT]],'Unit Price'!C$1,FALSE),0)</f>
        <v>0</v>
      </c>
      <c r="H288" s="194">
        <f>IF(DBparts1[[#This Row],[Type]]&gt;0,VLOOKUP(DBparts1[[#This Row],[Type]],Main[[#All],[TYPE]:[UNIT]],'Unit Price'!D$1,FALSE),0)</f>
        <v>0</v>
      </c>
      <c r="I288" s="194">
        <f>IF(DBparts1[[#This Row],[Type]]&gt;0,VLOOKUP(DBparts1[[#This Row],[Type]],Main[[#All],[TYPE]:[UNIT]],'Unit Price'!G$1,FALSE),0)</f>
        <v>0</v>
      </c>
      <c r="J288" s="194">
        <f>IF(DBparts1[[#This Row],[Type]]&gt;0,VLOOKUP(DBparts1[[#This Row],[Type]],Main[[#All],[TYPE]:[UNIT]],'Unit Price'!H$1,FALSE),0)</f>
        <v>0</v>
      </c>
      <c r="K288" s="194">
        <f>IF(DBparts1[[#This Row],[Type]]&gt;0,VLOOKUP(DBparts1[[#This Row],[Discount seletion]],'Discount Structure'!$A$2:$B$30,2,"false"),0)</f>
        <v>0</v>
      </c>
      <c r="L288" s="194">
        <f>DBparts1[[#This Row],[LIST $]]*DBparts1[[#This Row],[DISCOUNT]]*DBparts1[[#This Row],[DISCOUNT 2]]</f>
        <v>0</v>
      </c>
    </row>
    <row r="289" spans="2:12">
      <c r="B289" s="112"/>
      <c r="C289" s="112"/>
      <c r="D289" s="112"/>
      <c r="F289" s="168" t="s">
        <v>6202</v>
      </c>
      <c r="G289" s="232">
        <f>IF(DBparts1[[#This Row],[Type]]&gt;0,VLOOKUP(DBparts1[[#This Row],[Type]],Main[[#All],[TYPE]:[UNIT]],'Unit Price'!C$1,FALSE),0)</f>
        <v>0</v>
      </c>
      <c r="H289" s="194">
        <f>IF(DBparts1[[#This Row],[Type]]&gt;0,VLOOKUP(DBparts1[[#This Row],[Type]],Main[[#All],[TYPE]:[UNIT]],'Unit Price'!D$1,FALSE),0)</f>
        <v>0</v>
      </c>
      <c r="I289" s="194">
        <f>IF(DBparts1[[#This Row],[Type]]&gt;0,VLOOKUP(DBparts1[[#This Row],[Type]],Main[[#All],[TYPE]:[UNIT]],'Unit Price'!G$1,FALSE),0)</f>
        <v>0</v>
      </c>
      <c r="J289" s="194">
        <f>IF(DBparts1[[#This Row],[Type]]&gt;0,VLOOKUP(DBparts1[[#This Row],[Type]],Main[[#All],[TYPE]:[UNIT]],'Unit Price'!H$1,FALSE),0)</f>
        <v>0</v>
      </c>
      <c r="K289" s="194">
        <f>IF(DBparts1[[#This Row],[Type]]&gt;0,VLOOKUP(DBparts1[[#This Row],[Discount seletion]],'Discount Structure'!$A$2:$B$30,2,"false"),0)</f>
        <v>0</v>
      </c>
      <c r="L289" s="194">
        <f>DBparts1[[#This Row],[LIST $]]*DBparts1[[#This Row],[DISCOUNT]]*DBparts1[[#This Row],[DISCOUNT 2]]</f>
        <v>0</v>
      </c>
    </row>
    <row r="290" spans="2:12">
      <c r="B290" s="112"/>
      <c r="C290" s="112"/>
      <c r="D290" s="112"/>
      <c r="F290" s="168" t="s">
        <v>6202</v>
      </c>
      <c r="G290" s="232">
        <f>IF(DBparts1[[#This Row],[Type]]&gt;0,VLOOKUP(DBparts1[[#This Row],[Type]],Main[[#All],[TYPE]:[UNIT]],'Unit Price'!C$1,FALSE),0)</f>
        <v>0</v>
      </c>
      <c r="H290" s="194">
        <f>IF(DBparts1[[#This Row],[Type]]&gt;0,VLOOKUP(DBparts1[[#This Row],[Type]],Main[[#All],[TYPE]:[UNIT]],'Unit Price'!D$1,FALSE),0)</f>
        <v>0</v>
      </c>
      <c r="I290" s="194">
        <f>IF(DBparts1[[#This Row],[Type]]&gt;0,VLOOKUP(DBparts1[[#This Row],[Type]],Main[[#All],[TYPE]:[UNIT]],'Unit Price'!G$1,FALSE),0)</f>
        <v>0</v>
      </c>
      <c r="J290" s="194">
        <f>IF(DBparts1[[#This Row],[Type]]&gt;0,VLOOKUP(DBparts1[[#This Row],[Type]],Main[[#All],[TYPE]:[UNIT]],'Unit Price'!H$1,FALSE),0)</f>
        <v>0</v>
      </c>
      <c r="K290" s="194">
        <f>IF(DBparts1[[#This Row],[Type]]&gt;0,VLOOKUP(DBparts1[[#This Row],[Discount seletion]],'Discount Structure'!$A$2:$B$30,2,"false"),0)</f>
        <v>0</v>
      </c>
      <c r="L290" s="194">
        <f>DBparts1[[#This Row],[LIST $]]*DBparts1[[#This Row],[DISCOUNT]]*DBparts1[[#This Row],[DISCOUNT 2]]</f>
        <v>0</v>
      </c>
    </row>
    <row r="291" spans="2:12">
      <c r="B291" s="112"/>
      <c r="C291" s="112"/>
      <c r="D291" s="112"/>
      <c r="F291" s="168" t="s">
        <v>6202</v>
      </c>
      <c r="G291" s="232">
        <f>IF(DBparts1[[#This Row],[Type]]&gt;0,VLOOKUP(DBparts1[[#This Row],[Type]],Main[[#All],[TYPE]:[UNIT]],'Unit Price'!C$1,FALSE),0)</f>
        <v>0</v>
      </c>
      <c r="H291" s="194">
        <f>IF(DBparts1[[#This Row],[Type]]&gt;0,VLOOKUP(DBparts1[[#This Row],[Type]],Main[[#All],[TYPE]:[UNIT]],'Unit Price'!D$1,FALSE),0)</f>
        <v>0</v>
      </c>
      <c r="I291" s="194">
        <f>IF(DBparts1[[#This Row],[Type]]&gt;0,VLOOKUP(DBparts1[[#This Row],[Type]],Main[[#All],[TYPE]:[UNIT]],'Unit Price'!G$1,FALSE),0)</f>
        <v>0</v>
      </c>
      <c r="J291" s="194">
        <f>IF(DBparts1[[#This Row],[Type]]&gt;0,VLOOKUP(DBparts1[[#This Row],[Type]],Main[[#All],[TYPE]:[UNIT]],'Unit Price'!H$1,FALSE),0)</f>
        <v>0</v>
      </c>
      <c r="K291" s="194">
        <f>IF(DBparts1[[#This Row],[Type]]&gt;0,VLOOKUP(DBparts1[[#This Row],[Discount seletion]],'Discount Structure'!$A$2:$B$30,2,"false"),0)</f>
        <v>0</v>
      </c>
      <c r="L291" s="194">
        <f>DBparts1[[#This Row],[LIST $]]*DBparts1[[#This Row],[DISCOUNT]]*DBparts1[[#This Row],[DISCOUNT 2]]</f>
        <v>0</v>
      </c>
    </row>
    <row r="292" spans="2:12">
      <c r="B292" s="112"/>
      <c r="C292" s="112"/>
      <c r="D292" s="112"/>
      <c r="F292" s="168" t="s">
        <v>6202</v>
      </c>
      <c r="G292" s="232">
        <f>IF(DBparts1[[#This Row],[Type]]&gt;0,VLOOKUP(DBparts1[[#This Row],[Type]],Main[[#All],[TYPE]:[UNIT]],'Unit Price'!C$1,FALSE),0)</f>
        <v>0</v>
      </c>
      <c r="H292" s="194">
        <f>IF(DBparts1[[#This Row],[Type]]&gt;0,VLOOKUP(DBparts1[[#This Row],[Type]],Main[[#All],[TYPE]:[UNIT]],'Unit Price'!D$1,FALSE),0)</f>
        <v>0</v>
      </c>
      <c r="I292" s="194">
        <f>IF(DBparts1[[#This Row],[Type]]&gt;0,VLOOKUP(DBparts1[[#This Row],[Type]],Main[[#All],[TYPE]:[UNIT]],'Unit Price'!G$1,FALSE),0)</f>
        <v>0</v>
      </c>
      <c r="J292" s="194">
        <f>IF(DBparts1[[#This Row],[Type]]&gt;0,VLOOKUP(DBparts1[[#This Row],[Type]],Main[[#All],[TYPE]:[UNIT]],'Unit Price'!H$1,FALSE),0)</f>
        <v>0</v>
      </c>
      <c r="K292" s="194">
        <f>IF(DBparts1[[#This Row],[Type]]&gt;0,VLOOKUP(DBparts1[[#This Row],[Discount seletion]],'Discount Structure'!$A$2:$B$30,2,"false"),0)</f>
        <v>0</v>
      </c>
      <c r="L292" s="194">
        <f>DBparts1[[#This Row],[LIST $]]*DBparts1[[#This Row],[DISCOUNT]]*DBparts1[[#This Row],[DISCOUNT 2]]</f>
        <v>0</v>
      </c>
    </row>
    <row r="293" spans="2:12">
      <c r="B293" s="112"/>
      <c r="C293" s="112"/>
      <c r="D293" s="112"/>
      <c r="F293" s="168" t="s">
        <v>6202</v>
      </c>
      <c r="G293" s="232">
        <f>IF(DBparts1[[#This Row],[Type]]&gt;0,VLOOKUP(DBparts1[[#This Row],[Type]],Main[[#All],[TYPE]:[UNIT]],'Unit Price'!C$1,FALSE),0)</f>
        <v>0</v>
      </c>
      <c r="H293" s="194">
        <f>IF(DBparts1[[#This Row],[Type]]&gt;0,VLOOKUP(DBparts1[[#This Row],[Type]],Main[[#All],[TYPE]:[UNIT]],'Unit Price'!D$1,FALSE),0)</f>
        <v>0</v>
      </c>
      <c r="I293" s="194">
        <f>IF(DBparts1[[#This Row],[Type]]&gt;0,VLOOKUP(DBparts1[[#This Row],[Type]],Main[[#All],[TYPE]:[UNIT]],'Unit Price'!G$1,FALSE),0)</f>
        <v>0</v>
      </c>
      <c r="J293" s="194">
        <f>IF(DBparts1[[#This Row],[Type]]&gt;0,VLOOKUP(DBparts1[[#This Row],[Type]],Main[[#All],[TYPE]:[UNIT]],'Unit Price'!H$1,FALSE),0)</f>
        <v>0</v>
      </c>
      <c r="K293" s="194">
        <f>IF(DBparts1[[#This Row],[Type]]&gt;0,VLOOKUP(DBparts1[[#This Row],[Discount seletion]],'Discount Structure'!$A$2:$B$30,2,"false"),0)</f>
        <v>0</v>
      </c>
      <c r="L293" s="194">
        <f>DBparts1[[#This Row],[LIST $]]*DBparts1[[#This Row],[DISCOUNT]]*DBparts1[[#This Row],[DISCOUNT 2]]</f>
        <v>0</v>
      </c>
    </row>
    <row r="294" spans="2:12">
      <c r="B294" s="112"/>
      <c r="C294" s="112"/>
      <c r="D294" s="112"/>
      <c r="F294" s="168" t="s">
        <v>6202</v>
      </c>
      <c r="G294" s="232">
        <f>IF(DBparts1[[#This Row],[Type]]&gt;0,VLOOKUP(DBparts1[[#This Row],[Type]],Main[[#All],[TYPE]:[UNIT]],'Unit Price'!C$1,FALSE),0)</f>
        <v>0</v>
      </c>
      <c r="H294" s="194">
        <f>IF(DBparts1[[#This Row],[Type]]&gt;0,VLOOKUP(DBparts1[[#This Row],[Type]],Main[[#All],[TYPE]:[UNIT]],'Unit Price'!D$1,FALSE),0)</f>
        <v>0</v>
      </c>
      <c r="I294" s="194">
        <f>IF(DBparts1[[#This Row],[Type]]&gt;0,VLOOKUP(DBparts1[[#This Row],[Type]],Main[[#All],[TYPE]:[UNIT]],'Unit Price'!G$1,FALSE),0)</f>
        <v>0</v>
      </c>
      <c r="J294" s="194">
        <f>IF(DBparts1[[#This Row],[Type]]&gt;0,VLOOKUP(DBparts1[[#This Row],[Type]],Main[[#All],[TYPE]:[UNIT]],'Unit Price'!H$1,FALSE),0)</f>
        <v>0</v>
      </c>
      <c r="K294" s="194">
        <f>IF(DBparts1[[#This Row],[Type]]&gt;0,VLOOKUP(DBparts1[[#This Row],[Discount seletion]],'Discount Structure'!$A$2:$B$30,2,"false"),0)</f>
        <v>0</v>
      </c>
      <c r="L294" s="194">
        <f>DBparts1[[#This Row],[LIST $]]*DBparts1[[#This Row],[DISCOUNT]]*DBparts1[[#This Row],[DISCOUNT 2]]</f>
        <v>0</v>
      </c>
    </row>
    <row r="295" spans="2:12">
      <c r="B295" s="112"/>
      <c r="C295" s="112"/>
      <c r="D295" s="112"/>
      <c r="F295" s="168" t="s">
        <v>6202</v>
      </c>
      <c r="G295" s="232">
        <f>IF(DBparts1[[#This Row],[Type]]&gt;0,VLOOKUP(DBparts1[[#This Row],[Type]],Main[[#All],[TYPE]:[UNIT]],'Unit Price'!C$1,FALSE),0)</f>
        <v>0</v>
      </c>
      <c r="H295" s="194">
        <f>IF(DBparts1[[#This Row],[Type]]&gt;0,VLOOKUP(DBparts1[[#This Row],[Type]],Main[[#All],[TYPE]:[UNIT]],'Unit Price'!D$1,FALSE),0)</f>
        <v>0</v>
      </c>
      <c r="I295" s="194">
        <f>IF(DBparts1[[#This Row],[Type]]&gt;0,VLOOKUP(DBparts1[[#This Row],[Type]],Main[[#All],[TYPE]:[UNIT]],'Unit Price'!G$1,FALSE),0)</f>
        <v>0</v>
      </c>
      <c r="J295" s="194">
        <f>IF(DBparts1[[#This Row],[Type]]&gt;0,VLOOKUP(DBparts1[[#This Row],[Type]],Main[[#All],[TYPE]:[UNIT]],'Unit Price'!H$1,FALSE),0)</f>
        <v>0</v>
      </c>
      <c r="K295" s="194">
        <f>IF(DBparts1[[#This Row],[Type]]&gt;0,VLOOKUP(DBparts1[[#This Row],[Discount seletion]],'Discount Structure'!$A$2:$B$30,2,"false"),0)</f>
        <v>0</v>
      </c>
      <c r="L295" s="194">
        <f>DBparts1[[#This Row],[LIST $]]*DBparts1[[#This Row],[DISCOUNT]]*DBparts1[[#This Row],[DISCOUNT 2]]</f>
        <v>0</v>
      </c>
    </row>
    <row r="296" spans="2:12">
      <c r="B296" s="112"/>
      <c r="C296" s="112"/>
      <c r="D296" s="112"/>
      <c r="F296" s="168" t="s">
        <v>6202</v>
      </c>
      <c r="G296" s="232">
        <f>IF(DBparts1[[#This Row],[Type]]&gt;0,VLOOKUP(DBparts1[[#This Row],[Type]],Main[[#All],[TYPE]:[UNIT]],'Unit Price'!C$1,FALSE),0)</f>
        <v>0</v>
      </c>
      <c r="H296" s="194">
        <f>IF(DBparts1[[#This Row],[Type]]&gt;0,VLOOKUP(DBparts1[[#This Row],[Type]],Main[[#All],[TYPE]:[UNIT]],'Unit Price'!D$1,FALSE),0)</f>
        <v>0</v>
      </c>
      <c r="I296" s="194">
        <f>IF(DBparts1[[#This Row],[Type]]&gt;0,VLOOKUP(DBparts1[[#This Row],[Type]],Main[[#All],[TYPE]:[UNIT]],'Unit Price'!G$1,FALSE),0)</f>
        <v>0</v>
      </c>
      <c r="J296" s="194">
        <f>IF(DBparts1[[#This Row],[Type]]&gt;0,VLOOKUP(DBparts1[[#This Row],[Type]],Main[[#All],[TYPE]:[UNIT]],'Unit Price'!H$1,FALSE),0)</f>
        <v>0</v>
      </c>
      <c r="K296" s="194">
        <f>IF(DBparts1[[#This Row],[Type]]&gt;0,VLOOKUP(DBparts1[[#This Row],[Discount seletion]],'Discount Structure'!$A$2:$B$30,2,"false"),0)</f>
        <v>0</v>
      </c>
      <c r="L296" s="194">
        <f>DBparts1[[#This Row],[LIST $]]*DBparts1[[#This Row],[DISCOUNT]]*DBparts1[[#This Row],[DISCOUNT 2]]</f>
        <v>0</v>
      </c>
    </row>
    <row r="297" spans="2:12">
      <c r="B297" s="112"/>
      <c r="C297" s="112"/>
      <c r="D297" s="112"/>
      <c r="F297" s="168" t="s">
        <v>6202</v>
      </c>
      <c r="G297" s="232">
        <f>IF(DBparts1[[#This Row],[Type]]&gt;0,VLOOKUP(DBparts1[[#This Row],[Type]],Main[[#All],[TYPE]:[UNIT]],'Unit Price'!C$1,FALSE),0)</f>
        <v>0</v>
      </c>
      <c r="H297" s="194">
        <f>IF(DBparts1[[#This Row],[Type]]&gt;0,VLOOKUP(DBparts1[[#This Row],[Type]],Main[[#All],[TYPE]:[UNIT]],'Unit Price'!D$1,FALSE),0)</f>
        <v>0</v>
      </c>
      <c r="I297" s="194">
        <f>IF(DBparts1[[#This Row],[Type]]&gt;0,VLOOKUP(DBparts1[[#This Row],[Type]],Main[[#All],[TYPE]:[UNIT]],'Unit Price'!G$1,FALSE),0)</f>
        <v>0</v>
      </c>
      <c r="J297" s="194">
        <f>IF(DBparts1[[#This Row],[Type]]&gt;0,VLOOKUP(DBparts1[[#This Row],[Type]],Main[[#All],[TYPE]:[UNIT]],'Unit Price'!H$1,FALSE),0)</f>
        <v>0</v>
      </c>
      <c r="K297" s="194">
        <f>IF(DBparts1[[#This Row],[Type]]&gt;0,VLOOKUP(DBparts1[[#This Row],[Discount seletion]],'Discount Structure'!$A$2:$B$30,2,"false"),0)</f>
        <v>0</v>
      </c>
      <c r="L297" s="194">
        <f>DBparts1[[#This Row],[LIST $]]*DBparts1[[#This Row],[DISCOUNT]]*DBparts1[[#This Row],[DISCOUNT 2]]</f>
        <v>0</v>
      </c>
    </row>
    <row r="298" spans="2:12">
      <c r="B298" s="112"/>
      <c r="C298" s="112"/>
      <c r="D298" s="112"/>
      <c r="F298" s="168" t="s">
        <v>6202</v>
      </c>
      <c r="G298" s="232">
        <f>IF(DBparts1[[#This Row],[Type]]&gt;0,VLOOKUP(DBparts1[[#This Row],[Type]],Main[[#All],[TYPE]:[UNIT]],'Unit Price'!C$1,FALSE),0)</f>
        <v>0</v>
      </c>
      <c r="H298" s="194">
        <f>IF(DBparts1[[#This Row],[Type]]&gt;0,VLOOKUP(DBparts1[[#This Row],[Type]],Main[[#All],[TYPE]:[UNIT]],'Unit Price'!D$1,FALSE),0)</f>
        <v>0</v>
      </c>
      <c r="I298" s="194">
        <f>IF(DBparts1[[#This Row],[Type]]&gt;0,VLOOKUP(DBparts1[[#This Row],[Type]],Main[[#All],[TYPE]:[UNIT]],'Unit Price'!G$1,FALSE),0)</f>
        <v>0</v>
      </c>
      <c r="J298" s="194">
        <f>IF(DBparts1[[#This Row],[Type]]&gt;0,VLOOKUP(DBparts1[[#This Row],[Type]],Main[[#All],[TYPE]:[UNIT]],'Unit Price'!H$1,FALSE),0)</f>
        <v>0</v>
      </c>
      <c r="K298" s="194">
        <f>IF(DBparts1[[#This Row],[Type]]&gt;0,VLOOKUP(DBparts1[[#This Row],[Discount seletion]],'Discount Structure'!$A$2:$B$30,2,"false"),0)</f>
        <v>0</v>
      </c>
      <c r="L298" s="194">
        <f>DBparts1[[#This Row],[LIST $]]*DBparts1[[#This Row],[DISCOUNT]]*DBparts1[[#This Row],[DISCOUNT 2]]</f>
        <v>0</v>
      </c>
    </row>
    <row r="299" spans="2:12">
      <c r="B299" s="112"/>
      <c r="C299" s="112"/>
      <c r="D299" s="112"/>
      <c r="F299" s="168" t="s">
        <v>6202</v>
      </c>
      <c r="G299" s="232">
        <f>IF(DBparts1[[#This Row],[Type]]&gt;0,VLOOKUP(DBparts1[[#This Row],[Type]],Main[[#All],[TYPE]:[UNIT]],'Unit Price'!C$1,FALSE),0)</f>
        <v>0</v>
      </c>
      <c r="H299" s="194">
        <f>IF(DBparts1[[#This Row],[Type]]&gt;0,VLOOKUP(DBparts1[[#This Row],[Type]],Main[[#All],[TYPE]:[UNIT]],'Unit Price'!D$1,FALSE),0)</f>
        <v>0</v>
      </c>
      <c r="I299" s="194">
        <f>IF(DBparts1[[#This Row],[Type]]&gt;0,VLOOKUP(DBparts1[[#This Row],[Type]],Main[[#All],[TYPE]:[UNIT]],'Unit Price'!G$1,FALSE),0)</f>
        <v>0</v>
      </c>
      <c r="J299" s="194">
        <f>IF(DBparts1[[#This Row],[Type]]&gt;0,VLOOKUP(DBparts1[[#This Row],[Type]],Main[[#All],[TYPE]:[UNIT]],'Unit Price'!H$1,FALSE),0)</f>
        <v>0</v>
      </c>
      <c r="K299" s="194">
        <f>IF(DBparts1[[#This Row],[Type]]&gt;0,VLOOKUP(DBparts1[[#This Row],[Discount seletion]],'Discount Structure'!$A$2:$B$30,2,"false"),0)</f>
        <v>0</v>
      </c>
      <c r="L299" s="194">
        <f>DBparts1[[#This Row],[LIST $]]*DBparts1[[#This Row],[DISCOUNT]]*DBparts1[[#This Row],[DISCOUNT 2]]</f>
        <v>0</v>
      </c>
    </row>
    <row r="300" spans="2:12">
      <c r="B300" s="112"/>
      <c r="C300" s="112"/>
      <c r="D300" s="112"/>
      <c r="F300" s="168" t="s">
        <v>6202</v>
      </c>
      <c r="G300" s="232">
        <f>IF(DBparts1[[#This Row],[Type]]&gt;0,VLOOKUP(DBparts1[[#This Row],[Type]],Main[[#All],[TYPE]:[UNIT]],'Unit Price'!C$1,FALSE),0)</f>
        <v>0</v>
      </c>
      <c r="H300" s="194">
        <f>IF(DBparts1[[#This Row],[Type]]&gt;0,VLOOKUP(DBparts1[[#This Row],[Type]],Main[[#All],[TYPE]:[UNIT]],'Unit Price'!D$1,FALSE),0)</f>
        <v>0</v>
      </c>
      <c r="I300" s="194">
        <f>IF(DBparts1[[#This Row],[Type]]&gt;0,VLOOKUP(DBparts1[[#This Row],[Type]],Main[[#All],[TYPE]:[UNIT]],'Unit Price'!G$1,FALSE),0)</f>
        <v>0</v>
      </c>
      <c r="J300" s="194">
        <f>IF(DBparts1[[#This Row],[Type]]&gt;0,VLOOKUP(DBparts1[[#This Row],[Type]],Main[[#All],[TYPE]:[UNIT]],'Unit Price'!H$1,FALSE),0)</f>
        <v>0</v>
      </c>
      <c r="K300" s="194">
        <f>IF(DBparts1[[#This Row],[Type]]&gt;0,VLOOKUP(DBparts1[[#This Row],[Discount seletion]],'Discount Structure'!$A$2:$B$30,2,"false"),0)</f>
        <v>0</v>
      </c>
      <c r="L300" s="194">
        <f>DBparts1[[#This Row],[LIST $]]*DBparts1[[#This Row],[DISCOUNT]]*DBparts1[[#This Row],[DISCOUNT 2]]</f>
        <v>0</v>
      </c>
    </row>
    <row r="301" spans="2:12">
      <c r="B301" s="112"/>
      <c r="C301" s="112"/>
      <c r="D301" s="112"/>
      <c r="F301" s="168" t="s">
        <v>6202</v>
      </c>
      <c r="G301" s="232">
        <f>IF(DBparts1[[#This Row],[Type]]&gt;0,VLOOKUP(DBparts1[[#This Row],[Type]],Main[[#All],[TYPE]:[UNIT]],'Unit Price'!C$1,FALSE),0)</f>
        <v>0</v>
      </c>
      <c r="H301" s="194">
        <f>IF(DBparts1[[#This Row],[Type]]&gt;0,VLOOKUP(DBparts1[[#This Row],[Type]],Main[[#All],[TYPE]:[UNIT]],'Unit Price'!D$1,FALSE),0)</f>
        <v>0</v>
      </c>
      <c r="I301" s="194">
        <f>IF(DBparts1[[#This Row],[Type]]&gt;0,VLOOKUP(DBparts1[[#This Row],[Type]],Main[[#All],[TYPE]:[UNIT]],'Unit Price'!G$1,FALSE),0)</f>
        <v>0</v>
      </c>
      <c r="J301" s="194">
        <f>IF(DBparts1[[#This Row],[Type]]&gt;0,VLOOKUP(DBparts1[[#This Row],[Type]],Main[[#All],[TYPE]:[UNIT]],'Unit Price'!H$1,FALSE),0)</f>
        <v>0</v>
      </c>
      <c r="K301" s="194">
        <f>IF(DBparts1[[#This Row],[Type]]&gt;0,VLOOKUP(DBparts1[[#This Row],[Discount seletion]],'Discount Structure'!$A$2:$B$30,2,"false"),0)</f>
        <v>0</v>
      </c>
      <c r="L301" s="194">
        <f>DBparts1[[#This Row],[LIST $]]*DBparts1[[#This Row],[DISCOUNT]]*DBparts1[[#This Row],[DISCOUNT 2]]</f>
        <v>0</v>
      </c>
    </row>
    <row r="302" spans="2:12">
      <c r="B302" s="112"/>
      <c r="C302" s="112"/>
      <c r="D302" s="112"/>
      <c r="F302" s="168" t="s">
        <v>6202</v>
      </c>
      <c r="G302" s="232">
        <f>IF(DBparts1[[#This Row],[Type]]&gt;0,VLOOKUP(DBparts1[[#This Row],[Type]],Main[[#All],[TYPE]:[UNIT]],'Unit Price'!C$1,FALSE),0)</f>
        <v>0</v>
      </c>
      <c r="H302" s="194">
        <f>IF(DBparts1[[#This Row],[Type]]&gt;0,VLOOKUP(DBparts1[[#This Row],[Type]],Main[[#All],[TYPE]:[UNIT]],'Unit Price'!D$1,FALSE),0)</f>
        <v>0</v>
      </c>
      <c r="I302" s="194">
        <f>IF(DBparts1[[#This Row],[Type]]&gt;0,VLOOKUP(DBparts1[[#This Row],[Type]],Main[[#All],[TYPE]:[UNIT]],'Unit Price'!G$1,FALSE),0)</f>
        <v>0</v>
      </c>
      <c r="J302" s="194">
        <f>IF(DBparts1[[#This Row],[Type]]&gt;0,VLOOKUP(DBparts1[[#This Row],[Type]],Main[[#All],[TYPE]:[UNIT]],'Unit Price'!H$1,FALSE),0)</f>
        <v>0</v>
      </c>
      <c r="K302" s="194">
        <f>IF(DBparts1[[#This Row],[Type]]&gt;0,VLOOKUP(DBparts1[[#This Row],[Discount seletion]],'Discount Structure'!$A$2:$B$30,2,"false"),0)</f>
        <v>0</v>
      </c>
      <c r="L302" s="194">
        <f>DBparts1[[#This Row],[LIST $]]*DBparts1[[#This Row],[DISCOUNT]]*DBparts1[[#This Row],[DISCOUNT 2]]</f>
        <v>0</v>
      </c>
    </row>
    <row r="303" spans="2:12">
      <c r="B303" s="112"/>
      <c r="C303" s="112"/>
      <c r="D303" s="112"/>
      <c r="F303" s="168" t="s">
        <v>6202</v>
      </c>
      <c r="G303" s="232">
        <f>IF(DBparts1[[#This Row],[Type]]&gt;0,VLOOKUP(DBparts1[[#This Row],[Type]],Main[[#All],[TYPE]:[UNIT]],'Unit Price'!C$1,FALSE),0)</f>
        <v>0</v>
      </c>
      <c r="H303" s="194">
        <f>IF(DBparts1[[#This Row],[Type]]&gt;0,VLOOKUP(DBparts1[[#This Row],[Type]],Main[[#All],[TYPE]:[UNIT]],'Unit Price'!D$1,FALSE),0)</f>
        <v>0</v>
      </c>
      <c r="I303" s="194">
        <f>IF(DBparts1[[#This Row],[Type]]&gt;0,VLOOKUP(DBparts1[[#This Row],[Type]],Main[[#All],[TYPE]:[UNIT]],'Unit Price'!G$1,FALSE),0)</f>
        <v>0</v>
      </c>
      <c r="J303" s="194">
        <f>IF(DBparts1[[#This Row],[Type]]&gt;0,VLOOKUP(DBparts1[[#This Row],[Type]],Main[[#All],[TYPE]:[UNIT]],'Unit Price'!H$1,FALSE),0)</f>
        <v>0</v>
      </c>
      <c r="K303" s="194">
        <f>IF(DBparts1[[#This Row],[Type]]&gt;0,VLOOKUP(DBparts1[[#This Row],[Discount seletion]],'Discount Structure'!$A$2:$B$30,2,"false"),0)</f>
        <v>0</v>
      </c>
      <c r="L303" s="194">
        <f>DBparts1[[#This Row],[LIST $]]*DBparts1[[#This Row],[DISCOUNT]]*DBparts1[[#This Row],[DISCOUNT 2]]</f>
        <v>0</v>
      </c>
    </row>
    <row r="304" spans="2:12">
      <c r="B304" s="112"/>
      <c r="C304" s="112"/>
      <c r="D304" s="112"/>
      <c r="F304" s="168" t="s">
        <v>6202</v>
      </c>
      <c r="G304" s="232">
        <f>IF(DBparts1[[#This Row],[Type]]&gt;0,VLOOKUP(DBparts1[[#This Row],[Type]],Main[[#All],[TYPE]:[UNIT]],'Unit Price'!C$1,FALSE),0)</f>
        <v>0</v>
      </c>
      <c r="H304" s="194">
        <f>IF(DBparts1[[#This Row],[Type]]&gt;0,VLOOKUP(DBparts1[[#This Row],[Type]],Main[[#All],[TYPE]:[UNIT]],'Unit Price'!D$1,FALSE),0)</f>
        <v>0</v>
      </c>
      <c r="I304" s="194">
        <f>IF(DBparts1[[#This Row],[Type]]&gt;0,VLOOKUP(DBparts1[[#This Row],[Type]],Main[[#All],[TYPE]:[UNIT]],'Unit Price'!G$1,FALSE),0)</f>
        <v>0</v>
      </c>
      <c r="J304" s="194">
        <f>IF(DBparts1[[#This Row],[Type]]&gt;0,VLOOKUP(DBparts1[[#This Row],[Type]],Main[[#All],[TYPE]:[UNIT]],'Unit Price'!H$1,FALSE),0)</f>
        <v>0</v>
      </c>
      <c r="K304" s="194">
        <f>IF(DBparts1[[#This Row],[Type]]&gt;0,VLOOKUP(DBparts1[[#This Row],[Discount seletion]],'Discount Structure'!$A$2:$B$30,2,"false"),0)</f>
        <v>0</v>
      </c>
      <c r="L304" s="194">
        <f>DBparts1[[#This Row],[LIST $]]*DBparts1[[#This Row],[DISCOUNT]]*DBparts1[[#This Row],[DISCOUNT 2]]</f>
        <v>0</v>
      </c>
    </row>
    <row r="305" spans="2:12">
      <c r="B305" s="112"/>
      <c r="C305" s="112"/>
      <c r="D305" s="112"/>
      <c r="F305" s="168" t="s">
        <v>6202</v>
      </c>
      <c r="G305" s="232">
        <f>IF(DBparts1[[#This Row],[Type]]&gt;0,VLOOKUP(DBparts1[[#This Row],[Type]],Main[[#All],[TYPE]:[UNIT]],'Unit Price'!C$1,FALSE),0)</f>
        <v>0</v>
      </c>
      <c r="H305" s="194">
        <f>IF(DBparts1[[#This Row],[Type]]&gt;0,VLOOKUP(DBparts1[[#This Row],[Type]],Main[[#All],[TYPE]:[UNIT]],'Unit Price'!D$1,FALSE),0)</f>
        <v>0</v>
      </c>
      <c r="I305" s="194">
        <f>IF(DBparts1[[#This Row],[Type]]&gt;0,VLOOKUP(DBparts1[[#This Row],[Type]],Main[[#All],[TYPE]:[UNIT]],'Unit Price'!G$1,FALSE),0)</f>
        <v>0</v>
      </c>
      <c r="J305" s="194">
        <f>IF(DBparts1[[#This Row],[Type]]&gt;0,VLOOKUP(DBparts1[[#This Row],[Type]],Main[[#All],[TYPE]:[UNIT]],'Unit Price'!H$1,FALSE),0)</f>
        <v>0</v>
      </c>
      <c r="K305" s="194">
        <f>IF(DBparts1[[#This Row],[Type]]&gt;0,VLOOKUP(DBparts1[[#This Row],[Discount seletion]],'Discount Structure'!$A$2:$B$30,2,"false"),0)</f>
        <v>0</v>
      </c>
      <c r="L305" s="194">
        <f>DBparts1[[#This Row],[LIST $]]*DBparts1[[#This Row],[DISCOUNT]]*DBparts1[[#This Row],[DISCOUNT 2]]</f>
        <v>0</v>
      </c>
    </row>
    <row r="306" spans="2:12">
      <c r="B306" s="112"/>
      <c r="C306" s="112"/>
      <c r="D306" s="112"/>
      <c r="F306" s="168" t="s">
        <v>6202</v>
      </c>
      <c r="G306" s="232">
        <f>IF(DBparts1[[#This Row],[Type]]&gt;0,VLOOKUP(DBparts1[[#This Row],[Type]],Main[[#All],[TYPE]:[UNIT]],'Unit Price'!C$1,FALSE),0)</f>
        <v>0</v>
      </c>
      <c r="H306" s="194">
        <f>IF(DBparts1[[#This Row],[Type]]&gt;0,VLOOKUP(DBparts1[[#This Row],[Type]],Main[[#All],[TYPE]:[UNIT]],'Unit Price'!D$1,FALSE),0)</f>
        <v>0</v>
      </c>
      <c r="I306" s="194">
        <f>IF(DBparts1[[#This Row],[Type]]&gt;0,VLOOKUP(DBparts1[[#This Row],[Type]],Main[[#All],[TYPE]:[UNIT]],'Unit Price'!G$1,FALSE),0)</f>
        <v>0</v>
      </c>
      <c r="J306" s="194">
        <f>IF(DBparts1[[#This Row],[Type]]&gt;0,VLOOKUP(DBparts1[[#This Row],[Type]],Main[[#All],[TYPE]:[UNIT]],'Unit Price'!H$1,FALSE),0)</f>
        <v>0</v>
      </c>
      <c r="K306" s="194">
        <f>IF(DBparts1[[#This Row],[Type]]&gt;0,VLOOKUP(DBparts1[[#This Row],[Discount seletion]],'Discount Structure'!$A$2:$B$30,2,"false"),0)</f>
        <v>0</v>
      </c>
      <c r="L306" s="194">
        <f>DBparts1[[#This Row],[LIST $]]*DBparts1[[#This Row],[DISCOUNT]]*DBparts1[[#This Row],[DISCOUNT 2]]</f>
        <v>0</v>
      </c>
    </row>
    <row r="307" spans="2:12">
      <c r="B307" s="112"/>
      <c r="C307" s="112"/>
      <c r="D307" s="112"/>
      <c r="F307" s="168" t="s">
        <v>6202</v>
      </c>
      <c r="G307" s="232">
        <f>IF(DBparts1[[#This Row],[Type]]&gt;0,VLOOKUP(DBparts1[[#This Row],[Type]],Main[[#All],[TYPE]:[UNIT]],'Unit Price'!C$1,FALSE),0)</f>
        <v>0</v>
      </c>
      <c r="H307" s="194">
        <f>IF(DBparts1[[#This Row],[Type]]&gt;0,VLOOKUP(DBparts1[[#This Row],[Type]],Main[[#All],[TYPE]:[UNIT]],'Unit Price'!D$1,FALSE),0)</f>
        <v>0</v>
      </c>
      <c r="I307" s="194">
        <f>IF(DBparts1[[#This Row],[Type]]&gt;0,VLOOKUP(DBparts1[[#This Row],[Type]],Main[[#All],[TYPE]:[UNIT]],'Unit Price'!G$1,FALSE),0)</f>
        <v>0</v>
      </c>
      <c r="J307" s="194">
        <f>IF(DBparts1[[#This Row],[Type]]&gt;0,VLOOKUP(DBparts1[[#This Row],[Type]],Main[[#All],[TYPE]:[UNIT]],'Unit Price'!H$1,FALSE),0)</f>
        <v>0</v>
      </c>
      <c r="K307" s="194">
        <f>IF(DBparts1[[#This Row],[Type]]&gt;0,VLOOKUP(DBparts1[[#This Row],[Discount seletion]],'Discount Structure'!$A$2:$B$30,2,"false"),0)</f>
        <v>0</v>
      </c>
      <c r="L307" s="194">
        <f>DBparts1[[#This Row],[LIST $]]*DBparts1[[#This Row],[DISCOUNT]]*DBparts1[[#This Row],[DISCOUNT 2]]</f>
        <v>0</v>
      </c>
    </row>
    <row r="308" spans="2:12">
      <c r="B308" s="112"/>
      <c r="C308" s="112"/>
      <c r="D308" s="112"/>
      <c r="F308" s="168" t="s">
        <v>6202</v>
      </c>
      <c r="G308" s="232">
        <f>IF(DBparts1[[#This Row],[Type]]&gt;0,VLOOKUP(DBparts1[[#This Row],[Type]],Main[[#All],[TYPE]:[UNIT]],'Unit Price'!C$1,FALSE),0)</f>
        <v>0</v>
      </c>
      <c r="H308" s="194">
        <f>IF(DBparts1[[#This Row],[Type]]&gt;0,VLOOKUP(DBparts1[[#This Row],[Type]],Main[[#All],[TYPE]:[UNIT]],'Unit Price'!D$1,FALSE),0)</f>
        <v>0</v>
      </c>
      <c r="I308" s="194">
        <f>IF(DBparts1[[#This Row],[Type]]&gt;0,VLOOKUP(DBparts1[[#This Row],[Type]],Main[[#All],[TYPE]:[UNIT]],'Unit Price'!G$1,FALSE),0)</f>
        <v>0</v>
      </c>
      <c r="J308" s="194">
        <f>IF(DBparts1[[#This Row],[Type]]&gt;0,VLOOKUP(DBparts1[[#This Row],[Type]],Main[[#All],[TYPE]:[UNIT]],'Unit Price'!H$1,FALSE),0)</f>
        <v>0</v>
      </c>
      <c r="K308" s="194">
        <f>IF(DBparts1[[#This Row],[Type]]&gt;0,VLOOKUP(DBparts1[[#This Row],[Discount seletion]],'Discount Structure'!$A$2:$B$30,2,"false"),0)</f>
        <v>0</v>
      </c>
      <c r="L308" s="194">
        <f>DBparts1[[#This Row],[LIST $]]*DBparts1[[#This Row],[DISCOUNT]]*DBparts1[[#This Row],[DISCOUNT 2]]</f>
        <v>0</v>
      </c>
    </row>
    <row r="309" spans="2:12">
      <c r="B309" s="112"/>
      <c r="C309" s="112"/>
      <c r="D309" s="112"/>
      <c r="F309" s="168" t="s">
        <v>6202</v>
      </c>
      <c r="G309" s="232">
        <f>IF(DBparts1[[#This Row],[Type]]&gt;0,VLOOKUP(DBparts1[[#This Row],[Type]],Main[[#All],[TYPE]:[UNIT]],'Unit Price'!C$1,FALSE),0)</f>
        <v>0</v>
      </c>
      <c r="H309" s="194">
        <f>IF(DBparts1[[#This Row],[Type]]&gt;0,VLOOKUP(DBparts1[[#This Row],[Type]],Main[[#All],[TYPE]:[UNIT]],'Unit Price'!D$1,FALSE),0)</f>
        <v>0</v>
      </c>
      <c r="I309" s="194">
        <f>IF(DBparts1[[#This Row],[Type]]&gt;0,VLOOKUP(DBparts1[[#This Row],[Type]],Main[[#All],[TYPE]:[UNIT]],'Unit Price'!G$1,FALSE),0)</f>
        <v>0</v>
      </c>
      <c r="J309" s="194">
        <f>IF(DBparts1[[#This Row],[Type]]&gt;0,VLOOKUP(DBparts1[[#This Row],[Type]],Main[[#All],[TYPE]:[UNIT]],'Unit Price'!H$1,FALSE),0)</f>
        <v>0</v>
      </c>
      <c r="K309" s="194">
        <f>IF(DBparts1[[#This Row],[Type]]&gt;0,VLOOKUP(DBparts1[[#This Row],[Discount seletion]],'Discount Structure'!$A$2:$B$30,2,"false"),0)</f>
        <v>0</v>
      </c>
      <c r="L309" s="194">
        <f>DBparts1[[#This Row],[LIST $]]*DBparts1[[#This Row],[DISCOUNT]]*DBparts1[[#This Row],[DISCOUNT 2]]</f>
        <v>0</v>
      </c>
    </row>
    <row r="310" spans="2:12">
      <c r="B310" s="112"/>
      <c r="C310" s="112"/>
      <c r="D310" s="112"/>
      <c r="F310" s="168" t="s">
        <v>6202</v>
      </c>
      <c r="G310" s="232">
        <f>IF(DBparts1[[#This Row],[Type]]&gt;0,VLOOKUP(DBparts1[[#This Row],[Type]],Main[[#All],[TYPE]:[UNIT]],'Unit Price'!C$1,FALSE),0)</f>
        <v>0</v>
      </c>
      <c r="H310" s="194">
        <f>IF(DBparts1[[#This Row],[Type]]&gt;0,VLOOKUP(DBparts1[[#This Row],[Type]],Main[[#All],[TYPE]:[UNIT]],'Unit Price'!D$1,FALSE),0)</f>
        <v>0</v>
      </c>
      <c r="I310" s="194">
        <f>IF(DBparts1[[#This Row],[Type]]&gt;0,VLOOKUP(DBparts1[[#This Row],[Type]],Main[[#All],[TYPE]:[UNIT]],'Unit Price'!G$1,FALSE),0)</f>
        <v>0</v>
      </c>
      <c r="J310" s="194">
        <f>IF(DBparts1[[#This Row],[Type]]&gt;0,VLOOKUP(DBparts1[[#This Row],[Type]],Main[[#All],[TYPE]:[UNIT]],'Unit Price'!H$1,FALSE),0)</f>
        <v>0</v>
      </c>
      <c r="K310" s="194">
        <f>IF(DBparts1[[#This Row],[Type]]&gt;0,VLOOKUP(DBparts1[[#This Row],[Discount seletion]],'Discount Structure'!$A$2:$B$30,2,"false"),0)</f>
        <v>0</v>
      </c>
      <c r="L310" s="194">
        <f>DBparts1[[#This Row],[LIST $]]*DBparts1[[#This Row],[DISCOUNT]]*DBparts1[[#This Row],[DISCOUNT 2]]</f>
        <v>0</v>
      </c>
    </row>
    <row r="311" spans="2:12">
      <c r="B311" s="112"/>
      <c r="C311" s="112"/>
      <c r="D311" s="112"/>
      <c r="F311" s="168" t="s">
        <v>6202</v>
      </c>
      <c r="G311" s="232">
        <f>IF(DBparts1[[#This Row],[Type]]&gt;0,VLOOKUP(DBparts1[[#This Row],[Type]],Main[[#All],[TYPE]:[UNIT]],'Unit Price'!C$1,FALSE),0)</f>
        <v>0</v>
      </c>
      <c r="H311" s="194">
        <f>IF(DBparts1[[#This Row],[Type]]&gt;0,VLOOKUP(DBparts1[[#This Row],[Type]],Main[[#All],[TYPE]:[UNIT]],'Unit Price'!D$1,FALSE),0)</f>
        <v>0</v>
      </c>
      <c r="I311" s="194">
        <f>IF(DBparts1[[#This Row],[Type]]&gt;0,VLOOKUP(DBparts1[[#This Row],[Type]],Main[[#All],[TYPE]:[UNIT]],'Unit Price'!G$1,FALSE),0)</f>
        <v>0</v>
      </c>
      <c r="J311" s="194">
        <f>IF(DBparts1[[#This Row],[Type]]&gt;0,VLOOKUP(DBparts1[[#This Row],[Type]],Main[[#All],[TYPE]:[UNIT]],'Unit Price'!H$1,FALSE),0)</f>
        <v>0</v>
      </c>
      <c r="K311" s="194">
        <f>IF(DBparts1[[#This Row],[Type]]&gt;0,VLOOKUP(DBparts1[[#This Row],[Discount seletion]],'Discount Structure'!$A$2:$B$30,2,"false"),0)</f>
        <v>0</v>
      </c>
      <c r="L311" s="194">
        <f>DBparts1[[#This Row],[LIST $]]*DBparts1[[#This Row],[DISCOUNT]]*DBparts1[[#This Row],[DISCOUNT 2]]</f>
        <v>0</v>
      </c>
    </row>
    <row r="312" spans="2:12">
      <c r="B312" s="112"/>
      <c r="C312" s="112"/>
      <c r="D312" s="112"/>
      <c r="F312" s="168" t="s">
        <v>6202</v>
      </c>
      <c r="G312" s="232">
        <f>IF(DBparts1[[#This Row],[Type]]&gt;0,VLOOKUP(DBparts1[[#This Row],[Type]],Main[[#All],[TYPE]:[UNIT]],'Unit Price'!C$1,FALSE),0)</f>
        <v>0</v>
      </c>
      <c r="H312" s="194">
        <f>IF(DBparts1[[#This Row],[Type]]&gt;0,VLOOKUP(DBparts1[[#This Row],[Type]],Main[[#All],[TYPE]:[UNIT]],'Unit Price'!D$1,FALSE),0)</f>
        <v>0</v>
      </c>
      <c r="I312" s="194">
        <f>IF(DBparts1[[#This Row],[Type]]&gt;0,VLOOKUP(DBparts1[[#This Row],[Type]],Main[[#All],[TYPE]:[UNIT]],'Unit Price'!G$1,FALSE),0)</f>
        <v>0</v>
      </c>
      <c r="J312" s="194">
        <f>IF(DBparts1[[#This Row],[Type]]&gt;0,VLOOKUP(DBparts1[[#This Row],[Type]],Main[[#All],[TYPE]:[UNIT]],'Unit Price'!H$1,FALSE),0)</f>
        <v>0</v>
      </c>
      <c r="K312" s="194">
        <f>IF(DBparts1[[#This Row],[Type]]&gt;0,VLOOKUP(DBparts1[[#This Row],[Discount seletion]],'Discount Structure'!$A$2:$B$30,2,"false"),0)</f>
        <v>0</v>
      </c>
      <c r="L312" s="194">
        <f>DBparts1[[#This Row],[LIST $]]*DBparts1[[#This Row],[DISCOUNT]]*DBparts1[[#This Row],[DISCOUNT 2]]</f>
        <v>0</v>
      </c>
    </row>
    <row r="313" spans="2:12">
      <c r="B313" s="112"/>
      <c r="C313" s="112"/>
      <c r="D313" s="112"/>
      <c r="F313" s="168" t="s">
        <v>6202</v>
      </c>
      <c r="G313" s="232">
        <f>IF(DBparts1[[#This Row],[Type]]&gt;0,VLOOKUP(DBparts1[[#This Row],[Type]],Main[[#All],[TYPE]:[UNIT]],'Unit Price'!C$1,FALSE),0)</f>
        <v>0</v>
      </c>
      <c r="H313" s="194">
        <f>IF(DBparts1[[#This Row],[Type]]&gt;0,VLOOKUP(DBparts1[[#This Row],[Type]],Main[[#All],[TYPE]:[UNIT]],'Unit Price'!D$1,FALSE),0)</f>
        <v>0</v>
      </c>
      <c r="I313" s="194">
        <f>IF(DBparts1[[#This Row],[Type]]&gt;0,VLOOKUP(DBparts1[[#This Row],[Type]],Main[[#All],[TYPE]:[UNIT]],'Unit Price'!G$1,FALSE),0)</f>
        <v>0</v>
      </c>
      <c r="J313" s="194">
        <f>IF(DBparts1[[#This Row],[Type]]&gt;0,VLOOKUP(DBparts1[[#This Row],[Type]],Main[[#All],[TYPE]:[UNIT]],'Unit Price'!H$1,FALSE),0)</f>
        <v>0</v>
      </c>
      <c r="K313" s="194">
        <f>IF(DBparts1[[#This Row],[Type]]&gt;0,VLOOKUP(DBparts1[[#This Row],[Discount seletion]],'Discount Structure'!$A$2:$B$30,2,"false"),0)</f>
        <v>0</v>
      </c>
      <c r="L313" s="194">
        <f>DBparts1[[#This Row],[LIST $]]*DBparts1[[#This Row],[DISCOUNT]]*DBparts1[[#This Row],[DISCOUNT 2]]</f>
        <v>0</v>
      </c>
    </row>
    <row r="314" spans="2:12">
      <c r="B314" s="112"/>
      <c r="C314" s="112"/>
      <c r="D314" s="112"/>
      <c r="F314" s="168" t="s">
        <v>6202</v>
      </c>
      <c r="G314" s="232">
        <f>IF(DBparts1[[#This Row],[Type]]&gt;0,VLOOKUP(DBparts1[[#This Row],[Type]],Main[[#All],[TYPE]:[UNIT]],'Unit Price'!C$1,FALSE),0)</f>
        <v>0</v>
      </c>
      <c r="H314" s="194">
        <f>IF(DBparts1[[#This Row],[Type]]&gt;0,VLOOKUP(DBparts1[[#This Row],[Type]],Main[[#All],[TYPE]:[UNIT]],'Unit Price'!D$1,FALSE),0)</f>
        <v>0</v>
      </c>
      <c r="I314" s="194">
        <f>IF(DBparts1[[#This Row],[Type]]&gt;0,VLOOKUP(DBparts1[[#This Row],[Type]],Main[[#All],[TYPE]:[UNIT]],'Unit Price'!G$1,FALSE),0)</f>
        <v>0</v>
      </c>
      <c r="J314" s="194">
        <f>IF(DBparts1[[#This Row],[Type]]&gt;0,VLOOKUP(DBparts1[[#This Row],[Type]],Main[[#All],[TYPE]:[UNIT]],'Unit Price'!H$1,FALSE),0)</f>
        <v>0</v>
      </c>
      <c r="K314" s="194">
        <f>IF(DBparts1[[#This Row],[Type]]&gt;0,VLOOKUP(DBparts1[[#This Row],[Discount seletion]],'Discount Structure'!$A$2:$B$30,2,"false"),0)</f>
        <v>0</v>
      </c>
      <c r="L314" s="194">
        <f>DBparts1[[#This Row],[LIST $]]*DBparts1[[#This Row],[DISCOUNT]]*DBparts1[[#This Row],[DISCOUNT 2]]</f>
        <v>0</v>
      </c>
    </row>
    <row r="315" spans="2:12">
      <c r="B315" s="112"/>
      <c r="C315" s="112"/>
      <c r="D315" s="112"/>
      <c r="F315" s="168" t="s">
        <v>6202</v>
      </c>
      <c r="G315" s="232">
        <f>IF(DBparts1[[#This Row],[Type]]&gt;0,VLOOKUP(DBparts1[[#This Row],[Type]],Main[[#All],[TYPE]:[UNIT]],'Unit Price'!C$1,FALSE),0)</f>
        <v>0</v>
      </c>
      <c r="H315" s="194">
        <f>IF(DBparts1[[#This Row],[Type]]&gt;0,VLOOKUP(DBparts1[[#This Row],[Type]],Main[[#All],[TYPE]:[UNIT]],'Unit Price'!D$1,FALSE),0)</f>
        <v>0</v>
      </c>
      <c r="I315" s="194">
        <f>IF(DBparts1[[#This Row],[Type]]&gt;0,VLOOKUP(DBparts1[[#This Row],[Type]],Main[[#All],[TYPE]:[UNIT]],'Unit Price'!G$1,FALSE),0)</f>
        <v>0</v>
      </c>
      <c r="J315" s="194">
        <f>IF(DBparts1[[#This Row],[Type]]&gt;0,VLOOKUP(DBparts1[[#This Row],[Type]],Main[[#All],[TYPE]:[UNIT]],'Unit Price'!H$1,FALSE),0)</f>
        <v>0</v>
      </c>
      <c r="K315" s="194">
        <f>IF(DBparts1[[#This Row],[Type]]&gt;0,VLOOKUP(DBparts1[[#This Row],[Discount seletion]],'Discount Structure'!$A$2:$B$30,2,"false"),0)</f>
        <v>0</v>
      </c>
      <c r="L315" s="194">
        <f>DBparts1[[#This Row],[LIST $]]*DBparts1[[#This Row],[DISCOUNT]]*DBparts1[[#This Row],[DISCOUNT 2]]</f>
        <v>0</v>
      </c>
    </row>
    <row r="316" spans="2:12">
      <c r="B316" s="112"/>
      <c r="C316" s="112"/>
      <c r="D316" s="112"/>
      <c r="F316" s="168" t="s">
        <v>6202</v>
      </c>
      <c r="G316" s="232">
        <f>IF(DBparts1[[#This Row],[Type]]&gt;0,VLOOKUP(DBparts1[[#This Row],[Type]],Main[[#All],[TYPE]:[UNIT]],'Unit Price'!C$1,FALSE),0)</f>
        <v>0</v>
      </c>
      <c r="H316" s="194">
        <f>IF(DBparts1[[#This Row],[Type]]&gt;0,VLOOKUP(DBparts1[[#This Row],[Type]],Main[[#All],[TYPE]:[UNIT]],'Unit Price'!D$1,FALSE),0)</f>
        <v>0</v>
      </c>
      <c r="I316" s="194">
        <f>IF(DBparts1[[#This Row],[Type]]&gt;0,VLOOKUP(DBparts1[[#This Row],[Type]],Main[[#All],[TYPE]:[UNIT]],'Unit Price'!G$1,FALSE),0)</f>
        <v>0</v>
      </c>
      <c r="J316" s="194">
        <f>IF(DBparts1[[#This Row],[Type]]&gt;0,VLOOKUP(DBparts1[[#This Row],[Type]],Main[[#All],[TYPE]:[UNIT]],'Unit Price'!H$1,FALSE),0)</f>
        <v>0</v>
      </c>
      <c r="K316" s="194">
        <f>IF(DBparts1[[#This Row],[Type]]&gt;0,VLOOKUP(DBparts1[[#This Row],[Discount seletion]],'Discount Structure'!$A$2:$B$30,2,"false"),0)</f>
        <v>0</v>
      </c>
      <c r="L316" s="194">
        <f>DBparts1[[#This Row],[LIST $]]*DBparts1[[#This Row],[DISCOUNT]]*DBparts1[[#This Row],[DISCOUNT 2]]</f>
        <v>0</v>
      </c>
    </row>
    <row r="317" spans="2:12">
      <c r="B317" s="112"/>
      <c r="C317" s="112"/>
      <c r="D317" s="112"/>
      <c r="F317" s="168" t="s">
        <v>6202</v>
      </c>
      <c r="G317" s="232">
        <f>IF(DBparts1[[#This Row],[Type]]&gt;0,VLOOKUP(DBparts1[[#This Row],[Type]],Main[[#All],[TYPE]:[UNIT]],'Unit Price'!C$1,FALSE),0)</f>
        <v>0</v>
      </c>
      <c r="H317" s="194">
        <f>IF(DBparts1[[#This Row],[Type]]&gt;0,VLOOKUP(DBparts1[[#This Row],[Type]],Main[[#All],[TYPE]:[UNIT]],'Unit Price'!D$1,FALSE),0)</f>
        <v>0</v>
      </c>
      <c r="I317" s="194">
        <f>IF(DBparts1[[#This Row],[Type]]&gt;0,VLOOKUP(DBparts1[[#This Row],[Type]],Main[[#All],[TYPE]:[UNIT]],'Unit Price'!G$1,FALSE),0)</f>
        <v>0</v>
      </c>
      <c r="J317" s="194">
        <f>IF(DBparts1[[#This Row],[Type]]&gt;0,VLOOKUP(DBparts1[[#This Row],[Type]],Main[[#All],[TYPE]:[UNIT]],'Unit Price'!H$1,FALSE),0)</f>
        <v>0</v>
      </c>
      <c r="K317" s="194">
        <f>IF(DBparts1[[#This Row],[Type]]&gt;0,VLOOKUP(DBparts1[[#This Row],[Discount seletion]],'Discount Structure'!$A$2:$B$30,2,"false"),0)</f>
        <v>0</v>
      </c>
      <c r="L317" s="194">
        <f>DBparts1[[#This Row],[LIST $]]*DBparts1[[#This Row],[DISCOUNT]]*DBparts1[[#This Row],[DISCOUNT 2]]</f>
        <v>0</v>
      </c>
    </row>
    <row r="318" spans="2:12">
      <c r="B318" s="112"/>
      <c r="C318" s="112"/>
      <c r="D318" s="112"/>
      <c r="F318" s="168" t="s">
        <v>6202</v>
      </c>
      <c r="G318" s="232">
        <f>IF(DBparts1[[#This Row],[Type]]&gt;0,VLOOKUP(DBparts1[[#This Row],[Type]],Main[[#All],[TYPE]:[UNIT]],'Unit Price'!C$1,FALSE),0)</f>
        <v>0</v>
      </c>
      <c r="H318" s="194">
        <f>IF(DBparts1[[#This Row],[Type]]&gt;0,VLOOKUP(DBparts1[[#This Row],[Type]],Main[[#All],[TYPE]:[UNIT]],'Unit Price'!D$1,FALSE),0)</f>
        <v>0</v>
      </c>
      <c r="I318" s="194">
        <f>IF(DBparts1[[#This Row],[Type]]&gt;0,VLOOKUP(DBparts1[[#This Row],[Type]],Main[[#All],[TYPE]:[UNIT]],'Unit Price'!G$1,FALSE),0)</f>
        <v>0</v>
      </c>
      <c r="J318" s="194">
        <f>IF(DBparts1[[#This Row],[Type]]&gt;0,VLOOKUP(DBparts1[[#This Row],[Type]],Main[[#All],[TYPE]:[UNIT]],'Unit Price'!H$1,FALSE),0)</f>
        <v>0</v>
      </c>
      <c r="K318" s="194">
        <f>IF(DBparts1[[#This Row],[Type]]&gt;0,VLOOKUP(DBparts1[[#This Row],[Discount seletion]],'Discount Structure'!$A$2:$B$30,2,"false"),0)</f>
        <v>0</v>
      </c>
      <c r="L318" s="194">
        <f>DBparts1[[#This Row],[LIST $]]*DBparts1[[#This Row],[DISCOUNT]]*DBparts1[[#This Row],[DISCOUNT 2]]</f>
        <v>0</v>
      </c>
    </row>
    <row r="319" spans="2:12">
      <c r="B319" s="112"/>
      <c r="C319" s="112"/>
      <c r="D319" s="112"/>
      <c r="F319" s="168" t="s">
        <v>6202</v>
      </c>
      <c r="G319" s="232">
        <f>IF(DBparts1[[#This Row],[Type]]&gt;0,VLOOKUP(DBparts1[[#This Row],[Type]],Main[[#All],[TYPE]:[UNIT]],'Unit Price'!C$1,FALSE),0)</f>
        <v>0</v>
      </c>
      <c r="H319" s="194">
        <f>IF(DBparts1[[#This Row],[Type]]&gt;0,VLOOKUP(DBparts1[[#This Row],[Type]],Main[[#All],[TYPE]:[UNIT]],'Unit Price'!D$1,FALSE),0)</f>
        <v>0</v>
      </c>
      <c r="I319" s="194">
        <f>IF(DBparts1[[#This Row],[Type]]&gt;0,VLOOKUP(DBparts1[[#This Row],[Type]],Main[[#All],[TYPE]:[UNIT]],'Unit Price'!G$1,FALSE),0)</f>
        <v>0</v>
      </c>
      <c r="J319" s="194">
        <f>IF(DBparts1[[#This Row],[Type]]&gt;0,VLOOKUP(DBparts1[[#This Row],[Type]],Main[[#All],[TYPE]:[UNIT]],'Unit Price'!H$1,FALSE),0)</f>
        <v>0</v>
      </c>
      <c r="K319" s="194">
        <f>IF(DBparts1[[#This Row],[Type]]&gt;0,VLOOKUP(DBparts1[[#This Row],[Discount seletion]],'Discount Structure'!$A$2:$B$30,2,"false"),0)</f>
        <v>0</v>
      </c>
      <c r="L319" s="194">
        <f>DBparts1[[#This Row],[LIST $]]*DBparts1[[#This Row],[DISCOUNT]]*DBparts1[[#This Row],[DISCOUNT 2]]</f>
        <v>0</v>
      </c>
    </row>
    <row r="320" spans="2:12">
      <c r="B320" s="112"/>
      <c r="C320" s="112"/>
      <c r="D320" s="112"/>
      <c r="F320" s="168" t="s">
        <v>6202</v>
      </c>
      <c r="G320" s="232">
        <f>IF(DBparts1[[#This Row],[Type]]&gt;0,VLOOKUP(DBparts1[[#This Row],[Type]],Main[[#All],[TYPE]:[UNIT]],'Unit Price'!C$1,FALSE),0)</f>
        <v>0</v>
      </c>
      <c r="H320" s="194">
        <f>IF(DBparts1[[#This Row],[Type]]&gt;0,VLOOKUP(DBparts1[[#This Row],[Type]],Main[[#All],[TYPE]:[UNIT]],'Unit Price'!D$1,FALSE),0)</f>
        <v>0</v>
      </c>
      <c r="I320" s="194">
        <f>IF(DBparts1[[#This Row],[Type]]&gt;0,VLOOKUP(DBparts1[[#This Row],[Type]],Main[[#All],[TYPE]:[UNIT]],'Unit Price'!G$1,FALSE),0)</f>
        <v>0</v>
      </c>
      <c r="J320" s="194">
        <f>IF(DBparts1[[#This Row],[Type]]&gt;0,VLOOKUP(DBparts1[[#This Row],[Type]],Main[[#All],[TYPE]:[UNIT]],'Unit Price'!H$1,FALSE),0)</f>
        <v>0</v>
      </c>
      <c r="K320" s="194">
        <f>IF(DBparts1[[#This Row],[Type]]&gt;0,VLOOKUP(DBparts1[[#This Row],[Discount seletion]],'Discount Structure'!$A$2:$B$30,2,"false"),0)</f>
        <v>0</v>
      </c>
      <c r="L320" s="194">
        <f>DBparts1[[#This Row],[LIST $]]*DBparts1[[#This Row],[DISCOUNT]]*DBparts1[[#This Row],[DISCOUNT 2]]</f>
        <v>0</v>
      </c>
    </row>
    <row r="321" spans="2:12">
      <c r="B321" s="112"/>
      <c r="C321" s="112"/>
      <c r="D321" s="112"/>
      <c r="F321" s="168" t="s">
        <v>6202</v>
      </c>
      <c r="G321" s="232">
        <f>IF(DBparts1[[#This Row],[Type]]&gt;0,VLOOKUP(DBparts1[[#This Row],[Type]],Main[[#All],[TYPE]:[UNIT]],'Unit Price'!C$1,FALSE),0)</f>
        <v>0</v>
      </c>
      <c r="H321" s="194">
        <f>IF(DBparts1[[#This Row],[Type]]&gt;0,VLOOKUP(DBparts1[[#This Row],[Type]],Main[[#All],[TYPE]:[UNIT]],'Unit Price'!D$1,FALSE),0)</f>
        <v>0</v>
      </c>
      <c r="I321" s="194">
        <f>IF(DBparts1[[#This Row],[Type]]&gt;0,VLOOKUP(DBparts1[[#This Row],[Type]],Main[[#All],[TYPE]:[UNIT]],'Unit Price'!G$1,FALSE),0)</f>
        <v>0</v>
      </c>
      <c r="J321" s="194">
        <f>IF(DBparts1[[#This Row],[Type]]&gt;0,VLOOKUP(DBparts1[[#This Row],[Type]],Main[[#All],[TYPE]:[UNIT]],'Unit Price'!H$1,FALSE),0)</f>
        <v>0</v>
      </c>
      <c r="K321" s="194">
        <f>IF(DBparts1[[#This Row],[Type]]&gt;0,VLOOKUP(DBparts1[[#This Row],[Discount seletion]],'Discount Structure'!$A$2:$B$30,2,"false"),0)</f>
        <v>0</v>
      </c>
      <c r="L321" s="194">
        <f>DBparts1[[#This Row],[LIST $]]*DBparts1[[#This Row],[DISCOUNT]]*DBparts1[[#This Row],[DISCOUNT 2]]</f>
        <v>0</v>
      </c>
    </row>
    <row r="322" spans="2:12">
      <c r="B322" s="112"/>
      <c r="C322" s="112"/>
      <c r="D322" s="112"/>
      <c r="F322" s="168" t="s">
        <v>6202</v>
      </c>
      <c r="G322" s="232">
        <f>IF(DBparts1[[#This Row],[Type]]&gt;0,VLOOKUP(DBparts1[[#This Row],[Type]],Main[[#All],[TYPE]:[UNIT]],'Unit Price'!C$1,FALSE),0)</f>
        <v>0</v>
      </c>
      <c r="H322" s="194">
        <f>IF(DBparts1[[#This Row],[Type]]&gt;0,VLOOKUP(DBparts1[[#This Row],[Type]],Main[[#All],[TYPE]:[UNIT]],'Unit Price'!D$1,FALSE),0)</f>
        <v>0</v>
      </c>
      <c r="I322" s="194">
        <f>IF(DBparts1[[#This Row],[Type]]&gt;0,VLOOKUP(DBparts1[[#This Row],[Type]],Main[[#All],[TYPE]:[UNIT]],'Unit Price'!G$1,FALSE),0)</f>
        <v>0</v>
      </c>
      <c r="J322" s="194">
        <f>IF(DBparts1[[#This Row],[Type]]&gt;0,VLOOKUP(DBparts1[[#This Row],[Type]],Main[[#All],[TYPE]:[UNIT]],'Unit Price'!H$1,FALSE),0)</f>
        <v>0</v>
      </c>
      <c r="K322" s="194">
        <f>IF(DBparts1[[#This Row],[Type]]&gt;0,VLOOKUP(DBparts1[[#This Row],[Discount seletion]],'Discount Structure'!$A$2:$B$30,2,"false"),0)</f>
        <v>0</v>
      </c>
      <c r="L322" s="194">
        <f>DBparts1[[#This Row],[LIST $]]*DBparts1[[#This Row],[DISCOUNT]]*DBparts1[[#This Row],[DISCOUNT 2]]</f>
        <v>0</v>
      </c>
    </row>
    <row r="323" spans="2:12">
      <c r="B323" s="112"/>
      <c r="C323" s="112"/>
      <c r="D323" s="112"/>
      <c r="F323" s="168" t="s">
        <v>6202</v>
      </c>
      <c r="G323" s="232">
        <f>IF(DBparts1[[#This Row],[Type]]&gt;0,VLOOKUP(DBparts1[[#This Row],[Type]],Main[[#All],[TYPE]:[UNIT]],'Unit Price'!C$1,FALSE),0)</f>
        <v>0</v>
      </c>
      <c r="H323" s="194">
        <f>IF(DBparts1[[#This Row],[Type]]&gt;0,VLOOKUP(DBparts1[[#This Row],[Type]],Main[[#All],[TYPE]:[UNIT]],'Unit Price'!D$1,FALSE),0)</f>
        <v>0</v>
      </c>
      <c r="I323" s="194">
        <f>IF(DBparts1[[#This Row],[Type]]&gt;0,VLOOKUP(DBparts1[[#This Row],[Type]],Main[[#All],[TYPE]:[UNIT]],'Unit Price'!G$1,FALSE),0)</f>
        <v>0</v>
      </c>
      <c r="J323" s="194">
        <f>IF(DBparts1[[#This Row],[Type]]&gt;0,VLOOKUP(DBparts1[[#This Row],[Type]],Main[[#All],[TYPE]:[UNIT]],'Unit Price'!H$1,FALSE),0)</f>
        <v>0</v>
      </c>
      <c r="K323" s="194">
        <f>IF(DBparts1[[#This Row],[Type]]&gt;0,VLOOKUP(DBparts1[[#This Row],[Discount seletion]],'Discount Structure'!$A$2:$B$30,2,"false"),0)</f>
        <v>0</v>
      </c>
      <c r="L323" s="194">
        <f>DBparts1[[#This Row],[LIST $]]*DBparts1[[#This Row],[DISCOUNT]]*DBparts1[[#This Row],[DISCOUNT 2]]</f>
        <v>0</v>
      </c>
    </row>
    <row r="324" spans="2:12">
      <c r="B324" s="112"/>
      <c r="C324" s="112"/>
      <c r="D324" s="112"/>
      <c r="F324" s="168" t="s">
        <v>6202</v>
      </c>
      <c r="G324" s="232">
        <f>IF(DBparts1[[#This Row],[Type]]&gt;0,VLOOKUP(DBparts1[[#This Row],[Type]],Main[[#All],[TYPE]:[UNIT]],'Unit Price'!C$1,FALSE),0)</f>
        <v>0</v>
      </c>
      <c r="H324" s="194">
        <f>IF(DBparts1[[#This Row],[Type]]&gt;0,VLOOKUP(DBparts1[[#This Row],[Type]],Main[[#All],[TYPE]:[UNIT]],'Unit Price'!D$1,FALSE),0)</f>
        <v>0</v>
      </c>
      <c r="I324" s="194">
        <f>IF(DBparts1[[#This Row],[Type]]&gt;0,VLOOKUP(DBparts1[[#This Row],[Type]],Main[[#All],[TYPE]:[UNIT]],'Unit Price'!G$1,FALSE),0)</f>
        <v>0</v>
      </c>
      <c r="J324" s="194">
        <f>IF(DBparts1[[#This Row],[Type]]&gt;0,VLOOKUP(DBparts1[[#This Row],[Type]],Main[[#All],[TYPE]:[UNIT]],'Unit Price'!H$1,FALSE),0)</f>
        <v>0</v>
      </c>
      <c r="K324" s="194">
        <f>IF(DBparts1[[#This Row],[Type]]&gt;0,VLOOKUP(DBparts1[[#This Row],[Discount seletion]],'Discount Structure'!$A$2:$B$30,2,"false"),0)</f>
        <v>0</v>
      </c>
      <c r="L324" s="194">
        <f>DBparts1[[#This Row],[LIST $]]*DBparts1[[#This Row],[DISCOUNT]]*DBparts1[[#This Row],[DISCOUNT 2]]</f>
        <v>0</v>
      </c>
    </row>
    <row r="325" spans="2:12">
      <c r="B325" s="112"/>
      <c r="C325" s="112"/>
      <c r="D325" s="112"/>
      <c r="F325" s="168" t="s">
        <v>6202</v>
      </c>
      <c r="G325" s="232">
        <f>IF(DBparts1[[#This Row],[Type]]&gt;0,VLOOKUP(DBparts1[[#This Row],[Type]],Main[[#All],[TYPE]:[UNIT]],'Unit Price'!C$1,FALSE),0)</f>
        <v>0</v>
      </c>
      <c r="H325" s="194">
        <f>IF(DBparts1[[#This Row],[Type]]&gt;0,VLOOKUP(DBparts1[[#This Row],[Type]],Main[[#All],[TYPE]:[UNIT]],'Unit Price'!D$1,FALSE),0)</f>
        <v>0</v>
      </c>
      <c r="I325" s="194">
        <f>IF(DBparts1[[#This Row],[Type]]&gt;0,VLOOKUP(DBparts1[[#This Row],[Type]],Main[[#All],[TYPE]:[UNIT]],'Unit Price'!G$1,FALSE),0)</f>
        <v>0</v>
      </c>
      <c r="J325" s="194">
        <f>IF(DBparts1[[#This Row],[Type]]&gt;0,VLOOKUP(DBparts1[[#This Row],[Type]],Main[[#All],[TYPE]:[UNIT]],'Unit Price'!H$1,FALSE),0)</f>
        <v>0</v>
      </c>
      <c r="K325" s="194">
        <f>IF(DBparts1[[#This Row],[Type]]&gt;0,VLOOKUP(DBparts1[[#This Row],[Discount seletion]],'Discount Structure'!$A$2:$B$30,2,"false"),0)</f>
        <v>0</v>
      </c>
      <c r="L325" s="194">
        <f>DBparts1[[#This Row],[LIST $]]*DBparts1[[#This Row],[DISCOUNT]]*DBparts1[[#This Row],[DISCOUNT 2]]</f>
        <v>0</v>
      </c>
    </row>
    <row r="326" spans="2:12">
      <c r="B326" s="112"/>
      <c r="C326" s="112"/>
      <c r="D326" s="112"/>
      <c r="F326" s="168" t="s">
        <v>6202</v>
      </c>
      <c r="G326" s="232">
        <f>IF(DBparts1[[#This Row],[Type]]&gt;0,VLOOKUP(DBparts1[[#This Row],[Type]],Main[[#All],[TYPE]:[UNIT]],'Unit Price'!C$1,FALSE),0)</f>
        <v>0</v>
      </c>
      <c r="H326" s="194">
        <f>IF(DBparts1[[#This Row],[Type]]&gt;0,VLOOKUP(DBparts1[[#This Row],[Type]],Main[[#All],[TYPE]:[UNIT]],'Unit Price'!D$1,FALSE),0)</f>
        <v>0</v>
      </c>
      <c r="I326" s="194">
        <f>IF(DBparts1[[#This Row],[Type]]&gt;0,VLOOKUP(DBparts1[[#This Row],[Type]],Main[[#All],[TYPE]:[UNIT]],'Unit Price'!G$1,FALSE),0)</f>
        <v>0</v>
      </c>
      <c r="J326" s="194">
        <f>IF(DBparts1[[#This Row],[Type]]&gt;0,VLOOKUP(DBparts1[[#This Row],[Type]],Main[[#All],[TYPE]:[UNIT]],'Unit Price'!H$1,FALSE),0)</f>
        <v>0</v>
      </c>
      <c r="K326" s="194">
        <f>IF(DBparts1[[#This Row],[Type]]&gt;0,VLOOKUP(DBparts1[[#This Row],[Discount seletion]],'Discount Structure'!$A$2:$B$30,2,"false"),0)</f>
        <v>0</v>
      </c>
      <c r="L326" s="194">
        <f>DBparts1[[#This Row],[LIST $]]*DBparts1[[#This Row],[DISCOUNT]]*DBparts1[[#This Row],[DISCOUNT 2]]</f>
        <v>0</v>
      </c>
    </row>
    <row r="327" spans="2:12">
      <c r="B327" s="112"/>
      <c r="C327" s="112"/>
      <c r="D327" s="112"/>
      <c r="F327" s="168" t="s">
        <v>6202</v>
      </c>
      <c r="G327" s="232">
        <f>IF(DBparts1[[#This Row],[Type]]&gt;0,VLOOKUP(DBparts1[[#This Row],[Type]],Main[[#All],[TYPE]:[UNIT]],'Unit Price'!C$1,FALSE),0)</f>
        <v>0</v>
      </c>
      <c r="H327" s="194">
        <f>IF(DBparts1[[#This Row],[Type]]&gt;0,VLOOKUP(DBparts1[[#This Row],[Type]],Main[[#All],[TYPE]:[UNIT]],'Unit Price'!D$1,FALSE),0)</f>
        <v>0</v>
      </c>
      <c r="I327" s="194">
        <f>IF(DBparts1[[#This Row],[Type]]&gt;0,VLOOKUP(DBparts1[[#This Row],[Type]],Main[[#All],[TYPE]:[UNIT]],'Unit Price'!G$1,FALSE),0)</f>
        <v>0</v>
      </c>
      <c r="J327" s="194">
        <f>IF(DBparts1[[#This Row],[Type]]&gt;0,VLOOKUP(DBparts1[[#This Row],[Type]],Main[[#All],[TYPE]:[UNIT]],'Unit Price'!H$1,FALSE),0)</f>
        <v>0</v>
      </c>
      <c r="K327" s="194">
        <f>IF(DBparts1[[#This Row],[Type]]&gt;0,VLOOKUP(DBparts1[[#This Row],[Discount seletion]],'Discount Structure'!$A$2:$B$30,2,"false"),0)</f>
        <v>0</v>
      </c>
      <c r="L327" s="194">
        <f>DBparts1[[#This Row],[LIST $]]*DBparts1[[#This Row],[DISCOUNT]]*DBparts1[[#This Row],[DISCOUNT 2]]</f>
        <v>0</v>
      </c>
    </row>
    <row r="328" spans="2:12">
      <c r="B328" s="112"/>
      <c r="C328" s="112"/>
      <c r="D328" s="112"/>
      <c r="F328" s="168" t="s">
        <v>6202</v>
      </c>
      <c r="G328" s="232">
        <f>IF(DBparts1[[#This Row],[Type]]&gt;0,VLOOKUP(DBparts1[[#This Row],[Type]],Main[[#All],[TYPE]:[UNIT]],'Unit Price'!C$1,FALSE),0)</f>
        <v>0</v>
      </c>
      <c r="H328" s="194">
        <f>IF(DBparts1[[#This Row],[Type]]&gt;0,VLOOKUP(DBparts1[[#This Row],[Type]],Main[[#All],[TYPE]:[UNIT]],'Unit Price'!D$1,FALSE),0)</f>
        <v>0</v>
      </c>
      <c r="I328" s="194">
        <f>IF(DBparts1[[#This Row],[Type]]&gt;0,VLOOKUP(DBparts1[[#This Row],[Type]],Main[[#All],[TYPE]:[UNIT]],'Unit Price'!G$1,FALSE),0)</f>
        <v>0</v>
      </c>
      <c r="J328" s="194">
        <f>IF(DBparts1[[#This Row],[Type]]&gt;0,VLOOKUP(DBparts1[[#This Row],[Type]],Main[[#All],[TYPE]:[UNIT]],'Unit Price'!H$1,FALSE),0)</f>
        <v>0</v>
      </c>
      <c r="K328" s="194">
        <f>IF(DBparts1[[#This Row],[Type]]&gt;0,VLOOKUP(DBparts1[[#This Row],[Discount seletion]],'Discount Structure'!$A$2:$B$30,2,"false"),0)</f>
        <v>0</v>
      </c>
      <c r="L328" s="194">
        <f>DBparts1[[#This Row],[LIST $]]*DBparts1[[#This Row],[DISCOUNT]]*DBparts1[[#This Row],[DISCOUNT 2]]</f>
        <v>0</v>
      </c>
    </row>
    <row r="329" spans="2:12">
      <c r="B329" s="112"/>
      <c r="C329" s="112"/>
      <c r="D329" s="112"/>
      <c r="F329" s="168" t="s">
        <v>6202</v>
      </c>
      <c r="G329" s="232">
        <f>IF(DBparts1[[#This Row],[Type]]&gt;0,VLOOKUP(DBparts1[[#This Row],[Type]],Main[[#All],[TYPE]:[UNIT]],'Unit Price'!C$1,FALSE),0)</f>
        <v>0</v>
      </c>
      <c r="H329" s="194">
        <f>IF(DBparts1[[#This Row],[Type]]&gt;0,VLOOKUP(DBparts1[[#This Row],[Type]],Main[[#All],[TYPE]:[UNIT]],'Unit Price'!D$1,FALSE),0)</f>
        <v>0</v>
      </c>
      <c r="I329" s="194">
        <f>IF(DBparts1[[#This Row],[Type]]&gt;0,VLOOKUP(DBparts1[[#This Row],[Type]],Main[[#All],[TYPE]:[UNIT]],'Unit Price'!G$1,FALSE),0)</f>
        <v>0</v>
      </c>
      <c r="J329" s="194">
        <f>IF(DBparts1[[#This Row],[Type]]&gt;0,VLOOKUP(DBparts1[[#This Row],[Type]],Main[[#All],[TYPE]:[UNIT]],'Unit Price'!H$1,FALSE),0)</f>
        <v>0</v>
      </c>
      <c r="K329" s="194">
        <f>IF(DBparts1[[#This Row],[Type]]&gt;0,VLOOKUP(DBparts1[[#This Row],[Discount seletion]],'Discount Structure'!$A$2:$B$30,2,"false"),0)</f>
        <v>0</v>
      </c>
      <c r="L329" s="194">
        <f>DBparts1[[#This Row],[LIST $]]*DBparts1[[#This Row],[DISCOUNT]]*DBparts1[[#This Row],[DISCOUNT 2]]</f>
        <v>0</v>
      </c>
    </row>
    <row r="330" spans="2:12">
      <c r="B330" s="112"/>
      <c r="C330" s="112"/>
      <c r="D330" s="112"/>
      <c r="F330" s="168" t="s">
        <v>6202</v>
      </c>
      <c r="G330" s="232">
        <f>IF(DBparts1[[#This Row],[Type]]&gt;0,VLOOKUP(DBparts1[[#This Row],[Type]],Main[[#All],[TYPE]:[UNIT]],'Unit Price'!C$1,FALSE),0)</f>
        <v>0</v>
      </c>
      <c r="H330" s="194">
        <f>IF(DBparts1[[#This Row],[Type]]&gt;0,VLOOKUP(DBparts1[[#This Row],[Type]],Main[[#All],[TYPE]:[UNIT]],'Unit Price'!D$1,FALSE),0)</f>
        <v>0</v>
      </c>
      <c r="I330" s="194">
        <f>IF(DBparts1[[#This Row],[Type]]&gt;0,VLOOKUP(DBparts1[[#This Row],[Type]],Main[[#All],[TYPE]:[UNIT]],'Unit Price'!G$1,FALSE),0)</f>
        <v>0</v>
      </c>
      <c r="J330" s="194">
        <f>IF(DBparts1[[#This Row],[Type]]&gt;0,VLOOKUP(DBparts1[[#This Row],[Type]],Main[[#All],[TYPE]:[UNIT]],'Unit Price'!H$1,FALSE),0)</f>
        <v>0</v>
      </c>
      <c r="K330" s="194">
        <f>IF(DBparts1[[#This Row],[Type]]&gt;0,VLOOKUP(DBparts1[[#This Row],[Discount seletion]],'Discount Structure'!$A$2:$B$30,2,"false"),0)</f>
        <v>0</v>
      </c>
      <c r="L330" s="194">
        <f>DBparts1[[#This Row],[LIST $]]*DBparts1[[#This Row],[DISCOUNT]]*DBparts1[[#This Row],[DISCOUNT 2]]</f>
        <v>0</v>
      </c>
    </row>
    <row r="331" spans="2:12">
      <c r="B331" s="112"/>
      <c r="C331" s="112"/>
      <c r="D331" s="112"/>
      <c r="F331" s="168" t="s">
        <v>6202</v>
      </c>
      <c r="G331" s="232">
        <f>IF(DBparts1[[#This Row],[Type]]&gt;0,VLOOKUP(DBparts1[[#This Row],[Type]],Main[[#All],[TYPE]:[UNIT]],'Unit Price'!C$1,FALSE),0)</f>
        <v>0</v>
      </c>
      <c r="H331" s="194">
        <f>IF(DBparts1[[#This Row],[Type]]&gt;0,VLOOKUP(DBparts1[[#This Row],[Type]],Main[[#All],[TYPE]:[UNIT]],'Unit Price'!D$1,FALSE),0)</f>
        <v>0</v>
      </c>
      <c r="I331" s="194">
        <f>IF(DBparts1[[#This Row],[Type]]&gt;0,VLOOKUP(DBparts1[[#This Row],[Type]],Main[[#All],[TYPE]:[UNIT]],'Unit Price'!G$1,FALSE),0)</f>
        <v>0</v>
      </c>
      <c r="J331" s="194">
        <f>IF(DBparts1[[#This Row],[Type]]&gt;0,VLOOKUP(DBparts1[[#This Row],[Type]],Main[[#All],[TYPE]:[UNIT]],'Unit Price'!H$1,FALSE),0)</f>
        <v>0</v>
      </c>
      <c r="K331" s="194">
        <f>IF(DBparts1[[#This Row],[Type]]&gt;0,VLOOKUP(DBparts1[[#This Row],[Discount seletion]],'Discount Structure'!$A$2:$B$30,2,"false"),0)</f>
        <v>0</v>
      </c>
      <c r="L331" s="194">
        <f>DBparts1[[#This Row],[LIST $]]*DBparts1[[#This Row],[DISCOUNT]]*DBparts1[[#This Row],[DISCOUNT 2]]</f>
        <v>0</v>
      </c>
    </row>
    <row r="332" spans="2:12">
      <c r="B332" s="112"/>
      <c r="C332" s="112"/>
      <c r="D332" s="112"/>
      <c r="F332" s="168" t="s">
        <v>6202</v>
      </c>
      <c r="G332" s="232">
        <f>IF(DBparts1[[#This Row],[Type]]&gt;0,VLOOKUP(DBparts1[[#This Row],[Type]],Main[[#All],[TYPE]:[UNIT]],'Unit Price'!C$1,FALSE),0)</f>
        <v>0</v>
      </c>
      <c r="H332" s="194">
        <f>IF(DBparts1[[#This Row],[Type]]&gt;0,VLOOKUP(DBparts1[[#This Row],[Type]],Main[[#All],[TYPE]:[UNIT]],'Unit Price'!D$1,FALSE),0)</f>
        <v>0</v>
      </c>
      <c r="I332" s="194">
        <f>IF(DBparts1[[#This Row],[Type]]&gt;0,VLOOKUP(DBparts1[[#This Row],[Type]],Main[[#All],[TYPE]:[UNIT]],'Unit Price'!G$1,FALSE),0)</f>
        <v>0</v>
      </c>
      <c r="J332" s="194">
        <f>IF(DBparts1[[#This Row],[Type]]&gt;0,VLOOKUP(DBparts1[[#This Row],[Type]],Main[[#All],[TYPE]:[UNIT]],'Unit Price'!H$1,FALSE),0)</f>
        <v>0</v>
      </c>
      <c r="K332" s="194">
        <f>IF(DBparts1[[#This Row],[Type]]&gt;0,VLOOKUP(DBparts1[[#This Row],[Discount seletion]],'Discount Structure'!$A$2:$B$30,2,"false"),0)</f>
        <v>0</v>
      </c>
      <c r="L332" s="194">
        <f>DBparts1[[#This Row],[LIST $]]*DBparts1[[#This Row],[DISCOUNT]]*DBparts1[[#This Row],[DISCOUNT 2]]</f>
        <v>0</v>
      </c>
    </row>
    <row r="333" spans="2:12">
      <c r="B333" s="112"/>
      <c r="C333" s="112"/>
      <c r="D333" s="112"/>
      <c r="F333" s="168" t="s">
        <v>6202</v>
      </c>
      <c r="G333" s="232">
        <f>IF(DBparts1[[#This Row],[Type]]&gt;0,VLOOKUP(DBparts1[[#This Row],[Type]],Main[[#All],[TYPE]:[UNIT]],'Unit Price'!C$1,FALSE),0)</f>
        <v>0</v>
      </c>
      <c r="H333" s="194">
        <f>IF(DBparts1[[#This Row],[Type]]&gt;0,VLOOKUP(DBparts1[[#This Row],[Type]],Main[[#All],[TYPE]:[UNIT]],'Unit Price'!D$1,FALSE),0)</f>
        <v>0</v>
      </c>
      <c r="I333" s="194">
        <f>IF(DBparts1[[#This Row],[Type]]&gt;0,VLOOKUP(DBparts1[[#This Row],[Type]],Main[[#All],[TYPE]:[UNIT]],'Unit Price'!G$1,FALSE),0)</f>
        <v>0</v>
      </c>
      <c r="J333" s="194">
        <f>IF(DBparts1[[#This Row],[Type]]&gt;0,VLOOKUP(DBparts1[[#This Row],[Type]],Main[[#All],[TYPE]:[UNIT]],'Unit Price'!H$1,FALSE),0)</f>
        <v>0</v>
      </c>
      <c r="K333" s="194">
        <f>IF(DBparts1[[#This Row],[Type]]&gt;0,VLOOKUP(DBparts1[[#This Row],[Discount seletion]],'Discount Structure'!$A$2:$B$30,2,"false"),0)</f>
        <v>0</v>
      </c>
      <c r="L333" s="194">
        <f>DBparts1[[#This Row],[LIST $]]*DBparts1[[#This Row],[DISCOUNT]]*DBparts1[[#This Row],[DISCOUNT 2]]</f>
        <v>0</v>
      </c>
    </row>
    <row r="334" spans="2:12">
      <c r="B334" s="112"/>
      <c r="C334" s="112"/>
      <c r="D334" s="112"/>
      <c r="F334" s="168" t="s">
        <v>6202</v>
      </c>
      <c r="G334" s="232">
        <f>IF(DBparts1[[#This Row],[Type]]&gt;0,VLOOKUP(DBparts1[[#This Row],[Type]],Main[[#All],[TYPE]:[UNIT]],'Unit Price'!C$1,FALSE),0)</f>
        <v>0</v>
      </c>
      <c r="H334" s="194">
        <f>IF(DBparts1[[#This Row],[Type]]&gt;0,VLOOKUP(DBparts1[[#This Row],[Type]],Main[[#All],[TYPE]:[UNIT]],'Unit Price'!D$1,FALSE),0)</f>
        <v>0</v>
      </c>
      <c r="I334" s="194">
        <f>IF(DBparts1[[#This Row],[Type]]&gt;0,VLOOKUP(DBparts1[[#This Row],[Type]],Main[[#All],[TYPE]:[UNIT]],'Unit Price'!G$1,FALSE),0)</f>
        <v>0</v>
      </c>
      <c r="J334" s="194">
        <f>IF(DBparts1[[#This Row],[Type]]&gt;0,VLOOKUP(DBparts1[[#This Row],[Type]],Main[[#All],[TYPE]:[UNIT]],'Unit Price'!H$1,FALSE),0)</f>
        <v>0</v>
      </c>
      <c r="K334" s="194">
        <f>IF(DBparts1[[#This Row],[Type]]&gt;0,VLOOKUP(DBparts1[[#This Row],[Discount seletion]],'Discount Structure'!$A$2:$B$30,2,"false"),0)</f>
        <v>0</v>
      </c>
      <c r="L334" s="194">
        <f>DBparts1[[#This Row],[LIST $]]*DBparts1[[#This Row],[DISCOUNT]]*DBparts1[[#This Row],[DISCOUNT 2]]</f>
        <v>0</v>
      </c>
    </row>
    <row r="335" spans="2:12">
      <c r="B335" s="112"/>
      <c r="C335" s="112"/>
      <c r="D335" s="112"/>
      <c r="F335" s="168" t="s">
        <v>6202</v>
      </c>
      <c r="G335" s="232">
        <f>IF(DBparts1[[#This Row],[Type]]&gt;0,VLOOKUP(DBparts1[[#This Row],[Type]],Main[[#All],[TYPE]:[UNIT]],'Unit Price'!C$1,FALSE),0)</f>
        <v>0</v>
      </c>
      <c r="H335" s="194">
        <f>IF(DBparts1[[#This Row],[Type]]&gt;0,VLOOKUP(DBparts1[[#This Row],[Type]],Main[[#All],[TYPE]:[UNIT]],'Unit Price'!D$1,FALSE),0)</f>
        <v>0</v>
      </c>
      <c r="I335" s="194">
        <f>IF(DBparts1[[#This Row],[Type]]&gt;0,VLOOKUP(DBparts1[[#This Row],[Type]],Main[[#All],[TYPE]:[UNIT]],'Unit Price'!G$1,FALSE),0)</f>
        <v>0</v>
      </c>
      <c r="J335" s="194">
        <f>IF(DBparts1[[#This Row],[Type]]&gt;0,VLOOKUP(DBparts1[[#This Row],[Type]],Main[[#All],[TYPE]:[UNIT]],'Unit Price'!H$1,FALSE),0)</f>
        <v>0</v>
      </c>
      <c r="K335" s="194">
        <f>IF(DBparts1[[#This Row],[Type]]&gt;0,VLOOKUP(DBparts1[[#This Row],[Discount seletion]],'Discount Structure'!$A$2:$B$30,2,"false"),0)</f>
        <v>0</v>
      </c>
      <c r="L335" s="194">
        <f>DBparts1[[#This Row],[LIST $]]*DBparts1[[#This Row],[DISCOUNT]]*DBparts1[[#This Row],[DISCOUNT 2]]</f>
        <v>0</v>
      </c>
    </row>
    <row r="336" spans="2:12">
      <c r="B336" s="112"/>
      <c r="C336" s="112"/>
      <c r="D336" s="112"/>
      <c r="F336" s="168" t="s">
        <v>6202</v>
      </c>
      <c r="G336" s="232">
        <f>IF(DBparts1[[#This Row],[Type]]&gt;0,VLOOKUP(DBparts1[[#This Row],[Type]],Main[[#All],[TYPE]:[UNIT]],'Unit Price'!C$1,FALSE),0)</f>
        <v>0</v>
      </c>
      <c r="H336" s="194">
        <f>IF(DBparts1[[#This Row],[Type]]&gt;0,VLOOKUP(DBparts1[[#This Row],[Type]],Main[[#All],[TYPE]:[UNIT]],'Unit Price'!D$1,FALSE),0)</f>
        <v>0</v>
      </c>
      <c r="I336" s="194">
        <f>IF(DBparts1[[#This Row],[Type]]&gt;0,VLOOKUP(DBparts1[[#This Row],[Type]],Main[[#All],[TYPE]:[UNIT]],'Unit Price'!G$1,FALSE),0)</f>
        <v>0</v>
      </c>
      <c r="J336" s="194">
        <f>IF(DBparts1[[#This Row],[Type]]&gt;0,VLOOKUP(DBparts1[[#This Row],[Type]],Main[[#All],[TYPE]:[UNIT]],'Unit Price'!H$1,FALSE),0)</f>
        <v>0</v>
      </c>
      <c r="K336" s="194">
        <f>IF(DBparts1[[#This Row],[Type]]&gt;0,VLOOKUP(DBparts1[[#This Row],[Discount seletion]],'Discount Structure'!$A$2:$B$30,2,"false"),0)</f>
        <v>0</v>
      </c>
      <c r="L336" s="194">
        <f>DBparts1[[#This Row],[LIST $]]*DBparts1[[#This Row],[DISCOUNT]]*DBparts1[[#This Row],[DISCOUNT 2]]</f>
        <v>0</v>
      </c>
    </row>
    <row r="337" spans="2:12">
      <c r="B337" s="112"/>
      <c r="C337" s="112"/>
      <c r="D337" s="112"/>
      <c r="F337" s="168" t="s">
        <v>6202</v>
      </c>
      <c r="G337" s="232">
        <f>IF(DBparts1[[#This Row],[Type]]&gt;0,VLOOKUP(DBparts1[[#This Row],[Type]],Main[[#All],[TYPE]:[UNIT]],'Unit Price'!C$1,FALSE),0)</f>
        <v>0</v>
      </c>
      <c r="H337" s="194">
        <f>IF(DBparts1[[#This Row],[Type]]&gt;0,VLOOKUP(DBparts1[[#This Row],[Type]],Main[[#All],[TYPE]:[UNIT]],'Unit Price'!D$1,FALSE),0)</f>
        <v>0</v>
      </c>
      <c r="I337" s="194">
        <f>IF(DBparts1[[#This Row],[Type]]&gt;0,VLOOKUP(DBparts1[[#This Row],[Type]],Main[[#All],[TYPE]:[UNIT]],'Unit Price'!G$1,FALSE),0)</f>
        <v>0</v>
      </c>
      <c r="J337" s="194">
        <f>IF(DBparts1[[#This Row],[Type]]&gt;0,VLOOKUP(DBparts1[[#This Row],[Type]],Main[[#All],[TYPE]:[UNIT]],'Unit Price'!H$1,FALSE),0)</f>
        <v>0</v>
      </c>
      <c r="K337" s="194">
        <f>IF(DBparts1[[#This Row],[Type]]&gt;0,VLOOKUP(DBparts1[[#This Row],[Discount seletion]],'Discount Structure'!$A$2:$B$30,2,"false"),0)</f>
        <v>0</v>
      </c>
      <c r="L337" s="194">
        <f>DBparts1[[#This Row],[LIST $]]*DBparts1[[#This Row],[DISCOUNT]]*DBparts1[[#This Row],[DISCOUNT 2]]</f>
        <v>0</v>
      </c>
    </row>
    <row r="338" spans="2:12">
      <c r="B338" s="112"/>
      <c r="C338" s="112"/>
      <c r="D338" s="112"/>
      <c r="F338" s="168" t="s">
        <v>6202</v>
      </c>
      <c r="G338" s="232">
        <f>IF(DBparts1[[#This Row],[Type]]&gt;0,VLOOKUP(DBparts1[[#This Row],[Type]],Main[[#All],[TYPE]:[UNIT]],'Unit Price'!C$1,FALSE),0)</f>
        <v>0</v>
      </c>
      <c r="H338" s="194">
        <f>IF(DBparts1[[#This Row],[Type]]&gt;0,VLOOKUP(DBparts1[[#This Row],[Type]],Main[[#All],[TYPE]:[UNIT]],'Unit Price'!D$1,FALSE),0)</f>
        <v>0</v>
      </c>
      <c r="I338" s="194">
        <f>IF(DBparts1[[#This Row],[Type]]&gt;0,VLOOKUP(DBparts1[[#This Row],[Type]],Main[[#All],[TYPE]:[UNIT]],'Unit Price'!G$1,FALSE),0)</f>
        <v>0</v>
      </c>
      <c r="J338" s="194">
        <f>IF(DBparts1[[#This Row],[Type]]&gt;0,VLOOKUP(DBparts1[[#This Row],[Type]],Main[[#All],[TYPE]:[UNIT]],'Unit Price'!H$1,FALSE),0)</f>
        <v>0</v>
      </c>
      <c r="K338" s="194">
        <f>IF(DBparts1[[#This Row],[Type]]&gt;0,VLOOKUP(DBparts1[[#This Row],[Discount seletion]],'Discount Structure'!$A$2:$B$30,2,"false"),0)</f>
        <v>0</v>
      </c>
      <c r="L338" s="194">
        <f>DBparts1[[#This Row],[LIST $]]*DBparts1[[#This Row],[DISCOUNT]]*DBparts1[[#This Row],[DISCOUNT 2]]</f>
        <v>0</v>
      </c>
    </row>
    <row r="339" spans="2:12">
      <c r="B339" s="112"/>
      <c r="C339" s="112"/>
      <c r="D339" s="112"/>
      <c r="F339" s="168" t="s">
        <v>6202</v>
      </c>
      <c r="G339" s="232">
        <f>IF(DBparts1[[#This Row],[Type]]&gt;0,VLOOKUP(DBparts1[[#This Row],[Type]],Main[[#All],[TYPE]:[UNIT]],'Unit Price'!C$1,FALSE),0)</f>
        <v>0</v>
      </c>
      <c r="H339" s="194">
        <f>IF(DBparts1[[#This Row],[Type]]&gt;0,VLOOKUP(DBparts1[[#This Row],[Type]],Main[[#All],[TYPE]:[UNIT]],'Unit Price'!D$1,FALSE),0)</f>
        <v>0</v>
      </c>
      <c r="I339" s="194">
        <f>IF(DBparts1[[#This Row],[Type]]&gt;0,VLOOKUP(DBparts1[[#This Row],[Type]],Main[[#All],[TYPE]:[UNIT]],'Unit Price'!G$1,FALSE),0)</f>
        <v>0</v>
      </c>
      <c r="J339" s="194">
        <f>IF(DBparts1[[#This Row],[Type]]&gt;0,VLOOKUP(DBparts1[[#This Row],[Type]],Main[[#All],[TYPE]:[UNIT]],'Unit Price'!H$1,FALSE),0)</f>
        <v>0</v>
      </c>
      <c r="K339" s="194">
        <f>IF(DBparts1[[#This Row],[Type]]&gt;0,VLOOKUP(DBparts1[[#This Row],[Discount seletion]],'Discount Structure'!$A$2:$B$30,2,"false"),0)</f>
        <v>0</v>
      </c>
      <c r="L339" s="194">
        <f>DBparts1[[#This Row],[LIST $]]*DBparts1[[#This Row],[DISCOUNT]]*DBparts1[[#This Row],[DISCOUNT 2]]</f>
        <v>0</v>
      </c>
    </row>
    <row r="340" spans="2:12">
      <c r="B340" s="112"/>
      <c r="C340" s="112"/>
      <c r="D340" s="112"/>
      <c r="F340" s="168" t="s">
        <v>6202</v>
      </c>
      <c r="G340" s="232">
        <f>IF(DBparts1[[#This Row],[Type]]&gt;0,VLOOKUP(DBparts1[[#This Row],[Type]],Main[[#All],[TYPE]:[UNIT]],'Unit Price'!C$1,FALSE),0)</f>
        <v>0</v>
      </c>
      <c r="H340" s="194">
        <f>IF(DBparts1[[#This Row],[Type]]&gt;0,VLOOKUP(DBparts1[[#This Row],[Type]],Main[[#All],[TYPE]:[UNIT]],'Unit Price'!D$1,FALSE),0)</f>
        <v>0</v>
      </c>
      <c r="I340" s="194">
        <f>IF(DBparts1[[#This Row],[Type]]&gt;0,VLOOKUP(DBparts1[[#This Row],[Type]],Main[[#All],[TYPE]:[UNIT]],'Unit Price'!G$1,FALSE),0)</f>
        <v>0</v>
      </c>
      <c r="J340" s="194">
        <f>IF(DBparts1[[#This Row],[Type]]&gt;0,VLOOKUP(DBparts1[[#This Row],[Type]],Main[[#All],[TYPE]:[UNIT]],'Unit Price'!H$1,FALSE),0)</f>
        <v>0</v>
      </c>
      <c r="K340" s="194">
        <f>IF(DBparts1[[#This Row],[Type]]&gt;0,VLOOKUP(DBparts1[[#This Row],[Discount seletion]],'Discount Structure'!$A$2:$B$30,2,"false"),0)</f>
        <v>0</v>
      </c>
      <c r="L340" s="194">
        <f>DBparts1[[#This Row],[LIST $]]*DBparts1[[#This Row],[DISCOUNT]]*DBparts1[[#This Row],[DISCOUNT 2]]</f>
        <v>0</v>
      </c>
    </row>
    <row r="341" spans="2:12">
      <c r="B341" s="112"/>
      <c r="C341" s="112"/>
      <c r="D341" s="112"/>
      <c r="F341" s="168" t="s">
        <v>6202</v>
      </c>
      <c r="G341" s="232">
        <f>IF(DBparts1[[#This Row],[Type]]&gt;0,VLOOKUP(DBparts1[[#This Row],[Type]],Main[[#All],[TYPE]:[UNIT]],'Unit Price'!C$1,FALSE),0)</f>
        <v>0</v>
      </c>
      <c r="H341" s="194">
        <f>IF(DBparts1[[#This Row],[Type]]&gt;0,VLOOKUP(DBparts1[[#This Row],[Type]],Main[[#All],[TYPE]:[UNIT]],'Unit Price'!D$1,FALSE),0)</f>
        <v>0</v>
      </c>
      <c r="I341" s="194">
        <f>IF(DBparts1[[#This Row],[Type]]&gt;0,VLOOKUP(DBparts1[[#This Row],[Type]],Main[[#All],[TYPE]:[UNIT]],'Unit Price'!G$1,FALSE),0)</f>
        <v>0</v>
      </c>
      <c r="J341" s="194">
        <f>IF(DBparts1[[#This Row],[Type]]&gt;0,VLOOKUP(DBparts1[[#This Row],[Type]],Main[[#All],[TYPE]:[UNIT]],'Unit Price'!H$1,FALSE),0)</f>
        <v>0</v>
      </c>
      <c r="K341" s="194">
        <f>IF(DBparts1[[#This Row],[Type]]&gt;0,VLOOKUP(DBparts1[[#This Row],[Discount seletion]],'Discount Structure'!$A$2:$B$30,2,"false"),0)</f>
        <v>0</v>
      </c>
      <c r="L341" s="194">
        <f>DBparts1[[#This Row],[LIST $]]*DBparts1[[#This Row],[DISCOUNT]]*DBparts1[[#This Row],[DISCOUNT 2]]</f>
        <v>0</v>
      </c>
    </row>
    <row r="342" spans="2:12">
      <c r="B342" s="112"/>
      <c r="C342" s="112"/>
      <c r="D342" s="112"/>
      <c r="F342" s="168" t="s">
        <v>6202</v>
      </c>
      <c r="G342" s="232">
        <f>IF(DBparts1[[#This Row],[Type]]&gt;0,VLOOKUP(DBparts1[[#This Row],[Type]],Main[[#All],[TYPE]:[UNIT]],'Unit Price'!C$1,FALSE),0)</f>
        <v>0</v>
      </c>
      <c r="H342" s="194">
        <f>IF(DBparts1[[#This Row],[Type]]&gt;0,VLOOKUP(DBparts1[[#This Row],[Type]],Main[[#All],[TYPE]:[UNIT]],'Unit Price'!D$1,FALSE),0)</f>
        <v>0</v>
      </c>
      <c r="I342" s="194">
        <f>IF(DBparts1[[#This Row],[Type]]&gt;0,VLOOKUP(DBparts1[[#This Row],[Type]],Main[[#All],[TYPE]:[UNIT]],'Unit Price'!G$1,FALSE),0)</f>
        <v>0</v>
      </c>
      <c r="J342" s="194">
        <f>IF(DBparts1[[#This Row],[Type]]&gt;0,VLOOKUP(DBparts1[[#This Row],[Type]],Main[[#All],[TYPE]:[UNIT]],'Unit Price'!H$1,FALSE),0)</f>
        <v>0</v>
      </c>
      <c r="K342" s="194">
        <f>IF(DBparts1[[#This Row],[Type]]&gt;0,VLOOKUP(DBparts1[[#This Row],[Discount seletion]],'Discount Structure'!$A$2:$B$30,2,"false"),0)</f>
        <v>0</v>
      </c>
      <c r="L342" s="194">
        <f>DBparts1[[#This Row],[LIST $]]*DBparts1[[#This Row],[DISCOUNT]]*DBparts1[[#This Row],[DISCOUNT 2]]</f>
        <v>0</v>
      </c>
    </row>
    <row r="343" spans="2:12">
      <c r="B343" s="112"/>
      <c r="C343" s="112"/>
      <c r="D343" s="112"/>
      <c r="F343" s="168" t="s">
        <v>6202</v>
      </c>
      <c r="G343" s="232">
        <f>IF(DBparts1[[#This Row],[Type]]&gt;0,VLOOKUP(DBparts1[[#This Row],[Type]],Main[[#All],[TYPE]:[UNIT]],'Unit Price'!C$1,FALSE),0)</f>
        <v>0</v>
      </c>
      <c r="H343" s="194">
        <f>IF(DBparts1[[#This Row],[Type]]&gt;0,VLOOKUP(DBparts1[[#This Row],[Type]],Main[[#All],[TYPE]:[UNIT]],'Unit Price'!D$1,FALSE),0)</f>
        <v>0</v>
      </c>
      <c r="I343" s="194">
        <f>IF(DBparts1[[#This Row],[Type]]&gt;0,VLOOKUP(DBparts1[[#This Row],[Type]],Main[[#All],[TYPE]:[UNIT]],'Unit Price'!G$1,FALSE),0)</f>
        <v>0</v>
      </c>
      <c r="J343" s="194">
        <f>IF(DBparts1[[#This Row],[Type]]&gt;0,VLOOKUP(DBparts1[[#This Row],[Type]],Main[[#All],[TYPE]:[UNIT]],'Unit Price'!H$1,FALSE),0)</f>
        <v>0</v>
      </c>
      <c r="K343" s="194">
        <f>IF(DBparts1[[#This Row],[Type]]&gt;0,VLOOKUP(DBparts1[[#This Row],[Discount seletion]],'Discount Structure'!$A$2:$B$30,2,"false"),0)</f>
        <v>0</v>
      </c>
      <c r="L343" s="194">
        <f>DBparts1[[#This Row],[LIST $]]*DBparts1[[#This Row],[DISCOUNT]]*DBparts1[[#This Row],[DISCOUNT 2]]</f>
        <v>0</v>
      </c>
    </row>
    <row r="344" spans="2:12">
      <c r="B344" s="112"/>
      <c r="C344" s="112"/>
      <c r="D344" s="112"/>
      <c r="F344" s="168" t="s">
        <v>6202</v>
      </c>
      <c r="G344" s="232">
        <f>IF(DBparts1[[#This Row],[Type]]&gt;0,VLOOKUP(DBparts1[[#This Row],[Type]],Main[[#All],[TYPE]:[UNIT]],'Unit Price'!C$1,FALSE),0)</f>
        <v>0</v>
      </c>
      <c r="H344" s="194">
        <f>IF(DBparts1[[#This Row],[Type]]&gt;0,VLOOKUP(DBparts1[[#This Row],[Type]],Main[[#All],[TYPE]:[UNIT]],'Unit Price'!D$1,FALSE),0)</f>
        <v>0</v>
      </c>
      <c r="I344" s="194">
        <f>IF(DBparts1[[#This Row],[Type]]&gt;0,VLOOKUP(DBparts1[[#This Row],[Type]],Main[[#All],[TYPE]:[UNIT]],'Unit Price'!G$1,FALSE),0)</f>
        <v>0</v>
      </c>
      <c r="J344" s="194">
        <f>IF(DBparts1[[#This Row],[Type]]&gt;0,VLOOKUP(DBparts1[[#This Row],[Type]],Main[[#All],[TYPE]:[UNIT]],'Unit Price'!H$1,FALSE),0)</f>
        <v>0</v>
      </c>
      <c r="K344" s="194">
        <f>IF(DBparts1[[#This Row],[Type]]&gt;0,VLOOKUP(DBparts1[[#This Row],[Discount seletion]],'Discount Structure'!$A$2:$B$30,2,"false"),0)</f>
        <v>0</v>
      </c>
      <c r="L344" s="194">
        <f>DBparts1[[#This Row],[LIST $]]*DBparts1[[#This Row],[DISCOUNT]]*DBparts1[[#This Row],[DISCOUNT 2]]</f>
        <v>0</v>
      </c>
    </row>
    <row r="345" spans="2:12">
      <c r="B345" s="112"/>
      <c r="C345" s="112"/>
      <c r="D345" s="112"/>
      <c r="F345" s="168" t="s">
        <v>6202</v>
      </c>
      <c r="G345" s="232">
        <f>IF(DBparts1[[#This Row],[Type]]&gt;0,VLOOKUP(DBparts1[[#This Row],[Type]],Main[[#All],[TYPE]:[UNIT]],'Unit Price'!C$1,FALSE),0)</f>
        <v>0</v>
      </c>
      <c r="H345" s="194">
        <f>IF(DBparts1[[#This Row],[Type]]&gt;0,VLOOKUP(DBparts1[[#This Row],[Type]],Main[[#All],[TYPE]:[UNIT]],'Unit Price'!D$1,FALSE),0)</f>
        <v>0</v>
      </c>
      <c r="I345" s="194">
        <f>IF(DBparts1[[#This Row],[Type]]&gt;0,VLOOKUP(DBparts1[[#This Row],[Type]],Main[[#All],[TYPE]:[UNIT]],'Unit Price'!G$1,FALSE),0)</f>
        <v>0</v>
      </c>
      <c r="J345" s="194">
        <f>IF(DBparts1[[#This Row],[Type]]&gt;0,VLOOKUP(DBparts1[[#This Row],[Type]],Main[[#All],[TYPE]:[UNIT]],'Unit Price'!H$1,FALSE),0)</f>
        <v>0</v>
      </c>
      <c r="K345" s="194">
        <f>IF(DBparts1[[#This Row],[Type]]&gt;0,VLOOKUP(DBparts1[[#This Row],[Discount seletion]],'Discount Structure'!$A$2:$B$30,2,"false"),0)</f>
        <v>0</v>
      </c>
      <c r="L345" s="194">
        <f>DBparts1[[#This Row],[LIST $]]*DBparts1[[#This Row],[DISCOUNT]]*DBparts1[[#This Row],[DISCOUNT 2]]</f>
        <v>0</v>
      </c>
    </row>
    <row r="346" spans="2:12">
      <c r="B346" s="112"/>
      <c r="C346" s="112"/>
      <c r="D346" s="112"/>
      <c r="F346" s="168" t="s">
        <v>6202</v>
      </c>
      <c r="G346" s="232">
        <f>IF(DBparts1[[#This Row],[Type]]&gt;0,VLOOKUP(DBparts1[[#This Row],[Type]],Main[[#All],[TYPE]:[UNIT]],'Unit Price'!C$1,FALSE),0)</f>
        <v>0</v>
      </c>
      <c r="H346" s="194">
        <f>IF(DBparts1[[#This Row],[Type]]&gt;0,VLOOKUP(DBparts1[[#This Row],[Type]],Main[[#All],[TYPE]:[UNIT]],'Unit Price'!D$1,FALSE),0)</f>
        <v>0</v>
      </c>
      <c r="I346" s="194">
        <f>IF(DBparts1[[#This Row],[Type]]&gt;0,VLOOKUP(DBparts1[[#This Row],[Type]],Main[[#All],[TYPE]:[UNIT]],'Unit Price'!G$1,FALSE),0)</f>
        <v>0</v>
      </c>
      <c r="J346" s="194">
        <f>IF(DBparts1[[#This Row],[Type]]&gt;0,VLOOKUP(DBparts1[[#This Row],[Type]],Main[[#All],[TYPE]:[UNIT]],'Unit Price'!H$1,FALSE),0)</f>
        <v>0</v>
      </c>
      <c r="K346" s="194">
        <f>IF(DBparts1[[#This Row],[Type]]&gt;0,VLOOKUP(DBparts1[[#This Row],[Discount seletion]],'Discount Structure'!$A$2:$B$30,2,"false"),0)</f>
        <v>0</v>
      </c>
      <c r="L346" s="194">
        <f>DBparts1[[#This Row],[LIST $]]*DBparts1[[#This Row],[DISCOUNT]]*DBparts1[[#This Row],[DISCOUNT 2]]</f>
        <v>0</v>
      </c>
    </row>
    <row r="347" spans="2:12">
      <c r="B347" s="112"/>
      <c r="C347" s="112"/>
      <c r="D347" s="112"/>
      <c r="F347" s="168" t="s">
        <v>6202</v>
      </c>
      <c r="G347" s="232">
        <f>IF(DBparts1[[#This Row],[Type]]&gt;0,VLOOKUP(DBparts1[[#This Row],[Type]],Main[[#All],[TYPE]:[UNIT]],'Unit Price'!C$1,FALSE),0)</f>
        <v>0</v>
      </c>
      <c r="H347" s="194">
        <f>IF(DBparts1[[#This Row],[Type]]&gt;0,VLOOKUP(DBparts1[[#This Row],[Type]],Main[[#All],[TYPE]:[UNIT]],'Unit Price'!D$1,FALSE),0)</f>
        <v>0</v>
      </c>
      <c r="I347" s="194">
        <f>IF(DBparts1[[#This Row],[Type]]&gt;0,VLOOKUP(DBparts1[[#This Row],[Type]],Main[[#All],[TYPE]:[UNIT]],'Unit Price'!G$1,FALSE),0)</f>
        <v>0</v>
      </c>
      <c r="J347" s="194">
        <f>IF(DBparts1[[#This Row],[Type]]&gt;0,VLOOKUP(DBparts1[[#This Row],[Type]],Main[[#All],[TYPE]:[UNIT]],'Unit Price'!H$1,FALSE),0)</f>
        <v>0</v>
      </c>
      <c r="K347" s="194">
        <f>IF(DBparts1[[#This Row],[Type]]&gt;0,VLOOKUP(DBparts1[[#This Row],[Discount seletion]],'Discount Structure'!$A$2:$B$30,2,"false"),0)</f>
        <v>0</v>
      </c>
      <c r="L347" s="194">
        <f>DBparts1[[#This Row],[LIST $]]*DBparts1[[#This Row],[DISCOUNT]]*DBparts1[[#This Row],[DISCOUNT 2]]</f>
        <v>0</v>
      </c>
    </row>
    <row r="348" spans="2:12">
      <c r="B348" s="112"/>
      <c r="C348" s="112"/>
      <c r="D348" s="112"/>
      <c r="F348" s="168" t="s">
        <v>6202</v>
      </c>
      <c r="G348" s="232">
        <f>IF(DBparts1[[#This Row],[Type]]&gt;0,VLOOKUP(DBparts1[[#This Row],[Type]],Main[[#All],[TYPE]:[UNIT]],'Unit Price'!C$1,FALSE),0)</f>
        <v>0</v>
      </c>
      <c r="H348" s="194">
        <f>IF(DBparts1[[#This Row],[Type]]&gt;0,VLOOKUP(DBparts1[[#This Row],[Type]],Main[[#All],[TYPE]:[UNIT]],'Unit Price'!D$1,FALSE),0)</f>
        <v>0</v>
      </c>
      <c r="I348" s="194">
        <f>IF(DBparts1[[#This Row],[Type]]&gt;0,VLOOKUP(DBparts1[[#This Row],[Type]],Main[[#All],[TYPE]:[UNIT]],'Unit Price'!G$1,FALSE),0)</f>
        <v>0</v>
      </c>
      <c r="J348" s="194">
        <f>IF(DBparts1[[#This Row],[Type]]&gt;0,VLOOKUP(DBparts1[[#This Row],[Type]],Main[[#All],[TYPE]:[UNIT]],'Unit Price'!H$1,FALSE),0)</f>
        <v>0</v>
      </c>
      <c r="K348" s="194">
        <f>IF(DBparts1[[#This Row],[Type]]&gt;0,VLOOKUP(DBparts1[[#This Row],[Discount seletion]],'Discount Structure'!$A$2:$B$30,2,"false"),0)</f>
        <v>0</v>
      </c>
      <c r="L348" s="194">
        <f>DBparts1[[#This Row],[LIST $]]*DBparts1[[#This Row],[DISCOUNT]]*DBparts1[[#This Row],[DISCOUNT 2]]</f>
        <v>0</v>
      </c>
    </row>
    <row r="349" spans="2:12">
      <c r="B349" s="112"/>
      <c r="C349" s="112"/>
      <c r="D349" s="112"/>
      <c r="F349" s="168" t="s">
        <v>6202</v>
      </c>
      <c r="G349" s="232">
        <f>IF(DBparts1[[#This Row],[Type]]&gt;0,VLOOKUP(DBparts1[[#This Row],[Type]],Main[[#All],[TYPE]:[UNIT]],'Unit Price'!C$1,FALSE),0)</f>
        <v>0</v>
      </c>
      <c r="H349" s="194">
        <f>IF(DBparts1[[#This Row],[Type]]&gt;0,VLOOKUP(DBparts1[[#This Row],[Type]],Main[[#All],[TYPE]:[UNIT]],'Unit Price'!D$1,FALSE),0)</f>
        <v>0</v>
      </c>
      <c r="I349" s="194">
        <f>IF(DBparts1[[#This Row],[Type]]&gt;0,VLOOKUP(DBparts1[[#This Row],[Type]],Main[[#All],[TYPE]:[UNIT]],'Unit Price'!G$1,FALSE),0)</f>
        <v>0</v>
      </c>
      <c r="J349" s="194">
        <f>IF(DBparts1[[#This Row],[Type]]&gt;0,VLOOKUP(DBparts1[[#This Row],[Type]],Main[[#All],[TYPE]:[UNIT]],'Unit Price'!H$1,FALSE),0)</f>
        <v>0</v>
      </c>
      <c r="K349" s="194">
        <f>IF(DBparts1[[#This Row],[Type]]&gt;0,VLOOKUP(DBparts1[[#This Row],[Discount seletion]],'Discount Structure'!$A$2:$B$30,2,"false"),0)</f>
        <v>0</v>
      </c>
      <c r="L349" s="194">
        <f>DBparts1[[#This Row],[LIST $]]*DBparts1[[#This Row],[DISCOUNT]]*DBparts1[[#This Row],[DISCOUNT 2]]</f>
        <v>0</v>
      </c>
    </row>
    <row r="350" spans="2:12">
      <c r="B350" s="112"/>
      <c r="C350" s="112"/>
      <c r="D350" s="112"/>
      <c r="F350" s="168" t="s">
        <v>6202</v>
      </c>
      <c r="G350" s="232">
        <f>IF(DBparts1[[#This Row],[Type]]&gt;0,VLOOKUP(DBparts1[[#This Row],[Type]],Main[[#All],[TYPE]:[UNIT]],'Unit Price'!C$1,FALSE),0)</f>
        <v>0</v>
      </c>
      <c r="H350" s="194">
        <f>IF(DBparts1[[#This Row],[Type]]&gt;0,VLOOKUP(DBparts1[[#This Row],[Type]],Main[[#All],[TYPE]:[UNIT]],'Unit Price'!D$1,FALSE),0)</f>
        <v>0</v>
      </c>
      <c r="I350" s="194">
        <f>IF(DBparts1[[#This Row],[Type]]&gt;0,VLOOKUP(DBparts1[[#This Row],[Type]],Main[[#All],[TYPE]:[UNIT]],'Unit Price'!G$1,FALSE),0)</f>
        <v>0</v>
      </c>
      <c r="J350" s="194">
        <f>IF(DBparts1[[#This Row],[Type]]&gt;0,VLOOKUP(DBparts1[[#This Row],[Type]],Main[[#All],[TYPE]:[UNIT]],'Unit Price'!H$1,FALSE),0)</f>
        <v>0</v>
      </c>
      <c r="K350" s="194">
        <f>IF(DBparts1[[#This Row],[Type]]&gt;0,VLOOKUP(DBparts1[[#This Row],[Discount seletion]],'Discount Structure'!$A$2:$B$30,2,"false"),0)</f>
        <v>0</v>
      </c>
      <c r="L350" s="194">
        <f>DBparts1[[#This Row],[LIST $]]*DBparts1[[#This Row],[DISCOUNT]]*DBparts1[[#This Row],[DISCOUNT 2]]</f>
        <v>0</v>
      </c>
    </row>
    <row r="351" spans="2:12">
      <c r="B351" s="112"/>
      <c r="C351" s="112"/>
      <c r="D351" s="112"/>
      <c r="F351" s="168" t="s">
        <v>6202</v>
      </c>
      <c r="G351" s="232">
        <f>IF(DBparts1[[#This Row],[Type]]&gt;0,VLOOKUP(DBparts1[[#This Row],[Type]],Main[[#All],[TYPE]:[UNIT]],'Unit Price'!C$1,FALSE),0)</f>
        <v>0</v>
      </c>
      <c r="H351" s="194">
        <f>IF(DBparts1[[#This Row],[Type]]&gt;0,VLOOKUP(DBparts1[[#This Row],[Type]],Main[[#All],[TYPE]:[UNIT]],'Unit Price'!D$1,FALSE),0)</f>
        <v>0</v>
      </c>
      <c r="I351" s="194">
        <f>IF(DBparts1[[#This Row],[Type]]&gt;0,VLOOKUP(DBparts1[[#This Row],[Type]],Main[[#All],[TYPE]:[UNIT]],'Unit Price'!G$1,FALSE),0)</f>
        <v>0</v>
      </c>
      <c r="J351" s="194">
        <f>IF(DBparts1[[#This Row],[Type]]&gt;0,VLOOKUP(DBparts1[[#This Row],[Type]],Main[[#All],[TYPE]:[UNIT]],'Unit Price'!H$1,FALSE),0)</f>
        <v>0</v>
      </c>
      <c r="K351" s="194">
        <f>IF(DBparts1[[#This Row],[Type]]&gt;0,VLOOKUP(DBparts1[[#This Row],[Discount seletion]],'Discount Structure'!$A$2:$B$30,2,"false"),0)</f>
        <v>0</v>
      </c>
      <c r="L351" s="194">
        <f>DBparts1[[#This Row],[LIST $]]*DBparts1[[#This Row],[DISCOUNT]]*DBparts1[[#This Row],[DISCOUNT 2]]</f>
        <v>0</v>
      </c>
    </row>
    <row r="352" spans="2:12">
      <c r="B352" s="112"/>
      <c r="C352" s="112"/>
      <c r="D352" s="112"/>
      <c r="F352" s="168" t="s">
        <v>6202</v>
      </c>
      <c r="G352" s="232">
        <f>IF(DBparts1[[#This Row],[Type]]&gt;0,VLOOKUP(DBparts1[[#This Row],[Type]],Main[[#All],[TYPE]:[UNIT]],'Unit Price'!C$1,FALSE),0)</f>
        <v>0</v>
      </c>
      <c r="H352" s="194">
        <f>IF(DBparts1[[#This Row],[Type]]&gt;0,VLOOKUP(DBparts1[[#This Row],[Type]],Main[[#All],[TYPE]:[UNIT]],'Unit Price'!D$1,FALSE),0)</f>
        <v>0</v>
      </c>
      <c r="I352" s="194">
        <f>IF(DBparts1[[#This Row],[Type]]&gt;0,VLOOKUP(DBparts1[[#This Row],[Type]],Main[[#All],[TYPE]:[UNIT]],'Unit Price'!G$1,FALSE),0)</f>
        <v>0</v>
      </c>
      <c r="J352" s="194">
        <f>IF(DBparts1[[#This Row],[Type]]&gt;0,VLOOKUP(DBparts1[[#This Row],[Type]],Main[[#All],[TYPE]:[UNIT]],'Unit Price'!H$1,FALSE),0)</f>
        <v>0</v>
      </c>
      <c r="K352" s="194">
        <f>IF(DBparts1[[#This Row],[Type]]&gt;0,VLOOKUP(DBparts1[[#This Row],[Discount seletion]],'Discount Structure'!$A$2:$B$30,2,"false"),0)</f>
        <v>0</v>
      </c>
      <c r="L352" s="194">
        <f>DBparts1[[#This Row],[LIST $]]*DBparts1[[#This Row],[DISCOUNT]]*DBparts1[[#This Row],[DISCOUNT 2]]</f>
        <v>0</v>
      </c>
    </row>
    <row r="353" spans="2:12">
      <c r="B353" s="112"/>
      <c r="C353" s="112"/>
      <c r="D353" s="112"/>
      <c r="F353" s="168" t="s">
        <v>6202</v>
      </c>
      <c r="G353" s="232">
        <f>IF(DBparts1[[#This Row],[Type]]&gt;0,VLOOKUP(DBparts1[[#This Row],[Type]],Main[[#All],[TYPE]:[UNIT]],'Unit Price'!C$1,FALSE),0)</f>
        <v>0</v>
      </c>
      <c r="H353" s="194">
        <f>IF(DBparts1[[#This Row],[Type]]&gt;0,VLOOKUP(DBparts1[[#This Row],[Type]],Main[[#All],[TYPE]:[UNIT]],'Unit Price'!D$1,FALSE),0)</f>
        <v>0</v>
      </c>
      <c r="I353" s="194">
        <f>IF(DBparts1[[#This Row],[Type]]&gt;0,VLOOKUP(DBparts1[[#This Row],[Type]],Main[[#All],[TYPE]:[UNIT]],'Unit Price'!G$1,FALSE),0)</f>
        <v>0</v>
      </c>
      <c r="J353" s="194">
        <f>IF(DBparts1[[#This Row],[Type]]&gt;0,VLOOKUP(DBparts1[[#This Row],[Type]],Main[[#All],[TYPE]:[UNIT]],'Unit Price'!H$1,FALSE),0)</f>
        <v>0</v>
      </c>
      <c r="K353" s="194">
        <f>IF(DBparts1[[#This Row],[Type]]&gt;0,VLOOKUP(DBparts1[[#This Row],[Discount seletion]],'Discount Structure'!$A$2:$B$30,2,"false"),0)</f>
        <v>0</v>
      </c>
      <c r="L353" s="194">
        <f>DBparts1[[#This Row],[LIST $]]*DBparts1[[#This Row],[DISCOUNT]]*DBparts1[[#This Row],[DISCOUNT 2]]</f>
        <v>0</v>
      </c>
    </row>
    <row r="354" spans="2:12">
      <c r="B354" s="112"/>
      <c r="C354" s="112"/>
      <c r="D354" s="112"/>
      <c r="F354" s="168" t="s">
        <v>6202</v>
      </c>
      <c r="G354" s="232">
        <f>IF(DBparts1[[#This Row],[Type]]&gt;0,VLOOKUP(DBparts1[[#This Row],[Type]],Main[[#All],[TYPE]:[UNIT]],'Unit Price'!C$1,FALSE),0)</f>
        <v>0</v>
      </c>
      <c r="H354" s="194">
        <f>IF(DBparts1[[#This Row],[Type]]&gt;0,VLOOKUP(DBparts1[[#This Row],[Type]],Main[[#All],[TYPE]:[UNIT]],'Unit Price'!D$1,FALSE),0)</f>
        <v>0</v>
      </c>
      <c r="I354" s="194">
        <f>IF(DBparts1[[#This Row],[Type]]&gt;0,VLOOKUP(DBparts1[[#This Row],[Type]],Main[[#All],[TYPE]:[UNIT]],'Unit Price'!G$1,FALSE),0)</f>
        <v>0</v>
      </c>
      <c r="J354" s="194">
        <f>IF(DBparts1[[#This Row],[Type]]&gt;0,VLOOKUP(DBparts1[[#This Row],[Type]],Main[[#All],[TYPE]:[UNIT]],'Unit Price'!H$1,FALSE),0)</f>
        <v>0</v>
      </c>
      <c r="K354" s="194">
        <f>IF(DBparts1[[#This Row],[Type]]&gt;0,VLOOKUP(DBparts1[[#This Row],[Discount seletion]],'Discount Structure'!$A$2:$B$30,2,"false"),0)</f>
        <v>0</v>
      </c>
      <c r="L354" s="194">
        <f>DBparts1[[#This Row],[LIST $]]*DBparts1[[#This Row],[DISCOUNT]]*DBparts1[[#This Row],[DISCOUNT 2]]</f>
        <v>0</v>
      </c>
    </row>
    <row r="355" spans="2:12">
      <c r="B355" s="112"/>
      <c r="C355" s="112"/>
      <c r="D355" s="112"/>
      <c r="F355" s="168" t="s">
        <v>6202</v>
      </c>
      <c r="G355" s="232">
        <f>IF(DBparts1[[#This Row],[Type]]&gt;0,VLOOKUP(DBparts1[[#This Row],[Type]],Main[[#All],[TYPE]:[UNIT]],'Unit Price'!C$1,FALSE),0)</f>
        <v>0</v>
      </c>
      <c r="H355" s="194">
        <f>IF(DBparts1[[#This Row],[Type]]&gt;0,VLOOKUP(DBparts1[[#This Row],[Type]],Main[[#All],[TYPE]:[UNIT]],'Unit Price'!D$1,FALSE),0)</f>
        <v>0</v>
      </c>
      <c r="I355" s="194">
        <f>IF(DBparts1[[#This Row],[Type]]&gt;0,VLOOKUP(DBparts1[[#This Row],[Type]],Main[[#All],[TYPE]:[UNIT]],'Unit Price'!G$1,FALSE),0)</f>
        <v>0</v>
      </c>
      <c r="J355" s="194">
        <f>IF(DBparts1[[#This Row],[Type]]&gt;0,VLOOKUP(DBparts1[[#This Row],[Type]],Main[[#All],[TYPE]:[UNIT]],'Unit Price'!H$1,FALSE),0)</f>
        <v>0</v>
      </c>
      <c r="K355" s="194">
        <f>IF(DBparts1[[#This Row],[Type]]&gt;0,VLOOKUP(DBparts1[[#This Row],[Discount seletion]],'Discount Structure'!$A$2:$B$30,2,"false"),0)</f>
        <v>0</v>
      </c>
      <c r="L355" s="194">
        <f>DBparts1[[#This Row],[LIST $]]*DBparts1[[#This Row],[DISCOUNT]]*DBparts1[[#This Row],[DISCOUNT 2]]</f>
        <v>0</v>
      </c>
    </row>
    <row r="356" spans="2:12">
      <c r="B356" s="112"/>
      <c r="C356" s="112"/>
      <c r="D356" s="112"/>
      <c r="F356" s="168" t="s">
        <v>6202</v>
      </c>
      <c r="G356" s="232">
        <f>IF(DBparts1[[#This Row],[Type]]&gt;0,VLOOKUP(DBparts1[[#This Row],[Type]],Main[[#All],[TYPE]:[UNIT]],'Unit Price'!C$1,FALSE),0)</f>
        <v>0</v>
      </c>
      <c r="H356" s="194">
        <f>IF(DBparts1[[#This Row],[Type]]&gt;0,VLOOKUP(DBparts1[[#This Row],[Type]],Main[[#All],[TYPE]:[UNIT]],'Unit Price'!D$1,FALSE),0)</f>
        <v>0</v>
      </c>
      <c r="I356" s="194">
        <f>IF(DBparts1[[#This Row],[Type]]&gt;0,VLOOKUP(DBparts1[[#This Row],[Type]],Main[[#All],[TYPE]:[UNIT]],'Unit Price'!G$1,FALSE),0)</f>
        <v>0</v>
      </c>
      <c r="J356" s="194">
        <f>IF(DBparts1[[#This Row],[Type]]&gt;0,VLOOKUP(DBparts1[[#This Row],[Type]],Main[[#All],[TYPE]:[UNIT]],'Unit Price'!H$1,FALSE),0)</f>
        <v>0</v>
      </c>
      <c r="K356" s="194">
        <f>IF(DBparts1[[#This Row],[Type]]&gt;0,VLOOKUP(DBparts1[[#This Row],[Discount seletion]],'Discount Structure'!$A$2:$B$30,2,"false"),0)</f>
        <v>0</v>
      </c>
      <c r="L356" s="194">
        <f>DBparts1[[#This Row],[LIST $]]*DBparts1[[#This Row],[DISCOUNT]]*DBparts1[[#This Row],[DISCOUNT 2]]</f>
        <v>0</v>
      </c>
    </row>
    <row r="357" spans="2:12">
      <c r="B357" s="112"/>
      <c r="C357" s="112"/>
      <c r="D357" s="112"/>
      <c r="F357" s="168" t="s">
        <v>6202</v>
      </c>
      <c r="G357" s="232">
        <f>IF(DBparts1[[#This Row],[Type]]&gt;0,VLOOKUP(DBparts1[[#This Row],[Type]],Main[[#All],[TYPE]:[UNIT]],'Unit Price'!C$1,FALSE),0)</f>
        <v>0</v>
      </c>
      <c r="H357" s="194">
        <f>IF(DBparts1[[#This Row],[Type]]&gt;0,VLOOKUP(DBparts1[[#This Row],[Type]],Main[[#All],[TYPE]:[UNIT]],'Unit Price'!D$1,FALSE),0)</f>
        <v>0</v>
      </c>
      <c r="I357" s="194">
        <f>IF(DBparts1[[#This Row],[Type]]&gt;0,VLOOKUP(DBparts1[[#This Row],[Type]],Main[[#All],[TYPE]:[UNIT]],'Unit Price'!G$1,FALSE),0)</f>
        <v>0</v>
      </c>
      <c r="J357" s="194">
        <f>IF(DBparts1[[#This Row],[Type]]&gt;0,VLOOKUP(DBparts1[[#This Row],[Type]],Main[[#All],[TYPE]:[UNIT]],'Unit Price'!H$1,FALSE),0)</f>
        <v>0</v>
      </c>
      <c r="K357" s="194">
        <f>IF(DBparts1[[#This Row],[Type]]&gt;0,VLOOKUP(DBparts1[[#This Row],[Discount seletion]],'Discount Structure'!$A$2:$B$30,2,"false"),0)</f>
        <v>0</v>
      </c>
      <c r="L357" s="194">
        <f>DBparts1[[#This Row],[LIST $]]*DBparts1[[#This Row],[DISCOUNT]]*DBparts1[[#This Row],[DISCOUNT 2]]</f>
        <v>0</v>
      </c>
    </row>
    <row r="358" spans="2:12">
      <c r="B358" s="112"/>
      <c r="C358" s="112"/>
      <c r="D358" s="112"/>
      <c r="F358" s="168" t="s">
        <v>6202</v>
      </c>
      <c r="G358" s="232">
        <f>IF(DBparts1[[#This Row],[Type]]&gt;0,VLOOKUP(DBparts1[[#This Row],[Type]],Main[[#All],[TYPE]:[UNIT]],'Unit Price'!C$1,FALSE),0)</f>
        <v>0</v>
      </c>
      <c r="H358" s="194">
        <f>IF(DBparts1[[#This Row],[Type]]&gt;0,VLOOKUP(DBparts1[[#This Row],[Type]],Main[[#All],[TYPE]:[UNIT]],'Unit Price'!D$1,FALSE),0)</f>
        <v>0</v>
      </c>
      <c r="I358" s="194">
        <f>IF(DBparts1[[#This Row],[Type]]&gt;0,VLOOKUP(DBparts1[[#This Row],[Type]],Main[[#All],[TYPE]:[UNIT]],'Unit Price'!G$1,FALSE),0)</f>
        <v>0</v>
      </c>
      <c r="J358" s="194">
        <f>IF(DBparts1[[#This Row],[Type]]&gt;0,VLOOKUP(DBparts1[[#This Row],[Type]],Main[[#All],[TYPE]:[UNIT]],'Unit Price'!H$1,FALSE),0)</f>
        <v>0</v>
      </c>
      <c r="K358" s="194">
        <f>IF(DBparts1[[#This Row],[Type]]&gt;0,VLOOKUP(DBparts1[[#This Row],[Discount seletion]],'Discount Structure'!$A$2:$B$30,2,"false"),0)</f>
        <v>0</v>
      </c>
      <c r="L358" s="194">
        <f>DBparts1[[#This Row],[LIST $]]*DBparts1[[#This Row],[DISCOUNT]]*DBparts1[[#This Row],[DISCOUNT 2]]</f>
        <v>0</v>
      </c>
    </row>
    <row r="359" spans="2:12">
      <c r="B359" s="112"/>
      <c r="C359" s="112"/>
      <c r="D359" s="112"/>
      <c r="F359" s="168" t="s">
        <v>6202</v>
      </c>
      <c r="G359" s="232">
        <f>IF(DBparts1[[#This Row],[Type]]&gt;0,VLOOKUP(DBparts1[[#This Row],[Type]],Main[[#All],[TYPE]:[UNIT]],'Unit Price'!C$1,FALSE),0)</f>
        <v>0</v>
      </c>
      <c r="H359" s="194">
        <f>IF(DBparts1[[#This Row],[Type]]&gt;0,VLOOKUP(DBparts1[[#This Row],[Type]],Main[[#All],[TYPE]:[UNIT]],'Unit Price'!D$1,FALSE),0)</f>
        <v>0</v>
      </c>
      <c r="I359" s="194">
        <f>IF(DBparts1[[#This Row],[Type]]&gt;0,VLOOKUP(DBparts1[[#This Row],[Type]],Main[[#All],[TYPE]:[UNIT]],'Unit Price'!G$1,FALSE),0)</f>
        <v>0</v>
      </c>
      <c r="J359" s="194">
        <f>IF(DBparts1[[#This Row],[Type]]&gt;0,VLOOKUP(DBparts1[[#This Row],[Type]],Main[[#All],[TYPE]:[UNIT]],'Unit Price'!H$1,FALSE),0)</f>
        <v>0</v>
      </c>
      <c r="K359" s="194">
        <f>IF(DBparts1[[#This Row],[Type]]&gt;0,VLOOKUP(DBparts1[[#This Row],[Discount seletion]],'Discount Structure'!$A$2:$B$30,2,"false"),0)</f>
        <v>0</v>
      </c>
      <c r="L359" s="194">
        <f>DBparts1[[#This Row],[LIST $]]*DBparts1[[#This Row],[DISCOUNT]]*DBparts1[[#This Row],[DISCOUNT 2]]</f>
        <v>0</v>
      </c>
    </row>
    <row r="360" spans="2:12">
      <c r="B360" s="112"/>
      <c r="C360" s="112"/>
      <c r="D360" s="112"/>
      <c r="F360" s="168" t="s">
        <v>6202</v>
      </c>
      <c r="G360" s="232">
        <f>IF(DBparts1[[#This Row],[Type]]&gt;0,VLOOKUP(DBparts1[[#This Row],[Type]],Main[[#All],[TYPE]:[UNIT]],'Unit Price'!C$1,FALSE),0)</f>
        <v>0</v>
      </c>
      <c r="H360" s="194">
        <f>IF(DBparts1[[#This Row],[Type]]&gt;0,VLOOKUP(DBparts1[[#This Row],[Type]],Main[[#All],[TYPE]:[UNIT]],'Unit Price'!D$1,FALSE),0)</f>
        <v>0</v>
      </c>
      <c r="I360" s="194">
        <f>IF(DBparts1[[#This Row],[Type]]&gt;0,VLOOKUP(DBparts1[[#This Row],[Type]],Main[[#All],[TYPE]:[UNIT]],'Unit Price'!G$1,FALSE),0)</f>
        <v>0</v>
      </c>
      <c r="J360" s="194">
        <f>IF(DBparts1[[#This Row],[Type]]&gt;0,VLOOKUP(DBparts1[[#This Row],[Type]],Main[[#All],[TYPE]:[UNIT]],'Unit Price'!H$1,FALSE),0)</f>
        <v>0</v>
      </c>
      <c r="K360" s="194">
        <f>IF(DBparts1[[#This Row],[Type]]&gt;0,VLOOKUP(DBparts1[[#This Row],[Discount seletion]],'Discount Structure'!$A$2:$B$30,2,"false"),0)</f>
        <v>0</v>
      </c>
      <c r="L360" s="194">
        <f>DBparts1[[#This Row],[LIST $]]*DBparts1[[#This Row],[DISCOUNT]]*DBparts1[[#This Row],[DISCOUNT 2]]</f>
        <v>0</v>
      </c>
    </row>
    <row r="361" spans="2:12">
      <c r="B361" s="112"/>
      <c r="C361" s="112"/>
      <c r="D361" s="112"/>
      <c r="F361" s="168" t="s">
        <v>6202</v>
      </c>
      <c r="G361" s="232">
        <f>IF(DBparts1[[#This Row],[Type]]&gt;0,VLOOKUP(DBparts1[[#This Row],[Type]],Main[[#All],[TYPE]:[UNIT]],'Unit Price'!C$1,FALSE),0)</f>
        <v>0</v>
      </c>
      <c r="H361" s="194">
        <f>IF(DBparts1[[#This Row],[Type]]&gt;0,VLOOKUP(DBparts1[[#This Row],[Type]],Main[[#All],[TYPE]:[UNIT]],'Unit Price'!D$1,FALSE),0)</f>
        <v>0</v>
      </c>
      <c r="I361" s="194">
        <f>IF(DBparts1[[#This Row],[Type]]&gt;0,VLOOKUP(DBparts1[[#This Row],[Type]],Main[[#All],[TYPE]:[UNIT]],'Unit Price'!G$1,FALSE),0)</f>
        <v>0</v>
      </c>
      <c r="J361" s="194">
        <f>IF(DBparts1[[#This Row],[Type]]&gt;0,VLOOKUP(DBparts1[[#This Row],[Type]],Main[[#All],[TYPE]:[UNIT]],'Unit Price'!H$1,FALSE),0)</f>
        <v>0</v>
      </c>
      <c r="K361" s="194">
        <f>IF(DBparts1[[#This Row],[Type]]&gt;0,VLOOKUP(DBparts1[[#This Row],[Discount seletion]],'Discount Structure'!$A$2:$B$30,2,"false"),0)</f>
        <v>0</v>
      </c>
      <c r="L361" s="194">
        <f>DBparts1[[#This Row],[LIST $]]*DBparts1[[#This Row],[DISCOUNT]]*DBparts1[[#This Row],[DISCOUNT 2]]</f>
        <v>0</v>
      </c>
    </row>
    <row r="362" spans="2:12">
      <c r="B362" s="112"/>
      <c r="C362" s="112"/>
      <c r="D362" s="112"/>
      <c r="F362" s="168" t="s">
        <v>6202</v>
      </c>
      <c r="G362" s="232">
        <f>IF(DBparts1[[#This Row],[Type]]&gt;0,VLOOKUP(DBparts1[[#This Row],[Type]],Main[[#All],[TYPE]:[UNIT]],'Unit Price'!C$1,FALSE),0)</f>
        <v>0</v>
      </c>
      <c r="H362" s="194">
        <f>IF(DBparts1[[#This Row],[Type]]&gt;0,VLOOKUP(DBparts1[[#This Row],[Type]],Main[[#All],[TYPE]:[UNIT]],'Unit Price'!D$1,FALSE),0)</f>
        <v>0</v>
      </c>
      <c r="I362" s="194">
        <f>IF(DBparts1[[#This Row],[Type]]&gt;0,VLOOKUP(DBparts1[[#This Row],[Type]],Main[[#All],[TYPE]:[UNIT]],'Unit Price'!G$1,FALSE),0)</f>
        <v>0</v>
      </c>
      <c r="J362" s="194">
        <f>IF(DBparts1[[#This Row],[Type]]&gt;0,VLOOKUP(DBparts1[[#This Row],[Type]],Main[[#All],[TYPE]:[UNIT]],'Unit Price'!H$1,FALSE),0)</f>
        <v>0</v>
      </c>
      <c r="K362" s="194">
        <f>IF(DBparts1[[#This Row],[Type]]&gt;0,VLOOKUP(DBparts1[[#This Row],[Discount seletion]],'Discount Structure'!$A$2:$B$30,2,"false"),0)</f>
        <v>0</v>
      </c>
      <c r="L362" s="194">
        <f>DBparts1[[#This Row],[LIST $]]*DBparts1[[#This Row],[DISCOUNT]]*DBparts1[[#This Row],[DISCOUNT 2]]</f>
        <v>0</v>
      </c>
    </row>
    <row r="363" spans="2:12">
      <c r="B363" s="112"/>
      <c r="C363" s="112"/>
      <c r="D363" s="112"/>
      <c r="F363" s="168" t="s">
        <v>6202</v>
      </c>
      <c r="G363" s="232">
        <f>IF(DBparts1[[#This Row],[Type]]&gt;0,VLOOKUP(DBparts1[[#This Row],[Type]],Main[[#All],[TYPE]:[UNIT]],'Unit Price'!C$1,FALSE),0)</f>
        <v>0</v>
      </c>
      <c r="H363" s="194">
        <f>IF(DBparts1[[#This Row],[Type]]&gt;0,VLOOKUP(DBparts1[[#This Row],[Type]],Main[[#All],[TYPE]:[UNIT]],'Unit Price'!D$1,FALSE),0)</f>
        <v>0</v>
      </c>
      <c r="I363" s="194">
        <f>IF(DBparts1[[#This Row],[Type]]&gt;0,VLOOKUP(DBparts1[[#This Row],[Type]],Main[[#All],[TYPE]:[UNIT]],'Unit Price'!G$1,FALSE),0)</f>
        <v>0</v>
      </c>
      <c r="J363" s="194">
        <f>IF(DBparts1[[#This Row],[Type]]&gt;0,VLOOKUP(DBparts1[[#This Row],[Type]],Main[[#All],[TYPE]:[UNIT]],'Unit Price'!H$1,FALSE),0)</f>
        <v>0</v>
      </c>
      <c r="K363" s="194">
        <f>IF(DBparts1[[#This Row],[Type]]&gt;0,VLOOKUP(DBparts1[[#This Row],[Discount seletion]],'Discount Structure'!$A$2:$B$30,2,"false"),0)</f>
        <v>0</v>
      </c>
      <c r="L363" s="194">
        <f>DBparts1[[#This Row],[LIST $]]*DBparts1[[#This Row],[DISCOUNT]]*DBparts1[[#This Row],[DISCOUNT 2]]</f>
        <v>0</v>
      </c>
    </row>
    <row r="364" spans="2:12">
      <c r="B364" s="112"/>
      <c r="C364" s="112"/>
      <c r="D364" s="112"/>
      <c r="F364" s="168" t="s">
        <v>6202</v>
      </c>
      <c r="G364" s="232">
        <f>IF(DBparts1[[#This Row],[Type]]&gt;0,VLOOKUP(DBparts1[[#This Row],[Type]],Main[[#All],[TYPE]:[UNIT]],'Unit Price'!C$1,FALSE),0)</f>
        <v>0</v>
      </c>
      <c r="H364" s="194">
        <f>IF(DBparts1[[#This Row],[Type]]&gt;0,VLOOKUP(DBparts1[[#This Row],[Type]],Main[[#All],[TYPE]:[UNIT]],'Unit Price'!D$1,FALSE),0)</f>
        <v>0</v>
      </c>
      <c r="I364" s="194">
        <f>IF(DBparts1[[#This Row],[Type]]&gt;0,VLOOKUP(DBparts1[[#This Row],[Type]],Main[[#All],[TYPE]:[UNIT]],'Unit Price'!G$1,FALSE),0)</f>
        <v>0</v>
      </c>
      <c r="J364" s="194">
        <f>IF(DBparts1[[#This Row],[Type]]&gt;0,VLOOKUP(DBparts1[[#This Row],[Type]],Main[[#All],[TYPE]:[UNIT]],'Unit Price'!H$1,FALSE),0)</f>
        <v>0</v>
      </c>
      <c r="K364" s="194">
        <f>IF(DBparts1[[#This Row],[Type]]&gt;0,VLOOKUP(DBparts1[[#This Row],[Discount seletion]],'Discount Structure'!$A$2:$B$30,2,"false"),0)</f>
        <v>0</v>
      </c>
      <c r="L364" s="194">
        <f>DBparts1[[#This Row],[LIST $]]*DBparts1[[#This Row],[DISCOUNT]]*DBparts1[[#This Row],[DISCOUNT 2]]</f>
        <v>0</v>
      </c>
    </row>
    <row r="365" spans="2:12">
      <c r="B365" s="112"/>
      <c r="C365" s="112"/>
      <c r="D365" s="112"/>
      <c r="F365" s="168" t="s">
        <v>6202</v>
      </c>
      <c r="G365" s="232">
        <f>IF(DBparts1[[#This Row],[Type]]&gt;0,VLOOKUP(DBparts1[[#This Row],[Type]],Main[[#All],[TYPE]:[UNIT]],'Unit Price'!C$1,FALSE),0)</f>
        <v>0</v>
      </c>
      <c r="H365" s="232">
        <f>IF(DBparts1[[#This Row],[Type]]&gt;0,VLOOKUP(DBparts1[[#This Row],[Type]],Main[[#All],[TYPE]:[UNIT]],'Unit Price'!D$1,FALSE),0)</f>
        <v>0</v>
      </c>
      <c r="I365" s="194">
        <f>IF(DBparts1[[#This Row],[Type]]&gt;0,VLOOKUP(DBparts1[[#This Row],[Type]],Main[[#All],[TYPE]:[UNIT]],'Unit Price'!G$1,FALSE),0)</f>
        <v>0</v>
      </c>
      <c r="J365" s="194">
        <f>IF(DBparts1[[#This Row],[Type]]&gt;0,VLOOKUP(DBparts1[[#This Row],[Type]],Main[[#All],[TYPE]:[UNIT]],'Unit Price'!H$1,FALSE),0)</f>
        <v>0</v>
      </c>
      <c r="K365" s="194">
        <f>IF(DBparts1[[#This Row],[Type]]&gt;0,VLOOKUP(DBparts1[[#This Row],[Discount seletion]],'Discount Structure'!$A$2:$B$30,2,"false"),0)</f>
        <v>0</v>
      </c>
      <c r="L365" s="194">
        <f>DBparts1[[#This Row],[LIST $]]*DBparts1[[#This Row],[DISCOUNT]]*DBparts1[[#This Row],[DISCOUNT 2]]</f>
        <v>0</v>
      </c>
    </row>
    <row r="366" spans="2:12">
      <c r="B366" s="112"/>
      <c r="C366" s="112"/>
      <c r="D366" s="112"/>
      <c r="F366" s="168" t="s">
        <v>6202</v>
      </c>
      <c r="G366" s="232">
        <f>IF(DBparts1[[#This Row],[Type]]&gt;0,VLOOKUP(DBparts1[[#This Row],[Type]],Main[[#All],[TYPE]:[UNIT]],'Unit Price'!C$1,FALSE),0)</f>
        <v>0</v>
      </c>
      <c r="H366" s="232">
        <f>IF(DBparts1[[#This Row],[Type]]&gt;0,VLOOKUP(DBparts1[[#This Row],[Type]],Main[[#All],[TYPE]:[UNIT]],'Unit Price'!D$1,FALSE),0)</f>
        <v>0</v>
      </c>
      <c r="I366" s="194">
        <f>IF(DBparts1[[#This Row],[Type]]&gt;0,VLOOKUP(DBparts1[[#This Row],[Type]],Main[[#All],[TYPE]:[UNIT]],'Unit Price'!G$1,FALSE),0)</f>
        <v>0</v>
      </c>
      <c r="J366" s="194">
        <f>IF(DBparts1[[#This Row],[Type]]&gt;0,VLOOKUP(DBparts1[[#This Row],[Type]],Main[[#All],[TYPE]:[UNIT]],'Unit Price'!H$1,FALSE),0)</f>
        <v>0</v>
      </c>
      <c r="K366" s="194">
        <f>IF(DBparts1[[#This Row],[Type]]&gt;0,VLOOKUP(DBparts1[[#This Row],[Discount seletion]],'Discount Structure'!$A$2:$B$30,2,"false"),0)</f>
        <v>0</v>
      </c>
      <c r="L366" s="194">
        <f>DBparts1[[#This Row],[LIST $]]*DBparts1[[#This Row],[DISCOUNT]]*DBparts1[[#This Row],[DISCOUNT 2]]</f>
        <v>0</v>
      </c>
    </row>
    <row r="367" spans="2:12">
      <c r="B367" s="112"/>
      <c r="C367" s="112"/>
      <c r="D367" s="112"/>
      <c r="F367" s="168" t="s">
        <v>6202</v>
      </c>
      <c r="G367" s="232">
        <f>IF(DBparts1[[#This Row],[Type]]&gt;0,VLOOKUP(DBparts1[[#This Row],[Type]],Main[[#All],[TYPE]:[UNIT]],'Unit Price'!C$1,FALSE),0)</f>
        <v>0</v>
      </c>
      <c r="H367" s="194">
        <f>IF(DBparts1[[#This Row],[Type]]&gt;0,VLOOKUP(DBparts1[[#This Row],[Type]],Main[[#All],[TYPE]:[UNIT]],'Unit Price'!D$1,FALSE),0)</f>
        <v>0</v>
      </c>
      <c r="I367" s="194">
        <f>IF(DBparts1[[#This Row],[Type]]&gt;0,VLOOKUP(DBparts1[[#This Row],[Type]],Main[[#All],[TYPE]:[UNIT]],'Unit Price'!G$1,FALSE),0)</f>
        <v>0</v>
      </c>
      <c r="J367" s="194">
        <f>IF(DBparts1[[#This Row],[Type]]&gt;0,VLOOKUP(DBparts1[[#This Row],[Type]],Main[[#All],[TYPE]:[UNIT]],'Unit Price'!H$1,FALSE),0)</f>
        <v>0</v>
      </c>
      <c r="K367" s="194">
        <f>IF(DBparts1[[#This Row],[Type]]&gt;0,VLOOKUP(DBparts1[[#This Row],[Discount seletion]],'Discount Structure'!$A$2:$B$30,2,"false"),0)</f>
        <v>0</v>
      </c>
      <c r="L367" s="194">
        <f>DBparts1[[#This Row],[LIST $]]*DBparts1[[#This Row],[DISCOUNT]]*DBparts1[[#This Row],[DISCOUNT 2]]</f>
        <v>0</v>
      </c>
    </row>
    <row r="368" spans="2:12">
      <c r="B368" s="112"/>
      <c r="C368" s="112"/>
      <c r="D368" s="112"/>
      <c r="F368" s="168" t="s">
        <v>6202</v>
      </c>
      <c r="G368" s="232">
        <f>IF(DBparts1[[#This Row],[Type]]&gt;0,VLOOKUP(DBparts1[[#This Row],[Type]],Main[[#All],[TYPE]:[UNIT]],'Unit Price'!C$1,FALSE),0)</f>
        <v>0</v>
      </c>
      <c r="H368" s="194">
        <f>IF(DBparts1[[#This Row],[Type]]&gt;0,VLOOKUP(DBparts1[[#This Row],[Type]],Main[[#All],[TYPE]:[UNIT]],'Unit Price'!D$1,FALSE),0)</f>
        <v>0</v>
      </c>
      <c r="I368" s="194">
        <f>IF(DBparts1[[#This Row],[Type]]&gt;0,VLOOKUP(DBparts1[[#This Row],[Type]],Main[[#All],[TYPE]:[UNIT]],'Unit Price'!G$1,FALSE),0)</f>
        <v>0</v>
      </c>
      <c r="J368" s="194">
        <f>IF(DBparts1[[#This Row],[Type]]&gt;0,VLOOKUP(DBparts1[[#This Row],[Type]],Main[[#All],[TYPE]:[UNIT]],'Unit Price'!H$1,FALSE),0)</f>
        <v>0</v>
      </c>
      <c r="K368" s="194">
        <f>IF(DBparts1[[#This Row],[Type]]&gt;0,VLOOKUP(DBparts1[[#This Row],[Discount seletion]],'Discount Structure'!$A$2:$B$30,2,"false"),0)</f>
        <v>0</v>
      </c>
      <c r="L368" s="194">
        <f>DBparts1[[#This Row],[LIST $]]*DBparts1[[#This Row],[DISCOUNT]]*DBparts1[[#This Row],[DISCOUNT 2]]</f>
        <v>0</v>
      </c>
    </row>
    <row r="369" spans="2:12">
      <c r="B369" s="112"/>
      <c r="C369" s="112"/>
      <c r="D369" s="112"/>
      <c r="F369" s="168" t="s">
        <v>6202</v>
      </c>
      <c r="G369" s="232">
        <f>IF(DBparts1[[#This Row],[Type]]&gt;0,VLOOKUP(DBparts1[[#This Row],[Type]],Main[[#All],[TYPE]:[UNIT]],'Unit Price'!C$1,FALSE),0)</f>
        <v>0</v>
      </c>
      <c r="H369" s="194">
        <f>IF(DBparts1[[#This Row],[Type]]&gt;0,VLOOKUP(DBparts1[[#This Row],[Type]],Main[[#All],[TYPE]:[UNIT]],'Unit Price'!D$1,FALSE),0)</f>
        <v>0</v>
      </c>
      <c r="I369" s="194">
        <f>IF(DBparts1[[#This Row],[Type]]&gt;0,VLOOKUP(DBparts1[[#This Row],[Type]],Main[[#All],[TYPE]:[UNIT]],'Unit Price'!G$1,FALSE),0)</f>
        <v>0</v>
      </c>
      <c r="J369" s="194">
        <f>IF(DBparts1[[#This Row],[Type]]&gt;0,VLOOKUP(DBparts1[[#This Row],[Type]],Main[[#All],[TYPE]:[UNIT]],'Unit Price'!H$1,FALSE),0)</f>
        <v>0</v>
      </c>
      <c r="K369" s="194">
        <f>IF(DBparts1[[#This Row],[Type]]&gt;0,VLOOKUP(DBparts1[[#This Row],[Discount seletion]],'Discount Structure'!$A$2:$B$30,2,"false"),0)</f>
        <v>0</v>
      </c>
      <c r="L369" s="194">
        <f>DBparts1[[#This Row],[LIST $]]*DBparts1[[#This Row],[DISCOUNT]]*DBparts1[[#This Row],[DISCOUNT 2]]</f>
        <v>0</v>
      </c>
    </row>
    <row r="370" spans="2:12">
      <c r="B370" s="112"/>
      <c r="C370" s="112"/>
      <c r="D370" s="112"/>
      <c r="F370" s="168" t="s">
        <v>6202</v>
      </c>
      <c r="G370" s="232">
        <f>IF(DBparts1[[#This Row],[Type]]&gt;0,VLOOKUP(DBparts1[[#This Row],[Type]],Main[[#All],[TYPE]:[UNIT]],'Unit Price'!C$1,FALSE),0)</f>
        <v>0</v>
      </c>
      <c r="H370" s="232">
        <f>IF(DBparts1[[#This Row],[Type]]&gt;0,VLOOKUP(DBparts1[[#This Row],[Type]],Main[[#All],[TYPE]:[UNIT]],'Unit Price'!D$1,FALSE),0)</f>
        <v>0</v>
      </c>
      <c r="I370" s="194">
        <f>IF(DBparts1[[#This Row],[Type]]&gt;0,VLOOKUP(DBparts1[[#This Row],[Type]],Main[[#All],[TYPE]:[UNIT]],'Unit Price'!G$1,FALSE),0)</f>
        <v>0</v>
      </c>
      <c r="J370" s="194">
        <f>IF(DBparts1[[#This Row],[Type]]&gt;0,VLOOKUP(DBparts1[[#This Row],[Type]],Main[[#All],[TYPE]:[UNIT]],'Unit Price'!H$1,FALSE),0)</f>
        <v>0</v>
      </c>
      <c r="K370" s="194">
        <f>IF(DBparts1[[#This Row],[Type]]&gt;0,VLOOKUP(DBparts1[[#This Row],[Discount seletion]],'Discount Structure'!$A$2:$B$30,2,"false"),0)</f>
        <v>0</v>
      </c>
      <c r="L370" s="194">
        <f>DBparts1[[#This Row],[LIST $]]*DBparts1[[#This Row],[DISCOUNT]]*DBparts1[[#This Row],[DISCOUNT 2]]</f>
        <v>0</v>
      </c>
    </row>
    <row r="371" spans="2:12">
      <c r="B371" s="112"/>
      <c r="C371" s="112"/>
      <c r="D371" s="112"/>
      <c r="F371" s="168" t="s">
        <v>6202</v>
      </c>
      <c r="G371" s="232">
        <f>IF(DBparts1[[#This Row],[Type]]&gt;0,VLOOKUP(DBparts1[[#This Row],[Type]],Main[[#All],[TYPE]:[UNIT]],'Unit Price'!C$1,FALSE),0)</f>
        <v>0</v>
      </c>
      <c r="H371" s="194">
        <f>IF(DBparts1[[#This Row],[Type]]&gt;0,VLOOKUP(DBparts1[[#This Row],[Type]],Main[[#All],[TYPE]:[UNIT]],'Unit Price'!D$1,FALSE),0)</f>
        <v>0</v>
      </c>
      <c r="I371" s="194">
        <f>IF(DBparts1[[#This Row],[Type]]&gt;0,VLOOKUP(DBparts1[[#This Row],[Type]],Main[[#All],[TYPE]:[UNIT]],'Unit Price'!G$1,FALSE),0)</f>
        <v>0</v>
      </c>
      <c r="J371" s="194">
        <f>IF(DBparts1[[#This Row],[Type]]&gt;0,VLOOKUP(DBparts1[[#This Row],[Type]],Main[[#All],[TYPE]:[UNIT]],'Unit Price'!H$1,FALSE),0)</f>
        <v>0</v>
      </c>
      <c r="K371" s="194">
        <f>IF(DBparts1[[#This Row],[Type]]&gt;0,VLOOKUP(DBparts1[[#This Row],[Discount seletion]],'Discount Structure'!$A$2:$B$30,2,"false"),0)</f>
        <v>0</v>
      </c>
      <c r="L371" s="194">
        <f>DBparts1[[#This Row],[LIST $]]*DBparts1[[#This Row],[DISCOUNT]]*DBparts1[[#This Row],[DISCOUNT 2]]</f>
        <v>0</v>
      </c>
    </row>
    <row r="372" spans="2:12">
      <c r="B372" s="112"/>
      <c r="C372" s="112"/>
      <c r="D372" s="112"/>
      <c r="F372" s="168" t="s">
        <v>6202</v>
      </c>
      <c r="G372" s="232">
        <f>IF(DBparts1[[#This Row],[Type]]&gt;0,VLOOKUP(DBparts1[[#This Row],[Type]],Main[[#All],[TYPE]:[UNIT]],'Unit Price'!C$1,FALSE),0)</f>
        <v>0</v>
      </c>
      <c r="H372" s="194">
        <f>IF(DBparts1[[#This Row],[Type]]&gt;0,VLOOKUP(DBparts1[[#This Row],[Type]],Main[[#All],[TYPE]:[UNIT]],'Unit Price'!D$1,FALSE),0)</f>
        <v>0</v>
      </c>
      <c r="I372" s="194">
        <f>IF(DBparts1[[#This Row],[Type]]&gt;0,VLOOKUP(DBparts1[[#This Row],[Type]],Main[[#All],[TYPE]:[UNIT]],'Unit Price'!G$1,FALSE),0)</f>
        <v>0</v>
      </c>
      <c r="J372" s="194">
        <f>IF(DBparts1[[#This Row],[Type]]&gt;0,VLOOKUP(DBparts1[[#This Row],[Type]],Main[[#All],[TYPE]:[UNIT]],'Unit Price'!H$1,FALSE),0)</f>
        <v>0</v>
      </c>
      <c r="K372" s="194">
        <f>IF(DBparts1[[#This Row],[Type]]&gt;0,VLOOKUP(DBparts1[[#This Row],[Discount seletion]],'Discount Structure'!$A$2:$B$30,2,"false"),0)</f>
        <v>0</v>
      </c>
      <c r="L372" s="194">
        <f>DBparts1[[#This Row],[LIST $]]*DBparts1[[#This Row],[DISCOUNT]]*DBparts1[[#This Row],[DISCOUNT 2]]</f>
        <v>0</v>
      </c>
    </row>
    <row r="373" spans="2:12">
      <c r="B373" s="112"/>
      <c r="C373" s="112"/>
      <c r="D373" s="112"/>
      <c r="F373" s="168" t="s">
        <v>6202</v>
      </c>
      <c r="G373" s="232">
        <f>IF(DBparts1[[#This Row],[Type]]&gt;0,VLOOKUP(DBparts1[[#This Row],[Type]],Main[[#All],[TYPE]:[UNIT]],'Unit Price'!C$1,FALSE),0)</f>
        <v>0</v>
      </c>
      <c r="H373" s="194">
        <f>IF(DBparts1[[#This Row],[Type]]&gt;0,VLOOKUP(DBparts1[[#This Row],[Type]],Main[[#All],[TYPE]:[UNIT]],'Unit Price'!D$1,FALSE),0)</f>
        <v>0</v>
      </c>
      <c r="I373" s="194">
        <f>IF(DBparts1[[#This Row],[Type]]&gt;0,VLOOKUP(DBparts1[[#This Row],[Type]],Main[[#All],[TYPE]:[UNIT]],'Unit Price'!G$1,FALSE),0)</f>
        <v>0</v>
      </c>
      <c r="J373" s="194">
        <f>IF(DBparts1[[#This Row],[Type]]&gt;0,VLOOKUP(DBparts1[[#This Row],[Type]],Main[[#All],[TYPE]:[UNIT]],'Unit Price'!H$1,FALSE),0)</f>
        <v>0</v>
      </c>
      <c r="K373" s="194">
        <f>IF(DBparts1[[#This Row],[Type]]&gt;0,VLOOKUP(DBparts1[[#This Row],[Discount seletion]],'Discount Structure'!$A$2:$B$30,2,"false"),0)</f>
        <v>0</v>
      </c>
      <c r="L373" s="194">
        <f>DBparts1[[#This Row],[LIST $]]*DBparts1[[#This Row],[DISCOUNT]]*DBparts1[[#This Row],[DISCOUNT 2]]</f>
        <v>0</v>
      </c>
    </row>
    <row r="374" spans="2:12">
      <c r="B374" s="112"/>
      <c r="C374" s="112"/>
      <c r="D374" s="112"/>
      <c r="F374" s="168" t="s">
        <v>6202</v>
      </c>
      <c r="G374" s="232">
        <f>IF(DBparts1[[#This Row],[Type]]&gt;0,VLOOKUP(DBparts1[[#This Row],[Type]],Main[[#All],[TYPE]:[UNIT]],'Unit Price'!C$1,FALSE),0)</f>
        <v>0</v>
      </c>
      <c r="H374" s="194">
        <f>IF(DBparts1[[#This Row],[Type]]&gt;0,VLOOKUP(DBparts1[[#This Row],[Type]],Main[[#All],[TYPE]:[UNIT]],'Unit Price'!D$1,FALSE),0)</f>
        <v>0</v>
      </c>
      <c r="I374" s="194">
        <f>IF(DBparts1[[#This Row],[Type]]&gt;0,VLOOKUP(DBparts1[[#This Row],[Type]],Main[[#All],[TYPE]:[UNIT]],'Unit Price'!G$1,FALSE),0)</f>
        <v>0</v>
      </c>
      <c r="J374" s="194">
        <f>IF(DBparts1[[#This Row],[Type]]&gt;0,VLOOKUP(DBparts1[[#This Row],[Type]],Main[[#All],[TYPE]:[UNIT]],'Unit Price'!H$1,FALSE),0)</f>
        <v>0</v>
      </c>
      <c r="K374" s="194">
        <f>IF(DBparts1[[#This Row],[Type]]&gt;0,VLOOKUP(DBparts1[[#This Row],[Discount seletion]],'Discount Structure'!$A$2:$B$30,2,"false"),0)</f>
        <v>0</v>
      </c>
      <c r="L374" s="194">
        <f>DBparts1[[#This Row],[LIST $]]*DBparts1[[#This Row],[DISCOUNT]]*DBparts1[[#This Row],[DISCOUNT 2]]</f>
        <v>0</v>
      </c>
    </row>
    <row r="375" spans="2:12">
      <c r="B375" s="112"/>
      <c r="C375" s="112"/>
      <c r="D375" s="112"/>
      <c r="F375" s="168" t="s">
        <v>6202</v>
      </c>
      <c r="G375" s="232">
        <f>IF(DBparts1[[#This Row],[Type]]&gt;0,VLOOKUP(DBparts1[[#This Row],[Type]],Main[[#All],[TYPE]:[UNIT]],'Unit Price'!C$1,FALSE),0)</f>
        <v>0</v>
      </c>
      <c r="H375" s="232">
        <f>IF(DBparts1[[#This Row],[Type]]&gt;0,VLOOKUP(DBparts1[[#This Row],[Type]],Main[[#All],[TYPE]:[UNIT]],'Unit Price'!D$1,FALSE),0)</f>
        <v>0</v>
      </c>
      <c r="I375" s="194">
        <f>IF(DBparts1[[#This Row],[Type]]&gt;0,VLOOKUP(DBparts1[[#This Row],[Type]],Main[[#All],[TYPE]:[UNIT]],'Unit Price'!G$1,FALSE),0)</f>
        <v>0</v>
      </c>
      <c r="J375" s="194">
        <f>IF(DBparts1[[#This Row],[Type]]&gt;0,VLOOKUP(DBparts1[[#This Row],[Type]],Main[[#All],[TYPE]:[UNIT]],'Unit Price'!H$1,FALSE),0)</f>
        <v>0</v>
      </c>
      <c r="K375" s="194">
        <f>IF(DBparts1[[#This Row],[Type]]&gt;0,VLOOKUP(DBparts1[[#This Row],[Discount seletion]],'Discount Structure'!$A$2:$B$30,2,"false"),0)</f>
        <v>0</v>
      </c>
      <c r="L375" s="194">
        <f>DBparts1[[#This Row],[LIST $]]*DBparts1[[#This Row],[DISCOUNT]]*DBparts1[[#This Row],[DISCOUNT 2]]</f>
        <v>0</v>
      </c>
    </row>
    <row r="376" spans="2:12">
      <c r="B376" s="112"/>
      <c r="C376" s="112"/>
      <c r="D376" s="112"/>
      <c r="F376" s="168" t="s">
        <v>6202</v>
      </c>
      <c r="G376" s="232">
        <f>IF(DBparts1[[#This Row],[Type]]&gt;0,VLOOKUP(DBparts1[[#This Row],[Type]],Main[[#All],[TYPE]:[UNIT]],'Unit Price'!C$1,FALSE),0)</f>
        <v>0</v>
      </c>
      <c r="H376" s="194">
        <f>IF(DBparts1[[#This Row],[Type]]&gt;0,VLOOKUP(DBparts1[[#This Row],[Type]],Main[[#All],[TYPE]:[UNIT]],'Unit Price'!D$1,FALSE),0)</f>
        <v>0</v>
      </c>
      <c r="I376" s="194">
        <f>IF(DBparts1[[#This Row],[Type]]&gt;0,VLOOKUP(DBparts1[[#This Row],[Type]],Main[[#All],[TYPE]:[UNIT]],'Unit Price'!G$1,FALSE),0)</f>
        <v>0</v>
      </c>
      <c r="J376" s="194">
        <f>IF(DBparts1[[#This Row],[Type]]&gt;0,VLOOKUP(DBparts1[[#This Row],[Type]],Main[[#All],[TYPE]:[UNIT]],'Unit Price'!H$1,FALSE),0)</f>
        <v>0</v>
      </c>
      <c r="K376" s="194">
        <f>IF(DBparts1[[#This Row],[Type]]&gt;0,VLOOKUP(DBparts1[[#This Row],[Discount seletion]],'Discount Structure'!$A$2:$B$30,2,"false"),0)</f>
        <v>0</v>
      </c>
      <c r="L376" s="194">
        <f>DBparts1[[#This Row],[LIST $]]*DBparts1[[#This Row],[DISCOUNT]]*DBparts1[[#This Row],[DISCOUNT 2]]</f>
        <v>0</v>
      </c>
    </row>
    <row r="377" spans="2:12">
      <c r="B377" s="112"/>
      <c r="C377" s="112"/>
      <c r="D377" s="112"/>
      <c r="F377" s="168" t="s">
        <v>6202</v>
      </c>
      <c r="G377" s="232">
        <f>IF(DBparts1[[#This Row],[Type]]&gt;0,VLOOKUP(DBparts1[[#This Row],[Type]],Main[[#All],[TYPE]:[UNIT]],'Unit Price'!C$1,FALSE),0)</f>
        <v>0</v>
      </c>
      <c r="H377" s="194">
        <f>IF(DBparts1[[#This Row],[Type]]&gt;0,VLOOKUP(DBparts1[[#This Row],[Type]],Main[[#All],[TYPE]:[UNIT]],'Unit Price'!D$1,FALSE),0)</f>
        <v>0</v>
      </c>
      <c r="I377" s="194">
        <f>IF(DBparts1[[#This Row],[Type]]&gt;0,VLOOKUP(DBparts1[[#This Row],[Type]],Main[[#All],[TYPE]:[UNIT]],'Unit Price'!G$1,FALSE),0)</f>
        <v>0</v>
      </c>
      <c r="J377" s="194">
        <f>IF(DBparts1[[#This Row],[Type]]&gt;0,VLOOKUP(DBparts1[[#This Row],[Type]],Main[[#All],[TYPE]:[UNIT]],'Unit Price'!H$1,FALSE),0)</f>
        <v>0</v>
      </c>
      <c r="K377" s="194">
        <f>IF(DBparts1[[#This Row],[Type]]&gt;0,VLOOKUP(DBparts1[[#This Row],[Discount seletion]],'Discount Structure'!$A$2:$B$30,2,"false"),0)</f>
        <v>0</v>
      </c>
      <c r="L377" s="194">
        <f>DBparts1[[#This Row],[LIST $]]*DBparts1[[#This Row],[DISCOUNT]]*DBparts1[[#This Row],[DISCOUNT 2]]</f>
        <v>0</v>
      </c>
    </row>
    <row r="378" spans="2:12">
      <c r="B378" s="112"/>
      <c r="C378" s="112"/>
      <c r="D378" s="112"/>
      <c r="F378" s="168" t="s">
        <v>6202</v>
      </c>
      <c r="G378" s="232">
        <f>IF(DBparts1[[#This Row],[Type]]&gt;0,VLOOKUP(DBparts1[[#This Row],[Type]],Main[[#All],[TYPE]:[UNIT]],'Unit Price'!C$1,FALSE),0)</f>
        <v>0</v>
      </c>
      <c r="H378" s="194">
        <f>IF(DBparts1[[#This Row],[Type]]&gt;0,VLOOKUP(DBparts1[[#This Row],[Type]],Main[[#All],[TYPE]:[UNIT]],'Unit Price'!D$1,FALSE),0)</f>
        <v>0</v>
      </c>
      <c r="I378" s="194">
        <f>IF(DBparts1[[#This Row],[Type]]&gt;0,VLOOKUP(DBparts1[[#This Row],[Type]],Main[[#All],[TYPE]:[UNIT]],'Unit Price'!G$1,FALSE),0)</f>
        <v>0</v>
      </c>
      <c r="J378" s="194">
        <f>IF(DBparts1[[#This Row],[Type]]&gt;0,VLOOKUP(DBparts1[[#This Row],[Type]],Main[[#All],[TYPE]:[UNIT]],'Unit Price'!H$1,FALSE),0)</f>
        <v>0</v>
      </c>
      <c r="K378" s="194">
        <f>IF(DBparts1[[#This Row],[Type]]&gt;0,VLOOKUP(DBparts1[[#This Row],[Discount seletion]],'Discount Structure'!$A$2:$B$30,2,"false"),0)</f>
        <v>0</v>
      </c>
      <c r="L378" s="194">
        <f>DBparts1[[#This Row],[LIST $]]*DBparts1[[#This Row],[DISCOUNT]]*DBparts1[[#This Row],[DISCOUNT 2]]</f>
        <v>0</v>
      </c>
    </row>
    <row r="379" spans="2:12">
      <c r="B379" s="112"/>
      <c r="C379" s="112"/>
      <c r="D379" s="112"/>
      <c r="F379" s="168" t="s">
        <v>6202</v>
      </c>
      <c r="G379" s="232">
        <f>IF(DBparts1[[#This Row],[Type]]&gt;0,VLOOKUP(DBparts1[[#This Row],[Type]],Main[[#All],[TYPE]:[UNIT]],'Unit Price'!C$1,FALSE),0)</f>
        <v>0</v>
      </c>
      <c r="H379" s="194">
        <f>IF(DBparts1[[#This Row],[Type]]&gt;0,VLOOKUP(DBparts1[[#This Row],[Type]],Main[[#All],[TYPE]:[UNIT]],'Unit Price'!D$1,FALSE),0)</f>
        <v>0</v>
      </c>
      <c r="I379" s="194">
        <f>IF(DBparts1[[#This Row],[Type]]&gt;0,VLOOKUP(DBparts1[[#This Row],[Type]],Main[[#All],[TYPE]:[UNIT]],'Unit Price'!G$1,FALSE),0)</f>
        <v>0</v>
      </c>
      <c r="J379" s="194">
        <f>IF(DBparts1[[#This Row],[Type]]&gt;0,VLOOKUP(DBparts1[[#This Row],[Type]],Main[[#All],[TYPE]:[UNIT]],'Unit Price'!H$1,FALSE),0)</f>
        <v>0</v>
      </c>
      <c r="K379" s="194">
        <f>IF(DBparts1[[#This Row],[Type]]&gt;0,VLOOKUP(DBparts1[[#This Row],[Discount seletion]],'Discount Structure'!$A$2:$B$30,2,"false"),0)</f>
        <v>0</v>
      </c>
      <c r="L379" s="194">
        <f>DBparts1[[#This Row],[LIST $]]*DBparts1[[#This Row],[DISCOUNT]]*DBparts1[[#This Row],[DISCOUNT 2]]</f>
        <v>0</v>
      </c>
    </row>
    <row r="380" spans="2:12">
      <c r="B380" s="112"/>
      <c r="C380" s="112"/>
      <c r="D380" s="112"/>
      <c r="F380" s="168" t="s">
        <v>6202</v>
      </c>
      <c r="G380" s="232">
        <f>IF(DBparts1[[#This Row],[Type]]&gt;0,VLOOKUP(DBparts1[[#This Row],[Type]],Main[[#All],[TYPE]:[UNIT]],'Unit Price'!C$1,FALSE),0)</f>
        <v>0</v>
      </c>
      <c r="H380" s="232">
        <f>IF(DBparts1[[#This Row],[Type]]&gt;0,VLOOKUP(DBparts1[[#This Row],[Type]],Main[[#All],[TYPE]:[UNIT]],'Unit Price'!D$1,FALSE),0)</f>
        <v>0</v>
      </c>
      <c r="I380" s="194">
        <f>IF(DBparts1[[#This Row],[Type]]&gt;0,VLOOKUP(DBparts1[[#This Row],[Type]],Main[[#All],[TYPE]:[UNIT]],'Unit Price'!G$1,FALSE),0)</f>
        <v>0</v>
      </c>
      <c r="J380" s="194">
        <f>IF(DBparts1[[#This Row],[Type]]&gt;0,VLOOKUP(DBparts1[[#This Row],[Type]],Main[[#All],[TYPE]:[UNIT]],'Unit Price'!H$1,FALSE),0)</f>
        <v>0</v>
      </c>
      <c r="K380" s="194">
        <f>IF(DBparts1[[#This Row],[Type]]&gt;0,VLOOKUP(DBparts1[[#This Row],[Discount seletion]],'Discount Structure'!$A$2:$B$30,2,"false"),0)</f>
        <v>0</v>
      </c>
      <c r="L380" s="194">
        <f>DBparts1[[#This Row],[LIST $]]*DBparts1[[#This Row],[DISCOUNT]]*DBparts1[[#This Row],[DISCOUNT 2]]</f>
        <v>0</v>
      </c>
    </row>
    <row r="381" spans="2:12">
      <c r="B381" s="112"/>
      <c r="C381" s="112"/>
      <c r="D381" s="112"/>
      <c r="F381" s="168" t="s">
        <v>6202</v>
      </c>
      <c r="G381" s="232">
        <f>IF(DBparts1[[#This Row],[Type]]&gt;0,VLOOKUP(DBparts1[[#This Row],[Type]],Main[[#All],[TYPE]:[UNIT]],'Unit Price'!C$1,FALSE),0)</f>
        <v>0</v>
      </c>
      <c r="H381" s="194">
        <f>IF(DBparts1[[#This Row],[Type]]&gt;0,VLOOKUP(DBparts1[[#This Row],[Type]],Main[[#All],[TYPE]:[UNIT]],'Unit Price'!D$1,FALSE),0)</f>
        <v>0</v>
      </c>
      <c r="I381" s="194">
        <f>IF(DBparts1[[#This Row],[Type]]&gt;0,VLOOKUP(DBparts1[[#This Row],[Type]],Main[[#All],[TYPE]:[UNIT]],'Unit Price'!G$1,FALSE),0)</f>
        <v>0</v>
      </c>
      <c r="J381" s="194">
        <f>IF(DBparts1[[#This Row],[Type]]&gt;0,VLOOKUP(DBparts1[[#This Row],[Type]],Main[[#All],[TYPE]:[UNIT]],'Unit Price'!H$1,FALSE),0)</f>
        <v>0</v>
      </c>
      <c r="K381" s="194">
        <f>IF(DBparts1[[#This Row],[Type]]&gt;0,VLOOKUP(DBparts1[[#This Row],[Discount seletion]],'Discount Structure'!$A$2:$B$30,2,"false"),0)</f>
        <v>0</v>
      </c>
      <c r="L381" s="194">
        <f>DBparts1[[#This Row],[LIST $]]*DBparts1[[#This Row],[DISCOUNT]]*DBparts1[[#This Row],[DISCOUNT 2]]</f>
        <v>0</v>
      </c>
    </row>
    <row r="382" spans="2:12">
      <c r="B382" s="112"/>
      <c r="C382" s="112"/>
      <c r="D382" s="112"/>
      <c r="F382" s="168" t="s">
        <v>6202</v>
      </c>
      <c r="G382" s="232">
        <f>IF(DBparts1[[#This Row],[Type]]&gt;0,VLOOKUP(DBparts1[[#This Row],[Type]],Main[[#All],[TYPE]:[UNIT]],'Unit Price'!C$1,FALSE),0)</f>
        <v>0</v>
      </c>
      <c r="H382" s="194">
        <f>IF(DBparts1[[#This Row],[Type]]&gt;0,VLOOKUP(DBparts1[[#This Row],[Type]],Main[[#All],[TYPE]:[UNIT]],'Unit Price'!D$1,FALSE),0)</f>
        <v>0</v>
      </c>
      <c r="I382" s="194">
        <f>IF(DBparts1[[#This Row],[Type]]&gt;0,VLOOKUP(DBparts1[[#This Row],[Type]],Main[[#All],[TYPE]:[UNIT]],'Unit Price'!G$1,FALSE),0)</f>
        <v>0</v>
      </c>
      <c r="J382" s="194">
        <f>IF(DBparts1[[#This Row],[Type]]&gt;0,VLOOKUP(DBparts1[[#This Row],[Type]],Main[[#All],[TYPE]:[UNIT]],'Unit Price'!H$1,FALSE),0)</f>
        <v>0</v>
      </c>
      <c r="K382" s="194">
        <f>IF(DBparts1[[#This Row],[Type]]&gt;0,VLOOKUP(DBparts1[[#This Row],[Discount seletion]],'Discount Structure'!$A$2:$B$30,2,"false"),0)</f>
        <v>0</v>
      </c>
      <c r="L382" s="194">
        <f>DBparts1[[#This Row],[LIST $]]*DBparts1[[#This Row],[DISCOUNT]]*DBparts1[[#This Row],[DISCOUNT 2]]</f>
        <v>0</v>
      </c>
    </row>
    <row r="383" spans="2:12">
      <c r="B383" s="112"/>
      <c r="C383" s="112"/>
      <c r="D383" s="112"/>
      <c r="F383" s="168" t="s">
        <v>6202</v>
      </c>
      <c r="G383" s="232">
        <f>IF(DBparts1[[#This Row],[Type]]&gt;0,VLOOKUP(DBparts1[[#This Row],[Type]],Main[[#All],[TYPE]:[UNIT]],'Unit Price'!C$1,FALSE),0)</f>
        <v>0</v>
      </c>
      <c r="H383" s="194">
        <f>IF(DBparts1[[#This Row],[Type]]&gt;0,VLOOKUP(DBparts1[[#This Row],[Type]],Main[[#All],[TYPE]:[UNIT]],'Unit Price'!D$1,FALSE),0)</f>
        <v>0</v>
      </c>
      <c r="I383" s="194">
        <f>IF(DBparts1[[#This Row],[Type]]&gt;0,VLOOKUP(DBparts1[[#This Row],[Type]],Main[[#All],[TYPE]:[UNIT]],'Unit Price'!G$1,FALSE),0)</f>
        <v>0</v>
      </c>
      <c r="J383" s="194">
        <f>IF(DBparts1[[#This Row],[Type]]&gt;0,VLOOKUP(DBparts1[[#This Row],[Type]],Main[[#All],[TYPE]:[UNIT]],'Unit Price'!H$1,FALSE),0)</f>
        <v>0</v>
      </c>
      <c r="K383" s="194">
        <f>IF(DBparts1[[#This Row],[Type]]&gt;0,VLOOKUP(DBparts1[[#This Row],[Discount seletion]],'Discount Structure'!$A$2:$B$30,2,"false"),0)</f>
        <v>0</v>
      </c>
      <c r="L383" s="194">
        <f>DBparts1[[#This Row],[LIST $]]*DBparts1[[#This Row],[DISCOUNT]]*DBparts1[[#This Row],[DISCOUNT 2]]</f>
        <v>0</v>
      </c>
    </row>
    <row r="384" spans="2:12">
      <c r="B384" s="112"/>
      <c r="C384" s="112"/>
      <c r="D384" s="112"/>
      <c r="F384" s="168" t="s">
        <v>6202</v>
      </c>
      <c r="G384" s="232">
        <f>IF(DBparts1[[#This Row],[Type]]&gt;0,VLOOKUP(DBparts1[[#This Row],[Type]],Main[[#All],[TYPE]:[UNIT]],'Unit Price'!C$1,FALSE),0)</f>
        <v>0</v>
      </c>
      <c r="H384" s="194">
        <f>IF(DBparts1[[#This Row],[Type]]&gt;0,VLOOKUP(DBparts1[[#This Row],[Type]],Main[[#All],[TYPE]:[UNIT]],'Unit Price'!D$1,FALSE),0)</f>
        <v>0</v>
      </c>
      <c r="I384" s="194">
        <f>IF(DBparts1[[#This Row],[Type]]&gt;0,VLOOKUP(DBparts1[[#This Row],[Type]],Main[[#All],[TYPE]:[UNIT]],'Unit Price'!G$1,FALSE),0)</f>
        <v>0</v>
      </c>
      <c r="J384" s="194">
        <f>IF(DBparts1[[#This Row],[Type]]&gt;0,VLOOKUP(DBparts1[[#This Row],[Type]],Main[[#All],[TYPE]:[UNIT]],'Unit Price'!H$1,FALSE),0)</f>
        <v>0</v>
      </c>
      <c r="K384" s="194">
        <f>IF(DBparts1[[#This Row],[Type]]&gt;0,VLOOKUP(DBparts1[[#This Row],[Discount seletion]],'Discount Structure'!$A$2:$B$30,2,"false"),0)</f>
        <v>0</v>
      </c>
      <c r="L384" s="194">
        <f>DBparts1[[#This Row],[LIST $]]*DBparts1[[#This Row],[DISCOUNT]]*DBparts1[[#This Row],[DISCOUNT 2]]</f>
        <v>0</v>
      </c>
    </row>
    <row r="385" spans="2:12">
      <c r="B385" s="112"/>
      <c r="C385" s="112"/>
      <c r="D385" s="112"/>
      <c r="F385" s="168" t="s">
        <v>6202</v>
      </c>
      <c r="G385" s="232">
        <f>IF(DBparts1[[#This Row],[Type]]&gt;0,VLOOKUP(DBparts1[[#This Row],[Type]],Main[[#All],[TYPE]:[UNIT]],'Unit Price'!C$1,FALSE),0)</f>
        <v>0</v>
      </c>
      <c r="H385" s="232">
        <f>IF(DBparts1[[#This Row],[Type]]&gt;0,VLOOKUP(DBparts1[[#This Row],[Type]],Main[[#All],[TYPE]:[UNIT]],'Unit Price'!D$1,FALSE),0)</f>
        <v>0</v>
      </c>
      <c r="I385" s="194">
        <f>IF(DBparts1[[#This Row],[Type]]&gt;0,VLOOKUP(DBparts1[[#This Row],[Type]],Main[[#All],[TYPE]:[UNIT]],'Unit Price'!G$1,FALSE),0)</f>
        <v>0</v>
      </c>
      <c r="J385" s="194">
        <f>IF(DBparts1[[#This Row],[Type]]&gt;0,VLOOKUP(DBparts1[[#This Row],[Type]],Main[[#All],[TYPE]:[UNIT]],'Unit Price'!H$1,FALSE),0)</f>
        <v>0</v>
      </c>
      <c r="K385" s="194">
        <f>IF(DBparts1[[#This Row],[Type]]&gt;0,VLOOKUP(DBparts1[[#This Row],[Discount seletion]],'Discount Structure'!$A$2:$B$30,2,"false"),0)</f>
        <v>0</v>
      </c>
      <c r="L385" s="194">
        <f>DBparts1[[#This Row],[LIST $]]*DBparts1[[#This Row],[DISCOUNT]]*DBparts1[[#This Row],[DISCOUNT 2]]</f>
        <v>0</v>
      </c>
    </row>
    <row r="386" spans="2:12">
      <c r="B386" s="112"/>
      <c r="C386" s="112"/>
      <c r="D386" s="112"/>
      <c r="F386" s="168" t="s">
        <v>6202</v>
      </c>
      <c r="G386" s="232">
        <f>IF(DBparts1[[#This Row],[Type]]&gt;0,VLOOKUP(DBparts1[[#This Row],[Type]],Main[[#All],[TYPE]:[UNIT]],'Unit Price'!C$1,FALSE),0)</f>
        <v>0</v>
      </c>
      <c r="H386" s="194">
        <f>IF(DBparts1[[#This Row],[Type]]&gt;0,VLOOKUP(DBparts1[[#This Row],[Type]],Main[[#All],[TYPE]:[UNIT]],'Unit Price'!D$1,FALSE),0)</f>
        <v>0</v>
      </c>
      <c r="I386" s="194">
        <f>IF(DBparts1[[#This Row],[Type]]&gt;0,VLOOKUP(DBparts1[[#This Row],[Type]],Main[[#All],[TYPE]:[UNIT]],'Unit Price'!G$1,FALSE),0)</f>
        <v>0</v>
      </c>
      <c r="J386" s="194">
        <f>IF(DBparts1[[#This Row],[Type]]&gt;0,VLOOKUP(DBparts1[[#This Row],[Type]],Main[[#All],[TYPE]:[UNIT]],'Unit Price'!H$1,FALSE),0)</f>
        <v>0</v>
      </c>
      <c r="K386" s="194">
        <f>IF(DBparts1[[#This Row],[Type]]&gt;0,VLOOKUP(DBparts1[[#This Row],[Discount seletion]],'Discount Structure'!$A$2:$B$30,2,"false"),0)</f>
        <v>0</v>
      </c>
      <c r="L386" s="194">
        <f>DBparts1[[#This Row],[LIST $]]*DBparts1[[#This Row],[DISCOUNT]]*DBparts1[[#This Row],[DISCOUNT 2]]</f>
        <v>0</v>
      </c>
    </row>
    <row r="387" spans="2:12">
      <c r="B387" s="112"/>
      <c r="C387" s="112"/>
      <c r="D387" s="112"/>
      <c r="F387" s="168" t="s">
        <v>6202</v>
      </c>
      <c r="G387" s="232">
        <f>IF(DBparts1[[#This Row],[Type]]&gt;0,VLOOKUP(DBparts1[[#This Row],[Type]],Main[[#All],[TYPE]:[UNIT]],'Unit Price'!C$1,FALSE),0)</f>
        <v>0</v>
      </c>
      <c r="H387" s="194">
        <f>IF(DBparts1[[#This Row],[Type]]&gt;0,VLOOKUP(DBparts1[[#This Row],[Type]],Main[[#All],[TYPE]:[UNIT]],'Unit Price'!D$1,FALSE),0)</f>
        <v>0</v>
      </c>
      <c r="I387" s="194">
        <f>IF(DBparts1[[#This Row],[Type]]&gt;0,VLOOKUP(DBparts1[[#This Row],[Type]],Main[[#All],[TYPE]:[UNIT]],'Unit Price'!G$1,FALSE),0)</f>
        <v>0</v>
      </c>
      <c r="J387" s="194">
        <f>IF(DBparts1[[#This Row],[Type]]&gt;0,VLOOKUP(DBparts1[[#This Row],[Type]],Main[[#All],[TYPE]:[UNIT]],'Unit Price'!H$1,FALSE),0)</f>
        <v>0</v>
      </c>
      <c r="K387" s="194">
        <f>IF(DBparts1[[#This Row],[Type]]&gt;0,VLOOKUP(DBparts1[[#This Row],[Discount seletion]],'Discount Structure'!$A$2:$B$30,2,"false"),0)</f>
        <v>0</v>
      </c>
      <c r="L387" s="194">
        <f>DBparts1[[#This Row],[LIST $]]*DBparts1[[#This Row],[DISCOUNT]]*DBparts1[[#This Row],[DISCOUNT 2]]</f>
        <v>0</v>
      </c>
    </row>
    <row r="388" spans="2:12">
      <c r="B388" s="112"/>
      <c r="C388" s="112"/>
      <c r="D388" s="112"/>
      <c r="F388" s="168" t="s">
        <v>6202</v>
      </c>
      <c r="G388" s="232">
        <f>IF(DBparts1[[#This Row],[Type]]&gt;0,VLOOKUP(DBparts1[[#This Row],[Type]],Main[[#All],[TYPE]:[UNIT]],'Unit Price'!C$1,FALSE),0)</f>
        <v>0</v>
      </c>
      <c r="H388" s="194">
        <f>IF(DBparts1[[#This Row],[Type]]&gt;0,VLOOKUP(DBparts1[[#This Row],[Type]],Main[[#All],[TYPE]:[UNIT]],'Unit Price'!D$1,FALSE),0)</f>
        <v>0</v>
      </c>
      <c r="I388" s="194">
        <f>IF(DBparts1[[#This Row],[Type]]&gt;0,VLOOKUP(DBparts1[[#This Row],[Type]],Main[[#All],[TYPE]:[UNIT]],'Unit Price'!G$1,FALSE),0)</f>
        <v>0</v>
      </c>
      <c r="J388" s="194">
        <f>IF(DBparts1[[#This Row],[Type]]&gt;0,VLOOKUP(DBparts1[[#This Row],[Type]],Main[[#All],[TYPE]:[UNIT]],'Unit Price'!H$1,FALSE),0)</f>
        <v>0</v>
      </c>
      <c r="K388" s="194">
        <f>IF(DBparts1[[#This Row],[Type]]&gt;0,VLOOKUP(DBparts1[[#This Row],[Discount seletion]],'Discount Structure'!$A$2:$B$30,2,"false"),0)</f>
        <v>0</v>
      </c>
      <c r="L388" s="194">
        <f>DBparts1[[#This Row],[LIST $]]*DBparts1[[#This Row],[DISCOUNT]]*DBparts1[[#This Row],[DISCOUNT 2]]</f>
        <v>0</v>
      </c>
    </row>
    <row r="389" spans="2:12">
      <c r="B389" s="112"/>
      <c r="C389" s="112"/>
      <c r="D389" s="112"/>
      <c r="F389" s="168" t="s">
        <v>6202</v>
      </c>
      <c r="G389" s="232">
        <f>IF(DBparts1[[#This Row],[Type]]&gt;0,VLOOKUP(DBparts1[[#This Row],[Type]],Main[[#All],[TYPE]:[UNIT]],'Unit Price'!C$1,FALSE),0)</f>
        <v>0</v>
      </c>
      <c r="H389" s="194">
        <f>IF(DBparts1[[#This Row],[Type]]&gt;0,VLOOKUP(DBparts1[[#This Row],[Type]],Main[[#All],[TYPE]:[UNIT]],'Unit Price'!D$1,FALSE),0)</f>
        <v>0</v>
      </c>
      <c r="I389" s="194">
        <f>IF(DBparts1[[#This Row],[Type]]&gt;0,VLOOKUP(DBparts1[[#This Row],[Type]],Main[[#All],[TYPE]:[UNIT]],'Unit Price'!G$1,FALSE),0)</f>
        <v>0</v>
      </c>
      <c r="J389" s="194">
        <f>IF(DBparts1[[#This Row],[Type]]&gt;0,VLOOKUP(DBparts1[[#This Row],[Type]],Main[[#All],[TYPE]:[UNIT]],'Unit Price'!H$1,FALSE),0)</f>
        <v>0</v>
      </c>
      <c r="K389" s="194">
        <f>IF(DBparts1[[#This Row],[Type]]&gt;0,VLOOKUP(DBparts1[[#This Row],[Discount seletion]],'Discount Structure'!$A$2:$B$30,2,"false"),0)</f>
        <v>0</v>
      </c>
      <c r="L389" s="194">
        <f>DBparts1[[#This Row],[LIST $]]*DBparts1[[#This Row],[DISCOUNT]]*DBparts1[[#This Row],[DISCOUNT 2]]</f>
        <v>0</v>
      </c>
    </row>
    <row r="390" spans="2:12">
      <c r="B390" s="112"/>
      <c r="C390" s="112"/>
      <c r="D390" s="112"/>
      <c r="F390" s="168" t="s">
        <v>6202</v>
      </c>
      <c r="G390" s="232">
        <f>IF(DBparts1[[#This Row],[Type]]&gt;0,VLOOKUP(DBparts1[[#This Row],[Type]],Main[[#All],[TYPE]:[UNIT]],'Unit Price'!C$1,FALSE),0)</f>
        <v>0</v>
      </c>
      <c r="H390" s="232">
        <f>IF(DBparts1[[#This Row],[Type]]&gt;0,VLOOKUP(DBparts1[[#This Row],[Type]],Main[[#All],[TYPE]:[UNIT]],'Unit Price'!D$1,FALSE),0)</f>
        <v>0</v>
      </c>
      <c r="I390" s="194">
        <f>IF(DBparts1[[#This Row],[Type]]&gt;0,VLOOKUP(DBparts1[[#This Row],[Type]],Main[[#All],[TYPE]:[UNIT]],'Unit Price'!G$1,FALSE),0)</f>
        <v>0</v>
      </c>
      <c r="J390" s="194">
        <f>IF(DBparts1[[#This Row],[Type]]&gt;0,VLOOKUP(DBparts1[[#This Row],[Type]],Main[[#All],[TYPE]:[UNIT]],'Unit Price'!H$1,FALSE),0)</f>
        <v>0</v>
      </c>
      <c r="K390" s="194">
        <f>IF(DBparts1[[#This Row],[Type]]&gt;0,VLOOKUP(DBparts1[[#This Row],[Discount seletion]],'Discount Structure'!$A$2:$B$30,2,"false"),0)</f>
        <v>0</v>
      </c>
      <c r="L390" s="194">
        <f>DBparts1[[#This Row],[LIST $]]*DBparts1[[#This Row],[DISCOUNT]]*DBparts1[[#This Row],[DISCOUNT 2]]</f>
        <v>0</v>
      </c>
    </row>
    <row r="391" spans="2:12">
      <c r="B391" s="112"/>
      <c r="C391" s="112"/>
      <c r="D391" s="112"/>
      <c r="F391" s="168" t="s">
        <v>6202</v>
      </c>
      <c r="G391" s="232">
        <f>IF(DBparts1[[#This Row],[Type]]&gt;0,VLOOKUP(DBparts1[[#This Row],[Type]],Main[[#All],[TYPE]:[UNIT]],'Unit Price'!C$1,FALSE),0)</f>
        <v>0</v>
      </c>
      <c r="H391" s="194">
        <f>IF(DBparts1[[#This Row],[Type]]&gt;0,VLOOKUP(DBparts1[[#This Row],[Type]],Main[[#All],[TYPE]:[UNIT]],'Unit Price'!D$1,FALSE),0)</f>
        <v>0</v>
      </c>
      <c r="I391" s="194">
        <f>IF(DBparts1[[#This Row],[Type]]&gt;0,VLOOKUP(DBparts1[[#This Row],[Type]],Main[[#All],[TYPE]:[UNIT]],'Unit Price'!G$1,FALSE),0)</f>
        <v>0</v>
      </c>
      <c r="J391" s="194">
        <f>IF(DBparts1[[#This Row],[Type]]&gt;0,VLOOKUP(DBparts1[[#This Row],[Type]],Main[[#All],[TYPE]:[UNIT]],'Unit Price'!H$1,FALSE),0)</f>
        <v>0</v>
      </c>
      <c r="K391" s="194">
        <f>IF(DBparts1[[#This Row],[Type]]&gt;0,VLOOKUP(DBparts1[[#This Row],[Discount seletion]],'Discount Structure'!$A$2:$B$30,2,"false"),0)</f>
        <v>0</v>
      </c>
      <c r="L391" s="194">
        <f>DBparts1[[#This Row],[LIST $]]*DBparts1[[#This Row],[DISCOUNT]]*DBparts1[[#This Row],[DISCOUNT 2]]</f>
        <v>0</v>
      </c>
    </row>
    <row r="392" spans="2:12">
      <c r="B392" s="112"/>
      <c r="C392" s="112"/>
      <c r="D392" s="112"/>
      <c r="F392" s="168" t="s">
        <v>6202</v>
      </c>
      <c r="G392" s="232">
        <f>IF(DBparts1[[#This Row],[Type]]&gt;0,VLOOKUP(DBparts1[[#This Row],[Type]],Main[[#All],[TYPE]:[UNIT]],'Unit Price'!C$1,FALSE),0)</f>
        <v>0</v>
      </c>
      <c r="H392" s="194">
        <f>IF(DBparts1[[#This Row],[Type]]&gt;0,VLOOKUP(DBparts1[[#This Row],[Type]],Main[[#All],[TYPE]:[UNIT]],'Unit Price'!D$1,FALSE),0)</f>
        <v>0</v>
      </c>
      <c r="I392" s="194">
        <f>IF(DBparts1[[#This Row],[Type]]&gt;0,VLOOKUP(DBparts1[[#This Row],[Type]],Main[[#All],[TYPE]:[UNIT]],'Unit Price'!G$1,FALSE),0)</f>
        <v>0</v>
      </c>
      <c r="J392" s="194">
        <f>IF(DBparts1[[#This Row],[Type]]&gt;0,VLOOKUP(DBparts1[[#This Row],[Type]],Main[[#All],[TYPE]:[UNIT]],'Unit Price'!H$1,FALSE),0)</f>
        <v>0</v>
      </c>
      <c r="K392" s="194">
        <f>IF(DBparts1[[#This Row],[Type]]&gt;0,VLOOKUP(DBparts1[[#This Row],[Discount seletion]],'Discount Structure'!$A$2:$B$30,2,"false"),0)</f>
        <v>0</v>
      </c>
      <c r="L392" s="194">
        <f>DBparts1[[#This Row],[LIST $]]*DBparts1[[#This Row],[DISCOUNT]]*DBparts1[[#This Row],[DISCOUNT 2]]</f>
        <v>0</v>
      </c>
    </row>
    <row r="393" spans="2:12">
      <c r="B393" s="112"/>
      <c r="C393" s="112"/>
      <c r="D393" s="112"/>
      <c r="F393" s="168" t="s">
        <v>6202</v>
      </c>
      <c r="G393" s="232">
        <f>IF(DBparts1[[#This Row],[Type]]&gt;0,VLOOKUP(DBparts1[[#This Row],[Type]],Main[[#All],[TYPE]:[UNIT]],'Unit Price'!C$1,FALSE),0)</f>
        <v>0</v>
      </c>
      <c r="H393" s="194">
        <f>IF(DBparts1[[#This Row],[Type]]&gt;0,VLOOKUP(DBparts1[[#This Row],[Type]],Main[[#All],[TYPE]:[UNIT]],'Unit Price'!D$1,FALSE),0)</f>
        <v>0</v>
      </c>
      <c r="I393" s="194">
        <f>IF(DBparts1[[#This Row],[Type]]&gt;0,VLOOKUP(DBparts1[[#This Row],[Type]],Main[[#All],[TYPE]:[UNIT]],'Unit Price'!G$1,FALSE),0)</f>
        <v>0</v>
      </c>
      <c r="J393" s="194">
        <f>IF(DBparts1[[#This Row],[Type]]&gt;0,VLOOKUP(DBparts1[[#This Row],[Type]],Main[[#All],[TYPE]:[UNIT]],'Unit Price'!H$1,FALSE),0)</f>
        <v>0</v>
      </c>
      <c r="K393" s="194">
        <f>IF(DBparts1[[#This Row],[Type]]&gt;0,VLOOKUP(DBparts1[[#This Row],[Discount seletion]],'Discount Structure'!$A$2:$B$30,2,"false"),0)</f>
        <v>0</v>
      </c>
      <c r="L393" s="194">
        <f>DBparts1[[#This Row],[LIST $]]*DBparts1[[#This Row],[DISCOUNT]]*DBparts1[[#This Row],[DISCOUNT 2]]</f>
        <v>0</v>
      </c>
    </row>
    <row r="394" spans="2:12">
      <c r="B394" s="112"/>
      <c r="C394" s="112"/>
      <c r="D394" s="112"/>
      <c r="F394" s="168" t="s">
        <v>6202</v>
      </c>
      <c r="G394" s="232">
        <f>IF(DBparts1[[#This Row],[Type]]&gt;0,VLOOKUP(DBparts1[[#This Row],[Type]],Main[[#All],[TYPE]:[UNIT]],'Unit Price'!C$1,FALSE),0)</f>
        <v>0</v>
      </c>
      <c r="H394" s="194">
        <f>IF(DBparts1[[#This Row],[Type]]&gt;0,VLOOKUP(DBparts1[[#This Row],[Type]],Main[[#All],[TYPE]:[UNIT]],'Unit Price'!D$1,FALSE),0)</f>
        <v>0</v>
      </c>
      <c r="I394" s="194">
        <f>IF(DBparts1[[#This Row],[Type]]&gt;0,VLOOKUP(DBparts1[[#This Row],[Type]],Main[[#All],[TYPE]:[UNIT]],'Unit Price'!G$1,FALSE),0)</f>
        <v>0</v>
      </c>
      <c r="J394" s="194">
        <f>IF(DBparts1[[#This Row],[Type]]&gt;0,VLOOKUP(DBparts1[[#This Row],[Type]],Main[[#All],[TYPE]:[UNIT]],'Unit Price'!H$1,FALSE),0)</f>
        <v>0</v>
      </c>
      <c r="K394" s="194">
        <f>IF(DBparts1[[#This Row],[Type]]&gt;0,VLOOKUP(DBparts1[[#This Row],[Discount seletion]],'Discount Structure'!$A$2:$B$30,2,"false"),0)</f>
        <v>0</v>
      </c>
      <c r="L394" s="194">
        <f>DBparts1[[#This Row],[LIST $]]*DBparts1[[#This Row],[DISCOUNT]]*DBparts1[[#This Row],[DISCOUNT 2]]</f>
        <v>0</v>
      </c>
    </row>
    <row r="395" spans="2:12">
      <c r="B395" s="112"/>
      <c r="C395" s="112"/>
      <c r="D395" s="112"/>
      <c r="F395" s="168" t="s">
        <v>6202</v>
      </c>
      <c r="G395" s="232">
        <f>IF(DBparts1[[#This Row],[Type]]&gt;0,VLOOKUP(DBparts1[[#This Row],[Type]],Main[[#All],[TYPE]:[UNIT]],'Unit Price'!C$1,FALSE),0)</f>
        <v>0</v>
      </c>
      <c r="H395" s="232">
        <f>IF(DBparts1[[#This Row],[Type]]&gt;0,VLOOKUP(DBparts1[[#This Row],[Type]],Main[[#All],[TYPE]:[UNIT]],'Unit Price'!D$1,FALSE),0)</f>
        <v>0</v>
      </c>
      <c r="I395" s="194">
        <f>IF(DBparts1[[#This Row],[Type]]&gt;0,VLOOKUP(DBparts1[[#This Row],[Type]],Main[[#All],[TYPE]:[UNIT]],'Unit Price'!G$1,FALSE),0)</f>
        <v>0</v>
      </c>
      <c r="J395" s="194">
        <f>IF(DBparts1[[#This Row],[Type]]&gt;0,VLOOKUP(DBparts1[[#This Row],[Type]],Main[[#All],[TYPE]:[UNIT]],'Unit Price'!H$1,FALSE),0)</f>
        <v>0</v>
      </c>
      <c r="K395" s="194">
        <f>IF(DBparts1[[#This Row],[Type]]&gt;0,VLOOKUP(DBparts1[[#This Row],[Discount seletion]],'Discount Structure'!$A$2:$B$30,2,"false"),0)</f>
        <v>0</v>
      </c>
      <c r="L395" s="194">
        <f>DBparts1[[#This Row],[LIST $]]*DBparts1[[#This Row],[DISCOUNT]]*DBparts1[[#This Row],[DISCOUNT 2]]</f>
        <v>0</v>
      </c>
    </row>
    <row r="396" spans="2:12">
      <c r="B396" s="112"/>
      <c r="C396" s="112"/>
      <c r="D396" s="112"/>
      <c r="F396" s="168" t="s">
        <v>6202</v>
      </c>
      <c r="G396" s="232">
        <f>IF(DBparts1[[#This Row],[Type]]&gt;0,VLOOKUP(DBparts1[[#This Row],[Type]],Main[[#All],[TYPE]:[UNIT]],'Unit Price'!C$1,FALSE),0)</f>
        <v>0</v>
      </c>
      <c r="H396" s="194">
        <f>IF(DBparts1[[#This Row],[Type]]&gt;0,VLOOKUP(DBparts1[[#This Row],[Type]],Main[[#All],[TYPE]:[UNIT]],'Unit Price'!D$1,FALSE),0)</f>
        <v>0</v>
      </c>
      <c r="I396" s="194">
        <f>IF(DBparts1[[#This Row],[Type]]&gt;0,VLOOKUP(DBparts1[[#This Row],[Type]],Main[[#All],[TYPE]:[UNIT]],'Unit Price'!G$1,FALSE),0)</f>
        <v>0</v>
      </c>
      <c r="J396" s="194">
        <f>IF(DBparts1[[#This Row],[Type]]&gt;0,VLOOKUP(DBparts1[[#This Row],[Type]],Main[[#All],[TYPE]:[UNIT]],'Unit Price'!H$1,FALSE),0)</f>
        <v>0</v>
      </c>
      <c r="K396" s="194">
        <f>IF(DBparts1[[#This Row],[Type]]&gt;0,VLOOKUP(DBparts1[[#This Row],[Discount seletion]],'Discount Structure'!$A$2:$B$30,2,"false"),0)</f>
        <v>0</v>
      </c>
      <c r="L396" s="194">
        <f>DBparts1[[#This Row],[LIST $]]*DBparts1[[#This Row],[DISCOUNT]]*DBparts1[[#This Row],[DISCOUNT 2]]</f>
        <v>0</v>
      </c>
    </row>
    <row r="397" spans="2:12">
      <c r="B397" s="112"/>
      <c r="C397" s="112"/>
      <c r="D397" s="112"/>
      <c r="F397" s="168" t="s">
        <v>6202</v>
      </c>
      <c r="G397" s="232">
        <f>IF(DBparts1[[#This Row],[Type]]&gt;0,VLOOKUP(DBparts1[[#This Row],[Type]],Main[[#All],[TYPE]:[UNIT]],'Unit Price'!C$1,FALSE),0)</f>
        <v>0</v>
      </c>
      <c r="H397" s="194">
        <f>IF(DBparts1[[#This Row],[Type]]&gt;0,VLOOKUP(DBparts1[[#This Row],[Type]],Main[[#All],[TYPE]:[UNIT]],'Unit Price'!D$1,FALSE),0)</f>
        <v>0</v>
      </c>
      <c r="I397" s="194">
        <f>IF(DBparts1[[#This Row],[Type]]&gt;0,VLOOKUP(DBparts1[[#This Row],[Type]],Main[[#All],[TYPE]:[UNIT]],'Unit Price'!G$1,FALSE),0)</f>
        <v>0</v>
      </c>
      <c r="J397" s="194">
        <f>IF(DBparts1[[#This Row],[Type]]&gt;0,VLOOKUP(DBparts1[[#This Row],[Type]],Main[[#All],[TYPE]:[UNIT]],'Unit Price'!H$1,FALSE),0)</f>
        <v>0</v>
      </c>
      <c r="K397" s="194">
        <f>IF(DBparts1[[#This Row],[Type]]&gt;0,VLOOKUP(DBparts1[[#This Row],[Discount seletion]],'Discount Structure'!$A$2:$B$30,2,"false"),0)</f>
        <v>0</v>
      </c>
      <c r="L397" s="194">
        <f>DBparts1[[#This Row],[LIST $]]*DBparts1[[#This Row],[DISCOUNT]]*DBparts1[[#This Row],[DISCOUNT 2]]</f>
        <v>0</v>
      </c>
    </row>
    <row r="398" spans="2:12">
      <c r="B398" s="112"/>
      <c r="C398" s="112"/>
      <c r="D398" s="112"/>
      <c r="F398" s="168" t="s">
        <v>6202</v>
      </c>
      <c r="G398" s="232">
        <f>IF(DBparts1[[#This Row],[Type]]&gt;0,VLOOKUP(DBparts1[[#This Row],[Type]],Main[[#All],[TYPE]:[UNIT]],'Unit Price'!C$1,FALSE),0)</f>
        <v>0</v>
      </c>
      <c r="H398" s="194">
        <f>IF(DBparts1[[#This Row],[Type]]&gt;0,VLOOKUP(DBparts1[[#This Row],[Type]],Main[[#All],[TYPE]:[UNIT]],'Unit Price'!D$1,FALSE),0)</f>
        <v>0</v>
      </c>
      <c r="I398" s="194">
        <f>IF(DBparts1[[#This Row],[Type]]&gt;0,VLOOKUP(DBparts1[[#This Row],[Type]],Main[[#All],[TYPE]:[UNIT]],'Unit Price'!G$1,FALSE),0)</f>
        <v>0</v>
      </c>
      <c r="J398" s="194">
        <f>IF(DBparts1[[#This Row],[Type]]&gt;0,VLOOKUP(DBparts1[[#This Row],[Type]],Main[[#All],[TYPE]:[UNIT]],'Unit Price'!H$1,FALSE),0)</f>
        <v>0</v>
      </c>
      <c r="K398" s="194">
        <f>IF(DBparts1[[#This Row],[Type]]&gt;0,VLOOKUP(DBparts1[[#This Row],[Discount seletion]],'Discount Structure'!$A$2:$B$30,2,"false"),0)</f>
        <v>0</v>
      </c>
      <c r="L398" s="194">
        <f>DBparts1[[#This Row],[LIST $]]*DBparts1[[#This Row],[DISCOUNT]]*DBparts1[[#This Row],[DISCOUNT 2]]</f>
        <v>0</v>
      </c>
    </row>
    <row r="399" spans="2:12">
      <c r="B399" s="112"/>
      <c r="C399" s="112"/>
      <c r="D399" s="112"/>
      <c r="F399" s="168" t="s">
        <v>6202</v>
      </c>
      <c r="G399" s="232">
        <f>IF(DBparts1[[#This Row],[Type]]&gt;0,VLOOKUP(DBparts1[[#This Row],[Type]],Main[[#All],[TYPE]:[UNIT]],'Unit Price'!C$1,FALSE),0)</f>
        <v>0</v>
      </c>
      <c r="H399" s="194">
        <f>IF(DBparts1[[#This Row],[Type]]&gt;0,VLOOKUP(DBparts1[[#This Row],[Type]],Main[[#All],[TYPE]:[UNIT]],'Unit Price'!D$1,FALSE),0)</f>
        <v>0</v>
      </c>
      <c r="I399" s="194">
        <f>IF(DBparts1[[#This Row],[Type]]&gt;0,VLOOKUP(DBparts1[[#This Row],[Type]],Main[[#All],[TYPE]:[UNIT]],'Unit Price'!G$1,FALSE),0)</f>
        <v>0</v>
      </c>
      <c r="J399" s="194">
        <f>IF(DBparts1[[#This Row],[Type]]&gt;0,VLOOKUP(DBparts1[[#This Row],[Type]],Main[[#All],[TYPE]:[UNIT]],'Unit Price'!H$1,FALSE),0)</f>
        <v>0</v>
      </c>
      <c r="K399" s="194">
        <f>IF(DBparts1[[#This Row],[Type]]&gt;0,VLOOKUP(DBparts1[[#This Row],[Discount seletion]],'Discount Structure'!$A$2:$B$30,2,"false"),0)</f>
        <v>0</v>
      </c>
      <c r="L399" s="194">
        <f>DBparts1[[#This Row],[LIST $]]*DBparts1[[#This Row],[DISCOUNT]]*DBparts1[[#This Row],[DISCOUNT 2]]</f>
        <v>0</v>
      </c>
    </row>
    <row r="400" spans="2:12">
      <c r="B400" s="112"/>
      <c r="C400" s="112"/>
      <c r="D400" s="112"/>
      <c r="F400" s="168" t="s">
        <v>6202</v>
      </c>
      <c r="G400" s="232">
        <f>IF(DBparts1[[#This Row],[Type]]&gt;0,VLOOKUP(DBparts1[[#This Row],[Type]],Main[[#All],[TYPE]:[UNIT]],'Unit Price'!C$1,FALSE),0)</f>
        <v>0</v>
      </c>
      <c r="H400" s="232">
        <f>IF(DBparts1[[#This Row],[Type]]&gt;0,VLOOKUP(DBparts1[[#This Row],[Type]],Main[[#All],[TYPE]:[UNIT]],'Unit Price'!D$1,FALSE),0)</f>
        <v>0</v>
      </c>
      <c r="I400" s="194">
        <f>IF(DBparts1[[#This Row],[Type]]&gt;0,VLOOKUP(DBparts1[[#This Row],[Type]],Main[[#All],[TYPE]:[UNIT]],'Unit Price'!G$1,FALSE),0)</f>
        <v>0</v>
      </c>
      <c r="J400" s="194">
        <f>IF(DBparts1[[#This Row],[Type]]&gt;0,VLOOKUP(DBparts1[[#This Row],[Type]],Main[[#All],[TYPE]:[UNIT]],'Unit Price'!H$1,FALSE),0)</f>
        <v>0</v>
      </c>
      <c r="K400" s="194">
        <f>IF(DBparts1[[#This Row],[Type]]&gt;0,VLOOKUP(DBparts1[[#This Row],[Discount seletion]],'Discount Structure'!$A$2:$B$30,2,"false"),0)</f>
        <v>0</v>
      </c>
      <c r="L400" s="194">
        <f>DBparts1[[#This Row],[LIST $]]*DBparts1[[#This Row],[DISCOUNT]]*DBparts1[[#This Row],[DISCOUNT 2]]</f>
        <v>0</v>
      </c>
    </row>
    <row r="401" spans="2:12">
      <c r="B401" s="112"/>
      <c r="C401" s="112"/>
      <c r="D401" s="112"/>
      <c r="F401" s="168" t="s">
        <v>6202</v>
      </c>
      <c r="G401" s="232">
        <f>IF(DBparts1[[#This Row],[Type]]&gt;0,VLOOKUP(DBparts1[[#This Row],[Type]],Main[[#All],[TYPE]:[UNIT]],'Unit Price'!C$1,FALSE),0)</f>
        <v>0</v>
      </c>
      <c r="H401" s="194">
        <f>IF(DBparts1[[#This Row],[Type]]&gt;0,VLOOKUP(DBparts1[[#This Row],[Type]],Main[[#All],[TYPE]:[UNIT]],'Unit Price'!D$1,FALSE),0)</f>
        <v>0</v>
      </c>
      <c r="I401" s="194">
        <f>IF(DBparts1[[#This Row],[Type]]&gt;0,VLOOKUP(DBparts1[[#This Row],[Type]],Main[[#All],[TYPE]:[UNIT]],'Unit Price'!G$1,FALSE),0)</f>
        <v>0</v>
      </c>
      <c r="J401" s="194">
        <f>IF(DBparts1[[#This Row],[Type]]&gt;0,VLOOKUP(DBparts1[[#This Row],[Type]],Main[[#All],[TYPE]:[UNIT]],'Unit Price'!H$1,FALSE),0)</f>
        <v>0</v>
      </c>
      <c r="K401" s="194">
        <f>IF(DBparts1[[#This Row],[Type]]&gt;0,VLOOKUP(DBparts1[[#This Row],[Discount seletion]],'Discount Structure'!$A$2:$B$30,2,"false"),0)</f>
        <v>0</v>
      </c>
      <c r="L401" s="194">
        <f>DBparts1[[#This Row],[LIST $]]*DBparts1[[#This Row],[DISCOUNT]]*DBparts1[[#This Row],[DISCOUNT 2]]</f>
        <v>0</v>
      </c>
    </row>
    <row r="402" spans="2:12">
      <c r="B402" s="112"/>
      <c r="C402" s="112"/>
      <c r="D402" s="112"/>
      <c r="F402" s="168" t="s">
        <v>6202</v>
      </c>
      <c r="G402" s="232">
        <f>IF(DBparts1[[#This Row],[Type]]&gt;0,VLOOKUP(DBparts1[[#This Row],[Type]],Main[[#All],[TYPE]:[UNIT]],'Unit Price'!C$1,FALSE),0)</f>
        <v>0</v>
      </c>
      <c r="H402" s="194">
        <f>IF(DBparts1[[#This Row],[Type]]&gt;0,VLOOKUP(DBparts1[[#This Row],[Type]],Main[[#All],[TYPE]:[UNIT]],'Unit Price'!D$1,FALSE),0)</f>
        <v>0</v>
      </c>
      <c r="I402" s="194">
        <f>IF(DBparts1[[#This Row],[Type]]&gt;0,VLOOKUP(DBparts1[[#This Row],[Type]],Main[[#All],[TYPE]:[UNIT]],'Unit Price'!G$1,FALSE),0)</f>
        <v>0</v>
      </c>
      <c r="J402" s="194">
        <f>IF(DBparts1[[#This Row],[Type]]&gt;0,VLOOKUP(DBparts1[[#This Row],[Type]],Main[[#All],[TYPE]:[UNIT]],'Unit Price'!H$1,FALSE),0)</f>
        <v>0</v>
      </c>
      <c r="K402" s="194">
        <f>IF(DBparts1[[#This Row],[Type]]&gt;0,VLOOKUP(DBparts1[[#This Row],[Discount seletion]],'Discount Structure'!$A$2:$B$30,2,"false"),0)</f>
        <v>0</v>
      </c>
      <c r="L402" s="194">
        <f>DBparts1[[#This Row],[LIST $]]*DBparts1[[#This Row],[DISCOUNT]]*DBparts1[[#This Row],[DISCOUNT 2]]</f>
        <v>0</v>
      </c>
    </row>
    <row r="403" spans="2:12">
      <c r="B403" s="112"/>
      <c r="C403" s="112"/>
      <c r="D403" s="112"/>
      <c r="F403" s="168" t="s">
        <v>6202</v>
      </c>
      <c r="G403" s="232">
        <f>IF(DBparts1[[#This Row],[Type]]&gt;0,VLOOKUP(DBparts1[[#This Row],[Type]],Main[[#All],[TYPE]:[UNIT]],'Unit Price'!C$1,FALSE),0)</f>
        <v>0</v>
      </c>
      <c r="H403" s="194">
        <f>IF(DBparts1[[#This Row],[Type]]&gt;0,VLOOKUP(DBparts1[[#This Row],[Type]],Main[[#All],[TYPE]:[UNIT]],'Unit Price'!D$1,FALSE),0)</f>
        <v>0</v>
      </c>
      <c r="I403" s="194">
        <f>IF(DBparts1[[#This Row],[Type]]&gt;0,VLOOKUP(DBparts1[[#This Row],[Type]],Main[[#All],[TYPE]:[UNIT]],'Unit Price'!G$1,FALSE),0)</f>
        <v>0</v>
      </c>
      <c r="J403" s="194">
        <f>IF(DBparts1[[#This Row],[Type]]&gt;0,VLOOKUP(DBparts1[[#This Row],[Type]],Main[[#All],[TYPE]:[UNIT]],'Unit Price'!H$1,FALSE),0)</f>
        <v>0</v>
      </c>
      <c r="K403" s="194">
        <f>IF(DBparts1[[#This Row],[Type]]&gt;0,VLOOKUP(DBparts1[[#This Row],[Discount seletion]],'Discount Structure'!$A$2:$B$30,2,"false"),0)</f>
        <v>0</v>
      </c>
      <c r="L403" s="194">
        <f>DBparts1[[#This Row],[LIST $]]*DBparts1[[#This Row],[DISCOUNT]]*DBparts1[[#This Row],[DISCOUNT 2]]</f>
        <v>0</v>
      </c>
    </row>
    <row r="404" spans="2:12">
      <c r="B404" s="112"/>
      <c r="C404" s="112"/>
      <c r="D404" s="112"/>
      <c r="F404" s="168" t="s">
        <v>6202</v>
      </c>
      <c r="G404" s="232">
        <f>IF(DBparts1[[#This Row],[Type]]&gt;0,VLOOKUP(DBparts1[[#This Row],[Type]],Main[[#All],[TYPE]:[UNIT]],'Unit Price'!C$1,FALSE),0)</f>
        <v>0</v>
      </c>
      <c r="H404" s="194">
        <f>IF(DBparts1[[#This Row],[Type]]&gt;0,VLOOKUP(DBparts1[[#This Row],[Type]],Main[[#All],[TYPE]:[UNIT]],'Unit Price'!D$1,FALSE),0)</f>
        <v>0</v>
      </c>
      <c r="I404" s="194">
        <f>IF(DBparts1[[#This Row],[Type]]&gt;0,VLOOKUP(DBparts1[[#This Row],[Type]],Main[[#All],[TYPE]:[UNIT]],'Unit Price'!G$1,FALSE),0)</f>
        <v>0</v>
      </c>
      <c r="J404" s="194">
        <f>IF(DBparts1[[#This Row],[Type]]&gt;0,VLOOKUP(DBparts1[[#This Row],[Type]],Main[[#All],[TYPE]:[UNIT]],'Unit Price'!H$1,FALSE),0)</f>
        <v>0</v>
      </c>
      <c r="K404" s="194">
        <f>IF(DBparts1[[#This Row],[Type]]&gt;0,VLOOKUP(DBparts1[[#This Row],[Discount seletion]],'Discount Structure'!$A$2:$B$30,2,"false"),0)</f>
        <v>0</v>
      </c>
      <c r="L404" s="194">
        <f>DBparts1[[#This Row],[LIST $]]*DBparts1[[#This Row],[DISCOUNT]]*DBparts1[[#This Row],[DISCOUNT 2]]</f>
        <v>0</v>
      </c>
    </row>
    <row r="405" spans="2:12">
      <c r="B405" s="112"/>
      <c r="C405" s="112"/>
      <c r="D405" s="112"/>
      <c r="F405" s="168" t="s">
        <v>6202</v>
      </c>
      <c r="G405" s="232">
        <f>IF(DBparts1[[#This Row],[Type]]&gt;0,VLOOKUP(DBparts1[[#This Row],[Type]],Main[[#All],[TYPE]:[UNIT]],'Unit Price'!C$1,FALSE),0)</f>
        <v>0</v>
      </c>
      <c r="H405" s="232">
        <f>IF(DBparts1[[#This Row],[Type]]&gt;0,VLOOKUP(DBparts1[[#This Row],[Type]],Main[[#All],[TYPE]:[UNIT]],'Unit Price'!D$1,FALSE),0)</f>
        <v>0</v>
      </c>
      <c r="I405" s="194">
        <f>IF(DBparts1[[#This Row],[Type]]&gt;0,VLOOKUP(DBparts1[[#This Row],[Type]],Main[[#All],[TYPE]:[UNIT]],'Unit Price'!G$1,FALSE),0)</f>
        <v>0</v>
      </c>
      <c r="J405" s="194">
        <f>IF(DBparts1[[#This Row],[Type]]&gt;0,VLOOKUP(DBparts1[[#This Row],[Type]],Main[[#All],[TYPE]:[UNIT]],'Unit Price'!H$1,FALSE),0)</f>
        <v>0</v>
      </c>
      <c r="K405" s="194">
        <f>IF(DBparts1[[#This Row],[Type]]&gt;0,VLOOKUP(DBparts1[[#This Row],[Discount seletion]],'Discount Structure'!$A$2:$B$30,2,"false"),0)</f>
        <v>0</v>
      </c>
      <c r="L405" s="194">
        <f>DBparts1[[#This Row],[LIST $]]*DBparts1[[#This Row],[DISCOUNT]]*DBparts1[[#This Row],[DISCOUNT 2]]</f>
        <v>0</v>
      </c>
    </row>
    <row r="406" spans="2:12">
      <c r="B406" s="112"/>
      <c r="C406" s="112"/>
      <c r="D406" s="112"/>
      <c r="F406" s="168" t="s">
        <v>6202</v>
      </c>
      <c r="G406" s="232">
        <f>IF(DBparts1[[#This Row],[Type]]&gt;0,VLOOKUP(DBparts1[[#This Row],[Type]],Main[[#All],[TYPE]:[UNIT]],'Unit Price'!C$1,FALSE),0)</f>
        <v>0</v>
      </c>
      <c r="H406" s="194">
        <f>IF(DBparts1[[#This Row],[Type]]&gt;0,VLOOKUP(DBparts1[[#This Row],[Type]],Main[[#All],[TYPE]:[UNIT]],'Unit Price'!D$1,FALSE),0)</f>
        <v>0</v>
      </c>
      <c r="I406" s="194">
        <f>IF(DBparts1[[#This Row],[Type]]&gt;0,VLOOKUP(DBparts1[[#This Row],[Type]],Main[[#All],[TYPE]:[UNIT]],'Unit Price'!G$1,FALSE),0)</f>
        <v>0</v>
      </c>
      <c r="J406" s="194">
        <f>IF(DBparts1[[#This Row],[Type]]&gt;0,VLOOKUP(DBparts1[[#This Row],[Type]],Main[[#All],[TYPE]:[UNIT]],'Unit Price'!H$1,FALSE),0)</f>
        <v>0</v>
      </c>
      <c r="K406" s="194">
        <f>IF(DBparts1[[#This Row],[Type]]&gt;0,VLOOKUP(DBparts1[[#This Row],[Discount seletion]],'Discount Structure'!$A$2:$B$30,2,"false"),0)</f>
        <v>0</v>
      </c>
      <c r="L406" s="194">
        <f>DBparts1[[#This Row],[LIST $]]*DBparts1[[#This Row],[DISCOUNT]]*DBparts1[[#This Row],[DISCOUNT 2]]</f>
        <v>0</v>
      </c>
    </row>
    <row r="407" spans="2:12">
      <c r="B407" s="112"/>
      <c r="C407" s="112"/>
      <c r="D407" s="112"/>
      <c r="F407" s="168" t="s">
        <v>6202</v>
      </c>
      <c r="G407" s="232">
        <f>IF(DBparts1[[#This Row],[Type]]&gt;0,VLOOKUP(DBparts1[[#This Row],[Type]],Main[[#All],[TYPE]:[UNIT]],'Unit Price'!C$1,FALSE),0)</f>
        <v>0</v>
      </c>
      <c r="H407" s="194">
        <f>IF(DBparts1[[#This Row],[Type]]&gt;0,VLOOKUP(DBparts1[[#This Row],[Type]],Main[[#All],[TYPE]:[UNIT]],'Unit Price'!D$1,FALSE),0)</f>
        <v>0</v>
      </c>
      <c r="I407" s="194">
        <f>IF(DBparts1[[#This Row],[Type]]&gt;0,VLOOKUP(DBparts1[[#This Row],[Type]],Main[[#All],[TYPE]:[UNIT]],'Unit Price'!G$1,FALSE),0)</f>
        <v>0</v>
      </c>
      <c r="J407" s="194">
        <f>IF(DBparts1[[#This Row],[Type]]&gt;0,VLOOKUP(DBparts1[[#This Row],[Type]],Main[[#All],[TYPE]:[UNIT]],'Unit Price'!H$1,FALSE),0)</f>
        <v>0</v>
      </c>
      <c r="K407" s="194">
        <f>IF(DBparts1[[#This Row],[Type]]&gt;0,VLOOKUP(DBparts1[[#This Row],[Discount seletion]],'Discount Structure'!$A$2:$B$30,2,"false"),0)</f>
        <v>0</v>
      </c>
      <c r="L407" s="194">
        <f>DBparts1[[#This Row],[LIST $]]*DBparts1[[#This Row],[DISCOUNT]]*DBparts1[[#This Row],[DISCOUNT 2]]</f>
        <v>0</v>
      </c>
    </row>
    <row r="408" spans="2:12">
      <c r="B408" s="112"/>
      <c r="C408" s="112"/>
      <c r="D408" s="112"/>
      <c r="F408" s="168" t="s">
        <v>6202</v>
      </c>
      <c r="G408" s="232">
        <f>IF(DBparts1[[#This Row],[Type]]&gt;0,VLOOKUP(DBparts1[[#This Row],[Type]],Main[[#All],[TYPE]:[UNIT]],'Unit Price'!C$1,FALSE),0)</f>
        <v>0</v>
      </c>
      <c r="H408" s="194">
        <f>IF(DBparts1[[#This Row],[Type]]&gt;0,VLOOKUP(DBparts1[[#This Row],[Type]],Main[[#All],[TYPE]:[UNIT]],'Unit Price'!D$1,FALSE),0)</f>
        <v>0</v>
      </c>
      <c r="I408" s="194">
        <f>IF(DBparts1[[#This Row],[Type]]&gt;0,VLOOKUP(DBparts1[[#This Row],[Type]],Main[[#All],[TYPE]:[UNIT]],'Unit Price'!G$1,FALSE),0)</f>
        <v>0</v>
      </c>
      <c r="J408" s="194">
        <f>IF(DBparts1[[#This Row],[Type]]&gt;0,VLOOKUP(DBparts1[[#This Row],[Type]],Main[[#All],[TYPE]:[UNIT]],'Unit Price'!H$1,FALSE),0)</f>
        <v>0</v>
      </c>
      <c r="K408" s="194">
        <f>IF(DBparts1[[#This Row],[Type]]&gt;0,VLOOKUP(DBparts1[[#This Row],[Discount seletion]],'Discount Structure'!$A$2:$B$30,2,"false"),0)</f>
        <v>0</v>
      </c>
      <c r="L408" s="194">
        <f>DBparts1[[#This Row],[LIST $]]*DBparts1[[#This Row],[DISCOUNT]]*DBparts1[[#This Row],[DISCOUNT 2]]</f>
        <v>0</v>
      </c>
    </row>
    <row r="409" spans="2:12">
      <c r="B409" s="112"/>
      <c r="C409" s="112"/>
      <c r="D409" s="112"/>
      <c r="F409" s="168" t="s">
        <v>6202</v>
      </c>
      <c r="G409" s="232">
        <f>IF(DBparts1[[#This Row],[Type]]&gt;0,VLOOKUP(DBparts1[[#This Row],[Type]],Main[[#All],[TYPE]:[UNIT]],'Unit Price'!C$1,FALSE),0)</f>
        <v>0</v>
      </c>
      <c r="H409" s="194">
        <f>IF(DBparts1[[#This Row],[Type]]&gt;0,VLOOKUP(DBparts1[[#This Row],[Type]],Main[[#All],[TYPE]:[UNIT]],'Unit Price'!D$1,FALSE),0)</f>
        <v>0</v>
      </c>
      <c r="I409" s="194">
        <f>IF(DBparts1[[#This Row],[Type]]&gt;0,VLOOKUP(DBparts1[[#This Row],[Type]],Main[[#All],[TYPE]:[UNIT]],'Unit Price'!G$1,FALSE),0)</f>
        <v>0</v>
      </c>
      <c r="J409" s="194">
        <f>IF(DBparts1[[#This Row],[Type]]&gt;0,VLOOKUP(DBparts1[[#This Row],[Type]],Main[[#All],[TYPE]:[UNIT]],'Unit Price'!H$1,FALSE),0)</f>
        <v>0</v>
      </c>
      <c r="K409" s="194">
        <f>IF(DBparts1[[#This Row],[Type]]&gt;0,VLOOKUP(DBparts1[[#This Row],[Discount seletion]],'Discount Structure'!$A$2:$B$30,2,"false"),0)</f>
        <v>0</v>
      </c>
      <c r="L409" s="194">
        <f>DBparts1[[#This Row],[LIST $]]*DBparts1[[#This Row],[DISCOUNT]]*DBparts1[[#This Row],[DISCOUNT 2]]</f>
        <v>0</v>
      </c>
    </row>
    <row r="410" spans="2:12">
      <c r="B410" s="112"/>
      <c r="C410" s="112"/>
      <c r="D410" s="112"/>
      <c r="F410" s="168" t="s">
        <v>6202</v>
      </c>
      <c r="G410" s="232">
        <f>IF(DBparts1[[#This Row],[Type]]&gt;0,VLOOKUP(DBparts1[[#This Row],[Type]],Main[[#All],[TYPE]:[UNIT]],'Unit Price'!C$1,FALSE),0)</f>
        <v>0</v>
      </c>
      <c r="H410" s="232">
        <f>IF(DBparts1[[#This Row],[Type]]&gt;0,VLOOKUP(DBparts1[[#This Row],[Type]],Main[[#All],[TYPE]:[UNIT]],'Unit Price'!D$1,FALSE),0)</f>
        <v>0</v>
      </c>
      <c r="I410" s="194">
        <f>IF(DBparts1[[#This Row],[Type]]&gt;0,VLOOKUP(DBparts1[[#This Row],[Type]],Main[[#All],[TYPE]:[UNIT]],'Unit Price'!G$1,FALSE),0)</f>
        <v>0</v>
      </c>
      <c r="J410" s="194">
        <f>IF(DBparts1[[#This Row],[Type]]&gt;0,VLOOKUP(DBparts1[[#This Row],[Type]],Main[[#All],[TYPE]:[UNIT]],'Unit Price'!H$1,FALSE),0)</f>
        <v>0</v>
      </c>
      <c r="K410" s="194">
        <f>IF(DBparts1[[#This Row],[Type]]&gt;0,VLOOKUP(DBparts1[[#This Row],[Discount seletion]],'Discount Structure'!$A$2:$B$30,2,"false"),0)</f>
        <v>0</v>
      </c>
      <c r="L410" s="194">
        <f>DBparts1[[#This Row],[LIST $]]*DBparts1[[#This Row],[DISCOUNT]]*DBparts1[[#This Row],[DISCOUNT 2]]</f>
        <v>0</v>
      </c>
    </row>
    <row r="411" spans="2:12">
      <c r="B411" s="112"/>
      <c r="C411" s="112"/>
      <c r="D411" s="112"/>
      <c r="F411" s="168" t="s">
        <v>6202</v>
      </c>
      <c r="G411" s="232">
        <f>IF(DBparts1[[#This Row],[Type]]&gt;0,VLOOKUP(DBparts1[[#This Row],[Type]],Main[[#All],[TYPE]:[UNIT]],'Unit Price'!C$1,FALSE),0)</f>
        <v>0</v>
      </c>
      <c r="H411" s="194">
        <f>IF(DBparts1[[#This Row],[Type]]&gt;0,VLOOKUP(DBparts1[[#This Row],[Type]],Main[[#All],[TYPE]:[UNIT]],'Unit Price'!D$1,FALSE),0)</f>
        <v>0</v>
      </c>
      <c r="I411" s="194">
        <f>IF(DBparts1[[#This Row],[Type]]&gt;0,VLOOKUP(DBparts1[[#This Row],[Type]],Main[[#All],[TYPE]:[UNIT]],'Unit Price'!G$1,FALSE),0)</f>
        <v>0</v>
      </c>
      <c r="J411" s="194">
        <f>IF(DBparts1[[#This Row],[Type]]&gt;0,VLOOKUP(DBparts1[[#This Row],[Type]],Main[[#All],[TYPE]:[UNIT]],'Unit Price'!H$1,FALSE),0)</f>
        <v>0</v>
      </c>
      <c r="K411" s="194">
        <f>IF(DBparts1[[#This Row],[Type]]&gt;0,VLOOKUP(DBparts1[[#This Row],[Discount seletion]],'Discount Structure'!$A$2:$B$30,2,"false"),0)</f>
        <v>0</v>
      </c>
      <c r="L411" s="194">
        <f>DBparts1[[#This Row],[LIST $]]*DBparts1[[#This Row],[DISCOUNT]]*DBparts1[[#This Row],[DISCOUNT 2]]</f>
        <v>0</v>
      </c>
    </row>
    <row r="412" spans="2:12">
      <c r="B412" s="112"/>
      <c r="C412" s="112"/>
      <c r="D412" s="112"/>
      <c r="F412" s="168" t="s">
        <v>6202</v>
      </c>
      <c r="G412" s="232">
        <f>IF(DBparts1[[#This Row],[Type]]&gt;0,VLOOKUP(DBparts1[[#This Row],[Type]],Main[[#All],[TYPE]:[UNIT]],'Unit Price'!C$1,FALSE),0)</f>
        <v>0</v>
      </c>
      <c r="H412" s="194">
        <f>IF(DBparts1[[#This Row],[Type]]&gt;0,VLOOKUP(DBparts1[[#This Row],[Type]],Main[[#All],[TYPE]:[UNIT]],'Unit Price'!D$1,FALSE),0)</f>
        <v>0</v>
      </c>
      <c r="I412" s="194">
        <f>IF(DBparts1[[#This Row],[Type]]&gt;0,VLOOKUP(DBparts1[[#This Row],[Type]],Main[[#All],[TYPE]:[UNIT]],'Unit Price'!G$1,FALSE),0)</f>
        <v>0</v>
      </c>
      <c r="J412" s="194">
        <f>IF(DBparts1[[#This Row],[Type]]&gt;0,VLOOKUP(DBparts1[[#This Row],[Type]],Main[[#All],[TYPE]:[UNIT]],'Unit Price'!H$1,FALSE),0)</f>
        <v>0</v>
      </c>
      <c r="K412" s="194">
        <f>IF(DBparts1[[#This Row],[Type]]&gt;0,VLOOKUP(DBparts1[[#This Row],[Discount seletion]],'Discount Structure'!$A$2:$B$30,2,"false"),0)</f>
        <v>0</v>
      </c>
      <c r="L412" s="194">
        <f>DBparts1[[#This Row],[LIST $]]*DBparts1[[#This Row],[DISCOUNT]]*DBparts1[[#This Row],[DISCOUNT 2]]</f>
        <v>0</v>
      </c>
    </row>
    <row r="413" spans="2:12">
      <c r="B413" s="112"/>
      <c r="C413" s="112"/>
      <c r="D413" s="112"/>
      <c r="F413" s="168" t="s">
        <v>6202</v>
      </c>
      <c r="G413" s="232">
        <f>IF(DBparts1[[#This Row],[Type]]&gt;0,VLOOKUP(DBparts1[[#This Row],[Type]],Main[[#All],[TYPE]:[UNIT]],'Unit Price'!C$1,FALSE),0)</f>
        <v>0</v>
      </c>
      <c r="H413" s="194">
        <f>IF(DBparts1[[#This Row],[Type]]&gt;0,VLOOKUP(DBparts1[[#This Row],[Type]],Main[[#All],[TYPE]:[UNIT]],'Unit Price'!D$1,FALSE),0)</f>
        <v>0</v>
      </c>
      <c r="I413" s="194">
        <f>IF(DBparts1[[#This Row],[Type]]&gt;0,VLOOKUP(DBparts1[[#This Row],[Type]],Main[[#All],[TYPE]:[UNIT]],'Unit Price'!G$1,FALSE),0)</f>
        <v>0</v>
      </c>
      <c r="J413" s="194">
        <f>IF(DBparts1[[#This Row],[Type]]&gt;0,VLOOKUP(DBparts1[[#This Row],[Type]],Main[[#All],[TYPE]:[UNIT]],'Unit Price'!H$1,FALSE),0)</f>
        <v>0</v>
      </c>
      <c r="K413" s="194">
        <f>IF(DBparts1[[#This Row],[Type]]&gt;0,VLOOKUP(DBparts1[[#This Row],[Discount seletion]],'Discount Structure'!$A$2:$B$30,2,"false"),0)</f>
        <v>0</v>
      </c>
      <c r="L413" s="194">
        <f>DBparts1[[#This Row],[LIST $]]*DBparts1[[#This Row],[DISCOUNT]]*DBparts1[[#This Row],[DISCOUNT 2]]</f>
        <v>0</v>
      </c>
    </row>
    <row r="414" spans="2:12">
      <c r="B414" s="112"/>
      <c r="C414" s="112"/>
      <c r="D414" s="112"/>
      <c r="F414" s="168" t="s">
        <v>6202</v>
      </c>
      <c r="G414" s="232">
        <f>IF(DBparts1[[#This Row],[Type]]&gt;0,VLOOKUP(DBparts1[[#This Row],[Type]],Main[[#All],[TYPE]:[UNIT]],'Unit Price'!C$1,FALSE),0)</f>
        <v>0</v>
      </c>
      <c r="H414" s="194">
        <f>IF(DBparts1[[#This Row],[Type]]&gt;0,VLOOKUP(DBparts1[[#This Row],[Type]],Main[[#All],[TYPE]:[UNIT]],'Unit Price'!D$1,FALSE),0)</f>
        <v>0</v>
      </c>
      <c r="I414" s="194">
        <f>IF(DBparts1[[#This Row],[Type]]&gt;0,VLOOKUP(DBparts1[[#This Row],[Type]],Main[[#All],[TYPE]:[UNIT]],'Unit Price'!G$1,FALSE),0)</f>
        <v>0</v>
      </c>
      <c r="J414" s="194">
        <f>IF(DBparts1[[#This Row],[Type]]&gt;0,VLOOKUP(DBparts1[[#This Row],[Type]],Main[[#All],[TYPE]:[UNIT]],'Unit Price'!H$1,FALSE),0)</f>
        <v>0</v>
      </c>
      <c r="K414" s="194">
        <f>IF(DBparts1[[#This Row],[Type]]&gt;0,VLOOKUP(DBparts1[[#This Row],[Discount seletion]],'Discount Structure'!$A$2:$B$30,2,"false"),0)</f>
        <v>0</v>
      </c>
      <c r="L414" s="194">
        <f>DBparts1[[#This Row],[LIST $]]*DBparts1[[#This Row],[DISCOUNT]]*DBparts1[[#This Row],[DISCOUNT 2]]</f>
        <v>0</v>
      </c>
    </row>
    <row r="415" spans="2:12">
      <c r="B415" s="112"/>
      <c r="C415" s="112"/>
      <c r="D415" s="112"/>
      <c r="F415" s="168" t="s">
        <v>6202</v>
      </c>
      <c r="G415" s="232">
        <f>IF(DBparts1[[#This Row],[Type]]&gt;0,VLOOKUP(DBparts1[[#This Row],[Type]],Main[[#All],[TYPE]:[UNIT]],'Unit Price'!C$1,FALSE),0)</f>
        <v>0</v>
      </c>
      <c r="H415" s="232">
        <f>IF(DBparts1[[#This Row],[Type]]&gt;0,VLOOKUP(DBparts1[[#This Row],[Type]],Main[[#All],[TYPE]:[UNIT]],'Unit Price'!D$1,FALSE),0)</f>
        <v>0</v>
      </c>
      <c r="I415" s="194">
        <f>IF(DBparts1[[#This Row],[Type]]&gt;0,VLOOKUP(DBparts1[[#This Row],[Type]],Main[[#All],[TYPE]:[UNIT]],'Unit Price'!G$1,FALSE),0)</f>
        <v>0</v>
      </c>
      <c r="J415" s="194">
        <f>IF(DBparts1[[#This Row],[Type]]&gt;0,VLOOKUP(DBparts1[[#This Row],[Type]],Main[[#All],[TYPE]:[UNIT]],'Unit Price'!H$1,FALSE),0)</f>
        <v>0</v>
      </c>
      <c r="K415" s="194">
        <f>IF(DBparts1[[#This Row],[Type]]&gt;0,VLOOKUP(DBparts1[[#This Row],[Discount seletion]],'Discount Structure'!$A$2:$B$30,2,"false"),0)</f>
        <v>0</v>
      </c>
      <c r="L415" s="194">
        <f>DBparts1[[#This Row],[LIST $]]*DBparts1[[#This Row],[DISCOUNT]]*DBparts1[[#This Row],[DISCOUNT 2]]</f>
        <v>0</v>
      </c>
    </row>
    <row r="416" spans="2:12">
      <c r="B416" s="112"/>
      <c r="C416" s="112"/>
      <c r="D416" s="112"/>
      <c r="F416" s="168" t="s">
        <v>6202</v>
      </c>
      <c r="G416" s="232">
        <f>IF(DBparts1[[#This Row],[Type]]&gt;0,VLOOKUP(DBparts1[[#This Row],[Type]],Main[[#All],[TYPE]:[UNIT]],'Unit Price'!C$1,FALSE),0)</f>
        <v>0</v>
      </c>
      <c r="H416" s="194">
        <f>IF(DBparts1[[#This Row],[Type]]&gt;0,VLOOKUP(DBparts1[[#This Row],[Type]],Main[[#All],[TYPE]:[UNIT]],'Unit Price'!D$1,FALSE),0)</f>
        <v>0</v>
      </c>
      <c r="I416" s="194">
        <f>IF(DBparts1[[#This Row],[Type]]&gt;0,VLOOKUP(DBparts1[[#This Row],[Type]],Main[[#All],[TYPE]:[UNIT]],'Unit Price'!G$1,FALSE),0)</f>
        <v>0</v>
      </c>
      <c r="J416" s="194">
        <f>IF(DBparts1[[#This Row],[Type]]&gt;0,VLOOKUP(DBparts1[[#This Row],[Type]],Main[[#All],[TYPE]:[UNIT]],'Unit Price'!H$1,FALSE),0)</f>
        <v>0</v>
      </c>
      <c r="K416" s="194">
        <f>IF(DBparts1[[#This Row],[Type]]&gt;0,VLOOKUP(DBparts1[[#This Row],[Discount seletion]],'Discount Structure'!$A$2:$B$30,2,"false"),0)</f>
        <v>0</v>
      </c>
      <c r="L416" s="194">
        <f>DBparts1[[#This Row],[LIST $]]*DBparts1[[#This Row],[DISCOUNT]]*DBparts1[[#This Row],[DISCOUNT 2]]</f>
        <v>0</v>
      </c>
    </row>
    <row r="417" spans="2:12">
      <c r="B417" s="112"/>
      <c r="C417" s="112"/>
      <c r="D417" s="112"/>
      <c r="F417" s="168" t="s">
        <v>6202</v>
      </c>
      <c r="G417" s="232">
        <f>IF(DBparts1[[#This Row],[Type]]&gt;0,VLOOKUP(DBparts1[[#This Row],[Type]],Main[[#All],[TYPE]:[UNIT]],'Unit Price'!C$1,FALSE),0)</f>
        <v>0</v>
      </c>
      <c r="H417" s="194">
        <f>IF(DBparts1[[#This Row],[Type]]&gt;0,VLOOKUP(DBparts1[[#This Row],[Type]],Main[[#All],[TYPE]:[UNIT]],'Unit Price'!D$1,FALSE),0)</f>
        <v>0</v>
      </c>
      <c r="I417" s="194">
        <f>IF(DBparts1[[#This Row],[Type]]&gt;0,VLOOKUP(DBparts1[[#This Row],[Type]],Main[[#All],[TYPE]:[UNIT]],'Unit Price'!G$1,FALSE),0)</f>
        <v>0</v>
      </c>
      <c r="J417" s="194">
        <f>IF(DBparts1[[#This Row],[Type]]&gt;0,VLOOKUP(DBparts1[[#This Row],[Type]],Main[[#All],[TYPE]:[UNIT]],'Unit Price'!H$1,FALSE),0)</f>
        <v>0</v>
      </c>
      <c r="K417" s="194">
        <f>IF(DBparts1[[#This Row],[Type]]&gt;0,VLOOKUP(DBparts1[[#This Row],[Discount seletion]],'Discount Structure'!$A$2:$B$30,2,"false"),0)</f>
        <v>0</v>
      </c>
      <c r="L417" s="194">
        <f>DBparts1[[#This Row],[LIST $]]*DBparts1[[#This Row],[DISCOUNT]]*DBparts1[[#This Row],[DISCOUNT 2]]</f>
        <v>0</v>
      </c>
    </row>
    <row r="418" spans="2:12">
      <c r="B418" s="112"/>
      <c r="C418" s="112"/>
      <c r="D418" s="112"/>
      <c r="F418" s="168" t="s">
        <v>6202</v>
      </c>
      <c r="G418" s="232">
        <f>IF(DBparts1[[#This Row],[Type]]&gt;0,VLOOKUP(DBparts1[[#This Row],[Type]],Main[[#All],[TYPE]:[UNIT]],'Unit Price'!C$1,FALSE),0)</f>
        <v>0</v>
      </c>
      <c r="H418" s="194">
        <f>IF(DBparts1[[#This Row],[Type]]&gt;0,VLOOKUP(DBparts1[[#This Row],[Type]],Main[[#All],[TYPE]:[UNIT]],'Unit Price'!D$1,FALSE),0)</f>
        <v>0</v>
      </c>
      <c r="I418" s="194">
        <f>IF(DBparts1[[#This Row],[Type]]&gt;0,VLOOKUP(DBparts1[[#This Row],[Type]],Main[[#All],[TYPE]:[UNIT]],'Unit Price'!G$1,FALSE),0)</f>
        <v>0</v>
      </c>
      <c r="J418" s="194">
        <f>IF(DBparts1[[#This Row],[Type]]&gt;0,VLOOKUP(DBparts1[[#This Row],[Type]],Main[[#All],[TYPE]:[UNIT]],'Unit Price'!H$1,FALSE),0)</f>
        <v>0</v>
      </c>
      <c r="K418" s="194">
        <f>IF(DBparts1[[#This Row],[Type]]&gt;0,VLOOKUP(DBparts1[[#This Row],[Discount seletion]],'Discount Structure'!$A$2:$B$30,2,"false"),0)</f>
        <v>0</v>
      </c>
      <c r="L418" s="194">
        <f>DBparts1[[#This Row],[LIST $]]*DBparts1[[#This Row],[DISCOUNT]]*DBparts1[[#This Row],[DISCOUNT 2]]</f>
        <v>0</v>
      </c>
    </row>
    <row r="419" spans="2:12">
      <c r="B419" s="112"/>
      <c r="C419" s="112"/>
      <c r="D419" s="112"/>
      <c r="F419" s="168" t="s">
        <v>6202</v>
      </c>
      <c r="G419" s="232">
        <f>IF(DBparts1[[#This Row],[Type]]&gt;0,VLOOKUP(DBparts1[[#This Row],[Type]],Main[[#All],[TYPE]:[UNIT]],'Unit Price'!C$1,FALSE),0)</f>
        <v>0</v>
      </c>
      <c r="H419" s="194">
        <f>IF(DBparts1[[#This Row],[Type]]&gt;0,VLOOKUP(DBparts1[[#This Row],[Type]],Main[[#All],[TYPE]:[UNIT]],'Unit Price'!D$1,FALSE),0)</f>
        <v>0</v>
      </c>
      <c r="I419" s="194">
        <f>IF(DBparts1[[#This Row],[Type]]&gt;0,VLOOKUP(DBparts1[[#This Row],[Type]],Main[[#All],[TYPE]:[UNIT]],'Unit Price'!G$1,FALSE),0)</f>
        <v>0</v>
      </c>
      <c r="J419" s="194">
        <f>IF(DBparts1[[#This Row],[Type]]&gt;0,VLOOKUP(DBparts1[[#This Row],[Type]],Main[[#All],[TYPE]:[UNIT]],'Unit Price'!H$1,FALSE),0)</f>
        <v>0</v>
      </c>
      <c r="K419" s="194">
        <f>IF(DBparts1[[#This Row],[Type]]&gt;0,VLOOKUP(DBparts1[[#This Row],[Discount seletion]],'Discount Structure'!$A$2:$B$30,2,"false"),0)</f>
        <v>0</v>
      </c>
      <c r="L419" s="194">
        <f>DBparts1[[#This Row],[LIST $]]*DBparts1[[#This Row],[DISCOUNT]]*DBparts1[[#This Row],[DISCOUNT 2]]</f>
        <v>0</v>
      </c>
    </row>
    <row r="420" spans="2:12">
      <c r="B420" s="112"/>
      <c r="C420" s="112"/>
      <c r="D420" s="112"/>
      <c r="F420" s="168" t="s">
        <v>6202</v>
      </c>
      <c r="G420" s="232">
        <f>IF(DBparts1[[#This Row],[Type]]&gt;0,VLOOKUP(DBparts1[[#This Row],[Type]],Main[[#All],[TYPE]:[UNIT]],'Unit Price'!C$1,FALSE),0)</f>
        <v>0</v>
      </c>
      <c r="H420" s="232">
        <f>IF(DBparts1[[#This Row],[Type]]&gt;0,VLOOKUP(DBparts1[[#This Row],[Type]],Main[[#All],[TYPE]:[UNIT]],'Unit Price'!D$1,FALSE),0)</f>
        <v>0</v>
      </c>
      <c r="I420" s="194">
        <f>IF(DBparts1[[#This Row],[Type]]&gt;0,VLOOKUP(DBparts1[[#This Row],[Type]],Main[[#All],[TYPE]:[UNIT]],'Unit Price'!G$1,FALSE),0)</f>
        <v>0</v>
      </c>
      <c r="J420" s="194">
        <f>IF(DBparts1[[#This Row],[Type]]&gt;0,VLOOKUP(DBparts1[[#This Row],[Type]],Main[[#All],[TYPE]:[UNIT]],'Unit Price'!H$1,FALSE),0)</f>
        <v>0</v>
      </c>
      <c r="K420" s="194">
        <f>IF(DBparts1[[#This Row],[Type]]&gt;0,VLOOKUP(DBparts1[[#This Row],[Discount seletion]],'Discount Structure'!$A$2:$B$30,2,"false"),0)</f>
        <v>0</v>
      </c>
      <c r="L420" s="194">
        <f>DBparts1[[#This Row],[LIST $]]*DBparts1[[#This Row],[DISCOUNT]]*DBparts1[[#This Row],[DISCOUNT 2]]</f>
        <v>0</v>
      </c>
    </row>
    <row r="421" spans="2:12">
      <c r="B421" s="112"/>
      <c r="C421" s="112"/>
      <c r="D421" s="112"/>
      <c r="F421" s="168" t="s">
        <v>6202</v>
      </c>
      <c r="G421" s="232">
        <f>IF(DBparts1[[#This Row],[Type]]&gt;0,VLOOKUP(DBparts1[[#This Row],[Type]],Main[[#All],[TYPE]:[UNIT]],'Unit Price'!C$1,FALSE),0)</f>
        <v>0</v>
      </c>
      <c r="H421" s="194">
        <f>IF(DBparts1[[#This Row],[Type]]&gt;0,VLOOKUP(DBparts1[[#This Row],[Type]],Main[[#All],[TYPE]:[UNIT]],'Unit Price'!D$1,FALSE),0)</f>
        <v>0</v>
      </c>
      <c r="I421" s="194">
        <f>IF(DBparts1[[#This Row],[Type]]&gt;0,VLOOKUP(DBparts1[[#This Row],[Type]],Main[[#All],[TYPE]:[UNIT]],'Unit Price'!G$1,FALSE),0)</f>
        <v>0</v>
      </c>
      <c r="J421" s="194">
        <f>IF(DBparts1[[#This Row],[Type]]&gt;0,VLOOKUP(DBparts1[[#This Row],[Type]],Main[[#All],[TYPE]:[UNIT]],'Unit Price'!H$1,FALSE),0)</f>
        <v>0</v>
      </c>
      <c r="K421" s="194">
        <f>IF(DBparts1[[#This Row],[Type]]&gt;0,VLOOKUP(DBparts1[[#This Row],[Discount seletion]],'Discount Structure'!$A$2:$B$30,2,"false"),0)</f>
        <v>0</v>
      </c>
      <c r="L421" s="194">
        <f>DBparts1[[#This Row],[LIST $]]*DBparts1[[#This Row],[DISCOUNT]]*DBparts1[[#This Row],[DISCOUNT 2]]</f>
        <v>0</v>
      </c>
    </row>
    <row r="422" spans="2:12">
      <c r="B422" s="112"/>
      <c r="C422" s="112"/>
      <c r="D422" s="112"/>
      <c r="F422" s="168" t="s">
        <v>6202</v>
      </c>
      <c r="G422" s="232">
        <f>IF(DBparts1[[#This Row],[Type]]&gt;0,VLOOKUP(DBparts1[[#This Row],[Type]],Main[[#All],[TYPE]:[UNIT]],'Unit Price'!C$1,FALSE),0)</f>
        <v>0</v>
      </c>
      <c r="H422" s="194">
        <f>IF(DBparts1[[#This Row],[Type]]&gt;0,VLOOKUP(DBparts1[[#This Row],[Type]],Main[[#All],[TYPE]:[UNIT]],'Unit Price'!D$1,FALSE),0)</f>
        <v>0</v>
      </c>
      <c r="I422" s="194">
        <f>IF(DBparts1[[#This Row],[Type]]&gt;0,VLOOKUP(DBparts1[[#This Row],[Type]],Main[[#All],[TYPE]:[UNIT]],'Unit Price'!G$1,FALSE),0)</f>
        <v>0</v>
      </c>
      <c r="J422" s="194">
        <f>IF(DBparts1[[#This Row],[Type]]&gt;0,VLOOKUP(DBparts1[[#This Row],[Type]],Main[[#All],[TYPE]:[UNIT]],'Unit Price'!H$1,FALSE),0)</f>
        <v>0</v>
      </c>
      <c r="K422" s="194">
        <f>IF(DBparts1[[#This Row],[Type]]&gt;0,VLOOKUP(DBparts1[[#This Row],[Discount seletion]],'Discount Structure'!$A$2:$B$30,2,"false"),0)</f>
        <v>0</v>
      </c>
      <c r="L422" s="194">
        <f>DBparts1[[#This Row],[LIST $]]*DBparts1[[#This Row],[DISCOUNT]]*DBparts1[[#This Row],[DISCOUNT 2]]</f>
        <v>0</v>
      </c>
    </row>
    <row r="423" spans="2:12">
      <c r="B423" s="112"/>
      <c r="C423" s="112"/>
      <c r="D423" s="112"/>
      <c r="F423" s="168" t="s">
        <v>6202</v>
      </c>
      <c r="G423" s="232">
        <f>IF(DBparts1[[#This Row],[Type]]&gt;0,VLOOKUP(DBparts1[[#This Row],[Type]],Main[[#All],[TYPE]:[UNIT]],'Unit Price'!C$1,FALSE),0)</f>
        <v>0</v>
      </c>
      <c r="H423" s="194">
        <f>IF(DBparts1[[#This Row],[Type]]&gt;0,VLOOKUP(DBparts1[[#This Row],[Type]],Main[[#All],[TYPE]:[UNIT]],'Unit Price'!D$1,FALSE),0)</f>
        <v>0</v>
      </c>
      <c r="I423" s="194">
        <f>IF(DBparts1[[#This Row],[Type]]&gt;0,VLOOKUP(DBparts1[[#This Row],[Type]],Main[[#All],[TYPE]:[UNIT]],'Unit Price'!G$1,FALSE),0)</f>
        <v>0</v>
      </c>
      <c r="J423" s="194">
        <f>IF(DBparts1[[#This Row],[Type]]&gt;0,VLOOKUP(DBparts1[[#This Row],[Type]],Main[[#All],[TYPE]:[UNIT]],'Unit Price'!H$1,FALSE),0)</f>
        <v>0</v>
      </c>
      <c r="K423" s="194">
        <f>IF(DBparts1[[#This Row],[Type]]&gt;0,VLOOKUP(DBparts1[[#This Row],[Discount seletion]],'Discount Structure'!$A$2:$B$30,2,"false"),0)</f>
        <v>0</v>
      </c>
      <c r="L423" s="194">
        <f>DBparts1[[#This Row],[LIST $]]*DBparts1[[#This Row],[DISCOUNT]]*DBparts1[[#This Row],[DISCOUNT 2]]</f>
        <v>0</v>
      </c>
    </row>
    <row r="424" spans="2:12">
      <c r="B424" s="112"/>
      <c r="C424" s="112"/>
      <c r="D424" s="112"/>
      <c r="F424" s="168" t="s">
        <v>6202</v>
      </c>
      <c r="G424" s="232">
        <f>IF(DBparts1[[#This Row],[Type]]&gt;0,VLOOKUP(DBparts1[[#This Row],[Type]],Main[[#All],[TYPE]:[UNIT]],'Unit Price'!C$1,FALSE),0)</f>
        <v>0</v>
      </c>
      <c r="H424" s="194">
        <f>IF(DBparts1[[#This Row],[Type]]&gt;0,VLOOKUP(DBparts1[[#This Row],[Type]],Main[[#All],[TYPE]:[UNIT]],'Unit Price'!D$1,FALSE),0)</f>
        <v>0</v>
      </c>
      <c r="I424" s="194">
        <f>IF(DBparts1[[#This Row],[Type]]&gt;0,VLOOKUP(DBparts1[[#This Row],[Type]],Main[[#All],[TYPE]:[UNIT]],'Unit Price'!G$1,FALSE),0)</f>
        <v>0</v>
      </c>
      <c r="J424" s="194">
        <f>IF(DBparts1[[#This Row],[Type]]&gt;0,VLOOKUP(DBparts1[[#This Row],[Type]],Main[[#All],[TYPE]:[UNIT]],'Unit Price'!H$1,FALSE),0)</f>
        <v>0</v>
      </c>
      <c r="K424" s="194">
        <f>IF(DBparts1[[#This Row],[Type]]&gt;0,VLOOKUP(DBparts1[[#This Row],[Discount seletion]],'Discount Structure'!$A$2:$B$30,2,"false"),0)</f>
        <v>0</v>
      </c>
      <c r="L424" s="194">
        <f>DBparts1[[#This Row],[LIST $]]*DBparts1[[#This Row],[DISCOUNT]]*DBparts1[[#This Row],[DISCOUNT 2]]</f>
        <v>0</v>
      </c>
    </row>
    <row r="425" spans="2:12">
      <c r="B425" s="112"/>
      <c r="C425" s="112"/>
      <c r="D425" s="112"/>
      <c r="F425" s="168" t="s">
        <v>6202</v>
      </c>
      <c r="G425" s="232">
        <f>IF(DBparts1[[#This Row],[Type]]&gt;0,VLOOKUP(DBparts1[[#This Row],[Type]],Main[[#All],[TYPE]:[UNIT]],'Unit Price'!C$1,FALSE),0)</f>
        <v>0</v>
      </c>
      <c r="H425" s="232">
        <f>IF(DBparts1[[#This Row],[Type]]&gt;0,VLOOKUP(DBparts1[[#This Row],[Type]],Main[[#All],[TYPE]:[UNIT]],'Unit Price'!D$1,FALSE),0)</f>
        <v>0</v>
      </c>
      <c r="I425" s="194">
        <f>IF(DBparts1[[#This Row],[Type]]&gt;0,VLOOKUP(DBparts1[[#This Row],[Type]],Main[[#All],[TYPE]:[UNIT]],'Unit Price'!G$1,FALSE),0)</f>
        <v>0</v>
      </c>
      <c r="J425" s="194">
        <f>IF(DBparts1[[#This Row],[Type]]&gt;0,VLOOKUP(DBparts1[[#This Row],[Type]],Main[[#All],[TYPE]:[UNIT]],'Unit Price'!H$1,FALSE),0)</f>
        <v>0</v>
      </c>
      <c r="K425" s="194">
        <f>IF(DBparts1[[#This Row],[Type]]&gt;0,VLOOKUP(DBparts1[[#This Row],[Discount seletion]],'Discount Structure'!$A$2:$B$30,2,"false"),0)</f>
        <v>0</v>
      </c>
      <c r="L425" s="194">
        <f>DBparts1[[#This Row],[LIST $]]*DBparts1[[#This Row],[DISCOUNT]]*DBparts1[[#This Row],[DISCOUNT 2]]</f>
        <v>0</v>
      </c>
    </row>
    <row r="426" spans="2:12">
      <c r="B426" s="112"/>
      <c r="C426" s="112"/>
      <c r="D426" s="112"/>
      <c r="F426" s="168" t="s">
        <v>6202</v>
      </c>
      <c r="G426" s="232">
        <f>IF(DBparts1[[#This Row],[Type]]&gt;0,VLOOKUP(DBparts1[[#This Row],[Type]],Main[[#All],[TYPE]:[UNIT]],'Unit Price'!C$1,FALSE),0)</f>
        <v>0</v>
      </c>
      <c r="H426" s="194">
        <f>IF(DBparts1[[#This Row],[Type]]&gt;0,VLOOKUP(DBparts1[[#This Row],[Type]],Main[[#All],[TYPE]:[UNIT]],'Unit Price'!D$1,FALSE),0)</f>
        <v>0</v>
      </c>
      <c r="I426" s="194">
        <f>IF(DBparts1[[#This Row],[Type]]&gt;0,VLOOKUP(DBparts1[[#This Row],[Type]],Main[[#All],[TYPE]:[UNIT]],'Unit Price'!G$1,FALSE),0)</f>
        <v>0</v>
      </c>
      <c r="J426" s="194">
        <f>IF(DBparts1[[#This Row],[Type]]&gt;0,VLOOKUP(DBparts1[[#This Row],[Type]],Main[[#All],[TYPE]:[UNIT]],'Unit Price'!H$1,FALSE),0)</f>
        <v>0</v>
      </c>
      <c r="K426" s="194">
        <f>IF(DBparts1[[#This Row],[Type]]&gt;0,VLOOKUP(DBparts1[[#This Row],[Discount seletion]],'Discount Structure'!$A$2:$B$30,2,"false"),0)</f>
        <v>0</v>
      </c>
      <c r="L426" s="194">
        <f>DBparts1[[#This Row],[LIST $]]*DBparts1[[#This Row],[DISCOUNT]]*DBparts1[[#This Row],[DISCOUNT 2]]</f>
        <v>0</v>
      </c>
    </row>
    <row r="427" spans="2:12">
      <c r="B427" s="112"/>
      <c r="C427" s="112"/>
      <c r="D427" s="112"/>
      <c r="F427" s="168" t="s">
        <v>6202</v>
      </c>
      <c r="G427" s="232">
        <f>IF(DBparts1[[#This Row],[Type]]&gt;0,VLOOKUP(DBparts1[[#This Row],[Type]],Main[[#All],[TYPE]:[UNIT]],'Unit Price'!C$1,FALSE),0)</f>
        <v>0</v>
      </c>
      <c r="H427" s="194">
        <f>IF(DBparts1[[#This Row],[Type]]&gt;0,VLOOKUP(DBparts1[[#This Row],[Type]],Main[[#All],[TYPE]:[UNIT]],'Unit Price'!D$1,FALSE),0)</f>
        <v>0</v>
      </c>
      <c r="I427" s="194">
        <f>IF(DBparts1[[#This Row],[Type]]&gt;0,VLOOKUP(DBparts1[[#This Row],[Type]],Main[[#All],[TYPE]:[UNIT]],'Unit Price'!G$1,FALSE),0)</f>
        <v>0</v>
      </c>
      <c r="J427" s="194">
        <f>IF(DBparts1[[#This Row],[Type]]&gt;0,VLOOKUP(DBparts1[[#This Row],[Type]],Main[[#All],[TYPE]:[UNIT]],'Unit Price'!H$1,FALSE),0)</f>
        <v>0</v>
      </c>
      <c r="K427" s="194">
        <f>IF(DBparts1[[#This Row],[Type]]&gt;0,VLOOKUP(DBparts1[[#This Row],[Discount seletion]],'Discount Structure'!$A$2:$B$30,2,"false"),0)</f>
        <v>0</v>
      </c>
      <c r="L427" s="194">
        <f>DBparts1[[#This Row],[LIST $]]*DBparts1[[#This Row],[DISCOUNT]]*DBparts1[[#This Row],[DISCOUNT 2]]</f>
        <v>0</v>
      </c>
    </row>
    <row r="428" spans="2:12">
      <c r="B428" s="112"/>
      <c r="C428" s="112"/>
      <c r="D428" s="112"/>
      <c r="F428" s="168" t="s">
        <v>6202</v>
      </c>
      <c r="G428" s="232">
        <f>IF(DBparts1[[#This Row],[Type]]&gt;0,VLOOKUP(DBparts1[[#This Row],[Type]],Main[[#All],[TYPE]:[UNIT]],'Unit Price'!C$1,FALSE),0)</f>
        <v>0</v>
      </c>
      <c r="H428" s="194">
        <f>IF(DBparts1[[#This Row],[Type]]&gt;0,VLOOKUP(DBparts1[[#This Row],[Type]],Main[[#All],[TYPE]:[UNIT]],'Unit Price'!D$1,FALSE),0)</f>
        <v>0</v>
      </c>
      <c r="I428" s="194">
        <f>IF(DBparts1[[#This Row],[Type]]&gt;0,VLOOKUP(DBparts1[[#This Row],[Type]],Main[[#All],[TYPE]:[UNIT]],'Unit Price'!G$1,FALSE),0)</f>
        <v>0</v>
      </c>
      <c r="J428" s="194">
        <f>IF(DBparts1[[#This Row],[Type]]&gt;0,VLOOKUP(DBparts1[[#This Row],[Type]],Main[[#All],[TYPE]:[UNIT]],'Unit Price'!H$1,FALSE),0)</f>
        <v>0</v>
      </c>
      <c r="K428" s="194">
        <f>IF(DBparts1[[#This Row],[Type]]&gt;0,VLOOKUP(DBparts1[[#This Row],[Discount seletion]],'Discount Structure'!$A$2:$B$30,2,"false"),0)</f>
        <v>0</v>
      </c>
      <c r="L428" s="194">
        <f>DBparts1[[#This Row],[LIST $]]*DBparts1[[#This Row],[DISCOUNT]]*DBparts1[[#This Row],[DISCOUNT 2]]</f>
        <v>0</v>
      </c>
    </row>
    <row r="429" spans="2:12">
      <c r="B429" s="112"/>
      <c r="C429" s="112"/>
      <c r="D429" s="112"/>
      <c r="F429" s="168" t="s">
        <v>6202</v>
      </c>
      <c r="G429" s="232">
        <f>IF(DBparts1[[#This Row],[Type]]&gt;0,VLOOKUP(DBparts1[[#This Row],[Type]],Main[[#All],[TYPE]:[UNIT]],'Unit Price'!C$1,FALSE),0)</f>
        <v>0</v>
      </c>
      <c r="H429" s="194">
        <f>IF(DBparts1[[#This Row],[Type]]&gt;0,VLOOKUP(DBparts1[[#This Row],[Type]],Main[[#All],[TYPE]:[UNIT]],'Unit Price'!D$1,FALSE),0)</f>
        <v>0</v>
      </c>
      <c r="I429" s="194">
        <f>IF(DBparts1[[#This Row],[Type]]&gt;0,VLOOKUP(DBparts1[[#This Row],[Type]],Main[[#All],[TYPE]:[UNIT]],'Unit Price'!G$1,FALSE),0)</f>
        <v>0</v>
      </c>
      <c r="J429" s="194">
        <f>IF(DBparts1[[#This Row],[Type]]&gt;0,VLOOKUP(DBparts1[[#This Row],[Type]],Main[[#All],[TYPE]:[UNIT]],'Unit Price'!H$1,FALSE),0)</f>
        <v>0</v>
      </c>
      <c r="K429" s="194">
        <f>IF(DBparts1[[#This Row],[Type]]&gt;0,VLOOKUP(DBparts1[[#This Row],[Discount seletion]],'Discount Structure'!$A$2:$B$30,2,"false"),0)</f>
        <v>0</v>
      </c>
      <c r="L429" s="194">
        <f>DBparts1[[#This Row],[LIST $]]*DBparts1[[#This Row],[DISCOUNT]]*DBparts1[[#This Row],[DISCOUNT 2]]</f>
        <v>0</v>
      </c>
    </row>
    <row r="430" spans="2:12">
      <c r="B430" s="112"/>
      <c r="C430" s="112"/>
      <c r="D430" s="112"/>
      <c r="F430" s="168" t="s">
        <v>6202</v>
      </c>
      <c r="G430" s="232">
        <f>IF(DBparts1[[#This Row],[Type]]&gt;0,VLOOKUP(DBparts1[[#This Row],[Type]],Main[[#All],[TYPE]:[UNIT]],'Unit Price'!C$1,FALSE),0)</f>
        <v>0</v>
      </c>
      <c r="H430" s="232">
        <f>IF(DBparts1[[#This Row],[Type]]&gt;0,VLOOKUP(DBparts1[[#This Row],[Type]],Main[[#All],[TYPE]:[UNIT]],'Unit Price'!D$1,FALSE),0)</f>
        <v>0</v>
      </c>
      <c r="I430" s="194">
        <f>IF(DBparts1[[#This Row],[Type]]&gt;0,VLOOKUP(DBparts1[[#This Row],[Type]],Main[[#All],[TYPE]:[UNIT]],'Unit Price'!G$1,FALSE),0)</f>
        <v>0</v>
      </c>
      <c r="J430" s="194">
        <f>IF(DBparts1[[#This Row],[Type]]&gt;0,VLOOKUP(DBparts1[[#This Row],[Type]],Main[[#All],[TYPE]:[UNIT]],'Unit Price'!H$1,FALSE),0)</f>
        <v>0</v>
      </c>
      <c r="K430" s="194">
        <f>IF(DBparts1[[#This Row],[Type]]&gt;0,VLOOKUP(DBparts1[[#This Row],[Discount seletion]],'Discount Structure'!$A$2:$B$30,2,"false"),0)</f>
        <v>0</v>
      </c>
      <c r="L430" s="194">
        <f>DBparts1[[#This Row],[LIST $]]*DBparts1[[#This Row],[DISCOUNT]]*DBparts1[[#This Row],[DISCOUNT 2]]</f>
        <v>0</v>
      </c>
    </row>
    <row r="431" spans="2:12">
      <c r="B431" s="112"/>
      <c r="C431" s="112"/>
      <c r="D431" s="112"/>
      <c r="F431" s="168" t="s">
        <v>6202</v>
      </c>
      <c r="G431" s="232">
        <f>IF(DBparts1[[#This Row],[Type]]&gt;0,VLOOKUP(DBparts1[[#This Row],[Type]],Main[[#All],[TYPE]:[UNIT]],'Unit Price'!C$1,FALSE),0)</f>
        <v>0</v>
      </c>
      <c r="H431" s="194">
        <f>IF(DBparts1[[#This Row],[Type]]&gt;0,VLOOKUP(DBparts1[[#This Row],[Type]],Main[[#All],[TYPE]:[UNIT]],'Unit Price'!D$1,FALSE),0)</f>
        <v>0</v>
      </c>
      <c r="I431" s="194">
        <f>IF(DBparts1[[#This Row],[Type]]&gt;0,VLOOKUP(DBparts1[[#This Row],[Type]],Main[[#All],[TYPE]:[UNIT]],'Unit Price'!G$1,FALSE),0)</f>
        <v>0</v>
      </c>
      <c r="J431" s="194">
        <f>IF(DBparts1[[#This Row],[Type]]&gt;0,VLOOKUP(DBparts1[[#This Row],[Type]],Main[[#All],[TYPE]:[UNIT]],'Unit Price'!H$1,FALSE),0)</f>
        <v>0</v>
      </c>
      <c r="K431" s="194">
        <f>IF(DBparts1[[#This Row],[Type]]&gt;0,VLOOKUP(DBparts1[[#This Row],[Discount seletion]],'Discount Structure'!$A$2:$B$30,2,"false"),0)</f>
        <v>0</v>
      </c>
      <c r="L431" s="194">
        <f>DBparts1[[#This Row],[LIST $]]*DBparts1[[#This Row],[DISCOUNT]]*DBparts1[[#This Row],[DISCOUNT 2]]</f>
        <v>0</v>
      </c>
    </row>
    <row r="432" spans="2:12">
      <c r="B432" s="112"/>
      <c r="C432" s="112"/>
      <c r="D432" s="112"/>
      <c r="F432" s="168" t="s">
        <v>6202</v>
      </c>
      <c r="G432" s="232">
        <f>IF(DBparts1[[#This Row],[Type]]&gt;0,VLOOKUP(DBparts1[[#This Row],[Type]],Main[[#All],[TYPE]:[UNIT]],'Unit Price'!C$1,FALSE),0)</f>
        <v>0</v>
      </c>
      <c r="H432" s="194">
        <f>IF(DBparts1[[#This Row],[Type]]&gt;0,VLOOKUP(DBparts1[[#This Row],[Type]],Main[[#All],[TYPE]:[UNIT]],'Unit Price'!D$1,FALSE),0)</f>
        <v>0</v>
      </c>
      <c r="I432" s="194">
        <f>IF(DBparts1[[#This Row],[Type]]&gt;0,VLOOKUP(DBparts1[[#This Row],[Type]],Main[[#All],[TYPE]:[UNIT]],'Unit Price'!G$1,FALSE),0)</f>
        <v>0</v>
      </c>
      <c r="J432" s="194">
        <f>IF(DBparts1[[#This Row],[Type]]&gt;0,VLOOKUP(DBparts1[[#This Row],[Type]],Main[[#All],[TYPE]:[UNIT]],'Unit Price'!H$1,FALSE),0)</f>
        <v>0</v>
      </c>
      <c r="K432" s="194">
        <f>IF(DBparts1[[#This Row],[Type]]&gt;0,VLOOKUP(DBparts1[[#This Row],[Discount seletion]],'Discount Structure'!$A$2:$B$30,2,"false"),0)</f>
        <v>0</v>
      </c>
      <c r="L432" s="194">
        <f>DBparts1[[#This Row],[LIST $]]*DBparts1[[#This Row],[DISCOUNT]]*DBparts1[[#This Row],[DISCOUNT 2]]</f>
        <v>0</v>
      </c>
    </row>
    <row r="433" spans="2:12">
      <c r="B433" s="112"/>
      <c r="C433" s="112"/>
      <c r="D433" s="112"/>
      <c r="F433" s="168" t="s">
        <v>6202</v>
      </c>
      <c r="G433" s="232">
        <f>IF(DBparts1[[#This Row],[Type]]&gt;0,VLOOKUP(DBparts1[[#This Row],[Type]],Main[[#All],[TYPE]:[UNIT]],'Unit Price'!C$1,FALSE),0)</f>
        <v>0</v>
      </c>
      <c r="H433" s="194">
        <f>IF(DBparts1[[#This Row],[Type]]&gt;0,VLOOKUP(DBparts1[[#This Row],[Type]],Main[[#All],[TYPE]:[UNIT]],'Unit Price'!D$1,FALSE),0)</f>
        <v>0</v>
      </c>
      <c r="I433" s="194">
        <f>IF(DBparts1[[#This Row],[Type]]&gt;0,VLOOKUP(DBparts1[[#This Row],[Type]],Main[[#All],[TYPE]:[UNIT]],'Unit Price'!G$1,FALSE),0)</f>
        <v>0</v>
      </c>
      <c r="J433" s="194">
        <f>IF(DBparts1[[#This Row],[Type]]&gt;0,VLOOKUP(DBparts1[[#This Row],[Type]],Main[[#All],[TYPE]:[UNIT]],'Unit Price'!H$1,FALSE),0)</f>
        <v>0</v>
      </c>
      <c r="K433" s="194">
        <f>IF(DBparts1[[#This Row],[Type]]&gt;0,VLOOKUP(DBparts1[[#This Row],[Discount seletion]],'Discount Structure'!$A$2:$B$30,2,"false"),0)</f>
        <v>0</v>
      </c>
      <c r="L433" s="194">
        <f>DBparts1[[#This Row],[LIST $]]*DBparts1[[#This Row],[DISCOUNT]]*DBparts1[[#This Row],[DISCOUNT 2]]</f>
        <v>0</v>
      </c>
    </row>
    <row r="434" spans="2:12">
      <c r="B434" s="112"/>
      <c r="C434" s="112"/>
      <c r="D434" s="112"/>
      <c r="F434" s="168" t="s">
        <v>6202</v>
      </c>
      <c r="G434" s="232">
        <f>IF(DBparts1[[#This Row],[Type]]&gt;0,VLOOKUP(DBparts1[[#This Row],[Type]],Main[[#All],[TYPE]:[UNIT]],'Unit Price'!C$1,FALSE),0)</f>
        <v>0</v>
      </c>
      <c r="H434" s="194">
        <f>IF(DBparts1[[#This Row],[Type]]&gt;0,VLOOKUP(DBparts1[[#This Row],[Type]],Main[[#All],[TYPE]:[UNIT]],'Unit Price'!D$1,FALSE),0)</f>
        <v>0</v>
      </c>
      <c r="I434" s="194">
        <f>IF(DBparts1[[#This Row],[Type]]&gt;0,VLOOKUP(DBparts1[[#This Row],[Type]],Main[[#All],[TYPE]:[UNIT]],'Unit Price'!G$1,FALSE),0)</f>
        <v>0</v>
      </c>
      <c r="J434" s="194">
        <f>IF(DBparts1[[#This Row],[Type]]&gt;0,VLOOKUP(DBparts1[[#This Row],[Type]],Main[[#All],[TYPE]:[UNIT]],'Unit Price'!H$1,FALSE),0)</f>
        <v>0</v>
      </c>
      <c r="K434" s="194">
        <f>IF(DBparts1[[#This Row],[Type]]&gt;0,VLOOKUP(DBparts1[[#This Row],[Discount seletion]],'Discount Structure'!$A$2:$B$30,2,"false"),0)</f>
        <v>0</v>
      </c>
      <c r="L434" s="194">
        <f>DBparts1[[#This Row],[LIST $]]*DBparts1[[#This Row],[DISCOUNT]]*DBparts1[[#This Row],[DISCOUNT 2]]</f>
        <v>0</v>
      </c>
    </row>
    <row r="435" spans="2:12">
      <c r="B435" s="112"/>
      <c r="C435" s="112"/>
      <c r="D435" s="112"/>
      <c r="F435" s="168" t="s">
        <v>6202</v>
      </c>
      <c r="G435" s="232">
        <f>IF(DBparts1[[#This Row],[Type]]&gt;0,VLOOKUP(DBparts1[[#This Row],[Type]],Main[[#All],[TYPE]:[UNIT]],'Unit Price'!C$1,FALSE),0)</f>
        <v>0</v>
      </c>
      <c r="H435" s="232">
        <f>IF(DBparts1[[#This Row],[Type]]&gt;0,VLOOKUP(DBparts1[[#This Row],[Type]],Main[[#All],[TYPE]:[UNIT]],'Unit Price'!D$1,FALSE),0)</f>
        <v>0</v>
      </c>
      <c r="I435" s="194">
        <f>IF(DBparts1[[#This Row],[Type]]&gt;0,VLOOKUP(DBparts1[[#This Row],[Type]],Main[[#All],[TYPE]:[UNIT]],'Unit Price'!G$1,FALSE),0)</f>
        <v>0</v>
      </c>
      <c r="J435" s="194">
        <f>IF(DBparts1[[#This Row],[Type]]&gt;0,VLOOKUP(DBparts1[[#This Row],[Type]],Main[[#All],[TYPE]:[UNIT]],'Unit Price'!H$1,FALSE),0)</f>
        <v>0</v>
      </c>
      <c r="K435" s="194">
        <f>IF(DBparts1[[#This Row],[Type]]&gt;0,VLOOKUP(DBparts1[[#This Row],[Discount seletion]],'Discount Structure'!$A$2:$B$30,2,"false"),0)</f>
        <v>0</v>
      </c>
      <c r="L435" s="194">
        <f>DBparts1[[#This Row],[LIST $]]*DBparts1[[#This Row],[DISCOUNT]]*DBparts1[[#This Row],[DISCOUNT 2]]</f>
        <v>0</v>
      </c>
    </row>
    <row r="436" spans="2:12">
      <c r="B436" s="112"/>
      <c r="C436" s="112"/>
      <c r="D436" s="112"/>
      <c r="F436" s="168" t="s">
        <v>6202</v>
      </c>
      <c r="G436" s="232">
        <f>IF(DBparts1[[#This Row],[Type]]&gt;0,VLOOKUP(DBparts1[[#This Row],[Type]],Main[[#All],[TYPE]:[UNIT]],'Unit Price'!C$1,FALSE),0)</f>
        <v>0</v>
      </c>
      <c r="H436" s="194">
        <f>IF(DBparts1[[#This Row],[Type]]&gt;0,VLOOKUP(DBparts1[[#This Row],[Type]],Main[[#All],[TYPE]:[UNIT]],'Unit Price'!D$1,FALSE),0)</f>
        <v>0</v>
      </c>
      <c r="I436" s="194">
        <f>IF(DBparts1[[#This Row],[Type]]&gt;0,VLOOKUP(DBparts1[[#This Row],[Type]],Main[[#All],[TYPE]:[UNIT]],'Unit Price'!G$1,FALSE),0)</f>
        <v>0</v>
      </c>
      <c r="J436" s="194">
        <f>IF(DBparts1[[#This Row],[Type]]&gt;0,VLOOKUP(DBparts1[[#This Row],[Type]],Main[[#All],[TYPE]:[UNIT]],'Unit Price'!H$1,FALSE),0)</f>
        <v>0</v>
      </c>
      <c r="K436" s="194">
        <f>IF(DBparts1[[#This Row],[Type]]&gt;0,VLOOKUP(DBparts1[[#This Row],[Discount seletion]],'Discount Structure'!$A$2:$B$30,2,"false"),0)</f>
        <v>0</v>
      </c>
      <c r="L436" s="194">
        <f>DBparts1[[#This Row],[LIST $]]*DBparts1[[#This Row],[DISCOUNT]]*DBparts1[[#This Row],[DISCOUNT 2]]</f>
        <v>0</v>
      </c>
    </row>
    <row r="437" spans="2:12">
      <c r="B437" s="112"/>
      <c r="C437" s="112"/>
      <c r="D437" s="112"/>
      <c r="F437" s="168" t="s">
        <v>6202</v>
      </c>
      <c r="G437" s="232">
        <f>IF(DBparts1[[#This Row],[Type]]&gt;0,VLOOKUP(DBparts1[[#This Row],[Type]],Main[[#All],[TYPE]:[UNIT]],'Unit Price'!C$1,FALSE),0)</f>
        <v>0</v>
      </c>
      <c r="H437" s="194">
        <f>IF(DBparts1[[#This Row],[Type]]&gt;0,VLOOKUP(DBparts1[[#This Row],[Type]],Main[[#All],[TYPE]:[UNIT]],'Unit Price'!D$1,FALSE),0)</f>
        <v>0</v>
      </c>
      <c r="I437" s="194">
        <f>IF(DBparts1[[#This Row],[Type]]&gt;0,VLOOKUP(DBparts1[[#This Row],[Type]],Main[[#All],[TYPE]:[UNIT]],'Unit Price'!G$1,FALSE),0)</f>
        <v>0</v>
      </c>
      <c r="J437" s="194">
        <f>IF(DBparts1[[#This Row],[Type]]&gt;0,VLOOKUP(DBparts1[[#This Row],[Type]],Main[[#All],[TYPE]:[UNIT]],'Unit Price'!H$1,FALSE),0)</f>
        <v>0</v>
      </c>
      <c r="K437" s="194">
        <f>IF(DBparts1[[#This Row],[Type]]&gt;0,VLOOKUP(DBparts1[[#This Row],[Discount seletion]],'Discount Structure'!$A$2:$B$30,2,"false"),0)</f>
        <v>0</v>
      </c>
      <c r="L437" s="194">
        <f>DBparts1[[#This Row],[LIST $]]*DBparts1[[#This Row],[DISCOUNT]]*DBparts1[[#This Row],[DISCOUNT 2]]</f>
        <v>0</v>
      </c>
    </row>
    <row r="438" spans="2:12">
      <c r="B438" s="112"/>
      <c r="C438" s="112"/>
      <c r="D438" s="112"/>
      <c r="F438" s="168" t="s">
        <v>6202</v>
      </c>
      <c r="G438" s="232">
        <f>IF(DBparts1[[#This Row],[Type]]&gt;0,VLOOKUP(DBparts1[[#This Row],[Type]],Main[[#All],[TYPE]:[UNIT]],'Unit Price'!C$1,FALSE),0)</f>
        <v>0</v>
      </c>
      <c r="H438" s="194">
        <f>IF(DBparts1[[#This Row],[Type]]&gt;0,VLOOKUP(DBparts1[[#This Row],[Type]],Main[[#All],[TYPE]:[UNIT]],'Unit Price'!D$1,FALSE),0)</f>
        <v>0</v>
      </c>
      <c r="I438" s="194">
        <f>IF(DBparts1[[#This Row],[Type]]&gt;0,VLOOKUP(DBparts1[[#This Row],[Type]],Main[[#All],[TYPE]:[UNIT]],'Unit Price'!G$1,FALSE),0)</f>
        <v>0</v>
      </c>
      <c r="J438" s="194">
        <f>IF(DBparts1[[#This Row],[Type]]&gt;0,VLOOKUP(DBparts1[[#This Row],[Type]],Main[[#All],[TYPE]:[UNIT]],'Unit Price'!H$1,FALSE),0)</f>
        <v>0</v>
      </c>
      <c r="K438" s="194">
        <f>IF(DBparts1[[#This Row],[Type]]&gt;0,VLOOKUP(DBparts1[[#This Row],[Discount seletion]],'Discount Structure'!$A$2:$B$30,2,"false"),0)</f>
        <v>0</v>
      </c>
      <c r="L438" s="194">
        <f>DBparts1[[#This Row],[LIST $]]*DBparts1[[#This Row],[DISCOUNT]]*DBparts1[[#This Row],[DISCOUNT 2]]</f>
        <v>0</v>
      </c>
    </row>
    <row r="439" spans="2:12">
      <c r="B439" s="112"/>
      <c r="C439" s="112"/>
      <c r="D439" s="112"/>
      <c r="F439" s="168" t="s">
        <v>6202</v>
      </c>
      <c r="G439" s="232">
        <f>IF(DBparts1[[#This Row],[Type]]&gt;0,VLOOKUP(DBparts1[[#This Row],[Type]],Main[[#All],[TYPE]:[UNIT]],'Unit Price'!C$1,FALSE),0)</f>
        <v>0</v>
      </c>
      <c r="H439" s="194">
        <f>IF(DBparts1[[#This Row],[Type]]&gt;0,VLOOKUP(DBparts1[[#This Row],[Type]],Main[[#All],[TYPE]:[UNIT]],'Unit Price'!D$1,FALSE),0)</f>
        <v>0</v>
      </c>
      <c r="I439" s="194">
        <f>IF(DBparts1[[#This Row],[Type]]&gt;0,VLOOKUP(DBparts1[[#This Row],[Type]],Main[[#All],[TYPE]:[UNIT]],'Unit Price'!G$1,FALSE),0)</f>
        <v>0</v>
      </c>
      <c r="J439" s="194">
        <f>IF(DBparts1[[#This Row],[Type]]&gt;0,VLOOKUP(DBparts1[[#This Row],[Type]],Main[[#All],[TYPE]:[UNIT]],'Unit Price'!H$1,FALSE),0)</f>
        <v>0</v>
      </c>
      <c r="K439" s="194">
        <f>IF(DBparts1[[#This Row],[Type]]&gt;0,VLOOKUP(DBparts1[[#This Row],[Discount seletion]],'Discount Structure'!$A$2:$B$30,2,"false"),0)</f>
        <v>0</v>
      </c>
      <c r="L439" s="194">
        <f>DBparts1[[#This Row],[LIST $]]*DBparts1[[#This Row],[DISCOUNT]]*DBparts1[[#This Row],[DISCOUNT 2]]</f>
        <v>0</v>
      </c>
    </row>
    <row r="440" spans="2:12">
      <c r="B440" s="112"/>
      <c r="C440" s="112"/>
      <c r="D440" s="112"/>
      <c r="F440" s="168" t="s">
        <v>6202</v>
      </c>
      <c r="G440" s="232">
        <f>IF(DBparts1[[#This Row],[Type]]&gt;0,VLOOKUP(DBparts1[[#This Row],[Type]],Main[[#All],[TYPE]:[UNIT]],'Unit Price'!C$1,FALSE),0)</f>
        <v>0</v>
      </c>
      <c r="H440" s="232">
        <f>IF(DBparts1[[#This Row],[Type]]&gt;0,VLOOKUP(DBparts1[[#This Row],[Type]],Main[[#All],[TYPE]:[UNIT]],'Unit Price'!D$1,FALSE),0)</f>
        <v>0</v>
      </c>
      <c r="I440" s="194">
        <f>IF(DBparts1[[#This Row],[Type]]&gt;0,VLOOKUP(DBparts1[[#This Row],[Type]],Main[[#All],[TYPE]:[UNIT]],'Unit Price'!G$1,FALSE),0)</f>
        <v>0</v>
      </c>
      <c r="J440" s="194">
        <f>IF(DBparts1[[#This Row],[Type]]&gt;0,VLOOKUP(DBparts1[[#This Row],[Type]],Main[[#All],[TYPE]:[UNIT]],'Unit Price'!H$1,FALSE),0)</f>
        <v>0</v>
      </c>
      <c r="K440" s="194">
        <f>IF(DBparts1[[#This Row],[Type]]&gt;0,VLOOKUP(DBparts1[[#This Row],[Discount seletion]],'Discount Structure'!$A$2:$B$30,2,"false"),0)</f>
        <v>0</v>
      </c>
      <c r="L440" s="194">
        <f>DBparts1[[#This Row],[LIST $]]*DBparts1[[#This Row],[DISCOUNT]]*DBparts1[[#This Row],[DISCOUNT 2]]</f>
        <v>0</v>
      </c>
    </row>
    <row r="441" spans="2:12">
      <c r="B441" s="112"/>
      <c r="C441" s="112"/>
      <c r="D441" s="112"/>
      <c r="F441" s="168" t="s">
        <v>6202</v>
      </c>
      <c r="G441" s="232">
        <f>IF(DBparts1[[#This Row],[Type]]&gt;0,VLOOKUP(DBparts1[[#This Row],[Type]],Main[[#All],[TYPE]:[UNIT]],'Unit Price'!C$1,FALSE),0)</f>
        <v>0</v>
      </c>
      <c r="H441" s="194">
        <f>IF(DBparts1[[#This Row],[Type]]&gt;0,VLOOKUP(DBparts1[[#This Row],[Type]],Main[[#All],[TYPE]:[UNIT]],'Unit Price'!D$1,FALSE),0)</f>
        <v>0</v>
      </c>
      <c r="I441" s="194">
        <f>IF(DBparts1[[#This Row],[Type]]&gt;0,VLOOKUP(DBparts1[[#This Row],[Type]],Main[[#All],[TYPE]:[UNIT]],'Unit Price'!G$1,FALSE),0)</f>
        <v>0</v>
      </c>
      <c r="J441" s="194">
        <f>IF(DBparts1[[#This Row],[Type]]&gt;0,VLOOKUP(DBparts1[[#This Row],[Type]],Main[[#All],[TYPE]:[UNIT]],'Unit Price'!H$1,FALSE),0)</f>
        <v>0</v>
      </c>
      <c r="K441" s="194">
        <f>IF(DBparts1[[#This Row],[Type]]&gt;0,VLOOKUP(DBparts1[[#This Row],[Discount seletion]],'Discount Structure'!$A$2:$B$30,2,"false"),0)</f>
        <v>0</v>
      </c>
      <c r="L441" s="194">
        <f>DBparts1[[#This Row],[LIST $]]*DBparts1[[#This Row],[DISCOUNT]]*DBparts1[[#This Row],[DISCOUNT 2]]</f>
        <v>0</v>
      </c>
    </row>
    <row r="442" spans="2:12">
      <c r="B442" s="112"/>
      <c r="C442" s="112"/>
      <c r="D442" s="112"/>
      <c r="F442" s="168" t="s">
        <v>6202</v>
      </c>
      <c r="G442" s="232">
        <f>IF(DBparts1[[#This Row],[Type]]&gt;0,VLOOKUP(DBparts1[[#This Row],[Type]],Main[[#All],[TYPE]:[UNIT]],'Unit Price'!C$1,FALSE),0)</f>
        <v>0</v>
      </c>
      <c r="H442" s="237">
        <f>IF(DBparts1[[#This Row],[Type]]&gt;0,VLOOKUP(DBparts1[[#This Row],[Type]],Main[[#All],[TYPE]:[UNIT]],'Unit Price'!D$1,FALSE),0)</f>
        <v>0</v>
      </c>
      <c r="I442" s="194">
        <f>IF(DBparts1[[#This Row],[Type]]&gt;0,VLOOKUP(DBparts1[[#This Row],[Type]],Main[[#All],[TYPE]:[UNIT]],'Unit Price'!G$1,FALSE),0)</f>
        <v>0</v>
      </c>
      <c r="J442" s="194">
        <f>IF(DBparts1[[#This Row],[Type]]&gt;0,VLOOKUP(DBparts1[[#This Row],[Type]],Main[[#All],[TYPE]:[UNIT]],'Unit Price'!H$1,FALSE),0)</f>
        <v>0</v>
      </c>
      <c r="K442" s="194">
        <f>IF(DBparts1[[#This Row],[Type]]&gt;0,VLOOKUP(DBparts1[[#This Row],[Discount seletion]],'Discount Structure'!$A$2:$B$30,2,"false"),0)</f>
        <v>0</v>
      </c>
      <c r="L442" s="194">
        <f>DBparts1[[#This Row],[LIST $]]*DBparts1[[#This Row],[DISCOUNT]]*DBparts1[[#This Row],[DISCOUNT 2]]</f>
        <v>0</v>
      </c>
    </row>
    <row r="443" spans="2:12">
      <c r="B443" s="112"/>
      <c r="C443" s="112"/>
      <c r="D443" s="112"/>
      <c r="F443" s="168" t="s">
        <v>6202</v>
      </c>
      <c r="G443" s="232">
        <f>IF(DBparts1[[#This Row],[Type]]&gt;0,VLOOKUP(DBparts1[[#This Row],[Type]],Main[[#All],[TYPE]:[UNIT]],'Unit Price'!C$1,FALSE),0)</f>
        <v>0</v>
      </c>
      <c r="H443" s="194">
        <f>IF(DBparts1[[#This Row],[Type]]&gt;0,VLOOKUP(DBparts1[[#This Row],[Type]],Main[[#All],[TYPE]:[UNIT]],'Unit Price'!D$1,FALSE),0)</f>
        <v>0</v>
      </c>
      <c r="I443" s="194">
        <f>IF(DBparts1[[#This Row],[Type]]&gt;0,VLOOKUP(DBparts1[[#This Row],[Type]],Main[[#All],[TYPE]:[UNIT]],'Unit Price'!G$1,FALSE),0)</f>
        <v>0</v>
      </c>
      <c r="J443" s="194">
        <f>IF(DBparts1[[#This Row],[Type]]&gt;0,VLOOKUP(DBparts1[[#This Row],[Type]],Main[[#All],[TYPE]:[UNIT]],'Unit Price'!H$1,FALSE),0)</f>
        <v>0</v>
      </c>
      <c r="K443" s="194">
        <f>IF(DBparts1[[#This Row],[Type]]&gt;0,VLOOKUP(DBparts1[[#This Row],[Discount seletion]],'Discount Structure'!$A$2:$B$30,2,"false"),0)</f>
        <v>0</v>
      </c>
      <c r="L443" s="194">
        <f>DBparts1[[#This Row],[LIST $]]*DBparts1[[#This Row],[DISCOUNT]]*DBparts1[[#This Row],[DISCOUNT 2]]</f>
        <v>0</v>
      </c>
    </row>
    <row r="444" spans="2:12">
      <c r="B444" s="112"/>
      <c r="C444" s="112"/>
      <c r="D444" s="112"/>
      <c r="F444" s="168" t="s">
        <v>6202</v>
      </c>
      <c r="G444" s="232">
        <f>IF(DBparts1[[#This Row],[Type]]&gt;0,VLOOKUP(DBparts1[[#This Row],[Type]],Main[[#All],[TYPE]:[UNIT]],'Unit Price'!C$1,FALSE),0)</f>
        <v>0</v>
      </c>
      <c r="H444" s="194">
        <f>IF(DBparts1[[#This Row],[Type]]&gt;0,VLOOKUP(DBparts1[[#This Row],[Type]],Main[[#All],[TYPE]:[UNIT]],'Unit Price'!D$1,FALSE),0)</f>
        <v>0</v>
      </c>
      <c r="I444" s="194">
        <f>IF(DBparts1[[#This Row],[Type]]&gt;0,VLOOKUP(DBparts1[[#This Row],[Type]],Main[[#All],[TYPE]:[UNIT]],'Unit Price'!G$1,FALSE),0)</f>
        <v>0</v>
      </c>
      <c r="J444" s="194">
        <f>IF(DBparts1[[#This Row],[Type]]&gt;0,VLOOKUP(DBparts1[[#This Row],[Type]],Main[[#All],[TYPE]:[UNIT]],'Unit Price'!H$1,FALSE),0)</f>
        <v>0</v>
      </c>
      <c r="K444" s="194">
        <f>IF(DBparts1[[#This Row],[Type]]&gt;0,VLOOKUP(DBparts1[[#This Row],[Discount seletion]],'Discount Structure'!$A$2:$B$30,2,"false"),0)</f>
        <v>0</v>
      </c>
      <c r="L444" s="194">
        <f>DBparts1[[#This Row],[LIST $]]*DBparts1[[#This Row],[DISCOUNT]]*DBparts1[[#This Row],[DISCOUNT 2]]</f>
        <v>0</v>
      </c>
    </row>
    <row r="445" spans="2:12">
      <c r="B445" s="112"/>
      <c r="C445" s="112"/>
      <c r="D445" s="112"/>
      <c r="F445" s="168" t="s">
        <v>6202</v>
      </c>
      <c r="G445" s="232">
        <f>IF(DBparts1[[#This Row],[Type]]&gt;0,VLOOKUP(DBparts1[[#This Row],[Type]],Main[[#All],[TYPE]:[UNIT]],'Unit Price'!C$1,FALSE),0)</f>
        <v>0</v>
      </c>
      <c r="H445" s="194">
        <f>IF(DBparts1[[#This Row],[Type]]&gt;0,VLOOKUP(DBparts1[[#This Row],[Type]],Main[[#All],[TYPE]:[UNIT]],'Unit Price'!D$1,FALSE),0)</f>
        <v>0</v>
      </c>
      <c r="I445" s="194">
        <f>IF(DBparts1[[#This Row],[Type]]&gt;0,VLOOKUP(DBparts1[[#This Row],[Type]],Main[[#All],[TYPE]:[UNIT]],'Unit Price'!G$1,FALSE),0)</f>
        <v>0</v>
      </c>
      <c r="J445" s="194">
        <f>IF(DBparts1[[#This Row],[Type]]&gt;0,VLOOKUP(DBparts1[[#This Row],[Type]],Main[[#All],[TYPE]:[UNIT]],'Unit Price'!H$1,FALSE),0)</f>
        <v>0</v>
      </c>
      <c r="K445" s="194">
        <f>IF(DBparts1[[#This Row],[Type]]&gt;0,VLOOKUP(DBparts1[[#This Row],[Discount seletion]],'Discount Structure'!$A$2:$B$30,2,"false"),0)</f>
        <v>0</v>
      </c>
      <c r="L445" s="194">
        <f>DBparts1[[#This Row],[LIST $]]*DBparts1[[#This Row],[DISCOUNT]]*DBparts1[[#This Row],[DISCOUNT 2]]</f>
        <v>0</v>
      </c>
    </row>
    <row r="446" spans="2:12">
      <c r="B446" s="112"/>
      <c r="C446" s="112"/>
      <c r="D446" s="112"/>
      <c r="F446" s="168" t="s">
        <v>6202</v>
      </c>
      <c r="G446" s="232">
        <f>IF(DBparts1[[#This Row],[Type]]&gt;0,VLOOKUP(DBparts1[[#This Row],[Type]],Main[[#All],[TYPE]:[UNIT]],'Unit Price'!C$1,FALSE),0)</f>
        <v>0</v>
      </c>
      <c r="H446" s="238">
        <f>IF(DBparts1[[#This Row],[Type]]&gt;0,VLOOKUP(DBparts1[[#This Row],[Type]],Main[[#All],[TYPE]:[UNIT]],'Unit Price'!D$1,FALSE),0)</f>
        <v>0</v>
      </c>
      <c r="I446" s="194">
        <f>IF(DBparts1[[#This Row],[Type]]&gt;0,VLOOKUP(DBparts1[[#This Row],[Type]],Main[[#All],[TYPE]:[UNIT]],'Unit Price'!G$1,FALSE),0)</f>
        <v>0</v>
      </c>
      <c r="J446" s="194">
        <f>IF(DBparts1[[#This Row],[Type]]&gt;0,VLOOKUP(DBparts1[[#This Row],[Type]],Main[[#All],[TYPE]:[UNIT]],'Unit Price'!H$1,FALSE),0)</f>
        <v>0</v>
      </c>
      <c r="K446" s="194">
        <f>IF(DBparts1[[#This Row],[Type]]&gt;0,VLOOKUP(DBparts1[[#This Row],[Discount seletion]],'Discount Structure'!$A$2:$B$30,2,"false"),0)</f>
        <v>0</v>
      </c>
      <c r="L446" s="194">
        <f>DBparts1[[#This Row],[LIST $]]*DBparts1[[#This Row],[DISCOUNT]]*DBparts1[[#This Row],[DISCOUNT 2]]</f>
        <v>0</v>
      </c>
    </row>
    <row r="447" spans="2:12">
      <c r="B447" s="112"/>
      <c r="C447" s="112"/>
      <c r="D447" s="112"/>
      <c r="F447" s="168" t="s">
        <v>6202</v>
      </c>
      <c r="G447" s="232">
        <f>IF(DBparts1[[#This Row],[Type]]&gt;0,VLOOKUP(DBparts1[[#This Row],[Type]],Main[[#All],[TYPE]:[UNIT]],'Unit Price'!C$1,FALSE),0)</f>
        <v>0</v>
      </c>
      <c r="H447" s="194">
        <f>IF(DBparts1[[#This Row],[Type]]&gt;0,VLOOKUP(DBparts1[[#This Row],[Type]],Main[[#All],[TYPE]:[UNIT]],'Unit Price'!D$1,FALSE),0)</f>
        <v>0</v>
      </c>
      <c r="I447" s="194">
        <f>IF(DBparts1[[#This Row],[Type]]&gt;0,VLOOKUP(DBparts1[[#This Row],[Type]],Main[[#All],[TYPE]:[UNIT]],'Unit Price'!G$1,FALSE),0)</f>
        <v>0</v>
      </c>
      <c r="J447" s="194">
        <f>IF(DBparts1[[#This Row],[Type]]&gt;0,VLOOKUP(DBparts1[[#This Row],[Type]],Main[[#All],[TYPE]:[UNIT]],'Unit Price'!H$1,FALSE),0)</f>
        <v>0</v>
      </c>
      <c r="K447" s="194">
        <f>IF(DBparts1[[#This Row],[Type]]&gt;0,VLOOKUP(DBparts1[[#This Row],[Discount seletion]],'Discount Structure'!$A$2:$B$30,2,"false"),0)</f>
        <v>0</v>
      </c>
      <c r="L447" s="194">
        <f>DBparts1[[#This Row],[LIST $]]*DBparts1[[#This Row],[DISCOUNT]]*DBparts1[[#This Row],[DISCOUNT 2]]</f>
        <v>0</v>
      </c>
    </row>
    <row r="448" spans="2:12">
      <c r="B448" s="112"/>
      <c r="C448" s="112"/>
      <c r="D448" s="112"/>
      <c r="F448" s="168" t="s">
        <v>6202</v>
      </c>
      <c r="G448" s="232">
        <f>IF(DBparts1[[#This Row],[Type]]&gt;0,VLOOKUP(DBparts1[[#This Row],[Type]],Main[[#All],[TYPE]:[UNIT]],'Unit Price'!C$1,FALSE),0)</f>
        <v>0</v>
      </c>
      <c r="H448" s="194">
        <f>IF(DBparts1[[#This Row],[Type]]&gt;0,VLOOKUP(DBparts1[[#This Row],[Type]],Main[[#All],[TYPE]:[UNIT]],'Unit Price'!D$1,FALSE),0)</f>
        <v>0</v>
      </c>
      <c r="I448" s="194">
        <f>IF(DBparts1[[#This Row],[Type]]&gt;0,VLOOKUP(DBparts1[[#This Row],[Type]],Main[[#All],[TYPE]:[UNIT]],'Unit Price'!G$1,FALSE),0)</f>
        <v>0</v>
      </c>
      <c r="J448" s="194">
        <f>IF(DBparts1[[#This Row],[Type]]&gt;0,VLOOKUP(DBparts1[[#This Row],[Type]],Main[[#All],[TYPE]:[UNIT]],'Unit Price'!H$1,FALSE),0)</f>
        <v>0</v>
      </c>
      <c r="K448" s="194">
        <f>IF(DBparts1[[#This Row],[Type]]&gt;0,VLOOKUP(DBparts1[[#This Row],[Discount seletion]],'Discount Structure'!$A$2:$B$30,2,"false"),0)</f>
        <v>0</v>
      </c>
      <c r="L448" s="194">
        <f>DBparts1[[#This Row],[LIST $]]*DBparts1[[#This Row],[DISCOUNT]]*DBparts1[[#This Row],[DISCOUNT 2]]</f>
        <v>0</v>
      </c>
    </row>
    <row r="449" spans="2:12">
      <c r="B449" s="112"/>
      <c r="C449" s="112"/>
      <c r="D449" s="112"/>
      <c r="F449" s="168" t="s">
        <v>6202</v>
      </c>
      <c r="G449" s="232">
        <f>IF(DBparts1[[#This Row],[Type]]&gt;0,VLOOKUP(DBparts1[[#This Row],[Type]],Main[[#All],[TYPE]:[UNIT]],'Unit Price'!C$1,FALSE),0)</f>
        <v>0</v>
      </c>
      <c r="H449" s="194">
        <f>IF(DBparts1[[#This Row],[Type]]&gt;0,VLOOKUP(DBparts1[[#This Row],[Type]],Main[[#All],[TYPE]:[UNIT]],'Unit Price'!D$1,FALSE),0)</f>
        <v>0</v>
      </c>
      <c r="I449" s="194">
        <f>IF(DBparts1[[#This Row],[Type]]&gt;0,VLOOKUP(DBparts1[[#This Row],[Type]],Main[[#All],[TYPE]:[UNIT]],'Unit Price'!G$1,FALSE),0)</f>
        <v>0</v>
      </c>
      <c r="J449" s="194">
        <f>IF(DBparts1[[#This Row],[Type]]&gt;0,VLOOKUP(DBparts1[[#This Row],[Type]],Main[[#All],[TYPE]:[UNIT]],'Unit Price'!H$1,FALSE),0)</f>
        <v>0</v>
      </c>
      <c r="K449" s="194">
        <f>IF(DBparts1[[#This Row],[Type]]&gt;0,VLOOKUP(DBparts1[[#This Row],[Discount seletion]],'Discount Structure'!$A$2:$B$30,2,"false"),0)</f>
        <v>0</v>
      </c>
      <c r="L449" s="194">
        <f>DBparts1[[#This Row],[LIST $]]*DBparts1[[#This Row],[DISCOUNT]]*DBparts1[[#This Row],[DISCOUNT 2]]</f>
        <v>0</v>
      </c>
    </row>
    <row r="450" spans="2:12">
      <c r="B450" s="112"/>
      <c r="C450" s="112"/>
      <c r="D450" s="112"/>
      <c r="F450" s="168" t="s">
        <v>6202</v>
      </c>
      <c r="G450" s="232">
        <f>IF(DBparts1[[#This Row],[Type]]&gt;0,VLOOKUP(DBparts1[[#This Row],[Type]],Main[[#All],[TYPE]:[UNIT]],'Unit Price'!C$1,FALSE),0)</f>
        <v>0</v>
      </c>
      <c r="H450" s="232">
        <f>IF(DBparts1[[#This Row],[Type]]&gt;0,VLOOKUP(DBparts1[[#This Row],[Type]],Main[[#All],[TYPE]:[UNIT]],'Unit Price'!D$1,FALSE),0)</f>
        <v>0</v>
      </c>
      <c r="I450" s="194">
        <f>IF(DBparts1[[#This Row],[Type]]&gt;0,VLOOKUP(DBparts1[[#This Row],[Type]],Main[[#All],[TYPE]:[UNIT]],'Unit Price'!G$1,FALSE),0)</f>
        <v>0</v>
      </c>
      <c r="J450" s="194">
        <f>IF(DBparts1[[#This Row],[Type]]&gt;0,VLOOKUP(DBparts1[[#This Row],[Type]],Main[[#All],[TYPE]:[UNIT]],'Unit Price'!H$1,FALSE),0)</f>
        <v>0</v>
      </c>
      <c r="K450" s="194">
        <f>IF(DBparts1[[#This Row],[Type]]&gt;0,VLOOKUP(DBparts1[[#This Row],[Discount seletion]],'Discount Structure'!$A$2:$B$30,2,"false"),0)</f>
        <v>0</v>
      </c>
      <c r="L450" s="194">
        <f>DBparts1[[#This Row],[LIST $]]*DBparts1[[#This Row],[DISCOUNT]]*DBparts1[[#This Row],[DISCOUNT 2]]</f>
        <v>0</v>
      </c>
    </row>
    <row r="451" spans="2:12">
      <c r="B451" s="112"/>
      <c r="C451" s="112"/>
      <c r="D451" s="112"/>
      <c r="F451" s="168" t="s">
        <v>6202</v>
      </c>
      <c r="G451" s="232">
        <f>IF(DBparts1[[#This Row],[Type]]&gt;0,VLOOKUP(DBparts1[[#This Row],[Type]],Main[[#All],[TYPE]:[UNIT]],'Unit Price'!C$1,FALSE),0)</f>
        <v>0</v>
      </c>
      <c r="H451" s="237">
        <f>IF(DBparts1[[#This Row],[Type]]&gt;0,VLOOKUP(DBparts1[[#This Row],[Type]],Main[[#All],[TYPE]:[UNIT]],'Unit Price'!D$1,FALSE),0)</f>
        <v>0</v>
      </c>
      <c r="I451" s="194">
        <f>IF(DBparts1[[#This Row],[Type]]&gt;0,VLOOKUP(DBparts1[[#This Row],[Type]],Main[[#All],[TYPE]:[UNIT]],'Unit Price'!G$1,FALSE),0)</f>
        <v>0</v>
      </c>
      <c r="J451" s="194">
        <f>IF(DBparts1[[#This Row],[Type]]&gt;0,VLOOKUP(DBparts1[[#This Row],[Type]],Main[[#All],[TYPE]:[UNIT]],'Unit Price'!H$1,FALSE),0)</f>
        <v>0</v>
      </c>
      <c r="K451" s="194">
        <f>IF(DBparts1[[#This Row],[Type]]&gt;0,VLOOKUP(DBparts1[[#This Row],[Discount seletion]],'Discount Structure'!$A$2:$B$30,2,"false"),0)</f>
        <v>0</v>
      </c>
      <c r="L451" s="194">
        <f>DBparts1[[#This Row],[LIST $]]*DBparts1[[#This Row],[DISCOUNT]]*DBparts1[[#This Row],[DISCOUNT 2]]</f>
        <v>0</v>
      </c>
    </row>
    <row r="452" spans="2:12">
      <c r="B452" s="112"/>
      <c r="C452" s="112"/>
      <c r="D452" s="112"/>
      <c r="F452" s="168" t="s">
        <v>6202</v>
      </c>
      <c r="G452" s="232">
        <f>IF(DBparts1[[#This Row],[Type]]&gt;0,VLOOKUP(DBparts1[[#This Row],[Type]],Main[[#All],[TYPE]:[UNIT]],'Unit Price'!C$1,FALSE),0)</f>
        <v>0</v>
      </c>
      <c r="H452" s="194">
        <f>IF(DBparts1[[#This Row],[Type]]&gt;0,VLOOKUP(DBparts1[[#This Row],[Type]],Main[[#All],[TYPE]:[UNIT]],'Unit Price'!D$1,FALSE),0)</f>
        <v>0</v>
      </c>
      <c r="I452" s="194">
        <f>IF(DBparts1[[#This Row],[Type]]&gt;0,VLOOKUP(DBparts1[[#This Row],[Type]],Main[[#All],[TYPE]:[UNIT]],'Unit Price'!G$1,FALSE),0)</f>
        <v>0</v>
      </c>
      <c r="J452" s="194">
        <f>IF(DBparts1[[#This Row],[Type]]&gt;0,VLOOKUP(DBparts1[[#This Row],[Type]],Main[[#All],[TYPE]:[UNIT]],'Unit Price'!H$1,FALSE),0)</f>
        <v>0</v>
      </c>
      <c r="K452" s="194">
        <f>IF(DBparts1[[#This Row],[Type]]&gt;0,VLOOKUP(DBparts1[[#This Row],[Discount seletion]],'Discount Structure'!$A$2:$B$30,2,"false"),0)</f>
        <v>0</v>
      </c>
      <c r="L452" s="194">
        <f>DBparts1[[#This Row],[LIST $]]*DBparts1[[#This Row],[DISCOUNT]]*DBparts1[[#This Row],[DISCOUNT 2]]</f>
        <v>0</v>
      </c>
    </row>
    <row r="453" spans="2:12">
      <c r="B453" s="112"/>
      <c r="C453" s="112"/>
      <c r="D453" s="112"/>
      <c r="F453" s="168" t="s">
        <v>6202</v>
      </c>
      <c r="G453" s="232">
        <f>IF(DBparts1[[#This Row],[Type]]&gt;0,VLOOKUP(DBparts1[[#This Row],[Type]],Main[[#All],[TYPE]:[UNIT]],'Unit Price'!C$1,FALSE),0)</f>
        <v>0</v>
      </c>
      <c r="H453" s="194">
        <f>IF(DBparts1[[#This Row],[Type]]&gt;0,VLOOKUP(DBparts1[[#This Row],[Type]],Main[[#All],[TYPE]:[UNIT]],'Unit Price'!D$1,FALSE),0)</f>
        <v>0</v>
      </c>
      <c r="I453" s="194">
        <f>IF(DBparts1[[#This Row],[Type]]&gt;0,VLOOKUP(DBparts1[[#This Row],[Type]],Main[[#All],[TYPE]:[UNIT]],'Unit Price'!G$1,FALSE),0)</f>
        <v>0</v>
      </c>
      <c r="J453" s="194">
        <f>IF(DBparts1[[#This Row],[Type]]&gt;0,VLOOKUP(DBparts1[[#This Row],[Type]],Main[[#All],[TYPE]:[UNIT]],'Unit Price'!H$1,FALSE),0)</f>
        <v>0</v>
      </c>
      <c r="K453" s="194">
        <f>IF(DBparts1[[#This Row],[Type]]&gt;0,VLOOKUP(DBparts1[[#This Row],[Discount seletion]],'Discount Structure'!$A$2:$B$30,2,"false"),0)</f>
        <v>0</v>
      </c>
      <c r="L453" s="194">
        <f>DBparts1[[#This Row],[LIST $]]*DBparts1[[#This Row],[DISCOUNT]]*DBparts1[[#This Row],[DISCOUNT 2]]</f>
        <v>0</v>
      </c>
    </row>
    <row r="454" spans="2:12">
      <c r="B454" s="112"/>
      <c r="C454" s="112"/>
      <c r="D454" s="112"/>
      <c r="F454" s="168" t="s">
        <v>6202</v>
      </c>
      <c r="G454" s="232">
        <f>IF(DBparts1[[#This Row],[Type]]&gt;0,VLOOKUP(DBparts1[[#This Row],[Type]],Main[[#All],[TYPE]:[UNIT]],'Unit Price'!C$1,FALSE),0)</f>
        <v>0</v>
      </c>
      <c r="H454" s="194">
        <f>IF(DBparts1[[#This Row],[Type]]&gt;0,VLOOKUP(DBparts1[[#This Row],[Type]],Main[[#All],[TYPE]:[UNIT]],'Unit Price'!D$1,FALSE),0)</f>
        <v>0</v>
      </c>
      <c r="I454" s="194">
        <f>IF(DBparts1[[#This Row],[Type]]&gt;0,VLOOKUP(DBparts1[[#This Row],[Type]],Main[[#All],[TYPE]:[UNIT]],'Unit Price'!G$1,FALSE),0)</f>
        <v>0</v>
      </c>
      <c r="J454" s="194">
        <f>IF(DBparts1[[#This Row],[Type]]&gt;0,VLOOKUP(DBparts1[[#This Row],[Type]],Main[[#All],[TYPE]:[UNIT]],'Unit Price'!H$1,FALSE),0)</f>
        <v>0</v>
      </c>
      <c r="K454" s="194">
        <f>IF(DBparts1[[#This Row],[Type]]&gt;0,VLOOKUP(DBparts1[[#This Row],[Discount seletion]],'Discount Structure'!$A$2:$B$30,2,"false"),0)</f>
        <v>0</v>
      </c>
      <c r="L454" s="194">
        <f>DBparts1[[#This Row],[LIST $]]*DBparts1[[#This Row],[DISCOUNT]]*DBparts1[[#This Row],[DISCOUNT 2]]</f>
        <v>0</v>
      </c>
    </row>
    <row r="455" spans="2:12">
      <c r="B455" s="112"/>
      <c r="C455" s="112"/>
      <c r="D455" s="112"/>
      <c r="F455" s="168" t="s">
        <v>6202</v>
      </c>
      <c r="G455" s="232">
        <f>IF(DBparts1[[#This Row],[Type]]&gt;0,VLOOKUP(DBparts1[[#This Row],[Type]],Main[[#All],[TYPE]:[UNIT]],'Unit Price'!C$1,FALSE),0)</f>
        <v>0</v>
      </c>
      <c r="H455" s="232">
        <f>IF(DBparts1[[#This Row],[Type]]&gt;0,VLOOKUP(DBparts1[[#This Row],[Type]],Main[[#All],[TYPE]:[UNIT]],'Unit Price'!D$1,FALSE),0)</f>
        <v>0</v>
      </c>
      <c r="I455" s="194">
        <f>IF(DBparts1[[#This Row],[Type]]&gt;0,VLOOKUP(DBparts1[[#This Row],[Type]],Main[[#All],[TYPE]:[UNIT]],'Unit Price'!G$1,FALSE),0)</f>
        <v>0</v>
      </c>
      <c r="J455" s="194">
        <f>IF(DBparts1[[#This Row],[Type]]&gt;0,VLOOKUP(DBparts1[[#This Row],[Type]],Main[[#All],[TYPE]:[UNIT]],'Unit Price'!H$1,FALSE),0)</f>
        <v>0</v>
      </c>
      <c r="K455" s="194">
        <f>IF(DBparts1[[#This Row],[Type]]&gt;0,VLOOKUP(DBparts1[[#This Row],[Discount seletion]],'Discount Structure'!$A$2:$B$30,2,"false"),0)</f>
        <v>0</v>
      </c>
      <c r="L455" s="194">
        <f>DBparts1[[#This Row],[LIST $]]*DBparts1[[#This Row],[DISCOUNT]]*DBparts1[[#This Row],[DISCOUNT 2]]</f>
        <v>0</v>
      </c>
    </row>
    <row r="456" spans="2:12">
      <c r="B456" s="112"/>
      <c r="C456" s="112"/>
      <c r="D456" s="112"/>
      <c r="F456" s="168" t="s">
        <v>6202</v>
      </c>
      <c r="G456" s="232">
        <f>IF(DBparts1[[#This Row],[Type]]&gt;0,VLOOKUP(DBparts1[[#This Row],[Type]],Main[[#All],[TYPE]:[UNIT]],'Unit Price'!C$1,FALSE),0)</f>
        <v>0</v>
      </c>
      <c r="H456" s="194">
        <f>IF(DBparts1[[#This Row],[Type]]&gt;0,VLOOKUP(DBparts1[[#This Row],[Type]],Main[[#All],[TYPE]:[UNIT]],'Unit Price'!D$1,FALSE),0)</f>
        <v>0</v>
      </c>
      <c r="I456" s="194">
        <f>IF(DBparts1[[#This Row],[Type]]&gt;0,VLOOKUP(DBparts1[[#This Row],[Type]],Main[[#All],[TYPE]:[UNIT]],'Unit Price'!G$1,FALSE),0)</f>
        <v>0</v>
      </c>
      <c r="J456" s="194">
        <f>IF(DBparts1[[#This Row],[Type]]&gt;0,VLOOKUP(DBparts1[[#This Row],[Type]],Main[[#All],[TYPE]:[UNIT]],'Unit Price'!H$1,FALSE),0)</f>
        <v>0</v>
      </c>
      <c r="K456" s="194">
        <f>IF(DBparts1[[#This Row],[Type]]&gt;0,VLOOKUP(DBparts1[[#This Row],[Discount seletion]],'Discount Structure'!$A$2:$B$30,2,"false"),0)</f>
        <v>0</v>
      </c>
      <c r="L456" s="194">
        <f>DBparts1[[#This Row],[LIST $]]*DBparts1[[#This Row],[DISCOUNT]]*DBparts1[[#This Row],[DISCOUNT 2]]</f>
        <v>0</v>
      </c>
    </row>
    <row r="457" spans="2:12">
      <c r="B457" s="112"/>
      <c r="C457" s="112"/>
      <c r="D457" s="112"/>
      <c r="F457" s="168" t="s">
        <v>6202</v>
      </c>
      <c r="G457" s="232">
        <f>IF(DBparts1[[#This Row],[Type]]&gt;0,VLOOKUP(DBparts1[[#This Row],[Type]],Main[[#All],[TYPE]:[UNIT]],'Unit Price'!C$1,FALSE),0)</f>
        <v>0</v>
      </c>
      <c r="H457" s="238">
        <f>IF(DBparts1[[#This Row],[Type]]&gt;0,VLOOKUP(DBparts1[[#This Row],[Type]],Main[[#All],[TYPE]:[UNIT]],'Unit Price'!D$1,FALSE),0)</f>
        <v>0</v>
      </c>
      <c r="I457" s="194">
        <f>IF(DBparts1[[#This Row],[Type]]&gt;0,VLOOKUP(DBparts1[[#This Row],[Type]],Main[[#All],[TYPE]:[UNIT]],'Unit Price'!G$1,FALSE),0)</f>
        <v>0</v>
      </c>
      <c r="J457" s="194">
        <f>IF(DBparts1[[#This Row],[Type]]&gt;0,VLOOKUP(DBparts1[[#This Row],[Type]],Main[[#All],[TYPE]:[UNIT]],'Unit Price'!H$1,FALSE),0)</f>
        <v>0</v>
      </c>
      <c r="K457" s="194">
        <f>IF(DBparts1[[#This Row],[Type]]&gt;0,VLOOKUP(DBparts1[[#This Row],[Discount seletion]],'Discount Structure'!$A$2:$B$30,2,"false"),0)</f>
        <v>0</v>
      </c>
      <c r="L457" s="194">
        <f>DBparts1[[#This Row],[LIST $]]*DBparts1[[#This Row],[DISCOUNT]]*DBparts1[[#This Row],[DISCOUNT 2]]</f>
        <v>0</v>
      </c>
    </row>
    <row r="458" spans="2:12">
      <c r="B458" s="112"/>
      <c r="C458" s="112"/>
      <c r="D458" s="112"/>
      <c r="F458" s="168" t="s">
        <v>6202</v>
      </c>
      <c r="G458" s="232">
        <f>IF(DBparts1[[#This Row],[Type]]&gt;0,VLOOKUP(DBparts1[[#This Row],[Type]],Main[[#All],[TYPE]:[UNIT]],'Unit Price'!C$1,FALSE),0)</f>
        <v>0</v>
      </c>
      <c r="H458" s="238">
        <f>IF(DBparts1[[#This Row],[Type]]&gt;0,VLOOKUP(DBparts1[[#This Row],[Type]],Main[[#All],[TYPE]:[UNIT]],'Unit Price'!D$1,FALSE),0)</f>
        <v>0</v>
      </c>
      <c r="I458" s="194">
        <f>IF(DBparts1[[#This Row],[Type]]&gt;0,VLOOKUP(DBparts1[[#This Row],[Type]],Main[[#All],[TYPE]:[UNIT]],'Unit Price'!G$1,FALSE),0)</f>
        <v>0</v>
      </c>
      <c r="J458" s="194">
        <f>IF(DBparts1[[#This Row],[Type]]&gt;0,VLOOKUP(DBparts1[[#This Row],[Type]],Main[[#All],[TYPE]:[UNIT]],'Unit Price'!H$1,FALSE),0)</f>
        <v>0</v>
      </c>
      <c r="K458" s="194">
        <f>IF(DBparts1[[#This Row],[Type]]&gt;0,VLOOKUP(DBparts1[[#This Row],[Discount seletion]],'Discount Structure'!$A$2:$B$30,2,"false"),0)</f>
        <v>0</v>
      </c>
      <c r="L458" s="194">
        <f>DBparts1[[#This Row],[LIST $]]*DBparts1[[#This Row],[DISCOUNT]]*DBparts1[[#This Row],[DISCOUNT 2]]</f>
        <v>0</v>
      </c>
    </row>
    <row r="459" spans="2:12">
      <c r="B459" s="112"/>
      <c r="C459" s="112"/>
      <c r="D459" s="112"/>
      <c r="F459" s="168" t="s">
        <v>6202</v>
      </c>
      <c r="G459" s="232">
        <f>IF(DBparts1[[#This Row],[Type]]&gt;0,VLOOKUP(DBparts1[[#This Row],[Type]],Main[[#All],[TYPE]:[UNIT]],'Unit Price'!C$1,FALSE),0)</f>
        <v>0</v>
      </c>
      <c r="H459" s="194">
        <f>IF(DBparts1[[#This Row],[Type]]&gt;0,VLOOKUP(DBparts1[[#This Row],[Type]],Main[[#All],[TYPE]:[UNIT]],'Unit Price'!D$1,FALSE),0)</f>
        <v>0</v>
      </c>
      <c r="I459" s="194">
        <f>IF(DBparts1[[#This Row],[Type]]&gt;0,VLOOKUP(DBparts1[[#This Row],[Type]],Main[[#All],[TYPE]:[UNIT]],'Unit Price'!G$1,FALSE),0)</f>
        <v>0</v>
      </c>
      <c r="J459" s="194">
        <f>IF(DBparts1[[#This Row],[Type]]&gt;0,VLOOKUP(DBparts1[[#This Row],[Type]],Main[[#All],[TYPE]:[UNIT]],'Unit Price'!H$1,FALSE),0)</f>
        <v>0</v>
      </c>
      <c r="K459" s="194">
        <f>IF(DBparts1[[#This Row],[Type]]&gt;0,VLOOKUP(DBparts1[[#This Row],[Discount seletion]],'Discount Structure'!$A$2:$B$30,2,"false"),0)</f>
        <v>0</v>
      </c>
      <c r="L459" s="194">
        <f>DBparts1[[#This Row],[LIST $]]*DBparts1[[#This Row],[DISCOUNT]]*DBparts1[[#This Row],[DISCOUNT 2]]</f>
        <v>0</v>
      </c>
    </row>
    <row r="460" spans="2:12">
      <c r="B460" s="112"/>
      <c r="C460" s="112"/>
      <c r="D460" s="112"/>
      <c r="F460" s="168" t="s">
        <v>6202</v>
      </c>
      <c r="G460" s="232">
        <f>IF(DBparts1[[#This Row],[Type]]&gt;0,VLOOKUP(DBparts1[[#This Row],[Type]],Main[[#All],[TYPE]:[UNIT]],'Unit Price'!C$1,FALSE),0)</f>
        <v>0</v>
      </c>
      <c r="H460" s="194">
        <f>IF(DBparts1[[#This Row],[Type]]&gt;0,VLOOKUP(DBparts1[[#This Row],[Type]],Main[[#All],[TYPE]:[UNIT]],'Unit Price'!D$1,FALSE),0)</f>
        <v>0</v>
      </c>
      <c r="I460" s="194">
        <f>IF(DBparts1[[#This Row],[Type]]&gt;0,VLOOKUP(DBparts1[[#This Row],[Type]],Main[[#All],[TYPE]:[UNIT]],'Unit Price'!G$1,FALSE),0)</f>
        <v>0</v>
      </c>
      <c r="J460" s="194">
        <f>IF(DBparts1[[#This Row],[Type]]&gt;0,VLOOKUP(DBparts1[[#This Row],[Type]],Main[[#All],[TYPE]:[UNIT]],'Unit Price'!H$1,FALSE),0)</f>
        <v>0</v>
      </c>
      <c r="K460" s="194">
        <f>IF(DBparts1[[#This Row],[Type]]&gt;0,VLOOKUP(DBparts1[[#This Row],[Discount seletion]],'Discount Structure'!$A$2:$B$30,2,"false"),0)</f>
        <v>0</v>
      </c>
      <c r="L460" s="194">
        <f>DBparts1[[#This Row],[LIST $]]*DBparts1[[#This Row],[DISCOUNT]]*DBparts1[[#This Row],[DISCOUNT 2]]</f>
        <v>0</v>
      </c>
    </row>
    <row r="461" spans="2:12">
      <c r="B461" s="112"/>
      <c r="C461" s="112"/>
      <c r="D461" s="112"/>
      <c r="F461" s="168" t="s">
        <v>6202</v>
      </c>
      <c r="G461" s="232">
        <f>IF(DBparts1[[#This Row],[Type]]&gt;0,VLOOKUP(DBparts1[[#This Row],[Type]],Main[[#All],[TYPE]:[UNIT]],'Unit Price'!C$1,FALSE),0)</f>
        <v>0</v>
      </c>
      <c r="H461" s="194">
        <f>IF(DBparts1[[#This Row],[Type]]&gt;0,VLOOKUP(DBparts1[[#This Row],[Type]],Main[[#All],[TYPE]:[UNIT]],'Unit Price'!D$1,FALSE),0)</f>
        <v>0</v>
      </c>
      <c r="I461" s="194">
        <f>IF(DBparts1[[#This Row],[Type]]&gt;0,VLOOKUP(DBparts1[[#This Row],[Type]],Main[[#All],[TYPE]:[UNIT]],'Unit Price'!G$1,FALSE),0)</f>
        <v>0</v>
      </c>
      <c r="J461" s="194">
        <f>IF(DBparts1[[#This Row],[Type]]&gt;0,VLOOKUP(DBparts1[[#This Row],[Type]],Main[[#All],[TYPE]:[UNIT]],'Unit Price'!H$1,FALSE),0)</f>
        <v>0</v>
      </c>
      <c r="K461" s="194">
        <f>IF(DBparts1[[#This Row],[Type]]&gt;0,VLOOKUP(DBparts1[[#This Row],[Discount seletion]],'Discount Structure'!$A$2:$B$30,2,"false"),0)</f>
        <v>0</v>
      </c>
      <c r="L461" s="194">
        <f>DBparts1[[#This Row],[LIST $]]*DBparts1[[#This Row],[DISCOUNT]]*DBparts1[[#This Row],[DISCOUNT 2]]</f>
        <v>0</v>
      </c>
    </row>
    <row r="462" spans="2:12">
      <c r="B462" s="112"/>
      <c r="C462" s="112"/>
      <c r="D462" s="112"/>
      <c r="F462" s="168" t="s">
        <v>6202</v>
      </c>
      <c r="G462" s="232">
        <f>IF(DBparts1[[#This Row],[Type]]&gt;0,VLOOKUP(DBparts1[[#This Row],[Type]],Main[[#All],[TYPE]:[UNIT]],'Unit Price'!C$1,FALSE),0)</f>
        <v>0</v>
      </c>
      <c r="H462" s="238">
        <f>IF(DBparts1[[#This Row],[Type]]&gt;0,VLOOKUP(DBparts1[[#This Row],[Type]],Main[[#All],[TYPE]:[UNIT]],'Unit Price'!D$1,FALSE),0)</f>
        <v>0</v>
      </c>
      <c r="I462" s="194">
        <f>IF(DBparts1[[#This Row],[Type]]&gt;0,VLOOKUP(DBparts1[[#This Row],[Type]],Main[[#All],[TYPE]:[UNIT]],'Unit Price'!G$1,FALSE),0)</f>
        <v>0</v>
      </c>
      <c r="J462" s="194">
        <f>IF(DBparts1[[#This Row],[Type]]&gt;0,VLOOKUP(DBparts1[[#This Row],[Type]],Main[[#All],[TYPE]:[UNIT]],'Unit Price'!H$1,FALSE),0)</f>
        <v>0</v>
      </c>
      <c r="K462" s="194">
        <f>IF(DBparts1[[#This Row],[Type]]&gt;0,VLOOKUP(DBparts1[[#This Row],[Discount seletion]],'Discount Structure'!$A$2:$B$30,2,"false"),0)</f>
        <v>0</v>
      </c>
      <c r="L462" s="194">
        <f>DBparts1[[#This Row],[LIST $]]*DBparts1[[#This Row],[DISCOUNT]]*DBparts1[[#This Row],[DISCOUNT 2]]</f>
        <v>0</v>
      </c>
    </row>
    <row r="463" spans="2:12">
      <c r="B463" s="112"/>
      <c r="C463" s="112"/>
      <c r="D463" s="112"/>
      <c r="F463" s="168" t="s">
        <v>6202</v>
      </c>
      <c r="G463" s="232">
        <f>IF(DBparts1[[#This Row],[Type]]&gt;0,VLOOKUP(DBparts1[[#This Row],[Type]],Main[[#All],[TYPE]:[UNIT]],'Unit Price'!C$1,FALSE),0)</f>
        <v>0</v>
      </c>
      <c r="H463" s="194">
        <f>IF(DBparts1[[#This Row],[Type]]&gt;0,VLOOKUP(DBparts1[[#This Row],[Type]],Main[[#All],[TYPE]:[UNIT]],'Unit Price'!D$1,FALSE),0)</f>
        <v>0</v>
      </c>
      <c r="I463" s="194">
        <f>IF(DBparts1[[#This Row],[Type]]&gt;0,VLOOKUP(DBparts1[[#This Row],[Type]],Main[[#All],[TYPE]:[UNIT]],'Unit Price'!G$1,FALSE),0)</f>
        <v>0</v>
      </c>
      <c r="J463" s="194">
        <f>IF(DBparts1[[#This Row],[Type]]&gt;0,VLOOKUP(DBparts1[[#This Row],[Type]],Main[[#All],[TYPE]:[UNIT]],'Unit Price'!H$1,FALSE),0)</f>
        <v>0</v>
      </c>
      <c r="K463" s="194">
        <f>IF(DBparts1[[#This Row],[Type]]&gt;0,VLOOKUP(DBparts1[[#This Row],[Discount seletion]],'Discount Structure'!$A$2:$B$30,2,"false"),0)</f>
        <v>0</v>
      </c>
      <c r="L463" s="194">
        <f>DBparts1[[#This Row],[LIST $]]*DBparts1[[#This Row],[DISCOUNT]]*DBparts1[[#This Row],[DISCOUNT 2]]</f>
        <v>0</v>
      </c>
    </row>
    <row r="464" spans="2:12">
      <c r="B464" s="112"/>
      <c r="C464" s="112"/>
      <c r="D464" s="112"/>
      <c r="F464" s="168" t="s">
        <v>6202</v>
      </c>
      <c r="G464" s="232">
        <f>IF(DBparts1[[#This Row],[Type]]&gt;0,VLOOKUP(DBparts1[[#This Row],[Type]],Main[[#All],[TYPE]:[UNIT]],'Unit Price'!C$1,FALSE),0)</f>
        <v>0</v>
      </c>
      <c r="H464" s="194">
        <f>IF(DBparts1[[#This Row],[Type]]&gt;0,VLOOKUP(DBparts1[[#This Row],[Type]],Main[[#All],[TYPE]:[UNIT]],'Unit Price'!D$1,FALSE),0)</f>
        <v>0</v>
      </c>
      <c r="I464" s="194">
        <f>IF(DBparts1[[#This Row],[Type]]&gt;0,VLOOKUP(DBparts1[[#This Row],[Type]],Main[[#All],[TYPE]:[UNIT]],'Unit Price'!G$1,FALSE),0)</f>
        <v>0</v>
      </c>
      <c r="J464" s="194">
        <f>IF(DBparts1[[#This Row],[Type]]&gt;0,VLOOKUP(DBparts1[[#This Row],[Type]],Main[[#All],[TYPE]:[UNIT]],'Unit Price'!H$1,FALSE),0)</f>
        <v>0</v>
      </c>
      <c r="K464" s="194">
        <f>IF(DBparts1[[#This Row],[Type]]&gt;0,VLOOKUP(DBparts1[[#This Row],[Discount seletion]],'Discount Structure'!$A$2:$B$30,2,"false"),0)</f>
        <v>0</v>
      </c>
      <c r="L464" s="194">
        <f>DBparts1[[#This Row],[LIST $]]*DBparts1[[#This Row],[DISCOUNT]]*DBparts1[[#This Row],[DISCOUNT 2]]</f>
        <v>0</v>
      </c>
    </row>
    <row r="465" spans="2:12">
      <c r="B465" s="112"/>
      <c r="C465" s="112"/>
      <c r="D465" s="112"/>
      <c r="F465" s="168" t="s">
        <v>6202</v>
      </c>
      <c r="G465" s="232">
        <f>IF(DBparts1[[#This Row],[Type]]&gt;0,VLOOKUP(DBparts1[[#This Row],[Type]],Main[[#All],[TYPE]:[UNIT]],'Unit Price'!C$1,FALSE),0)</f>
        <v>0</v>
      </c>
      <c r="H465" s="194">
        <f>IF(DBparts1[[#This Row],[Type]]&gt;0,VLOOKUP(DBparts1[[#This Row],[Type]],Main[[#All],[TYPE]:[UNIT]],'Unit Price'!D$1,FALSE),0)</f>
        <v>0</v>
      </c>
      <c r="I465" s="194">
        <f>IF(DBparts1[[#This Row],[Type]]&gt;0,VLOOKUP(DBparts1[[#This Row],[Type]],Main[[#All],[TYPE]:[UNIT]],'Unit Price'!G$1,FALSE),0)</f>
        <v>0</v>
      </c>
      <c r="J465" s="194">
        <f>IF(DBparts1[[#This Row],[Type]]&gt;0,VLOOKUP(DBparts1[[#This Row],[Type]],Main[[#All],[TYPE]:[UNIT]],'Unit Price'!H$1,FALSE),0)</f>
        <v>0</v>
      </c>
      <c r="K465" s="194">
        <f>IF(DBparts1[[#This Row],[Type]]&gt;0,VLOOKUP(DBparts1[[#This Row],[Discount seletion]],'Discount Structure'!$A$2:$B$30,2,"false"),0)</f>
        <v>0</v>
      </c>
      <c r="L465" s="194">
        <f>DBparts1[[#This Row],[LIST $]]*DBparts1[[#This Row],[DISCOUNT]]*DBparts1[[#This Row],[DISCOUNT 2]]</f>
        <v>0</v>
      </c>
    </row>
    <row r="466" spans="2:12">
      <c r="B466" s="112"/>
      <c r="C466" s="112"/>
      <c r="D466" s="112"/>
      <c r="F466" s="168" t="s">
        <v>6202</v>
      </c>
      <c r="G466" s="232">
        <f>IF(DBparts1[[#This Row],[Type]]&gt;0,VLOOKUP(DBparts1[[#This Row],[Type]],Main[[#All],[TYPE]:[UNIT]],'Unit Price'!C$1,FALSE),0)</f>
        <v>0</v>
      </c>
      <c r="H466" s="194">
        <f>IF(DBparts1[[#This Row],[Type]]&gt;0,VLOOKUP(DBparts1[[#This Row],[Type]],Main[[#All],[TYPE]:[UNIT]],'Unit Price'!D$1,FALSE),0)</f>
        <v>0</v>
      </c>
      <c r="I466" s="194">
        <f>IF(DBparts1[[#This Row],[Type]]&gt;0,VLOOKUP(DBparts1[[#This Row],[Type]],Main[[#All],[TYPE]:[UNIT]],'Unit Price'!G$1,FALSE),0)</f>
        <v>0</v>
      </c>
      <c r="J466" s="194">
        <f>IF(DBparts1[[#This Row],[Type]]&gt;0,VLOOKUP(DBparts1[[#This Row],[Type]],Main[[#All],[TYPE]:[UNIT]],'Unit Price'!H$1,FALSE),0)</f>
        <v>0</v>
      </c>
      <c r="K466" s="194">
        <f>IF(DBparts1[[#This Row],[Type]]&gt;0,VLOOKUP(DBparts1[[#This Row],[Discount seletion]],'Discount Structure'!$A$2:$B$30,2,"false"),0)</f>
        <v>0</v>
      </c>
      <c r="L466" s="194">
        <f>DBparts1[[#This Row],[LIST $]]*DBparts1[[#This Row],[DISCOUNT]]*DBparts1[[#This Row],[DISCOUNT 2]]</f>
        <v>0</v>
      </c>
    </row>
    <row r="467" spans="2:12">
      <c r="B467" s="112"/>
      <c r="C467" s="112"/>
      <c r="D467" s="112"/>
      <c r="F467" s="168" t="s">
        <v>6202</v>
      </c>
      <c r="G467" s="232">
        <f>IF(DBparts1[[#This Row],[Type]]&gt;0,VLOOKUP(DBparts1[[#This Row],[Type]],Main[[#All],[TYPE]:[UNIT]],'Unit Price'!C$1,FALSE),0)</f>
        <v>0</v>
      </c>
      <c r="H467" s="194">
        <f>IF(DBparts1[[#This Row],[Type]]&gt;0,VLOOKUP(DBparts1[[#This Row],[Type]],Main[[#All],[TYPE]:[UNIT]],'Unit Price'!D$1,FALSE),0)</f>
        <v>0</v>
      </c>
      <c r="I467" s="194">
        <f>IF(DBparts1[[#This Row],[Type]]&gt;0,VLOOKUP(DBparts1[[#This Row],[Type]],Main[[#All],[TYPE]:[UNIT]],'Unit Price'!G$1,FALSE),0)</f>
        <v>0</v>
      </c>
      <c r="J467" s="194">
        <f>IF(DBparts1[[#This Row],[Type]]&gt;0,VLOOKUP(DBparts1[[#This Row],[Type]],Main[[#All],[TYPE]:[UNIT]],'Unit Price'!H$1,FALSE),0)</f>
        <v>0</v>
      </c>
      <c r="K467" s="194">
        <f>IF(DBparts1[[#This Row],[Type]]&gt;0,VLOOKUP(DBparts1[[#This Row],[Discount seletion]],'Discount Structure'!$A$2:$B$30,2,"false"),0)</f>
        <v>0</v>
      </c>
      <c r="L467" s="194">
        <f>DBparts1[[#This Row],[LIST $]]*DBparts1[[#This Row],[DISCOUNT]]*DBparts1[[#This Row],[DISCOUNT 2]]</f>
        <v>0</v>
      </c>
    </row>
    <row r="468" spans="2:12">
      <c r="B468" s="112"/>
      <c r="C468" s="112"/>
      <c r="D468" s="112"/>
      <c r="F468" s="168" t="s">
        <v>6202</v>
      </c>
      <c r="G468" s="232">
        <f>IF(DBparts1[[#This Row],[Type]]&gt;0,VLOOKUP(DBparts1[[#This Row],[Type]],Main[[#All],[TYPE]:[UNIT]],'Unit Price'!C$1,FALSE),0)</f>
        <v>0</v>
      </c>
      <c r="H468" s="194">
        <f>IF(DBparts1[[#This Row],[Type]]&gt;0,VLOOKUP(DBparts1[[#This Row],[Type]],Main[[#All],[TYPE]:[UNIT]],'Unit Price'!D$1,FALSE),0)</f>
        <v>0</v>
      </c>
      <c r="I468" s="194">
        <f>IF(DBparts1[[#This Row],[Type]]&gt;0,VLOOKUP(DBparts1[[#This Row],[Type]],Main[[#All],[TYPE]:[UNIT]],'Unit Price'!G$1,FALSE),0)</f>
        <v>0</v>
      </c>
      <c r="J468" s="194">
        <f>IF(DBparts1[[#This Row],[Type]]&gt;0,VLOOKUP(DBparts1[[#This Row],[Type]],Main[[#All],[TYPE]:[UNIT]],'Unit Price'!H$1,FALSE),0)</f>
        <v>0</v>
      </c>
      <c r="K468" s="194">
        <f>IF(DBparts1[[#This Row],[Type]]&gt;0,VLOOKUP(DBparts1[[#This Row],[Discount seletion]],'Discount Structure'!$A$2:$B$30,2,"false"),0)</f>
        <v>0</v>
      </c>
      <c r="L468" s="194">
        <f>DBparts1[[#This Row],[LIST $]]*DBparts1[[#This Row],[DISCOUNT]]*DBparts1[[#This Row],[DISCOUNT 2]]</f>
        <v>0</v>
      </c>
    </row>
    <row r="469" spans="2:12">
      <c r="B469" s="112"/>
      <c r="C469" s="112"/>
      <c r="D469" s="112"/>
      <c r="F469" s="168" t="s">
        <v>6202</v>
      </c>
      <c r="G469" s="232">
        <f>IF(DBparts1[[#This Row],[Type]]&gt;0,VLOOKUP(DBparts1[[#This Row],[Type]],Main[[#All],[TYPE]:[UNIT]],'Unit Price'!C$1,FALSE),0)</f>
        <v>0</v>
      </c>
      <c r="H469" s="232">
        <f>IF(DBparts1[[#This Row],[Type]]&gt;0,VLOOKUP(DBparts1[[#This Row],[Type]],Main[[#All],[TYPE]:[UNIT]],'Unit Price'!D$1,FALSE),0)</f>
        <v>0</v>
      </c>
      <c r="I469" s="194">
        <f>IF(DBparts1[[#This Row],[Type]]&gt;0,VLOOKUP(DBparts1[[#This Row],[Type]],Main[[#All],[TYPE]:[UNIT]],'Unit Price'!G$1,FALSE),0)</f>
        <v>0</v>
      </c>
      <c r="J469" s="194">
        <f>IF(DBparts1[[#This Row],[Type]]&gt;0,VLOOKUP(DBparts1[[#This Row],[Type]],Main[[#All],[TYPE]:[UNIT]],'Unit Price'!H$1,FALSE),0)</f>
        <v>0</v>
      </c>
      <c r="K469" s="194">
        <f>IF(DBparts1[[#This Row],[Type]]&gt;0,VLOOKUP(DBparts1[[#This Row],[Discount seletion]],'Discount Structure'!$A$2:$B$30,2,"false"),0)</f>
        <v>0</v>
      </c>
      <c r="L469" s="194">
        <f>DBparts1[[#This Row],[LIST $]]*DBparts1[[#This Row],[DISCOUNT]]*DBparts1[[#This Row],[DISCOUNT 2]]</f>
        <v>0</v>
      </c>
    </row>
    <row r="470" spans="2:12">
      <c r="B470" s="112"/>
      <c r="C470" s="112"/>
      <c r="D470" s="112"/>
      <c r="F470" s="168" t="s">
        <v>6202</v>
      </c>
      <c r="G470" s="232">
        <f>IF(DBparts1[[#This Row],[Type]]&gt;0,VLOOKUP(DBparts1[[#This Row],[Type]],Main[[#All],[TYPE]:[UNIT]],'Unit Price'!C$1,FALSE),0)</f>
        <v>0</v>
      </c>
      <c r="H470" s="194">
        <f>IF(DBparts1[[#This Row],[Type]]&gt;0,VLOOKUP(DBparts1[[#This Row],[Type]],Main[[#All],[TYPE]:[UNIT]],'Unit Price'!D$1,FALSE),0)</f>
        <v>0</v>
      </c>
      <c r="I470" s="194">
        <f>IF(DBparts1[[#This Row],[Type]]&gt;0,VLOOKUP(DBparts1[[#This Row],[Type]],Main[[#All],[TYPE]:[UNIT]],'Unit Price'!G$1,FALSE),0)</f>
        <v>0</v>
      </c>
      <c r="J470" s="194">
        <f>IF(DBparts1[[#This Row],[Type]]&gt;0,VLOOKUP(DBparts1[[#This Row],[Type]],Main[[#All],[TYPE]:[UNIT]],'Unit Price'!H$1,FALSE),0)</f>
        <v>0</v>
      </c>
      <c r="K470" s="194">
        <f>IF(DBparts1[[#This Row],[Type]]&gt;0,VLOOKUP(DBparts1[[#This Row],[Discount seletion]],'Discount Structure'!$A$2:$B$30,2,"false"),0)</f>
        <v>0</v>
      </c>
      <c r="L470" s="194">
        <f>DBparts1[[#This Row],[LIST $]]*DBparts1[[#This Row],[DISCOUNT]]*DBparts1[[#This Row],[DISCOUNT 2]]</f>
        <v>0</v>
      </c>
    </row>
    <row r="471" spans="2:12">
      <c r="B471" s="112"/>
      <c r="C471" s="112"/>
      <c r="D471" s="112"/>
      <c r="F471" s="168" t="s">
        <v>6202</v>
      </c>
      <c r="G471" s="232">
        <f>IF(DBparts1[[#This Row],[Type]]&gt;0,VLOOKUP(DBparts1[[#This Row],[Type]],Main[[#All],[TYPE]:[UNIT]],'Unit Price'!C$1,FALSE),0)</f>
        <v>0</v>
      </c>
      <c r="H471" s="232">
        <f>IF(DBparts1[[#This Row],[Type]]&gt;0,VLOOKUP(DBparts1[[#This Row],[Type]],Main[[#All],[TYPE]:[UNIT]],'Unit Price'!D$1,FALSE),0)</f>
        <v>0</v>
      </c>
      <c r="I471" s="194">
        <f>IF(DBparts1[[#This Row],[Type]]&gt;0,VLOOKUP(DBparts1[[#This Row],[Type]],Main[[#All],[TYPE]:[UNIT]],'Unit Price'!G$1,FALSE),0)</f>
        <v>0</v>
      </c>
      <c r="J471" s="194">
        <f>IF(DBparts1[[#This Row],[Type]]&gt;0,VLOOKUP(DBparts1[[#This Row],[Type]],Main[[#All],[TYPE]:[UNIT]],'Unit Price'!H$1,FALSE),0)</f>
        <v>0</v>
      </c>
      <c r="K471" s="194">
        <f>IF(DBparts1[[#This Row],[Type]]&gt;0,VLOOKUP(DBparts1[[#This Row],[Discount seletion]],'Discount Structure'!$A$2:$B$30,2,"false"),0)</f>
        <v>0</v>
      </c>
      <c r="L471" s="194">
        <f>DBparts1[[#This Row],[LIST $]]*DBparts1[[#This Row],[DISCOUNT]]*DBparts1[[#This Row],[DISCOUNT 2]]</f>
        <v>0</v>
      </c>
    </row>
    <row r="472" spans="2:12">
      <c r="B472" s="112"/>
      <c r="C472" s="112"/>
      <c r="D472" s="112"/>
      <c r="F472" s="168" t="s">
        <v>6202</v>
      </c>
      <c r="G472" s="232">
        <f>IF(DBparts1[[#This Row],[Type]]&gt;0,VLOOKUP(DBparts1[[#This Row],[Type]],Main[[#All],[TYPE]:[UNIT]],'Unit Price'!C$1,FALSE),0)</f>
        <v>0</v>
      </c>
      <c r="H472" s="194">
        <f>IF(DBparts1[[#This Row],[Type]]&gt;0,VLOOKUP(DBparts1[[#This Row],[Type]],Main[[#All],[TYPE]:[UNIT]],'Unit Price'!D$1,FALSE),0)</f>
        <v>0</v>
      </c>
      <c r="I472" s="194">
        <f>IF(DBparts1[[#This Row],[Type]]&gt;0,VLOOKUP(DBparts1[[#This Row],[Type]],Main[[#All],[TYPE]:[UNIT]],'Unit Price'!G$1,FALSE),0)</f>
        <v>0</v>
      </c>
      <c r="J472" s="194">
        <f>IF(DBparts1[[#This Row],[Type]]&gt;0,VLOOKUP(DBparts1[[#This Row],[Type]],Main[[#All],[TYPE]:[UNIT]],'Unit Price'!H$1,FALSE),0)</f>
        <v>0</v>
      </c>
      <c r="K472" s="194">
        <f>IF(DBparts1[[#This Row],[Type]]&gt;0,VLOOKUP(DBparts1[[#This Row],[Discount seletion]],'Discount Structure'!$A$2:$B$30,2,"false"),0)</f>
        <v>0</v>
      </c>
      <c r="L472" s="194">
        <f>DBparts1[[#This Row],[LIST $]]*DBparts1[[#This Row],[DISCOUNT]]*DBparts1[[#This Row],[DISCOUNT 2]]</f>
        <v>0</v>
      </c>
    </row>
    <row r="473" spans="2:12">
      <c r="B473" s="112"/>
      <c r="C473" s="112"/>
      <c r="D473" s="112"/>
      <c r="F473" s="168" t="s">
        <v>6202</v>
      </c>
      <c r="G473" s="232">
        <f>IF(DBparts1[[#This Row],[Type]]&gt;0,VLOOKUP(DBparts1[[#This Row],[Type]],Main[[#All],[TYPE]:[UNIT]],'Unit Price'!C$1,FALSE),0)</f>
        <v>0</v>
      </c>
      <c r="H473" s="194">
        <f>IF(DBparts1[[#This Row],[Type]]&gt;0,VLOOKUP(DBparts1[[#This Row],[Type]],Main[[#All],[TYPE]:[UNIT]],'Unit Price'!D$1,FALSE),0)</f>
        <v>0</v>
      </c>
      <c r="I473" s="194">
        <f>IF(DBparts1[[#This Row],[Type]]&gt;0,VLOOKUP(DBparts1[[#This Row],[Type]],Main[[#All],[TYPE]:[UNIT]],'Unit Price'!G$1,FALSE),0)</f>
        <v>0</v>
      </c>
      <c r="J473" s="194">
        <f>IF(DBparts1[[#This Row],[Type]]&gt;0,VLOOKUP(DBparts1[[#This Row],[Type]],Main[[#All],[TYPE]:[UNIT]],'Unit Price'!H$1,FALSE),0)</f>
        <v>0</v>
      </c>
      <c r="K473" s="194">
        <f>IF(DBparts1[[#This Row],[Type]]&gt;0,VLOOKUP(DBparts1[[#This Row],[Discount seletion]],'Discount Structure'!$A$2:$B$30,2,"false"),0)</f>
        <v>0</v>
      </c>
      <c r="L473" s="194">
        <f>DBparts1[[#This Row],[LIST $]]*DBparts1[[#This Row],[DISCOUNT]]*DBparts1[[#This Row],[DISCOUNT 2]]</f>
        <v>0</v>
      </c>
    </row>
    <row r="474" spans="2:12">
      <c r="B474" s="112"/>
      <c r="C474" s="112"/>
      <c r="D474" s="112"/>
      <c r="F474" s="168" t="s">
        <v>6202</v>
      </c>
      <c r="G474" s="232">
        <f>IF(DBparts1[[#This Row],[Type]]&gt;0,VLOOKUP(DBparts1[[#This Row],[Type]],Main[[#All],[TYPE]:[UNIT]],'Unit Price'!C$1,FALSE),0)</f>
        <v>0</v>
      </c>
      <c r="H474" s="194">
        <f>IF(DBparts1[[#This Row],[Type]]&gt;0,VLOOKUP(DBparts1[[#This Row],[Type]],Main[[#All],[TYPE]:[UNIT]],'Unit Price'!D$1,FALSE),0)</f>
        <v>0</v>
      </c>
      <c r="I474" s="194">
        <f>IF(DBparts1[[#This Row],[Type]]&gt;0,VLOOKUP(DBparts1[[#This Row],[Type]],Main[[#All],[TYPE]:[UNIT]],'Unit Price'!G$1,FALSE),0)</f>
        <v>0</v>
      </c>
      <c r="J474" s="194">
        <f>IF(DBparts1[[#This Row],[Type]]&gt;0,VLOOKUP(DBparts1[[#This Row],[Type]],Main[[#All],[TYPE]:[UNIT]],'Unit Price'!H$1,FALSE),0)</f>
        <v>0</v>
      </c>
      <c r="K474" s="194">
        <f>IF(DBparts1[[#This Row],[Type]]&gt;0,VLOOKUP(DBparts1[[#This Row],[Discount seletion]],'Discount Structure'!$A$2:$B$30,2,"false"),0)</f>
        <v>0</v>
      </c>
      <c r="L474" s="194">
        <f>DBparts1[[#This Row],[LIST $]]*DBparts1[[#This Row],[DISCOUNT]]*DBparts1[[#This Row],[DISCOUNT 2]]</f>
        <v>0</v>
      </c>
    </row>
    <row r="475" spans="2:12">
      <c r="B475" s="112"/>
      <c r="C475" s="112"/>
      <c r="D475" s="112"/>
      <c r="F475" s="168" t="s">
        <v>6202</v>
      </c>
      <c r="G475" s="232">
        <f>IF(DBparts1[[#This Row],[Type]]&gt;0,VLOOKUP(DBparts1[[#This Row],[Type]],Main[[#All],[TYPE]:[UNIT]],'Unit Price'!C$1,FALSE),0)</f>
        <v>0</v>
      </c>
      <c r="H475" s="194">
        <f>IF(DBparts1[[#This Row],[Type]]&gt;0,VLOOKUP(DBparts1[[#This Row],[Type]],Main[[#All],[TYPE]:[UNIT]],'Unit Price'!D$1,FALSE),0)</f>
        <v>0</v>
      </c>
      <c r="I475" s="194">
        <f>IF(DBparts1[[#This Row],[Type]]&gt;0,VLOOKUP(DBparts1[[#This Row],[Type]],Main[[#All],[TYPE]:[UNIT]],'Unit Price'!G$1,FALSE),0)</f>
        <v>0</v>
      </c>
      <c r="J475" s="194">
        <f>IF(DBparts1[[#This Row],[Type]]&gt;0,VLOOKUP(DBparts1[[#This Row],[Type]],Main[[#All],[TYPE]:[UNIT]],'Unit Price'!H$1,FALSE),0)</f>
        <v>0</v>
      </c>
      <c r="K475" s="194">
        <f>IF(DBparts1[[#This Row],[Type]]&gt;0,VLOOKUP(DBparts1[[#This Row],[Discount seletion]],'Discount Structure'!$A$2:$B$30,2,"false"),0)</f>
        <v>0</v>
      </c>
      <c r="L475" s="194">
        <f>DBparts1[[#This Row],[LIST $]]*DBparts1[[#This Row],[DISCOUNT]]*DBparts1[[#This Row],[DISCOUNT 2]]</f>
        <v>0</v>
      </c>
    </row>
    <row r="476" spans="2:12">
      <c r="B476" s="112"/>
      <c r="C476" s="112"/>
      <c r="D476" s="112"/>
      <c r="F476" s="168" t="s">
        <v>6202</v>
      </c>
      <c r="G476" s="232">
        <f>IF(DBparts1[[#This Row],[Type]]&gt;0,VLOOKUP(DBparts1[[#This Row],[Type]],Main[[#All],[TYPE]:[UNIT]],'Unit Price'!C$1,FALSE),0)</f>
        <v>0</v>
      </c>
      <c r="H476" s="194">
        <f>IF(DBparts1[[#This Row],[Type]]&gt;0,VLOOKUP(DBparts1[[#This Row],[Type]],Main[[#All],[TYPE]:[UNIT]],'Unit Price'!D$1,FALSE),0)</f>
        <v>0</v>
      </c>
      <c r="I476" s="194">
        <f>IF(DBparts1[[#This Row],[Type]]&gt;0,VLOOKUP(DBparts1[[#This Row],[Type]],Main[[#All],[TYPE]:[UNIT]],'Unit Price'!G$1,FALSE),0)</f>
        <v>0</v>
      </c>
      <c r="J476" s="194">
        <f>IF(DBparts1[[#This Row],[Type]]&gt;0,VLOOKUP(DBparts1[[#This Row],[Type]],Main[[#All],[TYPE]:[UNIT]],'Unit Price'!H$1,FALSE),0)</f>
        <v>0</v>
      </c>
      <c r="K476" s="194">
        <f>IF(DBparts1[[#This Row],[Type]]&gt;0,VLOOKUP(DBparts1[[#This Row],[Discount seletion]],'Discount Structure'!$A$2:$B$30,2,"false"),0)</f>
        <v>0</v>
      </c>
      <c r="L476" s="194">
        <f>DBparts1[[#This Row],[LIST $]]*DBparts1[[#This Row],[DISCOUNT]]*DBparts1[[#This Row],[DISCOUNT 2]]</f>
        <v>0</v>
      </c>
    </row>
    <row r="477" spans="2:12">
      <c r="B477" s="112"/>
      <c r="C477" s="112"/>
      <c r="D477" s="112"/>
      <c r="F477" s="168" t="s">
        <v>6202</v>
      </c>
      <c r="G477" s="232">
        <f>IF(DBparts1[[#This Row],[Type]]&gt;0,VLOOKUP(DBparts1[[#This Row],[Type]],Main[[#All],[TYPE]:[UNIT]],'Unit Price'!C$1,FALSE),0)</f>
        <v>0</v>
      </c>
      <c r="H477" s="194">
        <f>IF(DBparts1[[#This Row],[Type]]&gt;0,VLOOKUP(DBparts1[[#This Row],[Type]],Main[[#All],[TYPE]:[UNIT]],'Unit Price'!D$1,FALSE),0)</f>
        <v>0</v>
      </c>
      <c r="I477" s="194">
        <f>IF(DBparts1[[#This Row],[Type]]&gt;0,VLOOKUP(DBparts1[[#This Row],[Type]],Main[[#All],[TYPE]:[UNIT]],'Unit Price'!G$1,FALSE),0)</f>
        <v>0</v>
      </c>
      <c r="J477" s="194">
        <f>IF(DBparts1[[#This Row],[Type]]&gt;0,VLOOKUP(DBparts1[[#This Row],[Type]],Main[[#All],[TYPE]:[UNIT]],'Unit Price'!H$1,FALSE),0)</f>
        <v>0</v>
      </c>
      <c r="K477" s="194">
        <f>IF(DBparts1[[#This Row],[Type]]&gt;0,VLOOKUP(DBparts1[[#This Row],[Discount seletion]],'Discount Structure'!$A$2:$B$30,2,"false"),0)</f>
        <v>0</v>
      </c>
      <c r="L477" s="194">
        <f>DBparts1[[#This Row],[LIST $]]*DBparts1[[#This Row],[DISCOUNT]]*DBparts1[[#This Row],[DISCOUNT 2]]</f>
        <v>0</v>
      </c>
    </row>
    <row r="478" spans="2:12">
      <c r="B478" s="112"/>
      <c r="C478" s="112"/>
      <c r="D478" s="112"/>
      <c r="F478" s="168" t="s">
        <v>6202</v>
      </c>
      <c r="G478" s="232">
        <f>IF(DBparts1[[#This Row],[Type]]&gt;0,VLOOKUP(DBparts1[[#This Row],[Type]],Main[[#All],[TYPE]:[UNIT]],'Unit Price'!C$1,FALSE),0)</f>
        <v>0</v>
      </c>
      <c r="H478" s="194">
        <f>IF(DBparts1[[#This Row],[Type]]&gt;0,VLOOKUP(DBparts1[[#This Row],[Type]],Main[[#All],[TYPE]:[UNIT]],'Unit Price'!D$1,FALSE),0)</f>
        <v>0</v>
      </c>
      <c r="I478" s="194">
        <f>IF(DBparts1[[#This Row],[Type]]&gt;0,VLOOKUP(DBparts1[[#This Row],[Type]],Main[[#All],[TYPE]:[UNIT]],'Unit Price'!G$1,FALSE),0)</f>
        <v>0</v>
      </c>
      <c r="J478" s="194">
        <f>IF(DBparts1[[#This Row],[Type]]&gt;0,VLOOKUP(DBparts1[[#This Row],[Type]],Main[[#All],[TYPE]:[UNIT]],'Unit Price'!H$1,FALSE),0)</f>
        <v>0</v>
      </c>
      <c r="K478" s="194">
        <f>IF(DBparts1[[#This Row],[Type]]&gt;0,VLOOKUP(DBparts1[[#This Row],[Discount seletion]],'Discount Structure'!$A$2:$B$30,2,"false"),0)</f>
        <v>0</v>
      </c>
      <c r="L478" s="194">
        <f>DBparts1[[#This Row],[LIST $]]*DBparts1[[#This Row],[DISCOUNT]]*DBparts1[[#This Row],[DISCOUNT 2]]</f>
        <v>0</v>
      </c>
    </row>
    <row r="479" spans="2:12">
      <c r="B479" s="112"/>
      <c r="C479" s="112"/>
      <c r="D479" s="112"/>
      <c r="F479" s="168" t="s">
        <v>6202</v>
      </c>
      <c r="G479" s="232">
        <f>IF(DBparts1[[#This Row],[Type]]&gt;0,VLOOKUP(DBparts1[[#This Row],[Type]],Main[[#All],[TYPE]:[UNIT]],'Unit Price'!C$1,FALSE),0)</f>
        <v>0</v>
      </c>
      <c r="H479" s="194">
        <f>IF(DBparts1[[#This Row],[Type]]&gt;0,VLOOKUP(DBparts1[[#This Row],[Type]],Main[[#All],[TYPE]:[UNIT]],'Unit Price'!D$1,FALSE),0)</f>
        <v>0</v>
      </c>
      <c r="I479" s="194">
        <f>IF(DBparts1[[#This Row],[Type]]&gt;0,VLOOKUP(DBparts1[[#This Row],[Type]],Main[[#All],[TYPE]:[UNIT]],'Unit Price'!G$1,FALSE),0)</f>
        <v>0</v>
      </c>
      <c r="J479" s="194">
        <f>IF(DBparts1[[#This Row],[Type]]&gt;0,VLOOKUP(DBparts1[[#This Row],[Type]],Main[[#All],[TYPE]:[UNIT]],'Unit Price'!H$1,FALSE),0)</f>
        <v>0</v>
      </c>
      <c r="K479" s="194">
        <f>IF(DBparts1[[#This Row],[Type]]&gt;0,VLOOKUP(DBparts1[[#This Row],[Discount seletion]],'Discount Structure'!$A$2:$B$30,2,"false"),0)</f>
        <v>0</v>
      </c>
      <c r="L479" s="194">
        <f>DBparts1[[#This Row],[LIST $]]*DBparts1[[#This Row],[DISCOUNT]]*DBparts1[[#This Row],[DISCOUNT 2]]</f>
        <v>0</v>
      </c>
    </row>
    <row r="480" spans="2:12">
      <c r="B480" s="112"/>
      <c r="C480" s="112"/>
      <c r="D480" s="112"/>
      <c r="F480" s="168" t="s">
        <v>6202</v>
      </c>
      <c r="G480" s="232">
        <f>IF(DBparts1[[#This Row],[Type]]&gt;0,VLOOKUP(DBparts1[[#This Row],[Type]],Main[[#All],[TYPE]:[UNIT]],'Unit Price'!C$1,FALSE),0)</f>
        <v>0</v>
      </c>
      <c r="H480" s="194">
        <f>IF(DBparts1[[#This Row],[Type]]&gt;0,VLOOKUP(DBparts1[[#This Row],[Type]],Main[[#All],[TYPE]:[UNIT]],'Unit Price'!D$1,FALSE),0)</f>
        <v>0</v>
      </c>
      <c r="I480" s="194">
        <f>IF(DBparts1[[#This Row],[Type]]&gt;0,VLOOKUP(DBparts1[[#This Row],[Type]],Main[[#All],[TYPE]:[UNIT]],'Unit Price'!G$1,FALSE),0)</f>
        <v>0</v>
      </c>
      <c r="J480" s="194">
        <f>IF(DBparts1[[#This Row],[Type]]&gt;0,VLOOKUP(DBparts1[[#This Row],[Type]],Main[[#All],[TYPE]:[UNIT]],'Unit Price'!H$1,FALSE),0)</f>
        <v>0</v>
      </c>
      <c r="K480" s="194">
        <f>IF(DBparts1[[#This Row],[Type]]&gt;0,VLOOKUP(DBparts1[[#This Row],[Discount seletion]],'Discount Structure'!$A$2:$B$30,2,"false"),0)</f>
        <v>0</v>
      </c>
      <c r="L480" s="194">
        <f>DBparts1[[#This Row],[LIST $]]*DBparts1[[#This Row],[DISCOUNT]]*DBparts1[[#This Row],[DISCOUNT 2]]</f>
        <v>0</v>
      </c>
    </row>
    <row r="481" spans="2:12">
      <c r="B481" s="112"/>
      <c r="C481" s="112"/>
      <c r="D481" s="112"/>
      <c r="F481" s="168" t="s">
        <v>6202</v>
      </c>
      <c r="G481" s="232">
        <f>IF(DBparts1[[#This Row],[Type]]&gt;0,VLOOKUP(DBparts1[[#This Row],[Type]],Main[[#All],[TYPE]:[UNIT]],'Unit Price'!C$1,FALSE),0)</f>
        <v>0</v>
      </c>
      <c r="H481" s="194">
        <f>IF(DBparts1[[#This Row],[Type]]&gt;0,VLOOKUP(DBparts1[[#This Row],[Type]],Main[[#All],[TYPE]:[UNIT]],'Unit Price'!D$1,FALSE),0)</f>
        <v>0</v>
      </c>
      <c r="I481" s="194">
        <f>IF(DBparts1[[#This Row],[Type]]&gt;0,VLOOKUP(DBparts1[[#This Row],[Type]],Main[[#All],[TYPE]:[UNIT]],'Unit Price'!G$1,FALSE),0)</f>
        <v>0</v>
      </c>
      <c r="J481" s="194">
        <f>IF(DBparts1[[#This Row],[Type]]&gt;0,VLOOKUP(DBparts1[[#This Row],[Type]],Main[[#All],[TYPE]:[UNIT]],'Unit Price'!H$1,FALSE),0)</f>
        <v>0</v>
      </c>
      <c r="K481" s="194">
        <f>IF(DBparts1[[#This Row],[Type]]&gt;0,VLOOKUP(DBparts1[[#This Row],[Discount seletion]],'Discount Structure'!$A$2:$B$30,2,"false"),0)</f>
        <v>0</v>
      </c>
      <c r="L481" s="194">
        <f>DBparts1[[#This Row],[LIST $]]*DBparts1[[#This Row],[DISCOUNT]]*DBparts1[[#This Row],[DISCOUNT 2]]</f>
        <v>0</v>
      </c>
    </row>
    <row r="482" spans="2:12">
      <c r="B482" s="112"/>
      <c r="C482" s="112"/>
      <c r="D482" s="112"/>
      <c r="F482" s="168" t="s">
        <v>6202</v>
      </c>
      <c r="G482" s="232">
        <f>IF(DBparts1[[#This Row],[Type]]&gt;0,VLOOKUP(DBparts1[[#This Row],[Type]],Main[[#All],[TYPE]:[UNIT]],'Unit Price'!C$1,FALSE),0)</f>
        <v>0</v>
      </c>
      <c r="H482" s="194">
        <f>IF(DBparts1[[#This Row],[Type]]&gt;0,VLOOKUP(DBparts1[[#This Row],[Type]],Main[[#All],[TYPE]:[UNIT]],'Unit Price'!D$1,FALSE),0)</f>
        <v>0</v>
      </c>
      <c r="I482" s="194">
        <f>IF(DBparts1[[#This Row],[Type]]&gt;0,VLOOKUP(DBparts1[[#This Row],[Type]],Main[[#All],[TYPE]:[UNIT]],'Unit Price'!G$1,FALSE),0)</f>
        <v>0</v>
      </c>
      <c r="J482" s="194">
        <f>IF(DBparts1[[#This Row],[Type]]&gt;0,VLOOKUP(DBparts1[[#This Row],[Type]],Main[[#All],[TYPE]:[UNIT]],'Unit Price'!H$1,FALSE),0)</f>
        <v>0</v>
      </c>
      <c r="K482" s="194">
        <f>IF(DBparts1[[#This Row],[Type]]&gt;0,VLOOKUP(DBparts1[[#This Row],[Discount seletion]],'Discount Structure'!$A$2:$B$30,2,"false"),0)</f>
        <v>0</v>
      </c>
      <c r="L482" s="194">
        <f>DBparts1[[#This Row],[LIST $]]*DBparts1[[#This Row],[DISCOUNT]]*DBparts1[[#This Row],[DISCOUNT 2]]</f>
        <v>0</v>
      </c>
    </row>
    <row r="483" spans="2:12">
      <c r="B483" s="112"/>
      <c r="C483" s="112"/>
      <c r="D483" s="112"/>
      <c r="F483" s="168" t="s">
        <v>6202</v>
      </c>
      <c r="G483" s="232">
        <f>IF(DBparts1[[#This Row],[Type]]&gt;0,VLOOKUP(DBparts1[[#This Row],[Type]],Main[[#All],[TYPE]:[UNIT]],'Unit Price'!C$1,FALSE),0)</f>
        <v>0</v>
      </c>
      <c r="H483" s="194">
        <f>IF(DBparts1[[#This Row],[Type]]&gt;0,VLOOKUP(DBparts1[[#This Row],[Type]],Main[[#All],[TYPE]:[UNIT]],'Unit Price'!D$1,FALSE),0)</f>
        <v>0</v>
      </c>
      <c r="I483" s="194">
        <f>IF(DBparts1[[#This Row],[Type]]&gt;0,VLOOKUP(DBparts1[[#This Row],[Type]],Main[[#All],[TYPE]:[UNIT]],'Unit Price'!G$1,FALSE),0)</f>
        <v>0</v>
      </c>
      <c r="J483" s="194">
        <f>IF(DBparts1[[#This Row],[Type]]&gt;0,VLOOKUP(DBparts1[[#This Row],[Type]],Main[[#All],[TYPE]:[UNIT]],'Unit Price'!H$1,FALSE),0)</f>
        <v>0</v>
      </c>
      <c r="K483" s="194">
        <f>IF(DBparts1[[#This Row],[Type]]&gt;0,VLOOKUP(DBparts1[[#This Row],[Discount seletion]],'Discount Structure'!$A$2:$B$30,2,"false"),0)</f>
        <v>0</v>
      </c>
      <c r="L483" s="194">
        <f>DBparts1[[#This Row],[LIST $]]*DBparts1[[#This Row],[DISCOUNT]]*DBparts1[[#This Row],[DISCOUNT 2]]</f>
        <v>0</v>
      </c>
    </row>
    <row r="484" spans="2:12">
      <c r="B484" s="112"/>
      <c r="C484" s="112"/>
      <c r="D484" s="112"/>
      <c r="F484" s="168" t="s">
        <v>6202</v>
      </c>
      <c r="G484" s="232">
        <f>IF(DBparts1[[#This Row],[Type]]&gt;0,VLOOKUP(DBparts1[[#This Row],[Type]],Main[[#All],[TYPE]:[UNIT]],'Unit Price'!C$1,FALSE),0)</f>
        <v>0</v>
      </c>
      <c r="H484" s="194">
        <f>IF(DBparts1[[#This Row],[Type]]&gt;0,VLOOKUP(DBparts1[[#This Row],[Type]],Main[[#All],[TYPE]:[UNIT]],'Unit Price'!D$1,FALSE),0)</f>
        <v>0</v>
      </c>
      <c r="I484" s="194">
        <f>IF(DBparts1[[#This Row],[Type]]&gt;0,VLOOKUP(DBparts1[[#This Row],[Type]],Main[[#All],[TYPE]:[UNIT]],'Unit Price'!G$1,FALSE),0)</f>
        <v>0</v>
      </c>
      <c r="J484" s="194">
        <f>IF(DBparts1[[#This Row],[Type]]&gt;0,VLOOKUP(DBparts1[[#This Row],[Type]],Main[[#All],[TYPE]:[UNIT]],'Unit Price'!H$1,FALSE),0)</f>
        <v>0</v>
      </c>
      <c r="K484" s="194">
        <f>IF(DBparts1[[#This Row],[Type]]&gt;0,VLOOKUP(DBparts1[[#This Row],[Discount seletion]],'Discount Structure'!$A$2:$B$30,2,"false"),0)</f>
        <v>0</v>
      </c>
      <c r="L484" s="194">
        <f>DBparts1[[#This Row],[LIST $]]*DBparts1[[#This Row],[DISCOUNT]]*DBparts1[[#This Row],[DISCOUNT 2]]</f>
        <v>0</v>
      </c>
    </row>
    <row r="485" spans="2:12">
      <c r="B485" s="112"/>
      <c r="C485" s="112"/>
      <c r="D485" s="112"/>
      <c r="F485" s="168" t="s">
        <v>6202</v>
      </c>
      <c r="G485" s="232">
        <f>IF(DBparts1[[#This Row],[Type]]&gt;0,VLOOKUP(DBparts1[[#This Row],[Type]],Main[[#All],[TYPE]:[UNIT]],'Unit Price'!C$1,FALSE),0)</f>
        <v>0</v>
      </c>
      <c r="H485" s="194">
        <f>IF(DBparts1[[#This Row],[Type]]&gt;0,VLOOKUP(DBparts1[[#This Row],[Type]],Main[[#All],[TYPE]:[UNIT]],'Unit Price'!D$1,FALSE),0)</f>
        <v>0</v>
      </c>
      <c r="I485" s="194">
        <f>IF(DBparts1[[#This Row],[Type]]&gt;0,VLOOKUP(DBparts1[[#This Row],[Type]],Main[[#All],[TYPE]:[UNIT]],'Unit Price'!G$1,FALSE),0)</f>
        <v>0</v>
      </c>
      <c r="J485" s="194">
        <f>IF(DBparts1[[#This Row],[Type]]&gt;0,VLOOKUP(DBparts1[[#This Row],[Type]],Main[[#All],[TYPE]:[UNIT]],'Unit Price'!H$1,FALSE),0)</f>
        <v>0</v>
      </c>
      <c r="K485" s="194">
        <f>IF(DBparts1[[#This Row],[Type]]&gt;0,VLOOKUP(DBparts1[[#This Row],[Discount seletion]],'Discount Structure'!$A$2:$B$30,2,"false"),0)</f>
        <v>0</v>
      </c>
      <c r="L485" s="194">
        <f>DBparts1[[#This Row],[LIST $]]*DBparts1[[#This Row],[DISCOUNT]]*DBparts1[[#This Row],[DISCOUNT 2]]</f>
        <v>0</v>
      </c>
    </row>
    <row r="486" spans="2:12">
      <c r="B486" s="112"/>
      <c r="C486" s="112"/>
      <c r="D486" s="112"/>
      <c r="F486" s="168" t="s">
        <v>6202</v>
      </c>
      <c r="G486" s="232">
        <f>IF(DBparts1[[#This Row],[Type]]&gt;0,VLOOKUP(DBparts1[[#This Row],[Type]],Main[[#All],[TYPE]:[UNIT]],'Unit Price'!C$1,FALSE),0)</f>
        <v>0</v>
      </c>
      <c r="H486" s="194">
        <f>IF(DBparts1[[#This Row],[Type]]&gt;0,VLOOKUP(DBparts1[[#This Row],[Type]],Main[[#All],[TYPE]:[UNIT]],'Unit Price'!D$1,FALSE),0)</f>
        <v>0</v>
      </c>
      <c r="I486" s="194">
        <f>IF(DBparts1[[#This Row],[Type]]&gt;0,VLOOKUP(DBparts1[[#This Row],[Type]],Main[[#All],[TYPE]:[UNIT]],'Unit Price'!G$1,FALSE),0)</f>
        <v>0</v>
      </c>
      <c r="J486" s="194">
        <f>IF(DBparts1[[#This Row],[Type]]&gt;0,VLOOKUP(DBparts1[[#This Row],[Type]],Main[[#All],[TYPE]:[UNIT]],'Unit Price'!H$1,FALSE),0)</f>
        <v>0</v>
      </c>
      <c r="K486" s="194">
        <f>IF(DBparts1[[#This Row],[Type]]&gt;0,VLOOKUP(DBparts1[[#This Row],[Discount seletion]],'Discount Structure'!$A$2:$B$30,2,"false"),0)</f>
        <v>0</v>
      </c>
      <c r="L486" s="194">
        <f>DBparts1[[#This Row],[LIST $]]*DBparts1[[#This Row],[DISCOUNT]]*DBparts1[[#This Row],[DISCOUNT 2]]</f>
        <v>0</v>
      </c>
    </row>
    <row r="487" spans="2:12">
      <c r="B487" s="112"/>
      <c r="C487" s="112"/>
      <c r="D487" s="112"/>
      <c r="F487" s="168" t="s">
        <v>6202</v>
      </c>
      <c r="G487" s="232">
        <f>IF(DBparts1[[#This Row],[Type]]&gt;0,VLOOKUP(DBparts1[[#This Row],[Type]],Main[[#All],[TYPE]:[UNIT]],'Unit Price'!C$1,FALSE),0)</f>
        <v>0</v>
      </c>
      <c r="H487" s="194">
        <f>IF(DBparts1[[#This Row],[Type]]&gt;0,VLOOKUP(DBparts1[[#This Row],[Type]],Main[[#All],[TYPE]:[UNIT]],'Unit Price'!D$1,FALSE),0)</f>
        <v>0</v>
      </c>
      <c r="I487" s="194">
        <f>IF(DBparts1[[#This Row],[Type]]&gt;0,VLOOKUP(DBparts1[[#This Row],[Type]],Main[[#All],[TYPE]:[UNIT]],'Unit Price'!G$1,FALSE),0)</f>
        <v>0</v>
      </c>
      <c r="J487" s="194">
        <f>IF(DBparts1[[#This Row],[Type]]&gt;0,VLOOKUP(DBparts1[[#This Row],[Type]],Main[[#All],[TYPE]:[UNIT]],'Unit Price'!H$1,FALSE),0)</f>
        <v>0</v>
      </c>
      <c r="K487" s="194">
        <f>IF(DBparts1[[#This Row],[Type]]&gt;0,VLOOKUP(DBparts1[[#This Row],[Discount seletion]],'Discount Structure'!$A$2:$B$30,2,"false"),0)</f>
        <v>0</v>
      </c>
      <c r="L487" s="194">
        <f>DBparts1[[#This Row],[LIST $]]*DBparts1[[#This Row],[DISCOUNT]]*DBparts1[[#This Row],[DISCOUNT 2]]</f>
        <v>0</v>
      </c>
    </row>
    <row r="488" spans="2:12">
      <c r="B488" s="112"/>
      <c r="C488" s="112"/>
      <c r="D488" s="112"/>
      <c r="F488" s="168" t="s">
        <v>6202</v>
      </c>
      <c r="G488" s="232">
        <f>IF(DBparts1[[#This Row],[Type]]&gt;0,VLOOKUP(DBparts1[[#This Row],[Type]],Main[[#All],[TYPE]:[UNIT]],'Unit Price'!C$1,FALSE),0)</f>
        <v>0</v>
      </c>
      <c r="H488" s="194">
        <f>IF(DBparts1[[#This Row],[Type]]&gt;0,VLOOKUP(DBparts1[[#This Row],[Type]],Main[[#All],[TYPE]:[UNIT]],'Unit Price'!D$1,FALSE),0)</f>
        <v>0</v>
      </c>
      <c r="I488" s="194">
        <f>IF(DBparts1[[#This Row],[Type]]&gt;0,VLOOKUP(DBparts1[[#This Row],[Type]],Main[[#All],[TYPE]:[UNIT]],'Unit Price'!G$1,FALSE),0)</f>
        <v>0</v>
      </c>
      <c r="J488" s="194">
        <f>IF(DBparts1[[#This Row],[Type]]&gt;0,VLOOKUP(DBparts1[[#This Row],[Type]],Main[[#All],[TYPE]:[UNIT]],'Unit Price'!H$1,FALSE),0)</f>
        <v>0</v>
      </c>
      <c r="K488" s="194">
        <f>IF(DBparts1[[#This Row],[Type]]&gt;0,VLOOKUP(DBparts1[[#This Row],[Discount seletion]],'Discount Structure'!$A$2:$B$30,2,"false"),0)</f>
        <v>0</v>
      </c>
      <c r="L488" s="194">
        <f>DBparts1[[#This Row],[LIST $]]*DBparts1[[#This Row],[DISCOUNT]]*DBparts1[[#This Row],[DISCOUNT 2]]</f>
        <v>0</v>
      </c>
    </row>
    <row r="489" spans="2:12">
      <c r="B489" s="112"/>
      <c r="C489" s="112"/>
      <c r="D489" s="112"/>
      <c r="F489" s="168" t="s">
        <v>6202</v>
      </c>
      <c r="G489" s="232">
        <f>IF(DBparts1[[#This Row],[Type]]&gt;0,VLOOKUP(DBparts1[[#This Row],[Type]],Main[[#All],[TYPE]:[UNIT]],'Unit Price'!C$1,FALSE),0)</f>
        <v>0</v>
      </c>
      <c r="H489" s="194">
        <f>IF(DBparts1[[#This Row],[Type]]&gt;0,VLOOKUP(DBparts1[[#This Row],[Type]],Main[[#All],[TYPE]:[UNIT]],'Unit Price'!D$1,FALSE),0)</f>
        <v>0</v>
      </c>
      <c r="I489" s="194">
        <f>IF(DBparts1[[#This Row],[Type]]&gt;0,VLOOKUP(DBparts1[[#This Row],[Type]],Main[[#All],[TYPE]:[UNIT]],'Unit Price'!G$1,FALSE),0)</f>
        <v>0</v>
      </c>
      <c r="J489" s="194">
        <f>IF(DBparts1[[#This Row],[Type]]&gt;0,VLOOKUP(DBparts1[[#This Row],[Type]],Main[[#All],[TYPE]:[UNIT]],'Unit Price'!H$1,FALSE),0)</f>
        <v>0</v>
      </c>
      <c r="K489" s="194">
        <f>IF(DBparts1[[#This Row],[Type]]&gt;0,VLOOKUP(DBparts1[[#This Row],[Discount seletion]],'Discount Structure'!$A$2:$B$30,2,"false"),0)</f>
        <v>0</v>
      </c>
      <c r="L489" s="194">
        <f>DBparts1[[#This Row],[LIST $]]*DBparts1[[#This Row],[DISCOUNT]]*DBparts1[[#This Row],[DISCOUNT 2]]</f>
        <v>0</v>
      </c>
    </row>
    <row r="490" spans="2:12">
      <c r="B490" s="112"/>
      <c r="C490" s="112"/>
      <c r="D490" s="112"/>
      <c r="F490" s="168" t="s">
        <v>6202</v>
      </c>
      <c r="G490" s="232">
        <f>IF(DBparts1[[#This Row],[Type]]&gt;0,VLOOKUP(DBparts1[[#This Row],[Type]],Main[[#All],[TYPE]:[UNIT]],'Unit Price'!C$1,FALSE),0)</f>
        <v>0</v>
      </c>
      <c r="H490" s="194">
        <f>IF(DBparts1[[#This Row],[Type]]&gt;0,VLOOKUP(DBparts1[[#This Row],[Type]],Main[[#All],[TYPE]:[UNIT]],'Unit Price'!D$1,FALSE),0)</f>
        <v>0</v>
      </c>
      <c r="I490" s="194">
        <f>IF(DBparts1[[#This Row],[Type]]&gt;0,VLOOKUP(DBparts1[[#This Row],[Type]],Main[[#All],[TYPE]:[UNIT]],'Unit Price'!G$1,FALSE),0)</f>
        <v>0</v>
      </c>
      <c r="J490" s="194">
        <f>IF(DBparts1[[#This Row],[Type]]&gt;0,VLOOKUP(DBparts1[[#This Row],[Type]],Main[[#All],[TYPE]:[UNIT]],'Unit Price'!H$1,FALSE),0)</f>
        <v>0</v>
      </c>
      <c r="K490" s="194">
        <f>IF(DBparts1[[#This Row],[Type]]&gt;0,VLOOKUP(DBparts1[[#This Row],[Discount seletion]],'Discount Structure'!$A$2:$B$30,2,"false"),0)</f>
        <v>0</v>
      </c>
      <c r="L490" s="194">
        <f>DBparts1[[#This Row],[LIST $]]*DBparts1[[#This Row],[DISCOUNT]]*DBparts1[[#This Row],[DISCOUNT 2]]</f>
        <v>0</v>
      </c>
    </row>
    <row r="491" spans="2:12">
      <c r="B491" s="112"/>
      <c r="C491" s="112"/>
      <c r="D491" s="112"/>
      <c r="F491" s="168" t="s">
        <v>6202</v>
      </c>
      <c r="G491" s="232">
        <f>IF(DBparts1[[#This Row],[Type]]&gt;0,VLOOKUP(DBparts1[[#This Row],[Type]],Main[[#All],[TYPE]:[UNIT]],'Unit Price'!C$1,FALSE),0)</f>
        <v>0</v>
      </c>
      <c r="H491" s="194">
        <f>IF(DBparts1[[#This Row],[Type]]&gt;0,VLOOKUP(DBparts1[[#This Row],[Type]],Main[[#All],[TYPE]:[UNIT]],'Unit Price'!D$1,FALSE),0)</f>
        <v>0</v>
      </c>
      <c r="I491" s="194">
        <f>IF(DBparts1[[#This Row],[Type]]&gt;0,VLOOKUP(DBparts1[[#This Row],[Type]],Main[[#All],[TYPE]:[UNIT]],'Unit Price'!G$1,FALSE),0)</f>
        <v>0</v>
      </c>
      <c r="J491" s="194">
        <f>IF(DBparts1[[#This Row],[Type]]&gt;0,VLOOKUP(DBparts1[[#This Row],[Type]],Main[[#All],[TYPE]:[UNIT]],'Unit Price'!H$1,FALSE),0)</f>
        <v>0</v>
      </c>
      <c r="K491" s="194">
        <f>IF(DBparts1[[#This Row],[Type]]&gt;0,VLOOKUP(DBparts1[[#This Row],[Discount seletion]],'Discount Structure'!$A$2:$B$30,2,"false"),0)</f>
        <v>0</v>
      </c>
      <c r="L491" s="194">
        <f>DBparts1[[#This Row],[LIST $]]*DBparts1[[#This Row],[DISCOUNT]]*DBparts1[[#This Row],[DISCOUNT 2]]</f>
        <v>0</v>
      </c>
    </row>
    <row r="492" spans="2:12">
      <c r="B492" s="112"/>
      <c r="C492" s="112"/>
      <c r="D492" s="112"/>
      <c r="F492" s="168" t="s">
        <v>6202</v>
      </c>
      <c r="G492" s="232">
        <f>IF(DBparts1[[#This Row],[Type]]&gt;0,VLOOKUP(DBparts1[[#This Row],[Type]],Main[[#All],[TYPE]:[UNIT]],'Unit Price'!C$1,FALSE),0)</f>
        <v>0</v>
      </c>
      <c r="H492" s="194">
        <f>IF(DBparts1[[#This Row],[Type]]&gt;0,VLOOKUP(DBparts1[[#This Row],[Type]],Main[[#All],[TYPE]:[UNIT]],'Unit Price'!D$1,FALSE),0)</f>
        <v>0</v>
      </c>
      <c r="I492" s="194">
        <f>IF(DBparts1[[#This Row],[Type]]&gt;0,VLOOKUP(DBparts1[[#This Row],[Type]],Main[[#All],[TYPE]:[UNIT]],'Unit Price'!G$1,FALSE),0)</f>
        <v>0</v>
      </c>
      <c r="J492" s="194">
        <f>IF(DBparts1[[#This Row],[Type]]&gt;0,VLOOKUP(DBparts1[[#This Row],[Type]],Main[[#All],[TYPE]:[UNIT]],'Unit Price'!H$1,FALSE),0)</f>
        <v>0</v>
      </c>
      <c r="K492" s="194">
        <f>IF(DBparts1[[#This Row],[Type]]&gt;0,VLOOKUP(DBparts1[[#This Row],[Discount seletion]],'Discount Structure'!$A$2:$B$30,2,"false"),0)</f>
        <v>0</v>
      </c>
      <c r="L492" s="194">
        <f>DBparts1[[#This Row],[LIST $]]*DBparts1[[#This Row],[DISCOUNT]]*DBparts1[[#This Row],[DISCOUNT 2]]</f>
        <v>0</v>
      </c>
    </row>
    <row r="493" spans="2:12">
      <c r="B493" s="112"/>
      <c r="C493" s="112"/>
      <c r="D493" s="112"/>
      <c r="F493" s="168" t="s">
        <v>6202</v>
      </c>
      <c r="G493" s="232">
        <f>IF(DBparts1[[#This Row],[Type]]&gt;0,VLOOKUP(DBparts1[[#This Row],[Type]],Main[[#All],[TYPE]:[UNIT]],'Unit Price'!C$1,FALSE),0)</f>
        <v>0</v>
      </c>
      <c r="H493" s="194">
        <f>IF(DBparts1[[#This Row],[Type]]&gt;0,VLOOKUP(DBparts1[[#This Row],[Type]],Main[[#All],[TYPE]:[UNIT]],'Unit Price'!D$1,FALSE),0)</f>
        <v>0</v>
      </c>
      <c r="I493" s="194">
        <f>IF(DBparts1[[#This Row],[Type]]&gt;0,VLOOKUP(DBparts1[[#This Row],[Type]],Main[[#All],[TYPE]:[UNIT]],'Unit Price'!G$1,FALSE),0)</f>
        <v>0</v>
      </c>
      <c r="J493" s="194">
        <f>IF(DBparts1[[#This Row],[Type]]&gt;0,VLOOKUP(DBparts1[[#This Row],[Type]],Main[[#All],[TYPE]:[UNIT]],'Unit Price'!H$1,FALSE),0)</f>
        <v>0</v>
      </c>
      <c r="K493" s="194">
        <f>IF(DBparts1[[#This Row],[Type]]&gt;0,VLOOKUP(DBparts1[[#This Row],[Discount seletion]],'Discount Structure'!$A$2:$B$30,2,"false"),0)</f>
        <v>0</v>
      </c>
      <c r="L493" s="194">
        <f>DBparts1[[#This Row],[LIST $]]*DBparts1[[#This Row],[DISCOUNT]]*DBparts1[[#This Row],[DISCOUNT 2]]</f>
        <v>0</v>
      </c>
    </row>
    <row r="494" spans="2:12">
      <c r="B494" s="112"/>
      <c r="C494" s="112"/>
      <c r="D494" s="112"/>
      <c r="F494" s="168" t="s">
        <v>6202</v>
      </c>
      <c r="G494" s="232">
        <f>IF(DBparts1[[#This Row],[Type]]&gt;0,VLOOKUP(DBparts1[[#This Row],[Type]],Main[[#All],[TYPE]:[UNIT]],'Unit Price'!C$1,FALSE),0)</f>
        <v>0</v>
      </c>
      <c r="H494" s="194">
        <f>IF(DBparts1[[#This Row],[Type]]&gt;0,VLOOKUP(DBparts1[[#This Row],[Type]],Main[[#All],[TYPE]:[UNIT]],'Unit Price'!D$1,FALSE),0)</f>
        <v>0</v>
      </c>
      <c r="I494" s="194">
        <f>IF(DBparts1[[#This Row],[Type]]&gt;0,VLOOKUP(DBparts1[[#This Row],[Type]],Main[[#All],[TYPE]:[UNIT]],'Unit Price'!G$1,FALSE),0)</f>
        <v>0</v>
      </c>
      <c r="J494" s="194">
        <f>IF(DBparts1[[#This Row],[Type]]&gt;0,VLOOKUP(DBparts1[[#This Row],[Type]],Main[[#All],[TYPE]:[UNIT]],'Unit Price'!H$1,FALSE),0)</f>
        <v>0</v>
      </c>
      <c r="K494" s="194">
        <f>IF(DBparts1[[#This Row],[Type]]&gt;0,VLOOKUP(DBparts1[[#This Row],[Discount seletion]],'Discount Structure'!$A$2:$B$30,2,"false"),0)</f>
        <v>0</v>
      </c>
      <c r="L494" s="194">
        <f>DBparts1[[#This Row],[LIST $]]*DBparts1[[#This Row],[DISCOUNT]]*DBparts1[[#This Row],[DISCOUNT 2]]</f>
        <v>0</v>
      </c>
    </row>
    <row r="495" spans="2:12">
      <c r="B495" s="112"/>
      <c r="C495" s="112"/>
      <c r="D495" s="112"/>
      <c r="F495" s="168" t="s">
        <v>6202</v>
      </c>
      <c r="G495" s="232">
        <f>IF(DBparts1[[#This Row],[Type]]&gt;0,VLOOKUP(DBparts1[[#This Row],[Type]],Main[[#All],[TYPE]:[UNIT]],'Unit Price'!C$1,FALSE),0)</f>
        <v>0</v>
      </c>
      <c r="H495" s="194">
        <f>IF(DBparts1[[#This Row],[Type]]&gt;0,VLOOKUP(DBparts1[[#This Row],[Type]],Main[[#All],[TYPE]:[UNIT]],'Unit Price'!D$1,FALSE),0)</f>
        <v>0</v>
      </c>
      <c r="I495" s="194">
        <f>IF(DBparts1[[#This Row],[Type]]&gt;0,VLOOKUP(DBparts1[[#This Row],[Type]],Main[[#All],[TYPE]:[UNIT]],'Unit Price'!G$1,FALSE),0)</f>
        <v>0</v>
      </c>
      <c r="J495" s="194">
        <f>IF(DBparts1[[#This Row],[Type]]&gt;0,VLOOKUP(DBparts1[[#This Row],[Type]],Main[[#All],[TYPE]:[UNIT]],'Unit Price'!H$1,FALSE),0)</f>
        <v>0</v>
      </c>
      <c r="K495" s="194">
        <f>IF(DBparts1[[#This Row],[Type]]&gt;0,VLOOKUP(DBparts1[[#This Row],[Discount seletion]],'Discount Structure'!$A$2:$B$30,2,"false"),0)</f>
        <v>0</v>
      </c>
      <c r="L495" s="194">
        <f>DBparts1[[#This Row],[LIST $]]*DBparts1[[#This Row],[DISCOUNT]]*DBparts1[[#This Row],[DISCOUNT 2]]</f>
        <v>0</v>
      </c>
    </row>
    <row r="496" spans="2:12">
      <c r="B496" s="112"/>
      <c r="C496" s="112"/>
      <c r="D496" s="112"/>
      <c r="F496" s="168" t="s">
        <v>6202</v>
      </c>
      <c r="G496" s="232">
        <f>IF(DBparts1[[#This Row],[Type]]&gt;0,VLOOKUP(DBparts1[[#This Row],[Type]],Main[[#All],[TYPE]:[UNIT]],'Unit Price'!C$1,FALSE),0)</f>
        <v>0</v>
      </c>
      <c r="H496" s="194">
        <f>IF(DBparts1[[#This Row],[Type]]&gt;0,VLOOKUP(DBparts1[[#This Row],[Type]],Main[[#All],[TYPE]:[UNIT]],'Unit Price'!D$1,FALSE),0)</f>
        <v>0</v>
      </c>
      <c r="I496" s="194">
        <f>IF(DBparts1[[#This Row],[Type]]&gt;0,VLOOKUP(DBparts1[[#This Row],[Type]],Main[[#All],[TYPE]:[UNIT]],'Unit Price'!G$1,FALSE),0)</f>
        <v>0</v>
      </c>
      <c r="J496" s="194">
        <f>IF(DBparts1[[#This Row],[Type]]&gt;0,VLOOKUP(DBparts1[[#This Row],[Type]],Main[[#All],[TYPE]:[UNIT]],'Unit Price'!H$1,FALSE),0)</f>
        <v>0</v>
      </c>
      <c r="K496" s="194">
        <f>IF(DBparts1[[#This Row],[Type]]&gt;0,VLOOKUP(DBparts1[[#This Row],[Discount seletion]],'Discount Structure'!$A$2:$B$30,2,"false"),0)</f>
        <v>0</v>
      </c>
      <c r="L496" s="194">
        <f>DBparts1[[#This Row],[LIST $]]*DBparts1[[#This Row],[DISCOUNT]]*DBparts1[[#This Row],[DISCOUNT 2]]</f>
        <v>0</v>
      </c>
    </row>
    <row r="497" spans="2:12">
      <c r="B497" s="112"/>
      <c r="C497" s="112"/>
      <c r="D497" s="112"/>
      <c r="F497" s="168" t="s">
        <v>6202</v>
      </c>
      <c r="G497" s="232">
        <f>IF(DBparts1[[#This Row],[Type]]&gt;0,VLOOKUP(DBparts1[[#This Row],[Type]],Main[[#All],[TYPE]:[UNIT]],'Unit Price'!C$1,FALSE),0)</f>
        <v>0</v>
      </c>
      <c r="H497" s="194">
        <f>IF(DBparts1[[#This Row],[Type]]&gt;0,VLOOKUP(DBparts1[[#This Row],[Type]],Main[[#All],[TYPE]:[UNIT]],'Unit Price'!D$1,FALSE),0)</f>
        <v>0</v>
      </c>
      <c r="I497" s="194">
        <f>IF(DBparts1[[#This Row],[Type]]&gt;0,VLOOKUP(DBparts1[[#This Row],[Type]],Main[[#All],[TYPE]:[UNIT]],'Unit Price'!G$1,FALSE),0)</f>
        <v>0</v>
      </c>
      <c r="J497" s="194">
        <f>IF(DBparts1[[#This Row],[Type]]&gt;0,VLOOKUP(DBparts1[[#This Row],[Type]],Main[[#All],[TYPE]:[UNIT]],'Unit Price'!H$1,FALSE),0)</f>
        <v>0</v>
      </c>
      <c r="K497" s="194">
        <f>IF(DBparts1[[#This Row],[Type]]&gt;0,VLOOKUP(DBparts1[[#This Row],[Discount seletion]],'Discount Structure'!$A$2:$B$30,2,"false"),0)</f>
        <v>0</v>
      </c>
      <c r="L497" s="194">
        <f>DBparts1[[#This Row],[LIST $]]*DBparts1[[#This Row],[DISCOUNT]]*DBparts1[[#This Row],[DISCOUNT 2]]</f>
        <v>0</v>
      </c>
    </row>
    <row r="498" spans="2:12">
      <c r="B498" s="112"/>
      <c r="C498" s="112"/>
      <c r="D498" s="112"/>
      <c r="F498" s="168" t="s">
        <v>6202</v>
      </c>
      <c r="G498" s="232">
        <f>IF(DBparts1[[#This Row],[Type]]&gt;0,VLOOKUP(DBparts1[[#This Row],[Type]],Main[[#All],[TYPE]:[UNIT]],'Unit Price'!C$1,FALSE),0)</f>
        <v>0</v>
      </c>
      <c r="H498" s="194">
        <f>IF(DBparts1[[#This Row],[Type]]&gt;0,VLOOKUP(DBparts1[[#This Row],[Type]],Main[[#All],[TYPE]:[UNIT]],'Unit Price'!D$1,FALSE),0)</f>
        <v>0</v>
      </c>
      <c r="I498" s="194">
        <f>IF(DBparts1[[#This Row],[Type]]&gt;0,VLOOKUP(DBparts1[[#This Row],[Type]],Main[[#All],[TYPE]:[UNIT]],'Unit Price'!G$1,FALSE),0)</f>
        <v>0</v>
      </c>
      <c r="J498" s="194">
        <f>IF(DBparts1[[#This Row],[Type]]&gt;0,VLOOKUP(DBparts1[[#This Row],[Type]],Main[[#All],[TYPE]:[UNIT]],'Unit Price'!H$1,FALSE),0)</f>
        <v>0</v>
      </c>
      <c r="K498" s="194">
        <f>IF(DBparts1[[#This Row],[Type]]&gt;0,VLOOKUP(DBparts1[[#This Row],[Discount seletion]],'Discount Structure'!$A$2:$B$30,2,"false"),0)</f>
        <v>0</v>
      </c>
      <c r="L498" s="194">
        <f>DBparts1[[#This Row],[LIST $]]*DBparts1[[#This Row],[DISCOUNT]]*DBparts1[[#This Row],[DISCOUNT 2]]</f>
        <v>0</v>
      </c>
    </row>
    <row r="499" spans="2:12">
      <c r="B499" s="112"/>
      <c r="C499" s="112"/>
      <c r="D499" s="112"/>
      <c r="F499" s="168" t="s">
        <v>6202</v>
      </c>
      <c r="G499" s="232">
        <f>IF(DBparts1[[#This Row],[Type]]&gt;0,VLOOKUP(DBparts1[[#This Row],[Type]],Main[[#All],[TYPE]:[UNIT]],'Unit Price'!C$1,FALSE),0)</f>
        <v>0</v>
      </c>
      <c r="H499" s="194">
        <f>IF(DBparts1[[#This Row],[Type]]&gt;0,VLOOKUP(DBparts1[[#This Row],[Type]],Main[[#All],[TYPE]:[UNIT]],'Unit Price'!D$1,FALSE),0)</f>
        <v>0</v>
      </c>
      <c r="I499" s="194">
        <f>IF(DBparts1[[#This Row],[Type]]&gt;0,VLOOKUP(DBparts1[[#This Row],[Type]],Main[[#All],[TYPE]:[UNIT]],'Unit Price'!G$1,FALSE),0)</f>
        <v>0</v>
      </c>
      <c r="J499" s="194">
        <f>IF(DBparts1[[#This Row],[Type]]&gt;0,VLOOKUP(DBparts1[[#This Row],[Type]],Main[[#All],[TYPE]:[UNIT]],'Unit Price'!H$1,FALSE),0)</f>
        <v>0</v>
      </c>
      <c r="K499" s="194">
        <f>IF(DBparts1[[#This Row],[Type]]&gt;0,VLOOKUP(DBparts1[[#This Row],[Discount seletion]],'Discount Structure'!$A$2:$B$30,2,"false"),0)</f>
        <v>0</v>
      </c>
      <c r="L499" s="194">
        <f>DBparts1[[#This Row],[LIST $]]*DBparts1[[#This Row],[DISCOUNT]]*DBparts1[[#This Row],[DISCOUNT 2]]</f>
        <v>0</v>
      </c>
    </row>
    <row r="500" spans="2:12">
      <c r="B500" s="112"/>
      <c r="C500" s="112"/>
      <c r="D500" s="112"/>
      <c r="F500" s="168" t="s">
        <v>6202</v>
      </c>
      <c r="G500" s="232">
        <f>IF(DBparts1[[#This Row],[Type]]&gt;0,VLOOKUP(DBparts1[[#This Row],[Type]],Main[[#All],[TYPE]:[UNIT]],'Unit Price'!C$1,FALSE),0)</f>
        <v>0</v>
      </c>
      <c r="H500" s="194">
        <f>IF(DBparts1[[#This Row],[Type]]&gt;0,VLOOKUP(DBparts1[[#This Row],[Type]],Main[[#All],[TYPE]:[UNIT]],'Unit Price'!D$1,FALSE),0)</f>
        <v>0</v>
      </c>
      <c r="I500" s="194">
        <f>IF(DBparts1[[#This Row],[Type]]&gt;0,VLOOKUP(DBparts1[[#This Row],[Type]],Main[[#All],[TYPE]:[UNIT]],'Unit Price'!G$1,FALSE),0)</f>
        <v>0</v>
      </c>
      <c r="J500" s="194">
        <f>IF(DBparts1[[#This Row],[Type]]&gt;0,VLOOKUP(DBparts1[[#This Row],[Type]],Main[[#All],[TYPE]:[UNIT]],'Unit Price'!H$1,FALSE),0)</f>
        <v>0</v>
      </c>
      <c r="K500" s="194">
        <f>IF(DBparts1[[#This Row],[Type]]&gt;0,VLOOKUP(DBparts1[[#This Row],[Discount seletion]],'Discount Structure'!$A$2:$B$30,2,"false"),0)</f>
        <v>0</v>
      </c>
      <c r="L500" s="194">
        <f>DBparts1[[#This Row],[LIST $]]*DBparts1[[#This Row],[DISCOUNT]]*DBparts1[[#This Row],[DISCOUNT 2]]</f>
        <v>0</v>
      </c>
    </row>
    <row r="501" spans="2:12">
      <c r="B501" s="112"/>
      <c r="C501" s="112"/>
      <c r="D501" s="112"/>
      <c r="F501" s="168" t="s">
        <v>6202</v>
      </c>
      <c r="G501" s="232">
        <f>IF(DBparts1[[#This Row],[Type]]&gt;0,VLOOKUP(DBparts1[[#This Row],[Type]],Main[[#All],[TYPE]:[UNIT]],'Unit Price'!C$1,FALSE),0)</f>
        <v>0</v>
      </c>
      <c r="H501" s="194">
        <f>IF(DBparts1[[#This Row],[Type]]&gt;0,VLOOKUP(DBparts1[[#This Row],[Type]],Main[[#All],[TYPE]:[UNIT]],'Unit Price'!D$1,FALSE),0)</f>
        <v>0</v>
      </c>
      <c r="I501" s="194">
        <f>IF(DBparts1[[#This Row],[Type]]&gt;0,VLOOKUP(DBparts1[[#This Row],[Type]],Main[[#All],[TYPE]:[UNIT]],'Unit Price'!G$1,FALSE),0)</f>
        <v>0</v>
      </c>
      <c r="J501" s="194">
        <f>IF(DBparts1[[#This Row],[Type]]&gt;0,VLOOKUP(DBparts1[[#This Row],[Type]],Main[[#All],[TYPE]:[UNIT]],'Unit Price'!H$1,FALSE),0)</f>
        <v>0</v>
      </c>
      <c r="K501" s="194">
        <f>IF(DBparts1[[#This Row],[Type]]&gt;0,VLOOKUP(DBparts1[[#This Row],[Discount seletion]],'Discount Structure'!$A$2:$B$30,2,"false"),0)</f>
        <v>0</v>
      </c>
      <c r="L501" s="194">
        <f>DBparts1[[#This Row],[LIST $]]*DBparts1[[#This Row],[DISCOUNT]]*DBparts1[[#This Row],[DISCOUNT 2]]</f>
        <v>0</v>
      </c>
    </row>
    <row r="502" spans="2:12">
      <c r="B502" s="112"/>
      <c r="C502" s="112"/>
      <c r="D502" s="112"/>
      <c r="F502" s="168" t="s">
        <v>6202</v>
      </c>
      <c r="G502" s="232">
        <f>IF(DBparts1[[#This Row],[Type]]&gt;0,VLOOKUP(DBparts1[[#This Row],[Type]],Main[[#All],[TYPE]:[UNIT]],'Unit Price'!C$1,FALSE),0)</f>
        <v>0</v>
      </c>
      <c r="H502" s="194">
        <f>IF(DBparts1[[#This Row],[Type]]&gt;0,VLOOKUP(DBparts1[[#This Row],[Type]],Main[[#All],[TYPE]:[UNIT]],'Unit Price'!D$1,FALSE),0)</f>
        <v>0</v>
      </c>
      <c r="I502" s="194">
        <f>IF(DBparts1[[#This Row],[Type]]&gt;0,VLOOKUP(DBparts1[[#This Row],[Type]],Main[[#All],[TYPE]:[UNIT]],'Unit Price'!G$1,FALSE),0)</f>
        <v>0</v>
      </c>
      <c r="J502" s="194">
        <f>IF(DBparts1[[#This Row],[Type]]&gt;0,VLOOKUP(DBparts1[[#This Row],[Type]],Main[[#All],[TYPE]:[UNIT]],'Unit Price'!H$1,FALSE),0)</f>
        <v>0</v>
      </c>
      <c r="K502" s="194">
        <f>IF(DBparts1[[#This Row],[Type]]&gt;0,VLOOKUP(DBparts1[[#This Row],[Discount seletion]],'Discount Structure'!$A$2:$B$30,2,"false"),0)</f>
        <v>0</v>
      </c>
      <c r="L502" s="194">
        <f>DBparts1[[#This Row],[LIST $]]*DBparts1[[#This Row],[DISCOUNT]]*DBparts1[[#This Row],[DISCOUNT 2]]</f>
        <v>0</v>
      </c>
    </row>
    <row r="503" spans="2:12">
      <c r="B503" s="112"/>
      <c r="C503" s="112"/>
      <c r="D503" s="112"/>
      <c r="F503" s="168" t="s">
        <v>6202</v>
      </c>
      <c r="G503" s="232">
        <f>IF(DBparts1[[#This Row],[Type]]&gt;0,VLOOKUP(DBparts1[[#This Row],[Type]],Main[[#All],[TYPE]:[UNIT]],'Unit Price'!C$1,FALSE),0)</f>
        <v>0</v>
      </c>
      <c r="H503" s="194">
        <f>IF(DBparts1[[#This Row],[Type]]&gt;0,VLOOKUP(DBparts1[[#This Row],[Type]],Main[[#All],[TYPE]:[UNIT]],'Unit Price'!D$1,FALSE),0)</f>
        <v>0</v>
      </c>
      <c r="I503" s="194">
        <f>IF(DBparts1[[#This Row],[Type]]&gt;0,VLOOKUP(DBparts1[[#This Row],[Type]],Main[[#All],[TYPE]:[UNIT]],'Unit Price'!G$1,FALSE),0)</f>
        <v>0</v>
      </c>
      <c r="J503" s="194">
        <f>IF(DBparts1[[#This Row],[Type]]&gt;0,VLOOKUP(DBparts1[[#This Row],[Type]],Main[[#All],[TYPE]:[UNIT]],'Unit Price'!H$1,FALSE),0)</f>
        <v>0</v>
      </c>
      <c r="K503" s="194">
        <f>IF(DBparts1[[#This Row],[Type]]&gt;0,VLOOKUP(DBparts1[[#This Row],[Discount seletion]],'Discount Structure'!$A$2:$B$30,2,"false"),0)</f>
        <v>0</v>
      </c>
      <c r="L503" s="194">
        <f>DBparts1[[#This Row],[LIST $]]*DBparts1[[#This Row],[DISCOUNT]]*DBparts1[[#This Row],[DISCOUNT 2]]</f>
        <v>0</v>
      </c>
    </row>
    <row r="504" spans="2:12">
      <c r="B504" s="112"/>
      <c r="C504" s="112"/>
      <c r="D504" s="112"/>
      <c r="F504" s="168" t="s">
        <v>6202</v>
      </c>
      <c r="G504" s="232">
        <f>IF(DBparts1[[#This Row],[Type]]&gt;0,VLOOKUP(DBparts1[[#This Row],[Type]],Main[[#All],[TYPE]:[UNIT]],'Unit Price'!C$1,FALSE),0)</f>
        <v>0</v>
      </c>
      <c r="H504" s="194">
        <f>IF(DBparts1[[#This Row],[Type]]&gt;0,VLOOKUP(DBparts1[[#This Row],[Type]],Main[[#All],[TYPE]:[UNIT]],'Unit Price'!D$1,FALSE),0)</f>
        <v>0</v>
      </c>
      <c r="I504" s="194">
        <f>IF(DBparts1[[#This Row],[Type]]&gt;0,VLOOKUP(DBparts1[[#This Row],[Type]],Main[[#All],[TYPE]:[UNIT]],'Unit Price'!G$1,FALSE),0)</f>
        <v>0</v>
      </c>
      <c r="J504" s="194">
        <f>IF(DBparts1[[#This Row],[Type]]&gt;0,VLOOKUP(DBparts1[[#This Row],[Type]],Main[[#All],[TYPE]:[UNIT]],'Unit Price'!H$1,FALSE),0)</f>
        <v>0</v>
      </c>
      <c r="K504" s="194">
        <f>IF(DBparts1[[#This Row],[Type]]&gt;0,VLOOKUP(DBparts1[[#This Row],[Discount seletion]],'Discount Structure'!$A$2:$B$30,2,"false"),0)</f>
        <v>0</v>
      </c>
      <c r="L504" s="194">
        <f>DBparts1[[#This Row],[LIST $]]*DBparts1[[#This Row],[DISCOUNT]]*DBparts1[[#This Row],[DISCOUNT 2]]</f>
        <v>0</v>
      </c>
    </row>
    <row r="505" spans="2:12">
      <c r="B505" s="112"/>
      <c r="C505" s="112"/>
      <c r="D505" s="112"/>
      <c r="F505" s="168" t="s">
        <v>6202</v>
      </c>
      <c r="G505" s="232">
        <f>IF(DBparts1[[#This Row],[Type]]&gt;0,VLOOKUP(DBparts1[[#This Row],[Type]],Main[[#All],[TYPE]:[UNIT]],'Unit Price'!C$1,FALSE),0)</f>
        <v>0</v>
      </c>
      <c r="H505" s="194">
        <f>IF(DBparts1[[#This Row],[Type]]&gt;0,VLOOKUP(DBparts1[[#This Row],[Type]],Main[[#All],[TYPE]:[UNIT]],'Unit Price'!D$1,FALSE),0)</f>
        <v>0</v>
      </c>
      <c r="I505" s="194">
        <f>IF(DBparts1[[#This Row],[Type]]&gt;0,VLOOKUP(DBparts1[[#This Row],[Type]],Main[[#All],[TYPE]:[UNIT]],'Unit Price'!G$1,FALSE),0)</f>
        <v>0</v>
      </c>
      <c r="J505" s="194">
        <f>IF(DBparts1[[#This Row],[Type]]&gt;0,VLOOKUP(DBparts1[[#This Row],[Type]],Main[[#All],[TYPE]:[UNIT]],'Unit Price'!H$1,FALSE),0)</f>
        <v>0</v>
      </c>
      <c r="K505" s="194">
        <f>IF(DBparts1[[#This Row],[Type]]&gt;0,VLOOKUP(DBparts1[[#This Row],[Discount seletion]],'Discount Structure'!$A$2:$B$30,2,"false"),0)</f>
        <v>0</v>
      </c>
      <c r="L505" s="194">
        <f>DBparts1[[#This Row],[LIST $]]*DBparts1[[#This Row],[DISCOUNT]]*DBparts1[[#This Row],[DISCOUNT 2]]</f>
        <v>0</v>
      </c>
    </row>
    <row r="506" spans="2:12">
      <c r="B506" s="112"/>
      <c r="C506" s="112"/>
      <c r="D506" s="112"/>
      <c r="F506" s="168" t="s">
        <v>6202</v>
      </c>
      <c r="G506" s="232">
        <f>IF(DBparts1[[#This Row],[Type]]&gt;0,VLOOKUP(DBparts1[[#This Row],[Type]],Main[[#All],[TYPE]:[UNIT]],'Unit Price'!C$1,FALSE),0)</f>
        <v>0</v>
      </c>
      <c r="H506" s="194">
        <f>IF(DBparts1[[#This Row],[Type]]&gt;0,VLOOKUP(DBparts1[[#This Row],[Type]],Main[[#All],[TYPE]:[UNIT]],'Unit Price'!D$1,FALSE),0)</f>
        <v>0</v>
      </c>
      <c r="I506" s="194">
        <f>IF(DBparts1[[#This Row],[Type]]&gt;0,VLOOKUP(DBparts1[[#This Row],[Type]],Main[[#All],[TYPE]:[UNIT]],'Unit Price'!G$1,FALSE),0)</f>
        <v>0</v>
      </c>
      <c r="J506" s="194">
        <f>IF(DBparts1[[#This Row],[Type]]&gt;0,VLOOKUP(DBparts1[[#This Row],[Type]],Main[[#All],[TYPE]:[UNIT]],'Unit Price'!H$1,FALSE),0)</f>
        <v>0</v>
      </c>
      <c r="K506" s="194">
        <f>IF(DBparts1[[#This Row],[Type]]&gt;0,VLOOKUP(DBparts1[[#This Row],[Discount seletion]],'Discount Structure'!$A$2:$B$30,2,"false"),0)</f>
        <v>0</v>
      </c>
      <c r="L506" s="194">
        <f>DBparts1[[#This Row],[LIST $]]*DBparts1[[#This Row],[DISCOUNT]]*DBparts1[[#This Row],[DISCOUNT 2]]</f>
        <v>0</v>
      </c>
    </row>
    <row r="507" spans="2:12">
      <c r="B507" s="112"/>
      <c r="C507" s="112"/>
      <c r="D507" s="112"/>
      <c r="F507" s="168" t="s">
        <v>6202</v>
      </c>
      <c r="G507" s="232">
        <f>IF(DBparts1[[#This Row],[Type]]&gt;0,VLOOKUP(DBparts1[[#This Row],[Type]],Main[[#All],[TYPE]:[UNIT]],'Unit Price'!C$1,FALSE),0)</f>
        <v>0</v>
      </c>
      <c r="H507" s="194">
        <f>IF(DBparts1[[#This Row],[Type]]&gt;0,VLOOKUP(DBparts1[[#This Row],[Type]],Main[[#All],[TYPE]:[UNIT]],'Unit Price'!D$1,FALSE),0)</f>
        <v>0</v>
      </c>
      <c r="I507" s="194">
        <f>IF(DBparts1[[#This Row],[Type]]&gt;0,VLOOKUP(DBparts1[[#This Row],[Type]],Main[[#All],[TYPE]:[UNIT]],'Unit Price'!G$1,FALSE),0)</f>
        <v>0</v>
      </c>
      <c r="J507" s="194">
        <f>IF(DBparts1[[#This Row],[Type]]&gt;0,VLOOKUP(DBparts1[[#This Row],[Type]],Main[[#All],[TYPE]:[UNIT]],'Unit Price'!H$1,FALSE),0)</f>
        <v>0</v>
      </c>
      <c r="K507" s="194">
        <f>IF(DBparts1[[#This Row],[Type]]&gt;0,VLOOKUP(DBparts1[[#This Row],[Discount seletion]],'Discount Structure'!$A$2:$B$30,2,"false"),0)</f>
        <v>0</v>
      </c>
      <c r="L507" s="194">
        <f>DBparts1[[#This Row],[LIST $]]*DBparts1[[#This Row],[DISCOUNT]]*DBparts1[[#This Row],[DISCOUNT 2]]</f>
        <v>0</v>
      </c>
    </row>
    <row r="508" spans="2:12">
      <c r="B508" s="112"/>
      <c r="C508" s="112"/>
      <c r="D508" s="112"/>
      <c r="F508" s="168" t="s">
        <v>6202</v>
      </c>
      <c r="G508" s="232">
        <f>IF(DBparts1[[#This Row],[Type]]&gt;0,VLOOKUP(DBparts1[[#This Row],[Type]],Main[[#All],[TYPE]:[UNIT]],'Unit Price'!C$1,FALSE),0)</f>
        <v>0</v>
      </c>
      <c r="H508" s="194">
        <f>IF(DBparts1[[#This Row],[Type]]&gt;0,VLOOKUP(DBparts1[[#This Row],[Type]],Main[[#All],[TYPE]:[UNIT]],'Unit Price'!D$1,FALSE),0)</f>
        <v>0</v>
      </c>
      <c r="I508" s="194">
        <f>IF(DBparts1[[#This Row],[Type]]&gt;0,VLOOKUP(DBparts1[[#This Row],[Type]],Main[[#All],[TYPE]:[UNIT]],'Unit Price'!G$1,FALSE),0)</f>
        <v>0</v>
      </c>
      <c r="J508" s="194">
        <f>IF(DBparts1[[#This Row],[Type]]&gt;0,VLOOKUP(DBparts1[[#This Row],[Type]],Main[[#All],[TYPE]:[UNIT]],'Unit Price'!H$1,FALSE),0)</f>
        <v>0</v>
      </c>
      <c r="K508" s="194">
        <f>IF(DBparts1[[#This Row],[Type]]&gt;0,VLOOKUP(DBparts1[[#This Row],[Discount seletion]],'Discount Structure'!$A$2:$B$30,2,"false"),0)</f>
        <v>0</v>
      </c>
      <c r="L508" s="194">
        <f>DBparts1[[#This Row],[LIST $]]*DBparts1[[#This Row],[DISCOUNT]]*DBparts1[[#This Row],[DISCOUNT 2]]</f>
        <v>0</v>
      </c>
    </row>
    <row r="509" spans="2:12">
      <c r="B509" s="112"/>
      <c r="C509" s="112"/>
      <c r="D509" s="112"/>
      <c r="F509" s="168" t="s">
        <v>6202</v>
      </c>
      <c r="G509" s="232">
        <f>IF(DBparts1[[#This Row],[Type]]&gt;0,VLOOKUP(DBparts1[[#This Row],[Type]],Main[[#All],[TYPE]:[UNIT]],'Unit Price'!C$1,FALSE),0)</f>
        <v>0</v>
      </c>
      <c r="H509" s="194">
        <f>IF(DBparts1[[#This Row],[Type]]&gt;0,VLOOKUP(DBparts1[[#This Row],[Type]],Main[[#All],[TYPE]:[UNIT]],'Unit Price'!D$1,FALSE),0)</f>
        <v>0</v>
      </c>
      <c r="I509" s="194">
        <f>IF(DBparts1[[#This Row],[Type]]&gt;0,VLOOKUP(DBparts1[[#This Row],[Type]],Main[[#All],[TYPE]:[UNIT]],'Unit Price'!G$1,FALSE),0)</f>
        <v>0</v>
      </c>
      <c r="J509" s="194">
        <f>IF(DBparts1[[#This Row],[Type]]&gt;0,VLOOKUP(DBparts1[[#This Row],[Type]],Main[[#All],[TYPE]:[UNIT]],'Unit Price'!H$1,FALSE),0)</f>
        <v>0</v>
      </c>
      <c r="K509" s="194">
        <f>IF(DBparts1[[#This Row],[Type]]&gt;0,VLOOKUP(DBparts1[[#This Row],[Discount seletion]],'Discount Structure'!$A$2:$B$30,2,"false"),0)</f>
        <v>0</v>
      </c>
      <c r="L509" s="194">
        <f>DBparts1[[#This Row],[LIST $]]*DBparts1[[#This Row],[DISCOUNT]]*DBparts1[[#This Row],[DISCOUNT 2]]</f>
        <v>0</v>
      </c>
    </row>
    <row r="510" spans="2:12">
      <c r="B510" s="112"/>
      <c r="C510" s="112"/>
      <c r="D510" s="112"/>
      <c r="F510" s="168" t="s">
        <v>6202</v>
      </c>
      <c r="G510" s="232">
        <f>IF(DBparts1[[#This Row],[Type]]&gt;0,VLOOKUP(DBparts1[[#This Row],[Type]],Main[[#All],[TYPE]:[UNIT]],'Unit Price'!C$1,FALSE),0)</f>
        <v>0</v>
      </c>
      <c r="H510" s="194">
        <f>IF(DBparts1[[#This Row],[Type]]&gt;0,VLOOKUP(DBparts1[[#This Row],[Type]],Main[[#All],[TYPE]:[UNIT]],'Unit Price'!D$1,FALSE),0)</f>
        <v>0</v>
      </c>
      <c r="I510" s="194">
        <f>IF(DBparts1[[#This Row],[Type]]&gt;0,VLOOKUP(DBparts1[[#This Row],[Type]],Main[[#All],[TYPE]:[UNIT]],'Unit Price'!G$1,FALSE),0)</f>
        <v>0</v>
      </c>
      <c r="J510" s="194">
        <f>IF(DBparts1[[#This Row],[Type]]&gt;0,VLOOKUP(DBparts1[[#This Row],[Type]],Main[[#All],[TYPE]:[UNIT]],'Unit Price'!H$1,FALSE),0)</f>
        <v>0</v>
      </c>
      <c r="K510" s="194">
        <f>IF(DBparts1[[#This Row],[Type]]&gt;0,VLOOKUP(DBparts1[[#This Row],[Discount seletion]],'Discount Structure'!$A$2:$B$30,2,"false"),0)</f>
        <v>0</v>
      </c>
      <c r="L510" s="194">
        <f>DBparts1[[#This Row],[LIST $]]*DBparts1[[#This Row],[DISCOUNT]]*DBparts1[[#This Row],[DISCOUNT 2]]</f>
        <v>0</v>
      </c>
    </row>
    <row r="511" spans="2:12">
      <c r="B511" s="112"/>
      <c r="C511" s="112"/>
      <c r="D511" s="112"/>
      <c r="F511" s="168" t="s">
        <v>6202</v>
      </c>
      <c r="G511" s="232">
        <f>IF(DBparts1[[#This Row],[Type]]&gt;0,VLOOKUP(DBparts1[[#This Row],[Type]],Main[[#All],[TYPE]:[UNIT]],'Unit Price'!C$1,FALSE),0)</f>
        <v>0</v>
      </c>
      <c r="H511" s="194">
        <f>IF(DBparts1[[#This Row],[Type]]&gt;0,VLOOKUP(DBparts1[[#This Row],[Type]],Main[[#All],[TYPE]:[UNIT]],'Unit Price'!D$1,FALSE),0)</f>
        <v>0</v>
      </c>
      <c r="I511" s="194">
        <f>IF(DBparts1[[#This Row],[Type]]&gt;0,VLOOKUP(DBparts1[[#This Row],[Type]],Main[[#All],[TYPE]:[UNIT]],'Unit Price'!G$1,FALSE),0)</f>
        <v>0</v>
      </c>
      <c r="J511" s="194">
        <f>IF(DBparts1[[#This Row],[Type]]&gt;0,VLOOKUP(DBparts1[[#This Row],[Type]],Main[[#All],[TYPE]:[UNIT]],'Unit Price'!H$1,FALSE),0)</f>
        <v>0</v>
      </c>
      <c r="K511" s="194">
        <f>IF(DBparts1[[#This Row],[Type]]&gt;0,VLOOKUP(DBparts1[[#This Row],[Discount seletion]],'Discount Structure'!$A$2:$B$30,2,"false"),0)</f>
        <v>0</v>
      </c>
      <c r="L511" s="194">
        <f>DBparts1[[#This Row],[LIST $]]*DBparts1[[#This Row],[DISCOUNT]]*DBparts1[[#This Row],[DISCOUNT 2]]</f>
        <v>0</v>
      </c>
    </row>
    <row r="512" spans="2:12">
      <c r="B512" s="112"/>
      <c r="C512" s="112"/>
      <c r="D512" s="112"/>
      <c r="F512" s="168" t="s">
        <v>6202</v>
      </c>
      <c r="G512" s="232">
        <f>IF(DBparts1[[#This Row],[Type]]&gt;0,VLOOKUP(DBparts1[[#This Row],[Type]],Main[[#All],[TYPE]:[UNIT]],'Unit Price'!C$1,FALSE),0)</f>
        <v>0</v>
      </c>
      <c r="H512" s="194">
        <f>IF(DBparts1[[#This Row],[Type]]&gt;0,VLOOKUP(DBparts1[[#This Row],[Type]],Main[[#All],[TYPE]:[UNIT]],'Unit Price'!D$1,FALSE),0)</f>
        <v>0</v>
      </c>
      <c r="I512" s="194">
        <f>IF(DBparts1[[#This Row],[Type]]&gt;0,VLOOKUP(DBparts1[[#This Row],[Type]],Main[[#All],[TYPE]:[UNIT]],'Unit Price'!G$1,FALSE),0)</f>
        <v>0</v>
      </c>
      <c r="J512" s="194">
        <f>IF(DBparts1[[#This Row],[Type]]&gt;0,VLOOKUP(DBparts1[[#This Row],[Type]],Main[[#All],[TYPE]:[UNIT]],'Unit Price'!H$1,FALSE),0)</f>
        <v>0</v>
      </c>
      <c r="K512" s="194">
        <f>IF(DBparts1[[#This Row],[Type]]&gt;0,VLOOKUP(DBparts1[[#This Row],[Discount seletion]],'Discount Structure'!$A$2:$B$30,2,"false"),0)</f>
        <v>0</v>
      </c>
      <c r="L512" s="194">
        <f>DBparts1[[#This Row],[LIST $]]*DBparts1[[#This Row],[DISCOUNT]]*DBparts1[[#This Row],[DISCOUNT 2]]</f>
        <v>0</v>
      </c>
    </row>
    <row r="513" spans="2:12">
      <c r="B513" s="112"/>
      <c r="C513" s="112"/>
      <c r="D513" s="112"/>
      <c r="F513" s="168" t="s">
        <v>6202</v>
      </c>
      <c r="G513" s="232">
        <f>IF(DBparts1[[#This Row],[Type]]&gt;0,VLOOKUP(DBparts1[[#This Row],[Type]],Main[[#All],[TYPE]:[UNIT]],'Unit Price'!C$1,FALSE),0)</f>
        <v>0</v>
      </c>
      <c r="H513" s="194">
        <f>IF(DBparts1[[#This Row],[Type]]&gt;0,VLOOKUP(DBparts1[[#This Row],[Type]],Main[[#All],[TYPE]:[UNIT]],'Unit Price'!D$1,FALSE),0)</f>
        <v>0</v>
      </c>
      <c r="I513" s="194">
        <f>IF(DBparts1[[#This Row],[Type]]&gt;0,VLOOKUP(DBparts1[[#This Row],[Type]],Main[[#All],[TYPE]:[UNIT]],'Unit Price'!G$1,FALSE),0)</f>
        <v>0</v>
      </c>
      <c r="J513" s="194">
        <f>IF(DBparts1[[#This Row],[Type]]&gt;0,VLOOKUP(DBparts1[[#This Row],[Type]],Main[[#All],[TYPE]:[UNIT]],'Unit Price'!H$1,FALSE),0)</f>
        <v>0</v>
      </c>
      <c r="K513" s="194">
        <f>IF(DBparts1[[#This Row],[Type]]&gt;0,VLOOKUP(DBparts1[[#This Row],[Discount seletion]],'Discount Structure'!$A$2:$B$30,2,"false"),0)</f>
        <v>0</v>
      </c>
      <c r="L513" s="194">
        <f>DBparts1[[#This Row],[LIST $]]*DBparts1[[#This Row],[DISCOUNT]]*DBparts1[[#This Row],[DISCOUNT 2]]</f>
        <v>0</v>
      </c>
    </row>
    <row r="514" spans="2:12">
      <c r="B514" s="112"/>
      <c r="C514" s="112"/>
      <c r="D514" s="112"/>
      <c r="F514" s="168" t="s">
        <v>6202</v>
      </c>
      <c r="G514" s="232">
        <f>IF(DBparts1[[#This Row],[Type]]&gt;0,VLOOKUP(DBparts1[[#This Row],[Type]],Main[[#All],[TYPE]:[UNIT]],'Unit Price'!C$1,FALSE),0)</f>
        <v>0</v>
      </c>
      <c r="H514" s="194">
        <f>IF(DBparts1[[#This Row],[Type]]&gt;0,VLOOKUP(DBparts1[[#This Row],[Type]],Main[[#All],[TYPE]:[UNIT]],'Unit Price'!D$1,FALSE),0)</f>
        <v>0</v>
      </c>
      <c r="I514" s="194">
        <f>IF(DBparts1[[#This Row],[Type]]&gt;0,VLOOKUP(DBparts1[[#This Row],[Type]],Main[[#All],[TYPE]:[UNIT]],'Unit Price'!G$1,FALSE),0)</f>
        <v>0</v>
      </c>
      <c r="J514" s="194">
        <f>IF(DBparts1[[#This Row],[Type]]&gt;0,VLOOKUP(DBparts1[[#This Row],[Type]],Main[[#All],[TYPE]:[UNIT]],'Unit Price'!H$1,FALSE),0)</f>
        <v>0</v>
      </c>
      <c r="K514" s="194">
        <f>IF(DBparts1[[#This Row],[Type]]&gt;0,VLOOKUP(DBparts1[[#This Row],[Discount seletion]],'Discount Structure'!$A$2:$B$30,2,"false"),0)</f>
        <v>0</v>
      </c>
      <c r="L514" s="194">
        <f>DBparts1[[#This Row],[LIST $]]*DBparts1[[#This Row],[DISCOUNT]]*DBparts1[[#This Row],[DISCOUNT 2]]</f>
        <v>0</v>
      </c>
    </row>
    <row r="515" spans="2:12">
      <c r="B515" s="112"/>
      <c r="C515" s="112"/>
      <c r="D515" s="112"/>
      <c r="F515" s="168" t="s">
        <v>6202</v>
      </c>
      <c r="G515" s="232">
        <f>IF(DBparts1[[#This Row],[Type]]&gt;0,VLOOKUP(DBparts1[[#This Row],[Type]],Main[[#All],[TYPE]:[UNIT]],'Unit Price'!C$1,FALSE),0)</f>
        <v>0</v>
      </c>
      <c r="H515" s="194">
        <f>IF(DBparts1[[#This Row],[Type]]&gt;0,VLOOKUP(DBparts1[[#This Row],[Type]],Main[[#All],[TYPE]:[UNIT]],'Unit Price'!D$1,FALSE),0)</f>
        <v>0</v>
      </c>
      <c r="I515" s="194">
        <f>IF(DBparts1[[#This Row],[Type]]&gt;0,VLOOKUP(DBparts1[[#This Row],[Type]],Main[[#All],[TYPE]:[UNIT]],'Unit Price'!G$1,FALSE),0)</f>
        <v>0</v>
      </c>
      <c r="J515" s="194">
        <f>IF(DBparts1[[#This Row],[Type]]&gt;0,VLOOKUP(DBparts1[[#This Row],[Type]],Main[[#All],[TYPE]:[UNIT]],'Unit Price'!H$1,FALSE),0)</f>
        <v>0</v>
      </c>
      <c r="K515" s="194">
        <f>IF(DBparts1[[#This Row],[Type]]&gt;0,VLOOKUP(DBparts1[[#This Row],[Discount seletion]],'Discount Structure'!$A$2:$B$30,2,"false"),0)</f>
        <v>0</v>
      </c>
      <c r="L515" s="194">
        <f>DBparts1[[#This Row],[LIST $]]*DBparts1[[#This Row],[DISCOUNT]]*DBparts1[[#This Row],[DISCOUNT 2]]</f>
        <v>0</v>
      </c>
    </row>
    <row r="516" spans="2:12">
      <c r="B516" s="112"/>
      <c r="C516" s="112"/>
      <c r="D516" s="112"/>
      <c r="F516" s="168" t="s">
        <v>6202</v>
      </c>
      <c r="G516" s="232">
        <f>IF(DBparts1[[#This Row],[Type]]&gt;0,VLOOKUP(DBparts1[[#This Row],[Type]],Main[[#All],[TYPE]:[UNIT]],'Unit Price'!C$1,FALSE),0)</f>
        <v>0</v>
      </c>
      <c r="H516" s="194">
        <f>IF(DBparts1[[#This Row],[Type]]&gt;0,VLOOKUP(DBparts1[[#This Row],[Type]],Main[[#All],[TYPE]:[UNIT]],'Unit Price'!D$1,FALSE),0)</f>
        <v>0</v>
      </c>
      <c r="I516" s="194">
        <f>IF(DBparts1[[#This Row],[Type]]&gt;0,VLOOKUP(DBparts1[[#This Row],[Type]],Main[[#All],[TYPE]:[UNIT]],'Unit Price'!G$1,FALSE),0)</f>
        <v>0</v>
      </c>
      <c r="J516" s="194">
        <f>IF(DBparts1[[#This Row],[Type]]&gt;0,VLOOKUP(DBparts1[[#This Row],[Type]],Main[[#All],[TYPE]:[UNIT]],'Unit Price'!H$1,FALSE),0)</f>
        <v>0</v>
      </c>
      <c r="K516" s="194">
        <f>IF(DBparts1[[#This Row],[Type]]&gt;0,VLOOKUP(DBparts1[[#This Row],[Discount seletion]],'Discount Structure'!$A$2:$B$30,2,"false"),0)</f>
        <v>0</v>
      </c>
      <c r="L516" s="194">
        <f>DBparts1[[#This Row],[LIST $]]*DBparts1[[#This Row],[DISCOUNT]]*DBparts1[[#This Row],[DISCOUNT 2]]</f>
        <v>0</v>
      </c>
    </row>
    <row r="517" spans="2:12">
      <c r="B517" s="112"/>
      <c r="C517" s="112"/>
      <c r="D517" s="112"/>
      <c r="F517" s="168" t="s">
        <v>6202</v>
      </c>
      <c r="G517" s="232">
        <f>IF(DBparts1[[#This Row],[Type]]&gt;0,VLOOKUP(DBparts1[[#This Row],[Type]],Main[[#All],[TYPE]:[UNIT]],'Unit Price'!C$1,FALSE),0)</f>
        <v>0</v>
      </c>
      <c r="H517" s="194">
        <f>IF(DBparts1[[#This Row],[Type]]&gt;0,VLOOKUP(DBparts1[[#This Row],[Type]],Main[[#All],[TYPE]:[UNIT]],'Unit Price'!D$1,FALSE),0)</f>
        <v>0</v>
      </c>
      <c r="I517" s="194">
        <f>IF(DBparts1[[#This Row],[Type]]&gt;0,VLOOKUP(DBparts1[[#This Row],[Type]],Main[[#All],[TYPE]:[UNIT]],'Unit Price'!G$1,FALSE),0)</f>
        <v>0</v>
      </c>
      <c r="J517" s="194">
        <f>IF(DBparts1[[#This Row],[Type]]&gt;0,VLOOKUP(DBparts1[[#This Row],[Type]],Main[[#All],[TYPE]:[UNIT]],'Unit Price'!H$1,FALSE),0)</f>
        <v>0</v>
      </c>
      <c r="K517" s="194">
        <f>IF(DBparts1[[#This Row],[Type]]&gt;0,VLOOKUP(DBparts1[[#This Row],[Discount seletion]],'Discount Structure'!$A$2:$B$30,2,"false"),0)</f>
        <v>0</v>
      </c>
      <c r="L517" s="194">
        <f>DBparts1[[#This Row],[LIST $]]*DBparts1[[#This Row],[DISCOUNT]]*DBparts1[[#This Row],[DISCOUNT 2]]</f>
        <v>0</v>
      </c>
    </row>
    <row r="518" spans="2:12">
      <c r="B518" s="112"/>
      <c r="C518" s="112"/>
      <c r="D518" s="112"/>
      <c r="F518" s="168" t="s">
        <v>6202</v>
      </c>
      <c r="G518" s="232">
        <f>IF(DBparts1[[#This Row],[Type]]&gt;0,VLOOKUP(DBparts1[[#This Row],[Type]],Main[[#All],[TYPE]:[UNIT]],'Unit Price'!C$1,FALSE),0)</f>
        <v>0</v>
      </c>
      <c r="H518" s="194">
        <f>IF(DBparts1[[#This Row],[Type]]&gt;0,VLOOKUP(DBparts1[[#This Row],[Type]],Main[[#All],[TYPE]:[UNIT]],'Unit Price'!D$1,FALSE),0)</f>
        <v>0</v>
      </c>
      <c r="I518" s="194">
        <f>IF(DBparts1[[#This Row],[Type]]&gt;0,VLOOKUP(DBparts1[[#This Row],[Type]],Main[[#All],[TYPE]:[UNIT]],'Unit Price'!G$1,FALSE),0)</f>
        <v>0</v>
      </c>
      <c r="J518" s="194">
        <f>IF(DBparts1[[#This Row],[Type]]&gt;0,VLOOKUP(DBparts1[[#This Row],[Type]],Main[[#All],[TYPE]:[UNIT]],'Unit Price'!H$1,FALSE),0)</f>
        <v>0</v>
      </c>
      <c r="K518" s="194">
        <f>IF(DBparts1[[#This Row],[Type]]&gt;0,VLOOKUP(DBparts1[[#This Row],[Discount seletion]],'Discount Structure'!$A$2:$B$30,2,"false"),0)</f>
        <v>0</v>
      </c>
      <c r="L518" s="194">
        <f>DBparts1[[#This Row],[LIST $]]*DBparts1[[#This Row],[DISCOUNT]]*DBparts1[[#This Row],[DISCOUNT 2]]</f>
        <v>0</v>
      </c>
    </row>
    <row r="519" spans="2:12">
      <c r="B519" s="112"/>
      <c r="C519" s="112"/>
      <c r="D519" s="112"/>
      <c r="F519" s="168" t="s">
        <v>6202</v>
      </c>
      <c r="G519" s="232">
        <f>IF(DBparts1[[#This Row],[Type]]&gt;0,VLOOKUP(DBparts1[[#This Row],[Type]],Main[[#All],[TYPE]:[UNIT]],'Unit Price'!C$1,FALSE),0)</f>
        <v>0</v>
      </c>
      <c r="H519" s="194">
        <f>IF(DBparts1[[#This Row],[Type]]&gt;0,VLOOKUP(DBparts1[[#This Row],[Type]],Main[[#All],[TYPE]:[UNIT]],'Unit Price'!D$1,FALSE),0)</f>
        <v>0</v>
      </c>
      <c r="I519" s="194">
        <f>IF(DBparts1[[#This Row],[Type]]&gt;0,VLOOKUP(DBparts1[[#This Row],[Type]],Main[[#All],[TYPE]:[UNIT]],'Unit Price'!G$1,FALSE),0)</f>
        <v>0</v>
      </c>
      <c r="J519" s="194">
        <f>IF(DBparts1[[#This Row],[Type]]&gt;0,VLOOKUP(DBparts1[[#This Row],[Type]],Main[[#All],[TYPE]:[UNIT]],'Unit Price'!H$1,FALSE),0)</f>
        <v>0</v>
      </c>
      <c r="K519" s="194">
        <f>IF(DBparts1[[#This Row],[Type]]&gt;0,VLOOKUP(DBparts1[[#This Row],[Discount seletion]],'Discount Structure'!$A$2:$B$30,2,"false"),0)</f>
        <v>0</v>
      </c>
      <c r="L519" s="194">
        <f>DBparts1[[#This Row],[LIST $]]*DBparts1[[#This Row],[DISCOUNT]]*DBparts1[[#This Row],[DISCOUNT 2]]</f>
        <v>0</v>
      </c>
    </row>
    <row r="520" spans="2:12">
      <c r="B520" s="112"/>
      <c r="C520" s="112"/>
      <c r="D520" s="112"/>
      <c r="F520" s="168" t="s">
        <v>6202</v>
      </c>
      <c r="G520" s="232">
        <f>IF(DBparts1[[#This Row],[Type]]&gt;0,VLOOKUP(DBparts1[[#This Row],[Type]],Main[[#All],[TYPE]:[UNIT]],'Unit Price'!C$1,FALSE),0)</f>
        <v>0</v>
      </c>
      <c r="H520" s="194">
        <f>IF(DBparts1[[#This Row],[Type]]&gt;0,VLOOKUP(DBparts1[[#This Row],[Type]],Main[[#All],[TYPE]:[UNIT]],'Unit Price'!D$1,FALSE),0)</f>
        <v>0</v>
      </c>
      <c r="I520" s="194">
        <f>IF(DBparts1[[#This Row],[Type]]&gt;0,VLOOKUP(DBparts1[[#This Row],[Type]],Main[[#All],[TYPE]:[UNIT]],'Unit Price'!G$1,FALSE),0)</f>
        <v>0</v>
      </c>
      <c r="J520" s="194">
        <f>IF(DBparts1[[#This Row],[Type]]&gt;0,VLOOKUP(DBparts1[[#This Row],[Type]],Main[[#All],[TYPE]:[UNIT]],'Unit Price'!H$1,FALSE),0)</f>
        <v>0</v>
      </c>
      <c r="K520" s="194">
        <f>IF(DBparts1[[#This Row],[Type]]&gt;0,VLOOKUP(DBparts1[[#This Row],[Discount seletion]],'Discount Structure'!$A$2:$B$30,2,"false"),0)</f>
        <v>0</v>
      </c>
      <c r="L520" s="194">
        <f>DBparts1[[#This Row],[LIST $]]*DBparts1[[#This Row],[DISCOUNT]]*DBparts1[[#This Row],[DISCOUNT 2]]</f>
        <v>0</v>
      </c>
    </row>
    <row r="521" spans="2:12">
      <c r="B521" s="112"/>
      <c r="C521" s="112"/>
      <c r="D521" s="112"/>
      <c r="F521" s="168" t="s">
        <v>6202</v>
      </c>
      <c r="G521" s="232">
        <f>IF(DBparts1[[#This Row],[Type]]&gt;0,VLOOKUP(DBparts1[[#This Row],[Type]],Main[[#All],[TYPE]:[UNIT]],'Unit Price'!C$1,FALSE),0)</f>
        <v>0</v>
      </c>
      <c r="H521" s="194">
        <f>IF(DBparts1[[#This Row],[Type]]&gt;0,VLOOKUP(DBparts1[[#This Row],[Type]],Main[[#All],[TYPE]:[UNIT]],'Unit Price'!D$1,FALSE),0)</f>
        <v>0</v>
      </c>
      <c r="I521" s="194">
        <f>IF(DBparts1[[#This Row],[Type]]&gt;0,VLOOKUP(DBparts1[[#This Row],[Type]],Main[[#All],[TYPE]:[UNIT]],'Unit Price'!G$1,FALSE),0)</f>
        <v>0</v>
      </c>
      <c r="J521" s="194">
        <f>IF(DBparts1[[#This Row],[Type]]&gt;0,VLOOKUP(DBparts1[[#This Row],[Type]],Main[[#All],[TYPE]:[UNIT]],'Unit Price'!H$1,FALSE),0)</f>
        <v>0</v>
      </c>
      <c r="K521" s="194">
        <f>IF(DBparts1[[#This Row],[Type]]&gt;0,VLOOKUP(DBparts1[[#This Row],[Discount seletion]],'Discount Structure'!$A$2:$B$30,2,"false"),0)</f>
        <v>0</v>
      </c>
      <c r="L521" s="194">
        <f>DBparts1[[#This Row],[LIST $]]*DBparts1[[#This Row],[DISCOUNT]]*DBparts1[[#This Row],[DISCOUNT 2]]</f>
        <v>0</v>
      </c>
    </row>
    <row r="522" spans="2:12">
      <c r="B522" s="112"/>
      <c r="C522" s="112"/>
      <c r="D522" s="112"/>
      <c r="F522" s="168" t="s">
        <v>6202</v>
      </c>
      <c r="G522" s="232">
        <f>IF(DBparts1[[#This Row],[Type]]&gt;0,VLOOKUP(DBparts1[[#This Row],[Type]],Main[[#All],[TYPE]:[UNIT]],'Unit Price'!C$1,FALSE),0)</f>
        <v>0</v>
      </c>
      <c r="H522" s="194">
        <f>IF(DBparts1[[#This Row],[Type]]&gt;0,VLOOKUP(DBparts1[[#This Row],[Type]],Main[[#All],[TYPE]:[UNIT]],'Unit Price'!D$1,FALSE),0)</f>
        <v>0</v>
      </c>
      <c r="I522" s="194">
        <f>IF(DBparts1[[#This Row],[Type]]&gt;0,VLOOKUP(DBparts1[[#This Row],[Type]],Main[[#All],[TYPE]:[UNIT]],'Unit Price'!G$1,FALSE),0)</f>
        <v>0</v>
      </c>
      <c r="J522" s="194">
        <f>IF(DBparts1[[#This Row],[Type]]&gt;0,VLOOKUP(DBparts1[[#This Row],[Type]],Main[[#All],[TYPE]:[UNIT]],'Unit Price'!H$1,FALSE),0)</f>
        <v>0</v>
      </c>
      <c r="K522" s="194">
        <f>IF(DBparts1[[#This Row],[Type]]&gt;0,VLOOKUP(DBparts1[[#This Row],[Discount seletion]],'Discount Structure'!$A$2:$B$30,2,"false"),0)</f>
        <v>0</v>
      </c>
      <c r="L522" s="194">
        <f>DBparts1[[#This Row],[LIST $]]*DBparts1[[#This Row],[DISCOUNT]]*DBparts1[[#This Row],[DISCOUNT 2]]</f>
        <v>0</v>
      </c>
    </row>
    <row r="523" spans="2:12">
      <c r="B523" s="112"/>
      <c r="C523" s="112"/>
      <c r="D523" s="112"/>
      <c r="F523" s="168" t="s">
        <v>6202</v>
      </c>
      <c r="G523" s="232">
        <f>IF(DBparts1[[#This Row],[Type]]&gt;0,VLOOKUP(DBparts1[[#This Row],[Type]],Main[[#All],[TYPE]:[UNIT]],'Unit Price'!C$1,FALSE),0)</f>
        <v>0</v>
      </c>
      <c r="H523" s="194">
        <f>IF(DBparts1[[#This Row],[Type]]&gt;0,VLOOKUP(DBparts1[[#This Row],[Type]],Main[[#All],[TYPE]:[UNIT]],'Unit Price'!D$1,FALSE),0)</f>
        <v>0</v>
      </c>
      <c r="I523" s="194">
        <f>IF(DBparts1[[#This Row],[Type]]&gt;0,VLOOKUP(DBparts1[[#This Row],[Type]],Main[[#All],[TYPE]:[UNIT]],'Unit Price'!G$1,FALSE),0)</f>
        <v>0</v>
      </c>
      <c r="J523" s="194">
        <f>IF(DBparts1[[#This Row],[Type]]&gt;0,VLOOKUP(DBparts1[[#This Row],[Type]],Main[[#All],[TYPE]:[UNIT]],'Unit Price'!H$1,FALSE),0)</f>
        <v>0</v>
      </c>
      <c r="K523" s="194">
        <f>IF(DBparts1[[#This Row],[Type]]&gt;0,VLOOKUP(DBparts1[[#This Row],[Discount seletion]],'Discount Structure'!$A$2:$B$30,2,"false"),0)</f>
        <v>0</v>
      </c>
      <c r="L523" s="194">
        <f>DBparts1[[#This Row],[LIST $]]*DBparts1[[#This Row],[DISCOUNT]]*DBparts1[[#This Row],[DISCOUNT 2]]</f>
        <v>0</v>
      </c>
    </row>
    <row r="524" spans="2:12">
      <c r="B524" s="112"/>
      <c r="C524" s="112"/>
      <c r="D524" s="112"/>
      <c r="F524" s="168" t="s">
        <v>6202</v>
      </c>
      <c r="G524" s="232">
        <f>IF(DBparts1[[#This Row],[Type]]&gt;0,VLOOKUP(DBparts1[[#This Row],[Type]],Main[[#All],[TYPE]:[UNIT]],'Unit Price'!C$1,FALSE),0)</f>
        <v>0</v>
      </c>
      <c r="H524" s="194">
        <f>IF(DBparts1[[#This Row],[Type]]&gt;0,VLOOKUP(DBparts1[[#This Row],[Type]],Main[[#All],[TYPE]:[UNIT]],'Unit Price'!D$1,FALSE),0)</f>
        <v>0</v>
      </c>
      <c r="I524" s="194">
        <f>IF(DBparts1[[#This Row],[Type]]&gt;0,VLOOKUP(DBparts1[[#This Row],[Type]],Main[[#All],[TYPE]:[UNIT]],'Unit Price'!G$1,FALSE),0)</f>
        <v>0</v>
      </c>
      <c r="J524" s="194">
        <f>IF(DBparts1[[#This Row],[Type]]&gt;0,VLOOKUP(DBparts1[[#This Row],[Type]],Main[[#All],[TYPE]:[UNIT]],'Unit Price'!H$1,FALSE),0)</f>
        <v>0</v>
      </c>
      <c r="K524" s="194">
        <f>IF(DBparts1[[#This Row],[Type]]&gt;0,VLOOKUP(DBparts1[[#This Row],[Discount seletion]],'Discount Structure'!$A$2:$B$30,2,"false"),0)</f>
        <v>0</v>
      </c>
      <c r="L524" s="194">
        <f>DBparts1[[#This Row],[LIST $]]*DBparts1[[#This Row],[DISCOUNT]]*DBparts1[[#This Row],[DISCOUNT 2]]</f>
        <v>0</v>
      </c>
    </row>
    <row r="525" spans="2:12">
      <c r="B525" s="112"/>
      <c r="C525" s="112"/>
      <c r="D525" s="112"/>
      <c r="F525" s="168" t="s">
        <v>6202</v>
      </c>
      <c r="G525" s="232">
        <f>IF(DBparts1[[#This Row],[Type]]&gt;0,VLOOKUP(DBparts1[[#This Row],[Type]],Main[[#All],[TYPE]:[UNIT]],'Unit Price'!C$1,FALSE),0)</f>
        <v>0</v>
      </c>
      <c r="H525" s="194">
        <f>IF(DBparts1[[#This Row],[Type]]&gt;0,VLOOKUP(DBparts1[[#This Row],[Type]],Main[[#All],[TYPE]:[UNIT]],'Unit Price'!D$1,FALSE),0)</f>
        <v>0</v>
      </c>
      <c r="I525" s="194">
        <f>IF(DBparts1[[#This Row],[Type]]&gt;0,VLOOKUP(DBparts1[[#This Row],[Type]],Main[[#All],[TYPE]:[UNIT]],'Unit Price'!G$1,FALSE),0)</f>
        <v>0</v>
      </c>
      <c r="J525" s="194">
        <f>IF(DBparts1[[#This Row],[Type]]&gt;0,VLOOKUP(DBparts1[[#This Row],[Type]],Main[[#All],[TYPE]:[UNIT]],'Unit Price'!H$1,FALSE),0)</f>
        <v>0</v>
      </c>
      <c r="K525" s="194">
        <f>IF(DBparts1[[#This Row],[Type]]&gt;0,VLOOKUP(DBparts1[[#This Row],[Discount seletion]],'Discount Structure'!$A$2:$B$30,2,"false"),0)</f>
        <v>0</v>
      </c>
      <c r="L525" s="194">
        <f>DBparts1[[#This Row],[LIST $]]*DBparts1[[#This Row],[DISCOUNT]]*DBparts1[[#This Row],[DISCOUNT 2]]</f>
        <v>0</v>
      </c>
    </row>
    <row r="526" spans="2:12">
      <c r="B526" s="112"/>
      <c r="C526" s="112"/>
      <c r="D526" s="112"/>
      <c r="F526" s="168" t="s">
        <v>6202</v>
      </c>
      <c r="G526" s="232">
        <f>IF(DBparts1[[#This Row],[Type]]&gt;0,VLOOKUP(DBparts1[[#This Row],[Type]],Main[[#All],[TYPE]:[UNIT]],'Unit Price'!C$1,FALSE),0)</f>
        <v>0</v>
      </c>
      <c r="H526" s="194">
        <f>IF(DBparts1[[#This Row],[Type]]&gt;0,VLOOKUP(DBparts1[[#This Row],[Type]],Main[[#All],[TYPE]:[UNIT]],'Unit Price'!D$1,FALSE),0)</f>
        <v>0</v>
      </c>
      <c r="I526" s="194">
        <f>IF(DBparts1[[#This Row],[Type]]&gt;0,VLOOKUP(DBparts1[[#This Row],[Type]],Main[[#All],[TYPE]:[UNIT]],'Unit Price'!G$1,FALSE),0)</f>
        <v>0</v>
      </c>
      <c r="J526" s="194">
        <f>IF(DBparts1[[#This Row],[Type]]&gt;0,VLOOKUP(DBparts1[[#This Row],[Type]],Main[[#All],[TYPE]:[UNIT]],'Unit Price'!H$1,FALSE),0)</f>
        <v>0</v>
      </c>
      <c r="K526" s="194">
        <f>IF(DBparts1[[#This Row],[Type]]&gt;0,VLOOKUP(DBparts1[[#This Row],[Discount seletion]],'Discount Structure'!$A$2:$B$30,2,"false"),0)</f>
        <v>0</v>
      </c>
      <c r="L526" s="194">
        <f>DBparts1[[#This Row],[LIST $]]*DBparts1[[#This Row],[DISCOUNT]]*DBparts1[[#This Row],[DISCOUNT 2]]</f>
        <v>0</v>
      </c>
    </row>
    <row r="527" spans="2:12">
      <c r="B527" s="112"/>
      <c r="C527" s="112"/>
      <c r="D527" s="112"/>
      <c r="F527" s="168" t="s">
        <v>6202</v>
      </c>
      <c r="G527" s="232">
        <f>IF(DBparts1[[#This Row],[Type]]&gt;0,VLOOKUP(DBparts1[[#This Row],[Type]],Main[[#All],[TYPE]:[UNIT]],'Unit Price'!C$1,FALSE),0)</f>
        <v>0</v>
      </c>
      <c r="H527" s="194">
        <f>IF(DBparts1[[#This Row],[Type]]&gt;0,VLOOKUP(DBparts1[[#This Row],[Type]],Main[[#All],[TYPE]:[UNIT]],'Unit Price'!D$1,FALSE),0)</f>
        <v>0</v>
      </c>
      <c r="I527" s="194">
        <f>IF(DBparts1[[#This Row],[Type]]&gt;0,VLOOKUP(DBparts1[[#This Row],[Type]],Main[[#All],[TYPE]:[UNIT]],'Unit Price'!G$1,FALSE),0)</f>
        <v>0</v>
      </c>
      <c r="J527" s="194">
        <f>IF(DBparts1[[#This Row],[Type]]&gt;0,VLOOKUP(DBparts1[[#This Row],[Type]],Main[[#All],[TYPE]:[UNIT]],'Unit Price'!H$1,FALSE),0)</f>
        <v>0</v>
      </c>
      <c r="K527" s="194">
        <f>IF(DBparts1[[#This Row],[Type]]&gt;0,VLOOKUP(DBparts1[[#This Row],[Discount seletion]],'Discount Structure'!$A$2:$B$30,2,"false"),0)</f>
        <v>0</v>
      </c>
      <c r="L527" s="194">
        <f>DBparts1[[#This Row],[LIST $]]*DBparts1[[#This Row],[DISCOUNT]]*DBparts1[[#This Row],[DISCOUNT 2]]</f>
        <v>0</v>
      </c>
    </row>
    <row r="528" spans="2:12">
      <c r="B528" s="112"/>
      <c r="C528" s="112"/>
      <c r="D528" s="112"/>
      <c r="F528" s="168" t="s">
        <v>6202</v>
      </c>
      <c r="G528" s="232">
        <f>IF(DBparts1[[#This Row],[Type]]&gt;0,VLOOKUP(DBparts1[[#This Row],[Type]],Main[[#All],[TYPE]:[UNIT]],'Unit Price'!C$1,FALSE),0)</f>
        <v>0</v>
      </c>
      <c r="H528" s="194">
        <f>IF(DBparts1[[#This Row],[Type]]&gt;0,VLOOKUP(DBparts1[[#This Row],[Type]],Main[[#All],[TYPE]:[UNIT]],'Unit Price'!D$1,FALSE),0)</f>
        <v>0</v>
      </c>
      <c r="I528" s="194">
        <f>IF(DBparts1[[#This Row],[Type]]&gt;0,VLOOKUP(DBparts1[[#This Row],[Type]],Main[[#All],[TYPE]:[UNIT]],'Unit Price'!G$1,FALSE),0)</f>
        <v>0</v>
      </c>
      <c r="J528" s="194">
        <f>IF(DBparts1[[#This Row],[Type]]&gt;0,VLOOKUP(DBparts1[[#This Row],[Type]],Main[[#All],[TYPE]:[UNIT]],'Unit Price'!H$1,FALSE),0)</f>
        <v>0</v>
      </c>
      <c r="K528" s="194">
        <f>IF(DBparts1[[#This Row],[Type]]&gt;0,VLOOKUP(DBparts1[[#This Row],[Discount seletion]],'Discount Structure'!$A$2:$B$30,2,"false"),0)</f>
        <v>0</v>
      </c>
      <c r="L528" s="194">
        <f>DBparts1[[#This Row],[LIST $]]*DBparts1[[#This Row],[DISCOUNT]]*DBparts1[[#This Row],[DISCOUNT 2]]</f>
        <v>0</v>
      </c>
    </row>
    <row r="529" spans="2:12">
      <c r="B529" s="112"/>
      <c r="C529" s="112"/>
      <c r="D529" s="112"/>
      <c r="F529" s="168" t="s">
        <v>6202</v>
      </c>
      <c r="G529" s="232">
        <f>IF(DBparts1[[#This Row],[Type]]&gt;0,VLOOKUP(DBparts1[[#This Row],[Type]],Main[[#All],[TYPE]:[UNIT]],'Unit Price'!C$1,FALSE),0)</f>
        <v>0</v>
      </c>
      <c r="H529" s="194">
        <f>IF(DBparts1[[#This Row],[Type]]&gt;0,VLOOKUP(DBparts1[[#This Row],[Type]],Main[[#All],[TYPE]:[UNIT]],'Unit Price'!D$1,FALSE),0)</f>
        <v>0</v>
      </c>
      <c r="I529" s="194">
        <f>IF(DBparts1[[#This Row],[Type]]&gt;0,VLOOKUP(DBparts1[[#This Row],[Type]],Main[[#All],[TYPE]:[UNIT]],'Unit Price'!G$1,FALSE),0)</f>
        <v>0</v>
      </c>
      <c r="J529" s="194">
        <f>IF(DBparts1[[#This Row],[Type]]&gt;0,VLOOKUP(DBparts1[[#This Row],[Type]],Main[[#All],[TYPE]:[UNIT]],'Unit Price'!H$1,FALSE),0)</f>
        <v>0</v>
      </c>
      <c r="K529" s="194">
        <f>IF(DBparts1[[#This Row],[Type]]&gt;0,VLOOKUP(DBparts1[[#This Row],[Discount seletion]],'Discount Structure'!$A$2:$B$30,2,"false"),0)</f>
        <v>0</v>
      </c>
      <c r="L529" s="194">
        <f>DBparts1[[#This Row],[LIST $]]*DBparts1[[#This Row],[DISCOUNT]]*DBparts1[[#This Row],[DISCOUNT 2]]</f>
        <v>0</v>
      </c>
    </row>
    <row r="530" spans="2:12">
      <c r="B530" s="112"/>
      <c r="C530" s="112"/>
      <c r="D530" s="112"/>
      <c r="F530" s="168" t="s">
        <v>6202</v>
      </c>
      <c r="G530" s="232">
        <f>IF(DBparts1[[#This Row],[Type]]&gt;0,VLOOKUP(DBparts1[[#This Row],[Type]],Main[[#All],[TYPE]:[UNIT]],'Unit Price'!C$1,FALSE),0)</f>
        <v>0</v>
      </c>
      <c r="H530" s="194">
        <f>IF(DBparts1[[#This Row],[Type]]&gt;0,VLOOKUP(DBparts1[[#This Row],[Type]],Main[[#All],[TYPE]:[UNIT]],'Unit Price'!D$1,FALSE),0)</f>
        <v>0</v>
      </c>
      <c r="I530" s="194">
        <f>IF(DBparts1[[#This Row],[Type]]&gt;0,VLOOKUP(DBparts1[[#This Row],[Type]],Main[[#All],[TYPE]:[UNIT]],'Unit Price'!G$1,FALSE),0)</f>
        <v>0</v>
      </c>
      <c r="J530" s="194">
        <f>IF(DBparts1[[#This Row],[Type]]&gt;0,VLOOKUP(DBparts1[[#This Row],[Type]],Main[[#All],[TYPE]:[UNIT]],'Unit Price'!H$1,FALSE),0)</f>
        <v>0</v>
      </c>
      <c r="K530" s="194">
        <f>IF(DBparts1[[#This Row],[Type]]&gt;0,VLOOKUP(DBparts1[[#This Row],[Discount seletion]],'Discount Structure'!$A$2:$B$30,2,"false"),0)</f>
        <v>0</v>
      </c>
      <c r="L530" s="194">
        <f>DBparts1[[#This Row],[LIST $]]*DBparts1[[#This Row],[DISCOUNT]]*DBparts1[[#This Row],[DISCOUNT 2]]</f>
        <v>0</v>
      </c>
    </row>
    <row r="531" spans="2:12">
      <c r="B531" s="112"/>
      <c r="C531" s="112"/>
      <c r="D531" s="112"/>
      <c r="F531" s="168" t="s">
        <v>6202</v>
      </c>
      <c r="G531" s="232">
        <f>IF(DBparts1[[#This Row],[Type]]&gt;0,VLOOKUP(DBparts1[[#This Row],[Type]],Main[[#All],[TYPE]:[UNIT]],'Unit Price'!C$1,FALSE),0)</f>
        <v>0</v>
      </c>
      <c r="H531" s="194">
        <f>IF(DBparts1[[#This Row],[Type]]&gt;0,VLOOKUP(DBparts1[[#This Row],[Type]],Main[[#All],[TYPE]:[UNIT]],'Unit Price'!D$1,FALSE),0)</f>
        <v>0</v>
      </c>
      <c r="I531" s="194">
        <f>IF(DBparts1[[#This Row],[Type]]&gt;0,VLOOKUP(DBparts1[[#This Row],[Type]],Main[[#All],[TYPE]:[UNIT]],'Unit Price'!G$1,FALSE),0)</f>
        <v>0</v>
      </c>
      <c r="J531" s="194">
        <f>IF(DBparts1[[#This Row],[Type]]&gt;0,VLOOKUP(DBparts1[[#This Row],[Type]],Main[[#All],[TYPE]:[UNIT]],'Unit Price'!H$1,FALSE),0)</f>
        <v>0</v>
      </c>
      <c r="K531" s="194">
        <f>IF(DBparts1[[#This Row],[Type]]&gt;0,VLOOKUP(DBparts1[[#This Row],[Discount seletion]],'Discount Structure'!$A$2:$B$30,2,"false"),0)</f>
        <v>0</v>
      </c>
      <c r="L531" s="194">
        <f>DBparts1[[#This Row],[LIST $]]*DBparts1[[#This Row],[DISCOUNT]]*DBparts1[[#This Row],[DISCOUNT 2]]</f>
        <v>0</v>
      </c>
    </row>
    <row r="532" spans="2:12">
      <c r="B532" s="112"/>
      <c r="C532" s="112"/>
      <c r="D532" s="112"/>
      <c r="F532" s="168" t="s">
        <v>6202</v>
      </c>
      <c r="G532" s="232">
        <f>IF(DBparts1[[#This Row],[Type]]&gt;0,VLOOKUP(DBparts1[[#This Row],[Type]],Main[[#All],[TYPE]:[UNIT]],'Unit Price'!C$1,FALSE),0)</f>
        <v>0</v>
      </c>
      <c r="H532" s="194">
        <f>IF(DBparts1[[#This Row],[Type]]&gt;0,VLOOKUP(DBparts1[[#This Row],[Type]],Main[[#All],[TYPE]:[UNIT]],'Unit Price'!D$1,FALSE),0)</f>
        <v>0</v>
      </c>
      <c r="I532" s="194">
        <f>IF(DBparts1[[#This Row],[Type]]&gt;0,VLOOKUP(DBparts1[[#This Row],[Type]],Main[[#All],[TYPE]:[UNIT]],'Unit Price'!G$1,FALSE),0)</f>
        <v>0</v>
      </c>
      <c r="J532" s="194">
        <f>IF(DBparts1[[#This Row],[Type]]&gt;0,VLOOKUP(DBparts1[[#This Row],[Type]],Main[[#All],[TYPE]:[UNIT]],'Unit Price'!H$1,FALSE),0)</f>
        <v>0</v>
      </c>
      <c r="K532" s="194">
        <f>IF(DBparts1[[#This Row],[Type]]&gt;0,VLOOKUP(DBparts1[[#This Row],[Discount seletion]],'Discount Structure'!$A$2:$B$30,2,"false"),0)</f>
        <v>0</v>
      </c>
      <c r="L532" s="194">
        <f>DBparts1[[#This Row],[LIST $]]*DBparts1[[#This Row],[DISCOUNT]]*DBparts1[[#This Row],[DISCOUNT 2]]</f>
        <v>0</v>
      </c>
    </row>
    <row r="533" spans="2:12">
      <c r="B533" s="112"/>
      <c r="C533" s="112"/>
      <c r="D533" s="112"/>
      <c r="F533" s="168" t="s">
        <v>6202</v>
      </c>
      <c r="G533" s="232">
        <f>IF(DBparts1[[#This Row],[Type]]&gt;0,VLOOKUP(DBparts1[[#This Row],[Type]],Main[[#All],[TYPE]:[UNIT]],'Unit Price'!C$1,FALSE),0)</f>
        <v>0</v>
      </c>
      <c r="H533" s="194">
        <f>IF(DBparts1[[#This Row],[Type]]&gt;0,VLOOKUP(DBparts1[[#This Row],[Type]],Main[[#All],[TYPE]:[UNIT]],'Unit Price'!D$1,FALSE),0)</f>
        <v>0</v>
      </c>
      <c r="I533" s="194">
        <f>IF(DBparts1[[#This Row],[Type]]&gt;0,VLOOKUP(DBparts1[[#This Row],[Type]],Main[[#All],[TYPE]:[UNIT]],'Unit Price'!G$1,FALSE),0)</f>
        <v>0</v>
      </c>
      <c r="J533" s="194">
        <f>IF(DBparts1[[#This Row],[Type]]&gt;0,VLOOKUP(DBparts1[[#This Row],[Type]],Main[[#All],[TYPE]:[UNIT]],'Unit Price'!H$1,FALSE),0)</f>
        <v>0</v>
      </c>
      <c r="K533" s="194">
        <f>IF(DBparts1[[#This Row],[Type]]&gt;0,VLOOKUP(DBparts1[[#This Row],[Discount seletion]],'Discount Structure'!$A$2:$B$30,2,"false"),0)</f>
        <v>0</v>
      </c>
      <c r="L533" s="194">
        <f>DBparts1[[#This Row],[LIST $]]*DBparts1[[#This Row],[DISCOUNT]]*DBparts1[[#This Row],[DISCOUNT 2]]</f>
        <v>0</v>
      </c>
    </row>
    <row r="534" spans="2:12">
      <c r="B534" s="112"/>
      <c r="C534" s="112"/>
      <c r="D534" s="112"/>
      <c r="F534" s="168" t="s">
        <v>6202</v>
      </c>
      <c r="G534" s="232">
        <f>IF(DBparts1[[#This Row],[Type]]&gt;0,VLOOKUP(DBparts1[[#This Row],[Type]],Main[[#All],[TYPE]:[UNIT]],'Unit Price'!C$1,FALSE),0)</f>
        <v>0</v>
      </c>
      <c r="H534" s="194">
        <f>IF(DBparts1[[#This Row],[Type]]&gt;0,VLOOKUP(DBparts1[[#This Row],[Type]],Main[[#All],[TYPE]:[UNIT]],'Unit Price'!D$1,FALSE),0)</f>
        <v>0</v>
      </c>
      <c r="I534" s="194">
        <f>IF(DBparts1[[#This Row],[Type]]&gt;0,VLOOKUP(DBparts1[[#This Row],[Type]],Main[[#All],[TYPE]:[UNIT]],'Unit Price'!G$1,FALSE),0)</f>
        <v>0</v>
      </c>
      <c r="J534" s="194">
        <f>IF(DBparts1[[#This Row],[Type]]&gt;0,VLOOKUP(DBparts1[[#This Row],[Type]],Main[[#All],[TYPE]:[UNIT]],'Unit Price'!H$1,FALSE),0)</f>
        <v>0</v>
      </c>
      <c r="K534" s="194">
        <f>IF(DBparts1[[#This Row],[Type]]&gt;0,VLOOKUP(DBparts1[[#This Row],[Discount seletion]],'Discount Structure'!$A$2:$B$30,2,"false"),0)</f>
        <v>0</v>
      </c>
      <c r="L534" s="194">
        <f>DBparts1[[#This Row],[LIST $]]*DBparts1[[#This Row],[DISCOUNT]]*DBparts1[[#This Row],[DISCOUNT 2]]</f>
        <v>0</v>
      </c>
    </row>
    <row r="535" spans="2:12">
      <c r="B535" s="112"/>
      <c r="C535" s="112"/>
      <c r="D535" s="112"/>
      <c r="F535" s="168" t="s">
        <v>6202</v>
      </c>
      <c r="G535" s="232">
        <f>IF(DBparts1[[#This Row],[Type]]&gt;0,VLOOKUP(DBparts1[[#This Row],[Type]],Main[[#All],[TYPE]:[UNIT]],'Unit Price'!C$1,FALSE),0)</f>
        <v>0</v>
      </c>
      <c r="H535" s="194">
        <f>IF(DBparts1[[#This Row],[Type]]&gt;0,VLOOKUP(DBparts1[[#This Row],[Type]],Main[[#All],[TYPE]:[UNIT]],'Unit Price'!D$1,FALSE),0)</f>
        <v>0</v>
      </c>
      <c r="I535" s="194">
        <f>IF(DBparts1[[#This Row],[Type]]&gt;0,VLOOKUP(DBparts1[[#This Row],[Type]],Main[[#All],[TYPE]:[UNIT]],'Unit Price'!G$1,FALSE),0)</f>
        <v>0</v>
      </c>
      <c r="J535" s="194">
        <f>IF(DBparts1[[#This Row],[Type]]&gt;0,VLOOKUP(DBparts1[[#This Row],[Type]],Main[[#All],[TYPE]:[UNIT]],'Unit Price'!H$1,FALSE),0)</f>
        <v>0</v>
      </c>
      <c r="K535" s="194">
        <f>IF(DBparts1[[#This Row],[Type]]&gt;0,VLOOKUP(DBparts1[[#This Row],[Discount seletion]],'Discount Structure'!$A$2:$B$30,2,"false"),0)</f>
        <v>0</v>
      </c>
      <c r="L535" s="194">
        <f>DBparts1[[#This Row],[LIST $]]*DBparts1[[#This Row],[DISCOUNT]]*DBparts1[[#This Row],[DISCOUNT 2]]</f>
        <v>0</v>
      </c>
    </row>
    <row r="536" spans="2:12">
      <c r="B536" s="112"/>
      <c r="C536" s="112"/>
      <c r="D536" s="112"/>
      <c r="F536" s="168" t="s">
        <v>6202</v>
      </c>
      <c r="G536" s="232">
        <f>IF(DBparts1[[#This Row],[Type]]&gt;0,VLOOKUP(DBparts1[[#This Row],[Type]],Main[[#All],[TYPE]:[UNIT]],'Unit Price'!C$1,FALSE),0)</f>
        <v>0</v>
      </c>
      <c r="H536" s="194">
        <f>IF(DBparts1[[#This Row],[Type]]&gt;0,VLOOKUP(DBparts1[[#This Row],[Type]],Main[[#All],[TYPE]:[UNIT]],'Unit Price'!D$1,FALSE),0)</f>
        <v>0</v>
      </c>
      <c r="I536" s="194">
        <f>IF(DBparts1[[#This Row],[Type]]&gt;0,VLOOKUP(DBparts1[[#This Row],[Type]],Main[[#All],[TYPE]:[UNIT]],'Unit Price'!G$1,FALSE),0)</f>
        <v>0</v>
      </c>
      <c r="J536" s="194">
        <f>IF(DBparts1[[#This Row],[Type]]&gt;0,VLOOKUP(DBparts1[[#This Row],[Type]],Main[[#All],[TYPE]:[UNIT]],'Unit Price'!H$1,FALSE),0)</f>
        <v>0</v>
      </c>
      <c r="K536" s="194">
        <f>IF(DBparts1[[#This Row],[Type]]&gt;0,VLOOKUP(DBparts1[[#This Row],[Discount seletion]],'Discount Structure'!$A$2:$B$30,2,"false"),0)</f>
        <v>0</v>
      </c>
      <c r="L536" s="194">
        <f>DBparts1[[#This Row],[LIST $]]*DBparts1[[#This Row],[DISCOUNT]]*DBparts1[[#This Row],[DISCOUNT 2]]</f>
        <v>0</v>
      </c>
    </row>
    <row r="537" spans="2:12">
      <c r="B537" s="112"/>
      <c r="C537" s="112"/>
      <c r="D537" s="112"/>
      <c r="F537" s="168" t="s">
        <v>6202</v>
      </c>
      <c r="G537" s="232">
        <f>IF(DBparts1[[#This Row],[Type]]&gt;0,VLOOKUP(DBparts1[[#This Row],[Type]],Main[[#All],[TYPE]:[UNIT]],'Unit Price'!C$1,FALSE),0)</f>
        <v>0</v>
      </c>
      <c r="H537" s="194">
        <f>IF(DBparts1[[#This Row],[Type]]&gt;0,VLOOKUP(DBparts1[[#This Row],[Type]],Main[[#All],[TYPE]:[UNIT]],'Unit Price'!D$1,FALSE),0)</f>
        <v>0</v>
      </c>
      <c r="I537" s="194">
        <f>IF(DBparts1[[#This Row],[Type]]&gt;0,VLOOKUP(DBparts1[[#This Row],[Type]],Main[[#All],[TYPE]:[UNIT]],'Unit Price'!G$1,FALSE),0)</f>
        <v>0</v>
      </c>
      <c r="J537" s="194">
        <f>IF(DBparts1[[#This Row],[Type]]&gt;0,VLOOKUP(DBparts1[[#This Row],[Type]],Main[[#All],[TYPE]:[UNIT]],'Unit Price'!H$1,FALSE),0)</f>
        <v>0</v>
      </c>
      <c r="K537" s="194">
        <f>IF(DBparts1[[#This Row],[Type]]&gt;0,VLOOKUP(DBparts1[[#This Row],[Discount seletion]],'Discount Structure'!$A$2:$B$30,2,"false"),0)</f>
        <v>0</v>
      </c>
      <c r="L537" s="194">
        <f>DBparts1[[#This Row],[LIST $]]*DBparts1[[#This Row],[DISCOUNT]]*DBparts1[[#This Row],[DISCOUNT 2]]</f>
        <v>0</v>
      </c>
    </row>
    <row r="538" spans="2:12">
      <c r="B538" s="112"/>
      <c r="C538" s="112"/>
      <c r="D538" s="112"/>
      <c r="F538" s="168" t="s">
        <v>6202</v>
      </c>
      <c r="G538" s="232">
        <f>IF(DBparts1[[#This Row],[Type]]&gt;0,VLOOKUP(DBparts1[[#This Row],[Type]],Main[[#All],[TYPE]:[UNIT]],'Unit Price'!C$1,FALSE),0)</f>
        <v>0</v>
      </c>
      <c r="H538" s="194">
        <f>IF(DBparts1[[#This Row],[Type]]&gt;0,VLOOKUP(DBparts1[[#This Row],[Type]],Main[[#All],[TYPE]:[UNIT]],'Unit Price'!D$1,FALSE),0)</f>
        <v>0</v>
      </c>
      <c r="I538" s="194">
        <f>IF(DBparts1[[#This Row],[Type]]&gt;0,VLOOKUP(DBparts1[[#This Row],[Type]],Main[[#All],[TYPE]:[UNIT]],'Unit Price'!G$1,FALSE),0)</f>
        <v>0</v>
      </c>
      <c r="J538" s="194">
        <f>IF(DBparts1[[#This Row],[Type]]&gt;0,VLOOKUP(DBparts1[[#This Row],[Type]],Main[[#All],[TYPE]:[UNIT]],'Unit Price'!H$1,FALSE),0)</f>
        <v>0</v>
      </c>
      <c r="K538" s="194">
        <f>IF(DBparts1[[#This Row],[Type]]&gt;0,VLOOKUP(DBparts1[[#This Row],[Discount seletion]],'Discount Structure'!$A$2:$B$30,2,"false"),0)</f>
        <v>0</v>
      </c>
      <c r="L538" s="194">
        <f>DBparts1[[#This Row],[LIST $]]*DBparts1[[#This Row],[DISCOUNT]]*DBparts1[[#This Row],[DISCOUNT 2]]</f>
        <v>0</v>
      </c>
    </row>
    <row r="539" spans="2:12">
      <c r="B539" s="112"/>
      <c r="C539" s="112"/>
      <c r="D539" s="112"/>
      <c r="F539" s="168" t="s">
        <v>6202</v>
      </c>
      <c r="G539" s="232">
        <f>IF(DBparts1[[#This Row],[Type]]&gt;0,VLOOKUP(DBparts1[[#This Row],[Type]],Main[[#All],[TYPE]:[UNIT]],'Unit Price'!C$1,FALSE),0)</f>
        <v>0</v>
      </c>
      <c r="H539" s="194">
        <f>IF(DBparts1[[#This Row],[Type]]&gt;0,VLOOKUP(DBparts1[[#This Row],[Type]],Main[[#All],[TYPE]:[UNIT]],'Unit Price'!D$1,FALSE),0)</f>
        <v>0</v>
      </c>
      <c r="I539" s="194">
        <f>IF(DBparts1[[#This Row],[Type]]&gt;0,VLOOKUP(DBparts1[[#This Row],[Type]],Main[[#All],[TYPE]:[UNIT]],'Unit Price'!G$1,FALSE),0)</f>
        <v>0</v>
      </c>
      <c r="J539" s="194">
        <f>IF(DBparts1[[#This Row],[Type]]&gt;0,VLOOKUP(DBparts1[[#This Row],[Type]],Main[[#All],[TYPE]:[UNIT]],'Unit Price'!H$1,FALSE),0)</f>
        <v>0</v>
      </c>
      <c r="K539" s="194">
        <f>IF(DBparts1[[#This Row],[Type]]&gt;0,VLOOKUP(DBparts1[[#This Row],[Discount seletion]],'Discount Structure'!$A$2:$B$30,2,"false"),0)</f>
        <v>0</v>
      </c>
      <c r="L539" s="194">
        <f>DBparts1[[#This Row],[LIST $]]*DBparts1[[#This Row],[DISCOUNT]]*DBparts1[[#This Row],[DISCOUNT 2]]</f>
        <v>0</v>
      </c>
    </row>
    <row r="540" spans="2:12">
      <c r="B540" s="112"/>
      <c r="C540" s="112"/>
      <c r="D540" s="112"/>
      <c r="F540" s="168" t="s">
        <v>6202</v>
      </c>
      <c r="G540" s="232">
        <f>IF(DBparts1[[#This Row],[Type]]&gt;0,VLOOKUP(DBparts1[[#This Row],[Type]],Main[[#All],[TYPE]:[UNIT]],'Unit Price'!C$1,FALSE),0)</f>
        <v>0</v>
      </c>
      <c r="H540" s="194">
        <f>IF(DBparts1[[#This Row],[Type]]&gt;0,VLOOKUP(DBparts1[[#This Row],[Type]],Main[[#All],[TYPE]:[UNIT]],'Unit Price'!D$1,FALSE),0)</f>
        <v>0</v>
      </c>
      <c r="I540" s="194">
        <f>IF(DBparts1[[#This Row],[Type]]&gt;0,VLOOKUP(DBparts1[[#This Row],[Type]],Main[[#All],[TYPE]:[UNIT]],'Unit Price'!G$1,FALSE),0)</f>
        <v>0</v>
      </c>
      <c r="J540" s="194">
        <f>IF(DBparts1[[#This Row],[Type]]&gt;0,VLOOKUP(DBparts1[[#This Row],[Type]],Main[[#All],[TYPE]:[UNIT]],'Unit Price'!H$1,FALSE),0)</f>
        <v>0</v>
      </c>
      <c r="K540" s="194">
        <f>IF(DBparts1[[#This Row],[Type]]&gt;0,VLOOKUP(DBparts1[[#This Row],[Discount seletion]],'Discount Structure'!$A$2:$B$30,2,"false"),0)</f>
        <v>0</v>
      </c>
      <c r="L540" s="194">
        <f>DBparts1[[#This Row],[LIST $]]*DBparts1[[#This Row],[DISCOUNT]]*DBparts1[[#This Row],[DISCOUNT 2]]</f>
        <v>0</v>
      </c>
    </row>
    <row r="541" spans="2:12">
      <c r="B541" s="112"/>
      <c r="C541" s="112"/>
      <c r="D541" s="112"/>
      <c r="F541" s="168" t="s">
        <v>6202</v>
      </c>
      <c r="G541" s="232">
        <f>IF(DBparts1[[#This Row],[Type]]&gt;0,VLOOKUP(DBparts1[[#This Row],[Type]],Main[[#All],[TYPE]:[UNIT]],'Unit Price'!C$1,FALSE),0)</f>
        <v>0</v>
      </c>
      <c r="H541" s="194">
        <f>IF(DBparts1[[#This Row],[Type]]&gt;0,VLOOKUP(DBparts1[[#This Row],[Type]],Main[[#All],[TYPE]:[UNIT]],'Unit Price'!D$1,FALSE),0)</f>
        <v>0</v>
      </c>
      <c r="I541" s="194">
        <f>IF(DBparts1[[#This Row],[Type]]&gt;0,VLOOKUP(DBparts1[[#This Row],[Type]],Main[[#All],[TYPE]:[UNIT]],'Unit Price'!G$1,FALSE),0)</f>
        <v>0</v>
      </c>
      <c r="J541" s="194">
        <f>IF(DBparts1[[#This Row],[Type]]&gt;0,VLOOKUP(DBparts1[[#This Row],[Type]],Main[[#All],[TYPE]:[UNIT]],'Unit Price'!H$1,FALSE),0)</f>
        <v>0</v>
      </c>
      <c r="K541" s="194">
        <f>IF(DBparts1[[#This Row],[Type]]&gt;0,VLOOKUP(DBparts1[[#This Row],[Discount seletion]],'Discount Structure'!$A$2:$B$30,2,"false"),0)</f>
        <v>0</v>
      </c>
      <c r="L541" s="194">
        <f>DBparts1[[#This Row],[LIST $]]*DBparts1[[#This Row],[DISCOUNT]]*DBparts1[[#This Row],[DISCOUNT 2]]</f>
        <v>0</v>
      </c>
    </row>
    <row r="542" spans="2:12">
      <c r="B542" s="112"/>
      <c r="C542" s="112"/>
      <c r="D542" s="112"/>
      <c r="F542" s="168" t="s">
        <v>6202</v>
      </c>
      <c r="G542" s="232">
        <f>IF(DBparts1[[#This Row],[Type]]&gt;0,VLOOKUP(DBparts1[[#This Row],[Type]],Main[[#All],[TYPE]:[UNIT]],'Unit Price'!C$1,FALSE),0)</f>
        <v>0</v>
      </c>
      <c r="H542" s="194">
        <f>IF(DBparts1[[#This Row],[Type]]&gt;0,VLOOKUP(DBparts1[[#This Row],[Type]],Main[[#All],[TYPE]:[UNIT]],'Unit Price'!D$1,FALSE),0)</f>
        <v>0</v>
      </c>
      <c r="I542" s="194">
        <f>IF(DBparts1[[#This Row],[Type]]&gt;0,VLOOKUP(DBparts1[[#This Row],[Type]],Main[[#All],[TYPE]:[UNIT]],'Unit Price'!G$1,FALSE),0)</f>
        <v>0</v>
      </c>
      <c r="J542" s="194">
        <f>IF(DBparts1[[#This Row],[Type]]&gt;0,VLOOKUP(DBparts1[[#This Row],[Type]],Main[[#All],[TYPE]:[UNIT]],'Unit Price'!H$1,FALSE),0)</f>
        <v>0</v>
      </c>
      <c r="K542" s="194">
        <f>IF(DBparts1[[#This Row],[Type]]&gt;0,VLOOKUP(DBparts1[[#This Row],[Discount seletion]],'Discount Structure'!$A$2:$B$30,2,"false"),0)</f>
        <v>0</v>
      </c>
      <c r="L542" s="194">
        <f>DBparts1[[#This Row],[LIST $]]*DBparts1[[#This Row],[DISCOUNT]]*DBparts1[[#This Row],[DISCOUNT 2]]</f>
        <v>0</v>
      </c>
    </row>
    <row r="543" spans="2:12">
      <c r="B543" s="112"/>
      <c r="C543" s="112"/>
      <c r="D543" s="112"/>
      <c r="F543" s="168" t="s">
        <v>6202</v>
      </c>
      <c r="G543" s="232">
        <f>IF(DBparts1[[#This Row],[Type]]&gt;0,VLOOKUP(DBparts1[[#This Row],[Type]],Main[[#All],[TYPE]:[UNIT]],'Unit Price'!C$1,FALSE),0)</f>
        <v>0</v>
      </c>
      <c r="H543" s="194">
        <f>IF(DBparts1[[#This Row],[Type]]&gt;0,VLOOKUP(DBparts1[[#This Row],[Type]],Main[[#All],[TYPE]:[UNIT]],'Unit Price'!D$1,FALSE),0)</f>
        <v>0</v>
      </c>
      <c r="I543" s="194">
        <f>IF(DBparts1[[#This Row],[Type]]&gt;0,VLOOKUP(DBparts1[[#This Row],[Type]],Main[[#All],[TYPE]:[UNIT]],'Unit Price'!G$1,FALSE),0)</f>
        <v>0</v>
      </c>
      <c r="J543" s="194">
        <f>IF(DBparts1[[#This Row],[Type]]&gt;0,VLOOKUP(DBparts1[[#This Row],[Type]],Main[[#All],[TYPE]:[UNIT]],'Unit Price'!H$1,FALSE),0)</f>
        <v>0</v>
      </c>
      <c r="K543" s="194">
        <f>IF(DBparts1[[#This Row],[Type]]&gt;0,VLOOKUP(DBparts1[[#This Row],[Discount seletion]],'Discount Structure'!$A$2:$B$30,2,"false"),0)</f>
        <v>0</v>
      </c>
      <c r="L543" s="194">
        <f>DBparts1[[#This Row],[LIST $]]*DBparts1[[#This Row],[DISCOUNT]]*DBparts1[[#This Row],[DISCOUNT 2]]</f>
        <v>0</v>
      </c>
    </row>
    <row r="544" spans="2:12">
      <c r="B544" s="112"/>
      <c r="C544" s="112"/>
      <c r="D544" s="112"/>
      <c r="F544" s="168" t="s">
        <v>6202</v>
      </c>
      <c r="G544" s="232">
        <f>IF(DBparts1[[#This Row],[Type]]&gt;0,VLOOKUP(DBparts1[[#This Row],[Type]],Main[[#All],[TYPE]:[UNIT]],'Unit Price'!C$1,FALSE),0)</f>
        <v>0</v>
      </c>
      <c r="H544" s="194">
        <f>IF(DBparts1[[#This Row],[Type]]&gt;0,VLOOKUP(DBparts1[[#This Row],[Type]],Main[[#All],[TYPE]:[UNIT]],'Unit Price'!D$1,FALSE),0)</f>
        <v>0</v>
      </c>
      <c r="I544" s="194">
        <f>IF(DBparts1[[#This Row],[Type]]&gt;0,VLOOKUP(DBparts1[[#This Row],[Type]],Main[[#All],[TYPE]:[UNIT]],'Unit Price'!G$1,FALSE),0)</f>
        <v>0</v>
      </c>
      <c r="J544" s="194">
        <f>IF(DBparts1[[#This Row],[Type]]&gt;0,VLOOKUP(DBparts1[[#This Row],[Type]],Main[[#All],[TYPE]:[UNIT]],'Unit Price'!H$1,FALSE),0)</f>
        <v>0</v>
      </c>
      <c r="K544" s="194">
        <f>IF(DBparts1[[#This Row],[Type]]&gt;0,VLOOKUP(DBparts1[[#This Row],[Discount seletion]],'Discount Structure'!$A$2:$B$30,2,"false"),0)</f>
        <v>0</v>
      </c>
      <c r="L544" s="194">
        <f>DBparts1[[#This Row],[LIST $]]*DBparts1[[#This Row],[DISCOUNT]]*DBparts1[[#This Row],[DISCOUNT 2]]</f>
        <v>0</v>
      </c>
    </row>
    <row r="545" spans="2:12">
      <c r="B545" s="112"/>
      <c r="C545" s="112"/>
      <c r="D545" s="112"/>
      <c r="F545" s="168" t="s">
        <v>6202</v>
      </c>
      <c r="G545" s="232">
        <f>IF(DBparts1[[#This Row],[Type]]&gt;0,VLOOKUP(DBparts1[[#This Row],[Type]],Main[[#All],[TYPE]:[UNIT]],'Unit Price'!C$1,FALSE),0)</f>
        <v>0</v>
      </c>
      <c r="H545" s="194">
        <f>IF(DBparts1[[#This Row],[Type]]&gt;0,VLOOKUP(DBparts1[[#This Row],[Type]],Main[[#All],[TYPE]:[UNIT]],'Unit Price'!D$1,FALSE),0)</f>
        <v>0</v>
      </c>
      <c r="I545" s="194">
        <f>IF(DBparts1[[#This Row],[Type]]&gt;0,VLOOKUP(DBparts1[[#This Row],[Type]],Main[[#All],[TYPE]:[UNIT]],'Unit Price'!G$1,FALSE),0)</f>
        <v>0</v>
      </c>
      <c r="J545" s="194">
        <f>IF(DBparts1[[#This Row],[Type]]&gt;0,VLOOKUP(DBparts1[[#This Row],[Type]],Main[[#All],[TYPE]:[UNIT]],'Unit Price'!H$1,FALSE),0)</f>
        <v>0</v>
      </c>
      <c r="K545" s="194">
        <f>IF(DBparts1[[#This Row],[Type]]&gt;0,VLOOKUP(DBparts1[[#This Row],[Discount seletion]],'Discount Structure'!$A$2:$B$30,2,"false"),0)</f>
        <v>0</v>
      </c>
      <c r="L545" s="194">
        <f>DBparts1[[#This Row],[LIST $]]*DBparts1[[#This Row],[DISCOUNT]]*DBparts1[[#This Row],[DISCOUNT 2]]</f>
        <v>0</v>
      </c>
    </row>
    <row r="546" spans="2:12">
      <c r="B546" s="112"/>
      <c r="C546" s="112"/>
      <c r="D546" s="112"/>
      <c r="F546" s="168" t="s">
        <v>6202</v>
      </c>
      <c r="G546" s="232">
        <f>IF(DBparts1[[#This Row],[Type]]&gt;0,VLOOKUP(DBparts1[[#This Row],[Type]],Main[[#All],[TYPE]:[UNIT]],'Unit Price'!C$1,FALSE),0)</f>
        <v>0</v>
      </c>
      <c r="H546" s="194">
        <f>IF(DBparts1[[#This Row],[Type]]&gt;0,VLOOKUP(DBparts1[[#This Row],[Type]],Main[[#All],[TYPE]:[UNIT]],'Unit Price'!D$1,FALSE),0)</f>
        <v>0</v>
      </c>
      <c r="I546" s="194">
        <f>IF(DBparts1[[#This Row],[Type]]&gt;0,VLOOKUP(DBparts1[[#This Row],[Type]],Main[[#All],[TYPE]:[UNIT]],'Unit Price'!G$1,FALSE),0)</f>
        <v>0</v>
      </c>
      <c r="J546" s="194">
        <f>IF(DBparts1[[#This Row],[Type]]&gt;0,VLOOKUP(DBparts1[[#This Row],[Type]],Main[[#All],[TYPE]:[UNIT]],'Unit Price'!H$1,FALSE),0)</f>
        <v>0</v>
      </c>
      <c r="K546" s="194">
        <f>IF(DBparts1[[#This Row],[Type]]&gt;0,VLOOKUP(DBparts1[[#This Row],[Discount seletion]],'Discount Structure'!$A$2:$B$30,2,"false"),0)</f>
        <v>0</v>
      </c>
      <c r="L546" s="194">
        <f>DBparts1[[#This Row],[LIST $]]*DBparts1[[#This Row],[DISCOUNT]]*DBparts1[[#This Row],[DISCOUNT 2]]</f>
        <v>0</v>
      </c>
    </row>
    <row r="547" spans="2:12">
      <c r="B547" s="112"/>
      <c r="C547" s="112"/>
      <c r="D547" s="112"/>
      <c r="F547" s="168" t="s">
        <v>6202</v>
      </c>
      <c r="G547" s="232">
        <f>IF(DBparts1[[#This Row],[Type]]&gt;0,VLOOKUP(DBparts1[[#This Row],[Type]],Main[[#All],[TYPE]:[UNIT]],'Unit Price'!C$1,FALSE),0)</f>
        <v>0</v>
      </c>
      <c r="H547" s="194">
        <f>IF(DBparts1[[#This Row],[Type]]&gt;0,VLOOKUP(DBparts1[[#This Row],[Type]],Main[[#All],[TYPE]:[UNIT]],'Unit Price'!D$1,FALSE),0)</f>
        <v>0</v>
      </c>
      <c r="I547" s="194">
        <f>IF(DBparts1[[#This Row],[Type]]&gt;0,VLOOKUP(DBparts1[[#This Row],[Type]],Main[[#All],[TYPE]:[UNIT]],'Unit Price'!G$1,FALSE),0)</f>
        <v>0</v>
      </c>
      <c r="J547" s="194">
        <f>IF(DBparts1[[#This Row],[Type]]&gt;0,VLOOKUP(DBparts1[[#This Row],[Type]],Main[[#All],[TYPE]:[UNIT]],'Unit Price'!H$1,FALSE),0)</f>
        <v>0</v>
      </c>
      <c r="K547" s="194">
        <f>IF(DBparts1[[#This Row],[Type]]&gt;0,VLOOKUP(DBparts1[[#This Row],[Discount seletion]],'Discount Structure'!$A$2:$B$30,2,"false"),0)</f>
        <v>0</v>
      </c>
      <c r="L547" s="194">
        <f>DBparts1[[#This Row],[LIST $]]*DBparts1[[#This Row],[DISCOUNT]]*DBparts1[[#This Row],[DISCOUNT 2]]</f>
        <v>0</v>
      </c>
    </row>
    <row r="548" spans="2:12">
      <c r="B548" s="112"/>
      <c r="C548" s="112"/>
      <c r="D548" s="112"/>
      <c r="F548" s="168" t="s">
        <v>6202</v>
      </c>
      <c r="G548" s="232">
        <f>IF(DBparts1[[#This Row],[Type]]&gt;0,VLOOKUP(DBparts1[[#This Row],[Type]],Main[[#All],[TYPE]:[UNIT]],'Unit Price'!C$1,FALSE),0)</f>
        <v>0</v>
      </c>
      <c r="H548" s="194">
        <f>IF(DBparts1[[#This Row],[Type]]&gt;0,VLOOKUP(DBparts1[[#This Row],[Type]],Main[[#All],[TYPE]:[UNIT]],'Unit Price'!D$1,FALSE),0)</f>
        <v>0</v>
      </c>
      <c r="I548" s="194">
        <f>IF(DBparts1[[#This Row],[Type]]&gt;0,VLOOKUP(DBparts1[[#This Row],[Type]],Main[[#All],[TYPE]:[UNIT]],'Unit Price'!G$1,FALSE),0)</f>
        <v>0</v>
      </c>
      <c r="J548" s="194">
        <f>IF(DBparts1[[#This Row],[Type]]&gt;0,VLOOKUP(DBparts1[[#This Row],[Type]],Main[[#All],[TYPE]:[UNIT]],'Unit Price'!H$1,FALSE),0)</f>
        <v>0</v>
      </c>
      <c r="K548" s="194">
        <f>IF(DBparts1[[#This Row],[Type]]&gt;0,VLOOKUP(DBparts1[[#This Row],[Discount seletion]],'Discount Structure'!$A$2:$B$30,2,"false"),0)</f>
        <v>0</v>
      </c>
      <c r="L548" s="194">
        <f>DBparts1[[#This Row],[LIST $]]*DBparts1[[#This Row],[DISCOUNT]]*DBparts1[[#This Row],[DISCOUNT 2]]</f>
        <v>0</v>
      </c>
    </row>
    <row r="549" spans="2:12">
      <c r="B549" s="112"/>
      <c r="C549" s="112"/>
      <c r="D549" s="112"/>
      <c r="F549" s="168" t="s">
        <v>6202</v>
      </c>
      <c r="G549" s="232">
        <f>IF(DBparts1[[#This Row],[Type]]&gt;0,VLOOKUP(DBparts1[[#This Row],[Type]],Main[[#All],[TYPE]:[UNIT]],'Unit Price'!C$1,FALSE),0)</f>
        <v>0</v>
      </c>
      <c r="H549" s="194">
        <f>IF(DBparts1[[#This Row],[Type]]&gt;0,VLOOKUP(DBparts1[[#This Row],[Type]],Main[[#All],[TYPE]:[UNIT]],'Unit Price'!D$1,FALSE),0)</f>
        <v>0</v>
      </c>
      <c r="I549" s="194">
        <f>IF(DBparts1[[#This Row],[Type]]&gt;0,VLOOKUP(DBparts1[[#This Row],[Type]],Main[[#All],[TYPE]:[UNIT]],'Unit Price'!G$1,FALSE),0)</f>
        <v>0</v>
      </c>
      <c r="J549" s="194">
        <f>IF(DBparts1[[#This Row],[Type]]&gt;0,VLOOKUP(DBparts1[[#This Row],[Type]],Main[[#All],[TYPE]:[UNIT]],'Unit Price'!H$1,FALSE),0)</f>
        <v>0</v>
      </c>
      <c r="K549" s="194">
        <f>IF(DBparts1[[#This Row],[Type]]&gt;0,VLOOKUP(DBparts1[[#This Row],[Discount seletion]],'Discount Structure'!$A$2:$B$30,2,"false"),0)</f>
        <v>0</v>
      </c>
      <c r="L549" s="194">
        <f>DBparts1[[#This Row],[LIST $]]*DBparts1[[#This Row],[DISCOUNT]]*DBparts1[[#This Row],[DISCOUNT 2]]</f>
        <v>0</v>
      </c>
    </row>
    <row r="550" spans="2:12">
      <c r="B550" s="112"/>
      <c r="C550" s="112"/>
      <c r="D550" s="112"/>
      <c r="F550" s="168" t="s">
        <v>6202</v>
      </c>
      <c r="G550" s="232">
        <f>IF(DBparts1[[#This Row],[Type]]&gt;0,VLOOKUP(DBparts1[[#This Row],[Type]],Main[[#All],[TYPE]:[UNIT]],'Unit Price'!C$1,FALSE),0)</f>
        <v>0</v>
      </c>
      <c r="H550" s="194">
        <f>IF(DBparts1[[#This Row],[Type]]&gt;0,VLOOKUP(DBparts1[[#This Row],[Type]],Main[[#All],[TYPE]:[UNIT]],'Unit Price'!D$1,FALSE),0)</f>
        <v>0</v>
      </c>
      <c r="I550" s="194">
        <f>IF(DBparts1[[#This Row],[Type]]&gt;0,VLOOKUP(DBparts1[[#This Row],[Type]],Main[[#All],[TYPE]:[UNIT]],'Unit Price'!G$1,FALSE),0)</f>
        <v>0</v>
      </c>
      <c r="J550" s="194">
        <f>IF(DBparts1[[#This Row],[Type]]&gt;0,VLOOKUP(DBparts1[[#This Row],[Type]],Main[[#All],[TYPE]:[UNIT]],'Unit Price'!H$1,FALSE),0)</f>
        <v>0</v>
      </c>
      <c r="K550" s="194">
        <f>IF(DBparts1[[#This Row],[Type]]&gt;0,VLOOKUP(DBparts1[[#This Row],[Discount seletion]],'Discount Structure'!$A$2:$B$30,2,"false"),0)</f>
        <v>0</v>
      </c>
      <c r="L550" s="194">
        <f>DBparts1[[#This Row],[LIST $]]*DBparts1[[#This Row],[DISCOUNT]]*DBparts1[[#This Row],[DISCOUNT 2]]</f>
        <v>0</v>
      </c>
    </row>
    <row r="551" spans="2:12">
      <c r="B551" s="112"/>
      <c r="C551" s="112"/>
      <c r="D551" s="112"/>
      <c r="F551" s="168" t="s">
        <v>6202</v>
      </c>
      <c r="G551" s="232">
        <f>IF(DBparts1[[#This Row],[Type]]&gt;0,VLOOKUP(DBparts1[[#This Row],[Type]],Main[[#All],[TYPE]:[UNIT]],'Unit Price'!C$1,FALSE),0)</f>
        <v>0</v>
      </c>
      <c r="H551" s="194">
        <f>IF(DBparts1[[#This Row],[Type]]&gt;0,VLOOKUP(DBparts1[[#This Row],[Type]],Main[[#All],[TYPE]:[UNIT]],'Unit Price'!D$1,FALSE),0)</f>
        <v>0</v>
      </c>
      <c r="I551" s="194">
        <f>IF(DBparts1[[#This Row],[Type]]&gt;0,VLOOKUP(DBparts1[[#This Row],[Type]],Main[[#All],[TYPE]:[UNIT]],'Unit Price'!G$1,FALSE),0)</f>
        <v>0</v>
      </c>
      <c r="J551" s="194">
        <f>IF(DBparts1[[#This Row],[Type]]&gt;0,VLOOKUP(DBparts1[[#This Row],[Type]],Main[[#All],[TYPE]:[UNIT]],'Unit Price'!H$1,FALSE),0)</f>
        <v>0</v>
      </c>
      <c r="K551" s="194">
        <f>IF(DBparts1[[#This Row],[Type]]&gt;0,VLOOKUP(DBparts1[[#This Row],[Discount seletion]],'Discount Structure'!$A$2:$B$30,2,"false"),0)</f>
        <v>0</v>
      </c>
      <c r="L551" s="194">
        <f>DBparts1[[#This Row],[LIST $]]*DBparts1[[#This Row],[DISCOUNT]]*DBparts1[[#This Row],[DISCOUNT 2]]</f>
        <v>0</v>
      </c>
    </row>
    <row r="552" spans="2:12">
      <c r="B552" s="112"/>
      <c r="C552" s="112"/>
      <c r="D552" s="112"/>
      <c r="F552" s="168" t="s">
        <v>6202</v>
      </c>
      <c r="G552" s="232">
        <f>IF(DBparts1[[#This Row],[Type]]&gt;0,VLOOKUP(DBparts1[[#This Row],[Type]],Main[[#All],[TYPE]:[UNIT]],'Unit Price'!C$1,FALSE),0)</f>
        <v>0</v>
      </c>
      <c r="H552" s="194">
        <f>IF(DBparts1[[#This Row],[Type]]&gt;0,VLOOKUP(DBparts1[[#This Row],[Type]],Main[[#All],[TYPE]:[UNIT]],'Unit Price'!D$1,FALSE),0)</f>
        <v>0</v>
      </c>
      <c r="I552" s="194">
        <f>IF(DBparts1[[#This Row],[Type]]&gt;0,VLOOKUP(DBparts1[[#This Row],[Type]],Main[[#All],[TYPE]:[UNIT]],'Unit Price'!G$1,FALSE),0)</f>
        <v>0</v>
      </c>
      <c r="J552" s="194">
        <f>IF(DBparts1[[#This Row],[Type]]&gt;0,VLOOKUP(DBparts1[[#This Row],[Type]],Main[[#All],[TYPE]:[UNIT]],'Unit Price'!H$1,FALSE),0)</f>
        <v>0</v>
      </c>
      <c r="K552" s="194">
        <f>IF(DBparts1[[#This Row],[Type]]&gt;0,VLOOKUP(DBparts1[[#This Row],[Discount seletion]],'Discount Structure'!$A$2:$B$30,2,"false"),0)</f>
        <v>0</v>
      </c>
      <c r="L552" s="194">
        <f>DBparts1[[#This Row],[LIST $]]*DBparts1[[#This Row],[DISCOUNT]]*DBparts1[[#This Row],[DISCOUNT 2]]</f>
        <v>0</v>
      </c>
    </row>
    <row r="553" spans="2:12">
      <c r="B553" s="112"/>
      <c r="C553" s="112"/>
      <c r="D553" s="112"/>
      <c r="F553" s="168" t="s">
        <v>6202</v>
      </c>
      <c r="G553" s="232">
        <f>IF(DBparts1[[#This Row],[Type]]&gt;0,VLOOKUP(DBparts1[[#This Row],[Type]],Main[[#All],[TYPE]:[UNIT]],'Unit Price'!C$1,FALSE),0)</f>
        <v>0</v>
      </c>
      <c r="H553" s="194">
        <f>IF(DBparts1[[#This Row],[Type]]&gt;0,VLOOKUP(DBparts1[[#This Row],[Type]],Main[[#All],[TYPE]:[UNIT]],'Unit Price'!D$1,FALSE),0)</f>
        <v>0</v>
      </c>
      <c r="I553" s="194">
        <f>IF(DBparts1[[#This Row],[Type]]&gt;0,VLOOKUP(DBparts1[[#This Row],[Type]],Main[[#All],[TYPE]:[UNIT]],'Unit Price'!G$1,FALSE),0)</f>
        <v>0</v>
      </c>
      <c r="J553" s="194">
        <f>IF(DBparts1[[#This Row],[Type]]&gt;0,VLOOKUP(DBparts1[[#This Row],[Type]],Main[[#All],[TYPE]:[UNIT]],'Unit Price'!H$1,FALSE),0)</f>
        <v>0</v>
      </c>
      <c r="K553" s="194">
        <f>IF(DBparts1[[#This Row],[Type]]&gt;0,VLOOKUP(DBparts1[[#This Row],[Discount seletion]],'Discount Structure'!$A$2:$B$30,2,"false"),0)</f>
        <v>0</v>
      </c>
      <c r="L553" s="194">
        <f>DBparts1[[#This Row],[LIST $]]*DBparts1[[#This Row],[DISCOUNT]]*DBparts1[[#This Row],[DISCOUNT 2]]</f>
        <v>0</v>
      </c>
    </row>
    <row r="554" spans="2:12">
      <c r="B554" s="112"/>
      <c r="C554" s="112"/>
      <c r="D554" s="112"/>
      <c r="F554" s="168" t="s">
        <v>6202</v>
      </c>
      <c r="G554" s="232">
        <f>IF(DBparts1[[#This Row],[Type]]&gt;0,VLOOKUP(DBparts1[[#This Row],[Type]],Main[[#All],[TYPE]:[UNIT]],'Unit Price'!C$1,FALSE),0)</f>
        <v>0</v>
      </c>
      <c r="H554" s="194">
        <f>IF(DBparts1[[#This Row],[Type]]&gt;0,VLOOKUP(DBparts1[[#This Row],[Type]],Main[[#All],[TYPE]:[UNIT]],'Unit Price'!D$1,FALSE),0)</f>
        <v>0</v>
      </c>
      <c r="I554" s="194">
        <f>IF(DBparts1[[#This Row],[Type]]&gt;0,VLOOKUP(DBparts1[[#This Row],[Type]],Main[[#All],[TYPE]:[UNIT]],'Unit Price'!G$1,FALSE),0)</f>
        <v>0</v>
      </c>
      <c r="J554" s="194">
        <f>IF(DBparts1[[#This Row],[Type]]&gt;0,VLOOKUP(DBparts1[[#This Row],[Type]],Main[[#All],[TYPE]:[UNIT]],'Unit Price'!H$1,FALSE),0)</f>
        <v>0</v>
      </c>
      <c r="K554" s="194">
        <f>IF(DBparts1[[#This Row],[Type]]&gt;0,VLOOKUP(DBparts1[[#This Row],[Discount seletion]],'Discount Structure'!$A$2:$B$30,2,"false"),0)</f>
        <v>0</v>
      </c>
      <c r="L554" s="194">
        <f>DBparts1[[#This Row],[LIST $]]*DBparts1[[#This Row],[DISCOUNT]]*DBparts1[[#This Row],[DISCOUNT 2]]</f>
        <v>0</v>
      </c>
    </row>
    <row r="555" spans="2:12">
      <c r="B555" s="112"/>
      <c r="C555" s="112"/>
      <c r="D555" s="112"/>
      <c r="F555" s="168" t="s">
        <v>6202</v>
      </c>
      <c r="G555" s="232">
        <f>IF(DBparts1[[#This Row],[Type]]&gt;0,VLOOKUP(DBparts1[[#This Row],[Type]],Main[[#All],[TYPE]:[UNIT]],'Unit Price'!C$1,FALSE),0)</f>
        <v>0</v>
      </c>
      <c r="H555" s="194">
        <f>IF(DBparts1[[#This Row],[Type]]&gt;0,VLOOKUP(DBparts1[[#This Row],[Type]],Main[[#All],[TYPE]:[UNIT]],'Unit Price'!D$1,FALSE),0)</f>
        <v>0</v>
      </c>
      <c r="I555" s="194">
        <f>IF(DBparts1[[#This Row],[Type]]&gt;0,VLOOKUP(DBparts1[[#This Row],[Type]],Main[[#All],[TYPE]:[UNIT]],'Unit Price'!G$1,FALSE),0)</f>
        <v>0</v>
      </c>
      <c r="J555" s="194">
        <f>IF(DBparts1[[#This Row],[Type]]&gt;0,VLOOKUP(DBparts1[[#This Row],[Type]],Main[[#All],[TYPE]:[UNIT]],'Unit Price'!H$1,FALSE),0)</f>
        <v>0</v>
      </c>
      <c r="K555" s="194">
        <f>IF(DBparts1[[#This Row],[Type]]&gt;0,VLOOKUP(DBparts1[[#This Row],[Discount seletion]],'Discount Structure'!$A$2:$B$30,2,"false"),0)</f>
        <v>0</v>
      </c>
      <c r="L555" s="194">
        <f>DBparts1[[#This Row],[LIST $]]*DBparts1[[#This Row],[DISCOUNT]]*DBparts1[[#This Row],[DISCOUNT 2]]</f>
        <v>0</v>
      </c>
    </row>
    <row r="556" spans="2:12">
      <c r="B556" s="112"/>
      <c r="C556" s="112"/>
      <c r="D556" s="112"/>
      <c r="F556" s="168" t="s">
        <v>6202</v>
      </c>
      <c r="G556" s="232">
        <f>IF(DBparts1[[#This Row],[Type]]&gt;0,VLOOKUP(DBparts1[[#This Row],[Type]],Main[[#All],[TYPE]:[UNIT]],'Unit Price'!C$1,FALSE),0)</f>
        <v>0</v>
      </c>
      <c r="H556" s="194">
        <f>IF(DBparts1[[#This Row],[Type]]&gt;0,VLOOKUP(DBparts1[[#This Row],[Type]],Main[[#All],[TYPE]:[UNIT]],'Unit Price'!D$1,FALSE),0)</f>
        <v>0</v>
      </c>
      <c r="I556" s="194">
        <f>IF(DBparts1[[#This Row],[Type]]&gt;0,VLOOKUP(DBparts1[[#This Row],[Type]],Main[[#All],[TYPE]:[UNIT]],'Unit Price'!G$1,FALSE),0)</f>
        <v>0</v>
      </c>
      <c r="J556" s="194">
        <f>IF(DBparts1[[#This Row],[Type]]&gt;0,VLOOKUP(DBparts1[[#This Row],[Type]],Main[[#All],[TYPE]:[UNIT]],'Unit Price'!H$1,FALSE),0)</f>
        <v>0</v>
      </c>
      <c r="K556" s="194">
        <f>IF(DBparts1[[#This Row],[Type]]&gt;0,VLOOKUP(DBparts1[[#This Row],[Discount seletion]],'Discount Structure'!$A$2:$B$30,2,"false"),0)</f>
        <v>0</v>
      </c>
      <c r="L556" s="194">
        <f>DBparts1[[#This Row],[LIST $]]*DBparts1[[#This Row],[DISCOUNT]]*DBparts1[[#This Row],[DISCOUNT 2]]</f>
        <v>0</v>
      </c>
    </row>
    <row r="557" spans="2:12">
      <c r="B557" s="112"/>
      <c r="C557" s="112"/>
      <c r="D557" s="112"/>
      <c r="F557" s="168" t="s">
        <v>6202</v>
      </c>
      <c r="G557" s="232">
        <f>IF(DBparts1[[#This Row],[Type]]&gt;0,VLOOKUP(DBparts1[[#This Row],[Type]],Main[[#All],[TYPE]:[UNIT]],'Unit Price'!C$1,FALSE),0)</f>
        <v>0</v>
      </c>
      <c r="H557" s="194">
        <f>IF(DBparts1[[#This Row],[Type]]&gt;0,VLOOKUP(DBparts1[[#This Row],[Type]],Main[[#All],[TYPE]:[UNIT]],'Unit Price'!D$1,FALSE),0)</f>
        <v>0</v>
      </c>
      <c r="I557" s="194">
        <f>IF(DBparts1[[#This Row],[Type]]&gt;0,VLOOKUP(DBparts1[[#This Row],[Type]],Main[[#All],[TYPE]:[UNIT]],'Unit Price'!G$1,FALSE),0)</f>
        <v>0</v>
      </c>
      <c r="J557" s="194">
        <f>IF(DBparts1[[#This Row],[Type]]&gt;0,VLOOKUP(DBparts1[[#This Row],[Type]],Main[[#All],[TYPE]:[UNIT]],'Unit Price'!H$1,FALSE),0)</f>
        <v>0</v>
      </c>
      <c r="K557" s="194">
        <f>IF(DBparts1[[#This Row],[Type]]&gt;0,VLOOKUP(DBparts1[[#This Row],[Discount seletion]],'Discount Structure'!$A$2:$B$30,2,"false"),0)</f>
        <v>0</v>
      </c>
      <c r="L557" s="194">
        <f>DBparts1[[#This Row],[LIST $]]*DBparts1[[#This Row],[DISCOUNT]]*DBparts1[[#This Row],[DISCOUNT 2]]</f>
        <v>0</v>
      </c>
    </row>
    <row r="558" spans="2:12">
      <c r="B558" s="112"/>
      <c r="C558" s="112"/>
      <c r="D558" s="112"/>
      <c r="F558" s="168" t="s">
        <v>6202</v>
      </c>
      <c r="G558" s="232">
        <f>IF(DBparts1[[#This Row],[Type]]&gt;0,VLOOKUP(DBparts1[[#This Row],[Type]],Main[[#All],[TYPE]:[UNIT]],'Unit Price'!C$1,FALSE),0)</f>
        <v>0</v>
      </c>
      <c r="H558" s="194">
        <f>IF(DBparts1[[#This Row],[Type]]&gt;0,VLOOKUP(DBparts1[[#This Row],[Type]],Main[[#All],[TYPE]:[UNIT]],'Unit Price'!D$1,FALSE),0)</f>
        <v>0</v>
      </c>
      <c r="I558" s="194">
        <f>IF(DBparts1[[#This Row],[Type]]&gt;0,VLOOKUP(DBparts1[[#This Row],[Type]],Main[[#All],[TYPE]:[UNIT]],'Unit Price'!G$1,FALSE),0)</f>
        <v>0</v>
      </c>
      <c r="J558" s="194">
        <f>IF(DBparts1[[#This Row],[Type]]&gt;0,VLOOKUP(DBparts1[[#This Row],[Type]],Main[[#All],[TYPE]:[UNIT]],'Unit Price'!H$1,FALSE),0)</f>
        <v>0</v>
      </c>
      <c r="K558" s="194">
        <f>IF(DBparts1[[#This Row],[Type]]&gt;0,VLOOKUP(DBparts1[[#This Row],[Discount seletion]],'Discount Structure'!$A$2:$B$30,2,"false"),0)</f>
        <v>0</v>
      </c>
      <c r="L558" s="194">
        <f>DBparts1[[#This Row],[LIST $]]*DBparts1[[#This Row],[DISCOUNT]]*DBparts1[[#This Row],[DISCOUNT 2]]</f>
        <v>0</v>
      </c>
    </row>
    <row r="559" spans="2:12">
      <c r="B559" s="112"/>
      <c r="C559" s="112"/>
      <c r="D559" s="112"/>
      <c r="F559" s="168" t="s">
        <v>6202</v>
      </c>
      <c r="G559" s="232">
        <f>IF(DBparts1[[#This Row],[Type]]&gt;0,VLOOKUP(DBparts1[[#This Row],[Type]],Main[[#All],[TYPE]:[UNIT]],'Unit Price'!C$1,FALSE),0)</f>
        <v>0</v>
      </c>
      <c r="H559" s="194">
        <f>IF(DBparts1[[#This Row],[Type]]&gt;0,VLOOKUP(DBparts1[[#This Row],[Type]],Main[[#All],[TYPE]:[UNIT]],'Unit Price'!D$1,FALSE),0)</f>
        <v>0</v>
      </c>
      <c r="I559" s="194">
        <f>IF(DBparts1[[#This Row],[Type]]&gt;0,VLOOKUP(DBparts1[[#This Row],[Type]],Main[[#All],[TYPE]:[UNIT]],'Unit Price'!G$1,FALSE),0)</f>
        <v>0</v>
      </c>
      <c r="J559" s="194">
        <f>IF(DBparts1[[#This Row],[Type]]&gt;0,VLOOKUP(DBparts1[[#This Row],[Type]],Main[[#All],[TYPE]:[UNIT]],'Unit Price'!H$1,FALSE),0)</f>
        <v>0</v>
      </c>
      <c r="K559" s="194">
        <f>IF(DBparts1[[#This Row],[Type]]&gt;0,VLOOKUP(DBparts1[[#This Row],[Discount seletion]],'Discount Structure'!$A$2:$B$30,2,"false"),0)</f>
        <v>0</v>
      </c>
      <c r="L559" s="194">
        <f>DBparts1[[#This Row],[LIST $]]*DBparts1[[#This Row],[DISCOUNT]]*DBparts1[[#This Row],[DISCOUNT 2]]</f>
        <v>0</v>
      </c>
    </row>
    <row r="560" spans="2:12">
      <c r="B560" s="112"/>
      <c r="C560" s="112"/>
      <c r="D560" s="112"/>
      <c r="F560" s="168" t="s">
        <v>6202</v>
      </c>
      <c r="G560" s="232">
        <f>IF(DBparts1[[#This Row],[Type]]&gt;0,VLOOKUP(DBparts1[[#This Row],[Type]],Main[[#All],[TYPE]:[UNIT]],'Unit Price'!C$1,FALSE),0)</f>
        <v>0</v>
      </c>
      <c r="H560" s="194">
        <f>IF(DBparts1[[#This Row],[Type]]&gt;0,VLOOKUP(DBparts1[[#This Row],[Type]],Main[[#All],[TYPE]:[UNIT]],'Unit Price'!D$1,FALSE),0)</f>
        <v>0</v>
      </c>
      <c r="I560" s="194">
        <f>IF(DBparts1[[#This Row],[Type]]&gt;0,VLOOKUP(DBparts1[[#This Row],[Type]],Main[[#All],[TYPE]:[UNIT]],'Unit Price'!G$1,FALSE),0)</f>
        <v>0</v>
      </c>
      <c r="J560" s="194">
        <f>IF(DBparts1[[#This Row],[Type]]&gt;0,VLOOKUP(DBparts1[[#This Row],[Type]],Main[[#All],[TYPE]:[UNIT]],'Unit Price'!H$1,FALSE),0)</f>
        <v>0</v>
      </c>
      <c r="K560" s="194">
        <f>IF(DBparts1[[#This Row],[Type]]&gt;0,VLOOKUP(DBparts1[[#This Row],[Discount seletion]],'Discount Structure'!$A$2:$B$30,2,"false"),0)</f>
        <v>0</v>
      </c>
      <c r="L560" s="194">
        <f>DBparts1[[#This Row],[LIST $]]*DBparts1[[#This Row],[DISCOUNT]]*DBparts1[[#This Row],[DISCOUNT 2]]</f>
        <v>0</v>
      </c>
    </row>
    <row r="561" spans="2:12">
      <c r="B561" s="112"/>
      <c r="C561" s="112"/>
      <c r="D561" s="112"/>
      <c r="F561" s="168" t="s">
        <v>6202</v>
      </c>
      <c r="G561" s="232">
        <f>IF(DBparts1[[#This Row],[Type]]&gt;0,VLOOKUP(DBparts1[[#This Row],[Type]],Main[[#All],[TYPE]:[UNIT]],'Unit Price'!C$1,FALSE),0)</f>
        <v>0</v>
      </c>
      <c r="H561" s="194">
        <f>IF(DBparts1[[#This Row],[Type]]&gt;0,VLOOKUP(DBparts1[[#This Row],[Type]],Main[[#All],[TYPE]:[UNIT]],'Unit Price'!D$1,FALSE),0)</f>
        <v>0</v>
      </c>
      <c r="I561" s="194">
        <f>IF(DBparts1[[#This Row],[Type]]&gt;0,VLOOKUP(DBparts1[[#This Row],[Type]],Main[[#All],[TYPE]:[UNIT]],'Unit Price'!G$1,FALSE),0)</f>
        <v>0</v>
      </c>
      <c r="J561" s="194">
        <f>IF(DBparts1[[#This Row],[Type]]&gt;0,VLOOKUP(DBparts1[[#This Row],[Type]],Main[[#All],[TYPE]:[UNIT]],'Unit Price'!H$1,FALSE),0)</f>
        <v>0</v>
      </c>
      <c r="K561" s="194">
        <f>IF(DBparts1[[#This Row],[Type]]&gt;0,VLOOKUP(DBparts1[[#This Row],[Discount seletion]],'Discount Structure'!$A$2:$B$30,2,"false"),0)</f>
        <v>0</v>
      </c>
      <c r="L561" s="194">
        <f>DBparts1[[#This Row],[LIST $]]*DBparts1[[#This Row],[DISCOUNT]]*DBparts1[[#This Row],[DISCOUNT 2]]</f>
        <v>0</v>
      </c>
    </row>
    <row r="562" spans="2:12">
      <c r="B562" s="112"/>
      <c r="C562" s="112"/>
      <c r="D562" s="112"/>
      <c r="F562" s="168" t="s">
        <v>6202</v>
      </c>
      <c r="G562" s="232">
        <f>IF(DBparts1[[#This Row],[Type]]&gt;0,VLOOKUP(DBparts1[[#This Row],[Type]],Main[[#All],[TYPE]:[UNIT]],'Unit Price'!C$1,FALSE),0)</f>
        <v>0</v>
      </c>
      <c r="H562" s="194">
        <f>IF(DBparts1[[#This Row],[Type]]&gt;0,VLOOKUP(DBparts1[[#This Row],[Type]],Main[[#All],[TYPE]:[UNIT]],'Unit Price'!D$1,FALSE),0)</f>
        <v>0</v>
      </c>
      <c r="I562" s="194">
        <f>IF(DBparts1[[#This Row],[Type]]&gt;0,VLOOKUP(DBparts1[[#This Row],[Type]],Main[[#All],[TYPE]:[UNIT]],'Unit Price'!G$1,FALSE),0)</f>
        <v>0</v>
      </c>
      <c r="J562" s="194">
        <f>IF(DBparts1[[#This Row],[Type]]&gt;0,VLOOKUP(DBparts1[[#This Row],[Type]],Main[[#All],[TYPE]:[UNIT]],'Unit Price'!H$1,FALSE),0)</f>
        <v>0</v>
      </c>
      <c r="K562" s="194">
        <f>IF(DBparts1[[#This Row],[Type]]&gt;0,VLOOKUP(DBparts1[[#This Row],[Discount seletion]],'Discount Structure'!$A$2:$B$30,2,"false"),0)</f>
        <v>0</v>
      </c>
      <c r="L562" s="194">
        <f>DBparts1[[#This Row],[LIST $]]*DBparts1[[#This Row],[DISCOUNT]]*DBparts1[[#This Row],[DISCOUNT 2]]</f>
        <v>0</v>
      </c>
    </row>
    <row r="563" spans="2:12">
      <c r="B563" s="112"/>
      <c r="C563" s="112"/>
      <c r="D563" s="112"/>
      <c r="F563" s="168" t="s">
        <v>6202</v>
      </c>
      <c r="G563" s="232">
        <f>IF(DBparts1[[#This Row],[Type]]&gt;0,VLOOKUP(DBparts1[[#This Row],[Type]],Main[[#All],[TYPE]:[UNIT]],'Unit Price'!C$1,FALSE),0)</f>
        <v>0</v>
      </c>
      <c r="H563" s="194">
        <f>IF(DBparts1[[#This Row],[Type]]&gt;0,VLOOKUP(DBparts1[[#This Row],[Type]],Main[[#All],[TYPE]:[UNIT]],'Unit Price'!D$1,FALSE),0)</f>
        <v>0</v>
      </c>
      <c r="I563" s="194">
        <f>IF(DBparts1[[#This Row],[Type]]&gt;0,VLOOKUP(DBparts1[[#This Row],[Type]],Main[[#All],[TYPE]:[UNIT]],'Unit Price'!G$1,FALSE),0)</f>
        <v>0</v>
      </c>
      <c r="J563" s="194">
        <f>IF(DBparts1[[#This Row],[Type]]&gt;0,VLOOKUP(DBparts1[[#This Row],[Type]],Main[[#All],[TYPE]:[UNIT]],'Unit Price'!H$1,FALSE),0)</f>
        <v>0</v>
      </c>
      <c r="K563" s="194">
        <f>IF(DBparts1[[#This Row],[Type]]&gt;0,VLOOKUP(DBparts1[[#This Row],[Discount seletion]],'Discount Structure'!$A$2:$B$30,2,"false"),0)</f>
        <v>0</v>
      </c>
      <c r="L563" s="194">
        <f>DBparts1[[#This Row],[LIST $]]*DBparts1[[#This Row],[DISCOUNT]]*DBparts1[[#This Row],[DISCOUNT 2]]</f>
        <v>0</v>
      </c>
    </row>
    <row r="564" spans="2:12">
      <c r="B564" s="112"/>
      <c r="C564" s="112"/>
      <c r="D564" s="112"/>
      <c r="F564" s="168" t="s">
        <v>6202</v>
      </c>
      <c r="G564" s="232">
        <f>IF(DBparts1[[#This Row],[Type]]&gt;0,VLOOKUP(DBparts1[[#This Row],[Type]],Main[[#All],[TYPE]:[UNIT]],'Unit Price'!C$1,FALSE),0)</f>
        <v>0</v>
      </c>
      <c r="H564" s="194">
        <f>IF(DBparts1[[#This Row],[Type]]&gt;0,VLOOKUP(DBparts1[[#This Row],[Type]],Main[[#All],[TYPE]:[UNIT]],'Unit Price'!D$1,FALSE),0)</f>
        <v>0</v>
      </c>
      <c r="I564" s="194">
        <f>IF(DBparts1[[#This Row],[Type]]&gt;0,VLOOKUP(DBparts1[[#This Row],[Type]],Main[[#All],[TYPE]:[UNIT]],'Unit Price'!G$1,FALSE),0)</f>
        <v>0</v>
      </c>
      <c r="J564" s="194">
        <f>IF(DBparts1[[#This Row],[Type]]&gt;0,VLOOKUP(DBparts1[[#This Row],[Type]],Main[[#All],[TYPE]:[UNIT]],'Unit Price'!H$1,FALSE),0)</f>
        <v>0</v>
      </c>
      <c r="K564" s="194">
        <f>IF(DBparts1[[#This Row],[Type]]&gt;0,VLOOKUP(DBparts1[[#This Row],[Discount seletion]],'Discount Structure'!$A$2:$B$30,2,"false"),0)</f>
        <v>0</v>
      </c>
      <c r="L564" s="194">
        <f>DBparts1[[#This Row],[LIST $]]*DBparts1[[#This Row],[DISCOUNT]]*DBparts1[[#This Row],[DISCOUNT 2]]</f>
        <v>0</v>
      </c>
    </row>
    <row r="565" spans="2:12">
      <c r="B565" s="112"/>
      <c r="C565" s="112"/>
      <c r="D565" s="112"/>
      <c r="F565" s="168" t="s">
        <v>6202</v>
      </c>
      <c r="G565" s="232">
        <f>IF(DBparts1[[#This Row],[Type]]&gt;0,VLOOKUP(DBparts1[[#This Row],[Type]],Main[[#All],[TYPE]:[UNIT]],'Unit Price'!C$1,FALSE),0)</f>
        <v>0</v>
      </c>
      <c r="H565" s="194">
        <f>IF(DBparts1[[#This Row],[Type]]&gt;0,VLOOKUP(DBparts1[[#This Row],[Type]],Main[[#All],[TYPE]:[UNIT]],'Unit Price'!D$1,FALSE),0)</f>
        <v>0</v>
      </c>
      <c r="I565" s="194">
        <f>IF(DBparts1[[#This Row],[Type]]&gt;0,VLOOKUP(DBparts1[[#This Row],[Type]],Main[[#All],[TYPE]:[UNIT]],'Unit Price'!G$1,FALSE),0)</f>
        <v>0</v>
      </c>
      <c r="J565" s="194">
        <f>IF(DBparts1[[#This Row],[Type]]&gt;0,VLOOKUP(DBparts1[[#This Row],[Type]],Main[[#All],[TYPE]:[UNIT]],'Unit Price'!H$1,FALSE),0)</f>
        <v>0</v>
      </c>
      <c r="K565" s="194">
        <f>IF(DBparts1[[#This Row],[Type]]&gt;0,VLOOKUP(DBparts1[[#This Row],[Discount seletion]],'Discount Structure'!$A$2:$B$30,2,"false"),0)</f>
        <v>0</v>
      </c>
      <c r="L565" s="194">
        <f>DBparts1[[#This Row],[LIST $]]*DBparts1[[#This Row],[DISCOUNT]]*DBparts1[[#This Row],[DISCOUNT 2]]</f>
        <v>0</v>
      </c>
    </row>
    <row r="566" spans="2:12">
      <c r="B566" s="112"/>
      <c r="C566" s="112"/>
      <c r="D566" s="112"/>
      <c r="F566" s="168" t="s">
        <v>6202</v>
      </c>
      <c r="G566" s="232">
        <f>IF(DBparts1[[#This Row],[Type]]&gt;0,VLOOKUP(DBparts1[[#This Row],[Type]],Main[[#All],[TYPE]:[UNIT]],'Unit Price'!C$1,FALSE),0)</f>
        <v>0</v>
      </c>
      <c r="H566" s="194">
        <f>IF(DBparts1[[#This Row],[Type]]&gt;0,VLOOKUP(DBparts1[[#This Row],[Type]],Main[[#All],[TYPE]:[UNIT]],'Unit Price'!D$1,FALSE),0)</f>
        <v>0</v>
      </c>
      <c r="I566" s="194">
        <f>IF(DBparts1[[#This Row],[Type]]&gt;0,VLOOKUP(DBparts1[[#This Row],[Type]],Main[[#All],[TYPE]:[UNIT]],'Unit Price'!G$1,FALSE),0)</f>
        <v>0</v>
      </c>
      <c r="J566" s="194">
        <f>IF(DBparts1[[#This Row],[Type]]&gt;0,VLOOKUP(DBparts1[[#This Row],[Type]],Main[[#All],[TYPE]:[UNIT]],'Unit Price'!H$1,FALSE),0)</f>
        <v>0</v>
      </c>
      <c r="K566" s="194">
        <f>IF(DBparts1[[#This Row],[Type]]&gt;0,VLOOKUP(DBparts1[[#This Row],[Discount seletion]],'Discount Structure'!$A$2:$B$30,2,"false"),0)</f>
        <v>0</v>
      </c>
      <c r="L566" s="194">
        <f>DBparts1[[#This Row],[LIST $]]*DBparts1[[#This Row],[DISCOUNT]]*DBparts1[[#This Row],[DISCOUNT 2]]</f>
        <v>0</v>
      </c>
    </row>
    <row r="567" spans="2:12">
      <c r="B567" s="112"/>
      <c r="C567" s="112"/>
      <c r="D567" s="112"/>
      <c r="F567" s="168" t="s">
        <v>6202</v>
      </c>
      <c r="G567" s="232">
        <f>IF(DBparts1[[#This Row],[Type]]&gt;0,VLOOKUP(DBparts1[[#This Row],[Type]],Main[[#All],[TYPE]:[UNIT]],'Unit Price'!C$1,FALSE),0)</f>
        <v>0</v>
      </c>
      <c r="H567" s="194">
        <f>IF(DBparts1[[#This Row],[Type]]&gt;0,VLOOKUP(DBparts1[[#This Row],[Type]],Main[[#All],[TYPE]:[UNIT]],'Unit Price'!D$1,FALSE),0)</f>
        <v>0</v>
      </c>
      <c r="I567" s="194">
        <f>IF(DBparts1[[#This Row],[Type]]&gt;0,VLOOKUP(DBparts1[[#This Row],[Type]],Main[[#All],[TYPE]:[UNIT]],'Unit Price'!G$1,FALSE),0)</f>
        <v>0</v>
      </c>
      <c r="J567" s="194">
        <f>IF(DBparts1[[#This Row],[Type]]&gt;0,VLOOKUP(DBparts1[[#This Row],[Type]],Main[[#All],[TYPE]:[UNIT]],'Unit Price'!H$1,FALSE),0)</f>
        <v>0</v>
      </c>
      <c r="K567" s="194">
        <f>IF(DBparts1[[#This Row],[Type]]&gt;0,VLOOKUP(DBparts1[[#This Row],[Discount seletion]],'Discount Structure'!$A$2:$B$30,2,"false"),0)</f>
        <v>0</v>
      </c>
      <c r="L567" s="194">
        <f>DBparts1[[#This Row],[LIST $]]*DBparts1[[#This Row],[DISCOUNT]]*DBparts1[[#This Row],[DISCOUNT 2]]</f>
        <v>0</v>
      </c>
    </row>
    <row r="568" spans="2:12">
      <c r="B568" s="112"/>
      <c r="C568" s="112"/>
      <c r="D568" s="112"/>
      <c r="F568" s="168" t="s">
        <v>6202</v>
      </c>
      <c r="G568" s="232">
        <f>IF(DBparts1[[#This Row],[Type]]&gt;0,VLOOKUP(DBparts1[[#This Row],[Type]],Main[[#All],[TYPE]:[UNIT]],'Unit Price'!C$1,FALSE),0)</f>
        <v>0</v>
      </c>
      <c r="H568" s="194">
        <f>IF(DBparts1[[#This Row],[Type]]&gt;0,VLOOKUP(DBparts1[[#This Row],[Type]],Main[[#All],[TYPE]:[UNIT]],'Unit Price'!D$1,FALSE),0)</f>
        <v>0</v>
      </c>
      <c r="I568" s="194">
        <f>IF(DBparts1[[#This Row],[Type]]&gt;0,VLOOKUP(DBparts1[[#This Row],[Type]],Main[[#All],[TYPE]:[UNIT]],'Unit Price'!G$1,FALSE),0)</f>
        <v>0</v>
      </c>
      <c r="J568" s="194">
        <f>IF(DBparts1[[#This Row],[Type]]&gt;0,VLOOKUP(DBparts1[[#This Row],[Type]],Main[[#All],[TYPE]:[UNIT]],'Unit Price'!H$1,FALSE),0)</f>
        <v>0</v>
      </c>
      <c r="K568" s="194">
        <f>IF(DBparts1[[#This Row],[Type]]&gt;0,VLOOKUP(DBparts1[[#This Row],[Discount seletion]],'Discount Structure'!$A$2:$B$30,2,"false"),0)</f>
        <v>0</v>
      </c>
      <c r="L568" s="194">
        <f>DBparts1[[#This Row],[LIST $]]*DBparts1[[#This Row],[DISCOUNT]]*DBparts1[[#This Row],[DISCOUNT 2]]</f>
        <v>0</v>
      </c>
    </row>
    <row r="569" spans="2:12">
      <c r="B569" s="112"/>
      <c r="C569" s="112"/>
      <c r="D569" s="112"/>
      <c r="F569" s="168" t="s">
        <v>6202</v>
      </c>
      <c r="G569" s="232">
        <f>IF(DBparts1[[#This Row],[Type]]&gt;0,VLOOKUP(DBparts1[[#This Row],[Type]],Main[[#All],[TYPE]:[UNIT]],'Unit Price'!C$1,FALSE),0)</f>
        <v>0</v>
      </c>
      <c r="H569" s="194">
        <f>IF(DBparts1[[#This Row],[Type]]&gt;0,VLOOKUP(DBparts1[[#This Row],[Type]],Main[[#All],[TYPE]:[UNIT]],'Unit Price'!D$1,FALSE),0)</f>
        <v>0</v>
      </c>
      <c r="I569" s="194">
        <f>IF(DBparts1[[#This Row],[Type]]&gt;0,VLOOKUP(DBparts1[[#This Row],[Type]],Main[[#All],[TYPE]:[UNIT]],'Unit Price'!G$1,FALSE),0)</f>
        <v>0</v>
      </c>
      <c r="J569" s="194">
        <f>IF(DBparts1[[#This Row],[Type]]&gt;0,VLOOKUP(DBparts1[[#This Row],[Type]],Main[[#All],[TYPE]:[UNIT]],'Unit Price'!H$1,FALSE),0)</f>
        <v>0</v>
      </c>
      <c r="K569" s="194">
        <f>IF(DBparts1[[#This Row],[Type]]&gt;0,VLOOKUP(DBparts1[[#This Row],[Discount seletion]],'Discount Structure'!$A$2:$B$30,2,"false"),0)</f>
        <v>0</v>
      </c>
      <c r="L569" s="194">
        <f>DBparts1[[#This Row],[LIST $]]*DBparts1[[#This Row],[DISCOUNT]]*DBparts1[[#This Row],[DISCOUNT 2]]</f>
        <v>0</v>
      </c>
    </row>
    <row r="570" spans="2:12">
      <c r="B570" s="112"/>
      <c r="C570" s="112"/>
      <c r="D570" s="112"/>
      <c r="F570" s="168" t="s">
        <v>6202</v>
      </c>
      <c r="G570" s="232">
        <f>IF(DBparts1[[#This Row],[Type]]&gt;0,VLOOKUP(DBparts1[[#This Row],[Type]],Main[[#All],[TYPE]:[UNIT]],'Unit Price'!C$1,FALSE),0)</f>
        <v>0</v>
      </c>
      <c r="H570" s="194">
        <f>IF(DBparts1[[#This Row],[Type]]&gt;0,VLOOKUP(DBparts1[[#This Row],[Type]],Main[[#All],[TYPE]:[UNIT]],'Unit Price'!D$1,FALSE),0)</f>
        <v>0</v>
      </c>
      <c r="I570" s="194">
        <f>IF(DBparts1[[#This Row],[Type]]&gt;0,VLOOKUP(DBparts1[[#This Row],[Type]],Main[[#All],[TYPE]:[UNIT]],'Unit Price'!G$1,FALSE),0)</f>
        <v>0</v>
      </c>
      <c r="J570" s="194">
        <f>IF(DBparts1[[#This Row],[Type]]&gt;0,VLOOKUP(DBparts1[[#This Row],[Type]],Main[[#All],[TYPE]:[UNIT]],'Unit Price'!H$1,FALSE),0)</f>
        <v>0</v>
      </c>
      <c r="K570" s="194">
        <f>IF(DBparts1[[#This Row],[Type]]&gt;0,VLOOKUP(DBparts1[[#This Row],[Discount seletion]],'Discount Structure'!$A$2:$B$30,2,"false"),0)</f>
        <v>0</v>
      </c>
      <c r="L570" s="194">
        <f>DBparts1[[#This Row],[LIST $]]*DBparts1[[#This Row],[DISCOUNT]]*DBparts1[[#This Row],[DISCOUNT 2]]</f>
        <v>0</v>
      </c>
    </row>
    <row r="571" spans="2:12">
      <c r="B571" s="112"/>
      <c r="C571" s="112"/>
      <c r="D571" s="112"/>
      <c r="F571" s="168" t="s">
        <v>6202</v>
      </c>
      <c r="G571" s="232">
        <f>IF(DBparts1[[#This Row],[Type]]&gt;0,VLOOKUP(DBparts1[[#This Row],[Type]],Main[[#All],[TYPE]:[UNIT]],'Unit Price'!C$1,FALSE),0)</f>
        <v>0</v>
      </c>
      <c r="H571" s="194">
        <f>IF(DBparts1[[#This Row],[Type]]&gt;0,VLOOKUP(DBparts1[[#This Row],[Type]],Main[[#All],[TYPE]:[UNIT]],'Unit Price'!D$1,FALSE),0)</f>
        <v>0</v>
      </c>
      <c r="I571" s="194">
        <f>IF(DBparts1[[#This Row],[Type]]&gt;0,VLOOKUP(DBparts1[[#This Row],[Type]],Main[[#All],[TYPE]:[UNIT]],'Unit Price'!G$1,FALSE),0)</f>
        <v>0</v>
      </c>
      <c r="J571" s="194">
        <f>IF(DBparts1[[#This Row],[Type]]&gt;0,VLOOKUP(DBparts1[[#This Row],[Type]],Main[[#All],[TYPE]:[UNIT]],'Unit Price'!H$1,FALSE),0)</f>
        <v>0</v>
      </c>
      <c r="K571" s="194">
        <f>IF(DBparts1[[#This Row],[Type]]&gt;0,VLOOKUP(DBparts1[[#This Row],[Discount seletion]],'Discount Structure'!$A$2:$B$30,2,"false"),0)</f>
        <v>0</v>
      </c>
      <c r="L571" s="194">
        <f>DBparts1[[#This Row],[LIST $]]*DBparts1[[#This Row],[DISCOUNT]]*DBparts1[[#This Row],[DISCOUNT 2]]</f>
        <v>0</v>
      </c>
    </row>
    <row r="572" spans="2:12">
      <c r="B572" s="112"/>
      <c r="C572" s="112"/>
      <c r="D572" s="112"/>
      <c r="F572" s="168" t="s">
        <v>6202</v>
      </c>
      <c r="G572" s="232">
        <f>IF(DBparts1[[#This Row],[Type]]&gt;0,VLOOKUP(DBparts1[[#This Row],[Type]],Main[[#All],[TYPE]:[UNIT]],'Unit Price'!C$1,FALSE),0)</f>
        <v>0</v>
      </c>
      <c r="H572" s="194">
        <f>IF(DBparts1[[#This Row],[Type]]&gt;0,VLOOKUP(DBparts1[[#This Row],[Type]],Main[[#All],[TYPE]:[UNIT]],'Unit Price'!D$1,FALSE),0)</f>
        <v>0</v>
      </c>
      <c r="I572" s="194">
        <f>IF(DBparts1[[#This Row],[Type]]&gt;0,VLOOKUP(DBparts1[[#This Row],[Type]],Main[[#All],[TYPE]:[UNIT]],'Unit Price'!G$1,FALSE),0)</f>
        <v>0</v>
      </c>
      <c r="J572" s="194">
        <f>IF(DBparts1[[#This Row],[Type]]&gt;0,VLOOKUP(DBparts1[[#This Row],[Type]],Main[[#All],[TYPE]:[UNIT]],'Unit Price'!H$1,FALSE),0)</f>
        <v>0</v>
      </c>
      <c r="K572" s="194">
        <f>IF(DBparts1[[#This Row],[Type]]&gt;0,VLOOKUP(DBparts1[[#This Row],[Discount seletion]],'Discount Structure'!$A$2:$B$30,2,"false"),0)</f>
        <v>0</v>
      </c>
      <c r="L572" s="194">
        <f>DBparts1[[#This Row],[LIST $]]*DBparts1[[#This Row],[DISCOUNT]]*DBparts1[[#This Row],[DISCOUNT 2]]</f>
        <v>0</v>
      </c>
    </row>
    <row r="573" spans="2:12">
      <c r="B573" s="112"/>
      <c r="C573" s="112"/>
      <c r="D573" s="112"/>
      <c r="F573" s="168" t="s">
        <v>6202</v>
      </c>
      <c r="G573" s="232">
        <f>IF(DBparts1[[#This Row],[Type]]&gt;0,VLOOKUP(DBparts1[[#This Row],[Type]],Main[[#All],[TYPE]:[UNIT]],'Unit Price'!C$1,FALSE),0)</f>
        <v>0</v>
      </c>
      <c r="H573" s="194">
        <f>IF(DBparts1[[#This Row],[Type]]&gt;0,VLOOKUP(DBparts1[[#This Row],[Type]],Main[[#All],[TYPE]:[UNIT]],'Unit Price'!D$1,FALSE),0)</f>
        <v>0</v>
      </c>
      <c r="I573" s="194">
        <f>IF(DBparts1[[#This Row],[Type]]&gt;0,VLOOKUP(DBparts1[[#This Row],[Type]],Main[[#All],[TYPE]:[UNIT]],'Unit Price'!G$1,FALSE),0)</f>
        <v>0</v>
      </c>
      <c r="J573" s="194">
        <f>IF(DBparts1[[#This Row],[Type]]&gt;0,VLOOKUP(DBparts1[[#This Row],[Type]],Main[[#All],[TYPE]:[UNIT]],'Unit Price'!H$1,FALSE),0)</f>
        <v>0</v>
      </c>
      <c r="K573" s="194">
        <f>IF(DBparts1[[#This Row],[Type]]&gt;0,VLOOKUP(DBparts1[[#This Row],[Discount seletion]],'Discount Structure'!$A$2:$B$30,2,"false"),0)</f>
        <v>0</v>
      </c>
      <c r="L573" s="194">
        <f>DBparts1[[#This Row],[LIST $]]*DBparts1[[#This Row],[DISCOUNT]]*DBparts1[[#This Row],[DISCOUNT 2]]</f>
        <v>0</v>
      </c>
    </row>
    <row r="574" spans="2:12">
      <c r="B574" s="112"/>
      <c r="C574" s="112"/>
      <c r="D574" s="112"/>
      <c r="F574" s="168" t="s">
        <v>6202</v>
      </c>
      <c r="G574" s="232">
        <f>IF(DBparts1[[#This Row],[Type]]&gt;0,VLOOKUP(DBparts1[[#This Row],[Type]],Main[[#All],[TYPE]:[UNIT]],'Unit Price'!C$1,FALSE),0)</f>
        <v>0</v>
      </c>
      <c r="H574" s="194">
        <f>IF(DBparts1[[#This Row],[Type]]&gt;0,VLOOKUP(DBparts1[[#This Row],[Type]],Main[[#All],[TYPE]:[UNIT]],'Unit Price'!D$1,FALSE),0)</f>
        <v>0</v>
      </c>
      <c r="I574" s="194">
        <f>IF(DBparts1[[#This Row],[Type]]&gt;0,VLOOKUP(DBparts1[[#This Row],[Type]],Main[[#All],[TYPE]:[UNIT]],'Unit Price'!G$1,FALSE),0)</f>
        <v>0</v>
      </c>
      <c r="J574" s="194">
        <f>IF(DBparts1[[#This Row],[Type]]&gt;0,VLOOKUP(DBparts1[[#This Row],[Type]],Main[[#All],[TYPE]:[UNIT]],'Unit Price'!H$1,FALSE),0)</f>
        <v>0</v>
      </c>
      <c r="K574" s="194">
        <f>IF(DBparts1[[#This Row],[Type]]&gt;0,VLOOKUP(DBparts1[[#This Row],[Discount seletion]],'Discount Structure'!$A$2:$B$30,2,"false"),0)</f>
        <v>0</v>
      </c>
      <c r="L574" s="194">
        <f>DBparts1[[#This Row],[LIST $]]*DBparts1[[#This Row],[DISCOUNT]]*DBparts1[[#This Row],[DISCOUNT 2]]</f>
        <v>0</v>
      </c>
    </row>
    <row r="575" spans="2:12">
      <c r="B575" s="112"/>
      <c r="C575" s="112"/>
      <c r="D575" s="112"/>
      <c r="F575" s="168" t="s">
        <v>6202</v>
      </c>
      <c r="G575" s="232">
        <f>IF(DBparts1[[#This Row],[Type]]&gt;0,VLOOKUP(DBparts1[[#This Row],[Type]],Main[[#All],[TYPE]:[UNIT]],'Unit Price'!C$1,FALSE),0)</f>
        <v>0</v>
      </c>
      <c r="H575" s="194">
        <f>IF(DBparts1[[#This Row],[Type]]&gt;0,VLOOKUP(DBparts1[[#This Row],[Type]],Main[[#All],[TYPE]:[UNIT]],'Unit Price'!D$1,FALSE),0)</f>
        <v>0</v>
      </c>
      <c r="I575" s="194">
        <f>IF(DBparts1[[#This Row],[Type]]&gt;0,VLOOKUP(DBparts1[[#This Row],[Type]],Main[[#All],[TYPE]:[UNIT]],'Unit Price'!G$1,FALSE),0)</f>
        <v>0</v>
      </c>
      <c r="J575" s="194">
        <f>IF(DBparts1[[#This Row],[Type]]&gt;0,VLOOKUP(DBparts1[[#This Row],[Type]],Main[[#All],[TYPE]:[UNIT]],'Unit Price'!H$1,FALSE),0)</f>
        <v>0</v>
      </c>
      <c r="K575" s="194">
        <f>IF(DBparts1[[#This Row],[Type]]&gt;0,VLOOKUP(DBparts1[[#This Row],[Discount seletion]],'Discount Structure'!$A$2:$B$30,2,"false"),0)</f>
        <v>0</v>
      </c>
      <c r="L575" s="194">
        <f>DBparts1[[#This Row],[LIST $]]*DBparts1[[#This Row],[DISCOUNT]]*DBparts1[[#This Row],[DISCOUNT 2]]</f>
        <v>0</v>
      </c>
    </row>
    <row r="576" spans="2:12">
      <c r="B576" s="112"/>
      <c r="C576" s="112"/>
      <c r="D576" s="112"/>
      <c r="F576" s="168" t="s">
        <v>6202</v>
      </c>
      <c r="G576" s="232">
        <f>IF(DBparts1[[#This Row],[Type]]&gt;0,VLOOKUP(DBparts1[[#This Row],[Type]],Main[[#All],[TYPE]:[UNIT]],'Unit Price'!C$1,FALSE),0)</f>
        <v>0</v>
      </c>
      <c r="H576" s="194">
        <f>IF(DBparts1[[#This Row],[Type]]&gt;0,VLOOKUP(DBparts1[[#This Row],[Type]],Main[[#All],[TYPE]:[UNIT]],'Unit Price'!D$1,FALSE),0)</f>
        <v>0</v>
      </c>
      <c r="I576" s="194">
        <f>IF(DBparts1[[#This Row],[Type]]&gt;0,VLOOKUP(DBparts1[[#This Row],[Type]],Main[[#All],[TYPE]:[UNIT]],'Unit Price'!G$1,FALSE),0)</f>
        <v>0</v>
      </c>
      <c r="J576" s="194">
        <f>IF(DBparts1[[#This Row],[Type]]&gt;0,VLOOKUP(DBparts1[[#This Row],[Type]],Main[[#All],[TYPE]:[UNIT]],'Unit Price'!H$1,FALSE),0)</f>
        <v>0</v>
      </c>
      <c r="K576" s="194">
        <f>IF(DBparts1[[#This Row],[Type]]&gt;0,VLOOKUP(DBparts1[[#This Row],[Discount seletion]],'Discount Structure'!$A$2:$B$30,2,"false"),0)</f>
        <v>0</v>
      </c>
      <c r="L576" s="194">
        <f>DBparts1[[#This Row],[LIST $]]*DBparts1[[#This Row],[DISCOUNT]]*DBparts1[[#This Row],[DISCOUNT 2]]</f>
        <v>0</v>
      </c>
    </row>
    <row r="577" spans="2:12">
      <c r="B577" s="112"/>
      <c r="C577" s="112"/>
      <c r="D577" s="112"/>
      <c r="F577" s="168" t="s">
        <v>6202</v>
      </c>
      <c r="G577" s="232">
        <f>IF(DBparts1[[#This Row],[Type]]&gt;0,VLOOKUP(DBparts1[[#This Row],[Type]],Main[[#All],[TYPE]:[UNIT]],'Unit Price'!C$1,FALSE),0)</f>
        <v>0</v>
      </c>
      <c r="H577" s="194">
        <f>IF(DBparts1[[#This Row],[Type]]&gt;0,VLOOKUP(DBparts1[[#This Row],[Type]],Main[[#All],[TYPE]:[UNIT]],'Unit Price'!D$1,FALSE),0)</f>
        <v>0</v>
      </c>
      <c r="I577" s="194">
        <f>IF(DBparts1[[#This Row],[Type]]&gt;0,VLOOKUP(DBparts1[[#This Row],[Type]],Main[[#All],[TYPE]:[UNIT]],'Unit Price'!G$1,FALSE),0)</f>
        <v>0</v>
      </c>
      <c r="J577" s="194">
        <f>IF(DBparts1[[#This Row],[Type]]&gt;0,VLOOKUP(DBparts1[[#This Row],[Type]],Main[[#All],[TYPE]:[UNIT]],'Unit Price'!H$1,FALSE),0)</f>
        <v>0</v>
      </c>
      <c r="K577" s="194">
        <f>IF(DBparts1[[#This Row],[Type]]&gt;0,VLOOKUP(DBparts1[[#This Row],[Discount seletion]],'Discount Structure'!$A$2:$B$30,2,"false"),0)</f>
        <v>0</v>
      </c>
      <c r="L577" s="194">
        <f>DBparts1[[#This Row],[LIST $]]*DBparts1[[#This Row],[DISCOUNT]]*DBparts1[[#This Row],[DISCOUNT 2]]</f>
        <v>0</v>
      </c>
    </row>
    <row r="578" spans="2:12">
      <c r="B578" s="112"/>
      <c r="C578" s="112"/>
      <c r="D578" s="112"/>
      <c r="F578" s="168" t="s">
        <v>6202</v>
      </c>
      <c r="G578" s="232">
        <f>IF(DBparts1[[#This Row],[Type]]&gt;0,VLOOKUP(DBparts1[[#This Row],[Type]],Main[[#All],[TYPE]:[UNIT]],'Unit Price'!C$1,FALSE),0)</f>
        <v>0</v>
      </c>
      <c r="H578" s="194">
        <f>IF(DBparts1[[#This Row],[Type]]&gt;0,VLOOKUP(DBparts1[[#This Row],[Type]],Main[[#All],[TYPE]:[UNIT]],'Unit Price'!D$1,FALSE),0)</f>
        <v>0</v>
      </c>
      <c r="I578" s="194">
        <f>IF(DBparts1[[#This Row],[Type]]&gt;0,VLOOKUP(DBparts1[[#This Row],[Type]],Main[[#All],[TYPE]:[UNIT]],'Unit Price'!G$1,FALSE),0)</f>
        <v>0</v>
      </c>
      <c r="J578" s="194">
        <f>IF(DBparts1[[#This Row],[Type]]&gt;0,VLOOKUP(DBparts1[[#This Row],[Type]],Main[[#All],[TYPE]:[UNIT]],'Unit Price'!H$1,FALSE),0)</f>
        <v>0</v>
      </c>
      <c r="K578" s="194">
        <f>IF(DBparts1[[#This Row],[Type]]&gt;0,VLOOKUP(DBparts1[[#This Row],[Discount seletion]],'Discount Structure'!$A$2:$B$30,2,"false"),0)</f>
        <v>0</v>
      </c>
      <c r="L578" s="194">
        <f>DBparts1[[#This Row],[LIST $]]*DBparts1[[#This Row],[DISCOUNT]]*DBparts1[[#This Row],[DISCOUNT 2]]</f>
        <v>0</v>
      </c>
    </row>
    <row r="579" spans="2:12">
      <c r="B579" s="112"/>
      <c r="C579" s="112"/>
      <c r="D579" s="112"/>
      <c r="F579" s="168" t="s">
        <v>6202</v>
      </c>
      <c r="G579" s="232">
        <f>IF(DBparts1[[#This Row],[Type]]&gt;0,VLOOKUP(DBparts1[[#This Row],[Type]],Main[[#All],[TYPE]:[UNIT]],'Unit Price'!C$1,FALSE),0)</f>
        <v>0</v>
      </c>
      <c r="H579" s="194">
        <f>IF(DBparts1[[#This Row],[Type]]&gt;0,VLOOKUP(DBparts1[[#This Row],[Type]],Main[[#All],[TYPE]:[UNIT]],'Unit Price'!D$1,FALSE),0)</f>
        <v>0</v>
      </c>
      <c r="I579" s="194">
        <f>IF(DBparts1[[#This Row],[Type]]&gt;0,VLOOKUP(DBparts1[[#This Row],[Type]],Main[[#All],[TYPE]:[UNIT]],'Unit Price'!G$1,FALSE),0)</f>
        <v>0</v>
      </c>
      <c r="J579" s="194">
        <f>IF(DBparts1[[#This Row],[Type]]&gt;0,VLOOKUP(DBparts1[[#This Row],[Type]],Main[[#All],[TYPE]:[UNIT]],'Unit Price'!H$1,FALSE),0)</f>
        <v>0</v>
      </c>
      <c r="K579" s="194">
        <f>IF(DBparts1[[#This Row],[Type]]&gt;0,VLOOKUP(DBparts1[[#This Row],[Discount seletion]],'Discount Structure'!$A$2:$B$30,2,"false"),0)</f>
        <v>0</v>
      </c>
      <c r="L579" s="194">
        <f>DBparts1[[#This Row],[LIST $]]*DBparts1[[#This Row],[DISCOUNT]]*DBparts1[[#This Row],[DISCOUNT 2]]</f>
        <v>0</v>
      </c>
    </row>
    <row r="580" spans="2:12">
      <c r="B580" s="112"/>
      <c r="C580" s="112"/>
      <c r="D580" s="112"/>
      <c r="F580" s="168" t="s">
        <v>6202</v>
      </c>
      <c r="G580" s="232">
        <f>IF(DBparts1[[#This Row],[Type]]&gt;0,VLOOKUP(DBparts1[[#This Row],[Type]],Main[[#All],[TYPE]:[UNIT]],'Unit Price'!C$1,FALSE),0)</f>
        <v>0</v>
      </c>
      <c r="H580" s="194">
        <f>IF(DBparts1[[#This Row],[Type]]&gt;0,VLOOKUP(DBparts1[[#This Row],[Type]],Main[[#All],[TYPE]:[UNIT]],'Unit Price'!D$1,FALSE),0)</f>
        <v>0</v>
      </c>
      <c r="I580" s="194">
        <f>IF(DBparts1[[#This Row],[Type]]&gt;0,VLOOKUP(DBparts1[[#This Row],[Type]],Main[[#All],[TYPE]:[UNIT]],'Unit Price'!G$1,FALSE),0)</f>
        <v>0</v>
      </c>
      <c r="J580" s="194">
        <f>IF(DBparts1[[#This Row],[Type]]&gt;0,VLOOKUP(DBparts1[[#This Row],[Type]],Main[[#All],[TYPE]:[UNIT]],'Unit Price'!H$1,FALSE),0)</f>
        <v>0</v>
      </c>
      <c r="K580" s="194">
        <f>IF(DBparts1[[#This Row],[Type]]&gt;0,VLOOKUP(DBparts1[[#This Row],[Discount seletion]],'Discount Structure'!$A$2:$B$30,2,"false"),0)</f>
        <v>0</v>
      </c>
      <c r="L580" s="194">
        <f>DBparts1[[#This Row],[LIST $]]*DBparts1[[#This Row],[DISCOUNT]]*DBparts1[[#This Row],[DISCOUNT 2]]</f>
        <v>0</v>
      </c>
    </row>
    <row r="581" spans="2:12">
      <c r="B581" s="112"/>
      <c r="C581" s="112"/>
      <c r="D581" s="112"/>
      <c r="F581" s="168" t="s">
        <v>6202</v>
      </c>
      <c r="G581" s="232">
        <f>IF(DBparts1[[#This Row],[Type]]&gt;0,VLOOKUP(DBparts1[[#This Row],[Type]],Main[[#All],[TYPE]:[UNIT]],'Unit Price'!C$1,FALSE),0)</f>
        <v>0</v>
      </c>
      <c r="H581" s="194">
        <f>IF(DBparts1[[#This Row],[Type]]&gt;0,VLOOKUP(DBparts1[[#This Row],[Type]],Main[[#All],[TYPE]:[UNIT]],'Unit Price'!D$1,FALSE),0)</f>
        <v>0</v>
      </c>
      <c r="I581" s="194">
        <f>IF(DBparts1[[#This Row],[Type]]&gt;0,VLOOKUP(DBparts1[[#This Row],[Type]],Main[[#All],[TYPE]:[UNIT]],'Unit Price'!G$1,FALSE),0)</f>
        <v>0</v>
      </c>
      <c r="J581" s="194">
        <f>IF(DBparts1[[#This Row],[Type]]&gt;0,VLOOKUP(DBparts1[[#This Row],[Type]],Main[[#All],[TYPE]:[UNIT]],'Unit Price'!H$1,FALSE),0)</f>
        <v>0</v>
      </c>
      <c r="K581" s="194">
        <f>IF(DBparts1[[#This Row],[Type]]&gt;0,VLOOKUP(DBparts1[[#This Row],[Discount seletion]],'Discount Structure'!$A$2:$B$30,2,"false"),0)</f>
        <v>0</v>
      </c>
      <c r="L581" s="194">
        <f>DBparts1[[#This Row],[LIST $]]*DBparts1[[#This Row],[DISCOUNT]]*DBparts1[[#This Row],[DISCOUNT 2]]</f>
        <v>0</v>
      </c>
    </row>
    <row r="582" spans="2:12">
      <c r="B582" s="112"/>
      <c r="C582" s="112"/>
      <c r="D582" s="112"/>
      <c r="F582" s="168" t="s">
        <v>6202</v>
      </c>
      <c r="G582" s="232">
        <f>IF(DBparts1[[#This Row],[Type]]&gt;0,VLOOKUP(DBparts1[[#This Row],[Type]],Main[[#All],[TYPE]:[UNIT]],'Unit Price'!C$1,FALSE),0)</f>
        <v>0</v>
      </c>
      <c r="H582" s="194">
        <f>IF(DBparts1[[#This Row],[Type]]&gt;0,VLOOKUP(DBparts1[[#This Row],[Type]],Main[[#All],[TYPE]:[UNIT]],'Unit Price'!D$1,FALSE),0)</f>
        <v>0</v>
      </c>
      <c r="I582" s="194">
        <f>IF(DBparts1[[#This Row],[Type]]&gt;0,VLOOKUP(DBparts1[[#This Row],[Type]],Main[[#All],[TYPE]:[UNIT]],'Unit Price'!G$1,FALSE),0)</f>
        <v>0</v>
      </c>
      <c r="J582" s="194">
        <f>IF(DBparts1[[#This Row],[Type]]&gt;0,VLOOKUP(DBparts1[[#This Row],[Type]],Main[[#All],[TYPE]:[UNIT]],'Unit Price'!H$1,FALSE),0)</f>
        <v>0</v>
      </c>
      <c r="K582" s="194">
        <f>IF(DBparts1[[#This Row],[Type]]&gt;0,VLOOKUP(DBparts1[[#This Row],[Discount seletion]],'Discount Structure'!$A$2:$B$30,2,"false"),0)</f>
        <v>0</v>
      </c>
      <c r="L582" s="194">
        <f>DBparts1[[#This Row],[LIST $]]*DBparts1[[#This Row],[DISCOUNT]]*DBparts1[[#This Row],[DISCOUNT 2]]</f>
        <v>0</v>
      </c>
    </row>
    <row r="583" spans="2:12">
      <c r="B583" s="112"/>
      <c r="C583" s="112"/>
      <c r="D583" s="112"/>
      <c r="F583" s="168" t="s">
        <v>6202</v>
      </c>
      <c r="G583" s="232">
        <f>IF(DBparts1[[#This Row],[Type]]&gt;0,VLOOKUP(DBparts1[[#This Row],[Type]],Main[[#All],[TYPE]:[UNIT]],'Unit Price'!C$1,FALSE),0)</f>
        <v>0</v>
      </c>
      <c r="H583" s="194">
        <f>IF(DBparts1[[#This Row],[Type]]&gt;0,VLOOKUP(DBparts1[[#This Row],[Type]],Main[[#All],[TYPE]:[UNIT]],'Unit Price'!D$1,FALSE),0)</f>
        <v>0</v>
      </c>
      <c r="I583" s="194">
        <f>IF(DBparts1[[#This Row],[Type]]&gt;0,VLOOKUP(DBparts1[[#This Row],[Type]],Main[[#All],[TYPE]:[UNIT]],'Unit Price'!G$1,FALSE),0)</f>
        <v>0</v>
      </c>
      <c r="J583" s="194">
        <f>IF(DBparts1[[#This Row],[Type]]&gt;0,VLOOKUP(DBparts1[[#This Row],[Type]],Main[[#All],[TYPE]:[UNIT]],'Unit Price'!H$1,FALSE),0)</f>
        <v>0</v>
      </c>
      <c r="K583" s="194">
        <f>IF(DBparts1[[#This Row],[Type]]&gt;0,VLOOKUP(DBparts1[[#This Row],[Discount seletion]],'Discount Structure'!$A$2:$B$30,2,"false"),0)</f>
        <v>0</v>
      </c>
      <c r="L583" s="194">
        <f>DBparts1[[#This Row],[LIST $]]*DBparts1[[#This Row],[DISCOUNT]]*DBparts1[[#This Row],[DISCOUNT 2]]</f>
        <v>0</v>
      </c>
    </row>
    <row r="584" spans="2:12">
      <c r="B584" s="112"/>
      <c r="C584" s="112"/>
      <c r="D584" s="112"/>
      <c r="F584" s="168" t="s">
        <v>6202</v>
      </c>
      <c r="G584" s="232">
        <f>IF(DBparts1[[#This Row],[Type]]&gt;0,VLOOKUP(DBparts1[[#This Row],[Type]],Main[[#All],[TYPE]:[UNIT]],'Unit Price'!C$1,FALSE),0)</f>
        <v>0</v>
      </c>
      <c r="H584" s="194">
        <f>IF(DBparts1[[#This Row],[Type]]&gt;0,VLOOKUP(DBparts1[[#This Row],[Type]],Main[[#All],[TYPE]:[UNIT]],'Unit Price'!D$1,FALSE),0)</f>
        <v>0</v>
      </c>
      <c r="I584" s="194">
        <f>IF(DBparts1[[#This Row],[Type]]&gt;0,VLOOKUP(DBparts1[[#This Row],[Type]],Main[[#All],[TYPE]:[UNIT]],'Unit Price'!G$1,FALSE),0)</f>
        <v>0</v>
      </c>
      <c r="J584" s="194">
        <f>IF(DBparts1[[#This Row],[Type]]&gt;0,VLOOKUP(DBparts1[[#This Row],[Type]],Main[[#All],[TYPE]:[UNIT]],'Unit Price'!H$1,FALSE),0)</f>
        <v>0</v>
      </c>
      <c r="K584" s="194">
        <f>IF(DBparts1[[#This Row],[Type]]&gt;0,VLOOKUP(DBparts1[[#This Row],[Discount seletion]],'Discount Structure'!$A$2:$B$30,2,"false"),0)</f>
        <v>0</v>
      </c>
      <c r="L584" s="194">
        <f>DBparts1[[#This Row],[LIST $]]*DBparts1[[#This Row],[DISCOUNT]]*DBparts1[[#This Row],[DISCOUNT 2]]</f>
        <v>0</v>
      </c>
    </row>
    <row r="585" spans="2:12">
      <c r="B585" s="112"/>
      <c r="C585" s="112"/>
      <c r="D585" s="112"/>
      <c r="F585" s="168" t="s">
        <v>6202</v>
      </c>
      <c r="G585" s="232">
        <f>IF(DBparts1[[#This Row],[Type]]&gt;0,VLOOKUP(DBparts1[[#This Row],[Type]],Main[[#All],[TYPE]:[UNIT]],'Unit Price'!C$1,FALSE),0)</f>
        <v>0</v>
      </c>
      <c r="H585" s="194">
        <f>IF(DBparts1[[#This Row],[Type]]&gt;0,VLOOKUP(DBparts1[[#This Row],[Type]],Main[[#All],[TYPE]:[UNIT]],'Unit Price'!D$1,FALSE),0)</f>
        <v>0</v>
      </c>
      <c r="I585" s="194">
        <f>IF(DBparts1[[#This Row],[Type]]&gt;0,VLOOKUP(DBparts1[[#This Row],[Type]],Main[[#All],[TYPE]:[UNIT]],'Unit Price'!G$1,FALSE),0)</f>
        <v>0</v>
      </c>
      <c r="J585" s="194">
        <f>IF(DBparts1[[#This Row],[Type]]&gt;0,VLOOKUP(DBparts1[[#This Row],[Type]],Main[[#All],[TYPE]:[UNIT]],'Unit Price'!H$1,FALSE),0)</f>
        <v>0</v>
      </c>
      <c r="K585" s="194">
        <f>IF(DBparts1[[#This Row],[Type]]&gt;0,VLOOKUP(DBparts1[[#This Row],[Discount seletion]],'Discount Structure'!$A$2:$B$30,2,"false"),0)</f>
        <v>0</v>
      </c>
      <c r="L585" s="194">
        <f>DBparts1[[#This Row],[LIST $]]*DBparts1[[#This Row],[DISCOUNT]]*DBparts1[[#This Row],[DISCOUNT 2]]</f>
        <v>0</v>
      </c>
    </row>
    <row r="586" spans="2:12">
      <c r="B586" s="112"/>
      <c r="C586" s="112"/>
      <c r="D586" s="112"/>
      <c r="F586" s="168" t="s">
        <v>6202</v>
      </c>
      <c r="G586" s="232">
        <f>IF(DBparts1[[#This Row],[Type]]&gt;0,VLOOKUP(DBparts1[[#This Row],[Type]],Main[[#All],[TYPE]:[UNIT]],'Unit Price'!C$1,FALSE),0)</f>
        <v>0</v>
      </c>
      <c r="H586" s="194">
        <f>IF(DBparts1[[#This Row],[Type]]&gt;0,VLOOKUP(DBparts1[[#This Row],[Type]],Main[[#All],[TYPE]:[UNIT]],'Unit Price'!D$1,FALSE),0)</f>
        <v>0</v>
      </c>
      <c r="I586" s="194">
        <f>IF(DBparts1[[#This Row],[Type]]&gt;0,VLOOKUP(DBparts1[[#This Row],[Type]],Main[[#All],[TYPE]:[UNIT]],'Unit Price'!G$1,FALSE),0)</f>
        <v>0</v>
      </c>
      <c r="J586" s="194">
        <f>IF(DBparts1[[#This Row],[Type]]&gt;0,VLOOKUP(DBparts1[[#This Row],[Type]],Main[[#All],[TYPE]:[UNIT]],'Unit Price'!H$1,FALSE),0)</f>
        <v>0</v>
      </c>
      <c r="K586" s="194">
        <f>IF(DBparts1[[#This Row],[Type]]&gt;0,VLOOKUP(DBparts1[[#This Row],[Discount seletion]],'Discount Structure'!$A$2:$B$30,2,"false"),0)</f>
        <v>0</v>
      </c>
      <c r="L586" s="194">
        <f>DBparts1[[#This Row],[LIST $]]*DBparts1[[#This Row],[DISCOUNT]]*DBparts1[[#This Row],[DISCOUNT 2]]</f>
        <v>0</v>
      </c>
    </row>
    <row r="587" spans="2:12">
      <c r="B587" s="112"/>
      <c r="C587" s="112"/>
      <c r="D587" s="112"/>
      <c r="F587" s="168" t="s">
        <v>6202</v>
      </c>
      <c r="G587" s="232">
        <f>IF(DBparts1[[#This Row],[Type]]&gt;0,VLOOKUP(DBparts1[[#This Row],[Type]],Main[[#All],[TYPE]:[UNIT]],'Unit Price'!C$1,FALSE),0)</f>
        <v>0</v>
      </c>
      <c r="H587" s="194">
        <f>IF(DBparts1[[#This Row],[Type]]&gt;0,VLOOKUP(DBparts1[[#This Row],[Type]],Main[[#All],[TYPE]:[UNIT]],'Unit Price'!D$1,FALSE),0)</f>
        <v>0</v>
      </c>
      <c r="I587" s="194">
        <f>IF(DBparts1[[#This Row],[Type]]&gt;0,VLOOKUP(DBparts1[[#This Row],[Type]],Main[[#All],[TYPE]:[UNIT]],'Unit Price'!G$1,FALSE),0)</f>
        <v>0</v>
      </c>
      <c r="J587" s="194">
        <f>IF(DBparts1[[#This Row],[Type]]&gt;0,VLOOKUP(DBparts1[[#This Row],[Type]],Main[[#All],[TYPE]:[UNIT]],'Unit Price'!H$1,FALSE),0)</f>
        <v>0</v>
      </c>
      <c r="K587" s="194">
        <f>IF(DBparts1[[#This Row],[Type]]&gt;0,VLOOKUP(DBparts1[[#This Row],[Discount seletion]],'Discount Structure'!$A$2:$B$30,2,"false"),0)</f>
        <v>0</v>
      </c>
      <c r="L587" s="194">
        <f>DBparts1[[#This Row],[LIST $]]*DBparts1[[#This Row],[DISCOUNT]]*DBparts1[[#This Row],[DISCOUNT 2]]</f>
        <v>0</v>
      </c>
    </row>
    <row r="588" spans="2:12">
      <c r="B588" s="112"/>
      <c r="C588" s="112"/>
      <c r="D588" s="112"/>
      <c r="F588" s="168" t="s">
        <v>6202</v>
      </c>
      <c r="G588" s="232">
        <f>IF(DBparts1[[#This Row],[Type]]&gt;0,VLOOKUP(DBparts1[[#This Row],[Type]],Main[[#All],[TYPE]:[UNIT]],'Unit Price'!C$1,FALSE),0)</f>
        <v>0</v>
      </c>
      <c r="H588" s="194">
        <f>IF(DBparts1[[#This Row],[Type]]&gt;0,VLOOKUP(DBparts1[[#This Row],[Type]],Main[[#All],[TYPE]:[UNIT]],'Unit Price'!D$1,FALSE),0)</f>
        <v>0</v>
      </c>
      <c r="I588" s="194">
        <f>IF(DBparts1[[#This Row],[Type]]&gt;0,VLOOKUP(DBparts1[[#This Row],[Type]],Main[[#All],[TYPE]:[UNIT]],'Unit Price'!G$1,FALSE),0)</f>
        <v>0</v>
      </c>
      <c r="J588" s="194">
        <f>IF(DBparts1[[#This Row],[Type]]&gt;0,VLOOKUP(DBparts1[[#This Row],[Type]],Main[[#All],[TYPE]:[UNIT]],'Unit Price'!H$1,FALSE),0)</f>
        <v>0</v>
      </c>
      <c r="K588" s="194">
        <f>IF(DBparts1[[#This Row],[Type]]&gt;0,VLOOKUP(DBparts1[[#This Row],[Discount seletion]],'Discount Structure'!$A$2:$B$30,2,"false"),0)</f>
        <v>0</v>
      </c>
      <c r="L588" s="194">
        <f>DBparts1[[#This Row],[LIST $]]*DBparts1[[#This Row],[DISCOUNT]]*DBparts1[[#This Row],[DISCOUNT 2]]</f>
        <v>0</v>
      </c>
    </row>
    <row r="589" spans="2:12">
      <c r="B589" s="112"/>
      <c r="C589" s="112"/>
      <c r="D589" s="112"/>
      <c r="F589" s="168" t="s">
        <v>6202</v>
      </c>
      <c r="G589" s="232">
        <f>IF(DBparts1[[#This Row],[Type]]&gt;0,VLOOKUP(DBparts1[[#This Row],[Type]],Main[[#All],[TYPE]:[UNIT]],'Unit Price'!C$1,FALSE),0)</f>
        <v>0</v>
      </c>
      <c r="H589" s="194">
        <f>IF(DBparts1[[#This Row],[Type]]&gt;0,VLOOKUP(DBparts1[[#This Row],[Type]],Main[[#All],[TYPE]:[UNIT]],'Unit Price'!D$1,FALSE),0)</f>
        <v>0</v>
      </c>
      <c r="I589" s="194">
        <f>IF(DBparts1[[#This Row],[Type]]&gt;0,VLOOKUP(DBparts1[[#This Row],[Type]],Main[[#All],[TYPE]:[UNIT]],'Unit Price'!G$1,FALSE),0)</f>
        <v>0</v>
      </c>
      <c r="J589" s="194">
        <f>IF(DBparts1[[#This Row],[Type]]&gt;0,VLOOKUP(DBparts1[[#This Row],[Type]],Main[[#All],[TYPE]:[UNIT]],'Unit Price'!H$1,FALSE),0)</f>
        <v>0</v>
      </c>
      <c r="K589" s="194">
        <f>IF(DBparts1[[#This Row],[Type]]&gt;0,VLOOKUP(DBparts1[[#This Row],[Discount seletion]],'Discount Structure'!$A$2:$B$30,2,"false"),0)</f>
        <v>0</v>
      </c>
      <c r="L589" s="194">
        <f>DBparts1[[#This Row],[LIST $]]*DBparts1[[#This Row],[DISCOUNT]]*DBparts1[[#This Row],[DISCOUNT 2]]</f>
        <v>0</v>
      </c>
    </row>
    <row r="590" spans="2:12">
      <c r="B590" s="112"/>
      <c r="C590" s="112"/>
      <c r="D590" s="112"/>
      <c r="F590" s="168" t="s">
        <v>6202</v>
      </c>
      <c r="G590" s="232">
        <f>IF(DBparts1[[#This Row],[Type]]&gt;0,VLOOKUP(DBparts1[[#This Row],[Type]],Main[[#All],[TYPE]:[UNIT]],'Unit Price'!C$1,FALSE),0)</f>
        <v>0</v>
      </c>
      <c r="H590" s="194">
        <f>IF(DBparts1[[#This Row],[Type]]&gt;0,VLOOKUP(DBparts1[[#This Row],[Type]],Main[[#All],[TYPE]:[UNIT]],'Unit Price'!D$1,FALSE),0)</f>
        <v>0</v>
      </c>
      <c r="I590" s="194">
        <f>IF(DBparts1[[#This Row],[Type]]&gt;0,VLOOKUP(DBparts1[[#This Row],[Type]],Main[[#All],[TYPE]:[UNIT]],'Unit Price'!G$1,FALSE),0)</f>
        <v>0</v>
      </c>
      <c r="J590" s="194">
        <f>IF(DBparts1[[#This Row],[Type]]&gt;0,VLOOKUP(DBparts1[[#This Row],[Type]],Main[[#All],[TYPE]:[UNIT]],'Unit Price'!H$1,FALSE),0)</f>
        <v>0</v>
      </c>
      <c r="K590" s="194">
        <f>IF(DBparts1[[#This Row],[Type]]&gt;0,VLOOKUP(DBparts1[[#This Row],[Discount seletion]],'Discount Structure'!$A$2:$B$30,2,"false"),0)</f>
        <v>0</v>
      </c>
      <c r="L590" s="194">
        <f>DBparts1[[#This Row],[LIST $]]*DBparts1[[#This Row],[DISCOUNT]]*DBparts1[[#This Row],[DISCOUNT 2]]</f>
        <v>0</v>
      </c>
    </row>
    <row r="591" spans="2:12">
      <c r="B591" s="112"/>
      <c r="C591" s="112"/>
      <c r="D591" s="112"/>
      <c r="F591" s="168" t="s">
        <v>6202</v>
      </c>
      <c r="G591" s="232">
        <f>IF(DBparts1[[#This Row],[Type]]&gt;0,VLOOKUP(DBparts1[[#This Row],[Type]],Main[[#All],[TYPE]:[UNIT]],'Unit Price'!C$1,FALSE),0)</f>
        <v>0</v>
      </c>
      <c r="H591" s="194">
        <f>IF(DBparts1[[#This Row],[Type]]&gt;0,VLOOKUP(DBparts1[[#This Row],[Type]],Main[[#All],[TYPE]:[UNIT]],'Unit Price'!D$1,FALSE),0)</f>
        <v>0</v>
      </c>
      <c r="I591" s="194">
        <f>IF(DBparts1[[#This Row],[Type]]&gt;0,VLOOKUP(DBparts1[[#This Row],[Type]],Main[[#All],[TYPE]:[UNIT]],'Unit Price'!G$1,FALSE),0)</f>
        <v>0</v>
      </c>
      <c r="J591" s="194">
        <f>IF(DBparts1[[#This Row],[Type]]&gt;0,VLOOKUP(DBparts1[[#This Row],[Type]],Main[[#All],[TYPE]:[UNIT]],'Unit Price'!H$1,FALSE),0)</f>
        <v>0</v>
      </c>
      <c r="K591" s="194">
        <f>IF(DBparts1[[#This Row],[Type]]&gt;0,VLOOKUP(DBparts1[[#This Row],[Discount seletion]],'Discount Structure'!$A$2:$B$30,2,"false"),0)</f>
        <v>0</v>
      </c>
      <c r="L591" s="194">
        <f>DBparts1[[#This Row],[LIST $]]*DBparts1[[#This Row],[DISCOUNT]]*DBparts1[[#This Row],[DISCOUNT 2]]</f>
        <v>0</v>
      </c>
    </row>
    <row r="592" spans="2:12">
      <c r="B592" s="112"/>
      <c r="C592" s="112"/>
      <c r="D592" s="112"/>
      <c r="F592" s="168" t="s">
        <v>6202</v>
      </c>
      <c r="G592" s="232">
        <f>IF(DBparts1[[#This Row],[Type]]&gt;0,VLOOKUP(DBparts1[[#This Row],[Type]],Main[[#All],[TYPE]:[UNIT]],'Unit Price'!C$1,FALSE),0)</f>
        <v>0</v>
      </c>
      <c r="H592" s="194">
        <f>IF(DBparts1[[#This Row],[Type]]&gt;0,VLOOKUP(DBparts1[[#This Row],[Type]],Main[[#All],[TYPE]:[UNIT]],'Unit Price'!D$1,FALSE),0)</f>
        <v>0</v>
      </c>
      <c r="I592" s="194">
        <f>IF(DBparts1[[#This Row],[Type]]&gt;0,VLOOKUP(DBparts1[[#This Row],[Type]],Main[[#All],[TYPE]:[UNIT]],'Unit Price'!G$1,FALSE),0)</f>
        <v>0</v>
      </c>
      <c r="J592" s="194">
        <f>IF(DBparts1[[#This Row],[Type]]&gt;0,VLOOKUP(DBparts1[[#This Row],[Type]],Main[[#All],[TYPE]:[UNIT]],'Unit Price'!H$1,FALSE),0)</f>
        <v>0</v>
      </c>
      <c r="K592" s="194">
        <f>IF(DBparts1[[#This Row],[Type]]&gt;0,VLOOKUP(DBparts1[[#This Row],[Discount seletion]],'Discount Structure'!$A$2:$B$30,2,"false"),0)</f>
        <v>0</v>
      </c>
      <c r="L592" s="194">
        <f>DBparts1[[#This Row],[LIST $]]*DBparts1[[#This Row],[DISCOUNT]]*DBparts1[[#This Row],[DISCOUNT 2]]</f>
        <v>0</v>
      </c>
    </row>
    <row r="593" spans="2:12">
      <c r="B593" s="112"/>
      <c r="C593" s="112"/>
      <c r="D593" s="112"/>
      <c r="F593" s="168" t="s">
        <v>6202</v>
      </c>
      <c r="G593" s="232">
        <f>IF(DBparts1[[#This Row],[Type]]&gt;0,VLOOKUP(DBparts1[[#This Row],[Type]],Main[[#All],[TYPE]:[UNIT]],'Unit Price'!C$1,FALSE),0)</f>
        <v>0</v>
      </c>
      <c r="H593" s="194">
        <f>IF(DBparts1[[#This Row],[Type]]&gt;0,VLOOKUP(DBparts1[[#This Row],[Type]],Main[[#All],[TYPE]:[UNIT]],'Unit Price'!D$1,FALSE),0)</f>
        <v>0</v>
      </c>
      <c r="I593" s="194">
        <f>IF(DBparts1[[#This Row],[Type]]&gt;0,VLOOKUP(DBparts1[[#This Row],[Type]],Main[[#All],[TYPE]:[UNIT]],'Unit Price'!G$1,FALSE),0)</f>
        <v>0</v>
      </c>
      <c r="J593" s="194">
        <f>IF(DBparts1[[#This Row],[Type]]&gt;0,VLOOKUP(DBparts1[[#This Row],[Type]],Main[[#All],[TYPE]:[UNIT]],'Unit Price'!H$1,FALSE),0)</f>
        <v>0</v>
      </c>
      <c r="K593" s="194">
        <f>IF(DBparts1[[#This Row],[Type]]&gt;0,VLOOKUP(DBparts1[[#This Row],[Discount seletion]],'Discount Structure'!$A$2:$B$30,2,"false"),0)</f>
        <v>0</v>
      </c>
      <c r="L593" s="194">
        <f>DBparts1[[#This Row],[LIST $]]*DBparts1[[#This Row],[DISCOUNT]]*DBparts1[[#This Row],[DISCOUNT 2]]</f>
        <v>0</v>
      </c>
    </row>
    <row r="594" spans="2:12">
      <c r="B594" s="112"/>
      <c r="C594" s="112"/>
      <c r="D594" s="112"/>
      <c r="F594" s="168" t="s">
        <v>6202</v>
      </c>
      <c r="G594" s="232">
        <f>IF(DBparts1[[#This Row],[Type]]&gt;0,VLOOKUP(DBparts1[[#This Row],[Type]],Main[[#All],[TYPE]:[UNIT]],'Unit Price'!C$1,FALSE),0)</f>
        <v>0</v>
      </c>
      <c r="H594" s="194">
        <f>IF(DBparts1[[#This Row],[Type]]&gt;0,VLOOKUP(DBparts1[[#This Row],[Type]],Main[[#All],[TYPE]:[UNIT]],'Unit Price'!D$1,FALSE),0)</f>
        <v>0</v>
      </c>
      <c r="I594" s="194">
        <f>IF(DBparts1[[#This Row],[Type]]&gt;0,VLOOKUP(DBparts1[[#This Row],[Type]],Main[[#All],[TYPE]:[UNIT]],'Unit Price'!G$1,FALSE),0)</f>
        <v>0</v>
      </c>
      <c r="J594" s="194">
        <f>IF(DBparts1[[#This Row],[Type]]&gt;0,VLOOKUP(DBparts1[[#This Row],[Type]],Main[[#All],[TYPE]:[UNIT]],'Unit Price'!H$1,FALSE),0)</f>
        <v>0</v>
      </c>
      <c r="K594" s="194">
        <f>IF(DBparts1[[#This Row],[Type]]&gt;0,VLOOKUP(DBparts1[[#This Row],[Discount seletion]],'Discount Structure'!$A$2:$B$30,2,"false"),0)</f>
        <v>0</v>
      </c>
      <c r="L594" s="194">
        <f>DBparts1[[#This Row],[LIST $]]*DBparts1[[#This Row],[DISCOUNT]]*DBparts1[[#This Row],[DISCOUNT 2]]</f>
        <v>0</v>
      </c>
    </row>
    <row r="595" spans="2:12">
      <c r="B595" s="112"/>
      <c r="C595" s="112"/>
      <c r="D595" s="112"/>
      <c r="F595" s="168" t="s">
        <v>6202</v>
      </c>
      <c r="G595" s="232">
        <f>IF(DBparts1[[#This Row],[Type]]&gt;0,VLOOKUP(DBparts1[[#This Row],[Type]],Main[[#All],[TYPE]:[UNIT]],'Unit Price'!C$1,FALSE),0)</f>
        <v>0</v>
      </c>
      <c r="H595" s="194">
        <f>IF(DBparts1[[#This Row],[Type]]&gt;0,VLOOKUP(DBparts1[[#This Row],[Type]],Main[[#All],[TYPE]:[UNIT]],'Unit Price'!D$1,FALSE),0)</f>
        <v>0</v>
      </c>
      <c r="I595" s="194">
        <f>IF(DBparts1[[#This Row],[Type]]&gt;0,VLOOKUP(DBparts1[[#This Row],[Type]],Main[[#All],[TYPE]:[UNIT]],'Unit Price'!G$1,FALSE),0)</f>
        <v>0</v>
      </c>
      <c r="J595" s="194">
        <f>IF(DBparts1[[#This Row],[Type]]&gt;0,VLOOKUP(DBparts1[[#This Row],[Type]],Main[[#All],[TYPE]:[UNIT]],'Unit Price'!H$1,FALSE),0)</f>
        <v>0</v>
      </c>
      <c r="K595" s="194">
        <f>IF(DBparts1[[#This Row],[Type]]&gt;0,VLOOKUP(DBparts1[[#This Row],[Discount seletion]],'Discount Structure'!$A$2:$B$30,2,"false"),0)</f>
        <v>0</v>
      </c>
      <c r="L595" s="194">
        <f>DBparts1[[#This Row],[LIST $]]*DBparts1[[#This Row],[DISCOUNT]]*DBparts1[[#This Row],[DISCOUNT 2]]</f>
        <v>0</v>
      </c>
    </row>
    <row r="596" spans="2:12">
      <c r="B596" s="112"/>
      <c r="C596" s="112"/>
      <c r="D596" s="112"/>
      <c r="F596" s="168" t="s">
        <v>6202</v>
      </c>
      <c r="G596" s="232">
        <f>IF(DBparts1[[#This Row],[Type]]&gt;0,VLOOKUP(DBparts1[[#This Row],[Type]],Main[[#All],[TYPE]:[UNIT]],'Unit Price'!C$1,FALSE),0)</f>
        <v>0</v>
      </c>
      <c r="H596" s="194">
        <f>IF(DBparts1[[#This Row],[Type]]&gt;0,VLOOKUP(DBparts1[[#This Row],[Type]],Main[[#All],[TYPE]:[UNIT]],'Unit Price'!D$1,FALSE),0)</f>
        <v>0</v>
      </c>
      <c r="I596" s="194">
        <f>IF(DBparts1[[#This Row],[Type]]&gt;0,VLOOKUP(DBparts1[[#This Row],[Type]],Main[[#All],[TYPE]:[UNIT]],'Unit Price'!G$1,FALSE),0)</f>
        <v>0</v>
      </c>
      <c r="J596" s="194">
        <f>IF(DBparts1[[#This Row],[Type]]&gt;0,VLOOKUP(DBparts1[[#This Row],[Type]],Main[[#All],[TYPE]:[UNIT]],'Unit Price'!H$1,FALSE),0)</f>
        <v>0</v>
      </c>
      <c r="K596" s="194">
        <f>IF(DBparts1[[#This Row],[Type]]&gt;0,VLOOKUP(DBparts1[[#This Row],[Discount seletion]],'Discount Structure'!$A$2:$B$30,2,"false"),0)</f>
        <v>0</v>
      </c>
      <c r="L596" s="194">
        <f>DBparts1[[#This Row],[LIST $]]*DBparts1[[#This Row],[DISCOUNT]]*DBparts1[[#This Row],[DISCOUNT 2]]</f>
        <v>0</v>
      </c>
    </row>
    <row r="597" spans="2:12">
      <c r="B597" s="112"/>
      <c r="C597" s="112"/>
      <c r="D597" s="112"/>
      <c r="F597" s="168" t="s">
        <v>6202</v>
      </c>
      <c r="G597" s="232">
        <f>IF(DBparts1[[#This Row],[Type]]&gt;0,VLOOKUP(DBparts1[[#This Row],[Type]],Main[[#All],[TYPE]:[UNIT]],'Unit Price'!C$1,FALSE),0)</f>
        <v>0</v>
      </c>
      <c r="H597" s="194">
        <f>IF(DBparts1[[#This Row],[Type]]&gt;0,VLOOKUP(DBparts1[[#This Row],[Type]],Main[[#All],[TYPE]:[UNIT]],'Unit Price'!D$1,FALSE),0)</f>
        <v>0</v>
      </c>
      <c r="I597" s="194">
        <f>IF(DBparts1[[#This Row],[Type]]&gt;0,VLOOKUP(DBparts1[[#This Row],[Type]],Main[[#All],[TYPE]:[UNIT]],'Unit Price'!G$1,FALSE),0)</f>
        <v>0</v>
      </c>
      <c r="J597" s="194">
        <f>IF(DBparts1[[#This Row],[Type]]&gt;0,VLOOKUP(DBparts1[[#This Row],[Type]],Main[[#All],[TYPE]:[UNIT]],'Unit Price'!H$1,FALSE),0)</f>
        <v>0</v>
      </c>
      <c r="K597" s="194">
        <f>IF(DBparts1[[#This Row],[Type]]&gt;0,VLOOKUP(DBparts1[[#This Row],[Discount seletion]],'Discount Structure'!$A$2:$B$30,2,"false"),0)</f>
        <v>0</v>
      </c>
      <c r="L597" s="194">
        <f>DBparts1[[#This Row],[LIST $]]*DBparts1[[#This Row],[DISCOUNT]]*DBparts1[[#This Row],[DISCOUNT 2]]</f>
        <v>0</v>
      </c>
    </row>
    <row r="598" spans="2:12">
      <c r="B598" s="112"/>
      <c r="C598" s="112"/>
      <c r="D598" s="112"/>
      <c r="F598" s="168" t="s">
        <v>6202</v>
      </c>
      <c r="G598" s="232">
        <f>IF(DBparts1[[#This Row],[Type]]&gt;0,VLOOKUP(DBparts1[[#This Row],[Type]],Main[[#All],[TYPE]:[UNIT]],'Unit Price'!C$1,FALSE),0)</f>
        <v>0</v>
      </c>
      <c r="H598" s="194">
        <f>IF(DBparts1[[#This Row],[Type]]&gt;0,VLOOKUP(DBparts1[[#This Row],[Type]],Main[[#All],[TYPE]:[UNIT]],'Unit Price'!D$1,FALSE),0)</f>
        <v>0</v>
      </c>
      <c r="I598" s="194">
        <f>IF(DBparts1[[#This Row],[Type]]&gt;0,VLOOKUP(DBparts1[[#This Row],[Type]],Main[[#All],[TYPE]:[UNIT]],'Unit Price'!G$1,FALSE),0)</f>
        <v>0</v>
      </c>
      <c r="J598" s="194">
        <f>IF(DBparts1[[#This Row],[Type]]&gt;0,VLOOKUP(DBparts1[[#This Row],[Type]],Main[[#All],[TYPE]:[UNIT]],'Unit Price'!H$1,FALSE),0)</f>
        <v>0</v>
      </c>
      <c r="K598" s="194">
        <f>IF(DBparts1[[#This Row],[Type]]&gt;0,VLOOKUP(DBparts1[[#This Row],[Discount seletion]],'Discount Structure'!$A$2:$B$30,2,"false"),0)</f>
        <v>0</v>
      </c>
      <c r="L598" s="194">
        <f>DBparts1[[#This Row],[LIST $]]*DBparts1[[#This Row],[DISCOUNT]]*DBparts1[[#This Row],[DISCOUNT 2]]</f>
        <v>0</v>
      </c>
    </row>
    <row r="599" spans="2:12">
      <c r="B599" s="112"/>
      <c r="C599" s="112"/>
      <c r="D599" s="112"/>
      <c r="F599" s="168" t="s">
        <v>6202</v>
      </c>
      <c r="G599" s="232">
        <f>IF(DBparts1[[#This Row],[Type]]&gt;0,VLOOKUP(DBparts1[[#This Row],[Type]],Main[[#All],[TYPE]:[UNIT]],'Unit Price'!C$1,FALSE),0)</f>
        <v>0</v>
      </c>
      <c r="H599" s="194">
        <f>IF(DBparts1[[#This Row],[Type]]&gt;0,VLOOKUP(DBparts1[[#This Row],[Type]],Main[[#All],[TYPE]:[UNIT]],'Unit Price'!D$1,FALSE),0)</f>
        <v>0</v>
      </c>
      <c r="I599" s="194">
        <f>IF(DBparts1[[#This Row],[Type]]&gt;0,VLOOKUP(DBparts1[[#This Row],[Type]],Main[[#All],[TYPE]:[UNIT]],'Unit Price'!G$1,FALSE),0)</f>
        <v>0</v>
      </c>
      <c r="J599" s="194">
        <f>IF(DBparts1[[#This Row],[Type]]&gt;0,VLOOKUP(DBparts1[[#This Row],[Type]],Main[[#All],[TYPE]:[UNIT]],'Unit Price'!H$1,FALSE),0)</f>
        <v>0</v>
      </c>
      <c r="K599" s="194">
        <f>IF(DBparts1[[#This Row],[Type]]&gt;0,VLOOKUP(DBparts1[[#This Row],[Discount seletion]],'Discount Structure'!$A$2:$B$30,2,"false"),0)</f>
        <v>0</v>
      </c>
      <c r="L599" s="194">
        <f>DBparts1[[#This Row],[LIST $]]*DBparts1[[#This Row],[DISCOUNT]]*DBparts1[[#This Row],[DISCOUNT 2]]</f>
        <v>0</v>
      </c>
    </row>
    <row r="600" spans="2:12">
      <c r="B600" s="112"/>
      <c r="C600" s="112"/>
      <c r="D600" s="112"/>
      <c r="F600" s="168" t="s">
        <v>6202</v>
      </c>
      <c r="G600" s="232">
        <f>IF(DBparts1[[#This Row],[Type]]&gt;0,VLOOKUP(DBparts1[[#This Row],[Type]],Main[[#All],[TYPE]:[UNIT]],'Unit Price'!C$1,FALSE),0)</f>
        <v>0</v>
      </c>
      <c r="H600" s="194">
        <f>IF(DBparts1[[#This Row],[Type]]&gt;0,VLOOKUP(DBparts1[[#This Row],[Type]],Main[[#All],[TYPE]:[UNIT]],'Unit Price'!D$1,FALSE),0)</f>
        <v>0</v>
      </c>
      <c r="I600" s="194">
        <f>IF(DBparts1[[#This Row],[Type]]&gt;0,VLOOKUP(DBparts1[[#This Row],[Type]],Main[[#All],[TYPE]:[UNIT]],'Unit Price'!G$1,FALSE),0)</f>
        <v>0</v>
      </c>
      <c r="J600" s="194">
        <f>IF(DBparts1[[#This Row],[Type]]&gt;0,VLOOKUP(DBparts1[[#This Row],[Type]],Main[[#All],[TYPE]:[UNIT]],'Unit Price'!H$1,FALSE),0)</f>
        <v>0</v>
      </c>
      <c r="K600" s="194">
        <f>IF(DBparts1[[#This Row],[Type]]&gt;0,VLOOKUP(DBparts1[[#This Row],[Discount seletion]],'Discount Structure'!$A$2:$B$30,2,"false"),0)</f>
        <v>0</v>
      </c>
      <c r="L600" s="194">
        <f>DBparts1[[#This Row],[LIST $]]*DBparts1[[#This Row],[DISCOUNT]]*DBparts1[[#This Row],[DISCOUNT 2]]</f>
        <v>0</v>
      </c>
    </row>
    <row r="601" spans="2:12">
      <c r="B601" s="112"/>
      <c r="C601" s="112"/>
      <c r="D601" s="112"/>
      <c r="F601" s="168" t="s">
        <v>6202</v>
      </c>
      <c r="G601" s="232">
        <f>IF(DBparts1[[#This Row],[Type]]&gt;0,VLOOKUP(DBparts1[[#This Row],[Type]],Main[[#All],[TYPE]:[UNIT]],'Unit Price'!C$1,FALSE),0)</f>
        <v>0</v>
      </c>
      <c r="H601" s="194">
        <f>IF(DBparts1[[#This Row],[Type]]&gt;0,VLOOKUP(DBparts1[[#This Row],[Type]],Main[[#All],[TYPE]:[UNIT]],'Unit Price'!D$1,FALSE),0)</f>
        <v>0</v>
      </c>
      <c r="I601" s="194">
        <f>IF(DBparts1[[#This Row],[Type]]&gt;0,VLOOKUP(DBparts1[[#This Row],[Type]],Main[[#All],[TYPE]:[UNIT]],'Unit Price'!G$1,FALSE),0)</f>
        <v>0</v>
      </c>
      <c r="J601" s="194">
        <f>IF(DBparts1[[#This Row],[Type]]&gt;0,VLOOKUP(DBparts1[[#This Row],[Type]],Main[[#All],[TYPE]:[UNIT]],'Unit Price'!H$1,FALSE),0)</f>
        <v>0</v>
      </c>
      <c r="K601" s="194">
        <f>IF(DBparts1[[#This Row],[Type]]&gt;0,VLOOKUP(DBparts1[[#This Row],[Discount seletion]],'Discount Structure'!$A$2:$B$30,2,"false"),0)</f>
        <v>0</v>
      </c>
      <c r="L601" s="194">
        <f>DBparts1[[#This Row],[LIST $]]*DBparts1[[#This Row],[DISCOUNT]]*DBparts1[[#This Row],[DISCOUNT 2]]</f>
        <v>0</v>
      </c>
    </row>
    <row r="602" spans="2:12">
      <c r="B602" s="112"/>
      <c r="C602" s="112"/>
      <c r="D602" s="112"/>
      <c r="F602" s="168" t="s">
        <v>6202</v>
      </c>
      <c r="G602" s="232">
        <f>IF(DBparts1[[#This Row],[Type]]&gt;0,VLOOKUP(DBparts1[[#This Row],[Type]],Main[[#All],[TYPE]:[UNIT]],'Unit Price'!C$1,FALSE),0)</f>
        <v>0</v>
      </c>
      <c r="H602" s="194">
        <f>IF(DBparts1[[#This Row],[Type]]&gt;0,VLOOKUP(DBparts1[[#This Row],[Type]],Main[[#All],[TYPE]:[UNIT]],'Unit Price'!D$1,FALSE),0)</f>
        <v>0</v>
      </c>
      <c r="I602" s="194">
        <f>IF(DBparts1[[#This Row],[Type]]&gt;0,VLOOKUP(DBparts1[[#This Row],[Type]],Main[[#All],[TYPE]:[UNIT]],'Unit Price'!G$1,FALSE),0)</f>
        <v>0</v>
      </c>
      <c r="J602" s="194">
        <f>IF(DBparts1[[#This Row],[Type]]&gt;0,VLOOKUP(DBparts1[[#This Row],[Type]],Main[[#All],[TYPE]:[UNIT]],'Unit Price'!H$1,FALSE),0)</f>
        <v>0</v>
      </c>
      <c r="K602" s="194">
        <f>IF(DBparts1[[#This Row],[Type]]&gt;0,VLOOKUP(DBparts1[[#This Row],[Discount seletion]],'Discount Structure'!$A$2:$B$30,2,"false"),0)</f>
        <v>0</v>
      </c>
      <c r="L602" s="194">
        <f>DBparts1[[#This Row],[LIST $]]*DBparts1[[#This Row],[DISCOUNT]]*DBparts1[[#This Row],[DISCOUNT 2]]</f>
        <v>0</v>
      </c>
    </row>
    <row r="603" spans="2:12">
      <c r="B603" s="112"/>
      <c r="C603" s="112"/>
      <c r="D603" s="112"/>
      <c r="F603" s="168" t="s">
        <v>6202</v>
      </c>
      <c r="G603" s="232">
        <f>IF(DBparts1[[#This Row],[Type]]&gt;0,VLOOKUP(DBparts1[[#This Row],[Type]],Main[[#All],[TYPE]:[UNIT]],'Unit Price'!C$1,FALSE),0)</f>
        <v>0</v>
      </c>
      <c r="H603" s="194">
        <f>IF(DBparts1[[#This Row],[Type]]&gt;0,VLOOKUP(DBparts1[[#This Row],[Type]],Main[[#All],[TYPE]:[UNIT]],'Unit Price'!D$1,FALSE),0)</f>
        <v>0</v>
      </c>
      <c r="I603" s="194">
        <f>IF(DBparts1[[#This Row],[Type]]&gt;0,VLOOKUP(DBparts1[[#This Row],[Type]],Main[[#All],[TYPE]:[UNIT]],'Unit Price'!G$1,FALSE),0)</f>
        <v>0</v>
      </c>
      <c r="J603" s="194">
        <f>IF(DBparts1[[#This Row],[Type]]&gt;0,VLOOKUP(DBparts1[[#This Row],[Type]],Main[[#All],[TYPE]:[UNIT]],'Unit Price'!H$1,FALSE),0)</f>
        <v>0</v>
      </c>
      <c r="K603" s="194">
        <f>IF(DBparts1[[#This Row],[Type]]&gt;0,VLOOKUP(DBparts1[[#This Row],[Discount seletion]],'Discount Structure'!$A$2:$B$30,2,"false"),0)</f>
        <v>0</v>
      </c>
      <c r="L603" s="194">
        <f>DBparts1[[#This Row],[LIST $]]*DBparts1[[#This Row],[DISCOUNT]]*DBparts1[[#This Row],[DISCOUNT 2]]</f>
        <v>0</v>
      </c>
    </row>
    <row r="604" spans="2:12">
      <c r="B604" s="112"/>
      <c r="C604" s="112"/>
      <c r="D604" s="112"/>
      <c r="F604" s="168" t="s">
        <v>6202</v>
      </c>
      <c r="G604" s="232">
        <f>IF(DBparts1[[#This Row],[Type]]&gt;0,VLOOKUP(DBparts1[[#This Row],[Type]],Main[[#All],[TYPE]:[UNIT]],'Unit Price'!C$1,FALSE),0)</f>
        <v>0</v>
      </c>
      <c r="H604" s="194">
        <f>IF(DBparts1[[#This Row],[Type]]&gt;0,VLOOKUP(DBparts1[[#This Row],[Type]],Main[[#All],[TYPE]:[UNIT]],'Unit Price'!D$1,FALSE),0)</f>
        <v>0</v>
      </c>
      <c r="I604" s="194">
        <f>IF(DBparts1[[#This Row],[Type]]&gt;0,VLOOKUP(DBparts1[[#This Row],[Type]],Main[[#All],[TYPE]:[UNIT]],'Unit Price'!G$1,FALSE),0)</f>
        <v>0</v>
      </c>
      <c r="J604" s="194">
        <f>IF(DBparts1[[#This Row],[Type]]&gt;0,VLOOKUP(DBparts1[[#This Row],[Type]],Main[[#All],[TYPE]:[UNIT]],'Unit Price'!H$1,FALSE),0)</f>
        <v>0</v>
      </c>
      <c r="K604" s="194">
        <f>IF(DBparts1[[#This Row],[Type]]&gt;0,VLOOKUP(DBparts1[[#This Row],[Discount seletion]],'Discount Structure'!$A$2:$B$30,2,"false"),0)</f>
        <v>0</v>
      </c>
      <c r="L604" s="194">
        <f>DBparts1[[#This Row],[LIST $]]*DBparts1[[#This Row],[DISCOUNT]]*DBparts1[[#This Row],[DISCOUNT 2]]</f>
        <v>0</v>
      </c>
    </row>
    <row r="605" spans="2:12">
      <c r="B605" s="112"/>
      <c r="C605" s="112"/>
      <c r="D605" s="112"/>
      <c r="F605" s="168" t="s">
        <v>6202</v>
      </c>
      <c r="G605" s="232">
        <f>IF(DBparts1[[#This Row],[Type]]&gt;0,VLOOKUP(DBparts1[[#This Row],[Type]],Main[[#All],[TYPE]:[UNIT]],'Unit Price'!C$1,FALSE),0)</f>
        <v>0</v>
      </c>
      <c r="H605" s="194">
        <f>IF(DBparts1[[#This Row],[Type]]&gt;0,VLOOKUP(DBparts1[[#This Row],[Type]],Main[[#All],[TYPE]:[UNIT]],'Unit Price'!D$1,FALSE),0)</f>
        <v>0</v>
      </c>
      <c r="I605" s="194">
        <f>IF(DBparts1[[#This Row],[Type]]&gt;0,VLOOKUP(DBparts1[[#This Row],[Type]],Main[[#All],[TYPE]:[UNIT]],'Unit Price'!G$1,FALSE),0)</f>
        <v>0</v>
      </c>
      <c r="J605" s="194">
        <f>IF(DBparts1[[#This Row],[Type]]&gt;0,VLOOKUP(DBparts1[[#This Row],[Type]],Main[[#All],[TYPE]:[UNIT]],'Unit Price'!H$1,FALSE),0)</f>
        <v>0</v>
      </c>
      <c r="K605" s="194">
        <f>IF(DBparts1[[#This Row],[Type]]&gt;0,VLOOKUP(DBparts1[[#This Row],[Discount seletion]],'Discount Structure'!$A$2:$B$30,2,"false"),0)</f>
        <v>0</v>
      </c>
      <c r="L605" s="194">
        <f>DBparts1[[#This Row],[LIST $]]*DBparts1[[#This Row],[DISCOUNT]]*DBparts1[[#This Row],[DISCOUNT 2]]</f>
        <v>0</v>
      </c>
    </row>
    <row r="606" spans="2:12">
      <c r="B606" s="112"/>
      <c r="C606" s="112"/>
      <c r="D606" s="112"/>
      <c r="F606" s="168" t="s">
        <v>6202</v>
      </c>
      <c r="G606" s="232">
        <f>IF(DBparts1[[#This Row],[Type]]&gt;0,VLOOKUP(DBparts1[[#This Row],[Type]],Main[[#All],[TYPE]:[UNIT]],'Unit Price'!C$1,FALSE),0)</f>
        <v>0</v>
      </c>
      <c r="H606" s="194">
        <f>IF(DBparts1[[#This Row],[Type]]&gt;0,VLOOKUP(DBparts1[[#This Row],[Type]],Main[[#All],[TYPE]:[UNIT]],'Unit Price'!D$1,FALSE),0)</f>
        <v>0</v>
      </c>
      <c r="I606" s="194">
        <f>IF(DBparts1[[#This Row],[Type]]&gt;0,VLOOKUP(DBparts1[[#This Row],[Type]],Main[[#All],[TYPE]:[UNIT]],'Unit Price'!G$1,FALSE),0)</f>
        <v>0</v>
      </c>
      <c r="J606" s="194">
        <f>IF(DBparts1[[#This Row],[Type]]&gt;0,VLOOKUP(DBparts1[[#This Row],[Type]],Main[[#All],[TYPE]:[UNIT]],'Unit Price'!H$1,FALSE),0)</f>
        <v>0</v>
      </c>
      <c r="K606" s="194">
        <f>IF(DBparts1[[#This Row],[Type]]&gt;0,VLOOKUP(DBparts1[[#This Row],[Discount seletion]],'Discount Structure'!$A$2:$B$30,2,"false"),0)</f>
        <v>0</v>
      </c>
      <c r="L606" s="194">
        <f>DBparts1[[#This Row],[LIST $]]*DBparts1[[#This Row],[DISCOUNT]]*DBparts1[[#This Row],[DISCOUNT 2]]</f>
        <v>0</v>
      </c>
    </row>
    <row r="607" spans="2:12">
      <c r="B607" s="112"/>
      <c r="C607" s="112"/>
      <c r="D607" s="112"/>
      <c r="F607" s="168" t="s">
        <v>6202</v>
      </c>
      <c r="G607" s="232">
        <f>IF(DBparts1[[#This Row],[Type]]&gt;0,VLOOKUP(DBparts1[[#This Row],[Type]],Main[[#All],[TYPE]:[UNIT]],'Unit Price'!C$1,FALSE),0)</f>
        <v>0</v>
      </c>
      <c r="H607" s="194">
        <f>IF(DBparts1[[#This Row],[Type]]&gt;0,VLOOKUP(DBparts1[[#This Row],[Type]],Main[[#All],[TYPE]:[UNIT]],'Unit Price'!D$1,FALSE),0)</f>
        <v>0</v>
      </c>
      <c r="I607" s="194">
        <f>IF(DBparts1[[#This Row],[Type]]&gt;0,VLOOKUP(DBparts1[[#This Row],[Type]],Main[[#All],[TYPE]:[UNIT]],'Unit Price'!G$1,FALSE),0)</f>
        <v>0</v>
      </c>
      <c r="J607" s="194">
        <f>IF(DBparts1[[#This Row],[Type]]&gt;0,VLOOKUP(DBparts1[[#This Row],[Type]],Main[[#All],[TYPE]:[UNIT]],'Unit Price'!H$1,FALSE),0)</f>
        <v>0</v>
      </c>
      <c r="K607" s="194">
        <f>IF(DBparts1[[#This Row],[Type]]&gt;0,VLOOKUP(DBparts1[[#This Row],[Discount seletion]],'Discount Structure'!$A$2:$B$30,2,"false"),0)</f>
        <v>0</v>
      </c>
      <c r="L607" s="194">
        <f>DBparts1[[#This Row],[LIST $]]*DBparts1[[#This Row],[DISCOUNT]]*DBparts1[[#This Row],[DISCOUNT 2]]</f>
        <v>0</v>
      </c>
    </row>
    <row r="608" spans="2:12">
      <c r="B608" s="112"/>
      <c r="C608" s="112"/>
      <c r="D608" s="112"/>
      <c r="F608" s="168" t="s">
        <v>6202</v>
      </c>
      <c r="G608" s="232">
        <f>IF(DBparts1[[#This Row],[Type]]&gt;0,VLOOKUP(DBparts1[[#This Row],[Type]],Main[[#All],[TYPE]:[UNIT]],'Unit Price'!C$1,FALSE),0)</f>
        <v>0</v>
      </c>
      <c r="H608" s="194">
        <f>IF(DBparts1[[#This Row],[Type]]&gt;0,VLOOKUP(DBparts1[[#This Row],[Type]],Main[[#All],[TYPE]:[UNIT]],'Unit Price'!D$1,FALSE),0)</f>
        <v>0</v>
      </c>
      <c r="I608" s="194">
        <f>IF(DBparts1[[#This Row],[Type]]&gt;0,VLOOKUP(DBparts1[[#This Row],[Type]],Main[[#All],[TYPE]:[UNIT]],'Unit Price'!G$1,FALSE),0)</f>
        <v>0</v>
      </c>
      <c r="J608" s="194">
        <f>IF(DBparts1[[#This Row],[Type]]&gt;0,VLOOKUP(DBparts1[[#This Row],[Type]],Main[[#All],[TYPE]:[UNIT]],'Unit Price'!H$1,FALSE),0)</f>
        <v>0</v>
      </c>
      <c r="K608" s="194">
        <f>IF(DBparts1[[#This Row],[Type]]&gt;0,VLOOKUP(DBparts1[[#This Row],[Discount seletion]],'Discount Structure'!$A$2:$B$30,2,"false"),0)</f>
        <v>0</v>
      </c>
      <c r="L608" s="194">
        <f>DBparts1[[#This Row],[LIST $]]*DBparts1[[#This Row],[DISCOUNT]]*DBparts1[[#This Row],[DISCOUNT 2]]</f>
        <v>0</v>
      </c>
    </row>
    <row r="609" spans="2:12">
      <c r="B609" s="112"/>
      <c r="C609" s="112"/>
      <c r="D609" s="112"/>
      <c r="F609" s="168" t="s">
        <v>6202</v>
      </c>
      <c r="G609" s="232">
        <f>IF(DBparts1[[#This Row],[Type]]&gt;0,VLOOKUP(DBparts1[[#This Row],[Type]],Main[[#All],[TYPE]:[UNIT]],'Unit Price'!C$1,FALSE),0)</f>
        <v>0</v>
      </c>
      <c r="H609" s="194">
        <f>IF(DBparts1[[#This Row],[Type]]&gt;0,VLOOKUP(DBparts1[[#This Row],[Type]],Main[[#All],[TYPE]:[UNIT]],'Unit Price'!D$1,FALSE),0)</f>
        <v>0</v>
      </c>
      <c r="I609" s="194">
        <f>IF(DBparts1[[#This Row],[Type]]&gt;0,VLOOKUP(DBparts1[[#This Row],[Type]],Main[[#All],[TYPE]:[UNIT]],'Unit Price'!G$1,FALSE),0)</f>
        <v>0</v>
      </c>
      <c r="J609" s="194">
        <f>IF(DBparts1[[#This Row],[Type]]&gt;0,VLOOKUP(DBparts1[[#This Row],[Type]],Main[[#All],[TYPE]:[UNIT]],'Unit Price'!H$1,FALSE),0)</f>
        <v>0</v>
      </c>
      <c r="K609" s="194">
        <f>IF(DBparts1[[#This Row],[Type]]&gt;0,VLOOKUP(DBparts1[[#This Row],[Discount seletion]],'Discount Structure'!$A$2:$B$30,2,"false"),0)</f>
        <v>0</v>
      </c>
      <c r="L609" s="194">
        <f>DBparts1[[#This Row],[LIST $]]*DBparts1[[#This Row],[DISCOUNT]]*DBparts1[[#This Row],[DISCOUNT 2]]</f>
        <v>0</v>
      </c>
    </row>
    <row r="610" spans="2:12">
      <c r="B610" s="112"/>
      <c r="C610" s="112"/>
      <c r="D610" s="112"/>
      <c r="F610" s="168" t="s">
        <v>6202</v>
      </c>
      <c r="G610" s="232">
        <f>IF(DBparts1[[#This Row],[Type]]&gt;0,VLOOKUP(DBparts1[[#This Row],[Type]],Main[[#All],[TYPE]:[UNIT]],'Unit Price'!C$1,FALSE),0)</f>
        <v>0</v>
      </c>
      <c r="H610" s="194">
        <f>IF(DBparts1[[#This Row],[Type]]&gt;0,VLOOKUP(DBparts1[[#This Row],[Type]],Main[[#All],[TYPE]:[UNIT]],'Unit Price'!D$1,FALSE),0)</f>
        <v>0</v>
      </c>
      <c r="I610" s="194">
        <f>IF(DBparts1[[#This Row],[Type]]&gt;0,VLOOKUP(DBparts1[[#This Row],[Type]],Main[[#All],[TYPE]:[UNIT]],'Unit Price'!G$1,FALSE),0)</f>
        <v>0</v>
      </c>
      <c r="J610" s="194">
        <f>IF(DBparts1[[#This Row],[Type]]&gt;0,VLOOKUP(DBparts1[[#This Row],[Type]],Main[[#All],[TYPE]:[UNIT]],'Unit Price'!H$1,FALSE),0)</f>
        <v>0</v>
      </c>
      <c r="K610" s="194">
        <f>IF(DBparts1[[#This Row],[Type]]&gt;0,VLOOKUP(DBparts1[[#This Row],[Discount seletion]],'Discount Structure'!$A$2:$B$30,2,"false"),0)</f>
        <v>0</v>
      </c>
      <c r="L610" s="194">
        <f>DBparts1[[#This Row],[LIST $]]*DBparts1[[#This Row],[DISCOUNT]]*DBparts1[[#This Row],[DISCOUNT 2]]</f>
        <v>0</v>
      </c>
    </row>
    <row r="611" spans="2:12">
      <c r="B611" s="112"/>
      <c r="C611" s="112"/>
      <c r="D611" s="112"/>
      <c r="F611" s="168" t="s">
        <v>6202</v>
      </c>
      <c r="G611" s="232">
        <f>IF(DBparts1[[#This Row],[Type]]&gt;0,VLOOKUP(DBparts1[[#This Row],[Type]],Main[[#All],[TYPE]:[UNIT]],'Unit Price'!C$1,FALSE),0)</f>
        <v>0</v>
      </c>
      <c r="H611" s="194">
        <f>IF(DBparts1[[#This Row],[Type]]&gt;0,VLOOKUP(DBparts1[[#This Row],[Type]],Main[[#All],[TYPE]:[UNIT]],'Unit Price'!D$1,FALSE),0)</f>
        <v>0</v>
      </c>
      <c r="I611" s="194">
        <f>IF(DBparts1[[#This Row],[Type]]&gt;0,VLOOKUP(DBparts1[[#This Row],[Type]],Main[[#All],[TYPE]:[UNIT]],'Unit Price'!G$1,FALSE),0)</f>
        <v>0</v>
      </c>
      <c r="J611" s="194">
        <f>IF(DBparts1[[#This Row],[Type]]&gt;0,VLOOKUP(DBparts1[[#This Row],[Type]],Main[[#All],[TYPE]:[UNIT]],'Unit Price'!H$1,FALSE),0)</f>
        <v>0</v>
      </c>
      <c r="K611" s="194">
        <f>IF(DBparts1[[#This Row],[Type]]&gt;0,VLOOKUP(DBparts1[[#This Row],[Discount seletion]],'Discount Structure'!$A$2:$B$30,2,"false"),0)</f>
        <v>0</v>
      </c>
      <c r="L611" s="194">
        <f>DBparts1[[#This Row],[LIST $]]*DBparts1[[#This Row],[DISCOUNT]]*DBparts1[[#This Row],[DISCOUNT 2]]</f>
        <v>0</v>
      </c>
    </row>
    <row r="612" spans="2:12">
      <c r="B612" s="112"/>
      <c r="C612" s="112"/>
      <c r="D612" s="112"/>
      <c r="F612" s="168" t="s">
        <v>6202</v>
      </c>
      <c r="G612" s="232">
        <f>IF(DBparts1[[#This Row],[Type]]&gt;0,VLOOKUP(DBparts1[[#This Row],[Type]],Main[[#All],[TYPE]:[UNIT]],'Unit Price'!C$1,FALSE),0)</f>
        <v>0</v>
      </c>
      <c r="H612" s="194">
        <f>IF(DBparts1[[#This Row],[Type]]&gt;0,VLOOKUP(DBparts1[[#This Row],[Type]],Main[[#All],[TYPE]:[UNIT]],'Unit Price'!D$1,FALSE),0)</f>
        <v>0</v>
      </c>
      <c r="I612" s="194">
        <f>IF(DBparts1[[#This Row],[Type]]&gt;0,VLOOKUP(DBparts1[[#This Row],[Type]],Main[[#All],[TYPE]:[UNIT]],'Unit Price'!G$1,FALSE),0)</f>
        <v>0</v>
      </c>
      <c r="J612" s="194">
        <f>IF(DBparts1[[#This Row],[Type]]&gt;0,VLOOKUP(DBparts1[[#This Row],[Type]],Main[[#All],[TYPE]:[UNIT]],'Unit Price'!H$1,FALSE),0)</f>
        <v>0</v>
      </c>
      <c r="K612" s="194">
        <f>IF(DBparts1[[#This Row],[Type]]&gt;0,VLOOKUP(DBparts1[[#This Row],[Discount seletion]],'Discount Structure'!$A$2:$B$30,2,"false"),0)</f>
        <v>0</v>
      </c>
      <c r="L612" s="194">
        <f>DBparts1[[#This Row],[LIST $]]*DBparts1[[#This Row],[DISCOUNT]]*DBparts1[[#This Row],[DISCOUNT 2]]</f>
        <v>0</v>
      </c>
    </row>
    <row r="613" spans="2:12">
      <c r="B613" s="112"/>
      <c r="C613" s="112"/>
      <c r="D613" s="112"/>
      <c r="F613" s="168" t="s">
        <v>6202</v>
      </c>
      <c r="G613" s="232">
        <f>IF(DBparts1[[#This Row],[Type]]&gt;0,VLOOKUP(DBparts1[[#This Row],[Type]],Main[[#All],[TYPE]:[UNIT]],'Unit Price'!C$1,FALSE),0)</f>
        <v>0</v>
      </c>
      <c r="H613" s="194">
        <f>IF(DBparts1[[#This Row],[Type]]&gt;0,VLOOKUP(DBparts1[[#This Row],[Type]],Main[[#All],[TYPE]:[UNIT]],'Unit Price'!D$1,FALSE),0)</f>
        <v>0</v>
      </c>
      <c r="I613" s="194">
        <f>IF(DBparts1[[#This Row],[Type]]&gt;0,VLOOKUP(DBparts1[[#This Row],[Type]],Main[[#All],[TYPE]:[UNIT]],'Unit Price'!G$1,FALSE),0)</f>
        <v>0</v>
      </c>
      <c r="J613" s="194">
        <f>IF(DBparts1[[#This Row],[Type]]&gt;0,VLOOKUP(DBparts1[[#This Row],[Type]],Main[[#All],[TYPE]:[UNIT]],'Unit Price'!H$1,FALSE),0)</f>
        <v>0</v>
      </c>
      <c r="K613" s="194">
        <f>IF(DBparts1[[#This Row],[Type]]&gt;0,VLOOKUP(DBparts1[[#This Row],[Discount seletion]],'Discount Structure'!$A$2:$B$30,2,"false"),0)</f>
        <v>0</v>
      </c>
      <c r="L613" s="194">
        <f>DBparts1[[#This Row],[LIST $]]*DBparts1[[#This Row],[DISCOUNT]]*DBparts1[[#This Row],[DISCOUNT 2]]</f>
        <v>0</v>
      </c>
    </row>
    <row r="614" spans="2:12">
      <c r="B614" s="112"/>
      <c r="C614" s="112"/>
      <c r="D614" s="112"/>
      <c r="F614" s="168" t="s">
        <v>6202</v>
      </c>
      <c r="G614" s="232">
        <f>IF(DBparts1[[#This Row],[Type]]&gt;0,VLOOKUP(DBparts1[[#This Row],[Type]],Main[[#All],[TYPE]:[UNIT]],'Unit Price'!C$1,FALSE),0)</f>
        <v>0</v>
      </c>
      <c r="H614" s="194">
        <f>IF(DBparts1[[#This Row],[Type]]&gt;0,VLOOKUP(DBparts1[[#This Row],[Type]],Main[[#All],[TYPE]:[UNIT]],'Unit Price'!D$1,FALSE),0)</f>
        <v>0</v>
      </c>
      <c r="I614" s="194">
        <f>IF(DBparts1[[#This Row],[Type]]&gt;0,VLOOKUP(DBparts1[[#This Row],[Type]],Main[[#All],[TYPE]:[UNIT]],'Unit Price'!G$1,FALSE),0)</f>
        <v>0</v>
      </c>
      <c r="J614" s="194">
        <f>IF(DBparts1[[#This Row],[Type]]&gt;0,VLOOKUP(DBparts1[[#This Row],[Type]],Main[[#All],[TYPE]:[UNIT]],'Unit Price'!H$1,FALSE),0)</f>
        <v>0</v>
      </c>
      <c r="K614" s="194">
        <f>IF(DBparts1[[#This Row],[Type]]&gt;0,VLOOKUP(DBparts1[[#This Row],[Discount seletion]],'Discount Structure'!$A$2:$B$30,2,"false"),0)</f>
        <v>0</v>
      </c>
      <c r="L614" s="194">
        <f>DBparts1[[#This Row],[LIST $]]*DBparts1[[#This Row],[DISCOUNT]]*DBparts1[[#This Row],[DISCOUNT 2]]</f>
        <v>0</v>
      </c>
    </row>
    <row r="615" spans="2:12">
      <c r="B615" s="112"/>
      <c r="C615" s="112"/>
      <c r="D615" s="112"/>
      <c r="F615" s="168" t="s">
        <v>6202</v>
      </c>
      <c r="G615" s="232">
        <f>IF(DBparts1[[#This Row],[Type]]&gt;0,VLOOKUP(DBparts1[[#This Row],[Type]],Main[[#All],[TYPE]:[UNIT]],'Unit Price'!C$1,FALSE),0)</f>
        <v>0</v>
      </c>
      <c r="H615" s="194">
        <f>IF(DBparts1[[#This Row],[Type]]&gt;0,VLOOKUP(DBparts1[[#This Row],[Type]],Main[[#All],[TYPE]:[UNIT]],'Unit Price'!D$1,FALSE),0)</f>
        <v>0</v>
      </c>
      <c r="I615" s="194">
        <f>IF(DBparts1[[#This Row],[Type]]&gt;0,VLOOKUP(DBparts1[[#This Row],[Type]],Main[[#All],[TYPE]:[UNIT]],'Unit Price'!G$1,FALSE),0)</f>
        <v>0</v>
      </c>
      <c r="J615" s="194">
        <f>IF(DBparts1[[#This Row],[Type]]&gt;0,VLOOKUP(DBparts1[[#This Row],[Type]],Main[[#All],[TYPE]:[UNIT]],'Unit Price'!H$1,FALSE),0)</f>
        <v>0</v>
      </c>
      <c r="K615" s="194">
        <f>IF(DBparts1[[#This Row],[Type]]&gt;0,VLOOKUP(DBparts1[[#This Row],[Discount seletion]],'Discount Structure'!$A$2:$B$30,2,"false"),0)</f>
        <v>0</v>
      </c>
      <c r="L615" s="194">
        <f>DBparts1[[#This Row],[LIST $]]*DBparts1[[#This Row],[DISCOUNT]]*DBparts1[[#This Row],[DISCOUNT 2]]</f>
        <v>0</v>
      </c>
    </row>
    <row r="616" spans="2:12">
      <c r="B616" s="112"/>
      <c r="C616" s="112"/>
      <c r="D616" s="112"/>
      <c r="F616" s="168" t="s">
        <v>6202</v>
      </c>
      <c r="G616" s="232">
        <f>IF(DBparts1[[#This Row],[Type]]&gt;0,VLOOKUP(DBparts1[[#This Row],[Type]],Main[[#All],[TYPE]:[UNIT]],'Unit Price'!C$1,FALSE),0)</f>
        <v>0</v>
      </c>
      <c r="H616" s="194">
        <f>IF(DBparts1[[#This Row],[Type]]&gt;0,VLOOKUP(DBparts1[[#This Row],[Type]],Main[[#All],[TYPE]:[UNIT]],'Unit Price'!D$1,FALSE),0)</f>
        <v>0</v>
      </c>
      <c r="I616" s="194">
        <f>IF(DBparts1[[#This Row],[Type]]&gt;0,VLOOKUP(DBparts1[[#This Row],[Type]],Main[[#All],[TYPE]:[UNIT]],'Unit Price'!G$1,FALSE),0)</f>
        <v>0</v>
      </c>
      <c r="J616" s="194">
        <f>IF(DBparts1[[#This Row],[Type]]&gt;0,VLOOKUP(DBparts1[[#This Row],[Type]],Main[[#All],[TYPE]:[UNIT]],'Unit Price'!H$1,FALSE),0)</f>
        <v>0</v>
      </c>
      <c r="K616" s="194">
        <f>IF(DBparts1[[#This Row],[Type]]&gt;0,VLOOKUP(DBparts1[[#This Row],[Discount seletion]],'Discount Structure'!$A$2:$B$30,2,"false"),0)</f>
        <v>0</v>
      </c>
      <c r="L616" s="194">
        <f>DBparts1[[#This Row],[LIST $]]*DBparts1[[#This Row],[DISCOUNT]]*DBparts1[[#This Row],[DISCOUNT 2]]</f>
        <v>0</v>
      </c>
    </row>
    <row r="617" spans="2:12">
      <c r="B617" s="112"/>
      <c r="C617" s="112"/>
      <c r="D617" s="112"/>
      <c r="F617" s="168" t="s">
        <v>6202</v>
      </c>
      <c r="G617" s="232">
        <f>IF(DBparts1[[#This Row],[Type]]&gt;0,VLOOKUP(DBparts1[[#This Row],[Type]],Main[[#All],[TYPE]:[UNIT]],'Unit Price'!C$1,FALSE),0)</f>
        <v>0</v>
      </c>
      <c r="H617" s="194">
        <f>IF(DBparts1[[#This Row],[Type]]&gt;0,VLOOKUP(DBparts1[[#This Row],[Type]],Main[[#All],[TYPE]:[UNIT]],'Unit Price'!D$1,FALSE),0)</f>
        <v>0</v>
      </c>
      <c r="I617" s="194">
        <f>IF(DBparts1[[#This Row],[Type]]&gt;0,VLOOKUP(DBparts1[[#This Row],[Type]],Main[[#All],[TYPE]:[UNIT]],'Unit Price'!G$1,FALSE),0)</f>
        <v>0</v>
      </c>
      <c r="J617" s="194">
        <f>IF(DBparts1[[#This Row],[Type]]&gt;0,VLOOKUP(DBparts1[[#This Row],[Type]],Main[[#All],[TYPE]:[UNIT]],'Unit Price'!H$1,FALSE),0)</f>
        <v>0</v>
      </c>
      <c r="K617" s="194">
        <f>IF(DBparts1[[#This Row],[Type]]&gt;0,VLOOKUP(DBparts1[[#This Row],[Discount seletion]],'Discount Structure'!$A$2:$B$30,2,"false"),0)</f>
        <v>0</v>
      </c>
      <c r="L617" s="194">
        <f>DBparts1[[#This Row],[LIST $]]*DBparts1[[#This Row],[DISCOUNT]]*DBparts1[[#This Row],[DISCOUNT 2]]</f>
        <v>0</v>
      </c>
    </row>
    <row r="618" spans="2:12">
      <c r="B618" s="112"/>
      <c r="C618" s="112"/>
      <c r="D618" s="112"/>
      <c r="F618" s="168" t="s">
        <v>6202</v>
      </c>
      <c r="G618" s="232">
        <f>IF(DBparts1[[#This Row],[Type]]&gt;0,VLOOKUP(DBparts1[[#This Row],[Type]],Main[[#All],[TYPE]:[UNIT]],'Unit Price'!C$1,FALSE),0)</f>
        <v>0</v>
      </c>
      <c r="H618" s="194">
        <f>IF(DBparts1[[#This Row],[Type]]&gt;0,VLOOKUP(DBparts1[[#This Row],[Type]],Main[[#All],[TYPE]:[UNIT]],'Unit Price'!D$1,FALSE),0)</f>
        <v>0</v>
      </c>
      <c r="I618" s="194">
        <f>IF(DBparts1[[#This Row],[Type]]&gt;0,VLOOKUP(DBparts1[[#This Row],[Type]],Main[[#All],[TYPE]:[UNIT]],'Unit Price'!G$1,FALSE),0)</f>
        <v>0</v>
      </c>
      <c r="J618" s="194">
        <f>IF(DBparts1[[#This Row],[Type]]&gt;0,VLOOKUP(DBparts1[[#This Row],[Type]],Main[[#All],[TYPE]:[UNIT]],'Unit Price'!H$1,FALSE),0)</f>
        <v>0</v>
      </c>
      <c r="K618" s="194">
        <f>IF(DBparts1[[#This Row],[Type]]&gt;0,VLOOKUP(DBparts1[[#This Row],[Discount seletion]],'Discount Structure'!$A$2:$B$30,2,"false"),0)</f>
        <v>0</v>
      </c>
      <c r="L618" s="194">
        <f>DBparts1[[#This Row],[LIST $]]*DBparts1[[#This Row],[DISCOUNT]]*DBparts1[[#This Row],[DISCOUNT 2]]</f>
        <v>0</v>
      </c>
    </row>
    <row r="619" spans="2:12">
      <c r="B619" s="112"/>
      <c r="C619" s="112"/>
      <c r="D619" s="112"/>
      <c r="F619" s="168" t="s">
        <v>6202</v>
      </c>
      <c r="G619" s="232">
        <f>IF(DBparts1[[#This Row],[Type]]&gt;0,VLOOKUP(DBparts1[[#This Row],[Type]],Main[[#All],[TYPE]:[UNIT]],'Unit Price'!C$1,FALSE),0)</f>
        <v>0</v>
      </c>
      <c r="H619" s="194">
        <f>IF(DBparts1[[#This Row],[Type]]&gt;0,VLOOKUP(DBparts1[[#This Row],[Type]],Main[[#All],[TYPE]:[UNIT]],'Unit Price'!D$1,FALSE),0)</f>
        <v>0</v>
      </c>
      <c r="I619" s="194">
        <f>IF(DBparts1[[#This Row],[Type]]&gt;0,VLOOKUP(DBparts1[[#This Row],[Type]],Main[[#All],[TYPE]:[UNIT]],'Unit Price'!G$1,FALSE),0)</f>
        <v>0</v>
      </c>
      <c r="J619" s="194">
        <f>IF(DBparts1[[#This Row],[Type]]&gt;0,VLOOKUP(DBparts1[[#This Row],[Type]],Main[[#All],[TYPE]:[UNIT]],'Unit Price'!H$1,FALSE),0)</f>
        <v>0</v>
      </c>
      <c r="K619" s="194">
        <f>IF(DBparts1[[#This Row],[Type]]&gt;0,VLOOKUP(DBparts1[[#This Row],[Discount seletion]],'Discount Structure'!$A$2:$B$30,2,"false"),0)</f>
        <v>0</v>
      </c>
      <c r="L619" s="194">
        <f>DBparts1[[#This Row],[LIST $]]*DBparts1[[#This Row],[DISCOUNT]]*DBparts1[[#This Row],[DISCOUNT 2]]</f>
        <v>0</v>
      </c>
    </row>
    <row r="620" spans="2:12">
      <c r="B620" s="112"/>
      <c r="C620" s="112"/>
      <c r="D620" s="112"/>
      <c r="F620" s="168" t="s">
        <v>6202</v>
      </c>
      <c r="G620" s="232">
        <f>IF(DBparts1[[#This Row],[Type]]&gt;0,VLOOKUP(DBparts1[[#This Row],[Type]],Main[[#All],[TYPE]:[UNIT]],'Unit Price'!C$1,FALSE),0)</f>
        <v>0</v>
      </c>
      <c r="H620" s="194">
        <f>IF(DBparts1[[#This Row],[Type]]&gt;0,VLOOKUP(DBparts1[[#This Row],[Type]],Main[[#All],[TYPE]:[UNIT]],'Unit Price'!D$1,FALSE),0)</f>
        <v>0</v>
      </c>
      <c r="I620" s="194">
        <f>IF(DBparts1[[#This Row],[Type]]&gt;0,VLOOKUP(DBparts1[[#This Row],[Type]],Main[[#All],[TYPE]:[UNIT]],'Unit Price'!G$1,FALSE),0)</f>
        <v>0</v>
      </c>
      <c r="J620" s="194">
        <f>IF(DBparts1[[#This Row],[Type]]&gt;0,VLOOKUP(DBparts1[[#This Row],[Type]],Main[[#All],[TYPE]:[UNIT]],'Unit Price'!H$1,FALSE),0)</f>
        <v>0</v>
      </c>
      <c r="K620" s="194">
        <f>IF(DBparts1[[#This Row],[Type]]&gt;0,VLOOKUP(DBparts1[[#This Row],[Discount seletion]],'Discount Structure'!$A$2:$B$30,2,"false"),0)</f>
        <v>0</v>
      </c>
      <c r="L620" s="194">
        <f>DBparts1[[#This Row],[LIST $]]*DBparts1[[#This Row],[DISCOUNT]]*DBparts1[[#This Row],[DISCOUNT 2]]</f>
        <v>0</v>
      </c>
    </row>
    <row r="621" spans="2:12">
      <c r="B621" s="112"/>
      <c r="C621" s="112"/>
      <c r="D621" s="112"/>
      <c r="F621" s="168" t="s">
        <v>6202</v>
      </c>
      <c r="G621" s="232">
        <f>IF(DBparts1[[#This Row],[Type]]&gt;0,VLOOKUP(DBparts1[[#This Row],[Type]],Main[[#All],[TYPE]:[UNIT]],'Unit Price'!C$1,FALSE),0)</f>
        <v>0</v>
      </c>
      <c r="H621" s="194">
        <f>IF(DBparts1[[#This Row],[Type]]&gt;0,VLOOKUP(DBparts1[[#This Row],[Type]],Main[[#All],[TYPE]:[UNIT]],'Unit Price'!D$1,FALSE),0)</f>
        <v>0</v>
      </c>
      <c r="I621" s="194">
        <f>IF(DBparts1[[#This Row],[Type]]&gt;0,VLOOKUP(DBparts1[[#This Row],[Type]],Main[[#All],[TYPE]:[UNIT]],'Unit Price'!G$1,FALSE),0)</f>
        <v>0</v>
      </c>
      <c r="J621" s="194">
        <f>IF(DBparts1[[#This Row],[Type]]&gt;0,VLOOKUP(DBparts1[[#This Row],[Type]],Main[[#All],[TYPE]:[UNIT]],'Unit Price'!H$1,FALSE),0)</f>
        <v>0</v>
      </c>
      <c r="K621" s="194">
        <f>IF(DBparts1[[#This Row],[Type]]&gt;0,VLOOKUP(DBparts1[[#This Row],[Discount seletion]],'Discount Structure'!$A$2:$B$30,2,"false"),0)</f>
        <v>0</v>
      </c>
      <c r="L621" s="194">
        <f>DBparts1[[#This Row],[LIST $]]*DBparts1[[#This Row],[DISCOUNT]]*DBparts1[[#This Row],[DISCOUNT 2]]</f>
        <v>0</v>
      </c>
    </row>
    <row r="622" spans="2:12">
      <c r="B622" s="112"/>
      <c r="C622" s="112"/>
      <c r="D622" s="112"/>
      <c r="F622" s="168" t="s">
        <v>6202</v>
      </c>
      <c r="G622" s="232">
        <f>IF(DBparts1[[#This Row],[Type]]&gt;0,VLOOKUP(DBparts1[[#This Row],[Type]],Main[[#All],[TYPE]:[UNIT]],'Unit Price'!C$1,FALSE),0)</f>
        <v>0</v>
      </c>
      <c r="H622" s="194">
        <f>IF(DBparts1[[#This Row],[Type]]&gt;0,VLOOKUP(DBparts1[[#This Row],[Type]],Main[[#All],[TYPE]:[UNIT]],'Unit Price'!D$1,FALSE),0)</f>
        <v>0</v>
      </c>
      <c r="I622" s="194">
        <f>IF(DBparts1[[#This Row],[Type]]&gt;0,VLOOKUP(DBparts1[[#This Row],[Type]],Main[[#All],[TYPE]:[UNIT]],'Unit Price'!G$1,FALSE),0)</f>
        <v>0</v>
      </c>
      <c r="J622" s="194">
        <f>IF(DBparts1[[#This Row],[Type]]&gt;0,VLOOKUP(DBparts1[[#This Row],[Type]],Main[[#All],[TYPE]:[UNIT]],'Unit Price'!H$1,FALSE),0)</f>
        <v>0</v>
      </c>
      <c r="K622" s="194">
        <f>IF(DBparts1[[#This Row],[Type]]&gt;0,VLOOKUP(DBparts1[[#This Row],[Discount seletion]],'Discount Structure'!$A$2:$B$30,2,"false"),0)</f>
        <v>0</v>
      </c>
      <c r="L622" s="194">
        <f>DBparts1[[#This Row],[LIST $]]*DBparts1[[#This Row],[DISCOUNT]]*DBparts1[[#This Row],[DISCOUNT 2]]</f>
        <v>0</v>
      </c>
    </row>
    <row r="623" spans="2:12">
      <c r="B623" s="112"/>
      <c r="C623" s="112"/>
      <c r="D623" s="112"/>
      <c r="F623" s="168" t="s">
        <v>6202</v>
      </c>
      <c r="G623" s="232">
        <f>IF(DBparts1[[#This Row],[Type]]&gt;0,VLOOKUP(DBparts1[[#This Row],[Type]],Main[[#All],[TYPE]:[UNIT]],'Unit Price'!C$1,FALSE),0)</f>
        <v>0</v>
      </c>
      <c r="H623" s="194">
        <f>IF(DBparts1[[#This Row],[Type]]&gt;0,VLOOKUP(DBparts1[[#This Row],[Type]],Main[[#All],[TYPE]:[UNIT]],'Unit Price'!D$1,FALSE),0)</f>
        <v>0</v>
      </c>
      <c r="I623" s="194">
        <f>IF(DBparts1[[#This Row],[Type]]&gt;0,VLOOKUP(DBparts1[[#This Row],[Type]],Main[[#All],[TYPE]:[UNIT]],'Unit Price'!G$1,FALSE),0)</f>
        <v>0</v>
      </c>
      <c r="J623" s="194">
        <f>IF(DBparts1[[#This Row],[Type]]&gt;0,VLOOKUP(DBparts1[[#This Row],[Type]],Main[[#All],[TYPE]:[UNIT]],'Unit Price'!H$1,FALSE),0)</f>
        <v>0</v>
      </c>
      <c r="K623" s="194">
        <f>IF(DBparts1[[#This Row],[Type]]&gt;0,VLOOKUP(DBparts1[[#This Row],[Discount seletion]],'Discount Structure'!$A$2:$B$30,2,"false"),0)</f>
        <v>0</v>
      </c>
      <c r="L623" s="194">
        <f>DBparts1[[#This Row],[LIST $]]*DBparts1[[#This Row],[DISCOUNT]]*DBparts1[[#This Row],[DISCOUNT 2]]</f>
        <v>0</v>
      </c>
    </row>
    <row r="624" spans="2:12">
      <c r="B624" s="112"/>
      <c r="C624" s="112"/>
      <c r="D624" s="112"/>
      <c r="F624" s="168" t="s">
        <v>6202</v>
      </c>
      <c r="G624" s="232">
        <f>IF(DBparts1[[#This Row],[Type]]&gt;0,VLOOKUP(DBparts1[[#This Row],[Type]],Main[[#All],[TYPE]:[UNIT]],'Unit Price'!C$1,FALSE),0)</f>
        <v>0</v>
      </c>
      <c r="H624" s="194">
        <f>IF(DBparts1[[#This Row],[Type]]&gt;0,VLOOKUP(DBparts1[[#This Row],[Type]],Main[[#All],[TYPE]:[UNIT]],'Unit Price'!D$1,FALSE),0)</f>
        <v>0</v>
      </c>
      <c r="I624" s="194">
        <f>IF(DBparts1[[#This Row],[Type]]&gt;0,VLOOKUP(DBparts1[[#This Row],[Type]],Main[[#All],[TYPE]:[UNIT]],'Unit Price'!G$1,FALSE),0)</f>
        <v>0</v>
      </c>
      <c r="J624" s="194">
        <f>IF(DBparts1[[#This Row],[Type]]&gt;0,VLOOKUP(DBparts1[[#This Row],[Type]],Main[[#All],[TYPE]:[UNIT]],'Unit Price'!H$1,FALSE),0)</f>
        <v>0</v>
      </c>
      <c r="K624" s="194">
        <f>IF(DBparts1[[#This Row],[Type]]&gt;0,VLOOKUP(DBparts1[[#This Row],[Discount seletion]],'Discount Structure'!$A$2:$B$30,2,"false"),0)</f>
        <v>0</v>
      </c>
      <c r="L624" s="194">
        <f>DBparts1[[#This Row],[LIST $]]*DBparts1[[#This Row],[DISCOUNT]]*DBparts1[[#This Row],[DISCOUNT 2]]</f>
        <v>0</v>
      </c>
    </row>
    <row r="625" spans="2:12">
      <c r="B625" s="112"/>
      <c r="C625" s="112"/>
      <c r="D625" s="112"/>
      <c r="F625" s="168" t="s">
        <v>6202</v>
      </c>
      <c r="G625" s="232">
        <f>IF(DBparts1[[#This Row],[Type]]&gt;0,VLOOKUP(DBparts1[[#This Row],[Type]],Main[[#All],[TYPE]:[UNIT]],'Unit Price'!C$1,FALSE),0)</f>
        <v>0</v>
      </c>
      <c r="H625" s="194">
        <f>IF(DBparts1[[#This Row],[Type]]&gt;0,VLOOKUP(DBparts1[[#This Row],[Type]],Main[[#All],[TYPE]:[UNIT]],'Unit Price'!D$1,FALSE),0)</f>
        <v>0</v>
      </c>
      <c r="I625" s="194">
        <f>IF(DBparts1[[#This Row],[Type]]&gt;0,VLOOKUP(DBparts1[[#This Row],[Type]],Main[[#All],[TYPE]:[UNIT]],'Unit Price'!G$1,FALSE),0)</f>
        <v>0</v>
      </c>
      <c r="J625" s="194">
        <f>IF(DBparts1[[#This Row],[Type]]&gt;0,VLOOKUP(DBparts1[[#This Row],[Type]],Main[[#All],[TYPE]:[UNIT]],'Unit Price'!H$1,FALSE),0)</f>
        <v>0</v>
      </c>
      <c r="K625" s="194">
        <f>IF(DBparts1[[#This Row],[Type]]&gt;0,VLOOKUP(DBparts1[[#This Row],[Discount seletion]],'Discount Structure'!$A$2:$B$30,2,"false"),0)</f>
        <v>0</v>
      </c>
      <c r="L625" s="194">
        <f>DBparts1[[#This Row],[LIST $]]*DBparts1[[#This Row],[DISCOUNT]]*DBparts1[[#This Row],[DISCOUNT 2]]</f>
        <v>0</v>
      </c>
    </row>
    <row r="626" spans="2:12">
      <c r="B626" s="112"/>
      <c r="C626" s="112"/>
      <c r="D626" s="112"/>
      <c r="F626" s="168" t="s">
        <v>6202</v>
      </c>
      <c r="G626" s="232">
        <f>IF(DBparts1[[#This Row],[Type]]&gt;0,VLOOKUP(DBparts1[[#This Row],[Type]],Main[[#All],[TYPE]:[UNIT]],'Unit Price'!C$1,FALSE),0)</f>
        <v>0</v>
      </c>
      <c r="H626" s="194">
        <f>IF(DBparts1[[#This Row],[Type]]&gt;0,VLOOKUP(DBparts1[[#This Row],[Type]],Main[[#All],[TYPE]:[UNIT]],'Unit Price'!D$1,FALSE),0)</f>
        <v>0</v>
      </c>
      <c r="I626" s="194">
        <f>IF(DBparts1[[#This Row],[Type]]&gt;0,VLOOKUP(DBparts1[[#This Row],[Type]],Main[[#All],[TYPE]:[UNIT]],'Unit Price'!G$1,FALSE),0)</f>
        <v>0</v>
      </c>
      <c r="J626" s="194">
        <f>IF(DBparts1[[#This Row],[Type]]&gt;0,VLOOKUP(DBparts1[[#This Row],[Type]],Main[[#All],[TYPE]:[UNIT]],'Unit Price'!H$1,FALSE),0)</f>
        <v>0</v>
      </c>
      <c r="K626" s="194">
        <f>IF(DBparts1[[#This Row],[Type]]&gt;0,VLOOKUP(DBparts1[[#This Row],[Discount seletion]],'Discount Structure'!$A$2:$B$30,2,"false"),0)</f>
        <v>0</v>
      </c>
      <c r="L626" s="194">
        <f>DBparts1[[#This Row],[LIST $]]*DBparts1[[#This Row],[DISCOUNT]]*DBparts1[[#This Row],[DISCOUNT 2]]</f>
        <v>0</v>
      </c>
    </row>
    <row r="627" spans="2:12">
      <c r="B627" s="112"/>
      <c r="C627" s="112"/>
      <c r="D627" s="112"/>
      <c r="F627" s="168" t="s">
        <v>6202</v>
      </c>
      <c r="G627" s="232">
        <f>IF(DBparts1[[#This Row],[Type]]&gt;0,VLOOKUP(DBparts1[[#This Row],[Type]],Main[[#All],[TYPE]:[UNIT]],'Unit Price'!C$1,FALSE),0)</f>
        <v>0</v>
      </c>
      <c r="H627" s="194">
        <f>IF(DBparts1[[#This Row],[Type]]&gt;0,VLOOKUP(DBparts1[[#This Row],[Type]],Main[[#All],[TYPE]:[UNIT]],'Unit Price'!D$1,FALSE),0)</f>
        <v>0</v>
      </c>
      <c r="I627" s="194">
        <f>IF(DBparts1[[#This Row],[Type]]&gt;0,VLOOKUP(DBparts1[[#This Row],[Type]],Main[[#All],[TYPE]:[UNIT]],'Unit Price'!G$1,FALSE),0)</f>
        <v>0</v>
      </c>
      <c r="J627" s="194">
        <f>IF(DBparts1[[#This Row],[Type]]&gt;0,VLOOKUP(DBparts1[[#This Row],[Type]],Main[[#All],[TYPE]:[UNIT]],'Unit Price'!H$1,FALSE),0)</f>
        <v>0</v>
      </c>
      <c r="K627" s="194">
        <f>IF(DBparts1[[#This Row],[Type]]&gt;0,VLOOKUP(DBparts1[[#This Row],[Discount seletion]],'Discount Structure'!$A$2:$B$30,2,"false"),0)</f>
        <v>0</v>
      </c>
      <c r="L627" s="194">
        <f>DBparts1[[#This Row],[LIST $]]*DBparts1[[#This Row],[DISCOUNT]]*DBparts1[[#This Row],[DISCOUNT 2]]</f>
        <v>0</v>
      </c>
    </row>
    <row r="628" spans="2:12">
      <c r="B628" s="112"/>
      <c r="C628" s="112"/>
      <c r="D628" s="112"/>
      <c r="F628" s="168" t="s">
        <v>6202</v>
      </c>
      <c r="G628" s="232">
        <f>IF(DBparts1[[#This Row],[Type]]&gt;0,VLOOKUP(DBparts1[[#This Row],[Type]],Main[[#All],[TYPE]:[UNIT]],'Unit Price'!C$1,FALSE),0)</f>
        <v>0</v>
      </c>
      <c r="H628" s="194">
        <f>IF(DBparts1[[#This Row],[Type]]&gt;0,VLOOKUP(DBparts1[[#This Row],[Type]],Main[[#All],[TYPE]:[UNIT]],'Unit Price'!D$1,FALSE),0)</f>
        <v>0</v>
      </c>
      <c r="I628" s="194">
        <f>IF(DBparts1[[#This Row],[Type]]&gt;0,VLOOKUP(DBparts1[[#This Row],[Type]],Main[[#All],[TYPE]:[UNIT]],'Unit Price'!G$1,FALSE),0)</f>
        <v>0</v>
      </c>
      <c r="J628" s="194">
        <f>IF(DBparts1[[#This Row],[Type]]&gt;0,VLOOKUP(DBparts1[[#This Row],[Type]],Main[[#All],[TYPE]:[UNIT]],'Unit Price'!H$1,FALSE),0)</f>
        <v>0</v>
      </c>
      <c r="K628" s="194">
        <f>IF(DBparts1[[#This Row],[Type]]&gt;0,VLOOKUP(DBparts1[[#This Row],[Discount seletion]],'Discount Structure'!$A$2:$B$30,2,"false"),0)</f>
        <v>0</v>
      </c>
      <c r="L628" s="194">
        <f>DBparts1[[#This Row],[LIST $]]*DBparts1[[#This Row],[DISCOUNT]]*DBparts1[[#This Row],[DISCOUNT 2]]</f>
        <v>0</v>
      </c>
    </row>
    <row r="629" spans="2:12">
      <c r="B629" s="112"/>
      <c r="C629" s="112"/>
      <c r="D629" s="112"/>
      <c r="F629" s="168" t="s">
        <v>6202</v>
      </c>
      <c r="G629" s="232">
        <f>IF(DBparts1[[#This Row],[Type]]&gt;0,VLOOKUP(DBparts1[[#This Row],[Type]],Main[[#All],[TYPE]:[UNIT]],'Unit Price'!C$1,FALSE),0)</f>
        <v>0</v>
      </c>
      <c r="H629" s="194">
        <f>IF(DBparts1[[#This Row],[Type]]&gt;0,VLOOKUP(DBparts1[[#This Row],[Type]],Main[[#All],[TYPE]:[UNIT]],'Unit Price'!D$1,FALSE),0)</f>
        <v>0</v>
      </c>
      <c r="I629" s="194">
        <f>IF(DBparts1[[#This Row],[Type]]&gt;0,VLOOKUP(DBparts1[[#This Row],[Type]],Main[[#All],[TYPE]:[UNIT]],'Unit Price'!G$1,FALSE),0)</f>
        <v>0</v>
      </c>
      <c r="J629" s="194">
        <f>IF(DBparts1[[#This Row],[Type]]&gt;0,VLOOKUP(DBparts1[[#This Row],[Type]],Main[[#All],[TYPE]:[UNIT]],'Unit Price'!H$1,FALSE),0)</f>
        <v>0</v>
      </c>
      <c r="K629" s="194">
        <f>IF(DBparts1[[#This Row],[Type]]&gt;0,VLOOKUP(DBparts1[[#This Row],[Discount seletion]],'Discount Structure'!$A$2:$B$30,2,"false"),0)</f>
        <v>0</v>
      </c>
      <c r="L629" s="194">
        <f>DBparts1[[#This Row],[LIST $]]*DBparts1[[#This Row],[DISCOUNT]]*DBparts1[[#This Row],[DISCOUNT 2]]</f>
        <v>0</v>
      </c>
    </row>
    <row r="630" spans="2:12">
      <c r="B630" s="112"/>
      <c r="C630" s="112"/>
      <c r="D630" s="112"/>
      <c r="F630" s="168" t="s">
        <v>6202</v>
      </c>
      <c r="G630" s="232">
        <f>IF(DBparts1[[#This Row],[Type]]&gt;0,VLOOKUP(DBparts1[[#This Row],[Type]],Main[[#All],[TYPE]:[UNIT]],'Unit Price'!C$1,FALSE),0)</f>
        <v>0</v>
      </c>
      <c r="H630" s="194">
        <f>IF(DBparts1[[#This Row],[Type]]&gt;0,VLOOKUP(DBparts1[[#This Row],[Type]],Main[[#All],[TYPE]:[UNIT]],'Unit Price'!D$1,FALSE),0)</f>
        <v>0</v>
      </c>
      <c r="I630" s="194">
        <f>IF(DBparts1[[#This Row],[Type]]&gt;0,VLOOKUP(DBparts1[[#This Row],[Type]],Main[[#All],[TYPE]:[UNIT]],'Unit Price'!G$1,FALSE),0)</f>
        <v>0</v>
      </c>
      <c r="J630" s="194">
        <f>IF(DBparts1[[#This Row],[Type]]&gt;0,VLOOKUP(DBparts1[[#This Row],[Type]],Main[[#All],[TYPE]:[UNIT]],'Unit Price'!H$1,FALSE),0)</f>
        <v>0</v>
      </c>
      <c r="K630" s="194">
        <f>IF(DBparts1[[#This Row],[Type]]&gt;0,VLOOKUP(DBparts1[[#This Row],[Discount seletion]],'Discount Structure'!$A$2:$B$30,2,"false"),0)</f>
        <v>0</v>
      </c>
      <c r="L630" s="194">
        <f>DBparts1[[#This Row],[LIST $]]*DBparts1[[#This Row],[DISCOUNT]]*DBparts1[[#This Row],[DISCOUNT 2]]</f>
        <v>0</v>
      </c>
    </row>
    <row r="631" spans="2:12">
      <c r="B631" s="112"/>
      <c r="C631" s="112"/>
      <c r="D631" s="112"/>
      <c r="F631" s="168" t="s">
        <v>6202</v>
      </c>
      <c r="G631" s="232">
        <f>IF(DBparts1[[#This Row],[Type]]&gt;0,VLOOKUP(DBparts1[[#This Row],[Type]],Main[[#All],[TYPE]:[UNIT]],'Unit Price'!C$1,FALSE),0)</f>
        <v>0</v>
      </c>
      <c r="H631" s="194">
        <f>IF(DBparts1[[#This Row],[Type]]&gt;0,VLOOKUP(DBparts1[[#This Row],[Type]],Main[[#All],[TYPE]:[UNIT]],'Unit Price'!D$1,FALSE),0)</f>
        <v>0</v>
      </c>
      <c r="I631" s="194">
        <f>IF(DBparts1[[#This Row],[Type]]&gt;0,VLOOKUP(DBparts1[[#This Row],[Type]],Main[[#All],[TYPE]:[UNIT]],'Unit Price'!G$1,FALSE),0)</f>
        <v>0</v>
      </c>
      <c r="J631" s="194">
        <f>IF(DBparts1[[#This Row],[Type]]&gt;0,VLOOKUP(DBparts1[[#This Row],[Type]],Main[[#All],[TYPE]:[UNIT]],'Unit Price'!H$1,FALSE),0)</f>
        <v>0</v>
      </c>
      <c r="K631" s="194">
        <f>IF(DBparts1[[#This Row],[Type]]&gt;0,VLOOKUP(DBparts1[[#This Row],[Discount seletion]],'Discount Structure'!$A$2:$B$30,2,"false"),0)</f>
        <v>0</v>
      </c>
      <c r="L631" s="194">
        <f>DBparts1[[#This Row],[LIST $]]*DBparts1[[#This Row],[DISCOUNT]]*DBparts1[[#This Row],[DISCOUNT 2]]</f>
        <v>0</v>
      </c>
    </row>
    <row r="632" spans="2:12">
      <c r="B632" s="112"/>
      <c r="C632" s="112"/>
      <c r="D632" s="112"/>
      <c r="F632" s="168" t="s">
        <v>6202</v>
      </c>
      <c r="G632" s="232">
        <f>IF(DBparts1[[#This Row],[Type]]&gt;0,VLOOKUP(DBparts1[[#This Row],[Type]],Main[[#All],[TYPE]:[UNIT]],'Unit Price'!C$1,FALSE),0)</f>
        <v>0</v>
      </c>
      <c r="H632" s="194">
        <f>IF(DBparts1[[#This Row],[Type]]&gt;0,VLOOKUP(DBparts1[[#This Row],[Type]],Main[[#All],[TYPE]:[UNIT]],'Unit Price'!D$1,FALSE),0)</f>
        <v>0</v>
      </c>
      <c r="I632" s="194">
        <f>IF(DBparts1[[#This Row],[Type]]&gt;0,VLOOKUP(DBparts1[[#This Row],[Type]],Main[[#All],[TYPE]:[UNIT]],'Unit Price'!G$1,FALSE),0)</f>
        <v>0</v>
      </c>
      <c r="J632" s="194">
        <f>IF(DBparts1[[#This Row],[Type]]&gt;0,VLOOKUP(DBparts1[[#This Row],[Type]],Main[[#All],[TYPE]:[UNIT]],'Unit Price'!H$1,FALSE),0)</f>
        <v>0</v>
      </c>
      <c r="K632" s="194">
        <f>IF(DBparts1[[#This Row],[Type]]&gt;0,VLOOKUP(DBparts1[[#This Row],[Discount seletion]],'Discount Structure'!$A$2:$B$30,2,"false"),0)</f>
        <v>0</v>
      </c>
      <c r="L632" s="194">
        <f>DBparts1[[#This Row],[LIST $]]*DBparts1[[#This Row],[DISCOUNT]]*DBparts1[[#This Row],[DISCOUNT 2]]</f>
        <v>0</v>
      </c>
    </row>
    <row r="633" spans="2:12">
      <c r="B633" s="112"/>
      <c r="C633" s="112"/>
      <c r="D633" s="112"/>
      <c r="F633" s="168" t="s">
        <v>6202</v>
      </c>
      <c r="G633" s="232">
        <f>IF(DBparts1[[#This Row],[Type]]&gt;0,VLOOKUP(DBparts1[[#This Row],[Type]],Main[[#All],[TYPE]:[UNIT]],'Unit Price'!C$1,FALSE),0)</f>
        <v>0</v>
      </c>
      <c r="H633" s="194">
        <f>IF(DBparts1[[#This Row],[Type]]&gt;0,VLOOKUP(DBparts1[[#This Row],[Type]],Main[[#All],[TYPE]:[UNIT]],'Unit Price'!D$1,FALSE),0)</f>
        <v>0</v>
      </c>
      <c r="I633" s="194">
        <f>IF(DBparts1[[#This Row],[Type]]&gt;0,VLOOKUP(DBparts1[[#This Row],[Type]],Main[[#All],[TYPE]:[UNIT]],'Unit Price'!G$1,FALSE),0)</f>
        <v>0</v>
      </c>
      <c r="J633" s="194">
        <f>IF(DBparts1[[#This Row],[Type]]&gt;0,VLOOKUP(DBparts1[[#This Row],[Type]],Main[[#All],[TYPE]:[UNIT]],'Unit Price'!H$1,FALSE),0)</f>
        <v>0</v>
      </c>
      <c r="K633" s="194">
        <f>IF(DBparts1[[#This Row],[Type]]&gt;0,VLOOKUP(DBparts1[[#This Row],[Discount seletion]],'Discount Structure'!$A$2:$B$30,2,"false"),0)</f>
        <v>0</v>
      </c>
      <c r="L633" s="194">
        <f>DBparts1[[#This Row],[LIST $]]*DBparts1[[#This Row],[DISCOUNT]]*DBparts1[[#This Row],[DISCOUNT 2]]</f>
        <v>0</v>
      </c>
    </row>
    <row r="634" spans="2:12">
      <c r="B634" s="112"/>
      <c r="C634" s="112"/>
      <c r="D634" s="112"/>
      <c r="F634" s="168" t="s">
        <v>6202</v>
      </c>
      <c r="G634" s="232">
        <f>IF(DBparts1[[#This Row],[Type]]&gt;0,VLOOKUP(DBparts1[[#This Row],[Type]],Main[[#All],[TYPE]:[UNIT]],'Unit Price'!C$1,FALSE),0)</f>
        <v>0</v>
      </c>
      <c r="H634" s="194">
        <f>IF(DBparts1[[#This Row],[Type]]&gt;0,VLOOKUP(DBparts1[[#This Row],[Type]],Main[[#All],[TYPE]:[UNIT]],'Unit Price'!D$1,FALSE),0)</f>
        <v>0</v>
      </c>
      <c r="I634" s="194">
        <f>IF(DBparts1[[#This Row],[Type]]&gt;0,VLOOKUP(DBparts1[[#This Row],[Type]],Main[[#All],[TYPE]:[UNIT]],'Unit Price'!G$1,FALSE),0)</f>
        <v>0</v>
      </c>
      <c r="J634" s="194">
        <f>IF(DBparts1[[#This Row],[Type]]&gt;0,VLOOKUP(DBparts1[[#This Row],[Type]],Main[[#All],[TYPE]:[UNIT]],'Unit Price'!H$1,FALSE),0)</f>
        <v>0</v>
      </c>
      <c r="K634" s="194">
        <f>IF(DBparts1[[#This Row],[Type]]&gt;0,VLOOKUP(DBparts1[[#This Row],[Discount seletion]],'Discount Structure'!$A$2:$B$30,2,"false"),0)</f>
        <v>0</v>
      </c>
      <c r="L634" s="194">
        <f>DBparts1[[#This Row],[LIST $]]*DBparts1[[#This Row],[DISCOUNT]]*DBparts1[[#This Row],[DISCOUNT 2]]</f>
        <v>0</v>
      </c>
    </row>
    <row r="635" spans="2:12">
      <c r="B635" s="112"/>
      <c r="C635" s="112"/>
      <c r="D635" s="112"/>
      <c r="F635" s="168" t="s">
        <v>6202</v>
      </c>
      <c r="G635" s="232">
        <f>IF(DBparts1[[#This Row],[Type]]&gt;0,VLOOKUP(DBparts1[[#This Row],[Type]],Main[[#All],[TYPE]:[UNIT]],'Unit Price'!C$1,FALSE),0)</f>
        <v>0</v>
      </c>
      <c r="H635" s="194">
        <f>IF(DBparts1[[#This Row],[Type]]&gt;0,VLOOKUP(DBparts1[[#This Row],[Type]],Main[[#All],[TYPE]:[UNIT]],'Unit Price'!D$1,FALSE),0)</f>
        <v>0</v>
      </c>
      <c r="I635" s="194">
        <f>IF(DBparts1[[#This Row],[Type]]&gt;0,VLOOKUP(DBparts1[[#This Row],[Type]],Main[[#All],[TYPE]:[UNIT]],'Unit Price'!G$1,FALSE),0)</f>
        <v>0</v>
      </c>
      <c r="J635" s="194">
        <f>IF(DBparts1[[#This Row],[Type]]&gt;0,VLOOKUP(DBparts1[[#This Row],[Type]],Main[[#All],[TYPE]:[UNIT]],'Unit Price'!H$1,FALSE),0)</f>
        <v>0</v>
      </c>
      <c r="K635" s="194">
        <f>IF(DBparts1[[#This Row],[Type]]&gt;0,VLOOKUP(DBparts1[[#This Row],[Discount seletion]],'Discount Structure'!$A$2:$B$30,2,"false"),0)</f>
        <v>0</v>
      </c>
      <c r="L635" s="194">
        <f>DBparts1[[#This Row],[LIST $]]*DBparts1[[#This Row],[DISCOUNT]]*DBparts1[[#This Row],[DISCOUNT 2]]</f>
        <v>0</v>
      </c>
    </row>
    <row r="636" spans="2:12">
      <c r="B636" s="112"/>
      <c r="C636" s="112"/>
      <c r="D636" s="112"/>
      <c r="F636" s="168" t="s">
        <v>6202</v>
      </c>
      <c r="G636" s="232">
        <f>IF(DBparts1[[#This Row],[Type]]&gt;0,VLOOKUP(DBparts1[[#This Row],[Type]],Main[[#All],[TYPE]:[UNIT]],'Unit Price'!C$1,FALSE),0)</f>
        <v>0</v>
      </c>
      <c r="H636" s="194">
        <f>IF(DBparts1[[#This Row],[Type]]&gt;0,VLOOKUP(DBparts1[[#This Row],[Type]],Main[[#All],[TYPE]:[UNIT]],'Unit Price'!D$1,FALSE),0)</f>
        <v>0</v>
      </c>
      <c r="I636" s="194">
        <f>IF(DBparts1[[#This Row],[Type]]&gt;0,VLOOKUP(DBparts1[[#This Row],[Type]],Main[[#All],[TYPE]:[UNIT]],'Unit Price'!G$1,FALSE),0)</f>
        <v>0</v>
      </c>
      <c r="J636" s="194">
        <f>IF(DBparts1[[#This Row],[Type]]&gt;0,VLOOKUP(DBparts1[[#This Row],[Type]],Main[[#All],[TYPE]:[UNIT]],'Unit Price'!H$1,FALSE),0)</f>
        <v>0</v>
      </c>
      <c r="K636" s="194">
        <f>IF(DBparts1[[#This Row],[Type]]&gt;0,VLOOKUP(DBparts1[[#This Row],[Discount seletion]],'Discount Structure'!$A$2:$B$30,2,"false"),0)</f>
        <v>0</v>
      </c>
      <c r="L636" s="194">
        <f>DBparts1[[#This Row],[LIST $]]*DBparts1[[#This Row],[DISCOUNT]]*DBparts1[[#This Row],[DISCOUNT 2]]</f>
        <v>0</v>
      </c>
    </row>
    <row r="637" spans="2:12">
      <c r="B637" s="112"/>
      <c r="C637" s="112"/>
      <c r="D637" s="112"/>
      <c r="F637" s="168" t="s">
        <v>6202</v>
      </c>
      <c r="G637" s="232">
        <f>IF(DBparts1[[#This Row],[Type]]&gt;0,VLOOKUP(DBparts1[[#This Row],[Type]],Main[[#All],[TYPE]:[UNIT]],'Unit Price'!C$1,FALSE),0)</f>
        <v>0</v>
      </c>
      <c r="H637" s="194">
        <f>IF(DBparts1[[#This Row],[Type]]&gt;0,VLOOKUP(DBparts1[[#This Row],[Type]],Main[[#All],[TYPE]:[UNIT]],'Unit Price'!D$1,FALSE),0)</f>
        <v>0</v>
      </c>
      <c r="I637" s="194">
        <f>IF(DBparts1[[#This Row],[Type]]&gt;0,VLOOKUP(DBparts1[[#This Row],[Type]],Main[[#All],[TYPE]:[UNIT]],'Unit Price'!G$1,FALSE),0)</f>
        <v>0</v>
      </c>
      <c r="J637" s="194">
        <f>IF(DBparts1[[#This Row],[Type]]&gt;0,VLOOKUP(DBparts1[[#This Row],[Type]],Main[[#All],[TYPE]:[UNIT]],'Unit Price'!H$1,FALSE),0)</f>
        <v>0</v>
      </c>
      <c r="K637" s="194">
        <f>IF(DBparts1[[#This Row],[Type]]&gt;0,VLOOKUP(DBparts1[[#This Row],[Discount seletion]],'Discount Structure'!$A$2:$B$30,2,"false"),0)</f>
        <v>0</v>
      </c>
      <c r="L637" s="194">
        <f>DBparts1[[#This Row],[LIST $]]*DBparts1[[#This Row],[DISCOUNT]]*DBparts1[[#This Row],[DISCOUNT 2]]</f>
        <v>0</v>
      </c>
    </row>
    <row r="638" spans="2:12">
      <c r="B638" s="112"/>
      <c r="C638" s="112"/>
      <c r="D638" s="112"/>
      <c r="F638" s="168" t="s">
        <v>6202</v>
      </c>
      <c r="G638" s="232">
        <f>IF(DBparts1[[#This Row],[Type]]&gt;0,VLOOKUP(DBparts1[[#This Row],[Type]],Main[[#All],[TYPE]:[UNIT]],'Unit Price'!C$1,FALSE),0)</f>
        <v>0</v>
      </c>
      <c r="H638" s="194">
        <f>IF(DBparts1[[#This Row],[Type]]&gt;0,VLOOKUP(DBparts1[[#This Row],[Type]],Main[[#All],[TYPE]:[UNIT]],'Unit Price'!D$1,FALSE),0)</f>
        <v>0</v>
      </c>
      <c r="I638" s="194">
        <f>IF(DBparts1[[#This Row],[Type]]&gt;0,VLOOKUP(DBparts1[[#This Row],[Type]],Main[[#All],[TYPE]:[UNIT]],'Unit Price'!G$1,FALSE),0)</f>
        <v>0</v>
      </c>
      <c r="J638" s="194">
        <f>IF(DBparts1[[#This Row],[Type]]&gt;0,VLOOKUP(DBparts1[[#This Row],[Type]],Main[[#All],[TYPE]:[UNIT]],'Unit Price'!H$1,FALSE),0)</f>
        <v>0</v>
      </c>
      <c r="K638" s="194">
        <f>IF(DBparts1[[#This Row],[Type]]&gt;0,VLOOKUP(DBparts1[[#This Row],[Discount seletion]],'Discount Structure'!$A$2:$B$30,2,"false"),0)</f>
        <v>0</v>
      </c>
      <c r="L638" s="194">
        <f>DBparts1[[#This Row],[LIST $]]*DBparts1[[#This Row],[DISCOUNT]]*DBparts1[[#This Row],[DISCOUNT 2]]</f>
        <v>0</v>
      </c>
    </row>
    <row r="639" spans="2:12">
      <c r="B639" s="112"/>
      <c r="C639" s="112"/>
      <c r="D639" s="112"/>
      <c r="F639" s="168" t="s">
        <v>6202</v>
      </c>
      <c r="G639" s="232">
        <f>IF(DBparts1[[#This Row],[Type]]&gt;0,VLOOKUP(DBparts1[[#This Row],[Type]],Main[[#All],[TYPE]:[UNIT]],'Unit Price'!C$1,FALSE),0)</f>
        <v>0</v>
      </c>
      <c r="H639" s="194">
        <f>IF(DBparts1[[#This Row],[Type]]&gt;0,VLOOKUP(DBparts1[[#This Row],[Type]],Main[[#All],[TYPE]:[UNIT]],'Unit Price'!D$1,FALSE),0)</f>
        <v>0</v>
      </c>
      <c r="I639" s="194">
        <f>IF(DBparts1[[#This Row],[Type]]&gt;0,VLOOKUP(DBparts1[[#This Row],[Type]],Main[[#All],[TYPE]:[UNIT]],'Unit Price'!G$1,FALSE),0)</f>
        <v>0</v>
      </c>
      <c r="J639" s="194">
        <f>IF(DBparts1[[#This Row],[Type]]&gt;0,VLOOKUP(DBparts1[[#This Row],[Type]],Main[[#All],[TYPE]:[UNIT]],'Unit Price'!H$1,FALSE),0)</f>
        <v>0</v>
      </c>
      <c r="K639" s="194">
        <f>IF(DBparts1[[#This Row],[Type]]&gt;0,VLOOKUP(DBparts1[[#This Row],[Discount seletion]],'Discount Structure'!$A$2:$B$30,2,"false"),0)</f>
        <v>0</v>
      </c>
      <c r="L639" s="194">
        <f>DBparts1[[#This Row],[LIST $]]*DBparts1[[#This Row],[DISCOUNT]]*DBparts1[[#This Row],[DISCOUNT 2]]</f>
        <v>0</v>
      </c>
    </row>
    <row r="640" spans="2:12">
      <c r="B640" s="112"/>
      <c r="C640" s="112"/>
      <c r="D640" s="112"/>
      <c r="F640" s="168" t="s">
        <v>6202</v>
      </c>
      <c r="G640" s="232">
        <f>IF(DBparts1[[#This Row],[Type]]&gt;0,VLOOKUP(DBparts1[[#This Row],[Type]],Main[[#All],[TYPE]:[UNIT]],'Unit Price'!C$1,FALSE),0)</f>
        <v>0</v>
      </c>
      <c r="H640" s="194">
        <f>IF(DBparts1[[#This Row],[Type]]&gt;0,VLOOKUP(DBparts1[[#This Row],[Type]],Main[[#All],[TYPE]:[UNIT]],'Unit Price'!D$1,FALSE),0)</f>
        <v>0</v>
      </c>
      <c r="I640" s="194">
        <f>IF(DBparts1[[#This Row],[Type]]&gt;0,VLOOKUP(DBparts1[[#This Row],[Type]],Main[[#All],[TYPE]:[UNIT]],'Unit Price'!G$1,FALSE),0)</f>
        <v>0</v>
      </c>
      <c r="J640" s="194">
        <f>IF(DBparts1[[#This Row],[Type]]&gt;0,VLOOKUP(DBparts1[[#This Row],[Type]],Main[[#All],[TYPE]:[UNIT]],'Unit Price'!H$1,FALSE),0)</f>
        <v>0</v>
      </c>
      <c r="K640" s="194">
        <f>IF(DBparts1[[#This Row],[Type]]&gt;0,VLOOKUP(DBparts1[[#This Row],[Discount seletion]],'Discount Structure'!$A$2:$B$30,2,"false"),0)</f>
        <v>0</v>
      </c>
      <c r="L640" s="194">
        <f>DBparts1[[#This Row],[LIST $]]*DBparts1[[#This Row],[DISCOUNT]]*DBparts1[[#This Row],[DISCOUNT 2]]</f>
        <v>0</v>
      </c>
    </row>
    <row r="641" spans="2:12">
      <c r="B641" s="112"/>
      <c r="C641" s="112"/>
      <c r="D641" s="112"/>
      <c r="F641" s="168" t="s">
        <v>6202</v>
      </c>
      <c r="G641" s="232">
        <f>IF(DBparts1[[#This Row],[Type]]&gt;0,VLOOKUP(DBparts1[[#This Row],[Type]],Main[[#All],[TYPE]:[UNIT]],'Unit Price'!C$1,FALSE),0)</f>
        <v>0</v>
      </c>
      <c r="H641" s="194">
        <f>IF(DBparts1[[#This Row],[Type]]&gt;0,VLOOKUP(DBparts1[[#This Row],[Type]],Main[[#All],[TYPE]:[UNIT]],'Unit Price'!D$1,FALSE),0)</f>
        <v>0</v>
      </c>
      <c r="I641" s="194">
        <f>IF(DBparts1[[#This Row],[Type]]&gt;0,VLOOKUP(DBparts1[[#This Row],[Type]],Main[[#All],[TYPE]:[UNIT]],'Unit Price'!G$1,FALSE),0)</f>
        <v>0</v>
      </c>
      <c r="J641" s="194">
        <f>IF(DBparts1[[#This Row],[Type]]&gt;0,VLOOKUP(DBparts1[[#This Row],[Type]],Main[[#All],[TYPE]:[UNIT]],'Unit Price'!H$1,FALSE),0)</f>
        <v>0</v>
      </c>
      <c r="K641" s="194">
        <f>IF(DBparts1[[#This Row],[Type]]&gt;0,VLOOKUP(DBparts1[[#This Row],[Discount seletion]],'Discount Structure'!$A$2:$B$30,2,"false"),0)</f>
        <v>0</v>
      </c>
      <c r="L641" s="194">
        <f>DBparts1[[#This Row],[LIST $]]*DBparts1[[#This Row],[DISCOUNT]]*DBparts1[[#This Row],[DISCOUNT 2]]</f>
        <v>0</v>
      </c>
    </row>
    <row r="642" spans="2:12">
      <c r="B642" s="112"/>
      <c r="C642" s="112"/>
      <c r="D642" s="112"/>
      <c r="F642" s="168" t="s">
        <v>6202</v>
      </c>
      <c r="G642" s="232">
        <f>IF(DBparts1[[#This Row],[Type]]&gt;0,VLOOKUP(DBparts1[[#This Row],[Type]],Main[[#All],[TYPE]:[UNIT]],'Unit Price'!C$1,FALSE),0)</f>
        <v>0</v>
      </c>
      <c r="H642" s="194">
        <f>IF(DBparts1[[#This Row],[Type]]&gt;0,VLOOKUP(DBparts1[[#This Row],[Type]],Main[[#All],[TYPE]:[UNIT]],'Unit Price'!D$1,FALSE),0)</f>
        <v>0</v>
      </c>
      <c r="I642" s="194">
        <f>IF(DBparts1[[#This Row],[Type]]&gt;0,VLOOKUP(DBparts1[[#This Row],[Type]],Main[[#All],[TYPE]:[UNIT]],'Unit Price'!G$1,FALSE),0)</f>
        <v>0</v>
      </c>
      <c r="J642" s="194">
        <f>IF(DBparts1[[#This Row],[Type]]&gt;0,VLOOKUP(DBparts1[[#This Row],[Type]],Main[[#All],[TYPE]:[UNIT]],'Unit Price'!H$1,FALSE),0)</f>
        <v>0</v>
      </c>
      <c r="K642" s="194">
        <f>IF(DBparts1[[#This Row],[Type]]&gt;0,VLOOKUP(DBparts1[[#This Row],[Discount seletion]],'Discount Structure'!$A$2:$B$30,2,"false"),0)</f>
        <v>0</v>
      </c>
      <c r="L642" s="194">
        <f>DBparts1[[#This Row],[LIST $]]*DBparts1[[#This Row],[DISCOUNT]]*DBparts1[[#This Row],[DISCOUNT 2]]</f>
        <v>0</v>
      </c>
    </row>
    <row r="643" spans="2:12">
      <c r="B643" s="112"/>
      <c r="C643" s="112"/>
      <c r="D643" s="112"/>
      <c r="F643" s="168" t="s">
        <v>6202</v>
      </c>
      <c r="G643" s="232">
        <f>IF(DBparts1[[#This Row],[Type]]&gt;0,VLOOKUP(DBparts1[[#This Row],[Type]],Main[[#All],[TYPE]:[UNIT]],'Unit Price'!C$1,FALSE),0)</f>
        <v>0</v>
      </c>
      <c r="H643" s="194">
        <f>IF(DBparts1[[#This Row],[Type]]&gt;0,VLOOKUP(DBparts1[[#This Row],[Type]],Main[[#All],[TYPE]:[UNIT]],'Unit Price'!D$1,FALSE),0)</f>
        <v>0</v>
      </c>
      <c r="I643" s="194">
        <f>IF(DBparts1[[#This Row],[Type]]&gt;0,VLOOKUP(DBparts1[[#This Row],[Type]],Main[[#All],[TYPE]:[UNIT]],'Unit Price'!G$1,FALSE),0)</f>
        <v>0</v>
      </c>
      <c r="J643" s="194">
        <f>IF(DBparts1[[#This Row],[Type]]&gt;0,VLOOKUP(DBparts1[[#This Row],[Type]],Main[[#All],[TYPE]:[UNIT]],'Unit Price'!H$1,FALSE),0)</f>
        <v>0</v>
      </c>
      <c r="K643" s="194">
        <f>IF(DBparts1[[#This Row],[Type]]&gt;0,VLOOKUP(DBparts1[[#This Row],[Discount seletion]],'Discount Structure'!$A$2:$B$30,2,"false"),0)</f>
        <v>0</v>
      </c>
      <c r="L643" s="194">
        <f>DBparts1[[#This Row],[LIST $]]*DBparts1[[#This Row],[DISCOUNT]]*DBparts1[[#This Row],[DISCOUNT 2]]</f>
        <v>0</v>
      </c>
    </row>
    <row r="644" spans="2:12">
      <c r="B644" s="112"/>
      <c r="C644" s="112"/>
      <c r="D644" s="112"/>
      <c r="F644" s="168" t="s">
        <v>6202</v>
      </c>
      <c r="G644" s="232">
        <f>IF(DBparts1[[#This Row],[Type]]&gt;0,VLOOKUP(DBparts1[[#This Row],[Type]],Main[[#All],[TYPE]:[UNIT]],'Unit Price'!C$1,FALSE),0)</f>
        <v>0</v>
      </c>
      <c r="H644" s="194">
        <f>IF(DBparts1[[#This Row],[Type]]&gt;0,VLOOKUP(DBparts1[[#This Row],[Type]],Main[[#All],[TYPE]:[UNIT]],'Unit Price'!D$1,FALSE),0)</f>
        <v>0</v>
      </c>
      <c r="I644" s="194">
        <f>IF(DBparts1[[#This Row],[Type]]&gt;0,VLOOKUP(DBparts1[[#This Row],[Type]],Main[[#All],[TYPE]:[UNIT]],'Unit Price'!G$1,FALSE),0)</f>
        <v>0</v>
      </c>
      <c r="J644" s="194">
        <f>IF(DBparts1[[#This Row],[Type]]&gt;0,VLOOKUP(DBparts1[[#This Row],[Type]],Main[[#All],[TYPE]:[UNIT]],'Unit Price'!H$1,FALSE),0)</f>
        <v>0</v>
      </c>
      <c r="K644" s="194">
        <f>IF(DBparts1[[#This Row],[Type]]&gt;0,VLOOKUP(DBparts1[[#This Row],[Discount seletion]],'Discount Structure'!$A$2:$B$30,2,"false"),0)</f>
        <v>0</v>
      </c>
      <c r="L644" s="194">
        <f>DBparts1[[#This Row],[LIST $]]*DBparts1[[#This Row],[DISCOUNT]]*DBparts1[[#This Row],[DISCOUNT 2]]</f>
        <v>0</v>
      </c>
    </row>
    <row r="645" spans="2:12">
      <c r="B645" s="112"/>
      <c r="C645" s="112"/>
      <c r="D645" s="112"/>
      <c r="F645" s="168" t="s">
        <v>6202</v>
      </c>
      <c r="G645" s="232">
        <f>IF(DBparts1[[#This Row],[Type]]&gt;0,VLOOKUP(DBparts1[[#This Row],[Type]],Main[[#All],[TYPE]:[UNIT]],'Unit Price'!C$1,FALSE),0)</f>
        <v>0</v>
      </c>
      <c r="H645" s="194">
        <f>IF(DBparts1[[#This Row],[Type]]&gt;0,VLOOKUP(DBparts1[[#This Row],[Type]],Main[[#All],[TYPE]:[UNIT]],'Unit Price'!D$1,FALSE),0)</f>
        <v>0</v>
      </c>
      <c r="I645" s="194">
        <f>IF(DBparts1[[#This Row],[Type]]&gt;0,VLOOKUP(DBparts1[[#This Row],[Type]],Main[[#All],[TYPE]:[UNIT]],'Unit Price'!G$1,FALSE),0)</f>
        <v>0</v>
      </c>
      <c r="J645" s="194">
        <f>IF(DBparts1[[#This Row],[Type]]&gt;0,VLOOKUP(DBparts1[[#This Row],[Type]],Main[[#All],[TYPE]:[UNIT]],'Unit Price'!H$1,FALSE),0)</f>
        <v>0</v>
      </c>
      <c r="K645" s="194">
        <f>IF(DBparts1[[#This Row],[Type]]&gt;0,VLOOKUP(DBparts1[[#This Row],[Discount seletion]],'Discount Structure'!$A$2:$B$30,2,"false"),0)</f>
        <v>0</v>
      </c>
      <c r="L645" s="194">
        <f>DBparts1[[#This Row],[LIST $]]*DBparts1[[#This Row],[DISCOUNT]]*DBparts1[[#This Row],[DISCOUNT 2]]</f>
        <v>0</v>
      </c>
    </row>
    <row r="646" spans="2:12">
      <c r="B646" s="112"/>
      <c r="C646" s="112"/>
      <c r="D646" s="112"/>
      <c r="F646" s="168" t="s">
        <v>6202</v>
      </c>
      <c r="G646" s="232">
        <f>IF(DBparts1[[#This Row],[Type]]&gt;0,VLOOKUP(DBparts1[[#This Row],[Type]],Main[[#All],[TYPE]:[UNIT]],'Unit Price'!C$1,FALSE),0)</f>
        <v>0</v>
      </c>
      <c r="H646" s="194">
        <f>IF(DBparts1[[#This Row],[Type]]&gt;0,VLOOKUP(DBparts1[[#This Row],[Type]],Main[[#All],[TYPE]:[UNIT]],'Unit Price'!D$1,FALSE),0)</f>
        <v>0</v>
      </c>
      <c r="I646" s="194">
        <f>IF(DBparts1[[#This Row],[Type]]&gt;0,VLOOKUP(DBparts1[[#This Row],[Type]],Main[[#All],[TYPE]:[UNIT]],'Unit Price'!G$1,FALSE),0)</f>
        <v>0</v>
      </c>
      <c r="J646" s="194">
        <f>IF(DBparts1[[#This Row],[Type]]&gt;0,VLOOKUP(DBparts1[[#This Row],[Type]],Main[[#All],[TYPE]:[UNIT]],'Unit Price'!H$1,FALSE),0)</f>
        <v>0</v>
      </c>
      <c r="K646" s="194">
        <f>IF(DBparts1[[#This Row],[Type]]&gt;0,VLOOKUP(DBparts1[[#This Row],[Discount seletion]],'Discount Structure'!$A$2:$B$30,2,"false"),0)</f>
        <v>0</v>
      </c>
      <c r="L646" s="194">
        <f>DBparts1[[#This Row],[LIST $]]*DBparts1[[#This Row],[DISCOUNT]]*DBparts1[[#This Row],[DISCOUNT 2]]</f>
        <v>0</v>
      </c>
    </row>
    <row r="647" spans="2:12">
      <c r="B647" s="112"/>
      <c r="C647" s="112"/>
      <c r="D647" s="112"/>
      <c r="F647" s="168" t="s">
        <v>6202</v>
      </c>
      <c r="G647" s="232">
        <f>IF(DBparts1[[#This Row],[Type]]&gt;0,VLOOKUP(DBparts1[[#This Row],[Type]],Main[[#All],[TYPE]:[UNIT]],'Unit Price'!C$1,FALSE),0)</f>
        <v>0</v>
      </c>
      <c r="H647" s="194">
        <f>IF(DBparts1[[#This Row],[Type]]&gt;0,VLOOKUP(DBparts1[[#This Row],[Type]],Main[[#All],[TYPE]:[UNIT]],'Unit Price'!D$1,FALSE),0)</f>
        <v>0</v>
      </c>
      <c r="I647" s="194">
        <f>IF(DBparts1[[#This Row],[Type]]&gt;0,VLOOKUP(DBparts1[[#This Row],[Type]],Main[[#All],[TYPE]:[UNIT]],'Unit Price'!G$1,FALSE),0)</f>
        <v>0</v>
      </c>
      <c r="J647" s="194">
        <f>IF(DBparts1[[#This Row],[Type]]&gt;0,VLOOKUP(DBparts1[[#This Row],[Type]],Main[[#All],[TYPE]:[UNIT]],'Unit Price'!H$1,FALSE),0)</f>
        <v>0</v>
      </c>
      <c r="K647" s="194">
        <f>IF(DBparts1[[#This Row],[Type]]&gt;0,VLOOKUP(DBparts1[[#This Row],[Discount seletion]],'Discount Structure'!$A$2:$B$30,2,"false"),0)</f>
        <v>0</v>
      </c>
      <c r="L647" s="194">
        <f>DBparts1[[#This Row],[LIST $]]*DBparts1[[#This Row],[DISCOUNT]]*DBparts1[[#This Row],[DISCOUNT 2]]</f>
        <v>0</v>
      </c>
    </row>
    <row r="648" spans="2:12">
      <c r="B648" s="112"/>
      <c r="C648" s="112"/>
      <c r="D648" s="112"/>
      <c r="F648" s="168" t="s">
        <v>6202</v>
      </c>
      <c r="G648" s="232">
        <f>IF(DBparts1[[#This Row],[Type]]&gt;0,VLOOKUP(DBparts1[[#This Row],[Type]],Main[[#All],[TYPE]:[UNIT]],'Unit Price'!C$1,FALSE),0)</f>
        <v>0</v>
      </c>
      <c r="H648" s="194">
        <f>IF(DBparts1[[#This Row],[Type]]&gt;0,VLOOKUP(DBparts1[[#This Row],[Type]],Main[[#All],[TYPE]:[UNIT]],'Unit Price'!D$1,FALSE),0)</f>
        <v>0</v>
      </c>
      <c r="I648" s="194">
        <f>IF(DBparts1[[#This Row],[Type]]&gt;0,VLOOKUP(DBparts1[[#This Row],[Type]],Main[[#All],[TYPE]:[UNIT]],'Unit Price'!G$1,FALSE),0)</f>
        <v>0</v>
      </c>
      <c r="J648" s="194">
        <f>IF(DBparts1[[#This Row],[Type]]&gt;0,VLOOKUP(DBparts1[[#This Row],[Type]],Main[[#All],[TYPE]:[UNIT]],'Unit Price'!H$1,FALSE),0)</f>
        <v>0</v>
      </c>
      <c r="K648" s="194">
        <f>IF(DBparts1[[#This Row],[Type]]&gt;0,VLOOKUP(DBparts1[[#This Row],[Discount seletion]],'Discount Structure'!$A$2:$B$30,2,"false"),0)</f>
        <v>0</v>
      </c>
      <c r="L648" s="194">
        <f>DBparts1[[#This Row],[LIST $]]*DBparts1[[#This Row],[DISCOUNT]]*DBparts1[[#This Row],[DISCOUNT 2]]</f>
        <v>0</v>
      </c>
    </row>
    <row r="649" spans="2:12">
      <c r="B649" s="112"/>
      <c r="C649" s="112"/>
      <c r="D649" s="112"/>
      <c r="F649" s="168" t="s">
        <v>6202</v>
      </c>
      <c r="G649" s="232">
        <f>IF(DBparts1[[#This Row],[Type]]&gt;0,VLOOKUP(DBparts1[[#This Row],[Type]],Main[[#All],[TYPE]:[UNIT]],'Unit Price'!C$1,FALSE),0)</f>
        <v>0</v>
      </c>
      <c r="H649" s="194">
        <f>IF(DBparts1[[#This Row],[Type]]&gt;0,VLOOKUP(DBparts1[[#This Row],[Type]],Main[[#All],[TYPE]:[UNIT]],'Unit Price'!D$1,FALSE),0)</f>
        <v>0</v>
      </c>
      <c r="I649" s="194">
        <f>IF(DBparts1[[#This Row],[Type]]&gt;0,VLOOKUP(DBparts1[[#This Row],[Type]],Main[[#All],[TYPE]:[UNIT]],'Unit Price'!G$1,FALSE),0)</f>
        <v>0</v>
      </c>
      <c r="J649" s="194">
        <f>IF(DBparts1[[#This Row],[Type]]&gt;0,VLOOKUP(DBparts1[[#This Row],[Type]],Main[[#All],[TYPE]:[UNIT]],'Unit Price'!H$1,FALSE),0)</f>
        <v>0</v>
      </c>
      <c r="K649" s="194">
        <f>IF(DBparts1[[#This Row],[Type]]&gt;0,VLOOKUP(DBparts1[[#This Row],[Discount seletion]],'Discount Structure'!$A$2:$B$30,2,"false"),0)</f>
        <v>0</v>
      </c>
      <c r="L649" s="194">
        <f>DBparts1[[#This Row],[LIST $]]*DBparts1[[#This Row],[DISCOUNT]]*DBparts1[[#This Row],[DISCOUNT 2]]</f>
        <v>0</v>
      </c>
    </row>
    <row r="650" spans="2:12">
      <c r="B650" s="112"/>
      <c r="C650" s="112"/>
      <c r="D650" s="112"/>
      <c r="F650" s="168" t="s">
        <v>6202</v>
      </c>
      <c r="G650" s="232">
        <f>IF(DBparts1[[#This Row],[Type]]&gt;0,VLOOKUP(DBparts1[[#This Row],[Type]],Main[[#All],[TYPE]:[UNIT]],'Unit Price'!C$1,FALSE),0)</f>
        <v>0</v>
      </c>
      <c r="H650" s="194">
        <f>IF(DBparts1[[#This Row],[Type]]&gt;0,VLOOKUP(DBparts1[[#This Row],[Type]],Main[[#All],[TYPE]:[UNIT]],'Unit Price'!D$1,FALSE),0)</f>
        <v>0</v>
      </c>
      <c r="I650" s="194">
        <f>IF(DBparts1[[#This Row],[Type]]&gt;0,VLOOKUP(DBparts1[[#This Row],[Type]],Main[[#All],[TYPE]:[UNIT]],'Unit Price'!G$1,FALSE),0)</f>
        <v>0</v>
      </c>
      <c r="J650" s="194">
        <f>IF(DBparts1[[#This Row],[Type]]&gt;0,VLOOKUP(DBparts1[[#This Row],[Type]],Main[[#All],[TYPE]:[UNIT]],'Unit Price'!H$1,FALSE),0)</f>
        <v>0</v>
      </c>
      <c r="K650" s="194">
        <f>IF(DBparts1[[#This Row],[Type]]&gt;0,VLOOKUP(DBparts1[[#This Row],[Discount seletion]],'Discount Structure'!$A$2:$B$30,2,"false"),0)</f>
        <v>0</v>
      </c>
      <c r="L650" s="194">
        <f>DBparts1[[#This Row],[LIST $]]*DBparts1[[#This Row],[DISCOUNT]]*DBparts1[[#This Row],[DISCOUNT 2]]</f>
        <v>0</v>
      </c>
    </row>
    <row r="651" spans="2:12">
      <c r="B651" s="112"/>
      <c r="C651" s="112"/>
      <c r="D651" s="112"/>
      <c r="F651" s="168" t="s">
        <v>6202</v>
      </c>
      <c r="G651" s="232">
        <f>IF(DBparts1[[#This Row],[Type]]&gt;0,VLOOKUP(DBparts1[[#This Row],[Type]],Main[[#All],[TYPE]:[UNIT]],'Unit Price'!C$1,FALSE),0)</f>
        <v>0</v>
      </c>
      <c r="H651" s="194">
        <f>IF(DBparts1[[#This Row],[Type]]&gt;0,VLOOKUP(DBparts1[[#This Row],[Type]],Main[[#All],[TYPE]:[UNIT]],'Unit Price'!D$1,FALSE),0)</f>
        <v>0</v>
      </c>
      <c r="I651" s="194">
        <f>IF(DBparts1[[#This Row],[Type]]&gt;0,VLOOKUP(DBparts1[[#This Row],[Type]],Main[[#All],[TYPE]:[UNIT]],'Unit Price'!G$1,FALSE),0)</f>
        <v>0</v>
      </c>
      <c r="J651" s="194">
        <f>IF(DBparts1[[#This Row],[Type]]&gt;0,VLOOKUP(DBparts1[[#This Row],[Type]],Main[[#All],[TYPE]:[UNIT]],'Unit Price'!H$1,FALSE),0)</f>
        <v>0</v>
      </c>
      <c r="K651" s="194">
        <f>IF(DBparts1[[#This Row],[Type]]&gt;0,VLOOKUP(DBparts1[[#This Row],[Discount seletion]],'Discount Structure'!$A$2:$B$30,2,"false"),0)</f>
        <v>0</v>
      </c>
      <c r="L651" s="194">
        <f>DBparts1[[#This Row],[LIST $]]*DBparts1[[#This Row],[DISCOUNT]]*DBparts1[[#This Row],[DISCOUNT 2]]</f>
        <v>0</v>
      </c>
    </row>
    <row r="652" spans="2:12">
      <c r="B652" s="112"/>
      <c r="C652" s="112"/>
      <c r="D652" s="112"/>
      <c r="F652" s="168" t="s">
        <v>6202</v>
      </c>
      <c r="G652" s="232">
        <f>IF(DBparts1[[#This Row],[Type]]&gt;0,VLOOKUP(DBparts1[[#This Row],[Type]],Main[[#All],[TYPE]:[UNIT]],'Unit Price'!C$1,FALSE),0)</f>
        <v>0</v>
      </c>
      <c r="H652" s="194">
        <f>IF(DBparts1[[#This Row],[Type]]&gt;0,VLOOKUP(DBparts1[[#This Row],[Type]],Main[[#All],[TYPE]:[UNIT]],'Unit Price'!D$1,FALSE),0)</f>
        <v>0</v>
      </c>
      <c r="I652" s="194">
        <f>IF(DBparts1[[#This Row],[Type]]&gt;0,VLOOKUP(DBparts1[[#This Row],[Type]],Main[[#All],[TYPE]:[UNIT]],'Unit Price'!G$1,FALSE),0)</f>
        <v>0</v>
      </c>
      <c r="J652" s="194">
        <f>IF(DBparts1[[#This Row],[Type]]&gt;0,VLOOKUP(DBparts1[[#This Row],[Type]],Main[[#All],[TYPE]:[UNIT]],'Unit Price'!H$1,FALSE),0)</f>
        <v>0</v>
      </c>
      <c r="K652" s="194">
        <f>IF(DBparts1[[#This Row],[Type]]&gt;0,VLOOKUP(DBparts1[[#This Row],[Discount seletion]],'Discount Structure'!$A$2:$B$30,2,"false"),0)</f>
        <v>0</v>
      </c>
      <c r="L652" s="194">
        <f>DBparts1[[#This Row],[LIST $]]*DBparts1[[#This Row],[DISCOUNT]]*DBparts1[[#This Row],[DISCOUNT 2]]</f>
        <v>0</v>
      </c>
    </row>
    <row r="653" spans="2:12">
      <c r="B653" s="112"/>
      <c r="C653" s="112"/>
      <c r="D653" s="112"/>
      <c r="F653" s="168" t="s">
        <v>6202</v>
      </c>
      <c r="G653" s="232">
        <f>IF(DBparts1[[#This Row],[Type]]&gt;0,VLOOKUP(DBparts1[[#This Row],[Type]],Main[[#All],[TYPE]:[UNIT]],'Unit Price'!C$1,FALSE),0)</f>
        <v>0</v>
      </c>
      <c r="H653" s="194">
        <f>IF(DBparts1[[#This Row],[Type]]&gt;0,VLOOKUP(DBparts1[[#This Row],[Type]],Main[[#All],[TYPE]:[UNIT]],'Unit Price'!D$1,FALSE),0)</f>
        <v>0</v>
      </c>
      <c r="I653" s="194">
        <f>IF(DBparts1[[#This Row],[Type]]&gt;0,VLOOKUP(DBparts1[[#This Row],[Type]],Main[[#All],[TYPE]:[UNIT]],'Unit Price'!G$1,FALSE),0)</f>
        <v>0</v>
      </c>
      <c r="J653" s="194">
        <f>IF(DBparts1[[#This Row],[Type]]&gt;0,VLOOKUP(DBparts1[[#This Row],[Type]],Main[[#All],[TYPE]:[UNIT]],'Unit Price'!H$1,FALSE),0)</f>
        <v>0</v>
      </c>
      <c r="K653" s="194">
        <f>IF(DBparts1[[#This Row],[Type]]&gt;0,VLOOKUP(DBparts1[[#This Row],[Discount seletion]],'Discount Structure'!$A$2:$B$30,2,"false"),0)</f>
        <v>0</v>
      </c>
      <c r="L653" s="194">
        <f>DBparts1[[#This Row],[LIST $]]*DBparts1[[#This Row],[DISCOUNT]]*DBparts1[[#This Row],[DISCOUNT 2]]</f>
        <v>0</v>
      </c>
    </row>
    <row r="654" spans="2:12">
      <c r="B654" s="112"/>
      <c r="C654" s="112"/>
      <c r="D654" s="112"/>
      <c r="F654" s="168" t="s">
        <v>6202</v>
      </c>
      <c r="G654" s="232">
        <f>IF(DBparts1[[#This Row],[Type]]&gt;0,VLOOKUP(DBparts1[[#This Row],[Type]],Main[[#All],[TYPE]:[UNIT]],'Unit Price'!C$1,FALSE),0)</f>
        <v>0</v>
      </c>
      <c r="H654" s="194">
        <f>IF(DBparts1[[#This Row],[Type]]&gt;0,VLOOKUP(DBparts1[[#This Row],[Type]],Main[[#All],[TYPE]:[UNIT]],'Unit Price'!D$1,FALSE),0)</f>
        <v>0</v>
      </c>
      <c r="I654" s="194">
        <f>IF(DBparts1[[#This Row],[Type]]&gt;0,VLOOKUP(DBparts1[[#This Row],[Type]],Main[[#All],[TYPE]:[UNIT]],'Unit Price'!G$1,FALSE),0)</f>
        <v>0</v>
      </c>
      <c r="J654" s="194">
        <f>IF(DBparts1[[#This Row],[Type]]&gt;0,VLOOKUP(DBparts1[[#This Row],[Type]],Main[[#All],[TYPE]:[UNIT]],'Unit Price'!H$1,FALSE),0)</f>
        <v>0</v>
      </c>
      <c r="K654" s="194">
        <f>IF(DBparts1[[#This Row],[Type]]&gt;0,VLOOKUP(DBparts1[[#This Row],[Discount seletion]],'Discount Structure'!$A$2:$B$30,2,"false"),0)</f>
        <v>0</v>
      </c>
      <c r="L654" s="194">
        <f>DBparts1[[#This Row],[LIST $]]*DBparts1[[#This Row],[DISCOUNT]]*DBparts1[[#This Row],[DISCOUNT 2]]</f>
        <v>0</v>
      </c>
    </row>
    <row r="655" spans="2:12">
      <c r="B655" s="112"/>
      <c r="C655" s="112"/>
      <c r="D655" s="112"/>
      <c r="F655" s="168" t="s">
        <v>6202</v>
      </c>
      <c r="G655" s="232">
        <f>IF(DBparts1[[#This Row],[Type]]&gt;0,VLOOKUP(DBparts1[[#This Row],[Type]],Main[[#All],[TYPE]:[UNIT]],'Unit Price'!C$1,FALSE),0)</f>
        <v>0</v>
      </c>
      <c r="H655" s="194">
        <f>IF(DBparts1[[#This Row],[Type]]&gt;0,VLOOKUP(DBparts1[[#This Row],[Type]],Main[[#All],[TYPE]:[UNIT]],'Unit Price'!D$1,FALSE),0)</f>
        <v>0</v>
      </c>
      <c r="I655" s="194">
        <f>IF(DBparts1[[#This Row],[Type]]&gt;0,VLOOKUP(DBparts1[[#This Row],[Type]],Main[[#All],[TYPE]:[UNIT]],'Unit Price'!G$1,FALSE),0)</f>
        <v>0</v>
      </c>
      <c r="J655" s="194">
        <f>IF(DBparts1[[#This Row],[Type]]&gt;0,VLOOKUP(DBparts1[[#This Row],[Type]],Main[[#All],[TYPE]:[UNIT]],'Unit Price'!H$1,FALSE),0)</f>
        <v>0</v>
      </c>
      <c r="K655" s="194">
        <f>IF(DBparts1[[#This Row],[Type]]&gt;0,VLOOKUP(DBparts1[[#This Row],[Discount seletion]],'Discount Structure'!$A$2:$B$30,2,"false"),0)</f>
        <v>0</v>
      </c>
      <c r="L655" s="194">
        <f>DBparts1[[#This Row],[LIST $]]*DBparts1[[#This Row],[DISCOUNT]]*DBparts1[[#This Row],[DISCOUNT 2]]</f>
        <v>0</v>
      </c>
    </row>
    <row r="656" spans="2:12">
      <c r="B656" s="112"/>
      <c r="C656" s="112"/>
      <c r="D656" s="112"/>
      <c r="F656" s="168" t="s">
        <v>6202</v>
      </c>
      <c r="G656" s="232">
        <f>IF(DBparts1[[#This Row],[Type]]&gt;0,VLOOKUP(DBparts1[[#This Row],[Type]],Main[[#All],[TYPE]:[UNIT]],'Unit Price'!C$1,FALSE),0)</f>
        <v>0</v>
      </c>
      <c r="H656" s="194">
        <f>IF(DBparts1[[#This Row],[Type]]&gt;0,VLOOKUP(DBparts1[[#This Row],[Type]],Main[[#All],[TYPE]:[UNIT]],'Unit Price'!D$1,FALSE),0)</f>
        <v>0</v>
      </c>
      <c r="I656" s="194">
        <f>IF(DBparts1[[#This Row],[Type]]&gt;0,VLOOKUP(DBparts1[[#This Row],[Type]],Main[[#All],[TYPE]:[UNIT]],'Unit Price'!G$1,FALSE),0)</f>
        <v>0</v>
      </c>
      <c r="J656" s="194">
        <f>IF(DBparts1[[#This Row],[Type]]&gt;0,VLOOKUP(DBparts1[[#This Row],[Type]],Main[[#All],[TYPE]:[UNIT]],'Unit Price'!H$1,FALSE),0)</f>
        <v>0</v>
      </c>
      <c r="K656" s="194">
        <f>IF(DBparts1[[#This Row],[Type]]&gt;0,VLOOKUP(DBparts1[[#This Row],[Discount seletion]],'Discount Structure'!$A$2:$B$30,2,"false"),0)</f>
        <v>0</v>
      </c>
      <c r="L656" s="194">
        <f>DBparts1[[#This Row],[LIST $]]*DBparts1[[#This Row],[DISCOUNT]]*DBparts1[[#This Row],[DISCOUNT 2]]</f>
        <v>0</v>
      </c>
    </row>
    <row r="657" spans="2:12">
      <c r="B657" s="112"/>
      <c r="C657" s="112"/>
      <c r="D657" s="112"/>
      <c r="F657" s="168" t="s">
        <v>6202</v>
      </c>
      <c r="G657" s="232">
        <f>IF(DBparts1[[#This Row],[Type]]&gt;0,VLOOKUP(DBparts1[[#This Row],[Type]],Main[[#All],[TYPE]:[UNIT]],'Unit Price'!C$1,FALSE),0)</f>
        <v>0</v>
      </c>
      <c r="H657" s="194">
        <f>IF(DBparts1[[#This Row],[Type]]&gt;0,VLOOKUP(DBparts1[[#This Row],[Type]],Main[[#All],[TYPE]:[UNIT]],'Unit Price'!D$1,FALSE),0)</f>
        <v>0</v>
      </c>
      <c r="I657" s="194">
        <f>IF(DBparts1[[#This Row],[Type]]&gt;0,VLOOKUP(DBparts1[[#This Row],[Type]],Main[[#All],[TYPE]:[UNIT]],'Unit Price'!G$1,FALSE),0)</f>
        <v>0</v>
      </c>
      <c r="J657" s="194">
        <f>IF(DBparts1[[#This Row],[Type]]&gt;0,VLOOKUP(DBparts1[[#This Row],[Type]],Main[[#All],[TYPE]:[UNIT]],'Unit Price'!H$1,FALSE),0)</f>
        <v>0</v>
      </c>
      <c r="K657" s="194">
        <f>IF(DBparts1[[#This Row],[Type]]&gt;0,VLOOKUP(DBparts1[[#This Row],[Discount seletion]],'Discount Structure'!$A$2:$B$30,2,"false"),0)</f>
        <v>0</v>
      </c>
      <c r="L657" s="194">
        <f>DBparts1[[#This Row],[LIST $]]*DBparts1[[#This Row],[DISCOUNT]]*DBparts1[[#This Row],[DISCOUNT 2]]</f>
        <v>0</v>
      </c>
    </row>
    <row r="658" spans="2:12">
      <c r="B658" s="112"/>
      <c r="C658" s="112"/>
      <c r="D658" s="112"/>
      <c r="F658" s="168" t="s">
        <v>6202</v>
      </c>
      <c r="G658" s="232">
        <f>IF(DBparts1[[#This Row],[Type]]&gt;0,VLOOKUP(DBparts1[[#This Row],[Type]],Main[[#All],[TYPE]:[UNIT]],'Unit Price'!C$1,FALSE),0)</f>
        <v>0</v>
      </c>
      <c r="H658" s="194">
        <f>IF(DBparts1[[#This Row],[Type]]&gt;0,VLOOKUP(DBparts1[[#This Row],[Type]],Main[[#All],[TYPE]:[UNIT]],'Unit Price'!D$1,FALSE),0)</f>
        <v>0</v>
      </c>
      <c r="I658" s="194">
        <f>IF(DBparts1[[#This Row],[Type]]&gt;0,VLOOKUP(DBparts1[[#This Row],[Type]],Main[[#All],[TYPE]:[UNIT]],'Unit Price'!G$1,FALSE),0)</f>
        <v>0</v>
      </c>
      <c r="J658" s="194">
        <f>IF(DBparts1[[#This Row],[Type]]&gt;0,VLOOKUP(DBparts1[[#This Row],[Type]],Main[[#All],[TYPE]:[UNIT]],'Unit Price'!H$1,FALSE),0)</f>
        <v>0</v>
      </c>
      <c r="K658" s="194">
        <f>IF(DBparts1[[#This Row],[Type]]&gt;0,VLOOKUP(DBparts1[[#This Row],[Discount seletion]],'Discount Structure'!$A$2:$B$30,2,"false"),0)</f>
        <v>0</v>
      </c>
      <c r="L658" s="194">
        <f>DBparts1[[#This Row],[LIST $]]*DBparts1[[#This Row],[DISCOUNT]]*DBparts1[[#This Row],[DISCOUNT 2]]</f>
        <v>0</v>
      </c>
    </row>
    <row r="659" spans="2:12">
      <c r="B659" s="112"/>
      <c r="C659" s="112"/>
      <c r="D659" s="112"/>
      <c r="F659" s="168" t="s">
        <v>6202</v>
      </c>
      <c r="G659" s="232">
        <f>IF(DBparts1[[#This Row],[Type]]&gt;0,VLOOKUP(DBparts1[[#This Row],[Type]],Main[[#All],[TYPE]:[UNIT]],'Unit Price'!C$1,FALSE),0)</f>
        <v>0</v>
      </c>
      <c r="H659" s="194">
        <f>IF(DBparts1[[#This Row],[Type]]&gt;0,VLOOKUP(DBparts1[[#This Row],[Type]],Main[[#All],[TYPE]:[UNIT]],'Unit Price'!D$1,FALSE),0)</f>
        <v>0</v>
      </c>
      <c r="I659" s="194">
        <f>IF(DBparts1[[#This Row],[Type]]&gt;0,VLOOKUP(DBparts1[[#This Row],[Type]],Main[[#All],[TYPE]:[UNIT]],'Unit Price'!G$1,FALSE),0)</f>
        <v>0</v>
      </c>
      <c r="J659" s="194">
        <f>IF(DBparts1[[#This Row],[Type]]&gt;0,VLOOKUP(DBparts1[[#This Row],[Type]],Main[[#All],[TYPE]:[UNIT]],'Unit Price'!H$1,FALSE),0)</f>
        <v>0</v>
      </c>
      <c r="K659" s="194">
        <f>IF(DBparts1[[#This Row],[Type]]&gt;0,VLOOKUP(DBparts1[[#This Row],[Discount seletion]],'Discount Structure'!$A$2:$B$30,2,"false"),0)</f>
        <v>0</v>
      </c>
      <c r="L659" s="194">
        <f>DBparts1[[#This Row],[LIST $]]*DBparts1[[#This Row],[DISCOUNT]]*DBparts1[[#This Row],[DISCOUNT 2]]</f>
        <v>0</v>
      </c>
    </row>
    <row r="660" spans="2:12">
      <c r="B660" s="112"/>
      <c r="C660" s="112"/>
      <c r="D660" s="112"/>
      <c r="F660" s="168" t="s">
        <v>6202</v>
      </c>
      <c r="G660" s="232">
        <f>IF(DBparts1[[#This Row],[Type]]&gt;0,VLOOKUP(DBparts1[[#This Row],[Type]],Main[[#All],[TYPE]:[UNIT]],'Unit Price'!C$1,FALSE),0)</f>
        <v>0</v>
      </c>
      <c r="H660" s="194">
        <f>IF(DBparts1[[#This Row],[Type]]&gt;0,VLOOKUP(DBparts1[[#This Row],[Type]],Main[[#All],[TYPE]:[UNIT]],'Unit Price'!D$1,FALSE),0)</f>
        <v>0</v>
      </c>
      <c r="I660" s="194">
        <f>IF(DBparts1[[#This Row],[Type]]&gt;0,VLOOKUP(DBparts1[[#This Row],[Type]],Main[[#All],[TYPE]:[UNIT]],'Unit Price'!G$1,FALSE),0)</f>
        <v>0</v>
      </c>
      <c r="J660" s="194">
        <f>IF(DBparts1[[#This Row],[Type]]&gt;0,VLOOKUP(DBparts1[[#This Row],[Type]],Main[[#All],[TYPE]:[UNIT]],'Unit Price'!H$1,FALSE),0)</f>
        <v>0</v>
      </c>
      <c r="K660" s="194">
        <f>IF(DBparts1[[#This Row],[Type]]&gt;0,VLOOKUP(DBparts1[[#This Row],[Discount seletion]],'Discount Structure'!$A$2:$B$30,2,"false"),0)</f>
        <v>0</v>
      </c>
      <c r="L660" s="194">
        <f>DBparts1[[#This Row],[LIST $]]*DBparts1[[#This Row],[DISCOUNT]]*DBparts1[[#This Row],[DISCOUNT 2]]</f>
        <v>0</v>
      </c>
    </row>
    <row r="661" spans="2:12">
      <c r="B661" s="112"/>
      <c r="C661" s="112"/>
      <c r="D661" s="112"/>
      <c r="F661" s="168" t="s">
        <v>6202</v>
      </c>
      <c r="G661" s="232">
        <f>IF(DBparts1[[#This Row],[Type]]&gt;0,VLOOKUP(DBparts1[[#This Row],[Type]],Main[[#All],[TYPE]:[UNIT]],'Unit Price'!C$1,FALSE),0)</f>
        <v>0</v>
      </c>
      <c r="H661" s="194">
        <f>IF(DBparts1[[#This Row],[Type]]&gt;0,VLOOKUP(DBparts1[[#This Row],[Type]],Main[[#All],[TYPE]:[UNIT]],'Unit Price'!D$1,FALSE),0)</f>
        <v>0</v>
      </c>
      <c r="I661" s="194">
        <f>IF(DBparts1[[#This Row],[Type]]&gt;0,VLOOKUP(DBparts1[[#This Row],[Type]],Main[[#All],[TYPE]:[UNIT]],'Unit Price'!G$1,FALSE),0)</f>
        <v>0</v>
      </c>
      <c r="J661" s="194">
        <f>IF(DBparts1[[#This Row],[Type]]&gt;0,VLOOKUP(DBparts1[[#This Row],[Type]],Main[[#All],[TYPE]:[UNIT]],'Unit Price'!H$1,FALSE),0)</f>
        <v>0</v>
      </c>
      <c r="K661" s="194">
        <f>IF(DBparts1[[#This Row],[Type]]&gt;0,VLOOKUP(DBparts1[[#This Row],[Discount seletion]],'Discount Structure'!$A$2:$B$30,2,"false"),0)</f>
        <v>0</v>
      </c>
      <c r="L661" s="194">
        <f>DBparts1[[#This Row],[LIST $]]*DBparts1[[#This Row],[DISCOUNT]]*DBparts1[[#This Row],[DISCOUNT 2]]</f>
        <v>0</v>
      </c>
    </row>
    <row r="662" spans="2:12">
      <c r="B662" s="112"/>
      <c r="C662" s="112"/>
      <c r="D662" s="112"/>
      <c r="F662" s="168" t="s">
        <v>6202</v>
      </c>
      <c r="G662" s="232">
        <f>IF(DBparts1[[#This Row],[Type]]&gt;0,VLOOKUP(DBparts1[[#This Row],[Type]],Main[[#All],[TYPE]:[UNIT]],'Unit Price'!C$1,FALSE),0)</f>
        <v>0</v>
      </c>
      <c r="H662" s="194">
        <f>IF(DBparts1[[#This Row],[Type]]&gt;0,VLOOKUP(DBparts1[[#This Row],[Type]],Main[[#All],[TYPE]:[UNIT]],'Unit Price'!D$1,FALSE),0)</f>
        <v>0</v>
      </c>
      <c r="I662" s="194">
        <f>IF(DBparts1[[#This Row],[Type]]&gt;0,VLOOKUP(DBparts1[[#This Row],[Type]],Main[[#All],[TYPE]:[UNIT]],'Unit Price'!G$1,FALSE),0)</f>
        <v>0</v>
      </c>
      <c r="J662" s="194">
        <f>IF(DBparts1[[#This Row],[Type]]&gt;0,VLOOKUP(DBparts1[[#This Row],[Type]],Main[[#All],[TYPE]:[UNIT]],'Unit Price'!H$1,FALSE),0)</f>
        <v>0</v>
      </c>
      <c r="K662" s="194">
        <f>IF(DBparts1[[#This Row],[Type]]&gt;0,VLOOKUP(DBparts1[[#This Row],[Discount seletion]],'Discount Structure'!$A$2:$B$30,2,"false"),0)</f>
        <v>0</v>
      </c>
      <c r="L662" s="194">
        <f>DBparts1[[#This Row],[LIST $]]*DBparts1[[#This Row],[DISCOUNT]]*DBparts1[[#This Row],[DISCOUNT 2]]</f>
        <v>0</v>
      </c>
    </row>
    <row r="663" spans="2:12">
      <c r="B663" s="112"/>
      <c r="C663" s="112"/>
      <c r="D663" s="112"/>
      <c r="F663" s="168" t="s">
        <v>6202</v>
      </c>
      <c r="G663" s="232">
        <f>IF(DBparts1[[#This Row],[Type]]&gt;0,VLOOKUP(DBparts1[[#This Row],[Type]],Main[[#All],[TYPE]:[UNIT]],'Unit Price'!C$1,FALSE),0)</f>
        <v>0</v>
      </c>
      <c r="H663" s="194">
        <f>IF(DBparts1[[#This Row],[Type]]&gt;0,VLOOKUP(DBparts1[[#This Row],[Type]],Main[[#All],[TYPE]:[UNIT]],'Unit Price'!D$1,FALSE),0)</f>
        <v>0</v>
      </c>
      <c r="I663" s="194">
        <f>IF(DBparts1[[#This Row],[Type]]&gt;0,VLOOKUP(DBparts1[[#This Row],[Type]],Main[[#All],[TYPE]:[UNIT]],'Unit Price'!G$1,FALSE),0)</f>
        <v>0</v>
      </c>
      <c r="J663" s="194">
        <f>IF(DBparts1[[#This Row],[Type]]&gt;0,VLOOKUP(DBparts1[[#This Row],[Type]],Main[[#All],[TYPE]:[UNIT]],'Unit Price'!H$1,FALSE),0)</f>
        <v>0</v>
      </c>
      <c r="K663" s="194">
        <f>IF(DBparts1[[#This Row],[Type]]&gt;0,VLOOKUP(DBparts1[[#This Row],[Discount seletion]],'Discount Structure'!$A$2:$B$30,2,"false"),0)</f>
        <v>0</v>
      </c>
      <c r="L663" s="194">
        <f>DBparts1[[#This Row],[LIST $]]*DBparts1[[#This Row],[DISCOUNT]]*DBparts1[[#This Row],[DISCOUNT 2]]</f>
        <v>0</v>
      </c>
    </row>
    <row r="664" spans="2:12">
      <c r="B664" s="112"/>
      <c r="C664" s="112"/>
      <c r="D664" s="112"/>
      <c r="F664" s="168" t="s">
        <v>6202</v>
      </c>
      <c r="G664" s="232">
        <f>IF(DBparts1[[#This Row],[Type]]&gt;0,VLOOKUP(DBparts1[[#This Row],[Type]],Main[[#All],[TYPE]:[UNIT]],'Unit Price'!C$1,FALSE),0)</f>
        <v>0</v>
      </c>
      <c r="H664" s="194">
        <f>IF(DBparts1[[#This Row],[Type]]&gt;0,VLOOKUP(DBparts1[[#This Row],[Type]],Main[[#All],[TYPE]:[UNIT]],'Unit Price'!D$1,FALSE),0)</f>
        <v>0</v>
      </c>
      <c r="I664" s="194">
        <f>IF(DBparts1[[#This Row],[Type]]&gt;0,VLOOKUP(DBparts1[[#This Row],[Type]],Main[[#All],[TYPE]:[UNIT]],'Unit Price'!G$1,FALSE),0)</f>
        <v>0</v>
      </c>
      <c r="J664" s="194">
        <f>IF(DBparts1[[#This Row],[Type]]&gt;0,VLOOKUP(DBparts1[[#This Row],[Type]],Main[[#All],[TYPE]:[UNIT]],'Unit Price'!H$1,FALSE),0)</f>
        <v>0</v>
      </c>
      <c r="K664" s="194">
        <f>IF(DBparts1[[#This Row],[Type]]&gt;0,VLOOKUP(DBparts1[[#This Row],[Discount seletion]],'Discount Structure'!$A$2:$B$30,2,"false"),0)</f>
        <v>0</v>
      </c>
      <c r="L664" s="194">
        <f>DBparts1[[#This Row],[LIST $]]*DBparts1[[#This Row],[DISCOUNT]]*DBparts1[[#This Row],[DISCOUNT 2]]</f>
        <v>0</v>
      </c>
    </row>
    <row r="665" spans="2:12">
      <c r="B665" s="112"/>
      <c r="C665" s="112"/>
      <c r="D665" s="112"/>
      <c r="F665" s="168" t="s">
        <v>6202</v>
      </c>
      <c r="G665" s="232">
        <f>IF(DBparts1[[#This Row],[Type]]&gt;0,VLOOKUP(DBparts1[[#This Row],[Type]],Main[[#All],[TYPE]:[UNIT]],'Unit Price'!C$1,FALSE),0)</f>
        <v>0</v>
      </c>
      <c r="H665" s="194">
        <f>IF(DBparts1[[#This Row],[Type]]&gt;0,VLOOKUP(DBparts1[[#This Row],[Type]],Main[[#All],[TYPE]:[UNIT]],'Unit Price'!D$1,FALSE),0)</f>
        <v>0</v>
      </c>
      <c r="I665" s="194">
        <f>IF(DBparts1[[#This Row],[Type]]&gt;0,VLOOKUP(DBparts1[[#This Row],[Type]],Main[[#All],[TYPE]:[UNIT]],'Unit Price'!G$1,FALSE),0)</f>
        <v>0</v>
      </c>
      <c r="J665" s="194">
        <f>IF(DBparts1[[#This Row],[Type]]&gt;0,VLOOKUP(DBparts1[[#This Row],[Type]],Main[[#All],[TYPE]:[UNIT]],'Unit Price'!H$1,FALSE),0)</f>
        <v>0</v>
      </c>
      <c r="K665" s="194">
        <f>IF(DBparts1[[#This Row],[Type]]&gt;0,VLOOKUP(DBparts1[[#This Row],[Discount seletion]],'Discount Structure'!$A$2:$B$30,2,"false"),0)</f>
        <v>0</v>
      </c>
      <c r="L665" s="194">
        <f>DBparts1[[#This Row],[LIST $]]*DBparts1[[#This Row],[DISCOUNT]]*DBparts1[[#This Row],[DISCOUNT 2]]</f>
        <v>0</v>
      </c>
    </row>
    <row r="666" spans="2:12">
      <c r="B666" s="112"/>
      <c r="C666" s="112"/>
      <c r="D666" s="112"/>
      <c r="F666" s="168" t="s">
        <v>6202</v>
      </c>
      <c r="G666" s="232">
        <f>IF(DBparts1[[#This Row],[Type]]&gt;0,VLOOKUP(DBparts1[[#This Row],[Type]],Main[[#All],[TYPE]:[UNIT]],'Unit Price'!C$1,FALSE),0)</f>
        <v>0</v>
      </c>
      <c r="H666" s="194">
        <f>IF(DBparts1[[#This Row],[Type]]&gt;0,VLOOKUP(DBparts1[[#This Row],[Type]],Main[[#All],[TYPE]:[UNIT]],'Unit Price'!D$1,FALSE),0)</f>
        <v>0</v>
      </c>
      <c r="I666" s="194">
        <f>IF(DBparts1[[#This Row],[Type]]&gt;0,VLOOKUP(DBparts1[[#This Row],[Type]],Main[[#All],[TYPE]:[UNIT]],'Unit Price'!G$1,FALSE),0)</f>
        <v>0</v>
      </c>
      <c r="J666" s="194">
        <f>IF(DBparts1[[#This Row],[Type]]&gt;0,VLOOKUP(DBparts1[[#This Row],[Type]],Main[[#All],[TYPE]:[UNIT]],'Unit Price'!H$1,FALSE),0)</f>
        <v>0</v>
      </c>
      <c r="K666" s="194">
        <f>IF(DBparts1[[#This Row],[Type]]&gt;0,VLOOKUP(DBparts1[[#This Row],[Discount seletion]],'Discount Structure'!$A$2:$B$30,2,"false"),0)</f>
        <v>0</v>
      </c>
      <c r="L666" s="194">
        <f>DBparts1[[#This Row],[LIST $]]*DBparts1[[#This Row],[DISCOUNT]]*DBparts1[[#This Row],[DISCOUNT 2]]</f>
        <v>0</v>
      </c>
    </row>
    <row r="667" spans="2:12">
      <c r="B667" s="112"/>
      <c r="C667" s="112"/>
      <c r="D667" s="112"/>
      <c r="F667" s="168" t="s">
        <v>6202</v>
      </c>
      <c r="G667" s="232">
        <f>IF(DBparts1[[#This Row],[Type]]&gt;0,VLOOKUP(DBparts1[[#This Row],[Type]],Main[[#All],[TYPE]:[UNIT]],'Unit Price'!C$1,FALSE),0)</f>
        <v>0</v>
      </c>
      <c r="H667" s="194">
        <f>IF(DBparts1[[#This Row],[Type]]&gt;0,VLOOKUP(DBparts1[[#This Row],[Type]],Main[[#All],[TYPE]:[UNIT]],'Unit Price'!D$1,FALSE),0)</f>
        <v>0</v>
      </c>
      <c r="I667" s="194">
        <f>IF(DBparts1[[#This Row],[Type]]&gt;0,VLOOKUP(DBparts1[[#This Row],[Type]],Main[[#All],[TYPE]:[UNIT]],'Unit Price'!G$1,FALSE),0)</f>
        <v>0</v>
      </c>
      <c r="J667" s="194">
        <f>IF(DBparts1[[#This Row],[Type]]&gt;0,VLOOKUP(DBparts1[[#This Row],[Type]],Main[[#All],[TYPE]:[UNIT]],'Unit Price'!H$1,FALSE),0)</f>
        <v>0</v>
      </c>
      <c r="K667" s="194">
        <f>IF(DBparts1[[#This Row],[Type]]&gt;0,VLOOKUP(DBparts1[[#This Row],[Discount seletion]],'Discount Structure'!$A$2:$B$30,2,"false"),0)</f>
        <v>0</v>
      </c>
      <c r="L667" s="194">
        <f>DBparts1[[#This Row],[LIST $]]*DBparts1[[#This Row],[DISCOUNT]]*DBparts1[[#This Row],[DISCOUNT 2]]</f>
        <v>0</v>
      </c>
    </row>
    <row r="668" spans="2:12">
      <c r="B668" s="112"/>
      <c r="C668" s="112"/>
      <c r="D668" s="112"/>
      <c r="F668" s="168" t="s">
        <v>6202</v>
      </c>
      <c r="G668" s="232">
        <f>IF(DBparts1[[#This Row],[Type]]&gt;0,VLOOKUP(DBparts1[[#This Row],[Type]],Main[[#All],[TYPE]:[UNIT]],'Unit Price'!C$1,FALSE),0)</f>
        <v>0</v>
      </c>
      <c r="H668" s="194">
        <f>IF(DBparts1[[#This Row],[Type]]&gt;0,VLOOKUP(DBparts1[[#This Row],[Type]],Main[[#All],[TYPE]:[UNIT]],'Unit Price'!D$1,FALSE),0)</f>
        <v>0</v>
      </c>
      <c r="I668" s="194">
        <f>IF(DBparts1[[#This Row],[Type]]&gt;0,VLOOKUP(DBparts1[[#This Row],[Type]],Main[[#All],[TYPE]:[UNIT]],'Unit Price'!G$1,FALSE),0)</f>
        <v>0</v>
      </c>
      <c r="J668" s="194">
        <f>IF(DBparts1[[#This Row],[Type]]&gt;0,VLOOKUP(DBparts1[[#This Row],[Type]],Main[[#All],[TYPE]:[UNIT]],'Unit Price'!H$1,FALSE),0)</f>
        <v>0</v>
      </c>
      <c r="K668" s="194">
        <f>IF(DBparts1[[#This Row],[Type]]&gt;0,VLOOKUP(DBparts1[[#This Row],[Discount seletion]],'Discount Structure'!$A$2:$B$30,2,"false"),0)</f>
        <v>0</v>
      </c>
      <c r="L668" s="194">
        <f>DBparts1[[#This Row],[LIST $]]*DBparts1[[#This Row],[DISCOUNT]]*DBparts1[[#This Row],[DISCOUNT 2]]</f>
        <v>0</v>
      </c>
    </row>
    <row r="669" spans="2:12">
      <c r="B669" s="112"/>
      <c r="C669" s="112"/>
      <c r="D669" s="112"/>
      <c r="F669" s="168" t="s">
        <v>6202</v>
      </c>
      <c r="G669" s="232">
        <f>IF(DBparts1[[#This Row],[Type]]&gt;0,VLOOKUP(DBparts1[[#This Row],[Type]],Main[[#All],[TYPE]:[UNIT]],'Unit Price'!C$1,FALSE),0)</f>
        <v>0</v>
      </c>
      <c r="H669" s="194">
        <f>IF(DBparts1[[#This Row],[Type]]&gt;0,VLOOKUP(DBparts1[[#This Row],[Type]],Main[[#All],[TYPE]:[UNIT]],'Unit Price'!D$1,FALSE),0)</f>
        <v>0</v>
      </c>
      <c r="I669" s="194">
        <f>IF(DBparts1[[#This Row],[Type]]&gt;0,VLOOKUP(DBparts1[[#This Row],[Type]],Main[[#All],[TYPE]:[UNIT]],'Unit Price'!G$1,FALSE),0)</f>
        <v>0</v>
      </c>
      <c r="J669" s="194">
        <f>IF(DBparts1[[#This Row],[Type]]&gt;0,VLOOKUP(DBparts1[[#This Row],[Type]],Main[[#All],[TYPE]:[UNIT]],'Unit Price'!H$1,FALSE),0)</f>
        <v>0</v>
      </c>
      <c r="K669" s="194">
        <f>IF(DBparts1[[#This Row],[Type]]&gt;0,VLOOKUP(DBparts1[[#This Row],[Discount seletion]],'Discount Structure'!$A$2:$B$30,2,"false"),0)</f>
        <v>0</v>
      </c>
      <c r="L669" s="194">
        <f>DBparts1[[#This Row],[LIST $]]*DBparts1[[#This Row],[DISCOUNT]]*DBparts1[[#This Row],[DISCOUNT 2]]</f>
        <v>0</v>
      </c>
    </row>
    <row r="670" spans="2:12">
      <c r="B670" s="112"/>
      <c r="C670" s="112"/>
      <c r="D670" s="112"/>
      <c r="F670" s="168" t="s">
        <v>6202</v>
      </c>
      <c r="G670" s="232">
        <f>IF(DBparts1[[#This Row],[Type]]&gt;0,VLOOKUP(DBparts1[[#This Row],[Type]],Main[[#All],[TYPE]:[UNIT]],'Unit Price'!C$1,FALSE),0)</f>
        <v>0</v>
      </c>
      <c r="H670" s="194">
        <f>IF(DBparts1[[#This Row],[Type]]&gt;0,VLOOKUP(DBparts1[[#This Row],[Type]],Main[[#All],[TYPE]:[UNIT]],'Unit Price'!D$1,FALSE),0)</f>
        <v>0</v>
      </c>
      <c r="I670" s="194">
        <f>IF(DBparts1[[#This Row],[Type]]&gt;0,VLOOKUP(DBparts1[[#This Row],[Type]],Main[[#All],[TYPE]:[UNIT]],'Unit Price'!G$1,FALSE),0)</f>
        <v>0</v>
      </c>
      <c r="J670" s="194">
        <f>IF(DBparts1[[#This Row],[Type]]&gt;0,VLOOKUP(DBparts1[[#This Row],[Type]],Main[[#All],[TYPE]:[UNIT]],'Unit Price'!H$1,FALSE),0)</f>
        <v>0</v>
      </c>
      <c r="K670" s="194">
        <f>IF(DBparts1[[#This Row],[Type]]&gt;0,VLOOKUP(DBparts1[[#This Row],[Discount seletion]],'Discount Structure'!$A$2:$B$30,2,"false"),0)</f>
        <v>0</v>
      </c>
      <c r="L670" s="194">
        <f>DBparts1[[#This Row],[LIST $]]*DBparts1[[#This Row],[DISCOUNT]]*DBparts1[[#This Row],[DISCOUNT 2]]</f>
        <v>0</v>
      </c>
    </row>
    <row r="671" spans="2:12">
      <c r="B671" s="112"/>
      <c r="C671" s="112"/>
      <c r="D671" s="112"/>
      <c r="F671" s="168" t="s">
        <v>6202</v>
      </c>
      <c r="G671" s="232">
        <f>IF(DBparts1[[#This Row],[Type]]&gt;0,VLOOKUP(DBparts1[[#This Row],[Type]],Main[[#All],[TYPE]:[UNIT]],'Unit Price'!C$1,FALSE),0)</f>
        <v>0</v>
      </c>
      <c r="H671" s="194">
        <f>IF(DBparts1[[#This Row],[Type]]&gt;0,VLOOKUP(DBparts1[[#This Row],[Type]],Main[[#All],[TYPE]:[UNIT]],'Unit Price'!D$1,FALSE),0)</f>
        <v>0</v>
      </c>
      <c r="I671" s="194">
        <f>IF(DBparts1[[#This Row],[Type]]&gt;0,VLOOKUP(DBparts1[[#This Row],[Type]],Main[[#All],[TYPE]:[UNIT]],'Unit Price'!G$1,FALSE),0)</f>
        <v>0</v>
      </c>
      <c r="J671" s="194">
        <f>IF(DBparts1[[#This Row],[Type]]&gt;0,VLOOKUP(DBparts1[[#This Row],[Type]],Main[[#All],[TYPE]:[UNIT]],'Unit Price'!H$1,FALSE),0)</f>
        <v>0</v>
      </c>
      <c r="K671" s="194">
        <f>IF(DBparts1[[#This Row],[Type]]&gt;0,VLOOKUP(DBparts1[[#This Row],[Discount seletion]],'Discount Structure'!$A$2:$B$30,2,"false"),0)</f>
        <v>0</v>
      </c>
      <c r="L671" s="194">
        <f>DBparts1[[#This Row],[LIST $]]*DBparts1[[#This Row],[DISCOUNT]]*DBparts1[[#This Row],[DISCOUNT 2]]</f>
        <v>0</v>
      </c>
    </row>
    <row r="672" spans="2:12">
      <c r="B672" s="112"/>
      <c r="C672" s="112"/>
      <c r="D672" s="112"/>
      <c r="F672" s="168" t="s">
        <v>6202</v>
      </c>
      <c r="G672" s="232">
        <f>IF(DBparts1[[#This Row],[Type]]&gt;0,VLOOKUP(DBparts1[[#This Row],[Type]],Main[[#All],[TYPE]:[UNIT]],'Unit Price'!C$1,FALSE),0)</f>
        <v>0</v>
      </c>
      <c r="H672" s="194">
        <f>IF(DBparts1[[#This Row],[Type]]&gt;0,VLOOKUP(DBparts1[[#This Row],[Type]],Main[[#All],[TYPE]:[UNIT]],'Unit Price'!D$1,FALSE),0)</f>
        <v>0</v>
      </c>
      <c r="I672" s="194">
        <f>IF(DBparts1[[#This Row],[Type]]&gt;0,VLOOKUP(DBparts1[[#This Row],[Type]],Main[[#All],[TYPE]:[UNIT]],'Unit Price'!G$1,FALSE),0)</f>
        <v>0</v>
      </c>
      <c r="J672" s="194">
        <f>IF(DBparts1[[#This Row],[Type]]&gt;0,VLOOKUP(DBparts1[[#This Row],[Type]],Main[[#All],[TYPE]:[UNIT]],'Unit Price'!H$1,FALSE),0)</f>
        <v>0</v>
      </c>
      <c r="K672" s="194">
        <f>IF(DBparts1[[#This Row],[Type]]&gt;0,VLOOKUP(DBparts1[[#This Row],[Discount seletion]],'Discount Structure'!$A$2:$B$30,2,"false"),0)</f>
        <v>0</v>
      </c>
      <c r="L672" s="194">
        <f>DBparts1[[#This Row],[LIST $]]*DBparts1[[#This Row],[DISCOUNT]]*DBparts1[[#This Row],[DISCOUNT 2]]</f>
        <v>0</v>
      </c>
    </row>
    <row r="673" spans="2:12">
      <c r="B673" s="112"/>
      <c r="C673" s="112"/>
      <c r="D673" s="112"/>
      <c r="F673" s="168" t="s">
        <v>6202</v>
      </c>
      <c r="G673" s="232">
        <f>IF(DBparts1[[#This Row],[Type]]&gt;0,VLOOKUP(DBparts1[[#This Row],[Type]],Main[[#All],[TYPE]:[UNIT]],'Unit Price'!C$1,FALSE),0)</f>
        <v>0</v>
      </c>
      <c r="H673" s="194">
        <f>IF(DBparts1[[#This Row],[Type]]&gt;0,VLOOKUP(DBparts1[[#This Row],[Type]],Main[[#All],[TYPE]:[UNIT]],'Unit Price'!D$1,FALSE),0)</f>
        <v>0</v>
      </c>
      <c r="I673" s="194">
        <f>IF(DBparts1[[#This Row],[Type]]&gt;0,VLOOKUP(DBparts1[[#This Row],[Type]],Main[[#All],[TYPE]:[UNIT]],'Unit Price'!G$1,FALSE),0)</f>
        <v>0</v>
      </c>
      <c r="J673" s="194">
        <f>IF(DBparts1[[#This Row],[Type]]&gt;0,VLOOKUP(DBparts1[[#This Row],[Type]],Main[[#All],[TYPE]:[UNIT]],'Unit Price'!H$1,FALSE),0)</f>
        <v>0</v>
      </c>
      <c r="K673" s="194">
        <f>IF(DBparts1[[#This Row],[Type]]&gt;0,VLOOKUP(DBparts1[[#This Row],[Discount seletion]],'Discount Structure'!$A$2:$B$30,2,"false"),0)</f>
        <v>0</v>
      </c>
      <c r="L673" s="194">
        <f>DBparts1[[#This Row],[LIST $]]*DBparts1[[#This Row],[DISCOUNT]]*DBparts1[[#This Row],[DISCOUNT 2]]</f>
        <v>0</v>
      </c>
    </row>
    <row r="674" spans="2:12">
      <c r="B674" s="112"/>
      <c r="C674" s="112"/>
      <c r="D674" s="112"/>
      <c r="F674" s="168" t="s">
        <v>6202</v>
      </c>
      <c r="G674" s="232">
        <f>IF(DBparts1[[#This Row],[Type]]&gt;0,VLOOKUP(DBparts1[[#This Row],[Type]],Main[[#All],[TYPE]:[UNIT]],'Unit Price'!C$1,FALSE),0)</f>
        <v>0</v>
      </c>
      <c r="H674" s="194">
        <f>IF(DBparts1[[#This Row],[Type]]&gt;0,VLOOKUP(DBparts1[[#This Row],[Type]],Main[[#All],[TYPE]:[UNIT]],'Unit Price'!D$1,FALSE),0)</f>
        <v>0</v>
      </c>
      <c r="I674" s="194">
        <f>IF(DBparts1[[#This Row],[Type]]&gt;0,VLOOKUP(DBparts1[[#This Row],[Type]],Main[[#All],[TYPE]:[UNIT]],'Unit Price'!G$1,FALSE),0)</f>
        <v>0</v>
      </c>
      <c r="J674" s="194">
        <f>IF(DBparts1[[#This Row],[Type]]&gt;0,VLOOKUP(DBparts1[[#This Row],[Type]],Main[[#All],[TYPE]:[UNIT]],'Unit Price'!H$1,FALSE),0)</f>
        <v>0</v>
      </c>
      <c r="K674" s="194">
        <f>IF(DBparts1[[#This Row],[Type]]&gt;0,VLOOKUP(DBparts1[[#This Row],[Discount seletion]],'Discount Structure'!$A$2:$B$30,2,"false"),0)</f>
        <v>0</v>
      </c>
      <c r="L674" s="194">
        <f>DBparts1[[#This Row],[LIST $]]*DBparts1[[#This Row],[DISCOUNT]]*DBparts1[[#This Row],[DISCOUNT 2]]</f>
        <v>0</v>
      </c>
    </row>
    <row r="675" spans="2:12">
      <c r="B675" s="112"/>
      <c r="C675" s="112"/>
      <c r="D675" s="112"/>
      <c r="F675" s="168" t="s">
        <v>6202</v>
      </c>
      <c r="G675" s="232">
        <f>IF(DBparts1[[#This Row],[Type]]&gt;0,VLOOKUP(DBparts1[[#This Row],[Type]],Main[[#All],[TYPE]:[UNIT]],'Unit Price'!C$1,FALSE),0)</f>
        <v>0</v>
      </c>
      <c r="H675" s="194">
        <f>IF(DBparts1[[#This Row],[Type]]&gt;0,VLOOKUP(DBparts1[[#This Row],[Type]],Main[[#All],[TYPE]:[UNIT]],'Unit Price'!D$1,FALSE),0)</f>
        <v>0</v>
      </c>
      <c r="I675" s="194">
        <f>IF(DBparts1[[#This Row],[Type]]&gt;0,VLOOKUP(DBparts1[[#This Row],[Type]],Main[[#All],[TYPE]:[UNIT]],'Unit Price'!G$1,FALSE),0)</f>
        <v>0</v>
      </c>
      <c r="J675" s="194">
        <f>IF(DBparts1[[#This Row],[Type]]&gt;0,VLOOKUP(DBparts1[[#This Row],[Type]],Main[[#All],[TYPE]:[UNIT]],'Unit Price'!H$1,FALSE),0)</f>
        <v>0</v>
      </c>
      <c r="K675" s="194">
        <f>IF(DBparts1[[#This Row],[Type]]&gt;0,VLOOKUP(DBparts1[[#This Row],[Discount seletion]],'Discount Structure'!$A$2:$B$30,2,"false"),0)</f>
        <v>0</v>
      </c>
      <c r="L675" s="194">
        <f>DBparts1[[#This Row],[LIST $]]*DBparts1[[#This Row],[DISCOUNT]]*DBparts1[[#This Row],[DISCOUNT 2]]</f>
        <v>0</v>
      </c>
    </row>
    <row r="676" spans="2:12">
      <c r="B676" s="112"/>
      <c r="C676" s="112"/>
      <c r="D676" s="112"/>
      <c r="F676" s="168" t="s">
        <v>6202</v>
      </c>
      <c r="G676" s="232">
        <f>IF(DBparts1[[#This Row],[Type]]&gt;0,VLOOKUP(DBparts1[[#This Row],[Type]],Main[[#All],[TYPE]:[UNIT]],'Unit Price'!C$1,FALSE),0)</f>
        <v>0</v>
      </c>
      <c r="H676" s="194">
        <f>IF(DBparts1[[#This Row],[Type]]&gt;0,VLOOKUP(DBparts1[[#This Row],[Type]],Main[[#All],[TYPE]:[UNIT]],'Unit Price'!D$1,FALSE),0)</f>
        <v>0</v>
      </c>
      <c r="I676" s="194">
        <f>IF(DBparts1[[#This Row],[Type]]&gt;0,VLOOKUP(DBparts1[[#This Row],[Type]],Main[[#All],[TYPE]:[UNIT]],'Unit Price'!G$1,FALSE),0)</f>
        <v>0</v>
      </c>
      <c r="J676" s="194">
        <f>IF(DBparts1[[#This Row],[Type]]&gt;0,VLOOKUP(DBparts1[[#This Row],[Type]],Main[[#All],[TYPE]:[UNIT]],'Unit Price'!H$1,FALSE),0)</f>
        <v>0</v>
      </c>
      <c r="K676" s="194">
        <f>IF(DBparts1[[#This Row],[Type]]&gt;0,VLOOKUP(DBparts1[[#This Row],[Discount seletion]],'Discount Structure'!$A$2:$B$30,2,"false"),0)</f>
        <v>0</v>
      </c>
      <c r="L676" s="194">
        <f>DBparts1[[#This Row],[LIST $]]*DBparts1[[#This Row],[DISCOUNT]]*DBparts1[[#This Row],[DISCOUNT 2]]</f>
        <v>0</v>
      </c>
    </row>
    <row r="677" spans="2:12">
      <c r="B677" s="112"/>
      <c r="C677" s="112"/>
      <c r="D677" s="112"/>
      <c r="F677" s="168" t="s">
        <v>6202</v>
      </c>
      <c r="G677" s="232">
        <f>IF(DBparts1[[#This Row],[Type]]&gt;0,VLOOKUP(DBparts1[[#This Row],[Type]],Main[[#All],[TYPE]:[UNIT]],'Unit Price'!C$1,FALSE),0)</f>
        <v>0</v>
      </c>
      <c r="H677" s="194">
        <f>IF(DBparts1[[#This Row],[Type]]&gt;0,VLOOKUP(DBparts1[[#This Row],[Type]],Main[[#All],[TYPE]:[UNIT]],'Unit Price'!D$1,FALSE),0)</f>
        <v>0</v>
      </c>
      <c r="I677" s="194">
        <f>IF(DBparts1[[#This Row],[Type]]&gt;0,VLOOKUP(DBparts1[[#This Row],[Type]],Main[[#All],[TYPE]:[UNIT]],'Unit Price'!G$1,FALSE),0)</f>
        <v>0</v>
      </c>
      <c r="J677" s="194">
        <f>IF(DBparts1[[#This Row],[Type]]&gt;0,VLOOKUP(DBparts1[[#This Row],[Type]],Main[[#All],[TYPE]:[UNIT]],'Unit Price'!H$1,FALSE),0)</f>
        <v>0</v>
      </c>
      <c r="K677" s="194">
        <f>IF(DBparts1[[#This Row],[Type]]&gt;0,VLOOKUP(DBparts1[[#This Row],[Discount seletion]],'Discount Structure'!$A$2:$B$30,2,"false"),0)</f>
        <v>0</v>
      </c>
      <c r="L677" s="194">
        <f>DBparts1[[#This Row],[LIST $]]*DBparts1[[#This Row],[DISCOUNT]]*DBparts1[[#This Row],[DISCOUNT 2]]</f>
        <v>0</v>
      </c>
    </row>
    <row r="678" spans="2:12">
      <c r="B678" s="112"/>
      <c r="C678" s="112"/>
      <c r="D678" s="112"/>
      <c r="F678" s="168" t="s">
        <v>6202</v>
      </c>
      <c r="G678" s="232">
        <f>IF(DBparts1[[#This Row],[Type]]&gt;0,VLOOKUP(DBparts1[[#This Row],[Type]],Main[[#All],[TYPE]:[UNIT]],'Unit Price'!C$1,FALSE),0)</f>
        <v>0</v>
      </c>
      <c r="H678" s="194">
        <f>IF(DBparts1[[#This Row],[Type]]&gt;0,VLOOKUP(DBparts1[[#This Row],[Type]],Main[[#All],[TYPE]:[UNIT]],'Unit Price'!D$1,FALSE),0)</f>
        <v>0</v>
      </c>
      <c r="I678" s="194">
        <f>IF(DBparts1[[#This Row],[Type]]&gt;0,VLOOKUP(DBparts1[[#This Row],[Type]],Main[[#All],[TYPE]:[UNIT]],'Unit Price'!G$1,FALSE),0)</f>
        <v>0</v>
      </c>
      <c r="J678" s="194">
        <f>IF(DBparts1[[#This Row],[Type]]&gt;0,VLOOKUP(DBparts1[[#This Row],[Type]],Main[[#All],[TYPE]:[UNIT]],'Unit Price'!H$1,FALSE),0)</f>
        <v>0</v>
      </c>
      <c r="K678" s="194">
        <f>IF(DBparts1[[#This Row],[Type]]&gt;0,VLOOKUP(DBparts1[[#This Row],[Discount seletion]],'Discount Structure'!$A$2:$B$30,2,"false"),0)</f>
        <v>0</v>
      </c>
      <c r="L678" s="194">
        <f>DBparts1[[#This Row],[LIST $]]*DBparts1[[#This Row],[DISCOUNT]]*DBparts1[[#This Row],[DISCOUNT 2]]</f>
        <v>0</v>
      </c>
    </row>
    <row r="679" spans="2:12">
      <c r="B679" s="112"/>
      <c r="C679" s="112"/>
      <c r="D679" s="112"/>
      <c r="F679" s="168" t="s">
        <v>6202</v>
      </c>
      <c r="G679" s="232">
        <f>IF(DBparts1[[#This Row],[Type]]&gt;0,VLOOKUP(DBparts1[[#This Row],[Type]],Main[[#All],[TYPE]:[UNIT]],'Unit Price'!C$1,FALSE),0)</f>
        <v>0</v>
      </c>
      <c r="H679" s="194">
        <f>IF(DBparts1[[#This Row],[Type]]&gt;0,VLOOKUP(DBparts1[[#This Row],[Type]],Main[[#All],[TYPE]:[UNIT]],'Unit Price'!D$1,FALSE),0)</f>
        <v>0</v>
      </c>
      <c r="I679" s="194">
        <f>IF(DBparts1[[#This Row],[Type]]&gt;0,VLOOKUP(DBparts1[[#This Row],[Type]],Main[[#All],[TYPE]:[UNIT]],'Unit Price'!G$1,FALSE),0)</f>
        <v>0</v>
      </c>
      <c r="J679" s="194">
        <f>IF(DBparts1[[#This Row],[Type]]&gt;0,VLOOKUP(DBparts1[[#This Row],[Type]],Main[[#All],[TYPE]:[UNIT]],'Unit Price'!H$1,FALSE),0)</f>
        <v>0</v>
      </c>
      <c r="K679" s="194">
        <f>IF(DBparts1[[#This Row],[Type]]&gt;0,VLOOKUP(DBparts1[[#This Row],[Discount seletion]],'Discount Structure'!$A$2:$B$30,2,"false"),0)</f>
        <v>0</v>
      </c>
      <c r="L679" s="194">
        <f>DBparts1[[#This Row],[LIST $]]*DBparts1[[#This Row],[DISCOUNT]]*DBparts1[[#This Row],[DISCOUNT 2]]</f>
        <v>0</v>
      </c>
    </row>
    <row r="680" spans="2:12">
      <c r="B680" s="112"/>
      <c r="C680" s="112"/>
      <c r="D680" s="112"/>
      <c r="F680" s="168" t="s">
        <v>6202</v>
      </c>
      <c r="G680" s="232">
        <f>IF(DBparts1[[#This Row],[Type]]&gt;0,VLOOKUP(DBparts1[[#This Row],[Type]],Main[[#All],[TYPE]:[UNIT]],'Unit Price'!C$1,FALSE),0)</f>
        <v>0</v>
      </c>
      <c r="H680" s="194">
        <f>IF(DBparts1[[#This Row],[Type]]&gt;0,VLOOKUP(DBparts1[[#This Row],[Type]],Main[[#All],[TYPE]:[UNIT]],'Unit Price'!D$1,FALSE),0)</f>
        <v>0</v>
      </c>
      <c r="I680" s="194">
        <f>IF(DBparts1[[#This Row],[Type]]&gt;0,VLOOKUP(DBparts1[[#This Row],[Type]],Main[[#All],[TYPE]:[UNIT]],'Unit Price'!G$1,FALSE),0)</f>
        <v>0</v>
      </c>
      <c r="J680" s="194">
        <f>IF(DBparts1[[#This Row],[Type]]&gt;0,VLOOKUP(DBparts1[[#This Row],[Type]],Main[[#All],[TYPE]:[UNIT]],'Unit Price'!H$1,FALSE),0)</f>
        <v>0</v>
      </c>
      <c r="K680" s="194">
        <f>IF(DBparts1[[#This Row],[Type]]&gt;0,VLOOKUP(DBparts1[[#This Row],[Discount seletion]],'Discount Structure'!$A$2:$B$30,2,"false"),0)</f>
        <v>0</v>
      </c>
      <c r="L680" s="194">
        <f>DBparts1[[#This Row],[LIST $]]*DBparts1[[#This Row],[DISCOUNT]]*DBparts1[[#This Row],[DISCOUNT 2]]</f>
        <v>0</v>
      </c>
    </row>
    <row r="681" spans="2:12">
      <c r="B681" s="112"/>
      <c r="C681" s="112"/>
      <c r="D681" s="112"/>
      <c r="F681" s="168" t="s">
        <v>6202</v>
      </c>
      <c r="G681" s="232">
        <f>IF(DBparts1[[#This Row],[Type]]&gt;0,VLOOKUP(DBparts1[[#This Row],[Type]],Main[[#All],[TYPE]:[UNIT]],'Unit Price'!C$1,FALSE),0)</f>
        <v>0</v>
      </c>
      <c r="H681" s="194">
        <f>IF(DBparts1[[#This Row],[Type]]&gt;0,VLOOKUP(DBparts1[[#This Row],[Type]],Main[[#All],[TYPE]:[UNIT]],'Unit Price'!D$1,FALSE),0)</f>
        <v>0</v>
      </c>
      <c r="I681" s="194">
        <f>IF(DBparts1[[#This Row],[Type]]&gt;0,VLOOKUP(DBparts1[[#This Row],[Type]],Main[[#All],[TYPE]:[UNIT]],'Unit Price'!G$1,FALSE),0)</f>
        <v>0</v>
      </c>
      <c r="J681" s="194">
        <f>IF(DBparts1[[#This Row],[Type]]&gt;0,VLOOKUP(DBparts1[[#This Row],[Type]],Main[[#All],[TYPE]:[UNIT]],'Unit Price'!H$1,FALSE),0)</f>
        <v>0</v>
      </c>
      <c r="K681" s="194">
        <f>IF(DBparts1[[#This Row],[Type]]&gt;0,VLOOKUP(DBparts1[[#This Row],[Discount seletion]],'Discount Structure'!$A$2:$B$30,2,"false"),0)</f>
        <v>0</v>
      </c>
      <c r="L681" s="194">
        <f>DBparts1[[#This Row],[LIST $]]*DBparts1[[#This Row],[DISCOUNT]]*DBparts1[[#This Row],[DISCOUNT 2]]</f>
        <v>0</v>
      </c>
    </row>
    <row r="682" spans="2:12">
      <c r="B682" s="112"/>
      <c r="C682" s="112"/>
      <c r="D682" s="112"/>
      <c r="F682" s="168" t="s">
        <v>6202</v>
      </c>
      <c r="G682" s="232">
        <f>IF(DBparts1[[#This Row],[Type]]&gt;0,VLOOKUP(DBparts1[[#This Row],[Type]],Main[[#All],[TYPE]:[UNIT]],'Unit Price'!C$1,FALSE),0)</f>
        <v>0</v>
      </c>
      <c r="H682" s="194">
        <f>IF(DBparts1[[#This Row],[Type]]&gt;0,VLOOKUP(DBparts1[[#This Row],[Type]],Main[[#All],[TYPE]:[UNIT]],'Unit Price'!D$1,FALSE),0)</f>
        <v>0</v>
      </c>
      <c r="I682" s="194">
        <f>IF(DBparts1[[#This Row],[Type]]&gt;0,VLOOKUP(DBparts1[[#This Row],[Type]],Main[[#All],[TYPE]:[UNIT]],'Unit Price'!G$1,FALSE),0)</f>
        <v>0</v>
      </c>
      <c r="J682" s="194">
        <f>IF(DBparts1[[#This Row],[Type]]&gt;0,VLOOKUP(DBparts1[[#This Row],[Type]],Main[[#All],[TYPE]:[UNIT]],'Unit Price'!H$1,FALSE),0)</f>
        <v>0</v>
      </c>
      <c r="K682" s="194">
        <f>IF(DBparts1[[#This Row],[Type]]&gt;0,VLOOKUP(DBparts1[[#This Row],[Discount seletion]],'Discount Structure'!$A$2:$B$30,2,"false"),0)</f>
        <v>0</v>
      </c>
      <c r="L682" s="194">
        <f>DBparts1[[#This Row],[LIST $]]*DBparts1[[#This Row],[DISCOUNT]]*DBparts1[[#This Row],[DISCOUNT 2]]</f>
        <v>0</v>
      </c>
    </row>
    <row r="683" spans="2:12">
      <c r="B683" s="112"/>
      <c r="C683" s="112"/>
      <c r="D683" s="112"/>
      <c r="F683" s="168" t="s">
        <v>6202</v>
      </c>
      <c r="G683" s="232">
        <f>IF(DBparts1[[#This Row],[Type]]&gt;0,VLOOKUP(DBparts1[[#This Row],[Type]],Main[[#All],[TYPE]:[UNIT]],'Unit Price'!C$1,FALSE),0)</f>
        <v>0</v>
      </c>
      <c r="H683" s="194">
        <f>IF(DBparts1[[#This Row],[Type]]&gt;0,VLOOKUP(DBparts1[[#This Row],[Type]],Main[[#All],[TYPE]:[UNIT]],'Unit Price'!D$1,FALSE),0)</f>
        <v>0</v>
      </c>
      <c r="I683" s="194">
        <f>IF(DBparts1[[#This Row],[Type]]&gt;0,VLOOKUP(DBparts1[[#This Row],[Type]],Main[[#All],[TYPE]:[UNIT]],'Unit Price'!G$1,FALSE),0)</f>
        <v>0</v>
      </c>
      <c r="J683" s="194">
        <f>IF(DBparts1[[#This Row],[Type]]&gt;0,VLOOKUP(DBparts1[[#This Row],[Type]],Main[[#All],[TYPE]:[UNIT]],'Unit Price'!H$1,FALSE),0)</f>
        <v>0</v>
      </c>
      <c r="K683" s="194">
        <f>IF(DBparts1[[#This Row],[Type]]&gt;0,VLOOKUP(DBparts1[[#This Row],[Discount seletion]],'Discount Structure'!$A$2:$B$30,2,"false"),0)</f>
        <v>0</v>
      </c>
      <c r="L683" s="194">
        <f>DBparts1[[#This Row],[LIST $]]*DBparts1[[#This Row],[DISCOUNT]]*DBparts1[[#This Row],[DISCOUNT 2]]</f>
        <v>0</v>
      </c>
    </row>
    <row r="684" spans="2:12">
      <c r="B684" s="112"/>
      <c r="C684" s="112"/>
      <c r="D684" s="112"/>
      <c r="F684" s="168" t="s">
        <v>6202</v>
      </c>
      <c r="G684" s="232">
        <f>IF(DBparts1[[#This Row],[Type]]&gt;0,VLOOKUP(DBparts1[[#This Row],[Type]],Main[[#All],[TYPE]:[UNIT]],'Unit Price'!C$1,FALSE),0)</f>
        <v>0</v>
      </c>
      <c r="H684" s="194">
        <f>IF(DBparts1[[#This Row],[Type]]&gt;0,VLOOKUP(DBparts1[[#This Row],[Type]],Main[[#All],[TYPE]:[UNIT]],'Unit Price'!D$1,FALSE),0)</f>
        <v>0</v>
      </c>
      <c r="I684" s="194">
        <f>IF(DBparts1[[#This Row],[Type]]&gt;0,VLOOKUP(DBparts1[[#This Row],[Type]],Main[[#All],[TYPE]:[UNIT]],'Unit Price'!G$1,FALSE),0)</f>
        <v>0</v>
      </c>
      <c r="J684" s="194">
        <f>IF(DBparts1[[#This Row],[Type]]&gt;0,VLOOKUP(DBparts1[[#This Row],[Type]],Main[[#All],[TYPE]:[UNIT]],'Unit Price'!H$1,FALSE),0)</f>
        <v>0</v>
      </c>
      <c r="K684" s="194">
        <f>IF(DBparts1[[#This Row],[Type]]&gt;0,VLOOKUP(DBparts1[[#This Row],[Discount seletion]],'Discount Structure'!$A$2:$B$30,2,"false"),0)</f>
        <v>0</v>
      </c>
      <c r="L684" s="194">
        <f>DBparts1[[#This Row],[LIST $]]*DBparts1[[#This Row],[DISCOUNT]]*DBparts1[[#This Row],[DISCOUNT 2]]</f>
        <v>0</v>
      </c>
    </row>
    <row r="685" spans="2:12">
      <c r="B685" s="112"/>
      <c r="C685" s="112"/>
      <c r="D685" s="112"/>
      <c r="F685" s="168" t="s">
        <v>6202</v>
      </c>
      <c r="G685" s="232">
        <f>IF(DBparts1[[#This Row],[Type]]&gt;0,VLOOKUP(DBparts1[[#This Row],[Type]],Main[[#All],[TYPE]:[UNIT]],'Unit Price'!C$1,FALSE),0)</f>
        <v>0</v>
      </c>
      <c r="H685" s="194">
        <f>IF(DBparts1[[#This Row],[Type]]&gt;0,VLOOKUP(DBparts1[[#This Row],[Type]],Main[[#All],[TYPE]:[UNIT]],'Unit Price'!D$1,FALSE),0)</f>
        <v>0</v>
      </c>
      <c r="I685" s="194">
        <f>IF(DBparts1[[#This Row],[Type]]&gt;0,VLOOKUP(DBparts1[[#This Row],[Type]],Main[[#All],[TYPE]:[UNIT]],'Unit Price'!G$1,FALSE),0)</f>
        <v>0</v>
      </c>
      <c r="J685" s="194">
        <f>IF(DBparts1[[#This Row],[Type]]&gt;0,VLOOKUP(DBparts1[[#This Row],[Type]],Main[[#All],[TYPE]:[UNIT]],'Unit Price'!H$1,FALSE),0)</f>
        <v>0</v>
      </c>
      <c r="K685" s="194">
        <f>IF(DBparts1[[#This Row],[Type]]&gt;0,VLOOKUP(DBparts1[[#This Row],[Discount seletion]],'Discount Structure'!$A$2:$B$30,2,"false"),0)</f>
        <v>0</v>
      </c>
      <c r="L685" s="194">
        <f>DBparts1[[#This Row],[LIST $]]*DBparts1[[#This Row],[DISCOUNT]]*DBparts1[[#This Row],[DISCOUNT 2]]</f>
        <v>0</v>
      </c>
    </row>
    <row r="686" spans="2:12">
      <c r="B686" s="112"/>
      <c r="C686" s="112"/>
      <c r="D686" s="112"/>
      <c r="F686" s="168" t="s">
        <v>6202</v>
      </c>
      <c r="G686" s="232">
        <f>IF(DBparts1[[#This Row],[Type]]&gt;0,VLOOKUP(DBparts1[[#This Row],[Type]],Main[[#All],[TYPE]:[UNIT]],'Unit Price'!C$1,FALSE),0)</f>
        <v>0</v>
      </c>
      <c r="H686" s="194">
        <f>IF(DBparts1[[#This Row],[Type]]&gt;0,VLOOKUP(DBparts1[[#This Row],[Type]],Main[[#All],[TYPE]:[UNIT]],'Unit Price'!D$1,FALSE),0)</f>
        <v>0</v>
      </c>
      <c r="I686" s="194">
        <f>IF(DBparts1[[#This Row],[Type]]&gt;0,VLOOKUP(DBparts1[[#This Row],[Type]],Main[[#All],[TYPE]:[UNIT]],'Unit Price'!G$1,FALSE),0)</f>
        <v>0</v>
      </c>
      <c r="J686" s="194">
        <f>IF(DBparts1[[#This Row],[Type]]&gt;0,VLOOKUP(DBparts1[[#This Row],[Type]],Main[[#All],[TYPE]:[UNIT]],'Unit Price'!H$1,FALSE),0)</f>
        <v>0</v>
      </c>
      <c r="K686" s="194">
        <f>IF(DBparts1[[#This Row],[Type]]&gt;0,VLOOKUP(DBparts1[[#This Row],[Discount seletion]],'Discount Structure'!$A$2:$B$30,2,"false"),0)</f>
        <v>0</v>
      </c>
      <c r="L686" s="194">
        <f>DBparts1[[#This Row],[LIST $]]*DBparts1[[#This Row],[DISCOUNT]]*DBparts1[[#This Row],[DISCOUNT 2]]</f>
        <v>0</v>
      </c>
    </row>
    <row r="687" spans="2:12">
      <c r="B687" s="112"/>
      <c r="C687" s="112"/>
      <c r="D687" s="112"/>
      <c r="F687" s="168" t="s">
        <v>6202</v>
      </c>
      <c r="G687" s="232">
        <f>IF(DBparts1[[#This Row],[Type]]&gt;0,VLOOKUP(DBparts1[[#This Row],[Type]],Main[[#All],[TYPE]:[UNIT]],'Unit Price'!C$1,FALSE),0)</f>
        <v>0</v>
      </c>
      <c r="H687" s="194">
        <f>IF(DBparts1[[#This Row],[Type]]&gt;0,VLOOKUP(DBparts1[[#This Row],[Type]],Main[[#All],[TYPE]:[UNIT]],'Unit Price'!D$1,FALSE),0)</f>
        <v>0</v>
      </c>
      <c r="I687" s="194">
        <f>IF(DBparts1[[#This Row],[Type]]&gt;0,VLOOKUP(DBparts1[[#This Row],[Type]],Main[[#All],[TYPE]:[UNIT]],'Unit Price'!G$1,FALSE),0)</f>
        <v>0</v>
      </c>
      <c r="J687" s="194">
        <f>IF(DBparts1[[#This Row],[Type]]&gt;0,VLOOKUP(DBparts1[[#This Row],[Type]],Main[[#All],[TYPE]:[UNIT]],'Unit Price'!H$1,FALSE),0)</f>
        <v>0</v>
      </c>
      <c r="K687" s="194">
        <f>IF(DBparts1[[#This Row],[Type]]&gt;0,VLOOKUP(DBparts1[[#This Row],[Discount seletion]],'Discount Structure'!$A$2:$B$30,2,"false"),0)</f>
        <v>0</v>
      </c>
      <c r="L687" s="194">
        <f>DBparts1[[#This Row],[LIST $]]*DBparts1[[#This Row],[DISCOUNT]]*DBparts1[[#This Row],[DISCOUNT 2]]</f>
        <v>0</v>
      </c>
    </row>
    <row r="688" spans="2:12">
      <c r="B688" s="112"/>
      <c r="C688" s="112"/>
      <c r="D688" s="112"/>
      <c r="F688" s="168" t="s">
        <v>6202</v>
      </c>
      <c r="G688" s="232">
        <f>IF(DBparts1[[#This Row],[Type]]&gt;0,VLOOKUP(DBparts1[[#This Row],[Type]],Main[[#All],[TYPE]:[UNIT]],'Unit Price'!C$1,FALSE),0)</f>
        <v>0</v>
      </c>
      <c r="H688" s="194">
        <f>IF(DBparts1[[#This Row],[Type]]&gt;0,VLOOKUP(DBparts1[[#This Row],[Type]],Main[[#All],[TYPE]:[UNIT]],'Unit Price'!D$1,FALSE),0)</f>
        <v>0</v>
      </c>
      <c r="I688" s="194">
        <f>IF(DBparts1[[#This Row],[Type]]&gt;0,VLOOKUP(DBparts1[[#This Row],[Type]],Main[[#All],[TYPE]:[UNIT]],'Unit Price'!G$1,FALSE),0)</f>
        <v>0</v>
      </c>
      <c r="J688" s="194">
        <f>IF(DBparts1[[#This Row],[Type]]&gt;0,VLOOKUP(DBparts1[[#This Row],[Type]],Main[[#All],[TYPE]:[UNIT]],'Unit Price'!H$1,FALSE),0)</f>
        <v>0</v>
      </c>
      <c r="K688" s="194">
        <f>IF(DBparts1[[#This Row],[Type]]&gt;0,VLOOKUP(DBparts1[[#This Row],[Discount seletion]],'Discount Structure'!$A$2:$B$30,2,"false"),0)</f>
        <v>0</v>
      </c>
      <c r="L688" s="194">
        <f>DBparts1[[#This Row],[LIST $]]*DBparts1[[#This Row],[DISCOUNT]]*DBparts1[[#This Row],[DISCOUNT 2]]</f>
        <v>0</v>
      </c>
    </row>
    <row r="689" spans="2:12">
      <c r="B689" s="112"/>
      <c r="C689" s="112"/>
      <c r="D689" s="112"/>
      <c r="F689" s="168" t="s">
        <v>6202</v>
      </c>
      <c r="G689" s="232">
        <f>IF(DBparts1[[#This Row],[Type]]&gt;0,VLOOKUP(DBparts1[[#This Row],[Type]],Main[[#All],[TYPE]:[UNIT]],'Unit Price'!C$1,FALSE),0)</f>
        <v>0</v>
      </c>
      <c r="H689" s="194">
        <f>IF(DBparts1[[#This Row],[Type]]&gt;0,VLOOKUP(DBparts1[[#This Row],[Type]],Main[[#All],[TYPE]:[UNIT]],'Unit Price'!D$1,FALSE),0)</f>
        <v>0</v>
      </c>
      <c r="I689" s="194">
        <f>IF(DBparts1[[#This Row],[Type]]&gt;0,VLOOKUP(DBparts1[[#This Row],[Type]],Main[[#All],[TYPE]:[UNIT]],'Unit Price'!G$1,FALSE),0)</f>
        <v>0</v>
      </c>
      <c r="J689" s="194">
        <f>IF(DBparts1[[#This Row],[Type]]&gt;0,VLOOKUP(DBparts1[[#This Row],[Type]],Main[[#All],[TYPE]:[UNIT]],'Unit Price'!H$1,FALSE),0)</f>
        <v>0</v>
      </c>
      <c r="K689" s="194">
        <f>IF(DBparts1[[#This Row],[Type]]&gt;0,VLOOKUP(DBparts1[[#This Row],[Discount seletion]],'Discount Structure'!$A$2:$B$30,2,"false"),0)</f>
        <v>0</v>
      </c>
      <c r="L689" s="194">
        <f>DBparts1[[#This Row],[LIST $]]*DBparts1[[#This Row],[DISCOUNT]]*DBparts1[[#This Row],[DISCOUNT 2]]</f>
        <v>0</v>
      </c>
    </row>
    <row r="690" spans="2:12">
      <c r="B690" s="112"/>
      <c r="C690" s="112"/>
      <c r="D690" s="112"/>
      <c r="F690" s="168" t="s">
        <v>6202</v>
      </c>
      <c r="G690" s="232">
        <f>IF(DBparts1[[#This Row],[Type]]&gt;0,VLOOKUP(DBparts1[[#This Row],[Type]],Main[[#All],[TYPE]:[UNIT]],'Unit Price'!C$1,FALSE),0)</f>
        <v>0</v>
      </c>
      <c r="H690" s="194">
        <f>IF(DBparts1[[#This Row],[Type]]&gt;0,VLOOKUP(DBparts1[[#This Row],[Type]],Main[[#All],[TYPE]:[UNIT]],'Unit Price'!D$1,FALSE),0)</f>
        <v>0</v>
      </c>
      <c r="I690" s="194">
        <f>IF(DBparts1[[#This Row],[Type]]&gt;0,VLOOKUP(DBparts1[[#This Row],[Type]],Main[[#All],[TYPE]:[UNIT]],'Unit Price'!G$1,FALSE),0)</f>
        <v>0</v>
      </c>
      <c r="J690" s="194">
        <f>IF(DBparts1[[#This Row],[Type]]&gt;0,VLOOKUP(DBparts1[[#This Row],[Type]],Main[[#All],[TYPE]:[UNIT]],'Unit Price'!H$1,FALSE),0)</f>
        <v>0</v>
      </c>
      <c r="K690" s="194">
        <f>IF(DBparts1[[#This Row],[Type]]&gt;0,VLOOKUP(DBparts1[[#This Row],[Discount seletion]],'Discount Structure'!$A$2:$B$30,2,"false"),0)</f>
        <v>0</v>
      </c>
      <c r="L690" s="194">
        <f>DBparts1[[#This Row],[LIST $]]*DBparts1[[#This Row],[DISCOUNT]]*DBparts1[[#This Row],[DISCOUNT 2]]</f>
        <v>0</v>
      </c>
    </row>
    <row r="691" spans="2:12">
      <c r="B691" s="112"/>
      <c r="C691" s="112"/>
      <c r="D691" s="112"/>
      <c r="F691" s="168" t="s">
        <v>6202</v>
      </c>
      <c r="G691" s="232">
        <f>IF(DBparts1[[#This Row],[Type]]&gt;0,VLOOKUP(DBparts1[[#This Row],[Type]],Main[[#All],[TYPE]:[UNIT]],'Unit Price'!C$1,FALSE),0)</f>
        <v>0</v>
      </c>
      <c r="H691" s="194">
        <f>IF(DBparts1[[#This Row],[Type]]&gt;0,VLOOKUP(DBparts1[[#This Row],[Type]],Main[[#All],[TYPE]:[UNIT]],'Unit Price'!D$1,FALSE),0)</f>
        <v>0</v>
      </c>
      <c r="I691" s="194">
        <f>IF(DBparts1[[#This Row],[Type]]&gt;0,VLOOKUP(DBparts1[[#This Row],[Type]],Main[[#All],[TYPE]:[UNIT]],'Unit Price'!G$1,FALSE),0)</f>
        <v>0</v>
      </c>
      <c r="J691" s="194">
        <f>IF(DBparts1[[#This Row],[Type]]&gt;0,VLOOKUP(DBparts1[[#This Row],[Type]],Main[[#All],[TYPE]:[UNIT]],'Unit Price'!H$1,FALSE),0)</f>
        <v>0</v>
      </c>
      <c r="K691" s="194">
        <f>IF(DBparts1[[#This Row],[Type]]&gt;0,VLOOKUP(DBparts1[[#This Row],[Discount seletion]],'Discount Structure'!$A$2:$B$30,2,"false"),0)</f>
        <v>0</v>
      </c>
      <c r="L691" s="194">
        <f>DBparts1[[#This Row],[LIST $]]*DBparts1[[#This Row],[DISCOUNT]]*DBparts1[[#This Row],[DISCOUNT 2]]</f>
        <v>0</v>
      </c>
    </row>
    <row r="692" spans="2:12">
      <c r="B692" s="112"/>
      <c r="C692" s="112"/>
      <c r="D692" s="112"/>
      <c r="F692" s="168" t="s">
        <v>6202</v>
      </c>
      <c r="G692" s="232">
        <f>IF(DBparts1[[#This Row],[Type]]&gt;0,VLOOKUP(DBparts1[[#This Row],[Type]],Main[[#All],[TYPE]:[UNIT]],'Unit Price'!C$1,FALSE),0)</f>
        <v>0</v>
      </c>
      <c r="H692" s="194">
        <f>IF(DBparts1[[#This Row],[Type]]&gt;0,VLOOKUP(DBparts1[[#This Row],[Type]],Main[[#All],[TYPE]:[UNIT]],'Unit Price'!D$1,FALSE),0)</f>
        <v>0</v>
      </c>
      <c r="I692" s="194">
        <f>IF(DBparts1[[#This Row],[Type]]&gt;0,VLOOKUP(DBparts1[[#This Row],[Type]],Main[[#All],[TYPE]:[UNIT]],'Unit Price'!G$1,FALSE),0)</f>
        <v>0</v>
      </c>
      <c r="J692" s="194">
        <f>IF(DBparts1[[#This Row],[Type]]&gt;0,VLOOKUP(DBparts1[[#This Row],[Type]],Main[[#All],[TYPE]:[UNIT]],'Unit Price'!H$1,FALSE),0)</f>
        <v>0</v>
      </c>
      <c r="K692" s="194">
        <f>IF(DBparts1[[#This Row],[Type]]&gt;0,VLOOKUP(DBparts1[[#This Row],[Discount seletion]],'Discount Structure'!$A$2:$B$30,2,"false"),0)</f>
        <v>0</v>
      </c>
      <c r="L692" s="194">
        <f>DBparts1[[#This Row],[LIST $]]*DBparts1[[#This Row],[DISCOUNT]]*DBparts1[[#This Row],[DISCOUNT 2]]</f>
        <v>0</v>
      </c>
    </row>
    <row r="693" spans="2:12">
      <c r="B693" s="112"/>
      <c r="C693" s="112"/>
      <c r="D693" s="112"/>
      <c r="F693" s="168" t="s">
        <v>6202</v>
      </c>
      <c r="G693" s="232">
        <f>IF(DBparts1[[#This Row],[Type]]&gt;0,VLOOKUP(DBparts1[[#This Row],[Type]],Main[[#All],[TYPE]:[UNIT]],'Unit Price'!C$1,FALSE),0)</f>
        <v>0</v>
      </c>
      <c r="H693" s="194">
        <f>IF(DBparts1[[#This Row],[Type]]&gt;0,VLOOKUP(DBparts1[[#This Row],[Type]],Main[[#All],[TYPE]:[UNIT]],'Unit Price'!D$1,FALSE),0)</f>
        <v>0</v>
      </c>
      <c r="I693" s="194">
        <f>IF(DBparts1[[#This Row],[Type]]&gt;0,VLOOKUP(DBparts1[[#This Row],[Type]],Main[[#All],[TYPE]:[UNIT]],'Unit Price'!G$1,FALSE),0)</f>
        <v>0</v>
      </c>
      <c r="J693" s="194">
        <f>IF(DBparts1[[#This Row],[Type]]&gt;0,VLOOKUP(DBparts1[[#This Row],[Type]],Main[[#All],[TYPE]:[UNIT]],'Unit Price'!H$1,FALSE),0)</f>
        <v>0</v>
      </c>
      <c r="K693" s="194">
        <f>IF(DBparts1[[#This Row],[Type]]&gt;0,VLOOKUP(DBparts1[[#This Row],[Discount seletion]],'Discount Structure'!$A$2:$B$30,2,"false"),0)</f>
        <v>0</v>
      </c>
      <c r="L693" s="194">
        <f>DBparts1[[#This Row],[LIST $]]*DBparts1[[#This Row],[DISCOUNT]]*DBparts1[[#This Row],[DISCOUNT 2]]</f>
        <v>0</v>
      </c>
    </row>
    <row r="694" spans="2:12">
      <c r="B694" s="112"/>
      <c r="C694" s="112"/>
      <c r="D694" s="112"/>
      <c r="F694" s="168" t="s">
        <v>6202</v>
      </c>
      <c r="G694" s="232">
        <f>IF(DBparts1[[#This Row],[Type]]&gt;0,VLOOKUP(DBparts1[[#This Row],[Type]],Main[[#All],[TYPE]:[UNIT]],'Unit Price'!C$1,FALSE),0)</f>
        <v>0</v>
      </c>
      <c r="H694" s="194">
        <f>IF(DBparts1[[#This Row],[Type]]&gt;0,VLOOKUP(DBparts1[[#This Row],[Type]],Main[[#All],[TYPE]:[UNIT]],'Unit Price'!D$1,FALSE),0)</f>
        <v>0</v>
      </c>
      <c r="I694" s="194">
        <f>IF(DBparts1[[#This Row],[Type]]&gt;0,VLOOKUP(DBparts1[[#This Row],[Type]],Main[[#All],[TYPE]:[UNIT]],'Unit Price'!G$1,FALSE),0)</f>
        <v>0</v>
      </c>
      <c r="J694" s="194">
        <f>IF(DBparts1[[#This Row],[Type]]&gt;0,VLOOKUP(DBparts1[[#This Row],[Type]],Main[[#All],[TYPE]:[UNIT]],'Unit Price'!H$1,FALSE),0)</f>
        <v>0</v>
      </c>
      <c r="K694" s="194">
        <f>IF(DBparts1[[#This Row],[Type]]&gt;0,VLOOKUP(DBparts1[[#This Row],[Discount seletion]],'Discount Structure'!$A$2:$B$30,2,"false"),0)</f>
        <v>0</v>
      </c>
      <c r="L694" s="194">
        <f>DBparts1[[#This Row],[LIST $]]*DBparts1[[#This Row],[DISCOUNT]]*DBparts1[[#This Row],[DISCOUNT 2]]</f>
        <v>0</v>
      </c>
    </row>
    <row r="695" spans="2:12">
      <c r="B695" s="112"/>
      <c r="C695" s="112"/>
      <c r="D695" s="112"/>
      <c r="F695" s="168" t="s">
        <v>6202</v>
      </c>
      <c r="G695" s="232">
        <f>IF(DBparts1[[#This Row],[Type]]&gt;0,VLOOKUP(DBparts1[[#This Row],[Type]],Main[[#All],[TYPE]:[UNIT]],'Unit Price'!C$1,FALSE),0)</f>
        <v>0</v>
      </c>
      <c r="H695" s="194">
        <f>IF(DBparts1[[#This Row],[Type]]&gt;0,VLOOKUP(DBparts1[[#This Row],[Type]],Main[[#All],[TYPE]:[UNIT]],'Unit Price'!D$1,FALSE),0)</f>
        <v>0</v>
      </c>
      <c r="I695" s="194">
        <f>IF(DBparts1[[#This Row],[Type]]&gt;0,VLOOKUP(DBparts1[[#This Row],[Type]],Main[[#All],[TYPE]:[UNIT]],'Unit Price'!G$1,FALSE),0)</f>
        <v>0</v>
      </c>
      <c r="J695" s="194">
        <f>IF(DBparts1[[#This Row],[Type]]&gt;0,VLOOKUP(DBparts1[[#This Row],[Type]],Main[[#All],[TYPE]:[UNIT]],'Unit Price'!H$1,FALSE),0)</f>
        <v>0</v>
      </c>
      <c r="K695" s="194">
        <f>IF(DBparts1[[#This Row],[Type]]&gt;0,VLOOKUP(DBparts1[[#This Row],[Discount seletion]],'Discount Structure'!$A$2:$B$30,2,"false"),0)</f>
        <v>0</v>
      </c>
      <c r="L695" s="194">
        <f>DBparts1[[#This Row],[LIST $]]*DBparts1[[#This Row],[DISCOUNT]]*DBparts1[[#This Row],[DISCOUNT 2]]</f>
        <v>0</v>
      </c>
    </row>
    <row r="696" spans="2:12">
      <c r="B696" s="112"/>
      <c r="C696" s="112"/>
      <c r="D696" s="112"/>
      <c r="F696" s="168" t="s">
        <v>6202</v>
      </c>
      <c r="G696" s="232">
        <f>IF(DBparts1[[#This Row],[Type]]&gt;0,VLOOKUP(DBparts1[[#This Row],[Type]],Main[[#All],[TYPE]:[UNIT]],'Unit Price'!C$1,FALSE),0)</f>
        <v>0</v>
      </c>
      <c r="H696" s="194">
        <f>IF(DBparts1[[#This Row],[Type]]&gt;0,VLOOKUP(DBparts1[[#This Row],[Type]],Main[[#All],[TYPE]:[UNIT]],'Unit Price'!D$1,FALSE),0)</f>
        <v>0</v>
      </c>
      <c r="I696" s="194">
        <f>IF(DBparts1[[#This Row],[Type]]&gt;0,VLOOKUP(DBparts1[[#This Row],[Type]],Main[[#All],[TYPE]:[UNIT]],'Unit Price'!G$1,FALSE),0)</f>
        <v>0</v>
      </c>
      <c r="J696" s="194">
        <f>IF(DBparts1[[#This Row],[Type]]&gt;0,VLOOKUP(DBparts1[[#This Row],[Type]],Main[[#All],[TYPE]:[UNIT]],'Unit Price'!H$1,FALSE),0)</f>
        <v>0</v>
      </c>
      <c r="K696" s="194">
        <f>IF(DBparts1[[#This Row],[Type]]&gt;0,VLOOKUP(DBparts1[[#This Row],[Discount seletion]],'Discount Structure'!$A$2:$B$30,2,"false"),0)</f>
        <v>0</v>
      </c>
      <c r="L696" s="194">
        <f>DBparts1[[#This Row],[LIST $]]*DBparts1[[#This Row],[DISCOUNT]]*DBparts1[[#This Row],[DISCOUNT 2]]</f>
        <v>0</v>
      </c>
    </row>
    <row r="697" spans="2:12">
      <c r="B697" s="112"/>
      <c r="C697" s="112"/>
      <c r="D697" s="112"/>
      <c r="F697" s="168" t="s">
        <v>6202</v>
      </c>
      <c r="G697" s="232">
        <f>IF(DBparts1[[#This Row],[Type]]&gt;0,VLOOKUP(DBparts1[[#This Row],[Type]],Main[[#All],[TYPE]:[UNIT]],'Unit Price'!C$1,FALSE),0)</f>
        <v>0</v>
      </c>
      <c r="H697" s="194">
        <f>IF(DBparts1[[#This Row],[Type]]&gt;0,VLOOKUP(DBparts1[[#This Row],[Type]],Main[[#All],[TYPE]:[UNIT]],'Unit Price'!D$1,FALSE),0)</f>
        <v>0</v>
      </c>
      <c r="I697" s="194">
        <f>IF(DBparts1[[#This Row],[Type]]&gt;0,VLOOKUP(DBparts1[[#This Row],[Type]],Main[[#All],[TYPE]:[UNIT]],'Unit Price'!G$1,FALSE),0)</f>
        <v>0</v>
      </c>
      <c r="J697" s="194">
        <f>IF(DBparts1[[#This Row],[Type]]&gt;0,VLOOKUP(DBparts1[[#This Row],[Type]],Main[[#All],[TYPE]:[UNIT]],'Unit Price'!H$1,FALSE),0)</f>
        <v>0</v>
      </c>
      <c r="K697" s="194">
        <f>IF(DBparts1[[#This Row],[Type]]&gt;0,VLOOKUP(DBparts1[[#This Row],[Discount seletion]],'Discount Structure'!$A$2:$B$30,2,"false"),0)</f>
        <v>0</v>
      </c>
      <c r="L697" s="194">
        <f>DBparts1[[#This Row],[LIST $]]*DBparts1[[#This Row],[DISCOUNT]]*DBparts1[[#This Row],[DISCOUNT 2]]</f>
        <v>0</v>
      </c>
    </row>
    <row r="698" spans="2:12">
      <c r="B698" s="112"/>
      <c r="C698" s="112"/>
      <c r="D698" s="112"/>
      <c r="F698" s="168" t="s">
        <v>6202</v>
      </c>
      <c r="G698" s="232">
        <f>IF(DBparts1[[#This Row],[Type]]&gt;0,VLOOKUP(DBparts1[[#This Row],[Type]],Main[[#All],[TYPE]:[UNIT]],'Unit Price'!C$1,FALSE),0)</f>
        <v>0</v>
      </c>
      <c r="H698" s="194">
        <f>IF(DBparts1[[#This Row],[Type]]&gt;0,VLOOKUP(DBparts1[[#This Row],[Type]],Main[[#All],[TYPE]:[UNIT]],'Unit Price'!D$1,FALSE),0)</f>
        <v>0</v>
      </c>
      <c r="I698" s="194">
        <f>IF(DBparts1[[#This Row],[Type]]&gt;0,VLOOKUP(DBparts1[[#This Row],[Type]],Main[[#All],[TYPE]:[UNIT]],'Unit Price'!G$1,FALSE),0)</f>
        <v>0</v>
      </c>
      <c r="J698" s="194">
        <f>IF(DBparts1[[#This Row],[Type]]&gt;0,VLOOKUP(DBparts1[[#This Row],[Type]],Main[[#All],[TYPE]:[UNIT]],'Unit Price'!H$1,FALSE),0)</f>
        <v>0</v>
      </c>
      <c r="K698" s="194">
        <f>IF(DBparts1[[#This Row],[Type]]&gt;0,VLOOKUP(DBparts1[[#This Row],[Discount seletion]],'Discount Structure'!$A$2:$B$30,2,"false"),0)</f>
        <v>0</v>
      </c>
      <c r="L698" s="194">
        <f>DBparts1[[#This Row],[LIST $]]*DBparts1[[#This Row],[DISCOUNT]]*DBparts1[[#This Row],[DISCOUNT 2]]</f>
        <v>0</v>
      </c>
    </row>
    <row r="699" spans="2:12">
      <c r="B699" s="112"/>
      <c r="C699" s="112"/>
      <c r="D699" s="112"/>
      <c r="F699" s="168" t="s">
        <v>6202</v>
      </c>
      <c r="G699" s="232">
        <f>IF(DBparts1[[#This Row],[Type]]&gt;0,VLOOKUP(DBparts1[[#This Row],[Type]],Main[[#All],[TYPE]:[UNIT]],'Unit Price'!C$1,FALSE),0)</f>
        <v>0</v>
      </c>
      <c r="H699" s="194">
        <f>IF(DBparts1[[#This Row],[Type]]&gt;0,VLOOKUP(DBparts1[[#This Row],[Type]],Main[[#All],[TYPE]:[UNIT]],'Unit Price'!D$1,FALSE),0)</f>
        <v>0</v>
      </c>
      <c r="I699" s="194">
        <f>IF(DBparts1[[#This Row],[Type]]&gt;0,VLOOKUP(DBparts1[[#This Row],[Type]],Main[[#All],[TYPE]:[UNIT]],'Unit Price'!G$1,FALSE),0)</f>
        <v>0</v>
      </c>
      <c r="J699" s="194">
        <f>IF(DBparts1[[#This Row],[Type]]&gt;0,VLOOKUP(DBparts1[[#This Row],[Type]],Main[[#All],[TYPE]:[UNIT]],'Unit Price'!H$1,FALSE),0)</f>
        <v>0</v>
      </c>
      <c r="K699" s="194">
        <f>IF(DBparts1[[#This Row],[Type]]&gt;0,VLOOKUP(DBparts1[[#This Row],[Discount seletion]],'Discount Structure'!$A$2:$B$30,2,"false"),0)</f>
        <v>0</v>
      </c>
      <c r="L699" s="194">
        <f>DBparts1[[#This Row],[LIST $]]*DBparts1[[#This Row],[DISCOUNT]]*DBparts1[[#This Row],[DISCOUNT 2]]</f>
        <v>0</v>
      </c>
    </row>
    <row r="700" spans="2:12">
      <c r="B700" s="112"/>
      <c r="C700" s="112"/>
      <c r="D700" s="112"/>
      <c r="F700" s="168" t="s">
        <v>6202</v>
      </c>
      <c r="G700" s="232">
        <f>IF(DBparts1[[#This Row],[Type]]&gt;0,VLOOKUP(DBparts1[[#This Row],[Type]],Main[[#All],[TYPE]:[UNIT]],'Unit Price'!C$1,FALSE),0)</f>
        <v>0</v>
      </c>
      <c r="H700" s="194">
        <f>IF(DBparts1[[#This Row],[Type]]&gt;0,VLOOKUP(DBparts1[[#This Row],[Type]],Main[[#All],[TYPE]:[UNIT]],'Unit Price'!D$1,FALSE),0)</f>
        <v>0</v>
      </c>
      <c r="I700" s="194">
        <f>IF(DBparts1[[#This Row],[Type]]&gt;0,VLOOKUP(DBparts1[[#This Row],[Type]],Main[[#All],[TYPE]:[UNIT]],'Unit Price'!G$1,FALSE),0)</f>
        <v>0</v>
      </c>
      <c r="J700" s="194">
        <f>IF(DBparts1[[#This Row],[Type]]&gt;0,VLOOKUP(DBparts1[[#This Row],[Type]],Main[[#All],[TYPE]:[UNIT]],'Unit Price'!H$1,FALSE),0)</f>
        <v>0</v>
      </c>
      <c r="K700" s="194">
        <f>IF(DBparts1[[#This Row],[Type]]&gt;0,VLOOKUP(DBparts1[[#This Row],[Discount seletion]],'Discount Structure'!$A$2:$B$30,2,"false"),0)</f>
        <v>0</v>
      </c>
      <c r="L700" s="194">
        <f>DBparts1[[#This Row],[LIST $]]*DBparts1[[#This Row],[DISCOUNT]]*DBparts1[[#This Row],[DISCOUNT 2]]</f>
        <v>0</v>
      </c>
    </row>
    <row r="701" spans="2:12">
      <c r="B701" s="112"/>
      <c r="C701" s="112"/>
      <c r="D701" s="112"/>
      <c r="F701" s="168" t="s">
        <v>6202</v>
      </c>
      <c r="G701" s="232">
        <f>IF(DBparts1[[#This Row],[Type]]&gt;0,VLOOKUP(DBparts1[[#This Row],[Type]],Main[[#All],[TYPE]:[UNIT]],'Unit Price'!C$1,FALSE),0)</f>
        <v>0</v>
      </c>
      <c r="H701" s="194">
        <f>IF(DBparts1[[#This Row],[Type]]&gt;0,VLOOKUP(DBparts1[[#This Row],[Type]],Main[[#All],[TYPE]:[UNIT]],'Unit Price'!D$1,FALSE),0)</f>
        <v>0</v>
      </c>
      <c r="I701" s="194">
        <f>IF(DBparts1[[#This Row],[Type]]&gt;0,VLOOKUP(DBparts1[[#This Row],[Type]],Main[[#All],[TYPE]:[UNIT]],'Unit Price'!G$1,FALSE),0)</f>
        <v>0</v>
      </c>
      <c r="J701" s="194">
        <f>IF(DBparts1[[#This Row],[Type]]&gt;0,VLOOKUP(DBparts1[[#This Row],[Type]],Main[[#All],[TYPE]:[UNIT]],'Unit Price'!H$1,FALSE),0)</f>
        <v>0</v>
      </c>
      <c r="K701" s="194">
        <f>IF(DBparts1[[#This Row],[Type]]&gt;0,VLOOKUP(DBparts1[[#This Row],[Discount seletion]],'Discount Structure'!$A$2:$B$30,2,"false"),0)</f>
        <v>0</v>
      </c>
      <c r="L701" s="194">
        <f>DBparts1[[#This Row],[LIST $]]*DBparts1[[#This Row],[DISCOUNT]]*DBparts1[[#This Row],[DISCOUNT 2]]</f>
        <v>0</v>
      </c>
    </row>
    <row r="702" spans="2:12">
      <c r="B702" s="112"/>
      <c r="C702" s="112"/>
      <c r="D702" s="112"/>
      <c r="F702" s="168" t="s">
        <v>6202</v>
      </c>
      <c r="G702" s="232">
        <f>IF(DBparts1[[#This Row],[Type]]&gt;0,VLOOKUP(DBparts1[[#This Row],[Type]],Main[[#All],[TYPE]:[UNIT]],'Unit Price'!C$1,FALSE),0)</f>
        <v>0</v>
      </c>
      <c r="H702" s="194">
        <f>IF(DBparts1[[#This Row],[Type]]&gt;0,VLOOKUP(DBparts1[[#This Row],[Type]],Main[[#All],[TYPE]:[UNIT]],'Unit Price'!D$1,FALSE),0)</f>
        <v>0</v>
      </c>
      <c r="I702" s="194">
        <f>IF(DBparts1[[#This Row],[Type]]&gt;0,VLOOKUP(DBparts1[[#This Row],[Type]],Main[[#All],[TYPE]:[UNIT]],'Unit Price'!G$1,FALSE),0)</f>
        <v>0</v>
      </c>
      <c r="J702" s="194">
        <f>IF(DBparts1[[#This Row],[Type]]&gt;0,VLOOKUP(DBparts1[[#This Row],[Type]],Main[[#All],[TYPE]:[UNIT]],'Unit Price'!H$1,FALSE),0)</f>
        <v>0</v>
      </c>
      <c r="K702" s="194">
        <f>IF(DBparts1[[#This Row],[Type]]&gt;0,VLOOKUP(DBparts1[[#This Row],[Discount seletion]],'Discount Structure'!$A$2:$B$30,2,"false"),0)</f>
        <v>0</v>
      </c>
      <c r="L702" s="194">
        <f>DBparts1[[#This Row],[LIST $]]*DBparts1[[#This Row],[DISCOUNT]]*DBparts1[[#This Row],[DISCOUNT 2]]</f>
        <v>0</v>
      </c>
    </row>
    <row r="703" spans="2:12">
      <c r="B703" s="112"/>
      <c r="C703" s="112"/>
      <c r="D703" s="112"/>
      <c r="F703" s="168" t="s">
        <v>6202</v>
      </c>
      <c r="G703" s="232">
        <f>IF(DBparts1[[#This Row],[Type]]&gt;0,VLOOKUP(DBparts1[[#This Row],[Type]],Main[[#All],[TYPE]:[UNIT]],'Unit Price'!C$1,FALSE),0)</f>
        <v>0</v>
      </c>
      <c r="H703" s="194">
        <f>IF(DBparts1[[#This Row],[Type]]&gt;0,VLOOKUP(DBparts1[[#This Row],[Type]],Main[[#All],[TYPE]:[UNIT]],'Unit Price'!D$1,FALSE),0)</f>
        <v>0</v>
      </c>
      <c r="I703" s="194">
        <f>IF(DBparts1[[#This Row],[Type]]&gt;0,VLOOKUP(DBparts1[[#This Row],[Type]],Main[[#All],[TYPE]:[UNIT]],'Unit Price'!G$1,FALSE),0)</f>
        <v>0</v>
      </c>
      <c r="J703" s="194">
        <f>IF(DBparts1[[#This Row],[Type]]&gt;0,VLOOKUP(DBparts1[[#This Row],[Type]],Main[[#All],[TYPE]:[UNIT]],'Unit Price'!H$1,FALSE),0)</f>
        <v>0</v>
      </c>
      <c r="K703" s="194">
        <f>IF(DBparts1[[#This Row],[Type]]&gt;0,VLOOKUP(DBparts1[[#This Row],[Discount seletion]],'Discount Structure'!$A$2:$B$30,2,"false"),0)</f>
        <v>0</v>
      </c>
      <c r="L703" s="194">
        <f>DBparts1[[#This Row],[LIST $]]*DBparts1[[#This Row],[DISCOUNT]]*DBparts1[[#This Row],[DISCOUNT 2]]</f>
        <v>0</v>
      </c>
    </row>
    <row r="704" spans="2:12">
      <c r="B704" s="112"/>
      <c r="C704" s="112"/>
      <c r="D704" s="112"/>
      <c r="F704" s="168" t="s">
        <v>6202</v>
      </c>
      <c r="G704" s="232">
        <f>IF(DBparts1[[#This Row],[Type]]&gt;0,VLOOKUP(DBparts1[[#This Row],[Type]],Main[[#All],[TYPE]:[UNIT]],'Unit Price'!C$1,FALSE),0)</f>
        <v>0</v>
      </c>
      <c r="H704" s="194">
        <f>IF(DBparts1[[#This Row],[Type]]&gt;0,VLOOKUP(DBparts1[[#This Row],[Type]],Main[[#All],[TYPE]:[UNIT]],'Unit Price'!D$1,FALSE),0)</f>
        <v>0</v>
      </c>
      <c r="I704" s="194">
        <f>IF(DBparts1[[#This Row],[Type]]&gt;0,VLOOKUP(DBparts1[[#This Row],[Type]],Main[[#All],[TYPE]:[UNIT]],'Unit Price'!G$1,FALSE),0)</f>
        <v>0</v>
      </c>
      <c r="J704" s="194">
        <f>IF(DBparts1[[#This Row],[Type]]&gt;0,VLOOKUP(DBparts1[[#This Row],[Type]],Main[[#All],[TYPE]:[UNIT]],'Unit Price'!H$1,FALSE),0)</f>
        <v>0</v>
      </c>
      <c r="K704" s="194">
        <f>IF(DBparts1[[#This Row],[Type]]&gt;0,VLOOKUP(DBparts1[[#This Row],[Discount seletion]],'Discount Structure'!$A$2:$B$30,2,"false"),0)</f>
        <v>0</v>
      </c>
      <c r="L704" s="194">
        <f>DBparts1[[#This Row],[LIST $]]*DBparts1[[#This Row],[DISCOUNT]]*DBparts1[[#This Row],[DISCOUNT 2]]</f>
        <v>0</v>
      </c>
    </row>
    <row r="705" spans="2:12">
      <c r="B705" s="112"/>
      <c r="C705" s="112"/>
      <c r="D705" s="112"/>
      <c r="F705" s="168" t="s">
        <v>6202</v>
      </c>
      <c r="G705" s="232">
        <f>IF(DBparts1[[#This Row],[Type]]&gt;0,VLOOKUP(DBparts1[[#This Row],[Type]],Main[[#All],[TYPE]:[UNIT]],'Unit Price'!C$1,FALSE),0)</f>
        <v>0</v>
      </c>
      <c r="H705" s="194">
        <f>IF(DBparts1[[#This Row],[Type]]&gt;0,VLOOKUP(DBparts1[[#This Row],[Type]],Main[[#All],[TYPE]:[UNIT]],'Unit Price'!D$1,FALSE),0)</f>
        <v>0</v>
      </c>
      <c r="I705" s="194">
        <f>IF(DBparts1[[#This Row],[Type]]&gt;0,VLOOKUP(DBparts1[[#This Row],[Type]],Main[[#All],[TYPE]:[UNIT]],'Unit Price'!G$1,FALSE),0)</f>
        <v>0</v>
      </c>
      <c r="J705" s="194">
        <f>IF(DBparts1[[#This Row],[Type]]&gt;0,VLOOKUP(DBparts1[[#This Row],[Type]],Main[[#All],[TYPE]:[UNIT]],'Unit Price'!H$1,FALSE),0)</f>
        <v>0</v>
      </c>
      <c r="K705" s="194">
        <f>IF(DBparts1[[#This Row],[Type]]&gt;0,VLOOKUP(DBparts1[[#This Row],[Discount seletion]],'Discount Structure'!$A$2:$B$30,2,"false"),0)</f>
        <v>0</v>
      </c>
      <c r="L705" s="194">
        <f>DBparts1[[#This Row],[LIST $]]*DBparts1[[#This Row],[DISCOUNT]]*DBparts1[[#This Row],[DISCOUNT 2]]</f>
        <v>0</v>
      </c>
    </row>
    <row r="706" spans="2:12">
      <c r="B706" s="112"/>
      <c r="C706" s="112"/>
      <c r="D706" s="112"/>
      <c r="F706" s="168" t="s">
        <v>6202</v>
      </c>
      <c r="G706" s="232">
        <f>IF(DBparts1[[#This Row],[Type]]&gt;0,VLOOKUP(DBparts1[[#This Row],[Type]],Main[[#All],[TYPE]:[UNIT]],'Unit Price'!C$1,FALSE),0)</f>
        <v>0</v>
      </c>
      <c r="H706" s="194">
        <f>IF(DBparts1[[#This Row],[Type]]&gt;0,VLOOKUP(DBparts1[[#This Row],[Type]],Main[[#All],[TYPE]:[UNIT]],'Unit Price'!D$1,FALSE),0)</f>
        <v>0</v>
      </c>
      <c r="I706" s="194">
        <f>IF(DBparts1[[#This Row],[Type]]&gt;0,VLOOKUP(DBparts1[[#This Row],[Type]],Main[[#All],[TYPE]:[UNIT]],'Unit Price'!G$1,FALSE),0)</f>
        <v>0</v>
      </c>
      <c r="J706" s="194">
        <f>IF(DBparts1[[#This Row],[Type]]&gt;0,VLOOKUP(DBparts1[[#This Row],[Type]],Main[[#All],[TYPE]:[UNIT]],'Unit Price'!H$1,FALSE),0)</f>
        <v>0</v>
      </c>
      <c r="K706" s="194">
        <f>IF(DBparts1[[#This Row],[Type]]&gt;0,VLOOKUP(DBparts1[[#This Row],[Discount seletion]],'Discount Structure'!$A$2:$B$30,2,"false"),0)</f>
        <v>0</v>
      </c>
      <c r="L706" s="194">
        <f>DBparts1[[#This Row],[LIST $]]*DBparts1[[#This Row],[DISCOUNT]]*DBparts1[[#This Row],[DISCOUNT 2]]</f>
        <v>0</v>
      </c>
    </row>
    <row r="707" spans="2:12">
      <c r="B707" s="112"/>
      <c r="C707" s="112"/>
      <c r="D707" s="112"/>
      <c r="F707" s="168" t="s">
        <v>6202</v>
      </c>
      <c r="G707" s="232">
        <f>IF(DBparts1[[#This Row],[Type]]&gt;0,VLOOKUP(DBparts1[[#This Row],[Type]],Main[[#All],[TYPE]:[UNIT]],'Unit Price'!C$1,FALSE),0)</f>
        <v>0</v>
      </c>
      <c r="H707" s="194">
        <f>IF(DBparts1[[#This Row],[Type]]&gt;0,VLOOKUP(DBparts1[[#This Row],[Type]],Main[[#All],[TYPE]:[UNIT]],'Unit Price'!D$1,FALSE),0)</f>
        <v>0</v>
      </c>
      <c r="I707" s="194">
        <f>IF(DBparts1[[#This Row],[Type]]&gt;0,VLOOKUP(DBparts1[[#This Row],[Type]],Main[[#All],[TYPE]:[UNIT]],'Unit Price'!G$1,FALSE),0)</f>
        <v>0</v>
      </c>
      <c r="J707" s="194">
        <f>IF(DBparts1[[#This Row],[Type]]&gt;0,VLOOKUP(DBparts1[[#This Row],[Type]],Main[[#All],[TYPE]:[UNIT]],'Unit Price'!H$1,FALSE),0)</f>
        <v>0</v>
      </c>
      <c r="K707" s="194">
        <f>IF(DBparts1[[#This Row],[Type]]&gt;0,VLOOKUP(DBparts1[[#This Row],[Discount seletion]],'Discount Structure'!$A$2:$B$30,2,"false"),0)</f>
        <v>0</v>
      </c>
      <c r="L707" s="194">
        <f>DBparts1[[#This Row],[LIST $]]*DBparts1[[#This Row],[DISCOUNT]]*DBparts1[[#This Row],[DISCOUNT 2]]</f>
        <v>0</v>
      </c>
    </row>
    <row r="708" spans="2:12">
      <c r="B708" s="112"/>
      <c r="C708" s="112"/>
      <c r="D708" s="112"/>
      <c r="F708" s="168" t="s">
        <v>6202</v>
      </c>
      <c r="G708" s="232">
        <f>IF(DBparts1[[#This Row],[Type]]&gt;0,VLOOKUP(DBparts1[[#This Row],[Type]],Main[[#All],[TYPE]:[UNIT]],'Unit Price'!C$1,FALSE),0)</f>
        <v>0</v>
      </c>
      <c r="H708" s="194">
        <f>IF(DBparts1[[#This Row],[Type]]&gt;0,VLOOKUP(DBparts1[[#This Row],[Type]],Main[[#All],[TYPE]:[UNIT]],'Unit Price'!D$1,FALSE),0)</f>
        <v>0</v>
      </c>
      <c r="I708" s="194">
        <f>IF(DBparts1[[#This Row],[Type]]&gt;0,VLOOKUP(DBparts1[[#This Row],[Type]],Main[[#All],[TYPE]:[UNIT]],'Unit Price'!G$1,FALSE),0)</f>
        <v>0</v>
      </c>
      <c r="J708" s="194">
        <f>IF(DBparts1[[#This Row],[Type]]&gt;0,VLOOKUP(DBparts1[[#This Row],[Type]],Main[[#All],[TYPE]:[UNIT]],'Unit Price'!H$1,FALSE),0)</f>
        <v>0</v>
      </c>
      <c r="K708" s="194">
        <f>IF(DBparts1[[#This Row],[Type]]&gt;0,VLOOKUP(DBparts1[[#This Row],[Discount seletion]],'Discount Structure'!$A$2:$B$30,2,"false"),0)</f>
        <v>0</v>
      </c>
      <c r="L708" s="194">
        <f>DBparts1[[#This Row],[LIST $]]*DBparts1[[#This Row],[DISCOUNT]]*DBparts1[[#This Row],[DISCOUNT 2]]</f>
        <v>0</v>
      </c>
    </row>
    <row r="709" spans="2:12">
      <c r="B709" s="112"/>
      <c r="C709" s="112"/>
      <c r="D709" s="112"/>
      <c r="F709" s="168" t="s">
        <v>6202</v>
      </c>
      <c r="G709" s="232">
        <f>IF(DBparts1[[#This Row],[Type]]&gt;0,VLOOKUP(DBparts1[[#This Row],[Type]],Main[[#All],[TYPE]:[UNIT]],'Unit Price'!C$1,FALSE),0)</f>
        <v>0</v>
      </c>
      <c r="H709" s="194">
        <f>IF(DBparts1[[#This Row],[Type]]&gt;0,VLOOKUP(DBparts1[[#This Row],[Type]],Main[[#All],[TYPE]:[UNIT]],'Unit Price'!D$1,FALSE),0)</f>
        <v>0</v>
      </c>
      <c r="I709" s="194">
        <f>IF(DBparts1[[#This Row],[Type]]&gt;0,VLOOKUP(DBparts1[[#This Row],[Type]],Main[[#All],[TYPE]:[UNIT]],'Unit Price'!G$1,FALSE),0)</f>
        <v>0</v>
      </c>
      <c r="J709" s="194">
        <f>IF(DBparts1[[#This Row],[Type]]&gt;0,VLOOKUP(DBparts1[[#This Row],[Type]],Main[[#All],[TYPE]:[UNIT]],'Unit Price'!H$1,FALSE),0)</f>
        <v>0</v>
      </c>
      <c r="K709" s="194">
        <f>IF(DBparts1[[#This Row],[Type]]&gt;0,VLOOKUP(DBparts1[[#This Row],[Discount seletion]],'Discount Structure'!$A$2:$B$30,2,"false"),0)</f>
        <v>0</v>
      </c>
      <c r="L709" s="194">
        <f>DBparts1[[#This Row],[LIST $]]*DBparts1[[#This Row],[DISCOUNT]]*DBparts1[[#This Row],[DISCOUNT 2]]</f>
        <v>0</v>
      </c>
    </row>
    <row r="710" spans="2:12">
      <c r="B710" s="112"/>
      <c r="C710" s="112"/>
      <c r="D710" s="112"/>
      <c r="F710" s="168" t="s">
        <v>6202</v>
      </c>
      <c r="G710" s="232">
        <f>IF(DBparts1[[#This Row],[Type]]&gt;0,VLOOKUP(DBparts1[[#This Row],[Type]],Main[[#All],[TYPE]:[UNIT]],'Unit Price'!C$1,FALSE),0)</f>
        <v>0</v>
      </c>
      <c r="H710" s="194">
        <f>IF(DBparts1[[#This Row],[Type]]&gt;0,VLOOKUP(DBparts1[[#This Row],[Type]],Main[[#All],[TYPE]:[UNIT]],'Unit Price'!D$1,FALSE),0)</f>
        <v>0</v>
      </c>
      <c r="I710" s="194">
        <f>IF(DBparts1[[#This Row],[Type]]&gt;0,VLOOKUP(DBparts1[[#This Row],[Type]],Main[[#All],[TYPE]:[UNIT]],'Unit Price'!G$1,FALSE),0)</f>
        <v>0</v>
      </c>
      <c r="J710" s="194">
        <f>IF(DBparts1[[#This Row],[Type]]&gt;0,VLOOKUP(DBparts1[[#This Row],[Type]],Main[[#All],[TYPE]:[UNIT]],'Unit Price'!H$1,FALSE),0)</f>
        <v>0</v>
      </c>
      <c r="K710" s="194">
        <f>IF(DBparts1[[#This Row],[Type]]&gt;0,VLOOKUP(DBparts1[[#This Row],[Discount seletion]],'Discount Structure'!$A$2:$B$30,2,"false"),0)</f>
        <v>0</v>
      </c>
      <c r="L710" s="194">
        <f>DBparts1[[#This Row],[LIST $]]*DBparts1[[#This Row],[DISCOUNT]]*DBparts1[[#This Row],[DISCOUNT 2]]</f>
        <v>0</v>
      </c>
    </row>
    <row r="711" spans="2:12">
      <c r="B711" s="112"/>
      <c r="C711" s="112"/>
      <c r="D711" s="112"/>
      <c r="F711" s="168" t="s">
        <v>6202</v>
      </c>
      <c r="G711" s="232">
        <f>IF(DBparts1[[#This Row],[Type]]&gt;0,VLOOKUP(DBparts1[[#This Row],[Type]],Main[[#All],[TYPE]:[UNIT]],'Unit Price'!C$1,FALSE),0)</f>
        <v>0</v>
      </c>
      <c r="H711" s="194">
        <f>IF(DBparts1[[#This Row],[Type]]&gt;0,VLOOKUP(DBparts1[[#This Row],[Type]],Main[[#All],[TYPE]:[UNIT]],'Unit Price'!D$1,FALSE),0)</f>
        <v>0</v>
      </c>
      <c r="I711" s="194">
        <f>IF(DBparts1[[#This Row],[Type]]&gt;0,VLOOKUP(DBparts1[[#This Row],[Type]],Main[[#All],[TYPE]:[UNIT]],'Unit Price'!G$1,FALSE),0)</f>
        <v>0</v>
      </c>
      <c r="J711" s="194">
        <f>IF(DBparts1[[#This Row],[Type]]&gt;0,VLOOKUP(DBparts1[[#This Row],[Type]],Main[[#All],[TYPE]:[UNIT]],'Unit Price'!H$1,FALSE),0)</f>
        <v>0</v>
      </c>
      <c r="K711" s="194">
        <f>IF(DBparts1[[#This Row],[Type]]&gt;0,VLOOKUP(DBparts1[[#This Row],[Discount seletion]],'Discount Structure'!$A$2:$B$30,2,"false"),0)</f>
        <v>0</v>
      </c>
      <c r="L711" s="194">
        <f>DBparts1[[#This Row],[LIST $]]*DBparts1[[#This Row],[DISCOUNT]]*DBparts1[[#This Row],[DISCOUNT 2]]</f>
        <v>0</v>
      </c>
    </row>
    <row r="712" spans="2:12">
      <c r="B712" s="112"/>
      <c r="C712" s="112"/>
      <c r="D712" s="112"/>
      <c r="F712" s="168" t="s">
        <v>6202</v>
      </c>
      <c r="G712" s="232">
        <f>IF(DBparts1[[#This Row],[Type]]&gt;0,VLOOKUP(DBparts1[[#This Row],[Type]],Main[[#All],[TYPE]:[UNIT]],'Unit Price'!C$1,FALSE),0)</f>
        <v>0</v>
      </c>
      <c r="H712" s="194">
        <f>IF(DBparts1[[#This Row],[Type]]&gt;0,VLOOKUP(DBparts1[[#This Row],[Type]],Main[[#All],[TYPE]:[UNIT]],'Unit Price'!D$1,FALSE),0)</f>
        <v>0</v>
      </c>
      <c r="I712" s="194">
        <f>IF(DBparts1[[#This Row],[Type]]&gt;0,VLOOKUP(DBparts1[[#This Row],[Type]],Main[[#All],[TYPE]:[UNIT]],'Unit Price'!G$1,FALSE),0)</f>
        <v>0</v>
      </c>
      <c r="J712" s="194">
        <f>IF(DBparts1[[#This Row],[Type]]&gt;0,VLOOKUP(DBparts1[[#This Row],[Type]],Main[[#All],[TYPE]:[UNIT]],'Unit Price'!H$1,FALSE),0)</f>
        <v>0</v>
      </c>
      <c r="K712" s="194">
        <f>IF(DBparts1[[#This Row],[Type]]&gt;0,VLOOKUP(DBparts1[[#This Row],[Discount seletion]],'Discount Structure'!$A$2:$B$30,2,"false"),0)</f>
        <v>0</v>
      </c>
      <c r="L712" s="194">
        <f>DBparts1[[#This Row],[LIST $]]*DBparts1[[#This Row],[DISCOUNT]]*DBparts1[[#This Row],[DISCOUNT 2]]</f>
        <v>0</v>
      </c>
    </row>
    <row r="713" spans="2:12">
      <c r="B713" s="112"/>
      <c r="C713" s="112"/>
      <c r="D713" s="112"/>
      <c r="F713" s="168" t="s">
        <v>6202</v>
      </c>
      <c r="G713" s="232">
        <f>IF(DBparts1[[#This Row],[Type]]&gt;0,VLOOKUP(DBparts1[[#This Row],[Type]],Main[[#All],[TYPE]:[UNIT]],'Unit Price'!C$1,FALSE),0)</f>
        <v>0</v>
      </c>
      <c r="H713" s="194">
        <f>IF(DBparts1[[#This Row],[Type]]&gt;0,VLOOKUP(DBparts1[[#This Row],[Type]],Main[[#All],[TYPE]:[UNIT]],'Unit Price'!D$1,FALSE),0)</f>
        <v>0</v>
      </c>
      <c r="I713" s="194">
        <f>IF(DBparts1[[#This Row],[Type]]&gt;0,VLOOKUP(DBparts1[[#This Row],[Type]],Main[[#All],[TYPE]:[UNIT]],'Unit Price'!G$1,FALSE),0)</f>
        <v>0</v>
      </c>
      <c r="J713" s="194">
        <f>IF(DBparts1[[#This Row],[Type]]&gt;0,VLOOKUP(DBparts1[[#This Row],[Type]],Main[[#All],[TYPE]:[UNIT]],'Unit Price'!H$1,FALSE),0)</f>
        <v>0</v>
      </c>
      <c r="K713" s="194">
        <f>IF(DBparts1[[#This Row],[Type]]&gt;0,VLOOKUP(DBparts1[[#This Row],[Discount seletion]],'Discount Structure'!$A$2:$B$30,2,"false"),0)</f>
        <v>0</v>
      </c>
      <c r="L713" s="194">
        <f>DBparts1[[#This Row],[LIST $]]*DBparts1[[#This Row],[DISCOUNT]]*DBparts1[[#This Row],[DISCOUNT 2]]</f>
        <v>0</v>
      </c>
    </row>
    <row r="714" spans="2:12">
      <c r="B714" s="112"/>
      <c r="C714" s="112"/>
      <c r="D714" s="112"/>
      <c r="F714" s="168" t="s">
        <v>6202</v>
      </c>
      <c r="G714" s="232">
        <f>IF(DBparts1[[#This Row],[Type]]&gt;0,VLOOKUP(DBparts1[[#This Row],[Type]],Main[[#All],[TYPE]:[UNIT]],'Unit Price'!C$1,FALSE),0)</f>
        <v>0</v>
      </c>
      <c r="H714" s="194">
        <f>IF(DBparts1[[#This Row],[Type]]&gt;0,VLOOKUP(DBparts1[[#This Row],[Type]],Main[[#All],[TYPE]:[UNIT]],'Unit Price'!D$1,FALSE),0)</f>
        <v>0</v>
      </c>
      <c r="I714" s="194">
        <f>IF(DBparts1[[#This Row],[Type]]&gt;0,VLOOKUP(DBparts1[[#This Row],[Type]],Main[[#All],[TYPE]:[UNIT]],'Unit Price'!G$1,FALSE),0)</f>
        <v>0</v>
      </c>
      <c r="J714" s="194">
        <f>IF(DBparts1[[#This Row],[Type]]&gt;0,VLOOKUP(DBparts1[[#This Row],[Type]],Main[[#All],[TYPE]:[UNIT]],'Unit Price'!H$1,FALSE),0)</f>
        <v>0</v>
      </c>
      <c r="K714" s="194">
        <f>IF(DBparts1[[#This Row],[Type]]&gt;0,VLOOKUP(DBparts1[[#This Row],[Discount seletion]],'Discount Structure'!$A$2:$B$30,2,"false"),0)</f>
        <v>0</v>
      </c>
      <c r="L714" s="194">
        <f>DBparts1[[#This Row],[LIST $]]*DBparts1[[#This Row],[DISCOUNT]]*DBparts1[[#This Row],[DISCOUNT 2]]</f>
        <v>0</v>
      </c>
    </row>
    <row r="715" spans="2:12">
      <c r="B715" s="112"/>
      <c r="C715" s="112"/>
      <c r="D715" s="112"/>
      <c r="F715" s="168" t="s">
        <v>6202</v>
      </c>
      <c r="G715" s="232">
        <f>IF(DBparts1[[#This Row],[Type]]&gt;0,VLOOKUP(DBparts1[[#This Row],[Type]],Main[[#All],[TYPE]:[UNIT]],'Unit Price'!C$1,FALSE),0)</f>
        <v>0</v>
      </c>
      <c r="H715" s="194">
        <f>IF(DBparts1[[#This Row],[Type]]&gt;0,VLOOKUP(DBparts1[[#This Row],[Type]],Main[[#All],[TYPE]:[UNIT]],'Unit Price'!D$1,FALSE),0)</f>
        <v>0</v>
      </c>
      <c r="I715" s="194">
        <f>IF(DBparts1[[#This Row],[Type]]&gt;0,VLOOKUP(DBparts1[[#This Row],[Type]],Main[[#All],[TYPE]:[UNIT]],'Unit Price'!G$1,FALSE),0)</f>
        <v>0</v>
      </c>
      <c r="J715" s="194">
        <f>IF(DBparts1[[#This Row],[Type]]&gt;0,VLOOKUP(DBparts1[[#This Row],[Type]],Main[[#All],[TYPE]:[UNIT]],'Unit Price'!H$1,FALSE),0)</f>
        <v>0</v>
      </c>
      <c r="K715" s="194">
        <f>IF(DBparts1[[#This Row],[Type]]&gt;0,VLOOKUP(DBparts1[[#This Row],[Discount seletion]],'Discount Structure'!$A$2:$B$30,2,"false"),0)</f>
        <v>0</v>
      </c>
      <c r="L715" s="194">
        <f>DBparts1[[#This Row],[LIST $]]*DBparts1[[#This Row],[DISCOUNT]]*DBparts1[[#This Row],[DISCOUNT 2]]</f>
        <v>0</v>
      </c>
    </row>
    <row r="716" spans="2:12">
      <c r="B716" s="112"/>
      <c r="C716" s="112"/>
      <c r="D716" s="112"/>
      <c r="F716" s="168" t="s">
        <v>6202</v>
      </c>
      <c r="G716" s="232">
        <f>IF(DBparts1[[#This Row],[Type]]&gt;0,VLOOKUP(DBparts1[[#This Row],[Type]],Main[[#All],[TYPE]:[UNIT]],'Unit Price'!C$1,FALSE),0)</f>
        <v>0</v>
      </c>
      <c r="H716" s="194">
        <f>IF(DBparts1[[#This Row],[Type]]&gt;0,VLOOKUP(DBparts1[[#This Row],[Type]],Main[[#All],[TYPE]:[UNIT]],'Unit Price'!D$1,FALSE),0)</f>
        <v>0</v>
      </c>
      <c r="I716" s="194">
        <f>IF(DBparts1[[#This Row],[Type]]&gt;0,VLOOKUP(DBparts1[[#This Row],[Type]],Main[[#All],[TYPE]:[UNIT]],'Unit Price'!G$1,FALSE),0)</f>
        <v>0</v>
      </c>
      <c r="J716" s="194">
        <f>IF(DBparts1[[#This Row],[Type]]&gt;0,VLOOKUP(DBparts1[[#This Row],[Type]],Main[[#All],[TYPE]:[UNIT]],'Unit Price'!H$1,FALSE),0)</f>
        <v>0</v>
      </c>
      <c r="K716" s="194">
        <f>IF(DBparts1[[#This Row],[Type]]&gt;0,VLOOKUP(DBparts1[[#This Row],[Discount seletion]],'Discount Structure'!$A$2:$B$30,2,"false"),0)</f>
        <v>0</v>
      </c>
      <c r="L716" s="194">
        <f>DBparts1[[#This Row],[LIST $]]*DBparts1[[#This Row],[DISCOUNT]]*DBparts1[[#This Row],[DISCOUNT 2]]</f>
        <v>0</v>
      </c>
    </row>
    <row r="717" spans="2:12">
      <c r="B717" s="112"/>
      <c r="C717" s="112"/>
      <c r="D717" s="112"/>
      <c r="F717" s="168" t="s">
        <v>6202</v>
      </c>
      <c r="G717" s="232">
        <f>IF(DBparts1[[#This Row],[Type]]&gt;0,VLOOKUP(DBparts1[[#This Row],[Type]],Main[[#All],[TYPE]:[UNIT]],'Unit Price'!C$1,FALSE),0)</f>
        <v>0</v>
      </c>
      <c r="H717" s="194">
        <f>IF(DBparts1[[#This Row],[Type]]&gt;0,VLOOKUP(DBparts1[[#This Row],[Type]],Main[[#All],[TYPE]:[UNIT]],'Unit Price'!D$1,FALSE),0)</f>
        <v>0</v>
      </c>
      <c r="I717" s="194">
        <f>IF(DBparts1[[#This Row],[Type]]&gt;0,VLOOKUP(DBparts1[[#This Row],[Type]],Main[[#All],[TYPE]:[UNIT]],'Unit Price'!G$1,FALSE),0)</f>
        <v>0</v>
      </c>
      <c r="J717" s="194">
        <f>IF(DBparts1[[#This Row],[Type]]&gt;0,VLOOKUP(DBparts1[[#This Row],[Type]],Main[[#All],[TYPE]:[UNIT]],'Unit Price'!H$1,FALSE),0)</f>
        <v>0</v>
      </c>
      <c r="K717" s="194">
        <f>IF(DBparts1[[#This Row],[Type]]&gt;0,VLOOKUP(DBparts1[[#This Row],[Discount seletion]],'Discount Structure'!$A$2:$B$30,2,"false"),0)</f>
        <v>0</v>
      </c>
      <c r="L717" s="194">
        <f>DBparts1[[#This Row],[LIST $]]*DBparts1[[#This Row],[DISCOUNT]]*DBparts1[[#This Row],[DISCOUNT 2]]</f>
        <v>0</v>
      </c>
    </row>
    <row r="718" spans="2:12">
      <c r="B718" s="112"/>
      <c r="C718" s="112"/>
      <c r="D718" s="112"/>
      <c r="F718" s="168" t="s">
        <v>6202</v>
      </c>
      <c r="G718" s="232">
        <f>IF(DBparts1[[#This Row],[Type]]&gt;0,VLOOKUP(DBparts1[[#This Row],[Type]],Main[[#All],[TYPE]:[UNIT]],'Unit Price'!C$1,FALSE),0)</f>
        <v>0</v>
      </c>
      <c r="H718" s="194">
        <f>IF(DBparts1[[#This Row],[Type]]&gt;0,VLOOKUP(DBparts1[[#This Row],[Type]],Main[[#All],[TYPE]:[UNIT]],'Unit Price'!D$1,FALSE),0)</f>
        <v>0</v>
      </c>
      <c r="I718" s="194">
        <f>IF(DBparts1[[#This Row],[Type]]&gt;0,VLOOKUP(DBparts1[[#This Row],[Type]],Main[[#All],[TYPE]:[UNIT]],'Unit Price'!G$1,FALSE),0)</f>
        <v>0</v>
      </c>
      <c r="J718" s="194">
        <f>IF(DBparts1[[#This Row],[Type]]&gt;0,VLOOKUP(DBparts1[[#This Row],[Type]],Main[[#All],[TYPE]:[UNIT]],'Unit Price'!H$1,FALSE),0)</f>
        <v>0</v>
      </c>
      <c r="K718" s="194">
        <f>IF(DBparts1[[#This Row],[Type]]&gt;0,VLOOKUP(DBparts1[[#This Row],[Discount seletion]],'Discount Structure'!$A$2:$B$30,2,"false"),0)</f>
        <v>0</v>
      </c>
      <c r="L718" s="194">
        <f>DBparts1[[#This Row],[LIST $]]*DBparts1[[#This Row],[DISCOUNT]]*DBparts1[[#This Row],[DISCOUNT 2]]</f>
        <v>0</v>
      </c>
    </row>
    <row r="719" spans="2:12">
      <c r="B719" s="112"/>
      <c r="C719" s="112"/>
      <c r="D719" s="112"/>
      <c r="F719" s="168" t="s">
        <v>6202</v>
      </c>
      <c r="G719" s="232">
        <f>IF(DBparts1[[#This Row],[Type]]&gt;0,VLOOKUP(DBparts1[[#This Row],[Type]],Main[[#All],[TYPE]:[UNIT]],'Unit Price'!C$1,FALSE),0)</f>
        <v>0</v>
      </c>
      <c r="H719" s="194">
        <f>IF(DBparts1[[#This Row],[Type]]&gt;0,VLOOKUP(DBparts1[[#This Row],[Type]],Main[[#All],[TYPE]:[UNIT]],'Unit Price'!D$1,FALSE),0)</f>
        <v>0</v>
      </c>
      <c r="I719" s="194">
        <f>IF(DBparts1[[#This Row],[Type]]&gt;0,VLOOKUP(DBparts1[[#This Row],[Type]],Main[[#All],[TYPE]:[UNIT]],'Unit Price'!G$1,FALSE),0)</f>
        <v>0</v>
      </c>
      <c r="J719" s="194">
        <f>IF(DBparts1[[#This Row],[Type]]&gt;0,VLOOKUP(DBparts1[[#This Row],[Type]],Main[[#All],[TYPE]:[UNIT]],'Unit Price'!H$1,FALSE),0)</f>
        <v>0</v>
      </c>
      <c r="K719" s="194">
        <f>IF(DBparts1[[#This Row],[Type]]&gt;0,VLOOKUP(DBparts1[[#This Row],[Discount seletion]],'Discount Structure'!$A$2:$B$30,2,"false"),0)</f>
        <v>0</v>
      </c>
      <c r="L719" s="194">
        <f>DBparts1[[#This Row],[LIST $]]*DBparts1[[#This Row],[DISCOUNT]]*DBparts1[[#This Row],[DISCOUNT 2]]</f>
        <v>0</v>
      </c>
    </row>
    <row r="720" spans="2:12">
      <c r="B720" s="112"/>
      <c r="C720" s="112"/>
      <c r="D720" s="112"/>
      <c r="F720" s="168" t="s">
        <v>6202</v>
      </c>
      <c r="G720" s="232">
        <f>IF(DBparts1[[#This Row],[Type]]&gt;0,VLOOKUP(DBparts1[[#This Row],[Type]],Main[[#All],[TYPE]:[UNIT]],'Unit Price'!C$1,FALSE),0)</f>
        <v>0</v>
      </c>
      <c r="H720" s="194">
        <f>IF(DBparts1[[#This Row],[Type]]&gt;0,VLOOKUP(DBparts1[[#This Row],[Type]],Main[[#All],[TYPE]:[UNIT]],'Unit Price'!D$1,FALSE),0)</f>
        <v>0</v>
      </c>
      <c r="I720" s="194">
        <f>IF(DBparts1[[#This Row],[Type]]&gt;0,VLOOKUP(DBparts1[[#This Row],[Type]],Main[[#All],[TYPE]:[UNIT]],'Unit Price'!G$1,FALSE),0)</f>
        <v>0</v>
      </c>
      <c r="J720" s="194">
        <f>IF(DBparts1[[#This Row],[Type]]&gt;0,VLOOKUP(DBparts1[[#This Row],[Type]],Main[[#All],[TYPE]:[UNIT]],'Unit Price'!H$1,FALSE),0)</f>
        <v>0</v>
      </c>
      <c r="K720" s="194">
        <f>IF(DBparts1[[#This Row],[Type]]&gt;0,VLOOKUP(DBparts1[[#This Row],[Discount seletion]],'Discount Structure'!$A$2:$B$30,2,"false"),0)</f>
        <v>0</v>
      </c>
      <c r="L720" s="194">
        <f>DBparts1[[#This Row],[LIST $]]*DBparts1[[#This Row],[DISCOUNT]]*DBparts1[[#This Row],[DISCOUNT 2]]</f>
        <v>0</v>
      </c>
    </row>
    <row r="721" spans="2:12">
      <c r="B721" s="112"/>
      <c r="C721" s="112"/>
      <c r="D721" s="112"/>
      <c r="F721" s="168" t="s">
        <v>6202</v>
      </c>
      <c r="G721" s="232">
        <f>IF(DBparts1[[#This Row],[Type]]&gt;0,VLOOKUP(DBparts1[[#This Row],[Type]],Main[[#All],[TYPE]:[UNIT]],'Unit Price'!C$1,FALSE),0)</f>
        <v>0</v>
      </c>
      <c r="H721" s="194">
        <f>IF(DBparts1[[#This Row],[Type]]&gt;0,VLOOKUP(DBparts1[[#This Row],[Type]],Main[[#All],[TYPE]:[UNIT]],'Unit Price'!D$1,FALSE),0)</f>
        <v>0</v>
      </c>
      <c r="I721" s="194">
        <f>IF(DBparts1[[#This Row],[Type]]&gt;0,VLOOKUP(DBparts1[[#This Row],[Type]],Main[[#All],[TYPE]:[UNIT]],'Unit Price'!G$1,FALSE),0)</f>
        <v>0</v>
      </c>
      <c r="J721" s="194">
        <f>IF(DBparts1[[#This Row],[Type]]&gt;0,VLOOKUP(DBparts1[[#This Row],[Type]],Main[[#All],[TYPE]:[UNIT]],'Unit Price'!H$1,FALSE),0)</f>
        <v>0</v>
      </c>
      <c r="K721" s="194">
        <f>IF(DBparts1[[#This Row],[Type]]&gt;0,VLOOKUP(DBparts1[[#This Row],[Discount seletion]],'Discount Structure'!$A$2:$B$30,2,"false"),0)</f>
        <v>0</v>
      </c>
      <c r="L721" s="194">
        <f>DBparts1[[#This Row],[LIST $]]*DBparts1[[#This Row],[DISCOUNT]]*DBparts1[[#This Row],[DISCOUNT 2]]</f>
        <v>0</v>
      </c>
    </row>
    <row r="722" spans="2:12">
      <c r="B722" s="112"/>
      <c r="C722" s="112"/>
      <c r="D722" s="112"/>
      <c r="F722" s="168" t="s">
        <v>6202</v>
      </c>
      <c r="G722" s="232">
        <f>IF(DBparts1[[#This Row],[Type]]&gt;0,VLOOKUP(DBparts1[[#This Row],[Type]],Main[[#All],[TYPE]:[UNIT]],'Unit Price'!C$1,FALSE),0)</f>
        <v>0</v>
      </c>
      <c r="H722" s="194">
        <f>IF(DBparts1[[#This Row],[Type]]&gt;0,VLOOKUP(DBparts1[[#This Row],[Type]],Main[[#All],[TYPE]:[UNIT]],'Unit Price'!D$1,FALSE),0)</f>
        <v>0</v>
      </c>
      <c r="I722" s="194">
        <f>IF(DBparts1[[#This Row],[Type]]&gt;0,VLOOKUP(DBparts1[[#This Row],[Type]],Main[[#All],[TYPE]:[UNIT]],'Unit Price'!G$1,FALSE),0)</f>
        <v>0</v>
      </c>
      <c r="J722" s="194">
        <f>IF(DBparts1[[#This Row],[Type]]&gt;0,VLOOKUP(DBparts1[[#This Row],[Type]],Main[[#All],[TYPE]:[UNIT]],'Unit Price'!H$1,FALSE),0)</f>
        <v>0</v>
      </c>
      <c r="K722" s="194">
        <f>IF(DBparts1[[#This Row],[Type]]&gt;0,VLOOKUP(DBparts1[[#This Row],[Discount seletion]],'Discount Structure'!$A$2:$B$30,2,"false"),0)</f>
        <v>0</v>
      </c>
      <c r="L722" s="194">
        <f>DBparts1[[#This Row],[LIST $]]*DBparts1[[#This Row],[DISCOUNT]]*DBparts1[[#This Row],[DISCOUNT 2]]</f>
        <v>0</v>
      </c>
    </row>
    <row r="723" spans="2:12">
      <c r="B723" s="112"/>
      <c r="C723" s="112"/>
      <c r="D723" s="112"/>
      <c r="F723" s="168" t="s">
        <v>6202</v>
      </c>
      <c r="G723" s="232">
        <f>IF(DBparts1[[#This Row],[Type]]&gt;0,VLOOKUP(DBparts1[[#This Row],[Type]],Main[[#All],[TYPE]:[UNIT]],'Unit Price'!C$1,FALSE),0)</f>
        <v>0</v>
      </c>
      <c r="H723" s="194">
        <f>IF(DBparts1[[#This Row],[Type]]&gt;0,VLOOKUP(DBparts1[[#This Row],[Type]],Main[[#All],[TYPE]:[UNIT]],'Unit Price'!D$1,FALSE),0)</f>
        <v>0</v>
      </c>
      <c r="I723" s="194">
        <f>IF(DBparts1[[#This Row],[Type]]&gt;0,VLOOKUP(DBparts1[[#This Row],[Type]],Main[[#All],[TYPE]:[UNIT]],'Unit Price'!G$1,FALSE),0)</f>
        <v>0</v>
      </c>
      <c r="J723" s="194">
        <f>IF(DBparts1[[#This Row],[Type]]&gt;0,VLOOKUP(DBparts1[[#This Row],[Type]],Main[[#All],[TYPE]:[UNIT]],'Unit Price'!H$1,FALSE),0)</f>
        <v>0</v>
      </c>
      <c r="K723" s="194">
        <f>IF(DBparts1[[#This Row],[Type]]&gt;0,VLOOKUP(DBparts1[[#This Row],[Discount seletion]],'Discount Structure'!$A$2:$B$30,2,"false"),0)</f>
        <v>0</v>
      </c>
      <c r="L723" s="194">
        <f>DBparts1[[#This Row],[LIST $]]*DBparts1[[#This Row],[DISCOUNT]]*DBparts1[[#This Row],[DISCOUNT 2]]</f>
        <v>0</v>
      </c>
    </row>
    <row r="724" spans="2:12">
      <c r="B724" s="112"/>
      <c r="C724" s="112"/>
      <c r="D724" s="112"/>
      <c r="F724" s="168" t="s">
        <v>6202</v>
      </c>
      <c r="G724" s="232">
        <f>IF(DBparts1[[#This Row],[Type]]&gt;0,VLOOKUP(DBparts1[[#This Row],[Type]],Main[[#All],[TYPE]:[UNIT]],'Unit Price'!C$1,FALSE),0)</f>
        <v>0</v>
      </c>
      <c r="H724" s="194">
        <f>IF(DBparts1[[#This Row],[Type]]&gt;0,VLOOKUP(DBparts1[[#This Row],[Type]],Main[[#All],[TYPE]:[UNIT]],'Unit Price'!D$1,FALSE),0)</f>
        <v>0</v>
      </c>
      <c r="I724" s="194">
        <f>IF(DBparts1[[#This Row],[Type]]&gt;0,VLOOKUP(DBparts1[[#This Row],[Type]],Main[[#All],[TYPE]:[UNIT]],'Unit Price'!G$1,FALSE),0)</f>
        <v>0</v>
      </c>
      <c r="J724" s="194">
        <f>IF(DBparts1[[#This Row],[Type]]&gt;0,VLOOKUP(DBparts1[[#This Row],[Type]],Main[[#All],[TYPE]:[UNIT]],'Unit Price'!H$1,FALSE),0)</f>
        <v>0</v>
      </c>
      <c r="K724" s="194">
        <f>IF(DBparts1[[#This Row],[Type]]&gt;0,VLOOKUP(DBparts1[[#This Row],[Discount seletion]],'Discount Structure'!$A$2:$B$30,2,"false"),0)</f>
        <v>0</v>
      </c>
      <c r="L724" s="194">
        <f>DBparts1[[#This Row],[LIST $]]*DBparts1[[#This Row],[DISCOUNT]]*DBparts1[[#This Row],[DISCOUNT 2]]</f>
        <v>0</v>
      </c>
    </row>
    <row r="725" spans="2:12">
      <c r="B725" s="112"/>
      <c r="C725" s="112"/>
      <c r="D725" s="112"/>
      <c r="F725" s="168" t="s">
        <v>6202</v>
      </c>
      <c r="G725" s="232">
        <f>IF(DBparts1[[#This Row],[Type]]&gt;0,VLOOKUP(DBparts1[[#This Row],[Type]],Main[[#All],[TYPE]:[UNIT]],'Unit Price'!C$1,FALSE),0)</f>
        <v>0</v>
      </c>
      <c r="H725" s="194">
        <f>IF(DBparts1[[#This Row],[Type]]&gt;0,VLOOKUP(DBparts1[[#This Row],[Type]],Main[[#All],[TYPE]:[UNIT]],'Unit Price'!D$1,FALSE),0)</f>
        <v>0</v>
      </c>
      <c r="I725" s="194">
        <f>IF(DBparts1[[#This Row],[Type]]&gt;0,VLOOKUP(DBparts1[[#This Row],[Type]],Main[[#All],[TYPE]:[UNIT]],'Unit Price'!G$1,FALSE),0)</f>
        <v>0</v>
      </c>
      <c r="J725" s="194">
        <f>IF(DBparts1[[#This Row],[Type]]&gt;0,VLOOKUP(DBparts1[[#This Row],[Type]],Main[[#All],[TYPE]:[UNIT]],'Unit Price'!H$1,FALSE),0)</f>
        <v>0</v>
      </c>
      <c r="K725" s="194">
        <f>IF(DBparts1[[#This Row],[Type]]&gt;0,VLOOKUP(DBparts1[[#This Row],[Discount seletion]],'Discount Structure'!$A$2:$B$30,2,"false"),0)</f>
        <v>0</v>
      </c>
      <c r="L725" s="194">
        <f>DBparts1[[#This Row],[LIST $]]*DBparts1[[#This Row],[DISCOUNT]]*DBparts1[[#This Row],[DISCOUNT 2]]</f>
        <v>0</v>
      </c>
    </row>
    <row r="726" spans="2:12">
      <c r="B726" s="112"/>
      <c r="C726" s="112"/>
      <c r="D726" s="112"/>
      <c r="F726" s="168" t="s">
        <v>6202</v>
      </c>
      <c r="G726" s="232">
        <f>IF(DBparts1[[#This Row],[Type]]&gt;0,VLOOKUP(DBparts1[[#This Row],[Type]],Main[[#All],[TYPE]:[UNIT]],'Unit Price'!C$1,FALSE),0)</f>
        <v>0</v>
      </c>
      <c r="H726" s="194">
        <f>IF(DBparts1[[#This Row],[Type]]&gt;0,VLOOKUP(DBparts1[[#This Row],[Type]],Main[[#All],[TYPE]:[UNIT]],'Unit Price'!D$1,FALSE),0)</f>
        <v>0</v>
      </c>
      <c r="I726" s="194">
        <f>IF(DBparts1[[#This Row],[Type]]&gt;0,VLOOKUP(DBparts1[[#This Row],[Type]],Main[[#All],[TYPE]:[UNIT]],'Unit Price'!G$1,FALSE),0)</f>
        <v>0</v>
      </c>
      <c r="J726" s="194">
        <f>IF(DBparts1[[#This Row],[Type]]&gt;0,VLOOKUP(DBparts1[[#This Row],[Type]],Main[[#All],[TYPE]:[UNIT]],'Unit Price'!H$1,FALSE),0)</f>
        <v>0</v>
      </c>
      <c r="K726" s="194">
        <f>IF(DBparts1[[#This Row],[Type]]&gt;0,VLOOKUP(DBparts1[[#This Row],[Discount seletion]],'Discount Structure'!$A$2:$B$30,2,"false"),0)</f>
        <v>0</v>
      </c>
      <c r="L726" s="194">
        <f>DBparts1[[#This Row],[LIST $]]*DBparts1[[#This Row],[DISCOUNT]]*DBparts1[[#This Row],[DISCOUNT 2]]</f>
        <v>0</v>
      </c>
    </row>
    <row r="727" spans="2:12">
      <c r="B727" s="112"/>
      <c r="C727" s="112"/>
      <c r="D727" s="112"/>
      <c r="F727" s="168" t="s">
        <v>6202</v>
      </c>
      <c r="G727" s="232">
        <f>IF(DBparts1[[#This Row],[Type]]&gt;0,VLOOKUP(DBparts1[[#This Row],[Type]],Main[[#All],[TYPE]:[UNIT]],'Unit Price'!C$1,FALSE),0)</f>
        <v>0</v>
      </c>
      <c r="H727" s="194">
        <f>IF(DBparts1[[#This Row],[Type]]&gt;0,VLOOKUP(DBparts1[[#This Row],[Type]],Main[[#All],[TYPE]:[UNIT]],'Unit Price'!D$1,FALSE),0)</f>
        <v>0</v>
      </c>
      <c r="I727" s="194">
        <f>IF(DBparts1[[#This Row],[Type]]&gt;0,VLOOKUP(DBparts1[[#This Row],[Type]],Main[[#All],[TYPE]:[UNIT]],'Unit Price'!G$1,FALSE),0)</f>
        <v>0</v>
      </c>
      <c r="J727" s="194">
        <f>IF(DBparts1[[#This Row],[Type]]&gt;0,VLOOKUP(DBparts1[[#This Row],[Type]],Main[[#All],[TYPE]:[UNIT]],'Unit Price'!H$1,FALSE),0)</f>
        <v>0</v>
      </c>
      <c r="K727" s="194">
        <f>IF(DBparts1[[#This Row],[Type]]&gt;0,VLOOKUP(DBparts1[[#This Row],[Discount seletion]],'Discount Structure'!$A$2:$B$30,2,"false"),0)</f>
        <v>0</v>
      </c>
      <c r="L727" s="194">
        <f>DBparts1[[#This Row],[LIST $]]*DBparts1[[#This Row],[DISCOUNT]]*DBparts1[[#This Row],[DISCOUNT 2]]</f>
        <v>0</v>
      </c>
    </row>
    <row r="728" spans="2:12">
      <c r="B728" s="112"/>
      <c r="C728" s="112"/>
      <c r="D728" s="112"/>
      <c r="F728" s="168" t="s">
        <v>6202</v>
      </c>
      <c r="G728" s="232">
        <f>IF(DBparts1[[#This Row],[Type]]&gt;0,VLOOKUP(DBparts1[[#This Row],[Type]],Main[[#All],[TYPE]:[UNIT]],'Unit Price'!C$1,FALSE),0)</f>
        <v>0</v>
      </c>
      <c r="H728" s="194">
        <f>IF(DBparts1[[#This Row],[Type]]&gt;0,VLOOKUP(DBparts1[[#This Row],[Type]],Main[[#All],[TYPE]:[UNIT]],'Unit Price'!D$1,FALSE),0)</f>
        <v>0</v>
      </c>
      <c r="I728" s="194">
        <f>IF(DBparts1[[#This Row],[Type]]&gt;0,VLOOKUP(DBparts1[[#This Row],[Type]],Main[[#All],[TYPE]:[UNIT]],'Unit Price'!G$1,FALSE),0)</f>
        <v>0</v>
      </c>
      <c r="J728" s="194">
        <f>IF(DBparts1[[#This Row],[Type]]&gt;0,VLOOKUP(DBparts1[[#This Row],[Type]],Main[[#All],[TYPE]:[UNIT]],'Unit Price'!H$1,FALSE),0)</f>
        <v>0</v>
      </c>
      <c r="K728" s="194">
        <f>IF(DBparts1[[#This Row],[Type]]&gt;0,VLOOKUP(DBparts1[[#This Row],[Discount seletion]],'Discount Structure'!$A$2:$B$30,2,"false"),0)</f>
        <v>0</v>
      </c>
      <c r="L728" s="194">
        <f>DBparts1[[#This Row],[LIST $]]*DBparts1[[#This Row],[DISCOUNT]]*DBparts1[[#This Row],[DISCOUNT 2]]</f>
        <v>0</v>
      </c>
    </row>
    <row r="729" spans="2:12">
      <c r="B729" s="112"/>
      <c r="C729" s="112"/>
      <c r="D729" s="112"/>
      <c r="F729" s="168" t="s">
        <v>6202</v>
      </c>
      <c r="G729" s="232">
        <f>IF(DBparts1[[#This Row],[Type]]&gt;0,VLOOKUP(DBparts1[[#This Row],[Type]],Main[[#All],[TYPE]:[UNIT]],'Unit Price'!C$1,FALSE),0)</f>
        <v>0</v>
      </c>
      <c r="H729" s="194">
        <f>IF(DBparts1[[#This Row],[Type]]&gt;0,VLOOKUP(DBparts1[[#This Row],[Type]],Main[[#All],[TYPE]:[UNIT]],'Unit Price'!D$1,FALSE),0)</f>
        <v>0</v>
      </c>
      <c r="I729" s="194">
        <f>IF(DBparts1[[#This Row],[Type]]&gt;0,VLOOKUP(DBparts1[[#This Row],[Type]],Main[[#All],[TYPE]:[UNIT]],'Unit Price'!G$1,FALSE),0)</f>
        <v>0</v>
      </c>
      <c r="J729" s="194">
        <f>IF(DBparts1[[#This Row],[Type]]&gt;0,VLOOKUP(DBparts1[[#This Row],[Type]],Main[[#All],[TYPE]:[UNIT]],'Unit Price'!H$1,FALSE),0)</f>
        <v>0</v>
      </c>
      <c r="K729" s="194">
        <f>IF(DBparts1[[#This Row],[Type]]&gt;0,VLOOKUP(DBparts1[[#This Row],[Discount seletion]],'Discount Structure'!$A$2:$B$30,2,"false"),0)</f>
        <v>0</v>
      </c>
      <c r="L729" s="194">
        <f>DBparts1[[#This Row],[LIST $]]*DBparts1[[#This Row],[DISCOUNT]]*DBparts1[[#This Row],[DISCOUNT 2]]</f>
        <v>0</v>
      </c>
    </row>
    <row r="730" spans="2:12">
      <c r="B730" s="112"/>
      <c r="C730" s="112"/>
      <c r="D730" s="112"/>
      <c r="F730" s="168" t="s">
        <v>6202</v>
      </c>
      <c r="G730" s="232">
        <f>IF(DBparts1[[#This Row],[Type]]&gt;0,VLOOKUP(DBparts1[[#This Row],[Type]],Main[[#All],[TYPE]:[UNIT]],'Unit Price'!C$1,FALSE),0)</f>
        <v>0</v>
      </c>
      <c r="H730" s="194">
        <f>IF(DBparts1[[#This Row],[Type]]&gt;0,VLOOKUP(DBparts1[[#This Row],[Type]],Main[[#All],[TYPE]:[UNIT]],'Unit Price'!D$1,FALSE),0)</f>
        <v>0</v>
      </c>
      <c r="I730" s="194">
        <f>IF(DBparts1[[#This Row],[Type]]&gt;0,VLOOKUP(DBparts1[[#This Row],[Type]],Main[[#All],[TYPE]:[UNIT]],'Unit Price'!G$1,FALSE),0)</f>
        <v>0</v>
      </c>
      <c r="J730" s="194">
        <f>IF(DBparts1[[#This Row],[Type]]&gt;0,VLOOKUP(DBparts1[[#This Row],[Type]],Main[[#All],[TYPE]:[UNIT]],'Unit Price'!H$1,FALSE),0)</f>
        <v>0</v>
      </c>
      <c r="K730" s="194">
        <f>IF(DBparts1[[#This Row],[Type]]&gt;0,VLOOKUP(DBparts1[[#This Row],[Discount seletion]],'Discount Structure'!$A$2:$B$30,2,"false"),0)</f>
        <v>0</v>
      </c>
      <c r="L730" s="194">
        <f>DBparts1[[#This Row],[LIST $]]*DBparts1[[#This Row],[DISCOUNT]]*DBparts1[[#This Row],[DISCOUNT 2]]</f>
        <v>0</v>
      </c>
    </row>
    <row r="731" spans="2:12">
      <c r="B731" s="112"/>
      <c r="C731" s="112"/>
      <c r="D731" s="112"/>
      <c r="F731" s="168" t="s">
        <v>6202</v>
      </c>
      <c r="G731" s="232">
        <f>IF(DBparts1[[#This Row],[Type]]&gt;0,VLOOKUP(DBparts1[[#This Row],[Type]],Main[[#All],[TYPE]:[UNIT]],'Unit Price'!C$1,FALSE),0)</f>
        <v>0</v>
      </c>
      <c r="H731" s="194">
        <f>IF(DBparts1[[#This Row],[Type]]&gt;0,VLOOKUP(DBparts1[[#This Row],[Type]],Main[[#All],[TYPE]:[UNIT]],'Unit Price'!D$1,FALSE),0)</f>
        <v>0</v>
      </c>
      <c r="I731" s="194">
        <f>IF(DBparts1[[#This Row],[Type]]&gt;0,VLOOKUP(DBparts1[[#This Row],[Type]],Main[[#All],[TYPE]:[UNIT]],'Unit Price'!G$1,FALSE),0)</f>
        <v>0</v>
      </c>
      <c r="J731" s="194">
        <f>IF(DBparts1[[#This Row],[Type]]&gt;0,VLOOKUP(DBparts1[[#This Row],[Type]],Main[[#All],[TYPE]:[UNIT]],'Unit Price'!H$1,FALSE),0)</f>
        <v>0</v>
      </c>
      <c r="K731" s="194">
        <f>IF(DBparts1[[#This Row],[Type]]&gt;0,VLOOKUP(DBparts1[[#This Row],[Discount seletion]],'Discount Structure'!$A$2:$B$30,2,"false"),0)</f>
        <v>0</v>
      </c>
      <c r="L731" s="194">
        <f>DBparts1[[#This Row],[LIST $]]*DBparts1[[#This Row],[DISCOUNT]]*DBparts1[[#This Row],[DISCOUNT 2]]</f>
        <v>0</v>
      </c>
    </row>
    <row r="732" spans="2:12">
      <c r="B732" s="112"/>
      <c r="C732" s="112"/>
      <c r="D732" s="112"/>
      <c r="F732" s="168" t="s">
        <v>6202</v>
      </c>
      <c r="G732" s="232">
        <f>IF(DBparts1[[#This Row],[Type]]&gt;0,VLOOKUP(DBparts1[[#This Row],[Type]],Main[[#All],[TYPE]:[UNIT]],'Unit Price'!C$1,FALSE),0)</f>
        <v>0</v>
      </c>
      <c r="H732" s="194">
        <f>IF(DBparts1[[#This Row],[Type]]&gt;0,VLOOKUP(DBparts1[[#This Row],[Type]],Main[[#All],[TYPE]:[UNIT]],'Unit Price'!D$1,FALSE),0)</f>
        <v>0</v>
      </c>
      <c r="I732" s="194">
        <f>IF(DBparts1[[#This Row],[Type]]&gt;0,VLOOKUP(DBparts1[[#This Row],[Type]],Main[[#All],[TYPE]:[UNIT]],'Unit Price'!G$1,FALSE),0)</f>
        <v>0</v>
      </c>
      <c r="J732" s="194">
        <f>IF(DBparts1[[#This Row],[Type]]&gt;0,VLOOKUP(DBparts1[[#This Row],[Type]],Main[[#All],[TYPE]:[UNIT]],'Unit Price'!H$1,FALSE),0)</f>
        <v>0</v>
      </c>
      <c r="K732" s="194">
        <f>IF(DBparts1[[#This Row],[Type]]&gt;0,VLOOKUP(DBparts1[[#This Row],[Discount seletion]],'Discount Structure'!$A$2:$B$30,2,"false"),0)</f>
        <v>0</v>
      </c>
      <c r="L732" s="194">
        <f>DBparts1[[#This Row],[LIST $]]*DBparts1[[#This Row],[DISCOUNT]]*DBparts1[[#This Row],[DISCOUNT 2]]</f>
        <v>0</v>
      </c>
    </row>
    <row r="733" spans="2:12">
      <c r="B733" s="112"/>
      <c r="C733" s="112"/>
      <c r="D733" s="112"/>
      <c r="F733" s="168" t="s">
        <v>6202</v>
      </c>
      <c r="G733" s="232">
        <f>IF(DBparts1[[#This Row],[Type]]&gt;0,VLOOKUP(DBparts1[[#This Row],[Type]],Main[[#All],[TYPE]:[UNIT]],'Unit Price'!C$1,FALSE),0)</f>
        <v>0</v>
      </c>
      <c r="H733" s="194">
        <f>IF(DBparts1[[#This Row],[Type]]&gt;0,VLOOKUP(DBparts1[[#This Row],[Type]],Main[[#All],[TYPE]:[UNIT]],'Unit Price'!D$1,FALSE),0)</f>
        <v>0</v>
      </c>
      <c r="I733" s="194">
        <f>IF(DBparts1[[#This Row],[Type]]&gt;0,VLOOKUP(DBparts1[[#This Row],[Type]],Main[[#All],[TYPE]:[UNIT]],'Unit Price'!G$1,FALSE),0)</f>
        <v>0</v>
      </c>
      <c r="J733" s="194">
        <f>IF(DBparts1[[#This Row],[Type]]&gt;0,VLOOKUP(DBparts1[[#This Row],[Type]],Main[[#All],[TYPE]:[UNIT]],'Unit Price'!H$1,FALSE),0)</f>
        <v>0</v>
      </c>
      <c r="K733" s="194">
        <f>IF(DBparts1[[#This Row],[Type]]&gt;0,VLOOKUP(DBparts1[[#This Row],[Discount seletion]],'Discount Structure'!$A$2:$B$30,2,"false"),0)</f>
        <v>0</v>
      </c>
      <c r="L733" s="194">
        <f>DBparts1[[#This Row],[LIST $]]*DBparts1[[#This Row],[DISCOUNT]]*DBparts1[[#This Row],[DISCOUNT 2]]</f>
        <v>0</v>
      </c>
    </row>
    <row r="734" spans="2:12">
      <c r="B734" s="112"/>
      <c r="C734" s="112"/>
      <c r="D734" s="112"/>
      <c r="F734" s="168" t="s">
        <v>6202</v>
      </c>
      <c r="G734" s="232">
        <f>IF(DBparts1[[#This Row],[Type]]&gt;0,VLOOKUP(DBparts1[[#This Row],[Type]],Main[[#All],[TYPE]:[UNIT]],'Unit Price'!C$1,FALSE),0)</f>
        <v>0</v>
      </c>
      <c r="H734" s="194">
        <f>IF(DBparts1[[#This Row],[Type]]&gt;0,VLOOKUP(DBparts1[[#This Row],[Type]],Main[[#All],[TYPE]:[UNIT]],'Unit Price'!D$1,FALSE),0)</f>
        <v>0</v>
      </c>
      <c r="I734" s="194">
        <f>IF(DBparts1[[#This Row],[Type]]&gt;0,VLOOKUP(DBparts1[[#This Row],[Type]],Main[[#All],[TYPE]:[UNIT]],'Unit Price'!G$1,FALSE),0)</f>
        <v>0</v>
      </c>
      <c r="J734" s="194">
        <f>IF(DBparts1[[#This Row],[Type]]&gt;0,VLOOKUP(DBparts1[[#This Row],[Type]],Main[[#All],[TYPE]:[UNIT]],'Unit Price'!H$1,FALSE),0)</f>
        <v>0</v>
      </c>
      <c r="K734" s="194">
        <f>IF(DBparts1[[#This Row],[Type]]&gt;0,VLOOKUP(DBparts1[[#This Row],[Discount seletion]],'Discount Structure'!$A$2:$B$30,2,"false"),0)</f>
        <v>0</v>
      </c>
      <c r="L734" s="194">
        <f>DBparts1[[#This Row],[LIST $]]*DBparts1[[#This Row],[DISCOUNT]]*DBparts1[[#This Row],[DISCOUNT 2]]</f>
        <v>0</v>
      </c>
    </row>
    <row r="735" spans="2:12">
      <c r="B735" s="112"/>
      <c r="C735" s="112"/>
      <c r="D735" s="112"/>
      <c r="F735" s="168" t="s">
        <v>6202</v>
      </c>
      <c r="G735" s="232">
        <f>IF(DBparts1[[#This Row],[Type]]&gt;0,VLOOKUP(DBparts1[[#This Row],[Type]],Main[[#All],[TYPE]:[UNIT]],'Unit Price'!C$1,FALSE),0)</f>
        <v>0</v>
      </c>
      <c r="H735" s="194">
        <f>IF(DBparts1[[#This Row],[Type]]&gt;0,VLOOKUP(DBparts1[[#This Row],[Type]],Main[[#All],[TYPE]:[UNIT]],'Unit Price'!D$1,FALSE),0)</f>
        <v>0</v>
      </c>
      <c r="I735" s="194">
        <f>IF(DBparts1[[#This Row],[Type]]&gt;0,VLOOKUP(DBparts1[[#This Row],[Type]],Main[[#All],[TYPE]:[UNIT]],'Unit Price'!G$1,FALSE),0)</f>
        <v>0</v>
      </c>
      <c r="J735" s="194">
        <f>IF(DBparts1[[#This Row],[Type]]&gt;0,VLOOKUP(DBparts1[[#This Row],[Type]],Main[[#All],[TYPE]:[UNIT]],'Unit Price'!H$1,FALSE),0)</f>
        <v>0</v>
      </c>
      <c r="K735" s="194">
        <f>IF(DBparts1[[#This Row],[Type]]&gt;0,VLOOKUP(DBparts1[[#This Row],[Discount seletion]],'Discount Structure'!$A$2:$B$30,2,"false"),0)</f>
        <v>0</v>
      </c>
      <c r="L735" s="194">
        <f>DBparts1[[#This Row],[LIST $]]*DBparts1[[#This Row],[DISCOUNT]]*DBparts1[[#This Row],[DISCOUNT 2]]</f>
        <v>0</v>
      </c>
    </row>
    <row r="736" spans="2:12">
      <c r="B736" s="112"/>
      <c r="C736" s="112"/>
      <c r="D736" s="112"/>
      <c r="F736" s="168" t="s">
        <v>6202</v>
      </c>
      <c r="G736" s="232">
        <f>IF(DBparts1[[#This Row],[Type]]&gt;0,VLOOKUP(DBparts1[[#This Row],[Type]],Main[[#All],[TYPE]:[UNIT]],'Unit Price'!C$1,FALSE),0)</f>
        <v>0</v>
      </c>
      <c r="H736" s="194">
        <f>IF(DBparts1[[#This Row],[Type]]&gt;0,VLOOKUP(DBparts1[[#This Row],[Type]],Main[[#All],[TYPE]:[UNIT]],'Unit Price'!D$1,FALSE),0)</f>
        <v>0</v>
      </c>
      <c r="I736" s="194">
        <f>IF(DBparts1[[#This Row],[Type]]&gt;0,VLOOKUP(DBparts1[[#This Row],[Type]],Main[[#All],[TYPE]:[UNIT]],'Unit Price'!G$1,FALSE),0)</f>
        <v>0</v>
      </c>
      <c r="J736" s="194">
        <f>IF(DBparts1[[#This Row],[Type]]&gt;0,VLOOKUP(DBparts1[[#This Row],[Type]],Main[[#All],[TYPE]:[UNIT]],'Unit Price'!H$1,FALSE),0)</f>
        <v>0</v>
      </c>
      <c r="K736" s="194">
        <f>IF(DBparts1[[#This Row],[Type]]&gt;0,VLOOKUP(DBparts1[[#This Row],[Discount seletion]],'Discount Structure'!$A$2:$B$30,2,"false"),0)</f>
        <v>0</v>
      </c>
      <c r="L736" s="194">
        <f>DBparts1[[#This Row],[LIST $]]*DBparts1[[#This Row],[DISCOUNT]]*DBparts1[[#This Row],[DISCOUNT 2]]</f>
        <v>0</v>
      </c>
    </row>
    <row r="737" spans="2:12">
      <c r="B737" s="112"/>
      <c r="C737" s="112"/>
      <c r="D737" s="112"/>
      <c r="F737" s="168" t="s">
        <v>6202</v>
      </c>
      <c r="G737" s="232">
        <f>IF(DBparts1[[#This Row],[Type]]&gt;0,VLOOKUP(DBparts1[[#This Row],[Type]],Main[[#All],[TYPE]:[UNIT]],'Unit Price'!C$1,FALSE),0)</f>
        <v>0</v>
      </c>
      <c r="H737" s="194">
        <f>IF(DBparts1[[#This Row],[Type]]&gt;0,VLOOKUP(DBparts1[[#This Row],[Type]],Main[[#All],[TYPE]:[UNIT]],'Unit Price'!D$1,FALSE),0)</f>
        <v>0</v>
      </c>
      <c r="I737" s="194">
        <f>IF(DBparts1[[#This Row],[Type]]&gt;0,VLOOKUP(DBparts1[[#This Row],[Type]],Main[[#All],[TYPE]:[UNIT]],'Unit Price'!G$1,FALSE),0)</f>
        <v>0</v>
      </c>
      <c r="J737" s="194">
        <f>IF(DBparts1[[#This Row],[Type]]&gt;0,VLOOKUP(DBparts1[[#This Row],[Type]],Main[[#All],[TYPE]:[UNIT]],'Unit Price'!H$1,FALSE),0)</f>
        <v>0</v>
      </c>
      <c r="K737" s="194">
        <f>IF(DBparts1[[#This Row],[Type]]&gt;0,VLOOKUP(DBparts1[[#This Row],[Discount seletion]],'Discount Structure'!$A$2:$B$30,2,"false"),0)</f>
        <v>0</v>
      </c>
      <c r="L737" s="194">
        <f>DBparts1[[#This Row],[LIST $]]*DBparts1[[#This Row],[DISCOUNT]]*DBparts1[[#This Row],[DISCOUNT 2]]</f>
        <v>0</v>
      </c>
    </row>
    <row r="738" spans="2:12">
      <c r="B738" s="112"/>
      <c r="C738" s="112"/>
      <c r="D738" s="112"/>
      <c r="F738" s="168" t="s">
        <v>6202</v>
      </c>
      <c r="G738" s="232">
        <f>IF(DBparts1[[#This Row],[Type]]&gt;0,VLOOKUP(DBparts1[[#This Row],[Type]],Main[[#All],[TYPE]:[UNIT]],'Unit Price'!C$1,FALSE),0)</f>
        <v>0</v>
      </c>
      <c r="H738" s="194">
        <f>IF(DBparts1[[#This Row],[Type]]&gt;0,VLOOKUP(DBparts1[[#This Row],[Type]],Main[[#All],[TYPE]:[UNIT]],'Unit Price'!D$1,FALSE),0)</f>
        <v>0</v>
      </c>
      <c r="I738" s="194">
        <f>IF(DBparts1[[#This Row],[Type]]&gt;0,VLOOKUP(DBparts1[[#This Row],[Type]],Main[[#All],[TYPE]:[UNIT]],'Unit Price'!G$1,FALSE),0)</f>
        <v>0</v>
      </c>
      <c r="J738" s="194">
        <f>IF(DBparts1[[#This Row],[Type]]&gt;0,VLOOKUP(DBparts1[[#This Row],[Type]],Main[[#All],[TYPE]:[UNIT]],'Unit Price'!H$1,FALSE),0)</f>
        <v>0</v>
      </c>
      <c r="K738" s="194">
        <f>IF(DBparts1[[#This Row],[Type]]&gt;0,VLOOKUP(DBparts1[[#This Row],[Discount seletion]],'Discount Structure'!$A$2:$B$30,2,"false"),0)</f>
        <v>0</v>
      </c>
      <c r="L738" s="194">
        <f>DBparts1[[#This Row],[LIST $]]*DBparts1[[#This Row],[DISCOUNT]]*DBparts1[[#This Row],[DISCOUNT 2]]</f>
        <v>0</v>
      </c>
    </row>
    <row r="739" spans="2:12">
      <c r="B739" s="112"/>
      <c r="C739" s="112"/>
      <c r="D739" s="112"/>
      <c r="F739" s="168" t="s">
        <v>6202</v>
      </c>
      <c r="G739" s="232">
        <f>IF(DBparts1[[#This Row],[Type]]&gt;0,VLOOKUP(DBparts1[[#This Row],[Type]],Main[[#All],[TYPE]:[UNIT]],'Unit Price'!C$1,FALSE),0)</f>
        <v>0</v>
      </c>
      <c r="H739" s="194">
        <f>IF(DBparts1[[#This Row],[Type]]&gt;0,VLOOKUP(DBparts1[[#This Row],[Type]],Main[[#All],[TYPE]:[UNIT]],'Unit Price'!D$1,FALSE),0)</f>
        <v>0</v>
      </c>
      <c r="I739" s="194">
        <f>IF(DBparts1[[#This Row],[Type]]&gt;0,VLOOKUP(DBparts1[[#This Row],[Type]],Main[[#All],[TYPE]:[UNIT]],'Unit Price'!G$1,FALSE),0)</f>
        <v>0</v>
      </c>
      <c r="J739" s="194">
        <f>IF(DBparts1[[#This Row],[Type]]&gt;0,VLOOKUP(DBparts1[[#This Row],[Type]],Main[[#All],[TYPE]:[UNIT]],'Unit Price'!H$1,FALSE),0)</f>
        <v>0</v>
      </c>
      <c r="K739" s="194">
        <f>IF(DBparts1[[#This Row],[Type]]&gt;0,VLOOKUP(DBparts1[[#This Row],[Discount seletion]],'Discount Structure'!$A$2:$B$30,2,"false"),0)</f>
        <v>0</v>
      </c>
      <c r="L739" s="194">
        <f>DBparts1[[#This Row],[LIST $]]*DBparts1[[#This Row],[DISCOUNT]]*DBparts1[[#This Row],[DISCOUNT 2]]</f>
        <v>0</v>
      </c>
    </row>
    <row r="740" spans="2:12">
      <c r="B740" s="112"/>
      <c r="C740" s="112"/>
      <c r="D740" s="112"/>
      <c r="F740" s="168" t="s">
        <v>6202</v>
      </c>
      <c r="G740" s="232">
        <f>IF(DBparts1[[#This Row],[Type]]&gt;0,VLOOKUP(DBparts1[[#This Row],[Type]],Main[[#All],[TYPE]:[UNIT]],'Unit Price'!C$1,FALSE),0)</f>
        <v>0</v>
      </c>
      <c r="H740" s="194">
        <f>IF(DBparts1[[#This Row],[Type]]&gt;0,VLOOKUP(DBparts1[[#This Row],[Type]],Main[[#All],[TYPE]:[UNIT]],'Unit Price'!D$1,FALSE),0)</f>
        <v>0</v>
      </c>
      <c r="I740" s="194">
        <f>IF(DBparts1[[#This Row],[Type]]&gt;0,VLOOKUP(DBparts1[[#This Row],[Type]],Main[[#All],[TYPE]:[UNIT]],'Unit Price'!G$1,FALSE),0)</f>
        <v>0</v>
      </c>
      <c r="J740" s="194">
        <f>IF(DBparts1[[#This Row],[Type]]&gt;0,VLOOKUP(DBparts1[[#This Row],[Type]],Main[[#All],[TYPE]:[UNIT]],'Unit Price'!H$1,FALSE),0)</f>
        <v>0</v>
      </c>
      <c r="K740" s="194">
        <f>IF(DBparts1[[#This Row],[Type]]&gt;0,VLOOKUP(DBparts1[[#This Row],[Discount seletion]],'Discount Structure'!$A$2:$B$30,2,"false"),0)</f>
        <v>0</v>
      </c>
      <c r="L740" s="194">
        <f>DBparts1[[#This Row],[LIST $]]*DBparts1[[#This Row],[DISCOUNT]]*DBparts1[[#This Row],[DISCOUNT 2]]</f>
        <v>0</v>
      </c>
    </row>
    <row r="741" spans="2:12">
      <c r="B741" s="112"/>
      <c r="C741" s="112"/>
      <c r="D741" s="112"/>
      <c r="F741" s="168" t="s">
        <v>6202</v>
      </c>
      <c r="G741" s="232">
        <f>IF(DBparts1[[#This Row],[Type]]&gt;0,VLOOKUP(DBparts1[[#This Row],[Type]],Main[[#All],[TYPE]:[UNIT]],'Unit Price'!C$1,FALSE),0)</f>
        <v>0</v>
      </c>
      <c r="H741" s="194">
        <f>IF(DBparts1[[#This Row],[Type]]&gt;0,VLOOKUP(DBparts1[[#This Row],[Type]],Main[[#All],[TYPE]:[UNIT]],'Unit Price'!D$1,FALSE),0)</f>
        <v>0</v>
      </c>
      <c r="I741" s="194">
        <f>IF(DBparts1[[#This Row],[Type]]&gt;0,VLOOKUP(DBparts1[[#This Row],[Type]],Main[[#All],[TYPE]:[UNIT]],'Unit Price'!G$1,FALSE),0)</f>
        <v>0</v>
      </c>
      <c r="J741" s="194">
        <f>IF(DBparts1[[#This Row],[Type]]&gt;0,VLOOKUP(DBparts1[[#This Row],[Type]],Main[[#All],[TYPE]:[UNIT]],'Unit Price'!H$1,FALSE),0)</f>
        <v>0</v>
      </c>
      <c r="K741" s="194">
        <f>IF(DBparts1[[#This Row],[Type]]&gt;0,VLOOKUP(DBparts1[[#This Row],[Discount seletion]],'Discount Structure'!$A$2:$B$30,2,"false"),0)</f>
        <v>0</v>
      </c>
      <c r="L741" s="194">
        <f>DBparts1[[#This Row],[LIST $]]*DBparts1[[#This Row],[DISCOUNT]]*DBparts1[[#This Row],[DISCOUNT 2]]</f>
        <v>0</v>
      </c>
    </row>
    <row r="742" spans="2:12">
      <c r="B742" s="112"/>
      <c r="C742" s="112"/>
      <c r="D742" s="112"/>
      <c r="F742" s="168" t="s">
        <v>6202</v>
      </c>
      <c r="G742" s="232">
        <f>IF(DBparts1[[#This Row],[Type]]&gt;0,VLOOKUP(DBparts1[[#This Row],[Type]],Main[[#All],[TYPE]:[UNIT]],'Unit Price'!C$1,FALSE),0)</f>
        <v>0</v>
      </c>
      <c r="H742" s="194">
        <f>IF(DBparts1[[#This Row],[Type]]&gt;0,VLOOKUP(DBparts1[[#This Row],[Type]],Main[[#All],[TYPE]:[UNIT]],'Unit Price'!D$1,FALSE),0)</f>
        <v>0</v>
      </c>
      <c r="I742" s="194">
        <f>IF(DBparts1[[#This Row],[Type]]&gt;0,VLOOKUP(DBparts1[[#This Row],[Type]],Main[[#All],[TYPE]:[UNIT]],'Unit Price'!G$1,FALSE),0)</f>
        <v>0</v>
      </c>
      <c r="J742" s="194">
        <f>IF(DBparts1[[#This Row],[Type]]&gt;0,VLOOKUP(DBparts1[[#This Row],[Type]],Main[[#All],[TYPE]:[UNIT]],'Unit Price'!H$1,FALSE),0)</f>
        <v>0</v>
      </c>
      <c r="K742" s="194">
        <f>IF(DBparts1[[#This Row],[Type]]&gt;0,VLOOKUP(DBparts1[[#This Row],[Discount seletion]],'Discount Structure'!$A$2:$B$30,2,"false"),0)</f>
        <v>0</v>
      </c>
      <c r="L742" s="194">
        <f>DBparts1[[#This Row],[LIST $]]*DBparts1[[#This Row],[DISCOUNT]]*DBparts1[[#This Row],[DISCOUNT 2]]</f>
        <v>0</v>
      </c>
    </row>
    <row r="743" spans="2:12">
      <c r="B743" s="112"/>
      <c r="C743" s="112"/>
      <c r="D743" s="112"/>
      <c r="F743" s="168" t="s">
        <v>6202</v>
      </c>
      <c r="G743" s="232">
        <f>IF(DBparts1[[#This Row],[Type]]&gt;0,VLOOKUP(DBparts1[[#This Row],[Type]],Main[[#All],[TYPE]:[UNIT]],'Unit Price'!C$1,FALSE),0)</f>
        <v>0</v>
      </c>
      <c r="H743" s="194">
        <f>IF(DBparts1[[#This Row],[Type]]&gt;0,VLOOKUP(DBparts1[[#This Row],[Type]],Main[[#All],[TYPE]:[UNIT]],'Unit Price'!D$1,FALSE),0)</f>
        <v>0</v>
      </c>
      <c r="I743" s="194">
        <f>IF(DBparts1[[#This Row],[Type]]&gt;0,VLOOKUP(DBparts1[[#This Row],[Type]],Main[[#All],[TYPE]:[UNIT]],'Unit Price'!G$1,FALSE),0)</f>
        <v>0</v>
      </c>
      <c r="J743" s="194">
        <f>IF(DBparts1[[#This Row],[Type]]&gt;0,VLOOKUP(DBparts1[[#This Row],[Type]],Main[[#All],[TYPE]:[UNIT]],'Unit Price'!H$1,FALSE),0)</f>
        <v>0</v>
      </c>
      <c r="K743" s="194">
        <f>IF(DBparts1[[#This Row],[Type]]&gt;0,VLOOKUP(DBparts1[[#This Row],[Discount seletion]],'Discount Structure'!$A$2:$B$30,2,"false"),0)</f>
        <v>0</v>
      </c>
      <c r="L743" s="194">
        <f>DBparts1[[#This Row],[LIST $]]*DBparts1[[#This Row],[DISCOUNT]]*DBparts1[[#This Row],[DISCOUNT 2]]</f>
        <v>0</v>
      </c>
    </row>
    <row r="744" spans="2:12">
      <c r="B744" s="112"/>
      <c r="C744" s="112"/>
      <c r="D744" s="112"/>
      <c r="F744" s="168" t="s">
        <v>6202</v>
      </c>
      <c r="G744" s="232">
        <f>IF(DBparts1[[#This Row],[Type]]&gt;0,VLOOKUP(DBparts1[[#This Row],[Type]],Main[[#All],[TYPE]:[UNIT]],'Unit Price'!C$1,FALSE),0)</f>
        <v>0</v>
      </c>
      <c r="H744" s="194">
        <f>IF(DBparts1[[#This Row],[Type]]&gt;0,VLOOKUP(DBparts1[[#This Row],[Type]],Main[[#All],[TYPE]:[UNIT]],'Unit Price'!D$1,FALSE),0)</f>
        <v>0</v>
      </c>
      <c r="I744" s="194">
        <f>IF(DBparts1[[#This Row],[Type]]&gt;0,VLOOKUP(DBparts1[[#This Row],[Type]],Main[[#All],[TYPE]:[UNIT]],'Unit Price'!G$1,FALSE),0)</f>
        <v>0</v>
      </c>
      <c r="J744" s="194">
        <f>IF(DBparts1[[#This Row],[Type]]&gt;0,VLOOKUP(DBparts1[[#This Row],[Type]],Main[[#All],[TYPE]:[UNIT]],'Unit Price'!H$1,FALSE),0)</f>
        <v>0</v>
      </c>
      <c r="K744" s="194">
        <f>IF(DBparts1[[#This Row],[Type]]&gt;0,VLOOKUP(DBparts1[[#This Row],[Discount seletion]],'Discount Structure'!$A$2:$B$30,2,"false"),0)</f>
        <v>0</v>
      </c>
      <c r="L744" s="194">
        <f>DBparts1[[#This Row],[LIST $]]*DBparts1[[#This Row],[DISCOUNT]]*DBparts1[[#This Row],[DISCOUNT 2]]</f>
        <v>0</v>
      </c>
    </row>
    <row r="745" spans="2:12">
      <c r="B745" s="112"/>
      <c r="C745" s="112"/>
      <c r="D745" s="112"/>
      <c r="F745" s="168" t="s">
        <v>6202</v>
      </c>
      <c r="G745" s="232">
        <f>IF(DBparts1[[#This Row],[Type]]&gt;0,VLOOKUP(DBparts1[[#This Row],[Type]],Main[[#All],[TYPE]:[UNIT]],'Unit Price'!C$1,FALSE),0)</f>
        <v>0</v>
      </c>
      <c r="H745" s="194">
        <f>IF(DBparts1[[#This Row],[Type]]&gt;0,VLOOKUP(DBparts1[[#This Row],[Type]],Main[[#All],[TYPE]:[UNIT]],'Unit Price'!D$1,FALSE),0)</f>
        <v>0</v>
      </c>
      <c r="I745" s="194">
        <f>IF(DBparts1[[#This Row],[Type]]&gt;0,VLOOKUP(DBparts1[[#This Row],[Type]],Main[[#All],[TYPE]:[UNIT]],'Unit Price'!G$1,FALSE),0)</f>
        <v>0</v>
      </c>
      <c r="J745" s="194">
        <f>IF(DBparts1[[#This Row],[Type]]&gt;0,VLOOKUP(DBparts1[[#This Row],[Type]],Main[[#All],[TYPE]:[UNIT]],'Unit Price'!H$1,FALSE),0)</f>
        <v>0</v>
      </c>
      <c r="K745" s="194">
        <f>IF(DBparts1[[#This Row],[Type]]&gt;0,VLOOKUP(DBparts1[[#This Row],[Discount seletion]],'Discount Structure'!$A$2:$B$30,2,"false"),0)</f>
        <v>0</v>
      </c>
      <c r="L745" s="194">
        <f>DBparts1[[#This Row],[LIST $]]*DBparts1[[#This Row],[DISCOUNT]]*DBparts1[[#This Row],[DISCOUNT 2]]</f>
        <v>0</v>
      </c>
    </row>
    <row r="746" spans="2:12">
      <c r="B746" s="112"/>
      <c r="C746" s="112"/>
      <c r="D746" s="112"/>
      <c r="F746" s="168" t="s">
        <v>6202</v>
      </c>
      <c r="G746" s="232">
        <f>IF(DBparts1[[#This Row],[Type]]&gt;0,VLOOKUP(DBparts1[[#This Row],[Type]],Main[[#All],[TYPE]:[UNIT]],'Unit Price'!C$1,FALSE),0)</f>
        <v>0</v>
      </c>
      <c r="H746" s="194">
        <f>IF(DBparts1[[#This Row],[Type]]&gt;0,VLOOKUP(DBparts1[[#This Row],[Type]],Main[[#All],[TYPE]:[UNIT]],'Unit Price'!D$1,FALSE),0)</f>
        <v>0</v>
      </c>
      <c r="I746" s="194">
        <f>IF(DBparts1[[#This Row],[Type]]&gt;0,VLOOKUP(DBparts1[[#This Row],[Type]],Main[[#All],[TYPE]:[UNIT]],'Unit Price'!G$1,FALSE),0)</f>
        <v>0</v>
      </c>
      <c r="J746" s="194">
        <f>IF(DBparts1[[#This Row],[Type]]&gt;0,VLOOKUP(DBparts1[[#This Row],[Type]],Main[[#All],[TYPE]:[UNIT]],'Unit Price'!H$1,FALSE),0)</f>
        <v>0</v>
      </c>
      <c r="K746" s="194">
        <f>IF(DBparts1[[#This Row],[Type]]&gt;0,VLOOKUP(DBparts1[[#This Row],[Discount seletion]],'Discount Structure'!$A$2:$B$30,2,"false"),0)</f>
        <v>0</v>
      </c>
      <c r="L746" s="194">
        <f>DBparts1[[#This Row],[LIST $]]*DBparts1[[#This Row],[DISCOUNT]]*DBparts1[[#This Row],[DISCOUNT 2]]</f>
        <v>0</v>
      </c>
    </row>
    <row r="747" spans="2:12">
      <c r="B747" s="112"/>
      <c r="C747" s="112"/>
      <c r="D747" s="112"/>
      <c r="F747" s="168" t="s">
        <v>6202</v>
      </c>
      <c r="G747" s="232">
        <f>IF(DBparts1[[#This Row],[Type]]&gt;0,VLOOKUP(DBparts1[[#This Row],[Type]],Main[[#All],[TYPE]:[UNIT]],'Unit Price'!C$1,FALSE),0)</f>
        <v>0</v>
      </c>
      <c r="H747" s="194">
        <f>IF(DBparts1[[#This Row],[Type]]&gt;0,VLOOKUP(DBparts1[[#This Row],[Type]],Main[[#All],[TYPE]:[UNIT]],'Unit Price'!D$1,FALSE),0)</f>
        <v>0</v>
      </c>
      <c r="I747" s="194">
        <f>IF(DBparts1[[#This Row],[Type]]&gt;0,VLOOKUP(DBparts1[[#This Row],[Type]],Main[[#All],[TYPE]:[UNIT]],'Unit Price'!G$1,FALSE),0)</f>
        <v>0</v>
      </c>
      <c r="J747" s="194">
        <f>IF(DBparts1[[#This Row],[Type]]&gt;0,VLOOKUP(DBparts1[[#This Row],[Type]],Main[[#All],[TYPE]:[UNIT]],'Unit Price'!H$1,FALSE),0)</f>
        <v>0</v>
      </c>
      <c r="K747" s="194">
        <f>IF(DBparts1[[#This Row],[Type]]&gt;0,VLOOKUP(DBparts1[[#This Row],[Discount seletion]],'Discount Structure'!$A$2:$B$30,2,"false"),0)</f>
        <v>0</v>
      </c>
      <c r="L747" s="194">
        <f>DBparts1[[#This Row],[LIST $]]*DBparts1[[#This Row],[DISCOUNT]]*DBparts1[[#This Row],[DISCOUNT 2]]</f>
        <v>0</v>
      </c>
    </row>
    <row r="748" spans="2:12">
      <c r="B748" s="112"/>
      <c r="C748" s="112"/>
      <c r="D748" s="112"/>
      <c r="F748" s="168" t="s">
        <v>6202</v>
      </c>
      <c r="G748" s="232">
        <f>IF(DBparts1[[#This Row],[Type]]&gt;0,VLOOKUP(DBparts1[[#This Row],[Type]],Main[[#All],[TYPE]:[UNIT]],'Unit Price'!C$1,FALSE),0)</f>
        <v>0</v>
      </c>
      <c r="H748" s="194">
        <f>IF(DBparts1[[#This Row],[Type]]&gt;0,VLOOKUP(DBparts1[[#This Row],[Type]],Main[[#All],[TYPE]:[UNIT]],'Unit Price'!D$1,FALSE),0)</f>
        <v>0</v>
      </c>
      <c r="I748" s="194">
        <f>IF(DBparts1[[#This Row],[Type]]&gt;0,VLOOKUP(DBparts1[[#This Row],[Type]],Main[[#All],[TYPE]:[UNIT]],'Unit Price'!G$1,FALSE),0)</f>
        <v>0</v>
      </c>
      <c r="J748" s="194">
        <f>IF(DBparts1[[#This Row],[Type]]&gt;0,VLOOKUP(DBparts1[[#This Row],[Type]],Main[[#All],[TYPE]:[UNIT]],'Unit Price'!H$1,FALSE),0)</f>
        <v>0</v>
      </c>
      <c r="K748" s="194">
        <f>IF(DBparts1[[#This Row],[Type]]&gt;0,VLOOKUP(DBparts1[[#This Row],[Discount seletion]],'Discount Structure'!$A$2:$B$30,2,"false"),0)</f>
        <v>0</v>
      </c>
      <c r="L748" s="194">
        <f>DBparts1[[#This Row],[LIST $]]*DBparts1[[#This Row],[DISCOUNT]]*DBparts1[[#This Row],[DISCOUNT 2]]</f>
        <v>0</v>
      </c>
    </row>
    <row r="749" spans="2:12">
      <c r="B749" s="112"/>
      <c r="C749" s="112"/>
      <c r="D749" s="112"/>
      <c r="F749" s="168" t="s">
        <v>6202</v>
      </c>
      <c r="G749" s="232">
        <f>IF(DBparts1[[#This Row],[Type]]&gt;0,VLOOKUP(DBparts1[[#This Row],[Type]],Main[[#All],[TYPE]:[UNIT]],'Unit Price'!C$1,FALSE),0)</f>
        <v>0</v>
      </c>
      <c r="H749" s="194">
        <f>IF(DBparts1[[#This Row],[Type]]&gt;0,VLOOKUP(DBparts1[[#This Row],[Type]],Main[[#All],[TYPE]:[UNIT]],'Unit Price'!D$1,FALSE),0)</f>
        <v>0</v>
      </c>
      <c r="I749" s="194">
        <f>IF(DBparts1[[#This Row],[Type]]&gt;0,VLOOKUP(DBparts1[[#This Row],[Type]],Main[[#All],[TYPE]:[UNIT]],'Unit Price'!G$1,FALSE),0)</f>
        <v>0</v>
      </c>
      <c r="J749" s="194">
        <f>IF(DBparts1[[#This Row],[Type]]&gt;0,VLOOKUP(DBparts1[[#This Row],[Type]],Main[[#All],[TYPE]:[UNIT]],'Unit Price'!H$1,FALSE),0)</f>
        <v>0</v>
      </c>
      <c r="K749" s="194">
        <f>IF(DBparts1[[#This Row],[Type]]&gt;0,VLOOKUP(DBparts1[[#This Row],[Discount seletion]],'Discount Structure'!$A$2:$B$30,2,"false"),0)</f>
        <v>0</v>
      </c>
      <c r="L749" s="194">
        <f>DBparts1[[#This Row],[LIST $]]*DBparts1[[#This Row],[DISCOUNT]]*DBparts1[[#This Row],[DISCOUNT 2]]</f>
        <v>0</v>
      </c>
    </row>
    <row r="750" spans="2:12">
      <c r="B750" s="112"/>
      <c r="C750" s="112"/>
      <c r="D750" s="112"/>
      <c r="F750" s="168" t="s">
        <v>6202</v>
      </c>
      <c r="G750" s="232">
        <f>IF(DBparts1[[#This Row],[Type]]&gt;0,VLOOKUP(DBparts1[[#This Row],[Type]],Main[[#All],[TYPE]:[UNIT]],'Unit Price'!C$1,FALSE),0)</f>
        <v>0</v>
      </c>
      <c r="H750" s="194">
        <f>IF(DBparts1[[#This Row],[Type]]&gt;0,VLOOKUP(DBparts1[[#This Row],[Type]],Main[[#All],[TYPE]:[UNIT]],'Unit Price'!D$1,FALSE),0)</f>
        <v>0</v>
      </c>
      <c r="I750" s="194">
        <f>IF(DBparts1[[#This Row],[Type]]&gt;0,VLOOKUP(DBparts1[[#This Row],[Type]],Main[[#All],[TYPE]:[UNIT]],'Unit Price'!G$1,FALSE),0)</f>
        <v>0</v>
      </c>
      <c r="J750" s="194">
        <f>IF(DBparts1[[#This Row],[Type]]&gt;0,VLOOKUP(DBparts1[[#This Row],[Type]],Main[[#All],[TYPE]:[UNIT]],'Unit Price'!H$1,FALSE),0)</f>
        <v>0</v>
      </c>
      <c r="K750" s="194">
        <f>IF(DBparts1[[#This Row],[Type]]&gt;0,VLOOKUP(DBparts1[[#This Row],[Discount seletion]],'Discount Structure'!$A$2:$B$30,2,"false"),0)</f>
        <v>0</v>
      </c>
      <c r="L750" s="194">
        <f>DBparts1[[#This Row],[LIST $]]*DBparts1[[#This Row],[DISCOUNT]]*DBparts1[[#This Row],[DISCOUNT 2]]</f>
        <v>0</v>
      </c>
    </row>
    <row r="751" spans="2:12">
      <c r="B751" s="112"/>
      <c r="C751" s="112"/>
      <c r="D751" s="112"/>
      <c r="F751" s="168" t="s">
        <v>6202</v>
      </c>
      <c r="G751" s="232">
        <f>IF(DBparts1[[#This Row],[Type]]&gt;0,VLOOKUP(DBparts1[[#This Row],[Type]],Main[[#All],[TYPE]:[UNIT]],'Unit Price'!C$1,FALSE),0)</f>
        <v>0</v>
      </c>
      <c r="H751" s="194">
        <f>IF(DBparts1[[#This Row],[Type]]&gt;0,VLOOKUP(DBparts1[[#This Row],[Type]],Main[[#All],[TYPE]:[UNIT]],'Unit Price'!D$1,FALSE),0)</f>
        <v>0</v>
      </c>
      <c r="I751" s="194">
        <f>IF(DBparts1[[#This Row],[Type]]&gt;0,VLOOKUP(DBparts1[[#This Row],[Type]],Main[[#All],[TYPE]:[UNIT]],'Unit Price'!G$1,FALSE),0)</f>
        <v>0</v>
      </c>
      <c r="J751" s="194">
        <f>IF(DBparts1[[#This Row],[Type]]&gt;0,VLOOKUP(DBparts1[[#This Row],[Type]],Main[[#All],[TYPE]:[UNIT]],'Unit Price'!H$1,FALSE),0)</f>
        <v>0</v>
      </c>
      <c r="K751" s="194">
        <f>IF(DBparts1[[#This Row],[Type]]&gt;0,VLOOKUP(DBparts1[[#This Row],[Discount seletion]],'Discount Structure'!$A$2:$B$30,2,"false"),0)</f>
        <v>0</v>
      </c>
      <c r="L751" s="194">
        <f>DBparts1[[#This Row],[LIST $]]*DBparts1[[#This Row],[DISCOUNT]]*DBparts1[[#This Row],[DISCOUNT 2]]</f>
        <v>0</v>
      </c>
    </row>
    <row r="752" spans="2:12">
      <c r="B752" s="112"/>
      <c r="C752" s="112"/>
      <c r="D752" s="112"/>
      <c r="F752" s="168" t="s">
        <v>6202</v>
      </c>
      <c r="G752" s="232">
        <f>IF(DBparts1[[#This Row],[Type]]&gt;0,VLOOKUP(DBparts1[[#This Row],[Type]],Main[[#All],[TYPE]:[UNIT]],'Unit Price'!C$1,FALSE),0)</f>
        <v>0</v>
      </c>
      <c r="H752" s="194">
        <f>IF(DBparts1[[#This Row],[Type]]&gt;0,VLOOKUP(DBparts1[[#This Row],[Type]],Main[[#All],[TYPE]:[UNIT]],'Unit Price'!D$1,FALSE),0)</f>
        <v>0</v>
      </c>
      <c r="I752" s="194">
        <f>IF(DBparts1[[#This Row],[Type]]&gt;0,VLOOKUP(DBparts1[[#This Row],[Type]],Main[[#All],[TYPE]:[UNIT]],'Unit Price'!G$1,FALSE),0)</f>
        <v>0</v>
      </c>
      <c r="J752" s="194">
        <f>IF(DBparts1[[#This Row],[Type]]&gt;0,VLOOKUP(DBparts1[[#This Row],[Type]],Main[[#All],[TYPE]:[UNIT]],'Unit Price'!H$1,FALSE),0)</f>
        <v>0</v>
      </c>
      <c r="K752" s="194">
        <f>IF(DBparts1[[#This Row],[Type]]&gt;0,VLOOKUP(DBparts1[[#This Row],[Discount seletion]],'Discount Structure'!$A$2:$B$30,2,"false"),0)</f>
        <v>0</v>
      </c>
      <c r="L752" s="194">
        <f>DBparts1[[#This Row],[LIST $]]*DBparts1[[#This Row],[DISCOUNT]]*DBparts1[[#This Row],[DISCOUNT 2]]</f>
        <v>0</v>
      </c>
    </row>
    <row r="753" spans="2:12">
      <c r="B753" s="112"/>
      <c r="C753" s="112"/>
      <c r="D753" s="112"/>
      <c r="F753" s="168" t="s">
        <v>6202</v>
      </c>
      <c r="G753" s="232">
        <f>IF(DBparts1[[#This Row],[Type]]&gt;0,VLOOKUP(DBparts1[[#This Row],[Type]],Main[[#All],[TYPE]:[UNIT]],'Unit Price'!C$1,FALSE),0)</f>
        <v>0</v>
      </c>
      <c r="H753" s="194">
        <f>IF(DBparts1[[#This Row],[Type]]&gt;0,VLOOKUP(DBparts1[[#This Row],[Type]],Main[[#All],[TYPE]:[UNIT]],'Unit Price'!D$1,FALSE),0)</f>
        <v>0</v>
      </c>
      <c r="I753" s="194">
        <f>IF(DBparts1[[#This Row],[Type]]&gt;0,VLOOKUP(DBparts1[[#This Row],[Type]],Main[[#All],[TYPE]:[UNIT]],'Unit Price'!G$1,FALSE),0)</f>
        <v>0</v>
      </c>
      <c r="J753" s="194">
        <f>IF(DBparts1[[#This Row],[Type]]&gt;0,VLOOKUP(DBparts1[[#This Row],[Type]],Main[[#All],[TYPE]:[UNIT]],'Unit Price'!H$1,FALSE),0)</f>
        <v>0</v>
      </c>
      <c r="K753" s="194">
        <f>IF(DBparts1[[#This Row],[Type]]&gt;0,VLOOKUP(DBparts1[[#This Row],[Discount seletion]],'Discount Structure'!$A$2:$B$30,2,"false"),0)</f>
        <v>0</v>
      </c>
      <c r="L753" s="194">
        <f>DBparts1[[#This Row],[LIST $]]*DBparts1[[#This Row],[DISCOUNT]]*DBparts1[[#This Row],[DISCOUNT 2]]</f>
        <v>0</v>
      </c>
    </row>
    <row r="754" spans="2:12">
      <c r="B754" s="112"/>
      <c r="C754" s="112"/>
      <c r="D754" s="112"/>
      <c r="F754" s="168" t="s">
        <v>6202</v>
      </c>
      <c r="G754" s="232">
        <f>IF(DBparts1[[#This Row],[Type]]&gt;0,VLOOKUP(DBparts1[[#This Row],[Type]],Main[[#All],[TYPE]:[UNIT]],'Unit Price'!C$1,FALSE),0)</f>
        <v>0</v>
      </c>
      <c r="H754" s="194">
        <f>IF(DBparts1[[#This Row],[Type]]&gt;0,VLOOKUP(DBparts1[[#This Row],[Type]],Main[[#All],[TYPE]:[UNIT]],'Unit Price'!D$1,FALSE),0)</f>
        <v>0</v>
      </c>
      <c r="I754" s="194">
        <f>IF(DBparts1[[#This Row],[Type]]&gt;0,VLOOKUP(DBparts1[[#This Row],[Type]],Main[[#All],[TYPE]:[UNIT]],'Unit Price'!G$1,FALSE),0)</f>
        <v>0</v>
      </c>
      <c r="J754" s="194">
        <f>IF(DBparts1[[#This Row],[Type]]&gt;0,VLOOKUP(DBparts1[[#This Row],[Type]],Main[[#All],[TYPE]:[UNIT]],'Unit Price'!H$1,FALSE),0)</f>
        <v>0</v>
      </c>
      <c r="K754" s="194">
        <f>IF(DBparts1[[#This Row],[Type]]&gt;0,VLOOKUP(DBparts1[[#This Row],[Discount seletion]],'Discount Structure'!$A$2:$B$30,2,"false"),0)</f>
        <v>0</v>
      </c>
      <c r="L754" s="194">
        <f>DBparts1[[#This Row],[LIST $]]*DBparts1[[#This Row],[DISCOUNT]]*DBparts1[[#This Row],[DISCOUNT 2]]</f>
        <v>0</v>
      </c>
    </row>
    <row r="755" spans="2:12">
      <c r="B755" s="112"/>
      <c r="C755" s="112"/>
      <c r="D755" s="112"/>
      <c r="F755" s="168" t="s">
        <v>6202</v>
      </c>
      <c r="G755" s="232">
        <f>IF(DBparts1[[#This Row],[Type]]&gt;0,VLOOKUP(DBparts1[[#This Row],[Type]],Main[[#All],[TYPE]:[UNIT]],'Unit Price'!C$1,FALSE),0)</f>
        <v>0</v>
      </c>
      <c r="H755" s="194">
        <f>IF(DBparts1[[#This Row],[Type]]&gt;0,VLOOKUP(DBparts1[[#This Row],[Type]],Main[[#All],[TYPE]:[UNIT]],'Unit Price'!D$1,FALSE),0)</f>
        <v>0</v>
      </c>
      <c r="I755" s="194">
        <f>IF(DBparts1[[#This Row],[Type]]&gt;0,VLOOKUP(DBparts1[[#This Row],[Type]],Main[[#All],[TYPE]:[UNIT]],'Unit Price'!G$1,FALSE),0)</f>
        <v>0</v>
      </c>
      <c r="J755" s="194">
        <f>IF(DBparts1[[#This Row],[Type]]&gt;0,VLOOKUP(DBparts1[[#This Row],[Type]],Main[[#All],[TYPE]:[UNIT]],'Unit Price'!H$1,FALSE),0)</f>
        <v>0</v>
      </c>
      <c r="K755" s="194">
        <f>IF(DBparts1[[#This Row],[Type]]&gt;0,VLOOKUP(DBparts1[[#This Row],[Discount seletion]],'Discount Structure'!$A$2:$B$30,2,"false"),0)</f>
        <v>0</v>
      </c>
      <c r="L755" s="194">
        <f>DBparts1[[#This Row],[LIST $]]*DBparts1[[#This Row],[DISCOUNT]]*DBparts1[[#This Row],[DISCOUNT 2]]</f>
        <v>0</v>
      </c>
    </row>
    <row r="756" spans="2:12">
      <c r="B756" s="112"/>
      <c r="C756" s="112"/>
      <c r="D756" s="112"/>
      <c r="F756" s="168" t="s">
        <v>6202</v>
      </c>
      <c r="G756" s="232">
        <f>IF(DBparts1[[#This Row],[Type]]&gt;0,VLOOKUP(DBparts1[[#This Row],[Type]],Main[[#All],[TYPE]:[UNIT]],'Unit Price'!C$1,FALSE),0)</f>
        <v>0</v>
      </c>
      <c r="H756" s="194">
        <f>IF(DBparts1[[#This Row],[Type]]&gt;0,VLOOKUP(DBparts1[[#This Row],[Type]],Main[[#All],[TYPE]:[UNIT]],'Unit Price'!D$1,FALSE),0)</f>
        <v>0</v>
      </c>
      <c r="I756" s="194">
        <f>IF(DBparts1[[#This Row],[Type]]&gt;0,VLOOKUP(DBparts1[[#This Row],[Type]],Main[[#All],[TYPE]:[UNIT]],'Unit Price'!G$1,FALSE),0)</f>
        <v>0</v>
      </c>
      <c r="J756" s="194">
        <f>IF(DBparts1[[#This Row],[Type]]&gt;0,VLOOKUP(DBparts1[[#This Row],[Type]],Main[[#All],[TYPE]:[UNIT]],'Unit Price'!H$1,FALSE),0)</f>
        <v>0</v>
      </c>
      <c r="K756" s="194">
        <f>IF(DBparts1[[#This Row],[Type]]&gt;0,VLOOKUP(DBparts1[[#This Row],[Discount seletion]],'Discount Structure'!$A$2:$B$30,2,"false"),0)</f>
        <v>0</v>
      </c>
      <c r="L756" s="194">
        <f>DBparts1[[#This Row],[LIST $]]*DBparts1[[#This Row],[DISCOUNT]]*DBparts1[[#This Row],[DISCOUNT 2]]</f>
        <v>0</v>
      </c>
    </row>
    <row r="757" spans="2:12">
      <c r="B757" s="112"/>
      <c r="C757" s="112"/>
      <c r="D757" s="112"/>
      <c r="F757" s="168" t="s">
        <v>6202</v>
      </c>
      <c r="G757" s="232">
        <f>IF(DBparts1[[#This Row],[Type]]&gt;0,VLOOKUP(DBparts1[[#This Row],[Type]],Main[[#All],[TYPE]:[UNIT]],'Unit Price'!C$1,FALSE),0)</f>
        <v>0</v>
      </c>
      <c r="H757" s="194">
        <f>IF(DBparts1[[#This Row],[Type]]&gt;0,VLOOKUP(DBparts1[[#This Row],[Type]],Main[[#All],[TYPE]:[UNIT]],'Unit Price'!D$1,FALSE),0)</f>
        <v>0</v>
      </c>
      <c r="I757" s="194">
        <f>IF(DBparts1[[#This Row],[Type]]&gt;0,VLOOKUP(DBparts1[[#This Row],[Type]],Main[[#All],[TYPE]:[UNIT]],'Unit Price'!G$1,FALSE),0)</f>
        <v>0</v>
      </c>
      <c r="J757" s="194">
        <f>IF(DBparts1[[#This Row],[Type]]&gt;0,VLOOKUP(DBparts1[[#This Row],[Type]],Main[[#All],[TYPE]:[UNIT]],'Unit Price'!H$1,FALSE),0)</f>
        <v>0</v>
      </c>
      <c r="K757" s="194">
        <f>IF(DBparts1[[#This Row],[Type]]&gt;0,VLOOKUP(DBparts1[[#This Row],[Discount seletion]],'Discount Structure'!$A$2:$B$30,2,"false"),0)</f>
        <v>0</v>
      </c>
      <c r="L757" s="194">
        <f>DBparts1[[#This Row],[LIST $]]*DBparts1[[#This Row],[DISCOUNT]]*DBparts1[[#This Row],[DISCOUNT 2]]</f>
        <v>0</v>
      </c>
    </row>
    <row r="758" spans="2:12">
      <c r="B758" s="112"/>
      <c r="C758" s="112"/>
      <c r="D758" s="112"/>
      <c r="F758" s="168" t="s">
        <v>6202</v>
      </c>
      <c r="G758" s="232">
        <f>IF(DBparts1[[#This Row],[Type]]&gt;0,VLOOKUP(DBparts1[[#This Row],[Type]],Main[[#All],[TYPE]:[UNIT]],'Unit Price'!C$1,FALSE),0)</f>
        <v>0</v>
      </c>
      <c r="H758" s="194">
        <f>IF(DBparts1[[#This Row],[Type]]&gt;0,VLOOKUP(DBparts1[[#This Row],[Type]],Main[[#All],[TYPE]:[UNIT]],'Unit Price'!D$1,FALSE),0)</f>
        <v>0</v>
      </c>
      <c r="I758" s="194">
        <f>IF(DBparts1[[#This Row],[Type]]&gt;0,VLOOKUP(DBparts1[[#This Row],[Type]],Main[[#All],[TYPE]:[UNIT]],'Unit Price'!G$1,FALSE),0)</f>
        <v>0</v>
      </c>
      <c r="J758" s="194">
        <f>IF(DBparts1[[#This Row],[Type]]&gt;0,VLOOKUP(DBparts1[[#This Row],[Type]],Main[[#All],[TYPE]:[UNIT]],'Unit Price'!H$1,FALSE),0)</f>
        <v>0</v>
      </c>
      <c r="K758" s="194">
        <f>IF(DBparts1[[#This Row],[Type]]&gt;0,VLOOKUP(DBparts1[[#This Row],[Discount seletion]],'Discount Structure'!$A$2:$B$30,2,"false"),0)</f>
        <v>0</v>
      </c>
      <c r="L758" s="194">
        <f>DBparts1[[#This Row],[LIST $]]*DBparts1[[#This Row],[DISCOUNT]]*DBparts1[[#This Row],[DISCOUNT 2]]</f>
        <v>0</v>
      </c>
    </row>
    <row r="759" spans="2:12">
      <c r="B759" s="112"/>
      <c r="C759" s="112"/>
      <c r="D759" s="112"/>
      <c r="F759" s="168" t="s">
        <v>6202</v>
      </c>
      <c r="G759" s="232">
        <f>IF(DBparts1[[#This Row],[Type]]&gt;0,VLOOKUP(DBparts1[[#This Row],[Type]],Main[[#All],[TYPE]:[UNIT]],'Unit Price'!C$1,FALSE),0)</f>
        <v>0</v>
      </c>
      <c r="H759" s="194">
        <f>IF(DBparts1[[#This Row],[Type]]&gt;0,VLOOKUP(DBparts1[[#This Row],[Type]],Main[[#All],[TYPE]:[UNIT]],'Unit Price'!D$1,FALSE),0)</f>
        <v>0</v>
      </c>
      <c r="I759" s="194">
        <f>IF(DBparts1[[#This Row],[Type]]&gt;0,VLOOKUP(DBparts1[[#This Row],[Type]],Main[[#All],[TYPE]:[UNIT]],'Unit Price'!G$1,FALSE),0)</f>
        <v>0</v>
      </c>
      <c r="J759" s="194">
        <f>IF(DBparts1[[#This Row],[Type]]&gt;0,VLOOKUP(DBparts1[[#This Row],[Type]],Main[[#All],[TYPE]:[UNIT]],'Unit Price'!H$1,FALSE),0)</f>
        <v>0</v>
      </c>
      <c r="K759" s="194">
        <f>IF(DBparts1[[#This Row],[Type]]&gt;0,VLOOKUP(DBparts1[[#This Row],[Discount seletion]],'Discount Structure'!$A$2:$B$30,2,"false"),0)</f>
        <v>0</v>
      </c>
      <c r="L759" s="194">
        <f>DBparts1[[#This Row],[LIST $]]*DBparts1[[#This Row],[DISCOUNT]]*DBparts1[[#This Row],[DISCOUNT 2]]</f>
        <v>0</v>
      </c>
    </row>
    <row r="760" spans="2:12">
      <c r="B760" s="112"/>
      <c r="C760" s="112"/>
      <c r="D760" s="112"/>
      <c r="F760" s="168" t="s">
        <v>6202</v>
      </c>
      <c r="G760" s="232">
        <f>IF(DBparts1[[#This Row],[Type]]&gt;0,VLOOKUP(DBparts1[[#This Row],[Type]],Main[[#All],[TYPE]:[UNIT]],'Unit Price'!C$1,FALSE),0)</f>
        <v>0</v>
      </c>
      <c r="H760" s="194">
        <f>IF(DBparts1[[#This Row],[Type]]&gt;0,VLOOKUP(DBparts1[[#This Row],[Type]],Main[[#All],[TYPE]:[UNIT]],'Unit Price'!D$1,FALSE),0)</f>
        <v>0</v>
      </c>
      <c r="I760" s="194">
        <f>IF(DBparts1[[#This Row],[Type]]&gt;0,VLOOKUP(DBparts1[[#This Row],[Type]],Main[[#All],[TYPE]:[UNIT]],'Unit Price'!G$1,FALSE),0)</f>
        <v>0</v>
      </c>
      <c r="J760" s="194">
        <f>IF(DBparts1[[#This Row],[Type]]&gt;0,VLOOKUP(DBparts1[[#This Row],[Type]],Main[[#All],[TYPE]:[UNIT]],'Unit Price'!H$1,FALSE),0)</f>
        <v>0</v>
      </c>
      <c r="K760" s="194">
        <f>IF(DBparts1[[#This Row],[Type]]&gt;0,VLOOKUP(DBparts1[[#This Row],[Discount seletion]],'Discount Structure'!$A$2:$B$30,2,"false"),0)</f>
        <v>0</v>
      </c>
      <c r="L760" s="194">
        <f>DBparts1[[#This Row],[LIST $]]*DBparts1[[#This Row],[DISCOUNT]]*DBparts1[[#This Row],[DISCOUNT 2]]</f>
        <v>0</v>
      </c>
    </row>
    <row r="761" spans="2:12">
      <c r="B761" s="112"/>
      <c r="C761" s="112"/>
      <c r="D761" s="112"/>
      <c r="F761" s="168" t="s">
        <v>6202</v>
      </c>
      <c r="G761" s="232">
        <f>IF(DBparts1[[#This Row],[Type]]&gt;0,VLOOKUP(DBparts1[[#This Row],[Type]],Main[[#All],[TYPE]:[UNIT]],'Unit Price'!C$1,FALSE),0)</f>
        <v>0</v>
      </c>
      <c r="H761" s="194">
        <f>IF(DBparts1[[#This Row],[Type]]&gt;0,VLOOKUP(DBparts1[[#This Row],[Type]],Main[[#All],[TYPE]:[UNIT]],'Unit Price'!D$1,FALSE),0)</f>
        <v>0</v>
      </c>
      <c r="I761" s="194">
        <f>IF(DBparts1[[#This Row],[Type]]&gt;0,VLOOKUP(DBparts1[[#This Row],[Type]],Main[[#All],[TYPE]:[UNIT]],'Unit Price'!G$1,FALSE),0)</f>
        <v>0</v>
      </c>
      <c r="J761" s="194">
        <f>IF(DBparts1[[#This Row],[Type]]&gt;0,VLOOKUP(DBparts1[[#This Row],[Type]],Main[[#All],[TYPE]:[UNIT]],'Unit Price'!H$1,FALSE),0)</f>
        <v>0</v>
      </c>
      <c r="K761" s="194">
        <f>IF(DBparts1[[#This Row],[Type]]&gt;0,VLOOKUP(DBparts1[[#This Row],[Discount seletion]],'Discount Structure'!$A$2:$B$30,2,"false"),0)</f>
        <v>0</v>
      </c>
      <c r="L761" s="194">
        <f>DBparts1[[#This Row],[LIST $]]*DBparts1[[#This Row],[DISCOUNT]]*DBparts1[[#This Row],[DISCOUNT 2]]</f>
        <v>0</v>
      </c>
    </row>
    <row r="762" spans="2:12">
      <c r="B762" s="112"/>
      <c r="C762" s="112"/>
      <c r="D762" s="112"/>
      <c r="F762" s="168" t="s">
        <v>6202</v>
      </c>
      <c r="G762" s="232">
        <f>IF(DBparts1[[#This Row],[Type]]&gt;0,VLOOKUP(DBparts1[[#This Row],[Type]],Main[[#All],[TYPE]:[UNIT]],'Unit Price'!C$1,FALSE),0)</f>
        <v>0</v>
      </c>
      <c r="H762" s="194">
        <f>IF(DBparts1[[#This Row],[Type]]&gt;0,VLOOKUP(DBparts1[[#This Row],[Type]],Main[[#All],[TYPE]:[UNIT]],'Unit Price'!D$1,FALSE),0)</f>
        <v>0</v>
      </c>
      <c r="I762" s="194">
        <f>IF(DBparts1[[#This Row],[Type]]&gt;0,VLOOKUP(DBparts1[[#This Row],[Type]],Main[[#All],[TYPE]:[UNIT]],'Unit Price'!G$1,FALSE),0)</f>
        <v>0</v>
      </c>
      <c r="J762" s="194">
        <f>IF(DBparts1[[#This Row],[Type]]&gt;0,VLOOKUP(DBparts1[[#This Row],[Type]],Main[[#All],[TYPE]:[UNIT]],'Unit Price'!H$1,FALSE),0)</f>
        <v>0</v>
      </c>
      <c r="K762" s="194">
        <f>IF(DBparts1[[#This Row],[Type]]&gt;0,VLOOKUP(DBparts1[[#This Row],[Discount seletion]],'Discount Structure'!$A$2:$B$30,2,"false"),0)</f>
        <v>0</v>
      </c>
      <c r="L762" s="194">
        <f>DBparts1[[#This Row],[LIST $]]*DBparts1[[#This Row],[DISCOUNT]]*DBparts1[[#This Row],[DISCOUNT 2]]</f>
        <v>0</v>
      </c>
    </row>
    <row r="763" spans="2:12">
      <c r="B763" s="112"/>
      <c r="C763" s="112"/>
      <c r="D763" s="112"/>
      <c r="F763" s="168" t="s">
        <v>6202</v>
      </c>
      <c r="G763" s="232">
        <f>IF(DBparts1[[#This Row],[Type]]&gt;0,VLOOKUP(DBparts1[[#This Row],[Type]],Main[[#All],[TYPE]:[UNIT]],'Unit Price'!C$1,FALSE),0)</f>
        <v>0</v>
      </c>
      <c r="H763" s="194">
        <f>IF(DBparts1[[#This Row],[Type]]&gt;0,VLOOKUP(DBparts1[[#This Row],[Type]],Main[[#All],[TYPE]:[UNIT]],'Unit Price'!D$1,FALSE),0)</f>
        <v>0</v>
      </c>
      <c r="I763" s="194">
        <f>IF(DBparts1[[#This Row],[Type]]&gt;0,VLOOKUP(DBparts1[[#This Row],[Type]],Main[[#All],[TYPE]:[UNIT]],'Unit Price'!G$1,FALSE),0)</f>
        <v>0</v>
      </c>
      <c r="J763" s="194">
        <f>IF(DBparts1[[#This Row],[Type]]&gt;0,VLOOKUP(DBparts1[[#This Row],[Type]],Main[[#All],[TYPE]:[UNIT]],'Unit Price'!H$1,FALSE),0)</f>
        <v>0</v>
      </c>
      <c r="K763" s="194">
        <f>IF(DBparts1[[#This Row],[Type]]&gt;0,VLOOKUP(DBparts1[[#This Row],[Discount seletion]],'Discount Structure'!$A$2:$B$30,2,"false"),0)</f>
        <v>0</v>
      </c>
      <c r="L763" s="194">
        <f>DBparts1[[#This Row],[LIST $]]*DBparts1[[#This Row],[DISCOUNT]]*DBparts1[[#This Row],[DISCOUNT 2]]</f>
        <v>0</v>
      </c>
    </row>
    <row r="764" spans="2:12">
      <c r="B764" s="112"/>
      <c r="C764" s="112"/>
      <c r="D764" s="112"/>
      <c r="F764" s="168" t="s">
        <v>6202</v>
      </c>
      <c r="G764" s="232">
        <f>IF(DBparts1[[#This Row],[Type]]&gt;0,VLOOKUP(DBparts1[[#This Row],[Type]],Main[[#All],[TYPE]:[UNIT]],'Unit Price'!C$1,FALSE),0)</f>
        <v>0</v>
      </c>
      <c r="H764" s="194">
        <f>IF(DBparts1[[#This Row],[Type]]&gt;0,VLOOKUP(DBparts1[[#This Row],[Type]],Main[[#All],[TYPE]:[UNIT]],'Unit Price'!D$1,FALSE),0)</f>
        <v>0</v>
      </c>
      <c r="I764" s="194">
        <f>IF(DBparts1[[#This Row],[Type]]&gt;0,VLOOKUP(DBparts1[[#This Row],[Type]],Main[[#All],[TYPE]:[UNIT]],'Unit Price'!G$1,FALSE),0)</f>
        <v>0</v>
      </c>
      <c r="J764" s="194">
        <f>IF(DBparts1[[#This Row],[Type]]&gt;0,VLOOKUP(DBparts1[[#This Row],[Type]],Main[[#All],[TYPE]:[UNIT]],'Unit Price'!H$1,FALSE),0)</f>
        <v>0</v>
      </c>
      <c r="K764" s="194">
        <f>IF(DBparts1[[#This Row],[Type]]&gt;0,VLOOKUP(DBparts1[[#This Row],[Discount seletion]],'Discount Structure'!$A$2:$B$30,2,"false"),0)</f>
        <v>0</v>
      </c>
      <c r="L764" s="194">
        <f>DBparts1[[#This Row],[LIST $]]*DBparts1[[#This Row],[DISCOUNT]]*DBparts1[[#This Row],[DISCOUNT 2]]</f>
        <v>0</v>
      </c>
    </row>
    <row r="765" spans="2:12">
      <c r="B765" s="112"/>
      <c r="C765" s="112"/>
      <c r="D765" s="112"/>
      <c r="F765" s="168" t="s">
        <v>6202</v>
      </c>
      <c r="G765" s="232">
        <f>IF(DBparts1[[#This Row],[Type]]&gt;0,VLOOKUP(DBparts1[[#This Row],[Type]],Main[[#All],[TYPE]:[UNIT]],'Unit Price'!C$1,FALSE),0)</f>
        <v>0</v>
      </c>
      <c r="H765" s="194">
        <f>IF(DBparts1[[#This Row],[Type]]&gt;0,VLOOKUP(DBparts1[[#This Row],[Type]],Main[[#All],[TYPE]:[UNIT]],'Unit Price'!D$1,FALSE),0)</f>
        <v>0</v>
      </c>
      <c r="I765" s="194">
        <f>IF(DBparts1[[#This Row],[Type]]&gt;0,VLOOKUP(DBparts1[[#This Row],[Type]],Main[[#All],[TYPE]:[UNIT]],'Unit Price'!G$1,FALSE),0)</f>
        <v>0</v>
      </c>
      <c r="J765" s="194">
        <f>IF(DBparts1[[#This Row],[Type]]&gt;0,VLOOKUP(DBparts1[[#This Row],[Type]],Main[[#All],[TYPE]:[UNIT]],'Unit Price'!H$1,FALSE),0)</f>
        <v>0</v>
      </c>
      <c r="K765" s="194">
        <f>IF(DBparts1[[#This Row],[Type]]&gt;0,VLOOKUP(DBparts1[[#This Row],[Discount seletion]],'Discount Structure'!$A$2:$B$30,2,"false"),0)</f>
        <v>0</v>
      </c>
      <c r="L765" s="194">
        <f>DBparts1[[#This Row],[LIST $]]*DBparts1[[#This Row],[DISCOUNT]]*DBparts1[[#This Row],[DISCOUNT 2]]</f>
        <v>0</v>
      </c>
    </row>
    <row r="766" spans="2:12">
      <c r="B766" s="112"/>
      <c r="C766" s="112"/>
      <c r="D766" s="112"/>
      <c r="F766" s="168" t="s">
        <v>6202</v>
      </c>
      <c r="G766" s="232">
        <f>IF(DBparts1[[#This Row],[Type]]&gt;0,VLOOKUP(DBparts1[[#This Row],[Type]],Main[[#All],[TYPE]:[UNIT]],'Unit Price'!C$1,FALSE),0)</f>
        <v>0</v>
      </c>
      <c r="H766" s="194">
        <f>IF(DBparts1[[#This Row],[Type]]&gt;0,VLOOKUP(DBparts1[[#This Row],[Type]],Main[[#All],[TYPE]:[UNIT]],'Unit Price'!D$1,FALSE),0)</f>
        <v>0</v>
      </c>
      <c r="I766" s="194">
        <f>IF(DBparts1[[#This Row],[Type]]&gt;0,VLOOKUP(DBparts1[[#This Row],[Type]],Main[[#All],[TYPE]:[UNIT]],'Unit Price'!G$1,FALSE),0)</f>
        <v>0</v>
      </c>
      <c r="J766" s="194">
        <f>IF(DBparts1[[#This Row],[Type]]&gt;0,VLOOKUP(DBparts1[[#This Row],[Type]],Main[[#All],[TYPE]:[UNIT]],'Unit Price'!H$1,FALSE),0)</f>
        <v>0</v>
      </c>
      <c r="K766" s="194">
        <f>IF(DBparts1[[#This Row],[Type]]&gt;0,VLOOKUP(DBparts1[[#This Row],[Discount seletion]],'Discount Structure'!$A$2:$B$30,2,"false"),0)</f>
        <v>0</v>
      </c>
      <c r="L766" s="194">
        <f>DBparts1[[#This Row],[LIST $]]*DBparts1[[#This Row],[DISCOUNT]]*DBparts1[[#This Row],[DISCOUNT 2]]</f>
        <v>0</v>
      </c>
    </row>
    <row r="767" spans="2:12">
      <c r="B767" s="112"/>
      <c r="C767" s="112"/>
      <c r="D767" s="112"/>
      <c r="F767" s="168" t="s">
        <v>6202</v>
      </c>
      <c r="G767" s="232">
        <f>IF(DBparts1[[#This Row],[Type]]&gt;0,VLOOKUP(DBparts1[[#This Row],[Type]],Main[[#All],[TYPE]:[UNIT]],'Unit Price'!C$1,FALSE),0)</f>
        <v>0</v>
      </c>
      <c r="H767" s="194">
        <f>IF(DBparts1[[#This Row],[Type]]&gt;0,VLOOKUP(DBparts1[[#This Row],[Type]],Main[[#All],[TYPE]:[UNIT]],'Unit Price'!D$1,FALSE),0)</f>
        <v>0</v>
      </c>
      <c r="I767" s="194">
        <f>IF(DBparts1[[#This Row],[Type]]&gt;0,VLOOKUP(DBparts1[[#This Row],[Type]],Main[[#All],[TYPE]:[UNIT]],'Unit Price'!G$1,FALSE),0)</f>
        <v>0</v>
      </c>
      <c r="J767" s="194">
        <f>IF(DBparts1[[#This Row],[Type]]&gt;0,VLOOKUP(DBparts1[[#This Row],[Type]],Main[[#All],[TYPE]:[UNIT]],'Unit Price'!H$1,FALSE),0)</f>
        <v>0</v>
      </c>
      <c r="K767" s="194">
        <f>IF(DBparts1[[#This Row],[Type]]&gt;0,VLOOKUP(DBparts1[[#This Row],[Discount seletion]],'Discount Structure'!$A$2:$B$30,2,"false"),0)</f>
        <v>0</v>
      </c>
      <c r="L767" s="194">
        <f>DBparts1[[#This Row],[LIST $]]*DBparts1[[#This Row],[DISCOUNT]]*DBparts1[[#This Row],[DISCOUNT 2]]</f>
        <v>0</v>
      </c>
    </row>
    <row r="768" spans="2:12">
      <c r="B768" s="112"/>
      <c r="C768" s="112"/>
      <c r="D768" s="112"/>
      <c r="F768" s="168" t="s">
        <v>6202</v>
      </c>
      <c r="G768" s="232">
        <f>IF(DBparts1[[#This Row],[Type]]&gt;0,VLOOKUP(DBparts1[[#This Row],[Type]],Main[[#All],[TYPE]:[UNIT]],'Unit Price'!C$1,FALSE),0)</f>
        <v>0</v>
      </c>
      <c r="H768" s="194">
        <f>IF(DBparts1[[#This Row],[Type]]&gt;0,VLOOKUP(DBparts1[[#This Row],[Type]],Main[[#All],[TYPE]:[UNIT]],'Unit Price'!D$1,FALSE),0)</f>
        <v>0</v>
      </c>
      <c r="I768" s="194">
        <f>IF(DBparts1[[#This Row],[Type]]&gt;0,VLOOKUP(DBparts1[[#This Row],[Type]],Main[[#All],[TYPE]:[UNIT]],'Unit Price'!G$1,FALSE),0)</f>
        <v>0</v>
      </c>
      <c r="J768" s="194">
        <f>IF(DBparts1[[#This Row],[Type]]&gt;0,VLOOKUP(DBparts1[[#This Row],[Type]],Main[[#All],[TYPE]:[UNIT]],'Unit Price'!H$1,FALSE),0)</f>
        <v>0</v>
      </c>
      <c r="K768" s="194">
        <f>IF(DBparts1[[#This Row],[Type]]&gt;0,VLOOKUP(DBparts1[[#This Row],[Discount seletion]],'Discount Structure'!$A$2:$B$30,2,"false"),0)</f>
        <v>0</v>
      </c>
      <c r="L768" s="194">
        <f>DBparts1[[#This Row],[LIST $]]*DBparts1[[#This Row],[DISCOUNT]]*DBparts1[[#This Row],[DISCOUNT 2]]</f>
        <v>0</v>
      </c>
    </row>
    <row r="769" spans="2:12">
      <c r="B769" s="112"/>
      <c r="C769" s="112"/>
      <c r="D769" s="112"/>
      <c r="F769" s="168" t="s">
        <v>6202</v>
      </c>
      <c r="G769" s="232">
        <f>IF(DBparts1[[#This Row],[Type]]&gt;0,VLOOKUP(DBparts1[[#This Row],[Type]],Main[[#All],[TYPE]:[UNIT]],'Unit Price'!C$1,FALSE),0)</f>
        <v>0</v>
      </c>
      <c r="H769" s="194">
        <f>IF(DBparts1[[#This Row],[Type]]&gt;0,VLOOKUP(DBparts1[[#This Row],[Type]],Main[[#All],[TYPE]:[UNIT]],'Unit Price'!D$1,FALSE),0)</f>
        <v>0</v>
      </c>
      <c r="I769" s="194">
        <f>IF(DBparts1[[#This Row],[Type]]&gt;0,VLOOKUP(DBparts1[[#This Row],[Type]],Main[[#All],[TYPE]:[UNIT]],'Unit Price'!G$1,FALSE),0)</f>
        <v>0</v>
      </c>
      <c r="J769" s="194">
        <f>IF(DBparts1[[#This Row],[Type]]&gt;0,VLOOKUP(DBparts1[[#This Row],[Type]],Main[[#All],[TYPE]:[UNIT]],'Unit Price'!H$1,FALSE),0)</f>
        <v>0</v>
      </c>
      <c r="K769" s="194">
        <f>IF(DBparts1[[#This Row],[Type]]&gt;0,VLOOKUP(DBparts1[[#This Row],[Discount seletion]],'Discount Structure'!$A$2:$B$30,2,"false"),0)</f>
        <v>0</v>
      </c>
      <c r="L769" s="194">
        <f>DBparts1[[#This Row],[LIST $]]*DBparts1[[#This Row],[DISCOUNT]]*DBparts1[[#This Row],[DISCOUNT 2]]</f>
        <v>0</v>
      </c>
    </row>
    <row r="770" spans="2:12">
      <c r="B770" s="112"/>
      <c r="C770" s="112"/>
      <c r="D770" s="112"/>
      <c r="F770" s="168" t="s">
        <v>6202</v>
      </c>
      <c r="G770" s="232">
        <f>IF(DBparts1[[#This Row],[Type]]&gt;0,VLOOKUP(DBparts1[[#This Row],[Type]],Main[[#All],[TYPE]:[UNIT]],'Unit Price'!C$1,FALSE),0)</f>
        <v>0</v>
      </c>
      <c r="H770" s="194">
        <f>IF(DBparts1[[#This Row],[Type]]&gt;0,VLOOKUP(DBparts1[[#This Row],[Type]],Main[[#All],[TYPE]:[UNIT]],'Unit Price'!D$1,FALSE),0)</f>
        <v>0</v>
      </c>
      <c r="I770" s="194">
        <f>IF(DBparts1[[#This Row],[Type]]&gt;0,VLOOKUP(DBparts1[[#This Row],[Type]],Main[[#All],[TYPE]:[UNIT]],'Unit Price'!G$1,FALSE),0)</f>
        <v>0</v>
      </c>
      <c r="J770" s="194">
        <f>IF(DBparts1[[#This Row],[Type]]&gt;0,VLOOKUP(DBparts1[[#This Row],[Type]],Main[[#All],[TYPE]:[UNIT]],'Unit Price'!H$1,FALSE),0)</f>
        <v>0</v>
      </c>
      <c r="K770" s="194">
        <f>IF(DBparts1[[#This Row],[Type]]&gt;0,VLOOKUP(DBparts1[[#This Row],[Discount seletion]],'Discount Structure'!$A$2:$B$30,2,"false"),0)</f>
        <v>0</v>
      </c>
      <c r="L770" s="194">
        <f>DBparts1[[#This Row],[LIST $]]*DBparts1[[#This Row],[DISCOUNT]]*DBparts1[[#This Row],[DISCOUNT 2]]</f>
        <v>0</v>
      </c>
    </row>
    <row r="771" spans="2:12">
      <c r="B771" s="112"/>
      <c r="C771" s="112"/>
      <c r="D771" s="112"/>
      <c r="F771" s="168" t="s">
        <v>6202</v>
      </c>
      <c r="G771" s="232">
        <f>IF(DBparts1[[#This Row],[Type]]&gt;0,VLOOKUP(DBparts1[[#This Row],[Type]],Main[[#All],[TYPE]:[UNIT]],'Unit Price'!C$1,FALSE),0)</f>
        <v>0</v>
      </c>
      <c r="H771" s="194">
        <f>IF(DBparts1[[#This Row],[Type]]&gt;0,VLOOKUP(DBparts1[[#This Row],[Type]],Main[[#All],[TYPE]:[UNIT]],'Unit Price'!D$1,FALSE),0)</f>
        <v>0</v>
      </c>
      <c r="I771" s="194">
        <f>IF(DBparts1[[#This Row],[Type]]&gt;0,VLOOKUP(DBparts1[[#This Row],[Type]],Main[[#All],[TYPE]:[UNIT]],'Unit Price'!G$1,FALSE),0)</f>
        <v>0</v>
      </c>
      <c r="J771" s="194">
        <f>IF(DBparts1[[#This Row],[Type]]&gt;0,VLOOKUP(DBparts1[[#This Row],[Type]],Main[[#All],[TYPE]:[UNIT]],'Unit Price'!H$1,FALSE),0)</f>
        <v>0</v>
      </c>
      <c r="K771" s="194">
        <f>IF(DBparts1[[#This Row],[Type]]&gt;0,VLOOKUP(DBparts1[[#This Row],[Discount seletion]],'Discount Structure'!$A$2:$B$30,2,"false"),0)</f>
        <v>0</v>
      </c>
      <c r="L771" s="194">
        <f>DBparts1[[#This Row],[LIST $]]*DBparts1[[#This Row],[DISCOUNT]]*DBparts1[[#This Row],[DISCOUNT 2]]</f>
        <v>0</v>
      </c>
    </row>
    <row r="772" spans="2:12">
      <c r="B772" s="112"/>
      <c r="C772" s="112"/>
      <c r="D772" s="112"/>
      <c r="F772" s="168" t="s">
        <v>6202</v>
      </c>
      <c r="G772" s="232">
        <f>IF(DBparts1[[#This Row],[Type]]&gt;0,VLOOKUP(DBparts1[[#This Row],[Type]],Main[[#All],[TYPE]:[UNIT]],'Unit Price'!C$1,FALSE),0)</f>
        <v>0</v>
      </c>
      <c r="H772" s="194">
        <f>IF(DBparts1[[#This Row],[Type]]&gt;0,VLOOKUP(DBparts1[[#This Row],[Type]],Main[[#All],[TYPE]:[UNIT]],'Unit Price'!D$1,FALSE),0)</f>
        <v>0</v>
      </c>
      <c r="I772" s="194">
        <f>IF(DBparts1[[#This Row],[Type]]&gt;0,VLOOKUP(DBparts1[[#This Row],[Type]],Main[[#All],[TYPE]:[UNIT]],'Unit Price'!G$1,FALSE),0)</f>
        <v>0</v>
      </c>
      <c r="J772" s="194">
        <f>IF(DBparts1[[#This Row],[Type]]&gt;0,VLOOKUP(DBparts1[[#This Row],[Type]],Main[[#All],[TYPE]:[UNIT]],'Unit Price'!H$1,FALSE),0)</f>
        <v>0</v>
      </c>
      <c r="K772" s="194">
        <f>IF(DBparts1[[#This Row],[Type]]&gt;0,VLOOKUP(DBparts1[[#This Row],[Discount seletion]],'Discount Structure'!$A$2:$B$30,2,"false"),0)</f>
        <v>0</v>
      </c>
      <c r="L772" s="194">
        <f>DBparts1[[#This Row],[LIST $]]*DBparts1[[#This Row],[DISCOUNT]]*DBparts1[[#This Row],[DISCOUNT 2]]</f>
        <v>0</v>
      </c>
    </row>
    <row r="773" spans="2:12">
      <c r="B773" s="112"/>
      <c r="C773" s="112"/>
      <c r="D773" s="112"/>
      <c r="F773" s="168" t="s">
        <v>6202</v>
      </c>
      <c r="G773" s="232">
        <f>IF(DBparts1[[#This Row],[Type]]&gt;0,VLOOKUP(DBparts1[[#This Row],[Type]],Main[[#All],[TYPE]:[UNIT]],'Unit Price'!C$1,FALSE),0)</f>
        <v>0</v>
      </c>
      <c r="H773" s="194">
        <f>IF(DBparts1[[#This Row],[Type]]&gt;0,VLOOKUP(DBparts1[[#This Row],[Type]],Main[[#All],[TYPE]:[UNIT]],'Unit Price'!D$1,FALSE),0)</f>
        <v>0</v>
      </c>
      <c r="I773" s="194">
        <f>IF(DBparts1[[#This Row],[Type]]&gt;0,VLOOKUP(DBparts1[[#This Row],[Type]],Main[[#All],[TYPE]:[UNIT]],'Unit Price'!G$1,FALSE),0)</f>
        <v>0</v>
      </c>
      <c r="J773" s="194">
        <f>IF(DBparts1[[#This Row],[Type]]&gt;0,VLOOKUP(DBparts1[[#This Row],[Type]],Main[[#All],[TYPE]:[UNIT]],'Unit Price'!H$1,FALSE),0)</f>
        <v>0</v>
      </c>
      <c r="K773" s="194">
        <f>IF(DBparts1[[#This Row],[Type]]&gt;0,VLOOKUP(DBparts1[[#This Row],[Discount seletion]],'Discount Structure'!$A$2:$B$30,2,"false"),0)</f>
        <v>0</v>
      </c>
      <c r="L773" s="194">
        <f>DBparts1[[#This Row],[LIST $]]*DBparts1[[#This Row],[DISCOUNT]]*DBparts1[[#This Row],[DISCOUNT 2]]</f>
        <v>0</v>
      </c>
    </row>
    <row r="774" spans="2:12">
      <c r="B774" s="112"/>
      <c r="C774" s="112"/>
      <c r="D774" s="112"/>
      <c r="F774" s="168" t="s">
        <v>6202</v>
      </c>
      <c r="G774" s="232">
        <f>IF(DBparts1[[#This Row],[Type]]&gt;0,VLOOKUP(DBparts1[[#This Row],[Type]],Main[[#All],[TYPE]:[UNIT]],'Unit Price'!C$1,FALSE),0)</f>
        <v>0</v>
      </c>
      <c r="H774" s="194">
        <f>IF(DBparts1[[#This Row],[Type]]&gt;0,VLOOKUP(DBparts1[[#This Row],[Type]],Main[[#All],[TYPE]:[UNIT]],'Unit Price'!D$1,FALSE),0)</f>
        <v>0</v>
      </c>
      <c r="I774" s="194">
        <f>IF(DBparts1[[#This Row],[Type]]&gt;0,VLOOKUP(DBparts1[[#This Row],[Type]],Main[[#All],[TYPE]:[UNIT]],'Unit Price'!G$1,FALSE),0)</f>
        <v>0</v>
      </c>
      <c r="J774" s="194">
        <f>IF(DBparts1[[#This Row],[Type]]&gt;0,VLOOKUP(DBparts1[[#This Row],[Type]],Main[[#All],[TYPE]:[UNIT]],'Unit Price'!H$1,FALSE),0)</f>
        <v>0</v>
      </c>
      <c r="K774" s="194">
        <f>IF(DBparts1[[#This Row],[Type]]&gt;0,VLOOKUP(DBparts1[[#This Row],[Discount seletion]],'Discount Structure'!$A$2:$B$30,2,"false"),0)</f>
        <v>0</v>
      </c>
      <c r="L774" s="194">
        <f>DBparts1[[#This Row],[LIST $]]*DBparts1[[#This Row],[DISCOUNT]]*DBparts1[[#This Row],[DISCOUNT 2]]</f>
        <v>0</v>
      </c>
    </row>
    <row r="775" spans="2:12">
      <c r="B775" s="112"/>
      <c r="C775" s="112"/>
      <c r="D775" s="112"/>
      <c r="F775" s="168" t="s">
        <v>6202</v>
      </c>
      <c r="G775" s="232">
        <f>IF(DBparts1[[#This Row],[Type]]&gt;0,VLOOKUP(DBparts1[[#This Row],[Type]],Main[[#All],[TYPE]:[UNIT]],'Unit Price'!C$1,FALSE),0)</f>
        <v>0</v>
      </c>
      <c r="H775" s="194">
        <f>IF(DBparts1[[#This Row],[Type]]&gt;0,VLOOKUP(DBparts1[[#This Row],[Type]],Main[[#All],[TYPE]:[UNIT]],'Unit Price'!D$1,FALSE),0)</f>
        <v>0</v>
      </c>
      <c r="I775" s="194">
        <f>IF(DBparts1[[#This Row],[Type]]&gt;0,VLOOKUP(DBparts1[[#This Row],[Type]],Main[[#All],[TYPE]:[UNIT]],'Unit Price'!G$1,FALSE),0)</f>
        <v>0</v>
      </c>
      <c r="J775" s="194">
        <f>IF(DBparts1[[#This Row],[Type]]&gt;0,VLOOKUP(DBparts1[[#This Row],[Type]],Main[[#All],[TYPE]:[UNIT]],'Unit Price'!H$1,FALSE),0)</f>
        <v>0</v>
      </c>
      <c r="K775" s="194">
        <f>IF(DBparts1[[#This Row],[Type]]&gt;0,VLOOKUP(DBparts1[[#This Row],[Discount seletion]],'Discount Structure'!$A$2:$B$30,2,"false"),0)</f>
        <v>0</v>
      </c>
      <c r="L775" s="194">
        <f>DBparts1[[#This Row],[LIST $]]*DBparts1[[#This Row],[DISCOUNT]]*DBparts1[[#This Row],[DISCOUNT 2]]</f>
        <v>0</v>
      </c>
    </row>
    <row r="776" spans="2:12">
      <c r="B776" s="112"/>
      <c r="C776" s="112"/>
      <c r="D776" s="112"/>
      <c r="F776" s="168" t="s">
        <v>6202</v>
      </c>
      <c r="G776" s="232">
        <f>IF(DBparts1[[#This Row],[Type]]&gt;0,VLOOKUP(DBparts1[[#This Row],[Type]],Main[[#All],[TYPE]:[UNIT]],'Unit Price'!C$1,FALSE),0)</f>
        <v>0</v>
      </c>
      <c r="H776" s="194">
        <f>IF(DBparts1[[#This Row],[Type]]&gt;0,VLOOKUP(DBparts1[[#This Row],[Type]],Main[[#All],[TYPE]:[UNIT]],'Unit Price'!D$1,FALSE),0)</f>
        <v>0</v>
      </c>
      <c r="I776" s="194">
        <f>IF(DBparts1[[#This Row],[Type]]&gt;0,VLOOKUP(DBparts1[[#This Row],[Type]],Main[[#All],[TYPE]:[UNIT]],'Unit Price'!G$1,FALSE),0)</f>
        <v>0</v>
      </c>
      <c r="J776" s="194">
        <f>IF(DBparts1[[#This Row],[Type]]&gt;0,VLOOKUP(DBparts1[[#This Row],[Type]],Main[[#All],[TYPE]:[UNIT]],'Unit Price'!H$1,FALSE),0)</f>
        <v>0</v>
      </c>
      <c r="K776" s="194">
        <f>IF(DBparts1[[#This Row],[Type]]&gt;0,VLOOKUP(DBparts1[[#This Row],[Discount seletion]],'Discount Structure'!$A$2:$B$30,2,"false"),0)</f>
        <v>0</v>
      </c>
      <c r="L776" s="194">
        <f>DBparts1[[#This Row],[LIST $]]*DBparts1[[#This Row],[DISCOUNT]]*DBparts1[[#This Row],[DISCOUNT 2]]</f>
        <v>0</v>
      </c>
    </row>
    <row r="777" spans="2:12">
      <c r="B777" s="112"/>
      <c r="C777" s="112"/>
      <c r="D777" s="112"/>
      <c r="F777" s="168" t="s">
        <v>6202</v>
      </c>
      <c r="G777" s="232">
        <f>IF(DBparts1[[#This Row],[Type]]&gt;0,VLOOKUP(DBparts1[[#This Row],[Type]],Main[[#All],[TYPE]:[UNIT]],'Unit Price'!C$1,FALSE),0)</f>
        <v>0</v>
      </c>
      <c r="H777" s="194">
        <f>IF(DBparts1[[#This Row],[Type]]&gt;0,VLOOKUP(DBparts1[[#This Row],[Type]],Main[[#All],[TYPE]:[UNIT]],'Unit Price'!D$1,FALSE),0)</f>
        <v>0</v>
      </c>
      <c r="I777" s="194">
        <f>IF(DBparts1[[#This Row],[Type]]&gt;0,VLOOKUP(DBparts1[[#This Row],[Type]],Main[[#All],[TYPE]:[UNIT]],'Unit Price'!G$1,FALSE),0)</f>
        <v>0</v>
      </c>
      <c r="J777" s="194">
        <f>IF(DBparts1[[#This Row],[Type]]&gt;0,VLOOKUP(DBparts1[[#This Row],[Type]],Main[[#All],[TYPE]:[UNIT]],'Unit Price'!H$1,FALSE),0)</f>
        <v>0</v>
      </c>
      <c r="K777" s="194">
        <f>IF(DBparts1[[#This Row],[Type]]&gt;0,VLOOKUP(DBparts1[[#This Row],[Discount seletion]],'Discount Structure'!$A$2:$B$30,2,"false"),0)</f>
        <v>0</v>
      </c>
      <c r="L777" s="194">
        <f>DBparts1[[#This Row],[LIST $]]*DBparts1[[#This Row],[DISCOUNT]]*DBparts1[[#This Row],[DISCOUNT 2]]</f>
        <v>0</v>
      </c>
    </row>
    <row r="778" spans="2:12">
      <c r="B778" s="112"/>
      <c r="C778" s="112"/>
      <c r="D778" s="112"/>
      <c r="F778" s="168" t="s">
        <v>6202</v>
      </c>
      <c r="G778" s="232">
        <f>IF(DBparts1[[#This Row],[Type]]&gt;0,VLOOKUP(DBparts1[[#This Row],[Type]],Main[[#All],[TYPE]:[UNIT]],'Unit Price'!C$1,FALSE),0)</f>
        <v>0</v>
      </c>
      <c r="H778" s="194">
        <f>IF(DBparts1[[#This Row],[Type]]&gt;0,VLOOKUP(DBparts1[[#This Row],[Type]],Main[[#All],[TYPE]:[UNIT]],'Unit Price'!D$1,FALSE),0)</f>
        <v>0</v>
      </c>
      <c r="I778" s="194">
        <f>IF(DBparts1[[#This Row],[Type]]&gt;0,VLOOKUP(DBparts1[[#This Row],[Type]],Main[[#All],[TYPE]:[UNIT]],'Unit Price'!G$1,FALSE),0)</f>
        <v>0</v>
      </c>
      <c r="J778" s="194">
        <f>IF(DBparts1[[#This Row],[Type]]&gt;0,VLOOKUP(DBparts1[[#This Row],[Type]],Main[[#All],[TYPE]:[UNIT]],'Unit Price'!H$1,FALSE),0)</f>
        <v>0</v>
      </c>
      <c r="K778" s="194">
        <f>IF(DBparts1[[#This Row],[Type]]&gt;0,VLOOKUP(DBparts1[[#This Row],[Discount seletion]],'Discount Structure'!$A$2:$B$30,2,"false"),0)</f>
        <v>0</v>
      </c>
      <c r="L778" s="194">
        <f>DBparts1[[#This Row],[LIST $]]*DBparts1[[#This Row],[DISCOUNT]]*DBparts1[[#This Row],[DISCOUNT 2]]</f>
        <v>0</v>
      </c>
    </row>
    <row r="779" spans="2:12">
      <c r="B779" s="112"/>
      <c r="C779" s="112"/>
      <c r="D779" s="112"/>
      <c r="F779" s="168" t="s">
        <v>6202</v>
      </c>
      <c r="G779" s="232">
        <f>IF(DBparts1[[#This Row],[Type]]&gt;0,VLOOKUP(DBparts1[[#This Row],[Type]],Main[[#All],[TYPE]:[UNIT]],'Unit Price'!C$1,FALSE),0)</f>
        <v>0</v>
      </c>
      <c r="H779" s="194">
        <f>IF(DBparts1[[#This Row],[Type]]&gt;0,VLOOKUP(DBparts1[[#This Row],[Type]],Main[[#All],[TYPE]:[UNIT]],'Unit Price'!D$1,FALSE),0)</f>
        <v>0</v>
      </c>
      <c r="I779" s="194">
        <f>IF(DBparts1[[#This Row],[Type]]&gt;0,VLOOKUP(DBparts1[[#This Row],[Type]],Main[[#All],[TYPE]:[UNIT]],'Unit Price'!G$1,FALSE),0)</f>
        <v>0</v>
      </c>
      <c r="J779" s="194">
        <f>IF(DBparts1[[#This Row],[Type]]&gt;0,VLOOKUP(DBparts1[[#This Row],[Type]],Main[[#All],[TYPE]:[UNIT]],'Unit Price'!H$1,FALSE),0)</f>
        <v>0</v>
      </c>
      <c r="K779" s="194">
        <f>IF(DBparts1[[#This Row],[Type]]&gt;0,VLOOKUP(DBparts1[[#This Row],[Discount seletion]],'Discount Structure'!$A$2:$B$30,2,"false"),0)</f>
        <v>0</v>
      </c>
      <c r="L779" s="194">
        <f>DBparts1[[#This Row],[LIST $]]*DBparts1[[#This Row],[DISCOUNT]]*DBparts1[[#This Row],[DISCOUNT 2]]</f>
        <v>0</v>
      </c>
    </row>
    <row r="780" spans="2:12">
      <c r="B780" s="112"/>
      <c r="C780" s="112"/>
      <c r="D780" s="112"/>
      <c r="F780" s="168" t="s">
        <v>6202</v>
      </c>
      <c r="G780" s="232">
        <f>IF(DBparts1[[#This Row],[Type]]&gt;0,VLOOKUP(DBparts1[[#This Row],[Type]],Main[[#All],[TYPE]:[UNIT]],'Unit Price'!C$1,FALSE),0)</f>
        <v>0</v>
      </c>
      <c r="H780" s="194">
        <f>IF(DBparts1[[#This Row],[Type]]&gt;0,VLOOKUP(DBparts1[[#This Row],[Type]],Main[[#All],[TYPE]:[UNIT]],'Unit Price'!D$1,FALSE),0)</f>
        <v>0</v>
      </c>
      <c r="I780" s="194">
        <f>IF(DBparts1[[#This Row],[Type]]&gt;0,VLOOKUP(DBparts1[[#This Row],[Type]],Main[[#All],[TYPE]:[UNIT]],'Unit Price'!G$1,FALSE),0)</f>
        <v>0</v>
      </c>
      <c r="J780" s="194">
        <f>IF(DBparts1[[#This Row],[Type]]&gt;0,VLOOKUP(DBparts1[[#This Row],[Type]],Main[[#All],[TYPE]:[UNIT]],'Unit Price'!H$1,FALSE),0)</f>
        <v>0</v>
      </c>
      <c r="K780" s="194">
        <f>IF(DBparts1[[#This Row],[Type]]&gt;0,VLOOKUP(DBparts1[[#This Row],[Discount seletion]],'Discount Structure'!$A$2:$B$30,2,"false"),0)</f>
        <v>0</v>
      </c>
      <c r="L780" s="194">
        <f>DBparts1[[#This Row],[LIST $]]*DBparts1[[#This Row],[DISCOUNT]]*DBparts1[[#This Row],[DISCOUNT 2]]</f>
        <v>0</v>
      </c>
    </row>
    <row r="781" spans="2:12">
      <c r="B781" s="112"/>
      <c r="C781" s="112"/>
      <c r="D781" s="112"/>
      <c r="F781" s="168" t="s">
        <v>6202</v>
      </c>
      <c r="G781" s="232">
        <f>IF(DBparts1[[#This Row],[Type]]&gt;0,VLOOKUP(DBparts1[[#This Row],[Type]],Main[[#All],[TYPE]:[UNIT]],'Unit Price'!C$1,FALSE),0)</f>
        <v>0</v>
      </c>
      <c r="H781" s="194">
        <f>IF(DBparts1[[#This Row],[Type]]&gt;0,VLOOKUP(DBparts1[[#This Row],[Type]],Main[[#All],[TYPE]:[UNIT]],'Unit Price'!D$1,FALSE),0)</f>
        <v>0</v>
      </c>
      <c r="I781" s="194">
        <f>IF(DBparts1[[#This Row],[Type]]&gt;0,VLOOKUP(DBparts1[[#This Row],[Type]],Main[[#All],[TYPE]:[UNIT]],'Unit Price'!G$1,FALSE),0)</f>
        <v>0</v>
      </c>
      <c r="J781" s="194">
        <f>IF(DBparts1[[#This Row],[Type]]&gt;0,VLOOKUP(DBparts1[[#This Row],[Type]],Main[[#All],[TYPE]:[UNIT]],'Unit Price'!H$1,FALSE),0)</f>
        <v>0</v>
      </c>
      <c r="K781" s="194">
        <f>IF(DBparts1[[#This Row],[Type]]&gt;0,VLOOKUP(DBparts1[[#This Row],[Discount seletion]],'Discount Structure'!$A$2:$B$30,2,"false"),0)</f>
        <v>0</v>
      </c>
      <c r="L781" s="194">
        <f>DBparts1[[#This Row],[LIST $]]*DBparts1[[#This Row],[DISCOUNT]]*DBparts1[[#This Row],[DISCOUNT 2]]</f>
        <v>0</v>
      </c>
    </row>
    <row r="782" spans="2:12">
      <c r="B782" s="112"/>
      <c r="C782" s="112"/>
      <c r="D782" s="112"/>
      <c r="F782" s="168" t="s">
        <v>6202</v>
      </c>
      <c r="G782" s="232">
        <f>IF(DBparts1[[#This Row],[Type]]&gt;0,VLOOKUP(DBparts1[[#This Row],[Type]],Main[[#All],[TYPE]:[UNIT]],'Unit Price'!C$1,FALSE),0)</f>
        <v>0</v>
      </c>
      <c r="H782" s="194">
        <f>IF(DBparts1[[#This Row],[Type]]&gt;0,VLOOKUP(DBparts1[[#This Row],[Type]],Main[[#All],[TYPE]:[UNIT]],'Unit Price'!D$1,FALSE),0)</f>
        <v>0</v>
      </c>
      <c r="I782" s="194">
        <f>IF(DBparts1[[#This Row],[Type]]&gt;0,VLOOKUP(DBparts1[[#This Row],[Type]],Main[[#All],[TYPE]:[UNIT]],'Unit Price'!G$1,FALSE),0)</f>
        <v>0</v>
      </c>
      <c r="J782" s="194">
        <f>IF(DBparts1[[#This Row],[Type]]&gt;0,VLOOKUP(DBparts1[[#This Row],[Type]],Main[[#All],[TYPE]:[UNIT]],'Unit Price'!H$1,FALSE),0)</f>
        <v>0</v>
      </c>
      <c r="K782" s="194">
        <f>IF(DBparts1[[#This Row],[Type]]&gt;0,VLOOKUP(DBparts1[[#This Row],[Discount seletion]],'Discount Structure'!$A$2:$B$30,2,"false"),0)</f>
        <v>0</v>
      </c>
      <c r="L782" s="194">
        <f>DBparts1[[#This Row],[LIST $]]*DBparts1[[#This Row],[DISCOUNT]]*DBparts1[[#This Row],[DISCOUNT 2]]</f>
        <v>0</v>
      </c>
    </row>
    <row r="783" spans="2:12">
      <c r="B783" s="112"/>
      <c r="C783" s="112"/>
      <c r="D783" s="112"/>
      <c r="F783" s="168" t="s">
        <v>6202</v>
      </c>
      <c r="G783" s="232">
        <f>IF(DBparts1[[#This Row],[Type]]&gt;0,VLOOKUP(DBparts1[[#This Row],[Type]],Main[[#All],[TYPE]:[UNIT]],'Unit Price'!C$1,FALSE),0)</f>
        <v>0</v>
      </c>
      <c r="H783" s="194">
        <f>IF(DBparts1[[#This Row],[Type]]&gt;0,VLOOKUP(DBparts1[[#This Row],[Type]],Main[[#All],[TYPE]:[UNIT]],'Unit Price'!D$1,FALSE),0)</f>
        <v>0</v>
      </c>
      <c r="I783" s="194">
        <f>IF(DBparts1[[#This Row],[Type]]&gt;0,VLOOKUP(DBparts1[[#This Row],[Type]],Main[[#All],[TYPE]:[UNIT]],'Unit Price'!G$1,FALSE),0)</f>
        <v>0</v>
      </c>
      <c r="J783" s="194">
        <f>IF(DBparts1[[#This Row],[Type]]&gt;0,VLOOKUP(DBparts1[[#This Row],[Type]],Main[[#All],[TYPE]:[UNIT]],'Unit Price'!H$1,FALSE),0)</f>
        <v>0</v>
      </c>
      <c r="K783" s="194">
        <f>IF(DBparts1[[#This Row],[Type]]&gt;0,VLOOKUP(DBparts1[[#This Row],[Discount seletion]],'Discount Structure'!$A$2:$B$30,2,"false"),0)</f>
        <v>0</v>
      </c>
      <c r="L783" s="194">
        <f>DBparts1[[#This Row],[LIST $]]*DBparts1[[#This Row],[DISCOUNT]]*DBparts1[[#This Row],[DISCOUNT 2]]</f>
        <v>0</v>
      </c>
    </row>
    <row r="784" spans="2:12">
      <c r="B784" s="112"/>
      <c r="C784" s="112"/>
      <c r="D784" s="112"/>
      <c r="F784" s="168" t="s">
        <v>6202</v>
      </c>
      <c r="G784" s="232">
        <f>IF(DBparts1[[#This Row],[Type]]&gt;0,VLOOKUP(DBparts1[[#This Row],[Type]],Main[[#All],[TYPE]:[UNIT]],'Unit Price'!C$1,FALSE),0)</f>
        <v>0</v>
      </c>
      <c r="H784" s="194">
        <f>IF(DBparts1[[#This Row],[Type]]&gt;0,VLOOKUP(DBparts1[[#This Row],[Type]],Main[[#All],[TYPE]:[UNIT]],'Unit Price'!D$1,FALSE),0)</f>
        <v>0</v>
      </c>
      <c r="I784" s="194">
        <f>IF(DBparts1[[#This Row],[Type]]&gt;0,VLOOKUP(DBparts1[[#This Row],[Type]],Main[[#All],[TYPE]:[UNIT]],'Unit Price'!G$1,FALSE),0)</f>
        <v>0</v>
      </c>
      <c r="J784" s="194">
        <f>IF(DBparts1[[#This Row],[Type]]&gt;0,VLOOKUP(DBparts1[[#This Row],[Type]],Main[[#All],[TYPE]:[UNIT]],'Unit Price'!H$1,FALSE),0)</f>
        <v>0</v>
      </c>
      <c r="K784" s="194">
        <f>IF(DBparts1[[#This Row],[Type]]&gt;0,VLOOKUP(DBparts1[[#This Row],[Discount seletion]],'Discount Structure'!$A$2:$B$30,2,"false"),0)</f>
        <v>0</v>
      </c>
      <c r="L784" s="194">
        <f>DBparts1[[#This Row],[LIST $]]*DBparts1[[#This Row],[DISCOUNT]]*DBparts1[[#This Row],[DISCOUNT 2]]</f>
        <v>0</v>
      </c>
    </row>
    <row r="785" spans="2:12">
      <c r="B785" s="112"/>
      <c r="C785" s="112"/>
      <c r="D785" s="112"/>
      <c r="F785" s="168" t="s">
        <v>6202</v>
      </c>
      <c r="G785" s="232">
        <f>IF(DBparts1[[#This Row],[Type]]&gt;0,VLOOKUP(DBparts1[[#This Row],[Type]],Main[[#All],[TYPE]:[UNIT]],'Unit Price'!C$1,FALSE),0)</f>
        <v>0</v>
      </c>
      <c r="H785" s="194">
        <f>IF(DBparts1[[#This Row],[Type]]&gt;0,VLOOKUP(DBparts1[[#This Row],[Type]],Main[[#All],[TYPE]:[UNIT]],'Unit Price'!D$1,FALSE),0)</f>
        <v>0</v>
      </c>
      <c r="I785" s="194">
        <f>IF(DBparts1[[#This Row],[Type]]&gt;0,VLOOKUP(DBparts1[[#This Row],[Type]],Main[[#All],[TYPE]:[UNIT]],'Unit Price'!G$1,FALSE),0)</f>
        <v>0</v>
      </c>
      <c r="J785" s="194">
        <f>IF(DBparts1[[#This Row],[Type]]&gt;0,VLOOKUP(DBparts1[[#This Row],[Type]],Main[[#All],[TYPE]:[UNIT]],'Unit Price'!H$1,FALSE),0)</f>
        <v>0</v>
      </c>
      <c r="K785" s="194">
        <f>IF(DBparts1[[#This Row],[Type]]&gt;0,VLOOKUP(DBparts1[[#This Row],[Discount seletion]],'Discount Structure'!$A$2:$B$30,2,"false"),0)</f>
        <v>0</v>
      </c>
      <c r="L785" s="194">
        <f>DBparts1[[#This Row],[LIST $]]*DBparts1[[#This Row],[DISCOUNT]]*DBparts1[[#This Row],[DISCOUNT 2]]</f>
        <v>0</v>
      </c>
    </row>
    <row r="786" spans="2:12">
      <c r="B786" s="112"/>
      <c r="C786" s="112"/>
      <c r="D786" s="112"/>
      <c r="F786" s="168" t="s">
        <v>6202</v>
      </c>
      <c r="G786" s="232">
        <f>IF(DBparts1[[#This Row],[Type]]&gt;0,VLOOKUP(DBparts1[[#This Row],[Type]],Main[[#All],[TYPE]:[UNIT]],'Unit Price'!C$1,FALSE),0)</f>
        <v>0</v>
      </c>
      <c r="H786" s="194">
        <f>IF(DBparts1[[#This Row],[Type]]&gt;0,VLOOKUP(DBparts1[[#This Row],[Type]],Main[[#All],[TYPE]:[UNIT]],'Unit Price'!D$1,FALSE),0)</f>
        <v>0</v>
      </c>
      <c r="I786" s="194">
        <f>IF(DBparts1[[#This Row],[Type]]&gt;0,VLOOKUP(DBparts1[[#This Row],[Type]],Main[[#All],[TYPE]:[UNIT]],'Unit Price'!G$1,FALSE),0)</f>
        <v>0</v>
      </c>
      <c r="J786" s="194">
        <f>IF(DBparts1[[#This Row],[Type]]&gt;0,VLOOKUP(DBparts1[[#This Row],[Type]],Main[[#All],[TYPE]:[UNIT]],'Unit Price'!H$1,FALSE),0)</f>
        <v>0</v>
      </c>
      <c r="K786" s="194">
        <f>IF(DBparts1[[#This Row],[Type]]&gt;0,VLOOKUP(DBparts1[[#This Row],[Discount seletion]],'Discount Structure'!$A$2:$B$30,2,"false"),0)</f>
        <v>0</v>
      </c>
      <c r="L786" s="194">
        <f>DBparts1[[#This Row],[LIST $]]*DBparts1[[#This Row],[DISCOUNT]]*DBparts1[[#This Row],[DISCOUNT 2]]</f>
        <v>0</v>
      </c>
    </row>
    <row r="787" spans="2:12">
      <c r="B787" s="112"/>
      <c r="C787" s="112"/>
      <c r="D787" s="112"/>
      <c r="F787" s="168" t="s">
        <v>6202</v>
      </c>
      <c r="G787" s="232">
        <f>IF(DBparts1[[#This Row],[Type]]&gt;0,VLOOKUP(DBparts1[[#This Row],[Type]],Main[[#All],[TYPE]:[UNIT]],'Unit Price'!C$1,FALSE),0)</f>
        <v>0</v>
      </c>
      <c r="H787" s="194">
        <f>IF(DBparts1[[#This Row],[Type]]&gt;0,VLOOKUP(DBparts1[[#This Row],[Type]],Main[[#All],[TYPE]:[UNIT]],'Unit Price'!D$1,FALSE),0)</f>
        <v>0</v>
      </c>
      <c r="I787" s="194">
        <f>IF(DBparts1[[#This Row],[Type]]&gt;0,VLOOKUP(DBparts1[[#This Row],[Type]],Main[[#All],[TYPE]:[UNIT]],'Unit Price'!G$1,FALSE),0)</f>
        <v>0</v>
      </c>
      <c r="J787" s="194">
        <f>IF(DBparts1[[#This Row],[Type]]&gt;0,VLOOKUP(DBparts1[[#This Row],[Type]],Main[[#All],[TYPE]:[UNIT]],'Unit Price'!H$1,FALSE),0)</f>
        <v>0</v>
      </c>
      <c r="K787" s="194">
        <f>IF(DBparts1[[#This Row],[Type]]&gt;0,VLOOKUP(DBparts1[[#This Row],[Discount seletion]],'Discount Structure'!$A$2:$B$30,2,"false"),0)</f>
        <v>0</v>
      </c>
      <c r="L787" s="194">
        <f>DBparts1[[#This Row],[LIST $]]*DBparts1[[#This Row],[DISCOUNT]]*DBparts1[[#This Row],[DISCOUNT 2]]</f>
        <v>0</v>
      </c>
    </row>
    <row r="788" spans="2:12">
      <c r="B788" s="112"/>
      <c r="C788" s="112"/>
      <c r="D788" s="112"/>
      <c r="F788" s="168" t="s">
        <v>6202</v>
      </c>
      <c r="G788" s="232">
        <f>IF(DBparts1[[#This Row],[Type]]&gt;0,VLOOKUP(DBparts1[[#This Row],[Type]],Main[[#All],[TYPE]:[UNIT]],'Unit Price'!C$1,FALSE),0)</f>
        <v>0</v>
      </c>
      <c r="H788" s="194">
        <f>IF(DBparts1[[#This Row],[Type]]&gt;0,VLOOKUP(DBparts1[[#This Row],[Type]],Main[[#All],[TYPE]:[UNIT]],'Unit Price'!D$1,FALSE),0)</f>
        <v>0</v>
      </c>
      <c r="I788" s="194">
        <f>IF(DBparts1[[#This Row],[Type]]&gt;0,VLOOKUP(DBparts1[[#This Row],[Type]],Main[[#All],[TYPE]:[UNIT]],'Unit Price'!G$1,FALSE),0)</f>
        <v>0</v>
      </c>
      <c r="J788" s="194">
        <f>IF(DBparts1[[#This Row],[Type]]&gt;0,VLOOKUP(DBparts1[[#This Row],[Type]],Main[[#All],[TYPE]:[UNIT]],'Unit Price'!H$1,FALSE),0)</f>
        <v>0</v>
      </c>
      <c r="K788" s="194">
        <f>IF(DBparts1[[#This Row],[Type]]&gt;0,VLOOKUP(DBparts1[[#This Row],[Discount seletion]],'Discount Structure'!$A$2:$B$30,2,"false"),0)</f>
        <v>0</v>
      </c>
      <c r="L788" s="194">
        <f>DBparts1[[#This Row],[LIST $]]*DBparts1[[#This Row],[DISCOUNT]]*DBparts1[[#This Row],[DISCOUNT 2]]</f>
        <v>0</v>
      </c>
    </row>
    <row r="789" spans="2:12">
      <c r="B789" s="112"/>
      <c r="C789" s="112"/>
      <c r="D789" s="112"/>
      <c r="F789" s="168" t="s">
        <v>6202</v>
      </c>
      <c r="G789" s="232">
        <f>IF(DBparts1[[#This Row],[Type]]&gt;0,VLOOKUP(DBparts1[[#This Row],[Type]],Main[[#All],[TYPE]:[UNIT]],'Unit Price'!C$1,FALSE),0)</f>
        <v>0</v>
      </c>
      <c r="H789" s="194">
        <f>IF(DBparts1[[#This Row],[Type]]&gt;0,VLOOKUP(DBparts1[[#This Row],[Type]],Main[[#All],[TYPE]:[UNIT]],'Unit Price'!D$1,FALSE),0)</f>
        <v>0</v>
      </c>
      <c r="I789" s="194">
        <f>IF(DBparts1[[#This Row],[Type]]&gt;0,VLOOKUP(DBparts1[[#This Row],[Type]],Main[[#All],[TYPE]:[UNIT]],'Unit Price'!G$1,FALSE),0)</f>
        <v>0</v>
      </c>
      <c r="J789" s="194">
        <f>IF(DBparts1[[#This Row],[Type]]&gt;0,VLOOKUP(DBparts1[[#This Row],[Type]],Main[[#All],[TYPE]:[UNIT]],'Unit Price'!H$1,FALSE),0)</f>
        <v>0</v>
      </c>
      <c r="K789" s="194">
        <f>IF(DBparts1[[#This Row],[Type]]&gt;0,VLOOKUP(DBparts1[[#This Row],[Discount seletion]],'Discount Structure'!$A$2:$B$30,2,"false"),0)</f>
        <v>0</v>
      </c>
      <c r="L789" s="194">
        <f>DBparts1[[#This Row],[LIST $]]*DBparts1[[#This Row],[DISCOUNT]]*DBparts1[[#This Row],[DISCOUNT 2]]</f>
        <v>0</v>
      </c>
    </row>
    <row r="790" spans="2:12">
      <c r="B790" s="112"/>
      <c r="C790" s="112"/>
      <c r="D790" s="112"/>
      <c r="F790" s="168" t="s">
        <v>6202</v>
      </c>
      <c r="G790" s="232">
        <f>IF(DBparts1[[#This Row],[Type]]&gt;0,VLOOKUP(DBparts1[[#This Row],[Type]],Main[[#All],[TYPE]:[UNIT]],'Unit Price'!C$1,FALSE),0)</f>
        <v>0</v>
      </c>
      <c r="H790" s="194">
        <f>IF(DBparts1[[#This Row],[Type]]&gt;0,VLOOKUP(DBparts1[[#This Row],[Type]],Main[[#All],[TYPE]:[UNIT]],'Unit Price'!D$1,FALSE),0)</f>
        <v>0</v>
      </c>
      <c r="I790" s="194">
        <f>IF(DBparts1[[#This Row],[Type]]&gt;0,VLOOKUP(DBparts1[[#This Row],[Type]],Main[[#All],[TYPE]:[UNIT]],'Unit Price'!G$1,FALSE),0)</f>
        <v>0</v>
      </c>
      <c r="J790" s="194">
        <f>IF(DBparts1[[#This Row],[Type]]&gt;0,VLOOKUP(DBparts1[[#This Row],[Type]],Main[[#All],[TYPE]:[UNIT]],'Unit Price'!H$1,FALSE),0)</f>
        <v>0</v>
      </c>
      <c r="K790" s="194">
        <f>IF(DBparts1[[#This Row],[Type]]&gt;0,VLOOKUP(DBparts1[[#This Row],[Discount seletion]],'Discount Structure'!$A$2:$B$30,2,"false"),0)</f>
        <v>0</v>
      </c>
      <c r="L790" s="194">
        <f>DBparts1[[#This Row],[LIST $]]*DBparts1[[#This Row],[DISCOUNT]]*DBparts1[[#This Row],[DISCOUNT 2]]</f>
        <v>0</v>
      </c>
    </row>
    <row r="791" spans="2:12">
      <c r="B791" s="112"/>
      <c r="C791" s="112"/>
      <c r="D791" s="112"/>
      <c r="F791" s="168" t="s">
        <v>6202</v>
      </c>
      <c r="G791" s="232">
        <f>IF(DBparts1[[#This Row],[Type]]&gt;0,VLOOKUP(DBparts1[[#This Row],[Type]],Main[[#All],[TYPE]:[UNIT]],'Unit Price'!C$1,FALSE),0)</f>
        <v>0</v>
      </c>
      <c r="H791" s="194">
        <f>IF(DBparts1[[#This Row],[Type]]&gt;0,VLOOKUP(DBparts1[[#This Row],[Type]],Main[[#All],[TYPE]:[UNIT]],'Unit Price'!D$1,FALSE),0)</f>
        <v>0</v>
      </c>
      <c r="I791" s="194">
        <f>IF(DBparts1[[#This Row],[Type]]&gt;0,VLOOKUP(DBparts1[[#This Row],[Type]],Main[[#All],[TYPE]:[UNIT]],'Unit Price'!G$1,FALSE),0)</f>
        <v>0</v>
      </c>
      <c r="J791" s="194">
        <f>IF(DBparts1[[#This Row],[Type]]&gt;0,VLOOKUP(DBparts1[[#This Row],[Type]],Main[[#All],[TYPE]:[UNIT]],'Unit Price'!H$1,FALSE),0)</f>
        <v>0</v>
      </c>
      <c r="K791" s="194">
        <f>IF(DBparts1[[#This Row],[Type]]&gt;0,VLOOKUP(DBparts1[[#This Row],[Discount seletion]],'Discount Structure'!$A$2:$B$30,2,"false"),0)</f>
        <v>0</v>
      </c>
      <c r="L791" s="194">
        <f>DBparts1[[#This Row],[LIST $]]*DBparts1[[#This Row],[DISCOUNT]]*DBparts1[[#This Row],[DISCOUNT 2]]</f>
        <v>0</v>
      </c>
    </row>
    <row r="792" spans="2:12">
      <c r="B792" s="112"/>
      <c r="C792" s="112"/>
      <c r="D792" s="112"/>
      <c r="F792" s="168" t="s">
        <v>6202</v>
      </c>
      <c r="G792" s="232">
        <f>IF(DBparts1[[#This Row],[Type]]&gt;0,VLOOKUP(DBparts1[[#This Row],[Type]],Main[[#All],[TYPE]:[UNIT]],'Unit Price'!C$1,FALSE),0)</f>
        <v>0</v>
      </c>
      <c r="H792" s="194">
        <f>IF(DBparts1[[#This Row],[Type]]&gt;0,VLOOKUP(DBparts1[[#This Row],[Type]],Main[[#All],[TYPE]:[UNIT]],'Unit Price'!D$1,FALSE),0)</f>
        <v>0</v>
      </c>
      <c r="I792" s="194">
        <f>IF(DBparts1[[#This Row],[Type]]&gt;0,VLOOKUP(DBparts1[[#This Row],[Type]],Main[[#All],[TYPE]:[UNIT]],'Unit Price'!G$1,FALSE),0)</f>
        <v>0</v>
      </c>
      <c r="J792" s="194">
        <f>IF(DBparts1[[#This Row],[Type]]&gt;0,VLOOKUP(DBparts1[[#This Row],[Type]],Main[[#All],[TYPE]:[UNIT]],'Unit Price'!H$1,FALSE),0)</f>
        <v>0</v>
      </c>
      <c r="K792" s="194">
        <f>IF(DBparts1[[#This Row],[Type]]&gt;0,VLOOKUP(DBparts1[[#This Row],[Discount seletion]],'Discount Structure'!$A$2:$B$30,2,"false"),0)</f>
        <v>0</v>
      </c>
      <c r="L792" s="194">
        <f>DBparts1[[#This Row],[LIST $]]*DBparts1[[#This Row],[DISCOUNT]]*DBparts1[[#This Row],[DISCOUNT 2]]</f>
        <v>0</v>
      </c>
    </row>
    <row r="793" spans="2:12">
      <c r="B793" s="112"/>
      <c r="C793" s="112"/>
      <c r="D793" s="112"/>
      <c r="F793" s="168" t="s">
        <v>6202</v>
      </c>
      <c r="G793" s="232">
        <f>IF(DBparts1[[#This Row],[Type]]&gt;0,VLOOKUP(DBparts1[[#This Row],[Type]],Main[[#All],[TYPE]:[UNIT]],'Unit Price'!C$1,FALSE),0)</f>
        <v>0</v>
      </c>
      <c r="H793" s="194">
        <f>IF(DBparts1[[#This Row],[Type]]&gt;0,VLOOKUP(DBparts1[[#This Row],[Type]],Main[[#All],[TYPE]:[UNIT]],'Unit Price'!D$1,FALSE),0)</f>
        <v>0</v>
      </c>
      <c r="I793" s="194">
        <f>IF(DBparts1[[#This Row],[Type]]&gt;0,VLOOKUP(DBparts1[[#This Row],[Type]],Main[[#All],[TYPE]:[UNIT]],'Unit Price'!G$1,FALSE),0)</f>
        <v>0</v>
      </c>
      <c r="J793" s="194">
        <f>IF(DBparts1[[#This Row],[Type]]&gt;0,VLOOKUP(DBparts1[[#This Row],[Type]],Main[[#All],[TYPE]:[UNIT]],'Unit Price'!H$1,FALSE),0)</f>
        <v>0</v>
      </c>
      <c r="K793" s="194">
        <f>IF(DBparts1[[#This Row],[Type]]&gt;0,VLOOKUP(DBparts1[[#This Row],[Discount seletion]],'Discount Structure'!$A$2:$B$30,2,"false"),0)</f>
        <v>0</v>
      </c>
      <c r="L793" s="194">
        <f>DBparts1[[#This Row],[LIST $]]*DBparts1[[#This Row],[DISCOUNT]]*DBparts1[[#This Row],[DISCOUNT 2]]</f>
        <v>0</v>
      </c>
    </row>
    <row r="794" spans="2:12">
      <c r="B794" s="112"/>
      <c r="C794" s="112"/>
      <c r="D794" s="112"/>
      <c r="F794" s="168" t="s">
        <v>6202</v>
      </c>
      <c r="G794" s="232">
        <f>IF(DBparts1[[#This Row],[Type]]&gt;0,VLOOKUP(DBparts1[[#This Row],[Type]],Main[[#All],[TYPE]:[UNIT]],'Unit Price'!C$1,FALSE),0)</f>
        <v>0</v>
      </c>
      <c r="H794" s="194">
        <f>IF(DBparts1[[#This Row],[Type]]&gt;0,VLOOKUP(DBparts1[[#This Row],[Type]],Main[[#All],[TYPE]:[UNIT]],'Unit Price'!D$1,FALSE),0)</f>
        <v>0</v>
      </c>
      <c r="I794" s="194">
        <f>IF(DBparts1[[#This Row],[Type]]&gt;0,VLOOKUP(DBparts1[[#This Row],[Type]],Main[[#All],[TYPE]:[UNIT]],'Unit Price'!G$1,FALSE),0)</f>
        <v>0</v>
      </c>
      <c r="J794" s="194">
        <f>IF(DBparts1[[#This Row],[Type]]&gt;0,VLOOKUP(DBparts1[[#This Row],[Type]],Main[[#All],[TYPE]:[UNIT]],'Unit Price'!H$1,FALSE),0)</f>
        <v>0</v>
      </c>
      <c r="K794" s="194">
        <f>IF(DBparts1[[#This Row],[Type]]&gt;0,VLOOKUP(DBparts1[[#This Row],[Discount seletion]],'Discount Structure'!$A$2:$B$30,2,"false"),0)</f>
        <v>0</v>
      </c>
      <c r="L794" s="194">
        <f>DBparts1[[#This Row],[LIST $]]*DBparts1[[#This Row],[DISCOUNT]]*DBparts1[[#This Row],[DISCOUNT 2]]</f>
        <v>0</v>
      </c>
    </row>
    <row r="795" spans="2:12">
      <c r="B795" s="112"/>
      <c r="C795" s="112"/>
      <c r="D795" s="112"/>
      <c r="F795" s="168" t="s">
        <v>6202</v>
      </c>
      <c r="G795" s="232">
        <f>IF(DBparts1[[#This Row],[Type]]&gt;0,VLOOKUP(DBparts1[[#This Row],[Type]],Main[[#All],[TYPE]:[UNIT]],'Unit Price'!C$1,FALSE),0)</f>
        <v>0</v>
      </c>
      <c r="H795" s="194">
        <f>IF(DBparts1[[#This Row],[Type]]&gt;0,VLOOKUP(DBparts1[[#This Row],[Type]],Main[[#All],[TYPE]:[UNIT]],'Unit Price'!D$1,FALSE),0)</f>
        <v>0</v>
      </c>
      <c r="I795" s="194">
        <f>IF(DBparts1[[#This Row],[Type]]&gt;0,VLOOKUP(DBparts1[[#This Row],[Type]],Main[[#All],[TYPE]:[UNIT]],'Unit Price'!G$1,FALSE),0)</f>
        <v>0</v>
      </c>
      <c r="J795" s="194">
        <f>IF(DBparts1[[#This Row],[Type]]&gt;0,VLOOKUP(DBparts1[[#This Row],[Type]],Main[[#All],[TYPE]:[UNIT]],'Unit Price'!H$1,FALSE),0)</f>
        <v>0</v>
      </c>
      <c r="K795" s="194">
        <f>IF(DBparts1[[#This Row],[Type]]&gt;0,VLOOKUP(DBparts1[[#This Row],[Discount seletion]],'Discount Structure'!$A$2:$B$30,2,"false"),0)</f>
        <v>0</v>
      </c>
      <c r="L795" s="194">
        <f>DBparts1[[#This Row],[LIST $]]*DBparts1[[#This Row],[DISCOUNT]]*DBparts1[[#This Row],[DISCOUNT 2]]</f>
        <v>0</v>
      </c>
    </row>
    <row r="796" spans="2:12">
      <c r="B796" s="112"/>
      <c r="C796" s="112"/>
      <c r="D796" s="112"/>
      <c r="F796" s="168" t="s">
        <v>6202</v>
      </c>
      <c r="G796" s="232">
        <f>IF(DBparts1[[#This Row],[Type]]&gt;0,VLOOKUP(DBparts1[[#This Row],[Type]],Main[[#All],[TYPE]:[UNIT]],'Unit Price'!C$1,FALSE),0)</f>
        <v>0</v>
      </c>
      <c r="H796" s="194">
        <f>IF(DBparts1[[#This Row],[Type]]&gt;0,VLOOKUP(DBparts1[[#This Row],[Type]],Main[[#All],[TYPE]:[UNIT]],'Unit Price'!D$1,FALSE),0)</f>
        <v>0</v>
      </c>
      <c r="I796" s="194">
        <f>IF(DBparts1[[#This Row],[Type]]&gt;0,VLOOKUP(DBparts1[[#This Row],[Type]],Main[[#All],[TYPE]:[UNIT]],'Unit Price'!G$1,FALSE),0)</f>
        <v>0</v>
      </c>
      <c r="J796" s="194">
        <f>IF(DBparts1[[#This Row],[Type]]&gt;0,VLOOKUP(DBparts1[[#This Row],[Type]],Main[[#All],[TYPE]:[UNIT]],'Unit Price'!H$1,FALSE),0)</f>
        <v>0</v>
      </c>
      <c r="K796" s="194">
        <f>IF(DBparts1[[#This Row],[Type]]&gt;0,VLOOKUP(DBparts1[[#This Row],[Discount seletion]],'Discount Structure'!$A$2:$B$30,2,"false"),0)</f>
        <v>0</v>
      </c>
      <c r="L796" s="194">
        <f>DBparts1[[#This Row],[LIST $]]*DBparts1[[#This Row],[DISCOUNT]]*DBparts1[[#This Row],[DISCOUNT 2]]</f>
        <v>0</v>
      </c>
    </row>
    <row r="797" spans="2:12">
      <c r="B797" s="112"/>
      <c r="C797" s="112"/>
      <c r="D797" s="112"/>
      <c r="F797" s="168" t="s">
        <v>6202</v>
      </c>
      <c r="G797" s="232">
        <f>IF(DBparts1[[#This Row],[Type]]&gt;0,VLOOKUP(DBparts1[[#This Row],[Type]],Main[[#All],[TYPE]:[UNIT]],'Unit Price'!C$1,FALSE),0)</f>
        <v>0</v>
      </c>
      <c r="H797" s="194">
        <f>IF(DBparts1[[#This Row],[Type]]&gt;0,VLOOKUP(DBparts1[[#This Row],[Type]],Main[[#All],[TYPE]:[UNIT]],'Unit Price'!D$1,FALSE),0)</f>
        <v>0</v>
      </c>
      <c r="I797" s="194">
        <f>IF(DBparts1[[#This Row],[Type]]&gt;0,VLOOKUP(DBparts1[[#This Row],[Type]],Main[[#All],[TYPE]:[UNIT]],'Unit Price'!G$1,FALSE),0)</f>
        <v>0</v>
      </c>
      <c r="J797" s="194">
        <f>IF(DBparts1[[#This Row],[Type]]&gt;0,VLOOKUP(DBparts1[[#This Row],[Type]],Main[[#All],[TYPE]:[UNIT]],'Unit Price'!H$1,FALSE),0)</f>
        <v>0</v>
      </c>
      <c r="K797" s="194">
        <f>IF(DBparts1[[#This Row],[Type]]&gt;0,VLOOKUP(DBparts1[[#This Row],[Discount seletion]],'Discount Structure'!$A$2:$B$30,2,"false"),0)</f>
        <v>0</v>
      </c>
      <c r="L797" s="194">
        <f>DBparts1[[#This Row],[LIST $]]*DBparts1[[#This Row],[DISCOUNT]]*DBparts1[[#This Row],[DISCOUNT 2]]</f>
        <v>0</v>
      </c>
    </row>
    <row r="798" spans="2:12">
      <c r="B798" s="112"/>
      <c r="C798" s="112"/>
      <c r="D798" s="112"/>
      <c r="F798" s="168" t="s">
        <v>6202</v>
      </c>
      <c r="G798" s="232">
        <f>IF(DBparts1[[#This Row],[Type]]&gt;0,VLOOKUP(DBparts1[[#This Row],[Type]],Main[[#All],[TYPE]:[UNIT]],'Unit Price'!C$1,FALSE),0)</f>
        <v>0</v>
      </c>
      <c r="H798" s="194">
        <f>IF(DBparts1[[#This Row],[Type]]&gt;0,VLOOKUP(DBparts1[[#This Row],[Type]],Main[[#All],[TYPE]:[UNIT]],'Unit Price'!D$1,FALSE),0)</f>
        <v>0</v>
      </c>
      <c r="I798" s="194">
        <f>IF(DBparts1[[#This Row],[Type]]&gt;0,VLOOKUP(DBparts1[[#This Row],[Type]],Main[[#All],[TYPE]:[UNIT]],'Unit Price'!G$1,FALSE),0)</f>
        <v>0</v>
      </c>
      <c r="J798" s="194">
        <f>IF(DBparts1[[#This Row],[Type]]&gt;0,VLOOKUP(DBparts1[[#This Row],[Type]],Main[[#All],[TYPE]:[UNIT]],'Unit Price'!H$1,FALSE),0)</f>
        <v>0</v>
      </c>
      <c r="K798" s="194">
        <f>IF(DBparts1[[#This Row],[Type]]&gt;0,VLOOKUP(DBparts1[[#This Row],[Discount seletion]],'Discount Structure'!$A$2:$B$30,2,"false"),0)</f>
        <v>0</v>
      </c>
      <c r="L798" s="194">
        <f>DBparts1[[#This Row],[LIST $]]*DBparts1[[#This Row],[DISCOUNT]]*DBparts1[[#This Row],[DISCOUNT 2]]</f>
        <v>0</v>
      </c>
    </row>
    <row r="799" spans="2:12">
      <c r="B799" s="112"/>
      <c r="C799" s="112"/>
      <c r="D799" s="112"/>
      <c r="F799" s="168" t="s">
        <v>6202</v>
      </c>
      <c r="G799" s="232">
        <f>IF(DBparts1[[#This Row],[Type]]&gt;0,VLOOKUP(DBparts1[[#This Row],[Type]],Main[[#All],[TYPE]:[UNIT]],'Unit Price'!C$1,FALSE),0)</f>
        <v>0</v>
      </c>
      <c r="H799" s="194">
        <f>IF(DBparts1[[#This Row],[Type]]&gt;0,VLOOKUP(DBparts1[[#This Row],[Type]],Main[[#All],[TYPE]:[UNIT]],'Unit Price'!D$1,FALSE),0)</f>
        <v>0</v>
      </c>
      <c r="I799" s="194">
        <f>IF(DBparts1[[#This Row],[Type]]&gt;0,VLOOKUP(DBparts1[[#This Row],[Type]],Main[[#All],[TYPE]:[UNIT]],'Unit Price'!G$1,FALSE),0)</f>
        <v>0</v>
      </c>
      <c r="J799" s="194">
        <f>IF(DBparts1[[#This Row],[Type]]&gt;0,VLOOKUP(DBparts1[[#This Row],[Type]],Main[[#All],[TYPE]:[UNIT]],'Unit Price'!H$1,FALSE),0)</f>
        <v>0</v>
      </c>
      <c r="K799" s="194">
        <f>IF(DBparts1[[#This Row],[Type]]&gt;0,VLOOKUP(DBparts1[[#This Row],[Discount seletion]],'Discount Structure'!$A$2:$B$30,2,"false"),0)</f>
        <v>0</v>
      </c>
      <c r="L799" s="194">
        <f>DBparts1[[#This Row],[LIST $]]*DBparts1[[#This Row],[DISCOUNT]]*DBparts1[[#This Row],[DISCOUNT 2]]</f>
        <v>0</v>
      </c>
    </row>
    <row r="800" spans="2:12">
      <c r="B800" s="112"/>
      <c r="C800" s="112"/>
      <c r="D800" s="112"/>
      <c r="F800" s="168" t="s">
        <v>6202</v>
      </c>
      <c r="G800" s="232">
        <f>IF(DBparts1[[#This Row],[Type]]&gt;0,VLOOKUP(DBparts1[[#This Row],[Type]],Main[[#All],[TYPE]:[UNIT]],'Unit Price'!C$1,FALSE),0)</f>
        <v>0</v>
      </c>
      <c r="H800" s="194">
        <f>IF(DBparts1[[#This Row],[Type]]&gt;0,VLOOKUP(DBparts1[[#This Row],[Type]],Main[[#All],[TYPE]:[UNIT]],'Unit Price'!D$1,FALSE),0)</f>
        <v>0</v>
      </c>
      <c r="I800" s="194">
        <f>IF(DBparts1[[#This Row],[Type]]&gt;0,VLOOKUP(DBparts1[[#This Row],[Type]],Main[[#All],[TYPE]:[UNIT]],'Unit Price'!G$1,FALSE),0)</f>
        <v>0</v>
      </c>
      <c r="J800" s="194">
        <f>IF(DBparts1[[#This Row],[Type]]&gt;0,VLOOKUP(DBparts1[[#This Row],[Type]],Main[[#All],[TYPE]:[UNIT]],'Unit Price'!H$1,FALSE),0)</f>
        <v>0</v>
      </c>
      <c r="K800" s="194">
        <f>IF(DBparts1[[#This Row],[Type]]&gt;0,VLOOKUP(DBparts1[[#This Row],[Discount seletion]],'Discount Structure'!$A$2:$B$30,2,"false"),0)</f>
        <v>0</v>
      </c>
      <c r="L800" s="194">
        <f>DBparts1[[#This Row],[LIST $]]*DBparts1[[#This Row],[DISCOUNT]]*DBparts1[[#This Row],[DISCOUNT 2]]</f>
        <v>0</v>
      </c>
    </row>
    <row r="801" spans="2:12">
      <c r="B801" s="112"/>
      <c r="C801" s="112"/>
      <c r="D801" s="112"/>
      <c r="F801" s="168" t="s">
        <v>6202</v>
      </c>
      <c r="G801" s="232">
        <f>IF(DBparts1[[#This Row],[Type]]&gt;0,VLOOKUP(DBparts1[[#This Row],[Type]],Main[[#All],[TYPE]:[UNIT]],'Unit Price'!C$1,FALSE),0)</f>
        <v>0</v>
      </c>
      <c r="H801" s="194">
        <f>IF(DBparts1[[#This Row],[Type]]&gt;0,VLOOKUP(DBparts1[[#This Row],[Type]],Main[[#All],[TYPE]:[UNIT]],'Unit Price'!D$1,FALSE),0)</f>
        <v>0</v>
      </c>
      <c r="I801" s="194">
        <f>IF(DBparts1[[#This Row],[Type]]&gt;0,VLOOKUP(DBparts1[[#This Row],[Type]],Main[[#All],[TYPE]:[UNIT]],'Unit Price'!G$1,FALSE),0)</f>
        <v>0</v>
      </c>
      <c r="J801" s="194">
        <f>IF(DBparts1[[#This Row],[Type]]&gt;0,VLOOKUP(DBparts1[[#This Row],[Type]],Main[[#All],[TYPE]:[UNIT]],'Unit Price'!H$1,FALSE),0)</f>
        <v>0</v>
      </c>
      <c r="K801" s="194">
        <f>IF(DBparts1[[#This Row],[Type]]&gt;0,VLOOKUP(DBparts1[[#This Row],[Discount seletion]],'Discount Structure'!$A$2:$B$30,2,"false"),0)</f>
        <v>0</v>
      </c>
      <c r="L801" s="194">
        <f>DBparts1[[#This Row],[LIST $]]*DBparts1[[#This Row],[DISCOUNT]]*DBparts1[[#This Row],[DISCOUNT 2]]</f>
        <v>0</v>
      </c>
    </row>
    <row r="802" spans="2:12">
      <c r="B802" s="112"/>
      <c r="C802" s="112"/>
      <c r="D802" s="112"/>
      <c r="F802" s="168" t="s">
        <v>6202</v>
      </c>
      <c r="G802" s="232">
        <f>IF(DBparts1[[#This Row],[Type]]&gt;0,VLOOKUP(DBparts1[[#This Row],[Type]],Main[[#All],[TYPE]:[UNIT]],'Unit Price'!C$1,FALSE),0)</f>
        <v>0</v>
      </c>
      <c r="H802" s="194">
        <f>IF(DBparts1[[#This Row],[Type]]&gt;0,VLOOKUP(DBparts1[[#This Row],[Type]],Main[[#All],[TYPE]:[UNIT]],'Unit Price'!D$1,FALSE),0)</f>
        <v>0</v>
      </c>
      <c r="I802" s="194">
        <f>IF(DBparts1[[#This Row],[Type]]&gt;0,VLOOKUP(DBparts1[[#This Row],[Type]],Main[[#All],[TYPE]:[UNIT]],'Unit Price'!G$1,FALSE),0)</f>
        <v>0</v>
      </c>
      <c r="J802" s="194">
        <f>IF(DBparts1[[#This Row],[Type]]&gt;0,VLOOKUP(DBparts1[[#This Row],[Type]],Main[[#All],[TYPE]:[UNIT]],'Unit Price'!H$1,FALSE),0)</f>
        <v>0</v>
      </c>
      <c r="K802" s="194">
        <f>IF(DBparts1[[#This Row],[Type]]&gt;0,VLOOKUP(DBparts1[[#This Row],[Discount seletion]],'Discount Structure'!$A$2:$B$30,2,"false"),0)</f>
        <v>0</v>
      </c>
      <c r="L802" s="194">
        <f>DBparts1[[#This Row],[LIST $]]*DBparts1[[#This Row],[DISCOUNT]]*DBparts1[[#This Row],[DISCOUNT 2]]</f>
        <v>0</v>
      </c>
    </row>
    <row r="803" spans="2:12">
      <c r="B803" s="112"/>
      <c r="C803" s="112"/>
      <c r="D803" s="112"/>
      <c r="F803" s="168" t="s">
        <v>6202</v>
      </c>
      <c r="G803" s="232">
        <f>IF(DBparts1[[#This Row],[Type]]&gt;0,VLOOKUP(DBparts1[[#This Row],[Type]],Main[[#All],[TYPE]:[UNIT]],'Unit Price'!C$1,FALSE),0)</f>
        <v>0</v>
      </c>
      <c r="H803" s="194">
        <f>IF(DBparts1[[#This Row],[Type]]&gt;0,VLOOKUP(DBparts1[[#This Row],[Type]],Main[[#All],[TYPE]:[UNIT]],'Unit Price'!D$1,FALSE),0)</f>
        <v>0</v>
      </c>
      <c r="I803" s="194">
        <f>IF(DBparts1[[#This Row],[Type]]&gt;0,VLOOKUP(DBparts1[[#This Row],[Type]],Main[[#All],[TYPE]:[UNIT]],'Unit Price'!G$1,FALSE),0)</f>
        <v>0</v>
      </c>
      <c r="J803" s="194">
        <f>IF(DBparts1[[#This Row],[Type]]&gt;0,VLOOKUP(DBparts1[[#This Row],[Type]],Main[[#All],[TYPE]:[UNIT]],'Unit Price'!H$1,FALSE),0)</f>
        <v>0</v>
      </c>
      <c r="K803" s="194">
        <f>IF(DBparts1[[#This Row],[Type]]&gt;0,VLOOKUP(DBparts1[[#This Row],[Discount seletion]],'Discount Structure'!$A$2:$B$30,2,"false"),0)</f>
        <v>0</v>
      </c>
      <c r="L803" s="194">
        <f>DBparts1[[#This Row],[LIST $]]*DBparts1[[#This Row],[DISCOUNT]]*DBparts1[[#This Row],[DISCOUNT 2]]</f>
        <v>0</v>
      </c>
    </row>
    <row r="804" spans="2:12">
      <c r="B804" s="112"/>
      <c r="C804" s="112"/>
      <c r="D804" s="112"/>
      <c r="F804" s="168" t="s">
        <v>6202</v>
      </c>
      <c r="G804" s="232">
        <f>IF(DBparts1[[#This Row],[Type]]&gt;0,VLOOKUP(DBparts1[[#This Row],[Type]],Main[[#All],[TYPE]:[UNIT]],'Unit Price'!C$1,FALSE),0)</f>
        <v>0</v>
      </c>
      <c r="H804" s="194">
        <f>IF(DBparts1[[#This Row],[Type]]&gt;0,VLOOKUP(DBparts1[[#This Row],[Type]],Main[[#All],[TYPE]:[UNIT]],'Unit Price'!D$1,FALSE),0)</f>
        <v>0</v>
      </c>
      <c r="I804" s="194">
        <f>IF(DBparts1[[#This Row],[Type]]&gt;0,VLOOKUP(DBparts1[[#This Row],[Type]],Main[[#All],[TYPE]:[UNIT]],'Unit Price'!G$1,FALSE),0)</f>
        <v>0</v>
      </c>
      <c r="J804" s="194">
        <f>IF(DBparts1[[#This Row],[Type]]&gt;0,VLOOKUP(DBparts1[[#This Row],[Type]],Main[[#All],[TYPE]:[UNIT]],'Unit Price'!H$1,FALSE),0)</f>
        <v>0</v>
      </c>
      <c r="K804" s="194">
        <f>IF(DBparts1[[#This Row],[Type]]&gt;0,VLOOKUP(DBparts1[[#This Row],[Discount seletion]],'Discount Structure'!$A$2:$B$30,2,"false"),0)</f>
        <v>0</v>
      </c>
      <c r="L804" s="194">
        <f>DBparts1[[#This Row],[LIST $]]*DBparts1[[#This Row],[DISCOUNT]]*DBparts1[[#This Row],[DISCOUNT 2]]</f>
        <v>0</v>
      </c>
    </row>
    <row r="805" spans="2:12">
      <c r="B805" s="112"/>
      <c r="C805" s="112"/>
      <c r="D805" s="112"/>
      <c r="F805" s="168" t="s">
        <v>6202</v>
      </c>
      <c r="G805" s="232">
        <f>IF(DBparts1[[#This Row],[Type]]&gt;0,VLOOKUP(DBparts1[[#This Row],[Type]],Main[[#All],[TYPE]:[UNIT]],'Unit Price'!C$1,FALSE),0)</f>
        <v>0</v>
      </c>
      <c r="H805" s="194">
        <f>IF(DBparts1[[#This Row],[Type]]&gt;0,VLOOKUP(DBparts1[[#This Row],[Type]],Main[[#All],[TYPE]:[UNIT]],'Unit Price'!D$1,FALSE),0)</f>
        <v>0</v>
      </c>
      <c r="I805" s="194">
        <f>IF(DBparts1[[#This Row],[Type]]&gt;0,VLOOKUP(DBparts1[[#This Row],[Type]],Main[[#All],[TYPE]:[UNIT]],'Unit Price'!G$1,FALSE),0)</f>
        <v>0</v>
      </c>
      <c r="J805" s="194">
        <f>IF(DBparts1[[#This Row],[Type]]&gt;0,VLOOKUP(DBparts1[[#This Row],[Type]],Main[[#All],[TYPE]:[UNIT]],'Unit Price'!H$1,FALSE),0)</f>
        <v>0</v>
      </c>
      <c r="K805" s="194">
        <f>IF(DBparts1[[#This Row],[Type]]&gt;0,VLOOKUP(DBparts1[[#This Row],[Discount seletion]],'Discount Structure'!$A$2:$B$30,2,"false"),0)</f>
        <v>0</v>
      </c>
      <c r="L805" s="194">
        <f>DBparts1[[#This Row],[LIST $]]*DBparts1[[#This Row],[DISCOUNT]]*DBparts1[[#This Row],[DISCOUNT 2]]</f>
        <v>0</v>
      </c>
    </row>
    <row r="806" spans="2:12">
      <c r="B806" s="112"/>
      <c r="C806" s="112"/>
      <c r="D806" s="112"/>
      <c r="F806" s="168" t="s">
        <v>6202</v>
      </c>
      <c r="G806" s="232">
        <f>IF(DBparts1[[#This Row],[Type]]&gt;0,VLOOKUP(DBparts1[[#This Row],[Type]],Main[[#All],[TYPE]:[UNIT]],'Unit Price'!C$1,FALSE),0)</f>
        <v>0</v>
      </c>
      <c r="H806" s="194">
        <f>IF(DBparts1[[#This Row],[Type]]&gt;0,VLOOKUP(DBparts1[[#This Row],[Type]],Main[[#All],[TYPE]:[UNIT]],'Unit Price'!D$1,FALSE),0)</f>
        <v>0</v>
      </c>
      <c r="I806" s="194">
        <f>IF(DBparts1[[#This Row],[Type]]&gt;0,VLOOKUP(DBparts1[[#This Row],[Type]],Main[[#All],[TYPE]:[UNIT]],'Unit Price'!G$1,FALSE),0)</f>
        <v>0</v>
      </c>
      <c r="J806" s="194">
        <f>IF(DBparts1[[#This Row],[Type]]&gt;0,VLOOKUP(DBparts1[[#This Row],[Type]],Main[[#All],[TYPE]:[UNIT]],'Unit Price'!H$1,FALSE),0)</f>
        <v>0</v>
      </c>
      <c r="K806" s="194">
        <f>IF(DBparts1[[#This Row],[Type]]&gt;0,VLOOKUP(DBparts1[[#This Row],[Discount seletion]],'Discount Structure'!$A$2:$B$30,2,"false"),0)</f>
        <v>0</v>
      </c>
      <c r="L806" s="194">
        <f>DBparts1[[#This Row],[LIST $]]*DBparts1[[#This Row],[DISCOUNT]]*DBparts1[[#This Row],[DISCOUNT 2]]</f>
        <v>0</v>
      </c>
    </row>
    <row r="807" spans="2:12">
      <c r="B807" s="112"/>
      <c r="C807" s="112"/>
      <c r="D807" s="112"/>
      <c r="F807" s="168" t="s">
        <v>6202</v>
      </c>
      <c r="G807" s="232">
        <f>IF(DBparts1[[#This Row],[Type]]&gt;0,VLOOKUP(DBparts1[[#This Row],[Type]],Main[[#All],[TYPE]:[UNIT]],'Unit Price'!C$1,FALSE),0)</f>
        <v>0</v>
      </c>
      <c r="H807" s="194">
        <f>IF(DBparts1[[#This Row],[Type]]&gt;0,VLOOKUP(DBparts1[[#This Row],[Type]],Main[[#All],[TYPE]:[UNIT]],'Unit Price'!D$1,FALSE),0)</f>
        <v>0</v>
      </c>
      <c r="I807" s="194">
        <f>IF(DBparts1[[#This Row],[Type]]&gt;0,VLOOKUP(DBparts1[[#This Row],[Type]],Main[[#All],[TYPE]:[UNIT]],'Unit Price'!G$1,FALSE),0)</f>
        <v>0</v>
      </c>
      <c r="J807" s="194">
        <f>IF(DBparts1[[#This Row],[Type]]&gt;0,VLOOKUP(DBparts1[[#This Row],[Type]],Main[[#All],[TYPE]:[UNIT]],'Unit Price'!H$1,FALSE),0)</f>
        <v>0</v>
      </c>
      <c r="K807" s="194">
        <f>IF(DBparts1[[#This Row],[Type]]&gt;0,VLOOKUP(DBparts1[[#This Row],[Discount seletion]],'Discount Structure'!$A$2:$B$30,2,"false"),0)</f>
        <v>0</v>
      </c>
      <c r="L807" s="194">
        <f>DBparts1[[#This Row],[LIST $]]*DBparts1[[#This Row],[DISCOUNT]]*DBparts1[[#This Row],[DISCOUNT 2]]</f>
        <v>0</v>
      </c>
    </row>
    <row r="808" spans="2:12">
      <c r="B808" s="112"/>
      <c r="C808" s="112"/>
      <c r="D808" s="112"/>
      <c r="F808" s="168" t="s">
        <v>6202</v>
      </c>
      <c r="G808" s="232">
        <f>IF(DBparts1[[#This Row],[Type]]&gt;0,VLOOKUP(DBparts1[[#This Row],[Type]],Main[[#All],[TYPE]:[UNIT]],'Unit Price'!C$1,FALSE),0)</f>
        <v>0</v>
      </c>
      <c r="H808" s="194">
        <f>IF(DBparts1[[#This Row],[Type]]&gt;0,VLOOKUP(DBparts1[[#This Row],[Type]],Main[[#All],[TYPE]:[UNIT]],'Unit Price'!D$1,FALSE),0)</f>
        <v>0</v>
      </c>
      <c r="I808" s="194">
        <f>IF(DBparts1[[#This Row],[Type]]&gt;0,VLOOKUP(DBparts1[[#This Row],[Type]],Main[[#All],[TYPE]:[UNIT]],'Unit Price'!G$1,FALSE),0)</f>
        <v>0</v>
      </c>
      <c r="J808" s="194">
        <f>IF(DBparts1[[#This Row],[Type]]&gt;0,VLOOKUP(DBparts1[[#This Row],[Type]],Main[[#All],[TYPE]:[UNIT]],'Unit Price'!H$1,FALSE),0)</f>
        <v>0</v>
      </c>
      <c r="K808" s="194">
        <f>IF(DBparts1[[#This Row],[Type]]&gt;0,VLOOKUP(DBparts1[[#This Row],[Discount seletion]],'Discount Structure'!$A$2:$B$30,2,"false"),0)</f>
        <v>0</v>
      </c>
      <c r="L808" s="194">
        <f>DBparts1[[#This Row],[LIST $]]*DBparts1[[#This Row],[DISCOUNT]]*DBparts1[[#This Row],[DISCOUNT 2]]</f>
        <v>0</v>
      </c>
    </row>
    <row r="809" spans="2:12">
      <c r="B809" s="112"/>
      <c r="C809" s="112"/>
      <c r="D809" s="112"/>
      <c r="F809" s="168" t="s">
        <v>6202</v>
      </c>
      <c r="G809" s="232">
        <f>IF(DBparts1[[#This Row],[Type]]&gt;0,VLOOKUP(DBparts1[[#This Row],[Type]],Main[[#All],[TYPE]:[UNIT]],'Unit Price'!C$1,FALSE),0)</f>
        <v>0</v>
      </c>
      <c r="H809" s="194">
        <f>IF(DBparts1[[#This Row],[Type]]&gt;0,VLOOKUP(DBparts1[[#This Row],[Type]],Main[[#All],[TYPE]:[UNIT]],'Unit Price'!D$1,FALSE),0)</f>
        <v>0</v>
      </c>
      <c r="I809" s="194">
        <f>IF(DBparts1[[#This Row],[Type]]&gt;0,VLOOKUP(DBparts1[[#This Row],[Type]],Main[[#All],[TYPE]:[UNIT]],'Unit Price'!G$1,FALSE),0)</f>
        <v>0</v>
      </c>
      <c r="J809" s="194">
        <f>IF(DBparts1[[#This Row],[Type]]&gt;0,VLOOKUP(DBparts1[[#This Row],[Type]],Main[[#All],[TYPE]:[UNIT]],'Unit Price'!H$1,FALSE),0)</f>
        <v>0</v>
      </c>
      <c r="K809" s="194">
        <f>IF(DBparts1[[#This Row],[Type]]&gt;0,VLOOKUP(DBparts1[[#This Row],[Discount seletion]],'Discount Structure'!$A$2:$B$30,2,"false"),0)</f>
        <v>0</v>
      </c>
      <c r="L809" s="194">
        <f>DBparts1[[#This Row],[LIST $]]*DBparts1[[#This Row],[DISCOUNT]]*DBparts1[[#This Row],[DISCOUNT 2]]</f>
        <v>0</v>
      </c>
    </row>
    <row r="810" spans="2:12">
      <c r="B810" s="112"/>
      <c r="C810" s="112"/>
      <c r="D810" s="112"/>
      <c r="F810" s="168" t="s">
        <v>6202</v>
      </c>
      <c r="G810" s="232">
        <f>IF(DBparts1[[#This Row],[Type]]&gt;0,VLOOKUP(DBparts1[[#This Row],[Type]],Main[[#All],[TYPE]:[UNIT]],'Unit Price'!C$1,FALSE),0)</f>
        <v>0</v>
      </c>
      <c r="H810" s="194">
        <f>IF(DBparts1[[#This Row],[Type]]&gt;0,VLOOKUP(DBparts1[[#This Row],[Type]],Main[[#All],[TYPE]:[UNIT]],'Unit Price'!D$1,FALSE),0)</f>
        <v>0</v>
      </c>
      <c r="I810" s="194">
        <f>IF(DBparts1[[#This Row],[Type]]&gt;0,VLOOKUP(DBparts1[[#This Row],[Type]],Main[[#All],[TYPE]:[UNIT]],'Unit Price'!G$1,FALSE),0)</f>
        <v>0</v>
      </c>
      <c r="J810" s="194">
        <f>IF(DBparts1[[#This Row],[Type]]&gt;0,VLOOKUP(DBparts1[[#This Row],[Type]],Main[[#All],[TYPE]:[UNIT]],'Unit Price'!H$1,FALSE),0)</f>
        <v>0</v>
      </c>
      <c r="K810" s="194">
        <f>IF(DBparts1[[#This Row],[Type]]&gt;0,VLOOKUP(DBparts1[[#This Row],[Discount seletion]],'Discount Structure'!$A$2:$B$30,2,"false"),0)</f>
        <v>0</v>
      </c>
      <c r="L810" s="194">
        <f>DBparts1[[#This Row],[LIST $]]*DBparts1[[#This Row],[DISCOUNT]]*DBparts1[[#This Row],[DISCOUNT 2]]</f>
        <v>0</v>
      </c>
    </row>
    <row r="811" spans="2:12">
      <c r="B811" s="112"/>
      <c r="C811" s="112"/>
      <c r="D811" s="112"/>
      <c r="F811" s="168" t="s">
        <v>6202</v>
      </c>
      <c r="G811" s="232">
        <f>IF(DBparts1[[#This Row],[Type]]&gt;0,VLOOKUP(DBparts1[[#This Row],[Type]],Main[[#All],[TYPE]:[UNIT]],'Unit Price'!C$1,FALSE),0)</f>
        <v>0</v>
      </c>
      <c r="H811" s="194">
        <f>IF(DBparts1[[#This Row],[Type]]&gt;0,VLOOKUP(DBparts1[[#This Row],[Type]],Main[[#All],[TYPE]:[UNIT]],'Unit Price'!D$1,FALSE),0)</f>
        <v>0</v>
      </c>
      <c r="I811" s="194">
        <f>IF(DBparts1[[#This Row],[Type]]&gt;0,VLOOKUP(DBparts1[[#This Row],[Type]],Main[[#All],[TYPE]:[UNIT]],'Unit Price'!G$1,FALSE),0)</f>
        <v>0</v>
      </c>
      <c r="J811" s="194">
        <f>IF(DBparts1[[#This Row],[Type]]&gt;0,VLOOKUP(DBparts1[[#This Row],[Type]],Main[[#All],[TYPE]:[UNIT]],'Unit Price'!H$1,FALSE),0)</f>
        <v>0</v>
      </c>
      <c r="K811" s="194">
        <f>IF(DBparts1[[#This Row],[Type]]&gt;0,VLOOKUP(DBparts1[[#This Row],[Discount seletion]],'Discount Structure'!$A$2:$B$30,2,"false"),0)</f>
        <v>0</v>
      </c>
      <c r="L811" s="194">
        <f>DBparts1[[#This Row],[LIST $]]*DBparts1[[#This Row],[DISCOUNT]]*DBparts1[[#This Row],[DISCOUNT 2]]</f>
        <v>0</v>
      </c>
    </row>
    <row r="812" spans="2:12">
      <c r="B812" s="112"/>
      <c r="C812" s="112"/>
      <c r="D812" s="112"/>
      <c r="F812" s="168" t="s">
        <v>6202</v>
      </c>
      <c r="G812" s="232">
        <f>IF(DBparts1[[#This Row],[Type]]&gt;0,VLOOKUP(DBparts1[[#This Row],[Type]],Main[[#All],[TYPE]:[UNIT]],'Unit Price'!C$1,FALSE),0)</f>
        <v>0</v>
      </c>
      <c r="H812" s="194">
        <f>IF(DBparts1[[#This Row],[Type]]&gt;0,VLOOKUP(DBparts1[[#This Row],[Type]],Main[[#All],[TYPE]:[UNIT]],'Unit Price'!D$1,FALSE),0)</f>
        <v>0</v>
      </c>
      <c r="I812" s="194">
        <f>IF(DBparts1[[#This Row],[Type]]&gt;0,VLOOKUP(DBparts1[[#This Row],[Type]],Main[[#All],[TYPE]:[UNIT]],'Unit Price'!G$1,FALSE),0)</f>
        <v>0</v>
      </c>
      <c r="J812" s="194">
        <f>IF(DBparts1[[#This Row],[Type]]&gt;0,VLOOKUP(DBparts1[[#This Row],[Type]],Main[[#All],[TYPE]:[UNIT]],'Unit Price'!H$1,FALSE),0)</f>
        <v>0</v>
      </c>
      <c r="K812" s="194">
        <f>IF(DBparts1[[#This Row],[Type]]&gt;0,VLOOKUP(DBparts1[[#This Row],[Discount seletion]],'Discount Structure'!$A$2:$B$30,2,"false"),0)</f>
        <v>0</v>
      </c>
      <c r="L812" s="194">
        <f>DBparts1[[#This Row],[LIST $]]*DBparts1[[#This Row],[DISCOUNT]]*DBparts1[[#This Row],[DISCOUNT 2]]</f>
        <v>0</v>
      </c>
    </row>
    <row r="813" spans="2:12">
      <c r="B813" s="112"/>
      <c r="C813" s="112"/>
      <c r="D813" s="112"/>
      <c r="F813" s="168" t="s">
        <v>6202</v>
      </c>
      <c r="G813" s="232">
        <f>IF(DBparts1[[#This Row],[Type]]&gt;0,VLOOKUP(DBparts1[[#This Row],[Type]],Main[[#All],[TYPE]:[UNIT]],'Unit Price'!C$1,FALSE),0)</f>
        <v>0</v>
      </c>
      <c r="H813" s="194">
        <f>IF(DBparts1[[#This Row],[Type]]&gt;0,VLOOKUP(DBparts1[[#This Row],[Type]],Main[[#All],[TYPE]:[UNIT]],'Unit Price'!D$1,FALSE),0)</f>
        <v>0</v>
      </c>
      <c r="I813" s="194">
        <f>IF(DBparts1[[#This Row],[Type]]&gt;0,VLOOKUP(DBparts1[[#This Row],[Type]],Main[[#All],[TYPE]:[UNIT]],'Unit Price'!G$1,FALSE),0)</f>
        <v>0</v>
      </c>
      <c r="J813" s="194">
        <f>IF(DBparts1[[#This Row],[Type]]&gt;0,VLOOKUP(DBparts1[[#This Row],[Type]],Main[[#All],[TYPE]:[UNIT]],'Unit Price'!H$1,FALSE),0)</f>
        <v>0</v>
      </c>
      <c r="K813" s="194">
        <f>IF(DBparts1[[#This Row],[Type]]&gt;0,VLOOKUP(DBparts1[[#This Row],[Discount seletion]],'Discount Structure'!$A$2:$B$30,2,"false"),0)</f>
        <v>0</v>
      </c>
      <c r="L813" s="194">
        <f>DBparts1[[#This Row],[LIST $]]*DBparts1[[#This Row],[DISCOUNT]]*DBparts1[[#This Row],[DISCOUNT 2]]</f>
        <v>0</v>
      </c>
    </row>
    <row r="814" spans="2:12">
      <c r="B814" s="112"/>
      <c r="C814" s="112"/>
      <c r="D814" s="112"/>
      <c r="F814" s="168" t="s">
        <v>6202</v>
      </c>
      <c r="G814" s="232">
        <f>IF(DBparts1[[#This Row],[Type]]&gt;0,VLOOKUP(DBparts1[[#This Row],[Type]],Main[[#All],[TYPE]:[UNIT]],'Unit Price'!C$1,FALSE),0)</f>
        <v>0</v>
      </c>
      <c r="H814" s="194">
        <f>IF(DBparts1[[#This Row],[Type]]&gt;0,VLOOKUP(DBparts1[[#This Row],[Type]],Main[[#All],[TYPE]:[UNIT]],'Unit Price'!D$1,FALSE),0)</f>
        <v>0</v>
      </c>
      <c r="I814" s="194">
        <f>IF(DBparts1[[#This Row],[Type]]&gt;0,VLOOKUP(DBparts1[[#This Row],[Type]],Main[[#All],[TYPE]:[UNIT]],'Unit Price'!G$1,FALSE),0)</f>
        <v>0</v>
      </c>
      <c r="J814" s="194">
        <f>IF(DBparts1[[#This Row],[Type]]&gt;0,VLOOKUP(DBparts1[[#This Row],[Type]],Main[[#All],[TYPE]:[UNIT]],'Unit Price'!H$1,FALSE),0)</f>
        <v>0</v>
      </c>
      <c r="K814" s="194">
        <f>IF(DBparts1[[#This Row],[Type]]&gt;0,VLOOKUP(DBparts1[[#This Row],[Discount seletion]],'Discount Structure'!$A$2:$B$30,2,"false"),0)</f>
        <v>0</v>
      </c>
      <c r="L814" s="194">
        <f>DBparts1[[#This Row],[LIST $]]*DBparts1[[#This Row],[DISCOUNT]]*DBparts1[[#This Row],[DISCOUNT 2]]</f>
        <v>0</v>
      </c>
    </row>
    <row r="815" spans="2:12">
      <c r="B815" s="112"/>
      <c r="C815" s="112"/>
      <c r="D815" s="112"/>
      <c r="F815" s="168" t="s">
        <v>6202</v>
      </c>
      <c r="G815" s="232">
        <f>IF(DBparts1[[#This Row],[Type]]&gt;0,VLOOKUP(DBparts1[[#This Row],[Type]],Main[[#All],[TYPE]:[UNIT]],'Unit Price'!C$1,FALSE),0)</f>
        <v>0</v>
      </c>
      <c r="H815" s="194">
        <f>IF(DBparts1[[#This Row],[Type]]&gt;0,VLOOKUP(DBparts1[[#This Row],[Type]],Main[[#All],[TYPE]:[UNIT]],'Unit Price'!D$1,FALSE),0)</f>
        <v>0</v>
      </c>
      <c r="I815" s="194">
        <f>IF(DBparts1[[#This Row],[Type]]&gt;0,VLOOKUP(DBparts1[[#This Row],[Type]],Main[[#All],[TYPE]:[UNIT]],'Unit Price'!G$1,FALSE),0)</f>
        <v>0</v>
      </c>
      <c r="J815" s="194">
        <f>IF(DBparts1[[#This Row],[Type]]&gt;0,VLOOKUP(DBparts1[[#This Row],[Type]],Main[[#All],[TYPE]:[UNIT]],'Unit Price'!H$1,FALSE),0)</f>
        <v>0</v>
      </c>
      <c r="K815" s="194">
        <f>IF(DBparts1[[#This Row],[Type]]&gt;0,VLOOKUP(DBparts1[[#This Row],[Discount seletion]],'Discount Structure'!$A$2:$B$30,2,"false"),0)</f>
        <v>0</v>
      </c>
      <c r="L815" s="194">
        <f>DBparts1[[#This Row],[LIST $]]*DBparts1[[#This Row],[DISCOUNT]]*DBparts1[[#This Row],[DISCOUNT 2]]</f>
        <v>0</v>
      </c>
    </row>
    <row r="816" spans="2:12">
      <c r="B816" s="112"/>
      <c r="C816" s="112"/>
      <c r="D816" s="112"/>
      <c r="F816" s="168" t="s">
        <v>6202</v>
      </c>
      <c r="G816" s="232">
        <f>IF(DBparts1[[#This Row],[Type]]&gt;0,VLOOKUP(DBparts1[[#This Row],[Type]],Main[[#All],[TYPE]:[UNIT]],'Unit Price'!C$1,FALSE),0)</f>
        <v>0</v>
      </c>
      <c r="H816" s="194">
        <f>IF(DBparts1[[#This Row],[Type]]&gt;0,VLOOKUP(DBparts1[[#This Row],[Type]],Main[[#All],[TYPE]:[UNIT]],'Unit Price'!D$1,FALSE),0)</f>
        <v>0</v>
      </c>
      <c r="I816" s="194">
        <f>IF(DBparts1[[#This Row],[Type]]&gt;0,VLOOKUP(DBparts1[[#This Row],[Type]],Main[[#All],[TYPE]:[UNIT]],'Unit Price'!G$1,FALSE),0)</f>
        <v>0</v>
      </c>
      <c r="J816" s="194">
        <f>IF(DBparts1[[#This Row],[Type]]&gt;0,VLOOKUP(DBparts1[[#This Row],[Type]],Main[[#All],[TYPE]:[UNIT]],'Unit Price'!H$1,FALSE),0)</f>
        <v>0</v>
      </c>
      <c r="K816" s="194">
        <f>IF(DBparts1[[#This Row],[Type]]&gt;0,VLOOKUP(DBparts1[[#This Row],[Discount seletion]],'Discount Structure'!$A$2:$B$30,2,"false"),0)</f>
        <v>0</v>
      </c>
      <c r="L816" s="194">
        <f>DBparts1[[#This Row],[LIST $]]*DBparts1[[#This Row],[DISCOUNT]]*DBparts1[[#This Row],[DISCOUNT 2]]</f>
        <v>0</v>
      </c>
    </row>
    <row r="817" spans="2:12">
      <c r="B817" s="112"/>
      <c r="C817" s="112"/>
      <c r="D817" s="112"/>
      <c r="F817" s="168" t="s">
        <v>6202</v>
      </c>
      <c r="G817" s="232">
        <f>IF(DBparts1[[#This Row],[Type]]&gt;0,VLOOKUP(DBparts1[[#This Row],[Type]],Main[[#All],[TYPE]:[UNIT]],'Unit Price'!C$1,FALSE),0)</f>
        <v>0</v>
      </c>
      <c r="H817" s="194">
        <f>IF(DBparts1[[#This Row],[Type]]&gt;0,VLOOKUP(DBparts1[[#This Row],[Type]],Main[[#All],[TYPE]:[UNIT]],'Unit Price'!D$1,FALSE),0)</f>
        <v>0</v>
      </c>
      <c r="I817" s="194">
        <f>IF(DBparts1[[#This Row],[Type]]&gt;0,VLOOKUP(DBparts1[[#This Row],[Type]],Main[[#All],[TYPE]:[UNIT]],'Unit Price'!G$1,FALSE),0)</f>
        <v>0</v>
      </c>
      <c r="J817" s="194">
        <f>IF(DBparts1[[#This Row],[Type]]&gt;0,VLOOKUP(DBparts1[[#This Row],[Type]],Main[[#All],[TYPE]:[UNIT]],'Unit Price'!H$1,FALSE),0)</f>
        <v>0</v>
      </c>
      <c r="K817" s="194">
        <f>IF(DBparts1[[#This Row],[Type]]&gt;0,VLOOKUP(DBparts1[[#This Row],[Discount seletion]],'Discount Structure'!$A$2:$B$30,2,"false"),0)</f>
        <v>0</v>
      </c>
      <c r="L817" s="194">
        <f>DBparts1[[#This Row],[LIST $]]*DBparts1[[#This Row],[DISCOUNT]]*DBparts1[[#This Row],[DISCOUNT 2]]</f>
        <v>0</v>
      </c>
    </row>
    <row r="818" spans="2:12">
      <c r="B818" s="112"/>
      <c r="C818" s="112"/>
      <c r="D818" s="112"/>
      <c r="F818" s="168" t="s">
        <v>6202</v>
      </c>
      <c r="G818" s="232">
        <f>IF(DBparts1[[#This Row],[Type]]&gt;0,VLOOKUP(DBparts1[[#This Row],[Type]],Main[[#All],[TYPE]:[UNIT]],'Unit Price'!C$1,FALSE),0)</f>
        <v>0</v>
      </c>
      <c r="H818" s="194">
        <f>IF(DBparts1[[#This Row],[Type]]&gt;0,VLOOKUP(DBparts1[[#This Row],[Type]],Main[[#All],[TYPE]:[UNIT]],'Unit Price'!D$1,FALSE),0)</f>
        <v>0</v>
      </c>
      <c r="I818" s="194">
        <f>IF(DBparts1[[#This Row],[Type]]&gt;0,VLOOKUP(DBparts1[[#This Row],[Type]],Main[[#All],[TYPE]:[UNIT]],'Unit Price'!G$1,FALSE),0)</f>
        <v>0</v>
      </c>
      <c r="J818" s="194">
        <f>IF(DBparts1[[#This Row],[Type]]&gt;0,VLOOKUP(DBparts1[[#This Row],[Type]],Main[[#All],[TYPE]:[UNIT]],'Unit Price'!H$1,FALSE),0)</f>
        <v>0</v>
      </c>
      <c r="K818" s="194">
        <f>IF(DBparts1[[#This Row],[Type]]&gt;0,VLOOKUP(DBparts1[[#This Row],[Discount seletion]],'Discount Structure'!$A$2:$B$30,2,"false"),0)</f>
        <v>0</v>
      </c>
      <c r="L818" s="194">
        <f>DBparts1[[#This Row],[LIST $]]*DBparts1[[#This Row],[DISCOUNT]]*DBparts1[[#This Row],[DISCOUNT 2]]</f>
        <v>0</v>
      </c>
    </row>
    <row r="819" spans="2:12">
      <c r="B819" s="112"/>
      <c r="C819" s="112"/>
      <c r="D819" s="112"/>
      <c r="F819" s="168" t="s">
        <v>6202</v>
      </c>
      <c r="G819" s="232">
        <f>IF(DBparts1[[#This Row],[Type]]&gt;0,VLOOKUP(DBparts1[[#This Row],[Type]],Main[[#All],[TYPE]:[UNIT]],'Unit Price'!C$1,FALSE),0)</f>
        <v>0</v>
      </c>
      <c r="H819" s="194">
        <f>IF(DBparts1[[#This Row],[Type]]&gt;0,VLOOKUP(DBparts1[[#This Row],[Type]],Main[[#All],[TYPE]:[UNIT]],'Unit Price'!D$1,FALSE),0)</f>
        <v>0</v>
      </c>
      <c r="I819" s="194">
        <f>IF(DBparts1[[#This Row],[Type]]&gt;0,VLOOKUP(DBparts1[[#This Row],[Type]],Main[[#All],[TYPE]:[UNIT]],'Unit Price'!G$1,FALSE),0)</f>
        <v>0</v>
      </c>
      <c r="J819" s="194">
        <f>IF(DBparts1[[#This Row],[Type]]&gt;0,VLOOKUP(DBparts1[[#This Row],[Type]],Main[[#All],[TYPE]:[UNIT]],'Unit Price'!H$1,FALSE),0)</f>
        <v>0</v>
      </c>
      <c r="K819" s="194">
        <f>IF(DBparts1[[#This Row],[Type]]&gt;0,VLOOKUP(DBparts1[[#This Row],[Discount seletion]],'Discount Structure'!$A$2:$B$30,2,"false"),0)</f>
        <v>0</v>
      </c>
      <c r="L819" s="194">
        <f>DBparts1[[#This Row],[LIST $]]*DBparts1[[#This Row],[DISCOUNT]]*DBparts1[[#This Row],[DISCOUNT 2]]</f>
        <v>0</v>
      </c>
    </row>
    <row r="820" spans="2:12">
      <c r="B820" s="112"/>
      <c r="C820" s="112"/>
      <c r="D820" s="112"/>
      <c r="F820" s="168" t="s">
        <v>6202</v>
      </c>
      <c r="G820" s="232">
        <f>IF(DBparts1[[#This Row],[Type]]&gt;0,VLOOKUP(DBparts1[[#This Row],[Type]],Main[[#All],[TYPE]:[UNIT]],'Unit Price'!C$1,FALSE),0)</f>
        <v>0</v>
      </c>
      <c r="H820" s="194">
        <f>IF(DBparts1[[#This Row],[Type]]&gt;0,VLOOKUP(DBparts1[[#This Row],[Type]],Main[[#All],[TYPE]:[UNIT]],'Unit Price'!D$1,FALSE),0)</f>
        <v>0</v>
      </c>
      <c r="I820" s="194">
        <f>IF(DBparts1[[#This Row],[Type]]&gt;0,VLOOKUP(DBparts1[[#This Row],[Type]],Main[[#All],[TYPE]:[UNIT]],'Unit Price'!G$1,FALSE),0)</f>
        <v>0</v>
      </c>
      <c r="J820" s="194">
        <f>IF(DBparts1[[#This Row],[Type]]&gt;0,VLOOKUP(DBparts1[[#This Row],[Type]],Main[[#All],[TYPE]:[UNIT]],'Unit Price'!H$1,FALSE),0)</f>
        <v>0</v>
      </c>
      <c r="K820" s="194">
        <f>IF(DBparts1[[#This Row],[Type]]&gt;0,VLOOKUP(DBparts1[[#This Row],[Discount seletion]],'Discount Structure'!$A$2:$B$30,2,"false"),0)</f>
        <v>0</v>
      </c>
      <c r="L820" s="194">
        <f>DBparts1[[#This Row],[LIST $]]*DBparts1[[#This Row],[DISCOUNT]]*DBparts1[[#This Row],[DISCOUNT 2]]</f>
        <v>0</v>
      </c>
    </row>
    <row r="821" spans="2:12">
      <c r="B821" s="112"/>
      <c r="C821" s="112"/>
      <c r="D821" s="112"/>
      <c r="F821" s="168" t="s">
        <v>6202</v>
      </c>
      <c r="G821" s="232">
        <f>IF(DBparts1[[#This Row],[Type]]&gt;0,VLOOKUP(DBparts1[[#This Row],[Type]],Main[[#All],[TYPE]:[UNIT]],'Unit Price'!C$1,FALSE),0)</f>
        <v>0</v>
      </c>
      <c r="H821" s="194">
        <f>IF(DBparts1[[#This Row],[Type]]&gt;0,VLOOKUP(DBparts1[[#This Row],[Type]],Main[[#All],[TYPE]:[UNIT]],'Unit Price'!D$1,FALSE),0)</f>
        <v>0</v>
      </c>
      <c r="I821" s="194">
        <f>IF(DBparts1[[#This Row],[Type]]&gt;0,VLOOKUP(DBparts1[[#This Row],[Type]],Main[[#All],[TYPE]:[UNIT]],'Unit Price'!G$1,FALSE),0)</f>
        <v>0</v>
      </c>
      <c r="J821" s="194">
        <f>IF(DBparts1[[#This Row],[Type]]&gt;0,VLOOKUP(DBparts1[[#This Row],[Type]],Main[[#All],[TYPE]:[UNIT]],'Unit Price'!H$1,FALSE),0)</f>
        <v>0</v>
      </c>
      <c r="K821" s="194">
        <f>IF(DBparts1[[#This Row],[Type]]&gt;0,VLOOKUP(DBparts1[[#This Row],[Discount seletion]],'Discount Structure'!$A$2:$B$30,2,"false"),0)</f>
        <v>0</v>
      </c>
      <c r="L821" s="194">
        <f>DBparts1[[#This Row],[LIST $]]*DBparts1[[#This Row],[DISCOUNT]]*DBparts1[[#This Row],[DISCOUNT 2]]</f>
        <v>0</v>
      </c>
    </row>
    <row r="822" spans="2:12">
      <c r="B822" s="112"/>
      <c r="C822" s="112"/>
      <c r="D822" s="112"/>
      <c r="F822" s="168" t="s">
        <v>6202</v>
      </c>
      <c r="G822" s="232">
        <f>IF(DBparts1[[#This Row],[Type]]&gt;0,VLOOKUP(DBparts1[[#This Row],[Type]],Main[[#All],[TYPE]:[UNIT]],'Unit Price'!C$1,FALSE),0)</f>
        <v>0</v>
      </c>
      <c r="H822" s="194">
        <f>IF(DBparts1[[#This Row],[Type]]&gt;0,VLOOKUP(DBparts1[[#This Row],[Type]],Main[[#All],[TYPE]:[UNIT]],'Unit Price'!D$1,FALSE),0)</f>
        <v>0</v>
      </c>
      <c r="I822" s="194">
        <f>IF(DBparts1[[#This Row],[Type]]&gt;0,VLOOKUP(DBparts1[[#This Row],[Type]],Main[[#All],[TYPE]:[UNIT]],'Unit Price'!G$1,FALSE),0)</f>
        <v>0</v>
      </c>
      <c r="J822" s="194">
        <f>IF(DBparts1[[#This Row],[Type]]&gt;0,VLOOKUP(DBparts1[[#This Row],[Type]],Main[[#All],[TYPE]:[UNIT]],'Unit Price'!H$1,FALSE),0)</f>
        <v>0</v>
      </c>
      <c r="K822" s="194">
        <f>IF(DBparts1[[#This Row],[Type]]&gt;0,VLOOKUP(DBparts1[[#This Row],[Discount seletion]],'Discount Structure'!$A$2:$B$30,2,"false"),0)</f>
        <v>0</v>
      </c>
      <c r="L822" s="194">
        <f>DBparts1[[#This Row],[LIST $]]*DBparts1[[#This Row],[DISCOUNT]]*DBparts1[[#This Row],[DISCOUNT 2]]</f>
        <v>0</v>
      </c>
    </row>
    <row r="823" spans="2:12">
      <c r="B823" s="112"/>
      <c r="C823" s="112"/>
      <c r="D823" s="112"/>
      <c r="F823" s="168" t="s">
        <v>6202</v>
      </c>
      <c r="G823" s="232">
        <f>IF(DBparts1[[#This Row],[Type]]&gt;0,VLOOKUP(DBparts1[[#This Row],[Type]],Main[[#All],[TYPE]:[UNIT]],'Unit Price'!C$1,FALSE),0)</f>
        <v>0</v>
      </c>
      <c r="H823" s="194">
        <f>IF(DBparts1[[#This Row],[Type]]&gt;0,VLOOKUP(DBparts1[[#This Row],[Type]],Main[[#All],[TYPE]:[UNIT]],'Unit Price'!D$1,FALSE),0)</f>
        <v>0</v>
      </c>
      <c r="I823" s="194">
        <f>IF(DBparts1[[#This Row],[Type]]&gt;0,VLOOKUP(DBparts1[[#This Row],[Type]],Main[[#All],[TYPE]:[UNIT]],'Unit Price'!G$1,FALSE),0)</f>
        <v>0</v>
      </c>
      <c r="J823" s="194">
        <f>IF(DBparts1[[#This Row],[Type]]&gt;0,VLOOKUP(DBparts1[[#This Row],[Type]],Main[[#All],[TYPE]:[UNIT]],'Unit Price'!H$1,FALSE),0)</f>
        <v>0</v>
      </c>
      <c r="K823" s="194">
        <f>IF(DBparts1[[#This Row],[Type]]&gt;0,VLOOKUP(DBparts1[[#This Row],[Discount seletion]],'Discount Structure'!$A$2:$B$30,2,"false"),0)</f>
        <v>0</v>
      </c>
      <c r="L823" s="194">
        <f>DBparts1[[#This Row],[LIST $]]*DBparts1[[#This Row],[DISCOUNT]]*DBparts1[[#This Row],[DISCOUNT 2]]</f>
        <v>0</v>
      </c>
    </row>
    <row r="824" spans="2:12">
      <c r="B824" s="112"/>
      <c r="C824" s="112"/>
      <c r="D824" s="112"/>
      <c r="F824" s="168" t="s">
        <v>6202</v>
      </c>
      <c r="G824" s="232">
        <f>IF(DBparts1[[#This Row],[Type]]&gt;0,VLOOKUP(DBparts1[[#This Row],[Type]],Main[[#All],[TYPE]:[UNIT]],'Unit Price'!C$1,FALSE),0)</f>
        <v>0</v>
      </c>
      <c r="H824" s="194">
        <f>IF(DBparts1[[#This Row],[Type]]&gt;0,VLOOKUP(DBparts1[[#This Row],[Type]],Main[[#All],[TYPE]:[UNIT]],'Unit Price'!D$1,FALSE),0)</f>
        <v>0</v>
      </c>
      <c r="I824" s="194">
        <f>IF(DBparts1[[#This Row],[Type]]&gt;0,VLOOKUP(DBparts1[[#This Row],[Type]],Main[[#All],[TYPE]:[UNIT]],'Unit Price'!G$1,FALSE),0)</f>
        <v>0</v>
      </c>
      <c r="J824" s="194">
        <f>IF(DBparts1[[#This Row],[Type]]&gt;0,VLOOKUP(DBparts1[[#This Row],[Type]],Main[[#All],[TYPE]:[UNIT]],'Unit Price'!H$1,FALSE),0)</f>
        <v>0</v>
      </c>
      <c r="K824" s="194">
        <f>IF(DBparts1[[#This Row],[Type]]&gt;0,VLOOKUP(DBparts1[[#This Row],[Discount seletion]],'Discount Structure'!$A$2:$B$30,2,"false"),0)</f>
        <v>0</v>
      </c>
      <c r="L824" s="194">
        <f>DBparts1[[#This Row],[LIST $]]*DBparts1[[#This Row],[DISCOUNT]]*DBparts1[[#This Row],[DISCOUNT 2]]</f>
        <v>0</v>
      </c>
    </row>
    <row r="825" spans="2:12">
      <c r="B825" s="112"/>
      <c r="C825" s="112"/>
      <c r="D825" s="112"/>
      <c r="F825" s="168" t="s">
        <v>6202</v>
      </c>
      <c r="G825" s="232">
        <f>IF(DBparts1[[#This Row],[Type]]&gt;0,VLOOKUP(DBparts1[[#This Row],[Type]],Main[[#All],[TYPE]:[UNIT]],'Unit Price'!C$1,FALSE),0)</f>
        <v>0</v>
      </c>
      <c r="H825" s="194">
        <f>IF(DBparts1[[#This Row],[Type]]&gt;0,VLOOKUP(DBparts1[[#This Row],[Type]],Main[[#All],[TYPE]:[UNIT]],'Unit Price'!D$1,FALSE),0)</f>
        <v>0</v>
      </c>
      <c r="I825" s="194">
        <f>IF(DBparts1[[#This Row],[Type]]&gt;0,VLOOKUP(DBparts1[[#This Row],[Type]],Main[[#All],[TYPE]:[UNIT]],'Unit Price'!G$1,FALSE),0)</f>
        <v>0</v>
      </c>
      <c r="J825" s="194">
        <f>IF(DBparts1[[#This Row],[Type]]&gt;0,VLOOKUP(DBparts1[[#This Row],[Type]],Main[[#All],[TYPE]:[UNIT]],'Unit Price'!H$1,FALSE),0)</f>
        <v>0</v>
      </c>
      <c r="K825" s="194">
        <f>IF(DBparts1[[#This Row],[Type]]&gt;0,VLOOKUP(DBparts1[[#This Row],[Discount seletion]],'Discount Structure'!$A$2:$B$30,2,"false"),0)</f>
        <v>0</v>
      </c>
      <c r="L825" s="194">
        <f>DBparts1[[#This Row],[LIST $]]*DBparts1[[#This Row],[DISCOUNT]]*DBparts1[[#This Row],[DISCOUNT 2]]</f>
        <v>0</v>
      </c>
    </row>
    <row r="826" spans="2:12">
      <c r="B826" s="112"/>
      <c r="C826" s="112"/>
      <c r="D826" s="112"/>
      <c r="F826" s="168" t="s">
        <v>6202</v>
      </c>
      <c r="G826" s="232">
        <f>IF(DBparts1[[#This Row],[Type]]&gt;0,VLOOKUP(DBparts1[[#This Row],[Type]],Main[[#All],[TYPE]:[UNIT]],'Unit Price'!C$1,FALSE),0)</f>
        <v>0</v>
      </c>
      <c r="H826" s="194">
        <f>IF(DBparts1[[#This Row],[Type]]&gt;0,VLOOKUP(DBparts1[[#This Row],[Type]],Main[[#All],[TYPE]:[UNIT]],'Unit Price'!D$1,FALSE),0)</f>
        <v>0</v>
      </c>
      <c r="I826" s="194">
        <f>IF(DBparts1[[#This Row],[Type]]&gt;0,VLOOKUP(DBparts1[[#This Row],[Type]],Main[[#All],[TYPE]:[UNIT]],'Unit Price'!G$1,FALSE),0)</f>
        <v>0</v>
      </c>
      <c r="J826" s="194">
        <f>IF(DBparts1[[#This Row],[Type]]&gt;0,VLOOKUP(DBparts1[[#This Row],[Type]],Main[[#All],[TYPE]:[UNIT]],'Unit Price'!H$1,FALSE),0)</f>
        <v>0</v>
      </c>
      <c r="K826" s="194">
        <f>IF(DBparts1[[#This Row],[Type]]&gt;0,VLOOKUP(DBparts1[[#This Row],[Discount seletion]],'Discount Structure'!$A$2:$B$30,2,"false"),0)</f>
        <v>0</v>
      </c>
      <c r="L826" s="194">
        <f>DBparts1[[#This Row],[LIST $]]*DBparts1[[#This Row],[DISCOUNT]]*DBparts1[[#This Row],[DISCOUNT 2]]</f>
        <v>0</v>
      </c>
    </row>
    <row r="827" spans="2:12">
      <c r="B827" s="112"/>
      <c r="C827" s="112"/>
      <c r="D827" s="112"/>
      <c r="F827" s="168" t="s">
        <v>6202</v>
      </c>
      <c r="G827" s="232">
        <f>IF(DBparts1[[#This Row],[Type]]&gt;0,VLOOKUP(DBparts1[[#This Row],[Type]],Main[[#All],[TYPE]:[UNIT]],'Unit Price'!C$1,FALSE),0)</f>
        <v>0</v>
      </c>
      <c r="H827" s="194">
        <f>IF(DBparts1[[#This Row],[Type]]&gt;0,VLOOKUP(DBparts1[[#This Row],[Type]],Main[[#All],[TYPE]:[UNIT]],'Unit Price'!D$1,FALSE),0)</f>
        <v>0</v>
      </c>
      <c r="I827" s="194">
        <f>IF(DBparts1[[#This Row],[Type]]&gt;0,VLOOKUP(DBparts1[[#This Row],[Type]],Main[[#All],[TYPE]:[UNIT]],'Unit Price'!G$1,FALSE),0)</f>
        <v>0</v>
      </c>
      <c r="J827" s="194">
        <f>IF(DBparts1[[#This Row],[Type]]&gt;0,VLOOKUP(DBparts1[[#This Row],[Type]],Main[[#All],[TYPE]:[UNIT]],'Unit Price'!H$1,FALSE),0)</f>
        <v>0</v>
      </c>
      <c r="K827" s="194">
        <f>IF(DBparts1[[#This Row],[Type]]&gt;0,VLOOKUP(DBparts1[[#This Row],[Discount seletion]],'Discount Structure'!$A$2:$B$30,2,"false"),0)</f>
        <v>0</v>
      </c>
      <c r="L827" s="194">
        <f>DBparts1[[#This Row],[LIST $]]*DBparts1[[#This Row],[DISCOUNT]]*DBparts1[[#This Row],[DISCOUNT 2]]</f>
        <v>0</v>
      </c>
    </row>
    <row r="828" spans="2:12">
      <c r="B828" s="112"/>
      <c r="C828" s="112"/>
      <c r="D828" s="112"/>
      <c r="F828" s="168" t="s">
        <v>6202</v>
      </c>
      <c r="G828" s="232">
        <f>IF(DBparts1[[#This Row],[Type]]&gt;0,VLOOKUP(DBparts1[[#This Row],[Type]],Main[[#All],[TYPE]:[UNIT]],'Unit Price'!C$1,FALSE),0)</f>
        <v>0</v>
      </c>
      <c r="H828" s="194">
        <f>IF(DBparts1[[#This Row],[Type]]&gt;0,VLOOKUP(DBparts1[[#This Row],[Type]],Main[[#All],[TYPE]:[UNIT]],'Unit Price'!D$1,FALSE),0)</f>
        <v>0</v>
      </c>
      <c r="I828" s="194">
        <f>IF(DBparts1[[#This Row],[Type]]&gt;0,VLOOKUP(DBparts1[[#This Row],[Type]],Main[[#All],[TYPE]:[UNIT]],'Unit Price'!G$1,FALSE),0)</f>
        <v>0</v>
      </c>
      <c r="J828" s="194">
        <f>IF(DBparts1[[#This Row],[Type]]&gt;0,VLOOKUP(DBparts1[[#This Row],[Type]],Main[[#All],[TYPE]:[UNIT]],'Unit Price'!H$1,FALSE),0)</f>
        <v>0</v>
      </c>
      <c r="K828" s="194">
        <f>IF(DBparts1[[#This Row],[Type]]&gt;0,VLOOKUP(DBparts1[[#This Row],[Discount seletion]],'Discount Structure'!$A$2:$B$30,2,"false"),0)</f>
        <v>0</v>
      </c>
      <c r="L828" s="194">
        <f>DBparts1[[#This Row],[LIST $]]*DBparts1[[#This Row],[DISCOUNT]]*DBparts1[[#This Row],[DISCOUNT 2]]</f>
        <v>0</v>
      </c>
    </row>
    <row r="829" spans="2:12">
      <c r="B829" s="112"/>
      <c r="C829" s="112"/>
      <c r="D829" s="112"/>
      <c r="F829" s="168" t="s">
        <v>6202</v>
      </c>
      <c r="G829" s="232">
        <f>IF(DBparts1[[#This Row],[Type]]&gt;0,VLOOKUP(DBparts1[[#This Row],[Type]],Main[[#All],[TYPE]:[UNIT]],'Unit Price'!C$1,FALSE),0)</f>
        <v>0</v>
      </c>
      <c r="H829" s="194">
        <f>IF(DBparts1[[#This Row],[Type]]&gt;0,VLOOKUP(DBparts1[[#This Row],[Type]],Main[[#All],[TYPE]:[UNIT]],'Unit Price'!D$1,FALSE),0)</f>
        <v>0</v>
      </c>
      <c r="I829" s="194">
        <f>IF(DBparts1[[#This Row],[Type]]&gt;0,VLOOKUP(DBparts1[[#This Row],[Type]],Main[[#All],[TYPE]:[UNIT]],'Unit Price'!G$1,FALSE),0)</f>
        <v>0</v>
      </c>
      <c r="J829" s="194">
        <f>IF(DBparts1[[#This Row],[Type]]&gt;0,VLOOKUP(DBparts1[[#This Row],[Type]],Main[[#All],[TYPE]:[UNIT]],'Unit Price'!H$1,FALSE),0)</f>
        <v>0</v>
      </c>
      <c r="K829" s="194">
        <f>IF(DBparts1[[#This Row],[Type]]&gt;0,VLOOKUP(DBparts1[[#This Row],[Discount seletion]],'Discount Structure'!$A$2:$B$30,2,"false"),0)</f>
        <v>0</v>
      </c>
      <c r="L829" s="194">
        <f>DBparts1[[#This Row],[LIST $]]*DBparts1[[#This Row],[DISCOUNT]]*DBparts1[[#This Row],[DISCOUNT 2]]</f>
        <v>0</v>
      </c>
    </row>
    <row r="830" spans="2:12">
      <c r="B830" s="112"/>
      <c r="C830" s="112"/>
      <c r="D830" s="112"/>
      <c r="F830" s="168" t="s">
        <v>6202</v>
      </c>
      <c r="G830" s="232">
        <f>IF(DBparts1[[#This Row],[Type]]&gt;0,VLOOKUP(DBparts1[[#This Row],[Type]],Main[[#All],[TYPE]:[UNIT]],'Unit Price'!C$1,FALSE),0)</f>
        <v>0</v>
      </c>
      <c r="H830" s="194">
        <f>IF(DBparts1[[#This Row],[Type]]&gt;0,VLOOKUP(DBparts1[[#This Row],[Type]],Main[[#All],[TYPE]:[UNIT]],'Unit Price'!D$1,FALSE),0)</f>
        <v>0</v>
      </c>
      <c r="I830" s="194">
        <f>IF(DBparts1[[#This Row],[Type]]&gt;0,VLOOKUP(DBparts1[[#This Row],[Type]],Main[[#All],[TYPE]:[UNIT]],'Unit Price'!G$1,FALSE),0)</f>
        <v>0</v>
      </c>
      <c r="J830" s="194">
        <f>IF(DBparts1[[#This Row],[Type]]&gt;0,VLOOKUP(DBparts1[[#This Row],[Type]],Main[[#All],[TYPE]:[UNIT]],'Unit Price'!H$1,FALSE),0)</f>
        <v>0</v>
      </c>
      <c r="K830" s="194">
        <f>IF(DBparts1[[#This Row],[Type]]&gt;0,VLOOKUP(DBparts1[[#This Row],[Discount seletion]],'Discount Structure'!$A$2:$B$30,2,"false"),0)</f>
        <v>0</v>
      </c>
      <c r="L830" s="194">
        <f>DBparts1[[#This Row],[LIST $]]*DBparts1[[#This Row],[DISCOUNT]]*DBparts1[[#This Row],[DISCOUNT 2]]</f>
        <v>0</v>
      </c>
    </row>
    <row r="831" spans="2:12">
      <c r="B831" s="112"/>
      <c r="C831" s="112"/>
      <c r="D831" s="112"/>
      <c r="F831" s="168" t="s">
        <v>6202</v>
      </c>
      <c r="G831" s="232">
        <f>IF(DBparts1[[#This Row],[Type]]&gt;0,VLOOKUP(DBparts1[[#This Row],[Type]],Main[[#All],[TYPE]:[UNIT]],'Unit Price'!C$1,FALSE),0)</f>
        <v>0</v>
      </c>
      <c r="H831" s="194">
        <f>IF(DBparts1[[#This Row],[Type]]&gt;0,VLOOKUP(DBparts1[[#This Row],[Type]],Main[[#All],[TYPE]:[UNIT]],'Unit Price'!D$1,FALSE),0)</f>
        <v>0</v>
      </c>
      <c r="I831" s="194">
        <f>IF(DBparts1[[#This Row],[Type]]&gt;0,VLOOKUP(DBparts1[[#This Row],[Type]],Main[[#All],[TYPE]:[UNIT]],'Unit Price'!G$1,FALSE),0)</f>
        <v>0</v>
      </c>
      <c r="J831" s="194">
        <f>IF(DBparts1[[#This Row],[Type]]&gt;0,VLOOKUP(DBparts1[[#This Row],[Type]],Main[[#All],[TYPE]:[UNIT]],'Unit Price'!H$1,FALSE),0)</f>
        <v>0</v>
      </c>
      <c r="K831" s="194">
        <f>IF(DBparts1[[#This Row],[Type]]&gt;0,VLOOKUP(DBparts1[[#This Row],[Discount seletion]],'Discount Structure'!$A$2:$B$30,2,"false"),0)</f>
        <v>0</v>
      </c>
      <c r="L831" s="194">
        <f>DBparts1[[#This Row],[LIST $]]*DBparts1[[#This Row],[DISCOUNT]]*DBparts1[[#This Row],[DISCOUNT 2]]</f>
        <v>0</v>
      </c>
    </row>
    <row r="832" spans="2:12">
      <c r="B832" s="112"/>
      <c r="C832" s="112"/>
      <c r="D832" s="112"/>
      <c r="F832" s="168" t="s">
        <v>6202</v>
      </c>
      <c r="G832" s="232">
        <f>IF(DBparts1[[#This Row],[Type]]&gt;0,VLOOKUP(DBparts1[[#This Row],[Type]],Main[[#All],[TYPE]:[UNIT]],'Unit Price'!C$1,FALSE),0)</f>
        <v>0</v>
      </c>
      <c r="H832" s="194">
        <f>IF(DBparts1[[#This Row],[Type]]&gt;0,VLOOKUP(DBparts1[[#This Row],[Type]],Main[[#All],[TYPE]:[UNIT]],'Unit Price'!D$1,FALSE),0)</f>
        <v>0</v>
      </c>
      <c r="I832" s="194">
        <f>IF(DBparts1[[#This Row],[Type]]&gt;0,VLOOKUP(DBparts1[[#This Row],[Type]],Main[[#All],[TYPE]:[UNIT]],'Unit Price'!G$1,FALSE),0)</f>
        <v>0</v>
      </c>
      <c r="J832" s="194">
        <f>IF(DBparts1[[#This Row],[Type]]&gt;0,VLOOKUP(DBparts1[[#This Row],[Type]],Main[[#All],[TYPE]:[UNIT]],'Unit Price'!H$1,FALSE),0)</f>
        <v>0</v>
      </c>
      <c r="K832" s="194">
        <f>IF(DBparts1[[#This Row],[Type]]&gt;0,VLOOKUP(DBparts1[[#This Row],[Discount seletion]],'Discount Structure'!$A$2:$B$30,2,"false"),0)</f>
        <v>0</v>
      </c>
      <c r="L832" s="194">
        <f>DBparts1[[#This Row],[LIST $]]*DBparts1[[#This Row],[DISCOUNT]]*DBparts1[[#This Row],[DISCOUNT 2]]</f>
        <v>0</v>
      </c>
    </row>
    <row r="833" spans="2:12">
      <c r="B833" s="112"/>
      <c r="C833" s="112"/>
      <c r="D833" s="112"/>
      <c r="F833" s="168" t="s">
        <v>6202</v>
      </c>
      <c r="G833" s="232">
        <f>IF(DBparts1[[#This Row],[Type]]&gt;0,VLOOKUP(DBparts1[[#This Row],[Type]],Main[[#All],[TYPE]:[UNIT]],'Unit Price'!C$1,FALSE),0)</f>
        <v>0</v>
      </c>
      <c r="H833" s="194">
        <f>IF(DBparts1[[#This Row],[Type]]&gt;0,VLOOKUP(DBparts1[[#This Row],[Type]],Main[[#All],[TYPE]:[UNIT]],'Unit Price'!D$1,FALSE),0)</f>
        <v>0</v>
      </c>
      <c r="I833" s="194">
        <f>IF(DBparts1[[#This Row],[Type]]&gt;0,VLOOKUP(DBparts1[[#This Row],[Type]],Main[[#All],[TYPE]:[UNIT]],'Unit Price'!G$1,FALSE),0)</f>
        <v>0</v>
      </c>
      <c r="J833" s="194">
        <f>IF(DBparts1[[#This Row],[Type]]&gt;0,VLOOKUP(DBparts1[[#This Row],[Type]],Main[[#All],[TYPE]:[UNIT]],'Unit Price'!H$1,FALSE),0)</f>
        <v>0</v>
      </c>
      <c r="K833" s="194">
        <f>IF(DBparts1[[#This Row],[Type]]&gt;0,VLOOKUP(DBparts1[[#This Row],[Discount seletion]],'Discount Structure'!$A$2:$B$30,2,"false"),0)</f>
        <v>0</v>
      </c>
      <c r="L833" s="194">
        <f>DBparts1[[#This Row],[LIST $]]*DBparts1[[#This Row],[DISCOUNT]]*DBparts1[[#This Row],[DISCOUNT 2]]</f>
        <v>0</v>
      </c>
    </row>
    <row r="834" spans="2:12">
      <c r="B834" s="112"/>
      <c r="C834" s="112"/>
      <c r="D834" s="112"/>
      <c r="F834" s="168" t="s">
        <v>6202</v>
      </c>
      <c r="G834" s="232">
        <f>IF(DBparts1[[#This Row],[Type]]&gt;0,VLOOKUP(DBparts1[[#This Row],[Type]],Main[[#All],[TYPE]:[UNIT]],'Unit Price'!C$1,FALSE),0)</f>
        <v>0</v>
      </c>
      <c r="H834" s="194">
        <f>IF(DBparts1[[#This Row],[Type]]&gt;0,VLOOKUP(DBparts1[[#This Row],[Type]],Main[[#All],[TYPE]:[UNIT]],'Unit Price'!D$1,FALSE),0)</f>
        <v>0</v>
      </c>
      <c r="I834" s="194">
        <f>IF(DBparts1[[#This Row],[Type]]&gt;0,VLOOKUP(DBparts1[[#This Row],[Type]],Main[[#All],[TYPE]:[UNIT]],'Unit Price'!G$1,FALSE),0)</f>
        <v>0</v>
      </c>
      <c r="J834" s="194">
        <f>IF(DBparts1[[#This Row],[Type]]&gt;0,VLOOKUP(DBparts1[[#This Row],[Type]],Main[[#All],[TYPE]:[UNIT]],'Unit Price'!H$1,FALSE),0)</f>
        <v>0</v>
      </c>
      <c r="K834" s="194">
        <f>IF(DBparts1[[#This Row],[Type]]&gt;0,VLOOKUP(DBparts1[[#This Row],[Discount seletion]],'Discount Structure'!$A$2:$B$30,2,"false"),0)</f>
        <v>0</v>
      </c>
      <c r="L834" s="194">
        <f>DBparts1[[#This Row],[LIST $]]*DBparts1[[#This Row],[DISCOUNT]]*DBparts1[[#This Row],[DISCOUNT 2]]</f>
        <v>0</v>
      </c>
    </row>
    <row r="835" spans="2:12">
      <c r="B835" s="112"/>
      <c r="C835" s="112"/>
      <c r="D835" s="112"/>
      <c r="F835" s="168" t="s">
        <v>6202</v>
      </c>
      <c r="G835" s="232">
        <f>IF(DBparts1[[#This Row],[Type]]&gt;0,VLOOKUP(DBparts1[[#This Row],[Type]],Main[[#All],[TYPE]:[UNIT]],'Unit Price'!C$1,FALSE),0)</f>
        <v>0</v>
      </c>
      <c r="H835" s="194">
        <f>IF(DBparts1[[#This Row],[Type]]&gt;0,VLOOKUP(DBparts1[[#This Row],[Type]],Main[[#All],[TYPE]:[UNIT]],'Unit Price'!D$1,FALSE),0)</f>
        <v>0</v>
      </c>
      <c r="I835" s="194">
        <f>IF(DBparts1[[#This Row],[Type]]&gt;0,VLOOKUP(DBparts1[[#This Row],[Type]],Main[[#All],[TYPE]:[UNIT]],'Unit Price'!G$1,FALSE),0)</f>
        <v>0</v>
      </c>
      <c r="J835" s="194">
        <f>IF(DBparts1[[#This Row],[Type]]&gt;0,VLOOKUP(DBparts1[[#This Row],[Type]],Main[[#All],[TYPE]:[UNIT]],'Unit Price'!H$1,FALSE),0)</f>
        <v>0</v>
      </c>
      <c r="K835" s="194">
        <f>IF(DBparts1[[#This Row],[Type]]&gt;0,VLOOKUP(DBparts1[[#This Row],[Discount seletion]],'Discount Structure'!$A$2:$B$30,2,"false"),0)</f>
        <v>0</v>
      </c>
      <c r="L835" s="194">
        <f>DBparts1[[#This Row],[LIST $]]*DBparts1[[#This Row],[DISCOUNT]]*DBparts1[[#This Row],[DISCOUNT 2]]</f>
        <v>0</v>
      </c>
    </row>
    <row r="836" spans="2:12">
      <c r="B836" s="112"/>
      <c r="C836" s="112"/>
      <c r="D836" s="112"/>
      <c r="F836" s="168" t="s">
        <v>6202</v>
      </c>
      <c r="G836" s="232">
        <f>IF(DBparts1[[#This Row],[Type]]&gt;0,VLOOKUP(DBparts1[[#This Row],[Type]],Main[[#All],[TYPE]:[UNIT]],'Unit Price'!C$1,FALSE),0)</f>
        <v>0</v>
      </c>
      <c r="H836" s="194">
        <f>IF(DBparts1[[#This Row],[Type]]&gt;0,VLOOKUP(DBparts1[[#This Row],[Type]],Main[[#All],[TYPE]:[UNIT]],'Unit Price'!D$1,FALSE),0)</f>
        <v>0</v>
      </c>
      <c r="I836" s="194">
        <f>IF(DBparts1[[#This Row],[Type]]&gt;0,VLOOKUP(DBparts1[[#This Row],[Type]],Main[[#All],[TYPE]:[UNIT]],'Unit Price'!G$1,FALSE),0)</f>
        <v>0</v>
      </c>
      <c r="J836" s="194">
        <f>IF(DBparts1[[#This Row],[Type]]&gt;0,VLOOKUP(DBparts1[[#This Row],[Type]],Main[[#All],[TYPE]:[UNIT]],'Unit Price'!H$1,FALSE),0)</f>
        <v>0</v>
      </c>
      <c r="K836" s="194">
        <f>IF(DBparts1[[#This Row],[Type]]&gt;0,VLOOKUP(DBparts1[[#This Row],[Discount seletion]],'Discount Structure'!$A$2:$B$30,2,"false"),0)</f>
        <v>0</v>
      </c>
      <c r="L836" s="194">
        <f>DBparts1[[#This Row],[LIST $]]*DBparts1[[#This Row],[DISCOUNT]]*DBparts1[[#This Row],[DISCOUNT 2]]</f>
        <v>0</v>
      </c>
    </row>
    <row r="837" spans="2:12">
      <c r="B837" s="112"/>
      <c r="C837" s="112"/>
      <c r="D837" s="112"/>
      <c r="F837" s="168" t="s">
        <v>6202</v>
      </c>
      <c r="G837" s="232">
        <f>IF(DBparts1[[#This Row],[Type]]&gt;0,VLOOKUP(DBparts1[[#This Row],[Type]],Main[[#All],[TYPE]:[UNIT]],'Unit Price'!C$1,FALSE),0)</f>
        <v>0</v>
      </c>
      <c r="H837" s="194">
        <f>IF(DBparts1[[#This Row],[Type]]&gt;0,VLOOKUP(DBparts1[[#This Row],[Type]],Main[[#All],[TYPE]:[UNIT]],'Unit Price'!D$1,FALSE),0)</f>
        <v>0</v>
      </c>
      <c r="I837" s="194">
        <f>IF(DBparts1[[#This Row],[Type]]&gt;0,VLOOKUP(DBparts1[[#This Row],[Type]],Main[[#All],[TYPE]:[UNIT]],'Unit Price'!G$1,FALSE),0)</f>
        <v>0</v>
      </c>
      <c r="J837" s="194">
        <f>IF(DBparts1[[#This Row],[Type]]&gt;0,VLOOKUP(DBparts1[[#This Row],[Type]],Main[[#All],[TYPE]:[UNIT]],'Unit Price'!H$1,FALSE),0)</f>
        <v>0</v>
      </c>
      <c r="K837" s="194">
        <f>IF(DBparts1[[#This Row],[Type]]&gt;0,VLOOKUP(DBparts1[[#This Row],[Discount seletion]],'Discount Structure'!$A$2:$B$30,2,"false"),0)</f>
        <v>0</v>
      </c>
      <c r="L837" s="194">
        <f>DBparts1[[#This Row],[LIST $]]*DBparts1[[#This Row],[DISCOUNT]]*DBparts1[[#This Row],[DISCOUNT 2]]</f>
        <v>0</v>
      </c>
    </row>
    <row r="838" spans="2:12">
      <c r="B838" s="112"/>
      <c r="C838" s="112"/>
      <c r="D838" s="112"/>
      <c r="F838" s="168" t="s">
        <v>6202</v>
      </c>
      <c r="G838" s="232">
        <f>IF(DBparts1[[#This Row],[Type]]&gt;0,VLOOKUP(DBparts1[[#This Row],[Type]],Main[[#All],[TYPE]:[UNIT]],'Unit Price'!C$1,FALSE),0)</f>
        <v>0</v>
      </c>
      <c r="H838" s="194">
        <f>IF(DBparts1[[#This Row],[Type]]&gt;0,VLOOKUP(DBparts1[[#This Row],[Type]],Main[[#All],[TYPE]:[UNIT]],'Unit Price'!D$1,FALSE),0)</f>
        <v>0</v>
      </c>
      <c r="I838" s="194">
        <f>IF(DBparts1[[#This Row],[Type]]&gt;0,VLOOKUP(DBparts1[[#This Row],[Type]],Main[[#All],[TYPE]:[UNIT]],'Unit Price'!G$1,FALSE),0)</f>
        <v>0</v>
      </c>
      <c r="J838" s="194">
        <f>IF(DBparts1[[#This Row],[Type]]&gt;0,VLOOKUP(DBparts1[[#This Row],[Type]],Main[[#All],[TYPE]:[UNIT]],'Unit Price'!H$1,FALSE),0)</f>
        <v>0</v>
      </c>
      <c r="K838" s="194">
        <f>IF(DBparts1[[#This Row],[Type]]&gt;0,VLOOKUP(DBparts1[[#This Row],[Discount seletion]],'Discount Structure'!$A$2:$B$30,2,"false"),0)</f>
        <v>0</v>
      </c>
      <c r="L838" s="194">
        <f>DBparts1[[#This Row],[LIST $]]*DBparts1[[#This Row],[DISCOUNT]]*DBparts1[[#This Row],[DISCOUNT 2]]</f>
        <v>0</v>
      </c>
    </row>
    <row r="839" spans="2:12">
      <c r="B839" s="112"/>
      <c r="C839" s="112"/>
      <c r="D839" s="112"/>
      <c r="F839" s="168" t="s">
        <v>6202</v>
      </c>
      <c r="G839" s="232">
        <f>IF(DBparts1[[#This Row],[Type]]&gt;0,VLOOKUP(DBparts1[[#This Row],[Type]],Main[[#All],[TYPE]:[UNIT]],'Unit Price'!C$1,FALSE),0)</f>
        <v>0</v>
      </c>
      <c r="H839" s="194">
        <f>IF(DBparts1[[#This Row],[Type]]&gt;0,VLOOKUP(DBparts1[[#This Row],[Type]],Main[[#All],[TYPE]:[UNIT]],'Unit Price'!D$1,FALSE),0)</f>
        <v>0</v>
      </c>
      <c r="I839" s="194">
        <f>IF(DBparts1[[#This Row],[Type]]&gt;0,VLOOKUP(DBparts1[[#This Row],[Type]],Main[[#All],[TYPE]:[UNIT]],'Unit Price'!G$1,FALSE),0)</f>
        <v>0</v>
      </c>
      <c r="J839" s="194">
        <f>IF(DBparts1[[#This Row],[Type]]&gt;0,VLOOKUP(DBparts1[[#This Row],[Type]],Main[[#All],[TYPE]:[UNIT]],'Unit Price'!H$1,FALSE),0)</f>
        <v>0</v>
      </c>
      <c r="K839" s="194">
        <f>IF(DBparts1[[#This Row],[Type]]&gt;0,VLOOKUP(DBparts1[[#This Row],[Discount seletion]],'Discount Structure'!$A$2:$B$30,2,"false"),0)</f>
        <v>0</v>
      </c>
      <c r="L839" s="194">
        <f>DBparts1[[#This Row],[LIST $]]*DBparts1[[#This Row],[DISCOUNT]]*DBparts1[[#This Row],[DISCOUNT 2]]</f>
        <v>0</v>
      </c>
    </row>
    <row r="840" spans="2:12">
      <c r="B840" s="112"/>
      <c r="C840" s="112"/>
      <c r="D840" s="112"/>
      <c r="F840" s="168" t="s">
        <v>6202</v>
      </c>
      <c r="G840" s="232">
        <f>IF(DBparts1[[#This Row],[Type]]&gt;0,VLOOKUP(DBparts1[[#This Row],[Type]],Main[[#All],[TYPE]:[UNIT]],'Unit Price'!C$1,FALSE),0)</f>
        <v>0</v>
      </c>
      <c r="H840" s="194">
        <f>IF(DBparts1[[#This Row],[Type]]&gt;0,VLOOKUP(DBparts1[[#This Row],[Type]],Main[[#All],[TYPE]:[UNIT]],'Unit Price'!D$1,FALSE),0)</f>
        <v>0</v>
      </c>
      <c r="I840" s="194">
        <f>IF(DBparts1[[#This Row],[Type]]&gt;0,VLOOKUP(DBparts1[[#This Row],[Type]],Main[[#All],[TYPE]:[UNIT]],'Unit Price'!G$1,FALSE),0)</f>
        <v>0</v>
      </c>
      <c r="J840" s="194">
        <f>IF(DBparts1[[#This Row],[Type]]&gt;0,VLOOKUP(DBparts1[[#This Row],[Type]],Main[[#All],[TYPE]:[UNIT]],'Unit Price'!H$1,FALSE),0)</f>
        <v>0</v>
      </c>
      <c r="K840" s="194">
        <f>IF(DBparts1[[#This Row],[Type]]&gt;0,VLOOKUP(DBparts1[[#This Row],[Discount seletion]],'Discount Structure'!$A$2:$B$30,2,"false"),0)</f>
        <v>0</v>
      </c>
      <c r="L840" s="194">
        <f>DBparts1[[#This Row],[LIST $]]*DBparts1[[#This Row],[DISCOUNT]]*DBparts1[[#This Row],[DISCOUNT 2]]</f>
        <v>0</v>
      </c>
    </row>
    <row r="841" spans="2:12">
      <c r="B841" s="112"/>
      <c r="C841" s="112"/>
      <c r="D841" s="112"/>
      <c r="F841" s="168" t="s">
        <v>6202</v>
      </c>
      <c r="G841" s="232">
        <f>IF(DBparts1[[#This Row],[Type]]&gt;0,VLOOKUP(DBparts1[[#This Row],[Type]],Main[[#All],[TYPE]:[UNIT]],'Unit Price'!C$1,FALSE),0)</f>
        <v>0</v>
      </c>
      <c r="H841" s="194">
        <f>IF(DBparts1[[#This Row],[Type]]&gt;0,VLOOKUP(DBparts1[[#This Row],[Type]],Main[[#All],[TYPE]:[UNIT]],'Unit Price'!D$1,FALSE),0)</f>
        <v>0</v>
      </c>
      <c r="I841" s="194">
        <f>IF(DBparts1[[#This Row],[Type]]&gt;0,VLOOKUP(DBparts1[[#This Row],[Type]],Main[[#All],[TYPE]:[UNIT]],'Unit Price'!G$1,FALSE),0)</f>
        <v>0</v>
      </c>
      <c r="J841" s="194">
        <f>IF(DBparts1[[#This Row],[Type]]&gt;0,VLOOKUP(DBparts1[[#This Row],[Type]],Main[[#All],[TYPE]:[UNIT]],'Unit Price'!H$1,FALSE),0)</f>
        <v>0</v>
      </c>
      <c r="K841" s="194">
        <f>IF(DBparts1[[#This Row],[Type]]&gt;0,VLOOKUP(DBparts1[[#This Row],[Discount seletion]],'Discount Structure'!$A$2:$B$30,2,"false"),0)</f>
        <v>0</v>
      </c>
      <c r="L841" s="194">
        <f>DBparts1[[#This Row],[LIST $]]*DBparts1[[#This Row],[DISCOUNT]]*DBparts1[[#This Row],[DISCOUNT 2]]</f>
        <v>0</v>
      </c>
    </row>
    <row r="842" spans="2:12">
      <c r="B842" s="112"/>
      <c r="C842" s="112"/>
      <c r="D842" s="112"/>
      <c r="F842" s="168" t="s">
        <v>6202</v>
      </c>
      <c r="G842" s="232">
        <f>IF(DBparts1[[#This Row],[Type]]&gt;0,VLOOKUP(DBparts1[[#This Row],[Type]],Main[[#All],[TYPE]:[UNIT]],'Unit Price'!C$1,FALSE),0)</f>
        <v>0</v>
      </c>
      <c r="H842" s="194">
        <f>IF(DBparts1[[#This Row],[Type]]&gt;0,VLOOKUP(DBparts1[[#This Row],[Type]],Main[[#All],[TYPE]:[UNIT]],'Unit Price'!D$1,FALSE),0)</f>
        <v>0</v>
      </c>
      <c r="I842" s="194">
        <f>IF(DBparts1[[#This Row],[Type]]&gt;0,VLOOKUP(DBparts1[[#This Row],[Type]],Main[[#All],[TYPE]:[UNIT]],'Unit Price'!G$1,FALSE),0)</f>
        <v>0</v>
      </c>
      <c r="J842" s="194">
        <f>IF(DBparts1[[#This Row],[Type]]&gt;0,VLOOKUP(DBparts1[[#This Row],[Type]],Main[[#All],[TYPE]:[UNIT]],'Unit Price'!H$1,FALSE),0)</f>
        <v>0</v>
      </c>
      <c r="K842" s="194">
        <f>IF(DBparts1[[#This Row],[Type]]&gt;0,VLOOKUP(DBparts1[[#This Row],[Discount seletion]],'Discount Structure'!$A$2:$B$30,2,"false"),0)</f>
        <v>0</v>
      </c>
      <c r="L842" s="194">
        <f>DBparts1[[#This Row],[LIST $]]*DBparts1[[#This Row],[DISCOUNT]]*DBparts1[[#This Row],[DISCOUNT 2]]</f>
        <v>0</v>
      </c>
    </row>
    <row r="843" spans="2:12">
      <c r="B843" s="112"/>
      <c r="C843" s="112"/>
      <c r="D843" s="112"/>
      <c r="F843" s="168" t="s">
        <v>6202</v>
      </c>
      <c r="G843" s="232">
        <f>IF(DBparts1[[#This Row],[Type]]&gt;0,VLOOKUP(DBparts1[[#This Row],[Type]],Main[[#All],[TYPE]:[UNIT]],'Unit Price'!C$1,FALSE),0)</f>
        <v>0</v>
      </c>
      <c r="H843" s="194">
        <f>IF(DBparts1[[#This Row],[Type]]&gt;0,VLOOKUP(DBparts1[[#This Row],[Type]],Main[[#All],[TYPE]:[UNIT]],'Unit Price'!D$1,FALSE),0)</f>
        <v>0</v>
      </c>
      <c r="I843" s="194">
        <f>IF(DBparts1[[#This Row],[Type]]&gt;0,VLOOKUP(DBparts1[[#This Row],[Type]],Main[[#All],[TYPE]:[UNIT]],'Unit Price'!G$1,FALSE),0)</f>
        <v>0</v>
      </c>
      <c r="J843" s="194">
        <f>IF(DBparts1[[#This Row],[Type]]&gt;0,VLOOKUP(DBparts1[[#This Row],[Type]],Main[[#All],[TYPE]:[UNIT]],'Unit Price'!H$1,FALSE),0)</f>
        <v>0</v>
      </c>
      <c r="K843" s="194">
        <f>IF(DBparts1[[#This Row],[Type]]&gt;0,VLOOKUP(DBparts1[[#This Row],[Discount seletion]],'Discount Structure'!$A$2:$B$30,2,"false"),0)</f>
        <v>0</v>
      </c>
      <c r="L843" s="194">
        <f>DBparts1[[#This Row],[LIST $]]*DBparts1[[#This Row],[DISCOUNT]]*DBparts1[[#This Row],[DISCOUNT 2]]</f>
        <v>0</v>
      </c>
    </row>
    <row r="844" spans="2:12">
      <c r="B844" s="112"/>
      <c r="C844" s="112"/>
      <c r="D844" s="112"/>
      <c r="F844" s="168" t="s">
        <v>6202</v>
      </c>
      <c r="G844" s="232">
        <f>IF(DBparts1[[#This Row],[Type]]&gt;0,VLOOKUP(DBparts1[[#This Row],[Type]],Main[[#All],[TYPE]:[UNIT]],'Unit Price'!C$1,FALSE),0)</f>
        <v>0</v>
      </c>
      <c r="H844" s="194">
        <f>IF(DBparts1[[#This Row],[Type]]&gt;0,VLOOKUP(DBparts1[[#This Row],[Type]],Main[[#All],[TYPE]:[UNIT]],'Unit Price'!D$1,FALSE),0)</f>
        <v>0</v>
      </c>
      <c r="I844" s="194">
        <f>IF(DBparts1[[#This Row],[Type]]&gt;0,VLOOKUP(DBparts1[[#This Row],[Type]],Main[[#All],[TYPE]:[UNIT]],'Unit Price'!G$1,FALSE),0)</f>
        <v>0</v>
      </c>
      <c r="J844" s="194">
        <f>IF(DBparts1[[#This Row],[Type]]&gt;0,VLOOKUP(DBparts1[[#This Row],[Type]],Main[[#All],[TYPE]:[UNIT]],'Unit Price'!H$1,FALSE),0)</f>
        <v>0</v>
      </c>
      <c r="K844" s="194">
        <f>IF(DBparts1[[#This Row],[Type]]&gt;0,VLOOKUP(DBparts1[[#This Row],[Discount seletion]],'Discount Structure'!$A$2:$B$30,2,"false"),0)</f>
        <v>0</v>
      </c>
      <c r="L844" s="194">
        <f>DBparts1[[#This Row],[LIST $]]*DBparts1[[#This Row],[DISCOUNT]]*DBparts1[[#This Row],[DISCOUNT 2]]</f>
        <v>0</v>
      </c>
    </row>
    <row r="845" spans="2:12">
      <c r="B845" s="112"/>
      <c r="C845" s="112"/>
      <c r="D845" s="112"/>
      <c r="F845" s="168" t="s">
        <v>6202</v>
      </c>
      <c r="G845" s="232">
        <f>IF(DBparts1[[#This Row],[Type]]&gt;0,VLOOKUP(DBparts1[[#This Row],[Type]],Main[[#All],[TYPE]:[UNIT]],'Unit Price'!C$1,FALSE),0)</f>
        <v>0</v>
      </c>
      <c r="H845" s="194">
        <f>IF(DBparts1[[#This Row],[Type]]&gt;0,VLOOKUP(DBparts1[[#This Row],[Type]],Main[[#All],[TYPE]:[UNIT]],'Unit Price'!D$1,FALSE),0)</f>
        <v>0</v>
      </c>
      <c r="I845" s="194">
        <f>IF(DBparts1[[#This Row],[Type]]&gt;0,VLOOKUP(DBparts1[[#This Row],[Type]],Main[[#All],[TYPE]:[UNIT]],'Unit Price'!G$1,FALSE),0)</f>
        <v>0</v>
      </c>
      <c r="J845" s="194">
        <f>IF(DBparts1[[#This Row],[Type]]&gt;0,VLOOKUP(DBparts1[[#This Row],[Type]],Main[[#All],[TYPE]:[UNIT]],'Unit Price'!H$1,FALSE),0)</f>
        <v>0</v>
      </c>
      <c r="K845" s="194">
        <f>IF(DBparts1[[#This Row],[Type]]&gt;0,VLOOKUP(DBparts1[[#This Row],[Discount seletion]],'Discount Structure'!$A$2:$B$30,2,"false"),0)</f>
        <v>0</v>
      </c>
      <c r="L845" s="194">
        <f>DBparts1[[#This Row],[LIST $]]*DBparts1[[#This Row],[DISCOUNT]]*DBparts1[[#This Row],[DISCOUNT 2]]</f>
        <v>0</v>
      </c>
    </row>
    <row r="846" spans="2:12">
      <c r="B846" s="112"/>
      <c r="C846" s="112"/>
      <c r="D846" s="112"/>
      <c r="F846" s="168" t="s">
        <v>6202</v>
      </c>
      <c r="G846" s="232">
        <f>IF(DBparts1[[#This Row],[Type]]&gt;0,VLOOKUP(DBparts1[[#This Row],[Type]],Main[[#All],[TYPE]:[UNIT]],'Unit Price'!C$1,FALSE),0)</f>
        <v>0</v>
      </c>
      <c r="H846" s="194">
        <f>IF(DBparts1[[#This Row],[Type]]&gt;0,VLOOKUP(DBparts1[[#This Row],[Type]],Main[[#All],[TYPE]:[UNIT]],'Unit Price'!D$1,FALSE),0)</f>
        <v>0</v>
      </c>
      <c r="I846" s="194">
        <f>IF(DBparts1[[#This Row],[Type]]&gt;0,VLOOKUP(DBparts1[[#This Row],[Type]],Main[[#All],[TYPE]:[UNIT]],'Unit Price'!G$1,FALSE),0)</f>
        <v>0</v>
      </c>
      <c r="J846" s="194">
        <f>IF(DBparts1[[#This Row],[Type]]&gt;0,VLOOKUP(DBparts1[[#This Row],[Type]],Main[[#All],[TYPE]:[UNIT]],'Unit Price'!H$1,FALSE),0)</f>
        <v>0</v>
      </c>
      <c r="K846" s="194">
        <f>IF(DBparts1[[#This Row],[Type]]&gt;0,VLOOKUP(DBparts1[[#This Row],[Discount seletion]],'Discount Structure'!$A$2:$B$30,2,"false"),0)</f>
        <v>0</v>
      </c>
      <c r="L846" s="194">
        <f>DBparts1[[#This Row],[LIST $]]*DBparts1[[#This Row],[DISCOUNT]]*DBparts1[[#This Row],[DISCOUNT 2]]</f>
        <v>0</v>
      </c>
    </row>
    <row r="847" spans="2:12">
      <c r="B847" s="112"/>
      <c r="C847" s="112"/>
      <c r="D847" s="112"/>
      <c r="F847" s="168" t="s">
        <v>6202</v>
      </c>
      <c r="G847" s="232">
        <f>IF(DBparts1[[#This Row],[Type]]&gt;0,VLOOKUP(DBparts1[[#This Row],[Type]],Main[[#All],[TYPE]:[UNIT]],'Unit Price'!C$1,FALSE),0)</f>
        <v>0</v>
      </c>
      <c r="H847" s="194">
        <f>IF(DBparts1[[#This Row],[Type]]&gt;0,VLOOKUP(DBparts1[[#This Row],[Type]],Main[[#All],[TYPE]:[UNIT]],'Unit Price'!D$1,FALSE),0)</f>
        <v>0</v>
      </c>
      <c r="I847" s="194">
        <f>IF(DBparts1[[#This Row],[Type]]&gt;0,VLOOKUP(DBparts1[[#This Row],[Type]],Main[[#All],[TYPE]:[UNIT]],'Unit Price'!G$1,FALSE),0)</f>
        <v>0</v>
      </c>
      <c r="J847" s="194">
        <f>IF(DBparts1[[#This Row],[Type]]&gt;0,VLOOKUP(DBparts1[[#This Row],[Type]],Main[[#All],[TYPE]:[UNIT]],'Unit Price'!H$1,FALSE),0)</f>
        <v>0</v>
      </c>
      <c r="K847" s="194">
        <f>IF(DBparts1[[#This Row],[Type]]&gt;0,VLOOKUP(DBparts1[[#This Row],[Discount seletion]],'Discount Structure'!$A$2:$B$30,2,"false"),0)</f>
        <v>0</v>
      </c>
      <c r="L847" s="194">
        <f>DBparts1[[#This Row],[LIST $]]*DBparts1[[#This Row],[DISCOUNT]]*DBparts1[[#This Row],[DISCOUNT 2]]</f>
        <v>0</v>
      </c>
    </row>
    <row r="848" spans="2:12">
      <c r="B848" s="112"/>
      <c r="C848" s="112"/>
      <c r="D848" s="112"/>
      <c r="F848" s="168" t="s">
        <v>6202</v>
      </c>
      <c r="G848" s="232">
        <f>IF(DBparts1[[#This Row],[Type]]&gt;0,VLOOKUP(DBparts1[[#This Row],[Type]],Main[[#All],[TYPE]:[UNIT]],'Unit Price'!C$1,FALSE),0)</f>
        <v>0</v>
      </c>
      <c r="H848" s="194">
        <f>IF(DBparts1[[#This Row],[Type]]&gt;0,VLOOKUP(DBparts1[[#This Row],[Type]],Main[[#All],[TYPE]:[UNIT]],'Unit Price'!D$1,FALSE),0)</f>
        <v>0</v>
      </c>
      <c r="I848" s="194">
        <f>IF(DBparts1[[#This Row],[Type]]&gt;0,VLOOKUP(DBparts1[[#This Row],[Type]],Main[[#All],[TYPE]:[UNIT]],'Unit Price'!G$1,FALSE),0)</f>
        <v>0</v>
      </c>
      <c r="J848" s="194">
        <f>IF(DBparts1[[#This Row],[Type]]&gt;0,VLOOKUP(DBparts1[[#This Row],[Type]],Main[[#All],[TYPE]:[UNIT]],'Unit Price'!H$1,FALSE),0)</f>
        <v>0</v>
      </c>
      <c r="K848" s="194">
        <f>IF(DBparts1[[#This Row],[Type]]&gt;0,VLOOKUP(DBparts1[[#This Row],[Discount seletion]],'Discount Structure'!$A$2:$B$30,2,"false"),0)</f>
        <v>0</v>
      </c>
      <c r="L848" s="194">
        <f>DBparts1[[#This Row],[LIST $]]*DBparts1[[#This Row],[DISCOUNT]]*DBparts1[[#This Row],[DISCOUNT 2]]</f>
        <v>0</v>
      </c>
    </row>
    <row r="849" spans="2:12">
      <c r="B849" s="112"/>
      <c r="C849" s="112"/>
      <c r="D849" s="112"/>
      <c r="F849" s="168" t="s">
        <v>6202</v>
      </c>
      <c r="G849" s="232">
        <f>IF(DBparts1[[#This Row],[Type]]&gt;0,VLOOKUP(DBparts1[[#This Row],[Type]],Main[[#All],[TYPE]:[UNIT]],'Unit Price'!C$1,FALSE),0)</f>
        <v>0</v>
      </c>
      <c r="H849" s="194">
        <f>IF(DBparts1[[#This Row],[Type]]&gt;0,VLOOKUP(DBparts1[[#This Row],[Type]],Main[[#All],[TYPE]:[UNIT]],'Unit Price'!D$1,FALSE),0)</f>
        <v>0</v>
      </c>
      <c r="I849" s="194">
        <f>IF(DBparts1[[#This Row],[Type]]&gt;0,VLOOKUP(DBparts1[[#This Row],[Type]],Main[[#All],[TYPE]:[UNIT]],'Unit Price'!G$1,FALSE),0)</f>
        <v>0</v>
      </c>
      <c r="J849" s="194">
        <f>IF(DBparts1[[#This Row],[Type]]&gt;0,VLOOKUP(DBparts1[[#This Row],[Type]],Main[[#All],[TYPE]:[UNIT]],'Unit Price'!H$1,FALSE),0)</f>
        <v>0</v>
      </c>
      <c r="K849" s="194">
        <f>IF(DBparts1[[#This Row],[Type]]&gt;0,VLOOKUP(DBparts1[[#This Row],[Discount seletion]],'Discount Structure'!$A$2:$B$30,2,"false"),0)</f>
        <v>0</v>
      </c>
      <c r="L849" s="194">
        <f>DBparts1[[#This Row],[LIST $]]*DBparts1[[#This Row],[DISCOUNT]]*DBparts1[[#This Row],[DISCOUNT 2]]</f>
        <v>0</v>
      </c>
    </row>
    <row r="850" spans="2:12">
      <c r="B850" s="112"/>
      <c r="C850" s="112"/>
      <c r="D850" s="112"/>
      <c r="F850" s="168" t="s">
        <v>6202</v>
      </c>
      <c r="G850" s="232">
        <f>IF(DBparts1[[#This Row],[Type]]&gt;0,VLOOKUP(DBparts1[[#This Row],[Type]],Main[[#All],[TYPE]:[UNIT]],'Unit Price'!C$1,FALSE),0)</f>
        <v>0</v>
      </c>
      <c r="H850" s="194">
        <f>IF(DBparts1[[#This Row],[Type]]&gt;0,VLOOKUP(DBparts1[[#This Row],[Type]],Main[[#All],[TYPE]:[UNIT]],'Unit Price'!D$1,FALSE),0)</f>
        <v>0</v>
      </c>
      <c r="I850" s="194">
        <f>IF(DBparts1[[#This Row],[Type]]&gt;0,VLOOKUP(DBparts1[[#This Row],[Type]],Main[[#All],[TYPE]:[UNIT]],'Unit Price'!G$1,FALSE),0)</f>
        <v>0</v>
      </c>
      <c r="J850" s="194">
        <f>IF(DBparts1[[#This Row],[Type]]&gt;0,VLOOKUP(DBparts1[[#This Row],[Type]],Main[[#All],[TYPE]:[UNIT]],'Unit Price'!H$1,FALSE),0)</f>
        <v>0</v>
      </c>
      <c r="K850" s="194">
        <f>IF(DBparts1[[#This Row],[Type]]&gt;0,VLOOKUP(DBparts1[[#This Row],[Discount seletion]],'Discount Structure'!$A$2:$B$30,2,"false"),0)</f>
        <v>0</v>
      </c>
      <c r="L850" s="194">
        <f>DBparts1[[#This Row],[LIST $]]*DBparts1[[#This Row],[DISCOUNT]]*DBparts1[[#This Row],[DISCOUNT 2]]</f>
        <v>0</v>
      </c>
    </row>
    <row r="851" spans="2:12">
      <c r="B851" s="112"/>
      <c r="C851" s="112"/>
      <c r="D851" s="112"/>
      <c r="F851" s="168" t="s">
        <v>6202</v>
      </c>
      <c r="G851" s="232">
        <f>IF(DBparts1[[#This Row],[Type]]&gt;0,VLOOKUP(DBparts1[[#This Row],[Type]],Main[[#All],[TYPE]:[UNIT]],'Unit Price'!C$1,FALSE),0)</f>
        <v>0</v>
      </c>
      <c r="H851" s="194">
        <f>IF(DBparts1[[#This Row],[Type]]&gt;0,VLOOKUP(DBparts1[[#This Row],[Type]],Main[[#All],[TYPE]:[UNIT]],'Unit Price'!D$1,FALSE),0)</f>
        <v>0</v>
      </c>
      <c r="I851" s="194">
        <f>IF(DBparts1[[#This Row],[Type]]&gt;0,VLOOKUP(DBparts1[[#This Row],[Type]],Main[[#All],[TYPE]:[UNIT]],'Unit Price'!G$1,FALSE),0)</f>
        <v>0</v>
      </c>
      <c r="J851" s="194">
        <f>IF(DBparts1[[#This Row],[Type]]&gt;0,VLOOKUP(DBparts1[[#This Row],[Type]],Main[[#All],[TYPE]:[UNIT]],'Unit Price'!H$1,FALSE),0)</f>
        <v>0</v>
      </c>
      <c r="K851" s="194">
        <f>IF(DBparts1[[#This Row],[Type]]&gt;0,VLOOKUP(DBparts1[[#This Row],[Discount seletion]],'Discount Structure'!$A$2:$B$30,2,"false"),0)</f>
        <v>0</v>
      </c>
      <c r="L851" s="194">
        <f>DBparts1[[#This Row],[LIST $]]*DBparts1[[#This Row],[DISCOUNT]]*DBparts1[[#This Row],[DISCOUNT 2]]</f>
        <v>0</v>
      </c>
    </row>
    <row r="852" spans="2:12">
      <c r="B852" s="112"/>
      <c r="C852" s="112"/>
      <c r="D852" s="112"/>
      <c r="F852" s="168" t="s">
        <v>6202</v>
      </c>
      <c r="G852" s="232">
        <f>IF(DBparts1[[#This Row],[Type]]&gt;0,VLOOKUP(DBparts1[[#This Row],[Type]],Main[[#All],[TYPE]:[UNIT]],'Unit Price'!C$1,FALSE),0)</f>
        <v>0</v>
      </c>
      <c r="H852" s="194">
        <f>IF(DBparts1[[#This Row],[Type]]&gt;0,VLOOKUP(DBparts1[[#This Row],[Type]],Main[[#All],[TYPE]:[UNIT]],'Unit Price'!D$1,FALSE),0)</f>
        <v>0</v>
      </c>
      <c r="I852" s="194">
        <f>IF(DBparts1[[#This Row],[Type]]&gt;0,VLOOKUP(DBparts1[[#This Row],[Type]],Main[[#All],[TYPE]:[UNIT]],'Unit Price'!G$1,FALSE),0)</f>
        <v>0</v>
      </c>
      <c r="J852" s="194">
        <f>IF(DBparts1[[#This Row],[Type]]&gt;0,VLOOKUP(DBparts1[[#This Row],[Type]],Main[[#All],[TYPE]:[UNIT]],'Unit Price'!H$1,FALSE),0)</f>
        <v>0</v>
      </c>
      <c r="K852" s="194">
        <f>IF(DBparts1[[#This Row],[Type]]&gt;0,VLOOKUP(DBparts1[[#This Row],[Discount seletion]],'Discount Structure'!$A$2:$B$30,2,"false"),0)</f>
        <v>0</v>
      </c>
      <c r="L852" s="194">
        <f>DBparts1[[#This Row],[LIST $]]*DBparts1[[#This Row],[DISCOUNT]]*DBparts1[[#This Row],[DISCOUNT 2]]</f>
        <v>0</v>
      </c>
    </row>
    <row r="853" spans="2:12">
      <c r="B853" s="112"/>
      <c r="C853" s="112"/>
      <c r="D853" s="112"/>
      <c r="F853" s="168" t="s">
        <v>6202</v>
      </c>
      <c r="G853" s="232">
        <f>IF(DBparts1[[#This Row],[Type]]&gt;0,VLOOKUP(DBparts1[[#This Row],[Type]],Main[[#All],[TYPE]:[UNIT]],'Unit Price'!C$1,FALSE),0)</f>
        <v>0</v>
      </c>
      <c r="H853" s="194">
        <f>IF(DBparts1[[#This Row],[Type]]&gt;0,VLOOKUP(DBparts1[[#This Row],[Type]],Main[[#All],[TYPE]:[UNIT]],'Unit Price'!D$1,FALSE),0)</f>
        <v>0</v>
      </c>
      <c r="I853" s="194">
        <f>IF(DBparts1[[#This Row],[Type]]&gt;0,VLOOKUP(DBparts1[[#This Row],[Type]],Main[[#All],[TYPE]:[UNIT]],'Unit Price'!G$1,FALSE),0)</f>
        <v>0</v>
      </c>
      <c r="J853" s="194">
        <f>IF(DBparts1[[#This Row],[Type]]&gt;0,VLOOKUP(DBparts1[[#This Row],[Type]],Main[[#All],[TYPE]:[UNIT]],'Unit Price'!H$1,FALSE),0)</f>
        <v>0</v>
      </c>
      <c r="K853" s="194">
        <f>IF(DBparts1[[#This Row],[Type]]&gt;0,VLOOKUP(DBparts1[[#This Row],[Discount seletion]],'Discount Structure'!$A$2:$B$30,2,"false"),0)</f>
        <v>0</v>
      </c>
      <c r="L853" s="194">
        <f>DBparts1[[#This Row],[LIST $]]*DBparts1[[#This Row],[DISCOUNT]]*DBparts1[[#This Row],[DISCOUNT 2]]</f>
        <v>0</v>
      </c>
    </row>
    <row r="854" spans="2:12">
      <c r="B854" s="112"/>
      <c r="C854" s="112"/>
      <c r="D854" s="112"/>
      <c r="F854" s="168" t="s">
        <v>6202</v>
      </c>
      <c r="G854" s="232">
        <f>IF(DBparts1[[#This Row],[Type]]&gt;0,VLOOKUP(DBparts1[[#This Row],[Type]],Main[[#All],[TYPE]:[UNIT]],'Unit Price'!C$1,FALSE),0)</f>
        <v>0</v>
      </c>
      <c r="H854" s="194">
        <f>IF(DBparts1[[#This Row],[Type]]&gt;0,VLOOKUP(DBparts1[[#This Row],[Type]],Main[[#All],[TYPE]:[UNIT]],'Unit Price'!D$1,FALSE),0)</f>
        <v>0</v>
      </c>
      <c r="I854" s="194">
        <f>IF(DBparts1[[#This Row],[Type]]&gt;0,VLOOKUP(DBparts1[[#This Row],[Type]],Main[[#All],[TYPE]:[UNIT]],'Unit Price'!G$1,FALSE),0)</f>
        <v>0</v>
      </c>
      <c r="J854" s="194">
        <f>IF(DBparts1[[#This Row],[Type]]&gt;0,VLOOKUP(DBparts1[[#This Row],[Type]],Main[[#All],[TYPE]:[UNIT]],'Unit Price'!H$1,FALSE),0)</f>
        <v>0</v>
      </c>
      <c r="K854" s="194">
        <f>IF(DBparts1[[#This Row],[Type]]&gt;0,VLOOKUP(DBparts1[[#This Row],[Discount seletion]],'Discount Structure'!$A$2:$B$30,2,"false"),0)</f>
        <v>0</v>
      </c>
      <c r="L854" s="194">
        <f>DBparts1[[#This Row],[LIST $]]*DBparts1[[#This Row],[DISCOUNT]]*DBparts1[[#This Row],[DISCOUNT 2]]</f>
        <v>0</v>
      </c>
    </row>
    <row r="855" spans="2:12">
      <c r="B855" s="112"/>
      <c r="C855" s="112"/>
      <c r="D855" s="112"/>
      <c r="F855" s="168" t="s">
        <v>6202</v>
      </c>
      <c r="G855" s="232">
        <f>IF(DBparts1[[#This Row],[Type]]&gt;0,VLOOKUP(DBparts1[[#This Row],[Type]],Main[[#All],[TYPE]:[UNIT]],'Unit Price'!C$1,FALSE),0)</f>
        <v>0</v>
      </c>
      <c r="H855" s="194">
        <f>IF(DBparts1[[#This Row],[Type]]&gt;0,VLOOKUP(DBparts1[[#This Row],[Type]],Main[[#All],[TYPE]:[UNIT]],'Unit Price'!D$1,FALSE),0)</f>
        <v>0</v>
      </c>
      <c r="I855" s="194">
        <f>IF(DBparts1[[#This Row],[Type]]&gt;0,VLOOKUP(DBparts1[[#This Row],[Type]],Main[[#All],[TYPE]:[UNIT]],'Unit Price'!G$1,FALSE),0)</f>
        <v>0</v>
      </c>
      <c r="J855" s="194">
        <f>IF(DBparts1[[#This Row],[Type]]&gt;0,VLOOKUP(DBparts1[[#This Row],[Type]],Main[[#All],[TYPE]:[UNIT]],'Unit Price'!H$1,FALSE),0)</f>
        <v>0</v>
      </c>
      <c r="K855" s="194">
        <f>IF(DBparts1[[#This Row],[Type]]&gt;0,VLOOKUP(DBparts1[[#This Row],[Discount seletion]],'Discount Structure'!$A$2:$B$30,2,"false"),0)</f>
        <v>0</v>
      </c>
      <c r="L855" s="194">
        <f>DBparts1[[#This Row],[LIST $]]*DBparts1[[#This Row],[DISCOUNT]]*DBparts1[[#This Row],[DISCOUNT 2]]</f>
        <v>0</v>
      </c>
    </row>
    <row r="856" spans="2:12">
      <c r="B856" s="112"/>
      <c r="C856" s="112"/>
      <c r="D856" s="112"/>
      <c r="F856" s="168" t="s">
        <v>6202</v>
      </c>
      <c r="G856" s="232">
        <f>IF(DBparts1[[#This Row],[Type]]&gt;0,VLOOKUP(DBparts1[[#This Row],[Type]],Main[[#All],[TYPE]:[UNIT]],'Unit Price'!C$1,FALSE),0)</f>
        <v>0</v>
      </c>
      <c r="H856" s="194">
        <f>IF(DBparts1[[#This Row],[Type]]&gt;0,VLOOKUP(DBparts1[[#This Row],[Type]],Main[[#All],[TYPE]:[UNIT]],'Unit Price'!D$1,FALSE),0)</f>
        <v>0</v>
      </c>
      <c r="I856" s="194">
        <f>IF(DBparts1[[#This Row],[Type]]&gt;0,VLOOKUP(DBparts1[[#This Row],[Type]],Main[[#All],[TYPE]:[UNIT]],'Unit Price'!G$1,FALSE),0)</f>
        <v>0</v>
      </c>
      <c r="J856" s="194">
        <f>IF(DBparts1[[#This Row],[Type]]&gt;0,VLOOKUP(DBparts1[[#This Row],[Type]],Main[[#All],[TYPE]:[UNIT]],'Unit Price'!H$1,FALSE),0)</f>
        <v>0</v>
      </c>
      <c r="K856" s="194">
        <f>IF(DBparts1[[#This Row],[Type]]&gt;0,VLOOKUP(DBparts1[[#This Row],[Discount seletion]],'Discount Structure'!$A$2:$B$30,2,"false"),0)</f>
        <v>0</v>
      </c>
      <c r="L856" s="194">
        <f>DBparts1[[#This Row],[LIST $]]*DBparts1[[#This Row],[DISCOUNT]]*DBparts1[[#This Row],[DISCOUNT 2]]</f>
        <v>0</v>
      </c>
    </row>
    <row r="857" spans="2:12">
      <c r="B857" s="112"/>
      <c r="C857" s="112"/>
      <c r="D857" s="112"/>
      <c r="F857" s="168" t="s">
        <v>6202</v>
      </c>
      <c r="G857" s="232">
        <f>IF(DBparts1[[#This Row],[Type]]&gt;0,VLOOKUP(DBparts1[[#This Row],[Type]],Main[[#All],[TYPE]:[UNIT]],'Unit Price'!C$1,FALSE),0)</f>
        <v>0</v>
      </c>
      <c r="H857" s="194">
        <f>IF(DBparts1[[#This Row],[Type]]&gt;0,VLOOKUP(DBparts1[[#This Row],[Type]],Main[[#All],[TYPE]:[UNIT]],'Unit Price'!D$1,FALSE),0)</f>
        <v>0</v>
      </c>
      <c r="I857" s="194">
        <f>IF(DBparts1[[#This Row],[Type]]&gt;0,VLOOKUP(DBparts1[[#This Row],[Type]],Main[[#All],[TYPE]:[UNIT]],'Unit Price'!G$1,FALSE),0)</f>
        <v>0</v>
      </c>
      <c r="J857" s="194">
        <f>IF(DBparts1[[#This Row],[Type]]&gt;0,VLOOKUP(DBparts1[[#This Row],[Type]],Main[[#All],[TYPE]:[UNIT]],'Unit Price'!H$1,FALSE),0)</f>
        <v>0</v>
      </c>
      <c r="K857" s="194">
        <f>IF(DBparts1[[#This Row],[Type]]&gt;0,VLOOKUP(DBparts1[[#This Row],[Discount seletion]],'Discount Structure'!$A$2:$B$30,2,"false"),0)</f>
        <v>0</v>
      </c>
      <c r="L857" s="194">
        <f>DBparts1[[#This Row],[LIST $]]*DBparts1[[#This Row],[DISCOUNT]]*DBparts1[[#This Row],[DISCOUNT 2]]</f>
        <v>0</v>
      </c>
    </row>
  </sheetData>
  <sheetProtection algorithmName="SHA-512" hashValue="nmho1gnDOYrIA6naKP6xLKZm+V3YsUpuO6t+teOxBHK01swy5HvJEHsW6MvPhlmF0NzUSkBQfJmcmVuKCUwnIA==" saltValue="SlpcUvQS9LoykaDBnmUGLg==" spinCount="100000" sheet="1" formatCells="0" formatColumns="0" formatRows="0" insertColumns="0" insertRows="0" deleteColumns="0" deleteRows="0"/>
  <phoneticPr fontId="103" type="noConversion"/>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7BE8B1-1D71-4591-9083-7FF8ADE58DB9}">
          <x14:formula1>
            <xm:f>'Discount Structure'!$A$2:$A$5</xm:f>
          </x14:formula1>
          <xm:sqref>F4:F857</xm:sqref>
        </x14:dataValidation>
        <x14:dataValidation type="list" allowBlank="1" showInputMessage="1" showErrorMessage="1" xr:uid="{70A4EB33-0C25-4D8A-9831-C6A7161EB8E3}">
          <x14:formula1>
            <xm:f>'Discount Structure'!$A$2:$A$30</xm:f>
          </x14:formula1>
          <xm:sqref>F3</xm:sqref>
        </x14:dataValidation>
        <x14:dataValidation type="list" allowBlank="1" showInputMessage="1" showErrorMessage="1" xr:uid="{600A337D-1C40-49DF-B2E5-16C4BCE5542D}">
          <x14:formula1>
            <xm:f>'Unit Price'!$B:$B</xm:f>
          </x14:formula1>
          <xm:sqref>E3:E857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0146E-73D3-47EF-A589-DBF115CBAFC6}">
  <sheetPr codeName="DBs"/>
  <dimension ref="A5:HE249"/>
  <sheetViews>
    <sheetView zoomScale="70" zoomScaleNormal="70" workbookViewId="0">
      <pane xSplit="3" ySplit="8" topLeftCell="D9" activePane="bottomRight" state="frozen"/>
      <selection pane="topRight" activeCell="D1" sqref="D1"/>
      <selection pane="bottomLeft" activeCell="A9" sqref="A9"/>
      <selection pane="bottomRight" activeCell="J7" sqref="J7"/>
    </sheetView>
  </sheetViews>
  <sheetFormatPr defaultColWidth="9.140625" defaultRowHeight="15.75"/>
  <cols>
    <col min="1" max="1" width="7.7109375" style="123" bestFit="1" customWidth="1"/>
    <col min="2" max="2" width="19.5703125" style="124" bestFit="1" customWidth="1"/>
    <col min="3" max="3" width="39.140625" style="125" customWidth="1"/>
    <col min="4" max="4" width="11" style="20" bestFit="1" customWidth="1"/>
    <col min="5" max="5" width="12.7109375" style="20" bestFit="1" customWidth="1"/>
    <col min="6" max="6" width="10.7109375" style="20" bestFit="1" customWidth="1"/>
    <col min="7" max="7" width="5.28515625" style="176" bestFit="1" customWidth="1"/>
    <col min="8" max="17" width="5.28515625" style="170" bestFit="1" customWidth="1"/>
    <col min="18" max="18" width="5.28515625" style="176" bestFit="1" customWidth="1"/>
    <col min="19" max="29" width="5.28515625" style="170" bestFit="1" customWidth="1"/>
    <col min="30" max="30" width="5.28515625" style="176" bestFit="1" customWidth="1"/>
    <col min="31" max="34" width="5.28515625" style="170" bestFit="1" customWidth="1"/>
    <col min="35" max="35" width="5.28515625" style="176" bestFit="1" customWidth="1"/>
    <col min="36" max="45" width="5.28515625" style="170" bestFit="1" customWidth="1"/>
    <col min="46" max="46" width="5.28515625" style="176" bestFit="1" customWidth="1"/>
    <col min="47" max="55" width="5.28515625" style="170" bestFit="1" customWidth="1"/>
    <col min="56" max="56" width="5.28515625" style="176" bestFit="1" customWidth="1"/>
    <col min="57" max="69" width="5.28515625" style="170" bestFit="1" customWidth="1"/>
    <col min="70" max="70" width="5.28515625" style="176" bestFit="1" customWidth="1"/>
    <col min="71" max="77" width="5.28515625" style="170" bestFit="1" customWidth="1"/>
    <col min="78" max="78" width="5.28515625" style="176" bestFit="1" customWidth="1"/>
    <col min="79" max="85" width="5.28515625" style="170" bestFit="1" customWidth="1"/>
    <col min="86" max="86" width="5.28515625" style="176" bestFit="1" customWidth="1"/>
    <col min="87" max="95" width="5.28515625" style="170" bestFit="1" customWidth="1"/>
    <col min="96" max="96" width="5.28515625" style="176" bestFit="1" customWidth="1"/>
    <col min="97" max="109" width="5.28515625" style="170" bestFit="1" customWidth="1"/>
    <col min="110" max="110" width="4" style="170" bestFit="1" customWidth="1"/>
    <col min="111" max="213" width="4.28515625" style="170" bestFit="1" customWidth="1"/>
    <col min="214" max="214" width="17.7109375" style="170" bestFit="1" customWidth="1"/>
    <col min="215" max="215" width="20.85546875" style="170" bestFit="1" customWidth="1"/>
    <col min="216" max="216" width="7.85546875" style="170" bestFit="1" customWidth="1"/>
    <col min="217" max="217" width="12.85546875" style="170" bestFit="1" customWidth="1"/>
    <col min="218" max="218" width="16" style="170" bestFit="1" customWidth="1"/>
    <col min="219" max="219" width="7.85546875" style="170" bestFit="1" customWidth="1"/>
    <col min="220" max="220" width="18" style="170" bestFit="1" customWidth="1"/>
    <col min="221" max="221" width="21.140625" style="170" bestFit="1" customWidth="1"/>
    <col min="222" max="222" width="7.85546875" style="170" bestFit="1" customWidth="1"/>
    <col min="223" max="223" width="5.85546875" style="170" bestFit="1" customWidth="1"/>
    <col min="224" max="224" width="8.85546875" style="170" bestFit="1" customWidth="1"/>
    <col min="225" max="225" width="7.85546875" style="170" bestFit="1" customWidth="1"/>
    <col min="226" max="226" width="6.85546875" style="170" bestFit="1" customWidth="1"/>
    <col min="227" max="227" width="9.85546875" style="170" bestFit="1" customWidth="1"/>
    <col min="228" max="228" width="7.85546875" style="170" bestFit="1" customWidth="1"/>
    <col min="229" max="229" width="6.85546875" style="170" bestFit="1" customWidth="1"/>
    <col min="230" max="230" width="9.85546875" style="170" bestFit="1" customWidth="1"/>
    <col min="231" max="231" width="7.85546875" style="170" bestFit="1" customWidth="1"/>
    <col min="232" max="232" width="6.85546875" style="170" bestFit="1" customWidth="1"/>
    <col min="233" max="233" width="9.85546875" style="170" bestFit="1" customWidth="1"/>
    <col min="234" max="234" width="7.85546875" style="170" bestFit="1" customWidth="1"/>
    <col min="235" max="235" width="6.85546875" style="170" bestFit="1" customWidth="1"/>
    <col min="236" max="236" width="9.85546875" style="170" bestFit="1" customWidth="1"/>
    <col min="237" max="237" width="7.85546875" style="170" bestFit="1" customWidth="1"/>
    <col min="238" max="238" width="6.85546875" style="170" bestFit="1" customWidth="1"/>
    <col min="239" max="239" width="9.85546875" style="170" bestFit="1" customWidth="1"/>
    <col min="240" max="240" width="7.85546875" style="170" bestFit="1" customWidth="1"/>
    <col min="241" max="241" width="6.85546875" style="170" bestFit="1" customWidth="1"/>
    <col min="242" max="242" width="9.85546875" style="170" bestFit="1" customWidth="1"/>
    <col min="243" max="243" width="7.85546875" style="170" bestFit="1" customWidth="1"/>
    <col min="244" max="244" width="16.85546875" style="170" bestFit="1" customWidth="1"/>
    <col min="245" max="245" width="20" style="170" bestFit="1" customWidth="1"/>
    <col min="246" max="246" width="7.85546875" style="170" bestFit="1" customWidth="1"/>
    <col min="247" max="247" width="6.85546875" style="170" bestFit="1" customWidth="1"/>
    <col min="248" max="248" width="9.85546875" style="170" bestFit="1" customWidth="1"/>
    <col min="249" max="249" width="7.85546875" style="170" bestFit="1" customWidth="1"/>
    <col min="250" max="250" width="6.85546875" style="170" bestFit="1" customWidth="1"/>
    <col min="251" max="251" width="9.85546875" style="170" bestFit="1" customWidth="1"/>
    <col min="252" max="252" width="7.85546875" style="170" bestFit="1" customWidth="1"/>
    <col min="253" max="253" width="6.85546875" style="170" bestFit="1" customWidth="1"/>
    <col min="254" max="254" width="9.85546875" style="170" bestFit="1" customWidth="1"/>
    <col min="255" max="255" width="7.85546875" style="170" bestFit="1" customWidth="1"/>
    <col min="256" max="256" width="6.85546875" style="170" bestFit="1" customWidth="1"/>
    <col min="257" max="257" width="9.85546875" style="170" bestFit="1" customWidth="1"/>
    <col min="258" max="258" width="7.85546875" style="170" bestFit="1" customWidth="1"/>
    <col min="259" max="259" width="6.85546875" style="170" bestFit="1" customWidth="1"/>
    <col min="260" max="260" width="9.85546875" style="170" bestFit="1" customWidth="1"/>
    <col min="261" max="261" width="7.85546875" style="170" bestFit="1" customWidth="1"/>
    <col min="262" max="262" width="6.85546875" style="170" bestFit="1" customWidth="1"/>
    <col min="263" max="263" width="9.85546875" style="170" bestFit="1" customWidth="1"/>
    <col min="264" max="264" width="7.85546875" style="170" bestFit="1" customWidth="1"/>
    <col min="265" max="265" width="6.85546875" style="170" bestFit="1" customWidth="1"/>
    <col min="266" max="266" width="9.85546875" style="170" bestFit="1" customWidth="1"/>
    <col min="267" max="267" width="7.85546875" style="170" bestFit="1" customWidth="1"/>
    <col min="268" max="268" width="6.85546875" style="170" bestFit="1" customWidth="1"/>
    <col min="269" max="269" width="9.85546875" style="170" bestFit="1" customWidth="1"/>
    <col min="270" max="270" width="7.85546875" style="170" bestFit="1" customWidth="1"/>
    <col min="271" max="271" width="6.85546875" style="170" bestFit="1" customWidth="1"/>
    <col min="272" max="272" width="9.85546875" style="170" bestFit="1" customWidth="1"/>
    <col min="273" max="273" width="7.85546875" style="170" bestFit="1" customWidth="1"/>
    <col min="274" max="274" width="17.85546875" style="170" bestFit="1" customWidth="1"/>
    <col min="275" max="275" width="21" style="170" bestFit="1" customWidth="1"/>
    <col min="276" max="276" width="7.85546875" style="170" bestFit="1" customWidth="1"/>
    <col min="277" max="277" width="5.85546875" style="170" bestFit="1" customWidth="1"/>
    <col min="278" max="278" width="8.85546875" style="170" bestFit="1" customWidth="1"/>
    <col min="279" max="279" width="7.85546875" style="170" bestFit="1" customWidth="1"/>
    <col min="280" max="280" width="6.85546875" style="170" bestFit="1" customWidth="1"/>
    <col min="281" max="281" width="9.85546875" style="170" bestFit="1" customWidth="1"/>
    <col min="282" max="282" width="7.85546875" style="170" bestFit="1" customWidth="1"/>
    <col min="283" max="283" width="6.85546875" style="170" bestFit="1" customWidth="1"/>
    <col min="284" max="284" width="9.85546875" style="170" bestFit="1" customWidth="1"/>
    <col min="285" max="285" width="7.85546875" style="170" bestFit="1" customWidth="1"/>
    <col min="286" max="286" width="8" style="170" bestFit="1" customWidth="1"/>
    <col min="287" max="287" width="9.85546875" style="170" bestFit="1" customWidth="1"/>
    <col min="288" max="288" width="7.85546875" style="170" bestFit="1" customWidth="1"/>
    <col min="289" max="289" width="7" style="170" bestFit="1" customWidth="1"/>
    <col min="290" max="290" width="9.85546875" style="170" bestFit="1" customWidth="1"/>
    <col min="291" max="291" width="7.85546875" style="170" bestFit="1" customWidth="1"/>
    <col min="292" max="292" width="9.140625" style="170" bestFit="1" customWidth="1"/>
    <col min="293" max="293" width="12.140625" style="170" bestFit="1" customWidth="1"/>
    <col min="294" max="294" width="7.85546875" style="170" bestFit="1" customWidth="1"/>
    <col min="295" max="295" width="9.140625" style="170" bestFit="1" customWidth="1"/>
    <col min="296" max="296" width="12.140625" style="170" bestFit="1" customWidth="1"/>
    <col min="297" max="297" width="7.85546875" style="170" bestFit="1" customWidth="1"/>
    <col min="298" max="298" width="9.140625" style="170" bestFit="1" customWidth="1"/>
    <col min="299" max="299" width="12.140625" style="170" bestFit="1" customWidth="1"/>
    <col min="300" max="300" width="7.85546875" style="170" bestFit="1" customWidth="1"/>
    <col min="301" max="301" width="9.140625" style="170" bestFit="1" customWidth="1"/>
    <col min="302" max="302" width="12.140625" style="170" bestFit="1" customWidth="1"/>
    <col min="303" max="303" width="7.85546875" style="170" bestFit="1" customWidth="1"/>
    <col min="304" max="304" width="9.140625" style="170" bestFit="1" customWidth="1"/>
    <col min="305" max="305" width="12.140625" style="170" bestFit="1" customWidth="1"/>
    <col min="306" max="306" width="8.85546875" style="170" bestFit="1" customWidth="1"/>
    <col min="307" max="307" width="9.140625" style="170" bestFit="1" customWidth="1"/>
    <col min="308" max="309" width="12.140625" style="170" bestFit="1" customWidth="1"/>
    <col min="310" max="310" width="11.28515625" style="170" bestFit="1" customWidth="1"/>
    <col min="311" max="16384" width="9.140625" style="170"/>
  </cols>
  <sheetData>
    <row r="5" spans="1:213" ht="58.5">
      <c r="F5" s="225">
        <f>SUM(F10:F210)</f>
        <v>7530.2928264000002</v>
      </c>
      <c r="G5" s="335">
        <v>1</v>
      </c>
      <c r="H5" s="335">
        <v>2</v>
      </c>
      <c r="I5" s="335">
        <v>3</v>
      </c>
      <c r="J5" s="335">
        <v>4</v>
      </c>
      <c r="K5" s="335">
        <v>5</v>
      </c>
      <c r="L5" s="335">
        <v>6</v>
      </c>
      <c r="M5" s="335">
        <v>7</v>
      </c>
      <c r="N5" s="335">
        <v>8</v>
      </c>
      <c r="O5" s="335">
        <v>9</v>
      </c>
      <c r="P5" s="335">
        <v>10</v>
      </c>
      <c r="Q5" s="335">
        <v>11</v>
      </c>
      <c r="R5" s="335">
        <v>12</v>
      </c>
      <c r="S5" s="335">
        <v>13</v>
      </c>
      <c r="T5" s="335">
        <v>14</v>
      </c>
      <c r="U5" s="335">
        <v>15</v>
      </c>
      <c r="V5" s="335">
        <v>16</v>
      </c>
      <c r="W5" s="335">
        <v>17</v>
      </c>
      <c r="X5" s="335">
        <v>18</v>
      </c>
      <c r="Y5" s="335">
        <v>19</v>
      </c>
      <c r="Z5" s="335">
        <v>20</v>
      </c>
      <c r="AA5" s="335">
        <v>21</v>
      </c>
      <c r="AB5" s="335">
        <v>22</v>
      </c>
      <c r="AC5" s="335">
        <v>23</v>
      </c>
      <c r="AD5" s="335">
        <v>24</v>
      </c>
      <c r="AE5" s="335">
        <v>25</v>
      </c>
      <c r="AF5" s="335">
        <v>26</v>
      </c>
      <c r="AG5" s="335">
        <v>27</v>
      </c>
      <c r="AH5" s="335">
        <v>28</v>
      </c>
      <c r="AI5" s="335">
        <v>29</v>
      </c>
      <c r="AJ5" s="335">
        <v>30</v>
      </c>
      <c r="AK5" s="335">
        <v>31</v>
      </c>
      <c r="AL5" s="335">
        <v>32</v>
      </c>
      <c r="AM5" s="335">
        <v>33</v>
      </c>
      <c r="AN5" s="335">
        <v>34</v>
      </c>
      <c r="AO5" s="335">
        <v>35</v>
      </c>
      <c r="AP5" s="335">
        <v>36</v>
      </c>
      <c r="AQ5" s="335">
        <v>37</v>
      </c>
      <c r="AR5" s="335">
        <v>38</v>
      </c>
      <c r="AS5" s="335">
        <v>39</v>
      </c>
      <c r="AT5" s="335">
        <v>40</v>
      </c>
      <c r="AU5" s="335">
        <v>41</v>
      </c>
      <c r="AV5" s="335">
        <v>42</v>
      </c>
      <c r="AW5" s="335">
        <v>43</v>
      </c>
      <c r="AX5" s="335">
        <v>44</v>
      </c>
      <c r="AY5" s="335">
        <v>45</v>
      </c>
      <c r="AZ5" s="335">
        <v>46</v>
      </c>
      <c r="BA5" s="335">
        <v>47</v>
      </c>
      <c r="BB5" s="335">
        <v>48</v>
      </c>
      <c r="BC5" s="335">
        <v>49</v>
      </c>
      <c r="BD5" s="335">
        <v>50</v>
      </c>
      <c r="BE5" s="335">
        <v>51</v>
      </c>
      <c r="BF5" s="335">
        <v>52</v>
      </c>
      <c r="BG5" s="335">
        <v>53</v>
      </c>
      <c r="BH5" s="335">
        <v>54</v>
      </c>
      <c r="BI5" s="335">
        <v>55</v>
      </c>
      <c r="BJ5" s="335">
        <v>56</v>
      </c>
      <c r="BK5" s="335">
        <v>57</v>
      </c>
      <c r="BL5" s="335">
        <v>58</v>
      </c>
      <c r="BM5" s="335">
        <v>59</v>
      </c>
      <c r="BN5" s="335">
        <v>60</v>
      </c>
      <c r="BO5" s="335">
        <v>61</v>
      </c>
      <c r="BP5" s="335">
        <v>62</v>
      </c>
      <c r="BQ5" s="335">
        <v>63</v>
      </c>
      <c r="BR5" s="335">
        <v>64</v>
      </c>
      <c r="BS5" s="335">
        <v>65</v>
      </c>
      <c r="BT5" s="335">
        <v>66</v>
      </c>
      <c r="BU5" s="335">
        <v>67</v>
      </c>
      <c r="BV5" s="335">
        <v>68</v>
      </c>
      <c r="BW5" s="335">
        <v>69</v>
      </c>
      <c r="BX5" s="335">
        <v>70</v>
      </c>
      <c r="BY5" s="335">
        <v>71</v>
      </c>
      <c r="BZ5" s="335">
        <v>72</v>
      </c>
      <c r="CA5" s="335">
        <v>73</v>
      </c>
      <c r="CB5" s="335">
        <v>74</v>
      </c>
      <c r="CC5" s="335">
        <v>75</v>
      </c>
      <c r="CD5" s="335">
        <v>76</v>
      </c>
      <c r="CE5" s="335">
        <v>77</v>
      </c>
      <c r="CF5" s="335">
        <v>78</v>
      </c>
      <c r="CG5" s="335">
        <v>79</v>
      </c>
      <c r="CH5" s="335">
        <v>80</v>
      </c>
      <c r="CI5" s="335">
        <v>81</v>
      </c>
      <c r="CJ5" s="335">
        <v>82</v>
      </c>
      <c r="CK5" s="335">
        <v>83</v>
      </c>
      <c r="CL5" s="335">
        <v>84</v>
      </c>
      <c r="CM5" s="335">
        <v>85</v>
      </c>
      <c r="CN5" s="335">
        <v>86</v>
      </c>
      <c r="CO5" s="335">
        <v>87</v>
      </c>
      <c r="CP5" s="335">
        <v>88</v>
      </c>
      <c r="CQ5" s="335">
        <v>89</v>
      </c>
      <c r="CR5" s="335">
        <v>90</v>
      </c>
      <c r="CS5" s="335">
        <v>91</v>
      </c>
      <c r="CT5" s="335">
        <v>92</v>
      </c>
      <c r="CU5" s="335">
        <v>93</v>
      </c>
      <c r="CV5" s="335">
        <v>94</v>
      </c>
      <c r="CW5" s="335">
        <v>95</v>
      </c>
      <c r="CX5" s="335">
        <v>96</v>
      </c>
      <c r="CY5" s="335">
        <v>97</v>
      </c>
      <c r="CZ5" s="335">
        <v>98</v>
      </c>
      <c r="DA5" s="335">
        <v>99</v>
      </c>
      <c r="DB5" s="335">
        <v>100</v>
      </c>
      <c r="DC5" s="335" t="s">
        <v>6197</v>
      </c>
      <c r="DD5" s="335">
        <v>101</v>
      </c>
      <c r="DE5" s="335">
        <v>102</v>
      </c>
      <c r="DF5" s="336" t="s">
        <v>6198</v>
      </c>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row>
    <row r="6" spans="1:213" s="337" customFormat="1" ht="97.5">
      <c r="A6" s="178"/>
      <c r="B6" s="129" t="s">
        <v>5780</v>
      </c>
      <c r="C6" s="129" t="s">
        <v>29</v>
      </c>
      <c r="D6" s="333" t="s">
        <v>5783</v>
      </c>
      <c r="E6" s="333" t="s">
        <v>5781</v>
      </c>
      <c r="F6" s="334" t="s">
        <v>5782</v>
      </c>
      <c r="G6" s="173" t="s">
        <v>6277</v>
      </c>
      <c r="H6" s="173" t="s">
        <v>6197</v>
      </c>
      <c r="I6" s="173" t="s">
        <v>3107</v>
      </c>
      <c r="J6" s="173" t="s">
        <v>3111</v>
      </c>
      <c r="K6" s="173" t="s">
        <v>3101</v>
      </c>
      <c r="L6" s="173" t="s">
        <v>3105</v>
      </c>
      <c r="M6" s="173" t="s">
        <v>6197</v>
      </c>
      <c r="N6" s="173" t="s">
        <v>5816</v>
      </c>
      <c r="O6" s="173" t="s">
        <v>5817</v>
      </c>
      <c r="P6" s="173" t="s">
        <v>6197</v>
      </c>
      <c r="Q6" s="173" t="s">
        <v>7822</v>
      </c>
      <c r="R6" s="173" t="s">
        <v>6184</v>
      </c>
      <c r="S6" s="173" t="s">
        <v>6197</v>
      </c>
      <c r="T6" s="173" t="s">
        <v>6187</v>
      </c>
      <c r="U6" s="173" t="s">
        <v>6188</v>
      </c>
      <c r="V6" s="173" t="s">
        <v>6190</v>
      </c>
      <c r="W6" s="173" t="s">
        <v>7821</v>
      </c>
      <c r="X6" s="173" t="s">
        <v>6193</v>
      </c>
      <c r="Y6" s="173" t="s">
        <v>6197</v>
      </c>
      <c r="Z6" s="173" t="s">
        <v>6284</v>
      </c>
      <c r="AA6" s="173" t="s">
        <v>6288</v>
      </c>
      <c r="AB6" s="173" t="s">
        <v>6292</v>
      </c>
      <c r="AC6" s="173" t="s">
        <v>6294</v>
      </c>
      <c r="AD6" s="173" t="s">
        <v>6197</v>
      </c>
      <c r="AE6" s="173" t="s">
        <v>6197</v>
      </c>
      <c r="AF6" s="173" t="s">
        <v>6197</v>
      </c>
      <c r="AG6" s="173" t="s">
        <v>6197</v>
      </c>
      <c r="AH6" s="173" t="s">
        <v>6197</v>
      </c>
      <c r="AI6" s="173" t="s">
        <v>6197</v>
      </c>
      <c r="AJ6" s="173" t="s">
        <v>6197</v>
      </c>
      <c r="AK6" s="173" t="s">
        <v>6197</v>
      </c>
      <c r="AL6" s="173" t="s">
        <v>6197</v>
      </c>
      <c r="AM6" s="173" t="s">
        <v>6197</v>
      </c>
      <c r="AN6" s="173" t="s">
        <v>6197</v>
      </c>
      <c r="AO6" s="173" t="s">
        <v>6197</v>
      </c>
      <c r="AP6" s="173" t="s">
        <v>6197</v>
      </c>
      <c r="AQ6" s="173" t="s">
        <v>6197</v>
      </c>
      <c r="AR6" s="173" t="s">
        <v>6197</v>
      </c>
      <c r="AS6" s="173" t="s">
        <v>6197</v>
      </c>
      <c r="AT6" s="173" t="s">
        <v>6197</v>
      </c>
      <c r="AU6" s="173" t="s">
        <v>6197</v>
      </c>
      <c r="AV6" s="173" t="s">
        <v>6197</v>
      </c>
      <c r="AW6" s="173" t="s">
        <v>6197</v>
      </c>
      <c r="AX6" s="173" t="s">
        <v>6197</v>
      </c>
      <c r="AY6" s="173" t="s">
        <v>6197</v>
      </c>
      <c r="AZ6" s="173" t="s">
        <v>6197</v>
      </c>
      <c r="BA6" s="173" t="s">
        <v>6197</v>
      </c>
      <c r="BB6" s="173" t="s">
        <v>6197</v>
      </c>
      <c r="BC6" s="173" t="s">
        <v>6197</v>
      </c>
      <c r="BD6" s="173" t="s">
        <v>6197</v>
      </c>
      <c r="BE6" s="173" t="s">
        <v>6197</v>
      </c>
      <c r="BF6" s="173" t="s">
        <v>6197</v>
      </c>
      <c r="BG6" s="173" t="s">
        <v>6197</v>
      </c>
      <c r="BH6" s="173" t="s">
        <v>6197</v>
      </c>
      <c r="BI6" s="173" t="s">
        <v>6197</v>
      </c>
      <c r="BJ6" s="173" t="s">
        <v>6197</v>
      </c>
      <c r="BK6" s="173" t="s">
        <v>6197</v>
      </c>
      <c r="BL6" s="173" t="s">
        <v>6197</v>
      </c>
      <c r="BM6" s="173" t="s">
        <v>6197</v>
      </c>
      <c r="BN6" s="173" t="s">
        <v>6197</v>
      </c>
      <c r="BO6" s="173" t="s">
        <v>6197</v>
      </c>
      <c r="BP6" s="173" t="s">
        <v>6197</v>
      </c>
      <c r="BQ6" s="173" t="s">
        <v>6197</v>
      </c>
      <c r="BR6" s="173" t="s">
        <v>6197</v>
      </c>
      <c r="BS6" s="173" t="s">
        <v>6197</v>
      </c>
      <c r="BT6" s="173" t="s">
        <v>6197</v>
      </c>
      <c r="BU6" s="173" t="s">
        <v>6197</v>
      </c>
      <c r="BV6" s="173" t="s">
        <v>6197</v>
      </c>
      <c r="BW6" s="173" t="s">
        <v>6197</v>
      </c>
      <c r="BX6" s="173" t="s">
        <v>6197</v>
      </c>
      <c r="BY6" s="173" t="s">
        <v>6197</v>
      </c>
      <c r="BZ6" s="173" t="s">
        <v>6197</v>
      </c>
      <c r="CA6" s="173" t="s">
        <v>6197</v>
      </c>
      <c r="CB6" s="173" t="s">
        <v>6197</v>
      </c>
      <c r="CC6" s="173" t="s">
        <v>6197</v>
      </c>
      <c r="CD6" s="173" t="s">
        <v>6197</v>
      </c>
      <c r="CE6" s="173" t="s">
        <v>6197</v>
      </c>
      <c r="CF6" s="173" t="s">
        <v>6197</v>
      </c>
      <c r="CG6" s="173" t="s">
        <v>6197</v>
      </c>
      <c r="CH6" s="173" t="s">
        <v>6197</v>
      </c>
      <c r="CI6" s="173" t="s">
        <v>6197</v>
      </c>
      <c r="CJ6" s="173" t="s">
        <v>6197</v>
      </c>
      <c r="CK6" s="173" t="s">
        <v>6197</v>
      </c>
      <c r="CL6" s="173" t="s">
        <v>6197</v>
      </c>
      <c r="CM6" s="173" t="s">
        <v>6197</v>
      </c>
      <c r="CN6" s="173" t="s">
        <v>6197</v>
      </c>
      <c r="CO6" s="173" t="s">
        <v>6197</v>
      </c>
      <c r="CP6" s="173" t="s">
        <v>6197</v>
      </c>
      <c r="CQ6" s="173" t="s">
        <v>6197</v>
      </c>
      <c r="CR6" s="173" t="s">
        <v>6197</v>
      </c>
      <c r="CS6" s="173" t="s">
        <v>6197</v>
      </c>
      <c r="CT6" s="173" t="s">
        <v>6197</v>
      </c>
      <c r="CU6" s="173" t="s">
        <v>6197</v>
      </c>
      <c r="CV6" s="173" t="s">
        <v>6197</v>
      </c>
      <c r="CW6" s="173" t="s">
        <v>6197</v>
      </c>
      <c r="CX6" s="173" t="s">
        <v>6197</v>
      </c>
      <c r="CY6" s="173" t="s">
        <v>6197</v>
      </c>
      <c r="CZ6" s="173" t="s">
        <v>6197</v>
      </c>
      <c r="DA6" s="173" t="s">
        <v>6197</v>
      </c>
      <c r="DB6" s="173" t="s">
        <v>6197</v>
      </c>
      <c r="DC6" s="173" t="s">
        <v>6197</v>
      </c>
      <c r="DD6" s="173" t="s">
        <v>6197</v>
      </c>
      <c r="DE6" s="173" t="s">
        <v>6197</v>
      </c>
      <c r="DF6" s="336"/>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row>
    <row r="7" spans="1:213" s="171" customFormat="1" ht="151.5">
      <c r="A7" s="174"/>
      <c r="B7" s="174"/>
      <c r="C7" s="174"/>
      <c r="D7" s="174"/>
      <c r="E7" s="174"/>
      <c r="F7" s="174"/>
      <c r="G7" s="173" t="s">
        <v>6251</v>
      </c>
      <c r="H7" s="173" t="s">
        <v>6197</v>
      </c>
      <c r="I7" s="173" t="s">
        <v>1555</v>
      </c>
      <c r="J7" s="173" t="s">
        <v>319</v>
      </c>
      <c r="K7" s="173" t="s">
        <v>296</v>
      </c>
      <c r="L7" s="173" t="s">
        <v>1551</v>
      </c>
      <c r="M7" s="173" t="s">
        <v>6197</v>
      </c>
      <c r="N7" s="173" t="s">
        <v>317</v>
      </c>
      <c r="O7" s="173" t="s">
        <v>299</v>
      </c>
      <c r="P7" s="173" t="s">
        <v>6197</v>
      </c>
      <c r="Q7" s="173" t="s">
        <v>294</v>
      </c>
      <c r="R7" s="173" t="s">
        <v>335</v>
      </c>
      <c r="S7" s="173" t="s">
        <v>6197</v>
      </c>
      <c r="T7" s="173" t="s">
        <v>301</v>
      </c>
      <c r="U7" s="173" t="s">
        <v>304</v>
      </c>
      <c r="V7" s="173" t="s">
        <v>307</v>
      </c>
      <c r="W7" s="173" t="s">
        <v>2699</v>
      </c>
      <c r="X7" s="173" t="s">
        <v>311</v>
      </c>
      <c r="Y7" s="173" t="s">
        <v>6197</v>
      </c>
      <c r="Z7" s="173" t="s">
        <v>5798</v>
      </c>
      <c r="AA7" s="173" t="s">
        <v>5799</v>
      </c>
      <c r="AB7" s="173" t="s">
        <v>5812</v>
      </c>
      <c r="AC7" s="173" t="s">
        <v>5814</v>
      </c>
      <c r="AD7" s="173" t="s">
        <v>6197</v>
      </c>
      <c r="AE7" s="173" t="s">
        <v>6197</v>
      </c>
      <c r="AF7" s="173" t="s">
        <v>6197</v>
      </c>
      <c r="AG7" s="173" t="s">
        <v>6197</v>
      </c>
      <c r="AH7" s="173" t="s">
        <v>6197</v>
      </c>
      <c r="AI7" s="173" t="s">
        <v>6197</v>
      </c>
      <c r="AJ7" s="173" t="s">
        <v>6197</v>
      </c>
      <c r="AK7" s="173" t="s">
        <v>6197</v>
      </c>
      <c r="AL7" s="173" t="s">
        <v>6197</v>
      </c>
      <c r="AM7" s="173" t="s">
        <v>6197</v>
      </c>
      <c r="AN7" s="173" t="s">
        <v>6197</v>
      </c>
      <c r="AO7" s="173" t="s">
        <v>6197</v>
      </c>
      <c r="AP7" s="173" t="s">
        <v>6197</v>
      </c>
      <c r="AQ7" s="173" t="s">
        <v>6197</v>
      </c>
      <c r="AR7" s="173" t="s">
        <v>6197</v>
      </c>
      <c r="AS7" s="173" t="s">
        <v>6197</v>
      </c>
      <c r="AT7" s="173" t="s">
        <v>6197</v>
      </c>
      <c r="AU7" s="173" t="s">
        <v>6197</v>
      </c>
      <c r="AV7" s="173" t="s">
        <v>6197</v>
      </c>
      <c r="AW7" s="173" t="s">
        <v>6197</v>
      </c>
      <c r="AX7" s="173" t="s">
        <v>6197</v>
      </c>
      <c r="AY7" s="173" t="s">
        <v>6197</v>
      </c>
      <c r="AZ7" s="173" t="s">
        <v>6197</v>
      </c>
      <c r="BA7" s="173" t="s">
        <v>6197</v>
      </c>
      <c r="BB7" s="173" t="s">
        <v>6197</v>
      </c>
      <c r="BC7" s="173" t="s">
        <v>6197</v>
      </c>
      <c r="BD7" s="173" t="s">
        <v>6197</v>
      </c>
      <c r="BE7" s="173" t="s">
        <v>6197</v>
      </c>
      <c r="BF7" s="173" t="s">
        <v>6197</v>
      </c>
      <c r="BG7" s="173" t="s">
        <v>6197</v>
      </c>
      <c r="BH7" s="173" t="s">
        <v>6197</v>
      </c>
      <c r="BI7" s="173" t="s">
        <v>6197</v>
      </c>
      <c r="BJ7" s="173" t="s">
        <v>6197</v>
      </c>
      <c r="BK7" s="173" t="s">
        <v>6197</v>
      </c>
      <c r="BL7" s="173" t="s">
        <v>6197</v>
      </c>
      <c r="BM7" s="173" t="s">
        <v>6197</v>
      </c>
      <c r="BN7" s="173" t="s">
        <v>6197</v>
      </c>
      <c r="BO7" s="173" t="s">
        <v>6197</v>
      </c>
      <c r="BP7" s="173" t="s">
        <v>6197</v>
      </c>
      <c r="BQ7" s="173" t="s">
        <v>6197</v>
      </c>
      <c r="BR7" s="173" t="s">
        <v>6197</v>
      </c>
      <c r="BS7" s="173" t="s">
        <v>6197</v>
      </c>
      <c r="BT7" s="173" t="s">
        <v>6197</v>
      </c>
      <c r="BU7" s="173" t="s">
        <v>6197</v>
      </c>
      <c r="BV7" s="173" t="s">
        <v>6197</v>
      </c>
      <c r="BW7" s="173" t="s">
        <v>6197</v>
      </c>
      <c r="BX7" s="173" t="s">
        <v>6197</v>
      </c>
      <c r="BY7" s="173" t="s">
        <v>6197</v>
      </c>
      <c r="BZ7" s="173" t="s">
        <v>6197</v>
      </c>
      <c r="CA7" s="173" t="s">
        <v>6197</v>
      </c>
      <c r="CB7" s="173" t="s">
        <v>6197</v>
      </c>
      <c r="CC7" s="173" t="s">
        <v>6197</v>
      </c>
      <c r="CD7" s="173" t="s">
        <v>6197</v>
      </c>
      <c r="CE7" s="173" t="s">
        <v>6197</v>
      </c>
      <c r="CF7" s="173" t="s">
        <v>6197</v>
      </c>
      <c r="CG7" s="173" t="s">
        <v>6197</v>
      </c>
      <c r="CH7" s="173" t="s">
        <v>6197</v>
      </c>
      <c r="CI7" s="173" t="s">
        <v>6197</v>
      </c>
      <c r="CJ7" s="173" t="s">
        <v>6197</v>
      </c>
      <c r="CK7" s="173" t="s">
        <v>6197</v>
      </c>
      <c r="CL7" s="173" t="s">
        <v>6197</v>
      </c>
      <c r="CM7" s="173" t="s">
        <v>6197</v>
      </c>
      <c r="CN7" s="173" t="s">
        <v>6197</v>
      </c>
      <c r="CO7" s="173" t="s">
        <v>6197</v>
      </c>
      <c r="CP7" s="173" t="s">
        <v>6197</v>
      </c>
      <c r="CQ7" s="173" t="s">
        <v>6197</v>
      </c>
      <c r="CR7" s="173" t="s">
        <v>6197</v>
      </c>
      <c r="CS7" s="173" t="s">
        <v>6197</v>
      </c>
      <c r="CT7" s="173" t="s">
        <v>6197</v>
      </c>
      <c r="CU7" s="173" t="s">
        <v>6197</v>
      </c>
      <c r="CV7" s="173" t="s">
        <v>6197</v>
      </c>
      <c r="CW7" s="173" t="s">
        <v>6197</v>
      </c>
      <c r="CX7" s="173" t="s">
        <v>6197</v>
      </c>
      <c r="CY7" s="173" t="s">
        <v>6197</v>
      </c>
      <c r="CZ7" s="173" t="s">
        <v>6197</v>
      </c>
      <c r="DA7" s="173" t="s">
        <v>6197</v>
      </c>
      <c r="DB7" s="173" t="s">
        <v>6197</v>
      </c>
      <c r="DC7" s="173" t="s">
        <v>6197</v>
      </c>
      <c r="DD7" s="173" t="s">
        <v>6197</v>
      </c>
      <c r="DE7" s="173" t="s">
        <v>6197</v>
      </c>
      <c r="DF7" s="336"/>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row>
    <row r="8" spans="1:213" ht="57">
      <c r="A8" s="126"/>
      <c r="B8" s="128"/>
      <c r="C8" s="178"/>
      <c r="D8" s="179"/>
      <c r="E8" s="179"/>
      <c r="F8" s="179"/>
      <c r="G8" s="173" t="s">
        <v>293</v>
      </c>
      <c r="H8" s="173">
        <v>0</v>
      </c>
      <c r="I8" s="173" t="s">
        <v>293</v>
      </c>
      <c r="J8" s="173" t="s">
        <v>293</v>
      </c>
      <c r="K8" s="173" t="s">
        <v>293</v>
      </c>
      <c r="L8" s="173" t="s">
        <v>293</v>
      </c>
      <c r="M8" s="173">
        <v>0</v>
      </c>
      <c r="N8" s="173" t="s">
        <v>298</v>
      </c>
      <c r="O8" s="173" t="s">
        <v>298</v>
      </c>
      <c r="P8" s="173">
        <v>0</v>
      </c>
      <c r="Q8" s="173" t="s">
        <v>293</v>
      </c>
      <c r="R8" s="173" t="s">
        <v>293</v>
      </c>
      <c r="S8" s="173">
        <v>0</v>
      </c>
      <c r="T8" s="173" t="s">
        <v>2444</v>
      </c>
      <c r="U8" s="173" t="s">
        <v>303</v>
      </c>
      <c r="V8" s="173" t="s">
        <v>306</v>
      </c>
      <c r="W8" s="173" t="s">
        <v>2486</v>
      </c>
      <c r="X8" s="173" t="s">
        <v>298</v>
      </c>
      <c r="Y8" s="173">
        <v>0</v>
      </c>
      <c r="Z8" s="173" t="s">
        <v>50</v>
      </c>
      <c r="AA8" s="173" t="s">
        <v>50</v>
      </c>
      <c r="AB8" s="173" t="s">
        <v>50</v>
      </c>
      <c r="AC8" s="173" t="s">
        <v>50</v>
      </c>
      <c r="AD8" s="173">
        <v>0</v>
      </c>
      <c r="AE8" s="173">
        <v>0</v>
      </c>
      <c r="AF8" s="173">
        <v>0</v>
      </c>
      <c r="AG8" s="173">
        <v>0</v>
      </c>
      <c r="AH8" s="173">
        <v>0</v>
      </c>
      <c r="AI8" s="173">
        <v>0</v>
      </c>
      <c r="AJ8" s="173">
        <v>0</v>
      </c>
      <c r="AK8" s="173">
        <v>0</v>
      </c>
      <c r="AL8" s="173">
        <v>0</v>
      </c>
      <c r="AM8" s="173">
        <v>0</v>
      </c>
      <c r="AN8" s="173">
        <v>0</v>
      </c>
      <c r="AO8" s="173">
        <v>0</v>
      </c>
      <c r="AP8" s="173">
        <v>0</v>
      </c>
      <c r="AQ8" s="173">
        <v>0</v>
      </c>
      <c r="AR8" s="173">
        <v>0</v>
      </c>
      <c r="AS8" s="173">
        <v>0</v>
      </c>
      <c r="AT8" s="173">
        <v>0</v>
      </c>
      <c r="AU8" s="173">
        <v>0</v>
      </c>
      <c r="AV8" s="173">
        <v>0</v>
      </c>
      <c r="AW8" s="173">
        <v>0</v>
      </c>
      <c r="AX8" s="173">
        <v>0</v>
      </c>
      <c r="AY8" s="173">
        <v>0</v>
      </c>
      <c r="AZ8" s="173">
        <v>0</v>
      </c>
      <c r="BA8" s="173">
        <v>0</v>
      </c>
      <c r="BB8" s="173">
        <v>0</v>
      </c>
      <c r="BC8" s="173">
        <v>0</v>
      </c>
      <c r="BD8" s="173">
        <v>0</v>
      </c>
      <c r="BE8" s="173">
        <v>0</v>
      </c>
      <c r="BF8" s="173">
        <v>0</v>
      </c>
      <c r="BG8" s="173">
        <v>0</v>
      </c>
      <c r="BH8" s="173">
        <v>0</v>
      </c>
      <c r="BI8" s="173">
        <v>0</v>
      </c>
      <c r="BJ8" s="173">
        <v>0</v>
      </c>
      <c r="BK8" s="173">
        <v>0</v>
      </c>
      <c r="BL8" s="173">
        <v>0</v>
      </c>
      <c r="BM8" s="173">
        <v>0</v>
      </c>
      <c r="BN8" s="173">
        <v>0</v>
      </c>
      <c r="BO8" s="173">
        <v>0</v>
      </c>
      <c r="BP8" s="173">
        <v>0</v>
      </c>
      <c r="BQ8" s="173">
        <v>0</v>
      </c>
      <c r="BR8" s="173">
        <v>0</v>
      </c>
      <c r="BS8" s="173">
        <v>0</v>
      </c>
      <c r="BT8" s="173">
        <v>0</v>
      </c>
      <c r="BU8" s="173">
        <v>0</v>
      </c>
      <c r="BV8" s="173">
        <v>0</v>
      </c>
      <c r="BW8" s="173">
        <v>0</v>
      </c>
      <c r="BX8" s="173">
        <v>0</v>
      </c>
      <c r="BY8" s="173">
        <v>0</v>
      </c>
      <c r="BZ8" s="173">
        <v>0</v>
      </c>
      <c r="CA8" s="173">
        <v>0</v>
      </c>
      <c r="CB8" s="173">
        <v>0</v>
      </c>
      <c r="CC8" s="173">
        <v>0</v>
      </c>
      <c r="CD8" s="173">
        <v>0</v>
      </c>
      <c r="CE8" s="173">
        <v>0</v>
      </c>
      <c r="CF8" s="173">
        <v>0</v>
      </c>
      <c r="CG8" s="173">
        <v>0</v>
      </c>
      <c r="CH8" s="173">
        <v>0</v>
      </c>
      <c r="CI8" s="173">
        <v>0</v>
      </c>
      <c r="CJ8" s="173">
        <v>0</v>
      </c>
      <c r="CK8" s="173">
        <v>0</v>
      </c>
      <c r="CL8" s="173">
        <v>0</v>
      </c>
      <c r="CM8" s="173">
        <v>0</v>
      </c>
      <c r="CN8" s="173">
        <v>0</v>
      </c>
      <c r="CO8" s="173">
        <v>0</v>
      </c>
      <c r="CP8" s="173">
        <v>0</v>
      </c>
      <c r="CQ8" s="173">
        <v>0</v>
      </c>
      <c r="CR8" s="173">
        <v>0</v>
      </c>
      <c r="CS8" s="173">
        <v>0</v>
      </c>
      <c r="CT8" s="173">
        <v>0</v>
      </c>
      <c r="CU8" s="173">
        <v>0</v>
      </c>
      <c r="CV8" s="173">
        <v>0</v>
      </c>
      <c r="CW8" s="173">
        <v>0</v>
      </c>
      <c r="CX8" s="173">
        <v>0</v>
      </c>
      <c r="CY8" s="173">
        <v>0</v>
      </c>
      <c r="CZ8" s="173">
        <v>0</v>
      </c>
      <c r="DA8" s="173">
        <v>0</v>
      </c>
      <c r="DB8" s="173">
        <v>0</v>
      </c>
      <c r="DC8" s="173">
        <v>0</v>
      </c>
      <c r="DD8" s="173">
        <v>0</v>
      </c>
      <c r="DE8" s="173">
        <v>0</v>
      </c>
      <c r="DF8" s="336"/>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row>
    <row r="9" spans="1:213" ht="55.5">
      <c r="A9" s="127"/>
      <c r="B9" s="127"/>
      <c r="C9" s="130"/>
      <c r="D9" s="120"/>
      <c r="E9" s="122">
        <v>1.3</v>
      </c>
      <c r="F9" s="172"/>
      <c r="G9" s="173">
        <v>95.725867999999991</v>
      </c>
      <c r="H9" s="173">
        <v>0</v>
      </c>
      <c r="I9" s="173">
        <v>48.098711999999999</v>
      </c>
      <c r="J9" s="173">
        <v>66.489395999999999</v>
      </c>
      <c r="K9" s="173">
        <v>40.082259999999998</v>
      </c>
      <c r="L9" s="173">
        <v>56.58672</v>
      </c>
      <c r="M9" s="173">
        <v>0</v>
      </c>
      <c r="N9" s="173">
        <v>10</v>
      </c>
      <c r="O9" s="173">
        <v>6</v>
      </c>
      <c r="P9" s="173">
        <v>0</v>
      </c>
      <c r="Q9" s="173">
        <v>15.985748399999999</v>
      </c>
      <c r="R9" s="173">
        <v>24.426600799999996</v>
      </c>
      <c r="S9" s="173">
        <v>0</v>
      </c>
      <c r="T9" s="173">
        <v>6</v>
      </c>
      <c r="U9" s="173">
        <v>16</v>
      </c>
      <c r="V9" s="173">
        <v>65</v>
      </c>
      <c r="W9" s="173">
        <v>42.950250000000004</v>
      </c>
      <c r="X9" s="173">
        <v>1</v>
      </c>
      <c r="Y9" s="173">
        <v>0</v>
      </c>
      <c r="Z9" s="173">
        <v>202</v>
      </c>
      <c r="AA9" s="173">
        <v>289</v>
      </c>
      <c r="AB9" s="173">
        <v>358</v>
      </c>
      <c r="AC9" s="173">
        <v>424</v>
      </c>
      <c r="AD9" s="173">
        <v>0</v>
      </c>
      <c r="AE9" s="173">
        <v>0</v>
      </c>
      <c r="AF9" s="173">
        <v>0</v>
      </c>
      <c r="AG9" s="173">
        <v>0</v>
      </c>
      <c r="AH9" s="173">
        <v>0</v>
      </c>
      <c r="AI9" s="173">
        <v>0</v>
      </c>
      <c r="AJ9" s="173">
        <v>0</v>
      </c>
      <c r="AK9" s="173">
        <v>0</v>
      </c>
      <c r="AL9" s="173">
        <v>0</v>
      </c>
      <c r="AM9" s="173">
        <v>0</v>
      </c>
      <c r="AN9" s="173">
        <v>0</v>
      </c>
      <c r="AO9" s="173">
        <v>0</v>
      </c>
      <c r="AP9" s="173">
        <v>0</v>
      </c>
      <c r="AQ9" s="173">
        <v>0</v>
      </c>
      <c r="AR9" s="173">
        <v>0</v>
      </c>
      <c r="AS9" s="173">
        <v>0</v>
      </c>
      <c r="AT9" s="173">
        <v>0</v>
      </c>
      <c r="AU9" s="173">
        <v>0</v>
      </c>
      <c r="AV9" s="173">
        <v>0</v>
      </c>
      <c r="AW9" s="173">
        <v>0</v>
      </c>
      <c r="AX9" s="173">
        <v>0</v>
      </c>
      <c r="AY9" s="173">
        <v>0</v>
      </c>
      <c r="AZ9" s="173">
        <v>0</v>
      </c>
      <c r="BA9" s="173">
        <v>0</v>
      </c>
      <c r="BB9" s="173">
        <v>0</v>
      </c>
      <c r="BC9" s="173">
        <v>0</v>
      </c>
      <c r="BD9" s="173">
        <v>0</v>
      </c>
      <c r="BE9" s="173">
        <v>0</v>
      </c>
      <c r="BF9" s="173">
        <v>0</v>
      </c>
      <c r="BG9" s="173">
        <v>0</v>
      </c>
      <c r="BH9" s="173">
        <v>0</v>
      </c>
      <c r="BI9" s="173">
        <v>0</v>
      </c>
      <c r="BJ9" s="173">
        <v>0</v>
      </c>
      <c r="BK9" s="173">
        <v>0</v>
      </c>
      <c r="BL9" s="173">
        <v>0</v>
      </c>
      <c r="BM9" s="173">
        <v>0</v>
      </c>
      <c r="BN9" s="173">
        <v>0</v>
      </c>
      <c r="BO9" s="173">
        <v>0</v>
      </c>
      <c r="BP9" s="173">
        <v>0</v>
      </c>
      <c r="BQ9" s="173">
        <v>0</v>
      </c>
      <c r="BR9" s="173">
        <v>0</v>
      </c>
      <c r="BS9" s="173">
        <v>0</v>
      </c>
      <c r="BT9" s="173">
        <v>0</v>
      </c>
      <c r="BU9" s="173">
        <v>0</v>
      </c>
      <c r="BV9" s="173">
        <v>0</v>
      </c>
      <c r="BW9" s="173">
        <v>0</v>
      </c>
      <c r="BX9" s="173">
        <v>0</v>
      </c>
      <c r="BY9" s="173">
        <v>0</v>
      </c>
      <c r="BZ9" s="173">
        <v>0</v>
      </c>
      <c r="CA9" s="173">
        <v>0</v>
      </c>
      <c r="CB9" s="173">
        <v>0</v>
      </c>
      <c r="CC9" s="173">
        <v>0</v>
      </c>
      <c r="CD9" s="173">
        <v>0</v>
      </c>
      <c r="CE9" s="173">
        <v>0</v>
      </c>
      <c r="CF9" s="173">
        <v>0</v>
      </c>
      <c r="CG9" s="173">
        <v>0</v>
      </c>
      <c r="CH9" s="173">
        <v>0</v>
      </c>
      <c r="CI9" s="173">
        <v>0</v>
      </c>
      <c r="CJ9" s="173">
        <v>0</v>
      </c>
      <c r="CK9" s="173">
        <v>0</v>
      </c>
      <c r="CL9" s="173">
        <v>0</v>
      </c>
      <c r="CM9" s="173">
        <v>0</v>
      </c>
      <c r="CN9" s="173">
        <v>0</v>
      </c>
      <c r="CO9" s="173">
        <v>0</v>
      </c>
      <c r="CP9" s="173">
        <v>0</v>
      </c>
      <c r="CQ9" s="173">
        <v>0</v>
      </c>
      <c r="CR9" s="173">
        <v>0</v>
      </c>
      <c r="CS9" s="173">
        <v>0</v>
      </c>
      <c r="CT9" s="173">
        <v>0</v>
      </c>
      <c r="CU9" s="173">
        <v>0</v>
      </c>
      <c r="CV9" s="173">
        <v>0</v>
      </c>
      <c r="CW9" s="173">
        <v>0</v>
      </c>
      <c r="CX9" s="173">
        <v>0</v>
      </c>
      <c r="CY9" s="173">
        <v>0</v>
      </c>
      <c r="CZ9" s="173">
        <v>0</v>
      </c>
      <c r="DA9" s="173">
        <v>0</v>
      </c>
      <c r="DB9" s="173">
        <v>0</v>
      </c>
      <c r="DC9" s="173">
        <v>0</v>
      </c>
      <c r="DD9" s="173">
        <v>0</v>
      </c>
      <c r="DE9" s="173">
        <v>0</v>
      </c>
      <c r="DF9" s="336"/>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row>
    <row r="10" spans="1:213">
      <c r="A10" s="136" t="s">
        <v>5977</v>
      </c>
      <c r="B10" s="136" t="s">
        <v>7823</v>
      </c>
      <c r="C10" s="137" t="s">
        <v>7824</v>
      </c>
      <c r="D10" s="120">
        <f>E10*F10</f>
        <v>1834.35868824</v>
      </c>
      <c r="E10" s="121">
        <f t="shared" ref="E10:E73" si="0">E$9</f>
        <v>1.3</v>
      </c>
      <c r="F10" s="172" cm="1">
        <f t="array" ref="F10">SUM(G10:DD10*$G$9:$DD$9)</f>
        <v>1411.0451447999999</v>
      </c>
      <c r="G10" s="2">
        <v>1</v>
      </c>
      <c r="H10" s="2"/>
      <c r="I10" s="2"/>
      <c r="J10" s="2"/>
      <c r="K10" s="2">
        <v>1</v>
      </c>
      <c r="L10" s="2">
        <v>2</v>
      </c>
      <c r="M10" s="2"/>
      <c r="N10" s="2"/>
      <c r="O10" s="2">
        <v>4</v>
      </c>
      <c r="P10" s="2"/>
      <c r="Q10" s="2">
        <v>15</v>
      </c>
      <c r="R10" s="2">
        <v>1</v>
      </c>
      <c r="S10" s="2"/>
      <c r="T10" s="2">
        <v>3</v>
      </c>
      <c r="U10" s="2">
        <v>3</v>
      </c>
      <c r="V10" s="2">
        <v>3</v>
      </c>
      <c r="W10" s="2">
        <v>3</v>
      </c>
      <c r="X10" s="2">
        <v>60</v>
      </c>
      <c r="Y10" s="2"/>
      <c r="Z10" s="2"/>
      <c r="AA10" s="2"/>
      <c r="AB10" s="2"/>
      <c r="AC10" s="2">
        <v>1</v>
      </c>
      <c r="AD10" s="2"/>
      <c r="AE10" s="2">
        <f>I10*2+J10*2+K10*2+L10*2+Q10*2+R10*3+T10+U10*2+V10*3+W10*3</f>
        <v>66</v>
      </c>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row>
    <row r="11" spans="1:213">
      <c r="A11" s="136" t="s">
        <v>5978</v>
      </c>
      <c r="B11" s="136" t="s">
        <v>7825</v>
      </c>
      <c r="C11" s="137" t="s">
        <v>7824</v>
      </c>
      <c r="D11" s="120">
        <f>E11*F11</f>
        <v>1276.1197924799999</v>
      </c>
      <c r="E11" s="121">
        <f t="shared" si="0"/>
        <v>1.3</v>
      </c>
      <c r="F11" s="172" cm="1">
        <f t="array" ref="F11">SUM(G11:DD11*$G$9:$DD$9)</f>
        <v>981.63060959999996</v>
      </c>
      <c r="G11" s="2">
        <v>1</v>
      </c>
      <c r="H11" s="2"/>
      <c r="I11" s="2"/>
      <c r="J11" s="2"/>
      <c r="K11" s="2">
        <v>3</v>
      </c>
      <c r="L11" s="2"/>
      <c r="M11" s="2"/>
      <c r="N11" s="2"/>
      <c r="O11" s="2">
        <v>4</v>
      </c>
      <c r="P11" s="2"/>
      <c r="Q11" s="2">
        <v>24</v>
      </c>
      <c r="R11" s="2"/>
      <c r="S11" s="2"/>
      <c r="T11" s="2"/>
      <c r="U11" s="2"/>
      <c r="V11" s="2"/>
      <c r="W11" s="2"/>
      <c r="X11" s="2"/>
      <c r="Y11" s="2"/>
      <c r="Z11" s="2"/>
      <c r="AA11" s="2"/>
      <c r="AB11" s="2">
        <v>1</v>
      </c>
      <c r="AC11" s="2"/>
      <c r="AD11" s="2"/>
      <c r="AE11" s="2">
        <f t="shared" ref="AE11:AE17" si="1">I11*2+J11*2+K11*2+L11*2+Q11*2+R11*3+T11+U11*2+V11*3+W11*3</f>
        <v>54</v>
      </c>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row>
    <row r="12" spans="1:213">
      <c r="A12" s="136" t="s">
        <v>5979</v>
      </c>
      <c r="B12" s="136" t="s">
        <v>7826</v>
      </c>
      <c r="C12" s="137" t="s">
        <v>7824</v>
      </c>
      <c r="D12" s="120">
        <f t="shared" ref="D12:D75" si="2">E12*F12</f>
        <v>1060.8299478399999</v>
      </c>
      <c r="E12" s="121">
        <f t="shared" si="0"/>
        <v>1.3</v>
      </c>
      <c r="F12" s="172" cm="1">
        <f t="array" ref="F12">SUM(G12:DD12*$G$9:$DD$9)</f>
        <v>816.0230368</v>
      </c>
      <c r="G12" s="2">
        <v>1</v>
      </c>
      <c r="H12" s="2"/>
      <c r="I12" s="2"/>
      <c r="J12" s="2">
        <v>3</v>
      </c>
      <c r="K12" s="2"/>
      <c r="L12" s="2"/>
      <c r="M12" s="2"/>
      <c r="N12" s="2">
        <v>4</v>
      </c>
      <c r="O12" s="2"/>
      <c r="P12" s="2"/>
      <c r="Q12" s="2">
        <v>12</v>
      </c>
      <c r="R12" s="2"/>
      <c r="S12" s="2"/>
      <c r="T12" s="2"/>
      <c r="U12" s="2"/>
      <c r="V12" s="2"/>
      <c r="W12" s="2"/>
      <c r="X12" s="2"/>
      <c r="Y12" s="2"/>
      <c r="Z12" s="2"/>
      <c r="AA12" s="2">
        <v>1</v>
      </c>
      <c r="AB12" s="2"/>
      <c r="AC12" s="2"/>
      <c r="AD12" s="2"/>
      <c r="AE12" s="2">
        <f t="shared" si="1"/>
        <v>30</v>
      </c>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row>
    <row r="13" spans="1:213">
      <c r="A13" s="136" t="s">
        <v>5980</v>
      </c>
      <c r="B13" s="136" t="s">
        <v>7827</v>
      </c>
      <c r="C13" s="137" t="s">
        <v>7824</v>
      </c>
      <c r="D13" s="120">
        <f t="shared" si="2"/>
        <v>1486.6086299999997</v>
      </c>
      <c r="E13" s="121">
        <f t="shared" si="0"/>
        <v>1.3</v>
      </c>
      <c r="F13" s="172" cm="1">
        <f t="array" ref="F13">SUM(G13:DD13*$G$9:$DD$9)</f>
        <v>1143.5450999999998</v>
      </c>
      <c r="G13" s="2">
        <v>1</v>
      </c>
      <c r="H13" s="2"/>
      <c r="I13" s="2"/>
      <c r="J13" s="2"/>
      <c r="K13" s="2">
        <v>3</v>
      </c>
      <c r="L13" s="2"/>
      <c r="M13" s="2"/>
      <c r="N13" s="2"/>
      <c r="O13" s="2">
        <v>4</v>
      </c>
      <c r="P13" s="2"/>
      <c r="Q13" s="2">
        <v>30</v>
      </c>
      <c r="R13" s="2"/>
      <c r="S13" s="2"/>
      <c r="T13" s="2"/>
      <c r="U13" s="2"/>
      <c r="V13" s="2"/>
      <c r="W13" s="2"/>
      <c r="X13" s="2"/>
      <c r="Y13" s="2"/>
      <c r="Z13" s="2"/>
      <c r="AA13" s="2"/>
      <c r="AB13" s="2"/>
      <c r="AC13" s="2">
        <v>1</v>
      </c>
      <c r="AD13" s="2"/>
      <c r="AE13" s="2">
        <f t="shared" si="1"/>
        <v>66</v>
      </c>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row>
    <row r="14" spans="1:213">
      <c r="A14" s="136" t="s">
        <v>5981</v>
      </c>
      <c r="B14" s="136" t="s">
        <v>7828</v>
      </c>
      <c r="C14" s="137" t="s">
        <v>7824</v>
      </c>
      <c r="D14" s="120">
        <f t="shared" si="2"/>
        <v>1340.48718648</v>
      </c>
      <c r="E14" s="121">
        <f t="shared" si="0"/>
        <v>1.3</v>
      </c>
      <c r="F14" s="172" cm="1">
        <f t="array" ref="F14">SUM(G14:DD14*$G$9:$DD$9)</f>
        <v>1031.1439895999999</v>
      </c>
      <c r="G14" s="2">
        <v>1</v>
      </c>
      <c r="H14" s="2"/>
      <c r="I14" s="2"/>
      <c r="J14" s="2"/>
      <c r="K14" s="2"/>
      <c r="L14" s="2">
        <v>3</v>
      </c>
      <c r="M14" s="2"/>
      <c r="N14" s="2"/>
      <c r="O14" s="2">
        <v>4</v>
      </c>
      <c r="P14" s="2"/>
      <c r="Q14" s="2">
        <v>24</v>
      </c>
      <c r="R14" s="2"/>
      <c r="S14" s="2"/>
      <c r="T14" s="2"/>
      <c r="U14" s="2"/>
      <c r="V14" s="2"/>
      <c r="W14" s="2"/>
      <c r="X14" s="2"/>
      <c r="Y14" s="2"/>
      <c r="Z14" s="2"/>
      <c r="AA14" s="2"/>
      <c r="AB14" s="2">
        <v>1</v>
      </c>
      <c r="AC14" s="2"/>
      <c r="AD14" s="2"/>
      <c r="AE14" s="2">
        <f t="shared" si="1"/>
        <v>54</v>
      </c>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row>
    <row r="15" spans="1:213">
      <c r="A15" s="136" t="s">
        <v>5982</v>
      </c>
      <c r="B15" s="136" t="s">
        <v>7829</v>
      </c>
      <c r="C15" s="137" t="s">
        <v>7824</v>
      </c>
      <c r="D15" s="120">
        <f t="shared" si="2"/>
        <v>864.82803160000003</v>
      </c>
      <c r="E15" s="121">
        <f t="shared" si="0"/>
        <v>1.3</v>
      </c>
      <c r="F15" s="172" cm="1">
        <f t="array" ref="F15">SUM(G15:DD15*$G$9:$DD$9)</f>
        <v>665.25233200000002</v>
      </c>
      <c r="G15" s="2">
        <v>1</v>
      </c>
      <c r="H15" s="2"/>
      <c r="I15" s="2"/>
      <c r="J15" s="2"/>
      <c r="K15" s="2">
        <v>1</v>
      </c>
      <c r="L15" s="2">
        <v>1</v>
      </c>
      <c r="M15" s="2"/>
      <c r="N15" s="2"/>
      <c r="O15" s="2">
        <v>4</v>
      </c>
      <c r="P15" s="2"/>
      <c r="Q15" s="2">
        <v>10</v>
      </c>
      <c r="R15" s="2"/>
      <c r="S15" s="2"/>
      <c r="T15" s="2"/>
      <c r="U15" s="2"/>
      <c r="V15" s="2"/>
      <c r="W15" s="2"/>
      <c r="X15" s="2"/>
      <c r="Y15" s="2"/>
      <c r="Z15" s="2"/>
      <c r="AA15" s="2">
        <v>1</v>
      </c>
      <c r="AB15" s="2"/>
      <c r="AC15" s="2"/>
      <c r="AD15" s="2"/>
      <c r="AE15" s="2">
        <f t="shared" si="1"/>
        <v>24</v>
      </c>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row>
    <row r="16" spans="1:213">
      <c r="A16" s="136" t="s">
        <v>5983</v>
      </c>
      <c r="B16" s="136" t="s">
        <v>7830</v>
      </c>
      <c r="C16" s="137" t="s">
        <v>7824</v>
      </c>
      <c r="D16" s="120">
        <f t="shared" si="2"/>
        <v>937.04211744000008</v>
      </c>
      <c r="E16" s="121">
        <f t="shared" si="0"/>
        <v>1.3</v>
      </c>
      <c r="F16" s="172" cm="1">
        <f t="array" ref="F16">SUM(G16:DD16*$G$9:$DD$9)</f>
        <v>720.8016288</v>
      </c>
      <c r="G16" s="2">
        <v>1</v>
      </c>
      <c r="H16" s="2"/>
      <c r="I16" s="2"/>
      <c r="J16" s="2"/>
      <c r="K16" s="2">
        <v>3</v>
      </c>
      <c r="L16" s="2"/>
      <c r="M16" s="2"/>
      <c r="N16" s="2"/>
      <c r="O16" s="2">
        <v>4</v>
      </c>
      <c r="P16" s="2"/>
      <c r="Q16" s="2">
        <v>12</v>
      </c>
      <c r="R16" s="2"/>
      <c r="S16" s="2"/>
      <c r="T16" s="2"/>
      <c r="U16" s="2"/>
      <c r="V16" s="2"/>
      <c r="W16" s="2"/>
      <c r="X16" s="2"/>
      <c r="Y16" s="2"/>
      <c r="Z16" s="2"/>
      <c r="AA16" s="2">
        <v>1</v>
      </c>
      <c r="AB16" s="2"/>
      <c r="AC16" s="2"/>
      <c r="AD16" s="2"/>
      <c r="AE16" s="2">
        <f t="shared" si="1"/>
        <v>30</v>
      </c>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row>
    <row r="17" spans="1:111">
      <c r="A17" s="136" t="s">
        <v>5984</v>
      </c>
      <c r="B17" s="136" t="s">
        <v>7831</v>
      </c>
      <c r="C17" s="137" t="s">
        <v>7824</v>
      </c>
      <c r="D17" s="120">
        <f t="shared" si="2"/>
        <v>989.10628024000005</v>
      </c>
      <c r="E17" s="121">
        <f t="shared" si="0"/>
        <v>1.3</v>
      </c>
      <c r="F17" s="172" cm="1">
        <f t="array" ref="F17">SUM(G17:DD17*$G$9:$DD$9)</f>
        <v>760.85098479999999</v>
      </c>
      <c r="G17" s="2">
        <v>1</v>
      </c>
      <c r="H17" s="2"/>
      <c r="I17" s="2">
        <v>3</v>
      </c>
      <c r="J17" s="2"/>
      <c r="K17" s="2"/>
      <c r="L17" s="2"/>
      <c r="M17" s="2"/>
      <c r="N17" s="2">
        <v>4</v>
      </c>
      <c r="O17" s="2"/>
      <c r="P17" s="2"/>
      <c r="Q17" s="2">
        <v>12</v>
      </c>
      <c r="R17" s="2"/>
      <c r="S17" s="2"/>
      <c r="T17" s="2"/>
      <c r="U17" s="2"/>
      <c r="V17" s="2"/>
      <c r="W17" s="2"/>
      <c r="X17" s="2"/>
      <c r="Y17" s="2"/>
      <c r="Z17" s="2"/>
      <c r="AA17" s="2">
        <v>1</v>
      </c>
      <c r="AB17" s="2"/>
      <c r="AC17" s="2"/>
      <c r="AD17" s="2"/>
      <c r="AE17" s="2">
        <f t="shared" si="1"/>
        <v>30</v>
      </c>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row>
    <row r="18" spans="1:111">
      <c r="A18" s="136" t="s">
        <v>5985</v>
      </c>
      <c r="B18" s="136"/>
      <c r="C18" s="137"/>
      <c r="D18" s="120">
        <f t="shared" si="2"/>
        <v>0</v>
      </c>
      <c r="E18" s="121">
        <f t="shared" si="0"/>
        <v>1.3</v>
      </c>
      <c r="F18" s="172" cm="1">
        <f t="array" ref="F18">SUM(G18:DD18*$G$9:$DD$9)</f>
        <v>0</v>
      </c>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row>
    <row r="19" spans="1:111">
      <c r="A19" s="136" t="s">
        <v>5986</v>
      </c>
      <c r="B19" s="136"/>
      <c r="C19" s="137"/>
      <c r="D19" s="120">
        <f t="shared" si="2"/>
        <v>0</v>
      </c>
      <c r="E19" s="121">
        <f t="shared" si="0"/>
        <v>1.3</v>
      </c>
      <c r="F19" s="172" cm="1">
        <f t="array" ref="F19">SUM(G19:DD19*$G$9:$DD$9)</f>
        <v>0</v>
      </c>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row>
    <row r="20" spans="1:111">
      <c r="A20" s="136" t="s">
        <v>5987</v>
      </c>
      <c r="B20" s="136"/>
      <c r="C20" s="137"/>
      <c r="D20" s="120">
        <f t="shared" si="2"/>
        <v>0</v>
      </c>
      <c r="E20" s="121">
        <f t="shared" si="0"/>
        <v>1.3</v>
      </c>
      <c r="F20" s="172" cm="1">
        <f t="array" ref="F20">SUM(G20:DD20*$G$9:$DD$9)</f>
        <v>0</v>
      </c>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row>
    <row r="21" spans="1:111">
      <c r="A21" s="136" t="s">
        <v>5988</v>
      </c>
      <c r="B21" s="136"/>
      <c r="C21" s="137"/>
      <c r="D21" s="120">
        <f t="shared" si="2"/>
        <v>0</v>
      </c>
      <c r="E21" s="121">
        <f t="shared" si="0"/>
        <v>1.3</v>
      </c>
      <c r="F21" s="172" cm="1">
        <f t="array" ref="F21">SUM(G21:DD21*$G$9:$DD$9)</f>
        <v>0</v>
      </c>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row>
    <row r="22" spans="1:111">
      <c r="A22" s="136" t="s">
        <v>5989</v>
      </c>
      <c r="B22" s="136"/>
      <c r="C22" s="137"/>
      <c r="D22" s="120">
        <f t="shared" si="2"/>
        <v>0</v>
      </c>
      <c r="E22" s="121">
        <f t="shared" si="0"/>
        <v>1.3</v>
      </c>
      <c r="F22" s="172" cm="1">
        <f t="array" ref="F22">SUM(G22:DD22*$G$9:$DD$9)</f>
        <v>0</v>
      </c>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row>
    <row r="23" spans="1:111">
      <c r="A23" s="136" t="s">
        <v>5990</v>
      </c>
      <c r="B23" s="136"/>
      <c r="C23" s="137"/>
      <c r="D23" s="120">
        <f t="shared" si="2"/>
        <v>0</v>
      </c>
      <c r="E23" s="121">
        <f t="shared" si="0"/>
        <v>1.3</v>
      </c>
      <c r="F23" s="172" cm="1">
        <f t="array" ref="F23">SUM(G23:DD23*$G$9:$DD$9)</f>
        <v>0</v>
      </c>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row>
    <row r="24" spans="1:111">
      <c r="A24" s="136" t="s">
        <v>5991</v>
      </c>
      <c r="B24" s="136"/>
      <c r="C24" s="137"/>
      <c r="D24" s="120">
        <f t="shared" si="2"/>
        <v>0</v>
      </c>
      <c r="E24" s="121">
        <f t="shared" si="0"/>
        <v>1.3</v>
      </c>
      <c r="F24" s="172" cm="1">
        <f t="array" ref="F24">SUM(G24:DD24*$G$9:$DD$9)</f>
        <v>0</v>
      </c>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row>
    <row r="25" spans="1:111">
      <c r="A25" s="136" t="s">
        <v>5992</v>
      </c>
      <c r="B25" s="136"/>
      <c r="C25" s="137"/>
      <c r="D25" s="120">
        <f t="shared" si="2"/>
        <v>0</v>
      </c>
      <c r="E25" s="121">
        <f t="shared" si="0"/>
        <v>1.3</v>
      </c>
      <c r="F25" s="172" cm="1">
        <f t="array" ref="F25">SUM(G25:DD25*$G$9:$DD$9)</f>
        <v>0</v>
      </c>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row>
    <row r="26" spans="1:111">
      <c r="A26" s="136" t="s">
        <v>5993</v>
      </c>
      <c r="B26" s="136"/>
      <c r="C26" s="137"/>
      <c r="D26" s="120">
        <f t="shared" si="2"/>
        <v>0</v>
      </c>
      <c r="E26" s="121">
        <f t="shared" si="0"/>
        <v>1.3</v>
      </c>
      <c r="F26" s="172" cm="1">
        <f t="array" ref="F26">SUM(G26:DD26*$G$9:$DD$9)</f>
        <v>0</v>
      </c>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row>
    <row r="27" spans="1:111">
      <c r="A27" s="136" t="s">
        <v>5994</v>
      </c>
      <c r="B27" s="136"/>
      <c r="C27" s="137"/>
      <c r="D27" s="120">
        <f t="shared" si="2"/>
        <v>0</v>
      </c>
      <c r="E27" s="121">
        <f t="shared" si="0"/>
        <v>1.3</v>
      </c>
      <c r="F27" s="172" cm="1">
        <f t="array" ref="F27">SUM(G27:DD27*$G$9:$DD$9)</f>
        <v>0</v>
      </c>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row>
    <row r="28" spans="1:111">
      <c r="A28" s="136" t="s">
        <v>5995</v>
      </c>
      <c r="B28" s="136"/>
      <c r="C28" s="137"/>
      <c r="D28" s="120">
        <f t="shared" si="2"/>
        <v>0</v>
      </c>
      <c r="E28" s="121">
        <f t="shared" si="0"/>
        <v>1.3</v>
      </c>
      <c r="F28" s="172" cm="1">
        <f t="array" ref="F28">SUM(G28:DD28*$G$9:$DD$9)</f>
        <v>0</v>
      </c>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row>
    <row r="29" spans="1:111">
      <c r="A29" s="136" t="s">
        <v>5996</v>
      </c>
      <c r="B29" s="136"/>
      <c r="C29" s="137"/>
      <c r="D29" s="120">
        <f t="shared" si="2"/>
        <v>0</v>
      </c>
      <c r="E29" s="121">
        <f t="shared" si="0"/>
        <v>1.3</v>
      </c>
      <c r="F29" s="172" cm="1">
        <f t="array" ref="F29">SUM(G29:DD29*$G$9:$DD$9)</f>
        <v>0</v>
      </c>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row>
    <row r="30" spans="1:111">
      <c r="A30" s="136" t="s">
        <v>5997</v>
      </c>
      <c r="B30" s="136"/>
      <c r="C30" s="137"/>
      <c r="D30" s="120">
        <f t="shared" si="2"/>
        <v>0</v>
      </c>
      <c r="E30" s="121">
        <f t="shared" si="0"/>
        <v>1.3</v>
      </c>
      <c r="F30" s="172" cm="1">
        <f t="array" ref="F30">SUM(G30:DD30*$G$9:$DD$9)</f>
        <v>0</v>
      </c>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row>
    <row r="31" spans="1:111">
      <c r="A31" s="136" t="s">
        <v>5998</v>
      </c>
      <c r="B31" s="136"/>
      <c r="C31" s="137"/>
      <c r="D31" s="120">
        <f t="shared" si="2"/>
        <v>0</v>
      </c>
      <c r="E31" s="121">
        <f t="shared" si="0"/>
        <v>1.3</v>
      </c>
      <c r="F31" s="172" cm="1">
        <f t="array" ref="F31">SUM(G31:DD31*$G$9:$DD$9)</f>
        <v>0</v>
      </c>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row>
    <row r="32" spans="1:111">
      <c r="A32" s="136" t="s">
        <v>7810</v>
      </c>
      <c r="B32" s="136"/>
      <c r="C32" s="137"/>
      <c r="D32" s="120">
        <f t="shared" si="2"/>
        <v>0</v>
      </c>
      <c r="E32" s="121">
        <f t="shared" si="0"/>
        <v>1.3</v>
      </c>
      <c r="F32" s="172" cm="1">
        <f t="array" ref="F32">SUM(G32:DD32*$G$9:$DD$9)</f>
        <v>0</v>
      </c>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row>
    <row r="33" spans="1:111">
      <c r="A33" s="136" t="s">
        <v>7811</v>
      </c>
      <c r="B33" s="136"/>
      <c r="C33" s="137"/>
      <c r="D33" s="120">
        <f t="shared" si="2"/>
        <v>0</v>
      </c>
      <c r="E33" s="121">
        <f t="shared" si="0"/>
        <v>1.3</v>
      </c>
      <c r="F33" s="172" cm="1">
        <f t="array" ref="F33">SUM(G33:DD33*$G$9:$DD$9)</f>
        <v>0</v>
      </c>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row>
    <row r="34" spans="1:111">
      <c r="A34" s="136" t="s">
        <v>7812</v>
      </c>
      <c r="B34" s="136"/>
      <c r="C34" s="137"/>
      <c r="D34" s="120">
        <f t="shared" si="2"/>
        <v>0</v>
      </c>
      <c r="E34" s="121">
        <f t="shared" si="0"/>
        <v>1.3</v>
      </c>
      <c r="F34" s="172" cm="1">
        <f t="array" ref="F34">SUM(G34:DD34*$G$9:$DD$9)</f>
        <v>0</v>
      </c>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row>
    <row r="35" spans="1:111">
      <c r="A35" s="136" t="s">
        <v>7813</v>
      </c>
      <c r="B35" s="136"/>
      <c r="C35" s="137"/>
      <c r="D35" s="120">
        <f t="shared" si="2"/>
        <v>0</v>
      </c>
      <c r="E35" s="121">
        <f t="shared" si="0"/>
        <v>1.3</v>
      </c>
      <c r="F35" s="172" cm="1">
        <f t="array" ref="F35">SUM(G35:DD35*$G$9:$DD$9)</f>
        <v>0</v>
      </c>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row>
    <row r="36" spans="1:111">
      <c r="A36" s="136" t="s">
        <v>7814</v>
      </c>
      <c r="B36" s="136"/>
      <c r="C36" s="137"/>
      <c r="D36" s="120">
        <f t="shared" si="2"/>
        <v>0</v>
      </c>
      <c r="E36" s="121">
        <f t="shared" si="0"/>
        <v>1.3</v>
      </c>
      <c r="F36" s="172" cm="1">
        <f t="array" ref="F36">SUM(G36:DD36*$G$9:$DD$9)</f>
        <v>0</v>
      </c>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row>
    <row r="37" spans="1:111">
      <c r="A37" s="136" t="s">
        <v>7815</v>
      </c>
      <c r="B37" s="136"/>
      <c r="C37" s="137"/>
      <c r="D37" s="120">
        <f t="shared" si="2"/>
        <v>0</v>
      </c>
      <c r="E37" s="121">
        <f t="shared" si="0"/>
        <v>1.3</v>
      </c>
      <c r="F37" s="172" cm="1">
        <f t="array" ref="F37">SUM(G37:DD37*$G$9:$DD$9)</f>
        <v>0</v>
      </c>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row>
    <row r="38" spans="1:111">
      <c r="A38" s="136" t="s">
        <v>7816</v>
      </c>
      <c r="B38" s="136"/>
      <c r="C38" s="137"/>
      <c r="D38" s="120">
        <f t="shared" si="2"/>
        <v>0</v>
      </c>
      <c r="E38" s="121">
        <f t="shared" si="0"/>
        <v>1.3</v>
      </c>
      <c r="F38" s="172" cm="1">
        <f t="array" ref="F38">SUM(G38:DD38*$G$9:$DD$9)</f>
        <v>0</v>
      </c>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row>
    <row r="39" spans="1:111">
      <c r="A39" s="136" t="s">
        <v>7817</v>
      </c>
      <c r="B39" s="136"/>
      <c r="C39" s="137"/>
      <c r="D39" s="120">
        <f t="shared" si="2"/>
        <v>0</v>
      </c>
      <c r="E39" s="121">
        <f t="shared" si="0"/>
        <v>1.3</v>
      </c>
      <c r="F39" s="172" cm="1">
        <f t="array" ref="F39">SUM(G39:DD39*$G$9:$DD$9)</f>
        <v>0</v>
      </c>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row>
    <row r="40" spans="1:111">
      <c r="A40" s="136" t="s">
        <v>7818</v>
      </c>
      <c r="B40" s="136"/>
      <c r="C40" s="137"/>
      <c r="D40" s="120">
        <f t="shared" si="2"/>
        <v>0</v>
      </c>
      <c r="E40" s="121">
        <f t="shared" si="0"/>
        <v>1.3</v>
      </c>
      <c r="F40" s="172" cm="1">
        <f t="array" ref="F40">SUM(G40:DD40*$G$9:$DD$9)</f>
        <v>0</v>
      </c>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row>
    <row r="41" spans="1:111">
      <c r="A41" s="136" t="s">
        <v>7819</v>
      </c>
      <c r="B41" s="136"/>
      <c r="C41" s="137"/>
      <c r="D41" s="120">
        <f t="shared" si="2"/>
        <v>0</v>
      </c>
      <c r="E41" s="121">
        <f t="shared" si="0"/>
        <v>1.3</v>
      </c>
      <c r="F41" s="172" cm="1">
        <f t="array" ref="F41">SUM(G41:DD41*$G$9:$DD$9)</f>
        <v>0</v>
      </c>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row>
    <row r="42" spans="1:111">
      <c r="A42" s="136" t="s">
        <v>5999</v>
      </c>
      <c r="B42" s="136"/>
      <c r="C42" s="137"/>
      <c r="D42" s="120">
        <f t="shared" si="2"/>
        <v>0</v>
      </c>
      <c r="E42" s="121">
        <f t="shared" si="0"/>
        <v>1.3</v>
      </c>
      <c r="F42" s="172" cm="1">
        <f t="array" ref="F42">SUM(G42:DD42*$G$9:$DD$9)</f>
        <v>0</v>
      </c>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row>
    <row r="43" spans="1:111">
      <c r="A43" s="136" t="s">
        <v>6000</v>
      </c>
      <c r="B43" s="136"/>
      <c r="C43" s="137"/>
      <c r="D43" s="120">
        <f t="shared" si="2"/>
        <v>0</v>
      </c>
      <c r="E43" s="121">
        <f t="shared" si="0"/>
        <v>1.3</v>
      </c>
      <c r="F43" s="172" cm="1">
        <f t="array" ref="F43">SUM(G43:DD43*$G$9:$DD$9)</f>
        <v>0</v>
      </c>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row>
    <row r="44" spans="1:111">
      <c r="A44" s="136" t="s">
        <v>6001</v>
      </c>
      <c r="B44" s="136"/>
      <c r="C44" s="137"/>
      <c r="D44" s="120">
        <f t="shared" si="2"/>
        <v>0</v>
      </c>
      <c r="E44" s="121">
        <f t="shared" si="0"/>
        <v>1.3</v>
      </c>
      <c r="F44" s="172" cm="1">
        <f t="array" ref="F44">SUM(G44:DD44*$G$9:$DD$9)</f>
        <v>0</v>
      </c>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row>
    <row r="45" spans="1:111">
      <c r="A45" s="136" t="s">
        <v>6002</v>
      </c>
      <c r="B45" s="136"/>
      <c r="C45" s="137"/>
      <c r="D45" s="120">
        <f t="shared" si="2"/>
        <v>0</v>
      </c>
      <c r="E45" s="121">
        <f t="shared" si="0"/>
        <v>1.3</v>
      </c>
      <c r="F45" s="172" cm="1">
        <f t="array" ref="F45">SUM(G45:DD45*$G$9:$DD$9)</f>
        <v>0</v>
      </c>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row>
    <row r="46" spans="1:111">
      <c r="A46" s="136" t="s">
        <v>6003</v>
      </c>
      <c r="B46" s="136"/>
      <c r="C46" s="137"/>
      <c r="D46" s="120">
        <f t="shared" si="2"/>
        <v>0</v>
      </c>
      <c r="E46" s="121">
        <f t="shared" si="0"/>
        <v>1.3</v>
      </c>
      <c r="F46" s="172" cm="1">
        <f t="array" ref="F46">SUM(G46:DD46*$G$9:$DD$9)</f>
        <v>0</v>
      </c>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row>
    <row r="47" spans="1:111">
      <c r="A47" s="136" t="s">
        <v>6004</v>
      </c>
      <c r="B47" s="136"/>
      <c r="C47" s="137"/>
      <c r="D47" s="120">
        <f t="shared" si="2"/>
        <v>0</v>
      </c>
      <c r="E47" s="121">
        <f t="shared" si="0"/>
        <v>1.3</v>
      </c>
      <c r="F47" s="172" cm="1">
        <f t="array" ref="F47">SUM(G47:DD47*$G$9:$DD$9)</f>
        <v>0</v>
      </c>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row>
    <row r="48" spans="1:111">
      <c r="A48" s="136" t="s">
        <v>6005</v>
      </c>
      <c r="B48" s="136"/>
      <c r="C48" s="137"/>
      <c r="D48" s="120">
        <f t="shared" si="2"/>
        <v>0</v>
      </c>
      <c r="E48" s="121">
        <f t="shared" si="0"/>
        <v>1.3</v>
      </c>
      <c r="F48" s="172" cm="1">
        <f t="array" ref="F48">SUM(G48:DD48*$G$9:$DD$9)</f>
        <v>0</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row>
    <row r="49" spans="1:111">
      <c r="A49" s="136" t="s">
        <v>6006</v>
      </c>
      <c r="B49" s="136"/>
      <c r="C49" s="137"/>
      <c r="D49" s="120">
        <f t="shared" si="2"/>
        <v>0</v>
      </c>
      <c r="E49" s="121">
        <f t="shared" si="0"/>
        <v>1.3</v>
      </c>
      <c r="F49" s="172" cm="1">
        <f t="array" ref="F49">SUM(G49:DD49*$G$9:$DD$9)</f>
        <v>0</v>
      </c>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row>
    <row r="50" spans="1:111">
      <c r="A50" s="136" t="s">
        <v>6007</v>
      </c>
      <c r="B50" s="136"/>
      <c r="C50" s="137"/>
      <c r="D50" s="120">
        <f t="shared" si="2"/>
        <v>0</v>
      </c>
      <c r="E50" s="121">
        <f t="shared" si="0"/>
        <v>1.3</v>
      </c>
      <c r="F50" s="172" cm="1">
        <f t="array" ref="F50">SUM(G50:DD50*$G$9:$DD$9)</f>
        <v>0</v>
      </c>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row>
    <row r="51" spans="1:111">
      <c r="A51" s="136" t="s">
        <v>6008</v>
      </c>
      <c r="B51" s="136"/>
      <c r="C51" s="137"/>
      <c r="D51" s="120">
        <f t="shared" si="2"/>
        <v>0</v>
      </c>
      <c r="E51" s="121">
        <f t="shared" si="0"/>
        <v>1.3</v>
      </c>
      <c r="F51" s="172" cm="1">
        <f t="array" ref="F51">SUM(G51:DD51*$G$9:$DD$9)</f>
        <v>0</v>
      </c>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row>
    <row r="52" spans="1:111">
      <c r="A52" s="136" t="s">
        <v>6009</v>
      </c>
      <c r="B52" s="136"/>
      <c r="C52" s="137"/>
      <c r="D52" s="120">
        <f t="shared" si="2"/>
        <v>0</v>
      </c>
      <c r="E52" s="121">
        <f t="shared" si="0"/>
        <v>1.3</v>
      </c>
      <c r="F52" s="172" cm="1">
        <f t="array" ref="F52">SUM(G52:DD52*$G$9:$DD$9)</f>
        <v>0</v>
      </c>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row>
    <row r="53" spans="1:111">
      <c r="A53" s="136" t="s">
        <v>6010</v>
      </c>
      <c r="B53" s="136"/>
      <c r="C53" s="137"/>
      <c r="D53" s="120">
        <f t="shared" si="2"/>
        <v>0</v>
      </c>
      <c r="E53" s="121">
        <f t="shared" si="0"/>
        <v>1.3</v>
      </c>
      <c r="F53" s="172" cm="1">
        <f t="array" ref="F53">SUM(G53:DD53*$G$9:$DD$9)</f>
        <v>0</v>
      </c>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row>
    <row r="54" spans="1:111">
      <c r="A54" s="136" t="s">
        <v>6011</v>
      </c>
      <c r="B54" s="136"/>
      <c r="C54" s="137"/>
      <c r="D54" s="120">
        <f t="shared" si="2"/>
        <v>0</v>
      </c>
      <c r="E54" s="121">
        <f t="shared" si="0"/>
        <v>1.3</v>
      </c>
      <c r="F54" s="172" cm="1">
        <f t="array" ref="F54">SUM(G54:DD54*$G$9:$DD$9)</f>
        <v>0</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row>
    <row r="55" spans="1:111">
      <c r="A55" s="136" t="s">
        <v>6012</v>
      </c>
      <c r="B55" s="136"/>
      <c r="C55" s="137"/>
      <c r="D55" s="120">
        <f t="shared" si="2"/>
        <v>0</v>
      </c>
      <c r="E55" s="121">
        <f t="shared" si="0"/>
        <v>1.3</v>
      </c>
      <c r="F55" s="172" cm="1">
        <f t="array" ref="F55">SUM(G55:DD55*$G$9:$DD$9)</f>
        <v>0</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row>
    <row r="56" spans="1:111">
      <c r="A56" s="136" t="s">
        <v>6013</v>
      </c>
      <c r="B56" s="136"/>
      <c r="C56" s="137"/>
      <c r="D56" s="120">
        <f t="shared" si="2"/>
        <v>0</v>
      </c>
      <c r="E56" s="121">
        <f t="shared" si="0"/>
        <v>1.3</v>
      </c>
      <c r="F56" s="172" cm="1">
        <f t="array" ref="F56">SUM(G56:DD56*$G$9:$DD$9)</f>
        <v>0</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row>
    <row r="57" spans="1:111">
      <c r="A57" s="136" t="s">
        <v>6014</v>
      </c>
      <c r="B57" s="136"/>
      <c r="C57" s="137"/>
      <c r="D57" s="120">
        <f t="shared" si="2"/>
        <v>0</v>
      </c>
      <c r="E57" s="121">
        <f t="shared" si="0"/>
        <v>1.3</v>
      </c>
      <c r="F57" s="172" cm="1">
        <f t="array" ref="F57">SUM(G57:DD57*$G$9:$DD$9)</f>
        <v>0</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row>
    <row r="58" spans="1:111">
      <c r="A58" s="136" t="s">
        <v>6015</v>
      </c>
      <c r="B58" s="136"/>
      <c r="C58" s="137"/>
      <c r="D58" s="120">
        <f t="shared" si="2"/>
        <v>0</v>
      </c>
      <c r="E58" s="121">
        <f t="shared" si="0"/>
        <v>1.3</v>
      </c>
      <c r="F58" s="172" cm="1">
        <f t="array" ref="F58">SUM(G58:DD58*$G$9:$DD$9)</f>
        <v>0</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row>
    <row r="59" spans="1:111">
      <c r="A59" s="136" t="s">
        <v>6016</v>
      </c>
      <c r="B59" s="136"/>
      <c r="C59" s="137"/>
      <c r="D59" s="120">
        <f t="shared" si="2"/>
        <v>0</v>
      </c>
      <c r="E59" s="121">
        <f t="shared" si="0"/>
        <v>1.3</v>
      </c>
      <c r="F59" s="172" cm="1">
        <f t="array" ref="F59">SUM(G59:DD59*$G$9:$DD$9)</f>
        <v>0</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row>
    <row r="60" spans="1:111">
      <c r="A60" s="136" t="s">
        <v>6017</v>
      </c>
      <c r="B60" s="136"/>
      <c r="C60" s="137"/>
      <c r="D60" s="120">
        <f t="shared" si="2"/>
        <v>0</v>
      </c>
      <c r="E60" s="121">
        <f t="shared" si="0"/>
        <v>1.3</v>
      </c>
      <c r="F60" s="172" cm="1">
        <f t="array" ref="F60">SUM(G60:DD60*$G$9:$DD$9)</f>
        <v>0</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row>
    <row r="61" spans="1:111">
      <c r="A61" s="136" t="s">
        <v>6018</v>
      </c>
      <c r="B61" s="136"/>
      <c r="C61" s="137"/>
      <c r="D61" s="120">
        <f t="shared" si="2"/>
        <v>0</v>
      </c>
      <c r="E61" s="121">
        <f t="shared" si="0"/>
        <v>1.3</v>
      </c>
      <c r="F61" s="172" cm="1">
        <f t="array" ref="F61">SUM(G61:DD61*$G$9:$DD$9)</f>
        <v>0</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row>
    <row r="62" spans="1:111">
      <c r="A62" s="136" t="s">
        <v>6019</v>
      </c>
      <c r="B62" s="136"/>
      <c r="C62" s="137"/>
      <c r="D62" s="120">
        <f t="shared" si="2"/>
        <v>0</v>
      </c>
      <c r="E62" s="121">
        <f t="shared" si="0"/>
        <v>1.3</v>
      </c>
      <c r="F62" s="172" cm="1">
        <f t="array" ref="F62">SUM(G62:DD62*$G$9:$DD$9)</f>
        <v>0</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row>
    <row r="63" spans="1:111">
      <c r="A63" s="136" t="s">
        <v>6020</v>
      </c>
      <c r="B63" s="136"/>
      <c r="C63" s="137"/>
      <c r="D63" s="120">
        <f t="shared" si="2"/>
        <v>0</v>
      </c>
      <c r="E63" s="121">
        <f t="shared" si="0"/>
        <v>1.3</v>
      </c>
      <c r="F63" s="172" cm="1">
        <f t="array" ref="F63">SUM(G63:DD63*$G$9:$DD$9)</f>
        <v>0</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row>
    <row r="64" spans="1:111">
      <c r="A64" s="136" t="s">
        <v>6021</v>
      </c>
      <c r="B64" s="136"/>
      <c r="C64" s="137"/>
      <c r="D64" s="120">
        <f t="shared" si="2"/>
        <v>0</v>
      </c>
      <c r="E64" s="121">
        <f t="shared" si="0"/>
        <v>1.3</v>
      </c>
      <c r="F64" s="172" cm="1">
        <f t="array" ref="F64">SUM(G64:DD64*$G$9:$DD$9)</f>
        <v>0</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row>
    <row r="65" spans="1:111">
      <c r="A65" s="136" t="s">
        <v>6022</v>
      </c>
      <c r="B65" s="136"/>
      <c r="C65" s="137"/>
      <c r="D65" s="120">
        <f t="shared" si="2"/>
        <v>0</v>
      </c>
      <c r="E65" s="121">
        <f t="shared" si="0"/>
        <v>1.3</v>
      </c>
      <c r="F65" s="172" cm="1">
        <f t="array" ref="F65">SUM(G65:DD65*$G$9:$DD$9)</f>
        <v>0</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row>
    <row r="66" spans="1:111">
      <c r="A66" s="136" t="s">
        <v>6023</v>
      </c>
      <c r="B66" s="136"/>
      <c r="C66" s="137"/>
      <c r="D66" s="120">
        <f t="shared" si="2"/>
        <v>0</v>
      </c>
      <c r="E66" s="121">
        <f t="shared" si="0"/>
        <v>1.3</v>
      </c>
      <c r="F66" s="172" cm="1">
        <f t="array" ref="F66">SUM(G66:DD66*$G$9:$DD$9)</f>
        <v>0</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row>
    <row r="67" spans="1:111">
      <c r="A67" s="136" t="s">
        <v>6024</v>
      </c>
      <c r="B67" s="136"/>
      <c r="C67" s="137"/>
      <c r="D67" s="120">
        <f t="shared" si="2"/>
        <v>0</v>
      </c>
      <c r="E67" s="121">
        <f t="shared" si="0"/>
        <v>1.3</v>
      </c>
      <c r="F67" s="172" cm="1">
        <f t="array" ref="F67">SUM(G67:DD67*$G$9:$DD$9)</f>
        <v>0</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row>
    <row r="68" spans="1:111">
      <c r="A68" s="136" t="s">
        <v>6025</v>
      </c>
      <c r="B68" s="136"/>
      <c r="C68" s="137"/>
      <c r="D68" s="120">
        <f t="shared" si="2"/>
        <v>0</v>
      </c>
      <c r="E68" s="121">
        <f t="shared" si="0"/>
        <v>1.3</v>
      </c>
      <c r="F68" s="172" cm="1">
        <f t="array" ref="F68">SUM(G68:DD68*$G$9:$DD$9)</f>
        <v>0</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row>
    <row r="69" spans="1:111">
      <c r="A69" s="136" t="s">
        <v>6026</v>
      </c>
      <c r="B69" s="136"/>
      <c r="C69" s="137"/>
      <c r="D69" s="120">
        <f t="shared" si="2"/>
        <v>0</v>
      </c>
      <c r="E69" s="121">
        <f t="shared" si="0"/>
        <v>1.3</v>
      </c>
      <c r="F69" s="172" cm="1">
        <f t="array" ref="F69">SUM(G69:DD69*$G$9:$DD$9)</f>
        <v>0</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row>
    <row r="70" spans="1:111">
      <c r="A70" s="136" t="s">
        <v>6027</v>
      </c>
      <c r="B70" s="136"/>
      <c r="C70" s="137"/>
      <c r="D70" s="120">
        <f t="shared" si="2"/>
        <v>0</v>
      </c>
      <c r="E70" s="121">
        <f t="shared" si="0"/>
        <v>1.3</v>
      </c>
      <c r="F70" s="172" cm="1">
        <f t="array" ref="F70">SUM(G70:DD70*$G$9:$DD$9)</f>
        <v>0</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row>
    <row r="71" spans="1:111">
      <c r="A71" s="136" t="s">
        <v>6028</v>
      </c>
      <c r="B71" s="136"/>
      <c r="C71" s="137"/>
      <c r="D71" s="120">
        <f t="shared" si="2"/>
        <v>0</v>
      </c>
      <c r="E71" s="121">
        <f t="shared" si="0"/>
        <v>1.3</v>
      </c>
      <c r="F71" s="172" cm="1">
        <f t="array" ref="F71">SUM(G71:DD71*$G$9:$DD$9)</f>
        <v>0</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row>
    <row r="72" spans="1:111">
      <c r="A72" s="136" t="s">
        <v>6029</v>
      </c>
      <c r="B72" s="136"/>
      <c r="C72" s="137"/>
      <c r="D72" s="120">
        <f t="shared" si="2"/>
        <v>0</v>
      </c>
      <c r="E72" s="121">
        <f t="shared" si="0"/>
        <v>1.3</v>
      </c>
      <c r="F72" s="172" cm="1">
        <f t="array" ref="F72">SUM(G72:DD72*$G$9:$DD$9)</f>
        <v>0</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row>
    <row r="73" spans="1:111">
      <c r="A73" s="136" t="s">
        <v>6030</v>
      </c>
      <c r="B73" s="136"/>
      <c r="C73" s="137"/>
      <c r="D73" s="120">
        <f t="shared" si="2"/>
        <v>0</v>
      </c>
      <c r="E73" s="121">
        <f t="shared" si="0"/>
        <v>1.3</v>
      </c>
      <c r="F73" s="172" cm="1">
        <f t="array" ref="F73">SUM(G73:DD73*$G$9:$DD$9)</f>
        <v>0</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row>
    <row r="74" spans="1:111">
      <c r="A74" s="136" t="s">
        <v>6031</v>
      </c>
      <c r="B74" s="136"/>
      <c r="C74" s="137"/>
      <c r="D74" s="120">
        <f t="shared" si="2"/>
        <v>0</v>
      </c>
      <c r="E74" s="121">
        <f t="shared" ref="E74:E113" si="3">E$9</f>
        <v>1.3</v>
      </c>
      <c r="F74" s="172" cm="1">
        <f t="array" ref="F74">SUM(G74:DD74*$G$9:$DD$9)</f>
        <v>0</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row>
    <row r="75" spans="1:111">
      <c r="A75" s="136" t="s">
        <v>6032</v>
      </c>
      <c r="B75" s="136"/>
      <c r="C75" s="137"/>
      <c r="D75" s="120">
        <f t="shared" si="2"/>
        <v>0</v>
      </c>
      <c r="E75" s="121">
        <f t="shared" si="3"/>
        <v>1.3</v>
      </c>
      <c r="F75" s="172" cm="1">
        <f t="array" ref="F75">SUM(G75:DD75*$G$9:$DD$9)</f>
        <v>0</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row>
    <row r="76" spans="1:111">
      <c r="A76" s="136" t="s">
        <v>6033</v>
      </c>
      <c r="B76" s="136"/>
      <c r="C76" s="137"/>
      <c r="D76" s="120">
        <f t="shared" ref="D76:D139" si="4">E76*F76</f>
        <v>0</v>
      </c>
      <c r="E76" s="121">
        <f t="shared" si="3"/>
        <v>1.3</v>
      </c>
      <c r="F76" s="172" cm="1">
        <f t="array" ref="F76">SUM(G76:DD76*$G$9:$DD$9)</f>
        <v>0</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row>
    <row r="77" spans="1:111">
      <c r="A77" s="136" t="s">
        <v>6034</v>
      </c>
      <c r="B77" s="136"/>
      <c r="C77" s="137"/>
      <c r="D77" s="120">
        <f t="shared" si="4"/>
        <v>0</v>
      </c>
      <c r="E77" s="121">
        <f t="shared" si="3"/>
        <v>1.3</v>
      </c>
      <c r="F77" s="172" cm="1">
        <f t="array" ref="F77">SUM(G77:DD77*$G$9:$DD$9)</f>
        <v>0</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row>
    <row r="78" spans="1:111">
      <c r="A78" s="136" t="s">
        <v>6035</v>
      </c>
      <c r="B78" s="136"/>
      <c r="C78" s="137"/>
      <c r="D78" s="120">
        <f t="shared" si="4"/>
        <v>0</v>
      </c>
      <c r="E78" s="121">
        <f t="shared" si="3"/>
        <v>1.3</v>
      </c>
      <c r="F78" s="172" cm="1">
        <f t="array" ref="F78">SUM(G78:DD78*$G$9:$DD$9)</f>
        <v>0</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row>
    <row r="79" spans="1:111">
      <c r="A79" s="136" t="s">
        <v>6036</v>
      </c>
      <c r="B79" s="136"/>
      <c r="C79" s="137"/>
      <c r="D79" s="120">
        <f t="shared" si="4"/>
        <v>0</v>
      </c>
      <c r="E79" s="121">
        <f t="shared" si="3"/>
        <v>1.3</v>
      </c>
      <c r="F79" s="172" cm="1">
        <f t="array" ref="F79">SUM(G79:DD79*$G$9:$DD$9)</f>
        <v>0</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row>
    <row r="80" spans="1:111">
      <c r="A80" s="136" t="s">
        <v>6037</v>
      </c>
      <c r="B80" s="136"/>
      <c r="C80" s="137"/>
      <c r="D80" s="120">
        <f t="shared" si="4"/>
        <v>0</v>
      </c>
      <c r="E80" s="121">
        <f t="shared" si="3"/>
        <v>1.3</v>
      </c>
      <c r="F80" s="172" cm="1">
        <f t="array" ref="F80">SUM(G80:DD80*$G$9:$DD$9)</f>
        <v>0</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row>
    <row r="81" spans="1:111">
      <c r="A81" s="136" t="s">
        <v>6038</v>
      </c>
      <c r="B81" s="136"/>
      <c r="C81" s="137"/>
      <c r="D81" s="120">
        <f t="shared" si="4"/>
        <v>0</v>
      </c>
      <c r="E81" s="121">
        <f t="shared" si="3"/>
        <v>1.3</v>
      </c>
      <c r="F81" s="172" cm="1">
        <f t="array" ref="F81">SUM(G81:DD81*$G$9:$DD$9)</f>
        <v>0</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row>
    <row r="82" spans="1:111">
      <c r="A82" s="136" t="s">
        <v>6039</v>
      </c>
      <c r="B82" s="136"/>
      <c r="C82" s="137"/>
      <c r="D82" s="120">
        <f t="shared" si="4"/>
        <v>0</v>
      </c>
      <c r="E82" s="121">
        <f t="shared" si="3"/>
        <v>1.3</v>
      </c>
      <c r="F82" s="172" cm="1">
        <f t="array" ref="F82">SUM(G82:DD82*$G$9:$DD$9)</f>
        <v>0</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row>
    <row r="83" spans="1:111">
      <c r="A83" s="136" t="s">
        <v>6040</v>
      </c>
      <c r="B83" s="136"/>
      <c r="C83" s="137"/>
      <c r="D83" s="120">
        <f t="shared" si="4"/>
        <v>0</v>
      </c>
      <c r="E83" s="121">
        <f t="shared" si="3"/>
        <v>1.3</v>
      </c>
      <c r="F83" s="172" cm="1">
        <f t="array" ref="F83">SUM(G83:DD83*$G$9:$DD$9)</f>
        <v>0</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row>
    <row r="84" spans="1:111">
      <c r="A84" s="136" t="s">
        <v>6041</v>
      </c>
      <c r="B84" s="136"/>
      <c r="C84" s="137"/>
      <c r="D84" s="120">
        <f t="shared" si="4"/>
        <v>0</v>
      </c>
      <c r="E84" s="121">
        <f t="shared" si="3"/>
        <v>1.3</v>
      </c>
      <c r="F84" s="172" cm="1">
        <f t="array" ref="F84">SUM(G84:DD84*$G$9:$DD$9)</f>
        <v>0</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row>
    <row r="85" spans="1:111">
      <c r="A85" s="136" t="s">
        <v>6042</v>
      </c>
      <c r="B85" s="136"/>
      <c r="C85" s="137"/>
      <c r="D85" s="120">
        <f t="shared" si="4"/>
        <v>0</v>
      </c>
      <c r="E85" s="121">
        <f t="shared" si="3"/>
        <v>1.3</v>
      </c>
      <c r="F85" s="172" cm="1">
        <f t="array" ref="F85">SUM(G85:DD85*$G$9:$DD$9)</f>
        <v>0</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row>
    <row r="86" spans="1:111">
      <c r="A86" s="136" t="s">
        <v>6043</v>
      </c>
      <c r="B86" s="136"/>
      <c r="C86" s="137"/>
      <c r="D86" s="120">
        <f t="shared" si="4"/>
        <v>0</v>
      </c>
      <c r="E86" s="121">
        <f t="shared" si="3"/>
        <v>1.3</v>
      </c>
      <c r="F86" s="172" cm="1">
        <f t="array" ref="F86">SUM(G86:DD86*$G$9:$DD$9)</f>
        <v>0</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row>
    <row r="87" spans="1:111">
      <c r="A87" s="136" t="s">
        <v>6044</v>
      </c>
      <c r="B87" s="136"/>
      <c r="C87" s="137"/>
      <c r="D87" s="120">
        <f t="shared" si="4"/>
        <v>0</v>
      </c>
      <c r="E87" s="121">
        <f t="shared" si="3"/>
        <v>1.3</v>
      </c>
      <c r="F87" s="172" cm="1">
        <f t="array" ref="F87">SUM(G87:DD87*$G$9:$DD$9)</f>
        <v>0</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row>
    <row r="88" spans="1:111">
      <c r="A88" s="136" t="s">
        <v>6045</v>
      </c>
      <c r="B88" s="136"/>
      <c r="C88" s="137"/>
      <c r="D88" s="120">
        <f t="shared" si="4"/>
        <v>0</v>
      </c>
      <c r="E88" s="121">
        <f t="shared" si="3"/>
        <v>1.3</v>
      </c>
      <c r="F88" s="172" cm="1">
        <f t="array" ref="F88">SUM(G88:DD88*$G$9:$DD$9)</f>
        <v>0</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row>
    <row r="89" spans="1:111">
      <c r="A89" s="136" t="s">
        <v>6046</v>
      </c>
      <c r="B89" s="136"/>
      <c r="C89" s="137"/>
      <c r="D89" s="120">
        <f t="shared" si="4"/>
        <v>0</v>
      </c>
      <c r="E89" s="121">
        <f t="shared" si="3"/>
        <v>1.3</v>
      </c>
      <c r="F89" s="172" cm="1">
        <f t="array" ref="F89">SUM(G89:DD89*$G$9:$DD$9)</f>
        <v>0</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row>
    <row r="90" spans="1:111">
      <c r="A90" s="136" t="s">
        <v>6047</v>
      </c>
      <c r="B90" s="136"/>
      <c r="C90" s="137"/>
      <c r="D90" s="120">
        <f t="shared" si="4"/>
        <v>0</v>
      </c>
      <c r="E90" s="121">
        <f t="shared" si="3"/>
        <v>1.3</v>
      </c>
      <c r="F90" s="172" cm="1">
        <f t="array" ref="F90">SUM(G90:DD90*$G$9:$DD$9)</f>
        <v>0</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177"/>
      <c r="AU90" s="2"/>
      <c r="AV90" s="2"/>
      <c r="AW90" s="2"/>
      <c r="AX90" s="2"/>
      <c r="AY90" s="2"/>
      <c r="AZ90" s="2"/>
      <c r="BA90" s="2"/>
      <c r="BB90" s="2"/>
      <c r="BC90" s="2"/>
      <c r="BD90" s="177"/>
      <c r="BE90" s="2"/>
      <c r="BF90" s="2"/>
      <c r="BG90" s="2"/>
      <c r="BH90" s="2"/>
      <c r="BI90" s="2"/>
      <c r="BJ90" s="2"/>
      <c r="BK90" s="2"/>
      <c r="BL90" s="2"/>
      <c r="BM90" s="2"/>
      <c r="BN90" s="2"/>
      <c r="BO90" s="2"/>
      <c r="BP90" s="2"/>
      <c r="BQ90" s="2"/>
      <c r="BR90" s="177"/>
      <c r="BS90" s="2"/>
      <c r="BT90" s="2"/>
      <c r="BU90" s="2"/>
      <c r="BV90" s="2"/>
      <c r="BW90" s="2"/>
      <c r="BX90" s="2"/>
      <c r="BY90" s="2"/>
      <c r="BZ90" s="177"/>
      <c r="CA90" s="2"/>
      <c r="CB90" s="2"/>
      <c r="CC90" s="2"/>
      <c r="CD90" s="2"/>
      <c r="CE90" s="2"/>
      <c r="CF90" s="2"/>
      <c r="CG90" s="2"/>
      <c r="CH90" s="177"/>
      <c r="CI90" s="2"/>
      <c r="CJ90" s="2"/>
      <c r="CK90" s="2"/>
      <c r="CL90" s="2"/>
      <c r="CM90" s="2"/>
      <c r="CN90" s="2"/>
      <c r="CO90" s="2"/>
      <c r="CP90" s="2"/>
      <c r="CQ90" s="2"/>
      <c r="CR90" s="177"/>
      <c r="CS90" s="2"/>
      <c r="CT90" s="2"/>
      <c r="CU90" s="2"/>
      <c r="CV90" s="2"/>
      <c r="CW90" s="2"/>
      <c r="CX90" s="2"/>
      <c r="CY90" s="2"/>
      <c r="CZ90" s="2"/>
      <c r="DA90" s="2"/>
      <c r="DB90" s="2"/>
      <c r="DC90" s="2"/>
      <c r="DD90" s="2"/>
      <c r="DE90" s="173"/>
      <c r="DF90" s="173"/>
    </row>
    <row r="91" spans="1:111">
      <c r="A91" s="136" t="s">
        <v>6048</v>
      </c>
      <c r="B91" s="136"/>
      <c r="C91" s="137"/>
      <c r="D91" s="120">
        <f t="shared" si="4"/>
        <v>0</v>
      </c>
      <c r="E91" s="121">
        <f t="shared" si="3"/>
        <v>1.3</v>
      </c>
      <c r="F91" s="172" cm="1">
        <f t="array" ref="F91">SUM(G91:DD91*$G$9:$DD$9)</f>
        <v>0</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177"/>
      <c r="AU91" s="2"/>
      <c r="AV91" s="2"/>
      <c r="AW91" s="2"/>
      <c r="AX91" s="2"/>
      <c r="AY91" s="2"/>
      <c r="AZ91" s="2"/>
      <c r="BA91" s="2"/>
      <c r="BB91" s="2"/>
      <c r="BC91" s="2"/>
      <c r="BD91" s="177"/>
      <c r="BE91" s="2"/>
      <c r="BF91" s="2"/>
      <c r="BG91" s="2"/>
      <c r="BH91" s="2"/>
      <c r="BI91" s="2"/>
      <c r="BJ91" s="2"/>
      <c r="BK91" s="2"/>
      <c r="BL91" s="2"/>
      <c r="BM91" s="2"/>
      <c r="BN91" s="2"/>
      <c r="BO91" s="2"/>
      <c r="BP91" s="2"/>
      <c r="BQ91" s="2"/>
      <c r="BR91" s="177"/>
      <c r="BS91" s="2"/>
      <c r="BT91" s="2"/>
      <c r="BU91" s="2"/>
      <c r="BV91" s="2"/>
      <c r="BW91" s="2"/>
      <c r="BX91" s="2"/>
      <c r="BY91" s="2"/>
      <c r="BZ91" s="177"/>
      <c r="CA91" s="2"/>
      <c r="CB91" s="2"/>
      <c r="CC91" s="2"/>
      <c r="CD91" s="2"/>
      <c r="CE91" s="2"/>
      <c r="CF91" s="2"/>
      <c r="CG91" s="2"/>
      <c r="CH91" s="177"/>
      <c r="CI91" s="2"/>
      <c r="CJ91" s="2"/>
      <c r="CK91" s="2"/>
      <c r="CL91" s="2"/>
      <c r="CM91" s="2"/>
      <c r="CN91" s="2"/>
      <c r="CO91" s="2"/>
      <c r="CP91" s="2"/>
      <c r="CQ91" s="2"/>
      <c r="CR91" s="177"/>
      <c r="CS91" s="2"/>
      <c r="CT91" s="2"/>
      <c r="CU91" s="2"/>
      <c r="CV91" s="2"/>
      <c r="CW91" s="2"/>
      <c r="CX91" s="2"/>
      <c r="CY91" s="2"/>
      <c r="CZ91" s="2"/>
      <c r="DA91" s="2"/>
      <c r="DB91" s="2"/>
      <c r="DC91" s="2"/>
      <c r="DD91" s="2"/>
      <c r="DE91" s="173"/>
      <c r="DF91" s="173"/>
    </row>
    <row r="92" spans="1:111">
      <c r="A92" s="136" t="s">
        <v>6049</v>
      </c>
      <c r="B92" s="136"/>
      <c r="C92" s="137"/>
      <c r="D92" s="120">
        <f t="shared" si="4"/>
        <v>0</v>
      </c>
      <c r="E92" s="121">
        <f t="shared" si="3"/>
        <v>1.3</v>
      </c>
      <c r="F92" s="172" cm="1">
        <f t="array" ref="F92">SUM(G92:DD92*$G$9:$DD$9)</f>
        <v>0</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177"/>
      <c r="AU92" s="2"/>
      <c r="AV92" s="2"/>
      <c r="AW92" s="2"/>
      <c r="AX92" s="2"/>
      <c r="AY92" s="2"/>
      <c r="AZ92" s="2"/>
      <c r="BA92" s="2"/>
      <c r="BB92" s="2"/>
      <c r="BC92" s="2"/>
      <c r="BD92" s="177"/>
      <c r="BE92" s="2"/>
      <c r="BF92" s="2"/>
      <c r="BG92" s="2"/>
      <c r="BH92" s="2"/>
      <c r="BI92" s="2"/>
      <c r="BJ92" s="2"/>
      <c r="BK92" s="2"/>
      <c r="BL92" s="2"/>
      <c r="BM92" s="2"/>
      <c r="BN92" s="2"/>
      <c r="BO92" s="2"/>
      <c r="BP92" s="2"/>
      <c r="BQ92" s="2"/>
      <c r="BR92" s="177"/>
      <c r="BS92" s="2"/>
      <c r="BT92" s="2"/>
      <c r="BU92" s="2"/>
      <c r="BV92" s="2"/>
      <c r="BW92" s="2"/>
      <c r="BX92" s="2"/>
      <c r="BY92" s="2"/>
      <c r="BZ92" s="177"/>
      <c r="CA92" s="2"/>
      <c r="CB92" s="2"/>
      <c r="CC92" s="2"/>
      <c r="CD92" s="2"/>
      <c r="CE92" s="2"/>
      <c r="CF92" s="2"/>
      <c r="CG92" s="2"/>
      <c r="CH92" s="177"/>
      <c r="CI92" s="2"/>
      <c r="CJ92" s="2"/>
      <c r="CK92" s="2"/>
      <c r="CL92" s="2"/>
      <c r="CM92" s="2"/>
      <c r="CN92" s="2"/>
      <c r="CO92" s="2"/>
      <c r="CP92" s="2"/>
      <c r="CQ92" s="2"/>
      <c r="CR92" s="177"/>
      <c r="CS92" s="2"/>
      <c r="CT92" s="2"/>
      <c r="CU92" s="2"/>
      <c r="CV92" s="2"/>
      <c r="CW92" s="2"/>
      <c r="CX92" s="2"/>
      <c r="CY92" s="2"/>
      <c r="CZ92" s="2"/>
      <c r="DA92" s="2"/>
      <c r="DB92" s="2"/>
      <c r="DC92" s="2"/>
      <c r="DD92" s="2"/>
      <c r="DE92" s="173"/>
      <c r="DF92" s="173"/>
    </row>
    <row r="93" spans="1:111">
      <c r="A93" s="136" t="s">
        <v>6050</v>
      </c>
      <c r="B93" s="136"/>
      <c r="C93" s="137"/>
      <c r="D93" s="120">
        <f t="shared" si="4"/>
        <v>0</v>
      </c>
      <c r="E93" s="121">
        <f t="shared" si="3"/>
        <v>1.3</v>
      </c>
      <c r="F93" s="172" cm="1">
        <f t="array" ref="F93">SUM(G93:DD93*$G$9:$DD$9)</f>
        <v>0</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177"/>
      <c r="AU93" s="2"/>
      <c r="AV93" s="2"/>
      <c r="AW93" s="2"/>
      <c r="AX93" s="2"/>
      <c r="AY93" s="2"/>
      <c r="AZ93" s="2"/>
      <c r="BA93" s="2"/>
      <c r="BB93" s="2"/>
      <c r="BC93" s="2"/>
      <c r="BD93" s="177"/>
      <c r="BE93" s="2"/>
      <c r="BF93" s="2"/>
      <c r="BG93" s="2"/>
      <c r="BH93" s="2"/>
      <c r="BI93" s="2"/>
      <c r="BJ93" s="2"/>
      <c r="BK93" s="2"/>
      <c r="BL93" s="2"/>
      <c r="BM93" s="2"/>
      <c r="BN93" s="2"/>
      <c r="BO93" s="2"/>
      <c r="BP93" s="2"/>
      <c r="BQ93" s="2"/>
      <c r="BR93" s="177"/>
      <c r="BS93" s="2"/>
      <c r="BT93" s="2"/>
      <c r="BU93" s="2"/>
      <c r="BV93" s="2"/>
      <c r="BW93" s="2"/>
      <c r="BX93" s="2"/>
      <c r="BY93" s="2"/>
      <c r="BZ93" s="177"/>
      <c r="CA93" s="2"/>
      <c r="CB93" s="2"/>
      <c r="CC93" s="2"/>
      <c r="CD93" s="2"/>
      <c r="CE93" s="2"/>
      <c r="CF93" s="2"/>
      <c r="CG93" s="2"/>
      <c r="CH93" s="177"/>
      <c r="CI93" s="2"/>
      <c r="CJ93" s="2"/>
      <c r="CK93" s="2"/>
      <c r="CL93" s="2"/>
      <c r="CM93" s="2"/>
      <c r="CN93" s="2"/>
      <c r="CO93" s="2"/>
      <c r="CP93" s="2"/>
      <c r="CQ93" s="2"/>
      <c r="CR93" s="177"/>
      <c r="CS93" s="2"/>
      <c r="CT93" s="2"/>
      <c r="CU93" s="2"/>
      <c r="CV93" s="2"/>
      <c r="CW93" s="2"/>
      <c r="CX93" s="2"/>
      <c r="CY93" s="2"/>
      <c r="CZ93" s="2"/>
      <c r="DA93" s="2"/>
      <c r="DB93" s="2"/>
      <c r="DC93" s="2"/>
      <c r="DD93" s="2"/>
      <c r="DE93" s="173"/>
      <c r="DF93" s="173"/>
    </row>
    <row r="94" spans="1:111">
      <c r="A94" s="136" t="s">
        <v>6051</v>
      </c>
      <c r="B94" s="136"/>
      <c r="C94" s="137"/>
      <c r="D94" s="120">
        <f t="shared" si="4"/>
        <v>0</v>
      </c>
      <c r="E94" s="121">
        <f t="shared" si="3"/>
        <v>1.3</v>
      </c>
      <c r="F94" s="172" cm="1">
        <f t="array" ref="F94">SUM(G94:DD94*$G$9:$DD$9)</f>
        <v>0</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177"/>
      <c r="AU94" s="2"/>
      <c r="AV94" s="2"/>
      <c r="AW94" s="2"/>
      <c r="AX94" s="2"/>
      <c r="AY94" s="2"/>
      <c r="AZ94" s="2"/>
      <c r="BA94" s="2"/>
      <c r="BB94" s="2"/>
      <c r="BC94" s="2"/>
      <c r="BD94" s="177"/>
      <c r="BE94" s="2"/>
      <c r="BF94" s="2"/>
      <c r="BG94" s="2"/>
      <c r="BH94" s="2"/>
      <c r="BI94" s="2"/>
      <c r="BJ94" s="2"/>
      <c r="BK94" s="2"/>
      <c r="BL94" s="2"/>
      <c r="BM94" s="2"/>
      <c r="BN94" s="2"/>
      <c r="BO94" s="2"/>
      <c r="BP94" s="2"/>
      <c r="BQ94" s="2"/>
      <c r="BR94" s="177"/>
      <c r="BS94" s="2"/>
      <c r="BT94" s="2"/>
      <c r="BU94" s="2"/>
      <c r="BV94" s="2"/>
      <c r="BW94" s="2"/>
      <c r="BX94" s="2"/>
      <c r="BY94" s="2"/>
      <c r="BZ94" s="177"/>
      <c r="CA94" s="2"/>
      <c r="CB94" s="2"/>
      <c r="CC94" s="2"/>
      <c r="CD94" s="2"/>
      <c r="CE94" s="2"/>
      <c r="CF94" s="2"/>
      <c r="CG94" s="2"/>
      <c r="CH94" s="177"/>
      <c r="CI94" s="2"/>
      <c r="CJ94" s="2"/>
      <c r="CK94" s="2"/>
      <c r="CL94" s="2"/>
      <c r="CM94" s="2"/>
      <c r="CN94" s="2"/>
      <c r="CO94" s="2"/>
      <c r="CP94" s="2"/>
      <c r="CQ94" s="2"/>
      <c r="CR94" s="177"/>
      <c r="CS94" s="2"/>
      <c r="CT94" s="2"/>
      <c r="CU94" s="2"/>
      <c r="CV94" s="2"/>
      <c r="CW94" s="2"/>
      <c r="CX94" s="2"/>
      <c r="CY94" s="2"/>
      <c r="CZ94" s="2"/>
      <c r="DA94" s="2"/>
      <c r="DB94" s="2"/>
      <c r="DC94" s="2"/>
      <c r="DD94" s="2"/>
      <c r="DE94" s="173"/>
      <c r="DF94" s="173"/>
    </row>
    <row r="95" spans="1:111">
      <c r="A95" s="136" t="s">
        <v>6052</v>
      </c>
      <c r="B95" s="136"/>
      <c r="C95" s="137"/>
      <c r="D95" s="120">
        <f t="shared" si="4"/>
        <v>0</v>
      </c>
      <c r="E95" s="121">
        <f t="shared" si="3"/>
        <v>1.3</v>
      </c>
      <c r="F95" s="172" cm="1">
        <f t="array" ref="F95">SUM(G95:DD95*$G$9:$DD$9)</f>
        <v>0</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177"/>
      <c r="AU95" s="2"/>
      <c r="AV95" s="2"/>
      <c r="AW95" s="2"/>
      <c r="AX95" s="2"/>
      <c r="AY95" s="2"/>
      <c r="AZ95" s="2"/>
      <c r="BA95" s="2"/>
      <c r="BB95" s="2"/>
      <c r="BC95" s="2"/>
      <c r="BD95" s="177"/>
      <c r="BE95" s="2"/>
      <c r="BF95" s="2"/>
      <c r="BG95" s="2"/>
      <c r="BH95" s="2"/>
      <c r="BI95" s="2"/>
      <c r="BJ95" s="2"/>
      <c r="BK95" s="2"/>
      <c r="BL95" s="2"/>
      <c r="BM95" s="2"/>
      <c r="BN95" s="2"/>
      <c r="BO95" s="2"/>
      <c r="BP95" s="2"/>
      <c r="BQ95" s="2"/>
      <c r="BR95" s="177"/>
      <c r="BS95" s="2"/>
      <c r="BT95" s="2"/>
      <c r="BU95" s="2"/>
      <c r="BV95" s="2"/>
      <c r="BW95" s="2"/>
      <c r="BX95" s="2"/>
      <c r="BY95" s="2"/>
      <c r="BZ95" s="177"/>
      <c r="CA95" s="2"/>
      <c r="CB95" s="2"/>
      <c r="CC95" s="2"/>
      <c r="CD95" s="2"/>
      <c r="CE95" s="2"/>
      <c r="CF95" s="2"/>
      <c r="CG95" s="2"/>
      <c r="CH95" s="177"/>
      <c r="CI95" s="2"/>
      <c r="CJ95" s="2"/>
      <c r="CK95" s="2"/>
      <c r="CL95" s="2"/>
      <c r="CM95" s="2"/>
      <c r="CN95" s="2"/>
      <c r="CO95" s="2"/>
      <c r="CP95" s="2"/>
      <c r="CQ95" s="2"/>
      <c r="CR95" s="177"/>
      <c r="CS95" s="2"/>
      <c r="CT95" s="2"/>
      <c r="CU95" s="2"/>
      <c r="CV95" s="2"/>
      <c r="CW95" s="2"/>
      <c r="CX95" s="2"/>
      <c r="CY95" s="2"/>
      <c r="CZ95" s="2"/>
      <c r="DA95" s="2"/>
      <c r="DB95" s="2"/>
      <c r="DC95" s="2"/>
      <c r="DD95" s="2"/>
      <c r="DE95" s="173"/>
      <c r="DF95" s="173"/>
    </row>
    <row r="96" spans="1:111">
      <c r="A96" s="136" t="s">
        <v>6053</v>
      </c>
      <c r="B96" s="136"/>
      <c r="C96" s="137"/>
      <c r="D96" s="120">
        <f t="shared" si="4"/>
        <v>0</v>
      </c>
      <c r="E96" s="121">
        <f t="shared" si="3"/>
        <v>1.3</v>
      </c>
      <c r="F96" s="172" cm="1">
        <f t="array" ref="F96">SUM(G96:DD96*$G$9:$DD$9)</f>
        <v>0</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177"/>
      <c r="AU96" s="2"/>
      <c r="AV96" s="2"/>
      <c r="AW96" s="2"/>
      <c r="AX96" s="2"/>
      <c r="AY96" s="2"/>
      <c r="AZ96" s="2"/>
      <c r="BA96" s="2"/>
      <c r="BB96" s="2"/>
      <c r="BC96" s="2"/>
      <c r="BD96" s="177"/>
      <c r="BE96" s="2"/>
      <c r="BF96" s="2"/>
      <c r="BG96" s="2"/>
      <c r="BH96" s="2"/>
      <c r="BI96" s="2"/>
      <c r="BJ96" s="2"/>
      <c r="BK96" s="2"/>
      <c r="BL96" s="2"/>
      <c r="BM96" s="2"/>
      <c r="BN96" s="2"/>
      <c r="BO96" s="2"/>
      <c r="BP96" s="2"/>
      <c r="BQ96" s="2"/>
      <c r="BR96" s="177"/>
      <c r="BS96" s="2"/>
      <c r="BT96" s="2"/>
      <c r="BU96" s="2"/>
      <c r="BV96" s="2"/>
      <c r="BW96" s="2"/>
      <c r="BX96" s="2"/>
      <c r="BY96" s="2"/>
      <c r="BZ96" s="177"/>
      <c r="CA96" s="2"/>
      <c r="CB96" s="2"/>
      <c r="CC96" s="2"/>
      <c r="CD96" s="2"/>
      <c r="CE96" s="2"/>
      <c r="CF96" s="2"/>
      <c r="CG96" s="2"/>
      <c r="CH96" s="177"/>
      <c r="CI96" s="2"/>
      <c r="CJ96" s="2"/>
      <c r="CK96" s="2"/>
      <c r="CL96" s="2"/>
      <c r="CM96" s="2"/>
      <c r="CN96" s="2"/>
      <c r="CO96" s="2"/>
      <c r="CP96" s="2"/>
      <c r="CQ96" s="2"/>
      <c r="CR96" s="177"/>
      <c r="CS96" s="2"/>
      <c r="CT96" s="2"/>
      <c r="CU96" s="2"/>
      <c r="CV96" s="2"/>
      <c r="CW96" s="2"/>
      <c r="CX96" s="2"/>
      <c r="CY96" s="2"/>
      <c r="CZ96" s="2"/>
      <c r="DA96" s="2"/>
      <c r="DB96" s="2"/>
      <c r="DC96" s="2"/>
      <c r="DD96" s="2"/>
      <c r="DE96" s="173"/>
      <c r="DF96" s="173"/>
    </row>
    <row r="97" spans="1:110">
      <c r="A97" s="136" t="s">
        <v>6054</v>
      </c>
      <c r="B97" s="136"/>
      <c r="C97" s="137"/>
      <c r="D97" s="120">
        <f t="shared" si="4"/>
        <v>0</v>
      </c>
      <c r="E97" s="121">
        <f t="shared" si="3"/>
        <v>1.3</v>
      </c>
      <c r="F97" s="172" cm="1">
        <f t="array" ref="F97">SUM(G97:DD97*$G$9:$DD$9)</f>
        <v>0</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177"/>
      <c r="AU97" s="2"/>
      <c r="AV97" s="2"/>
      <c r="AW97" s="2"/>
      <c r="AX97" s="2"/>
      <c r="AY97" s="2"/>
      <c r="AZ97" s="2"/>
      <c r="BA97" s="2"/>
      <c r="BB97" s="2"/>
      <c r="BC97" s="2"/>
      <c r="BD97" s="177"/>
      <c r="BE97" s="2"/>
      <c r="BF97" s="2"/>
      <c r="BG97" s="2"/>
      <c r="BH97" s="2"/>
      <c r="BI97" s="2"/>
      <c r="BJ97" s="2"/>
      <c r="BK97" s="2"/>
      <c r="BL97" s="2"/>
      <c r="BM97" s="2"/>
      <c r="BN97" s="2"/>
      <c r="BO97" s="2"/>
      <c r="BP97" s="2"/>
      <c r="BQ97" s="2"/>
      <c r="BR97" s="177"/>
      <c r="BS97" s="2"/>
      <c r="BT97" s="2"/>
      <c r="BU97" s="2"/>
      <c r="BV97" s="2"/>
      <c r="BW97" s="2"/>
      <c r="BX97" s="2"/>
      <c r="BY97" s="2"/>
      <c r="BZ97" s="177"/>
      <c r="CA97" s="2"/>
      <c r="CB97" s="2"/>
      <c r="CC97" s="2"/>
      <c r="CD97" s="2"/>
      <c r="CE97" s="2"/>
      <c r="CF97" s="2"/>
      <c r="CG97" s="2"/>
      <c r="CH97" s="177"/>
      <c r="CI97" s="2"/>
      <c r="CJ97" s="2"/>
      <c r="CK97" s="2"/>
      <c r="CL97" s="2"/>
      <c r="CM97" s="2"/>
      <c r="CN97" s="2"/>
      <c r="CO97" s="2"/>
      <c r="CP97" s="2"/>
      <c r="CQ97" s="2"/>
      <c r="CR97" s="177"/>
      <c r="CS97" s="2"/>
      <c r="CT97" s="2"/>
      <c r="CU97" s="2"/>
      <c r="CV97" s="2"/>
      <c r="CW97" s="2"/>
      <c r="CX97" s="2"/>
      <c r="CY97" s="2"/>
      <c r="CZ97" s="2"/>
      <c r="DA97" s="2"/>
      <c r="DB97" s="2"/>
      <c r="DC97" s="2"/>
      <c r="DD97" s="2"/>
      <c r="DE97" s="173"/>
      <c r="DF97" s="173"/>
    </row>
    <row r="98" spans="1:110">
      <c r="A98" s="136" t="s">
        <v>6055</v>
      </c>
      <c r="B98" s="136"/>
      <c r="C98" s="137"/>
      <c r="D98" s="120">
        <f t="shared" si="4"/>
        <v>0</v>
      </c>
      <c r="E98" s="121">
        <f t="shared" si="3"/>
        <v>1.3</v>
      </c>
      <c r="F98" s="172" cm="1">
        <f t="array" ref="F98">SUM(G98:DD98*$G$9:$DD$9)</f>
        <v>0</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177"/>
      <c r="AU98" s="2"/>
      <c r="AV98" s="2"/>
      <c r="AW98" s="2"/>
      <c r="AX98" s="2"/>
      <c r="AY98" s="2"/>
      <c r="AZ98" s="2"/>
      <c r="BA98" s="2"/>
      <c r="BB98" s="2"/>
      <c r="BC98" s="2"/>
      <c r="BD98" s="177"/>
      <c r="BE98" s="2"/>
      <c r="BF98" s="2"/>
      <c r="BG98" s="2"/>
      <c r="BH98" s="2"/>
      <c r="BI98" s="2"/>
      <c r="BJ98" s="2"/>
      <c r="BK98" s="2"/>
      <c r="BL98" s="2"/>
      <c r="BM98" s="2"/>
      <c r="BN98" s="2"/>
      <c r="BO98" s="2"/>
      <c r="BP98" s="2"/>
      <c r="BQ98" s="2"/>
      <c r="BR98" s="177"/>
      <c r="BS98" s="2"/>
      <c r="BT98" s="2"/>
      <c r="BU98" s="2"/>
      <c r="BV98" s="2"/>
      <c r="BW98" s="2"/>
      <c r="BX98" s="2"/>
      <c r="BY98" s="2"/>
      <c r="BZ98" s="177"/>
      <c r="CA98" s="2"/>
      <c r="CB98" s="2"/>
      <c r="CC98" s="2"/>
      <c r="CD98" s="2"/>
      <c r="CE98" s="2"/>
      <c r="CF98" s="2"/>
      <c r="CG98" s="2"/>
      <c r="CH98" s="177"/>
      <c r="CI98" s="2"/>
      <c r="CJ98" s="2"/>
      <c r="CK98" s="2"/>
      <c r="CL98" s="2"/>
      <c r="CM98" s="2"/>
      <c r="CN98" s="2"/>
      <c r="CO98" s="2"/>
      <c r="CP98" s="2"/>
      <c r="CQ98" s="2"/>
      <c r="CR98" s="177"/>
      <c r="CS98" s="2"/>
      <c r="CT98" s="2"/>
      <c r="CU98" s="2"/>
      <c r="CV98" s="2"/>
      <c r="CW98" s="2"/>
      <c r="CX98" s="2"/>
      <c r="CY98" s="2"/>
      <c r="CZ98" s="2"/>
      <c r="DA98" s="2"/>
      <c r="DB98" s="2"/>
      <c r="DC98" s="2"/>
      <c r="DD98" s="2"/>
      <c r="DE98" s="173"/>
      <c r="DF98" s="173"/>
    </row>
    <row r="99" spans="1:110">
      <c r="A99" s="136" t="s">
        <v>6056</v>
      </c>
      <c r="B99" s="136"/>
      <c r="C99" s="137"/>
      <c r="D99" s="120">
        <f t="shared" si="4"/>
        <v>0</v>
      </c>
      <c r="E99" s="121">
        <f t="shared" si="3"/>
        <v>1.3</v>
      </c>
      <c r="F99" s="172" cm="1">
        <f t="array" ref="F99">SUM(G99:DD99*$G$9:$DD$9)</f>
        <v>0</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177"/>
      <c r="AU99" s="2"/>
      <c r="AV99" s="2"/>
      <c r="AW99" s="2"/>
      <c r="AX99" s="2"/>
      <c r="AY99" s="2"/>
      <c r="AZ99" s="2"/>
      <c r="BA99" s="2"/>
      <c r="BB99" s="2"/>
      <c r="BC99" s="2"/>
      <c r="BD99" s="177"/>
      <c r="BE99" s="2"/>
      <c r="BF99" s="2"/>
      <c r="BG99" s="2"/>
      <c r="BH99" s="2"/>
      <c r="BI99" s="2"/>
      <c r="BJ99" s="2"/>
      <c r="BK99" s="2"/>
      <c r="BL99" s="2"/>
      <c r="BM99" s="2"/>
      <c r="BN99" s="2"/>
      <c r="BO99" s="2"/>
      <c r="BP99" s="2"/>
      <c r="BQ99" s="2"/>
      <c r="BR99" s="177"/>
      <c r="BS99" s="2"/>
      <c r="BT99" s="2"/>
      <c r="BU99" s="2"/>
      <c r="BV99" s="2"/>
      <c r="BW99" s="2"/>
      <c r="BX99" s="2"/>
      <c r="BY99" s="2"/>
      <c r="BZ99" s="177"/>
      <c r="CA99" s="2"/>
      <c r="CB99" s="2"/>
      <c r="CC99" s="2"/>
      <c r="CD99" s="2"/>
      <c r="CE99" s="2"/>
      <c r="CF99" s="2"/>
      <c r="CG99" s="2"/>
      <c r="CH99" s="177"/>
      <c r="CI99" s="2"/>
      <c r="CJ99" s="2"/>
      <c r="CK99" s="2"/>
      <c r="CL99" s="2"/>
      <c r="CM99" s="2"/>
      <c r="CN99" s="2"/>
      <c r="CO99" s="2"/>
      <c r="CP99" s="2"/>
      <c r="CQ99" s="2"/>
      <c r="CR99" s="177"/>
      <c r="CS99" s="2"/>
      <c r="CT99" s="2"/>
      <c r="CU99" s="2"/>
      <c r="CV99" s="2"/>
      <c r="CW99" s="2"/>
      <c r="CX99" s="2"/>
      <c r="CY99" s="2"/>
      <c r="CZ99" s="2"/>
      <c r="DA99" s="2"/>
      <c r="DB99" s="2"/>
      <c r="DC99" s="2"/>
      <c r="DD99" s="2"/>
      <c r="DE99" s="173"/>
      <c r="DF99" s="173"/>
    </row>
    <row r="100" spans="1:110">
      <c r="A100" s="136" t="s">
        <v>6057</v>
      </c>
      <c r="B100" s="136"/>
      <c r="C100" s="137"/>
      <c r="D100" s="120">
        <f t="shared" si="4"/>
        <v>0</v>
      </c>
      <c r="E100" s="121">
        <f t="shared" si="3"/>
        <v>1.3</v>
      </c>
      <c r="F100" s="172" cm="1">
        <f t="array" ref="F100">SUM(G100:DD100*$G$9:$DD$9)</f>
        <v>0</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177"/>
      <c r="AU100" s="2"/>
      <c r="AV100" s="2"/>
      <c r="AW100" s="2"/>
      <c r="AX100" s="2"/>
      <c r="AY100" s="2"/>
      <c r="AZ100" s="2"/>
      <c r="BA100" s="2"/>
      <c r="BB100" s="2"/>
      <c r="BC100" s="2"/>
      <c r="BD100" s="177"/>
      <c r="BE100" s="2"/>
      <c r="BF100" s="2"/>
      <c r="BG100" s="2"/>
      <c r="BH100" s="2"/>
      <c r="BI100" s="2"/>
      <c r="BJ100" s="2"/>
      <c r="BK100" s="2"/>
      <c r="BL100" s="2"/>
      <c r="BM100" s="2"/>
      <c r="BN100" s="2"/>
      <c r="BO100" s="2"/>
      <c r="BP100" s="2"/>
      <c r="BQ100" s="2"/>
      <c r="BR100" s="177"/>
      <c r="BS100" s="2"/>
      <c r="BT100" s="2"/>
      <c r="BU100" s="2"/>
      <c r="BV100" s="2"/>
      <c r="BW100" s="2"/>
      <c r="BX100" s="2"/>
      <c r="BY100" s="2"/>
      <c r="BZ100" s="177"/>
      <c r="CA100" s="2"/>
      <c r="CB100" s="2"/>
      <c r="CC100" s="2"/>
      <c r="CD100" s="2"/>
      <c r="CE100" s="2"/>
      <c r="CF100" s="2"/>
      <c r="CG100" s="2"/>
      <c r="CH100" s="177"/>
      <c r="CI100" s="2"/>
      <c r="CJ100" s="2"/>
      <c r="CK100" s="2"/>
      <c r="CL100" s="2"/>
      <c r="CM100" s="2"/>
      <c r="CN100" s="2"/>
      <c r="CO100" s="2"/>
      <c r="CP100" s="2"/>
      <c r="CQ100" s="2"/>
      <c r="CR100" s="177"/>
      <c r="CS100" s="2"/>
      <c r="CT100" s="2"/>
      <c r="CU100" s="2"/>
      <c r="CV100" s="2"/>
      <c r="CW100" s="2"/>
      <c r="CX100" s="2"/>
      <c r="CY100" s="2"/>
      <c r="CZ100" s="2"/>
      <c r="DA100" s="2"/>
      <c r="DB100" s="2"/>
      <c r="DC100" s="2"/>
      <c r="DD100" s="2"/>
      <c r="DE100" s="173"/>
      <c r="DF100" s="173"/>
    </row>
    <row r="101" spans="1:110">
      <c r="A101" s="136" t="s">
        <v>6058</v>
      </c>
      <c r="B101" s="136"/>
      <c r="C101" s="137"/>
      <c r="D101" s="120">
        <f t="shared" si="4"/>
        <v>0</v>
      </c>
      <c r="E101" s="121">
        <f t="shared" si="3"/>
        <v>1.3</v>
      </c>
      <c r="F101" s="172" cm="1">
        <f t="array" ref="F101">SUM(G101:DD101*$G$9:$DD$9)</f>
        <v>0</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177"/>
      <c r="AU101" s="2"/>
      <c r="AV101" s="2"/>
      <c r="AW101" s="2"/>
      <c r="AX101" s="2"/>
      <c r="AY101" s="2"/>
      <c r="AZ101" s="2"/>
      <c r="BA101" s="2"/>
      <c r="BB101" s="2"/>
      <c r="BC101" s="2"/>
      <c r="BD101" s="177"/>
      <c r="BE101" s="2"/>
      <c r="BF101" s="2"/>
      <c r="BG101" s="2"/>
      <c r="BH101" s="2"/>
      <c r="BI101" s="2"/>
      <c r="BJ101" s="2"/>
      <c r="BK101" s="2"/>
      <c r="BL101" s="2"/>
      <c r="BM101" s="2"/>
      <c r="BN101" s="2"/>
      <c r="BO101" s="2"/>
      <c r="BP101" s="2"/>
      <c r="BQ101" s="2"/>
      <c r="BR101" s="177"/>
      <c r="BS101" s="2"/>
      <c r="BT101" s="2"/>
      <c r="BU101" s="2"/>
      <c r="BV101" s="2"/>
      <c r="BW101" s="2"/>
      <c r="BX101" s="2"/>
      <c r="BY101" s="2"/>
      <c r="BZ101" s="177"/>
      <c r="CA101" s="2"/>
      <c r="CB101" s="2"/>
      <c r="CC101" s="2"/>
      <c r="CD101" s="2"/>
      <c r="CE101" s="2"/>
      <c r="CF101" s="2"/>
      <c r="CG101" s="2"/>
      <c r="CH101" s="177"/>
      <c r="CI101" s="2"/>
      <c r="CJ101" s="2"/>
      <c r="CK101" s="2"/>
      <c r="CL101" s="2"/>
      <c r="CM101" s="2"/>
      <c r="CN101" s="2"/>
      <c r="CO101" s="2"/>
      <c r="CP101" s="2"/>
      <c r="CQ101" s="2"/>
      <c r="CR101" s="177"/>
      <c r="CS101" s="2"/>
      <c r="CT101" s="2"/>
      <c r="CU101" s="2"/>
      <c r="CV101" s="2"/>
      <c r="CW101" s="2"/>
      <c r="CX101" s="2"/>
      <c r="CY101" s="2"/>
      <c r="CZ101" s="2"/>
      <c r="DA101" s="2"/>
      <c r="DB101" s="2"/>
      <c r="DC101" s="2"/>
      <c r="DD101" s="2"/>
      <c r="DE101" s="173"/>
      <c r="DF101" s="173"/>
    </row>
    <row r="102" spans="1:110">
      <c r="A102" s="136" t="s">
        <v>6059</v>
      </c>
      <c r="B102" s="136"/>
      <c r="C102" s="137"/>
      <c r="D102" s="120">
        <f t="shared" si="4"/>
        <v>0</v>
      </c>
      <c r="E102" s="121">
        <f t="shared" si="3"/>
        <v>1.3</v>
      </c>
      <c r="F102" s="172" cm="1">
        <f t="array" ref="F102">SUM(G102:DD102*$G$9:$DD$9)</f>
        <v>0</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177"/>
      <c r="AU102" s="2"/>
      <c r="AV102" s="2"/>
      <c r="AW102" s="2"/>
      <c r="AX102" s="2"/>
      <c r="AY102" s="2"/>
      <c r="AZ102" s="2"/>
      <c r="BA102" s="2"/>
      <c r="BB102" s="2"/>
      <c r="BC102" s="2"/>
      <c r="BD102" s="177"/>
      <c r="BE102" s="2"/>
      <c r="BF102" s="2"/>
      <c r="BG102" s="2"/>
      <c r="BH102" s="2"/>
      <c r="BI102" s="2"/>
      <c r="BJ102" s="2"/>
      <c r="BK102" s="2"/>
      <c r="BL102" s="2"/>
      <c r="BM102" s="2"/>
      <c r="BN102" s="2"/>
      <c r="BO102" s="2"/>
      <c r="BP102" s="2"/>
      <c r="BQ102" s="2"/>
      <c r="BR102" s="177"/>
      <c r="BS102" s="2"/>
      <c r="BT102" s="2"/>
      <c r="BU102" s="2"/>
      <c r="BV102" s="2"/>
      <c r="BW102" s="2"/>
      <c r="BX102" s="2"/>
      <c r="BY102" s="2"/>
      <c r="BZ102" s="177"/>
      <c r="CA102" s="2"/>
      <c r="CB102" s="2"/>
      <c r="CC102" s="2"/>
      <c r="CD102" s="2"/>
      <c r="CE102" s="2"/>
      <c r="CF102" s="2"/>
      <c r="CG102" s="2"/>
      <c r="CH102" s="177"/>
      <c r="CI102" s="2"/>
      <c r="CJ102" s="2"/>
      <c r="CK102" s="2"/>
      <c r="CL102" s="2"/>
      <c r="CM102" s="2"/>
      <c r="CN102" s="2"/>
      <c r="CO102" s="2"/>
      <c r="CP102" s="2"/>
      <c r="CQ102" s="2"/>
      <c r="CR102" s="177"/>
      <c r="CS102" s="2"/>
      <c r="CT102" s="2"/>
      <c r="CU102" s="2"/>
      <c r="CV102" s="2"/>
      <c r="CW102" s="2"/>
      <c r="CX102" s="2"/>
      <c r="CY102" s="2"/>
      <c r="CZ102" s="2"/>
      <c r="DA102" s="2"/>
      <c r="DB102" s="2"/>
      <c r="DC102" s="2"/>
      <c r="DD102" s="2"/>
      <c r="DE102" s="173"/>
      <c r="DF102" s="173"/>
    </row>
    <row r="103" spans="1:110">
      <c r="A103" s="136" t="s">
        <v>6060</v>
      </c>
      <c r="B103" s="136"/>
      <c r="C103" s="137"/>
      <c r="D103" s="120">
        <f t="shared" si="4"/>
        <v>0</v>
      </c>
      <c r="E103" s="121">
        <f t="shared" si="3"/>
        <v>1.3</v>
      </c>
      <c r="F103" s="172" cm="1">
        <f t="array" ref="F103">SUM(G103:DD103*$G$9:$DD$9)</f>
        <v>0</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177"/>
      <c r="AU103" s="2"/>
      <c r="AV103" s="2"/>
      <c r="AW103" s="2"/>
      <c r="AX103" s="2"/>
      <c r="AY103" s="2"/>
      <c r="AZ103" s="2"/>
      <c r="BA103" s="2"/>
      <c r="BB103" s="2"/>
      <c r="BC103" s="2"/>
      <c r="BD103" s="177"/>
      <c r="BE103" s="2"/>
      <c r="BF103" s="2"/>
      <c r="BG103" s="2"/>
      <c r="BH103" s="2"/>
      <c r="BI103" s="2"/>
      <c r="BJ103" s="2"/>
      <c r="BK103" s="2"/>
      <c r="BL103" s="2"/>
      <c r="BM103" s="2"/>
      <c r="BN103" s="2"/>
      <c r="BO103" s="2"/>
      <c r="BP103" s="2"/>
      <c r="BQ103" s="2"/>
      <c r="BR103" s="177"/>
      <c r="BS103" s="2"/>
      <c r="BT103" s="2"/>
      <c r="BU103" s="2"/>
      <c r="BV103" s="2"/>
      <c r="BW103" s="2"/>
      <c r="BX103" s="2"/>
      <c r="BY103" s="2"/>
      <c r="BZ103" s="177"/>
      <c r="CA103" s="2"/>
      <c r="CB103" s="2"/>
      <c r="CC103" s="2"/>
      <c r="CD103" s="2"/>
      <c r="CE103" s="2"/>
      <c r="CF103" s="2"/>
      <c r="CG103" s="2"/>
      <c r="CH103" s="177"/>
      <c r="CI103" s="2"/>
      <c r="CJ103" s="2"/>
      <c r="CK103" s="2"/>
      <c r="CL103" s="2"/>
      <c r="CM103" s="2"/>
      <c r="CN103" s="2"/>
      <c r="CO103" s="2"/>
      <c r="CP103" s="2"/>
      <c r="CQ103" s="2"/>
      <c r="CR103" s="177"/>
      <c r="CS103" s="2"/>
      <c r="CT103" s="2"/>
      <c r="CU103" s="2"/>
      <c r="CV103" s="2"/>
      <c r="CW103" s="2"/>
      <c r="CX103" s="2"/>
      <c r="CY103" s="2"/>
      <c r="CZ103" s="2"/>
      <c r="DA103" s="2"/>
      <c r="DB103" s="2"/>
      <c r="DC103" s="2"/>
      <c r="DD103" s="2"/>
      <c r="DE103" s="173"/>
      <c r="DF103" s="173"/>
    </row>
    <row r="104" spans="1:110">
      <c r="A104" s="136" t="s">
        <v>6061</v>
      </c>
      <c r="B104" s="136"/>
      <c r="C104" s="137"/>
      <c r="D104" s="120">
        <f t="shared" si="4"/>
        <v>0</v>
      </c>
      <c r="E104" s="121">
        <f t="shared" si="3"/>
        <v>1.3</v>
      </c>
      <c r="F104" s="172" cm="1">
        <f t="array" ref="F104">SUM(G104:DD104*$G$9:$DD$9)</f>
        <v>0</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177"/>
      <c r="AU104" s="2"/>
      <c r="AV104" s="2"/>
      <c r="AW104" s="2"/>
      <c r="AX104" s="2"/>
      <c r="AY104" s="2"/>
      <c r="AZ104" s="2"/>
      <c r="BA104" s="2"/>
      <c r="BB104" s="2"/>
      <c r="BC104" s="2"/>
      <c r="BD104" s="177"/>
      <c r="BE104" s="2"/>
      <c r="BF104" s="2"/>
      <c r="BG104" s="2"/>
      <c r="BH104" s="2"/>
      <c r="BI104" s="2"/>
      <c r="BJ104" s="2"/>
      <c r="BK104" s="2"/>
      <c r="BL104" s="2"/>
      <c r="BM104" s="2"/>
      <c r="BN104" s="2"/>
      <c r="BO104" s="2"/>
      <c r="BP104" s="2"/>
      <c r="BQ104" s="2"/>
      <c r="BR104" s="177"/>
      <c r="BS104" s="2"/>
      <c r="BT104" s="2"/>
      <c r="BU104" s="2"/>
      <c r="BV104" s="2"/>
      <c r="BW104" s="2"/>
      <c r="BX104" s="2"/>
      <c r="BY104" s="2"/>
      <c r="BZ104" s="177"/>
      <c r="CA104" s="2"/>
      <c r="CB104" s="2"/>
      <c r="CC104" s="2"/>
      <c r="CD104" s="2"/>
      <c r="CE104" s="2"/>
      <c r="CF104" s="2"/>
      <c r="CG104" s="2"/>
      <c r="CH104" s="177"/>
      <c r="CI104" s="2"/>
      <c r="CJ104" s="2"/>
      <c r="CK104" s="2"/>
      <c r="CL104" s="2"/>
      <c r="CM104" s="2"/>
      <c r="CN104" s="2"/>
      <c r="CO104" s="2"/>
      <c r="CP104" s="2"/>
      <c r="CQ104" s="2"/>
      <c r="CR104" s="177"/>
      <c r="CS104" s="2"/>
      <c r="CT104" s="2"/>
      <c r="CU104" s="2"/>
      <c r="CV104" s="2"/>
      <c r="CW104" s="2"/>
      <c r="CX104" s="2"/>
      <c r="CY104" s="2"/>
      <c r="CZ104" s="2"/>
      <c r="DA104" s="2"/>
      <c r="DB104" s="2"/>
      <c r="DC104" s="2"/>
      <c r="DD104" s="2"/>
      <c r="DE104" s="173"/>
      <c r="DF104" s="173"/>
    </row>
    <row r="105" spans="1:110">
      <c r="A105" s="136" t="s">
        <v>6062</v>
      </c>
      <c r="B105" s="136"/>
      <c r="C105" s="137"/>
      <c r="D105" s="120">
        <f t="shared" si="4"/>
        <v>0</v>
      </c>
      <c r="E105" s="121">
        <f t="shared" si="3"/>
        <v>1.3</v>
      </c>
      <c r="F105" s="172" cm="1">
        <f t="array" ref="F105">SUM(G105:DD105*$G$9:$DD$9)</f>
        <v>0</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177"/>
      <c r="AU105" s="2"/>
      <c r="AV105" s="2"/>
      <c r="AW105" s="2"/>
      <c r="AX105" s="2"/>
      <c r="AY105" s="2"/>
      <c r="AZ105" s="2"/>
      <c r="BA105" s="2"/>
      <c r="BB105" s="2"/>
      <c r="BC105" s="2"/>
      <c r="BD105" s="177"/>
      <c r="BE105" s="2"/>
      <c r="BF105" s="2"/>
      <c r="BG105" s="2"/>
      <c r="BH105" s="2"/>
      <c r="BI105" s="2"/>
      <c r="BJ105" s="2"/>
      <c r="BK105" s="2"/>
      <c r="BL105" s="2"/>
      <c r="BM105" s="2"/>
      <c r="BN105" s="2"/>
      <c r="BO105" s="2"/>
      <c r="BP105" s="2"/>
      <c r="BQ105" s="2"/>
      <c r="BR105" s="177"/>
      <c r="BS105" s="2"/>
      <c r="BT105" s="2"/>
      <c r="BU105" s="2"/>
      <c r="BV105" s="2"/>
      <c r="BW105" s="2"/>
      <c r="BX105" s="2"/>
      <c r="BY105" s="2"/>
      <c r="BZ105" s="177"/>
      <c r="CA105" s="2"/>
      <c r="CB105" s="2"/>
      <c r="CC105" s="2"/>
      <c r="CD105" s="2"/>
      <c r="CE105" s="2"/>
      <c r="CF105" s="2"/>
      <c r="CG105" s="2"/>
      <c r="CH105" s="177"/>
      <c r="CI105" s="2"/>
      <c r="CJ105" s="2"/>
      <c r="CK105" s="2"/>
      <c r="CL105" s="2"/>
      <c r="CM105" s="2"/>
      <c r="CN105" s="2"/>
      <c r="CO105" s="2"/>
      <c r="CP105" s="2"/>
      <c r="CQ105" s="2"/>
      <c r="CR105" s="177"/>
      <c r="CS105" s="2"/>
      <c r="CT105" s="2"/>
      <c r="CU105" s="2"/>
      <c r="CV105" s="2"/>
      <c r="CW105" s="2"/>
      <c r="CX105" s="2"/>
      <c r="CY105" s="2"/>
      <c r="CZ105" s="2"/>
      <c r="DA105" s="2"/>
      <c r="DB105" s="2"/>
      <c r="DC105" s="2"/>
      <c r="DD105" s="2"/>
      <c r="DE105" s="173"/>
      <c r="DF105" s="173"/>
    </row>
    <row r="106" spans="1:110">
      <c r="A106" s="136" t="s">
        <v>6063</v>
      </c>
      <c r="B106" s="136"/>
      <c r="C106" s="137"/>
      <c r="D106" s="120">
        <f t="shared" si="4"/>
        <v>0</v>
      </c>
      <c r="E106" s="121">
        <f t="shared" si="3"/>
        <v>1.3</v>
      </c>
      <c r="F106" s="172" cm="1">
        <f t="array" ref="F106">SUM(G106:DD106*$G$9:$DD$9)</f>
        <v>0</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177"/>
      <c r="AU106" s="2"/>
      <c r="AV106" s="2"/>
      <c r="AW106" s="2"/>
      <c r="AX106" s="2"/>
      <c r="AY106" s="2"/>
      <c r="AZ106" s="2"/>
      <c r="BA106" s="2"/>
      <c r="BB106" s="2"/>
      <c r="BC106" s="2"/>
      <c r="BD106" s="177"/>
      <c r="BE106" s="2"/>
      <c r="BF106" s="2"/>
      <c r="BG106" s="2"/>
      <c r="BH106" s="2"/>
      <c r="BI106" s="2"/>
      <c r="BJ106" s="2"/>
      <c r="BK106" s="2"/>
      <c r="BL106" s="2"/>
      <c r="BM106" s="2"/>
      <c r="BN106" s="2"/>
      <c r="BO106" s="2"/>
      <c r="BP106" s="2"/>
      <c r="BQ106" s="2"/>
      <c r="BR106" s="177"/>
      <c r="BS106" s="2"/>
      <c r="BT106" s="2"/>
      <c r="BU106" s="2"/>
      <c r="BV106" s="2"/>
      <c r="BW106" s="2"/>
      <c r="BX106" s="2"/>
      <c r="BY106" s="2"/>
      <c r="BZ106" s="177"/>
      <c r="CA106" s="2"/>
      <c r="CB106" s="2"/>
      <c r="CC106" s="2"/>
      <c r="CD106" s="2"/>
      <c r="CE106" s="2"/>
      <c r="CF106" s="2"/>
      <c r="CG106" s="2"/>
      <c r="CH106" s="177"/>
      <c r="CI106" s="2"/>
      <c r="CJ106" s="2"/>
      <c r="CK106" s="2"/>
      <c r="CL106" s="2"/>
      <c r="CM106" s="2"/>
      <c r="CN106" s="2"/>
      <c r="CO106" s="2"/>
      <c r="CP106" s="2"/>
      <c r="CQ106" s="2"/>
      <c r="CR106" s="177"/>
      <c r="CS106" s="2"/>
      <c r="CT106" s="2"/>
      <c r="CU106" s="2"/>
      <c r="CV106" s="2"/>
      <c r="CW106" s="2"/>
      <c r="CX106" s="2"/>
      <c r="CY106" s="2"/>
      <c r="CZ106" s="2"/>
      <c r="DA106" s="2"/>
      <c r="DB106" s="2"/>
      <c r="DC106" s="2"/>
      <c r="DD106" s="2"/>
      <c r="DE106" s="173"/>
      <c r="DF106" s="173"/>
    </row>
    <row r="107" spans="1:110">
      <c r="A107" s="136" t="s">
        <v>6064</v>
      </c>
      <c r="B107" s="136"/>
      <c r="C107" s="137"/>
      <c r="D107" s="120">
        <f t="shared" si="4"/>
        <v>0</v>
      </c>
      <c r="E107" s="121">
        <f t="shared" si="3"/>
        <v>1.3</v>
      </c>
      <c r="F107" s="172" cm="1">
        <f t="array" ref="F107">SUM(G107:DD107*$G$9:$DD$9)</f>
        <v>0</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177"/>
      <c r="AU107" s="2"/>
      <c r="AV107" s="2"/>
      <c r="AW107" s="2"/>
      <c r="AX107" s="2"/>
      <c r="AY107" s="2"/>
      <c r="AZ107" s="2"/>
      <c r="BA107" s="2"/>
      <c r="BB107" s="2"/>
      <c r="BC107" s="2"/>
      <c r="BD107" s="177"/>
      <c r="BE107" s="2"/>
      <c r="BF107" s="2"/>
      <c r="BG107" s="2"/>
      <c r="BH107" s="2"/>
      <c r="BI107" s="2"/>
      <c r="BJ107" s="2"/>
      <c r="BK107" s="2"/>
      <c r="BL107" s="2"/>
      <c r="BM107" s="2"/>
      <c r="BN107" s="2"/>
      <c r="BO107" s="2"/>
      <c r="BP107" s="2"/>
      <c r="BQ107" s="2"/>
      <c r="BR107" s="177"/>
      <c r="BS107" s="2"/>
      <c r="BT107" s="2"/>
      <c r="BU107" s="2"/>
      <c r="BV107" s="2"/>
      <c r="BW107" s="2"/>
      <c r="BX107" s="2"/>
      <c r="BY107" s="2"/>
      <c r="BZ107" s="177"/>
      <c r="CA107" s="2"/>
      <c r="CB107" s="2"/>
      <c r="CC107" s="2"/>
      <c r="CD107" s="2"/>
      <c r="CE107" s="2"/>
      <c r="CF107" s="2"/>
      <c r="CG107" s="2"/>
      <c r="CH107" s="177"/>
      <c r="CI107" s="2"/>
      <c r="CJ107" s="2"/>
      <c r="CK107" s="2"/>
      <c r="CL107" s="2"/>
      <c r="CM107" s="2"/>
      <c r="CN107" s="2"/>
      <c r="CO107" s="2"/>
      <c r="CP107" s="2"/>
      <c r="CQ107" s="2"/>
      <c r="CR107" s="177"/>
      <c r="CS107" s="2"/>
      <c r="CT107" s="2"/>
      <c r="CU107" s="2"/>
      <c r="CV107" s="2"/>
      <c r="CW107" s="2"/>
      <c r="CX107" s="2"/>
      <c r="CY107" s="2"/>
      <c r="CZ107" s="2"/>
      <c r="DA107" s="2"/>
      <c r="DB107" s="2"/>
      <c r="DC107" s="2"/>
      <c r="DD107" s="2"/>
      <c r="DE107" s="173"/>
      <c r="DF107" s="173"/>
    </row>
    <row r="108" spans="1:110">
      <c r="A108" s="136" t="s">
        <v>6065</v>
      </c>
      <c r="B108" s="136"/>
      <c r="C108" s="137"/>
      <c r="D108" s="120">
        <f t="shared" si="4"/>
        <v>0</v>
      </c>
      <c r="E108" s="121">
        <f t="shared" si="3"/>
        <v>1.3</v>
      </c>
      <c r="F108" s="172" cm="1">
        <f t="array" ref="F108">SUM(G108:DD108*$G$9:$DD$9)</f>
        <v>0</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177"/>
      <c r="AU108" s="2"/>
      <c r="AV108" s="2"/>
      <c r="AW108" s="2"/>
      <c r="AX108" s="2"/>
      <c r="AY108" s="2"/>
      <c r="AZ108" s="2"/>
      <c r="BA108" s="2"/>
      <c r="BB108" s="2"/>
      <c r="BC108" s="2"/>
      <c r="BD108" s="177"/>
      <c r="BE108" s="2"/>
      <c r="BF108" s="2"/>
      <c r="BG108" s="2"/>
      <c r="BH108" s="2"/>
      <c r="BI108" s="2"/>
      <c r="BJ108" s="2"/>
      <c r="BK108" s="2"/>
      <c r="BL108" s="2"/>
      <c r="BM108" s="2"/>
      <c r="BN108" s="2"/>
      <c r="BO108" s="2"/>
      <c r="BP108" s="2"/>
      <c r="BQ108" s="2"/>
      <c r="BR108" s="177"/>
      <c r="BS108" s="2"/>
      <c r="BT108" s="2"/>
      <c r="BU108" s="2"/>
      <c r="BV108" s="2"/>
      <c r="BW108" s="2"/>
      <c r="BX108" s="2"/>
      <c r="BY108" s="2"/>
      <c r="BZ108" s="177"/>
      <c r="CA108" s="2"/>
      <c r="CB108" s="2"/>
      <c r="CC108" s="2"/>
      <c r="CD108" s="2"/>
      <c r="CE108" s="2"/>
      <c r="CF108" s="2"/>
      <c r="CG108" s="2"/>
      <c r="CH108" s="177"/>
      <c r="CI108" s="2"/>
      <c r="CJ108" s="2"/>
      <c r="CK108" s="2"/>
      <c r="CL108" s="2"/>
      <c r="CM108" s="2"/>
      <c r="CN108" s="2"/>
      <c r="CO108" s="2"/>
      <c r="CP108" s="2"/>
      <c r="CQ108" s="2"/>
      <c r="CR108" s="177"/>
      <c r="CS108" s="2"/>
      <c r="CT108" s="2"/>
      <c r="CU108" s="2"/>
      <c r="CV108" s="2"/>
      <c r="CW108" s="2"/>
      <c r="CX108" s="2"/>
      <c r="CY108" s="2"/>
      <c r="CZ108" s="2"/>
      <c r="DA108" s="2"/>
      <c r="DB108" s="2"/>
      <c r="DC108" s="2"/>
      <c r="DD108" s="2"/>
      <c r="DE108" s="173"/>
      <c r="DF108" s="173"/>
    </row>
    <row r="109" spans="1:110">
      <c r="A109" s="136" t="s">
        <v>6066</v>
      </c>
      <c r="B109" s="136"/>
      <c r="C109" s="137"/>
      <c r="D109" s="120">
        <f t="shared" si="4"/>
        <v>0</v>
      </c>
      <c r="E109" s="121">
        <f t="shared" si="3"/>
        <v>1.3</v>
      </c>
      <c r="F109" s="172" cm="1">
        <f t="array" ref="F109">SUM(G109:DD109*$G$9:$DD$9)</f>
        <v>0</v>
      </c>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177"/>
      <c r="AU109" s="2"/>
      <c r="AV109" s="2"/>
      <c r="AW109" s="2"/>
      <c r="AX109" s="2"/>
      <c r="AY109" s="2"/>
      <c r="AZ109" s="2"/>
      <c r="BA109" s="2"/>
      <c r="BB109" s="2"/>
      <c r="BC109" s="2"/>
      <c r="BD109" s="177"/>
      <c r="BE109" s="2"/>
      <c r="BF109" s="2"/>
      <c r="BG109" s="2"/>
      <c r="BH109" s="2"/>
      <c r="BI109" s="2"/>
      <c r="BJ109" s="2"/>
      <c r="BK109" s="2"/>
      <c r="BL109" s="2"/>
      <c r="BM109" s="2"/>
      <c r="BN109" s="2"/>
      <c r="BO109" s="2"/>
      <c r="BP109" s="2"/>
      <c r="BQ109" s="2"/>
      <c r="BR109" s="177"/>
      <c r="BS109" s="2"/>
      <c r="BT109" s="2"/>
      <c r="BU109" s="2"/>
      <c r="BV109" s="2"/>
      <c r="BW109" s="2"/>
      <c r="BX109" s="2"/>
      <c r="BY109" s="2"/>
      <c r="BZ109" s="177"/>
      <c r="CA109" s="2"/>
      <c r="CB109" s="2"/>
      <c r="CC109" s="2"/>
      <c r="CD109" s="2"/>
      <c r="CE109" s="2"/>
      <c r="CF109" s="2"/>
      <c r="CG109" s="2"/>
      <c r="CH109" s="177"/>
      <c r="CI109" s="2"/>
      <c r="CJ109" s="2"/>
      <c r="CK109" s="2"/>
      <c r="CL109" s="2"/>
      <c r="CM109" s="2"/>
      <c r="CN109" s="2"/>
      <c r="CO109" s="2"/>
      <c r="CP109" s="2"/>
      <c r="CQ109" s="2"/>
      <c r="CR109" s="177"/>
      <c r="CS109" s="2"/>
      <c r="CT109" s="2"/>
      <c r="CU109" s="2"/>
      <c r="CV109" s="2"/>
      <c r="CW109" s="2"/>
      <c r="CX109" s="2"/>
      <c r="CY109" s="2"/>
      <c r="CZ109" s="2"/>
      <c r="DA109" s="2"/>
      <c r="DB109" s="2"/>
      <c r="DC109" s="2"/>
      <c r="DD109" s="2"/>
      <c r="DE109" s="173"/>
      <c r="DF109" s="173"/>
    </row>
    <row r="110" spans="1:110">
      <c r="A110" s="136" t="s">
        <v>6067</v>
      </c>
      <c r="B110" s="136"/>
      <c r="C110" s="137"/>
      <c r="D110" s="120">
        <f t="shared" si="4"/>
        <v>0</v>
      </c>
      <c r="E110" s="121">
        <f t="shared" si="3"/>
        <v>1.3</v>
      </c>
      <c r="F110" s="172" cm="1">
        <f t="array" ref="F110">SUM(G110:DD110*$G$9:$DD$9)</f>
        <v>0</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177"/>
      <c r="AU110" s="2"/>
      <c r="AV110" s="2"/>
      <c r="AW110" s="2"/>
      <c r="AX110" s="2"/>
      <c r="AY110" s="2"/>
      <c r="AZ110" s="2"/>
      <c r="BA110" s="2"/>
      <c r="BB110" s="2"/>
      <c r="BC110" s="2"/>
      <c r="BD110" s="177"/>
      <c r="BE110" s="2"/>
      <c r="BF110" s="2"/>
      <c r="BG110" s="2"/>
      <c r="BH110" s="2"/>
      <c r="BI110" s="2"/>
      <c r="BJ110" s="2"/>
      <c r="BK110" s="2"/>
      <c r="BL110" s="2"/>
      <c r="BM110" s="2"/>
      <c r="BN110" s="2"/>
      <c r="BO110" s="2"/>
      <c r="BP110" s="2"/>
      <c r="BQ110" s="2"/>
      <c r="BR110" s="177"/>
      <c r="BS110" s="2"/>
      <c r="BT110" s="2"/>
      <c r="BU110" s="2"/>
      <c r="BV110" s="2"/>
      <c r="BW110" s="2"/>
      <c r="BX110" s="2"/>
      <c r="BY110" s="2"/>
      <c r="BZ110" s="177"/>
      <c r="CA110" s="2"/>
      <c r="CB110" s="2"/>
      <c r="CC110" s="2"/>
      <c r="CD110" s="2"/>
      <c r="CE110" s="2"/>
      <c r="CF110" s="2"/>
      <c r="CG110" s="2"/>
      <c r="CH110" s="177"/>
      <c r="CI110" s="2"/>
      <c r="CJ110" s="2"/>
      <c r="CK110" s="2"/>
      <c r="CL110" s="2"/>
      <c r="CM110" s="2"/>
      <c r="CN110" s="2"/>
      <c r="CO110" s="2"/>
      <c r="CP110" s="2"/>
      <c r="CQ110" s="2"/>
      <c r="CR110" s="177"/>
      <c r="CS110" s="2"/>
      <c r="CT110" s="2"/>
      <c r="CU110" s="2"/>
      <c r="CV110" s="2"/>
      <c r="CW110" s="2"/>
      <c r="CX110" s="2"/>
      <c r="CY110" s="2"/>
      <c r="CZ110" s="2"/>
      <c r="DA110" s="2"/>
      <c r="DB110" s="2"/>
      <c r="DC110" s="2"/>
      <c r="DD110" s="2"/>
      <c r="DE110" s="173"/>
      <c r="DF110" s="173"/>
    </row>
    <row r="111" spans="1:110">
      <c r="A111" s="136" t="s">
        <v>6068</v>
      </c>
      <c r="B111" s="136"/>
      <c r="C111" s="137"/>
      <c r="D111" s="120">
        <f t="shared" si="4"/>
        <v>0</v>
      </c>
      <c r="E111" s="121">
        <f t="shared" si="3"/>
        <v>1.3</v>
      </c>
      <c r="F111" s="172" cm="1">
        <f t="array" ref="F111">SUM(G111:DD111*$G$9:$DD$9)</f>
        <v>0</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177"/>
      <c r="AU111" s="2"/>
      <c r="AV111" s="2"/>
      <c r="AW111" s="2"/>
      <c r="AX111" s="2"/>
      <c r="AY111" s="2"/>
      <c r="AZ111" s="2"/>
      <c r="BA111" s="2"/>
      <c r="BB111" s="2"/>
      <c r="BC111" s="2"/>
      <c r="BD111" s="177"/>
      <c r="BE111" s="2"/>
      <c r="BF111" s="2"/>
      <c r="BG111" s="2"/>
      <c r="BH111" s="2"/>
      <c r="BI111" s="2"/>
      <c r="BJ111" s="2"/>
      <c r="BK111" s="2"/>
      <c r="BL111" s="2"/>
      <c r="BM111" s="2"/>
      <c r="BN111" s="2"/>
      <c r="BO111" s="2"/>
      <c r="BP111" s="2"/>
      <c r="BQ111" s="2"/>
      <c r="BR111" s="177"/>
      <c r="BS111" s="2"/>
      <c r="BT111" s="2"/>
      <c r="BU111" s="2"/>
      <c r="BV111" s="2"/>
      <c r="BW111" s="2"/>
      <c r="BX111" s="2"/>
      <c r="BY111" s="2"/>
      <c r="BZ111" s="177"/>
      <c r="CA111" s="2"/>
      <c r="CB111" s="2"/>
      <c r="CC111" s="2"/>
      <c r="CD111" s="2"/>
      <c r="CE111" s="2"/>
      <c r="CF111" s="2"/>
      <c r="CG111" s="2"/>
      <c r="CH111" s="177"/>
      <c r="CI111" s="2"/>
      <c r="CJ111" s="2"/>
      <c r="CK111" s="2"/>
      <c r="CL111" s="2"/>
      <c r="CM111" s="2"/>
      <c r="CN111" s="2"/>
      <c r="CO111" s="2"/>
      <c r="CP111" s="2"/>
      <c r="CQ111" s="2"/>
      <c r="CR111" s="177"/>
      <c r="CS111" s="2"/>
      <c r="CT111" s="2"/>
      <c r="CU111" s="2"/>
      <c r="CV111" s="2"/>
      <c r="CW111" s="2"/>
      <c r="CX111" s="2"/>
      <c r="CY111" s="2"/>
      <c r="CZ111" s="2"/>
      <c r="DA111" s="2"/>
      <c r="DB111" s="2"/>
      <c r="DC111" s="2"/>
      <c r="DD111" s="2"/>
      <c r="DE111" s="173"/>
      <c r="DF111" s="173"/>
    </row>
    <row r="112" spans="1:110">
      <c r="A112" s="136" t="s">
        <v>6069</v>
      </c>
      <c r="B112" s="136"/>
      <c r="C112" s="137"/>
      <c r="D112" s="120">
        <f t="shared" si="4"/>
        <v>0</v>
      </c>
      <c r="E112" s="121">
        <f t="shared" si="3"/>
        <v>1.3</v>
      </c>
      <c r="F112" s="172" cm="1">
        <f t="array" ref="F112">SUM(G112:DD112*$G$9:$DD$9)</f>
        <v>0</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177"/>
      <c r="AU112" s="2"/>
      <c r="AV112" s="2"/>
      <c r="AW112" s="2"/>
      <c r="AX112" s="2"/>
      <c r="AY112" s="2"/>
      <c r="AZ112" s="2"/>
      <c r="BA112" s="2"/>
      <c r="BB112" s="2"/>
      <c r="BC112" s="2"/>
      <c r="BD112" s="177"/>
      <c r="BE112" s="2"/>
      <c r="BF112" s="2"/>
      <c r="BG112" s="2"/>
      <c r="BH112" s="2"/>
      <c r="BI112" s="2"/>
      <c r="BJ112" s="2"/>
      <c r="BK112" s="2"/>
      <c r="BL112" s="2"/>
      <c r="BM112" s="2"/>
      <c r="BN112" s="2"/>
      <c r="BO112" s="2"/>
      <c r="BP112" s="2"/>
      <c r="BQ112" s="2"/>
      <c r="BR112" s="177"/>
      <c r="BS112" s="2"/>
      <c r="BT112" s="2"/>
      <c r="BU112" s="2"/>
      <c r="BV112" s="2"/>
      <c r="BW112" s="2"/>
      <c r="BX112" s="2"/>
      <c r="BY112" s="2"/>
      <c r="BZ112" s="177"/>
      <c r="CA112" s="2"/>
      <c r="CB112" s="2"/>
      <c r="CC112" s="2"/>
      <c r="CD112" s="2"/>
      <c r="CE112" s="2"/>
      <c r="CF112" s="2"/>
      <c r="CG112" s="2"/>
      <c r="CH112" s="177"/>
      <c r="CI112" s="2"/>
      <c r="CJ112" s="2"/>
      <c r="CK112" s="2"/>
      <c r="CL112" s="2"/>
      <c r="CM112" s="2"/>
      <c r="CN112" s="2"/>
      <c r="CO112" s="2"/>
      <c r="CP112" s="2"/>
      <c r="CQ112" s="2"/>
      <c r="CR112" s="177"/>
      <c r="CS112" s="2"/>
      <c r="CT112" s="2"/>
      <c r="CU112" s="2"/>
      <c r="CV112" s="2"/>
      <c r="CW112" s="2"/>
      <c r="CX112" s="2"/>
      <c r="CY112" s="2"/>
      <c r="CZ112" s="2"/>
      <c r="DA112" s="2"/>
      <c r="DB112" s="2"/>
      <c r="DC112" s="2"/>
      <c r="DD112" s="2"/>
      <c r="DE112" s="173"/>
      <c r="DF112" s="173"/>
    </row>
    <row r="113" spans="1:110">
      <c r="A113" s="136" t="s">
        <v>6070</v>
      </c>
      <c r="B113" s="136"/>
      <c r="C113" s="137"/>
      <c r="D113" s="120">
        <f t="shared" si="4"/>
        <v>0</v>
      </c>
      <c r="E113" s="121">
        <f t="shared" si="3"/>
        <v>1.3</v>
      </c>
      <c r="F113" s="172" cm="1">
        <f t="array" ref="F113">SUM(G113:DD113*$G$9:$DD$9)</f>
        <v>0</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177"/>
      <c r="AU113" s="2"/>
      <c r="AV113" s="2"/>
      <c r="AW113" s="2"/>
      <c r="AX113" s="2"/>
      <c r="AY113" s="2"/>
      <c r="AZ113" s="2"/>
      <c r="BA113" s="2"/>
      <c r="BB113" s="2"/>
      <c r="BC113" s="2"/>
      <c r="BD113" s="177"/>
      <c r="BE113" s="2"/>
      <c r="BF113" s="2"/>
      <c r="BG113" s="2"/>
      <c r="BH113" s="2"/>
      <c r="BI113" s="2"/>
      <c r="BJ113" s="2"/>
      <c r="BK113" s="2"/>
      <c r="BL113" s="2"/>
      <c r="BM113" s="2"/>
      <c r="BN113" s="2"/>
      <c r="BO113" s="2"/>
      <c r="BP113" s="2"/>
      <c r="BQ113" s="2"/>
      <c r="BR113" s="177"/>
      <c r="BS113" s="2"/>
      <c r="BT113" s="2"/>
      <c r="BU113" s="2"/>
      <c r="BV113" s="2"/>
      <c r="BW113" s="2"/>
      <c r="BX113" s="2"/>
      <c r="BY113" s="2"/>
      <c r="BZ113" s="177"/>
      <c r="CA113" s="2"/>
      <c r="CB113" s="2"/>
      <c r="CC113" s="2"/>
      <c r="CD113" s="2"/>
      <c r="CE113" s="2"/>
      <c r="CF113" s="2"/>
      <c r="CG113" s="2"/>
      <c r="CH113" s="177"/>
      <c r="CI113" s="2"/>
      <c r="CJ113" s="2"/>
      <c r="CK113" s="2"/>
      <c r="CL113" s="2"/>
      <c r="CM113" s="2"/>
      <c r="CN113" s="2"/>
      <c r="CO113" s="2"/>
      <c r="CP113" s="2"/>
      <c r="CQ113" s="2"/>
      <c r="CR113" s="177"/>
      <c r="CS113" s="2"/>
      <c r="CT113" s="2"/>
      <c r="CU113" s="2"/>
      <c r="CV113" s="2"/>
      <c r="CW113" s="2"/>
      <c r="CX113" s="2"/>
      <c r="CY113" s="2"/>
      <c r="CZ113" s="2"/>
      <c r="DA113" s="2"/>
      <c r="DB113" s="2"/>
      <c r="DC113" s="2"/>
      <c r="DD113" s="2"/>
      <c r="DE113" s="173"/>
      <c r="DF113" s="173"/>
    </row>
    <row r="114" spans="1:110">
      <c r="A114" s="136" t="s">
        <v>6071</v>
      </c>
      <c r="B114" s="136"/>
      <c r="C114" s="137"/>
      <c r="D114" s="120">
        <f t="shared" si="4"/>
        <v>0</v>
      </c>
      <c r="E114" s="121">
        <f t="shared" ref="E114:E137" si="5">E$9</f>
        <v>1.3</v>
      </c>
      <c r="F114" s="172" cm="1">
        <f t="array" ref="F114">SUM(G114:DD114*$G$9:$DD$9)</f>
        <v>0</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177"/>
      <c r="AU114" s="2"/>
      <c r="AV114" s="2"/>
      <c r="AW114" s="2"/>
      <c r="AX114" s="2"/>
      <c r="AY114" s="2"/>
      <c r="AZ114" s="2"/>
      <c r="BA114" s="2"/>
      <c r="BB114" s="2"/>
      <c r="BC114" s="2"/>
      <c r="BD114" s="177"/>
      <c r="BE114" s="2"/>
      <c r="BF114" s="2"/>
      <c r="BG114" s="2"/>
      <c r="BH114" s="2"/>
      <c r="BI114" s="2"/>
      <c r="BJ114" s="2"/>
      <c r="BK114" s="2"/>
      <c r="BL114" s="2"/>
      <c r="BM114" s="2"/>
      <c r="BN114" s="2"/>
      <c r="BO114" s="2"/>
      <c r="BP114" s="2"/>
      <c r="BQ114" s="2"/>
      <c r="BR114" s="177"/>
      <c r="BS114" s="2"/>
      <c r="BT114" s="2"/>
      <c r="BU114" s="2"/>
      <c r="BV114" s="2"/>
      <c r="BW114" s="2"/>
      <c r="BX114" s="2"/>
      <c r="BY114" s="2"/>
      <c r="BZ114" s="177"/>
      <c r="CA114" s="2"/>
      <c r="CB114" s="2"/>
      <c r="CC114" s="2"/>
      <c r="CD114" s="2"/>
      <c r="CE114" s="2"/>
      <c r="CF114" s="2"/>
      <c r="CG114" s="2"/>
      <c r="CH114" s="177"/>
      <c r="CI114" s="2"/>
      <c r="CJ114" s="2"/>
      <c r="CK114" s="2"/>
      <c r="CL114" s="2"/>
      <c r="CM114" s="2"/>
      <c r="CN114" s="2"/>
      <c r="CO114" s="2"/>
      <c r="CP114" s="2"/>
      <c r="CQ114" s="2"/>
      <c r="CR114" s="177"/>
      <c r="CS114" s="2"/>
      <c r="CT114" s="2"/>
      <c r="CU114" s="2"/>
      <c r="CV114" s="2"/>
      <c r="CW114" s="2"/>
      <c r="CX114" s="2"/>
      <c r="CY114" s="2"/>
      <c r="CZ114" s="2"/>
      <c r="DA114" s="2"/>
      <c r="DB114" s="2"/>
      <c r="DC114" s="2"/>
      <c r="DD114" s="2"/>
      <c r="DE114" s="173"/>
      <c r="DF114" s="173"/>
    </row>
    <row r="115" spans="1:110">
      <c r="A115" s="136" t="s">
        <v>6072</v>
      </c>
      <c r="B115" s="136"/>
      <c r="C115" s="137"/>
      <c r="D115" s="120">
        <f t="shared" si="4"/>
        <v>0</v>
      </c>
      <c r="E115" s="121">
        <f t="shared" si="5"/>
        <v>1.3</v>
      </c>
      <c r="F115" s="172" cm="1">
        <f t="array" ref="F115">SUM(G115:DD115*$G$9:$DD$9)</f>
        <v>0</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177"/>
      <c r="AU115" s="2"/>
      <c r="AV115" s="2"/>
      <c r="AW115" s="2"/>
      <c r="AX115" s="2"/>
      <c r="AY115" s="2"/>
      <c r="AZ115" s="2"/>
      <c r="BA115" s="2"/>
      <c r="BB115" s="2"/>
      <c r="BC115" s="2"/>
      <c r="BD115" s="177"/>
      <c r="BE115" s="2"/>
      <c r="BF115" s="2"/>
      <c r="BG115" s="2"/>
      <c r="BH115" s="2"/>
      <c r="BI115" s="2"/>
      <c r="BJ115" s="2"/>
      <c r="BK115" s="2"/>
      <c r="BL115" s="2"/>
      <c r="BM115" s="2"/>
      <c r="BN115" s="2"/>
      <c r="BO115" s="2"/>
      <c r="BP115" s="2"/>
      <c r="BQ115" s="2"/>
      <c r="BR115" s="177"/>
      <c r="BS115" s="2"/>
      <c r="BT115" s="2"/>
      <c r="BU115" s="2"/>
      <c r="BV115" s="2"/>
      <c r="BW115" s="2"/>
      <c r="BX115" s="2"/>
      <c r="BY115" s="2"/>
      <c r="BZ115" s="177"/>
      <c r="CA115" s="2"/>
      <c r="CB115" s="2"/>
      <c r="CC115" s="2"/>
      <c r="CD115" s="2"/>
      <c r="CE115" s="2"/>
      <c r="CF115" s="2"/>
      <c r="CG115" s="2"/>
      <c r="CH115" s="177"/>
      <c r="CI115" s="2"/>
      <c r="CJ115" s="2"/>
      <c r="CK115" s="2"/>
      <c r="CL115" s="2"/>
      <c r="CM115" s="2"/>
      <c r="CN115" s="2"/>
      <c r="CO115" s="2"/>
      <c r="CP115" s="2"/>
      <c r="CQ115" s="2"/>
      <c r="CR115" s="177"/>
      <c r="CS115" s="2"/>
      <c r="CT115" s="2"/>
      <c r="CU115" s="2"/>
      <c r="CV115" s="2"/>
      <c r="CW115" s="2"/>
      <c r="CX115" s="2"/>
      <c r="CY115" s="2"/>
      <c r="CZ115" s="2"/>
      <c r="DA115" s="2"/>
      <c r="DB115" s="2"/>
      <c r="DC115" s="2"/>
      <c r="DD115" s="2"/>
      <c r="DE115" s="173"/>
      <c r="DF115" s="173"/>
    </row>
    <row r="116" spans="1:110">
      <c r="A116" s="136" t="s">
        <v>6073</v>
      </c>
      <c r="B116" s="136"/>
      <c r="C116" s="137"/>
      <c r="D116" s="120">
        <f t="shared" si="4"/>
        <v>0</v>
      </c>
      <c r="E116" s="121">
        <f t="shared" si="5"/>
        <v>1.3</v>
      </c>
      <c r="F116" s="172" cm="1">
        <f t="array" ref="F116">SUM(G116:DD116*$G$9:$DD$9)</f>
        <v>0</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177"/>
      <c r="AU116" s="2"/>
      <c r="AV116" s="2"/>
      <c r="AW116" s="2"/>
      <c r="AX116" s="2"/>
      <c r="AY116" s="2"/>
      <c r="AZ116" s="2"/>
      <c r="BA116" s="2"/>
      <c r="BB116" s="2"/>
      <c r="BC116" s="2"/>
      <c r="BD116" s="177"/>
      <c r="BE116" s="2"/>
      <c r="BF116" s="2"/>
      <c r="BG116" s="2"/>
      <c r="BH116" s="2"/>
      <c r="BI116" s="2"/>
      <c r="BJ116" s="2"/>
      <c r="BK116" s="2"/>
      <c r="BL116" s="2"/>
      <c r="BM116" s="2"/>
      <c r="BN116" s="2"/>
      <c r="BO116" s="2"/>
      <c r="BP116" s="2"/>
      <c r="BQ116" s="2"/>
      <c r="BR116" s="177"/>
      <c r="BS116" s="2"/>
      <c r="BT116" s="2"/>
      <c r="BU116" s="2"/>
      <c r="BV116" s="2"/>
      <c r="BW116" s="2"/>
      <c r="BX116" s="2"/>
      <c r="BY116" s="2"/>
      <c r="BZ116" s="177"/>
      <c r="CA116" s="2"/>
      <c r="CB116" s="2"/>
      <c r="CC116" s="2"/>
      <c r="CD116" s="2"/>
      <c r="CE116" s="2"/>
      <c r="CF116" s="2"/>
      <c r="CG116" s="2"/>
      <c r="CH116" s="177"/>
      <c r="CI116" s="2"/>
      <c r="CJ116" s="2"/>
      <c r="CK116" s="2"/>
      <c r="CL116" s="2"/>
      <c r="CM116" s="2"/>
      <c r="CN116" s="2"/>
      <c r="CO116" s="2"/>
      <c r="CP116" s="2"/>
      <c r="CQ116" s="2"/>
      <c r="CR116" s="177"/>
      <c r="CS116" s="2"/>
      <c r="CT116" s="2"/>
      <c r="CU116" s="2"/>
      <c r="CV116" s="2"/>
      <c r="CW116" s="2"/>
      <c r="CX116" s="2"/>
      <c r="CY116" s="2"/>
      <c r="CZ116" s="2"/>
      <c r="DA116" s="2"/>
      <c r="DB116" s="2"/>
      <c r="DC116" s="2"/>
      <c r="DD116" s="2"/>
      <c r="DE116" s="173"/>
      <c r="DF116" s="173"/>
    </row>
    <row r="117" spans="1:110">
      <c r="A117" s="136" t="s">
        <v>6074</v>
      </c>
      <c r="B117" s="136"/>
      <c r="C117" s="137"/>
      <c r="D117" s="120">
        <f t="shared" si="4"/>
        <v>0</v>
      </c>
      <c r="E117" s="121">
        <f t="shared" si="5"/>
        <v>1.3</v>
      </c>
      <c r="F117" s="172" cm="1">
        <f t="array" ref="F117">SUM(G117:DD117*$G$9:$DD$9)</f>
        <v>0</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177"/>
      <c r="AU117" s="2"/>
      <c r="AV117" s="2"/>
      <c r="AW117" s="2"/>
      <c r="AX117" s="2"/>
      <c r="AY117" s="2"/>
      <c r="AZ117" s="2"/>
      <c r="BA117" s="2"/>
      <c r="BB117" s="2"/>
      <c r="BC117" s="2"/>
      <c r="BD117" s="177"/>
      <c r="BE117" s="2"/>
      <c r="BF117" s="2"/>
      <c r="BG117" s="2"/>
      <c r="BH117" s="2"/>
      <c r="BI117" s="2"/>
      <c r="BJ117" s="2"/>
      <c r="BK117" s="2"/>
      <c r="BL117" s="2"/>
      <c r="BM117" s="2"/>
      <c r="BN117" s="2"/>
      <c r="BO117" s="2"/>
      <c r="BP117" s="2"/>
      <c r="BQ117" s="2"/>
      <c r="BR117" s="177"/>
      <c r="BS117" s="2"/>
      <c r="BT117" s="2"/>
      <c r="BU117" s="2"/>
      <c r="BV117" s="2"/>
      <c r="BW117" s="2"/>
      <c r="BX117" s="2"/>
      <c r="BY117" s="2"/>
      <c r="BZ117" s="177"/>
      <c r="CA117" s="2"/>
      <c r="CB117" s="2"/>
      <c r="CC117" s="2"/>
      <c r="CD117" s="2"/>
      <c r="CE117" s="2"/>
      <c r="CF117" s="2"/>
      <c r="CG117" s="2"/>
      <c r="CH117" s="177"/>
      <c r="CI117" s="2"/>
      <c r="CJ117" s="2"/>
      <c r="CK117" s="2"/>
      <c r="CL117" s="2"/>
      <c r="CM117" s="2"/>
      <c r="CN117" s="2"/>
      <c r="CO117" s="2"/>
      <c r="CP117" s="2"/>
      <c r="CQ117" s="2"/>
      <c r="CR117" s="177"/>
      <c r="CS117" s="2"/>
      <c r="CT117" s="2"/>
      <c r="CU117" s="2"/>
      <c r="CV117" s="2"/>
      <c r="CW117" s="2"/>
      <c r="CX117" s="2"/>
      <c r="CY117" s="2"/>
      <c r="CZ117" s="2"/>
      <c r="DA117" s="2"/>
      <c r="DB117" s="2"/>
      <c r="DC117" s="2"/>
      <c r="DD117" s="2"/>
      <c r="DE117" s="173"/>
      <c r="DF117" s="173"/>
    </row>
    <row r="118" spans="1:110">
      <c r="A118" s="136" t="s">
        <v>6075</v>
      </c>
      <c r="B118" s="136"/>
      <c r="C118" s="137"/>
      <c r="D118" s="120">
        <f t="shared" si="4"/>
        <v>0</v>
      </c>
      <c r="E118" s="121">
        <f t="shared" si="5"/>
        <v>1.3</v>
      </c>
      <c r="F118" s="172" cm="1">
        <f t="array" ref="F118">SUM(G118:DD118*$G$9:$DD$9)</f>
        <v>0</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177"/>
      <c r="AU118" s="2"/>
      <c r="AV118" s="2"/>
      <c r="AW118" s="2"/>
      <c r="AX118" s="2"/>
      <c r="AY118" s="2"/>
      <c r="AZ118" s="2"/>
      <c r="BA118" s="2"/>
      <c r="BB118" s="2"/>
      <c r="BC118" s="2"/>
      <c r="BD118" s="177"/>
      <c r="BE118" s="2"/>
      <c r="BF118" s="2"/>
      <c r="BG118" s="2"/>
      <c r="BH118" s="2"/>
      <c r="BI118" s="2"/>
      <c r="BJ118" s="2"/>
      <c r="BK118" s="2"/>
      <c r="BL118" s="2"/>
      <c r="BM118" s="2"/>
      <c r="BN118" s="2"/>
      <c r="BO118" s="2"/>
      <c r="BP118" s="2"/>
      <c r="BQ118" s="2"/>
      <c r="BR118" s="177"/>
      <c r="BS118" s="2"/>
      <c r="BT118" s="2"/>
      <c r="BU118" s="2"/>
      <c r="BV118" s="2"/>
      <c r="BW118" s="2"/>
      <c r="BX118" s="2"/>
      <c r="BY118" s="2"/>
      <c r="BZ118" s="177"/>
      <c r="CA118" s="2"/>
      <c r="CB118" s="2"/>
      <c r="CC118" s="2"/>
      <c r="CD118" s="2"/>
      <c r="CE118" s="2"/>
      <c r="CF118" s="2"/>
      <c r="CG118" s="2"/>
      <c r="CH118" s="177"/>
      <c r="CI118" s="2"/>
      <c r="CJ118" s="2"/>
      <c r="CK118" s="2"/>
      <c r="CL118" s="2"/>
      <c r="CM118" s="2"/>
      <c r="CN118" s="2"/>
      <c r="CO118" s="2"/>
      <c r="CP118" s="2"/>
      <c r="CQ118" s="2"/>
      <c r="CR118" s="177"/>
      <c r="CS118" s="2"/>
      <c r="CT118" s="2"/>
      <c r="CU118" s="2"/>
      <c r="CV118" s="2"/>
      <c r="CW118" s="2"/>
      <c r="CX118" s="2"/>
      <c r="CY118" s="2"/>
      <c r="CZ118" s="2"/>
      <c r="DA118" s="2"/>
      <c r="DB118" s="2"/>
      <c r="DC118" s="2"/>
      <c r="DD118" s="2"/>
      <c r="DE118" s="173"/>
      <c r="DF118" s="173"/>
    </row>
    <row r="119" spans="1:110">
      <c r="A119" s="136" t="s">
        <v>6076</v>
      </c>
      <c r="B119" s="136"/>
      <c r="C119" s="137"/>
      <c r="D119" s="120">
        <f t="shared" si="4"/>
        <v>0</v>
      </c>
      <c r="E119" s="121">
        <f t="shared" si="5"/>
        <v>1.3</v>
      </c>
      <c r="F119" s="172" cm="1">
        <f t="array" ref="F119">SUM(G119:DD119*$G$9:$DD$9)</f>
        <v>0</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177"/>
      <c r="AU119" s="2"/>
      <c r="AV119" s="2"/>
      <c r="AW119" s="2"/>
      <c r="AX119" s="2"/>
      <c r="AY119" s="2"/>
      <c r="AZ119" s="2"/>
      <c r="BA119" s="2"/>
      <c r="BB119" s="2"/>
      <c r="BC119" s="2"/>
      <c r="BD119" s="177"/>
      <c r="BE119" s="2"/>
      <c r="BF119" s="2"/>
      <c r="BG119" s="2"/>
      <c r="BH119" s="2"/>
      <c r="BI119" s="2"/>
      <c r="BJ119" s="2"/>
      <c r="BK119" s="2"/>
      <c r="BL119" s="2"/>
      <c r="BM119" s="2"/>
      <c r="BN119" s="2"/>
      <c r="BO119" s="2"/>
      <c r="BP119" s="2"/>
      <c r="BQ119" s="2"/>
      <c r="BR119" s="177"/>
      <c r="BS119" s="2"/>
      <c r="BT119" s="2"/>
      <c r="BU119" s="2"/>
      <c r="BV119" s="2"/>
      <c r="BW119" s="2"/>
      <c r="BX119" s="2"/>
      <c r="BY119" s="2"/>
      <c r="BZ119" s="177"/>
      <c r="CA119" s="2"/>
      <c r="CB119" s="2"/>
      <c r="CC119" s="2"/>
      <c r="CD119" s="2"/>
      <c r="CE119" s="2"/>
      <c r="CF119" s="2"/>
      <c r="CG119" s="2"/>
      <c r="CH119" s="177"/>
      <c r="CI119" s="2"/>
      <c r="CJ119" s="2"/>
      <c r="CK119" s="2"/>
      <c r="CL119" s="2"/>
      <c r="CM119" s="2"/>
      <c r="CN119" s="2"/>
      <c r="CO119" s="2"/>
      <c r="CP119" s="2"/>
      <c r="CQ119" s="2"/>
      <c r="CR119" s="177"/>
      <c r="CS119" s="2"/>
      <c r="CT119" s="2"/>
      <c r="CU119" s="2"/>
      <c r="CV119" s="2"/>
      <c r="CW119" s="2"/>
      <c r="CX119" s="2"/>
      <c r="CY119" s="2"/>
      <c r="CZ119" s="2"/>
      <c r="DA119" s="2"/>
      <c r="DB119" s="2"/>
      <c r="DC119" s="2"/>
      <c r="DD119" s="2"/>
      <c r="DE119" s="173"/>
      <c r="DF119" s="173"/>
    </row>
    <row r="120" spans="1:110">
      <c r="A120" s="136" t="s">
        <v>6077</v>
      </c>
      <c r="B120" s="136"/>
      <c r="C120" s="137"/>
      <c r="D120" s="120">
        <f t="shared" si="4"/>
        <v>0</v>
      </c>
      <c r="E120" s="121">
        <f t="shared" si="5"/>
        <v>1.3</v>
      </c>
      <c r="F120" s="172" cm="1">
        <f t="array" ref="F120">SUM(G120:DD120*$G$9:$DD$9)</f>
        <v>0</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177"/>
      <c r="AU120" s="2"/>
      <c r="AV120" s="2"/>
      <c r="AW120" s="2"/>
      <c r="AX120" s="2"/>
      <c r="AY120" s="2"/>
      <c r="AZ120" s="2"/>
      <c r="BA120" s="2"/>
      <c r="BB120" s="2"/>
      <c r="BC120" s="2"/>
      <c r="BD120" s="177"/>
      <c r="BE120" s="2"/>
      <c r="BF120" s="2"/>
      <c r="BG120" s="2"/>
      <c r="BH120" s="2"/>
      <c r="BI120" s="2"/>
      <c r="BJ120" s="2"/>
      <c r="BK120" s="2"/>
      <c r="BL120" s="2"/>
      <c r="BM120" s="2"/>
      <c r="BN120" s="2"/>
      <c r="BO120" s="2"/>
      <c r="BP120" s="2"/>
      <c r="BQ120" s="2"/>
      <c r="BR120" s="177"/>
      <c r="BS120" s="2"/>
      <c r="BT120" s="2"/>
      <c r="BU120" s="2"/>
      <c r="BV120" s="2"/>
      <c r="BW120" s="2"/>
      <c r="BX120" s="2"/>
      <c r="BY120" s="2"/>
      <c r="BZ120" s="177"/>
      <c r="CA120" s="2"/>
      <c r="CB120" s="2"/>
      <c r="CC120" s="2"/>
      <c r="CD120" s="2"/>
      <c r="CE120" s="2"/>
      <c r="CF120" s="2"/>
      <c r="CG120" s="2"/>
      <c r="CH120" s="177"/>
      <c r="CI120" s="2"/>
      <c r="CJ120" s="2"/>
      <c r="CK120" s="2"/>
      <c r="CL120" s="2"/>
      <c r="CM120" s="2"/>
      <c r="CN120" s="2"/>
      <c r="CO120" s="2"/>
      <c r="CP120" s="2"/>
      <c r="CQ120" s="2"/>
      <c r="CR120" s="177"/>
      <c r="CS120" s="2"/>
      <c r="CT120" s="2"/>
      <c r="CU120" s="2"/>
      <c r="CV120" s="2"/>
      <c r="CW120" s="2"/>
      <c r="CX120" s="2"/>
      <c r="CY120" s="2"/>
      <c r="CZ120" s="2"/>
      <c r="DA120" s="2"/>
      <c r="DB120" s="2"/>
      <c r="DC120" s="2"/>
      <c r="DD120" s="2"/>
      <c r="DE120" s="173"/>
      <c r="DF120" s="173"/>
    </row>
    <row r="121" spans="1:110">
      <c r="A121" s="136" t="s">
        <v>6078</v>
      </c>
      <c r="B121" s="136"/>
      <c r="C121" s="137"/>
      <c r="D121" s="120">
        <f t="shared" si="4"/>
        <v>0</v>
      </c>
      <c r="E121" s="121">
        <f t="shared" si="5"/>
        <v>1.3</v>
      </c>
      <c r="F121" s="172" cm="1">
        <f t="array" ref="F121">SUM(G121:DD121*$G$9:$DD$9)</f>
        <v>0</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177"/>
      <c r="AU121" s="2"/>
      <c r="AV121" s="2"/>
      <c r="AW121" s="2"/>
      <c r="AX121" s="2"/>
      <c r="AY121" s="2"/>
      <c r="AZ121" s="2"/>
      <c r="BA121" s="2"/>
      <c r="BB121" s="2"/>
      <c r="BC121" s="2"/>
      <c r="BD121" s="177"/>
      <c r="BE121" s="2"/>
      <c r="BF121" s="2"/>
      <c r="BG121" s="2"/>
      <c r="BH121" s="2"/>
      <c r="BI121" s="2"/>
      <c r="BJ121" s="2"/>
      <c r="BK121" s="2"/>
      <c r="BL121" s="2"/>
      <c r="BM121" s="2"/>
      <c r="BN121" s="2"/>
      <c r="BO121" s="2"/>
      <c r="BP121" s="2"/>
      <c r="BQ121" s="2"/>
      <c r="BR121" s="177"/>
      <c r="BS121" s="2"/>
      <c r="BT121" s="2"/>
      <c r="BU121" s="2"/>
      <c r="BV121" s="2"/>
      <c r="BW121" s="2"/>
      <c r="BX121" s="2"/>
      <c r="BY121" s="2"/>
      <c r="BZ121" s="177"/>
      <c r="CA121" s="2"/>
      <c r="CB121" s="2"/>
      <c r="CC121" s="2"/>
      <c r="CD121" s="2"/>
      <c r="CE121" s="2"/>
      <c r="CF121" s="2"/>
      <c r="CG121" s="2"/>
      <c r="CH121" s="177"/>
      <c r="CI121" s="2"/>
      <c r="CJ121" s="2"/>
      <c r="CK121" s="2"/>
      <c r="CL121" s="2"/>
      <c r="CM121" s="2"/>
      <c r="CN121" s="2"/>
      <c r="CO121" s="2"/>
      <c r="CP121" s="2"/>
      <c r="CQ121" s="2"/>
      <c r="CR121" s="177"/>
      <c r="CS121" s="2"/>
      <c r="CT121" s="2"/>
      <c r="CU121" s="2"/>
      <c r="CV121" s="2"/>
      <c r="CW121" s="2"/>
      <c r="CX121" s="2"/>
      <c r="CY121" s="2"/>
      <c r="CZ121" s="2"/>
      <c r="DA121" s="2"/>
      <c r="DB121" s="2"/>
      <c r="DC121" s="2"/>
      <c r="DD121" s="2"/>
      <c r="DE121" s="173"/>
      <c r="DF121" s="173"/>
    </row>
    <row r="122" spans="1:110">
      <c r="A122" s="136" t="s">
        <v>6079</v>
      </c>
      <c r="B122" s="136"/>
      <c r="C122" s="137"/>
      <c r="D122" s="120">
        <f t="shared" si="4"/>
        <v>0</v>
      </c>
      <c r="E122" s="121">
        <f t="shared" si="5"/>
        <v>1.3</v>
      </c>
      <c r="F122" s="172" cm="1">
        <f t="array" ref="F122">SUM(G122:DD122*$G$9:$DD$9)</f>
        <v>0</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177"/>
      <c r="AU122" s="2"/>
      <c r="AV122" s="2"/>
      <c r="AW122" s="2"/>
      <c r="AX122" s="2"/>
      <c r="AY122" s="2"/>
      <c r="AZ122" s="2"/>
      <c r="BA122" s="2"/>
      <c r="BB122" s="2"/>
      <c r="BC122" s="2"/>
      <c r="BD122" s="177"/>
      <c r="BE122" s="2"/>
      <c r="BF122" s="2"/>
      <c r="BG122" s="2"/>
      <c r="BH122" s="2"/>
      <c r="BI122" s="2"/>
      <c r="BJ122" s="2"/>
      <c r="BK122" s="2"/>
      <c r="BL122" s="2"/>
      <c r="BM122" s="2"/>
      <c r="BN122" s="2"/>
      <c r="BO122" s="2"/>
      <c r="BP122" s="2"/>
      <c r="BQ122" s="2"/>
      <c r="BR122" s="177"/>
      <c r="BS122" s="2"/>
      <c r="BT122" s="2"/>
      <c r="BU122" s="2"/>
      <c r="BV122" s="2"/>
      <c r="BW122" s="2"/>
      <c r="BX122" s="2"/>
      <c r="BY122" s="2"/>
      <c r="BZ122" s="177"/>
      <c r="CA122" s="2"/>
      <c r="CB122" s="2"/>
      <c r="CC122" s="2"/>
      <c r="CD122" s="2"/>
      <c r="CE122" s="2"/>
      <c r="CF122" s="2"/>
      <c r="CG122" s="2"/>
      <c r="CH122" s="177"/>
      <c r="CI122" s="2"/>
      <c r="CJ122" s="2"/>
      <c r="CK122" s="2"/>
      <c r="CL122" s="2"/>
      <c r="CM122" s="2"/>
      <c r="CN122" s="2"/>
      <c r="CO122" s="2"/>
      <c r="CP122" s="2"/>
      <c r="CQ122" s="2"/>
      <c r="CR122" s="177"/>
      <c r="CS122" s="2"/>
      <c r="CT122" s="2"/>
      <c r="CU122" s="2"/>
      <c r="CV122" s="2"/>
      <c r="CW122" s="2"/>
      <c r="CX122" s="2"/>
      <c r="CY122" s="2"/>
      <c r="CZ122" s="2"/>
      <c r="DA122" s="2"/>
      <c r="DB122" s="2"/>
      <c r="DC122" s="2"/>
      <c r="DD122" s="2"/>
      <c r="DE122" s="173"/>
      <c r="DF122" s="173"/>
    </row>
    <row r="123" spans="1:110">
      <c r="A123" s="136" t="s">
        <v>6080</v>
      </c>
      <c r="B123" s="136"/>
      <c r="C123" s="137"/>
      <c r="D123" s="120">
        <f t="shared" si="4"/>
        <v>0</v>
      </c>
      <c r="E123" s="121">
        <f t="shared" si="5"/>
        <v>1.3</v>
      </c>
      <c r="F123" s="172" cm="1">
        <f t="array" ref="F123">SUM(G123:DD123*$G$9:$DD$9)</f>
        <v>0</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177"/>
      <c r="AU123" s="2"/>
      <c r="AV123" s="2"/>
      <c r="AW123" s="2"/>
      <c r="AX123" s="2"/>
      <c r="AY123" s="2"/>
      <c r="AZ123" s="2"/>
      <c r="BA123" s="2"/>
      <c r="BB123" s="2"/>
      <c r="BC123" s="2"/>
      <c r="BD123" s="177"/>
      <c r="BE123" s="2"/>
      <c r="BF123" s="2"/>
      <c r="BG123" s="2"/>
      <c r="BH123" s="2"/>
      <c r="BI123" s="2"/>
      <c r="BJ123" s="2"/>
      <c r="BK123" s="2"/>
      <c r="BL123" s="2"/>
      <c r="BM123" s="2"/>
      <c r="BN123" s="2"/>
      <c r="BO123" s="2"/>
      <c r="BP123" s="2"/>
      <c r="BQ123" s="2"/>
      <c r="BR123" s="177"/>
      <c r="BS123" s="2"/>
      <c r="BT123" s="2"/>
      <c r="BU123" s="2"/>
      <c r="BV123" s="2"/>
      <c r="BW123" s="2"/>
      <c r="BX123" s="2"/>
      <c r="BY123" s="2"/>
      <c r="BZ123" s="177"/>
      <c r="CA123" s="2"/>
      <c r="CB123" s="2"/>
      <c r="CC123" s="2"/>
      <c r="CD123" s="2"/>
      <c r="CE123" s="2"/>
      <c r="CF123" s="2"/>
      <c r="CG123" s="2"/>
      <c r="CH123" s="177"/>
      <c r="CI123" s="2"/>
      <c r="CJ123" s="2"/>
      <c r="CK123" s="2"/>
      <c r="CL123" s="2"/>
      <c r="CM123" s="2"/>
      <c r="CN123" s="2"/>
      <c r="CO123" s="2"/>
      <c r="CP123" s="2"/>
      <c r="CQ123" s="2"/>
      <c r="CR123" s="177"/>
      <c r="CS123" s="2"/>
      <c r="CT123" s="2"/>
      <c r="CU123" s="2"/>
      <c r="CV123" s="2"/>
      <c r="CW123" s="2"/>
      <c r="CX123" s="2"/>
      <c r="CY123" s="2"/>
      <c r="CZ123" s="2"/>
      <c r="DA123" s="2"/>
      <c r="DB123" s="2"/>
      <c r="DC123" s="2"/>
      <c r="DD123" s="2"/>
      <c r="DE123" s="173"/>
      <c r="DF123" s="173"/>
    </row>
    <row r="124" spans="1:110">
      <c r="A124" s="136" t="s">
        <v>6081</v>
      </c>
      <c r="B124" s="136"/>
      <c r="C124" s="137"/>
      <c r="D124" s="120">
        <f t="shared" si="4"/>
        <v>0</v>
      </c>
      <c r="E124" s="121">
        <f t="shared" si="5"/>
        <v>1.3</v>
      </c>
      <c r="F124" s="172" cm="1">
        <f t="array" ref="F124">SUM(G124:DD124*$G$9:$DD$9)</f>
        <v>0</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177"/>
      <c r="AU124" s="2"/>
      <c r="AV124" s="2"/>
      <c r="AW124" s="2"/>
      <c r="AX124" s="2"/>
      <c r="AY124" s="2"/>
      <c r="AZ124" s="2"/>
      <c r="BA124" s="2"/>
      <c r="BB124" s="2"/>
      <c r="BC124" s="2"/>
      <c r="BD124" s="177"/>
      <c r="BE124" s="2"/>
      <c r="BF124" s="2"/>
      <c r="BG124" s="2"/>
      <c r="BH124" s="2"/>
      <c r="BI124" s="2"/>
      <c r="BJ124" s="2"/>
      <c r="BK124" s="2"/>
      <c r="BL124" s="2"/>
      <c r="BM124" s="2"/>
      <c r="BN124" s="2"/>
      <c r="BO124" s="2"/>
      <c r="BP124" s="2"/>
      <c r="BQ124" s="2"/>
      <c r="BR124" s="177"/>
      <c r="BS124" s="2"/>
      <c r="BT124" s="2"/>
      <c r="BU124" s="2"/>
      <c r="BV124" s="2"/>
      <c r="BW124" s="2"/>
      <c r="BX124" s="2"/>
      <c r="BY124" s="2"/>
      <c r="BZ124" s="177"/>
      <c r="CA124" s="2"/>
      <c r="CB124" s="2"/>
      <c r="CC124" s="2"/>
      <c r="CD124" s="2"/>
      <c r="CE124" s="2"/>
      <c r="CF124" s="2"/>
      <c r="CG124" s="2"/>
      <c r="CH124" s="177"/>
      <c r="CI124" s="2"/>
      <c r="CJ124" s="2"/>
      <c r="CK124" s="2"/>
      <c r="CL124" s="2"/>
      <c r="CM124" s="2"/>
      <c r="CN124" s="2"/>
      <c r="CO124" s="2"/>
      <c r="CP124" s="2"/>
      <c r="CQ124" s="2"/>
      <c r="CR124" s="177"/>
      <c r="CS124" s="2"/>
      <c r="CT124" s="2"/>
      <c r="CU124" s="2"/>
      <c r="CV124" s="2"/>
      <c r="CW124" s="2"/>
      <c r="CX124" s="2"/>
      <c r="CY124" s="2"/>
      <c r="CZ124" s="2"/>
      <c r="DA124" s="2"/>
      <c r="DB124" s="2"/>
      <c r="DC124" s="2"/>
      <c r="DD124" s="2"/>
      <c r="DE124" s="173"/>
      <c r="DF124" s="173"/>
    </row>
    <row r="125" spans="1:110">
      <c r="A125" s="136" t="s">
        <v>6082</v>
      </c>
      <c r="B125" s="136"/>
      <c r="C125" s="137"/>
      <c r="D125" s="120">
        <f t="shared" si="4"/>
        <v>0</v>
      </c>
      <c r="E125" s="121">
        <f t="shared" si="5"/>
        <v>1.3</v>
      </c>
      <c r="F125" s="172" cm="1">
        <f t="array" ref="F125">SUM(G125:DD125*$G$9:$DD$9)</f>
        <v>0</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177"/>
      <c r="AU125" s="2"/>
      <c r="AV125" s="2"/>
      <c r="AW125" s="2"/>
      <c r="AX125" s="2"/>
      <c r="AY125" s="2"/>
      <c r="AZ125" s="2"/>
      <c r="BA125" s="2"/>
      <c r="BB125" s="2"/>
      <c r="BC125" s="2"/>
      <c r="BD125" s="177"/>
      <c r="BE125" s="2"/>
      <c r="BF125" s="2"/>
      <c r="BG125" s="2"/>
      <c r="BH125" s="2"/>
      <c r="BI125" s="2"/>
      <c r="BJ125" s="2"/>
      <c r="BK125" s="2"/>
      <c r="BL125" s="2"/>
      <c r="BM125" s="2"/>
      <c r="BN125" s="2"/>
      <c r="BO125" s="2"/>
      <c r="BP125" s="2"/>
      <c r="BQ125" s="2"/>
      <c r="BR125" s="177"/>
      <c r="BS125" s="2"/>
      <c r="BT125" s="2"/>
      <c r="BU125" s="2"/>
      <c r="BV125" s="2"/>
      <c r="BW125" s="2"/>
      <c r="BX125" s="2"/>
      <c r="BY125" s="2"/>
      <c r="BZ125" s="177"/>
      <c r="CA125" s="2"/>
      <c r="CB125" s="2"/>
      <c r="CC125" s="2"/>
      <c r="CD125" s="2"/>
      <c r="CE125" s="2"/>
      <c r="CF125" s="2"/>
      <c r="CG125" s="2"/>
      <c r="CH125" s="177"/>
      <c r="CI125" s="2"/>
      <c r="CJ125" s="2"/>
      <c r="CK125" s="2"/>
      <c r="CL125" s="2"/>
      <c r="CM125" s="2"/>
      <c r="CN125" s="2"/>
      <c r="CO125" s="2"/>
      <c r="CP125" s="2"/>
      <c r="CQ125" s="2"/>
      <c r="CR125" s="177"/>
      <c r="CS125" s="2"/>
      <c r="CT125" s="2"/>
      <c r="CU125" s="2"/>
      <c r="CV125" s="2"/>
      <c r="CW125" s="2"/>
      <c r="CX125" s="2"/>
      <c r="CY125" s="2"/>
      <c r="CZ125" s="2"/>
      <c r="DA125" s="2"/>
      <c r="DB125" s="2"/>
      <c r="DC125" s="2"/>
      <c r="DD125" s="2"/>
      <c r="DE125" s="173"/>
      <c r="DF125" s="173"/>
    </row>
    <row r="126" spans="1:110">
      <c r="A126" s="136" t="s">
        <v>6083</v>
      </c>
      <c r="B126" s="136"/>
      <c r="C126" s="137"/>
      <c r="D126" s="120">
        <f t="shared" si="4"/>
        <v>0</v>
      </c>
      <c r="E126" s="121">
        <f t="shared" si="5"/>
        <v>1.3</v>
      </c>
      <c r="F126" s="172" cm="1">
        <f t="array" ref="F126">SUM(G126:DD126*$G$9:$DD$9)</f>
        <v>0</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177"/>
      <c r="AU126" s="2"/>
      <c r="AV126" s="2"/>
      <c r="AW126" s="2"/>
      <c r="AX126" s="2"/>
      <c r="AY126" s="2"/>
      <c r="AZ126" s="2"/>
      <c r="BA126" s="2"/>
      <c r="BB126" s="2"/>
      <c r="BC126" s="2"/>
      <c r="BD126" s="177"/>
      <c r="BE126" s="2"/>
      <c r="BF126" s="2"/>
      <c r="BG126" s="2"/>
      <c r="BH126" s="2"/>
      <c r="BI126" s="2"/>
      <c r="BJ126" s="2"/>
      <c r="BK126" s="2"/>
      <c r="BL126" s="2"/>
      <c r="BM126" s="2"/>
      <c r="BN126" s="2"/>
      <c r="BO126" s="2"/>
      <c r="BP126" s="2"/>
      <c r="BQ126" s="2"/>
      <c r="BR126" s="177"/>
      <c r="BS126" s="2"/>
      <c r="BT126" s="2"/>
      <c r="BU126" s="2"/>
      <c r="BV126" s="2"/>
      <c r="BW126" s="2"/>
      <c r="BX126" s="2"/>
      <c r="BY126" s="2"/>
      <c r="BZ126" s="177"/>
      <c r="CA126" s="2"/>
      <c r="CB126" s="2"/>
      <c r="CC126" s="2"/>
      <c r="CD126" s="2"/>
      <c r="CE126" s="2"/>
      <c r="CF126" s="2"/>
      <c r="CG126" s="2"/>
      <c r="CH126" s="177"/>
      <c r="CI126" s="2"/>
      <c r="CJ126" s="2"/>
      <c r="CK126" s="2"/>
      <c r="CL126" s="2"/>
      <c r="CM126" s="2"/>
      <c r="CN126" s="2"/>
      <c r="CO126" s="2"/>
      <c r="CP126" s="2"/>
      <c r="CQ126" s="2"/>
      <c r="CR126" s="177"/>
      <c r="CS126" s="2"/>
      <c r="CT126" s="2"/>
      <c r="CU126" s="2"/>
      <c r="CV126" s="2"/>
      <c r="CW126" s="2"/>
      <c r="CX126" s="2"/>
      <c r="CY126" s="2"/>
      <c r="CZ126" s="2"/>
      <c r="DA126" s="2"/>
      <c r="DB126" s="2"/>
      <c r="DC126" s="2"/>
      <c r="DD126" s="2"/>
      <c r="DE126" s="173"/>
      <c r="DF126" s="173"/>
    </row>
    <row r="127" spans="1:110">
      <c r="A127" s="136" t="s">
        <v>6084</v>
      </c>
      <c r="B127" s="136"/>
      <c r="C127" s="137"/>
      <c r="D127" s="120">
        <f t="shared" si="4"/>
        <v>0</v>
      </c>
      <c r="E127" s="121">
        <f t="shared" si="5"/>
        <v>1.3</v>
      </c>
      <c r="F127" s="172" cm="1">
        <f t="array" ref="F127">SUM(G127:DD127*$G$9:$DD$9)</f>
        <v>0</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177"/>
      <c r="AU127" s="2"/>
      <c r="AV127" s="2"/>
      <c r="AW127" s="2"/>
      <c r="AX127" s="2"/>
      <c r="AY127" s="2"/>
      <c r="AZ127" s="2"/>
      <c r="BA127" s="2"/>
      <c r="BB127" s="2"/>
      <c r="BC127" s="2"/>
      <c r="BD127" s="177"/>
      <c r="BE127" s="2"/>
      <c r="BF127" s="2"/>
      <c r="BG127" s="2"/>
      <c r="BH127" s="2"/>
      <c r="BI127" s="2"/>
      <c r="BJ127" s="2"/>
      <c r="BK127" s="2"/>
      <c r="BL127" s="2"/>
      <c r="BM127" s="2"/>
      <c r="BN127" s="2"/>
      <c r="BO127" s="2"/>
      <c r="BP127" s="2"/>
      <c r="BQ127" s="2"/>
      <c r="BR127" s="177"/>
      <c r="BS127" s="2"/>
      <c r="BT127" s="2"/>
      <c r="BU127" s="2"/>
      <c r="BV127" s="2"/>
      <c r="BW127" s="2"/>
      <c r="BX127" s="2"/>
      <c r="BY127" s="2"/>
      <c r="BZ127" s="177"/>
      <c r="CA127" s="2"/>
      <c r="CB127" s="2"/>
      <c r="CC127" s="2"/>
      <c r="CD127" s="2"/>
      <c r="CE127" s="2"/>
      <c r="CF127" s="2"/>
      <c r="CG127" s="2"/>
      <c r="CH127" s="177"/>
      <c r="CI127" s="2"/>
      <c r="CJ127" s="2"/>
      <c r="CK127" s="2"/>
      <c r="CL127" s="2"/>
      <c r="CM127" s="2"/>
      <c r="CN127" s="2"/>
      <c r="CO127" s="2"/>
      <c r="CP127" s="2"/>
      <c r="CQ127" s="2"/>
      <c r="CR127" s="177"/>
      <c r="CS127" s="2"/>
      <c r="CT127" s="2"/>
      <c r="CU127" s="2"/>
      <c r="CV127" s="2"/>
      <c r="CW127" s="2"/>
      <c r="CX127" s="2"/>
      <c r="CY127" s="2"/>
      <c r="CZ127" s="2"/>
      <c r="DA127" s="2"/>
      <c r="DB127" s="2"/>
      <c r="DC127" s="2"/>
      <c r="DD127" s="2"/>
      <c r="DE127" s="173"/>
      <c r="DF127" s="173"/>
    </row>
    <row r="128" spans="1:110">
      <c r="A128" s="136" t="s">
        <v>6085</v>
      </c>
      <c r="B128" s="136"/>
      <c r="C128" s="137"/>
      <c r="D128" s="120">
        <f t="shared" si="4"/>
        <v>0</v>
      </c>
      <c r="E128" s="121">
        <f t="shared" si="5"/>
        <v>1.3</v>
      </c>
      <c r="F128" s="172" cm="1">
        <f t="array" ref="F128">SUM(G128:DD128*$G$9:$DD$9)</f>
        <v>0</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177"/>
      <c r="AU128" s="2"/>
      <c r="AV128" s="2"/>
      <c r="AW128" s="2"/>
      <c r="AX128" s="2"/>
      <c r="AY128" s="2"/>
      <c r="AZ128" s="2"/>
      <c r="BA128" s="2"/>
      <c r="BB128" s="2"/>
      <c r="BC128" s="2"/>
      <c r="BD128" s="177"/>
      <c r="BE128" s="2"/>
      <c r="BF128" s="2"/>
      <c r="BG128" s="2"/>
      <c r="BH128" s="2"/>
      <c r="BI128" s="2"/>
      <c r="BJ128" s="2"/>
      <c r="BK128" s="2"/>
      <c r="BL128" s="2"/>
      <c r="BM128" s="2"/>
      <c r="BN128" s="2"/>
      <c r="BO128" s="2"/>
      <c r="BP128" s="2"/>
      <c r="BQ128" s="2"/>
      <c r="BR128" s="177"/>
      <c r="BS128" s="2"/>
      <c r="BT128" s="2"/>
      <c r="BU128" s="2"/>
      <c r="BV128" s="2"/>
      <c r="BW128" s="2"/>
      <c r="BX128" s="2"/>
      <c r="BY128" s="2"/>
      <c r="BZ128" s="177"/>
      <c r="CA128" s="2"/>
      <c r="CB128" s="2"/>
      <c r="CC128" s="2"/>
      <c r="CD128" s="2"/>
      <c r="CE128" s="2"/>
      <c r="CF128" s="2"/>
      <c r="CG128" s="2"/>
      <c r="CH128" s="177"/>
      <c r="CI128" s="2"/>
      <c r="CJ128" s="2"/>
      <c r="CK128" s="2"/>
      <c r="CL128" s="2"/>
      <c r="CM128" s="2"/>
      <c r="CN128" s="2"/>
      <c r="CO128" s="2"/>
      <c r="CP128" s="2"/>
      <c r="CQ128" s="2"/>
      <c r="CR128" s="177"/>
      <c r="CS128" s="2"/>
      <c r="CT128" s="2"/>
      <c r="CU128" s="2"/>
      <c r="CV128" s="2"/>
      <c r="CW128" s="2"/>
      <c r="CX128" s="2"/>
      <c r="CY128" s="2"/>
      <c r="CZ128" s="2"/>
      <c r="DA128" s="2"/>
      <c r="DB128" s="2"/>
      <c r="DC128" s="2"/>
      <c r="DD128" s="2"/>
      <c r="DE128" s="173"/>
      <c r="DF128" s="173"/>
    </row>
    <row r="129" spans="1:110">
      <c r="A129" s="136" t="s">
        <v>6086</v>
      </c>
      <c r="B129" s="136"/>
      <c r="C129" s="137"/>
      <c r="D129" s="120">
        <f t="shared" si="4"/>
        <v>0</v>
      </c>
      <c r="E129" s="121">
        <f t="shared" si="5"/>
        <v>1.3</v>
      </c>
      <c r="F129" s="172" cm="1">
        <f t="array" ref="F129">SUM(G129:DD129*$G$9:$DD$9)</f>
        <v>0</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177"/>
      <c r="AU129" s="2"/>
      <c r="AV129" s="2"/>
      <c r="AW129" s="2"/>
      <c r="AX129" s="2"/>
      <c r="AY129" s="2"/>
      <c r="AZ129" s="2"/>
      <c r="BA129" s="2"/>
      <c r="BB129" s="2"/>
      <c r="BC129" s="2"/>
      <c r="BD129" s="177"/>
      <c r="BE129" s="2"/>
      <c r="BF129" s="2"/>
      <c r="BG129" s="2"/>
      <c r="BH129" s="2"/>
      <c r="BI129" s="2"/>
      <c r="BJ129" s="2"/>
      <c r="BK129" s="2"/>
      <c r="BL129" s="2"/>
      <c r="BM129" s="2"/>
      <c r="BN129" s="2"/>
      <c r="BO129" s="2"/>
      <c r="BP129" s="2"/>
      <c r="BQ129" s="2"/>
      <c r="BR129" s="177"/>
      <c r="BS129" s="2"/>
      <c r="BT129" s="2"/>
      <c r="BU129" s="2"/>
      <c r="BV129" s="2"/>
      <c r="BW129" s="2"/>
      <c r="BX129" s="2"/>
      <c r="BY129" s="2"/>
      <c r="BZ129" s="177"/>
      <c r="CA129" s="2"/>
      <c r="CB129" s="2"/>
      <c r="CC129" s="2"/>
      <c r="CD129" s="2"/>
      <c r="CE129" s="2"/>
      <c r="CF129" s="2"/>
      <c r="CG129" s="2"/>
      <c r="CH129" s="177"/>
      <c r="CI129" s="2"/>
      <c r="CJ129" s="2"/>
      <c r="CK129" s="2"/>
      <c r="CL129" s="2"/>
      <c r="CM129" s="2"/>
      <c r="CN129" s="2"/>
      <c r="CO129" s="2"/>
      <c r="CP129" s="2"/>
      <c r="CQ129" s="2"/>
      <c r="CR129" s="177"/>
      <c r="CS129" s="2"/>
      <c r="CT129" s="2"/>
      <c r="CU129" s="2"/>
      <c r="CV129" s="2"/>
      <c r="CW129" s="2"/>
      <c r="CX129" s="2"/>
      <c r="CY129" s="2"/>
      <c r="CZ129" s="2"/>
      <c r="DA129" s="2"/>
      <c r="DB129" s="2"/>
      <c r="DC129" s="2"/>
      <c r="DD129" s="2"/>
      <c r="DE129" s="173"/>
      <c r="DF129" s="173"/>
    </row>
    <row r="130" spans="1:110">
      <c r="A130" s="136" t="s">
        <v>6087</v>
      </c>
      <c r="B130" s="136"/>
      <c r="C130" s="137"/>
      <c r="D130" s="120">
        <f t="shared" si="4"/>
        <v>0</v>
      </c>
      <c r="E130" s="121">
        <f t="shared" si="5"/>
        <v>1.3</v>
      </c>
      <c r="F130" s="172" cm="1">
        <f t="array" ref="F130">SUM(G130:DD130*$G$9:$DD$9)</f>
        <v>0</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177"/>
      <c r="AU130" s="2"/>
      <c r="AV130" s="2"/>
      <c r="AW130" s="2"/>
      <c r="AX130" s="2"/>
      <c r="AY130" s="2"/>
      <c r="AZ130" s="2"/>
      <c r="BA130" s="2"/>
      <c r="BB130" s="2"/>
      <c r="BC130" s="2"/>
      <c r="BD130" s="177"/>
      <c r="BE130" s="2"/>
      <c r="BF130" s="2"/>
      <c r="BG130" s="2"/>
      <c r="BH130" s="2"/>
      <c r="BI130" s="2"/>
      <c r="BJ130" s="2"/>
      <c r="BK130" s="2"/>
      <c r="BL130" s="2"/>
      <c r="BM130" s="2"/>
      <c r="BN130" s="2"/>
      <c r="BO130" s="2"/>
      <c r="BP130" s="2"/>
      <c r="BQ130" s="2"/>
      <c r="BR130" s="177"/>
      <c r="BS130" s="2"/>
      <c r="BT130" s="2"/>
      <c r="BU130" s="2"/>
      <c r="BV130" s="2"/>
      <c r="BW130" s="2"/>
      <c r="BX130" s="2"/>
      <c r="BY130" s="2"/>
      <c r="BZ130" s="177"/>
      <c r="CA130" s="2"/>
      <c r="CB130" s="2"/>
      <c r="CC130" s="2"/>
      <c r="CD130" s="2"/>
      <c r="CE130" s="2"/>
      <c r="CF130" s="2"/>
      <c r="CG130" s="2"/>
      <c r="CH130" s="177"/>
      <c r="CI130" s="2"/>
      <c r="CJ130" s="2"/>
      <c r="CK130" s="2"/>
      <c r="CL130" s="2"/>
      <c r="CM130" s="2"/>
      <c r="CN130" s="2"/>
      <c r="CO130" s="2"/>
      <c r="CP130" s="2"/>
      <c r="CQ130" s="2"/>
      <c r="CR130" s="177"/>
      <c r="CS130" s="2"/>
      <c r="CT130" s="2"/>
      <c r="CU130" s="2"/>
      <c r="CV130" s="2"/>
      <c r="CW130" s="2"/>
      <c r="CX130" s="2"/>
      <c r="CY130" s="2"/>
      <c r="CZ130" s="2"/>
      <c r="DA130" s="2"/>
      <c r="DB130" s="2"/>
      <c r="DC130" s="2"/>
      <c r="DD130" s="2"/>
      <c r="DE130" s="173"/>
      <c r="DF130" s="173"/>
    </row>
    <row r="131" spans="1:110">
      <c r="A131" s="136" t="s">
        <v>6088</v>
      </c>
      <c r="B131" s="136"/>
      <c r="C131" s="137"/>
      <c r="D131" s="120">
        <f t="shared" si="4"/>
        <v>0</v>
      </c>
      <c r="E131" s="121">
        <f t="shared" si="5"/>
        <v>1.3</v>
      </c>
      <c r="F131" s="172" cm="1">
        <f t="array" ref="F131">SUM(G131:DD131*$G$9:$DD$9)</f>
        <v>0</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177"/>
      <c r="AU131" s="2"/>
      <c r="AV131" s="2"/>
      <c r="AW131" s="2"/>
      <c r="AX131" s="2"/>
      <c r="AY131" s="2"/>
      <c r="AZ131" s="2"/>
      <c r="BA131" s="2"/>
      <c r="BB131" s="2"/>
      <c r="BC131" s="2"/>
      <c r="BD131" s="177"/>
      <c r="BE131" s="2"/>
      <c r="BF131" s="2"/>
      <c r="BG131" s="2"/>
      <c r="BH131" s="2"/>
      <c r="BI131" s="2"/>
      <c r="BJ131" s="2"/>
      <c r="BK131" s="2"/>
      <c r="BL131" s="2"/>
      <c r="BM131" s="2"/>
      <c r="BN131" s="2"/>
      <c r="BO131" s="2"/>
      <c r="BP131" s="2"/>
      <c r="BQ131" s="2"/>
      <c r="BR131" s="177"/>
      <c r="BS131" s="2"/>
      <c r="BT131" s="2"/>
      <c r="BU131" s="2"/>
      <c r="BV131" s="2"/>
      <c r="BW131" s="2"/>
      <c r="BX131" s="2"/>
      <c r="BY131" s="2"/>
      <c r="BZ131" s="177"/>
      <c r="CA131" s="2"/>
      <c r="CB131" s="2"/>
      <c r="CC131" s="2"/>
      <c r="CD131" s="2"/>
      <c r="CE131" s="2"/>
      <c r="CF131" s="2"/>
      <c r="CG131" s="2"/>
      <c r="CH131" s="177"/>
      <c r="CI131" s="2"/>
      <c r="CJ131" s="2"/>
      <c r="CK131" s="2"/>
      <c r="CL131" s="2"/>
      <c r="CM131" s="2"/>
      <c r="CN131" s="2"/>
      <c r="CO131" s="2"/>
      <c r="CP131" s="2"/>
      <c r="CQ131" s="2"/>
      <c r="CR131" s="177"/>
      <c r="CS131" s="2"/>
      <c r="CT131" s="2"/>
      <c r="CU131" s="2"/>
      <c r="CV131" s="2"/>
      <c r="CW131" s="2"/>
      <c r="CX131" s="2"/>
      <c r="CY131" s="2"/>
      <c r="CZ131" s="2"/>
      <c r="DA131" s="2"/>
      <c r="DB131" s="2"/>
      <c r="DC131" s="2"/>
      <c r="DD131" s="2"/>
      <c r="DE131" s="173"/>
      <c r="DF131" s="173"/>
    </row>
    <row r="132" spans="1:110">
      <c r="A132" s="136" t="s">
        <v>6089</v>
      </c>
      <c r="B132" s="136"/>
      <c r="C132" s="137"/>
      <c r="D132" s="120">
        <f t="shared" si="4"/>
        <v>0</v>
      </c>
      <c r="E132" s="121">
        <f t="shared" si="5"/>
        <v>1.3</v>
      </c>
      <c r="F132" s="172" cm="1">
        <f t="array" ref="F132">SUM(G132:DD132*$G$9:$DD$9)</f>
        <v>0</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177"/>
      <c r="AU132" s="2"/>
      <c r="AV132" s="2"/>
      <c r="AW132" s="2"/>
      <c r="AX132" s="2"/>
      <c r="AY132" s="2"/>
      <c r="AZ132" s="2"/>
      <c r="BA132" s="2"/>
      <c r="BB132" s="2"/>
      <c r="BC132" s="2"/>
      <c r="BD132" s="177"/>
      <c r="BE132" s="2"/>
      <c r="BF132" s="2"/>
      <c r="BG132" s="2"/>
      <c r="BH132" s="2"/>
      <c r="BI132" s="2"/>
      <c r="BJ132" s="2"/>
      <c r="BK132" s="2"/>
      <c r="BL132" s="2"/>
      <c r="BM132" s="2"/>
      <c r="BN132" s="2"/>
      <c r="BO132" s="2"/>
      <c r="BP132" s="2"/>
      <c r="BQ132" s="2"/>
      <c r="BR132" s="177"/>
      <c r="BS132" s="2"/>
      <c r="BT132" s="2"/>
      <c r="BU132" s="2"/>
      <c r="BV132" s="2"/>
      <c r="BW132" s="2"/>
      <c r="BX132" s="2"/>
      <c r="BY132" s="2"/>
      <c r="BZ132" s="177"/>
      <c r="CA132" s="2"/>
      <c r="CB132" s="2"/>
      <c r="CC132" s="2"/>
      <c r="CD132" s="2"/>
      <c r="CE132" s="2"/>
      <c r="CF132" s="2"/>
      <c r="CG132" s="2"/>
      <c r="CH132" s="177"/>
      <c r="CI132" s="2"/>
      <c r="CJ132" s="2"/>
      <c r="CK132" s="2"/>
      <c r="CL132" s="2"/>
      <c r="CM132" s="2"/>
      <c r="CN132" s="2"/>
      <c r="CO132" s="2"/>
      <c r="CP132" s="2"/>
      <c r="CQ132" s="2"/>
      <c r="CR132" s="177"/>
      <c r="CS132" s="2"/>
      <c r="CT132" s="2"/>
      <c r="CU132" s="2"/>
      <c r="CV132" s="2"/>
      <c r="CW132" s="2"/>
      <c r="CX132" s="2"/>
      <c r="CY132" s="2"/>
      <c r="CZ132" s="2"/>
      <c r="DA132" s="2"/>
      <c r="DB132" s="2"/>
      <c r="DC132" s="2"/>
      <c r="DD132" s="2"/>
      <c r="DE132" s="173"/>
      <c r="DF132" s="173"/>
    </row>
    <row r="133" spans="1:110">
      <c r="A133" s="136" t="s">
        <v>6090</v>
      </c>
      <c r="B133" s="136"/>
      <c r="C133" s="137"/>
      <c r="D133" s="120">
        <f t="shared" si="4"/>
        <v>0</v>
      </c>
      <c r="E133" s="121">
        <f t="shared" si="5"/>
        <v>1.3</v>
      </c>
      <c r="F133" s="172" cm="1">
        <f t="array" ref="F133">SUM(G133:DD133*$G$9:$DD$9)</f>
        <v>0</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177"/>
      <c r="AU133" s="2"/>
      <c r="AV133" s="2"/>
      <c r="AW133" s="2"/>
      <c r="AX133" s="2"/>
      <c r="AY133" s="2"/>
      <c r="AZ133" s="2"/>
      <c r="BA133" s="2"/>
      <c r="BB133" s="2"/>
      <c r="BC133" s="2"/>
      <c r="BD133" s="177"/>
      <c r="BE133" s="2"/>
      <c r="BF133" s="2"/>
      <c r="BG133" s="2"/>
      <c r="BH133" s="2"/>
      <c r="BI133" s="2"/>
      <c r="BJ133" s="2"/>
      <c r="BK133" s="2"/>
      <c r="BL133" s="2"/>
      <c r="BM133" s="2"/>
      <c r="BN133" s="2"/>
      <c r="BO133" s="2"/>
      <c r="BP133" s="2"/>
      <c r="BQ133" s="2"/>
      <c r="BR133" s="177"/>
      <c r="BS133" s="2"/>
      <c r="BT133" s="2"/>
      <c r="BU133" s="2"/>
      <c r="BV133" s="2"/>
      <c r="BW133" s="2"/>
      <c r="BX133" s="2"/>
      <c r="BY133" s="2"/>
      <c r="BZ133" s="177"/>
      <c r="CA133" s="2"/>
      <c r="CB133" s="2"/>
      <c r="CC133" s="2"/>
      <c r="CD133" s="2"/>
      <c r="CE133" s="2"/>
      <c r="CF133" s="2"/>
      <c r="CG133" s="2"/>
      <c r="CH133" s="177"/>
      <c r="CI133" s="2"/>
      <c r="CJ133" s="2"/>
      <c r="CK133" s="2"/>
      <c r="CL133" s="2"/>
      <c r="CM133" s="2"/>
      <c r="CN133" s="2"/>
      <c r="CO133" s="2"/>
      <c r="CP133" s="2"/>
      <c r="CQ133" s="2"/>
      <c r="CR133" s="177"/>
      <c r="CS133" s="2"/>
      <c r="CT133" s="2"/>
      <c r="CU133" s="2"/>
      <c r="CV133" s="2"/>
      <c r="CW133" s="2"/>
      <c r="CX133" s="2"/>
      <c r="CY133" s="2"/>
      <c r="CZ133" s="2"/>
      <c r="DA133" s="2"/>
      <c r="DB133" s="2"/>
      <c r="DC133" s="2"/>
      <c r="DD133" s="2"/>
      <c r="DE133" s="173"/>
      <c r="DF133" s="173"/>
    </row>
    <row r="134" spans="1:110">
      <c r="A134" s="136" t="s">
        <v>6091</v>
      </c>
      <c r="B134" s="136"/>
      <c r="C134" s="137"/>
      <c r="D134" s="120">
        <f t="shared" si="4"/>
        <v>0</v>
      </c>
      <c r="E134" s="121">
        <f t="shared" si="5"/>
        <v>1.3</v>
      </c>
      <c r="F134" s="172" cm="1">
        <f t="array" ref="F134">SUM(G134:DD134*$G$9:$DD$9)</f>
        <v>0</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177"/>
      <c r="AU134" s="2"/>
      <c r="AV134" s="2"/>
      <c r="AW134" s="2"/>
      <c r="AX134" s="2"/>
      <c r="AY134" s="2"/>
      <c r="AZ134" s="2"/>
      <c r="BA134" s="2"/>
      <c r="BB134" s="2"/>
      <c r="BC134" s="2"/>
      <c r="BD134" s="177"/>
      <c r="BE134" s="2"/>
      <c r="BF134" s="2"/>
      <c r="BG134" s="2"/>
      <c r="BH134" s="2"/>
      <c r="BI134" s="2"/>
      <c r="BJ134" s="2"/>
      <c r="BK134" s="2"/>
      <c r="BL134" s="2"/>
      <c r="BM134" s="2"/>
      <c r="BN134" s="2"/>
      <c r="BO134" s="2"/>
      <c r="BP134" s="2"/>
      <c r="BQ134" s="2"/>
      <c r="BR134" s="177"/>
      <c r="BS134" s="2"/>
      <c r="BT134" s="2"/>
      <c r="BU134" s="2"/>
      <c r="BV134" s="2"/>
      <c r="BW134" s="2"/>
      <c r="BX134" s="2"/>
      <c r="BY134" s="2"/>
      <c r="BZ134" s="177"/>
      <c r="CA134" s="2"/>
      <c r="CB134" s="2"/>
      <c r="CC134" s="2"/>
      <c r="CD134" s="2"/>
      <c r="CE134" s="2"/>
      <c r="CF134" s="2"/>
      <c r="CG134" s="2"/>
      <c r="CH134" s="177"/>
      <c r="CI134" s="2"/>
      <c r="CJ134" s="2"/>
      <c r="CK134" s="2"/>
      <c r="CL134" s="2"/>
      <c r="CM134" s="2"/>
      <c r="CN134" s="2"/>
      <c r="CO134" s="2"/>
      <c r="CP134" s="2"/>
      <c r="CQ134" s="2"/>
      <c r="CR134" s="177"/>
      <c r="CS134" s="2"/>
      <c r="CT134" s="2"/>
      <c r="CU134" s="2"/>
      <c r="CV134" s="2"/>
      <c r="CW134" s="2"/>
      <c r="CX134" s="2"/>
      <c r="CY134" s="2"/>
      <c r="CZ134" s="2"/>
      <c r="DA134" s="2"/>
      <c r="DB134" s="2"/>
      <c r="DC134" s="2"/>
      <c r="DD134" s="2"/>
      <c r="DE134" s="173"/>
      <c r="DF134" s="173"/>
    </row>
    <row r="135" spans="1:110">
      <c r="A135" s="136" t="s">
        <v>6092</v>
      </c>
      <c r="B135" s="136"/>
      <c r="C135" s="137"/>
      <c r="D135" s="120">
        <f t="shared" si="4"/>
        <v>0</v>
      </c>
      <c r="E135" s="121">
        <f t="shared" si="5"/>
        <v>1.3</v>
      </c>
      <c r="F135" s="172" cm="1">
        <f t="array" ref="F135">SUM(G135:DD135*$G$9:$DD$9)</f>
        <v>0</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177"/>
      <c r="AU135" s="2"/>
      <c r="AV135" s="2"/>
      <c r="AW135" s="2"/>
      <c r="AX135" s="2"/>
      <c r="AY135" s="2"/>
      <c r="AZ135" s="2"/>
      <c r="BA135" s="2"/>
      <c r="BB135" s="2"/>
      <c r="BC135" s="2"/>
      <c r="BD135" s="177"/>
      <c r="BE135" s="2"/>
      <c r="BF135" s="2"/>
      <c r="BG135" s="2"/>
      <c r="BH135" s="2"/>
      <c r="BI135" s="2"/>
      <c r="BJ135" s="2"/>
      <c r="BK135" s="2"/>
      <c r="BL135" s="2"/>
      <c r="BM135" s="2"/>
      <c r="BN135" s="2"/>
      <c r="BO135" s="2"/>
      <c r="BP135" s="2"/>
      <c r="BQ135" s="2"/>
      <c r="BR135" s="177"/>
      <c r="BS135" s="2"/>
      <c r="BT135" s="2"/>
      <c r="BU135" s="2"/>
      <c r="BV135" s="2"/>
      <c r="BW135" s="2"/>
      <c r="BX135" s="2"/>
      <c r="BY135" s="2"/>
      <c r="BZ135" s="177"/>
      <c r="CA135" s="2"/>
      <c r="CB135" s="2"/>
      <c r="CC135" s="2"/>
      <c r="CD135" s="2"/>
      <c r="CE135" s="2"/>
      <c r="CF135" s="2"/>
      <c r="CG135" s="2"/>
      <c r="CH135" s="177"/>
      <c r="CI135" s="2"/>
      <c r="CJ135" s="2"/>
      <c r="CK135" s="2"/>
      <c r="CL135" s="2"/>
      <c r="CM135" s="2"/>
      <c r="CN135" s="2"/>
      <c r="CO135" s="2"/>
      <c r="CP135" s="2"/>
      <c r="CQ135" s="2"/>
      <c r="CR135" s="177"/>
      <c r="CS135" s="2"/>
      <c r="CT135" s="2"/>
      <c r="CU135" s="2"/>
      <c r="CV135" s="2"/>
      <c r="CW135" s="2"/>
      <c r="CX135" s="2"/>
      <c r="CY135" s="2"/>
      <c r="CZ135" s="2"/>
      <c r="DA135" s="2"/>
      <c r="DB135" s="2"/>
      <c r="DC135" s="2"/>
      <c r="DD135" s="2"/>
      <c r="DE135" s="173"/>
      <c r="DF135" s="173"/>
    </row>
    <row r="136" spans="1:110">
      <c r="A136" s="136" t="s">
        <v>6093</v>
      </c>
      <c r="B136" s="136"/>
      <c r="C136" s="137"/>
      <c r="D136" s="120">
        <f t="shared" si="4"/>
        <v>0</v>
      </c>
      <c r="E136" s="121">
        <f t="shared" si="5"/>
        <v>1.3</v>
      </c>
      <c r="F136" s="172" cm="1">
        <f t="array" ref="F136">SUM(G136:DD136*$G$9:$DD$9)</f>
        <v>0</v>
      </c>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177"/>
      <c r="AU136" s="2"/>
      <c r="AV136" s="2"/>
      <c r="AW136" s="2"/>
      <c r="AX136" s="2"/>
      <c r="AY136" s="2"/>
      <c r="AZ136" s="2"/>
      <c r="BA136" s="2"/>
      <c r="BB136" s="2"/>
      <c r="BC136" s="2"/>
      <c r="BD136" s="177"/>
      <c r="BE136" s="2"/>
      <c r="BF136" s="2"/>
      <c r="BG136" s="2"/>
      <c r="BH136" s="2"/>
      <c r="BI136" s="2"/>
      <c r="BJ136" s="2"/>
      <c r="BK136" s="2"/>
      <c r="BL136" s="2"/>
      <c r="BM136" s="2"/>
      <c r="BN136" s="2"/>
      <c r="BO136" s="2"/>
      <c r="BP136" s="2"/>
      <c r="BQ136" s="2"/>
      <c r="BR136" s="177"/>
      <c r="BS136" s="2"/>
      <c r="BT136" s="2"/>
      <c r="BU136" s="2"/>
      <c r="BV136" s="2"/>
      <c r="BW136" s="2"/>
      <c r="BX136" s="2"/>
      <c r="BY136" s="2"/>
      <c r="BZ136" s="177"/>
      <c r="CA136" s="2"/>
      <c r="CB136" s="2"/>
      <c r="CC136" s="2"/>
      <c r="CD136" s="2"/>
      <c r="CE136" s="2"/>
      <c r="CF136" s="2"/>
      <c r="CG136" s="2"/>
      <c r="CH136" s="177"/>
      <c r="CI136" s="2"/>
      <c r="CJ136" s="2"/>
      <c r="CK136" s="2"/>
      <c r="CL136" s="2"/>
      <c r="CM136" s="2"/>
      <c r="CN136" s="2"/>
      <c r="CO136" s="2"/>
      <c r="CP136" s="2"/>
      <c r="CQ136" s="2"/>
      <c r="CR136" s="177"/>
      <c r="CS136" s="2"/>
      <c r="CT136" s="2"/>
      <c r="CU136" s="2"/>
      <c r="CV136" s="2"/>
      <c r="CW136" s="2"/>
      <c r="CX136" s="2"/>
      <c r="CY136" s="2"/>
      <c r="CZ136" s="2"/>
      <c r="DA136" s="2"/>
      <c r="DB136" s="2"/>
      <c r="DC136" s="2"/>
      <c r="DD136" s="2"/>
      <c r="DE136" s="173"/>
      <c r="DF136" s="173"/>
    </row>
    <row r="137" spans="1:110">
      <c r="A137" s="136" t="s">
        <v>6094</v>
      </c>
      <c r="B137" s="136"/>
      <c r="C137" s="137"/>
      <c r="D137" s="120">
        <f t="shared" si="4"/>
        <v>0</v>
      </c>
      <c r="E137" s="121">
        <f t="shared" si="5"/>
        <v>1.3</v>
      </c>
      <c r="F137" s="172" cm="1">
        <f t="array" ref="F137">SUM(G137:DD137*$G$9:$DD$9)</f>
        <v>0</v>
      </c>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177"/>
      <c r="AU137" s="2"/>
      <c r="AV137" s="2"/>
      <c r="AW137" s="2"/>
      <c r="AX137" s="2"/>
      <c r="AY137" s="2"/>
      <c r="AZ137" s="2"/>
      <c r="BA137" s="2"/>
      <c r="BB137" s="2"/>
      <c r="BC137" s="2"/>
      <c r="BD137" s="177"/>
      <c r="BE137" s="2"/>
      <c r="BF137" s="2"/>
      <c r="BG137" s="2"/>
      <c r="BH137" s="2"/>
      <c r="BI137" s="2"/>
      <c r="BJ137" s="2"/>
      <c r="BK137" s="2"/>
      <c r="BL137" s="2"/>
      <c r="BM137" s="2"/>
      <c r="BN137" s="2"/>
      <c r="BO137" s="2"/>
      <c r="BP137" s="2"/>
      <c r="BQ137" s="2"/>
      <c r="BR137" s="177"/>
      <c r="BS137" s="2"/>
      <c r="BT137" s="2"/>
      <c r="BU137" s="2"/>
      <c r="BV137" s="2"/>
      <c r="BW137" s="2"/>
      <c r="BX137" s="2"/>
      <c r="BY137" s="2"/>
      <c r="BZ137" s="177"/>
      <c r="CA137" s="2"/>
      <c r="CB137" s="2"/>
      <c r="CC137" s="2"/>
      <c r="CD137" s="2"/>
      <c r="CE137" s="2"/>
      <c r="CF137" s="2"/>
      <c r="CG137" s="2"/>
      <c r="CH137" s="177"/>
      <c r="CI137" s="2"/>
      <c r="CJ137" s="2"/>
      <c r="CK137" s="2"/>
      <c r="CL137" s="2"/>
      <c r="CM137" s="2"/>
      <c r="CN137" s="2"/>
      <c r="CO137" s="2"/>
      <c r="CP137" s="2"/>
      <c r="CQ137" s="2"/>
      <c r="CR137" s="177"/>
      <c r="CS137" s="2"/>
      <c r="CT137" s="2"/>
      <c r="CU137" s="2"/>
      <c r="CV137" s="2"/>
      <c r="CW137" s="2"/>
      <c r="CX137" s="2"/>
      <c r="CY137" s="2"/>
      <c r="CZ137" s="2"/>
      <c r="DA137" s="2"/>
      <c r="DB137" s="2"/>
      <c r="DC137" s="2"/>
      <c r="DD137" s="2"/>
      <c r="DE137" s="173"/>
      <c r="DF137" s="173"/>
    </row>
    <row r="138" spans="1:110">
      <c r="A138" s="136" t="s">
        <v>6095</v>
      </c>
      <c r="B138" s="136"/>
      <c r="C138" s="137"/>
      <c r="D138" s="120">
        <f t="shared" si="4"/>
        <v>0</v>
      </c>
      <c r="E138" s="121">
        <f t="shared" ref="E138:E201" si="6">E$9</f>
        <v>1.3</v>
      </c>
      <c r="F138" s="172" cm="1">
        <f t="array" ref="F138">SUM(G138:DD138*$G$9:$DD$9)</f>
        <v>0</v>
      </c>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177"/>
      <c r="BE138" s="2"/>
      <c r="BF138" s="2"/>
      <c r="BG138" s="2"/>
      <c r="BH138" s="2"/>
      <c r="BI138" s="2"/>
      <c r="BJ138" s="2"/>
      <c r="BK138" s="2"/>
      <c r="BL138" s="2"/>
      <c r="BM138" s="2"/>
      <c r="BN138" s="2"/>
      <c r="BO138" s="2"/>
      <c r="BP138" s="2"/>
      <c r="BQ138" s="2"/>
      <c r="BR138" s="177"/>
      <c r="BS138" s="2"/>
      <c r="BT138" s="2"/>
      <c r="BU138" s="2"/>
      <c r="BV138" s="2"/>
      <c r="BW138" s="2"/>
      <c r="BX138" s="2"/>
      <c r="BY138" s="2"/>
      <c r="BZ138" s="177"/>
      <c r="CA138" s="2"/>
      <c r="CB138" s="2"/>
      <c r="CC138" s="2"/>
      <c r="CD138" s="2"/>
      <c r="CE138" s="2"/>
      <c r="CF138" s="2"/>
      <c r="CG138" s="2"/>
      <c r="CH138" s="177"/>
      <c r="CI138" s="2"/>
      <c r="CJ138" s="2"/>
      <c r="CK138" s="2"/>
      <c r="CL138" s="2"/>
      <c r="CM138" s="2"/>
      <c r="CN138" s="2"/>
      <c r="CO138" s="2"/>
      <c r="CP138" s="2"/>
      <c r="CQ138" s="2"/>
      <c r="CR138" s="177"/>
      <c r="CS138" s="2"/>
      <c r="CT138" s="2"/>
      <c r="CU138" s="2"/>
      <c r="CV138" s="2"/>
      <c r="CW138" s="2"/>
      <c r="CX138" s="2"/>
      <c r="CY138" s="2"/>
      <c r="CZ138" s="2"/>
      <c r="DA138" s="2"/>
      <c r="DB138" s="2"/>
      <c r="DC138" s="2"/>
      <c r="DD138" s="2"/>
      <c r="DE138" s="173"/>
      <c r="DF138" s="173"/>
    </row>
    <row r="139" spans="1:110">
      <c r="A139" s="136" t="s">
        <v>6096</v>
      </c>
      <c r="B139" s="136"/>
      <c r="C139" s="137"/>
      <c r="D139" s="120">
        <f t="shared" si="4"/>
        <v>0</v>
      </c>
      <c r="E139" s="121">
        <f t="shared" si="6"/>
        <v>1.3</v>
      </c>
      <c r="F139" s="172" cm="1">
        <f t="array" ref="F139">SUM(G139:DD139*$G$9:$DD$9)</f>
        <v>0</v>
      </c>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177"/>
      <c r="BE139" s="2"/>
      <c r="BF139" s="2"/>
      <c r="BG139" s="2"/>
      <c r="BH139" s="2"/>
      <c r="BI139" s="2"/>
      <c r="BJ139" s="2"/>
      <c r="BK139" s="2"/>
      <c r="BL139" s="2"/>
      <c r="BM139" s="2"/>
      <c r="BN139" s="2"/>
      <c r="BO139" s="2"/>
      <c r="BP139" s="2"/>
      <c r="BQ139" s="2"/>
      <c r="BR139" s="177"/>
      <c r="BS139" s="2"/>
      <c r="BT139" s="2"/>
      <c r="BU139" s="2"/>
      <c r="BV139" s="2"/>
      <c r="BW139" s="2"/>
      <c r="BX139" s="2"/>
      <c r="BY139" s="2"/>
      <c r="BZ139" s="177"/>
      <c r="CA139" s="2"/>
      <c r="CB139" s="2"/>
      <c r="CC139" s="2"/>
      <c r="CD139" s="2"/>
      <c r="CE139" s="2"/>
      <c r="CF139" s="2"/>
      <c r="CG139" s="2"/>
      <c r="CH139" s="177"/>
      <c r="CI139" s="2"/>
      <c r="CJ139" s="2"/>
      <c r="CK139" s="2"/>
      <c r="CL139" s="2"/>
      <c r="CM139" s="2"/>
      <c r="CN139" s="2"/>
      <c r="CO139" s="2"/>
      <c r="CP139" s="2"/>
      <c r="CQ139" s="2"/>
      <c r="CR139" s="177"/>
      <c r="CS139" s="2"/>
      <c r="CT139" s="2"/>
      <c r="CU139" s="2"/>
      <c r="CV139" s="2"/>
      <c r="CW139" s="2"/>
      <c r="CX139" s="2"/>
      <c r="CY139" s="2"/>
      <c r="CZ139" s="2"/>
      <c r="DA139" s="2"/>
      <c r="DB139" s="2"/>
      <c r="DC139" s="2"/>
      <c r="DD139" s="2"/>
      <c r="DE139" s="173"/>
      <c r="DF139" s="173"/>
    </row>
    <row r="140" spans="1:110">
      <c r="A140" s="136" t="s">
        <v>6097</v>
      </c>
      <c r="B140" s="136"/>
      <c r="C140" s="137"/>
      <c r="D140" s="120">
        <f t="shared" ref="D140:D203" si="7">E140*F140</f>
        <v>0</v>
      </c>
      <c r="E140" s="121">
        <f t="shared" si="6"/>
        <v>1.3</v>
      </c>
      <c r="F140" s="172" cm="1">
        <f t="array" ref="F140">SUM(G140:DD140*$G$9:$DD$9)</f>
        <v>0</v>
      </c>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177"/>
      <c r="BE140" s="2"/>
      <c r="BF140" s="2"/>
      <c r="BG140" s="2"/>
      <c r="BH140" s="2"/>
      <c r="BI140" s="2"/>
      <c r="BJ140" s="2"/>
      <c r="BK140" s="2"/>
      <c r="BL140" s="2"/>
      <c r="BM140" s="2"/>
      <c r="BN140" s="2"/>
      <c r="BO140" s="2"/>
      <c r="BP140" s="2"/>
      <c r="BQ140" s="2"/>
      <c r="BR140" s="177"/>
      <c r="BS140" s="2"/>
      <c r="BT140" s="2"/>
      <c r="BU140" s="2"/>
      <c r="BV140" s="2"/>
      <c r="BW140" s="2"/>
      <c r="BX140" s="2"/>
      <c r="BY140" s="2"/>
      <c r="BZ140" s="177"/>
      <c r="CA140" s="2"/>
      <c r="CB140" s="2"/>
      <c r="CC140" s="2"/>
      <c r="CD140" s="2"/>
      <c r="CE140" s="2"/>
      <c r="CF140" s="2"/>
      <c r="CG140" s="2"/>
      <c r="CH140" s="177"/>
      <c r="CI140" s="2"/>
      <c r="CJ140" s="2"/>
      <c r="CK140" s="2"/>
      <c r="CL140" s="2"/>
      <c r="CM140" s="2"/>
      <c r="CN140" s="2"/>
      <c r="CO140" s="2"/>
      <c r="CP140" s="2"/>
      <c r="CQ140" s="2"/>
      <c r="CR140" s="177"/>
      <c r="CS140" s="2"/>
      <c r="CT140" s="2"/>
      <c r="CU140" s="2"/>
      <c r="CV140" s="2"/>
      <c r="CW140" s="2"/>
      <c r="CX140" s="2"/>
      <c r="CY140" s="2"/>
      <c r="CZ140" s="2"/>
      <c r="DA140" s="2"/>
      <c r="DB140" s="2"/>
      <c r="DC140" s="2"/>
      <c r="DD140" s="2"/>
      <c r="DE140" s="173"/>
      <c r="DF140" s="173"/>
    </row>
    <row r="141" spans="1:110">
      <c r="A141" s="136" t="s">
        <v>6098</v>
      </c>
      <c r="B141" s="136"/>
      <c r="C141" s="137"/>
      <c r="D141" s="120">
        <f t="shared" si="7"/>
        <v>0</v>
      </c>
      <c r="E141" s="121">
        <f t="shared" si="6"/>
        <v>1.3</v>
      </c>
      <c r="F141" s="172" cm="1">
        <f t="array" ref="F141">SUM(G141:DD141*$G$9:$DD$9)</f>
        <v>0</v>
      </c>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177"/>
      <c r="BE141" s="2"/>
      <c r="BF141" s="2"/>
      <c r="BG141" s="2"/>
      <c r="BH141" s="2"/>
      <c r="BI141" s="2"/>
      <c r="BJ141" s="2"/>
      <c r="BK141" s="2"/>
      <c r="BL141" s="2"/>
      <c r="BM141" s="2"/>
      <c r="BN141" s="2"/>
      <c r="BO141" s="2"/>
      <c r="BP141" s="2"/>
      <c r="BQ141" s="2"/>
      <c r="BR141" s="177"/>
      <c r="BS141" s="2"/>
      <c r="BT141" s="2"/>
      <c r="BU141" s="2"/>
      <c r="BV141" s="2"/>
      <c r="BW141" s="2"/>
      <c r="BX141" s="2"/>
      <c r="BY141" s="2"/>
      <c r="BZ141" s="177"/>
      <c r="CA141" s="2"/>
      <c r="CB141" s="2"/>
      <c r="CC141" s="2"/>
      <c r="CD141" s="2"/>
      <c r="CE141" s="2"/>
      <c r="CF141" s="2"/>
      <c r="CG141" s="2"/>
      <c r="CH141" s="177"/>
      <c r="CI141" s="2"/>
      <c r="CJ141" s="2"/>
      <c r="CK141" s="2"/>
      <c r="CL141" s="2"/>
      <c r="CM141" s="2"/>
      <c r="CN141" s="2"/>
      <c r="CO141" s="2"/>
      <c r="CP141" s="2"/>
      <c r="CQ141" s="2"/>
      <c r="CR141" s="177"/>
      <c r="CS141" s="2"/>
      <c r="CT141" s="2"/>
      <c r="CU141" s="2"/>
      <c r="CV141" s="2"/>
      <c r="CW141" s="2"/>
      <c r="CX141" s="2"/>
      <c r="CY141" s="2"/>
      <c r="CZ141" s="2"/>
      <c r="DA141" s="2"/>
      <c r="DB141" s="2"/>
      <c r="DC141" s="2"/>
      <c r="DD141" s="2"/>
      <c r="DE141" s="173"/>
      <c r="DF141" s="173"/>
    </row>
    <row r="142" spans="1:110">
      <c r="A142" s="136" t="s">
        <v>6099</v>
      </c>
      <c r="B142" s="136"/>
      <c r="C142" s="137"/>
      <c r="D142" s="120">
        <f t="shared" si="7"/>
        <v>0</v>
      </c>
      <c r="E142" s="121">
        <f t="shared" si="6"/>
        <v>1.3</v>
      </c>
      <c r="F142" s="172" cm="1">
        <f t="array" ref="F142">SUM(G142:DD142*$G$9:$DD$9)</f>
        <v>0</v>
      </c>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177"/>
      <c r="BE142" s="2"/>
      <c r="BF142" s="2"/>
      <c r="BG142" s="2"/>
      <c r="BH142" s="2"/>
      <c r="BI142" s="2"/>
      <c r="BJ142" s="2"/>
      <c r="BK142" s="2"/>
      <c r="BL142" s="2"/>
      <c r="BM142" s="2"/>
      <c r="BN142" s="2"/>
      <c r="BO142" s="2"/>
      <c r="BP142" s="2"/>
      <c r="BQ142" s="2"/>
      <c r="BR142" s="177"/>
      <c r="BS142" s="2"/>
      <c r="BT142" s="2"/>
      <c r="BU142" s="2"/>
      <c r="BV142" s="2"/>
      <c r="BW142" s="2"/>
      <c r="BX142" s="2"/>
      <c r="BY142" s="2"/>
      <c r="BZ142" s="177"/>
      <c r="CA142" s="2"/>
      <c r="CB142" s="2"/>
      <c r="CC142" s="2"/>
      <c r="CD142" s="2"/>
      <c r="CE142" s="2"/>
      <c r="CF142" s="2"/>
      <c r="CG142" s="2"/>
      <c r="CH142" s="177"/>
      <c r="CI142" s="2"/>
      <c r="CJ142" s="2"/>
      <c r="CK142" s="2"/>
      <c r="CL142" s="2"/>
      <c r="CM142" s="2"/>
      <c r="CN142" s="2"/>
      <c r="CO142" s="2"/>
      <c r="CP142" s="2"/>
      <c r="CQ142" s="2"/>
      <c r="CR142" s="177"/>
      <c r="CS142" s="2"/>
      <c r="CT142" s="2"/>
      <c r="CU142" s="2"/>
      <c r="CV142" s="2"/>
      <c r="CW142" s="2"/>
      <c r="CX142" s="2"/>
      <c r="CY142" s="2"/>
      <c r="CZ142" s="2"/>
      <c r="DA142" s="2"/>
      <c r="DB142" s="2"/>
      <c r="DC142" s="2"/>
      <c r="DD142" s="2"/>
      <c r="DE142" s="173"/>
      <c r="DF142" s="173"/>
    </row>
    <row r="143" spans="1:110">
      <c r="A143" s="136" t="s">
        <v>6100</v>
      </c>
      <c r="B143" s="136"/>
      <c r="C143" s="137"/>
      <c r="D143" s="120">
        <f t="shared" si="7"/>
        <v>0</v>
      </c>
      <c r="E143" s="121">
        <f t="shared" si="6"/>
        <v>1.3</v>
      </c>
      <c r="F143" s="172" cm="1">
        <f t="array" ref="F143">SUM(G143:DD143*$G$9:$DD$9)</f>
        <v>0</v>
      </c>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177"/>
      <c r="BE143" s="2"/>
      <c r="BF143" s="2"/>
      <c r="BG143" s="2"/>
      <c r="BH143" s="2"/>
      <c r="BI143" s="2"/>
      <c r="BJ143" s="2"/>
      <c r="BK143" s="2"/>
      <c r="BL143" s="2"/>
      <c r="BM143" s="2"/>
      <c r="BN143" s="2"/>
      <c r="BO143" s="2"/>
      <c r="BP143" s="2"/>
      <c r="BQ143" s="2"/>
      <c r="BR143" s="177"/>
      <c r="BS143" s="2"/>
      <c r="BT143" s="2"/>
      <c r="BU143" s="2"/>
      <c r="BV143" s="2"/>
      <c r="BW143" s="2"/>
      <c r="BX143" s="2"/>
      <c r="BY143" s="2"/>
      <c r="BZ143" s="177"/>
      <c r="CA143" s="2"/>
      <c r="CB143" s="2"/>
      <c r="CC143" s="2"/>
      <c r="CD143" s="2"/>
      <c r="CE143" s="2"/>
      <c r="CF143" s="2"/>
      <c r="CG143" s="2"/>
      <c r="CH143" s="177"/>
      <c r="CI143" s="2"/>
      <c r="CJ143" s="2"/>
      <c r="CK143" s="2"/>
      <c r="CL143" s="2"/>
      <c r="CM143" s="2"/>
      <c r="CN143" s="2"/>
      <c r="CO143" s="2"/>
      <c r="CP143" s="2"/>
      <c r="CQ143" s="2"/>
      <c r="CR143" s="177"/>
      <c r="CS143" s="2"/>
      <c r="CT143" s="2"/>
      <c r="CU143" s="2"/>
      <c r="CV143" s="2"/>
      <c r="CW143" s="2"/>
      <c r="CX143" s="2"/>
      <c r="CY143" s="2"/>
      <c r="CZ143" s="2"/>
      <c r="DA143" s="2"/>
      <c r="DB143" s="2"/>
      <c r="DC143" s="2"/>
      <c r="DD143" s="2"/>
      <c r="DE143" s="173"/>
      <c r="DF143" s="173"/>
    </row>
    <row r="144" spans="1:110">
      <c r="A144" s="136" t="s">
        <v>6101</v>
      </c>
      <c r="B144" s="136"/>
      <c r="C144" s="137"/>
      <c r="D144" s="120">
        <f t="shared" si="7"/>
        <v>0</v>
      </c>
      <c r="E144" s="121">
        <f t="shared" si="6"/>
        <v>1.3</v>
      </c>
      <c r="F144" s="172" cm="1">
        <f t="array" ref="F144">SUM(G144:DD144*$G$9:$DD$9)</f>
        <v>0</v>
      </c>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177"/>
      <c r="BE144" s="2"/>
      <c r="BF144" s="2"/>
      <c r="BG144" s="2"/>
      <c r="BH144" s="2"/>
      <c r="BI144" s="2"/>
      <c r="BJ144" s="2"/>
      <c r="BK144" s="2"/>
      <c r="BL144" s="2"/>
      <c r="BM144" s="2"/>
      <c r="BN144" s="2"/>
      <c r="BO144" s="2"/>
      <c r="BP144" s="2"/>
      <c r="BQ144" s="2"/>
      <c r="BR144" s="177"/>
      <c r="BS144" s="2"/>
      <c r="BT144" s="2"/>
      <c r="BU144" s="2"/>
      <c r="BV144" s="2"/>
      <c r="BW144" s="2"/>
      <c r="BX144" s="2"/>
      <c r="BY144" s="2"/>
      <c r="BZ144" s="177"/>
      <c r="CA144" s="2"/>
      <c r="CB144" s="2"/>
      <c r="CC144" s="2"/>
      <c r="CD144" s="2"/>
      <c r="CE144" s="2"/>
      <c r="CF144" s="2"/>
      <c r="CG144" s="2"/>
      <c r="CH144" s="177"/>
      <c r="CI144" s="2"/>
      <c r="CJ144" s="2"/>
      <c r="CK144" s="2"/>
      <c r="CL144" s="2"/>
      <c r="CM144" s="2"/>
      <c r="CN144" s="2"/>
      <c r="CO144" s="2"/>
      <c r="CP144" s="2"/>
      <c r="CQ144" s="2"/>
      <c r="CR144" s="177"/>
      <c r="CS144" s="2"/>
      <c r="CT144" s="2"/>
      <c r="CU144" s="2"/>
      <c r="CV144" s="2"/>
      <c r="CW144" s="2"/>
      <c r="CX144" s="2"/>
      <c r="CY144" s="2"/>
      <c r="CZ144" s="2"/>
      <c r="DA144" s="2"/>
      <c r="DB144" s="2"/>
      <c r="DC144" s="2"/>
      <c r="DD144" s="2"/>
      <c r="DE144" s="173"/>
      <c r="DF144" s="173"/>
    </row>
    <row r="145" spans="1:110">
      <c r="A145" s="136" t="s">
        <v>6102</v>
      </c>
      <c r="B145" s="136"/>
      <c r="C145" s="137"/>
      <c r="D145" s="120">
        <f t="shared" si="7"/>
        <v>0</v>
      </c>
      <c r="E145" s="121">
        <f t="shared" si="6"/>
        <v>1.3</v>
      </c>
      <c r="F145" s="172" cm="1">
        <f t="array" ref="F145">SUM(G145:DD145*$G$9:$DD$9)</f>
        <v>0</v>
      </c>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177"/>
      <c r="BE145" s="2"/>
      <c r="BF145" s="2"/>
      <c r="BG145" s="2"/>
      <c r="BH145" s="2"/>
      <c r="BI145" s="2"/>
      <c r="BJ145" s="2"/>
      <c r="BK145" s="2"/>
      <c r="BL145" s="2"/>
      <c r="BM145" s="2"/>
      <c r="BN145" s="2"/>
      <c r="BO145" s="2"/>
      <c r="BP145" s="2"/>
      <c r="BQ145" s="2"/>
      <c r="BR145" s="177"/>
      <c r="BS145" s="2"/>
      <c r="BT145" s="2"/>
      <c r="BU145" s="2"/>
      <c r="BV145" s="2"/>
      <c r="BW145" s="2"/>
      <c r="BX145" s="2"/>
      <c r="BY145" s="2"/>
      <c r="BZ145" s="177"/>
      <c r="CA145" s="2"/>
      <c r="CB145" s="2"/>
      <c r="CC145" s="2"/>
      <c r="CD145" s="2"/>
      <c r="CE145" s="2"/>
      <c r="CF145" s="2"/>
      <c r="CG145" s="2"/>
      <c r="CH145" s="177"/>
      <c r="CI145" s="2"/>
      <c r="CJ145" s="2"/>
      <c r="CK145" s="2"/>
      <c r="CL145" s="2"/>
      <c r="CM145" s="2"/>
      <c r="CN145" s="2"/>
      <c r="CO145" s="2"/>
      <c r="CP145" s="2"/>
      <c r="CQ145" s="2"/>
      <c r="CR145" s="177"/>
      <c r="CS145" s="2"/>
      <c r="CT145" s="2"/>
      <c r="CU145" s="2"/>
      <c r="CV145" s="2"/>
      <c r="CW145" s="2"/>
      <c r="CX145" s="2"/>
      <c r="CY145" s="2"/>
      <c r="CZ145" s="2"/>
      <c r="DA145" s="2"/>
      <c r="DB145" s="2"/>
      <c r="DC145" s="2"/>
      <c r="DD145" s="2"/>
      <c r="DE145" s="173"/>
      <c r="DF145" s="173"/>
    </row>
    <row r="146" spans="1:110">
      <c r="A146" s="136" t="s">
        <v>6103</v>
      </c>
      <c r="B146" s="136"/>
      <c r="C146" s="137"/>
      <c r="D146" s="120">
        <f t="shared" si="7"/>
        <v>0</v>
      </c>
      <c r="E146" s="121">
        <f t="shared" si="6"/>
        <v>1.3</v>
      </c>
      <c r="F146" s="172" cm="1">
        <f t="array" ref="F146">SUM(G146:DD146*$G$9:$DD$9)</f>
        <v>0</v>
      </c>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177"/>
      <c r="BE146" s="2"/>
      <c r="BF146" s="2"/>
      <c r="BG146" s="2"/>
      <c r="BH146" s="2"/>
      <c r="BI146" s="2"/>
      <c r="BJ146" s="2"/>
      <c r="BK146" s="2"/>
      <c r="BL146" s="2"/>
      <c r="BM146" s="2"/>
      <c r="BN146" s="2"/>
      <c r="BO146" s="2"/>
      <c r="BP146" s="2"/>
      <c r="BQ146" s="2"/>
      <c r="BR146" s="177"/>
      <c r="BS146" s="2"/>
      <c r="BT146" s="2"/>
      <c r="BU146" s="2"/>
      <c r="BV146" s="2"/>
      <c r="BW146" s="2"/>
      <c r="BX146" s="2"/>
      <c r="BY146" s="2"/>
      <c r="BZ146" s="177"/>
      <c r="CA146" s="2"/>
      <c r="CB146" s="2"/>
      <c r="CC146" s="2"/>
      <c r="CD146" s="2"/>
      <c r="CE146" s="2"/>
      <c r="CF146" s="2"/>
      <c r="CG146" s="2"/>
      <c r="CH146" s="177"/>
      <c r="CI146" s="2"/>
      <c r="CJ146" s="2"/>
      <c r="CK146" s="2"/>
      <c r="CL146" s="2"/>
      <c r="CM146" s="2"/>
      <c r="CN146" s="2"/>
      <c r="CO146" s="2"/>
      <c r="CP146" s="2"/>
      <c r="CQ146" s="2"/>
      <c r="CR146" s="177"/>
      <c r="CS146" s="2"/>
      <c r="CT146" s="2"/>
      <c r="CU146" s="2"/>
      <c r="CV146" s="2"/>
      <c r="CW146" s="2"/>
      <c r="CX146" s="2"/>
      <c r="CY146" s="2"/>
      <c r="CZ146" s="2"/>
      <c r="DA146" s="2"/>
      <c r="DB146" s="2"/>
      <c r="DC146" s="2"/>
      <c r="DD146" s="2"/>
      <c r="DE146" s="173"/>
      <c r="DF146" s="173"/>
    </row>
    <row r="147" spans="1:110">
      <c r="A147" s="136" t="s">
        <v>6104</v>
      </c>
      <c r="B147" s="136"/>
      <c r="C147" s="137"/>
      <c r="D147" s="120">
        <f t="shared" si="7"/>
        <v>0</v>
      </c>
      <c r="E147" s="121">
        <f t="shared" si="6"/>
        <v>1.3</v>
      </c>
      <c r="F147" s="172" cm="1">
        <f t="array" ref="F147">SUM(G147:DD147*$G$9:$DD$9)</f>
        <v>0</v>
      </c>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177"/>
      <c r="BE147" s="2"/>
      <c r="BF147" s="2"/>
      <c r="BG147" s="2"/>
      <c r="BH147" s="2"/>
      <c r="BI147" s="2"/>
      <c r="BJ147" s="2"/>
      <c r="BK147" s="2"/>
      <c r="BL147" s="2"/>
      <c r="BM147" s="2"/>
      <c r="BN147" s="2"/>
      <c r="BO147" s="2"/>
      <c r="BP147" s="2"/>
      <c r="BQ147" s="2"/>
      <c r="BR147" s="177"/>
      <c r="BS147" s="2"/>
      <c r="BT147" s="2"/>
      <c r="BU147" s="2"/>
      <c r="BV147" s="2"/>
      <c r="BW147" s="2"/>
      <c r="BX147" s="2"/>
      <c r="BY147" s="2"/>
      <c r="BZ147" s="177"/>
      <c r="CA147" s="2"/>
      <c r="CB147" s="2"/>
      <c r="CC147" s="2"/>
      <c r="CD147" s="2"/>
      <c r="CE147" s="2"/>
      <c r="CF147" s="2"/>
      <c r="CG147" s="2"/>
      <c r="CH147" s="177"/>
      <c r="CI147" s="2"/>
      <c r="CJ147" s="2"/>
      <c r="CK147" s="2"/>
      <c r="CL147" s="2"/>
      <c r="CM147" s="2"/>
      <c r="CN147" s="2"/>
      <c r="CO147" s="2"/>
      <c r="CP147" s="2"/>
      <c r="CQ147" s="2"/>
      <c r="CR147" s="177"/>
      <c r="CS147" s="2"/>
      <c r="CT147" s="2"/>
      <c r="CU147" s="2"/>
      <c r="CV147" s="2"/>
      <c r="CW147" s="2"/>
      <c r="CX147" s="2"/>
      <c r="CY147" s="2"/>
      <c r="CZ147" s="2"/>
      <c r="DA147" s="2"/>
      <c r="DB147" s="2"/>
      <c r="DC147" s="2"/>
      <c r="DD147" s="2"/>
      <c r="DE147" s="173"/>
      <c r="DF147" s="173"/>
    </row>
    <row r="148" spans="1:110">
      <c r="A148" s="136" t="s">
        <v>6105</v>
      </c>
      <c r="B148" s="136"/>
      <c r="C148" s="137"/>
      <c r="D148" s="120">
        <f t="shared" si="7"/>
        <v>0</v>
      </c>
      <c r="E148" s="121">
        <f t="shared" si="6"/>
        <v>1.3</v>
      </c>
      <c r="F148" s="172" cm="1">
        <f t="array" ref="F148">SUM(G148:DD148*$G$9:$DD$9)</f>
        <v>0</v>
      </c>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177"/>
      <c r="BE148" s="2"/>
      <c r="BF148" s="2"/>
      <c r="BG148" s="2"/>
      <c r="BH148" s="2"/>
      <c r="BI148" s="2"/>
      <c r="BJ148" s="2"/>
      <c r="BK148" s="2"/>
      <c r="BL148" s="2"/>
      <c r="BM148" s="2"/>
      <c r="BN148" s="2"/>
      <c r="BO148" s="2"/>
      <c r="BP148" s="2"/>
      <c r="BQ148" s="2"/>
      <c r="BR148" s="177"/>
      <c r="BS148" s="2"/>
      <c r="BT148" s="2"/>
      <c r="BU148" s="2"/>
      <c r="BV148" s="2"/>
      <c r="BW148" s="2"/>
      <c r="BX148" s="2"/>
      <c r="BY148" s="2"/>
      <c r="BZ148" s="177"/>
      <c r="CA148" s="2"/>
      <c r="CB148" s="2"/>
      <c r="CC148" s="2"/>
      <c r="CD148" s="2"/>
      <c r="CE148" s="2"/>
      <c r="CF148" s="2"/>
      <c r="CG148" s="2"/>
      <c r="CH148" s="177"/>
      <c r="CI148" s="2"/>
      <c r="CJ148" s="2"/>
      <c r="CK148" s="2"/>
      <c r="CL148" s="2"/>
      <c r="CM148" s="2"/>
      <c r="CN148" s="2"/>
      <c r="CO148" s="2"/>
      <c r="CP148" s="2"/>
      <c r="CQ148" s="2"/>
      <c r="CR148" s="177"/>
      <c r="CS148" s="2"/>
      <c r="CT148" s="2"/>
      <c r="CU148" s="2"/>
      <c r="CV148" s="2"/>
      <c r="CW148" s="2"/>
      <c r="CX148" s="2"/>
      <c r="CY148" s="2"/>
      <c r="CZ148" s="2"/>
      <c r="DA148" s="2"/>
      <c r="DB148" s="2"/>
      <c r="DC148" s="2"/>
      <c r="DD148" s="2"/>
      <c r="DE148" s="173"/>
      <c r="DF148" s="173"/>
    </row>
    <row r="149" spans="1:110">
      <c r="A149" s="136" t="s">
        <v>6106</v>
      </c>
      <c r="B149" s="136"/>
      <c r="C149" s="137"/>
      <c r="D149" s="120">
        <f t="shared" si="7"/>
        <v>0</v>
      </c>
      <c r="E149" s="121">
        <f t="shared" si="6"/>
        <v>1.3</v>
      </c>
      <c r="F149" s="172" cm="1">
        <f t="array" ref="F149">SUM(G149:DD149*$G$9:$DD$9)</f>
        <v>0</v>
      </c>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177"/>
      <c r="BE149" s="2"/>
      <c r="BF149" s="2"/>
      <c r="BG149" s="2"/>
      <c r="BH149" s="2"/>
      <c r="BI149" s="2"/>
      <c r="BJ149" s="2"/>
      <c r="BK149" s="2"/>
      <c r="BL149" s="2"/>
      <c r="BM149" s="2"/>
      <c r="BN149" s="2"/>
      <c r="BO149" s="2"/>
      <c r="BP149" s="2"/>
      <c r="BQ149" s="2"/>
      <c r="BR149" s="177"/>
      <c r="BS149" s="2"/>
      <c r="BT149" s="2"/>
      <c r="BU149" s="2"/>
      <c r="BV149" s="2"/>
      <c r="BW149" s="2"/>
      <c r="BX149" s="2"/>
      <c r="BY149" s="2"/>
      <c r="BZ149" s="177"/>
      <c r="CA149" s="2"/>
      <c r="CB149" s="2"/>
      <c r="CC149" s="2"/>
      <c r="CD149" s="2"/>
      <c r="CE149" s="2"/>
      <c r="CF149" s="2"/>
      <c r="CG149" s="2"/>
      <c r="CH149" s="177"/>
      <c r="CI149" s="2"/>
      <c r="CJ149" s="2"/>
      <c r="CK149" s="2"/>
      <c r="CL149" s="2"/>
      <c r="CM149" s="2"/>
      <c r="CN149" s="2"/>
      <c r="CO149" s="2"/>
      <c r="CP149" s="2"/>
      <c r="CQ149" s="2"/>
      <c r="CR149" s="177"/>
      <c r="CS149" s="2"/>
      <c r="CT149" s="2"/>
      <c r="CU149" s="2"/>
      <c r="CV149" s="2"/>
      <c r="CW149" s="2"/>
      <c r="CX149" s="2"/>
      <c r="CY149" s="2"/>
      <c r="CZ149" s="2"/>
      <c r="DA149" s="2"/>
      <c r="DB149" s="2"/>
      <c r="DC149" s="2"/>
      <c r="DD149" s="2"/>
      <c r="DE149" s="173"/>
      <c r="DF149" s="173"/>
    </row>
    <row r="150" spans="1:110">
      <c r="A150" s="136" t="s">
        <v>6107</v>
      </c>
      <c r="B150" s="136"/>
      <c r="C150" s="137"/>
      <c r="D150" s="120">
        <f t="shared" si="7"/>
        <v>0</v>
      </c>
      <c r="E150" s="121">
        <f t="shared" si="6"/>
        <v>1.3</v>
      </c>
      <c r="F150" s="172" cm="1">
        <f t="array" ref="F150">SUM(G150:DD150*$G$9:$DD$9)</f>
        <v>0</v>
      </c>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177"/>
      <c r="BE150" s="2"/>
      <c r="BF150" s="2"/>
      <c r="BG150" s="2"/>
      <c r="BH150" s="2"/>
      <c r="BI150" s="2"/>
      <c r="BJ150" s="2"/>
      <c r="BK150" s="2"/>
      <c r="BL150" s="2"/>
      <c r="BM150" s="2"/>
      <c r="BN150" s="2"/>
      <c r="BO150" s="2"/>
      <c r="BP150" s="2"/>
      <c r="BQ150" s="2"/>
      <c r="BR150" s="177"/>
      <c r="BS150" s="2"/>
      <c r="BT150" s="2"/>
      <c r="BU150" s="2"/>
      <c r="BV150" s="2"/>
      <c r="BW150" s="2"/>
      <c r="BX150" s="2"/>
      <c r="BY150" s="2"/>
      <c r="BZ150" s="177"/>
      <c r="CA150" s="2"/>
      <c r="CB150" s="2"/>
      <c r="CC150" s="2"/>
      <c r="CD150" s="2"/>
      <c r="CE150" s="2"/>
      <c r="CF150" s="2"/>
      <c r="CG150" s="2"/>
      <c r="CH150" s="177"/>
      <c r="CI150" s="2"/>
      <c r="CJ150" s="2"/>
      <c r="CK150" s="2"/>
      <c r="CL150" s="2"/>
      <c r="CM150" s="2"/>
      <c r="CN150" s="2"/>
      <c r="CO150" s="2"/>
      <c r="CP150" s="2"/>
      <c r="CQ150" s="2"/>
      <c r="CR150" s="177"/>
      <c r="CS150" s="2"/>
      <c r="CT150" s="2"/>
      <c r="CU150" s="2"/>
      <c r="CV150" s="2"/>
      <c r="CW150" s="2"/>
      <c r="CX150" s="2"/>
      <c r="CY150" s="2"/>
      <c r="CZ150" s="2"/>
      <c r="DA150" s="2"/>
      <c r="DB150" s="2"/>
      <c r="DC150" s="2"/>
      <c r="DD150" s="2"/>
      <c r="DE150" s="173"/>
      <c r="DF150" s="173"/>
    </row>
    <row r="151" spans="1:110">
      <c r="A151" s="136" t="s">
        <v>6108</v>
      </c>
      <c r="B151" s="136"/>
      <c r="C151" s="137"/>
      <c r="D151" s="120">
        <f t="shared" si="7"/>
        <v>0</v>
      </c>
      <c r="E151" s="121">
        <f t="shared" si="6"/>
        <v>1.3</v>
      </c>
      <c r="F151" s="172" cm="1">
        <f t="array" ref="F151">SUM(G151:DD151*$G$9:$DD$9)</f>
        <v>0</v>
      </c>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177"/>
      <c r="BE151" s="2"/>
      <c r="BF151" s="2"/>
      <c r="BG151" s="2"/>
      <c r="BH151" s="2"/>
      <c r="BI151" s="2"/>
      <c r="BJ151" s="2"/>
      <c r="BK151" s="2"/>
      <c r="BL151" s="2"/>
      <c r="BM151" s="2"/>
      <c r="BN151" s="2"/>
      <c r="BO151" s="2"/>
      <c r="BP151" s="2"/>
      <c r="BQ151" s="2"/>
      <c r="BR151" s="177"/>
      <c r="BS151" s="2"/>
      <c r="BT151" s="2"/>
      <c r="BU151" s="2"/>
      <c r="BV151" s="2"/>
      <c r="BW151" s="2"/>
      <c r="BX151" s="2"/>
      <c r="BY151" s="2"/>
      <c r="BZ151" s="177"/>
      <c r="CA151" s="2"/>
      <c r="CB151" s="2"/>
      <c r="CC151" s="2"/>
      <c r="CD151" s="2"/>
      <c r="CE151" s="2"/>
      <c r="CF151" s="2"/>
      <c r="CG151" s="2"/>
      <c r="CH151" s="177"/>
      <c r="CI151" s="2"/>
      <c r="CJ151" s="2"/>
      <c r="CK151" s="2"/>
      <c r="CL151" s="2"/>
      <c r="CM151" s="2"/>
      <c r="CN151" s="2"/>
      <c r="CO151" s="2"/>
      <c r="CP151" s="2"/>
      <c r="CQ151" s="2"/>
      <c r="CR151" s="177"/>
      <c r="CS151" s="2"/>
      <c r="CT151" s="2"/>
      <c r="CU151" s="2"/>
      <c r="CV151" s="2"/>
      <c r="CW151" s="2"/>
      <c r="CX151" s="2"/>
      <c r="CY151" s="2"/>
      <c r="CZ151" s="2"/>
      <c r="DA151" s="2"/>
      <c r="DB151" s="2"/>
      <c r="DC151" s="2"/>
      <c r="DD151" s="2"/>
      <c r="DE151" s="173"/>
      <c r="DF151" s="173"/>
    </row>
    <row r="152" spans="1:110">
      <c r="A152" s="136" t="s">
        <v>6109</v>
      </c>
      <c r="B152" s="136"/>
      <c r="C152" s="137"/>
      <c r="D152" s="120">
        <f t="shared" si="7"/>
        <v>0</v>
      </c>
      <c r="E152" s="121">
        <f t="shared" si="6"/>
        <v>1.3</v>
      </c>
      <c r="F152" s="172" cm="1">
        <f t="array" ref="F152">SUM(G152:DD152*$G$9:$DD$9)</f>
        <v>0</v>
      </c>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177"/>
      <c r="BE152" s="2"/>
      <c r="BF152" s="2"/>
      <c r="BG152" s="2"/>
      <c r="BH152" s="2"/>
      <c r="BI152" s="2"/>
      <c r="BJ152" s="2"/>
      <c r="BK152" s="2"/>
      <c r="BL152" s="2"/>
      <c r="BM152" s="2"/>
      <c r="BN152" s="2"/>
      <c r="BO152" s="2"/>
      <c r="BP152" s="2"/>
      <c r="BQ152" s="2"/>
      <c r="BR152" s="177"/>
      <c r="BS152" s="2"/>
      <c r="BT152" s="2"/>
      <c r="BU152" s="2"/>
      <c r="BV152" s="2"/>
      <c r="BW152" s="2"/>
      <c r="BX152" s="2"/>
      <c r="BY152" s="2"/>
      <c r="BZ152" s="177"/>
      <c r="CA152" s="2"/>
      <c r="CB152" s="2"/>
      <c r="CC152" s="2"/>
      <c r="CD152" s="2"/>
      <c r="CE152" s="2"/>
      <c r="CF152" s="2"/>
      <c r="CG152" s="2"/>
      <c r="CH152" s="177"/>
      <c r="CI152" s="2"/>
      <c r="CJ152" s="2"/>
      <c r="CK152" s="2"/>
      <c r="CL152" s="2"/>
      <c r="CM152" s="2"/>
      <c r="CN152" s="2"/>
      <c r="CO152" s="2"/>
      <c r="CP152" s="2"/>
      <c r="CQ152" s="2"/>
      <c r="CR152" s="177"/>
      <c r="CS152" s="2"/>
      <c r="CT152" s="2"/>
      <c r="CU152" s="2"/>
      <c r="CV152" s="2"/>
      <c r="CW152" s="2"/>
      <c r="CX152" s="2"/>
      <c r="CY152" s="2"/>
      <c r="CZ152" s="2"/>
      <c r="DA152" s="2"/>
      <c r="DB152" s="2"/>
      <c r="DC152" s="2"/>
      <c r="DD152" s="2"/>
      <c r="DE152" s="173"/>
      <c r="DF152" s="173"/>
    </row>
    <row r="153" spans="1:110">
      <c r="A153" s="136" t="s">
        <v>6110</v>
      </c>
      <c r="B153" s="136"/>
      <c r="C153" s="137"/>
      <c r="D153" s="120">
        <f t="shared" si="7"/>
        <v>0</v>
      </c>
      <c r="E153" s="121">
        <f t="shared" si="6"/>
        <v>1.3</v>
      </c>
      <c r="F153" s="172" cm="1">
        <f t="array" ref="F153">SUM(G153:DD153*$G$9:$DD$9)</f>
        <v>0</v>
      </c>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177"/>
      <c r="BE153" s="2"/>
      <c r="BF153" s="2"/>
      <c r="BG153" s="2"/>
      <c r="BH153" s="2"/>
      <c r="BI153" s="2"/>
      <c r="BJ153" s="2"/>
      <c r="BK153" s="2"/>
      <c r="BL153" s="2"/>
      <c r="BM153" s="2"/>
      <c r="BN153" s="2"/>
      <c r="BO153" s="2"/>
      <c r="BP153" s="2"/>
      <c r="BQ153" s="2"/>
      <c r="BR153" s="177"/>
      <c r="BS153" s="2"/>
      <c r="BT153" s="2"/>
      <c r="BU153" s="2"/>
      <c r="BV153" s="2"/>
      <c r="BW153" s="2"/>
      <c r="BX153" s="2"/>
      <c r="BY153" s="2"/>
      <c r="BZ153" s="177"/>
      <c r="CA153" s="2"/>
      <c r="CB153" s="2"/>
      <c r="CC153" s="2"/>
      <c r="CD153" s="2"/>
      <c r="CE153" s="2"/>
      <c r="CF153" s="2"/>
      <c r="CG153" s="2"/>
      <c r="CH153" s="177"/>
      <c r="CI153" s="2"/>
      <c r="CJ153" s="2"/>
      <c r="CK153" s="2"/>
      <c r="CL153" s="2"/>
      <c r="CM153" s="2"/>
      <c r="CN153" s="2"/>
      <c r="CO153" s="2"/>
      <c r="CP153" s="2"/>
      <c r="CQ153" s="2"/>
      <c r="CR153" s="177"/>
      <c r="CS153" s="2"/>
      <c r="CT153" s="2"/>
      <c r="CU153" s="2"/>
      <c r="CV153" s="2"/>
      <c r="CW153" s="2"/>
      <c r="CX153" s="2"/>
      <c r="CY153" s="2"/>
      <c r="CZ153" s="2"/>
      <c r="DA153" s="2"/>
      <c r="DB153" s="2"/>
      <c r="DC153" s="2"/>
      <c r="DD153" s="2"/>
      <c r="DE153" s="173"/>
      <c r="DF153" s="173"/>
    </row>
    <row r="154" spans="1:110">
      <c r="A154" s="136" t="s">
        <v>6111</v>
      </c>
      <c r="B154" s="136"/>
      <c r="C154" s="137"/>
      <c r="D154" s="120">
        <f t="shared" si="7"/>
        <v>0</v>
      </c>
      <c r="E154" s="121">
        <f t="shared" si="6"/>
        <v>1.3</v>
      </c>
      <c r="F154" s="172" cm="1">
        <f t="array" ref="F154">SUM(G154:DD154*$G$9:$DD$9)</f>
        <v>0</v>
      </c>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177"/>
      <c r="BE154" s="2"/>
      <c r="BF154" s="2"/>
      <c r="BG154" s="2"/>
      <c r="BH154" s="2"/>
      <c r="BI154" s="2"/>
      <c r="BJ154" s="2"/>
      <c r="BK154" s="2"/>
      <c r="BL154" s="2"/>
      <c r="BM154" s="2"/>
      <c r="BN154" s="2"/>
      <c r="BO154" s="2"/>
      <c r="BP154" s="2"/>
      <c r="BQ154" s="2"/>
      <c r="BR154" s="177"/>
      <c r="BS154" s="2"/>
      <c r="BT154" s="2"/>
      <c r="BU154" s="2"/>
      <c r="BV154" s="2"/>
      <c r="BW154" s="2"/>
      <c r="BX154" s="2"/>
      <c r="BY154" s="2"/>
      <c r="BZ154" s="177"/>
      <c r="CA154" s="2"/>
      <c r="CB154" s="2"/>
      <c r="CC154" s="2"/>
      <c r="CD154" s="2"/>
      <c r="CE154" s="2"/>
      <c r="CF154" s="2"/>
      <c r="CG154" s="2"/>
      <c r="CH154" s="177"/>
      <c r="CI154" s="2"/>
      <c r="CJ154" s="2"/>
      <c r="CK154" s="2"/>
      <c r="CL154" s="2"/>
      <c r="CM154" s="2"/>
      <c r="CN154" s="2"/>
      <c r="CO154" s="2"/>
      <c r="CP154" s="2"/>
      <c r="CQ154" s="2"/>
      <c r="CR154" s="177"/>
      <c r="CS154" s="2"/>
      <c r="CT154" s="2"/>
      <c r="CU154" s="2"/>
      <c r="CV154" s="2"/>
      <c r="CW154" s="2"/>
      <c r="CX154" s="2"/>
      <c r="CY154" s="2"/>
      <c r="CZ154" s="2"/>
      <c r="DA154" s="2"/>
      <c r="DB154" s="2"/>
      <c r="DC154" s="2"/>
      <c r="DD154" s="2"/>
      <c r="DE154" s="173"/>
      <c r="DF154" s="173"/>
    </row>
    <row r="155" spans="1:110">
      <c r="A155" s="136" t="s">
        <v>6112</v>
      </c>
      <c r="B155" s="136"/>
      <c r="C155" s="137"/>
      <c r="D155" s="120">
        <f t="shared" si="7"/>
        <v>0</v>
      </c>
      <c r="E155" s="121">
        <f t="shared" si="6"/>
        <v>1.3</v>
      </c>
      <c r="F155" s="172" cm="1">
        <f t="array" ref="F155">SUM(G155:DD155*$G$9:$DD$9)</f>
        <v>0</v>
      </c>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177"/>
      <c r="AU155" s="2"/>
      <c r="AV155" s="2"/>
      <c r="AW155" s="2"/>
      <c r="AX155" s="2"/>
      <c r="AY155" s="2"/>
      <c r="AZ155" s="2"/>
      <c r="BA155" s="2"/>
      <c r="BB155" s="2"/>
      <c r="BC155" s="2"/>
      <c r="BD155" s="177"/>
      <c r="BE155" s="2"/>
      <c r="BF155" s="2"/>
      <c r="BG155" s="2"/>
      <c r="BH155" s="2"/>
      <c r="BI155" s="2"/>
      <c r="BJ155" s="2"/>
      <c r="BK155" s="2"/>
      <c r="BL155" s="2"/>
      <c r="BM155" s="2"/>
      <c r="BN155" s="2"/>
      <c r="BO155" s="2"/>
      <c r="BP155" s="2"/>
      <c r="BQ155" s="2"/>
      <c r="BR155" s="177"/>
      <c r="BS155" s="2"/>
      <c r="BT155" s="2"/>
      <c r="BU155" s="2"/>
      <c r="BV155" s="2"/>
      <c r="BW155" s="2"/>
      <c r="BX155" s="2"/>
      <c r="BY155" s="2"/>
      <c r="BZ155" s="177"/>
      <c r="CA155" s="2"/>
      <c r="CB155" s="2"/>
      <c r="CC155" s="2"/>
      <c r="CD155" s="2"/>
      <c r="CE155" s="2"/>
      <c r="CF155" s="2"/>
      <c r="CG155" s="2"/>
      <c r="CH155" s="177"/>
      <c r="CI155" s="2"/>
      <c r="CJ155" s="2"/>
      <c r="CK155" s="2"/>
      <c r="CL155" s="2"/>
      <c r="CM155" s="2"/>
      <c r="CN155" s="2"/>
      <c r="CO155" s="2"/>
      <c r="CP155" s="2"/>
      <c r="CQ155" s="2"/>
      <c r="CR155" s="177"/>
      <c r="CS155" s="2"/>
      <c r="CT155" s="2"/>
      <c r="CU155" s="2"/>
      <c r="CV155" s="2"/>
      <c r="CW155" s="2"/>
      <c r="CX155" s="2"/>
      <c r="CY155" s="2"/>
      <c r="CZ155" s="2"/>
      <c r="DA155" s="2"/>
      <c r="DB155" s="2"/>
      <c r="DC155" s="2"/>
      <c r="DD155" s="2"/>
      <c r="DE155" s="173"/>
      <c r="DF155" s="173"/>
    </row>
    <row r="156" spans="1:110">
      <c r="A156" s="136" t="s">
        <v>6113</v>
      </c>
      <c r="B156" s="136"/>
      <c r="C156" s="137"/>
      <c r="D156" s="120">
        <f t="shared" si="7"/>
        <v>0</v>
      </c>
      <c r="E156" s="121">
        <f t="shared" si="6"/>
        <v>1.3</v>
      </c>
      <c r="F156" s="172" cm="1">
        <f t="array" ref="F156">SUM(G156:DD156*$G$9:$DD$9)</f>
        <v>0</v>
      </c>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177"/>
      <c r="AU156" s="2"/>
      <c r="AV156" s="2"/>
      <c r="AW156" s="2"/>
      <c r="AX156" s="2"/>
      <c r="AY156" s="2"/>
      <c r="AZ156" s="2"/>
      <c r="BA156" s="2"/>
      <c r="BB156" s="2"/>
      <c r="BC156" s="2"/>
      <c r="BD156" s="177"/>
      <c r="BE156" s="2"/>
      <c r="BF156" s="2"/>
      <c r="BG156" s="2"/>
      <c r="BH156" s="2"/>
      <c r="BI156" s="2"/>
      <c r="BJ156" s="2"/>
      <c r="BK156" s="2"/>
      <c r="BL156" s="2"/>
      <c r="BM156" s="2"/>
      <c r="BN156" s="2"/>
      <c r="BO156" s="2"/>
      <c r="BP156" s="2"/>
      <c r="BQ156" s="2"/>
      <c r="BR156" s="177"/>
      <c r="BS156" s="2"/>
      <c r="BT156" s="2"/>
      <c r="BU156" s="2"/>
      <c r="BV156" s="2"/>
      <c r="BW156" s="2"/>
      <c r="BX156" s="2"/>
      <c r="BY156" s="2"/>
      <c r="BZ156" s="177"/>
      <c r="CA156" s="2"/>
      <c r="CB156" s="2"/>
      <c r="CC156" s="2"/>
      <c r="CD156" s="2"/>
      <c r="CE156" s="2"/>
      <c r="CF156" s="2"/>
      <c r="CG156" s="2"/>
      <c r="CH156" s="177"/>
      <c r="CI156" s="2"/>
      <c r="CJ156" s="2"/>
      <c r="CK156" s="2"/>
      <c r="CL156" s="2"/>
      <c r="CM156" s="2"/>
      <c r="CN156" s="2"/>
      <c r="CO156" s="2"/>
      <c r="CP156" s="2"/>
      <c r="CQ156" s="2"/>
      <c r="CR156" s="177"/>
      <c r="CS156" s="2"/>
      <c r="CT156" s="2"/>
      <c r="CU156" s="2"/>
      <c r="CV156" s="2"/>
      <c r="CW156" s="2"/>
      <c r="CX156" s="2"/>
      <c r="CY156" s="2"/>
      <c r="CZ156" s="2"/>
      <c r="DA156" s="2"/>
      <c r="DB156" s="2"/>
      <c r="DC156" s="2"/>
      <c r="DD156" s="2"/>
      <c r="DE156" s="173"/>
      <c r="DF156" s="173"/>
    </row>
    <row r="157" spans="1:110">
      <c r="A157" s="136" t="s">
        <v>6114</v>
      </c>
      <c r="B157" s="136"/>
      <c r="C157" s="137"/>
      <c r="D157" s="120">
        <f t="shared" si="7"/>
        <v>0</v>
      </c>
      <c r="E157" s="121">
        <f t="shared" si="6"/>
        <v>1.3</v>
      </c>
      <c r="F157" s="172" cm="1">
        <f t="array" ref="F157">SUM(G157:DD157*$G$9:$DD$9)</f>
        <v>0</v>
      </c>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177"/>
      <c r="AU157" s="2"/>
      <c r="AV157" s="2"/>
      <c r="AW157" s="2"/>
      <c r="AX157" s="2"/>
      <c r="AY157" s="2"/>
      <c r="AZ157" s="2"/>
      <c r="BA157" s="2"/>
      <c r="BB157" s="2"/>
      <c r="BC157" s="2"/>
      <c r="BD157" s="177"/>
      <c r="BE157" s="2"/>
      <c r="BF157" s="2"/>
      <c r="BG157" s="2"/>
      <c r="BH157" s="2"/>
      <c r="BI157" s="2"/>
      <c r="BJ157" s="2"/>
      <c r="BK157" s="2"/>
      <c r="BL157" s="2"/>
      <c r="BM157" s="2"/>
      <c r="BN157" s="2"/>
      <c r="BO157" s="2"/>
      <c r="BP157" s="2"/>
      <c r="BQ157" s="2"/>
      <c r="BR157" s="177"/>
      <c r="BS157" s="2"/>
      <c r="BT157" s="2"/>
      <c r="BU157" s="2"/>
      <c r="BV157" s="2"/>
      <c r="BW157" s="2"/>
      <c r="BX157" s="2"/>
      <c r="BY157" s="2"/>
      <c r="BZ157" s="177"/>
      <c r="CA157" s="2"/>
      <c r="CB157" s="2"/>
      <c r="CC157" s="2"/>
      <c r="CD157" s="2"/>
      <c r="CE157" s="2"/>
      <c r="CF157" s="2"/>
      <c r="CG157" s="2"/>
      <c r="CH157" s="177"/>
      <c r="CI157" s="2"/>
      <c r="CJ157" s="2"/>
      <c r="CK157" s="2"/>
      <c r="CL157" s="2"/>
      <c r="CM157" s="2"/>
      <c r="CN157" s="2"/>
      <c r="CO157" s="2"/>
      <c r="CP157" s="2"/>
      <c r="CQ157" s="2"/>
      <c r="CR157" s="177"/>
      <c r="CS157" s="2"/>
      <c r="CT157" s="2"/>
      <c r="CU157" s="2"/>
      <c r="CV157" s="2"/>
      <c r="CW157" s="2"/>
      <c r="CX157" s="2"/>
      <c r="CY157" s="2"/>
      <c r="CZ157" s="2"/>
      <c r="DA157" s="2"/>
      <c r="DB157" s="2"/>
      <c r="DC157" s="2"/>
      <c r="DD157" s="2"/>
      <c r="DE157" s="173"/>
      <c r="DF157" s="173"/>
    </row>
    <row r="158" spans="1:110">
      <c r="A158" s="136" t="s">
        <v>6115</v>
      </c>
      <c r="B158" s="136"/>
      <c r="C158" s="137"/>
      <c r="D158" s="120">
        <f t="shared" si="7"/>
        <v>0</v>
      </c>
      <c r="E158" s="121">
        <f t="shared" si="6"/>
        <v>1.3</v>
      </c>
      <c r="F158" s="172" cm="1">
        <f t="array" ref="F158">SUM(G158:DD158*$G$9:$DD$9)</f>
        <v>0</v>
      </c>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177"/>
      <c r="AU158" s="2"/>
      <c r="AV158" s="2"/>
      <c r="AW158" s="2"/>
      <c r="AX158" s="2"/>
      <c r="AY158" s="2"/>
      <c r="AZ158" s="2"/>
      <c r="BA158" s="2"/>
      <c r="BB158" s="2"/>
      <c r="BC158" s="2"/>
      <c r="BD158" s="177"/>
      <c r="BE158" s="2"/>
      <c r="BF158" s="2"/>
      <c r="BG158" s="2"/>
      <c r="BH158" s="2"/>
      <c r="BI158" s="2"/>
      <c r="BJ158" s="2"/>
      <c r="BK158" s="2"/>
      <c r="BL158" s="2"/>
      <c r="BM158" s="2"/>
      <c r="BN158" s="2"/>
      <c r="BO158" s="2"/>
      <c r="BP158" s="2"/>
      <c r="BQ158" s="2"/>
      <c r="BR158" s="177"/>
      <c r="BS158" s="2"/>
      <c r="BT158" s="2"/>
      <c r="BU158" s="2"/>
      <c r="BV158" s="2"/>
      <c r="BW158" s="2"/>
      <c r="BX158" s="2"/>
      <c r="BY158" s="2"/>
      <c r="BZ158" s="177"/>
      <c r="CA158" s="2"/>
      <c r="CB158" s="2"/>
      <c r="CC158" s="2"/>
      <c r="CD158" s="2"/>
      <c r="CE158" s="2"/>
      <c r="CF158" s="2"/>
      <c r="CG158" s="2"/>
      <c r="CH158" s="177"/>
      <c r="CI158" s="2"/>
      <c r="CJ158" s="2"/>
      <c r="CK158" s="2"/>
      <c r="CL158" s="2"/>
      <c r="CM158" s="2"/>
      <c r="CN158" s="2"/>
      <c r="CO158" s="2"/>
      <c r="CP158" s="2"/>
      <c r="CQ158" s="2"/>
      <c r="CR158" s="177"/>
      <c r="CS158" s="2"/>
      <c r="CT158" s="2"/>
      <c r="CU158" s="2"/>
      <c r="CV158" s="2"/>
      <c r="CW158" s="2"/>
      <c r="CX158" s="2"/>
      <c r="CY158" s="2"/>
      <c r="CZ158" s="2"/>
      <c r="DA158" s="2"/>
      <c r="DB158" s="2"/>
      <c r="DC158" s="2"/>
      <c r="DD158" s="2"/>
      <c r="DE158" s="173"/>
      <c r="DF158" s="173"/>
    </row>
    <row r="159" spans="1:110">
      <c r="A159" s="136" t="s">
        <v>6116</v>
      </c>
      <c r="B159" s="136"/>
      <c r="C159" s="137"/>
      <c r="D159" s="120">
        <f t="shared" si="7"/>
        <v>0</v>
      </c>
      <c r="E159" s="121">
        <f t="shared" si="6"/>
        <v>1.3</v>
      </c>
      <c r="F159" s="172" cm="1">
        <f t="array" ref="F159">SUM(G159:DD159*$G$9:$DD$9)</f>
        <v>0</v>
      </c>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177"/>
      <c r="AU159" s="2"/>
      <c r="AV159" s="2"/>
      <c r="AW159" s="2"/>
      <c r="AX159" s="2"/>
      <c r="AY159" s="2"/>
      <c r="AZ159" s="2"/>
      <c r="BA159" s="2"/>
      <c r="BB159" s="2"/>
      <c r="BC159" s="2"/>
      <c r="BD159" s="177"/>
      <c r="BE159" s="2"/>
      <c r="BF159" s="2"/>
      <c r="BG159" s="2"/>
      <c r="BH159" s="2"/>
      <c r="BI159" s="2"/>
      <c r="BJ159" s="2"/>
      <c r="BK159" s="2"/>
      <c r="BL159" s="2"/>
      <c r="BM159" s="2"/>
      <c r="BN159" s="2"/>
      <c r="BO159" s="2"/>
      <c r="BP159" s="2"/>
      <c r="BQ159" s="2"/>
      <c r="BR159" s="177"/>
      <c r="BS159" s="2"/>
      <c r="BT159" s="2"/>
      <c r="BU159" s="2"/>
      <c r="BV159" s="2"/>
      <c r="BW159" s="2"/>
      <c r="BX159" s="2"/>
      <c r="BY159" s="2"/>
      <c r="BZ159" s="177"/>
      <c r="CA159" s="2"/>
      <c r="CB159" s="2"/>
      <c r="CC159" s="2"/>
      <c r="CD159" s="2"/>
      <c r="CE159" s="2"/>
      <c r="CF159" s="2"/>
      <c r="CG159" s="2"/>
      <c r="CH159" s="177"/>
      <c r="CI159" s="2"/>
      <c r="CJ159" s="2"/>
      <c r="CK159" s="2"/>
      <c r="CL159" s="2"/>
      <c r="CM159" s="2"/>
      <c r="CN159" s="2"/>
      <c r="CO159" s="2"/>
      <c r="CP159" s="2"/>
      <c r="CQ159" s="2"/>
      <c r="CR159" s="177"/>
      <c r="CS159" s="2"/>
      <c r="CT159" s="2"/>
      <c r="CU159" s="2"/>
      <c r="CV159" s="2"/>
      <c r="CW159" s="2"/>
      <c r="CX159" s="2"/>
      <c r="CY159" s="2"/>
      <c r="CZ159" s="2"/>
      <c r="DA159" s="2"/>
      <c r="DB159" s="2"/>
      <c r="DC159" s="2"/>
      <c r="DD159" s="2"/>
      <c r="DE159" s="173"/>
      <c r="DF159" s="173"/>
    </row>
    <row r="160" spans="1:110">
      <c r="A160" s="136" t="s">
        <v>6117</v>
      </c>
      <c r="B160" s="136"/>
      <c r="C160" s="137"/>
      <c r="D160" s="120">
        <f t="shared" si="7"/>
        <v>0</v>
      </c>
      <c r="E160" s="121">
        <f t="shared" si="6"/>
        <v>1.3</v>
      </c>
      <c r="F160" s="172" cm="1">
        <f t="array" ref="F160">SUM(G160:DD160*$G$9:$DD$9)</f>
        <v>0</v>
      </c>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177"/>
      <c r="AU160" s="2"/>
      <c r="AV160" s="2"/>
      <c r="AW160" s="2"/>
      <c r="AX160" s="2"/>
      <c r="AY160" s="2"/>
      <c r="AZ160" s="2"/>
      <c r="BA160" s="2"/>
      <c r="BB160" s="2"/>
      <c r="BC160" s="2"/>
      <c r="BD160" s="177"/>
      <c r="BE160" s="2"/>
      <c r="BF160" s="2"/>
      <c r="BG160" s="2"/>
      <c r="BH160" s="2"/>
      <c r="BI160" s="2"/>
      <c r="BJ160" s="2"/>
      <c r="BK160" s="2"/>
      <c r="BL160" s="2"/>
      <c r="BM160" s="2"/>
      <c r="BN160" s="2"/>
      <c r="BO160" s="2"/>
      <c r="BP160" s="2"/>
      <c r="BQ160" s="2"/>
      <c r="BR160" s="177"/>
      <c r="BS160" s="2"/>
      <c r="BT160" s="2"/>
      <c r="BU160" s="2"/>
      <c r="BV160" s="2"/>
      <c r="BW160" s="2"/>
      <c r="BX160" s="2"/>
      <c r="BY160" s="2"/>
      <c r="BZ160" s="177"/>
      <c r="CA160" s="2"/>
      <c r="CB160" s="2"/>
      <c r="CC160" s="2"/>
      <c r="CD160" s="2"/>
      <c r="CE160" s="2"/>
      <c r="CF160" s="2"/>
      <c r="CG160" s="2"/>
      <c r="CH160" s="177"/>
      <c r="CI160" s="2"/>
      <c r="CJ160" s="2"/>
      <c r="CK160" s="2"/>
      <c r="CL160" s="2"/>
      <c r="CM160" s="2"/>
      <c r="CN160" s="2"/>
      <c r="CO160" s="2"/>
      <c r="CP160" s="2"/>
      <c r="CQ160" s="2"/>
      <c r="CR160" s="177"/>
      <c r="CS160" s="2"/>
      <c r="CT160" s="2"/>
      <c r="CU160" s="2"/>
      <c r="CV160" s="2"/>
      <c r="CW160" s="2"/>
      <c r="CX160" s="2"/>
      <c r="CY160" s="2"/>
      <c r="CZ160" s="2"/>
      <c r="DA160" s="2"/>
      <c r="DB160" s="2"/>
      <c r="DC160" s="2"/>
      <c r="DD160" s="2"/>
      <c r="DE160" s="173"/>
      <c r="DF160" s="173"/>
    </row>
    <row r="161" spans="1:110">
      <c r="A161" s="136" t="s">
        <v>6118</v>
      </c>
      <c r="B161" s="136"/>
      <c r="C161" s="137"/>
      <c r="D161" s="120">
        <f t="shared" si="7"/>
        <v>0</v>
      </c>
      <c r="E161" s="121">
        <f t="shared" si="6"/>
        <v>1.3</v>
      </c>
      <c r="F161" s="172" cm="1">
        <f t="array" ref="F161">SUM(G161:DD161*$G$9:$DD$9)</f>
        <v>0</v>
      </c>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177"/>
      <c r="AU161" s="2"/>
      <c r="AV161" s="2"/>
      <c r="AW161" s="2"/>
      <c r="AX161" s="2"/>
      <c r="AY161" s="2"/>
      <c r="AZ161" s="2"/>
      <c r="BA161" s="2"/>
      <c r="BB161" s="2"/>
      <c r="BC161" s="2"/>
      <c r="BD161" s="177"/>
      <c r="BE161" s="2"/>
      <c r="BF161" s="2"/>
      <c r="BG161" s="2"/>
      <c r="BH161" s="2"/>
      <c r="BI161" s="2"/>
      <c r="BJ161" s="2"/>
      <c r="BK161" s="2"/>
      <c r="BL161" s="2"/>
      <c r="BM161" s="2"/>
      <c r="BN161" s="2"/>
      <c r="BO161" s="2"/>
      <c r="BP161" s="2"/>
      <c r="BQ161" s="2"/>
      <c r="BR161" s="177"/>
      <c r="BS161" s="2"/>
      <c r="BT161" s="2"/>
      <c r="BU161" s="2"/>
      <c r="BV161" s="2"/>
      <c r="BW161" s="2"/>
      <c r="BX161" s="2"/>
      <c r="BY161" s="2"/>
      <c r="BZ161" s="177"/>
      <c r="CA161" s="2"/>
      <c r="CB161" s="2"/>
      <c r="CC161" s="2"/>
      <c r="CD161" s="2"/>
      <c r="CE161" s="2"/>
      <c r="CF161" s="2"/>
      <c r="CG161" s="2"/>
      <c r="CH161" s="177"/>
      <c r="CI161" s="2"/>
      <c r="CJ161" s="2"/>
      <c r="CK161" s="2"/>
      <c r="CL161" s="2"/>
      <c r="CM161" s="2"/>
      <c r="CN161" s="2"/>
      <c r="CO161" s="2"/>
      <c r="CP161" s="2"/>
      <c r="CQ161" s="2"/>
      <c r="CR161" s="177"/>
      <c r="CS161" s="2"/>
      <c r="CT161" s="2"/>
      <c r="CU161" s="2"/>
      <c r="CV161" s="2"/>
      <c r="CW161" s="2"/>
      <c r="CX161" s="2"/>
      <c r="CY161" s="2"/>
      <c r="CZ161" s="2"/>
      <c r="DA161" s="2"/>
      <c r="DB161" s="2"/>
      <c r="DC161" s="2"/>
      <c r="DD161" s="2"/>
      <c r="DE161" s="173"/>
      <c r="DF161" s="173"/>
    </row>
    <row r="162" spans="1:110">
      <c r="A162" s="136" t="s">
        <v>6119</v>
      </c>
      <c r="B162" s="136"/>
      <c r="C162" s="137"/>
      <c r="D162" s="120">
        <f t="shared" si="7"/>
        <v>0</v>
      </c>
      <c r="E162" s="121">
        <f t="shared" si="6"/>
        <v>1.3</v>
      </c>
      <c r="F162" s="172" cm="1">
        <f t="array" ref="F162">SUM(G162:DD162*$G$9:$DD$9)</f>
        <v>0</v>
      </c>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177"/>
      <c r="AU162" s="2"/>
      <c r="AV162" s="2"/>
      <c r="AW162" s="2"/>
      <c r="AX162" s="2"/>
      <c r="AY162" s="2"/>
      <c r="AZ162" s="2"/>
      <c r="BA162" s="2"/>
      <c r="BB162" s="2"/>
      <c r="BC162" s="2"/>
      <c r="BD162" s="177"/>
      <c r="BE162" s="2"/>
      <c r="BF162" s="2"/>
      <c r="BG162" s="2"/>
      <c r="BH162" s="2"/>
      <c r="BI162" s="2"/>
      <c r="BJ162" s="2"/>
      <c r="BK162" s="2"/>
      <c r="BL162" s="2"/>
      <c r="BM162" s="2"/>
      <c r="BN162" s="2"/>
      <c r="BO162" s="2"/>
      <c r="BP162" s="2"/>
      <c r="BQ162" s="2"/>
      <c r="BR162" s="177"/>
      <c r="BS162" s="2"/>
      <c r="BT162" s="2"/>
      <c r="BU162" s="2"/>
      <c r="BV162" s="2"/>
      <c r="BW162" s="2"/>
      <c r="BX162" s="2"/>
      <c r="BY162" s="2"/>
      <c r="BZ162" s="177"/>
      <c r="CA162" s="2"/>
      <c r="CB162" s="2"/>
      <c r="CC162" s="2"/>
      <c r="CD162" s="2"/>
      <c r="CE162" s="2"/>
      <c r="CF162" s="2"/>
      <c r="CG162" s="2"/>
      <c r="CH162" s="177"/>
      <c r="CI162" s="2"/>
      <c r="CJ162" s="2"/>
      <c r="CK162" s="2"/>
      <c r="CL162" s="2"/>
      <c r="CM162" s="2"/>
      <c r="CN162" s="2"/>
      <c r="CO162" s="2"/>
      <c r="CP162" s="2"/>
      <c r="CQ162" s="2"/>
      <c r="CR162" s="177"/>
      <c r="CS162" s="2"/>
      <c r="CT162" s="2"/>
      <c r="CU162" s="2"/>
      <c r="CV162" s="2"/>
      <c r="CW162" s="2"/>
      <c r="CX162" s="2"/>
      <c r="CY162" s="2"/>
      <c r="CZ162" s="2"/>
      <c r="DA162" s="2"/>
      <c r="DB162" s="2"/>
      <c r="DC162" s="2"/>
      <c r="DD162" s="2"/>
      <c r="DE162" s="173"/>
      <c r="DF162" s="173"/>
    </row>
    <row r="163" spans="1:110">
      <c r="A163" s="136" t="s">
        <v>6120</v>
      </c>
      <c r="B163" s="136"/>
      <c r="C163" s="137"/>
      <c r="D163" s="120">
        <f t="shared" si="7"/>
        <v>0</v>
      </c>
      <c r="E163" s="121">
        <f t="shared" si="6"/>
        <v>1.3</v>
      </c>
      <c r="F163" s="172" cm="1">
        <f t="array" ref="F163">SUM(G163:DD163*$G$9:$DD$9)</f>
        <v>0</v>
      </c>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177"/>
      <c r="AU163" s="2"/>
      <c r="AV163" s="2"/>
      <c r="AW163" s="2"/>
      <c r="AX163" s="2"/>
      <c r="AY163" s="2"/>
      <c r="AZ163" s="2"/>
      <c r="BA163" s="2"/>
      <c r="BB163" s="2"/>
      <c r="BC163" s="2"/>
      <c r="BD163" s="177"/>
      <c r="BE163" s="2"/>
      <c r="BF163" s="2"/>
      <c r="BG163" s="2"/>
      <c r="BH163" s="2"/>
      <c r="BI163" s="2"/>
      <c r="BJ163" s="2"/>
      <c r="BK163" s="2"/>
      <c r="BL163" s="2"/>
      <c r="BM163" s="2"/>
      <c r="BN163" s="2"/>
      <c r="BO163" s="2"/>
      <c r="BP163" s="2"/>
      <c r="BQ163" s="2"/>
      <c r="BR163" s="177"/>
      <c r="BS163" s="2"/>
      <c r="BT163" s="2"/>
      <c r="BU163" s="2"/>
      <c r="BV163" s="2"/>
      <c r="BW163" s="2"/>
      <c r="BX163" s="2"/>
      <c r="BY163" s="2"/>
      <c r="BZ163" s="177"/>
      <c r="CA163" s="2"/>
      <c r="CB163" s="2"/>
      <c r="CC163" s="2"/>
      <c r="CD163" s="2"/>
      <c r="CE163" s="2"/>
      <c r="CF163" s="2"/>
      <c r="CG163" s="2"/>
      <c r="CH163" s="177"/>
      <c r="CI163" s="2"/>
      <c r="CJ163" s="2"/>
      <c r="CK163" s="2"/>
      <c r="CL163" s="2"/>
      <c r="CM163" s="2"/>
      <c r="CN163" s="2"/>
      <c r="CO163" s="2"/>
      <c r="CP163" s="2"/>
      <c r="CQ163" s="2"/>
      <c r="CR163" s="177"/>
      <c r="CS163" s="2"/>
      <c r="CT163" s="2"/>
      <c r="CU163" s="2"/>
      <c r="CV163" s="2"/>
      <c r="CW163" s="2"/>
      <c r="CX163" s="2"/>
      <c r="CY163" s="2"/>
      <c r="CZ163" s="2"/>
      <c r="DA163" s="2"/>
      <c r="DB163" s="2"/>
      <c r="DC163" s="2"/>
      <c r="DD163" s="2"/>
      <c r="DE163" s="173"/>
      <c r="DF163" s="173"/>
    </row>
    <row r="164" spans="1:110">
      <c r="A164" s="136" t="s">
        <v>6121</v>
      </c>
      <c r="B164" s="136"/>
      <c r="C164" s="137"/>
      <c r="D164" s="120">
        <f t="shared" si="7"/>
        <v>0</v>
      </c>
      <c r="E164" s="121">
        <f t="shared" si="6"/>
        <v>1.3</v>
      </c>
      <c r="F164" s="172" cm="1">
        <f t="array" ref="F164">SUM(G164:DD164*$G$9:$DD$9)</f>
        <v>0</v>
      </c>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177"/>
      <c r="AU164" s="2"/>
      <c r="AV164" s="2"/>
      <c r="AW164" s="2"/>
      <c r="AX164" s="2"/>
      <c r="AY164" s="2"/>
      <c r="AZ164" s="2"/>
      <c r="BA164" s="2"/>
      <c r="BB164" s="2"/>
      <c r="BC164" s="2"/>
      <c r="BD164" s="177"/>
      <c r="BE164" s="2"/>
      <c r="BF164" s="2"/>
      <c r="BG164" s="2"/>
      <c r="BH164" s="2"/>
      <c r="BI164" s="2"/>
      <c r="BJ164" s="2"/>
      <c r="BK164" s="2"/>
      <c r="BL164" s="2"/>
      <c r="BM164" s="2"/>
      <c r="BN164" s="2"/>
      <c r="BO164" s="2"/>
      <c r="BP164" s="2"/>
      <c r="BQ164" s="2"/>
      <c r="BR164" s="177"/>
      <c r="BS164" s="2"/>
      <c r="BT164" s="2"/>
      <c r="BU164" s="2"/>
      <c r="BV164" s="2"/>
      <c r="BW164" s="2"/>
      <c r="BX164" s="2"/>
      <c r="BY164" s="2"/>
      <c r="BZ164" s="177"/>
      <c r="CA164" s="2"/>
      <c r="CB164" s="2"/>
      <c r="CC164" s="2"/>
      <c r="CD164" s="2"/>
      <c r="CE164" s="2"/>
      <c r="CF164" s="2"/>
      <c r="CG164" s="2"/>
      <c r="CH164" s="177"/>
      <c r="CI164" s="2"/>
      <c r="CJ164" s="2"/>
      <c r="CK164" s="2"/>
      <c r="CL164" s="2"/>
      <c r="CM164" s="2"/>
      <c r="CN164" s="2"/>
      <c r="CO164" s="2"/>
      <c r="CP164" s="2"/>
      <c r="CQ164" s="2"/>
      <c r="CR164" s="177"/>
      <c r="CS164" s="2"/>
      <c r="CT164" s="2"/>
      <c r="CU164" s="2"/>
      <c r="CV164" s="2"/>
      <c r="CW164" s="2"/>
      <c r="CX164" s="2"/>
      <c r="CY164" s="2"/>
      <c r="CZ164" s="2"/>
      <c r="DA164" s="2"/>
      <c r="DB164" s="2"/>
      <c r="DC164" s="2"/>
      <c r="DD164" s="2"/>
      <c r="DE164" s="173"/>
      <c r="DF164" s="173"/>
    </row>
    <row r="165" spans="1:110">
      <c r="A165" s="136" t="s">
        <v>6122</v>
      </c>
      <c r="B165" s="136"/>
      <c r="C165" s="137"/>
      <c r="D165" s="120">
        <f t="shared" si="7"/>
        <v>0</v>
      </c>
      <c r="E165" s="121">
        <f t="shared" si="6"/>
        <v>1.3</v>
      </c>
      <c r="F165" s="172" cm="1">
        <f t="array" ref="F165">SUM(G165:DD165*$G$9:$DD$9)</f>
        <v>0</v>
      </c>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177"/>
      <c r="AU165" s="2"/>
      <c r="AV165" s="2"/>
      <c r="AW165" s="2"/>
      <c r="AX165" s="2"/>
      <c r="AY165" s="2"/>
      <c r="AZ165" s="2"/>
      <c r="BA165" s="2"/>
      <c r="BB165" s="2"/>
      <c r="BC165" s="2"/>
      <c r="BD165" s="177"/>
      <c r="BE165" s="2"/>
      <c r="BF165" s="2"/>
      <c r="BG165" s="2"/>
      <c r="BH165" s="2"/>
      <c r="BI165" s="2"/>
      <c r="BJ165" s="2"/>
      <c r="BK165" s="2"/>
      <c r="BL165" s="2"/>
      <c r="BM165" s="2"/>
      <c r="BN165" s="2"/>
      <c r="BO165" s="2"/>
      <c r="BP165" s="2"/>
      <c r="BQ165" s="2"/>
      <c r="BR165" s="177"/>
      <c r="BS165" s="2"/>
      <c r="BT165" s="2"/>
      <c r="BU165" s="2"/>
      <c r="BV165" s="2"/>
      <c r="BW165" s="2"/>
      <c r="BX165" s="2"/>
      <c r="BY165" s="2"/>
      <c r="BZ165" s="177"/>
      <c r="CA165" s="2"/>
      <c r="CB165" s="2"/>
      <c r="CC165" s="2"/>
      <c r="CD165" s="2"/>
      <c r="CE165" s="2"/>
      <c r="CF165" s="2"/>
      <c r="CG165" s="2"/>
      <c r="CH165" s="177"/>
      <c r="CI165" s="2"/>
      <c r="CJ165" s="2"/>
      <c r="CK165" s="2"/>
      <c r="CL165" s="2"/>
      <c r="CM165" s="2"/>
      <c r="CN165" s="2"/>
      <c r="CO165" s="2"/>
      <c r="CP165" s="2"/>
      <c r="CQ165" s="2"/>
      <c r="CR165" s="177"/>
      <c r="CS165" s="2"/>
      <c r="CT165" s="2"/>
      <c r="CU165" s="2"/>
      <c r="CV165" s="2"/>
      <c r="CW165" s="2"/>
      <c r="CX165" s="2"/>
      <c r="CY165" s="2"/>
      <c r="CZ165" s="2"/>
      <c r="DA165" s="2"/>
      <c r="DB165" s="2"/>
      <c r="DC165" s="2"/>
      <c r="DD165" s="2"/>
      <c r="DE165" s="173"/>
      <c r="DF165" s="173"/>
    </row>
    <row r="166" spans="1:110">
      <c r="A166" s="136" t="s">
        <v>6123</v>
      </c>
      <c r="B166" s="136"/>
      <c r="C166" s="137"/>
      <c r="D166" s="120">
        <f t="shared" si="7"/>
        <v>0</v>
      </c>
      <c r="E166" s="121">
        <f t="shared" si="6"/>
        <v>1.3</v>
      </c>
      <c r="F166" s="172" cm="1">
        <f t="array" ref="F166">SUM(G166:DD166*$G$9:$DD$9)</f>
        <v>0</v>
      </c>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177"/>
      <c r="AU166" s="2"/>
      <c r="AV166" s="2"/>
      <c r="AW166" s="2"/>
      <c r="AX166" s="2"/>
      <c r="AY166" s="2"/>
      <c r="AZ166" s="2"/>
      <c r="BA166" s="2"/>
      <c r="BB166" s="2"/>
      <c r="BC166" s="2"/>
      <c r="BD166" s="177"/>
      <c r="BE166" s="2"/>
      <c r="BF166" s="2"/>
      <c r="BG166" s="2"/>
      <c r="BH166" s="2"/>
      <c r="BI166" s="2"/>
      <c r="BJ166" s="2"/>
      <c r="BK166" s="2"/>
      <c r="BL166" s="2"/>
      <c r="BM166" s="2"/>
      <c r="BN166" s="2"/>
      <c r="BO166" s="2"/>
      <c r="BP166" s="2"/>
      <c r="BQ166" s="2"/>
      <c r="BR166" s="177"/>
      <c r="BS166" s="2"/>
      <c r="BT166" s="2"/>
      <c r="BU166" s="2"/>
      <c r="BV166" s="2"/>
      <c r="BW166" s="2"/>
      <c r="BX166" s="2"/>
      <c r="BY166" s="2"/>
      <c r="BZ166" s="177"/>
      <c r="CA166" s="2"/>
      <c r="CB166" s="2"/>
      <c r="CC166" s="2"/>
      <c r="CD166" s="2"/>
      <c r="CE166" s="2"/>
      <c r="CF166" s="2"/>
      <c r="CG166" s="2"/>
      <c r="CH166" s="177"/>
      <c r="CI166" s="2"/>
      <c r="CJ166" s="2"/>
      <c r="CK166" s="2"/>
      <c r="CL166" s="2"/>
      <c r="CM166" s="2"/>
      <c r="CN166" s="2"/>
      <c r="CO166" s="2"/>
      <c r="CP166" s="2"/>
      <c r="CQ166" s="2"/>
      <c r="CR166" s="177"/>
      <c r="CS166" s="2"/>
      <c r="CT166" s="2"/>
      <c r="CU166" s="2"/>
      <c r="CV166" s="2"/>
      <c r="CW166" s="2"/>
      <c r="CX166" s="2"/>
      <c r="CY166" s="2"/>
      <c r="CZ166" s="2"/>
      <c r="DA166" s="2"/>
      <c r="DB166" s="2"/>
      <c r="DC166" s="2"/>
      <c r="DD166" s="2"/>
      <c r="DE166" s="173"/>
      <c r="DF166" s="173"/>
    </row>
    <row r="167" spans="1:110">
      <c r="A167" s="136" t="s">
        <v>6124</v>
      </c>
      <c r="B167" s="136"/>
      <c r="C167" s="137"/>
      <c r="D167" s="120">
        <f t="shared" si="7"/>
        <v>0</v>
      </c>
      <c r="E167" s="121">
        <f t="shared" si="6"/>
        <v>1.3</v>
      </c>
      <c r="F167" s="172" cm="1">
        <f t="array" ref="F167">SUM(G167:DD167*$G$9:$DD$9)</f>
        <v>0</v>
      </c>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177"/>
      <c r="AU167" s="2"/>
      <c r="AV167" s="2"/>
      <c r="AW167" s="2"/>
      <c r="AX167" s="2"/>
      <c r="AY167" s="2"/>
      <c r="AZ167" s="2"/>
      <c r="BA167" s="2"/>
      <c r="BB167" s="2"/>
      <c r="BC167" s="2"/>
      <c r="BD167" s="177"/>
      <c r="BE167" s="2"/>
      <c r="BF167" s="2"/>
      <c r="BG167" s="2"/>
      <c r="BH167" s="2"/>
      <c r="BI167" s="2"/>
      <c r="BJ167" s="2"/>
      <c r="BK167" s="2"/>
      <c r="BL167" s="2"/>
      <c r="BM167" s="2"/>
      <c r="BN167" s="2"/>
      <c r="BO167" s="2"/>
      <c r="BP167" s="2"/>
      <c r="BQ167" s="2"/>
      <c r="BR167" s="177"/>
      <c r="BS167" s="2"/>
      <c r="BT167" s="2"/>
      <c r="BU167" s="2"/>
      <c r="BV167" s="2"/>
      <c r="BW167" s="2"/>
      <c r="BX167" s="2"/>
      <c r="BY167" s="2"/>
      <c r="BZ167" s="177"/>
      <c r="CA167" s="2"/>
      <c r="CB167" s="2"/>
      <c r="CC167" s="2"/>
      <c r="CD167" s="2"/>
      <c r="CE167" s="2"/>
      <c r="CF167" s="2"/>
      <c r="CG167" s="2"/>
      <c r="CH167" s="177"/>
      <c r="CI167" s="2"/>
      <c r="CJ167" s="2"/>
      <c r="CK167" s="2"/>
      <c r="CL167" s="2"/>
      <c r="CM167" s="2"/>
      <c r="CN167" s="2"/>
      <c r="CO167" s="2"/>
      <c r="CP167" s="2"/>
      <c r="CQ167" s="2"/>
      <c r="CR167" s="177"/>
      <c r="CS167" s="2"/>
      <c r="CT167" s="2"/>
      <c r="CU167" s="2"/>
      <c r="CV167" s="2"/>
      <c r="CW167" s="2"/>
      <c r="CX167" s="2"/>
      <c r="CY167" s="2"/>
      <c r="CZ167" s="2"/>
      <c r="DA167" s="2"/>
      <c r="DB167" s="2"/>
      <c r="DC167" s="2"/>
      <c r="DD167" s="2"/>
      <c r="DE167" s="173"/>
      <c r="DF167" s="173"/>
    </row>
    <row r="168" spans="1:110">
      <c r="A168" s="136" t="s">
        <v>6125</v>
      </c>
      <c r="B168" s="136"/>
      <c r="C168" s="137"/>
      <c r="D168" s="120">
        <f t="shared" si="7"/>
        <v>0</v>
      </c>
      <c r="E168" s="121">
        <f t="shared" si="6"/>
        <v>1.3</v>
      </c>
      <c r="F168" s="172" cm="1">
        <f t="array" ref="F168">SUM(G168:DD168*$G$9:$DD$9)</f>
        <v>0</v>
      </c>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177"/>
      <c r="AU168" s="2"/>
      <c r="AV168" s="2"/>
      <c r="AW168" s="2"/>
      <c r="AX168" s="2"/>
      <c r="AY168" s="2"/>
      <c r="AZ168" s="2"/>
      <c r="BA168" s="2"/>
      <c r="BB168" s="2"/>
      <c r="BC168" s="2"/>
      <c r="BD168" s="177"/>
      <c r="BE168" s="2"/>
      <c r="BF168" s="2"/>
      <c r="BG168" s="2"/>
      <c r="BH168" s="2"/>
      <c r="BI168" s="2"/>
      <c r="BJ168" s="2"/>
      <c r="BK168" s="2"/>
      <c r="BL168" s="2"/>
      <c r="BM168" s="2"/>
      <c r="BN168" s="2"/>
      <c r="BO168" s="2"/>
      <c r="BP168" s="2"/>
      <c r="BQ168" s="2"/>
      <c r="BR168" s="177"/>
      <c r="BS168" s="2"/>
      <c r="BT168" s="2"/>
      <c r="BU168" s="2"/>
      <c r="BV168" s="2"/>
      <c r="BW168" s="2"/>
      <c r="BX168" s="2"/>
      <c r="BY168" s="2"/>
      <c r="BZ168" s="177"/>
      <c r="CA168" s="2"/>
      <c r="CB168" s="2"/>
      <c r="CC168" s="2"/>
      <c r="CD168" s="2"/>
      <c r="CE168" s="2"/>
      <c r="CF168" s="2"/>
      <c r="CG168" s="2"/>
      <c r="CH168" s="177"/>
      <c r="CI168" s="2"/>
      <c r="CJ168" s="2"/>
      <c r="CK168" s="2"/>
      <c r="CL168" s="2"/>
      <c r="CM168" s="2"/>
      <c r="CN168" s="2"/>
      <c r="CO168" s="2"/>
      <c r="CP168" s="2"/>
      <c r="CQ168" s="2"/>
      <c r="CR168" s="177"/>
      <c r="CS168" s="2"/>
      <c r="CT168" s="2"/>
      <c r="CU168" s="2"/>
      <c r="CV168" s="2"/>
      <c r="CW168" s="2"/>
      <c r="CX168" s="2"/>
      <c r="CY168" s="2"/>
      <c r="CZ168" s="2"/>
      <c r="DA168" s="2"/>
      <c r="DB168" s="2"/>
      <c r="DC168" s="2"/>
      <c r="DD168" s="2"/>
      <c r="DE168" s="173"/>
      <c r="DF168" s="173"/>
    </row>
    <row r="169" spans="1:110">
      <c r="A169" s="136" t="s">
        <v>6126</v>
      </c>
      <c r="B169" s="136"/>
      <c r="C169" s="137"/>
      <c r="D169" s="120">
        <f t="shared" si="7"/>
        <v>0</v>
      </c>
      <c r="E169" s="121">
        <f t="shared" si="6"/>
        <v>1.3</v>
      </c>
      <c r="F169" s="172" cm="1">
        <f t="array" ref="F169">SUM(G169:DD169*$G$9:$DD$9)</f>
        <v>0</v>
      </c>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177"/>
      <c r="AU169" s="2"/>
      <c r="AV169" s="2"/>
      <c r="AW169" s="2"/>
      <c r="AX169" s="2"/>
      <c r="AY169" s="2"/>
      <c r="AZ169" s="2"/>
      <c r="BA169" s="2"/>
      <c r="BB169" s="2"/>
      <c r="BC169" s="2"/>
      <c r="BD169" s="177"/>
      <c r="BE169" s="2"/>
      <c r="BF169" s="2"/>
      <c r="BG169" s="2"/>
      <c r="BH169" s="2"/>
      <c r="BI169" s="2"/>
      <c r="BJ169" s="2"/>
      <c r="BK169" s="2"/>
      <c r="BL169" s="2"/>
      <c r="BM169" s="2"/>
      <c r="BN169" s="2"/>
      <c r="BO169" s="2"/>
      <c r="BP169" s="2"/>
      <c r="BQ169" s="2"/>
      <c r="BR169" s="177"/>
      <c r="BS169" s="2"/>
      <c r="BT169" s="2"/>
      <c r="BU169" s="2"/>
      <c r="BV169" s="2"/>
      <c r="BW169" s="2"/>
      <c r="BX169" s="2"/>
      <c r="BY169" s="2"/>
      <c r="BZ169" s="177"/>
      <c r="CA169" s="2"/>
      <c r="CB169" s="2"/>
      <c r="CC169" s="2"/>
      <c r="CD169" s="2"/>
      <c r="CE169" s="2"/>
      <c r="CF169" s="2"/>
      <c r="CG169" s="2"/>
      <c r="CH169" s="177"/>
      <c r="CI169" s="2"/>
      <c r="CJ169" s="2"/>
      <c r="CK169" s="2"/>
      <c r="CL169" s="2"/>
      <c r="CM169" s="2"/>
      <c r="CN169" s="2"/>
      <c r="CO169" s="2"/>
      <c r="CP169" s="2"/>
      <c r="CQ169" s="2"/>
      <c r="CR169" s="177"/>
      <c r="CS169" s="2"/>
      <c r="CT169" s="2"/>
      <c r="CU169" s="2"/>
      <c r="CV169" s="2"/>
      <c r="CW169" s="2"/>
      <c r="CX169" s="2"/>
      <c r="CY169" s="2"/>
      <c r="CZ169" s="2"/>
      <c r="DA169" s="2"/>
      <c r="DB169" s="2"/>
      <c r="DC169" s="2"/>
      <c r="DD169" s="2"/>
      <c r="DE169" s="173"/>
      <c r="DF169" s="173"/>
    </row>
    <row r="170" spans="1:110">
      <c r="A170" s="136" t="s">
        <v>6127</v>
      </c>
      <c r="B170" s="136"/>
      <c r="C170" s="137"/>
      <c r="D170" s="120">
        <f t="shared" si="7"/>
        <v>0</v>
      </c>
      <c r="E170" s="121">
        <f t="shared" si="6"/>
        <v>1.3</v>
      </c>
      <c r="F170" s="172" cm="1">
        <f t="array" ref="F170">SUM(G170:DD170*$G$9:$DD$9)</f>
        <v>0</v>
      </c>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177"/>
      <c r="AU170" s="2"/>
      <c r="AV170" s="2"/>
      <c r="AW170" s="2"/>
      <c r="AX170" s="2"/>
      <c r="AY170" s="2"/>
      <c r="AZ170" s="2"/>
      <c r="BA170" s="2"/>
      <c r="BB170" s="2"/>
      <c r="BC170" s="2"/>
      <c r="BD170" s="177"/>
      <c r="BE170" s="2"/>
      <c r="BF170" s="2"/>
      <c r="BG170" s="2"/>
      <c r="BH170" s="2"/>
      <c r="BI170" s="2"/>
      <c r="BJ170" s="2"/>
      <c r="BK170" s="2"/>
      <c r="BL170" s="2"/>
      <c r="BM170" s="2"/>
      <c r="BN170" s="2"/>
      <c r="BO170" s="2"/>
      <c r="BP170" s="2"/>
      <c r="BQ170" s="2"/>
      <c r="BR170" s="177"/>
      <c r="BS170" s="2"/>
      <c r="BT170" s="2"/>
      <c r="BU170" s="2"/>
      <c r="BV170" s="2"/>
      <c r="BW170" s="2"/>
      <c r="BX170" s="2"/>
      <c r="BY170" s="2"/>
      <c r="BZ170" s="177"/>
      <c r="CA170" s="2"/>
      <c r="CB170" s="2"/>
      <c r="CC170" s="2"/>
      <c r="CD170" s="2"/>
      <c r="CE170" s="2"/>
      <c r="CF170" s="2"/>
      <c r="CG170" s="2"/>
      <c r="CH170" s="177"/>
      <c r="CI170" s="2"/>
      <c r="CJ170" s="2"/>
      <c r="CK170" s="2"/>
      <c r="CL170" s="2"/>
      <c r="CM170" s="2"/>
      <c r="CN170" s="2"/>
      <c r="CO170" s="2"/>
      <c r="CP170" s="2"/>
      <c r="CQ170" s="2"/>
      <c r="CR170" s="177"/>
      <c r="CS170" s="2"/>
      <c r="CT170" s="2"/>
      <c r="CU170" s="2"/>
      <c r="CV170" s="2"/>
      <c r="CW170" s="2"/>
      <c r="CX170" s="2"/>
      <c r="CY170" s="2"/>
      <c r="CZ170" s="2"/>
      <c r="DA170" s="2"/>
      <c r="DB170" s="2"/>
      <c r="DC170" s="2"/>
      <c r="DD170" s="2"/>
      <c r="DE170" s="173"/>
      <c r="DF170" s="173"/>
    </row>
    <row r="171" spans="1:110">
      <c r="A171" s="136" t="s">
        <v>6128</v>
      </c>
      <c r="B171" s="136"/>
      <c r="C171" s="137"/>
      <c r="D171" s="120">
        <f t="shared" si="7"/>
        <v>0</v>
      </c>
      <c r="E171" s="121">
        <f t="shared" si="6"/>
        <v>1.3</v>
      </c>
      <c r="F171" s="172" cm="1">
        <f t="array" ref="F171">SUM(G171:DD171*$G$9:$DD$9)</f>
        <v>0</v>
      </c>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177"/>
      <c r="AU171" s="2"/>
      <c r="AV171" s="2"/>
      <c r="AW171" s="2"/>
      <c r="AX171" s="2"/>
      <c r="AY171" s="2"/>
      <c r="AZ171" s="2"/>
      <c r="BA171" s="2"/>
      <c r="BB171" s="2"/>
      <c r="BC171" s="2"/>
      <c r="BD171" s="177"/>
      <c r="BE171" s="2"/>
      <c r="BF171" s="2"/>
      <c r="BG171" s="2"/>
      <c r="BH171" s="2"/>
      <c r="BI171" s="2"/>
      <c r="BJ171" s="2"/>
      <c r="BK171" s="2"/>
      <c r="BL171" s="2"/>
      <c r="BM171" s="2"/>
      <c r="BN171" s="2"/>
      <c r="BO171" s="2"/>
      <c r="BP171" s="2"/>
      <c r="BQ171" s="2"/>
      <c r="BR171" s="177"/>
      <c r="BS171" s="2"/>
      <c r="BT171" s="2"/>
      <c r="BU171" s="2"/>
      <c r="BV171" s="2"/>
      <c r="BW171" s="2"/>
      <c r="BX171" s="2"/>
      <c r="BY171" s="2"/>
      <c r="BZ171" s="177"/>
      <c r="CA171" s="2"/>
      <c r="CB171" s="2"/>
      <c r="CC171" s="2"/>
      <c r="CD171" s="2"/>
      <c r="CE171" s="2"/>
      <c r="CF171" s="2"/>
      <c r="CG171" s="2"/>
      <c r="CH171" s="177"/>
      <c r="CI171" s="2"/>
      <c r="CJ171" s="2"/>
      <c r="CK171" s="2"/>
      <c r="CL171" s="2"/>
      <c r="CM171" s="2"/>
      <c r="CN171" s="2"/>
      <c r="CO171" s="2"/>
      <c r="CP171" s="2"/>
      <c r="CQ171" s="2"/>
      <c r="CR171" s="177"/>
      <c r="CS171" s="2"/>
      <c r="CT171" s="2"/>
      <c r="CU171" s="2"/>
      <c r="CV171" s="2"/>
      <c r="CW171" s="2"/>
      <c r="CX171" s="2"/>
      <c r="CY171" s="2"/>
      <c r="CZ171" s="2"/>
      <c r="DA171" s="2"/>
      <c r="DB171" s="2"/>
      <c r="DC171" s="2"/>
      <c r="DD171" s="2"/>
      <c r="DE171" s="173"/>
      <c r="DF171" s="173"/>
    </row>
    <row r="172" spans="1:110">
      <c r="A172" s="136" t="s">
        <v>6129</v>
      </c>
      <c r="B172" s="136"/>
      <c r="C172" s="137"/>
      <c r="D172" s="120">
        <f t="shared" si="7"/>
        <v>0</v>
      </c>
      <c r="E172" s="121">
        <f t="shared" si="6"/>
        <v>1.3</v>
      </c>
      <c r="F172" s="172" cm="1">
        <f t="array" ref="F172">SUM(G172:DD172*$G$9:$DD$9)</f>
        <v>0</v>
      </c>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177"/>
      <c r="AU172" s="2"/>
      <c r="AV172" s="2"/>
      <c r="AW172" s="2"/>
      <c r="AX172" s="2"/>
      <c r="AY172" s="2"/>
      <c r="AZ172" s="2"/>
      <c r="BA172" s="2"/>
      <c r="BB172" s="2"/>
      <c r="BC172" s="2"/>
      <c r="BD172" s="177"/>
      <c r="BE172" s="2"/>
      <c r="BF172" s="2"/>
      <c r="BG172" s="2"/>
      <c r="BH172" s="2"/>
      <c r="BI172" s="2"/>
      <c r="BJ172" s="2"/>
      <c r="BK172" s="2"/>
      <c r="BL172" s="2"/>
      <c r="BM172" s="2"/>
      <c r="BN172" s="2"/>
      <c r="BO172" s="2"/>
      <c r="BP172" s="2"/>
      <c r="BQ172" s="2"/>
      <c r="BR172" s="177"/>
      <c r="BS172" s="2"/>
      <c r="BT172" s="2"/>
      <c r="BU172" s="2"/>
      <c r="BV172" s="2"/>
      <c r="BW172" s="2"/>
      <c r="BX172" s="2"/>
      <c r="BY172" s="2"/>
      <c r="BZ172" s="177"/>
      <c r="CA172" s="2"/>
      <c r="CB172" s="2"/>
      <c r="CC172" s="2"/>
      <c r="CD172" s="2"/>
      <c r="CE172" s="2"/>
      <c r="CF172" s="2"/>
      <c r="CG172" s="2"/>
      <c r="CH172" s="177"/>
      <c r="CI172" s="2"/>
      <c r="CJ172" s="2"/>
      <c r="CK172" s="2"/>
      <c r="CL172" s="2"/>
      <c r="CM172" s="2"/>
      <c r="CN172" s="2"/>
      <c r="CO172" s="2"/>
      <c r="CP172" s="2"/>
      <c r="CQ172" s="2"/>
      <c r="CR172" s="177"/>
      <c r="CS172" s="2"/>
      <c r="CT172" s="2"/>
      <c r="CU172" s="2"/>
      <c r="CV172" s="2"/>
      <c r="CW172" s="2"/>
      <c r="CX172" s="2"/>
      <c r="CY172" s="2"/>
      <c r="CZ172" s="2"/>
      <c r="DA172" s="2"/>
      <c r="DB172" s="2"/>
      <c r="DC172" s="2"/>
      <c r="DD172" s="2"/>
      <c r="DE172" s="173"/>
      <c r="DF172" s="173"/>
    </row>
    <row r="173" spans="1:110">
      <c r="A173" s="136" t="s">
        <v>6130</v>
      </c>
      <c r="B173" s="136"/>
      <c r="C173" s="137"/>
      <c r="D173" s="120">
        <f t="shared" si="7"/>
        <v>0</v>
      </c>
      <c r="E173" s="121">
        <f t="shared" si="6"/>
        <v>1.3</v>
      </c>
      <c r="F173" s="172" cm="1">
        <f t="array" ref="F173">SUM(G173:DD173*$G$9:$DD$9)</f>
        <v>0</v>
      </c>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177"/>
      <c r="AU173" s="2"/>
      <c r="AV173" s="2"/>
      <c r="AW173" s="2"/>
      <c r="AX173" s="2"/>
      <c r="AY173" s="2"/>
      <c r="AZ173" s="2"/>
      <c r="BA173" s="2"/>
      <c r="BB173" s="2"/>
      <c r="BC173" s="2"/>
      <c r="BD173" s="177"/>
      <c r="BE173" s="2"/>
      <c r="BF173" s="2"/>
      <c r="BG173" s="2"/>
      <c r="BH173" s="2"/>
      <c r="BI173" s="2"/>
      <c r="BJ173" s="2"/>
      <c r="BK173" s="2"/>
      <c r="BL173" s="2"/>
      <c r="BM173" s="2"/>
      <c r="BN173" s="2"/>
      <c r="BO173" s="2"/>
      <c r="BP173" s="2"/>
      <c r="BQ173" s="2"/>
      <c r="BR173" s="177"/>
      <c r="BS173" s="2"/>
      <c r="BT173" s="2"/>
      <c r="BU173" s="2"/>
      <c r="BV173" s="2"/>
      <c r="BW173" s="2"/>
      <c r="BX173" s="2"/>
      <c r="BY173" s="2"/>
      <c r="BZ173" s="177"/>
      <c r="CA173" s="2"/>
      <c r="CB173" s="2"/>
      <c r="CC173" s="2"/>
      <c r="CD173" s="2"/>
      <c r="CE173" s="2"/>
      <c r="CF173" s="2"/>
      <c r="CG173" s="2"/>
      <c r="CH173" s="177"/>
      <c r="CI173" s="2"/>
      <c r="CJ173" s="2"/>
      <c r="CK173" s="2"/>
      <c r="CL173" s="2"/>
      <c r="CM173" s="2"/>
      <c r="CN173" s="2"/>
      <c r="CO173" s="2"/>
      <c r="CP173" s="2"/>
      <c r="CQ173" s="2"/>
      <c r="CR173" s="177"/>
      <c r="CS173" s="2"/>
      <c r="CT173" s="2"/>
      <c r="CU173" s="2"/>
      <c r="CV173" s="2"/>
      <c r="CW173" s="2"/>
      <c r="CX173" s="2"/>
      <c r="CY173" s="2"/>
      <c r="CZ173" s="2"/>
      <c r="DA173" s="2"/>
      <c r="DB173" s="2"/>
      <c r="DC173" s="2"/>
      <c r="DD173" s="2"/>
      <c r="DE173" s="173"/>
      <c r="DF173" s="173"/>
    </row>
    <row r="174" spans="1:110">
      <c r="A174" s="136" t="s">
        <v>6131</v>
      </c>
      <c r="B174" s="136"/>
      <c r="C174" s="137"/>
      <c r="D174" s="120">
        <f t="shared" si="7"/>
        <v>0</v>
      </c>
      <c r="E174" s="121">
        <f t="shared" si="6"/>
        <v>1.3</v>
      </c>
      <c r="F174" s="172" cm="1">
        <f t="array" ref="F174">SUM(G174:DD174*$G$9:$DD$9)</f>
        <v>0</v>
      </c>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177"/>
      <c r="AU174" s="2"/>
      <c r="AV174" s="2"/>
      <c r="AW174" s="2"/>
      <c r="AX174" s="2"/>
      <c r="AY174" s="2"/>
      <c r="AZ174" s="2"/>
      <c r="BA174" s="2"/>
      <c r="BB174" s="2"/>
      <c r="BC174" s="2"/>
      <c r="BD174" s="177"/>
      <c r="BE174" s="2"/>
      <c r="BF174" s="2"/>
      <c r="BG174" s="2"/>
      <c r="BH174" s="2"/>
      <c r="BI174" s="2"/>
      <c r="BJ174" s="2"/>
      <c r="BK174" s="2"/>
      <c r="BL174" s="2"/>
      <c r="BM174" s="2"/>
      <c r="BN174" s="2"/>
      <c r="BO174" s="2"/>
      <c r="BP174" s="2"/>
      <c r="BQ174" s="2"/>
      <c r="BR174" s="177"/>
      <c r="BS174" s="2"/>
      <c r="BT174" s="2"/>
      <c r="BU174" s="2"/>
      <c r="BV174" s="2"/>
      <c r="BW174" s="2"/>
      <c r="BX174" s="2"/>
      <c r="BY174" s="2"/>
      <c r="BZ174" s="177"/>
      <c r="CA174" s="2"/>
      <c r="CB174" s="2"/>
      <c r="CC174" s="2"/>
      <c r="CD174" s="2"/>
      <c r="CE174" s="2"/>
      <c r="CF174" s="2"/>
      <c r="CG174" s="2"/>
      <c r="CH174" s="177"/>
      <c r="CI174" s="2"/>
      <c r="CJ174" s="2"/>
      <c r="CK174" s="2"/>
      <c r="CL174" s="2"/>
      <c r="CM174" s="2"/>
      <c r="CN174" s="2"/>
      <c r="CO174" s="2"/>
      <c r="CP174" s="2"/>
      <c r="CQ174" s="2"/>
      <c r="CR174" s="177"/>
      <c r="CS174" s="2"/>
      <c r="CT174" s="2"/>
      <c r="CU174" s="2"/>
      <c r="CV174" s="2"/>
      <c r="CW174" s="2"/>
      <c r="CX174" s="2"/>
      <c r="CY174" s="2"/>
      <c r="CZ174" s="2"/>
      <c r="DA174" s="2"/>
      <c r="DB174" s="2"/>
      <c r="DC174" s="2"/>
      <c r="DD174" s="2"/>
      <c r="DE174" s="173"/>
      <c r="DF174" s="173"/>
    </row>
    <row r="175" spans="1:110">
      <c r="A175" s="136" t="s">
        <v>6132</v>
      </c>
      <c r="B175" s="136"/>
      <c r="C175" s="137"/>
      <c r="D175" s="120">
        <f t="shared" si="7"/>
        <v>0</v>
      </c>
      <c r="E175" s="121">
        <f t="shared" si="6"/>
        <v>1.3</v>
      </c>
      <c r="F175" s="172" cm="1">
        <f t="array" ref="F175">SUM(G175:DD175*$G$9:$DD$9)</f>
        <v>0</v>
      </c>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177"/>
      <c r="AU175" s="2"/>
      <c r="AV175" s="2"/>
      <c r="AW175" s="2"/>
      <c r="AX175" s="2"/>
      <c r="AY175" s="2"/>
      <c r="AZ175" s="2"/>
      <c r="BA175" s="2"/>
      <c r="BB175" s="2"/>
      <c r="BC175" s="2"/>
      <c r="BD175" s="177"/>
      <c r="BE175" s="2"/>
      <c r="BF175" s="2"/>
      <c r="BG175" s="2"/>
      <c r="BH175" s="2"/>
      <c r="BI175" s="2"/>
      <c r="BJ175" s="2"/>
      <c r="BK175" s="2"/>
      <c r="BL175" s="2"/>
      <c r="BM175" s="2"/>
      <c r="BN175" s="2"/>
      <c r="BO175" s="2"/>
      <c r="BP175" s="2"/>
      <c r="BQ175" s="2"/>
      <c r="BR175" s="177"/>
      <c r="BS175" s="2"/>
      <c r="BT175" s="2"/>
      <c r="BU175" s="2"/>
      <c r="BV175" s="2"/>
      <c r="BW175" s="2"/>
      <c r="BX175" s="2"/>
      <c r="BY175" s="2"/>
      <c r="BZ175" s="177"/>
      <c r="CA175" s="2"/>
      <c r="CB175" s="2"/>
      <c r="CC175" s="2"/>
      <c r="CD175" s="2"/>
      <c r="CE175" s="2"/>
      <c r="CF175" s="2"/>
      <c r="CG175" s="2"/>
      <c r="CH175" s="177"/>
      <c r="CI175" s="2"/>
      <c r="CJ175" s="2"/>
      <c r="CK175" s="2"/>
      <c r="CL175" s="2"/>
      <c r="CM175" s="2"/>
      <c r="CN175" s="2"/>
      <c r="CO175" s="2"/>
      <c r="CP175" s="2"/>
      <c r="CQ175" s="2"/>
      <c r="CR175" s="177"/>
      <c r="CS175" s="2"/>
      <c r="CT175" s="2"/>
      <c r="CU175" s="2"/>
      <c r="CV175" s="2"/>
      <c r="CW175" s="2"/>
      <c r="CX175" s="2"/>
      <c r="CY175" s="2"/>
      <c r="CZ175" s="2"/>
      <c r="DA175" s="2"/>
      <c r="DB175" s="2"/>
      <c r="DC175" s="2"/>
      <c r="DD175" s="2"/>
      <c r="DE175" s="173"/>
      <c r="DF175" s="173"/>
    </row>
    <row r="176" spans="1:110">
      <c r="A176" s="136" t="s">
        <v>6133</v>
      </c>
      <c r="B176" s="136"/>
      <c r="C176" s="137"/>
      <c r="D176" s="120">
        <f t="shared" si="7"/>
        <v>0</v>
      </c>
      <c r="E176" s="121">
        <f t="shared" si="6"/>
        <v>1.3</v>
      </c>
      <c r="F176" s="172" cm="1">
        <f t="array" ref="F176">SUM(G176:DD176*$G$9:$DD$9)</f>
        <v>0</v>
      </c>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177"/>
      <c r="AU176" s="2"/>
      <c r="AV176" s="2"/>
      <c r="AW176" s="2"/>
      <c r="AX176" s="2"/>
      <c r="AY176" s="2"/>
      <c r="AZ176" s="2"/>
      <c r="BA176" s="2"/>
      <c r="BB176" s="2"/>
      <c r="BC176" s="2"/>
      <c r="BD176" s="177"/>
      <c r="BE176" s="2"/>
      <c r="BF176" s="2"/>
      <c r="BG176" s="2"/>
      <c r="BH176" s="2"/>
      <c r="BI176" s="2"/>
      <c r="BJ176" s="2"/>
      <c r="BK176" s="2"/>
      <c r="BL176" s="2"/>
      <c r="BM176" s="2"/>
      <c r="BN176" s="2"/>
      <c r="BO176" s="2"/>
      <c r="BP176" s="2"/>
      <c r="BQ176" s="2"/>
      <c r="BR176" s="177"/>
      <c r="BS176" s="2"/>
      <c r="BT176" s="2"/>
      <c r="BU176" s="2"/>
      <c r="BV176" s="2"/>
      <c r="BW176" s="2"/>
      <c r="BX176" s="2"/>
      <c r="BY176" s="2"/>
      <c r="BZ176" s="177"/>
      <c r="CA176" s="2"/>
      <c r="CB176" s="2"/>
      <c r="CC176" s="2"/>
      <c r="CD176" s="2"/>
      <c r="CE176" s="2"/>
      <c r="CF176" s="2"/>
      <c r="CG176" s="2"/>
      <c r="CH176" s="177"/>
      <c r="CI176" s="2"/>
      <c r="CJ176" s="2"/>
      <c r="CK176" s="2"/>
      <c r="CL176" s="2"/>
      <c r="CM176" s="2"/>
      <c r="CN176" s="2"/>
      <c r="CO176" s="2"/>
      <c r="CP176" s="2"/>
      <c r="CQ176" s="2"/>
      <c r="CR176" s="177"/>
      <c r="CS176" s="2"/>
      <c r="CT176" s="2"/>
      <c r="CU176" s="2"/>
      <c r="CV176" s="2"/>
      <c r="CW176" s="2"/>
      <c r="CX176" s="2"/>
      <c r="CY176" s="2"/>
      <c r="CZ176" s="2"/>
      <c r="DA176" s="2"/>
      <c r="DB176" s="2"/>
      <c r="DC176" s="2"/>
      <c r="DD176" s="2"/>
      <c r="DE176" s="173"/>
      <c r="DF176" s="173"/>
    </row>
    <row r="177" spans="1:110">
      <c r="A177" s="136" t="s">
        <v>6134</v>
      </c>
      <c r="B177" s="136"/>
      <c r="C177" s="137"/>
      <c r="D177" s="120">
        <f t="shared" si="7"/>
        <v>0</v>
      </c>
      <c r="E177" s="121">
        <f t="shared" si="6"/>
        <v>1.3</v>
      </c>
      <c r="F177" s="172" cm="1">
        <f t="array" ref="F177">SUM(G177:DD177*$G$9:$DD$9)</f>
        <v>0</v>
      </c>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177"/>
      <c r="AU177" s="2"/>
      <c r="AV177" s="2"/>
      <c r="AW177" s="2"/>
      <c r="AX177" s="2"/>
      <c r="AY177" s="2"/>
      <c r="AZ177" s="2"/>
      <c r="BA177" s="2"/>
      <c r="BB177" s="2"/>
      <c r="BC177" s="2"/>
      <c r="BD177" s="177"/>
      <c r="BE177" s="2"/>
      <c r="BF177" s="2"/>
      <c r="BG177" s="2"/>
      <c r="BH177" s="2"/>
      <c r="BI177" s="2"/>
      <c r="BJ177" s="2"/>
      <c r="BK177" s="2"/>
      <c r="BL177" s="2"/>
      <c r="BM177" s="2"/>
      <c r="BN177" s="2"/>
      <c r="BO177" s="2"/>
      <c r="BP177" s="2"/>
      <c r="BQ177" s="2"/>
      <c r="BR177" s="177"/>
      <c r="BS177" s="2"/>
      <c r="BT177" s="2"/>
      <c r="BU177" s="2"/>
      <c r="BV177" s="2"/>
      <c r="BW177" s="2"/>
      <c r="BX177" s="2"/>
      <c r="BY177" s="2"/>
      <c r="BZ177" s="177"/>
      <c r="CA177" s="2"/>
      <c r="CB177" s="2"/>
      <c r="CC177" s="2"/>
      <c r="CD177" s="2"/>
      <c r="CE177" s="2"/>
      <c r="CF177" s="2"/>
      <c r="CG177" s="2"/>
      <c r="CH177" s="177"/>
      <c r="CI177" s="2"/>
      <c r="CJ177" s="2"/>
      <c r="CK177" s="2"/>
      <c r="CL177" s="2"/>
      <c r="CM177" s="2"/>
      <c r="CN177" s="2"/>
      <c r="CO177" s="2"/>
      <c r="CP177" s="2"/>
      <c r="CQ177" s="2"/>
      <c r="CR177" s="177"/>
      <c r="CS177" s="2"/>
      <c r="CT177" s="2"/>
      <c r="CU177" s="2"/>
      <c r="CV177" s="2"/>
      <c r="CW177" s="2"/>
      <c r="CX177" s="2"/>
      <c r="CY177" s="2"/>
      <c r="CZ177" s="2"/>
      <c r="DA177" s="2"/>
      <c r="DB177" s="2"/>
      <c r="DC177" s="2"/>
      <c r="DD177" s="2"/>
      <c r="DE177" s="173"/>
      <c r="DF177" s="173"/>
    </row>
    <row r="178" spans="1:110">
      <c r="A178" s="136" t="s">
        <v>6135</v>
      </c>
      <c r="B178" s="136"/>
      <c r="C178" s="137"/>
      <c r="D178" s="120">
        <f t="shared" si="7"/>
        <v>0</v>
      </c>
      <c r="E178" s="121">
        <f t="shared" si="6"/>
        <v>1.3</v>
      </c>
      <c r="F178" s="172" cm="1">
        <f t="array" ref="F178">SUM(G178:DD178*$G$9:$DD$9)</f>
        <v>0</v>
      </c>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177"/>
      <c r="AU178" s="2"/>
      <c r="AV178" s="2"/>
      <c r="AW178" s="2"/>
      <c r="AX178" s="2"/>
      <c r="AY178" s="2"/>
      <c r="AZ178" s="2"/>
      <c r="BA178" s="2"/>
      <c r="BB178" s="2"/>
      <c r="BC178" s="2"/>
      <c r="BD178" s="177"/>
      <c r="BE178" s="2"/>
      <c r="BF178" s="2"/>
      <c r="BG178" s="2"/>
      <c r="BH178" s="2"/>
      <c r="BI178" s="2"/>
      <c r="BJ178" s="2"/>
      <c r="BK178" s="2"/>
      <c r="BL178" s="2"/>
      <c r="BM178" s="2"/>
      <c r="BN178" s="2"/>
      <c r="BO178" s="2"/>
      <c r="BP178" s="2"/>
      <c r="BQ178" s="2"/>
      <c r="BR178" s="177"/>
      <c r="BS178" s="2"/>
      <c r="BT178" s="2"/>
      <c r="BU178" s="2"/>
      <c r="BV178" s="2"/>
      <c r="BW178" s="2"/>
      <c r="BX178" s="2"/>
      <c r="BY178" s="2"/>
      <c r="BZ178" s="177"/>
      <c r="CA178" s="2"/>
      <c r="CB178" s="2"/>
      <c r="CC178" s="2"/>
      <c r="CD178" s="2"/>
      <c r="CE178" s="2"/>
      <c r="CF178" s="2"/>
      <c r="CG178" s="2"/>
      <c r="CH178" s="177"/>
      <c r="CI178" s="2"/>
      <c r="CJ178" s="2"/>
      <c r="CK178" s="2"/>
      <c r="CL178" s="2"/>
      <c r="CM178" s="2"/>
      <c r="CN178" s="2"/>
      <c r="CO178" s="2"/>
      <c r="CP178" s="2"/>
      <c r="CQ178" s="2"/>
      <c r="CR178" s="177"/>
      <c r="CS178" s="2"/>
      <c r="CT178" s="2"/>
      <c r="CU178" s="2"/>
      <c r="CV178" s="2"/>
      <c r="CW178" s="2"/>
      <c r="CX178" s="2"/>
      <c r="CY178" s="2"/>
      <c r="CZ178" s="2"/>
      <c r="DA178" s="2"/>
      <c r="DB178" s="2"/>
      <c r="DC178" s="2"/>
      <c r="DD178" s="2"/>
      <c r="DE178" s="173"/>
      <c r="DF178" s="173"/>
    </row>
    <row r="179" spans="1:110">
      <c r="A179" s="136" t="s">
        <v>6136</v>
      </c>
      <c r="B179" s="136"/>
      <c r="C179" s="137"/>
      <c r="D179" s="120">
        <f t="shared" si="7"/>
        <v>0</v>
      </c>
      <c r="E179" s="121">
        <f t="shared" si="6"/>
        <v>1.3</v>
      </c>
      <c r="F179" s="172" cm="1">
        <f t="array" ref="F179">SUM(G179:DD179*$G$9:$DD$9)</f>
        <v>0</v>
      </c>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177"/>
      <c r="AU179" s="2"/>
      <c r="AV179" s="2"/>
      <c r="AW179" s="2"/>
      <c r="AX179" s="2"/>
      <c r="AY179" s="2"/>
      <c r="AZ179" s="2"/>
      <c r="BA179" s="2"/>
      <c r="BB179" s="2"/>
      <c r="BC179" s="2"/>
      <c r="BD179" s="177"/>
      <c r="BE179" s="2"/>
      <c r="BF179" s="2"/>
      <c r="BG179" s="2"/>
      <c r="BH179" s="2"/>
      <c r="BI179" s="2"/>
      <c r="BJ179" s="2"/>
      <c r="BK179" s="2"/>
      <c r="BL179" s="2"/>
      <c r="BM179" s="2"/>
      <c r="BN179" s="2"/>
      <c r="BO179" s="2"/>
      <c r="BP179" s="2"/>
      <c r="BQ179" s="2"/>
      <c r="BR179" s="177"/>
      <c r="BS179" s="2"/>
      <c r="BT179" s="2"/>
      <c r="BU179" s="2"/>
      <c r="BV179" s="2"/>
      <c r="BW179" s="2"/>
      <c r="BX179" s="2"/>
      <c r="BY179" s="2"/>
      <c r="BZ179" s="177"/>
      <c r="CA179" s="2"/>
      <c r="CB179" s="2"/>
      <c r="CC179" s="2"/>
      <c r="CD179" s="2"/>
      <c r="CE179" s="2"/>
      <c r="CF179" s="2"/>
      <c r="CG179" s="2"/>
      <c r="CH179" s="177"/>
      <c r="CI179" s="2"/>
      <c r="CJ179" s="2"/>
      <c r="CK179" s="2"/>
      <c r="CL179" s="2"/>
      <c r="CM179" s="2"/>
      <c r="CN179" s="2"/>
      <c r="CO179" s="2"/>
      <c r="CP179" s="2"/>
      <c r="CQ179" s="2"/>
      <c r="CR179" s="177"/>
      <c r="CS179" s="2"/>
      <c r="CT179" s="2"/>
      <c r="CU179" s="2"/>
      <c r="CV179" s="2"/>
      <c r="CW179" s="2"/>
      <c r="CX179" s="2"/>
      <c r="CY179" s="2"/>
      <c r="CZ179" s="2"/>
      <c r="DA179" s="2"/>
      <c r="DB179" s="2"/>
      <c r="DC179" s="2"/>
      <c r="DD179" s="2"/>
      <c r="DE179" s="173"/>
      <c r="DF179" s="173"/>
    </row>
    <row r="180" spans="1:110">
      <c r="A180" s="136" t="s">
        <v>6137</v>
      </c>
      <c r="B180" s="136"/>
      <c r="C180" s="137"/>
      <c r="D180" s="120">
        <f t="shared" si="7"/>
        <v>0</v>
      </c>
      <c r="E180" s="121">
        <f t="shared" si="6"/>
        <v>1.3</v>
      </c>
      <c r="F180" s="172" cm="1">
        <f t="array" ref="F180">SUM(G180:DD180*$G$9:$DD$9)</f>
        <v>0</v>
      </c>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177"/>
      <c r="AU180" s="2"/>
      <c r="AV180" s="2"/>
      <c r="AW180" s="2"/>
      <c r="AX180" s="2"/>
      <c r="AY180" s="2"/>
      <c r="AZ180" s="2"/>
      <c r="BA180" s="2"/>
      <c r="BB180" s="2"/>
      <c r="BC180" s="2"/>
      <c r="BD180" s="177"/>
      <c r="BE180" s="2"/>
      <c r="BF180" s="2"/>
      <c r="BG180" s="2"/>
      <c r="BH180" s="2"/>
      <c r="BI180" s="2"/>
      <c r="BJ180" s="2"/>
      <c r="BK180" s="2"/>
      <c r="BL180" s="2"/>
      <c r="BM180" s="2"/>
      <c r="BN180" s="2"/>
      <c r="BO180" s="2"/>
      <c r="BP180" s="2"/>
      <c r="BQ180" s="2"/>
      <c r="BR180" s="177"/>
      <c r="BS180" s="2"/>
      <c r="BT180" s="2"/>
      <c r="BU180" s="2"/>
      <c r="BV180" s="2"/>
      <c r="BW180" s="2"/>
      <c r="BX180" s="2"/>
      <c r="BY180" s="2"/>
      <c r="BZ180" s="177"/>
      <c r="CA180" s="2"/>
      <c r="CB180" s="2"/>
      <c r="CC180" s="2"/>
      <c r="CD180" s="2"/>
      <c r="CE180" s="2"/>
      <c r="CF180" s="2"/>
      <c r="CG180" s="2"/>
      <c r="CH180" s="177"/>
      <c r="CI180" s="2"/>
      <c r="CJ180" s="2"/>
      <c r="CK180" s="2"/>
      <c r="CL180" s="2"/>
      <c r="CM180" s="2"/>
      <c r="CN180" s="2"/>
      <c r="CO180" s="2"/>
      <c r="CP180" s="2"/>
      <c r="CQ180" s="2"/>
      <c r="CR180" s="177"/>
      <c r="CS180" s="2"/>
      <c r="CT180" s="2"/>
      <c r="CU180" s="2"/>
      <c r="CV180" s="2"/>
      <c r="CW180" s="2"/>
      <c r="CX180" s="2"/>
      <c r="CY180" s="2"/>
      <c r="CZ180" s="2"/>
      <c r="DA180" s="2"/>
      <c r="DB180" s="2"/>
      <c r="DC180" s="2"/>
      <c r="DD180" s="2"/>
      <c r="DE180" s="173"/>
      <c r="DF180" s="173"/>
    </row>
    <row r="181" spans="1:110">
      <c r="A181" s="136" t="s">
        <v>6138</v>
      </c>
      <c r="B181" s="136"/>
      <c r="C181" s="137"/>
      <c r="D181" s="120">
        <f t="shared" si="7"/>
        <v>0</v>
      </c>
      <c r="E181" s="121">
        <f t="shared" si="6"/>
        <v>1.3</v>
      </c>
      <c r="F181" s="172" cm="1">
        <f t="array" ref="F181">SUM(G181:DD181*$G$9:$DD$9)</f>
        <v>0</v>
      </c>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177"/>
      <c r="AU181" s="2"/>
      <c r="AV181" s="2"/>
      <c r="AW181" s="2"/>
      <c r="AX181" s="2"/>
      <c r="AY181" s="2"/>
      <c r="AZ181" s="2"/>
      <c r="BA181" s="2"/>
      <c r="BB181" s="2"/>
      <c r="BC181" s="2"/>
      <c r="BD181" s="177"/>
      <c r="BE181" s="2"/>
      <c r="BF181" s="2"/>
      <c r="BG181" s="2"/>
      <c r="BH181" s="2"/>
      <c r="BI181" s="2"/>
      <c r="BJ181" s="2"/>
      <c r="BK181" s="2"/>
      <c r="BL181" s="2"/>
      <c r="BM181" s="2"/>
      <c r="BN181" s="2"/>
      <c r="BO181" s="2"/>
      <c r="BP181" s="2"/>
      <c r="BQ181" s="2"/>
      <c r="BR181" s="177"/>
      <c r="BS181" s="2"/>
      <c r="BT181" s="2"/>
      <c r="BU181" s="2"/>
      <c r="BV181" s="2"/>
      <c r="BW181" s="2"/>
      <c r="BX181" s="2"/>
      <c r="BY181" s="2"/>
      <c r="BZ181" s="177"/>
      <c r="CA181" s="2"/>
      <c r="CB181" s="2"/>
      <c r="CC181" s="2"/>
      <c r="CD181" s="2"/>
      <c r="CE181" s="2"/>
      <c r="CF181" s="2"/>
      <c r="CG181" s="2"/>
      <c r="CH181" s="177"/>
      <c r="CI181" s="2"/>
      <c r="CJ181" s="2"/>
      <c r="CK181" s="2"/>
      <c r="CL181" s="2"/>
      <c r="CM181" s="2"/>
      <c r="CN181" s="2"/>
      <c r="CO181" s="2"/>
      <c r="CP181" s="2"/>
      <c r="CQ181" s="2"/>
      <c r="CR181" s="177"/>
      <c r="CS181" s="2"/>
      <c r="CT181" s="2"/>
      <c r="CU181" s="2"/>
      <c r="CV181" s="2"/>
      <c r="CW181" s="2"/>
      <c r="CX181" s="2"/>
      <c r="CY181" s="2"/>
      <c r="CZ181" s="2"/>
      <c r="DA181" s="2"/>
      <c r="DB181" s="2"/>
      <c r="DC181" s="2"/>
      <c r="DD181" s="2"/>
      <c r="DE181" s="173"/>
      <c r="DF181" s="173"/>
    </row>
    <row r="182" spans="1:110">
      <c r="A182" s="136" t="s">
        <v>6139</v>
      </c>
      <c r="B182" s="136"/>
      <c r="C182" s="137"/>
      <c r="D182" s="120">
        <f t="shared" si="7"/>
        <v>0</v>
      </c>
      <c r="E182" s="121">
        <f t="shared" si="6"/>
        <v>1.3</v>
      </c>
      <c r="F182" s="172" cm="1">
        <f t="array" ref="F182">SUM(G182:DD182*$G$9:$DD$9)</f>
        <v>0</v>
      </c>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177"/>
      <c r="AU182" s="2"/>
      <c r="AV182" s="2"/>
      <c r="AW182" s="2"/>
      <c r="AX182" s="2"/>
      <c r="AY182" s="2"/>
      <c r="AZ182" s="2"/>
      <c r="BA182" s="2"/>
      <c r="BB182" s="2"/>
      <c r="BC182" s="2"/>
      <c r="BD182" s="177"/>
      <c r="BE182" s="2"/>
      <c r="BF182" s="2"/>
      <c r="BG182" s="2"/>
      <c r="BH182" s="2"/>
      <c r="BI182" s="2"/>
      <c r="BJ182" s="2"/>
      <c r="BK182" s="2"/>
      <c r="BL182" s="2"/>
      <c r="BM182" s="2"/>
      <c r="BN182" s="2"/>
      <c r="BO182" s="2"/>
      <c r="BP182" s="2"/>
      <c r="BQ182" s="2"/>
      <c r="BR182" s="177"/>
      <c r="BS182" s="2"/>
      <c r="BT182" s="2"/>
      <c r="BU182" s="2"/>
      <c r="BV182" s="2"/>
      <c r="BW182" s="2"/>
      <c r="BX182" s="2"/>
      <c r="BY182" s="2"/>
      <c r="BZ182" s="177"/>
      <c r="CA182" s="2"/>
      <c r="CB182" s="2"/>
      <c r="CC182" s="2"/>
      <c r="CD182" s="2"/>
      <c r="CE182" s="2"/>
      <c r="CF182" s="2"/>
      <c r="CG182" s="2"/>
      <c r="CH182" s="177"/>
      <c r="CI182" s="2"/>
      <c r="CJ182" s="2"/>
      <c r="CK182" s="2"/>
      <c r="CL182" s="2"/>
      <c r="CM182" s="2"/>
      <c r="CN182" s="2"/>
      <c r="CO182" s="2"/>
      <c r="CP182" s="2"/>
      <c r="CQ182" s="2"/>
      <c r="CR182" s="177"/>
      <c r="CS182" s="2"/>
      <c r="CT182" s="2"/>
      <c r="CU182" s="2"/>
      <c r="CV182" s="2"/>
      <c r="CW182" s="2"/>
      <c r="CX182" s="2"/>
      <c r="CY182" s="2"/>
      <c r="CZ182" s="2"/>
      <c r="DA182" s="2"/>
      <c r="DB182" s="2"/>
      <c r="DC182" s="2"/>
      <c r="DD182" s="2"/>
      <c r="DE182" s="173"/>
      <c r="DF182" s="173"/>
    </row>
    <row r="183" spans="1:110">
      <c r="A183" s="136" t="s">
        <v>6140</v>
      </c>
      <c r="B183" s="136"/>
      <c r="C183" s="137"/>
      <c r="D183" s="120">
        <f t="shared" si="7"/>
        <v>0</v>
      </c>
      <c r="E183" s="121">
        <f t="shared" si="6"/>
        <v>1.3</v>
      </c>
      <c r="F183" s="172" cm="1">
        <f t="array" ref="F183">SUM(G183:DD183*$G$9:$DD$9)</f>
        <v>0</v>
      </c>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177"/>
      <c r="AU183" s="2"/>
      <c r="AV183" s="2"/>
      <c r="AW183" s="2"/>
      <c r="AX183" s="2"/>
      <c r="AY183" s="2"/>
      <c r="AZ183" s="2"/>
      <c r="BA183" s="2"/>
      <c r="BB183" s="2"/>
      <c r="BC183" s="2"/>
      <c r="BD183" s="177"/>
      <c r="BE183" s="2"/>
      <c r="BF183" s="2"/>
      <c r="BG183" s="2"/>
      <c r="BH183" s="2"/>
      <c r="BI183" s="2"/>
      <c r="BJ183" s="2"/>
      <c r="BK183" s="2"/>
      <c r="BL183" s="2"/>
      <c r="BM183" s="2"/>
      <c r="BN183" s="2"/>
      <c r="BO183" s="2"/>
      <c r="BP183" s="2"/>
      <c r="BQ183" s="2"/>
      <c r="BR183" s="177"/>
      <c r="BS183" s="2"/>
      <c r="BT183" s="2"/>
      <c r="BU183" s="2"/>
      <c r="BV183" s="2"/>
      <c r="BW183" s="2"/>
      <c r="BX183" s="2"/>
      <c r="BY183" s="2"/>
      <c r="BZ183" s="177"/>
      <c r="CA183" s="2"/>
      <c r="CB183" s="2"/>
      <c r="CC183" s="2"/>
      <c r="CD183" s="2"/>
      <c r="CE183" s="2"/>
      <c r="CF183" s="2"/>
      <c r="CG183" s="2"/>
      <c r="CH183" s="177"/>
      <c r="CI183" s="2"/>
      <c r="CJ183" s="2"/>
      <c r="CK183" s="2"/>
      <c r="CL183" s="2"/>
      <c r="CM183" s="2"/>
      <c r="CN183" s="2"/>
      <c r="CO183" s="2"/>
      <c r="CP183" s="2"/>
      <c r="CQ183" s="2"/>
      <c r="CR183" s="177"/>
      <c r="CS183" s="2"/>
      <c r="CT183" s="2"/>
      <c r="CU183" s="2"/>
      <c r="CV183" s="2"/>
      <c r="CW183" s="2"/>
      <c r="CX183" s="2"/>
      <c r="CY183" s="2"/>
      <c r="CZ183" s="2"/>
      <c r="DA183" s="2"/>
      <c r="DB183" s="2"/>
      <c r="DC183" s="2"/>
      <c r="DD183" s="2"/>
      <c r="DE183" s="173"/>
      <c r="DF183" s="173"/>
    </row>
    <row r="184" spans="1:110">
      <c r="A184" s="136" t="s">
        <v>6141</v>
      </c>
      <c r="B184" s="136"/>
      <c r="C184" s="137"/>
      <c r="D184" s="120">
        <f t="shared" si="7"/>
        <v>0</v>
      </c>
      <c r="E184" s="121">
        <f t="shared" si="6"/>
        <v>1.3</v>
      </c>
      <c r="F184" s="172" cm="1">
        <f t="array" ref="F184">SUM(G184:DD184*$G$9:$DD$9)</f>
        <v>0</v>
      </c>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177"/>
      <c r="AU184" s="2"/>
      <c r="AV184" s="2"/>
      <c r="AW184" s="2"/>
      <c r="AX184" s="2"/>
      <c r="AY184" s="2"/>
      <c r="AZ184" s="2"/>
      <c r="BA184" s="2"/>
      <c r="BB184" s="2"/>
      <c r="BC184" s="2"/>
      <c r="BD184" s="177"/>
      <c r="BE184" s="2"/>
      <c r="BF184" s="2"/>
      <c r="BG184" s="2"/>
      <c r="BH184" s="2"/>
      <c r="BI184" s="2"/>
      <c r="BJ184" s="2"/>
      <c r="BK184" s="2"/>
      <c r="BL184" s="2"/>
      <c r="BM184" s="2"/>
      <c r="BN184" s="2"/>
      <c r="BO184" s="2"/>
      <c r="BP184" s="2"/>
      <c r="BQ184" s="2"/>
      <c r="BR184" s="177"/>
      <c r="BS184" s="2"/>
      <c r="BT184" s="2"/>
      <c r="BU184" s="2"/>
      <c r="BV184" s="2"/>
      <c r="BW184" s="2"/>
      <c r="BX184" s="2"/>
      <c r="BY184" s="2"/>
      <c r="BZ184" s="177"/>
      <c r="CA184" s="2"/>
      <c r="CB184" s="2"/>
      <c r="CC184" s="2"/>
      <c r="CD184" s="2"/>
      <c r="CE184" s="2"/>
      <c r="CF184" s="2"/>
      <c r="CG184" s="2"/>
      <c r="CH184" s="177"/>
      <c r="CI184" s="2"/>
      <c r="CJ184" s="2"/>
      <c r="CK184" s="2"/>
      <c r="CL184" s="2"/>
      <c r="CM184" s="2"/>
      <c r="CN184" s="2"/>
      <c r="CO184" s="2"/>
      <c r="CP184" s="2"/>
      <c r="CQ184" s="2"/>
      <c r="CR184" s="177"/>
      <c r="CS184" s="2"/>
      <c r="CT184" s="2"/>
      <c r="CU184" s="2"/>
      <c r="CV184" s="2"/>
      <c r="CW184" s="2"/>
      <c r="CX184" s="2"/>
      <c r="CY184" s="2"/>
      <c r="CZ184" s="2"/>
      <c r="DA184" s="2"/>
      <c r="DB184" s="2"/>
      <c r="DC184" s="2"/>
      <c r="DD184" s="2"/>
      <c r="DE184" s="173"/>
      <c r="DF184" s="173"/>
    </row>
    <row r="185" spans="1:110">
      <c r="A185" s="136" t="s">
        <v>6142</v>
      </c>
      <c r="B185" s="136"/>
      <c r="C185" s="137"/>
      <c r="D185" s="120">
        <f t="shared" si="7"/>
        <v>0</v>
      </c>
      <c r="E185" s="121">
        <f t="shared" si="6"/>
        <v>1.3</v>
      </c>
      <c r="F185" s="172" cm="1">
        <f t="array" ref="F185">SUM(G185:DD185*$G$9:$DD$9)</f>
        <v>0</v>
      </c>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177"/>
      <c r="AU185" s="2"/>
      <c r="AV185" s="2"/>
      <c r="AW185" s="2"/>
      <c r="AX185" s="2"/>
      <c r="AY185" s="2"/>
      <c r="AZ185" s="2"/>
      <c r="BA185" s="2"/>
      <c r="BB185" s="2"/>
      <c r="BC185" s="2"/>
      <c r="BD185" s="177"/>
      <c r="BE185" s="2"/>
      <c r="BF185" s="2"/>
      <c r="BG185" s="2"/>
      <c r="BH185" s="2"/>
      <c r="BI185" s="2"/>
      <c r="BJ185" s="2"/>
      <c r="BK185" s="2"/>
      <c r="BL185" s="2"/>
      <c r="BM185" s="2"/>
      <c r="BN185" s="2"/>
      <c r="BO185" s="2"/>
      <c r="BP185" s="2"/>
      <c r="BQ185" s="2"/>
      <c r="BR185" s="177"/>
      <c r="BS185" s="2"/>
      <c r="BT185" s="2"/>
      <c r="BU185" s="2"/>
      <c r="BV185" s="2"/>
      <c r="BW185" s="2"/>
      <c r="BX185" s="2"/>
      <c r="BY185" s="2"/>
      <c r="BZ185" s="177"/>
      <c r="CA185" s="2"/>
      <c r="CB185" s="2"/>
      <c r="CC185" s="2"/>
      <c r="CD185" s="2"/>
      <c r="CE185" s="2"/>
      <c r="CF185" s="2"/>
      <c r="CG185" s="2"/>
      <c r="CH185" s="177"/>
      <c r="CI185" s="2"/>
      <c r="CJ185" s="2"/>
      <c r="CK185" s="2"/>
      <c r="CL185" s="2"/>
      <c r="CM185" s="2"/>
      <c r="CN185" s="2"/>
      <c r="CO185" s="2"/>
      <c r="CP185" s="2"/>
      <c r="CQ185" s="2"/>
      <c r="CR185" s="177"/>
      <c r="CS185" s="2"/>
      <c r="CT185" s="2"/>
      <c r="CU185" s="2"/>
      <c r="CV185" s="2"/>
      <c r="CW185" s="2"/>
      <c r="CX185" s="2"/>
      <c r="CY185" s="2"/>
      <c r="CZ185" s="2"/>
      <c r="DA185" s="2"/>
      <c r="DB185" s="2"/>
      <c r="DC185" s="2"/>
      <c r="DD185" s="2"/>
      <c r="DE185" s="173"/>
      <c r="DF185" s="173"/>
    </row>
    <row r="186" spans="1:110">
      <c r="A186" s="136" t="s">
        <v>6143</v>
      </c>
      <c r="B186" s="136"/>
      <c r="C186" s="137"/>
      <c r="D186" s="120">
        <f t="shared" si="7"/>
        <v>0</v>
      </c>
      <c r="E186" s="121">
        <f t="shared" si="6"/>
        <v>1.3</v>
      </c>
      <c r="F186" s="172" cm="1">
        <f t="array" ref="F186">SUM(G186:DD186*$G$9:$DD$9)</f>
        <v>0</v>
      </c>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177"/>
      <c r="AU186" s="2"/>
      <c r="AV186" s="2"/>
      <c r="AW186" s="2"/>
      <c r="AX186" s="2"/>
      <c r="AY186" s="2"/>
      <c r="AZ186" s="2"/>
      <c r="BA186" s="2"/>
      <c r="BB186" s="2"/>
      <c r="BC186" s="2"/>
      <c r="BD186" s="177"/>
      <c r="BE186" s="2"/>
      <c r="BF186" s="2"/>
      <c r="BG186" s="2"/>
      <c r="BH186" s="2"/>
      <c r="BI186" s="2"/>
      <c r="BJ186" s="2"/>
      <c r="BK186" s="2"/>
      <c r="BL186" s="2"/>
      <c r="BM186" s="2"/>
      <c r="BN186" s="2"/>
      <c r="BO186" s="2"/>
      <c r="BP186" s="2"/>
      <c r="BQ186" s="2"/>
      <c r="BR186" s="177"/>
      <c r="BS186" s="2"/>
      <c r="BT186" s="2"/>
      <c r="BU186" s="2"/>
      <c r="BV186" s="2"/>
      <c r="BW186" s="2"/>
      <c r="BX186" s="2"/>
      <c r="BY186" s="2"/>
      <c r="BZ186" s="177"/>
      <c r="CA186" s="2"/>
      <c r="CB186" s="2"/>
      <c r="CC186" s="2"/>
      <c r="CD186" s="2"/>
      <c r="CE186" s="2"/>
      <c r="CF186" s="2"/>
      <c r="CG186" s="2"/>
      <c r="CH186" s="177"/>
      <c r="CI186" s="2"/>
      <c r="CJ186" s="2"/>
      <c r="CK186" s="2"/>
      <c r="CL186" s="2"/>
      <c r="CM186" s="2"/>
      <c r="CN186" s="2"/>
      <c r="CO186" s="2"/>
      <c r="CP186" s="2"/>
      <c r="CQ186" s="2"/>
      <c r="CR186" s="177"/>
      <c r="CS186" s="2"/>
      <c r="CT186" s="2"/>
      <c r="CU186" s="2"/>
      <c r="CV186" s="2"/>
      <c r="CW186" s="2"/>
      <c r="CX186" s="2"/>
      <c r="CY186" s="2"/>
      <c r="CZ186" s="2"/>
      <c r="DA186" s="2"/>
      <c r="DB186" s="2"/>
      <c r="DC186" s="2"/>
      <c r="DD186" s="2"/>
      <c r="DE186" s="173"/>
      <c r="DF186" s="173"/>
    </row>
    <row r="187" spans="1:110">
      <c r="A187" s="136" t="s">
        <v>6144</v>
      </c>
      <c r="B187" s="136"/>
      <c r="C187" s="137"/>
      <c r="D187" s="120">
        <f t="shared" si="7"/>
        <v>0</v>
      </c>
      <c r="E187" s="121">
        <f t="shared" si="6"/>
        <v>1.3</v>
      </c>
      <c r="F187" s="172" cm="1">
        <f t="array" ref="F187">SUM(G187:DD187*$G$9:$DD$9)</f>
        <v>0</v>
      </c>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177"/>
      <c r="AU187" s="2"/>
      <c r="AV187" s="2"/>
      <c r="AW187" s="2"/>
      <c r="AX187" s="2"/>
      <c r="AY187" s="2"/>
      <c r="AZ187" s="2"/>
      <c r="BA187" s="2"/>
      <c r="BB187" s="2"/>
      <c r="BC187" s="2"/>
      <c r="BD187" s="177"/>
      <c r="BE187" s="2"/>
      <c r="BF187" s="2"/>
      <c r="BG187" s="2"/>
      <c r="BH187" s="2"/>
      <c r="BI187" s="2"/>
      <c r="BJ187" s="2"/>
      <c r="BK187" s="2"/>
      <c r="BL187" s="2"/>
      <c r="BM187" s="2"/>
      <c r="BN187" s="2"/>
      <c r="BO187" s="2"/>
      <c r="BP187" s="2"/>
      <c r="BQ187" s="2"/>
      <c r="BR187" s="177"/>
      <c r="BS187" s="2"/>
      <c r="BT187" s="2"/>
      <c r="BU187" s="2"/>
      <c r="BV187" s="2"/>
      <c r="BW187" s="2"/>
      <c r="BX187" s="2"/>
      <c r="BY187" s="2"/>
      <c r="BZ187" s="177"/>
      <c r="CA187" s="2"/>
      <c r="CB187" s="2"/>
      <c r="CC187" s="2"/>
      <c r="CD187" s="2"/>
      <c r="CE187" s="2"/>
      <c r="CF187" s="2"/>
      <c r="CG187" s="2"/>
      <c r="CH187" s="177"/>
      <c r="CI187" s="2"/>
      <c r="CJ187" s="2"/>
      <c r="CK187" s="2"/>
      <c r="CL187" s="2"/>
      <c r="CM187" s="2"/>
      <c r="CN187" s="2"/>
      <c r="CO187" s="2"/>
      <c r="CP187" s="2"/>
      <c r="CQ187" s="2"/>
      <c r="CR187" s="177"/>
      <c r="CS187" s="2"/>
      <c r="CT187" s="2"/>
      <c r="CU187" s="2"/>
      <c r="CV187" s="2"/>
      <c r="CW187" s="2"/>
      <c r="CX187" s="2"/>
      <c r="CY187" s="2"/>
      <c r="CZ187" s="2"/>
      <c r="DA187" s="2"/>
      <c r="DB187" s="2"/>
      <c r="DC187" s="2"/>
      <c r="DD187" s="2"/>
      <c r="DE187" s="173"/>
      <c r="DF187" s="173"/>
    </row>
    <row r="188" spans="1:110">
      <c r="A188" s="136" t="s">
        <v>6145</v>
      </c>
      <c r="B188" s="136"/>
      <c r="C188" s="137"/>
      <c r="D188" s="120">
        <f t="shared" si="7"/>
        <v>0</v>
      </c>
      <c r="E188" s="121">
        <f t="shared" si="6"/>
        <v>1.3</v>
      </c>
      <c r="F188" s="172" cm="1">
        <f t="array" ref="F188">SUM(G188:DD188*$G$9:$DD$9)</f>
        <v>0</v>
      </c>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177"/>
      <c r="AU188" s="2"/>
      <c r="AV188" s="2"/>
      <c r="AW188" s="2"/>
      <c r="AX188" s="2"/>
      <c r="AY188" s="2"/>
      <c r="AZ188" s="2"/>
      <c r="BA188" s="2"/>
      <c r="BB188" s="2"/>
      <c r="BC188" s="2"/>
      <c r="BD188" s="177"/>
      <c r="BE188" s="2"/>
      <c r="BF188" s="2"/>
      <c r="BG188" s="2"/>
      <c r="BH188" s="2"/>
      <c r="BI188" s="2"/>
      <c r="BJ188" s="2"/>
      <c r="BK188" s="2"/>
      <c r="BL188" s="2"/>
      <c r="BM188" s="2"/>
      <c r="BN188" s="2"/>
      <c r="BO188" s="2"/>
      <c r="BP188" s="2"/>
      <c r="BQ188" s="2"/>
      <c r="BR188" s="177"/>
      <c r="BS188" s="2"/>
      <c r="BT188" s="2"/>
      <c r="BU188" s="2"/>
      <c r="BV188" s="2"/>
      <c r="BW188" s="2"/>
      <c r="BX188" s="2"/>
      <c r="BY188" s="2"/>
      <c r="BZ188" s="177"/>
      <c r="CA188" s="2"/>
      <c r="CB188" s="2"/>
      <c r="CC188" s="2"/>
      <c r="CD188" s="2"/>
      <c r="CE188" s="2"/>
      <c r="CF188" s="2"/>
      <c r="CG188" s="2"/>
      <c r="CH188" s="177"/>
      <c r="CI188" s="2"/>
      <c r="CJ188" s="2"/>
      <c r="CK188" s="2"/>
      <c r="CL188" s="2"/>
      <c r="CM188" s="2"/>
      <c r="CN188" s="2"/>
      <c r="CO188" s="2"/>
      <c r="CP188" s="2"/>
      <c r="CQ188" s="2"/>
      <c r="CR188" s="177"/>
      <c r="CS188" s="2"/>
      <c r="CT188" s="2"/>
      <c r="CU188" s="2"/>
      <c r="CV188" s="2"/>
      <c r="CW188" s="2"/>
      <c r="CX188" s="2"/>
      <c r="CY188" s="2"/>
      <c r="CZ188" s="2"/>
      <c r="DA188" s="2"/>
      <c r="DB188" s="2"/>
      <c r="DC188" s="2"/>
      <c r="DD188" s="2"/>
      <c r="DE188" s="173"/>
      <c r="DF188" s="173"/>
    </row>
    <row r="189" spans="1:110">
      <c r="A189" s="136" t="s">
        <v>6146</v>
      </c>
      <c r="B189" s="136"/>
      <c r="C189" s="137"/>
      <c r="D189" s="120">
        <f t="shared" si="7"/>
        <v>0</v>
      </c>
      <c r="E189" s="121">
        <f t="shared" si="6"/>
        <v>1.3</v>
      </c>
      <c r="F189" s="172" cm="1">
        <f t="array" ref="F189">SUM(G189:DD189*$G$9:$DD$9)</f>
        <v>0</v>
      </c>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177"/>
      <c r="AU189" s="2"/>
      <c r="AV189" s="2"/>
      <c r="AW189" s="2"/>
      <c r="AX189" s="2"/>
      <c r="AY189" s="2"/>
      <c r="AZ189" s="2"/>
      <c r="BA189" s="2"/>
      <c r="BB189" s="2"/>
      <c r="BC189" s="2"/>
      <c r="BD189" s="177"/>
      <c r="BE189" s="2"/>
      <c r="BF189" s="2"/>
      <c r="BG189" s="2"/>
      <c r="BH189" s="2"/>
      <c r="BI189" s="2"/>
      <c r="BJ189" s="2"/>
      <c r="BK189" s="2"/>
      <c r="BL189" s="2"/>
      <c r="BM189" s="2"/>
      <c r="BN189" s="2"/>
      <c r="BO189" s="2"/>
      <c r="BP189" s="2"/>
      <c r="BQ189" s="2"/>
      <c r="BR189" s="177"/>
      <c r="BS189" s="2"/>
      <c r="BT189" s="2"/>
      <c r="BU189" s="2"/>
      <c r="BV189" s="2"/>
      <c r="BW189" s="2"/>
      <c r="BX189" s="2"/>
      <c r="BY189" s="2"/>
      <c r="BZ189" s="177"/>
      <c r="CA189" s="2"/>
      <c r="CB189" s="2"/>
      <c r="CC189" s="2"/>
      <c r="CD189" s="2"/>
      <c r="CE189" s="2"/>
      <c r="CF189" s="2"/>
      <c r="CG189" s="2"/>
      <c r="CH189" s="177"/>
      <c r="CI189" s="2"/>
      <c r="CJ189" s="2"/>
      <c r="CK189" s="2"/>
      <c r="CL189" s="2"/>
      <c r="CM189" s="2"/>
      <c r="CN189" s="2"/>
      <c r="CO189" s="2"/>
      <c r="CP189" s="2"/>
      <c r="CQ189" s="2"/>
      <c r="CR189" s="177"/>
      <c r="CS189" s="2"/>
      <c r="CT189" s="2"/>
      <c r="CU189" s="2"/>
      <c r="CV189" s="2"/>
      <c r="CW189" s="2"/>
      <c r="CX189" s="2"/>
      <c r="CY189" s="2"/>
      <c r="CZ189" s="2"/>
      <c r="DA189" s="2"/>
      <c r="DB189" s="2"/>
      <c r="DC189" s="2"/>
      <c r="DD189" s="2"/>
      <c r="DE189" s="173"/>
      <c r="DF189" s="173"/>
    </row>
    <row r="190" spans="1:110">
      <c r="A190" s="136" t="s">
        <v>6147</v>
      </c>
      <c r="B190" s="136"/>
      <c r="C190" s="137"/>
      <c r="D190" s="120">
        <f t="shared" si="7"/>
        <v>0</v>
      </c>
      <c r="E190" s="121">
        <f t="shared" si="6"/>
        <v>1.3</v>
      </c>
      <c r="F190" s="172" cm="1">
        <f t="array" ref="F190">SUM(G190:DD190*$G$9:$DD$9)</f>
        <v>0</v>
      </c>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177"/>
      <c r="AU190" s="2"/>
      <c r="AV190" s="2"/>
      <c r="AW190" s="2"/>
      <c r="AX190" s="2"/>
      <c r="AY190" s="2"/>
      <c r="AZ190" s="2"/>
      <c r="BA190" s="2"/>
      <c r="BB190" s="2"/>
      <c r="BC190" s="2"/>
      <c r="BD190" s="177"/>
      <c r="BE190" s="2"/>
      <c r="BF190" s="2"/>
      <c r="BG190" s="2"/>
      <c r="BH190" s="2"/>
      <c r="BI190" s="2"/>
      <c r="BJ190" s="2"/>
      <c r="BK190" s="2"/>
      <c r="BL190" s="2"/>
      <c r="BM190" s="2"/>
      <c r="BN190" s="2"/>
      <c r="BO190" s="2"/>
      <c r="BP190" s="2"/>
      <c r="BQ190" s="2"/>
      <c r="BR190" s="177"/>
      <c r="BS190" s="2"/>
      <c r="BT190" s="2"/>
      <c r="BU190" s="2"/>
      <c r="BV190" s="2"/>
      <c r="BW190" s="2"/>
      <c r="BX190" s="2"/>
      <c r="BY190" s="2"/>
      <c r="BZ190" s="177"/>
      <c r="CA190" s="2"/>
      <c r="CB190" s="2"/>
      <c r="CC190" s="2"/>
      <c r="CD190" s="2"/>
      <c r="CE190" s="2"/>
      <c r="CF190" s="2"/>
      <c r="CG190" s="2"/>
      <c r="CH190" s="177"/>
      <c r="CI190" s="2"/>
      <c r="CJ190" s="2"/>
      <c r="CK190" s="2"/>
      <c r="CL190" s="2"/>
      <c r="CM190" s="2"/>
      <c r="CN190" s="2"/>
      <c r="CO190" s="2"/>
      <c r="CP190" s="2"/>
      <c r="CQ190" s="2"/>
      <c r="CR190" s="177"/>
      <c r="CS190" s="2"/>
      <c r="CT190" s="2"/>
      <c r="CU190" s="2"/>
      <c r="CV190" s="2"/>
      <c r="CW190" s="2"/>
      <c r="CX190" s="2"/>
      <c r="CY190" s="2"/>
      <c r="CZ190" s="2"/>
      <c r="DA190" s="2"/>
      <c r="DB190" s="2"/>
      <c r="DC190" s="2"/>
      <c r="DD190" s="2"/>
      <c r="DE190" s="173"/>
      <c r="DF190" s="173"/>
    </row>
    <row r="191" spans="1:110">
      <c r="A191" s="136" t="s">
        <v>6148</v>
      </c>
      <c r="B191" s="136"/>
      <c r="C191" s="137"/>
      <c r="D191" s="120">
        <f t="shared" si="7"/>
        <v>0</v>
      </c>
      <c r="E191" s="121">
        <f t="shared" si="6"/>
        <v>1.3</v>
      </c>
      <c r="F191" s="172" cm="1">
        <f t="array" ref="F191">SUM(G191:DD191*$G$9:$DD$9)</f>
        <v>0</v>
      </c>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177"/>
      <c r="AU191" s="2"/>
      <c r="AV191" s="2"/>
      <c r="AW191" s="2"/>
      <c r="AX191" s="2"/>
      <c r="AY191" s="2"/>
      <c r="AZ191" s="2"/>
      <c r="BA191" s="2"/>
      <c r="BB191" s="2"/>
      <c r="BC191" s="2"/>
      <c r="BD191" s="177"/>
      <c r="BE191" s="2"/>
      <c r="BF191" s="2"/>
      <c r="BG191" s="2"/>
      <c r="BH191" s="2"/>
      <c r="BI191" s="2"/>
      <c r="BJ191" s="2"/>
      <c r="BK191" s="2"/>
      <c r="BL191" s="2"/>
      <c r="BM191" s="2"/>
      <c r="BN191" s="2"/>
      <c r="BO191" s="2"/>
      <c r="BP191" s="2"/>
      <c r="BQ191" s="2"/>
      <c r="BR191" s="177"/>
      <c r="BS191" s="2"/>
      <c r="BT191" s="2"/>
      <c r="BU191" s="2"/>
      <c r="BV191" s="2"/>
      <c r="BW191" s="2"/>
      <c r="BX191" s="2"/>
      <c r="BY191" s="2"/>
      <c r="BZ191" s="177"/>
      <c r="CA191" s="2"/>
      <c r="CB191" s="2"/>
      <c r="CC191" s="2"/>
      <c r="CD191" s="2"/>
      <c r="CE191" s="2"/>
      <c r="CF191" s="2"/>
      <c r="CG191" s="2"/>
      <c r="CH191" s="177"/>
      <c r="CI191" s="2"/>
      <c r="CJ191" s="2"/>
      <c r="CK191" s="2"/>
      <c r="CL191" s="2"/>
      <c r="CM191" s="2"/>
      <c r="CN191" s="2"/>
      <c r="CO191" s="2"/>
      <c r="CP191" s="2"/>
      <c r="CQ191" s="2"/>
      <c r="CR191" s="177"/>
      <c r="CS191" s="2"/>
      <c r="CT191" s="2"/>
      <c r="CU191" s="2"/>
      <c r="CV191" s="2"/>
      <c r="CW191" s="2"/>
      <c r="CX191" s="2"/>
      <c r="CY191" s="2"/>
      <c r="CZ191" s="2"/>
      <c r="DA191" s="2"/>
      <c r="DB191" s="2"/>
      <c r="DC191" s="2"/>
      <c r="DD191" s="2"/>
      <c r="DE191" s="173"/>
      <c r="DF191" s="173"/>
    </row>
    <row r="192" spans="1:110">
      <c r="A192" s="136" t="s">
        <v>6149</v>
      </c>
      <c r="B192" s="136"/>
      <c r="C192" s="137"/>
      <c r="D192" s="120">
        <f t="shared" si="7"/>
        <v>0</v>
      </c>
      <c r="E192" s="121">
        <f t="shared" si="6"/>
        <v>1.3</v>
      </c>
      <c r="F192" s="172" cm="1">
        <f t="array" ref="F192">SUM(G192:DD192*$G$9:$DD$9)</f>
        <v>0</v>
      </c>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177"/>
      <c r="AU192" s="2"/>
      <c r="AV192" s="2"/>
      <c r="AW192" s="2"/>
      <c r="AX192" s="2"/>
      <c r="AY192" s="2"/>
      <c r="AZ192" s="2"/>
      <c r="BA192" s="2"/>
      <c r="BB192" s="2"/>
      <c r="BC192" s="2"/>
      <c r="BD192" s="177"/>
      <c r="BE192" s="2"/>
      <c r="BF192" s="2"/>
      <c r="BG192" s="2"/>
      <c r="BH192" s="2"/>
      <c r="BI192" s="2"/>
      <c r="BJ192" s="2"/>
      <c r="BK192" s="2"/>
      <c r="BL192" s="2"/>
      <c r="BM192" s="2"/>
      <c r="BN192" s="2"/>
      <c r="BO192" s="2"/>
      <c r="BP192" s="2"/>
      <c r="BQ192" s="2"/>
      <c r="BR192" s="177"/>
      <c r="BS192" s="2"/>
      <c r="BT192" s="2"/>
      <c r="BU192" s="2"/>
      <c r="BV192" s="2"/>
      <c r="BW192" s="2"/>
      <c r="BX192" s="2"/>
      <c r="BY192" s="2"/>
      <c r="BZ192" s="177"/>
      <c r="CA192" s="2"/>
      <c r="CB192" s="2"/>
      <c r="CC192" s="2"/>
      <c r="CD192" s="2"/>
      <c r="CE192" s="2"/>
      <c r="CF192" s="2"/>
      <c r="CG192" s="2"/>
      <c r="CH192" s="177"/>
      <c r="CI192" s="2"/>
      <c r="CJ192" s="2"/>
      <c r="CK192" s="2"/>
      <c r="CL192" s="2"/>
      <c r="CM192" s="2"/>
      <c r="CN192" s="2"/>
      <c r="CO192" s="2"/>
      <c r="CP192" s="2"/>
      <c r="CQ192" s="2"/>
      <c r="CR192" s="177"/>
      <c r="CS192" s="2"/>
      <c r="CT192" s="2"/>
      <c r="CU192" s="2"/>
      <c r="CV192" s="2"/>
      <c r="CW192" s="2"/>
      <c r="CX192" s="2"/>
      <c r="CY192" s="2"/>
      <c r="CZ192" s="2"/>
      <c r="DA192" s="2"/>
      <c r="DB192" s="2"/>
      <c r="DC192" s="2"/>
      <c r="DD192" s="2"/>
      <c r="DE192" s="173"/>
      <c r="DF192" s="173"/>
    </row>
    <row r="193" spans="1:110">
      <c r="A193" s="136" t="s">
        <v>6150</v>
      </c>
      <c r="B193" s="136"/>
      <c r="C193" s="137"/>
      <c r="D193" s="120">
        <f t="shared" si="7"/>
        <v>0</v>
      </c>
      <c r="E193" s="121">
        <f t="shared" si="6"/>
        <v>1.3</v>
      </c>
      <c r="F193" s="172" cm="1">
        <f t="array" ref="F193">SUM(G193:DD193*$G$9:$DD$9)</f>
        <v>0</v>
      </c>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177"/>
      <c r="AU193" s="2"/>
      <c r="AV193" s="2"/>
      <c r="AW193" s="2"/>
      <c r="AX193" s="2"/>
      <c r="AY193" s="2"/>
      <c r="AZ193" s="2"/>
      <c r="BA193" s="2"/>
      <c r="BB193" s="2"/>
      <c r="BC193" s="2"/>
      <c r="BD193" s="177"/>
      <c r="BE193" s="2"/>
      <c r="BF193" s="2"/>
      <c r="BG193" s="2"/>
      <c r="BH193" s="2"/>
      <c r="BI193" s="2"/>
      <c r="BJ193" s="2"/>
      <c r="BK193" s="2"/>
      <c r="BL193" s="2"/>
      <c r="BM193" s="2"/>
      <c r="BN193" s="2"/>
      <c r="BO193" s="2"/>
      <c r="BP193" s="2"/>
      <c r="BQ193" s="2"/>
      <c r="BR193" s="177"/>
      <c r="BS193" s="2"/>
      <c r="BT193" s="2"/>
      <c r="BU193" s="2"/>
      <c r="BV193" s="2"/>
      <c r="BW193" s="2"/>
      <c r="BX193" s="2"/>
      <c r="BY193" s="2"/>
      <c r="BZ193" s="177"/>
      <c r="CA193" s="2"/>
      <c r="CB193" s="2"/>
      <c r="CC193" s="2"/>
      <c r="CD193" s="2"/>
      <c r="CE193" s="2"/>
      <c r="CF193" s="2"/>
      <c r="CG193" s="2"/>
      <c r="CH193" s="177"/>
      <c r="CI193" s="2"/>
      <c r="CJ193" s="2"/>
      <c r="CK193" s="2"/>
      <c r="CL193" s="2"/>
      <c r="CM193" s="2"/>
      <c r="CN193" s="2"/>
      <c r="CO193" s="2"/>
      <c r="CP193" s="2"/>
      <c r="CQ193" s="2"/>
      <c r="CR193" s="177"/>
      <c r="CS193" s="2"/>
      <c r="CT193" s="2"/>
      <c r="CU193" s="2"/>
      <c r="CV193" s="2"/>
      <c r="CW193" s="2"/>
      <c r="CX193" s="2"/>
      <c r="CY193" s="2"/>
      <c r="CZ193" s="2"/>
      <c r="DA193" s="2"/>
      <c r="DB193" s="2"/>
      <c r="DC193" s="2"/>
      <c r="DD193" s="2"/>
      <c r="DE193" s="173"/>
      <c r="DF193" s="173"/>
    </row>
    <row r="194" spans="1:110">
      <c r="A194" s="136" t="s">
        <v>6151</v>
      </c>
      <c r="B194" s="136"/>
      <c r="C194" s="137"/>
      <c r="D194" s="120">
        <f t="shared" si="7"/>
        <v>0</v>
      </c>
      <c r="E194" s="121">
        <f t="shared" si="6"/>
        <v>1.3</v>
      </c>
      <c r="F194" s="172" cm="1">
        <f t="array" ref="F194">SUM(G194:DD194*$G$9:$DD$9)</f>
        <v>0</v>
      </c>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177"/>
      <c r="AU194" s="2"/>
      <c r="AV194" s="2"/>
      <c r="AW194" s="2"/>
      <c r="AX194" s="2"/>
      <c r="AY194" s="2"/>
      <c r="AZ194" s="2"/>
      <c r="BA194" s="2"/>
      <c r="BB194" s="2"/>
      <c r="BC194" s="2"/>
      <c r="BD194" s="177"/>
      <c r="BE194" s="2"/>
      <c r="BF194" s="2"/>
      <c r="BG194" s="2"/>
      <c r="BH194" s="2"/>
      <c r="BI194" s="2"/>
      <c r="BJ194" s="2"/>
      <c r="BK194" s="2"/>
      <c r="BL194" s="2"/>
      <c r="BM194" s="2"/>
      <c r="BN194" s="2"/>
      <c r="BO194" s="2"/>
      <c r="BP194" s="2"/>
      <c r="BQ194" s="2"/>
      <c r="BR194" s="177"/>
      <c r="BS194" s="2"/>
      <c r="BT194" s="2"/>
      <c r="BU194" s="2"/>
      <c r="BV194" s="2"/>
      <c r="BW194" s="2"/>
      <c r="BX194" s="2"/>
      <c r="BY194" s="2"/>
      <c r="BZ194" s="177"/>
      <c r="CA194" s="2"/>
      <c r="CB194" s="2"/>
      <c r="CC194" s="2"/>
      <c r="CD194" s="2"/>
      <c r="CE194" s="2"/>
      <c r="CF194" s="2"/>
      <c r="CG194" s="2"/>
      <c r="CH194" s="177"/>
      <c r="CI194" s="2"/>
      <c r="CJ194" s="2"/>
      <c r="CK194" s="2"/>
      <c r="CL194" s="2"/>
      <c r="CM194" s="2"/>
      <c r="CN194" s="2"/>
      <c r="CO194" s="2"/>
      <c r="CP194" s="2"/>
      <c r="CQ194" s="2"/>
      <c r="CR194" s="177"/>
      <c r="CS194" s="2"/>
      <c r="CT194" s="2"/>
      <c r="CU194" s="2"/>
      <c r="CV194" s="2"/>
      <c r="CW194" s="2"/>
      <c r="CX194" s="2"/>
      <c r="CY194" s="2"/>
      <c r="CZ194" s="2"/>
      <c r="DA194" s="2"/>
      <c r="DB194" s="2"/>
      <c r="DC194" s="2"/>
      <c r="DD194" s="2"/>
      <c r="DE194" s="173"/>
      <c r="DF194" s="173"/>
    </row>
    <row r="195" spans="1:110">
      <c r="A195" s="136" t="s">
        <v>6152</v>
      </c>
      <c r="B195" s="136"/>
      <c r="C195" s="137"/>
      <c r="D195" s="120">
        <f t="shared" si="7"/>
        <v>0</v>
      </c>
      <c r="E195" s="121">
        <f t="shared" si="6"/>
        <v>1.3</v>
      </c>
      <c r="F195" s="172" cm="1">
        <f t="array" ref="F195">SUM(G195:DD195*$G$9:$DD$9)</f>
        <v>0</v>
      </c>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177"/>
      <c r="AU195" s="2"/>
      <c r="AV195" s="2"/>
      <c r="AW195" s="2"/>
      <c r="AX195" s="2"/>
      <c r="AY195" s="2"/>
      <c r="AZ195" s="2"/>
      <c r="BA195" s="2"/>
      <c r="BB195" s="2"/>
      <c r="BC195" s="2"/>
      <c r="BD195" s="177"/>
      <c r="BE195" s="2"/>
      <c r="BF195" s="2"/>
      <c r="BG195" s="2"/>
      <c r="BH195" s="2"/>
      <c r="BI195" s="2"/>
      <c r="BJ195" s="2"/>
      <c r="BK195" s="2"/>
      <c r="BL195" s="2"/>
      <c r="BM195" s="2"/>
      <c r="BN195" s="2"/>
      <c r="BO195" s="2"/>
      <c r="BP195" s="2"/>
      <c r="BQ195" s="2"/>
      <c r="BR195" s="177"/>
      <c r="BS195" s="2"/>
      <c r="BT195" s="2"/>
      <c r="BU195" s="2"/>
      <c r="BV195" s="2"/>
      <c r="BW195" s="2"/>
      <c r="BX195" s="2"/>
      <c r="BY195" s="2"/>
      <c r="BZ195" s="177"/>
      <c r="CA195" s="2"/>
      <c r="CB195" s="2"/>
      <c r="CC195" s="2"/>
      <c r="CD195" s="2"/>
      <c r="CE195" s="2"/>
      <c r="CF195" s="2"/>
      <c r="CG195" s="2"/>
      <c r="CH195" s="177"/>
      <c r="CI195" s="2"/>
      <c r="CJ195" s="2"/>
      <c r="CK195" s="2"/>
      <c r="CL195" s="2"/>
      <c r="CM195" s="2"/>
      <c r="CN195" s="2"/>
      <c r="CO195" s="2"/>
      <c r="CP195" s="2"/>
      <c r="CQ195" s="2"/>
      <c r="CR195" s="177"/>
      <c r="CS195" s="2"/>
      <c r="CT195" s="2"/>
      <c r="CU195" s="2"/>
      <c r="CV195" s="2"/>
      <c r="CW195" s="2"/>
      <c r="CX195" s="2"/>
      <c r="CY195" s="2"/>
      <c r="CZ195" s="2"/>
      <c r="DA195" s="2"/>
      <c r="DB195" s="2"/>
      <c r="DC195" s="2"/>
      <c r="DD195" s="2"/>
      <c r="DE195" s="173"/>
      <c r="DF195" s="173"/>
    </row>
    <row r="196" spans="1:110">
      <c r="A196" s="136" t="s">
        <v>6153</v>
      </c>
      <c r="B196" s="136"/>
      <c r="C196" s="137"/>
      <c r="D196" s="120">
        <f t="shared" si="7"/>
        <v>0</v>
      </c>
      <c r="E196" s="121">
        <f t="shared" si="6"/>
        <v>1.3</v>
      </c>
      <c r="F196" s="172" cm="1">
        <f t="array" ref="F196">SUM(G196:DD196*$G$9:$DD$9)</f>
        <v>0</v>
      </c>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177"/>
      <c r="AU196" s="2"/>
      <c r="AV196" s="2"/>
      <c r="AW196" s="2"/>
      <c r="AX196" s="2"/>
      <c r="AY196" s="2"/>
      <c r="AZ196" s="2"/>
      <c r="BA196" s="2"/>
      <c r="BB196" s="2"/>
      <c r="BC196" s="2"/>
      <c r="BD196" s="177"/>
      <c r="BE196" s="2"/>
      <c r="BF196" s="2"/>
      <c r="BG196" s="2"/>
      <c r="BH196" s="2"/>
      <c r="BI196" s="2"/>
      <c r="BJ196" s="2"/>
      <c r="BK196" s="2"/>
      <c r="BL196" s="2"/>
      <c r="BM196" s="2"/>
      <c r="BN196" s="2"/>
      <c r="BO196" s="2"/>
      <c r="BP196" s="2"/>
      <c r="BQ196" s="2"/>
      <c r="BR196" s="177"/>
      <c r="BS196" s="2"/>
      <c r="BT196" s="2"/>
      <c r="BU196" s="2"/>
      <c r="BV196" s="2"/>
      <c r="BW196" s="2"/>
      <c r="BX196" s="2"/>
      <c r="BY196" s="2"/>
      <c r="BZ196" s="177"/>
      <c r="CA196" s="2"/>
      <c r="CB196" s="2"/>
      <c r="CC196" s="2"/>
      <c r="CD196" s="2"/>
      <c r="CE196" s="2"/>
      <c r="CF196" s="2"/>
      <c r="CG196" s="2"/>
      <c r="CH196" s="177"/>
      <c r="CI196" s="2"/>
      <c r="CJ196" s="2"/>
      <c r="CK196" s="2"/>
      <c r="CL196" s="2"/>
      <c r="CM196" s="2"/>
      <c r="CN196" s="2"/>
      <c r="CO196" s="2"/>
      <c r="CP196" s="2"/>
      <c r="CQ196" s="2"/>
      <c r="CR196" s="177"/>
      <c r="CS196" s="2"/>
      <c r="CT196" s="2"/>
      <c r="CU196" s="2"/>
      <c r="CV196" s="2"/>
      <c r="CW196" s="2"/>
      <c r="CX196" s="2"/>
      <c r="CY196" s="2"/>
      <c r="CZ196" s="2"/>
      <c r="DA196" s="2"/>
      <c r="DB196" s="2"/>
      <c r="DC196" s="2"/>
      <c r="DD196" s="2"/>
      <c r="DE196" s="173"/>
      <c r="DF196" s="173"/>
    </row>
    <row r="197" spans="1:110">
      <c r="A197" s="136" t="s">
        <v>6154</v>
      </c>
      <c r="B197" s="136"/>
      <c r="C197" s="137"/>
      <c r="D197" s="120">
        <f t="shared" si="7"/>
        <v>0</v>
      </c>
      <c r="E197" s="121">
        <f t="shared" si="6"/>
        <v>1.3</v>
      </c>
      <c r="F197" s="172" cm="1">
        <f t="array" ref="F197">SUM(G197:DD197*$G$9:$DD$9)</f>
        <v>0</v>
      </c>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177"/>
      <c r="AU197" s="2"/>
      <c r="AV197" s="2"/>
      <c r="AW197" s="2"/>
      <c r="AX197" s="2"/>
      <c r="AY197" s="2"/>
      <c r="AZ197" s="2"/>
      <c r="BA197" s="2"/>
      <c r="BB197" s="2"/>
      <c r="BC197" s="2"/>
      <c r="BD197" s="177"/>
      <c r="BE197" s="2"/>
      <c r="BF197" s="2"/>
      <c r="BG197" s="2"/>
      <c r="BH197" s="2"/>
      <c r="BI197" s="2"/>
      <c r="BJ197" s="2"/>
      <c r="BK197" s="2"/>
      <c r="BL197" s="2"/>
      <c r="BM197" s="2"/>
      <c r="BN197" s="2"/>
      <c r="BO197" s="2"/>
      <c r="BP197" s="2"/>
      <c r="BQ197" s="2"/>
      <c r="BR197" s="177"/>
      <c r="BS197" s="2"/>
      <c r="BT197" s="2"/>
      <c r="BU197" s="2"/>
      <c r="BV197" s="2"/>
      <c r="BW197" s="2"/>
      <c r="BX197" s="2"/>
      <c r="BY197" s="2"/>
      <c r="BZ197" s="177"/>
      <c r="CA197" s="2"/>
      <c r="CB197" s="2"/>
      <c r="CC197" s="2"/>
      <c r="CD197" s="2"/>
      <c r="CE197" s="2"/>
      <c r="CF197" s="2"/>
      <c r="CG197" s="2"/>
      <c r="CH197" s="177"/>
      <c r="CI197" s="2"/>
      <c r="CJ197" s="2"/>
      <c r="CK197" s="2"/>
      <c r="CL197" s="2"/>
      <c r="CM197" s="2"/>
      <c r="CN197" s="2"/>
      <c r="CO197" s="2"/>
      <c r="CP197" s="2"/>
      <c r="CQ197" s="2"/>
      <c r="CR197" s="177"/>
      <c r="CS197" s="2"/>
      <c r="CT197" s="2"/>
      <c r="CU197" s="2"/>
      <c r="CV197" s="2"/>
      <c r="CW197" s="2"/>
      <c r="CX197" s="2"/>
      <c r="CY197" s="2"/>
      <c r="CZ197" s="2"/>
      <c r="DA197" s="2"/>
      <c r="DB197" s="2"/>
      <c r="DC197" s="2"/>
      <c r="DD197" s="2"/>
      <c r="DE197" s="173"/>
      <c r="DF197" s="173"/>
    </row>
    <row r="198" spans="1:110">
      <c r="A198" s="136" t="s">
        <v>6155</v>
      </c>
      <c r="B198" s="136"/>
      <c r="C198" s="137"/>
      <c r="D198" s="120">
        <f t="shared" si="7"/>
        <v>0</v>
      </c>
      <c r="E198" s="121">
        <f t="shared" si="6"/>
        <v>1.3</v>
      </c>
      <c r="F198" s="172" cm="1">
        <f t="array" ref="F198">SUM(G198:DD198*$G$9:$DD$9)</f>
        <v>0</v>
      </c>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177"/>
      <c r="AU198" s="2"/>
      <c r="AV198" s="2"/>
      <c r="AW198" s="2"/>
      <c r="AX198" s="2"/>
      <c r="AY198" s="2"/>
      <c r="AZ198" s="2"/>
      <c r="BA198" s="2"/>
      <c r="BB198" s="2"/>
      <c r="BC198" s="2"/>
      <c r="BD198" s="177"/>
      <c r="BE198" s="2"/>
      <c r="BF198" s="2"/>
      <c r="BG198" s="2"/>
      <c r="BH198" s="2"/>
      <c r="BI198" s="2"/>
      <c r="BJ198" s="2"/>
      <c r="BK198" s="2"/>
      <c r="BL198" s="2"/>
      <c r="BM198" s="2"/>
      <c r="BN198" s="2"/>
      <c r="BO198" s="2"/>
      <c r="BP198" s="2"/>
      <c r="BQ198" s="2"/>
      <c r="BR198" s="177"/>
      <c r="BS198" s="2"/>
      <c r="BT198" s="2"/>
      <c r="BU198" s="2"/>
      <c r="BV198" s="2"/>
      <c r="BW198" s="2"/>
      <c r="BX198" s="2"/>
      <c r="BY198" s="2"/>
      <c r="BZ198" s="177"/>
      <c r="CA198" s="2"/>
      <c r="CB198" s="2"/>
      <c r="CC198" s="2"/>
      <c r="CD198" s="2"/>
      <c r="CE198" s="2"/>
      <c r="CF198" s="2"/>
      <c r="CG198" s="2"/>
      <c r="CH198" s="177"/>
      <c r="CI198" s="2"/>
      <c r="CJ198" s="2"/>
      <c r="CK198" s="2"/>
      <c r="CL198" s="2"/>
      <c r="CM198" s="2"/>
      <c r="CN198" s="2"/>
      <c r="CO198" s="2"/>
      <c r="CP198" s="2"/>
      <c r="CQ198" s="2"/>
      <c r="CR198" s="177"/>
      <c r="CS198" s="2"/>
      <c r="CT198" s="2"/>
      <c r="CU198" s="2"/>
      <c r="CV198" s="2"/>
      <c r="CW198" s="2"/>
      <c r="CX198" s="2"/>
      <c r="CY198" s="2"/>
      <c r="CZ198" s="2"/>
      <c r="DA198" s="2"/>
      <c r="DB198" s="2"/>
      <c r="DC198" s="2"/>
      <c r="DD198" s="2"/>
      <c r="DE198" s="173"/>
      <c r="DF198" s="173"/>
    </row>
    <row r="199" spans="1:110">
      <c r="A199" s="136" t="s">
        <v>6156</v>
      </c>
      <c r="B199" s="136"/>
      <c r="C199" s="137"/>
      <c r="D199" s="120">
        <f t="shared" si="7"/>
        <v>0</v>
      </c>
      <c r="E199" s="121">
        <f t="shared" si="6"/>
        <v>1.3</v>
      </c>
      <c r="F199" s="172" cm="1">
        <f t="array" ref="F199">SUM(G199:DD199*$G$9:$DD$9)</f>
        <v>0</v>
      </c>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177"/>
      <c r="AU199" s="2"/>
      <c r="AV199" s="2"/>
      <c r="AW199" s="2"/>
      <c r="AX199" s="2"/>
      <c r="AY199" s="2"/>
      <c r="AZ199" s="2"/>
      <c r="BA199" s="2"/>
      <c r="BB199" s="2"/>
      <c r="BC199" s="2"/>
      <c r="BD199" s="177"/>
      <c r="BE199" s="2"/>
      <c r="BF199" s="2"/>
      <c r="BG199" s="2"/>
      <c r="BH199" s="2"/>
      <c r="BI199" s="2"/>
      <c r="BJ199" s="2"/>
      <c r="BK199" s="2"/>
      <c r="BL199" s="2"/>
      <c r="BM199" s="2"/>
      <c r="BN199" s="2"/>
      <c r="BO199" s="2"/>
      <c r="BP199" s="2"/>
      <c r="BQ199" s="2"/>
      <c r="BR199" s="177"/>
      <c r="BS199" s="2"/>
      <c r="BT199" s="2"/>
      <c r="BU199" s="2"/>
      <c r="BV199" s="2"/>
      <c r="BW199" s="2"/>
      <c r="BX199" s="2"/>
      <c r="BY199" s="2"/>
      <c r="BZ199" s="177"/>
      <c r="CA199" s="2"/>
      <c r="CB199" s="2"/>
      <c r="CC199" s="2"/>
      <c r="CD199" s="2"/>
      <c r="CE199" s="2"/>
      <c r="CF199" s="2"/>
      <c r="CG199" s="2"/>
      <c r="CH199" s="177"/>
      <c r="CI199" s="2"/>
      <c r="CJ199" s="2"/>
      <c r="CK199" s="2"/>
      <c r="CL199" s="2"/>
      <c r="CM199" s="2"/>
      <c r="CN199" s="2"/>
      <c r="CO199" s="2"/>
      <c r="CP199" s="2"/>
      <c r="CQ199" s="2"/>
      <c r="CR199" s="177"/>
      <c r="CS199" s="2"/>
      <c r="CT199" s="2"/>
      <c r="CU199" s="2"/>
      <c r="CV199" s="2"/>
      <c r="CW199" s="2"/>
      <c r="CX199" s="2"/>
      <c r="CY199" s="2"/>
      <c r="CZ199" s="2"/>
      <c r="DA199" s="2"/>
      <c r="DB199" s="2"/>
      <c r="DC199" s="2"/>
      <c r="DD199" s="2"/>
      <c r="DE199" s="173"/>
      <c r="DF199" s="173"/>
    </row>
    <row r="200" spans="1:110">
      <c r="A200" s="136" t="s">
        <v>6157</v>
      </c>
      <c r="B200" s="136"/>
      <c r="C200" s="137"/>
      <c r="D200" s="120">
        <f t="shared" si="7"/>
        <v>0</v>
      </c>
      <c r="E200" s="121">
        <f t="shared" si="6"/>
        <v>1.3</v>
      </c>
      <c r="F200" s="172" cm="1">
        <f t="array" ref="F200">SUM(G200:DD200*$G$9:$DD$9)</f>
        <v>0</v>
      </c>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177"/>
      <c r="AU200" s="2"/>
      <c r="AV200" s="2"/>
      <c r="AW200" s="2"/>
      <c r="AX200" s="2"/>
      <c r="AY200" s="2"/>
      <c r="AZ200" s="2"/>
      <c r="BA200" s="2"/>
      <c r="BB200" s="2"/>
      <c r="BC200" s="2"/>
      <c r="BD200" s="177"/>
      <c r="BE200" s="2"/>
      <c r="BF200" s="2"/>
      <c r="BG200" s="2"/>
      <c r="BH200" s="2"/>
      <c r="BI200" s="2"/>
      <c r="BJ200" s="2"/>
      <c r="BK200" s="2"/>
      <c r="BL200" s="2"/>
      <c r="BM200" s="2"/>
      <c r="BN200" s="2"/>
      <c r="BO200" s="2"/>
      <c r="BP200" s="2"/>
      <c r="BQ200" s="2"/>
      <c r="BR200" s="177"/>
      <c r="BS200" s="2"/>
      <c r="BT200" s="2"/>
      <c r="BU200" s="2"/>
      <c r="BV200" s="2"/>
      <c r="BW200" s="2"/>
      <c r="BX200" s="2"/>
      <c r="BY200" s="2"/>
      <c r="BZ200" s="177"/>
      <c r="CA200" s="2"/>
      <c r="CB200" s="2"/>
      <c r="CC200" s="2"/>
      <c r="CD200" s="2"/>
      <c r="CE200" s="2"/>
      <c r="CF200" s="2"/>
      <c r="CG200" s="2"/>
      <c r="CH200" s="177"/>
      <c r="CI200" s="2"/>
      <c r="CJ200" s="2"/>
      <c r="CK200" s="2"/>
      <c r="CL200" s="2"/>
      <c r="CM200" s="2"/>
      <c r="CN200" s="2"/>
      <c r="CO200" s="2"/>
      <c r="CP200" s="2"/>
      <c r="CQ200" s="2"/>
      <c r="CR200" s="177"/>
      <c r="CS200" s="2"/>
      <c r="CT200" s="2"/>
      <c r="CU200" s="2"/>
      <c r="CV200" s="2"/>
      <c r="CW200" s="2"/>
      <c r="CX200" s="2"/>
      <c r="CY200" s="2"/>
      <c r="CZ200" s="2"/>
      <c r="DA200" s="2"/>
      <c r="DB200" s="2"/>
      <c r="DC200" s="2"/>
      <c r="DD200" s="2"/>
      <c r="DE200" s="173"/>
      <c r="DF200" s="173"/>
    </row>
    <row r="201" spans="1:110">
      <c r="A201" s="136" t="s">
        <v>6158</v>
      </c>
      <c r="B201" s="136"/>
      <c r="C201" s="137"/>
      <c r="D201" s="120">
        <f t="shared" si="7"/>
        <v>0</v>
      </c>
      <c r="E201" s="121">
        <f t="shared" si="6"/>
        <v>1.3</v>
      </c>
      <c r="F201" s="172" cm="1">
        <f t="array" ref="F201">SUM(G201:DD201*$G$9:$DD$9)</f>
        <v>0</v>
      </c>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177"/>
      <c r="AU201" s="2"/>
      <c r="AV201" s="2"/>
      <c r="AW201" s="2"/>
      <c r="AX201" s="2"/>
      <c r="AY201" s="2"/>
      <c r="AZ201" s="2"/>
      <c r="BA201" s="2"/>
      <c r="BB201" s="2"/>
      <c r="BC201" s="2"/>
      <c r="BD201" s="177"/>
      <c r="BE201" s="2"/>
      <c r="BF201" s="2"/>
      <c r="BG201" s="2"/>
      <c r="BH201" s="2"/>
      <c r="BI201" s="2"/>
      <c r="BJ201" s="2"/>
      <c r="BK201" s="2"/>
      <c r="BL201" s="2"/>
      <c r="BM201" s="2"/>
      <c r="BN201" s="2"/>
      <c r="BO201" s="2"/>
      <c r="BP201" s="2"/>
      <c r="BQ201" s="2"/>
      <c r="BR201" s="177"/>
      <c r="BS201" s="2"/>
      <c r="BT201" s="2"/>
      <c r="BU201" s="2"/>
      <c r="BV201" s="2"/>
      <c r="BW201" s="2"/>
      <c r="BX201" s="2"/>
      <c r="BY201" s="2"/>
      <c r="BZ201" s="177"/>
      <c r="CA201" s="2"/>
      <c r="CB201" s="2"/>
      <c r="CC201" s="2"/>
      <c r="CD201" s="2"/>
      <c r="CE201" s="2"/>
      <c r="CF201" s="2"/>
      <c r="CG201" s="2"/>
      <c r="CH201" s="177"/>
      <c r="CI201" s="2"/>
      <c r="CJ201" s="2"/>
      <c r="CK201" s="2"/>
      <c r="CL201" s="2"/>
      <c r="CM201" s="2"/>
      <c r="CN201" s="2"/>
      <c r="CO201" s="2"/>
      <c r="CP201" s="2"/>
      <c r="CQ201" s="2"/>
      <c r="CR201" s="177"/>
      <c r="CS201" s="2"/>
      <c r="CT201" s="2"/>
      <c r="CU201" s="2"/>
      <c r="CV201" s="2"/>
      <c r="CW201" s="2"/>
      <c r="CX201" s="2"/>
      <c r="CY201" s="2"/>
      <c r="CZ201" s="2"/>
      <c r="DA201" s="2"/>
      <c r="DB201" s="2"/>
      <c r="DC201" s="2"/>
      <c r="DD201" s="2"/>
      <c r="DE201" s="173"/>
      <c r="DF201" s="173"/>
    </row>
    <row r="202" spans="1:110">
      <c r="A202" s="136" t="s">
        <v>6159</v>
      </c>
      <c r="B202" s="136"/>
      <c r="C202" s="137"/>
      <c r="D202" s="120">
        <f t="shared" si="7"/>
        <v>0</v>
      </c>
      <c r="E202" s="121">
        <f t="shared" ref="E202:E249" si="8">E$9</f>
        <v>1.3</v>
      </c>
      <c r="F202" s="172" cm="1">
        <f t="array" ref="F202">SUM(G202:DD202*$G$9:$DD$9)</f>
        <v>0</v>
      </c>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177"/>
      <c r="AU202" s="2"/>
      <c r="AV202" s="2"/>
      <c r="AW202" s="2"/>
      <c r="AX202" s="2"/>
      <c r="AY202" s="2"/>
      <c r="AZ202" s="2"/>
      <c r="BA202" s="2"/>
      <c r="BB202" s="2"/>
      <c r="BC202" s="2"/>
      <c r="BD202" s="177"/>
      <c r="BE202" s="2"/>
      <c r="BF202" s="2"/>
      <c r="BG202" s="2"/>
      <c r="BH202" s="2"/>
      <c r="BI202" s="2"/>
      <c r="BJ202" s="2"/>
      <c r="BK202" s="2"/>
      <c r="BL202" s="2"/>
      <c r="BM202" s="2"/>
      <c r="BN202" s="2"/>
      <c r="BO202" s="2"/>
      <c r="BP202" s="2"/>
      <c r="BQ202" s="2"/>
      <c r="BR202" s="177"/>
      <c r="BS202" s="2"/>
      <c r="BT202" s="2"/>
      <c r="BU202" s="2"/>
      <c r="BV202" s="2"/>
      <c r="BW202" s="2"/>
      <c r="BX202" s="2"/>
      <c r="BY202" s="2"/>
      <c r="BZ202" s="177"/>
      <c r="CA202" s="2"/>
      <c r="CB202" s="2"/>
      <c r="CC202" s="2"/>
      <c r="CD202" s="2"/>
      <c r="CE202" s="2"/>
      <c r="CF202" s="2"/>
      <c r="CG202" s="2"/>
      <c r="CH202" s="177"/>
      <c r="CI202" s="2"/>
      <c r="CJ202" s="2"/>
      <c r="CK202" s="2"/>
      <c r="CL202" s="2"/>
      <c r="CM202" s="2"/>
      <c r="CN202" s="2"/>
      <c r="CO202" s="2"/>
      <c r="CP202" s="2"/>
      <c r="CQ202" s="2"/>
      <c r="CR202" s="177"/>
      <c r="CS202" s="2"/>
      <c r="CT202" s="2"/>
      <c r="CU202" s="2"/>
      <c r="CV202" s="2"/>
      <c r="CW202" s="2"/>
      <c r="CX202" s="2"/>
      <c r="CY202" s="2"/>
      <c r="CZ202" s="2"/>
      <c r="DA202" s="2"/>
      <c r="DB202" s="2"/>
      <c r="DC202" s="2"/>
      <c r="DD202" s="2"/>
      <c r="DE202" s="173"/>
      <c r="DF202" s="173"/>
    </row>
    <row r="203" spans="1:110">
      <c r="A203" s="136" t="s">
        <v>6160</v>
      </c>
      <c r="B203" s="136"/>
      <c r="C203" s="137"/>
      <c r="D203" s="120">
        <f t="shared" si="7"/>
        <v>0</v>
      </c>
      <c r="E203" s="121">
        <f t="shared" si="8"/>
        <v>1.3</v>
      </c>
      <c r="F203" s="172" cm="1">
        <f t="array" ref="F203">SUM(G203:DD203*$G$9:$DD$9)</f>
        <v>0</v>
      </c>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177"/>
      <c r="AU203" s="2"/>
      <c r="AV203" s="2"/>
      <c r="AW203" s="2"/>
      <c r="AX203" s="2"/>
      <c r="AY203" s="2"/>
      <c r="AZ203" s="2"/>
      <c r="BA203" s="2"/>
      <c r="BB203" s="2"/>
      <c r="BC203" s="2"/>
      <c r="BD203" s="177"/>
      <c r="BE203" s="2"/>
      <c r="BF203" s="2"/>
      <c r="BG203" s="2"/>
      <c r="BH203" s="2"/>
      <c r="BI203" s="2"/>
      <c r="BJ203" s="2"/>
      <c r="BK203" s="2"/>
      <c r="BL203" s="2"/>
      <c r="BM203" s="2"/>
      <c r="BN203" s="2"/>
      <c r="BO203" s="2"/>
      <c r="BP203" s="2"/>
      <c r="BQ203" s="2"/>
      <c r="BR203" s="177"/>
      <c r="BS203" s="2"/>
      <c r="BT203" s="2"/>
      <c r="BU203" s="2"/>
      <c r="BV203" s="2"/>
      <c r="BW203" s="2"/>
      <c r="BX203" s="2"/>
      <c r="BY203" s="2"/>
      <c r="BZ203" s="177"/>
      <c r="CA203" s="2"/>
      <c r="CB203" s="2"/>
      <c r="CC203" s="2"/>
      <c r="CD203" s="2"/>
      <c r="CE203" s="2"/>
      <c r="CF203" s="2"/>
      <c r="CG203" s="2"/>
      <c r="CH203" s="177"/>
      <c r="CI203" s="2"/>
      <c r="CJ203" s="2"/>
      <c r="CK203" s="2"/>
      <c r="CL203" s="2"/>
      <c r="CM203" s="2"/>
      <c r="CN203" s="2"/>
      <c r="CO203" s="2"/>
      <c r="CP203" s="2"/>
      <c r="CQ203" s="2"/>
      <c r="CR203" s="177"/>
      <c r="CS203" s="2"/>
      <c r="CT203" s="2"/>
      <c r="CU203" s="2"/>
      <c r="CV203" s="2"/>
      <c r="CW203" s="2"/>
      <c r="CX203" s="2"/>
      <c r="CY203" s="2"/>
      <c r="CZ203" s="2"/>
      <c r="DA203" s="2"/>
      <c r="DB203" s="2"/>
      <c r="DC203" s="2"/>
      <c r="DD203" s="2"/>
      <c r="DE203" s="173"/>
      <c r="DF203" s="173"/>
    </row>
    <row r="204" spans="1:110">
      <c r="A204" s="136" t="s">
        <v>6161</v>
      </c>
      <c r="B204" s="136"/>
      <c r="C204" s="137"/>
      <c r="D204" s="120">
        <f t="shared" ref="D204:D210" si="9">E204*F204</f>
        <v>0</v>
      </c>
      <c r="E204" s="121">
        <f t="shared" si="8"/>
        <v>1.3</v>
      </c>
      <c r="F204" s="172" cm="1">
        <f t="array" ref="F204">SUM(G204:DD204*$G$9:$DD$9)</f>
        <v>0</v>
      </c>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177"/>
      <c r="AU204" s="2"/>
      <c r="AV204" s="2"/>
      <c r="AW204" s="2"/>
      <c r="AX204" s="2"/>
      <c r="AY204" s="2"/>
      <c r="AZ204" s="2"/>
      <c r="BA204" s="2"/>
      <c r="BB204" s="2"/>
      <c r="BC204" s="2"/>
      <c r="BD204" s="177"/>
      <c r="BE204" s="2"/>
      <c r="BF204" s="2"/>
      <c r="BG204" s="2"/>
      <c r="BH204" s="2"/>
      <c r="BI204" s="2"/>
      <c r="BJ204" s="2"/>
      <c r="BK204" s="2"/>
      <c r="BL204" s="2"/>
      <c r="BM204" s="2"/>
      <c r="BN204" s="2"/>
      <c r="BO204" s="2"/>
      <c r="BP204" s="2"/>
      <c r="BQ204" s="2"/>
      <c r="BR204" s="177"/>
      <c r="BS204" s="2"/>
      <c r="BT204" s="2"/>
      <c r="BU204" s="2"/>
      <c r="BV204" s="2"/>
      <c r="BW204" s="2"/>
      <c r="BX204" s="2"/>
      <c r="BY204" s="2"/>
      <c r="BZ204" s="177"/>
      <c r="CA204" s="2"/>
      <c r="CB204" s="2"/>
      <c r="CC204" s="2"/>
      <c r="CD204" s="2"/>
      <c r="CE204" s="2"/>
      <c r="CF204" s="2"/>
      <c r="CG204" s="2"/>
      <c r="CH204" s="177"/>
      <c r="CI204" s="2"/>
      <c r="CJ204" s="2"/>
      <c r="CK204" s="2"/>
      <c r="CL204" s="2"/>
      <c r="CM204" s="2"/>
      <c r="CN204" s="2"/>
      <c r="CO204" s="2"/>
      <c r="CP204" s="2"/>
      <c r="CQ204" s="2"/>
      <c r="CR204" s="177"/>
      <c r="CS204" s="2"/>
      <c r="CT204" s="2"/>
      <c r="CU204" s="2"/>
      <c r="CV204" s="2"/>
      <c r="CW204" s="2"/>
      <c r="CX204" s="2"/>
      <c r="CY204" s="2"/>
      <c r="CZ204" s="2"/>
      <c r="DA204" s="2"/>
      <c r="DB204" s="2"/>
      <c r="DC204" s="2"/>
      <c r="DD204" s="2"/>
      <c r="DE204" s="173"/>
      <c r="DF204" s="173"/>
    </row>
    <row r="205" spans="1:110">
      <c r="A205" s="136" t="s">
        <v>6162</v>
      </c>
      <c r="B205" s="136"/>
      <c r="C205" s="137"/>
      <c r="D205" s="120">
        <f t="shared" si="9"/>
        <v>0</v>
      </c>
      <c r="E205" s="121">
        <f t="shared" si="8"/>
        <v>1.3</v>
      </c>
      <c r="F205" s="172" cm="1">
        <f t="array" ref="F205">SUM(G205:DD205*$G$9:$DD$9)</f>
        <v>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177"/>
      <c r="AU205" s="2"/>
      <c r="AV205" s="2"/>
      <c r="AW205" s="2"/>
      <c r="AX205" s="2"/>
      <c r="AY205" s="2"/>
      <c r="AZ205" s="2"/>
      <c r="BA205" s="2"/>
      <c r="BB205" s="2"/>
      <c r="BC205" s="2"/>
      <c r="BD205" s="177"/>
      <c r="BE205" s="2"/>
      <c r="BF205" s="2"/>
      <c r="BG205" s="2"/>
      <c r="BH205" s="2"/>
      <c r="BI205" s="2"/>
      <c r="BJ205" s="2"/>
      <c r="BK205" s="2"/>
      <c r="BL205" s="2"/>
      <c r="BM205" s="2"/>
      <c r="BN205" s="2"/>
      <c r="BO205" s="2"/>
      <c r="BP205" s="2"/>
      <c r="BQ205" s="2"/>
      <c r="BR205" s="177"/>
      <c r="BS205" s="2"/>
      <c r="BT205" s="2"/>
      <c r="BU205" s="2"/>
      <c r="BV205" s="2"/>
      <c r="BW205" s="2"/>
      <c r="BX205" s="2"/>
      <c r="BY205" s="2"/>
      <c r="BZ205" s="177"/>
      <c r="CA205" s="2"/>
      <c r="CB205" s="2"/>
      <c r="CC205" s="2"/>
      <c r="CD205" s="2"/>
      <c r="CE205" s="2"/>
      <c r="CF205" s="2"/>
      <c r="CG205" s="2"/>
      <c r="CH205" s="177"/>
      <c r="CI205" s="2"/>
      <c r="CJ205" s="2"/>
      <c r="CK205" s="2"/>
      <c r="CL205" s="2"/>
      <c r="CM205" s="2"/>
      <c r="CN205" s="2"/>
      <c r="CO205" s="2"/>
      <c r="CP205" s="2"/>
      <c r="CQ205" s="2"/>
      <c r="CR205" s="177"/>
      <c r="CS205" s="2"/>
      <c r="CT205" s="2"/>
      <c r="CU205" s="2"/>
      <c r="CV205" s="2"/>
      <c r="CW205" s="2"/>
      <c r="CX205" s="2"/>
      <c r="CY205" s="2"/>
      <c r="CZ205" s="2"/>
      <c r="DA205" s="2"/>
      <c r="DB205" s="2"/>
      <c r="DC205" s="2"/>
      <c r="DD205" s="2"/>
      <c r="DE205" s="173"/>
      <c r="DF205" s="173"/>
    </row>
    <row r="206" spans="1:110">
      <c r="A206" s="136" t="s">
        <v>6163</v>
      </c>
      <c r="B206" s="136"/>
      <c r="C206" s="137"/>
      <c r="D206" s="120">
        <f t="shared" si="9"/>
        <v>0</v>
      </c>
      <c r="E206" s="121">
        <f t="shared" si="8"/>
        <v>1.3</v>
      </c>
      <c r="F206" s="172" cm="1">
        <f t="array" ref="F206">SUM(G206:DD206*$G$9:$DD$9)</f>
        <v>0</v>
      </c>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177"/>
      <c r="AU206" s="2"/>
      <c r="AV206" s="2"/>
      <c r="AW206" s="2"/>
      <c r="AX206" s="2"/>
      <c r="AY206" s="2"/>
      <c r="AZ206" s="2"/>
      <c r="BA206" s="2"/>
      <c r="BB206" s="2"/>
      <c r="BC206" s="2"/>
      <c r="BD206" s="177"/>
      <c r="BE206" s="2"/>
      <c r="BF206" s="2"/>
      <c r="BG206" s="2"/>
      <c r="BH206" s="2"/>
      <c r="BI206" s="2"/>
      <c r="BJ206" s="2"/>
      <c r="BK206" s="2"/>
      <c r="BL206" s="2"/>
      <c r="BM206" s="2"/>
      <c r="BN206" s="2"/>
      <c r="BO206" s="2"/>
      <c r="BP206" s="2"/>
      <c r="BQ206" s="2"/>
      <c r="BR206" s="177"/>
      <c r="BS206" s="2"/>
      <c r="BT206" s="2"/>
      <c r="BU206" s="2"/>
      <c r="BV206" s="2"/>
      <c r="BW206" s="2"/>
      <c r="BX206" s="2"/>
      <c r="BY206" s="2"/>
      <c r="BZ206" s="177"/>
      <c r="CA206" s="2"/>
      <c r="CB206" s="2"/>
      <c r="CC206" s="2"/>
      <c r="CD206" s="2"/>
      <c r="CE206" s="2"/>
      <c r="CF206" s="2"/>
      <c r="CG206" s="2"/>
      <c r="CH206" s="177"/>
      <c r="CI206" s="2"/>
      <c r="CJ206" s="2"/>
      <c r="CK206" s="2"/>
      <c r="CL206" s="2"/>
      <c r="CM206" s="2"/>
      <c r="CN206" s="2"/>
      <c r="CO206" s="2"/>
      <c r="CP206" s="2"/>
      <c r="CQ206" s="2"/>
      <c r="CR206" s="177"/>
      <c r="CS206" s="2"/>
      <c r="CT206" s="2"/>
      <c r="CU206" s="2"/>
      <c r="CV206" s="2"/>
      <c r="CW206" s="2"/>
      <c r="CX206" s="2"/>
      <c r="CY206" s="2"/>
      <c r="CZ206" s="2"/>
      <c r="DA206" s="2"/>
      <c r="DB206" s="2"/>
      <c r="DC206" s="2"/>
      <c r="DD206" s="2"/>
      <c r="DE206" s="173"/>
      <c r="DF206" s="173"/>
    </row>
    <row r="207" spans="1:110">
      <c r="A207" s="136" t="s">
        <v>6164</v>
      </c>
      <c r="B207" s="136"/>
      <c r="C207" s="137"/>
      <c r="D207" s="120">
        <f t="shared" si="9"/>
        <v>0</v>
      </c>
      <c r="E207" s="121">
        <f t="shared" si="8"/>
        <v>1.3</v>
      </c>
      <c r="F207" s="172" cm="1">
        <f t="array" ref="F207">SUM(G207:DD207*$G$9:$DD$9)</f>
        <v>0</v>
      </c>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177"/>
      <c r="AU207" s="2"/>
      <c r="AV207" s="2"/>
      <c r="AW207" s="2"/>
      <c r="AX207" s="2"/>
      <c r="AY207" s="2"/>
      <c r="AZ207" s="2"/>
      <c r="BA207" s="2"/>
      <c r="BB207" s="2"/>
      <c r="BC207" s="2"/>
      <c r="BD207" s="177"/>
      <c r="BE207" s="2"/>
      <c r="BF207" s="2"/>
      <c r="BG207" s="2"/>
      <c r="BH207" s="2"/>
      <c r="BI207" s="2"/>
      <c r="BJ207" s="2"/>
      <c r="BK207" s="2"/>
      <c r="BL207" s="2"/>
      <c r="BM207" s="2"/>
      <c r="BN207" s="2"/>
      <c r="BO207" s="2"/>
      <c r="BP207" s="2"/>
      <c r="BQ207" s="2"/>
      <c r="BR207" s="177"/>
      <c r="BS207" s="2"/>
      <c r="BT207" s="2"/>
      <c r="BU207" s="2"/>
      <c r="BV207" s="2"/>
      <c r="BW207" s="2"/>
      <c r="BX207" s="2"/>
      <c r="BY207" s="2"/>
      <c r="BZ207" s="177"/>
      <c r="CA207" s="2"/>
      <c r="CB207" s="2"/>
      <c r="CC207" s="2"/>
      <c r="CD207" s="2"/>
      <c r="CE207" s="2"/>
      <c r="CF207" s="2"/>
      <c r="CG207" s="2"/>
      <c r="CH207" s="177"/>
      <c r="CI207" s="2"/>
      <c r="CJ207" s="2"/>
      <c r="CK207" s="2"/>
      <c r="CL207" s="2"/>
      <c r="CM207" s="2"/>
      <c r="CN207" s="2"/>
      <c r="CO207" s="2"/>
      <c r="CP207" s="2"/>
      <c r="CQ207" s="2"/>
      <c r="CR207" s="177"/>
      <c r="CS207" s="2"/>
      <c r="CT207" s="2"/>
      <c r="CU207" s="2"/>
      <c r="CV207" s="2"/>
      <c r="CW207" s="2"/>
      <c r="CX207" s="2"/>
      <c r="CY207" s="2"/>
      <c r="CZ207" s="2"/>
      <c r="DA207" s="2"/>
      <c r="DB207" s="2"/>
      <c r="DC207" s="2"/>
      <c r="DD207" s="2"/>
      <c r="DE207" s="173"/>
      <c r="DF207" s="173"/>
    </row>
    <row r="208" spans="1:110">
      <c r="A208" s="136" t="s">
        <v>6165</v>
      </c>
      <c r="B208" s="136"/>
      <c r="C208" s="137"/>
      <c r="D208" s="120">
        <f t="shared" si="9"/>
        <v>0</v>
      </c>
      <c r="E208" s="121">
        <f t="shared" si="8"/>
        <v>1.3</v>
      </c>
      <c r="F208" s="172" cm="1">
        <f t="array" ref="F208">SUM(G208:DD208*$G$9:$DD$9)</f>
        <v>0</v>
      </c>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177"/>
      <c r="AU208" s="2"/>
      <c r="AV208" s="2"/>
      <c r="AW208" s="2"/>
      <c r="AX208" s="2"/>
      <c r="AY208" s="2"/>
      <c r="AZ208" s="2"/>
      <c r="BA208" s="2"/>
      <c r="BB208" s="2"/>
      <c r="BC208" s="2"/>
      <c r="BD208" s="177"/>
      <c r="BE208" s="2"/>
      <c r="BF208" s="2"/>
      <c r="BG208" s="2"/>
      <c r="BH208" s="2"/>
      <c r="BI208" s="2"/>
      <c r="BJ208" s="2"/>
      <c r="BK208" s="2"/>
      <c r="BL208" s="2"/>
      <c r="BM208" s="2"/>
      <c r="BN208" s="2"/>
      <c r="BO208" s="2"/>
      <c r="BP208" s="2"/>
      <c r="BQ208" s="2"/>
      <c r="BR208" s="177"/>
      <c r="BS208" s="2"/>
      <c r="BT208" s="2"/>
      <c r="BU208" s="2"/>
      <c r="BV208" s="2"/>
      <c r="BW208" s="2"/>
      <c r="BX208" s="2"/>
      <c r="BY208" s="2"/>
      <c r="BZ208" s="177"/>
      <c r="CA208" s="2"/>
      <c r="CB208" s="2"/>
      <c r="CC208" s="2"/>
      <c r="CD208" s="2"/>
      <c r="CE208" s="2"/>
      <c r="CF208" s="2"/>
      <c r="CG208" s="2"/>
      <c r="CH208" s="177"/>
      <c r="CI208" s="2"/>
      <c r="CJ208" s="2"/>
      <c r="CK208" s="2"/>
      <c r="CL208" s="2"/>
      <c r="CM208" s="2"/>
      <c r="CN208" s="2"/>
      <c r="CO208" s="2"/>
      <c r="CP208" s="2"/>
      <c r="CQ208" s="2"/>
      <c r="CR208" s="177"/>
      <c r="CS208" s="2"/>
      <c r="CT208" s="2"/>
      <c r="CU208" s="2"/>
      <c r="CV208" s="2"/>
      <c r="CW208" s="2"/>
      <c r="CX208" s="2"/>
      <c r="CY208" s="2"/>
      <c r="CZ208" s="2"/>
      <c r="DA208" s="2"/>
      <c r="DB208" s="2"/>
      <c r="DC208" s="2"/>
      <c r="DD208" s="2"/>
      <c r="DE208" s="173"/>
      <c r="DF208" s="173"/>
    </row>
    <row r="209" spans="1:110">
      <c r="A209" s="136" t="s">
        <v>6166</v>
      </c>
      <c r="B209" s="136"/>
      <c r="C209" s="137"/>
      <c r="D209" s="120">
        <f t="shared" si="9"/>
        <v>0</v>
      </c>
      <c r="E209" s="121">
        <f t="shared" si="8"/>
        <v>1.3</v>
      </c>
      <c r="F209" s="172" cm="1">
        <f t="array" ref="F209">SUM(G209:DD209*$G$9:$DD$9)</f>
        <v>0</v>
      </c>
      <c r="G209" s="173"/>
      <c r="H209" s="173"/>
      <c r="I209" s="173"/>
      <c r="J209" s="173"/>
      <c r="K209" s="173"/>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177"/>
      <c r="AU209" s="2"/>
      <c r="AV209" s="2"/>
      <c r="AW209" s="2"/>
      <c r="AX209" s="2"/>
      <c r="AY209" s="2"/>
      <c r="AZ209" s="2"/>
      <c r="BA209" s="2"/>
      <c r="BB209" s="2"/>
      <c r="BC209" s="173"/>
      <c r="BD209" s="175"/>
      <c r="BE209" s="173"/>
      <c r="BF209" s="173"/>
      <c r="BG209" s="173"/>
      <c r="BH209" s="173"/>
      <c r="BI209" s="173"/>
      <c r="BJ209" s="173"/>
      <c r="BK209" s="173"/>
      <c r="BL209" s="173"/>
      <c r="BM209" s="173"/>
      <c r="BN209" s="173"/>
      <c r="BO209" s="173"/>
      <c r="BP209" s="173"/>
      <c r="BQ209" s="173"/>
      <c r="BR209" s="175"/>
      <c r="BS209" s="173"/>
      <c r="BT209" s="173"/>
      <c r="BU209" s="173"/>
      <c r="BV209" s="173"/>
      <c r="BW209" s="173"/>
      <c r="BX209" s="173"/>
      <c r="BY209" s="173"/>
      <c r="BZ209" s="175"/>
      <c r="CA209" s="173"/>
      <c r="CB209" s="173"/>
      <c r="CC209" s="173"/>
      <c r="CD209" s="173"/>
      <c r="CE209" s="173"/>
      <c r="CF209" s="173"/>
      <c r="CG209" s="173"/>
      <c r="CH209" s="175"/>
      <c r="CI209" s="173"/>
      <c r="CJ209" s="173"/>
      <c r="CK209" s="173"/>
      <c r="CL209" s="173"/>
      <c r="CM209" s="173"/>
      <c r="CN209" s="173"/>
      <c r="CO209" s="173"/>
      <c r="CP209" s="173"/>
      <c r="CQ209" s="173"/>
      <c r="CR209" s="175"/>
      <c r="CS209" s="173"/>
      <c r="CT209" s="173"/>
      <c r="CU209" s="173"/>
      <c r="CV209" s="173"/>
      <c r="CW209" s="173"/>
      <c r="CX209" s="173"/>
      <c r="CY209" s="173"/>
      <c r="CZ209" s="173"/>
      <c r="DA209" s="173"/>
      <c r="DB209" s="173"/>
      <c r="DC209" s="173"/>
      <c r="DD209" s="173"/>
      <c r="DE209" s="173"/>
      <c r="DF209" s="173"/>
    </row>
    <row r="210" spans="1:110">
      <c r="A210" s="136" t="s">
        <v>6167</v>
      </c>
      <c r="B210" s="136"/>
      <c r="C210" s="137"/>
      <c r="D210" s="120">
        <f t="shared" si="9"/>
        <v>0</v>
      </c>
      <c r="E210" s="121">
        <f t="shared" si="8"/>
        <v>1.3</v>
      </c>
      <c r="F210" s="172" cm="1">
        <f t="array" ref="F210">SUM(G210:DD210*$G$9:$DD$9)</f>
        <v>0</v>
      </c>
      <c r="G210" s="173"/>
      <c r="H210" s="173"/>
      <c r="I210" s="173"/>
      <c r="J210" s="173"/>
      <c r="K210" s="173"/>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177"/>
      <c r="AU210" s="2"/>
      <c r="AV210" s="2"/>
      <c r="AW210" s="2"/>
      <c r="AX210" s="2"/>
      <c r="AY210" s="2"/>
      <c r="AZ210" s="2"/>
      <c r="BA210" s="2"/>
      <c r="BB210" s="2"/>
      <c r="BC210" s="173"/>
      <c r="BD210" s="175"/>
      <c r="BE210" s="173"/>
      <c r="BF210" s="173"/>
      <c r="BG210" s="173"/>
      <c r="BH210" s="173"/>
      <c r="BI210" s="173"/>
      <c r="BJ210" s="173"/>
      <c r="BK210" s="173"/>
      <c r="BL210" s="173"/>
      <c r="BM210" s="173"/>
      <c r="BN210" s="173"/>
      <c r="BO210" s="173"/>
      <c r="BP210" s="173"/>
      <c r="BQ210" s="173"/>
      <c r="BR210" s="175"/>
      <c r="BS210" s="173"/>
      <c r="BT210" s="173"/>
      <c r="BU210" s="173"/>
      <c r="BV210" s="173"/>
      <c r="BW210" s="173"/>
      <c r="BX210" s="173"/>
      <c r="BY210" s="173"/>
      <c r="BZ210" s="175"/>
      <c r="CA210" s="173"/>
      <c r="CB210" s="173"/>
      <c r="CC210" s="173"/>
      <c r="CD210" s="173"/>
      <c r="CE210" s="173"/>
      <c r="CF210" s="173"/>
      <c r="CG210" s="173"/>
      <c r="CH210" s="175"/>
      <c r="CI210" s="173"/>
      <c r="CJ210" s="173"/>
      <c r="CK210" s="173"/>
      <c r="CL210" s="173"/>
      <c r="CM210" s="173"/>
      <c r="CN210" s="173"/>
      <c r="CO210" s="173"/>
      <c r="CP210" s="173"/>
      <c r="CQ210" s="173"/>
      <c r="CR210" s="175"/>
      <c r="CS210" s="173"/>
      <c r="CT210" s="173"/>
      <c r="CU210" s="173"/>
      <c r="CV210" s="173"/>
      <c r="CW210" s="173"/>
      <c r="CX210" s="173"/>
      <c r="CY210" s="173"/>
      <c r="CZ210" s="173"/>
      <c r="DA210" s="173"/>
      <c r="DB210" s="173"/>
      <c r="DC210" s="173"/>
      <c r="DD210" s="173"/>
      <c r="DE210" s="173"/>
      <c r="DF210" s="173"/>
    </row>
    <row r="211" spans="1:110">
      <c r="A211" s="136" t="s">
        <v>6317</v>
      </c>
      <c r="B211" s="136"/>
      <c r="C211" s="137"/>
      <c r="D211" s="120">
        <f t="shared" ref="D211:D224" si="10">E211*F211</f>
        <v>0</v>
      </c>
      <c r="E211" s="121">
        <f t="shared" si="8"/>
        <v>1.3</v>
      </c>
      <c r="F211" s="172" cm="1">
        <f t="array" ref="F211">SUM(G211:DD211*$G$9:$DD$9)</f>
        <v>0</v>
      </c>
      <c r="G211" s="173"/>
      <c r="H211" s="173"/>
      <c r="I211" s="173"/>
      <c r="J211" s="173"/>
      <c r="K211" s="173"/>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177"/>
      <c r="AU211" s="2"/>
      <c r="AV211" s="2"/>
      <c r="AW211" s="2"/>
      <c r="AX211" s="2"/>
      <c r="AY211" s="2"/>
      <c r="AZ211" s="2"/>
      <c r="BA211" s="2"/>
      <c r="BB211" s="2"/>
      <c r="BC211" s="173"/>
      <c r="BD211" s="175"/>
      <c r="BE211" s="173"/>
      <c r="BF211" s="173"/>
      <c r="BG211" s="173"/>
      <c r="BH211" s="173"/>
      <c r="BI211" s="173"/>
      <c r="BJ211" s="173"/>
      <c r="BK211" s="173"/>
      <c r="BL211" s="173"/>
      <c r="BM211" s="173"/>
      <c r="BN211" s="173"/>
      <c r="BO211" s="173"/>
      <c r="BP211" s="173"/>
      <c r="BQ211" s="173"/>
      <c r="BR211" s="175"/>
      <c r="BS211" s="173"/>
      <c r="BT211" s="173"/>
      <c r="BU211" s="173"/>
      <c r="BV211" s="173"/>
      <c r="BW211" s="173"/>
      <c r="BX211" s="173"/>
      <c r="BY211" s="173"/>
      <c r="BZ211" s="175"/>
      <c r="CA211" s="173"/>
      <c r="CB211" s="173"/>
      <c r="CC211" s="173"/>
      <c r="CD211" s="173"/>
      <c r="CE211" s="173"/>
      <c r="CF211" s="173"/>
      <c r="CG211" s="173"/>
      <c r="CH211" s="175"/>
      <c r="CI211" s="173"/>
      <c r="CJ211" s="173"/>
      <c r="CK211" s="173"/>
      <c r="CL211" s="173"/>
      <c r="CM211" s="173"/>
      <c r="CN211" s="173"/>
      <c r="CO211" s="173"/>
      <c r="CP211" s="173"/>
      <c r="CQ211" s="173"/>
      <c r="CR211" s="175"/>
      <c r="CS211" s="173"/>
      <c r="CT211" s="173"/>
      <c r="CU211" s="173"/>
      <c r="CV211" s="173"/>
      <c r="CW211" s="173"/>
      <c r="CX211" s="173"/>
      <c r="CY211" s="173"/>
      <c r="CZ211" s="173"/>
      <c r="DA211" s="173"/>
      <c r="DB211" s="173"/>
      <c r="DC211" s="173"/>
      <c r="DD211" s="173"/>
      <c r="DE211" s="173"/>
      <c r="DF211" s="173"/>
    </row>
    <row r="212" spans="1:110">
      <c r="A212" s="136" t="s">
        <v>6318</v>
      </c>
      <c r="B212" s="136"/>
      <c r="C212" s="137"/>
      <c r="D212" s="120">
        <f t="shared" si="10"/>
        <v>0</v>
      </c>
      <c r="E212" s="121">
        <f t="shared" si="8"/>
        <v>1.3</v>
      </c>
      <c r="F212" s="172" cm="1">
        <f t="array" ref="F212">SUM(G212:DD212*$G$9:$DD$9)</f>
        <v>0</v>
      </c>
      <c r="G212" s="173"/>
      <c r="H212" s="173"/>
      <c r="I212" s="173"/>
      <c r="J212" s="173"/>
      <c r="K212" s="173"/>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177"/>
      <c r="AU212" s="2"/>
      <c r="AV212" s="2"/>
      <c r="AW212" s="2"/>
      <c r="AX212" s="2"/>
      <c r="AY212" s="2"/>
      <c r="AZ212" s="2"/>
      <c r="BA212" s="2"/>
      <c r="BB212" s="2"/>
      <c r="BC212" s="173"/>
      <c r="BD212" s="175"/>
      <c r="BE212" s="173"/>
      <c r="BF212" s="173"/>
      <c r="BG212" s="173"/>
      <c r="BH212" s="173"/>
      <c r="BI212" s="173"/>
      <c r="BJ212" s="173"/>
      <c r="BK212" s="173"/>
      <c r="BL212" s="173"/>
      <c r="BM212" s="173"/>
      <c r="BN212" s="173"/>
      <c r="BO212" s="173"/>
      <c r="BP212" s="173"/>
      <c r="BQ212" s="173"/>
      <c r="BR212" s="175"/>
      <c r="BS212" s="173"/>
      <c r="BT212" s="173"/>
      <c r="BU212" s="173"/>
      <c r="BV212" s="173"/>
      <c r="BW212" s="173"/>
      <c r="BX212" s="173"/>
      <c r="BY212" s="173"/>
      <c r="BZ212" s="175"/>
      <c r="CA212" s="173"/>
      <c r="CB212" s="173"/>
      <c r="CC212" s="173"/>
      <c r="CD212" s="173"/>
      <c r="CE212" s="173"/>
      <c r="CF212" s="173"/>
      <c r="CG212" s="173"/>
      <c r="CH212" s="175"/>
      <c r="CI212" s="173"/>
      <c r="CJ212" s="173"/>
      <c r="CK212" s="173"/>
      <c r="CL212" s="173"/>
      <c r="CM212" s="173"/>
      <c r="CN212" s="173"/>
      <c r="CO212" s="173"/>
      <c r="CP212" s="173"/>
      <c r="CQ212" s="173"/>
      <c r="CR212" s="175"/>
      <c r="CS212" s="173"/>
      <c r="CT212" s="173"/>
      <c r="CU212" s="173"/>
      <c r="CV212" s="173"/>
      <c r="CW212" s="173"/>
      <c r="CX212" s="173"/>
      <c r="CY212" s="173"/>
      <c r="CZ212" s="173"/>
      <c r="DA212" s="173"/>
      <c r="DB212" s="173"/>
      <c r="DC212" s="173"/>
      <c r="DD212" s="173"/>
      <c r="DE212" s="173"/>
      <c r="DF212" s="173"/>
    </row>
    <row r="213" spans="1:110">
      <c r="A213" s="136" t="s">
        <v>6319</v>
      </c>
      <c r="B213" s="136"/>
      <c r="C213" s="137"/>
      <c r="D213" s="120">
        <f t="shared" si="10"/>
        <v>0</v>
      </c>
      <c r="E213" s="121">
        <f t="shared" si="8"/>
        <v>1.3</v>
      </c>
      <c r="F213" s="172" cm="1">
        <f t="array" ref="F213">SUM(G213:DD213*$G$9:$DD$9)</f>
        <v>0</v>
      </c>
      <c r="G213" s="173"/>
      <c r="H213" s="173"/>
      <c r="I213" s="173"/>
      <c r="J213" s="173"/>
      <c r="K213" s="173"/>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177"/>
      <c r="AU213" s="2"/>
      <c r="AV213" s="2"/>
      <c r="AW213" s="2"/>
      <c r="AX213" s="2"/>
      <c r="AY213" s="2"/>
      <c r="AZ213" s="2"/>
      <c r="BA213" s="2"/>
      <c r="BB213" s="2"/>
      <c r="BC213" s="173"/>
      <c r="BD213" s="175"/>
      <c r="BE213" s="173"/>
      <c r="BF213" s="173"/>
      <c r="BG213" s="173"/>
      <c r="BH213" s="173"/>
      <c r="BI213" s="173"/>
      <c r="BJ213" s="173"/>
      <c r="BK213" s="173"/>
      <c r="BL213" s="173"/>
      <c r="BM213" s="173"/>
      <c r="BN213" s="173"/>
      <c r="BO213" s="173"/>
      <c r="BP213" s="173"/>
      <c r="BQ213" s="173"/>
      <c r="BR213" s="175"/>
      <c r="BS213" s="173"/>
      <c r="BT213" s="173"/>
      <c r="BU213" s="173"/>
      <c r="BV213" s="173"/>
      <c r="BW213" s="173"/>
      <c r="BX213" s="173"/>
      <c r="BY213" s="173"/>
      <c r="BZ213" s="175"/>
      <c r="CA213" s="173"/>
      <c r="CB213" s="173"/>
      <c r="CC213" s="173"/>
      <c r="CD213" s="173"/>
      <c r="CE213" s="173"/>
      <c r="CF213" s="173"/>
      <c r="CG213" s="173"/>
      <c r="CH213" s="175"/>
      <c r="CI213" s="173"/>
      <c r="CJ213" s="173"/>
      <c r="CK213" s="173"/>
      <c r="CL213" s="173"/>
      <c r="CM213" s="173"/>
      <c r="CN213" s="173"/>
      <c r="CO213" s="173"/>
      <c r="CP213" s="173"/>
      <c r="CQ213" s="173"/>
      <c r="CR213" s="175"/>
      <c r="CS213" s="173"/>
      <c r="CT213" s="173"/>
      <c r="CU213" s="173"/>
      <c r="CV213" s="173"/>
      <c r="CW213" s="173"/>
      <c r="CX213" s="173"/>
      <c r="CY213" s="173"/>
      <c r="CZ213" s="173"/>
      <c r="DA213" s="173"/>
      <c r="DB213" s="173"/>
      <c r="DC213" s="173"/>
      <c r="DD213" s="173"/>
      <c r="DE213" s="173"/>
      <c r="DF213" s="173"/>
    </row>
    <row r="214" spans="1:110">
      <c r="A214" s="136" t="s">
        <v>6320</v>
      </c>
      <c r="B214" s="136"/>
      <c r="C214" s="137"/>
      <c r="D214" s="120">
        <f t="shared" si="10"/>
        <v>0</v>
      </c>
      <c r="E214" s="121">
        <f t="shared" si="8"/>
        <v>1.3</v>
      </c>
      <c r="F214" s="172" cm="1">
        <f t="array" ref="F214">SUM(G214:DD214*$G$9:$DD$9)</f>
        <v>0</v>
      </c>
      <c r="G214" s="173"/>
      <c r="H214" s="173"/>
      <c r="I214" s="173"/>
      <c r="J214" s="173"/>
      <c r="K214" s="173"/>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177"/>
      <c r="AU214" s="2"/>
      <c r="AV214" s="2"/>
      <c r="AW214" s="2"/>
      <c r="AX214" s="2"/>
      <c r="AY214" s="2"/>
      <c r="AZ214" s="2"/>
      <c r="BA214" s="2"/>
      <c r="BB214" s="2"/>
      <c r="BC214" s="173"/>
      <c r="BD214" s="175"/>
      <c r="BE214" s="173"/>
      <c r="BF214" s="173"/>
      <c r="BG214" s="173"/>
      <c r="BH214" s="173"/>
      <c r="BI214" s="173"/>
      <c r="BJ214" s="173"/>
      <c r="BK214" s="173"/>
      <c r="BL214" s="173"/>
      <c r="BM214" s="173"/>
      <c r="BN214" s="173"/>
      <c r="BO214" s="173"/>
      <c r="BP214" s="173"/>
      <c r="BQ214" s="173"/>
      <c r="BR214" s="175"/>
      <c r="BS214" s="173"/>
      <c r="BT214" s="173"/>
      <c r="BU214" s="173"/>
      <c r="BV214" s="173"/>
      <c r="BW214" s="173"/>
      <c r="BX214" s="173"/>
      <c r="BY214" s="173"/>
      <c r="BZ214" s="175"/>
      <c r="CA214" s="173"/>
      <c r="CB214" s="173"/>
      <c r="CC214" s="173"/>
      <c r="CD214" s="173"/>
      <c r="CE214" s="173"/>
      <c r="CF214" s="173"/>
      <c r="CG214" s="173"/>
      <c r="CH214" s="175"/>
      <c r="CI214" s="173"/>
      <c r="CJ214" s="173"/>
      <c r="CK214" s="173"/>
      <c r="CL214" s="173"/>
      <c r="CM214" s="173"/>
      <c r="CN214" s="173"/>
      <c r="CO214" s="173"/>
      <c r="CP214" s="173"/>
      <c r="CQ214" s="173"/>
      <c r="CR214" s="175"/>
      <c r="CS214" s="173"/>
      <c r="CT214" s="173"/>
      <c r="CU214" s="173"/>
      <c r="CV214" s="173"/>
      <c r="CW214" s="173"/>
      <c r="CX214" s="173"/>
      <c r="CY214" s="173"/>
      <c r="CZ214" s="173"/>
      <c r="DA214" s="173"/>
      <c r="DB214" s="173"/>
      <c r="DC214" s="173"/>
      <c r="DD214" s="173"/>
      <c r="DE214" s="173"/>
      <c r="DF214" s="173"/>
    </row>
    <row r="215" spans="1:110">
      <c r="A215" s="136" t="s">
        <v>6321</v>
      </c>
      <c r="B215" s="136"/>
      <c r="C215" s="137"/>
      <c r="D215" s="120">
        <f t="shared" si="10"/>
        <v>0</v>
      </c>
      <c r="E215" s="121">
        <f t="shared" si="8"/>
        <v>1.3</v>
      </c>
      <c r="F215" s="172" cm="1">
        <f t="array" ref="F215">SUM(G215:DD215*$G$9:$DD$9)</f>
        <v>0</v>
      </c>
      <c r="G215" s="173"/>
      <c r="H215" s="173"/>
      <c r="I215" s="173"/>
      <c r="J215" s="173"/>
      <c r="K215" s="173"/>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177"/>
      <c r="AU215" s="2"/>
      <c r="AV215" s="2"/>
      <c r="AW215" s="2"/>
      <c r="AX215" s="2"/>
      <c r="AY215" s="2"/>
      <c r="AZ215" s="2"/>
      <c r="BA215" s="2"/>
      <c r="BB215" s="2"/>
      <c r="BC215" s="173"/>
      <c r="BD215" s="175"/>
      <c r="BE215" s="173"/>
      <c r="BF215" s="173"/>
      <c r="BG215" s="173"/>
      <c r="BH215" s="173"/>
      <c r="BI215" s="173"/>
      <c r="BJ215" s="173"/>
      <c r="BK215" s="173"/>
      <c r="BL215" s="173"/>
      <c r="BM215" s="173"/>
      <c r="BN215" s="173"/>
      <c r="BO215" s="173"/>
      <c r="BP215" s="173"/>
      <c r="BQ215" s="173"/>
      <c r="BR215" s="175"/>
      <c r="BS215" s="173"/>
      <c r="BT215" s="173"/>
      <c r="BU215" s="173"/>
      <c r="BV215" s="173"/>
      <c r="BW215" s="173"/>
      <c r="BX215" s="173"/>
      <c r="BY215" s="173"/>
      <c r="BZ215" s="175"/>
      <c r="CA215" s="173"/>
      <c r="CB215" s="173"/>
      <c r="CC215" s="173"/>
      <c r="CD215" s="173"/>
      <c r="CE215" s="173"/>
      <c r="CF215" s="173"/>
      <c r="CG215" s="173"/>
      <c r="CH215" s="175"/>
      <c r="CI215" s="173"/>
      <c r="CJ215" s="173"/>
      <c r="CK215" s="173"/>
      <c r="CL215" s="173"/>
      <c r="CM215" s="173"/>
      <c r="CN215" s="173"/>
      <c r="CO215" s="173"/>
      <c r="CP215" s="173"/>
      <c r="CQ215" s="173"/>
      <c r="CR215" s="175"/>
      <c r="CS215" s="173"/>
      <c r="CT215" s="173"/>
      <c r="CU215" s="173"/>
      <c r="CV215" s="173"/>
      <c r="CW215" s="173"/>
      <c r="CX215" s="173"/>
      <c r="CY215" s="173"/>
      <c r="CZ215" s="173"/>
      <c r="DA215" s="173"/>
      <c r="DB215" s="173"/>
      <c r="DC215" s="173"/>
      <c r="DD215" s="173"/>
      <c r="DE215" s="173"/>
      <c r="DF215" s="173"/>
    </row>
    <row r="216" spans="1:110">
      <c r="A216" s="136" t="s">
        <v>6322</v>
      </c>
      <c r="B216" s="136"/>
      <c r="C216" s="137"/>
      <c r="D216" s="120">
        <f t="shared" si="10"/>
        <v>0</v>
      </c>
      <c r="E216" s="121">
        <f t="shared" si="8"/>
        <v>1.3</v>
      </c>
      <c r="F216" s="172" cm="1">
        <f t="array" ref="F216">SUM(G216:DD216*$G$9:$DD$9)</f>
        <v>0</v>
      </c>
      <c r="G216" s="173"/>
      <c r="H216" s="173"/>
      <c r="I216" s="173"/>
      <c r="J216" s="173"/>
      <c r="K216" s="173"/>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177"/>
      <c r="AU216" s="2"/>
      <c r="AV216" s="2"/>
      <c r="AW216" s="2"/>
      <c r="AX216" s="2"/>
      <c r="AY216" s="2"/>
      <c r="AZ216" s="2"/>
      <c r="BA216" s="2"/>
      <c r="BB216" s="2"/>
      <c r="BC216" s="173"/>
      <c r="BD216" s="175"/>
      <c r="BE216" s="173"/>
      <c r="BF216" s="173"/>
      <c r="BG216" s="173"/>
      <c r="BH216" s="173"/>
      <c r="BI216" s="173"/>
      <c r="BJ216" s="173"/>
      <c r="BK216" s="173"/>
      <c r="BL216" s="173"/>
      <c r="BM216" s="173"/>
      <c r="BN216" s="173"/>
      <c r="BO216" s="173"/>
      <c r="BP216" s="173"/>
      <c r="BQ216" s="173"/>
      <c r="BR216" s="175"/>
      <c r="BS216" s="173"/>
      <c r="BT216" s="173"/>
      <c r="BU216" s="173"/>
      <c r="BV216" s="173"/>
      <c r="BW216" s="173"/>
      <c r="BX216" s="173"/>
      <c r="BY216" s="173"/>
      <c r="BZ216" s="175"/>
      <c r="CA216" s="173"/>
      <c r="CB216" s="173"/>
      <c r="CC216" s="173"/>
      <c r="CD216" s="173"/>
      <c r="CE216" s="173"/>
      <c r="CF216" s="173"/>
      <c r="CG216" s="173"/>
      <c r="CH216" s="175"/>
      <c r="CI216" s="173"/>
      <c r="CJ216" s="173"/>
      <c r="CK216" s="173"/>
      <c r="CL216" s="173"/>
      <c r="CM216" s="173"/>
      <c r="CN216" s="173"/>
      <c r="CO216" s="173"/>
      <c r="CP216" s="173"/>
      <c r="CQ216" s="173"/>
      <c r="CR216" s="175"/>
      <c r="CS216" s="173"/>
      <c r="CT216" s="173"/>
      <c r="CU216" s="173"/>
      <c r="CV216" s="173"/>
      <c r="CW216" s="173"/>
      <c r="CX216" s="173"/>
      <c r="CY216" s="173"/>
      <c r="CZ216" s="173"/>
      <c r="DA216" s="173"/>
      <c r="DB216" s="173"/>
      <c r="DC216" s="173"/>
      <c r="DD216" s="173"/>
      <c r="DE216" s="173"/>
      <c r="DF216" s="173"/>
    </row>
    <row r="217" spans="1:110">
      <c r="A217" s="136" t="s">
        <v>6323</v>
      </c>
      <c r="B217" s="136"/>
      <c r="C217" s="137"/>
      <c r="D217" s="120">
        <f t="shared" si="10"/>
        <v>0</v>
      </c>
      <c r="E217" s="121">
        <f t="shared" si="8"/>
        <v>1.3</v>
      </c>
      <c r="F217" s="172" cm="1">
        <f t="array" ref="F217">SUM(G217:DD217*$G$9:$DD$9)</f>
        <v>0</v>
      </c>
      <c r="G217" s="173"/>
      <c r="H217" s="173"/>
      <c r="I217" s="173"/>
      <c r="J217" s="173"/>
      <c r="K217" s="173"/>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177"/>
      <c r="AU217" s="2"/>
      <c r="AV217" s="2"/>
      <c r="AW217" s="2"/>
      <c r="AX217" s="2"/>
      <c r="AY217" s="2"/>
      <c r="AZ217" s="2"/>
      <c r="BA217" s="2"/>
      <c r="BB217" s="2"/>
      <c r="BC217" s="173"/>
      <c r="BD217" s="175"/>
      <c r="BE217" s="173"/>
      <c r="BF217" s="173"/>
      <c r="BG217" s="173"/>
      <c r="BH217" s="173"/>
      <c r="BI217" s="173"/>
      <c r="BJ217" s="173"/>
      <c r="BK217" s="173"/>
      <c r="BL217" s="173"/>
      <c r="BM217" s="173"/>
      <c r="BN217" s="173"/>
      <c r="BO217" s="173"/>
      <c r="BP217" s="173"/>
      <c r="BQ217" s="173"/>
      <c r="BR217" s="175"/>
      <c r="BS217" s="173"/>
      <c r="BT217" s="173"/>
      <c r="BU217" s="173"/>
      <c r="BV217" s="173"/>
      <c r="BW217" s="173"/>
      <c r="BX217" s="173"/>
      <c r="BY217" s="173"/>
      <c r="BZ217" s="175"/>
      <c r="CA217" s="173"/>
      <c r="CB217" s="173"/>
      <c r="CC217" s="173"/>
      <c r="CD217" s="173"/>
      <c r="CE217" s="173"/>
      <c r="CF217" s="173"/>
      <c r="CG217" s="173"/>
      <c r="CH217" s="175"/>
      <c r="CI217" s="173"/>
      <c r="CJ217" s="173"/>
      <c r="CK217" s="173"/>
      <c r="CL217" s="173"/>
      <c r="CM217" s="173"/>
      <c r="CN217" s="173"/>
      <c r="CO217" s="173"/>
      <c r="CP217" s="173"/>
      <c r="CQ217" s="173"/>
      <c r="CR217" s="175"/>
      <c r="CS217" s="173"/>
      <c r="CT217" s="173"/>
      <c r="CU217" s="173"/>
      <c r="CV217" s="173"/>
      <c r="CW217" s="173"/>
      <c r="CX217" s="173"/>
      <c r="CY217" s="173"/>
      <c r="CZ217" s="173"/>
      <c r="DA217" s="173"/>
      <c r="DB217" s="173"/>
      <c r="DC217" s="173"/>
      <c r="DD217" s="173"/>
      <c r="DE217" s="173"/>
      <c r="DF217" s="173"/>
    </row>
    <row r="218" spans="1:110">
      <c r="A218" s="136" t="s">
        <v>6324</v>
      </c>
      <c r="B218" s="136"/>
      <c r="C218" s="137"/>
      <c r="D218" s="120">
        <f t="shared" si="10"/>
        <v>0</v>
      </c>
      <c r="E218" s="121">
        <f t="shared" si="8"/>
        <v>1.3</v>
      </c>
      <c r="F218" s="172" cm="1">
        <f t="array" ref="F218">SUM(G218:DD218*$G$9:$DD$9)</f>
        <v>0</v>
      </c>
      <c r="G218" s="173"/>
      <c r="H218" s="173"/>
      <c r="I218" s="173"/>
      <c r="J218" s="173"/>
      <c r="K218" s="173"/>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177"/>
      <c r="AU218" s="2"/>
      <c r="AV218" s="2"/>
      <c r="AW218" s="2"/>
      <c r="AX218" s="2"/>
      <c r="AY218" s="2"/>
      <c r="AZ218" s="2"/>
      <c r="BA218" s="2"/>
      <c r="BB218" s="2"/>
      <c r="BC218" s="173"/>
      <c r="BD218" s="175"/>
      <c r="BE218" s="173"/>
      <c r="BF218" s="173"/>
      <c r="BG218" s="173"/>
      <c r="BH218" s="173"/>
      <c r="BI218" s="173"/>
      <c r="BJ218" s="173"/>
      <c r="BK218" s="173"/>
      <c r="BL218" s="173"/>
      <c r="BM218" s="173"/>
      <c r="BN218" s="173"/>
      <c r="BO218" s="173"/>
      <c r="BP218" s="173"/>
      <c r="BQ218" s="173"/>
      <c r="BR218" s="175"/>
      <c r="BS218" s="173"/>
      <c r="BT218" s="173"/>
      <c r="BU218" s="173"/>
      <c r="BV218" s="173"/>
      <c r="BW218" s="173"/>
      <c r="BX218" s="173"/>
      <c r="BY218" s="173"/>
      <c r="BZ218" s="175"/>
      <c r="CA218" s="173"/>
      <c r="CB218" s="173"/>
      <c r="CC218" s="173"/>
      <c r="CD218" s="173"/>
      <c r="CE218" s="173"/>
      <c r="CF218" s="173"/>
      <c r="CG218" s="173"/>
      <c r="CH218" s="175"/>
      <c r="CI218" s="173"/>
      <c r="CJ218" s="173"/>
      <c r="CK218" s="173"/>
      <c r="CL218" s="173"/>
      <c r="CM218" s="173"/>
      <c r="CN218" s="173"/>
      <c r="CO218" s="173"/>
      <c r="CP218" s="173"/>
      <c r="CQ218" s="173"/>
      <c r="CR218" s="175"/>
      <c r="CS218" s="173"/>
      <c r="CT218" s="173"/>
      <c r="CU218" s="173"/>
      <c r="CV218" s="173"/>
      <c r="CW218" s="173"/>
      <c r="CX218" s="173"/>
      <c r="CY218" s="173"/>
      <c r="CZ218" s="173"/>
      <c r="DA218" s="173"/>
      <c r="DB218" s="173"/>
      <c r="DC218" s="173"/>
      <c r="DD218" s="173"/>
      <c r="DE218" s="173"/>
      <c r="DF218" s="173"/>
    </row>
    <row r="219" spans="1:110">
      <c r="A219" s="136" t="s">
        <v>6325</v>
      </c>
      <c r="B219" s="136"/>
      <c r="C219" s="137"/>
      <c r="D219" s="120">
        <f t="shared" si="10"/>
        <v>0</v>
      </c>
      <c r="E219" s="121">
        <f t="shared" si="8"/>
        <v>1.3</v>
      </c>
      <c r="F219" s="172" cm="1">
        <f t="array" ref="F219">SUM(G219:DD219*$G$9:$DD$9)</f>
        <v>0</v>
      </c>
      <c r="G219" s="173"/>
      <c r="H219" s="173"/>
      <c r="I219" s="173"/>
      <c r="J219" s="173"/>
      <c r="K219" s="173"/>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177"/>
      <c r="AU219" s="2"/>
      <c r="AV219" s="2"/>
      <c r="AW219" s="2"/>
      <c r="AX219" s="2"/>
      <c r="AY219" s="2"/>
      <c r="AZ219" s="2"/>
      <c r="BA219" s="2"/>
      <c r="BB219" s="2"/>
      <c r="BC219" s="173"/>
      <c r="BD219" s="175"/>
      <c r="BE219" s="173"/>
      <c r="BF219" s="173"/>
      <c r="BG219" s="173"/>
      <c r="BH219" s="173"/>
      <c r="BI219" s="173"/>
      <c r="BJ219" s="173"/>
      <c r="BK219" s="173"/>
      <c r="BL219" s="173"/>
      <c r="BM219" s="173"/>
      <c r="BN219" s="173"/>
      <c r="BO219" s="173"/>
      <c r="BP219" s="173"/>
      <c r="BQ219" s="173"/>
      <c r="BR219" s="175"/>
      <c r="BS219" s="173"/>
      <c r="BT219" s="173"/>
      <c r="BU219" s="173"/>
      <c r="BV219" s="173"/>
      <c r="BW219" s="173"/>
      <c r="BX219" s="173"/>
      <c r="BY219" s="173"/>
      <c r="BZ219" s="175"/>
      <c r="CA219" s="173"/>
      <c r="CB219" s="173"/>
      <c r="CC219" s="173"/>
      <c r="CD219" s="173"/>
      <c r="CE219" s="173"/>
      <c r="CF219" s="173"/>
      <c r="CG219" s="173"/>
      <c r="CH219" s="175"/>
      <c r="CI219" s="173"/>
      <c r="CJ219" s="173"/>
      <c r="CK219" s="173"/>
      <c r="CL219" s="173"/>
      <c r="CM219" s="173"/>
      <c r="CN219" s="173"/>
      <c r="CO219" s="173"/>
      <c r="CP219" s="173"/>
      <c r="CQ219" s="173"/>
      <c r="CR219" s="175"/>
      <c r="CS219" s="173"/>
      <c r="CT219" s="173"/>
      <c r="CU219" s="173"/>
      <c r="CV219" s="173"/>
      <c r="CW219" s="173"/>
      <c r="CX219" s="173"/>
      <c r="CY219" s="173"/>
      <c r="CZ219" s="173"/>
      <c r="DA219" s="173"/>
      <c r="DB219" s="173"/>
      <c r="DC219" s="173"/>
      <c r="DD219" s="173"/>
      <c r="DE219" s="173"/>
      <c r="DF219" s="173"/>
    </row>
    <row r="220" spans="1:110">
      <c r="A220" s="136" t="s">
        <v>6326</v>
      </c>
      <c r="B220" s="136"/>
      <c r="C220" s="137"/>
      <c r="D220" s="120">
        <f t="shared" si="10"/>
        <v>0</v>
      </c>
      <c r="E220" s="121">
        <f t="shared" si="8"/>
        <v>1.3</v>
      </c>
      <c r="F220" s="172" cm="1">
        <f t="array" ref="F220">SUM(G220:DD220*$G$9:$DD$9)</f>
        <v>0</v>
      </c>
      <c r="G220" s="173"/>
      <c r="H220" s="173"/>
      <c r="I220" s="173"/>
      <c r="J220" s="173"/>
      <c r="K220" s="173"/>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177"/>
      <c r="AU220" s="2"/>
      <c r="AV220" s="2"/>
      <c r="AW220" s="2"/>
      <c r="AX220" s="2"/>
      <c r="AY220" s="2"/>
      <c r="AZ220" s="2"/>
      <c r="BA220" s="2"/>
      <c r="BB220" s="2"/>
      <c r="BC220" s="173"/>
      <c r="BD220" s="175"/>
      <c r="BE220" s="173"/>
      <c r="BF220" s="173"/>
      <c r="BG220" s="173"/>
      <c r="BH220" s="173"/>
      <c r="BI220" s="173"/>
      <c r="BJ220" s="173"/>
      <c r="BK220" s="173"/>
      <c r="BL220" s="173"/>
      <c r="BM220" s="173"/>
      <c r="BN220" s="173"/>
      <c r="BO220" s="173"/>
      <c r="BP220" s="173"/>
      <c r="BQ220" s="173"/>
      <c r="BR220" s="175"/>
      <c r="BS220" s="173"/>
      <c r="BT220" s="173"/>
      <c r="BU220" s="173"/>
      <c r="BV220" s="173"/>
      <c r="BW220" s="173"/>
      <c r="BX220" s="173"/>
      <c r="BY220" s="173"/>
      <c r="BZ220" s="175"/>
      <c r="CA220" s="173"/>
      <c r="CB220" s="173"/>
      <c r="CC220" s="173"/>
      <c r="CD220" s="173"/>
      <c r="CE220" s="173"/>
      <c r="CF220" s="173"/>
      <c r="CG220" s="173"/>
      <c r="CH220" s="175"/>
      <c r="CI220" s="173"/>
      <c r="CJ220" s="173"/>
      <c r="CK220" s="173"/>
      <c r="CL220" s="173"/>
      <c r="CM220" s="173"/>
      <c r="CN220" s="173"/>
      <c r="CO220" s="173"/>
      <c r="CP220" s="173"/>
      <c r="CQ220" s="173"/>
      <c r="CR220" s="175"/>
      <c r="CS220" s="173"/>
      <c r="CT220" s="173"/>
      <c r="CU220" s="173"/>
      <c r="CV220" s="173"/>
      <c r="CW220" s="173"/>
      <c r="CX220" s="173"/>
      <c r="CY220" s="173"/>
      <c r="CZ220" s="173"/>
      <c r="DA220" s="173"/>
      <c r="DB220" s="173"/>
      <c r="DC220" s="173"/>
      <c r="DD220" s="173"/>
      <c r="DE220" s="173"/>
      <c r="DF220" s="173"/>
    </row>
    <row r="221" spans="1:110">
      <c r="A221" s="136" t="s">
        <v>6327</v>
      </c>
      <c r="B221" s="136"/>
      <c r="C221" s="137"/>
      <c r="D221" s="120">
        <f t="shared" si="10"/>
        <v>0</v>
      </c>
      <c r="E221" s="121">
        <f t="shared" si="8"/>
        <v>1.3</v>
      </c>
      <c r="F221" s="172" cm="1">
        <f t="array" ref="F221">SUM(G221:DD221*$G$9:$DD$9)</f>
        <v>0</v>
      </c>
      <c r="G221" s="173"/>
      <c r="H221" s="173"/>
      <c r="I221" s="173"/>
      <c r="J221" s="173"/>
      <c r="K221" s="173"/>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177"/>
      <c r="AU221" s="2"/>
      <c r="AV221" s="2"/>
      <c r="AW221" s="2"/>
      <c r="AX221" s="2"/>
      <c r="AY221" s="2"/>
      <c r="AZ221" s="2"/>
      <c r="BA221" s="2"/>
      <c r="BB221" s="2"/>
      <c r="BC221" s="173"/>
      <c r="BD221" s="175"/>
      <c r="BE221" s="173"/>
      <c r="BF221" s="173"/>
      <c r="BG221" s="173"/>
      <c r="BH221" s="173"/>
      <c r="BI221" s="173"/>
      <c r="BJ221" s="173"/>
      <c r="BK221" s="173"/>
      <c r="BL221" s="173"/>
      <c r="BM221" s="173"/>
      <c r="BN221" s="173"/>
      <c r="BO221" s="173"/>
      <c r="BP221" s="173"/>
      <c r="BQ221" s="173"/>
      <c r="BR221" s="175"/>
      <c r="BS221" s="173"/>
      <c r="BT221" s="173"/>
      <c r="BU221" s="173"/>
      <c r="BV221" s="173"/>
      <c r="BW221" s="173"/>
      <c r="BX221" s="173"/>
      <c r="BY221" s="173"/>
      <c r="BZ221" s="175"/>
      <c r="CA221" s="173"/>
      <c r="CB221" s="173"/>
      <c r="CC221" s="173"/>
      <c r="CD221" s="173"/>
      <c r="CE221" s="173"/>
      <c r="CF221" s="173"/>
      <c r="CG221" s="173"/>
      <c r="CH221" s="175"/>
      <c r="CI221" s="173"/>
      <c r="CJ221" s="173"/>
      <c r="CK221" s="173"/>
      <c r="CL221" s="173"/>
      <c r="CM221" s="173"/>
      <c r="CN221" s="173"/>
      <c r="CO221" s="173"/>
      <c r="CP221" s="173"/>
      <c r="CQ221" s="173"/>
      <c r="CR221" s="175"/>
      <c r="CS221" s="173"/>
      <c r="CT221" s="173"/>
      <c r="CU221" s="173"/>
      <c r="CV221" s="173"/>
      <c r="CW221" s="173"/>
      <c r="CX221" s="173"/>
      <c r="CY221" s="173"/>
      <c r="CZ221" s="173"/>
      <c r="DA221" s="173"/>
      <c r="DB221" s="173"/>
      <c r="DC221" s="173"/>
      <c r="DD221" s="173"/>
      <c r="DE221" s="173"/>
      <c r="DF221" s="173"/>
    </row>
    <row r="222" spans="1:110">
      <c r="A222" s="136" t="s">
        <v>6328</v>
      </c>
      <c r="B222" s="136"/>
      <c r="C222" s="137"/>
      <c r="D222" s="120">
        <f t="shared" si="10"/>
        <v>0</v>
      </c>
      <c r="E222" s="121">
        <f t="shared" si="8"/>
        <v>1.3</v>
      </c>
      <c r="F222" s="172" cm="1">
        <f t="array" ref="F222">SUM(G222:DD222*$G$9:$DD$9)</f>
        <v>0</v>
      </c>
      <c r="G222" s="173"/>
      <c r="H222" s="173"/>
      <c r="I222" s="173"/>
      <c r="J222" s="173"/>
      <c r="K222" s="173"/>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177"/>
      <c r="AU222" s="2"/>
      <c r="AV222" s="2"/>
      <c r="AW222" s="2"/>
      <c r="AX222" s="2"/>
      <c r="AY222" s="2"/>
      <c r="AZ222" s="2"/>
      <c r="BA222" s="2"/>
      <c r="BB222" s="2"/>
      <c r="BC222" s="173"/>
      <c r="BD222" s="175"/>
      <c r="BE222" s="173"/>
      <c r="BF222" s="173"/>
      <c r="BG222" s="173"/>
      <c r="BH222" s="173"/>
      <c r="BI222" s="173"/>
      <c r="BJ222" s="173"/>
      <c r="BK222" s="173"/>
      <c r="BL222" s="173"/>
      <c r="BM222" s="173"/>
      <c r="BN222" s="173"/>
      <c r="BO222" s="173"/>
      <c r="BP222" s="173"/>
      <c r="BQ222" s="173"/>
      <c r="BR222" s="175"/>
      <c r="BS222" s="173"/>
      <c r="BT222" s="173"/>
      <c r="BU222" s="173"/>
      <c r="BV222" s="173"/>
      <c r="BW222" s="173"/>
      <c r="BX222" s="173"/>
      <c r="BY222" s="173"/>
      <c r="BZ222" s="175"/>
      <c r="CA222" s="173"/>
      <c r="CB222" s="173"/>
      <c r="CC222" s="173"/>
      <c r="CD222" s="173"/>
      <c r="CE222" s="173"/>
      <c r="CF222" s="173"/>
      <c r="CG222" s="173"/>
      <c r="CH222" s="175"/>
      <c r="CI222" s="173"/>
      <c r="CJ222" s="173"/>
      <c r="CK222" s="173"/>
      <c r="CL222" s="173"/>
      <c r="CM222" s="173"/>
      <c r="CN222" s="173"/>
      <c r="CO222" s="173"/>
      <c r="CP222" s="173"/>
      <c r="CQ222" s="173"/>
      <c r="CR222" s="175"/>
      <c r="CS222" s="173"/>
      <c r="CT222" s="173"/>
      <c r="CU222" s="173"/>
      <c r="CV222" s="173"/>
      <c r="CW222" s="173"/>
      <c r="CX222" s="173"/>
      <c r="CY222" s="173"/>
      <c r="CZ222" s="173"/>
      <c r="DA222" s="173"/>
      <c r="DB222" s="173"/>
      <c r="DC222" s="173"/>
      <c r="DD222" s="173"/>
      <c r="DE222" s="173"/>
      <c r="DF222" s="173"/>
    </row>
    <row r="223" spans="1:110">
      <c r="A223" s="136" t="s">
        <v>6329</v>
      </c>
      <c r="B223" s="136"/>
      <c r="C223" s="137"/>
      <c r="D223" s="120">
        <f t="shared" si="10"/>
        <v>0</v>
      </c>
      <c r="E223" s="121">
        <f t="shared" si="8"/>
        <v>1.3</v>
      </c>
      <c r="F223" s="172" cm="1">
        <f t="array" ref="F223">SUM(G223:DD223*$G$9:$DD$9)</f>
        <v>0</v>
      </c>
      <c r="G223" s="173"/>
      <c r="H223" s="173"/>
      <c r="I223" s="173"/>
      <c r="J223" s="173"/>
      <c r="K223" s="173"/>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177"/>
      <c r="AU223" s="2"/>
      <c r="AV223" s="2"/>
      <c r="AW223" s="2"/>
      <c r="AX223" s="2"/>
      <c r="AY223" s="2"/>
      <c r="AZ223" s="2"/>
      <c r="BA223" s="2"/>
      <c r="BB223" s="2"/>
      <c r="BC223" s="173"/>
      <c r="BD223" s="175"/>
      <c r="BE223" s="173"/>
      <c r="BF223" s="173"/>
      <c r="BG223" s="173"/>
      <c r="BH223" s="173"/>
      <c r="BI223" s="173"/>
      <c r="BJ223" s="173"/>
      <c r="BK223" s="173"/>
      <c r="BL223" s="173"/>
      <c r="BM223" s="173"/>
      <c r="BN223" s="173"/>
      <c r="BO223" s="173"/>
      <c r="BP223" s="173"/>
      <c r="BQ223" s="173"/>
      <c r="BR223" s="175"/>
      <c r="BS223" s="173"/>
      <c r="BT223" s="173"/>
      <c r="BU223" s="173"/>
      <c r="BV223" s="173"/>
      <c r="BW223" s="173"/>
      <c r="BX223" s="173"/>
      <c r="BY223" s="173"/>
      <c r="BZ223" s="175"/>
      <c r="CA223" s="173"/>
      <c r="CB223" s="173"/>
      <c r="CC223" s="173"/>
      <c r="CD223" s="173"/>
      <c r="CE223" s="173"/>
      <c r="CF223" s="173"/>
      <c r="CG223" s="173"/>
      <c r="CH223" s="175"/>
      <c r="CI223" s="173"/>
      <c r="CJ223" s="173"/>
      <c r="CK223" s="173"/>
      <c r="CL223" s="173"/>
      <c r="CM223" s="173"/>
      <c r="CN223" s="173"/>
      <c r="CO223" s="173"/>
      <c r="CP223" s="173"/>
      <c r="CQ223" s="173"/>
      <c r="CR223" s="175"/>
      <c r="CS223" s="173"/>
      <c r="CT223" s="173"/>
      <c r="CU223" s="173"/>
      <c r="CV223" s="173"/>
      <c r="CW223" s="173"/>
      <c r="CX223" s="173"/>
      <c r="CY223" s="173"/>
      <c r="CZ223" s="173"/>
      <c r="DA223" s="173"/>
      <c r="DB223" s="173"/>
      <c r="DC223" s="173"/>
      <c r="DD223" s="173"/>
      <c r="DE223" s="173"/>
      <c r="DF223" s="173"/>
    </row>
    <row r="224" spans="1:110">
      <c r="A224" s="136" t="s">
        <v>6330</v>
      </c>
      <c r="B224" s="136"/>
      <c r="C224" s="137"/>
      <c r="D224" s="120">
        <f t="shared" si="10"/>
        <v>0</v>
      </c>
      <c r="E224" s="121">
        <f t="shared" si="8"/>
        <v>1.3</v>
      </c>
      <c r="F224" s="172" cm="1">
        <f t="array" ref="F224">SUM(G224:DD224*$G$9:$DD$9)</f>
        <v>0</v>
      </c>
      <c r="G224" s="173"/>
      <c r="H224" s="173"/>
      <c r="I224" s="173"/>
      <c r="J224" s="173"/>
      <c r="K224" s="173"/>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177"/>
      <c r="AU224" s="2"/>
      <c r="AV224" s="2"/>
      <c r="AW224" s="2"/>
      <c r="AX224" s="2"/>
      <c r="AY224" s="2"/>
      <c r="AZ224" s="2"/>
      <c r="BA224" s="2"/>
      <c r="BB224" s="2"/>
      <c r="BC224" s="173"/>
      <c r="BD224" s="175"/>
      <c r="BE224" s="173"/>
      <c r="BF224" s="173"/>
      <c r="BG224" s="173"/>
      <c r="BH224" s="173"/>
      <c r="BI224" s="173"/>
      <c r="BJ224" s="173"/>
      <c r="BK224" s="173"/>
      <c r="BL224" s="173"/>
      <c r="BM224" s="173"/>
      <c r="BN224" s="173"/>
      <c r="BO224" s="173"/>
      <c r="BP224" s="173"/>
      <c r="BQ224" s="173"/>
      <c r="BR224" s="175"/>
      <c r="BS224" s="173"/>
      <c r="BT224" s="173"/>
      <c r="BU224" s="173"/>
      <c r="BV224" s="173"/>
      <c r="BW224" s="173"/>
      <c r="BX224" s="173"/>
      <c r="BY224" s="173"/>
      <c r="BZ224" s="175"/>
      <c r="CA224" s="173"/>
      <c r="CB224" s="173"/>
      <c r="CC224" s="173"/>
      <c r="CD224" s="173"/>
      <c r="CE224" s="173"/>
      <c r="CF224" s="173"/>
      <c r="CG224" s="173"/>
      <c r="CH224" s="175"/>
      <c r="CI224" s="173"/>
      <c r="CJ224" s="173"/>
      <c r="CK224" s="173"/>
      <c r="CL224" s="173"/>
      <c r="CM224" s="173"/>
      <c r="CN224" s="173"/>
      <c r="CO224" s="173"/>
      <c r="CP224" s="173"/>
      <c r="CQ224" s="173"/>
      <c r="CR224" s="175"/>
      <c r="CS224" s="173"/>
      <c r="CT224" s="173"/>
      <c r="CU224" s="173"/>
      <c r="CV224" s="173"/>
      <c r="CW224" s="173"/>
      <c r="CX224" s="173"/>
      <c r="CY224" s="173"/>
      <c r="CZ224" s="173"/>
      <c r="DA224" s="173"/>
      <c r="DB224" s="173"/>
      <c r="DC224" s="173"/>
      <c r="DD224" s="173"/>
      <c r="DE224" s="173"/>
      <c r="DF224" s="173"/>
    </row>
    <row r="225" spans="1:110">
      <c r="A225" s="136" t="s">
        <v>6331</v>
      </c>
      <c r="B225" s="136"/>
      <c r="C225" s="137"/>
      <c r="D225" s="120">
        <f t="shared" ref="D225:D240" si="11">E225*F225</f>
        <v>0</v>
      </c>
      <c r="E225" s="121">
        <f t="shared" si="8"/>
        <v>1.3</v>
      </c>
      <c r="F225" s="172" cm="1">
        <f t="array" ref="F225">SUM(G225:DD225*$G$9:$DD$9)</f>
        <v>0</v>
      </c>
      <c r="G225" s="173"/>
      <c r="H225" s="173"/>
      <c r="I225" s="173"/>
      <c r="J225" s="173"/>
      <c r="K225" s="173"/>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177"/>
      <c r="AU225" s="2"/>
      <c r="AV225" s="2"/>
      <c r="AW225" s="2"/>
      <c r="AX225" s="2"/>
      <c r="AY225" s="2"/>
      <c r="AZ225" s="2"/>
      <c r="BA225" s="2"/>
      <c r="BB225" s="2"/>
      <c r="BC225" s="173"/>
      <c r="BD225" s="175"/>
      <c r="BE225" s="173"/>
      <c r="BF225" s="173"/>
      <c r="BG225" s="173"/>
      <c r="BH225" s="173"/>
      <c r="BI225" s="173"/>
      <c r="BJ225" s="173"/>
      <c r="BK225" s="173"/>
      <c r="BL225" s="173"/>
      <c r="BM225" s="173"/>
      <c r="BN225" s="173"/>
      <c r="BO225" s="173"/>
      <c r="BP225" s="173"/>
      <c r="BQ225" s="173"/>
      <c r="BR225" s="175"/>
      <c r="BS225" s="173"/>
      <c r="BT225" s="173"/>
      <c r="BU225" s="173"/>
      <c r="BV225" s="173"/>
      <c r="BW225" s="173"/>
      <c r="BX225" s="173"/>
      <c r="BY225" s="173"/>
      <c r="BZ225" s="175"/>
      <c r="CA225" s="173"/>
      <c r="CB225" s="173"/>
      <c r="CC225" s="173"/>
      <c r="CD225" s="173"/>
      <c r="CE225" s="173"/>
      <c r="CF225" s="173"/>
      <c r="CG225" s="173"/>
      <c r="CH225" s="175"/>
      <c r="CI225" s="173"/>
      <c r="CJ225" s="173"/>
      <c r="CK225" s="173"/>
      <c r="CL225" s="173"/>
      <c r="CM225" s="173"/>
      <c r="CN225" s="173"/>
      <c r="CO225" s="173"/>
      <c r="CP225" s="173"/>
      <c r="CQ225" s="173"/>
      <c r="CR225" s="175"/>
      <c r="CS225" s="173"/>
      <c r="CT225" s="173"/>
      <c r="CU225" s="173"/>
      <c r="CV225" s="173"/>
      <c r="CW225" s="173"/>
      <c r="CX225" s="173"/>
      <c r="CY225" s="173"/>
      <c r="CZ225" s="173"/>
      <c r="DA225" s="173"/>
      <c r="DB225" s="173"/>
      <c r="DC225" s="173"/>
      <c r="DD225" s="173"/>
      <c r="DE225" s="173"/>
      <c r="DF225" s="173"/>
    </row>
    <row r="226" spans="1:110">
      <c r="A226" s="136" t="s">
        <v>6332</v>
      </c>
      <c r="B226" s="136"/>
      <c r="C226" s="137"/>
      <c r="D226" s="120">
        <f t="shared" si="11"/>
        <v>0</v>
      </c>
      <c r="E226" s="121">
        <f t="shared" si="8"/>
        <v>1.3</v>
      </c>
      <c r="F226" s="172" cm="1">
        <f t="array" ref="F226">SUM(G226:DD226*$G$9:$DD$9)</f>
        <v>0</v>
      </c>
      <c r="G226" s="173"/>
      <c r="H226" s="173"/>
      <c r="I226" s="173"/>
      <c r="J226" s="173"/>
      <c r="K226" s="173"/>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177"/>
      <c r="AU226" s="2"/>
      <c r="AV226" s="2"/>
      <c r="AW226" s="2"/>
      <c r="AX226" s="2"/>
      <c r="AY226" s="2"/>
      <c r="AZ226" s="2"/>
      <c r="BA226" s="2"/>
      <c r="BB226" s="2"/>
      <c r="BC226" s="173"/>
      <c r="BD226" s="175"/>
      <c r="BE226" s="173"/>
      <c r="BF226" s="173"/>
      <c r="BG226" s="173"/>
      <c r="BH226" s="173"/>
      <c r="BI226" s="173"/>
      <c r="BJ226" s="173"/>
      <c r="BK226" s="173"/>
      <c r="BL226" s="173"/>
      <c r="BM226" s="173"/>
      <c r="BN226" s="173"/>
      <c r="BO226" s="173"/>
      <c r="BP226" s="173"/>
      <c r="BQ226" s="173"/>
      <c r="BR226" s="175"/>
      <c r="BS226" s="173"/>
      <c r="BT226" s="173"/>
      <c r="BU226" s="173"/>
      <c r="BV226" s="173"/>
      <c r="BW226" s="173"/>
      <c r="BX226" s="173"/>
      <c r="BY226" s="173"/>
      <c r="BZ226" s="175"/>
      <c r="CA226" s="173"/>
      <c r="CB226" s="173"/>
      <c r="CC226" s="173"/>
      <c r="CD226" s="173"/>
      <c r="CE226" s="173"/>
      <c r="CF226" s="173"/>
      <c r="CG226" s="173"/>
      <c r="CH226" s="175"/>
      <c r="CI226" s="173"/>
      <c r="CJ226" s="173"/>
      <c r="CK226" s="173"/>
      <c r="CL226" s="173"/>
      <c r="CM226" s="173"/>
      <c r="CN226" s="173"/>
      <c r="CO226" s="173"/>
      <c r="CP226" s="173"/>
      <c r="CQ226" s="173"/>
      <c r="CR226" s="175"/>
      <c r="CS226" s="173"/>
      <c r="CT226" s="173"/>
      <c r="CU226" s="173"/>
      <c r="CV226" s="173"/>
      <c r="CW226" s="173"/>
      <c r="CX226" s="173"/>
      <c r="CY226" s="173"/>
      <c r="CZ226" s="173"/>
      <c r="DA226" s="173"/>
      <c r="DB226" s="173"/>
      <c r="DC226" s="173"/>
      <c r="DD226" s="173"/>
      <c r="DE226" s="173"/>
      <c r="DF226" s="173"/>
    </row>
    <row r="227" spans="1:110">
      <c r="A227" s="136" t="s">
        <v>6333</v>
      </c>
      <c r="B227" s="136"/>
      <c r="C227" s="137"/>
      <c r="D227" s="120">
        <f t="shared" si="11"/>
        <v>0</v>
      </c>
      <c r="E227" s="121">
        <f t="shared" si="8"/>
        <v>1.3</v>
      </c>
      <c r="F227" s="172" cm="1">
        <f t="array" ref="F227">SUM(G227:DD227*$G$9:$DD$9)</f>
        <v>0</v>
      </c>
      <c r="G227" s="173"/>
      <c r="H227" s="173"/>
      <c r="I227" s="173"/>
      <c r="J227" s="173"/>
      <c r="K227" s="173"/>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177"/>
      <c r="AU227" s="2"/>
      <c r="AV227" s="2"/>
      <c r="AW227" s="2"/>
      <c r="AX227" s="2"/>
      <c r="AY227" s="2"/>
      <c r="AZ227" s="2"/>
      <c r="BA227" s="2"/>
      <c r="BB227" s="2"/>
      <c r="BC227" s="173"/>
      <c r="BD227" s="175"/>
      <c r="BE227" s="173"/>
      <c r="BF227" s="173"/>
      <c r="BG227" s="173"/>
      <c r="BH227" s="173"/>
      <c r="BI227" s="173"/>
      <c r="BJ227" s="173"/>
      <c r="BK227" s="173"/>
      <c r="BL227" s="173"/>
      <c r="BM227" s="173"/>
      <c r="BN227" s="173"/>
      <c r="BO227" s="173"/>
      <c r="BP227" s="173"/>
      <c r="BQ227" s="173"/>
      <c r="BR227" s="175"/>
      <c r="BS227" s="173"/>
      <c r="BT227" s="173"/>
      <c r="BU227" s="173"/>
      <c r="BV227" s="173"/>
      <c r="BW227" s="173"/>
      <c r="BX227" s="173"/>
      <c r="BY227" s="173"/>
      <c r="BZ227" s="175"/>
      <c r="CA227" s="173"/>
      <c r="CB227" s="173"/>
      <c r="CC227" s="173"/>
      <c r="CD227" s="173"/>
      <c r="CE227" s="173"/>
      <c r="CF227" s="173"/>
      <c r="CG227" s="173"/>
      <c r="CH227" s="175"/>
      <c r="CI227" s="173"/>
      <c r="CJ227" s="173"/>
      <c r="CK227" s="173"/>
      <c r="CL227" s="173"/>
      <c r="CM227" s="173"/>
      <c r="CN227" s="173"/>
      <c r="CO227" s="173"/>
      <c r="CP227" s="173"/>
      <c r="CQ227" s="173"/>
      <c r="CR227" s="175"/>
      <c r="CS227" s="173"/>
      <c r="CT227" s="173"/>
      <c r="CU227" s="173"/>
      <c r="CV227" s="173"/>
      <c r="CW227" s="173"/>
      <c r="CX227" s="173"/>
      <c r="CY227" s="173"/>
      <c r="CZ227" s="173"/>
      <c r="DA227" s="173"/>
      <c r="DB227" s="173"/>
      <c r="DC227" s="173"/>
      <c r="DD227" s="173"/>
      <c r="DE227" s="173"/>
      <c r="DF227" s="173"/>
    </row>
    <row r="228" spans="1:110">
      <c r="A228" s="136" t="s">
        <v>6334</v>
      </c>
      <c r="B228" s="136"/>
      <c r="C228" s="137"/>
      <c r="D228" s="120">
        <f t="shared" si="11"/>
        <v>0</v>
      </c>
      <c r="E228" s="121">
        <f t="shared" si="8"/>
        <v>1.3</v>
      </c>
      <c r="F228" s="172" cm="1">
        <f t="array" ref="F228">SUM(G228:DD228*$G$9:$DD$9)</f>
        <v>0</v>
      </c>
      <c r="G228" s="175"/>
      <c r="H228" s="173"/>
      <c r="I228" s="173"/>
      <c r="J228" s="173"/>
      <c r="K228" s="173"/>
      <c r="L228" s="2"/>
      <c r="M228" s="2"/>
      <c r="N228" s="2"/>
      <c r="O228" s="2"/>
      <c r="P228" s="2"/>
      <c r="Q228" s="2"/>
      <c r="R228" s="177"/>
      <c r="S228" s="2"/>
      <c r="T228" s="2"/>
      <c r="U228" s="2"/>
      <c r="V228" s="2"/>
      <c r="W228" s="2"/>
      <c r="X228" s="2"/>
      <c r="Y228" s="2"/>
      <c r="Z228" s="2"/>
      <c r="AA228" s="2"/>
      <c r="AB228" s="2"/>
      <c r="AC228" s="2"/>
      <c r="AD228" s="177"/>
      <c r="AE228" s="2"/>
      <c r="AF228" s="2"/>
      <c r="AG228" s="2"/>
      <c r="AH228" s="2"/>
      <c r="AI228" s="2"/>
      <c r="AJ228" s="2"/>
      <c r="AK228" s="2"/>
      <c r="AL228" s="2"/>
      <c r="AM228" s="2"/>
      <c r="AN228" s="2"/>
      <c r="AO228" s="2"/>
      <c r="AP228" s="2"/>
      <c r="AQ228" s="2"/>
      <c r="AR228" s="2"/>
      <c r="AS228" s="2"/>
      <c r="AT228" s="177"/>
      <c r="AU228" s="2"/>
      <c r="AV228" s="2"/>
      <c r="AW228" s="2"/>
      <c r="AX228" s="2"/>
      <c r="AY228" s="2"/>
      <c r="AZ228" s="2"/>
      <c r="BA228" s="2"/>
      <c r="BB228" s="2"/>
      <c r="BC228" s="173"/>
      <c r="BD228" s="175"/>
      <c r="BE228" s="173"/>
      <c r="BF228" s="173"/>
      <c r="BG228" s="173"/>
      <c r="BH228" s="173"/>
      <c r="BI228" s="173"/>
      <c r="BJ228" s="173"/>
      <c r="BK228" s="173"/>
      <c r="BL228" s="173"/>
      <c r="BM228" s="173"/>
      <c r="BN228" s="173"/>
      <c r="BO228" s="173"/>
      <c r="BP228" s="173"/>
      <c r="BQ228" s="173"/>
      <c r="BR228" s="175"/>
      <c r="BS228" s="173"/>
      <c r="BT228" s="173"/>
      <c r="BU228" s="173"/>
      <c r="BV228" s="173"/>
      <c r="BW228" s="173"/>
      <c r="BX228" s="173"/>
      <c r="BY228" s="173"/>
      <c r="BZ228" s="175"/>
      <c r="CA228" s="173"/>
      <c r="CB228" s="173"/>
      <c r="CC228" s="173"/>
      <c r="CD228" s="173"/>
      <c r="CE228" s="173"/>
      <c r="CF228" s="173"/>
      <c r="CG228" s="173"/>
      <c r="CH228" s="175"/>
      <c r="CI228" s="173"/>
      <c r="CJ228" s="173"/>
      <c r="CK228" s="173"/>
      <c r="CL228" s="173"/>
      <c r="CM228" s="173"/>
      <c r="CN228" s="173"/>
      <c r="CO228" s="173"/>
      <c r="CP228" s="173"/>
      <c r="CQ228" s="173"/>
      <c r="CR228" s="175"/>
      <c r="CS228" s="173"/>
      <c r="CT228" s="173"/>
      <c r="CU228" s="173"/>
      <c r="CV228" s="173"/>
      <c r="CW228" s="173"/>
      <c r="CX228" s="173"/>
      <c r="CY228" s="173"/>
      <c r="CZ228" s="173"/>
      <c r="DA228" s="173"/>
      <c r="DB228" s="173"/>
      <c r="DC228" s="173"/>
      <c r="DD228" s="173"/>
      <c r="DE228" s="173"/>
      <c r="DF228" s="173"/>
    </row>
    <row r="229" spans="1:110">
      <c r="A229" s="136" t="s">
        <v>6335</v>
      </c>
      <c r="B229" s="136"/>
      <c r="C229" s="137"/>
      <c r="D229" s="120">
        <f t="shared" si="11"/>
        <v>0</v>
      </c>
      <c r="E229" s="121">
        <f t="shared" si="8"/>
        <v>1.3</v>
      </c>
      <c r="F229" s="172" cm="1">
        <f t="array" ref="F229">SUM(G229:DD229*$G$9:$DD$9)</f>
        <v>0</v>
      </c>
      <c r="G229" s="175"/>
      <c r="H229" s="173"/>
      <c r="I229" s="173"/>
      <c r="J229" s="173"/>
      <c r="K229" s="173"/>
      <c r="L229" s="2"/>
      <c r="M229" s="2"/>
      <c r="N229" s="2"/>
      <c r="O229" s="2"/>
      <c r="P229" s="2"/>
      <c r="Q229" s="2"/>
      <c r="R229" s="177"/>
      <c r="S229" s="2"/>
      <c r="T229" s="2"/>
      <c r="U229" s="2"/>
      <c r="V229" s="2"/>
      <c r="W229" s="2"/>
      <c r="X229" s="2"/>
      <c r="Y229" s="2"/>
      <c r="Z229" s="2"/>
      <c r="AA229" s="2"/>
      <c r="AB229" s="2"/>
      <c r="AC229" s="2"/>
      <c r="AD229" s="177"/>
      <c r="AE229" s="2"/>
      <c r="AF229" s="2"/>
      <c r="AG229" s="2"/>
      <c r="AH229" s="2"/>
      <c r="AI229" s="2"/>
      <c r="AJ229" s="2"/>
      <c r="AK229" s="2"/>
      <c r="AL229" s="2"/>
      <c r="AM229" s="2"/>
      <c r="AN229" s="2"/>
      <c r="AO229" s="2"/>
      <c r="AP229" s="2"/>
      <c r="AQ229" s="2"/>
      <c r="AR229" s="2"/>
      <c r="AS229" s="2"/>
      <c r="AT229" s="177"/>
      <c r="AU229" s="2"/>
      <c r="AV229" s="2"/>
      <c r="AW229" s="2"/>
      <c r="AX229" s="2"/>
      <c r="AY229" s="2"/>
      <c r="AZ229" s="2"/>
      <c r="BA229" s="2"/>
      <c r="BB229" s="2"/>
      <c r="BC229" s="173"/>
      <c r="BD229" s="175"/>
      <c r="BE229" s="173"/>
      <c r="BF229" s="173"/>
      <c r="BG229" s="173"/>
      <c r="BH229" s="173"/>
      <c r="BI229" s="173"/>
      <c r="BJ229" s="173"/>
      <c r="BK229" s="173"/>
      <c r="BL229" s="173"/>
      <c r="BM229" s="173"/>
      <c r="BN229" s="173"/>
      <c r="BO229" s="173"/>
      <c r="BP229" s="173"/>
      <c r="BQ229" s="173"/>
      <c r="BR229" s="175"/>
      <c r="BS229" s="173"/>
      <c r="BT229" s="173"/>
      <c r="BU229" s="173"/>
      <c r="BV229" s="173"/>
      <c r="BW229" s="173"/>
      <c r="BX229" s="173"/>
      <c r="BY229" s="173"/>
      <c r="BZ229" s="175"/>
      <c r="CA229" s="173"/>
      <c r="CB229" s="173"/>
      <c r="CC229" s="173"/>
      <c r="CD229" s="173"/>
      <c r="CE229" s="173"/>
      <c r="CF229" s="173"/>
      <c r="CG229" s="173"/>
      <c r="CH229" s="175"/>
      <c r="CI229" s="173"/>
      <c r="CJ229" s="173"/>
      <c r="CK229" s="173"/>
      <c r="CL229" s="173"/>
      <c r="CM229" s="173"/>
      <c r="CN229" s="173"/>
      <c r="CO229" s="173"/>
      <c r="CP229" s="173"/>
      <c r="CQ229" s="173"/>
      <c r="CR229" s="175"/>
      <c r="CS229" s="173"/>
      <c r="CT229" s="173"/>
      <c r="CU229" s="173"/>
      <c r="CV229" s="173"/>
      <c r="CW229" s="173"/>
      <c r="CX229" s="173"/>
      <c r="CY229" s="173"/>
      <c r="CZ229" s="173"/>
      <c r="DA229" s="173"/>
      <c r="DB229" s="173"/>
      <c r="DC229" s="173"/>
      <c r="DD229" s="173"/>
      <c r="DE229" s="173"/>
      <c r="DF229" s="173"/>
    </row>
    <row r="230" spans="1:110">
      <c r="A230" s="136" t="s">
        <v>6336</v>
      </c>
      <c r="B230" s="136"/>
      <c r="C230" s="137"/>
      <c r="D230" s="120">
        <f t="shared" si="11"/>
        <v>0</v>
      </c>
      <c r="E230" s="121">
        <f t="shared" si="8"/>
        <v>1.3</v>
      </c>
      <c r="F230" s="172" cm="1">
        <f t="array" ref="F230">SUM(G230:DD230*$G$9:$DD$9)</f>
        <v>0</v>
      </c>
      <c r="G230" s="175"/>
      <c r="H230" s="173"/>
      <c r="I230" s="173"/>
      <c r="J230" s="173"/>
      <c r="K230" s="173"/>
      <c r="L230" s="2"/>
      <c r="M230" s="2"/>
      <c r="N230" s="2"/>
      <c r="O230" s="2"/>
      <c r="P230" s="2"/>
      <c r="Q230" s="2"/>
      <c r="R230" s="177"/>
      <c r="S230" s="2"/>
      <c r="T230" s="2"/>
      <c r="U230" s="2"/>
      <c r="V230" s="2"/>
      <c r="W230" s="2"/>
      <c r="X230" s="2"/>
      <c r="Y230" s="2"/>
      <c r="Z230" s="2"/>
      <c r="AA230" s="2"/>
      <c r="AB230" s="2"/>
      <c r="AC230" s="2"/>
      <c r="AD230" s="177"/>
      <c r="AE230" s="2"/>
      <c r="AF230" s="2"/>
      <c r="AG230" s="2"/>
      <c r="AH230" s="2"/>
      <c r="AI230" s="2"/>
      <c r="AJ230" s="2"/>
      <c r="AK230" s="2"/>
      <c r="AL230" s="2"/>
      <c r="AM230" s="2"/>
      <c r="AN230" s="2"/>
      <c r="AO230" s="2"/>
      <c r="AP230" s="2"/>
      <c r="AQ230" s="2"/>
      <c r="AR230" s="2"/>
      <c r="AS230" s="2"/>
      <c r="AT230" s="177"/>
      <c r="AU230" s="2"/>
      <c r="AV230" s="2"/>
      <c r="AW230" s="2"/>
      <c r="AX230" s="2"/>
      <c r="AY230" s="2"/>
      <c r="AZ230" s="2"/>
      <c r="BA230" s="2"/>
      <c r="BB230" s="2"/>
      <c r="BC230" s="173"/>
      <c r="BD230" s="175"/>
      <c r="BE230" s="173"/>
      <c r="BF230" s="173"/>
      <c r="BG230" s="173"/>
      <c r="BH230" s="173"/>
      <c r="BI230" s="173"/>
      <c r="BJ230" s="173"/>
      <c r="BK230" s="173"/>
      <c r="BL230" s="173"/>
      <c r="BM230" s="173"/>
      <c r="BN230" s="173"/>
      <c r="BO230" s="173"/>
      <c r="BP230" s="173"/>
      <c r="BQ230" s="173"/>
      <c r="BR230" s="175"/>
      <c r="BS230" s="173"/>
      <c r="BT230" s="173"/>
      <c r="BU230" s="173"/>
      <c r="BV230" s="173"/>
      <c r="BW230" s="173"/>
      <c r="BX230" s="173"/>
      <c r="BY230" s="173"/>
      <c r="BZ230" s="175"/>
      <c r="CA230" s="173"/>
      <c r="CB230" s="173"/>
      <c r="CC230" s="173"/>
      <c r="CD230" s="173"/>
      <c r="CE230" s="173"/>
      <c r="CF230" s="173"/>
      <c r="CG230" s="173"/>
      <c r="CH230" s="175"/>
      <c r="CI230" s="173"/>
      <c r="CJ230" s="173"/>
      <c r="CK230" s="173"/>
      <c r="CL230" s="173"/>
      <c r="CM230" s="173"/>
      <c r="CN230" s="173"/>
      <c r="CO230" s="173"/>
      <c r="CP230" s="173"/>
      <c r="CQ230" s="173"/>
      <c r="CR230" s="175"/>
      <c r="CS230" s="173"/>
      <c r="CT230" s="173"/>
      <c r="CU230" s="173"/>
      <c r="CV230" s="173"/>
      <c r="CW230" s="173"/>
      <c r="CX230" s="173"/>
      <c r="CY230" s="173"/>
      <c r="CZ230" s="173"/>
      <c r="DA230" s="173"/>
      <c r="DB230" s="173"/>
      <c r="DC230" s="173"/>
      <c r="DD230" s="173"/>
      <c r="DE230" s="173"/>
      <c r="DF230" s="173"/>
    </row>
    <row r="231" spans="1:110">
      <c r="A231" s="136" t="s">
        <v>6337</v>
      </c>
      <c r="B231" s="136"/>
      <c r="C231" s="137"/>
      <c r="D231" s="120">
        <f t="shared" si="11"/>
        <v>0</v>
      </c>
      <c r="E231" s="121">
        <f t="shared" si="8"/>
        <v>1.3</v>
      </c>
      <c r="F231" s="172" cm="1">
        <f t="array" ref="F231">SUM(G231:DD231*$G$9:$DD$9)</f>
        <v>0</v>
      </c>
      <c r="G231" s="175"/>
      <c r="H231" s="173"/>
      <c r="I231" s="173"/>
      <c r="J231" s="173"/>
      <c r="K231" s="173"/>
      <c r="L231" s="2"/>
      <c r="M231" s="2"/>
      <c r="N231" s="2"/>
      <c r="O231" s="2"/>
      <c r="P231" s="2"/>
      <c r="Q231" s="2"/>
      <c r="R231" s="177"/>
      <c r="S231" s="2"/>
      <c r="T231" s="2"/>
      <c r="U231" s="2"/>
      <c r="V231" s="2"/>
      <c r="W231" s="2"/>
      <c r="X231" s="2"/>
      <c r="Y231" s="2"/>
      <c r="Z231" s="2"/>
      <c r="AA231" s="2"/>
      <c r="AB231" s="2"/>
      <c r="AC231" s="2"/>
      <c r="AD231" s="177"/>
      <c r="AE231" s="2"/>
      <c r="AF231" s="2"/>
      <c r="AG231" s="2"/>
      <c r="AH231" s="2"/>
      <c r="AI231" s="2"/>
      <c r="AJ231" s="2"/>
      <c r="AK231" s="2"/>
      <c r="AL231" s="2"/>
      <c r="AM231" s="2"/>
      <c r="AN231" s="2"/>
      <c r="AO231" s="2"/>
      <c r="AP231" s="2"/>
      <c r="AQ231" s="2"/>
      <c r="AR231" s="2"/>
      <c r="AS231" s="2"/>
      <c r="AT231" s="177"/>
      <c r="AU231" s="2"/>
      <c r="AV231" s="2"/>
      <c r="AW231" s="2"/>
      <c r="AX231" s="2"/>
      <c r="AY231" s="2"/>
      <c r="AZ231" s="2"/>
      <c r="BA231" s="2"/>
      <c r="BB231" s="2"/>
      <c r="BC231" s="173"/>
      <c r="BD231" s="175"/>
      <c r="BE231" s="173"/>
      <c r="BF231" s="173"/>
      <c r="BG231" s="173"/>
      <c r="BH231" s="173"/>
      <c r="BI231" s="173"/>
      <c r="BJ231" s="173"/>
      <c r="BK231" s="173"/>
      <c r="BL231" s="173"/>
      <c r="BM231" s="173"/>
      <c r="BN231" s="173"/>
      <c r="BO231" s="173"/>
      <c r="BP231" s="173"/>
      <c r="BQ231" s="173"/>
      <c r="BR231" s="175"/>
      <c r="BS231" s="173"/>
      <c r="BT231" s="173"/>
      <c r="BU231" s="173"/>
      <c r="BV231" s="173"/>
      <c r="BW231" s="173"/>
      <c r="BX231" s="173"/>
      <c r="BY231" s="173"/>
      <c r="BZ231" s="175"/>
      <c r="CA231" s="173"/>
      <c r="CB231" s="173"/>
      <c r="CC231" s="173"/>
      <c r="CD231" s="173"/>
      <c r="CE231" s="173"/>
      <c r="CF231" s="173"/>
      <c r="CG231" s="173"/>
      <c r="CH231" s="175"/>
      <c r="CI231" s="173"/>
      <c r="CJ231" s="173"/>
      <c r="CK231" s="173"/>
      <c r="CL231" s="173"/>
      <c r="CM231" s="173"/>
      <c r="CN231" s="173"/>
      <c r="CO231" s="173"/>
      <c r="CP231" s="173"/>
      <c r="CQ231" s="173"/>
      <c r="CR231" s="175"/>
      <c r="CS231" s="173"/>
      <c r="CT231" s="173"/>
      <c r="CU231" s="173"/>
      <c r="CV231" s="173"/>
      <c r="CW231" s="173"/>
      <c r="CX231" s="173"/>
      <c r="CY231" s="173"/>
      <c r="CZ231" s="173"/>
      <c r="DA231" s="173"/>
      <c r="DB231" s="173"/>
      <c r="DC231" s="173"/>
      <c r="DD231" s="173"/>
      <c r="DE231" s="173"/>
      <c r="DF231" s="173"/>
    </row>
    <row r="232" spans="1:110">
      <c r="A232" s="136" t="s">
        <v>6338</v>
      </c>
      <c r="B232" s="136"/>
      <c r="C232" s="137"/>
      <c r="D232" s="120">
        <f t="shared" si="11"/>
        <v>0</v>
      </c>
      <c r="E232" s="121">
        <f t="shared" si="8"/>
        <v>1.3</v>
      </c>
      <c r="F232" s="172" cm="1">
        <f t="array" ref="F232">SUM(G232:DD232*$G$9:$DD$9)</f>
        <v>0</v>
      </c>
      <c r="G232" s="175"/>
      <c r="H232" s="173"/>
      <c r="I232" s="173"/>
      <c r="J232" s="173"/>
      <c r="K232" s="173"/>
      <c r="L232" s="2"/>
      <c r="M232" s="2"/>
      <c r="N232" s="2"/>
      <c r="O232" s="2"/>
      <c r="P232" s="2"/>
      <c r="Q232" s="2"/>
      <c r="R232" s="177"/>
      <c r="S232" s="2"/>
      <c r="T232" s="2"/>
      <c r="U232" s="2"/>
      <c r="V232" s="2"/>
      <c r="W232" s="2"/>
      <c r="X232" s="2"/>
      <c r="Y232" s="2"/>
      <c r="Z232" s="2"/>
      <c r="AA232" s="2"/>
      <c r="AB232" s="2"/>
      <c r="AC232" s="2"/>
      <c r="AD232" s="177"/>
      <c r="AE232" s="2"/>
      <c r="AF232" s="2"/>
      <c r="AG232" s="2"/>
      <c r="AH232" s="2"/>
      <c r="AI232" s="2"/>
      <c r="AJ232" s="2"/>
      <c r="AK232" s="2"/>
      <c r="AL232" s="2"/>
      <c r="AM232" s="2"/>
      <c r="AN232" s="2"/>
      <c r="AO232" s="2"/>
      <c r="AP232" s="2"/>
      <c r="AQ232" s="2"/>
      <c r="AR232" s="2"/>
      <c r="AS232" s="2"/>
      <c r="AT232" s="177"/>
      <c r="AU232" s="2"/>
      <c r="AV232" s="2"/>
      <c r="AW232" s="2"/>
      <c r="AX232" s="2"/>
      <c r="AY232" s="2"/>
      <c r="AZ232" s="2"/>
      <c r="BA232" s="2"/>
      <c r="BB232" s="2"/>
      <c r="BC232" s="173"/>
      <c r="BD232" s="175"/>
      <c r="BE232" s="173"/>
      <c r="BF232" s="173"/>
      <c r="BG232" s="173"/>
      <c r="BH232" s="173"/>
      <c r="BI232" s="173"/>
      <c r="BJ232" s="173"/>
      <c r="BK232" s="173"/>
      <c r="BL232" s="173"/>
      <c r="BM232" s="173"/>
      <c r="BN232" s="173"/>
      <c r="BO232" s="173"/>
      <c r="BP232" s="173"/>
      <c r="BQ232" s="173"/>
      <c r="BR232" s="175"/>
      <c r="BS232" s="173"/>
      <c r="BT232" s="173"/>
      <c r="BU232" s="173"/>
      <c r="BV232" s="173"/>
      <c r="BW232" s="173"/>
      <c r="BX232" s="173"/>
      <c r="BY232" s="173"/>
      <c r="BZ232" s="175"/>
      <c r="CA232" s="173"/>
      <c r="CB232" s="173"/>
      <c r="CC232" s="173"/>
      <c r="CD232" s="173"/>
      <c r="CE232" s="173"/>
      <c r="CF232" s="173"/>
      <c r="CG232" s="173"/>
      <c r="CH232" s="175"/>
      <c r="CI232" s="173"/>
      <c r="CJ232" s="173"/>
      <c r="CK232" s="173"/>
      <c r="CL232" s="173"/>
      <c r="CM232" s="173"/>
      <c r="CN232" s="173"/>
      <c r="CO232" s="173"/>
      <c r="CP232" s="173"/>
      <c r="CQ232" s="173"/>
      <c r="CR232" s="175"/>
      <c r="CS232" s="173"/>
      <c r="CT232" s="173"/>
      <c r="CU232" s="173"/>
      <c r="CV232" s="173"/>
      <c r="CW232" s="173"/>
      <c r="CX232" s="173"/>
      <c r="CY232" s="173"/>
      <c r="CZ232" s="173"/>
      <c r="DA232" s="173"/>
      <c r="DB232" s="173"/>
      <c r="DC232" s="173"/>
      <c r="DD232" s="173"/>
      <c r="DE232" s="173"/>
      <c r="DF232" s="173"/>
    </row>
    <row r="233" spans="1:110">
      <c r="A233" s="136" t="s">
        <v>6339</v>
      </c>
      <c r="B233" s="136"/>
      <c r="C233" s="137"/>
      <c r="D233" s="120">
        <f t="shared" si="11"/>
        <v>0</v>
      </c>
      <c r="E233" s="121">
        <f t="shared" si="8"/>
        <v>1.3</v>
      </c>
      <c r="F233" s="172" cm="1">
        <f t="array" ref="F233">SUM(G233:DD233*$G$9:$DD$9)</f>
        <v>0</v>
      </c>
      <c r="G233" s="175"/>
      <c r="H233" s="173"/>
      <c r="I233" s="173"/>
      <c r="J233" s="173"/>
      <c r="K233" s="173"/>
      <c r="L233" s="2"/>
      <c r="M233" s="2"/>
      <c r="N233" s="2"/>
      <c r="O233" s="2"/>
      <c r="P233" s="2"/>
      <c r="Q233" s="2"/>
      <c r="R233" s="177"/>
      <c r="S233" s="2"/>
      <c r="T233" s="2"/>
      <c r="U233" s="2"/>
      <c r="V233" s="2"/>
      <c r="W233" s="2"/>
      <c r="X233" s="2"/>
      <c r="Y233" s="2"/>
      <c r="Z233" s="2"/>
      <c r="AA233" s="2"/>
      <c r="AB233" s="2"/>
      <c r="AC233" s="2"/>
      <c r="AD233" s="177"/>
      <c r="AE233" s="2"/>
      <c r="AF233" s="2"/>
      <c r="AG233" s="2"/>
      <c r="AH233" s="2"/>
      <c r="AI233" s="2"/>
      <c r="AJ233" s="2"/>
      <c r="AK233" s="2"/>
      <c r="AL233" s="2"/>
      <c r="AM233" s="2"/>
      <c r="AN233" s="2"/>
      <c r="AO233" s="2"/>
      <c r="AP233" s="2"/>
      <c r="AQ233" s="2"/>
      <c r="AR233" s="2"/>
      <c r="AS233" s="2"/>
      <c r="AT233" s="177"/>
      <c r="AU233" s="2"/>
      <c r="AV233" s="2"/>
      <c r="AW233" s="2"/>
      <c r="AX233" s="2"/>
      <c r="AY233" s="2"/>
      <c r="AZ233" s="2"/>
      <c r="BA233" s="2"/>
      <c r="BB233" s="2"/>
      <c r="BC233" s="173"/>
      <c r="BD233" s="175"/>
      <c r="BE233" s="173"/>
      <c r="BF233" s="173"/>
      <c r="BG233" s="173"/>
      <c r="BH233" s="173"/>
      <c r="BI233" s="173"/>
      <c r="BJ233" s="173"/>
      <c r="BK233" s="173"/>
      <c r="BL233" s="173"/>
      <c r="BM233" s="173"/>
      <c r="BN233" s="173"/>
      <c r="BO233" s="173"/>
      <c r="BP233" s="173"/>
      <c r="BQ233" s="173"/>
      <c r="BR233" s="175"/>
      <c r="BS233" s="173"/>
      <c r="BT233" s="173"/>
      <c r="BU233" s="173"/>
      <c r="BV233" s="173"/>
      <c r="BW233" s="173"/>
      <c r="BX233" s="173"/>
      <c r="BY233" s="173"/>
      <c r="BZ233" s="175"/>
      <c r="CA233" s="173"/>
      <c r="CB233" s="173"/>
      <c r="CC233" s="173"/>
      <c r="CD233" s="173"/>
      <c r="CE233" s="173"/>
      <c r="CF233" s="173"/>
      <c r="CG233" s="173"/>
      <c r="CH233" s="175"/>
      <c r="CI233" s="173"/>
      <c r="CJ233" s="173"/>
      <c r="CK233" s="173"/>
      <c r="CL233" s="173"/>
      <c r="CM233" s="173"/>
      <c r="CN233" s="173"/>
      <c r="CO233" s="173"/>
      <c r="CP233" s="173"/>
      <c r="CQ233" s="173"/>
      <c r="CR233" s="175"/>
      <c r="CS233" s="173"/>
      <c r="CT233" s="173"/>
      <c r="CU233" s="173"/>
      <c r="CV233" s="173"/>
      <c r="CW233" s="173"/>
      <c r="CX233" s="173"/>
      <c r="CY233" s="173"/>
      <c r="CZ233" s="173"/>
      <c r="DA233" s="173"/>
      <c r="DB233" s="173"/>
      <c r="DC233" s="173"/>
      <c r="DD233" s="173"/>
      <c r="DE233" s="173"/>
      <c r="DF233" s="173"/>
    </row>
    <row r="234" spans="1:110">
      <c r="A234" s="136" t="s">
        <v>6340</v>
      </c>
      <c r="B234" s="136"/>
      <c r="C234" s="137"/>
      <c r="D234" s="120">
        <f t="shared" si="11"/>
        <v>0</v>
      </c>
      <c r="E234" s="121">
        <f t="shared" si="8"/>
        <v>1.3</v>
      </c>
      <c r="F234" s="172" cm="1">
        <f t="array" ref="F234">SUM(G234:DD234*$G$9:$DD$9)</f>
        <v>0</v>
      </c>
      <c r="G234" s="175"/>
      <c r="H234" s="173"/>
      <c r="I234" s="173"/>
      <c r="J234" s="173"/>
      <c r="K234" s="173"/>
      <c r="L234" s="2"/>
      <c r="M234" s="2"/>
      <c r="N234" s="2"/>
      <c r="O234" s="2"/>
      <c r="P234" s="2"/>
      <c r="Q234" s="2"/>
      <c r="R234" s="177"/>
      <c r="S234" s="2"/>
      <c r="T234" s="2"/>
      <c r="U234" s="2"/>
      <c r="V234" s="2"/>
      <c r="W234" s="2"/>
      <c r="X234" s="2"/>
      <c r="Y234" s="2"/>
      <c r="Z234" s="2"/>
      <c r="AA234" s="2"/>
      <c r="AB234" s="2"/>
      <c r="AC234" s="2"/>
      <c r="AD234" s="177"/>
      <c r="AE234" s="2"/>
      <c r="AF234" s="2"/>
      <c r="AG234" s="2"/>
      <c r="AH234" s="2"/>
      <c r="AI234" s="2"/>
      <c r="AJ234" s="2"/>
      <c r="AK234" s="2"/>
      <c r="AL234" s="2"/>
      <c r="AM234" s="2"/>
      <c r="AN234" s="2"/>
      <c r="AO234" s="2"/>
      <c r="AP234" s="2"/>
      <c r="AQ234" s="2"/>
      <c r="AR234" s="2"/>
      <c r="AS234" s="2"/>
      <c r="AT234" s="177"/>
      <c r="AU234" s="2"/>
      <c r="AV234" s="2"/>
      <c r="AW234" s="2"/>
      <c r="AX234" s="2"/>
      <c r="AY234" s="2"/>
      <c r="AZ234" s="2"/>
      <c r="BA234" s="2"/>
      <c r="BB234" s="2"/>
      <c r="BC234" s="173"/>
      <c r="BD234" s="175"/>
      <c r="BE234" s="173"/>
      <c r="BF234" s="173"/>
      <c r="BG234" s="173"/>
      <c r="BH234" s="173"/>
      <c r="BI234" s="173"/>
      <c r="BJ234" s="173"/>
      <c r="BK234" s="173"/>
      <c r="BL234" s="173"/>
      <c r="BM234" s="173"/>
      <c r="BN234" s="173"/>
      <c r="BO234" s="173"/>
      <c r="BP234" s="173"/>
      <c r="BQ234" s="173"/>
      <c r="BR234" s="175"/>
      <c r="BS234" s="173"/>
      <c r="BT234" s="173"/>
      <c r="BU234" s="173"/>
      <c r="BV234" s="173"/>
      <c r="BW234" s="173"/>
      <c r="BX234" s="173"/>
      <c r="BY234" s="173"/>
      <c r="BZ234" s="175"/>
      <c r="CA234" s="173"/>
      <c r="CB234" s="173"/>
      <c r="CC234" s="173"/>
      <c r="CD234" s="173"/>
      <c r="CE234" s="173"/>
      <c r="CF234" s="173"/>
      <c r="CG234" s="173"/>
      <c r="CH234" s="175"/>
      <c r="CI234" s="173"/>
      <c r="CJ234" s="173"/>
      <c r="CK234" s="173"/>
      <c r="CL234" s="173"/>
      <c r="CM234" s="173"/>
      <c r="CN234" s="173"/>
      <c r="CO234" s="173"/>
      <c r="CP234" s="173"/>
      <c r="CQ234" s="173"/>
      <c r="CR234" s="175"/>
      <c r="CS234" s="173"/>
      <c r="CT234" s="173"/>
      <c r="CU234" s="173"/>
      <c r="CV234" s="173"/>
      <c r="CW234" s="173"/>
      <c r="CX234" s="173"/>
      <c r="CY234" s="173"/>
      <c r="CZ234" s="173"/>
      <c r="DA234" s="173"/>
      <c r="DB234" s="173"/>
      <c r="DC234" s="173"/>
      <c r="DD234" s="173"/>
      <c r="DE234" s="173"/>
      <c r="DF234" s="173"/>
    </row>
    <row r="235" spans="1:110">
      <c r="A235" s="136" t="s">
        <v>6341</v>
      </c>
      <c r="B235" s="136"/>
      <c r="C235" s="137"/>
      <c r="D235" s="120">
        <f t="shared" si="11"/>
        <v>0</v>
      </c>
      <c r="E235" s="121">
        <f t="shared" si="8"/>
        <v>1.3</v>
      </c>
      <c r="F235" s="172" cm="1">
        <f t="array" ref="F235">SUM(G235:DD235*$G$9:$DD$9)</f>
        <v>0</v>
      </c>
      <c r="G235" s="175"/>
      <c r="H235" s="173"/>
      <c r="I235" s="173"/>
      <c r="J235" s="173"/>
      <c r="K235" s="173"/>
      <c r="L235" s="2"/>
      <c r="M235" s="2"/>
      <c r="N235" s="2"/>
      <c r="O235" s="2"/>
      <c r="P235" s="2"/>
      <c r="Q235" s="2"/>
      <c r="R235" s="177"/>
      <c r="S235" s="2"/>
      <c r="T235" s="2"/>
      <c r="U235" s="2"/>
      <c r="V235" s="2"/>
      <c r="W235" s="2"/>
      <c r="X235" s="2"/>
      <c r="Y235" s="2"/>
      <c r="Z235" s="2"/>
      <c r="AA235" s="2"/>
      <c r="AB235" s="2"/>
      <c r="AC235" s="2"/>
      <c r="AD235" s="177"/>
      <c r="AE235" s="2"/>
      <c r="AF235" s="2"/>
      <c r="AG235" s="2"/>
      <c r="AH235" s="2"/>
      <c r="AI235" s="2"/>
      <c r="AJ235" s="2"/>
      <c r="AK235" s="2"/>
      <c r="AL235" s="2"/>
      <c r="AM235" s="2"/>
      <c r="AN235" s="2"/>
      <c r="AO235" s="2"/>
      <c r="AP235" s="2"/>
      <c r="AQ235" s="2"/>
      <c r="AR235" s="2"/>
      <c r="AS235" s="2"/>
      <c r="AT235" s="177"/>
      <c r="AU235" s="2"/>
      <c r="AV235" s="2"/>
      <c r="AW235" s="2"/>
      <c r="AX235" s="2"/>
      <c r="AY235" s="2"/>
      <c r="AZ235" s="2"/>
      <c r="BA235" s="2"/>
      <c r="BB235" s="2"/>
      <c r="BC235" s="173"/>
      <c r="BD235" s="175"/>
      <c r="BE235" s="173"/>
      <c r="BF235" s="173"/>
      <c r="BG235" s="173"/>
      <c r="BH235" s="173"/>
      <c r="BI235" s="173"/>
      <c r="BJ235" s="173"/>
      <c r="BK235" s="173"/>
      <c r="BL235" s="173"/>
      <c r="BM235" s="173"/>
      <c r="BN235" s="173"/>
      <c r="BO235" s="173"/>
      <c r="BP235" s="173"/>
      <c r="BQ235" s="173"/>
      <c r="BR235" s="175"/>
      <c r="BS235" s="173"/>
      <c r="BT235" s="173"/>
      <c r="BU235" s="173"/>
      <c r="BV235" s="173"/>
      <c r="BW235" s="173"/>
      <c r="BX235" s="173"/>
      <c r="BY235" s="173"/>
      <c r="BZ235" s="175"/>
      <c r="CA235" s="173"/>
      <c r="CB235" s="173"/>
      <c r="CC235" s="173"/>
      <c r="CD235" s="173"/>
      <c r="CE235" s="173"/>
      <c r="CF235" s="173"/>
      <c r="CG235" s="173"/>
      <c r="CH235" s="175"/>
      <c r="CI235" s="173"/>
      <c r="CJ235" s="173"/>
      <c r="CK235" s="173"/>
      <c r="CL235" s="173"/>
      <c r="CM235" s="173"/>
      <c r="CN235" s="173"/>
      <c r="CO235" s="173"/>
      <c r="CP235" s="173"/>
      <c r="CQ235" s="173"/>
      <c r="CR235" s="175"/>
      <c r="CS235" s="173"/>
      <c r="CT235" s="173"/>
      <c r="CU235" s="173"/>
      <c r="CV235" s="173"/>
      <c r="CW235" s="173"/>
      <c r="CX235" s="173"/>
      <c r="CY235" s="173"/>
      <c r="CZ235" s="173"/>
      <c r="DA235" s="173"/>
      <c r="DB235" s="173"/>
      <c r="DC235" s="173"/>
      <c r="DD235" s="173"/>
      <c r="DE235" s="173"/>
      <c r="DF235" s="173"/>
    </row>
    <row r="236" spans="1:110">
      <c r="A236" s="136" t="s">
        <v>6342</v>
      </c>
      <c r="B236" s="136"/>
      <c r="C236" s="137"/>
      <c r="D236" s="120">
        <f t="shared" si="11"/>
        <v>0</v>
      </c>
      <c r="E236" s="121">
        <f t="shared" si="8"/>
        <v>1.3</v>
      </c>
      <c r="F236" s="172" cm="1">
        <f t="array" ref="F236">SUM(G236:DD236*$G$9:$DD$9)</f>
        <v>0</v>
      </c>
      <c r="G236" s="175"/>
      <c r="H236" s="173"/>
      <c r="I236" s="173"/>
      <c r="J236" s="173"/>
      <c r="K236" s="173"/>
      <c r="L236" s="2"/>
      <c r="M236" s="2"/>
      <c r="N236" s="2"/>
      <c r="O236" s="2"/>
      <c r="P236" s="2"/>
      <c r="Q236" s="2"/>
      <c r="R236" s="177"/>
      <c r="S236" s="2"/>
      <c r="T236" s="2"/>
      <c r="U236" s="2"/>
      <c r="V236" s="2"/>
      <c r="W236" s="2"/>
      <c r="X236" s="2"/>
      <c r="Y236" s="2"/>
      <c r="Z236" s="2"/>
      <c r="AA236" s="2"/>
      <c r="AB236" s="2"/>
      <c r="AC236" s="2"/>
      <c r="AD236" s="177"/>
      <c r="AE236" s="2"/>
      <c r="AF236" s="2"/>
      <c r="AG236" s="2"/>
      <c r="AH236" s="2"/>
      <c r="AI236" s="2"/>
      <c r="AJ236" s="2"/>
      <c r="AK236" s="2"/>
      <c r="AL236" s="2"/>
      <c r="AM236" s="2"/>
      <c r="AN236" s="2"/>
      <c r="AO236" s="2"/>
      <c r="AP236" s="2"/>
      <c r="AQ236" s="2"/>
      <c r="AR236" s="2"/>
      <c r="AS236" s="2"/>
      <c r="AT236" s="177"/>
      <c r="AU236" s="2"/>
      <c r="AV236" s="2"/>
      <c r="AW236" s="2"/>
      <c r="AX236" s="2"/>
      <c r="AY236" s="2"/>
      <c r="AZ236" s="2"/>
      <c r="BA236" s="2"/>
      <c r="BB236" s="2"/>
      <c r="BC236" s="173"/>
      <c r="BD236" s="175"/>
      <c r="BE236" s="173"/>
      <c r="BF236" s="173"/>
      <c r="BG236" s="173"/>
      <c r="BH236" s="173"/>
      <c r="BI236" s="173"/>
      <c r="BJ236" s="173"/>
      <c r="BK236" s="173"/>
      <c r="BL236" s="173"/>
      <c r="BM236" s="173"/>
      <c r="BN236" s="173"/>
      <c r="BO236" s="173"/>
      <c r="BP236" s="173"/>
      <c r="BQ236" s="173"/>
      <c r="BR236" s="175"/>
      <c r="BS236" s="173"/>
      <c r="BT236" s="173"/>
      <c r="BU236" s="173"/>
      <c r="BV236" s="173"/>
      <c r="BW236" s="173"/>
      <c r="BX236" s="173"/>
      <c r="BY236" s="173"/>
      <c r="BZ236" s="175"/>
      <c r="CA236" s="173"/>
      <c r="CB236" s="173"/>
      <c r="CC236" s="173"/>
      <c r="CD236" s="173"/>
      <c r="CE236" s="173"/>
      <c r="CF236" s="173"/>
      <c r="CG236" s="173"/>
      <c r="CH236" s="175"/>
      <c r="CI236" s="173"/>
      <c r="CJ236" s="173"/>
      <c r="CK236" s="173"/>
      <c r="CL236" s="173"/>
      <c r="CM236" s="173"/>
      <c r="CN236" s="173"/>
      <c r="CO236" s="173"/>
      <c r="CP236" s="173"/>
      <c r="CQ236" s="173"/>
      <c r="CR236" s="175"/>
      <c r="CS236" s="173"/>
      <c r="CT236" s="173"/>
      <c r="CU236" s="173"/>
      <c r="CV236" s="173"/>
      <c r="CW236" s="173"/>
      <c r="CX236" s="173"/>
      <c r="CY236" s="173"/>
      <c r="CZ236" s="173"/>
      <c r="DA236" s="173"/>
      <c r="DB236" s="173"/>
      <c r="DC236" s="173"/>
      <c r="DD236" s="173"/>
      <c r="DE236" s="173"/>
      <c r="DF236" s="173"/>
    </row>
    <row r="237" spans="1:110">
      <c r="A237" s="136" t="s">
        <v>6343</v>
      </c>
      <c r="B237" s="136"/>
      <c r="C237" s="137"/>
      <c r="D237" s="120">
        <f t="shared" si="11"/>
        <v>0</v>
      </c>
      <c r="E237" s="121">
        <f t="shared" si="8"/>
        <v>1.3</v>
      </c>
      <c r="F237" s="172" cm="1">
        <f t="array" ref="F237">SUM(G237:DD237*$G$9:$DD$9)</f>
        <v>0</v>
      </c>
      <c r="G237" s="175"/>
      <c r="H237" s="173"/>
      <c r="I237" s="173"/>
      <c r="J237" s="173"/>
      <c r="K237" s="173"/>
      <c r="L237" s="2"/>
      <c r="M237" s="2"/>
      <c r="N237" s="2"/>
      <c r="O237" s="2"/>
      <c r="P237" s="2"/>
      <c r="Q237" s="2"/>
      <c r="R237" s="177"/>
      <c r="S237" s="2"/>
      <c r="T237" s="2"/>
      <c r="U237" s="2"/>
      <c r="V237" s="2"/>
      <c r="W237" s="2"/>
      <c r="X237" s="2"/>
      <c r="Y237" s="2"/>
      <c r="Z237" s="2"/>
      <c r="AA237" s="2"/>
      <c r="AB237" s="2"/>
      <c r="AC237" s="2"/>
      <c r="AD237" s="177"/>
      <c r="AE237" s="2"/>
      <c r="AF237" s="2"/>
      <c r="AG237" s="2"/>
      <c r="AH237" s="2"/>
      <c r="AI237" s="2"/>
      <c r="AJ237" s="2"/>
      <c r="AK237" s="2"/>
      <c r="AL237" s="2"/>
      <c r="AM237" s="2"/>
      <c r="AN237" s="2"/>
      <c r="AO237" s="2"/>
      <c r="AP237" s="2"/>
      <c r="AQ237" s="2"/>
      <c r="AR237" s="2"/>
      <c r="AS237" s="2"/>
      <c r="AT237" s="177"/>
      <c r="AU237" s="2"/>
      <c r="AV237" s="2"/>
      <c r="AW237" s="2"/>
      <c r="AX237" s="2"/>
      <c r="AY237" s="2"/>
      <c r="AZ237" s="2"/>
      <c r="BA237" s="2"/>
      <c r="BB237" s="2"/>
      <c r="BC237" s="173"/>
      <c r="BD237" s="175"/>
      <c r="BE237" s="173"/>
      <c r="BF237" s="173"/>
      <c r="BG237" s="173"/>
      <c r="BH237" s="173"/>
      <c r="BI237" s="173"/>
      <c r="BJ237" s="173"/>
      <c r="BK237" s="173"/>
      <c r="BL237" s="173"/>
      <c r="BM237" s="173"/>
      <c r="BN237" s="173"/>
      <c r="BO237" s="173"/>
      <c r="BP237" s="173"/>
      <c r="BQ237" s="173"/>
      <c r="BR237" s="175"/>
      <c r="BS237" s="173"/>
      <c r="BT237" s="173"/>
      <c r="BU237" s="173"/>
      <c r="BV237" s="173"/>
      <c r="BW237" s="173"/>
      <c r="BX237" s="173"/>
      <c r="BY237" s="173"/>
      <c r="BZ237" s="175"/>
      <c r="CA237" s="173"/>
      <c r="CB237" s="173"/>
      <c r="CC237" s="173"/>
      <c r="CD237" s="173"/>
      <c r="CE237" s="173"/>
      <c r="CF237" s="173"/>
      <c r="CG237" s="173"/>
      <c r="CH237" s="175"/>
      <c r="CI237" s="173"/>
      <c r="CJ237" s="173"/>
      <c r="CK237" s="173"/>
      <c r="CL237" s="173"/>
      <c r="CM237" s="173"/>
      <c r="CN237" s="173"/>
      <c r="CO237" s="173"/>
      <c r="CP237" s="173"/>
      <c r="CQ237" s="173"/>
      <c r="CR237" s="175"/>
      <c r="CS237" s="173"/>
      <c r="CT237" s="173"/>
      <c r="CU237" s="173"/>
      <c r="CV237" s="173"/>
      <c r="CW237" s="173"/>
      <c r="CX237" s="173"/>
      <c r="CY237" s="173"/>
      <c r="CZ237" s="173"/>
      <c r="DA237" s="173"/>
      <c r="DB237" s="173"/>
      <c r="DC237" s="173"/>
      <c r="DD237" s="173"/>
      <c r="DE237" s="173"/>
      <c r="DF237" s="173"/>
    </row>
    <row r="238" spans="1:110">
      <c r="A238" s="136" t="s">
        <v>6344</v>
      </c>
      <c r="B238" s="136"/>
      <c r="C238" s="137"/>
      <c r="D238" s="120">
        <f t="shared" si="11"/>
        <v>0</v>
      </c>
      <c r="E238" s="121">
        <f t="shared" si="8"/>
        <v>1.3</v>
      </c>
      <c r="F238" s="172" cm="1">
        <f t="array" ref="F238">SUM(G238:DD238*$G$9:$DD$9)</f>
        <v>0</v>
      </c>
      <c r="G238" s="175"/>
      <c r="H238" s="173"/>
      <c r="I238" s="173"/>
      <c r="J238" s="173"/>
      <c r="K238" s="173"/>
      <c r="L238" s="2"/>
      <c r="M238" s="2"/>
      <c r="N238" s="2"/>
      <c r="O238" s="2"/>
      <c r="P238" s="2"/>
      <c r="Q238" s="2"/>
      <c r="R238" s="177"/>
      <c r="S238" s="2"/>
      <c r="T238" s="2"/>
      <c r="U238" s="2"/>
      <c r="V238" s="2"/>
      <c r="W238" s="2"/>
      <c r="X238" s="2"/>
      <c r="Y238" s="2"/>
      <c r="Z238" s="2"/>
      <c r="AA238" s="2"/>
      <c r="AB238" s="2"/>
      <c r="AC238" s="2"/>
      <c r="AD238" s="177"/>
      <c r="AE238" s="2"/>
      <c r="AF238" s="2"/>
      <c r="AG238" s="2"/>
      <c r="AH238" s="2"/>
      <c r="AI238" s="2"/>
      <c r="AJ238" s="2"/>
      <c r="AK238" s="2"/>
      <c r="AL238" s="2"/>
      <c r="AM238" s="2"/>
      <c r="AN238" s="2"/>
      <c r="AO238" s="2"/>
      <c r="AP238" s="2"/>
      <c r="AQ238" s="2"/>
      <c r="AR238" s="2"/>
      <c r="AS238" s="2"/>
      <c r="AT238" s="177"/>
      <c r="AU238" s="2"/>
      <c r="AV238" s="2"/>
      <c r="AW238" s="2"/>
      <c r="AX238" s="2"/>
      <c r="AY238" s="2"/>
      <c r="AZ238" s="2"/>
      <c r="BA238" s="2"/>
      <c r="BB238" s="2"/>
      <c r="BC238" s="173"/>
      <c r="BD238" s="175"/>
      <c r="BE238" s="173"/>
      <c r="BF238" s="173"/>
      <c r="BG238" s="173"/>
      <c r="BH238" s="173"/>
      <c r="BI238" s="173"/>
      <c r="BJ238" s="173"/>
      <c r="BK238" s="173"/>
      <c r="BL238" s="173"/>
      <c r="BM238" s="173"/>
      <c r="BN238" s="173"/>
      <c r="BO238" s="173"/>
      <c r="BP238" s="173"/>
      <c r="BQ238" s="173"/>
      <c r="BR238" s="175"/>
      <c r="BS238" s="173"/>
      <c r="BT238" s="173"/>
      <c r="BU238" s="173"/>
      <c r="BV238" s="173"/>
      <c r="BW238" s="173"/>
      <c r="BX238" s="173"/>
      <c r="BY238" s="173"/>
      <c r="BZ238" s="175"/>
      <c r="CA238" s="173"/>
      <c r="CB238" s="173"/>
      <c r="CC238" s="173"/>
      <c r="CD238" s="173"/>
      <c r="CE238" s="173"/>
      <c r="CF238" s="173"/>
      <c r="CG238" s="173"/>
      <c r="CH238" s="175"/>
      <c r="CI238" s="173"/>
      <c r="CJ238" s="173"/>
      <c r="CK238" s="173"/>
      <c r="CL238" s="173"/>
      <c r="CM238" s="173"/>
      <c r="CN238" s="173"/>
      <c r="CO238" s="173"/>
      <c r="CP238" s="173"/>
      <c r="CQ238" s="173"/>
      <c r="CR238" s="175"/>
      <c r="CS238" s="173"/>
      <c r="CT238" s="173"/>
      <c r="CU238" s="173"/>
      <c r="CV238" s="173"/>
      <c r="CW238" s="173"/>
      <c r="CX238" s="173"/>
      <c r="CY238" s="173"/>
      <c r="CZ238" s="173"/>
      <c r="DA238" s="173"/>
      <c r="DB238" s="173"/>
      <c r="DC238" s="173"/>
      <c r="DD238" s="173"/>
      <c r="DE238" s="173"/>
      <c r="DF238" s="173"/>
    </row>
    <row r="239" spans="1:110">
      <c r="A239" s="136" t="s">
        <v>6345</v>
      </c>
      <c r="B239" s="136"/>
      <c r="C239" s="137"/>
      <c r="D239" s="120">
        <f t="shared" si="11"/>
        <v>0</v>
      </c>
      <c r="E239" s="121">
        <f t="shared" si="8"/>
        <v>1.3</v>
      </c>
      <c r="F239" s="172" cm="1">
        <f t="array" ref="F239">SUM(G239:DD239*$G$9:$DD$9)</f>
        <v>0</v>
      </c>
      <c r="G239" s="175"/>
      <c r="H239" s="173"/>
      <c r="I239" s="173"/>
      <c r="J239" s="173"/>
      <c r="K239" s="173"/>
      <c r="L239" s="2"/>
      <c r="M239" s="2"/>
      <c r="N239" s="2"/>
      <c r="O239" s="2"/>
      <c r="P239" s="2"/>
      <c r="Q239" s="2"/>
      <c r="R239" s="177"/>
      <c r="S239" s="2"/>
      <c r="T239" s="2"/>
      <c r="U239" s="2"/>
      <c r="V239" s="2"/>
      <c r="W239" s="2"/>
      <c r="X239" s="2"/>
      <c r="Y239" s="2"/>
      <c r="Z239" s="2"/>
      <c r="AA239" s="2"/>
      <c r="AB239" s="2"/>
      <c r="AC239" s="2"/>
      <c r="AD239" s="177"/>
      <c r="AE239" s="2"/>
      <c r="AF239" s="2"/>
      <c r="AG239" s="2"/>
      <c r="AH239" s="2"/>
      <c r="AI239" s="2"/>
      <c r="AJ239" s="2"/>
      <c r="AK239" s="2"/>
      <c r="AL239" s="2"/>
      <c r="AM239" s="2"/>
      <c r="AN239" s="2"/>
      <c r="AO239" s="2"/>
      <c r="AP239" s="2"/>
      <c r="AQ239" s="2"/>
      <c r="AR239" s="2"/>
      <c r="AS239" s="2"/>
      <c r="AT239" s="177"/>
      <c r="AU239" s="2"/>
      <c r="AV239" s="2"/>
      <c r="AW239" s="2"/>
      <c r="AX239" s="2"/>
      <c r="AY239" s="2"/>
      <c r="AZ239" s="2"/>
      <c r="BA239" s="2"/>
      <c r="BB239" s="2"/>
      <c r="BC239" s="173"/>
      <c r="BD239" s="175"/>
      <c r="BE239" s="173"/>
      <c r="BF239" s="173"/>
      <c r="BG239" s="173"/>
      <c r="BH239" s="173"/>
      <c r="BI239" s="173"/>
      <c r="BJ239" s="173"/>
      <c r="BK239" s="173"/>
      <c r="BL239" s="173"/>
      <c r="BM239" s="173"/>
      <c r="BN239" s="173"/>
      <c r="BO239" s="173"/>
      <c r="BP239" s="173"/>
      <c r="BQ239" s="173"/>
      <c r="BR239" s="175"/>
      <c r="BS239" s="173"/>
      <c r="BT239" s="173"/>
      <c r="BU239" s="173"/>
      <c r="BV239" s="173"/>
      <c r="BW239" s="173"/>
      <c r="BX239" s="173"/>
      <c r="BY239" s="173"/>
      <c r="BZ239" s="175"/>
      <c r="CA239" s="173"/>
      <c r="CB239" s="173"/>
      <c r="CC239" s="173"/>
      <c r="CD239" s="173"/>
      <c r="CE239" s="173"/>
      <c r="CF239" s="173"/>
      <c r="CG239" s="173"/>
      <c r="CH239" s="175"/>
      <c r="CI239" s="173"/>
      <c r="CJ239" s="173"/>
      <c r="CK239" s="173"/>
      <c r="CL239" s="173"/>
      <c r="CM239" s="173"/>
      <c r="CN239" s="173"/>
      <c r="CO239" s="173"/>
      <c r="CP239" s="173"/>
      <c r="CQ239" s="173"/>
      <c r="CR239" s="175"/>
      <c r="CS239" s="173"/>
      <c r="CT239" s="173"/>
      <c r="CU239" s="173"/>
      <c r="CV239" s="173"/>
      <c r="CW239" s="173"/>
      <c r="CX239" s="173"/>
      <c r="CY239" s="173"/>
      <c r="CZ239" s="173"/>
      <c r="DA239" s="173"/>
      <c r="DB239" s="173"/>
      <c r="DC239" s="173"/>
      <c r="DD239" s="173"/>
      <c r="DE239" s="173"/>
      <c r="DF239" s="173"/>
    </row>
    <row r="240" spans="1:110">
      <c r="A240" s="136" t="s">
        <v>6346</v>
      </c>
      <c r="B240" s="136"/>
      <c r="C240" s="137"/>
      <c r="D240" s="120">
        <f t="shared" si="11"/>
        <v>0</v>
      </c>
      <c r="E240" s="121">
        <f t="shared" si="8"/>
        <v>1.3</v>
      </c>
      <c r="F240" s="172" cm="1">
        <f t="array" ref="F240">SUM(G240:DD240*$G$9:$DD$9)</f>
        <v>0</v>
      </c>
      <c r="G240" s="175"/>
      <c r="H240" s="173"/>
      <c r="I240" s="173"/>
      <c r="J240" s="173"/>
      <c r="K240" s="173"/>
      <c r="L240" s="2"/>
      <c r="M240" s="2"/>
      <c r="N240" s="2"/>
      <c r="O240" s="2"/>
      <c r="P240" s="2"/>
      <c r="Q240" s="2"/>
      <c r="R240" s="177"/>
      <c r="S240" s="2"/>
      <c r="T240" s="2"/>
      <c r="U240" s="2"/>
      <c r="V240" s="2"/>
      <c r="W240" s="2"/>
      <c r="X240" s="2"/>
      <c r="Y240" s="2"/>
      <c r="Z240" s="2"/>
      <c r="AA240" s="2"/>
      <c r="AB240" s="2"/>
      <c r="AC240" s="2"/>
      <c r="AD240" s="177"/>
      <c r="AE240" s="2"/>
      <c r="AF240" s="2"/>
      <c r="AG240" s="2"/>
      <c r="AH240" s="2"/>
      <c r="AI240" s="2"/>
      <c r="AJ240" s="2"/>
      <c r="AK240" s="2"/>
      <c r="AL240" s="2"/>
      <c r="AM240" s="2"/>
      <c r="AN240" s="2"/>
      <c r="AO240" s="2"/>
      <c r="AP240" s="2"/>
      <c r="AQ240" s="2"/>
      <c r="AR240" s="2"/>
      <c r="AS240" s="2"/>
      <c r="AT240" s="177"/>
      <c r="AU240" s="2"/>
      <c r="AV240" s="2"/>
      <c r="AW240" s="2"/>
      <c r="AX240" s="2"/>
      <c r="AY240" s="2"/>
      <c r="AZ240" s="2"/>
      <c r="BA240" s="2"/>
      <c r="BB240" s="2"/>
      <c r="BC240" s="173"/>
      <c r="BD240" s="175"/>
      <c r="BE240" s="173"/>
      <c r="BF240" s="173"/>
      <c r="BG240" s="173"/>
      <c r="BH240" s="173"/>
      <c r="BI240" s="173"/>
      <c r="BJ240" s="173"/>
      <c r="BK240" s="173"/>
      <c r="BL240" s="173"/>
      <c r="BM240" s="173"/>
      <c r="BN240" s="173"/>
      <c r="BO240" s="173"/>
      <c r="BP240" s="173"/>
      <c r="BQ240" s="173"/>
      <c r="BR240" s="175"/>
      <c r="BS240" s="173"/>
      <c r="BT240" s="173"/>
      <c r="BU240" s="173"/>
      <c r="BV240" s="173"/>
      <c r="BW240" s="173"/>
      <c r="BX240" s="173"/>
      <c r="BY240" s="173"/>
      <c r="BZ240" s="175"/>
      <c r="CA240" s="173"/>
      <c r="CB240" s="173"/>
      <c r="CC240" s="173"/>
      <c r="CD240" s="173"/>
      <c r="CE240" s="173"/>
      <c r="CF240" s="173"/>
      <c r="CG240" s="173"/>
      <c r="CH240" s="175"/>
      <c r="CI240" s="173"/>
      <c r="CJ240" s="173"/>
      <c r="CK240" s="173"/>
      <c r="CL240" s="173"/>
      <c r="CM240" s="173"/>
      <c r="CN240" s="173"/>
      <c r="CO240" s="173"/>
      <c r="CP240" s="173"/>
      <c r="CQ240" s="173"/>
      <c r="CR240" s="175"/>
      <c r="CS240" s="173"/>
      <c r="CT240" s="173"/>
      <c r="CU240" s="173"/>
      <c r="CV240" s="173"/>
      <c r="CW240" s="173"/>
      <c r="CX240" s="173"/>
      <c r="CY240" s="173"/>
      <c r="CZ240" s="173"/>
      <c r="DA240" s="173"/>
      <c r="DB240" s="173"/>
      <c r="DC240" s="173"/>
      <c r="DD240" s="173"/>
      <c r="DE240" s="173"/>
      <c r="DF240" s="173"/>
    </row>
    <row r="241" spans="1:110">
      <c r="A241" s="136" t="s">
        <v>6347</v>
      </c>
      <c r="B241" s="136"/>
      <c r="C241" s="137"/>
      <c r="D241" s="120">
        <f t="shared" ref="D241:D249" si="12">E241*F241</f>
        <v>0</v>
      </c>
      <c r="E241" s="121">
        <f t="shared" si="8"/>
        <v>1.3</v>
      </c>
      <c r="F241" s="172" cm="1">
        <f t="array" ref="F241">SUM(G241:DD241*$G$9:$DD$9)</f>
        <v>0</v>
      </c>
      <c r="G241" s="177"/>
      <c r="H241" s="2"/>
      <c r="I241" s="2"/>
      <c r="J241" s="2"/>
      <c r="K241" s="2"/>
      <c r="L241" s="2"/>
      <c r="M241" s="2"/>
      <c r="N241" s="2"/>
      <c r="O241" s="2"/>
      <c r="P241" s="2"/>
      <c r="Q241" s="2"/>
      <c r="R241" s="177"/>
      <c r="S241" s="2"/>
      <c r="T241" s="2"/>
      <c r="U241" s="2"/>
      <c r="V241" s="2"/>
      <c r="W241" s="2"/>
      <c r="X241" s="2"/>
      <c r="Y241" s="2"/>
      <c r="Z241" s="2"/>
      <c r="AA241" s="2"/>
      <c r="AB241" s="2"/>
      <c r="AC241" s="2"/>
      <c r="AD241" s="177"/>
      <c r="AE241" s="2"/>
      <c r="AF241" s="2"/>
      <c r="AG241" s="2"/>
      <c r="AH241" s="2"/>
      <c r="AI241" s="2"/>
      <c r="AJ241" s="2"/>
      <c r="AK241" s="2"/>
      <c r="AL241" s="2"/>
      <c r="AM241" s="2"/>
      <c r="AN241" s="2"/>
      <c r="AO241" s="2"/>
      <c r="AP241" s="2"/>
      <c r="AQ241" s="2"/>
      <c r="AR241" s="2"/>
      <c r="AS241" s="2"/>
      <c r="AT241" s="177"/>
      <c r="AU241" s="2"/>
      <c r="AV241" s="2"/>
      <c r="AW241" s="2"/>
      <c r="AX241" s="2"/>
      <c r="AY241" s="2"/>
      <c r="AZ241" s="2"/>
      <c r="BA241" s="2"/>
      <c r="BB241" s="2"/>
      <c r="BC241" s="2"/>
      <c r="BD241" s="177"/>
      <c r="BE241" s="2"/>
      <c r="BF241" s="2"/>
      <c r="BG241" s="2"/>
      <c r="BH241" s="2"/>
      <c r="BI241" s="2"/>
      <c r="BJ241" s="2"/>
      <c r="BK241" s="2"/>
      <c r="BL241" s="2"/>
      <c r="BM241" s="2"/>
      <c r="BN241" s="2"/>
      <c r="BO241" s="2"/>
      <c r="BP241" s="2"/>
      <c r="BQ241" s="2"/>
      <c r="BR241" s="177"/>
      <c r="BS241" s="2"/>
      <c r="BT241" s="2"/>
      <c r="BU241" s="2"/>
      <c r="BV241" s="2"/>
      <c r="BW241" s="2"/>
      <c r="BX241" s="2"/>
      <c r="BY241" s="2"/>
      <c r="BZ241" s="177"/>
      <c r="CA241" s="2"/>
      <c r="CB241" s="2"/>
      <c r="CC241" s="2"/>
      <c r="CD241" s="2"/>
      <c r="CE241" s="2"/>
      <c r="CF241" s="2"/>
      <c r="CG241" s="2"/>
      <c r="CH241" s="177"/>
      <c r="CI241" s="2"/>
      <c r="CJ241" s="2"/>
      <c r="CK241" s="2"/>
      <c r="CL241" s="2"/>
      <c r="CM241" s="2"/>
      <c r="CN241" s="2"/>
      <c r="CO241" s="2"/>
      <c r="CP241" s="2"/>
      <c r="CQ241" s="2"/>
      <c r="CR241" s="177"/>
      <c r="CS241" s="2"/>
      <c r="CT241" s="2"/>
      <c r="CU241" s="2"/>
      <c r="CV241" s="2"/>
      <c r="CW241" s="2"/>
      <c r="CX241" s="2"/>
      <c r="CY241" s="2"/>
      <c r="CZ241" s="2"/>
      <c r="DA241" s="2"/>
      <c r="DB241" s="2"/>
      <c r="DC241" s="2"/>
      <c r="DD241" s="2"/>
      <c r="DE241" s="2"/>
      <c r="DF241" s="2"/>
    </row>
    <row r="242" spans="1:110">
      <c r="A242" s="136" t="s">
        <v>6348</v>
      </c>
      <c r="B242" s="136"/>
      <c r="C242" s="137"/>
      <c r="D242" s="120">
        <f t="shared" si="12"/>
        <v>0</v>
      </c>
      <c r="E242" s="121">
        <f t="shared" si="8"/>
        <v>1.3</v>
      </c>
      <c r="F242" s="172" cm="1">
        <f t="array" ref="F242">SUM(G242:DD242*$G$9:$DD$9)</f>
        <v>0</v>
      </c>
      <c r="G242" s="177"/>
      <c r="H242" s="2"/>
      <c r="I242" s="2"/>
      <c r="J242" s="2"/>
      <c r="K242" s="2"/>
      <c r="L242" s="2"/>
      <c r="M242" s="2"/>
      <c r="N242" s="2"/>
      <c r="O242" s="2"/>
      <c r="P242" s="2"/>
      <c r="Q242" s="2"/>
      <c r="R242" s="177"/>
      <c r="S242" s="2"/>
      <c r="T242" s="2"/>
      <c r="U242" s="2"/>
      <c r="V242" s="2"/>
      <c r="W242" s="2"/>
      <c r="X242" s="2"/>
      <c r="Y242" s="2"/>
      <c r="Z242" s="2"/>
      <c r="AA242" s="2"/>
      <c r="AB242" s="2"/>
      <c r="AC242" s="2"/>
      <c r="AD242" s="177"/>
      <c r="AE242" s="2"/>
      <c r="AF242" s="2"/>
      <c r="AG242" s="2"/>
      <c r="AH242" s="2"/>
      <c r="AI242" s="2"/>
      <c r="AJ242" s="2"/>
      <c r="AK242" s="2"/>
      <c r="AL242" s="2"/>
      <c r="AM242" s="2"/>
      <c r="AN242" s="2"/>
      <c r="AO242" s="2"/>
      <c r="AP242" s="2"/>
      <c r="AQ242" s="2"/>
      <c r="AR242" s="2"/>
      <c r="AS242" s="2"/>
      <c r="AT242" s="177"/>
      <c r="AU242" s="2"/>
      <c r="AV242" s="2"/>
      <c r="AW242" s="2"/>
      <c r="AX242" s="2"/>
      <c r="AY242" s="2"/>
      <c r="AZ242" s="2"/>
      <c r="BA242" s="2"/>
      <c r="BB242" s="2"/>
      <c r="BC242" s="2"/>
      <c r="BD242" s="177"/>
      <c r="BE242" s="2"/>
      <c r="BF242" s="2"/>
      <c r="BG242" s="2"/>
      <c r="BH242" s="2"/>
      <c r="BI242" s="2"/>
      <c r="BJ242" s="2"/>
      <c r="BK242" s="2"/>
      <c r="BL242" s="2"/>
      <c r="BM242" s="2"/>
      <c r="BN242" s="2"/>
      <c r="BO242" s="2"/>
      <c r="BP242" s="2"/>
      <c r="BQ242" s="2"/>
      <c r="BR242" s="177"/>
      <c r="BS242" s="2"/>
      <c r="BT242" s="2"/>
      <c r="BU242" s="2"/>
      <c r="BV242" s="2"/>
      <c r="BW242" s="2"/>
      <c r="BX242" s="2"/>
      <c r="BY242" s="2"/>
      <c r="BZ242" s="177"/>
      <c r="CA242" s="2"/>
      <c r="CB242" s="2"/>
      <c r="CC242" s="2"/>
      <c r="CD242" s="2"/>
      <c r="CE242" s="2"/>
      <c r="CF242" s="2"/>
      <c r="CG242" s="2"/>
      <c r="CH242" s="177"/>
      <c r="CI242" s="2"/>
      <c r="CJ242" s="2"/>
      <c r="CK242" s="2"/>
      <c r="CL242" s="2"/>
      <c r="CM242" s="2"/>
      <c r="CN242" s="2"/>
      <c r="CO242" s="2"/>
      <c r="CP242" s="2"/>
      <c r="CQ242" s="2"/>
      <c r="CR242" s="177"/>
      <c r="CS242" s="2"/>
      <c r="CT242" s="2"/>
      <c r="CU242" s="2"/>
      <c r="CV242" s="2"/>
      <c r="CW242" s="2"/>
      <c r="CX242" s="2"/>
      <c r="CY242" s="2"/>
      <c r="CZ242" s="2"/>
      <c r="DA242" s="2"/>
      <c r="DB242" s="2"/>
      <c r="DC242" s="2"/>
      <c r="DD242" s="2"/>
      <c r="DE242" s="2"/>
      <c r="DF242" s="2"/>
    </row>
    <row r="243" spans="1:110">
      <c r="A243" s="136" t="s">
        <v>6349</v>
      </c>
      <c r="B243" s="136"/>
      <c r="C243" s="137"/>
      <c r="D243" s="120">
        <f t="shared" si="12"/>
        <v>0</v>
      </c>
      <c r="E243" s="121">
        <f t="shared" si="8"/>
        <v>1.3</v>
      </c>
      <c r="F243" s="172" cm="1">
        <f t="array" ref="F243">SUM(G243:DD243*$G$9:$DD$9)</f>
        <v>0</v>
      </c>
      <c r="G243" s="177"/>
      <c r="H243" s="2"/>
      <c r="I243" s="2"/>
      <c r="J243" s="2"/>
      <c r="K243" s="2"/>
      <c r="L243" s="2"/>
      <c r="M243" s="2"/>
      <c r="N243" s="2"/>
      <c r="O243" s="2"/>
      <c r="P243" s="2"/>
      <c r="Q243" s="2"/>
      <c r="R243" s="177"/>
      <c r="S243" s="2"/>
      <c r="T243" s="2"/>
      <c r="U243" s="2"/>
      <c r="V243" s="2"/>
      <c r="W243" s="2"/>
      <c r="X243" s="2"/>
      <c r="Y243" s="2"/>
      <c r="Z243" s="2"/>
      <c r="AA243" s="2"/>
      <c r="AB243" s="2"/>
      <c r="AC243" s="2"/>
      <c r="AD243" s="177"/>
      <c r="AE243" s="2"/>
      <c r="AF243" s="2"/>
      <c r="AG243" s="2"/>
      <c r="AH243" s="2"/>
      <c r="AI243" s="2"/>
      <c r="AJ243" s="2"/>
      <c r="AK243" s="2"/>
      <c r="AL243" s="2"/>
      <c r="AM243" s="2"/>
      <c r="AN243" s="2"/>
      <c r="AO243" s="2"/>
      <c r="AP243" s="2"/>
      <c r="AQ243" s="2"/>
      <c r="AR243" s="2"/>
      <c r="AS243" s="2"/>
      <c r="AT243" s="177"/>
      <c r="AU243" s="2"/>
      <c r="AV243" s="2"/>
      <c r="AW243" s="2"/>
      <c r="AX243" s="2"/>
      <c r="AY243" s="2"/>
      <c r="AZ243" s="2"/>
      <c r="BA243" s="2"/>
      <c r="BB243" s="2"/>
      <c r="BC243" s="2"/>
      <c r="BD243" s="177"/>
      <c r="BE243" s="2"/>
      <c r="BF243" s="2"/>
      <c r="BG243" s="2"/>
      <c r="BH243" s="2"/>
      <c r="BI243" s="2"/>
      <c r="BJ243" s="2"/>
      <c r="BK243" s="2"/>
      <c r="BL243" s="2"/>
      <c r="BM243" s="2"/>
      <c r="BN243" s="2"/>
      <c r="BO243" s="2"/>
      <c r="BP243" s="2"/>
      <c r="BQ243" s="2"/>
      <c r="BR243" s="177"/>
      <c r="BS243" s="2"/>
      <c r="BT243" s="2"/>
      <c r="BU243" s="2"/>
      <c r="BV243" s="2"/>
      <c r="BW243" s="2"/>
      <c r="BX243" s="2"/>
      <c r="BY243" s="2"/>
      <c r="BZ243" s="177"/>
      <c r="CA243" s="2"/>
      <c r="CB243" s="2"/>
      <c r="CC243" s="2"/>
      <c r="CD243" s="2"/>
      <c r="CE243" s="2"/>
      <c r="CF243" s="2"/>
      <c r="CG243" s="2"/>
      <c r="CH243" s="177"/>
      <c r="CI243" s="2"/>
      <c r="CJ243" s="2"/>
      <c r="CK243" s="2"/>
      <c r="CL243" s="2"/>
      <c r="CM243" s="2"/>
      <c r="CN243" s="2"/>
      <c r="CO243" s="2"/>
      <c r="CP243" s="2"/>
      <c r="CQ243" s="2"/>
      <c r="CR243" s="177"/>
      <c r="CS243" s="2"/>
      <c r="CT243" s="2"/>
      <c r="CU243" s="2"/>
      <c r="CV243" s="2"/>
      <c r="CW243" s="2"/>
      <c r="CX243" s="2"/>
      <c r="CY243" s="2"/>
      <c r="CZ243" s="2"/>
      <c r="DA243" s="2"/>
      <c r="DB243" s="2"/>
      <c r="DC243" s="2"/>
      <c r="DD243" s="2"/>
      <c r="DE243" s="2"/>
      <c r="DF243" s="2"/>
    </row>
    <row r="244" spans="1:110">
      <c r="A244" s="136" t="s">
        <v>6350</v>
      </c>
      <c r="B244" s="136"/>
      <c r="C244" s="137"/>
      <c r="D244" s="120">
        <f t="shared" si="12"/>
        <v>0</v>
      </c>
      <c r="E244" s="121">
        <f t="shared" si="8"/>
        <v>1.3</v>
      </c>
      <c r="F244" s="172" cm="1">
        <f t="array" ref="F244">SUM(G244:DD244*$G$9:$DD$9)</f>
        <v>0</v>
      </c>
      <c r="G244" s="177"/>
      <c r="H244" s="2"/>
      <c r="I244" s="2"/>
      <c r="J244" s="2"/>
      <c r="K244" s="2"/>
      <c r="L244" s="2"/>
      <c r="M244" s="2"/>
      <c r="N244" s="2"/>
      <c r="O244" s="2"/>
      <c r="P244" s="2"/>
      <c r="Q244" s="2"/>
      <c r="R244" s="177"/>
      <c r="S244" s="2"/>
      <c r="T244" s="2"/>
      <c r="U244" s="2"/>
      <c r="V244" s="2"/>
      <c r="W244" s="2"/>
      <c r="X244" s="2"/>
      <c r="Y244" s="2"/>
      <c r="Z244" s="2"/>
      <c r="AA244" s="2"/>
      <c r="AB244" s="2"/>
      <c r="AC244" s="2"/>
      <c r="AD244" s="177"/>
      <c r="AE244" s="2"/>
      <c r="AF244" s="2"/>
      <c r="AG244" s="2"/>
      <c r="AH244" s="2"/>
      <c r="AI244" s="2"/>
      <c r="AJ244" s="2"/>
      <c r="AK244" s="2"/>
      <c r="AL244" s="2"/>
      <c r="AM244" s="2"/>
      <c r="AN244" s="2"/>
      <c r="AO244" s="2"/>
      <c r="AP244" s="2"/>
      <c r="AQ244" s="2"/>
      <c r="AR244" s="2"/>
      <c r="AS244" s="2"/>
      <c r="AT244" s="177"/>
      <c r="AU244" s="2"/>
      <c r="AV244" s="2"/>
      <c r="AW244" s="2"/>
      <c r="AX244" s="2"/>
      <c r="AY244" s="2"/>
      <c r="AZ244" s="2"/>
      <c r="BA244" s="2"/>
      <c r="BB244" s="2"/>
      <c r="BC244" s="2"/>
      <c r="BD244" s="177"/>
      <c r="BE244" s="2"/>
      <c r="BF244" s="2"/>
      <c r="BG244" s="2"/>
      <c r="BH244" s="2"/>
      <c r="BI244" s="2"/>
      <c r="BJ244" s="2"/>
      <c r="BK244" s="2"/>
      <c r="BL244" s="2"/>
      <c r="BM244" s="2"/>
      <c r="BN244" s="2"/>
      <c r="BO244" s="2"/>
      <c r="BP244" s="2"/>
      <c r="BQ244" s="2"/>
      <c r="BR244" s="177"/>
      <c r="BS244" s="2"/>
      <c r="BT244" s="2"/>
      <c r="BU244" s="2"/>
      <c r="BV244" s="2"/>
      <c r="BW244" s="2"/>
      <c r="BX244" s="2"/>
      <c r="BY244" s="2"/>
      <c r="BZ244" s="177"/>
      <c r="CA244" s="2"/>
      <c r="CB244" s="2"/>
      <c r="CC244" s="2"/>
      <c r="CD244" s="2"/>
      <c r="CE244" s="2"/>
      <c r="CF244" s="2"/>
      <c r="CG244" s="2"/>
      <c r="CH244" s="177"/>
      <c r="CI244" s="2"/>
      <c r="CJ244" s="2"/>
      <c r="CK244" s="2"/>
      <c r="CL244" s="2"/>
      <c r="CM244" s="2"/>
      <c r="CN244" s="2"/>
      <c r="CO244" s="2"/>
      <c r="CP244" s="2"/>
      <c r="CQ244" s="2"/>
      <c r="CR244" s="177"/>
      <c r="CS244" s="2"/>
      <c r="CT244" s="2"/>
      <c r="CU244" s="2"/>
      <c r="CV244" s="2"/>
      <c r="CW244" s="2"/>
      <c r="CX244" s="2"/>
      <c r="CY244" s="2"/>
      <c r="CZ244" s="2"/>
      <c r="DA244" s="2"/>
      <c r="DB244" s="2"/>
      <c r="DC244" s="2"/>
      <c r="DD244" s="2"/>
      <c r="DE244" s="2"/>
      <c r="DF244" s="2"/>
    </row>
    <row r="245" spans="1:110">
      <c r="A245" s="136" t="s">
        <v>6351</v>
      </c>
      <c r="B245" s="136"/>
      <c r="C245" s="137"/>
      <c r="D245" s="120">
        <f t="shared" si="12"/>
        <v>0</v>
      </c>
      <c r="E245" s="121">
        <f t="shared" si="8"/>
        <v>1.3</v>
      </c>
      <c r="F245" s="172" cm="1">
        <f t="array" ref="F245">SUM(G245:DD245*$G$9:$DD$9)</f>
        <v>0</v>
      </c>
      <c r="G245" s="177"/>
      <c r="H245" s="2"/>
      <c r="I245" s="2"/>
      <c r="J245" s="2"/>
      <c r="K245" s="2"/>
      <c r="L245" s="2"/>
      <c r="M245" s="2"/>
      <c r="N245" s="2"/>
      <c r="O245" s="2"/>
      <c r="P245" s="2"/>
      <c r="Q245" s="2"/>
      <c r="R245" s="177"/>
      <c r="S245" s="2"/>
      <c r="T245" s="2"/>
      <c r="U245" s="2"/>
      <c r="V245" s="2"/>
      <c r="W245" s="2"/>
      <c r="X245" s="2"/>
      <c r="Y245" s="2"/>
      <c r="Z245" s="2"/>
      <c r="AA245" s="2"/>
      <c r="AB245" s="2"/>
      <c r="AC245" s="2"/>
      <c r="AD245" s="177"/>
      <c r="AE245" s="2"/>
      <c r="AF245" s="2"/>
      <c r="AG245" s="2"/>
      <c r="AH245" s="2"/>
      <c r="AI245" s="2"/>
      <c r="AJ245" s="2"/>
      <c r="AK245" s="2"/>
      <c r="AL245" s="2"/>
      <c r="AM245" s="2"/>
      <c r="AN245" s="2"/>
      <c r="AO245" s="2"/>
      <c r="AP245" s="2"/>
      <c r="AQ245" s="2"/>
      <c r="AR245" s="2"/>
      <c r="AS245" s="2"/>
      <c r="AT245" s="177"/>
      <c r="AU245" s="2"/>
      <c r="AV245" s="2"/>
      <c r="AW245" s="2"/>
      <c r="AX245" s="2"/>
      <c r="AY245" s="2"/>
      <c r="AZ245" s="2"/>
      <c r="BA245" s="2"/>
      <c r="BB245" s="2"/>
      <c r="BC245" s="2"/>
      <c r="BD245" s="177"/>
      <c r="BE245" s="2"/>
      <c r="BF245" s="2"/>
      <c r="BG245" s="2"/>
      <c r="BH245" s="2"/>
      <c r="BI245" s="2"/>
      <c r="BJ245" s="2"/>
      <c r="BK245" s="2"/>
      <c r="BL245" s="2"/>
      <c r="BM245" s="2"/>
      <c r="BN245" s="2"/>
      <c r="BO245" s="2"/>
      <c r="BP245" s="2"/>
      <c r="BQ245" s="2"/>
      <c r="BR245" s="177"/>
      <c r="BS245" s="2"/>
      <c r="BT245" s="2"/>
      <c r="BU245" s="2"/>
      <c r="BV245" s="2"/>
      <c r="BW245" s="2"/>
      <c r="BX245" s="2"/>
      <c r="BY245" s="2"/>
      <c r="BZ245" s="177"/>
      <c r="CA245" s="2"/>
      <c r="CB245" s="2"/>
      <c r="CC245" s="2"/>
      <c r="CD245" s="2"/>
      <c r="CE245" s="2"/>
      <c r="CF245" s="2"/>
      <c r="CG245" s="2"/>
      <c r="CH245" s="177"/>
      <c r="CI245" s="2"/>
      <c r="CJ245" s="2"/>
      <c r="CK245" s="2"/>
      <c r="CL245" s="2"/>
      <c r="CM245" s="2"/>
      <c r="CN245" s="2"/>
      <c r="CO245" s="2"/>
      <c r="CP245" s="2"/>
      <c r="CQ245" s="2"/>
      <c r="CR245" s="177"/>
      <c r="CS245" s="2"/>
      <c r="CT245" s="2"/>
      <c r="CU245" s="2"/>
      <c r="CV245" s="2"/>
      <c r="CW245" s="2"/>
      <c r="CX245" s="2"/>
      <c r="CY245" s="2"/>
      <c r="CZ245" s="2"/>
      <c r="DA245" s="2"/>
      <c r="DB245" s="2"/>
      <c r="DC245" s="2"/>
      <c r="DD245" s="2"/>
      <c r="DE245" s="2"/>
      <c r="DF245" s="2"/>
    </row>
    <row r="246" spans="1:110">
      <c r="A246" s="136" t="s">
        <v>6352</v>
      </c>
      <c r="B246" s="136"/>
      <c r="C246" s="137"/>
      <c r="D246" s="120">
        <f t="shared" si="12"/>
        <v>0</v>
      </c>
      <c r="E246" s="121">
        <f t="shared" si="8"/>
        <v>1.3</v>
      </c>
      <c r="F246" s="172" cm="1">
        <f t="array" ref="F246">SUM(G246:DD246*$G$9:$DD$9)</f>
        <v>0</v>
      </c>
      <c r="G246" s="177"/>
      <c r="H246" s="2"/>
      <c r="I246" s="2"/>
      <c r="J246" s="2"/>
      <c r="K246" s="2"/>
      <c r="L246" s="2"/>
      <c r="M246" s="2"/>
      <c r="N246" s="2"/>
      <c r="O246" s="2"/>
      <c r="P246" s="2"/>
      <c r="Q246" s="2"/>
      <c r="R246" s="177"/>
      <c r="S246" s="2"/>
      <c r="T246" s="2"/>
      <c r="U246" s="2"/>
      <c r="V246" s="2"/>
      <c r="W246" s="2"/>
      <c r="X246" s="2"/>
      <c r="Y246" s="2"/>
      <c r="Z246" s="2"/>
      <c r="AA246" s="2"/>
      <c r="AB246" s="2"/>
      <c r="AC246" s="2"/>
      <c r="AD246" s="177"/>
      <c r="AE246" s="2"/>
      <c r="AF246" s="2"/>
      <c r="AG246" s="2"/>
      <c r="AH246" s="2"/>
      <c r="AI246" s="2"/>
      <c r="AJ246" s="2"/>
      <c r="AK246" s="2"/>
      <c r="AL246" s="2"/>
      <c r="AM246" s="2"/>
      <c r="AN246" s="2"/>
      <c r="AO246" s="2"/>
      <c r="AP246" s="2"/>
      <c r="AQ246" s="2"/>
      <c r="AR246" s="2"/>
      <c r="AS246" s="2"/>
      <c r="AT246" s="177"/>
      <c r="AU246" s="2"/>
      <c r="AV246" s="2"/>
      <c r="AW246" s="2"/>
      <c r="AX246" s="2"/>
      <c r="AY246" s="2"/>
      <c r="AZ246" s="2"/>
      <c r="BA246" s="2"/>
      <c r="BB246" s="2"/>
      <c r="BC246" s="2"/>
      <c r="BD246" s="177"/>
      <c r="BE246" s="2"/>
      <c r="BF246" s="2"/>
      <c r="BG246" s="2"/>
      <c r="BH246" s="2"/>
      <c r="BI246" s="2"/>
      <c r="BJ246" s="2"/>
      <c r="BK246" s="2"/>
      <c r="BL246" s="2"/>
      <c r="BM246" s="2"/>
      <c r="BN246" s="2"/>
      <c r="BO246" s="2"/>
      <c r="BP246" s="2"/>
      <c r="BQ246" s="2"/>
      <c r="BR246" s="177"/>
      <c r="BS246" s="2"/>
      <c r="BT246" s="2"/>
      <c r="BU246" s="2"/>
      <c r="BV246" s="2"/>
      <c r="BW246" s="2"/>
      <c r="BX246" s="2"/>
      <c r="BY246" s="2"/>
      <c r="BZ246" s="177"/>
      <c r="CA246" s="2"/>
      <c r="CB246" s="2"/>
      <c r="CC246" s="2"/>
      <c r="CD246" s="2"/>
      <c r="CE246" s="2"/>
      <c r="CF246" s="2"/>
      <c r="CG246" s="2"/>
      <c r="CH246" s="177"/>
      <c r="CI246" s="2"/>
      <c r="CJ246" s="2"/>
      <c r="CK246" s="2"/>
      <c r="CL246" s="2"/>
      <c r="CM246" s="2"/>
      <c r="CN246" s="2"/>
      <c r="CO246" s="2"/>
      <c r="CP246" s="2"/>
      <c r="CQ246" s="2"/>
      <c r="CR246" s="177"/>
      <c r="CS246" s="2"/>
      <c r="CT246" s="2"/>
      <c r="CU246" s="2"/>
      <c r="CV246" s="2"/>
      <c r="CW246" s="2"/>
      <c r="CX246" s="2"/>
      <c r="CY246" s="2"/>
      <c r="CZ246" s="2"/>
      <c r="DA246" s="2"/>
      <c r="DB246" s="2"/>
      <c r="DC246" s="2"/>
      <c r="DD246" s="2"/>
      <c r="DE246" s="2"/>
      <c r="DF246" s="2"/>
    </row>
    <row r="247" spans="1:110">
      <c r="A247" s="136" t="s">
        <v>6353</v>
      </c>
      <c r="B247" s="136"/>
      <c r="C247" s="137"/>
      <c r="D247" s="120">
        <f t="shared" si="12"/>
        <v>0</v>
      </c>
      <c r="E247" s="121">
        <f t="shared" si="8"/>
        <v>1.3</v>
      </c>
      <c r="F247" s="172" cm="1">
        <f t="array" ref="F247">SUM(G247:DD247*$G$9:$DD$9)</f>
        <v>0</v>
      </c>
      <c r="G247" s="177"/>
      <c r="H247" s="2"/>
      <c r="I247" s="2"/>
      <c r="J247" s="2"/>
      <c r="K247" s="2"/>
      <c r="L247" s="2"/>
      <c r="M247" s="2"/>
      <c r="N247" s="2"/>
      <c r="O247" s="2"/>
      <c r="P247" s="2"/>
      <c r="Q247" s="2"/>
      <c r="R247" s="177"/>
      <c r="S247" s="2"/>
      <c r="T247" s="2"/>
      <c r="U247" s="2"/>
      <c r="V247" s="2"/>
      <c r="W247" s="2"/>
      <c r="X247" s="2"/>
      <c r="Y247" s="2"/>
      <c r="Z247" s="2"/>
      <c r="AA247" s="2"/>
      <c r="AB247" s="2"/>
      <c r="AC247" s="2"/>
      <c r="AD247" s="177"/>
      <c r="AE247" s="2"/>
      <c r="AF247" s="2"/>
      <c r="AG247" s="2"/>
      <c r="AH247" s="2"/>
      <c r="AI247" s="2"/>
      <c r="AJ247" s="2"/>
      <c r="AK247" s="2"/>
      <c r="AL247" s="2"/>
      <c r="AM247" s="2"/>
      <c r="AN247" s="2"/>
      <c r="AO247" s="2"/>
      <c r="AP247" s="2"/>
      <c r="AQ247" s="2"/>
      <c r="AR247" s="2"/>
      <c r="AS247" s="2"/>
      <c r="AT247" s="177"/>
      <c r="AU247" s="2"/>
      <c r="AV247" s="2"/>
      <c r="AW247" s="2"/>
      <c r="AX247" s="2"/>
      <c r="AY247" s="2"/>
      <c r="AZ247" s="2"/>
      <c r="BA247" s="2"/>
      <c r="BB247" s="2"/>
      <c r="BC247" s="2"/>
      <c r="BD247" s="177"/>
      <c r="BE247" s="2"/>
      <c r="BF247" s="2"/>
      <c r="BG247" s="2"/>
      <c r="BH247" s="2"/>
      <c r="BI247" s="2"/>
      <c r="BJ247" s="2"/>
      <c r="BK247" s="2"/>
      <c r="BL247" s="2"/>
      <c r="BM247" s="2"/>
      <c r="BN247" s="2"/>
      <c r="BO247" s="2"/>
      <c r="BP247" s="2"/>
      <c r="BQ247" s="2"/>
      <c r="BR247" s="177"/>
      <c r="BS247" s="2"/>
      <c r="BT247" s="2"/>
      <c r="BU247" s="2"/>
      <c r="BV247" s="2"/>
      <c r="BW247" s="2"/>
      <c r="BX247" s="2"/>
      <c r="BY247" s="2"/>
      <c r="BZ247" s="177"/>
      <c r="CA247" s="2"/>
      <c r="CB247" s="2"/>
      <c r="CC247" s="2"/>
      <c r="CD247" s="2"/>
      <c r="CE247" s="2"/>
      <c r="CF247" s="2"/>
      <c r="CG247" s="2"/>
      <c r="CH247" s="177"/>
      <c r="CI247" s="2"/>
      <c r="CJ247" s="2"/>
      <c r="CK247" s="2"/>
      <c r="CL247" s="2"/>
      <c r="CM247" s="2"/>
      <c r="CN247" s="2"/>
      <c r="CO247" s="2"/>
      <c r="CP247" s="2"/>
      <c r="CQ247" s="2"/>
      <c r="CR247" s="177"/>
      <c r="CS247" s="2"/>
      <c r="CT247" s="2"/>
      <c r="CU247" s="2"/>
      <c r="CV247" s="2"/>
      <c r="CW247" s="2"/>
      <c r="CX247" s="2"/>
      <c r="CY247" s="2"/>
      <c r="CZ247" s="2"/>
      <c r="DA247" s="2"/>
      <c r="DB247" s="2"/>
      <c r="DC247" s="2"/>
      <c r="DD247" s="2"/>
      <c r="DE247" s="2"/>
      <c r="DF247" s="2"/>
    </row>
    <row r="248" spans="1:110">
      <c r="A248" s="136" t="s">
        <v>6354</v>
      </c>
      <c r="B248" s="136"/>
      <c r="C248" s="137"/>
      <c r="D248" s="120">
        <f t="shared" si="12"/>
        <v>0</v>
      </c>
      <c r="E248" s="121">
        <f t="shared" si="8"/>
        <v>1.3</v>
      </c>
      <c r="F248" s="172" cm="1">
        <f t="array" ref="F248">SUM(G248:DD248*$G$9:$DD$9)</f>
        <v>0</v>
      </c>
      <c r="G248" s="177"/>
      <c r="H248" s="2"/>
      <c r="I248" s="2"/>
      <c r="J248" s="2"/>
      <c r="K248" s="2"/>
      <c r="L248" s="2"/>
      <c r="M248" s="2"/>
      <c r="N248" s="2"/>
      <c r="O248" s="2"/>
      <c r="P248" s="2"/>
      <c r="Q248" s="2"/>
      <c r="R248" s="177"/>
      <c r="S248" s="2"/>
      <c r="T248" s="2"/>
      <c r="U248" s="2"/>
      <c r="V248" s="2"/>
      <c r="W248" s="2"/>
      <c r="X248" s="2"/>
      <c r="Y248" s="2"/>
      <c r="Z248" s="2"/>
      <c r="AA248" s="2"/>
      <c r="AB248" s="2"/>
      <c r="AC248" s="2"/>
      <c r="AD248" s="177"/>
      <c r="AE248" s="2"/>
      <c r="AF248" s="2"/>
      <c r="AG248" s="2"/>
      <c r="AH248" s="2"/>
      <c r="AI248" s="2"/>
      <c r="AJ248" s="2"/>
      <c r="AK248" s="2"/>
      <c r="AL248" s="2"/>
      <c r="AM248" s="2"/>
      <c r="AN248" s="2"/>
      <c r="AO248" s="2"/>
      <c r="AP248" s="2"/>
      <c r="AQ248" s="2"/>
      <c r="AR248" s="2"/>
      <c r="AS248" s="2"/>
      <c r="AT248" s="177"/>
      <c r="AU248" s="2"/>
      <c r="AV248" s="2"/>
      <c r="AW248" s="2"/>
      <c r="AX248" s="2"/>
      <c r="AY248" s="2"/>
      <c r="AZ248" s="2"/>
      <c r="BA248" s="2"/>
      <c r="BB248" s="2"/>
      <c r="BC248" s="2"/>
      <c r="BD248" s="177"/>
      <c r="BE248" s="2"/>
      <c r="BF248" s="2"/>
      <c r="BG248" s="2"/>
      <c r="BH248" s="2"/>
      <c r="BI248" s="2"/>
      <c r="BJ248" s="2"/>
      <c r="BK248" s="2"/>
      <c r="BL248" s="2"/>
      <c r="BM248" s="2"/>
      <c r="BN248" s="2"/>
      <c r="BO248" s="2"/>
      <c r="BP248" s="2"/>
      <c r="BQ248" s="2"/>
      <c r="BR248" s="177"/>
      <c r="BS248" s="2"/>
      <c r="BT248" s="2"/>
      <c r="BU248" s="2"/>
      <c r="BV248" s="2"/>
      <c r="BW248" s="2"/>
      <c r="BX248" s="2"/>
      <c r="BY248" s="2"/>
      <c r="BZ248" s="177"/>
      <c r="CA248" s="2"/>
      <c r="CB248" s="2"/>
      <c r="CC248" s="2"/>
      <c r="CD248" s="2"/>
      <c r="CE248" s="2"/>
      <c r="CF248" s="2"/>
      <c r="CG248" s="2"/>
      <c r="CH248" s="177"/>
      <c r="CI248" s="2"/>
      <c r="CJ248" s="2"/>
      <c r="CK248" s="2"/>
      <c r="CL248" s="2"/>
      <c r="CM248" s="2"/>
      <c r="CN248" s="2"/>
      <c r="CO248" s="2"/>
      <c r="CP248" s="2"/>
      <c r="CQ248" s="2"/>
      <c r="CR248" s="177"/>
      <c r="CS248" s="2"/>
      <c r="CT248" s="2"/>
      <c r="CU248" s="2"/>
      <c r="CV248" s="2"/>
      <c r="CW248" s="2"/>
      <c r="CX248" s="2"/>
      <c r="CY248" s="2"/>
      <c r="CZ248" s="2"/>
      <c r="DA248" s="2"/>
      <c r="DB248" s="2"/>
      <c r="DC248" s="2"/>
      <c r="DD248" s="2"/>
      <c r="DE248" s="2"/>
      <c r="DF248" s="2"/>
    </row>
    <row r="249" spans="1:110">
      <c r="A249" s="136" t="s">
        <v>6355</v>
      </c>
      <c r="B249" s="136"/>
      <c r="C249" s="137"/>
      <c r="D249" s="120">
        <f t="shared" si="12"/>
        <v>0</v>
      </c>
      <c r="E249" s="121">
        <f t="shared" si="8"/>
        <v>1.3</v>
      </c>
      <c r="F249" s="172" cm="1">
        <f t="array" ref="F249">SUM(G249:DD249*$G$9:$DD$9)</f>
        <v>0</v>
      </c>
      <c r="G249" s="177"/>
      <c r="H249" s="2"/>
      <c r="I249" s="2"/>
      <c r="J249" s="2"/>
      <c r="K249" s="2"/>
      <c r="L249" s="2"/>
      <c r="M249" s="2"/>
      <c r="N249" s="2"/>
      <c r="O249" s="2"/>
      <c r="P249" s="2"/>
      <c r="Q249" s="2"/>
      <c r="R249" s="177"/>
      <c r="S249" s="2"/>
      <c r="T249" s="2"/>
      <c r="U249" s="2"/>
      <c r="V249" s="2"/>
      <c r="W249" s="2"/>
      <c r="X249" s="2"/>
      <c r="Y249" s="2"/>
      <c r="Z249" s="2"/>
      <c r="AA249" s="2"/>
      <c r="AB249" s="2"/>
      <c r="AC249" s="2"/>
      <c r="AD249" s="177"/>
      <c r="AE249" s="2"/>
      <c r="AF249" s="2"/>
      <c r="AG249" s="2"/>
      <c r="AH249" s="2"/>
      <c r="AI249" s="2"/>
      <c r="AJ249" s="2"/>
      <c r="AK249" s="2"/>
      <c r="AL249" s="2"/>
      <c r="AM249" s="2"/>
      <c r="AN249" s="2"/>
      <c r="AO249" s="2"/>
      <c r="AP249" s="2"/>
      <c r="AQ249" s="2"/>
      <c r="AR249" s="2"/>
      <c r="AS249" s="2"/>
      <c r="AT249" s="177"/>
      <c r="AU249" s="2"/>
      <c r="AV249" s="2"/>
      <c r="AW249" s="2"/>
      <c r="AX249" s="2"/>
      <c r="AY249" s="2"/>
      <c r="AZ249" s="2"/>
      <c r="BA249" s="2"/>
      <c r="BB249" s="2"/>
      <c r="BC249" s="2"/>
      <c r="BD249" s="177"/>
      <c r="BE249" s="2"/>
      <c r="BF249" s="2"/>
      <c r="BG249" s="2"/>
      <c r="BH249" s="2"/>
      <c r="BI249" s="2"/>
      <c r="BJ249" s="2"/>
      <c r="BK249" s="2"/>
      <c r="BL249" s="2"/>
      <c r="BM249" s="2"/>
      <c r="BN249" s="2"/>
      <c r="BO249" s="2"/>
      <c r="BP249" s="2"/>
      <c r="BQ249" s="2"/>
      <c r="BR249" s="177"/>
      <c r="BS249" s="2"/>
      <c r="BT249" s="2"/>
      <c r="BU249" s="2"/>
      <c r="BV249" s="2"/>
      <c r="BW249" s="2"/>
      <c r="BX249" s="2"/>
      <c r="BY249" s="2"/>
      <c r="BZ249" s="177"/>
      <c r="CA249" s="2"/>
      <c r="CB249" s="2"/>
      <c r="CC249" s="2"/>
      <c r="CD249" s="2"/>
      <c r="CE249" s="2"/>
      <c r="CF249" s="2"/>
      <c r="CG249" s="2"/>
      <c r="CH249" s="177"/>
      <c r="CI249" s="2"/>
      <c r="CJ249" s="2"/>
      <c r="CK249" s="2"/>
      <c r="CL249" s="2"/>
      <c r="CM249" s="2"/>
      <c r="CN249" s="2"/>
      <c r="CO249" s="2"/>
      <c r="CP249" s="2"/>
      <c r="CQ249" s="2"/>
      <c r="CR249" s="177"/>
      <c r="CS249" s="2"/>
      <c r="CT249" s="2"/>
      <c r="CU249" s="2"/>
      <c r="CV249" s="2"/>
      <c r="CW249" s="2"/>
      <c r="CX249" s="2"/>
      <c r="CY249" s="2"/>
      <c r="CZ249" s="2"/>
      <c r="DA249" s="2"/>
      <c r="DB249" s="2"/>
      <c r="DC249" s="2"/>
      <c r="DD249" s="2"/>
      <c r="DE249" s="2"/>
      <c r="DF249" s="2"/>
    </row>
  </sheetData>
  <phoneticPr fontId="94" type="noConversion"/>
  <conditionalFormatting sqref="G1:DF1048576">
    <cfRule type="cellIs" dxfId="1" priority="1" operator="lessThan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DCD96-D808-430B-AEA2-79EA34E789F9}">
  <sheetPr codeName="Unit_Price"/>
  <dimension ref="A1:N3796"/>
  <sheetViews>
    <sheetView workbookViewId="0">
      <selection activeCell="B714" sqref="B714"/>
    </sheetView>
  </sheetViews>
  <sheetFormatPr defaultColWidth="21.28515625" defaultRowHeight="15"/>
  <cols>
    <col min="1" max="1" width="10.7109375" style="5" customWidth="1"/>
    <col min="2" max="2" width="32.7109375" style="6" customWidth="1"/>
    <col min="3" max="3" width="40.85546875" style="5" customWidth="1"/>
    <col min="4" max="4" width="15" style="5" customWidth="1"/>
    <col min="6" max="6" width="15.140625" style="6" customWidth="1"/>
    <col min="7" max="7" width="9.28515625" style="5" customWidth="1"/>
    <col min="8" max="9" width="11.5703125" style="5" customWidth="1"/>
    <col min="10" max="10" width="9.28515625" style="5" customWidth="1"/>
    <col min="11" max="11" width="14.85546875" style="5" customWidth="1"/>
    <col min="12" max="16384" width="21.28515625" style="5"/>
  </cols>
  <sheetData>
    <row r="1" spans="1:14">
      <c r="B1" s="6">
        <v>1</v>
      </c>
      <c r="C1" s="5">
        <v>2</v>
      </c>
      <c r="D1" s="5">
        <v>3</v>
      </c>
      <c r="E1" s="5">
        <v>4</v>
      </c>
      <c r="F1" s="6">
        <v>5</v>
      </c>
      <c r="G1" s="5">
        <v>6</v>
      </c>
      <c r="H1" s="5">
        <v>7</v>
      </c>
      <c r="I1" s="5">
        <v>8</v>
      </c>
      <c r="J1" s="5">
        <v>9</v>
      </c>
    </row>
    <row r="2" spans="1:14" s="4" customFormat="1" ht="12.75">
      <c r="A2" s="4" t="s">
        <v>44</v>
      </c>
      <c r="B2" s="7" t="s">
        <v>350</v>
      </c>
      <c r="C2" s="4" t="s">
        <v>348</v>
      </c>
      <c r="D2" s="4" t="s">
        <v>349</v>
      </c>
      <c r="E2" s="7" t="s">
        <v>351</v>
      </c>
      <c r="F2" s="7" t="s">
        <v>352</v>
      </c>
      <c r="G2" s="4" t="s">
        <v>285</v>
      </c>
      <c r="H2" s="4" t="s">
        <v>286</v>
      </c>
      <c r="I2" s="19" t="s">
        <v>288</v>
      </c>
      <c r="J2" s="7" t="s">
        <v>284</v>
      </c>
    </row>
    <row r="3" spans="1:14" ht="30" hidden="1">
      <c r="A3" s="9">
        <v>45828</v>
      </c>
      <c r="B3" s="6" t="s">
        <v>409</v>
      </c>
      <c r="C3" s="5" t="s">
        <v>408</v>
      </c>
      <c r="D3" s="8" t="s">
        <v>354</v>
      </c>
      <c r="E3" s="6" t="s">
        <v>410</v>
      </c>
      <c r="F3" s="6" t="s">
        <v>411</v>
      </c>
      <c r="G3" s="5">
        <v>1579</v>
      </c>
      <c r="H3" s="5">
        <v>0.33529999999999999</v>
      </c>
      <c r="I3" s="20">
        <f t="shared" ref="I3:I66" si="0">H3*G3</f>
        <v>529.43869999999993</v>
      </c>
      <c r="J3" s="6" t="s">
        <v>357</v>
      </c>
    </row>
    <row r="4" spans="1:14" hidden="1">
      <c r="A4" s="10">
        <v>44169</v>
      </c>
      <c r="B4" s="6" t="s">
        <v>465</v>
      </c>
      <c r="C4" s="14" t="s">
        <v>464</v>
      </c>
      <c r="D4" s="8" t="s">
        <v>354</v>
      </c>
      <c r="E4" s="6" t="s">
        <v>466</v>
      </c>
      <c r="F4" s="6" t="s">
        <v>467</v>
      </c>
      <c r="G4" s="5">
        <v>1100</v>
      </c>
      <c r="H4" s="5">
        <v>1</v>
      </c>
      <c r="I4" s="20">
        <f t="shared" si="0"/>
        <v>1100</v>
      </c>
      <c r="J4" s="6" t="s">
        <v>357</v>
      </c>
    </row>
    <row r="5" spans="1:14" hidden="1">
      <c r="A5" s="9">
        <v>45828</v>
      </c>
      <c r="B5" s="6" t="s">
        <v>6494</v>
      </c>
      <c r="C5" s="5" t="s">
        <v>468</v>
      </c>
      <c r="D5" s="8" t="s">
        <v>354</v>
      </c>
      <c r="E5" s="6" t="s">
        <v>466</v>
      </c>
      <c r="F5" s="6" t="s">
        <v>356</v>
      </c>
      <c r="G5" s="5">
        <v>414</v>
      </c>
      <c r="H5" s="5">
        <v>0.33529999999999999</v>
      </c>
      <c r="I5" s="20">
        <f t="shared" si="0"/>
        <v>138.8142</v>
      </c>
      <c r="J5" s="6" t="s">
        <v>357</v>
      </c>
    </row>
    <row r="6" spans="1:14" hidden="1">
      <c r="A6" s="9">
        <v>45828</v>
      </c>
      <c r="B6" s="6" t="s">
        <v>6496</v>
      </c>
      <c r="C6" s="5" t="s">
        <v>470</v>
      </c>
      <c r="D6" s="8" t="s">
        <v>354</v>
      </c>
      <c r="E6" s="6" t="s">
        <v>466</v>
      </c>
      <c r="F6" s="6" t="s">
        <v>356</v>
      </c>
      <c r="G6" s="5">
        <v>414</v>
      </c>
      <c r="H6" s="5">
        <v>0.33529999999999999</v>
      </c>
      <c r="I6" s="20">
        <f t="shared" si="0"/>
        <v>138.8142</v>
      </c>
      <c r="J6" s="6" t="s">
        <v>357</v>
      </c>
    </row>
    <row r="7" spans="1:14" hidden="1">
      <c r="A7" s="9">
        <v>45828</v>
      </c>
      <c r="B7" s="6" t="s">
        <v>6498</v>
      </c>
      <c r="C7" s="5" t="s">
        <v>472</v>
      </c>
      <c r="D7" s="8" t="s">
        <v>354</v>
      </c>
      <c r="E7" s="6" t="s">
        <v>466</v>
      </c>
      <c r="F7" s="6" t="s">
        <v>356</v>
      </c>
      <c r="G7" s="5">
        <v>414</v>
      </c>
      <c r="H7" s="5">
        <v>0.33529999999999999</v>
      </c>
      <c r="I7" s="20">
        <f t="shared" si="0"/>
        <v>138.8142</v>
      </c>
      <c r="J7" s="6" t="s">
        <v>357</v>
      </c>
      <c r="N7" s="5">
        <v>1.32</v>
      </c>
    </row>
    <row r="8" spans="1:14" hidden="1">
      <c r="A8" s="9">
        <v>45828</v>
      </c>
      <c r="B8" s="6" t="s">
        <v>6500</v>
      </c>
      <c r="C8" s="5" t="s">
        <v>474</v>
      </c>
      <c r="D8" s="8" t="s">
        <v>354</v>
      </c>
      <c r="E8" s="6" t="s">
        <v>466</v>
      </c>
      <c r="F8" s="6" t="s">
        <v>356</v>
      </c>
      <c r="G8" s="5">
        <v>414</v>
      </c>
      <c r="H8" s="5">
        <v>0.33529999999999999</v>
      </c>
      <c r="I8" s="20">
        <f t="shared" si="0"/>
        <v>138.8142</v>
      </c>
      <c r="J8" s="6" t="s">
        <v>357</v>
      </c>
    </row>
    <row r="9" spans="1:14" hidden="1">
      <c r="A9" s="9">
        <v>45828</v>
      </c>
      <c r="B9" s="6" t="s">
        <v>6502</v>
      </c>
      <c r="C9" s="5" t="s">
        <v>476</v>
      </c>
      <c r="D9" s="8" t="s">
        <v>354</v>
      </c>
      <c r="E9" s="6" t="s">
        <v>466</v>
      </c>
      <c r="F9" s="6" t="s">
        <v>356</v>
      </c>
      <c r="G9" s="5">
        <v>414</v>
      </c>
      <c r="H9" s="5">
        <v>0.33529999999999999</v>
      </c>
      <c r="I9" s="20">
        <f t="shared" si="0"/>
        <v>138.8142</v>
      </c>
      <c r="J9" s="6" t="s">
        <v>357</v>
      </c>
    </row>
    <row r="10" spans="1:14" hidden="1">
      <c r="A10" s="9">
        <v>45828</v>
      </c>
      <c r="B10" s="6" t="s">
        <v>6505</v>
      </c>
      <c r="C10" s="5" t="s">
        <v>478</v>
      </c>
      <c r="D10" s="8" t="s">
        <v>354</v>
      </c>
      <c r="E10" s="6" t="s">
        <v>466</v>
      </c>
      <c r="F10" s="6" t="s">
        <v>356</v>
      </c>
      <c r="G10" s="5">
        <v>414</v>
      </c>
      <c r="H10" s="5">
        <v>0.33529999999999999</v>
      </c>
      <c r="I10" s="20">
        <f t="shared" si="0"/>
        <v>138.8142</v>
      </c>
      <c r="J10" s="6" t="s">
        <v>357</v>
      </c>
    </row>
    <row r="11" spans="1:14" hidden="1">
      <c r="A11" s="9">
        <v>45828</v>
      </c>
      <c r="B11" s="6" t="s">
        <v>6507</v>
      </c>
      <c r="C11" s="5" t="s">
        <v>480</v>
      </c>
      <c r="D11" s="8" t="s">
        <v>354</v>
      </c>
      <c r="E11" s="6" t="s">
        <v>466</v>
      </c>
      <c r="F11" s="6" t="s">
        <v>356</v>
      </c>
      <c r="G11" s="5">
        <v>414</v>
      </c>
      <c r="H11" s="5">
        <v>0.33529999999999999</v>
      </c>
      <c r="I11" s="20">
        <f t="shared" si="0"/>
        <v>138.8142</v>
      </c>
      <c r="J11" s="6" t="s">
        <v>357</v>
      </c>
    </row>
    <row r="12" spans="1:14" hidden="1">
      <c r="A12" s="9">
        <v>45828</v>
      </c>
      <c r="B12" s="6" t="s">
        <v>6509</v>
      </c>
      <c r="C12" s="5" t="s">
        <v>482</v>
      </c>
      <c r="D12" s="8" t="s">
        <v>354</v>
      </c>
      <c r="E12" s="6" t="s">
        <v>466</v>
      </c>
      <c r="F12" s="6" t="s">
        <v>356</v>
      </c>
      <c r="G12" s="5">
        <v>414</v>
      </c>
      <c r="H12" s="5">
        <v>0.33529999999999999</v>
      </c>
      <c r="I12" s="20">
        <f t="shared" si="0"/>
        <v>138.8142</v>
      </c>
      <c r="J12" s="6" t="s">
        <v>357</v>
      </c>
    </row>
    <row r="13" spans="1:14" hidden="1">
      <c r="A13" s="9">
        <v>45828</v>
      </c>
      <c r="B13" s="6" t="s">
        <v>6511</v>
      </c>
      <c r="C13" s="5" t="s">
        <v>484</v>
      </c>
      <c r="D13" s="8" t="s">
        <v>354</v>
      </c>
      <c r="E13" s="6" t="s">
        <v>466</v>
      </c>
      <c r="F13" s="6" t="s">
        <v>356</v>
      </c>
      <c r="G13" s="5">
        <v>414</v>
      </c>
      <c r="H13" s="5">
        <v>0.33529999999999999</v>
      </c>
      <c r="I13" s="20">
        <f t="shared" si="0"/>
        <v>138.8142</v>
      </c>
      <c r="J13" s="6" t="s">
        <v>357</v>
      </c>
    </row>
    <row r="14" spans="1:14" hidden="1">
      <c r="A14" s="9">
        <v>45828</v>
      </c>
      <c r="B14" s="6" t="s">
        <v>6495</v>
      </c>
      <c r="C14" s="5" t="s">
        <v>469</v>
      </c>
      <c r="D14" s="8" t="s">
        <v>354</v>
      </c>
      <c r="E14" s="6" t="s">
        <v>466</v>
      </c>
      <c r="F14" s="6" t="s">
        <v>356</v>
      </c>
      <c r="G14" s="5">
        <v>579</v>
      </c>
      <c r="H14" s="5">
        <v>0.33529999999999999</v>
      </c>
      <c r="I14" s="20">
        <f t="shared" si="0"/>
        <v>194.1387</v>
      </c>
      <c r="J14" s="6" t="s">
        <v>357</v>
      </c>
    </row>
    <row r="15" spans="1:14" hidden="1">
      <c r="A15" s="9">
        <v>45828</v>
      </c>
      <c r="B15" s="6" t="s">
        <v>6497</v>
      </c>
      <c r="C15" s="5" t="s">
        <v>471</v>
      </c>
      <c r="D15" s="8" t="s">
        <v>354</v>
      </c>
      <c r="E15" s="6" t="s">
        <v>466</v>
      </c>
      <c r="F15" s="6" t="s">
        <v>356</v>
      </c>
      <c r="G15" s="5">
        <v>579</v>
      </c>
      <c r="H15" s="5">
        <v>0.33529999999999999</v>
      </c>
      <c r="I15" s="20">
        <f t="shared" si="0"/>
        <v>194.1387</v>
      </c>
      <c r="J15" s="6" t="s">
        <v>357</v>
      </c>
    </row>
    <row r="16" spans="1:14" hidden="1">
      <c r="A16" s="9">
        <v>45828</v>
      </c>
      <c r="B16" s="6" t="s">
        <v>6499</v>
      </c>
      <c r="C16" s="5" t="s">
        <v>473</v>
      </c>
      <c r="D16" s="8" t="s">
        <v>354</v>
      </c>
      <c r="E16" s="6" t="s">
        <v>466</v>
      </c>
      <c r="F16" s="6" t="s">
        <v>356</v>
      </c>
      <c r="G16" s="5">
        <v>579</v>
      </c>
      <c r="H16" s="5">
        <v>0.33529999999999999</v>
      </c>
      <c r="I16" s="20">
        <f t="shared" si="0"/>
        <v>194.1387</v>
      </c>
      <c r="J16" s="6" t="s">
        <v>357</v>
      </c>
    </row>
    <row r="17" spans="1:10" hidden="1">
      <c r="A17" s="9">
        <v>45828</v>
      </c>
      <c r="B17" s="6" t="s">
        <v>6501</v>
      </c>
      <c r="C17" s="5" t="s">
        <v>475</v>
      </c>
      <c r="D17" s="8" t="s">
        <v>354</v>
      </c>
      <c r="E17" s="6" t="s">
        <v>466</v>
      </c>
      <c r="F17" s="6" t="s">
        <v>356</v>
      </c>
      <c r="G17" s="5">
        <v>579</v>
      </c>
      <c r="H17" s="5">
        <v>0.33529999999999999</v>
      </c>
      <c r="I17" s="20">
        <f t="shared" si="0"/>
        <v>194.1387</v>
      </c>
      <c r="J17" s="6" t="s">
        <v>357</v>
      </c>
    </row>
    <row r="18" spans="1:10" hidden="1">
      <c r="A18" s="9">
        <v>45828</v>
      </c>
      <c r="B18" s="6" t="s">
        <v>6503</v>
      </c>
      <c r="C18" s="5" t="s">
        <v>477</v>
      </c>
      <c r="D18" s="8" t="s">
        <v>354</v>
      </c>
      <c r="E18" s="6" t="s">
        <v>466</v>
      </c>
      <c r="F18" s="6" t="s">
        <v>356</v>
      </c>
      <c r="G18" s="5">
        <v>579</v>
      </c>
      <c r="H18" s="5">
        <v>0.33529999999999999</v>
      </c>
      <c r="I18" s="20">
        <f t="shared" si="0"/>
        <v>194.1387</v>
      </c>
      <c r="J18" s="6" t="s">
        <v>357</v>
      </c>
    </row>
    <row r="19" spans="1:10" hidden="1">
      <c r="A19" s="9">
        <v>45828</v>
      </c>
      <c r="B19" s="6" t="s">
        <v>6506</v>
      </c>
      <c r="C19" s="5" t="s">
        <v>479</v>
      </c>
      <c r="D19" s="8" t="s">
        <v>354</v>
      </c>
      <c r="E19" s="6" t="s">
        <v>466</v>
      </c>
      <c r="F19" s="6" t="s">
        <v>356</v>
      </c>
      <c r="G19" s="5">
        <v>579</v>
      </c>
      <c r="H19" s="5">
        <v>0.33529999999999999</v>
      </c>
      <c r="I19" s="20">
        <f t="shared" si="0"/>
        <v>194.1387</v>
      </c>
      <c r="J19" s="6" t="s">
        <v>357</v>
      </c>
    </row>
    <row r="20" spans="1:10" hidden="1">
      <c r="A20" s="9">
        <v>45828</v>
      </c>
      <c r="B20" s="6" t="s">
        <v>6508</v>
      </c>
      <c r="C20" s="5" t="s">
        <v>481</v>
      </c>
      <c r="D20" s="8" t="s">
        <v>354</v>
      </c>
      <c r="E20" s="6" t="s">
        <v>466</v>
      </c>
      <c r="F20" s="6" t="s">
        <v>356</v>
      </c>
      <c r="G20" s="5">
        <v>579</v>
      </c>
      <c r="H20" s="5">
        <v>0.33529999999999999</v>
      </c>
      <c r="I20" s="20">
        <f t="shared" si="0"/>
        <v>194.1387</v>
      </c>
      <c r="J20" s="6" t="s">
        <v>357</v>
      </c>
    </row>
    <row r="21" spans="1:10" hidden="1">
      <c r="A21" s="9">
        <v>45828</v>
      </c>
      <c r="B21" s="6" t="s">
        <v>6510</v>
      </c>
      <c r="C21" s="5" t="s">
        <v>483</v>
      </c>
      <c r="D21" s="8" t="s">
        <v>354</v>
      </c>
      <c r="E21" s="6" t="s">
        <v>466</v>
      </c>
      <c r="F21" s="6" t="s">
        <v>356</v>
      </c>
      <c r="G21" s="5">
        <v>579</v>
      </c>
      <c r="H21" s="5">
        <v>0.33529999999999999</v>
      </c>
      <c r="I21" s="20">
        <f t="shared" si="0"/>
        <v>194.1387</v>
      </c>
      <c r="J21" s="6" t="s">
        <v>357</v>
      </c>
    </row>
    <row r="22" spans="1:10" hidden="1">
      <c r="A22" s="9">
        <v>45828</v>
      </c>
      <c r="B22" s="6" t="s">
        <v>6512</v>
      </c>
      <c r="C22" s="5" t="s">
        <v>485</v>
      </c>
      <c r="D22" s="8" t="s">
        <v>354</v>
      </c>
      <c r="E22" s="6" t="s">
        <v>466</v>
      </c>
      <c r="F22" s="6" t="s">
        <v>356</v>
      </c>
      <c r="G22" s="5">
        <v>579</v>
      </c>
      <c r="H22" s="5">
        <v>0.33529999999999999</v>
      </c>
      <c r="I22" s="20">
        <f t="shared" si="0"/>
        <v>194.1387</v>
      </c>
      <c r="J22" s="6" t="s">
        <v>357</v>
      </c>
    </row>
    <row r="23" spans="1:10" hidden="1">
      <c r="A23" s="9">
        <v>45828</v>
      </c>
      <c r="B23" s="6" t="s">
        <v>6513</v>
      </c>
      <c r="C23" s="5" t="s">
        <v>486</v>
      </c>
      <c r="D23" s="8" t="s">
        <v>354</v>
      </c>
      <c r="E23" s="6" t="s">
        <v>466</v>
      </c>
      <c r="F23" s="6" t="s">
        <v>356</v>
      </c>
      <c r="G23" s="21">
        <v>517</v>
      </c>
      <c r="H23" s="5">
        <v>0.33529999999999999</v>
      </c>
      <c r="I23" s="20">
        <f t="shared" si="0"/>
        <v>173.3501</v>
      </c>
      <c r="J23" s="6" t="s">
        <v>357</v>
      </c>
    </row>
    <row r="24" spans="1:10" hidden="1">
      <c r="A24" s="9">
        <v>45828</v>
      </c>
      <c r="B24" s="6" t="s">
        <v>6515</v>
      </c>
      <c r="C24" s="5" t="s">
        <v>488</v>
      </c>
      <c r="D24" s="8" t="s">
        <v>354</v>
      </c>
      <c r="E24" s="6" t="s">
        <v>466</v>
      </c>
      <c r="F24" s="6" t="s">
        <v>356</v>
      </c>
      <c r="G24" s="5">
        <v>517</v>
      </c>
      <c r="H24" s="5">
        <v>0.33529999999999999</v>
      </c>
      <c r="I24" s="20">
        <f t="shared" si="0"/>
        <v>173.3501</v>
      </c>
      <c r="J24" s="6" t="s">
        <v>357</v>
      </c>
    </row>
    <row r="25" spans="1:10" hidden="1">
      <c r="A25" s="9">
        <v>45828</v>
      </c>
      <c r="B25" s="6" t="s">
        <v>6517</v>
      </c>
      <c r="C25" s="5" t="s">
        <v>490</v>
      </c>
      <c r="D25" s="8" t="s">
        <v>354</v>
      </c>
      <c r="E25" s="6" t="s">
        <v>466</v>
      </c>
      <c r="F25" s="6" t="s">
        <v>356</v>
      </c>
      <c r="G25" s="5">
        <v>517</v>
      </c>
      <c r="H25" s="5">
        <v>0.33529999999999999</v>
      </c>
      <c r="I25" s="20">
        <f t="shared" si="0"/>
        <v>173.3501</v>
      </c>
      <c r="J25" s="6" t="s">
        <v>357</v>
      </c>
    </row>
    <row r="26" spans="1:10" hidden="1">
      <c r="A26" s="9">
        <v>45828</v>
      </c>
      <c r="B26" s="6" t="s">
        <v>6519</v>
      </c>
      <c r="C26" s="5" t="s">
        <v>492</v>
      </c>
      <c r="D26" s="8" t="s">
        <v>354</v>
      </c>
      <c r="E26" s="6" t="s">
        <v>466</v>
      </c>
      <c r="F26" s="6" t="s">
        <v>356</v>
      </c>
      <c r="G26" s="5">
        <v>517</v>
      </c>
      <c r="H26" s="5">
        <v>0.33529999999999999</v>
      </c>
      <c r="I26" s="20">
        <f t="shared" si="0"/>
        <v>173.3501</v>
      </c>
      <c r="J26" s="6" t="s">
        <v>357</v>
      </c>
    </row>
    <row r="27" spans="1:10" hidden="1">
      <c r="A27" s="9">
        <v>45828</v>
      </c>
      <c r="B27" s="6" t="s">
        <v>6521</v>
      </c>
      <c r="C27" s="5" t="s">
        <v>494</v>
      </c>
      <c r="D27" s="8" t="s">
        <v>354</v>
      </c>
      <c r="E27" s="6" t="s">
        <v>466</v>
      </c>
      <c r="F27" s="6" t="s">
        <v>356</v>
      </c>
      <c r="G27" s="5">
        <v>517</v>
      </c>
      <c r="H27" s="5">
        <v>0.33529999999999999</v>
      </c>
      <c r="I27" s="20">
        <f t="shared" si="0"/>
        <v>173.3501</v>
      </c>
      <c r="J27" s="6" t="s">
        <v>357</v>
      </c>
    </row>
    <row r="28" spans="1:10" hidden="1">
      <c r="A28" s="9">
        <v>45828</v>
      </c>
      <c r="B28" s="6" t="s">
        <v>6523</v>
      </c>
      <c r="C28" s="5" t="s">
        <v>496</v>
      </c>
      <c r="D28" s="8" t="s">
        <v>354</v>
      </c>
      <c r="E28" s="6" t="s">
        <v>466</v>
      </c>
      <c r="F28" s="6" t="s">
        <v>356</v>
      </c>
      <c r="G28" s="5">
        <v>517</v>
      </c>
      <c r="H28" s="5">
        <v>0.33529999999999999</v>
      </c>
      <c r="I28" s="20">
        <f t="shared" si="0"/>
        <v>173.3501</v>
      </c>
      <c r="J28" s="6" t="s">
        <v>357</v>
      </c>
    </row>
    <row r="29" spans="1:10" hidden="1">
      <c r="A29" s="9">
        <v>45828</v>
      </c>
      <c r="B29" s="6" t="s">
        <v>6525</v>
      </c>
      <c r="C29" s="5" t="s">
        <v>499</v>
      </c>
      <c r="D29" s="8" t="s">
        <v>354</v>
      </c>
      <c r="E29" s="6" t="s">
        <v>466</v>
      </c>
      <c r="F29" s="6" t="s">
        <v>356</v>
      </c>
      <c r="G29" s="5">
        <v>517</v>
      </c>
      <c r="H29" s="5">
        <v>0.33529999999999999</v>
      </c>
      <c r="I29" s="20">
        <f t="shared" si="0"/>
        <v>173.3501</v>
      </c>
      <c r="J29" s="6" t="s">
        <v>357</v>
      </c>
    </row>
    <row r="30" spans="1:10" hidden="1">
      <c r="A30" s="9">
        <v>45828</v>
      </c>
      <c r="B30" s="6" t="s">
        <v>6526</v>
      </c>
      <c r="C30" s="5" t="s">
        <v>500</v>
      </c>
      <c r="D30" s="8" t="s">
        <v>354</v>
      </c>
      <c r="E30" s="6" t="s">
        <v>466</v>
      </c>
      <c r="F30" s="6" t="s">
        <v>356</v>
      </c>
      <c r="G30" s="5">
        <v>517</v>
      </c>
      <c r="H30" s="5">
        <v>0.33529999999999999</v>
      </c>
      <c r="I30" s="20">
        <f t="shared" si="0"/>
        <v>173.3501</v>
      </c>
      <c r="J30" s="6" t="s">
        <v>357</v>
      </c>
    </row>
    <row r="31" spans="1:10" hidden="1">
      <c r="A31" s="9">
        <v>45828</v>
      </c>
      <c r="B31" s="13" t="s">
        <v>6528</v>
      </c>
      <c r="C31" s="11" t="s">
        <v>502</v>
      </c>
      <c r="D31" s="8" t="s">
        <v>354</v>
      </c>
      <c r="E31" s="6" t="s">
        <v>466</v>
      </c>
      <c r="F31" s="6" t="s">
        <v>356</v>
      </c>
      <c r="G31" s="5">
        <v>517</v>
      </c>
      <c r="H31" s="5">
        <v>0.33529999999999999</v>
      </c>
      <c r="I31" s="20">
        <f t="shared" si="0"/>
        <v>173.3501</v>
      </c>
      <c r="J31" s="6" t="s">
        <v>357</v>
      </c>
    </row>
    <row r="32" spans="1:10" hidden="1">
      <c r="A32" s="9">
        <v>45828</v>
      </c>
      <c r="B32" s="6" t="s">
        <v>6514</v>
      </c>
      <c r="C32" s="5" t="s">
        <v>487</v>
      </c>
      <c r="D32" s="8" t="s">
        <v>354</v>
      </c>
      <c r="E32" s="6" t="s">
        <v>466</v>
      </c>
      <c r="F32" s="6" t="s">
        <v>356</v>
      </c>
      <c r="G32" s="5">
        <v>723</v>
      </c>
      <c r="H32" s="5">
        <v>0.33529999999999999</v>
      </c>
      <c r="I32" s="20">
        <f t="shared" si="0"/>
        <v>242.42189999999999</v>
      </c>
      <c r="J32" s="6" t="s">
        <v>357</v>
      </c>
    </row>
    <row r="33" spans="1:10" hidden="1">
      <c r="A33" s="9">
        <v>45828</v>
      </c>
      <c r="B33" s="6" t="s">
        <v>6516</v>
      </c>
      <c r="C33" s="5" t="s">
        <v>489</v>
      </c>
      <c r="D33" s="8" t="s">
        <v>354</v>
      </c>
      <c r="E33" s="6" t="s">
        <v>466</v>
      </c>
      <c r="F33" s="6" t="s">
        <v>356</v>
      </c>
      <c r="G33" s="5">
        <v>723</v>
      </c>
      <c r="H33" s="5">
        <v>0.33529999999999999</v>
      </c>
      <c r="I33" s="20">
        <f t="shared" si="0"/>
        <v>242.42189999999999</v>
      </c>
      <c r="J33" s="6" t="s">
        <v>357</v>
      </c>
    </row>
    <row r="34" spans="1:10" hidden="1">
      <c r="A34" s="9">
        <v>45828</v>
      </c>
      <c r="B34" s="6" t="s">
        <v>6518</v>
      </c>
      <c r="C34" s="5" t="s">
        <v>491</v>
      </c>
      <c r="D34" s="8" t="s">
        <v>354</v>
      </c>
      <c r="E34" s="6" t="s">
        <v>466</v>
      </c>
      <c r="F34" s="6" t="s">
        <v>356</v>
      </c>
      <c r="G34" s="5">
        <v>723</v>
      </c>
      <c r="H34" s="5">
        <v>0.33529999999999999</v>
      </c>
      <c r="I34" s="20">
        <f t="shared" si="0"/>
        <v>242.42189999999999</v>
      </c>
      <c r="J34" s="6" t="s">
        <v>357</v>
      </c>
    </row>
    <row r="35" spans="1:10" hidden="1">
      <c r="A35" s="9">
        <v>45828</v>
      </c>
      <c r="B35" s="6" t="s">
        <v>6520</v>
      </c>
      <c r="C35" s="5" t="s">
        <v>493</v>
      </c>
      <c r="D35" s="8" t="s">
        <v>354</v>
      </c>
      <c r="E35" s="6" t="s">
        <v>466</v>
      </c>
      <c r="F35" s="6" t="s">
        <v>356</v>
      </c>
      <c r="G35" s="5">
        <v>723</v>
      </c>
      <c r="H35" s="5">
        <v>0.33529999999999999</v>
      </c>
      <c r="I35" s="20">
        <f t="shared" si="0"/>
        <v>242.42189999999999</v>
      </c>
      <c r="J35" s="6" t="s">
        <v>357</v>
      </c>
    </row>
    <row r="36" spans="1:10" hidden="1">
      <c r="A36" s="9">
        <v>45828</v>
      </c>
      <c r="B36" s="6" t="s">
        <v>6522</v>
      </c>
      <c r="C36" s="5" t="s">
        <v>495</v>
      </c>
      <c r="D36" s="8" t="s">
        <v>354</v>
      </c>
      <c r="E36" s="6" t="s">
        <v>466</v>
      </c>
      <c r="F36" s="6" t="s">
        <v>356</v>
      </c>
      <c r="G36" s="5">
        <v>723</v>
      </c>
      <c r="H36" s="5">
        <v>0.33529999999999999</v>
      </c>
      <c r="I36" s="20">
        <f t="shared" si="0"/>
        <v>242.42189999999999</v>
      </c>
      <c r="J36" s="6" t="s">
        <v>357</v>
      </c>
    </row>
    <row r="37" spans="1:10" hidden="1">
      <c r="A37" s="9">
        <v>45828</v>
      </c>
      <c r="B37" s="6" t="s">
        <v>6524</v>
      </c>
      <c r="C37" s="5" t="s">
        <v>497</v>
      </c>
      <c r="D37" s="8" t="s">
        <v>354</v>
      </c>
      <c r="E37" s="6" t="s">
        <v>466</v>
      </c>
      <c r="F37" s="6" t="s">
        <v>356</v>
      </c>
      <c r="G37" s="5">
        <v>723</v>
      </c>
      <c r="H37" s="5">
        <v>0.33529999999999999</v>
      </c>
      <c r="I37" s="20">
        <f t="shared" si="0"/>
        <v>242.42189999999999</v>
      </c>
      <c r="J37" s="6" t="s">
        <v>357</v>
      </c>
    </row>
    <row r="38" spans="1:10" hidden="1">
      <c r="A38" s="9">
        <v>45828</v>
      </c>
      <c r="B38" s="6" t="s">
        <v>6504</v>
      </c>
      <c r="C38" s="5" t="s">
        <v>498</v>
      </c>
      <c r="D38" s="8" t="s">
        <v>354</v>
      </c>
      <c r="E38" s="6" t="s">
        <v>466</v>
      </c>
      <c r="F38" s="6" t="s">
        <v>356</v>
      </c>
      <c r="G38" s="5">
        <v>723</v>
      </c>
      <c r="H38" s="5">
        <v>0.33529999999999999</v>
      </c>
      <c r="I38" s="20">
        <f t="shared" si="0"/>
        <v>242.42189999999999</v>
      </c>
      <c r="J38" s="6" t="s">
        <v>357</v>
      </c>
    </row>
    <row r="39" spans="1:10" hidden="1">
      <c r="A39" s="9">
        <v>45828</v>
      </c>
      <c r="B39" s="6" t="s">
        <v>6527</v>
      </c>
      <c r="C39" s="5" t="s">
        <v>501</v>
      </c>
      <c r="D39" s="8" t="s">
        <v>354</v>
      </c>
      <c r="E39" s="6" t="s">
        <v>466</v>
      </c>
      <c r="F39" s="6" t="s">
        <v>356</v>
      </c>
      <c r="G39" s="5">
        <v>723</v>
      </c>
      <c r="H39" s="5">
        <v>0.33529999999999999</v>
      </c>
      <c r="I39" s="20">
        <f t="shared" si="0"/>
        <v>242.42189999999999</v>
      </c>
      <c r="J39" s="6" t="s">
        <v>357</v>
      </c>
    </row>
    <row r="40" spans="1:10" hidden="1">
      <c r="A40" s="9">
        <v>45828</v>
      </c>
      <c r="B40" s="6" t="s">
        <v>6529</v>
      </c>
      <c r="C40" s="5" t="s">
        <v>503</v>
      </c>
      <c r="D40" s="8" t="s">
        <v>354</v>
      </c>
      <c r="E40" s="6" t="s">
        <v>466</v>
      </c>
      <c r="F40" s="6" t="s">
        <v>356</v>
      </c>
      <c r="G40" s="5">
        <v>723</v>
      </c>
      <c r="H40" s="5">
        <v>0.33529999999999999</v>
      </c>
      <c r="I40" s="20">
        <f t="shared" si="0"/>
        <v>242.42189999999999</v>
      </c>
      <c r="J40" s="6" t="s">
        <v>357</v>
      </c>
    </row>
    <row r="41" spans="1:10" hidden="1">
      <c r="A41" s="9">
        <v>45828</v>
      </c>
      <c r="B41" s="6" t="s">
        <v>6530</v>
      </c>
      <c r="C41" s="5" t="s">
        <v>504</v>
      </c>
      <c r="D41" s="8" t="s">
        <v>354</v>
      </c>
      <c r="E41" s="6" t="s">
        <v>466</v>
      </c>
      <c r="F41" s="6" t="s">
        <v>356</v>
      </c>
      <c r="G41" s="21">
        <v>537</v>
      </c>
      <c r="H41" s="5">
        <v>0.33529999999999999</v>
      </c>
      <c r="I41" s="20">
        <f t="shared" si="0"/>
        <v>180.05609999999999</v>
      </c>
      <c r="J41" s="6" t="s">
        <v>357</v>
      </c>
    </row>
    <row r="42" spans="1:10" hidden="1">
      <c r="A42" s="9">
        <v>45828</v>
      </c>
      <c r="B42" s="6" t="s">
        <v>6532</v>
      </c>
      <c r="C42" s="5" t="s">
        <v>506</v>
      </c>
      <c r="D42" s="8" t="s">
        <v>354</v>
      </c>
      <c r="E42" s="6" t="s">
        <v>466</v>
      </c>
      <c r="F42" s="6" t="s">
        <v>356</v>
      </c>
      <c r="G42" s="21">
        <v>537</v>
      </c>
      <c r="H42" s="5">
        <v>0.33529999999999999</v>
      </c>
      <c r="I42" s="20">
        <f t="shared" si="0"/>
        <v>180.05609999999999</v>
      </c>
      <c r="J42" s="6" t="s">
        <v>357</v>
      </c>
    </row>
    <row r="43" spans="1:10" hidden="1">
      <c r="A43" s="9">
        <v>45828</v>
      </c>
      <c r="B43" s="6" t="s">
        <v>6534</v>
      </c>
      <c r="C43" s="5" t="s">
        <v>508</v>
      </c>
      <c r="D43" s="8" t="s">
        <v>354</v>
      </c>
      <c r="E43" s="6" t="s">
        <v>466</v>
      </c>
      <c r="F43" s="6" t="s">
        <v>356</v>
      </c>
      <c r="G43" s="21">
        <v>537</v>
      </c>
      <c r="H43" s="5">
        <v>0.33529999999999999</v>
      </c>
      <c r="I43" s="20">
        <f t="shared" si="0"/>
        <v>180.05609999999999</v>
      </c>
      <c r="J43" s="6" t="s">
        <v>357</v>
      </c>
    </row>
    <row r="44" spans="1:10" hidden="1">
      <c r="A44" s="9">
        <v>45828</v>
      </c>
      <c r="B44" s="6" t="s">
        <v>6536</v>
      </c>
      <c r="C44" s="5" t="s">
        <v>510</v>
      </c>
      <c r="D44" s="8" t="s">
        <v>354</v>
      </c>
      <c r="E44" s="6" t="s">
        <v>466</v>
      </c>
      <c r="F44" s="6" t="s">
        <v>356</v>
      </c>
      <c r="G44" s="21">
        <v>537</v>
      </c>
      <c r="H44" s="5">
        <v>0.33529999999999999</v>
      </c>
      <c r="I44" s="20">
        <f t="shared" si="0"/>
        <v>180.05609999999999</v>
      </c>
      <c r="J44" s="6" t="s">
        <v>357</v>
      </c>
    </row>
    <row r="45" spans="1:10" hidden="1">
      <c r="A45" s="9">
        <v>45828</v>
      </c>
      <c r="B45" s="6" t="s">
        <v>6538</v>
      </c>
      <c r="C45" s="5" t="s">
        <v>513</v>
      </c>
      <c r="D45" s="8" t="s">
        <v>354</v>
      </c>
      <c r="E45" s="6" t="s">
        <v>466</v>
      </c>
      <c r="F45" s="6" t="s">
        <v>356</v>
      </c>
      <c r="G45" s="21">
        <v>537</v>
      </c>
      <c r="H45" s="5">
        <v>0.33529999999999999</v>
      </c>
      <c r="I45" s="20">
        <f t="shared" si="0"/>
        <v>180.05609999999999</v>
      </c>
      <c r="J45" s="6" t="s">
        <v>357</v>
      </c>
    </row>
    <row r="46" spans="1:10" hidden="1">
      <c r="A46" s="9">
        <v>45828</v>
      </c>
      <c r="B46" s="6" t="s">
        <v>6540</v>
      </c>
      <c r="C46" s="5" t="s">
        <v>515</v>
      </c>
      <c r="D46" s="8" t="s">
        <v>354</v>
      </c>
      <c r="E46" s="6" t="s">
        <v>466</v>
      </c>
      <c r="F46" s="6" t="s">
        <v>356</v>
      </c>
      <c r="G46" s="21">
        <v>537</v>
      </c>
      <c r="H46" s="5">
        <v>0.33529999999999999</v>
      </c>
      <c r="I46" s="20">
        <f t="shared" si="0"/>
        <v>180.05609999999999</v>
      </c>
      <c r="J46" s="6" t="s">
        <v>357</v>
      </c>
    </row>
    <row r="47" spans="1:10" hidden="1">
      <c r="A47" s="9">
        <v>45828</v>
      </c>
      <c r="B47" s="6" t="s">
        <v>6542</v>
      </c>
      <c r="C47" s="5" t="s">
        <v>517</v>
      </c>
      <c r="D47" s="8" t="s">
        <v>354</v>
      </c>
      <c r="E47" s="6" t="s">
        <v>466</v>
      </c>
      <c r="F47" s="6" t="s">
        <v>356</v>
      </c>
      <c r="G47" s="21">
        <v>537</v>
      </c>
      <c r="H47" s="5">
        <v>0.33529999999999999</v>
      </c>
      <c r="I47" s="20">
        <f t="shared" si="0"/>
        <v>180.05609999999999</v>
      </c>
      <c r="J47" s="6" t="s">
        <v>357</v>
      </c>
    </row>
    <row r="48" spans="1:10" hidden="1">
      <c r="A48" s="9">
        <v>45828</v>
      </c>
      <c r="B48" s="6" t="s">
        <v>6544</v>
      </c>
      <c r="C48" s="5" t="s">
        <v>519</v>
      </c>
      <c r="D48" s="8" t="s">
        <v>354</v>
      </c>
      <c r="E48" s="6" t="s">
        <v>466</v>
      </c>
      <c r="F48" s="6" t="s">
        <v>356</v>
      </c>
      <c r="G48" s="21">
        <v>537</v>
      </c>
      <c r="H48" s="5">
        <v>0.33529999999999999</v>
      </c>
      <c r="I48" s="20">
        <f t="shared" si="0"/>
        <v>180.05609999999999</v>
      </c>
      <c r="J48" s="6" t="s">
        <v>357</v>
      </c>
    </row>
    <row r="49" spans="1:10" hidden="1">
      <c r="A49" s="9">
        <v>45828</v>
      </c>
      <c r="B49" s="6" t="s">
        <v>6546</v>
      </c>
      <c r="C49" s="5" t="s">
        <v>521</v>
      </c>
      <c r="D49" s="8" t="s">
        <v>354</v>
      </c>
      <c r="E49" s="6" t="s">
        <v>466</v>
      </c>
      <c r="F49" s="6" t="s">
        <v>356</v>
      </c>
      <c r="G49" s="21">
        <v>537</v>
      </c>
      <c r="H49" s="5">
        <v>0.33529999999999999</v>
      </c>
      <c r="I49" s="20">
        <f t="shared" si="0"/>
        <v>180.05609999999999</v>
      </c>
      <c r="J49" s="6" t="s">
        <v>357</v>
      </c>
    </row>
    <row r="50" spans="1:10" hidden="1">
      <c r="A50" s="9">
        <v>45828</v>
      </c>
      <c r="B50" s="6" t="s">
        <v>6531</v>
      </c>
      <c r="C50" s="5" t="s">
        <v>505</v>
      </c>
      <c r="D50" s="8" t="s">
        <v>354</v>
      </c>
      <c r="E50" s="6" t="s">
        <v>466</v>
      </c>
      <c r="F50" s="6" t="s">
        <v>356</v>
      </c>
      <c r="G50" s="5">
        <v>752</v>
      </c>
      <c r="H50" s="5">
        <v>0.33529999999999999</v>
      </c>
      <c r="I50" s="20">
        <f t="shared" si="0"/>
        <v>252.1456</v>
      </c>
      <c r="J50" s="6" t="s">
        <v>357</v>
      </c>
    </row>
    <row r="51" spans="1:10" hidden="1">
      <c r="A51" s="9">
        <v>45828</v>
      </c>
      <c r="B51" s="6" t="s">
        <v>6533</v>
      </c>
      <c r="C51" s="5" t="s">
        <v>507</v>
      </c>
      <c r="D51" s="8" t="s">
        <v>354</v>
      </c>
      <c r="E51" s="6" t="s">
        <v>466</v>
      </c>
      <c r="F51" s="6" t="s">
        <v>356</v>
      </c>
      <c r="G51" s="5">
        <v>752</v>
      </c>
      <c r="H51" s="5">
        <v>0.33529999999999999</v>
      </c>
      <c r="I51" s="20">
        <f t="shared" si="0"/>
        <v>252.1456</v>
      </c>
      <c r="J51" s="6" t="s">
        <v>357</v>
      </c>
    </row>
    <row r="52" spans="1:10" hidden="1">
      <c r="A52" s="9">
        <v>45828</v>
      </c>
      <c r="B52" s="6" t="s">
        <v>6535</v>
      </c>
      <c r="C52" s="5" t="s">
        <v>509</v>
      </c>
      <c r="D52" s="8" t="s">
        <v>354</v>
      </c>
      <c r="E52" s="6" t="s">
        <v>466</v>
      </c>
      <c r="F52" s="6" t="s">
        <v>356</v>
      </c>
      <c r="G52" s="5">
        <v>752</v>
      </c>
      <c r="H52" s="5">
        <v>0.33529999999999999</v>
      </c>
      <c r="I52" s="20">
        <f t="shared" si="0"/>
        <v>252.1456</v>
      </c>
      <c r="J52" s="6" t="s">
        <v>357</v>
      </c>
    </row>
    <row r="53" spans="1:10" hidden="1">
      <c r="A53" s="9">
        <v>45828</v>
      </c>
      <c r="B53" s="6" t="s">
        <v>6537</v>
      </c>
      <c r="C53" s="5" t="s">
        <v>511</v>
      </c>
      <c r="D53" s="8" t="s">
        <v>354</v>
      </c>
      <c r="E53" s="6" t="s">
        <v>466</v>
      </c>
      <c r="F53" s="6" t="s">
        <v>356</v>
      </c>
      <c r="G53" s="5">
        <v>752</v>
      </c>
      <c r="H53" s="5">
        <v>0.33529999999999999</v>
      </c>
      <c r="I53" s="20">
        <f t="shared" si="0"/>
        <v>252.1456</v>
      </c>
      <c r="J53" s="6" t="s">
        <v>512</v>
      </c>
    </row>
    <row r="54" spans="1:10" hidden="1">
      <c r="A54" s="9">
        <v>45828</v>
      </c>
      <c r="B54" s="6" t="s">
        <v>6539</v>
      </c>
      <c r="C54" s="5" t="s">
        <v>514</v>
      </c>
      <c r="D54" s="8" t="s">
        <v>354</v>
      </c>
      <c r="E54" s="6" t="s">
        <v>466</v>
      </c>
      <c r="F54" s="6" t="s">
        <v>356</v>
      </c>
      <c r="G54" s="5">
        <v>752</v>
      </c>
      <c r="H54" s="5">
        <v>0.33529999999999999</v>
      </c>
      <c r="I54" s="20">
        <f t="shared" si="0"/>
        <v>252.1456</v>
      </c>
      <c r="J54" s="6" t="s">
        <v>357</v>
      </c>
    </row>
    <row r="55" spans="1:10" hidden="1">
      <c r="A55" s="9">
        <v>45828</v>
      </c>
      <c r="B55" s="6" t="s">
        <v>6541</v>
      </c>
      <c r="C55" s="5" t="s">
        <v>516</v>
      </c>
      <c r="D55" s="8" t="s">
        <v>354</v>
      </c>
      <c r="E55" s="6" t="s">
        <v>466</v>
      </c>
      <c r="F55" s="6" t="s">
        <v>356</v>
      </c>
      <c r="G55" s="5">
        <v>752</v>
      </c>
      <c r="H55" s="5">
        <v>0.33529999999999999</v>
      </c>
      <c r="I55" s="20">
        <f t="shared" si="0"/>
        <v>252.1456</v>
      </c>
      <c r="J55" s="6" t="s">
        <v>357</v>
      </c>
    </row>
    <row r="56" spans="1:10" hidden="1">
      <c r="A56" s="9">
        <v>45828</v>
      </c>
      <c r="B56" s="6" t="s">
        <v>6543</v>
      </c>
      <c r="C56" s="5" t="s">
        <v>518</v>
      </c>
      <c r="D56" s="8" t="s">
        <v>354</v>
      </c>
      <c r="E56" s="6" t="s">
        <v>466</v>
      </c>
      <c r="F56" s="6" t="s">
        <v>356</v>
      </c>
      <c r="G56" s="5">
        <v>752</v>
      </c>
      <c r="H56" s="5">
        <v>0.33529999999999999</v>
      </c>
      <c r="I56" s="20">
        <f t="shared" si="0"/>
        <v>252.1456</v>
      </c>
      <c r="J56" s="6" t="s">
        <v>357</v>
      </c>
    </row>
    <row r="57" spans="1:10" hidden="1">
      <c r="A57" s="9">
        <v>45828</v>
      </c>
      <c r="B57" s="18" t="s">
        <v>6545</v>
      </c>
      <c r="C57" s="16" t="s">
        <v>520</v>
      </c>
      <c r="D57" s="17" t="s">
        <v>354</v>
      </c>
      <c r="E57" s="6" t="s">
        <v>466</v>
      </c>
      <c r="F57" s="6" t="s">
        <v>356</v>
      </c>
      <c r="G57" s="5">
        <v>752</v>
      </c>
      <c r="H57" s="5">
        <v>0.33529999999999999</v>
      </c>
      <c r="I57" s="20">
        <f t="shared" si="0"/>
        <v>252.1456</v>
      </c>
      <c r="J57" s="6" t="s">
        <v>357</v>
      </c>
    </row>
    <row r="58" spans="1:10" hidden="1">
      <c r="A58" s="9">
        <v>45828</v>
      </c>
      <c r="B58" s="6" t="s">
        <v>6547</v>
      </c>
      <c r="C58" s="5" t="s">
        <v>522</v>
      </c>
      <c r="D58" s="8" t="s">
        <v>354</v>
      </c>
      <c r="E58" s="6" t="s">
        <v>466</v>
      </c>
      <c r="F58" s="6" t="s">
        <v>356</v>
      </c>
      <c r="G58" s="5">
        <v>752</v>
      </c>
      <c r="H58" s="5">
        <v>0.33529999999999999</v>
      </c>
      <c r="I58" s="20">
        <f t="shared" si="0"/>
        <v>252.1456</v>
      </c>
      <c r="J58" s="6" t="s">
        <v>357</v>
      </c>
    </row>
    <row r="59" spans="1:10" hidden="1">
      <c r="A59" s="9">
        <v>45828</v>
      </c>
      <c r="B59" s="6" t="s">
        <v>6552</v>
      </c>
      <c r="C59" s="5" t="s">
        <v>527</v>
      </c>
      <c r="D59" s="8" t="s">
        <v>354</v>
      </c>
      <c r="E59" s="6" t="s">
        <v>466</v>
      </c>
      <c r="F59" s="6" t="s">
        <v>356</v>
      </c>
      <c r="G59" s="5">
        <v>396</v>
      </c>
      <c r="H59" s="5">
        <v>0.33529999999999999</v>
      </c>
      <c r="I59" s="20">
        <f t="shared" si="0"/>
        <v>132.77879999999999</v>
      </c>
      <c r="J59" s="6" t="s">
        <v>357</v>
      </c>
    </row>
    <row r="60" spans="1:10" hidden="1">
      <c r="A60" s="9">
        <v>45828</v>
      </c>
      <c r="B60" s="6" t="s">
        <v>6556</v>
      </c>
      <c r="C60" s="5" t="s">
        <v>531</v>
      </c>
      <c r="D60" s="8" t="s">
        <v>354</v>
      </c>
      <c r="E60" s="6" t="s">
        <v>466</v>
      </c>
      <c r="F60" s="6" t="s">
        <v>356</v>
      </c>
      <c r="G60" s="5">
        <v>396</v>
      </c>
      <c r="H60" s="5">
        <v>0.33529999999999999</v>
      </c>
      <c r="I60" s="20">
        <f t="shared" si="0"/>
        <v>132.77879999999999</v>
      </c>
      <c r="J60" s="6" t="s">
        <v>357</v>
      </c>
    </row>
    <row r="61" spans="1:10" hidden="1">
      <c r="A61" s="9">
        <v>45828</v>
      </c>
      <c r="B61" s="18" t="s">
        <v>6559</v>
      </c>
      <c r="C61" s="16" t="s">
        <v>534</v>
      </c>
      <c r="D61" s="17" t="s">
        <v>354</v>
      </c>
      <c r="E61" s="6" t="s">
        <v>466</v>
      </c>
      <c r="F61" s="6" t="s">
        <v>356</v>
      </c>
      <c r="G61" s="5">
        <v>396</v>
      </c>
      <c r="H61" s="5">
        <v>0.33529999999999999</v>
      </c>
      <c r="I61" s="20">
        <f t="shared" si="0"/>
        <v>132.77879999999999</v>
      </c>
      <c r="J61" s="6" t="s">
        <v>357</v>
      </c>
    </row>
    <row r="62" spans="1:10" hidden="1">
      <c r="A62" s="9">
        <v>45828</v>
      </c>
      <c r="B62" s="6" t="s">
        <v>6564</v>
      </c>
      <c r="C62" s="5" t="s">
        <v>539</v>
      </c>
      <c r="D62" s="8" t="s">
        <v>354</v>
      </c>
      <c r="E62" s="6" t="s">
        <v>466</v>
      </c>
      <c r="F62" s="6" t="s">
        <v>356</v>
      </c>
      <c r="G62" s="5">
        <v>396</v>
      </c>
      <c r="H62" s="5">
        <v>0.33529999999999999</v>
      </c>
      <c r="I62" s="20">
        <f t="shared" si="0"/>
        <v>132.77879999999999</v>
      </c>
      <c r="J62" s="6" t="s">
        <v>357</v>
      </c>
    </row>
    <row r="63" spans="1:10" hidden="1">
      <c r="A63" s="9">
        <v>45828</v>
      </c>
      <c r="B63" s="6" t="s">
        <v>6568</v>
      </c>
      <c r="C63" s="5" t="s">
        <v>542</v>
      </c>
      <c r="D63" s="8" t="s">
        <v>354</v>
      </c>
      <c r="E63" s="6" t="s">
        <v>466</v>
      </c>
      <c r="F63" s="6" t="s">
        <v>356</v>
      </c>
      <c r="G63" s="5">
        <v>396</v>
      </c>
      <c r="H63" s="5">
        <v>0.33529999999999999</v>
      </c>
      <c r="I63" s="20">
        <f t="shared" si="0"/>
        <v>132.77879999999999</v>
      </c>
      <c r="J63" s="6" t="s">
        <v>357</v>
      </c>
    </row>
    <row r="64" spans="1:10" hidden="1">
      <c r="A64" s="9">
        <v>45828</v>
      </c>
      <c r="B64" s="6" t="s">
        <v>6571</v>
      </c>
      <c r="C64" s="5" t="s">
        <v>545</v>
      </c>
      <c r="D64" s="8" t="s">
        <v>354</v>
      </c>
      <c r="E64" s="6" t="s">
        <v>466</v>
      </c>
      <c r="F64" s="6" t="s">
        <v>356</v>
      </c>
      <c r="G64" s="5">
        <v>396</v>
      </c>
      <c r="H64" s="5">
        <v>0.33529999999999999</v>
      </c>
      <c r="I64" s="20">
        <f t="shared" si="0"/>
        <v>132.77879999999999</v>
      </c>
      <c r="J64" s="6" t="s">
        <v>357</v>
      </c>
    </row>
    <row r="65" spans="1:10" hidden="1">
      <c r="A65" s="9">
        <v>45828</v>
      </c>
      <c r="B65" s="6" t="s">
        <v>6576</v>
      </c>
      <c r="C65" s="5" t="s">
        <v>550</v>
      </c>
      <c r="D65" s="8" t="s">
        <v>354</v>
      </c>
      <c r="E65" s="6" t="s">
        <v>466</v>
      </c>
      <c r="F65" s="6" t="s">
        <v>356</v>
      </c>
      <c r="G65" s="5">
        <v>396</v>
      </c>
      <c r="H65" s="5">
        <v>0.33529999999999999</v>
      </c>
      <c r="I65" s="20">
        <f t="shared" si="0"/>
        <v>132.77879999999999</v>
      </c>
      <c r="J65" s="6" t="s">
        <v>357</v>
      </c>
    </row>
    <row r="66" spans="1:10" hidden="1">
      <c r="A66" s="9">
        <v>45828</v>
      </c>
      <c r="B66" s="6" t="s">
        <v>6580</v>
      </c>
      <c r="C66" s="5" t="s">
        <v>554</v>
      </c>
      <c r="D66" s="8" t="s">
        <v>354</v>
      </c>
      <c r="E66" s="6" t="s">
        <v>466</v>
      </c>
      <c r="F66" s="6" t="s">
        <v>356</v>
      </c>
      <c r="G66" s="5">
        <v>396</v>
      </c>
      <c r="H66" s="5">
        <v>0.33529999999999999</v>
      </c>
      <c r="I66" s="20">
        <f t="shared" si="0"/>
        <v>132.77879999999999</v>
      </c>
      <c r="J66" s="6" t="s">
        <v>357</v>
      </c>
    </row>
    <row r="67" spans="1:10" hidden="1">
      <c r="A67" s="9">
        <v>45828</v>
      </c>
      <c r="B67" s="6" t="s">
        <v>6550</v>
      </c>
      <c r="C67" s="5" t="s">
        <v>525</v>
      </c>
      <c r="D67" s="8" t="s">
        <v>354</v>
      </c>
      <c r="E67" s="6" t="s">
        <v>466</v>
      </c>
      <c r="F67" s="6" t="s">
        <v>356</v>
      </c>
      <c r="G67" s="5">
        <v>477</v>
      </c>
      <c r="H67" s="5">
        <v>0.33529999999999999</v>
      </c>
      <c r="I67" s="20">
        <f t="shared" ref="I67:I130" si="1">H67*G67</f>
        <v>159.93809999999999</v>
      </c>
      <c r="J67" s="6" t="s">
        <v>357</v>
      </c>
    </row>
    <row r="68" spans="1:10" hidden="1">
      <c r="A68" s="9">
        <v>45828</v>
      </c>
      <c r="B68" s="6" t="s">
        <v>6551</v>
      </c>
      <c r="C68" s="5" t="s">
        <v>526</v>
      </c>
      <c r="D68" s="8" t="s">
        <v>354</v>
      </c>
      <c r="E68" s="6" t="s">
        <v>466</v>
      </c>
      <c r="F68" s="6" t="s">
        <v>356</v>
      </c>
      <c r="G68" s="5">
        <v>477</v>
      </c>
      <c r="H68" s="5">
        <v>0.33529999999999999</v>
      </c>
      <c r="I68" s="20">
        <f t="shared" si="1"/>
        <v>159.93809999999999</v>
      </c>
      <c r="J68" s="6" t="s">
        <v>357</v>
      </c>
    </row>
    <row r="69" spans="1:10" hidden="1">
      <c r="A69" s="9">
        <v>45828</v>
      </c>
      <c r="B69" s="6" t="s">
        <v>6555</v>
      </c>
      <c r="C69" s="5" t="s">
        <v>530</v>
      </c>
      <c r="D69" s="8" t="s">
        <v>354</v>
      </c>
      <c r="E69" s="6" t="s">
        <v>466</v>
      </c>
      <c r="F69" s="6" t="s">
        <v>356</v>
      </c>
      <c r="G69" s="5">
        <v>477</v>
      </c>
      <c r="H69" s="5">
        <v>0.33529999999999999</v>
      </c>
      <c r="I69" s="20">
        <f t="shared" si="1"/>
        <v>159.93809999999999</v>
      </c>
      <c r="J69" s="6" t="s">
        <v>357</v>
      </c>
    </row>
    <row r="70" spans="1:10" hidden="1">
      <c r="A70" s="9">
        <v>45828</v>
      </c>
      <c r="B70" s="6" t="s">
        <v>6560</v>
      </c>
      <c r="C70" s="5" t="s">
        <v>535</v>
      </c>
      <c r="D70" s="8" t="s">
        <v>354</v>
      </c>
      <c r="E70" s="6" t="s">
        <v>466</v>
      </c>
      <c r="F70" s="6" t="s">
        <v>356</v>
      </c>
      <c r="G70" s="5">
        <v>477</v>
      </c>
      <c r="H70" s="5">
        <v>0.33529999999999999</v>
      </c>
      <c r="I70" s="20">
        <f t="shared" si="1"/>
        <v>159.93809999999999</v>
      </c>
      <c r="J70" s="6" t="s">
        <v>357</v>
      </c>
    </row>
    <row r="71" spans="1:10" hidden="1">
      <c r="A71" s="9">
        <v>45828</v>
      </c>
      <c r="B71" s="6" t="s">
        <v>6563</v>
      </c>
      <c r="C71" s="5" t="s">
        <v>538</v>
      </c>
      <c r="D71" s="8" t="s">
        <v>354</v>
      </c>
      <c r="E71" s="6" t="s">
        <v>466</v>
      </c>
      <c r="F71" s="6" t="s">
        <v>356</v>
      </c>
      <c r="G71" s="5">
        <v>477</v>
      </c>
      <c r="H71" s="5">
        <v>0.33529999999999999</v>
      </c>
      <c r="I71" s="20">
        <f t="shared" si="1"/>
        <v>159.93809999999999</v>
      </c>
      <c r="J71" s="6" t="s">
        <v>357</v>
      </c>
    </row>
    <row r="72" spans="1:10" hidden="1">
      <c r="A72" s="9">
        <v>45828</v>
      </c>
      <c r="B72" s="6" t="s">
        <v>6567</v>
      </c>
      <c r="C72" s="5" t="s">
        <v>541</v>
      </c>
      <c r="D72" s="8" t="s">
        <v>354</v>
      </c>
      <c r="E72" s="6" t="s">
        <v>466</v>
      </c>
      <c r="F72" s="6" t="s">
        <v>356</v>
      </c>
      <c r="G72" s="5">
        <v>477</v>
      </c>
      <c r="H72" s="5">
        <v>0.33529999999999999</v>
      </c>
      <c r="I72" s="20">
        <f t="shared" si="1"/>
        <v>159.93809999999999</v>
      </c>
      <c r="J72" s="6" t="s">
        <v>357</v>
      </c>
    </row>
    <row r="73" spans="1:10" hidden="1">
      <c r="A73" s="9">
        <v>45828</v>
      </c>
      <c r="B73" s="6" t="s">
        <v>6572</v>
      </c>
      <c r="C73" s="5" t="s">
        <v>546</v>
      </c>
      <c r="D73" s="8" t="s">
        <v>354</v>
      </c>
      <c r="E73" s="6" t="s">
        <v>466</v>
      </c>
      <c r="F73" s="6" t="s">
        <v>356</v>
      </c>
      <c r="G73" s="5">
        <v>477</v>
      </c>
      <c r="H73" s="5">
        <v>0.33529999999999999</v>
      </c>
      <c r="I73" s="20">
        <f t="shared" si="1"/>
        <v>159.93809999999999</v>
      </c>
      <c r="J73" s="6" t="s">
        <v>357</v>
      </c>
    </row>
    <row r="74" spans="1:10" hidden="1">
      <c r="A74" s="9">
        <v>45828</v>
      </c>
      <c r="B74" s="6" t="s">
        <v>6575</v>
      </c>
      <c r="C74" s="5" t="s">
        <v>549</v>
      </c>
      <c r="D74" s="8" t="s">
        <v>354</v>
      </c>
      <c r="E74" s="6" t="s">
        <v>466</v>
      </c>
      <c r="F74" s="6" t="s">
        <v>356</v>
      </c>
      <c r="G74" s="5">
        <v>477</v>
      </c>
      <c r="H74" s="5">
        <v>0.33529999999999999</v>
      </c>
      <c r="I74" s="20">
        <f t="shared" si="1"/>
        <v>159.93809999999999</v>
      </c>
      <c r="J74" s="6" t="s">
        <v>357</v>
      </c>
    </row>
    <row r="75" spans="1:10" hidden="1">
      <c r="A75" s="9">
        <v>45828</v>
      </c>
      <c r="B75" s="6" t="s">
        <v>6579</v>
      </c>
      <c r="C75" s="5" t="s">
        <v>553</v>
      </c>
      <c r="D75" s="8" t="s">
        <v>354</v>
      </c>
      <c r="E75" s="6" t="s">
        <v>466</v>
      </c>
      <c r="F75" s="6" t="s">
        <v>356</v>
      </c>
      <c r="G75" s="5">
        <v>477</v>
      </c>
      <c r="H75" s="5">
        <v>0.33529999999999999</v>
      </c>
      <c r="I75" s="20">
        <f t="shared" si="1"/>
        <v>159.93809999999999</v>
      </c>
      <c r="J75" s="6" t="s">
        <v>357</v>
      </c>
    </row>
    <row r="76" spans="1:10" hidden="1">
      <c r="A76" s="9">
        <v>45828</v>
      </c>
      <c r="B76" s="6" t="s">
        <v>6548</v>
      </c>
      <c r="C76" s="5" t="s">
        <v>523</v>
      </c>
      <c r="D76" s="8" t="s">
        <v>354</v>
      </c>
      <c r="E76" s="6" t="s">
        <v>466</v>
      </c>
      <c r="F76" s="6" t="s">
        <v>356</v>
      </c>
      <c r="G76" s="5">
        <v>554</v>
      </c>
      <c r="H76" s="5">
        <v>0.33529999999999999</v>
      </c>
      <c r="I76" s="20">
        <f t="shared" si="1"/>
        <v>185.75620000000001</v>
      </c>
      <c r="J76" s="6" t="s">
        <v>357</v>
      </c>
    </row>
    <row r="77" spans="1:10" hidden="1">
      <c r="A77" s="9">
        <v>45828</v>
      </c>
      <c r="B77" s="6" t="s">
        <v>6553</v>
      </c>
      <c r="C77" s="5" t="s">
        <v>528</v>
      </c>
      <c r="D77" s="8" t="s">
        <v>354</v>
      </c>
      <c r="E77" s="6" t="s">
        <v>466</v>
      </c>
      <c r="F77" s="6" t="s">
        <v>356</v>
      </c>
      <c r="G77" s="5">
        <v>554</v>
      </c>
      <c r="H77" s="5">
        <v>0.33529999999999999</v>
      </c>
      <c r="I77" s="20">
        <f t="shared" si="1"/>
        <v>185.75620000000001</v>
      </c>
      <c r="J77" s="6" t="s">
        <v>357</v>
      </c>
    </row>
    <row r="78" spans="1:10" hidden="1">
      <c r="A78" s="9">
        <v>45828</v>
      </c>
      <c r="B78" s="6" t="s">
        <v>6557</v>
      </c>
      <c r="C78" s="5" t="s">
        <v>532</v>
      </c>
      <c r="D78" s="8" t="s">
        <v>354</v>
      </c>
      <c r="E78" s="6" t="s">
        <v>466</v>
      </c>
      <c r="F78" s="6" t="s">
        <v>356</v>
      </c>
      <c r="G78" s="5">
        <v>554</v>
      </c>
      <c r="H78" s="5">
        <v>0.33529999999999999</v>
      </c>
      <c r="I78" s="20">
        <f t="shared" si="1"/>
        <v>185.75620000000001</v>
      </c>
      <c r="J78" s="6" t="s">
        <v>357</v>
      </c>
    </row>
    <row r="79" spans="1:10" hidden="1">
      <c r="A79" s="9">
        <v>45828</v>
      </c>
      <c r="B79" s="6" t="s">
        <v>6561</v>
      </c>
      <c r="C79" s="5" t="s">
        <v>536</v>
      </c>
      <c r="D79" s="8" t="s">
        <v>354</v>
      </c>
      <c r="E79" s="6" t="s">
        <v>466</v>
      </c>
      <c r="F79" s="6" t="s">
        <v>356</v>
      </c>
      <c r="G79" s="5">
        <v>554</v>
      </c>
      <c r="H79" s="5">
        <v>0.33529999999999999</v>
      </c>
      <c r="I79" s="20">
        <f t="shared" si="1"/>
        <v>185.75620000000001</v>
      </c>
      <c r="J79" s="6" t="s">
        <v>357</v>
      </c>
    </row>
    <row r="80" spans="1:10" hidden="1">
      <c r="A80" s="9">
        <v>45828</v>
      </c>
      <c r="B80" s="6" t="s">
        <v>6565</v>
      </c>
      <c r="C80" s="5" t="s">
        <v>328</v>
      </c>
      <c r="D80" s="8" t="s">
        <v>354</v>
      </c>
      <c r="E80" s="6" t="s">
        <v>466</v>
      </c>
      <c r="F80" s="6" t="s">
        <v>356</v>
      </c>
      <c r="G80" s="5">
        <v>554</v>
      </c>
      <c r="H80" s="5">
        <v>0.33529999999999999</v>
      </c>
      <c r="I80" s="20">
        <f t="shared" si="1"/>
        <v>185.75620000000001</v>
      </c>
      <c r="J80" s="6" t="s">
        <v>357</v>
      </c>
    </row>
    <row r="81" spans="1:10" hidden="1">
      <c r="A81" s="9">
        <v>45828</v>
      </c>
      <c r="B81" s="6" t="s">
        <v>6569</v>
      </c>
      <c r="C81" s="5" t="s">
        <v>543</v>
      </c>
      <c r="D81" s="8" t="s">
        <v>354</v>
      </c>
      <c r="E81" s="6" t="s">
        <v>466</v>
      </c>
      <c r="F81" s="6" t="s">
        <v>356</v>
      </c>
      <c r="G81" s="5">
        <v>554</v>
      </c>
      <c r="H81" s="5">
        <v>0.33529999999999999</v>
      </c>
      <c r="I81" s="20">
        <f t="shared" si="1"/>
        <v>185.75620000000001</v>
      </c>
      <c r="J81" s="6" t="s">
        <v>357</v>
      </c>
    </row>
    <row r="82" spans="1:10" hidden="1">
      <c r="A82" s="9">
        <v>45828</v>
      </c>
      <c r="B82" s="6" t="s">
        <v>6573</v>
      </c>
      <c r="C82" s="5" t="s">
        <v>547</v>
      </c>
      <c r="D82" s="8" t="s">
        <v>354</v>
      </c>
      <c r="E82" s="6" t="s">
        <v>466</v>
      </c>
      <c r="F82" s="6" t="s">
        <v>356</v>
      </c>
      <c r="G82" s="5">
        <v>554</v>
      </c>
      <c r="H82" s="5">
        <v>0.33529999999999999</v>
      </c>
      <c r="I82" s="20">
        <f t="shared" si="1"/>
        <v>185.75620000000001</v>
      </c>
      <c r="J82" s="6" t="s">
        <v>357</v>
      </c>
    </row>
    <row r="83" spans="1:10" hidden="1">
      <c r="A83" s="9">
        <v>45828</v>
      </c>
      <c r="B83" s="6" t="s">
        <v>6577</v>
      </c>
      <c r="C83" s="5" t="s">
        <v>551</v>
      </c>
      <c r="D83" s="8" t="s">
        <v>354</v>
      </c>
      <c r="E83" s="6" t="s">
        <v>466</v>
      </c>
      <c r="F83" s="6" t="s">
        <v>356</v>
      </c>
      <c r="G83" s="5">
        <v>554</v>
      </c>
      <c r="H83" s="5">
        <v>0.33529999999999999</v>
      </c>
      <c r="I83" s="20">
        <f t="shared" si="1"/>
        <v>185.75620000000001</v>
      </c>
      <c r="J83" s="6" t="s">
        <v>357</v>
      </c>
    </row>
    <row r="84" spans="1:10" hidden="1">
      <c r="A84" s="9">
        <v>45828</v>
      </c>
      <c r="B84" s="6" t="s">
        <v>6581</v>
      </c>
      <c r="C84" s="5" t="s">
        <v>337</v>
      </c>
      <c r="D84" s="8" t="s">
        <v>354</v>
      </c>
      <c r="E84" s="6" t="s">
        <v>466</v>
      </c>
      <c r="F84" s="6" t="s">
        <v>356</v>
      </c>
      <c r="G84" s="5">
        <v>554</v>
      </c>
      <c r="H84" s="5">
        <v>0.33529999999999999</v>
      </c>
      <c r="I84" s="20">
        <f t="shared" si="1"/>
        <v>185.75620000000001</v>
      </c>
      <c r="J84" s="6" t="s">
        <v>357</v>
      </c>
    </row>
    <row r="85" spans="1:10" hidden="1">
      <c r="A85" s="9">
        <v>45831</v>
      </c>
      <c r="B85" s="6" t="s">
        <v>6549</v>
      </c>
      <c r="C85" s="5" t="s">
        <v>524</v>
      </c>
      <c r="D85" s="8" t="s">
        <v>354</v>
      </c>
      <c r="E85" s="6" t="s">
        <v>466</v>
      </c>
      <c r="F85" s="6" t="s">
        <v>356</v>
      </c>
      <c r="G85" s="5">
        <v>775</v>
      </c>
      <c r="H85" s="5">
        <v>0.33529999999999999</v>
      </c>
      <c r="I85" s="20">
        <f t="shared" si="1"/>
        <v>259.85750000000002</v>
      </c>
      <c r="J85" s="6" t="s">
        <v>357</v>
      </c>
    </row>
    <row r="86" spans="1:10" hidden="1">
      <c r="A86" s="9">
        <v>45831</v>
      </c>
      <c r="B86" s="6" t="s">
        <v>6554</v>
      </c>
      <c r="C86" s="5" t="s">
        <v>529</v>
      </c>
      <c r="D86" s="8" t="s">
        <v>354</v>
      </c>
      <c r="E86" s="6" t="s">
        <v>466</v>
      </c>
      <c r="F86" s="6" t="s">
        <v>356</v>
      </c>
      <c r="G86" s="5">
        <v>775</v>
      </c>
      <c r="H86" s="5">
        <v>0.33529999999999999</v>
      </c>
      <c r="I86" s="20">
        <f t="shared" si="1"/>
        <v>259.85750000000002</v>
      </c>
      <c r="J86" s="6" t="s">
        <v>357</v>
      </c>
    </row>
    <row r="87" spans="1:10" hidden="1">
      <c r="A87" s="9">
        <v>45831</v>
      </c>
      <c r="B87" s="6" t="s">
        <v>6558</v>
      </c>
      <c r="C87" s="5" t="s">
        <v>533</v>
      </c>
      <c r="D87" s="8" t="s">
        <v>354</v>
      </c>
      <c r="E87" s="6" t="s">
        <v>466</v>
      </c>
      <c r="F87" s="6" t="s">
        <v>356</v>
      </c>
      <c r="G87" s="5">
        <v>775</v>
      </c>
      <c r="H87" s="5">
        <v>0.33529999999999999</v>
      </c>
      <c r="I87" s="20">
        <f t="shared" si="1"/>
        <v>259.85750000000002</v>
      </c>
      <c r="J87" s="6" t="s">
        <v>357</v>
      </c>
    </row>
    <row r="88" spans="1:10" hidden="1">
      <c r="A88" s="9">
        <v>45831</v>
      </c>
      <c r="B88" s="6" t="s">
        <v>6562</v>
      </c>
      <c r="C88" s="5" t="s">
        <v>537</v>
      </c>
      <c r="D88" s="8" t="s">
        <v>354</v>
      </c>
      <c r="E88" s="6" t="s">
        <v>466</v>
      </c>
      <c r="F88" s="6" t="s">
        <v>356</v>
      </c>
      <c r="G88" s="5">
        <v>775</v>
      </c>
      <c r="H88" s="5">
        <v>0.33529999999999999</v>
      </c>
      <c r="I88" s="20">
        <f t="shared" si="1"/>
        <v>259.85750000000002</v>
      </c>
      <c r="J88" s="6" t="s">
        <v>357</v>
      </c>
    </row>
    <row r="89" spans="1:10" hidden="1">
      <c r="A89" s="9">
        <v>45831</v>
      </c>
      <c r="B89" s="6" t="s">
        <v>6566</v>
      </c>
      <c r="C89" s="5" t="s">
        <v>540</v>
      </c>
      <c r="D89" s="8" t="s">
        <v>354</v>
      </c>
      <c r="E89" s="6" t="s">
        <v>466</v>
      </c>
      <c r="F89" s="6" t="s">
        <v>356</v>
      </c>
      <c r="G89" s="5">
        <v>775</v>
      </c>
      <c r="H89" s="5">
        <v>0.33529999999999999</v>
      </c>
      <c r="I89" s="20">
        <f t="shared" si="1"/>
        <v>259.85750000000002</v>
      </c>
      <c r="J89" s="6" t="s">
        <v>357</v>
      </c>
    </row>
    <row r="90" spans="1:10" hidden="1">
      <c r="A90" s="9">
        <v>45831</v>
      </c>
      <c r="B90" s="6" t="s">
        <v>6570</v>
      </c>
      <c r="C90" s="5" t="s">
        <v>544</v>
      </c>
      <c r="D90" s="8" t="s">
        <v>354</v>
      </c>
      <c r="E90" s="6" t="s">
        <v>466</v>
      </c>
      <c r="F90" s="6" t="s">
        <v>356</v>
      </c>
      <c r="G90" s="5">
        <v>775</v>
      </c>
      <c r="H90" s="5">
        <v>0.33529999999999999</v>
      </c>
      <c r="I90" s="20">
        <f t="shared" si="1"/>
        <v>259.85750000000002</v>
      </c>
      <c r="J90" s="6" t="s">
        <v>357</v>
      </c>
    </row>
    <row r="91" spans="1:10" hidden="1">
      <c r="A91" s="9">
        <v>45831</v>
      </c>
      <c r="B91" s="6" t="s">
        <v>6574</v>
      </c>
      <c r="C91" s="5" t="s">
        <v>548</v>
      </c>
      <c r="D91" s="8" t="s">
        <v>354</v>
      </c>
      <c r="E91" s="6" t="s">
        <v>466</v>
      </c>
      <c r="F91" s="6" t="s">
        <v>356</v>
      </c>
      <c r="G91" s="5">
        <v>775</v>
      </c>
      <c r="H91" s="5">
        <v>0.33529999999999999</v>
      </c>
      <c r="I91" s="20">
        <f t="shared" si="1"/>
        <v>259.85750000000002</v>
      </c>
      <c r="J91" s="6" t="s">
        <v>357</v>
      </c>
    </row>
    <row r="92" spans="1:10" hidden="1">
      <c r="A92" s="9">
        <v>45831</v>
      </c>
      <c r="B92" s="6" t="s">
        <v>6578</v>
      </c>
      <c r="C92" s="5" t="s">
        <v>552</v>
      </c>
      <c r="D92" s="8" t="s">
        <v>354</v>
      </c>
      <c r="E92" s="6" t="s">
        <v>466</v>
      </c>
      <c r="F92" s="6" t="s">
        <v>356</v>
      </c>
      <c r="G92" s="5">
        <v>775</v>
      </c>
      <c r="H92" s="5">
        <v>0.33529999999999999</v>
      </c>
      <c r="I92" s="20">
        <f t="shared" si="1"/>
        <v>259.85750000000002</v>
      </c>
      <c r="J92" s="6" t="s">
        <v>357</v>
      </c>
    </row>
    <row r="93" spans="1:10" hidden="1">
      <c r="A93" s="9">
        <v>45831</v>
      </c>
      <c r="B93" s="6" t="s">
        <v>6582</v>
      </c>
      <c r="C93" s="5" t="s">
        <v>555</v>
      </c>
      <c r="D93" s="8" t="s">
        <v>354</v>
      </c>
      <c r="E93" s="6" t="s">
        <v>466</v>
      </c>
      <c r="F93" s="6" t="s">
        <v>356</v>
      </c>
      <c r="G93" s="5">
        <v>775</v>
      </c>
      <c r="H93" s="5">
        <v>0.33529999999999999</v>
      </c>
      <c r="I93" s="20">
        <f t="shared" si="1"/>
        <v>259.85750000000002</v>
      </c>
      <c r="J93" s="6" t="s">
        <v>357</v>
      </c>
    </row>
    <row r="94" spans="1:10" hidden="1">
      <c r="A94" s="9">
        <v>45831</v>
      </c>
      <c r="B94" s="6" t="s">
        <v>6583</v>
      </c>
      <c r="C94" s="5" t="s">
        <v>565</v>
      </c>
      <c r="D94" s="8" t="s">
        <v>354</v>
      </c>
      <c r="E94" s="6" t="s">
        <v>466</v>
      </c>
      <c r="F94" s="6" t="s">
        <v>356</v>
      </c>
      <c r="G94" s="5">
        <v>859</v>
      </c>
      <c r="H94" s="5">
        <v>0.33529999999999999</v>
      </c>
      <c r="I94" s="20">
        <f t="shared" si="1"/>
        <v>288.02269999999999</v>
      </c>
      <c r="J94" s="6" t="s">
        <v>357</v>
      </c>
    </row>
    <row r="95" spans="1:10" hidden="1">
      <c r="A95" s="9">
        <v>45831</v>
      </c>
      <c r="B95" s="6" t="s">
        <v>6585</v>
      </c>
      <c r="C95" s="5" t="s">
        <v>567</v>
      </c>
      <c r="D95" s="8" t="s">
        <v>354</v>
      </c>
      <c r="E95" s="6" t="s">
        <v>466</v>
      </c>
      <c r="F95" s="6" t="s">
        <v>356</v>
      </c>
      <c r="G95" s="5">
        <v>859</v>
      </c>
      <c r="H95" s="5">
        <v>0.33529999999999999</v>
      </c>
      <c r="I95" s="20">
        <f t="shared" si="1"/>
        <v>288.02269999999999</v>
      </c>
      <c r="J95" s="6" t="s">
        <v>357</v>
      </c>
    </row>
    <row r="96" spans="1:10" hidden="1">
      <c r="A96" s="9">
        <v>45831</v>
      </c>
      <c r="B96" s="6" t="s">
        <v>6587</v>
      </c>
      <c r="C96" s="5" t="s">
        <v>569</v>
      </c>
      <c r="D96" s="8" t="s">
        <v>354</v>
      </c>
      <c r="E96" s="6" t="s">
        <v>466</v>
      </c>
      <c r="F96" s="6" t="s">
        <v>356</v>
      </c>
      <c r="G96" s="5">
        <v>1130</v>
      </c>
      <c r="H96" s="5">
        <v>0.33529999999999999</v>
      </c>
      <c r="I96" s="20">
        <f t="shared" si="1"/>
        <v>378.88900000000001</v>
      </c>
      <c r="J96" s="6" t="s">
        <v>357</v>
      </c>
    </row>
    <row r="97" spans="1:10" hidden="1">
      <c r="A97" s="9">
        <v>45831</v>
      </c>
      <c r="B97" s="6" t="s">
        <v>6589</v>
      </c>
      <c r="C97" s="5" t="s">
        <v>571</v>
      </c>
      <c r="D97" s="8" t="s">
        <v>354</v>
      </c>
      <c r="E97" s="6" t="s">
        <v>466</v>
      </c>
      <c r="F97" s="6" t="s">
        <v>356</v>
      </c>
      <c r="G97" s="5">
        <v>1130</v>
      </c>
      <c r="H97" s="5">
        <v>0.33529999999999999</v>
      </c>
      <c r="I97" s="20">
        <f t="shared" si="1"/>
        <v>378.88900000000001</v>
      </c>
      <c r="J97" s="6" t="s">
        <v>357</v>
      </c>
    </row>
    <row r="98" spans="1:10" hidden="1">
      <c r="A98" s="9">
        <v>45831</v>
      </c>
      <c r="B98" s="6" t="s">
        <v>6584</v>
      </c>
      <c r="C98" s="5" t="s">
        <v>566</v>
      </c>
      <c r="D98" s="8" t="s">
        <v>354</v>
      </c>
      <c r="E98" s="6" t="s">
        <v>466</v>
      </c>
      <c r="F98" s="6" t="s">
        <v>356</v>
      </c>
      <c r="G98" s="5">
        <v>1202</v>
      </c>
      <c r="H98" s="5">
        <v>0.33529999999999999</v>
      </c>
      <c r="I98" s="20">
        <f t="shared" si="1"/>
        <v>403.03059999999999</v>
      </c>
      <c r="J98" s="6" t="s">
        <v>357</v>
      </c>
    </row>
    <row r="99" spans="1:10" hidden="1">
      <c r="A99" s="9">
        <v>45831</v>
      </c>
      <c r="B99" s="6" t="s">
        <v>6586</v>
      </c>
      <c r="C99" s="5" t="s">
        <v>568</v>
      </c>
      <c r="D99" s="8" t="s">
        <v>354</v>
      </c>
      <c r="E99" s="6" t="s">
        <v>466</v>
      </c>
      <c r="F99" s="6" t="s">
        <v>356</v>
      </c>
      <c r="G99" s="5">
        <v>1202</v>
      </c>
      <c r="H99" s="5">
        <v>0.33529999999999999</v>
      </c>
      <c r="I99" s="20">
        <f t="shared" si="1"/>
        <v>403.03059999999999</v>
      </c>
      <c r="J99" s="6" t="s">
        <v>357</v>
      </c>
    </row>
    <row r="100" spans="1:10" hidden="1">
      <c r="A100" s="9">
        <v>45831</v>
      </c>
      <c r="B100" s="6" t="s">
        <v>6588</v>
      </c>
      <c r="C100" s="5" t="s">
        <v>570</v>
      </c>
      <c r="D100" s="8" t="s">
        <v>354</v>
      </c>
      <c r="E100" s="6" t="s">
        <v>466</v>
      </c>
      <c r="F100" s="6" t="s">
        <v>356</v>
      </c>
      <c r="G100" s="5">
        <v>1581</v>
      </c>
      <c r="H100" s="5">
        <v>0.33529999999999999</v>
      </c>
      <c r="I100" s="20">
        <f t="shared" si="1"/>
        <v>530.10929999999996</v>
      </c>
      <c r="J100" s="6" t="s">
        <v>357</v>
      </c>
    </row>
    <row r="101" spans="1:10" hidden="1">
      <c r="A101" s="9">
        <v>45831</v>
      </c>
      <c r="B101" s="6" t="s">
        <v>6590</v>
      </c>
      <c r="C101" s="5" t="s">
        <v>572</v>
      </c>
      <c r="D101" s="8" t="s">
        <v>354</v>
      </c>
      <c r="E101" s="6" t="s">
        <v>466</v>
      </c>
      <c r="F101" s="6" t="s">
        <v>356</v>
      </c>
      <c r="G101" s="5">
        <v>1581</v>
      </c>
      <c r="H101" s="5">
        <v>0.33529999999999999</v>
      </c>
      <c r="I101" s="20">
        <f t="shared" si="1"/>
        <v>530.10929999999996</v>
      </c>
      <c r="J101" s="6" t="s">
        <v>357</v>
      </c>
    </row>
    <row r="102" spans="1:10" hidden="1">
      <c r="A102" s="9">
        <v>45831</v>
      </c>
      <c r="B102" s="6" t="s">
        <v>6591</v>
      </c>
      <c r="C102" s="5" t="s">
        <v>573</v>
      </c>
      <c r="D102" s="8" t="s">
        <v>354</v>
      </c>
      <c r="E102" s="6" t="s">
        <v>466</v>
      </c>
      <c r="F102" s="6" t="s">
        <v>356</v>
      </c>
      <c r="G102" s="5">
        <v>1036</v>
      </c>
      <c r="H102" s="5">
        <v>0.33529999999999999</v>
      </c>
      <c r="I102" s="20">
        <f t="shared" si="1"/>
        <v>347.37079999999997</v>
      </c>
      <c r="J102" s="6" t="s">
        <v>357</v>
      </c>
    </row>
    <row r="103" spans="1:10" hidden="1">
      <c r="A103" s="9">
        <v>45831</v>
      </c>
      <c r="B103" s="6" t="s">
        <v>6593</v>
      </c>
      <c r="C103" s="5" t="s">
        <v>575</v>
      </c>
      <c r="D103" s="8" t="s">
        <v>354</v>
      </c>
      <c r="E103" s="6" t="s">
        <v>466</v>
      </c>
      <c r="F103" s="6" t="s">
        <v>356</v>
      </c>
      <c r="G103" s="5">
        <v>1036</v>
      </c>
      <c r="H103" s="5">
        <v>0.33529999999999999</v>
      </c>
      <c r="I103" s="20">
        <f t="shared" si="1"/>
        <v>347.37079999999997</v>
      </c>
      <c r="J103" s="6" t="s">
        <v>357</v>
      </c>
    </row>
    <row r="104" spans="1:10" hidden="1">
      <c r="A104" s="9">
        <v>45831</v>
      </c>
      <c r="B104" s="6" t="s">
        <v>6595</v>
      </c>
      <c r="C104" s="5" t="s">
        <v>577</v>
      </c>
      <c r="D104" s="8" t="s">
        <v>354</v>
      </c>
      <c r="E104" s="6" t="s">
        <v>466</v>
      </c>
      <c r="F104" s="6" t="s">
        <v>356</v>
      </c>
      <c r="G104" s="21">
        <v>1363</v>
      </c>
      <c r="H104" s="5">
        <v>0.33529999999999999</v>
      </c>
      <c r="I104" s="20">
        <f t="shared" si="1"/>
        <v>457.01389999999998</v>
      </c>
      <c r="J104" s="6" t="s">
        <v>357</v>
      </c>
    </row>
    <row r="105" spans="1:10" hidden="1">
      <c r="A105" s="9">
        <v>45831</v>
      </c>
      <c r="B105" s="6" t="s">
        <v>6597</v>
      </c>
      <c r="C105" s="5" t="s">
        <v>579</v>
      </c>
      <c r="D105" s="8" t="s">
        <v>354</v>
      </c>
      <c r="E105" s="6" t="s">
        <v>466</v>
      </c>
      <c r="F105" s="6" t="s">
        <v>356</v>
      </c>
      <c r="G105" s="5">
        <v>1363</v>
      </c>
      <c r="H105" s="5">
        <v>0.33529999999999999</v>
      </c>
      <c r="I105" s="20">
        <f t="shared" si="1"/>
        <v>457.01389999999998</v>
      </c>
      <c r="J105" s="6" t="s">
        <v>357</v>
      </c>
    </row>
    <row r="106" spans="1:10" hidden="1">
      <c r="A106" s="9">
        <v>45831</v>
      </c>
      <c r="B106" s="6" t="s">
        <v>6592</v>
      </c>
      <c r="C106" s="5" t="s">
        <v>574</v>
      </c>
      <c r="D106" s="8" t="s">
        <v>354</v>
      </c>
      <c r="E106" s="6" t="s">
        <v>466</v>
      </c>
      <c r="F106" s="6" t="s">
        <v>356</v>
      </c>
      <c r="G106" s="5">
        <v>1451</v>
      </c>
      <c r="H106" s="5">
        <v>0.33529999999999999</v>
      </c>
      <c r="I106" s="20">
        <f t="shared" si="1"/>
        <v>486.52029999999996</v>
      </c>
      <c r="J106" s="6" t="s">
        <v>357</v>
      </c>
    </row>
    <row r="107" spans="1:10" hidden="1">
      <c r="A107" s="9">
        <v>45831</v>
      </c>
      <c r="B107" s="6" t="s">
        <v>6594</v>
      </c>
      <c r="C107" s="5" t="s">
        <v>576</v>
      </c>
      <c r="D107" s="8" t="s">
        <v>354</v>
      </c>
      <c r="E107" s="6" t="s">
        <v>466</v>
      </c>
      <c r="F107" s="6" t="s">
        <v>356</v>
      </c>
      <c r="G107" s="5">
        <v>1451</v>
      </c>
      <c r="H107" s="5">
        <v>0.33529999999999999</v>
      </c>
      <c r="I107" s="20">
        <f t="shared" si="1"/>
        <v>486.52029999999996</v>
      </c>
      <c r="J107" s="6" t="s">
        <v>357</v>
      </c>
    </row>
    <row r="108" spans="1:10" hidden="1">
      <c r="A108" s="9">
        <v>45831</v>
      </c>
      <c r="B108" s="6" t="s">
        <v>6596</v>
      </c>
      <c r="C108" s="5" t="s">
        <v>578</v>
      </c>
      <c r="D108" s="8" t="s">
        <v>354</v>
      </c>
      <c r="E108" s="6" t="s">
        <v>466</v>
      </c>
      <c r="F108" s="6" t="s">
        <v>356</v>
      </c>
      <c r="G108" s="5">
        <v>1908</v>
      </c>
      <c r="H108" s="5">
        <v>0.33529999999999999</v>
      </c>
      <c r="I108" s="20">
        <f t="shared" si="1"/>
        <v>639.75239999999997</v>
      </c>
      <c r="J108" s="6" t="s">
        <v>357</v>
      </c>
    </row>
    <row r="109" spans="1:10" hidden="1">
      <c r="A109" s="9">
        <v>45831</v>
      </c>
      <c r="B109" s="6" t="s">
        <v>6598</v>
      </c>
      <c r="C109" s="5" t="s">
        <v>580</v>
      </c>
      <c r="D109" s="8" t="s">
        <v>354</v>
      </c>
      <c r="E109" s="6" t="s">
        <v>466</v>
      </c>
      <c r="F109" s="6" t="s">
        <v>356</v>
      </c>
      <c r="G109" s="5">
        <v>1908</v>
      </c>
      <c r="H109" s="5">
        <v>0.33529999999999999</v>
      </c>
      <c r="I109" s="20">
        <f t="shared" si="1"/>
        <v>639.75239999999997</v>
      </c>
      <c r="J109" s="6" t="s">
        <v>357</v>
      </c>
    </row>
    <row r="110" spans="1:10" hidden="1">
      <c r="A110" s="9">
        <v>45831</v>
      </c>
      <c r="B110" s="6" t="s">
        <v>7135</v>
      </c>
      <c r="C110" s="5" t="s">
        <v>556</v>
      </c>
      <c r="D110" s="8" t="s">
        <v>354</v>
      </c>
      <c r="E110" s="6" t="s">
        <v>466</v>
      </c>
      <c r="F110" s="6" t="s">
        <v>356</v>
      </c>
      <c r="G110" s="5">
        <v>965</v>
      </c>
      <c r="H110" s="5">
        <v>0.33529999999999999</v>
      </c>
      <c r="I110" s="20">
        <f t="shared" si="1"/>
        <v>323.56450000000001</v>
      </c>
      <c r="J110" s="6" t="s">
        <v>357</v>
      </c>
    </row>
    <row r="111" spans="1:10" hidden="1">
      <c r="A111" s="9">
        <v>45831</v>
      </c>
      <c r="B111" s="6" t="s">
        <v>6600</v>
      </c>
      <c r="C111" s="5" t="s">
        <v>582</v>
      </c>
      <c r="D111" s="8" t="s">
        <v>354</v>
      </c>
      <c r="E111" s="6" t="s">
        <v>466</v>
      </c>
      <c r="F111" s="6" t="s">
        <v>356</v>
      </c>
      <c r="G111" s="5">
        <v>965</v>
      </c>
      <c r="H111" s="5">
        <v>0.33529999999999999</v>
      </c>
      <c r="I111" s="20">
        <f t="shared" si="1"/>
        <v>323.56450000000001</v>
      </c>
      <c r="J111" s="6" t="s">
        <v>357</v>
      </c>
    </row>
    <row r="112" spans="1:10" hidden="1">
      <c r="A112" s="9">
        <v>45831</v>
      </c>
      <c r="B112" s="6" t="s">
        <v>6602</v>
      </c>
      <c r="C112" s="5" t="s">
        <v>584</v>
      </c>
      <c r="D112" s="8" t="s">
        <v>354</v>
      </c>
      <c r="E112" s="6" t="s">
        <v>466</v>
      </c>
      <c r="F112" s="6" t="s">
        <v>356</v>
      </c>
      <c r="G112" s="5">
        <v>1267</v>
      </c>
      <c r="H112" s="5">
        <v>0.33529999999999999</v>
      </c>
      <c r="I112" s="20">
        <f t="shared" si="1"/>
        <v>424.82509999999996</v>
      </c>
      <c r="J112" s="6" t="s">
        <v>357</v>
      </c>
    </row>
    <row r="113" spans="1:10" hidden="1">
      <c r="A113" s="9">
        <v>45831</v>
      </c>
      <c r="B113" s="6" t="s">
        <v>6604</v>
      </c>
      <c r="C113" s="5" t="s">
        <v>586</v>
      </c>
      <c r="D113" s="8" t="s">
        <v>354</v>
      </c>
      <c r="E113" s="6" t="s">
        <v>466</v>
      </c>
      <c r="F113" s="6" t="s">
        <v>356</v>
      </c>
      <c r="G113" s="5">
        <v>1267</v>
      </c>
      <c r="H113" s="5">
        <v>0.33529999999999999</v>
      </c>
      <c r="I113" s="20">
        <f t="shared" si="1"/>
        <v>424.82509999999996</v>
      </c>
      <c r="J113" s="6" t="s">
        <v>357</v>
      </c>
    </row>
    <row r="114" spans="1:10" hidden="1">
      <c r="A114" s="9">
        <v>45831</v>
      </c>
      <c r="B114" s="6" t="s">
        <v>6599</v>
      </c>
      <c r="C114" s="5" t="s">
        <v>581</v>
      </c>
      <c r="D114" s="8" t="s">
        <v>354</v>
      </c>
      <c r="E114" s="6" t="s">
        <v>466</v>
      </c>
      <c r="F114" s="6" t="s">
        <v>356</v>
      </c>
      <c r="G114" s="5">
        <v>1121</v>
      </c>
      <c r="H114" s="5">
        <v>0.33529999999999999</v>
      </c>
      <c r="I114" s="20">
        <f t="shared" si="1"/>
        <v>375.87129999999996</v>
      </c>
      <c r="J114" s="6" t="s">
        <v>357</v>
      </c>
    </row>
    <row r="115" spans="1:10" hidden="1">
      <c r="A115" s="9">
        <v>45831</v>
      </c>
      <c r="B115" s="6" t="s">
        <v>6601</v>
      </c>
      <c r="C115" s="5" t="s">
        <v>583</v>
      </c>
      <c r="D115" s="8" t="s">
        <v>354</v>
      </c>
      <c r="E115" s="6" t="s">
        <v>466</v>
      </c>
      <c r="F115" s="6" t="s">
        <v>356</v>
      </c>
      <c r="G115" s="5">
        <v>1121</v>
      </c>
      <c r="H115" s="5">
        <v>0.33529999999999999</v>
      </c>
      <c r="I115" s="20">
        <f t="shared" si="1"/>
        <v>375.87129999999996</v>
      </c>
      <c r="J115" s="6" t="s">
        <v>357</v>
      </c>
    </row>
    <row r="116" spans="1:10" hidden="1">
      <c r="A116" s="9">
        <v>45831</v>
      </c>
      <c r="B116" s="6" t="s">
        <v>6603</v>
      </c>
      <c r="C116" s="5" t="s">
        <v>585</v>
      </c>
      <c r="D116" s="8" t="s">
        <v>354</v>
      </c>
      <c r="E116" s="6" t="s">
        <v>466</v>
      </c>
      <c r="F116" s="6" t="s">
        <v>356</v>
      </c>
      <c r="G116" s="5">
        <v>1473</v>
      </c>
      <c r="H116" s="5">
        <v>0.33529999999999999</v>
      </c>
      <c r="I116" s="20">
        <f t="shared" si="1"/>
        <v>493.89689999999996</v>
      </c>
      <c r="J116" s="6" t="s">
        <v>357</v>
      </c>
    </row>
    <row r="117" spans="1:10" hidden="1">
      <c r="A117" s="9">
        <v>45831</v>
      </c>
      <c r="B117" s="6" t="s">
        <v>6605</v>
      </c>
      <c r="C117" s="5" t="s">
        <v>587</v>
      </c>
      <c r="D117" s="8" t="s">
        <v>354</v>
      </c>
      <c r="E117" s="6" t="s">
        <v>466</v>
      </c>
      <c r="F117" s="6" t="s">
        <v>356</v>
      </c>
      <c r="G117" s="5">
        <v>1473</v>
      </c>
      <c r="H117" s="5">
        <v>0.33529999999999999</v>
      </c>
      <c r="I117" s="20">
        <f t="shared" si="1"/>
        <v>493.89689999999996</v>
      </c>
      <c r="J117" s="6" t="s">
        <v>357</v>
      </c>
    </row>
    <row r="118" spans="1:10" hidden="1">
      <c r="A118" s="9">
        <v>45831</v>
      </c>
      <c r="B118" s="6" t="s">
        <v>7136</v>
      </c>
      <c r="C118" s="5" t="s">
        <v>557</v>
      </c>
      <c r="D118" s="8" t="s">
        <v>354</v>
      </c>
      <c r="E118" s="6" t="s">
        <v>466</v>
      </c>
      <c r="F118" s="6" t="s">
        <v>356</v>
      </c>
      <c r="G118" s="5">
        <v>1569</v>
      </c>
      <c r="H118" s="5">
        <v>0.33529999999999999</v>
      </c>
      <c r="I118" s="20">
        <f t="shared" si="1"/>
        <v>526.08569999999997</v>
      </c>
      <c r="J118" s="6" t="s">
        <v>357</v>
      </c>
    </row>
    <row r="119" spans="1:10" hidden="1">
      <c r="A119" s="9">
        <v>45831</v>
      </c>
      <c r="B119" s="6" t="s">
        <v>7137</v>
      </c>
      <c r="C119" s="5" t="s">
        <v>558</v>
      </c>
      <c r="D119" s="8" t="s">
        <v>354</v>
      </c>
      <c r="E119" s="6" t="s">
        <v>466</v>
      </c>
      <c r="F119" s="6" t="s">
        <v>356</v>
      </c>
      <c r="G119" s="5">
        <v>1569</v>
      </c>
      <c r="H119" s="5">
        <v>0.33529999999999999</v>
      </c>
      <c r="I119" s="20">
        <f t="shared" si="1"/>
        <v>526.08569999999997</v>
      </c>
      <c r="J119" s="6" t="s">
        <v>357</v>
      </c>
    </row>
    <row r="120" spans="1:10" hidden="1">
      <c r="A120" s="9">
        <v>45831</v>
      </c>
      <c r="B120" s="6" t="s">
        <v>7138</v>
      </c>
      <c r="C120" s="5" t="s">
        <v>559</v>
      </c>
      <c r="D120" s="8" t="s">
        <v>354</v>
      </c>
      <c r="E120" s="6" t="s">
        <v>466</v>
      </c>
      <c r="F120" s="6" t="s">
        <v>356</v>
      </c>
      <c r="G120" s="5">
        <v>2063</v>
      </c>
      <c r="H120" s="5">
        <v>0.33529999999999999</v>
      </c>
      <c r="I120" s="20">
        <f t="shared" si="1"/>
        <v>691.72389999999996</v>
      </c>
      <c r="J120" s="6" t="s">
        <v>357</v>
      </c>
    </row>
    <row r="121" spans="1:10" hidden="1">
      <c r="A121" s="9">
        <v>45831</v>
      </c>
      <c r="B121" s="6" t="s">
        <v>7139</v>
      </c>
      <c r="C121" s="5" t="s">
        <v>560</v>
      </c>
      <c r="D121" s="8" t="s">
        <v>354</v>
      </c>
      <c r="E121" s="6" t="s">
        <v>466</v>
      </c>
      <c r="F121" s="6" t="s">
        <v>356</v>
      </c>
      <c r="G121" s="5">
        <v>2063</v>
      </c>
      <c r="H121" s="5">
        <v>0.33529999999999999</v>
      </c>
      <c r="I121" s="20">
        <f t="shared" si="1"/>
        <v>691.72389999999996</v>
      </c>
      <c r="J121" s="6" t="s">
        <v>357</v>
      </c>
    </row>
    <row r="122" spans="1:10" hidden="1">
      <c r="A122" s="9">
        <v>45831</v>
      </c>
      <c r="B122" s="6" t="s">
        <v>6606</v>
      </c>
      <c r="C122" s="5" t="s">
        <v>588</v>
      </c>
      <c r="D122" s="8" t="s">
        <v>354</v>
      </c>
      <c r="E122" s="6" t="s">
        <v>466</v>
      </c>
      <c r="F122" s="6" t="s">
        <v>356</v>
      </c>
      <c r="G122" s="5">
        <v>2709</v>
      </c>
      <c r="H122" s="5">
        <v>0.33529999999999999</v>
      </c>
      <c r="I122" s="20">
        <f t="shared" si="1"/>
        <v>908.32769999999994</v>
      </c>
      <c r="J122" s="6" t="s">
        <v>357</v>
      </c>
    </row>
    <row r="123" spans="1:10" hidden="1">
      <c r="A123" s="9">
        <v>45831</v>
      </c>
      <c r="B123" s="6" t="s">
        <v>6607</v>
      </c>
      <c r="C123" s="5" t="s">
        <v>589</v>
      </c>
      <c r="D123" s="8" t="s">
        <v>354</v>
      </c>
      <c r="E123" s="6" t="s">
        <v>466</v>
      </c>
      <c r="F123" s="6" t="s">
        <v>356</v>
      </c>
      <c r="G123" s="5">
        <v>2709</v>
      </c>
      <c r="H123" s="5">
        <v>0.33529999999999999</v>
      </c>
      <c r="I123" s="20">
        <f t="shared" si="1"/>
        <v>908.32769999999994</v>
      </c>
      <c r="J123" s="6" t="s">
        <v>357</v>
      </c>
    </row>
    <row r="124" spans="1:10" hidden="1">
      <c r="A124" s="9">
        <v>45831</v>
      </c>
      <c r="B124" s="6" t="s">
        <v>7140</v>
      </c>
      <c r="C124" s="5" t="s">
        <v>561</v>
      </c>
      <c r="D124" s="8" t="s">
        <v>354</v>
      </c>
      <c r="E124" s="6" t="s">
        <v>466</v>
      </c>
      <c r="F124" s="6" t="s">
        <v>356</v>
      </c>
      <c r="G124" s="5">
        <v>3792</v>
      </c>
      <c r="H124" s="5">
        <v>0.33529999999999999</v>
      </c>
      <c r="I124" s="20">
        <f t="shared" si="1"/>
        <v>1271.4576</v>
      </c>
      <c r="J124" s="6" t="s">
        <v>357</v>
      </c>
    </row>
    <row r="125" spans="1:10" hidden="1">
      <c r="A125" s="9">
        <v>45831</v>
      </c>
      <c r="B125" s="6" t="s">
        <v>7141</v>
      </c>
      <c r="C125" s="5" t="s">
        <v>562</v>
      </c>
      <c r="D125" s="8" t="s">
        <v>354</v>
      </c>
      <c r="E125" s="6" t="s">
        <v>466</v>
      </c>
      <c r="F125" s="6" t="s">
        <v>356</v>
      </c>
      <c r="G125" s="5">
        <v>3792</v>
      </c>
      <c r="H125" s="5">
        <v>0.33529999999999999</v>
      </c>
      <c r="I125" s="20">
        <f t="shared" si="1"/>
        <v>1271.4576</v>
      </c>
      <c r="J125" s="6" t="s">
        <v>357</v>
      </c>
    </row>
    <row r="126" spans="1:10" hidden="1">
      <c r="A126" s="9">
        <v>45831</v>
      </c>
      <c r="B126" s="6" t="s">
        <v>6608</v>
      </c>
      <c r="C126" s="5" t="s">
        <v>590</v>
      </c>
      <c r="D126" s="8" t="s">
        <v>354</v>
      </c>
      <c r="E126" s="6" t="s">
        <v>466</v>
      </c>
      <c r="F126" s="6" t="s">
        <v>356</v>
      </c>
      <c r="G126" s="5">
        <v>3738</v>
      </c>
      <c r="H126" s="5">
        <v>0.33529999999999999</v>
      </c>
      <c r="I126" s="20">
        <f t="shared" si="1"/>
        <v>1253.3514</v>
      </c>
      <c r="J126" s="6" t="s">
        <v>357</v>
      </c>
    </row>
    <row r="127" spans="1:10" hidden="1">
      <c r="A127" s="9">
        <v>45831</v>
      </c>
      <c r="B127" s="6" t="s">
        <v>6609</v>
      </c>
      <c r="C127" s="5" t="s">
        <v>591</v>
      </c>
      <c r="D127" s="8" t="s">
        <v>354</v>
      </c>
      <c r="E127" s="6" t="s">
        <v>466</v>
      </c>
      <c r="F127" s="6" t="s">
        <v>356</v>
      </c>
      <c r="G127" s="5">
        <v>3924</v>
      </c>
      <c r="H127" s="5">
        <v>0.33529999999999999</v>
      </c>
      <c r="I127" s="20">
        <f t="shared" si="1"/>
        <v>1315.7172</v>
      </c>
      <c r="J127" s="6" t="s">
        <v>357</v>
      </c>
    </row>
    <row r="128" spans="1:10" hidden="1">
      <c r="A128" s="9">
        <v>45831</v>
      </c>
      <c r="B128" s="6" t="s">
        <v>7142</v>
      </c>
      <c r="C128" s="5" t="s">
        <v>563</v>
      </c>
      <c r="D128" s="8" t="s">
        <v>354</v>
      </c>
      <c r="E128" s="6" t="s">
        <v>466</v>
      </c>
      <c r="F128" s="6" t="s">
        <v>356</v>
      </c>
      <c r="G128" s="5">
        <v>5233</v>
      </c>
      <c r="H128" s="5">
        <v>0.33529999999999999</v>
      </c>
      <c r="I128" s="20">
        <f t="shared" si="1"/>
        <v>1754.6249</v>
      </c>
      <c r="J128" s="6" t="s">
        <v>357</v>
      </c>
    </row>
    <row r="129" spans="1:10" hidden="1">
      <c r="A129" s="9">
        <v>45831</v>
      </c>
      <c r="B129" s="6" t="s">
        <v>7143</v>
      </c>
      <c r="C129" s="5" t="s">
        <v>564</v>
      </c>
      <c r="D129" s="8" t="s">
        <v>354</v>
      </c>
      <c r="E129" s="6" t="s">
        <v>466</v>
      </c>
      <c r="F129" s="6" t="s">
        <v>356</v>
      </c>
      <c r="G129" s="5">
        <v>5495</v>
      </c>
      <c r="H129" s="5">
        <v>0.33529999999999999</v>
      </c>
      <c r="I129" s="20">
        <f t="shared" si="1"/>
        <v>1842.4734999999998</v>
      </c>
      <c r="J129" s="6" t="s">
        <v>357</v>
      </c>
    </row>
    <row r="130" spans="1:10" hidden="1">
      <c r="A130" s="9">
        <v>45831</v>
      </c>
      <c r="B130" s="6" t="s">
        <v>6610</v>
      </c>
      <c r="C130" s="5" t="s">
        <v>592</v>
      </c>
      <c r="D130" s="8" t="s">
        <v>354</v>
      </c>
      <c r="E130" s="6" t="s">
        <v>466</v>
      </c>
      <c r="F130" s="6" t="s">
        <v>356</v>
      </c>
      <c r="G130" s="5">
        <v>2955</v>
      </c>
      <c r="H130" s="5">
        <v>0.33529999999999999</v>
      </c>
      <c r="I130" s="20">
        <f t="shared" si="1"/>
        <v>990.81149999999991</v>
      </c>
      <c r="J130" s="6" t="s">
        <v>357</v>
      </c>
    </row>
    <row r="131" spans="1:10" hidden="1">
      <c r="A131" s="9">
        <v>45831</v>
      </c>
      <c r="B131" s="6" t="s">
        <v>6612</v>
      </c>
      <c r="C131" s="5" t="s">
        <v>594</v>
      </c>
      <c r="D131" s="8" t="s">
        <v>354</v>
      </c>
      <c r="E131" s="6" t="s">
        <v>466</v>
      </c>
      <c r="F131" s="6" t="s">
        <v>356</v>
      </c>
      <c r="G131" s="5">
        <v>2955</v>
      </c>
      <c r="H131" s="5">
        <v>0.33529999999999999</v>
      </c>
      <c r="I131" s="20">
        <f t="shared" ref="I131:I194" si="2">H131*G131</f>
        <v>990.81149999999991</v>
      </c>
      <c r="J131" s="6" t="s">
        <v>357</v>
      </c>
    </row>
    <row r="132" spans="1:10" hidden="1">
      <c r="A132" s="9">
        <v>45831</v>
      </c>
      <c r="B132" s="6" t="s">
        <v>6611</v>
      </c>
      <c r="C132" s="5" t="s">
        <v>593</v>
      </c>
      <c r="D132" s="8" t="s">
        <v>354</v>
      </c>
      <c r="E132" s="6" t="s">
        <v>466</v>
      </c>
      <c r="F132" s="6" t="s">
        <v>356</v>
      </c>
      <c r="G132" s="5">
        <v>4138</v>
      </c>
      <c r="H132" s="5">
        <v>0.33529999999999999</v>
      </c>
      <c r="I132" s="20">
        <f t="shared" si="2"/>
        <v>1387.4713999999999</v>
      </c>
      <c r="J132" s="6" t="s">
        <v>357</v>
      </c>
    </row>
    <row r="133" spans="1:10" hidden="1">
      <c r="A133" s="9">
        <v>45831</v>
      </c>
      <c r="B133" s="6" t="s">
        <v>6613</v>
      </c>
      <c r="C133" s="5" t="s">
        <v>595</v>
      </c>
      <c r="D133" s="8" t="s">
        <v>354</v>
      </c>
      <c r="E133" s="6" t="s">
        <v>466</v>
      </c>
      <c r="F133" s="6" t="s">
        <v>356</v>
      </c>
      <c r="G133" s="5">
        <v>4138</v>
      </c>
      <c r="H133" s="5">
        <v>0.33529999999999999</v>
      </c>
      <c r="I133" s="20">
        <f t="shared" si="2"/>
        <v>1387.4713999999999</v>
      </c>
      <c r="J133" s="6" t="s">
        <v>357</v>
      </c>
    </row>
    <row r="134" spans="1:10" hidden="1">
      <c r="A134" s="9">
        <v>45831</v>
      </c>
      <c r="B134" s="6" t="s">
        <v>6614</v>
      </c>
      <c r="C134" s="5" t="s">
        <v>596</v>
      </c>
      <c r="D134" s="8" t="s">
        <v>354</v>
      </c>
      <c r="E134" s="6" t="s">
        <v>466</v>
      </c>
      <c r="F134" s="6" t="s">
        <v>356</v>
      </c>
      <c r="G134" s="5">
        <v>3932</v>
      </c>
      <c r="H134" s="5">
        <v>0.33529999999999999</v>
      </c>
      <c r="I134" s="20">
        <f t="shared" si="2"/>
        <v>1318.3996</v>
      </c>
      <c r="J134" s="6" t="s">
        <v>357</v>
      </c>
    </row>
    <row r="135" spans="1:10" hidden="1">
      <c r="A135" s="9">
        <v>45831</v>
      </c>
      <c r="B135" s="6" t="s">
        <v>6616</v>
      </c>
      <c r="C135" s="5" t="s">
        <v>598</v>
      </c>
      <c r="D135" s="8" t="s">
        <v>354</v>
      </c>
      <c r="E135" s="6" t="s">
        <v>466</v>
      </c>
      <c r="F135" s="6" t="s">
        <v>356</v>
      </c>
      <c r="G135" s="5">
        <v>4118</v>
      </c>
      <c r="H135" s="5">
        <v>0.33529999999999999</v>
      </c>
      <c r="I135" s="20">
        <f t="shared" si="2"/>
        <v>1380.7654</v>
      </c>
      <c r="J135" s="6" t="s">
        <v>357</v>
      </c>
    </row>
    <row r="136" spans="1:10" hidden="1">
      <c r="A136" s="9">
        <v>45831</v>
      </c>
      <c r="B136" s="6" t="s">
        <v>6615</v>
      </c>
      <c r="C136" s="5" t="s">
        <v>597</v>
      </c>
      <c r="D136" s="8" t="s">
        <v>354</v>
      </c>
      <c r="E136" s="6" t="s">
        <v>466</v>
      </c>
      <c r="F136" s="6" t="s">
        <v>356</v>
      </c>
      <c r="G136" s="5">
        <v>5504</v>
      </c>
      <c r="H136" s="5">
        <v>0.33529999999999999</v>
      </c>
      <c r="I136" s="20">
        <f t="shared" si="2"/>
        <v>1845.4911999999999</v>
      </c>
      <c r="J136" s="6" t="s">
        <v>357</v>
      </c>
    </row>
    <row r="137" spans="1:10" hidden="1">
      <c r="A137" s="9">
        <v>45831</v>
      </c>
      <c r="B137" s="6" t="s">
        <v>6617</v>
      </c>
      <c r="C137" s="5" t="s">
        <v>599</v>
      </c>
      <c r="D137" s="8" t="s">
        <v>354</v>
      </c>
      <c r="E137" s="6" t="s">
        <v>466</v>
      </c>
      <c r="F137" s="6" t="s">
        <v>356</v>
      </c>
      <c r="G137" s="5">
        <v>5766</v>
      </c>
      <c r="H137" s="5">
        <v>0.33529999999999999</v>
      </c>
      <c r="I137" s="20">
        <f t="shared" si="2"/>
        <v>1933.3398</v>
      </c>
      <c r="J137" s="6" t="s">
        <v>357</v>
      </c>
    </row>
    <row r="138" spans="1:10" ht="30" hidden="1">
      <c r="A138" s="9">
        <v>45870</v>
      </c>
      <c r="B138" s="6" t="s">
        <v>7314</v>
      </c>
      <c r="C138" s="14" t="s">
        <v>397</v>
      </c>
      <c r="D138" s="8" t="s">
        <v>354</v>
      </c>
      <c r="E138" s="6" t="s">
        <v>355</v>
      </c>
      <c r="F138" s="6" t="s">
        <v>363</v>
      </c>
      <c r="G138" s="5">
        <v>1275</v>
      </c>
      <c r="H138" s="5">
        <v>0.33529999999999999</v>
      </c>
      <c r="I138" s="20">
        <f t="shared" si="2"/>
        <v>427.50749999999999</v>
      </c>
      <c r="J138" s="6" t="s">
        <v>357</v>
      </c>
    </row>
    <row r="139" spans="1:10" ht="30" hidden="1">
      <c r="A139" s="9">
        <v>45870</v>
      </c>
      <c r="B139" s="6" t="s">
        <v>7315</v>
      </c>
      <c r="C139" s="15" t="s">
        <v>398</v>
      </c>
      <c r="D139" s="8" t="s">
        <v>354</v>
      </c>
      <c r="E139" s="6" t="s">
        <v>355</v>
      </c>
      <c r="F139" s="6" t="s">
        <v>363</v>
      </c>
      <c r="G139" s="21">
        <v>1302</v>
      </c>
      <c r="H139" s="5">
        <v>0.33529999999999999</v>
      </c>
      <c r="I139" s="20">
        <f t="shared" si="2"/>
        <v>436.56059999999997</v>
      </c>
      <c r="J139" s="6" t="s">
        <v>357</v>
      </c>
    </row>
    <row r="140" spans="1:10" ht="30" hidden="1">
      <c r="A140" s="9">
        <v>45870</v>
      </c>
      <c r="B140" s="6" t="s">
        <v>7316</v>
      </c>
      <c r="C140" s="15" t="s">
        <v>399</v>
      </c>
      <c r="D140" s="8" t="s">
        <v>354</v>
      </c>
      <c r="E140" s="6" t="s">
        <v>355</v>
      </c>
      <c r="F140" s="6" t="s">
        <v>363</v>
      </c>
      <c r="G140" s="21">
        <v>1275</v>
      </c>
      <c r="H140" s="5">
        <v>0.33529999999999999</v>
      </c>
      <c r="I140" s="20">
        <f t="shared" si="2"/>
        <v>427.50749999999999</v>
      </c>
      <c r="J140" s="6" t="s">
        <v>357</v>
      </c>
    </row>
    <row r="141" spans="1:10" ht="45" hidden="1">
      <c r="A141" s="9">
        <v>45870</v>
      </c>
      <c r="B141" s="6" t="s">
        <v>7317</v>
      </c>
      <c r="C141" s="15" t="s">
        <v>400</v>
      </c>
      <c r="D141" s="8" t="s">
        <v>354</v>
      </c>
      <c r="E141" s="6" t="s">
        <v>355</v>
      </c>
      <c r="F141" s="6" t="s">
        <v>363</v>
      </c>
      <c r="G141" s="21">
        <v>7336</v>
      </c>
      <c r="H141" s="5">
        <v>0.33529999999999999</v>
      </c>
      <c r="I141" s="20">
        <f t="shared" si="2"/>
        <v>2459.7608</v>
      </c>
      <c r="J141" s="6" t="s">
        <v>357</v>
      </c>
    </row>
    <row r="142" spans="1:10" ht="30" hidden="1">
      <c r="A142" s="9">
        <v>45870</v>
      </c>
      <c r="B142" s="6" t="s">
        <v>7318</v>
      </c>
      <c r="C142" s="14" t="s">
        <v>401</v>
      </c>
      <c r="D142" s="8" t="s">
        <v>354</v>
      </c>
      <c r="E142" s="6" t="s">
        <v>355</v>
      </c>
      <c r="F142" s="6" t="s">
        <v>363</v>
      </c>
      <c r="G142" s="5">
        <v>1000</v>
      </c>
      <c r="H142" s="5">
        <v>0.33529999999999999</v>
      </c>
      <c r="I142" s="20">
        <f t="shared" si="2"/>
        <v>335.3</v>
      </c>
      <c r="J142" s="6" t="s">
        <v>357</v>
      </c>
    </row>
    <row r="143" spans="1:10" ht="30" hidden="1">
      <c r="A143" s="9">
        <v>45870</v>
      </c>
      <c r="B143" s="6" t="s">
        <v>7319</v>
      </c>
      <c r="C143" s="14" t="s">
        <v>402</v>
      </c>
      <c r="D143" s="8" t="s">
        <v>354</v>
      </c>
      <c r="E143" s="6" t="s">
        <v>355</v>
      </c>
      <c r="F143" s="6" t="s">
        <v>363</v>
      </c>
      <c r="G143" s="5">
        <v>1264</v>
      </c>
      <c r="H143" s="5">
        <v>0.33529999999999999</v>
      </c>
      <c r="I143" s="20">
        <f t="shared" si="2"/>
        <v>423.81919999999997</v>
      </c>
      <c r="J143" s="6" t="s">
        <v>357</v>
      </c>
    </row>
    <row r="144" spans="1:10" ht="60" hidden="1">
      <c r="A144" s="9">
        <v>45870</v>
      </c>
      <c r="B144" s="6" t="s">
        <v>7320</v>
      </c>
      <c r="C144" s="14" t="s">
        <v>403</v>
      </c>
      <c r="D144" s="8" t="s">
        <v>354</v>
      </c>
      <c r="E144" s="6" t="s">
        <v>355</v>
      </c>
      <c r="F144" s="6" t="s">
        <v>363</v>
      </c>
      <c r="G144" s="5">
        <v>894</v>
      </c>
      <c r="H144" s="5">
        <v>0.33529999999999999</v>
      </c>
      <c r="I144" s="20">
        <f t="shared" si="2"/>
        <v>299.75819999999999</v>
      </c>
      <c r="J144" s="6" t="s">
        <v>357</v>
      </c>
    </row>
    <row r="145" spans="1:10" ht="60" hidden="1">
      <c r="A145" s="9">
        <v>45870</v>
      </c>
      <c r="B145" s="6" t="s">
        <v>7321</v>
      </c>
      <c r="C145" s="14" t="s">
        <v>404</v>
      </c>
      <c r="D145" s="8" t="s">
        <v>354</v>
      </c>
      <c r="E145" s="6" t="s">
        <v>355</v>
      </c>
      <c r="F145" s="6" t="s">
        <v>363</v>
      </c>
      <c r="G145" s="5">
        <v>1073</v>
      </c>
      <c r="H145" s="5">
        <v>0.33529999999999999</v>
      </c>
      <c r="I145" s="20">
        <f t="shared" si="2"/>
        <v>359.77690000000001</v>
      </c>
      <c r="J145" s="6" t="s">
        <v>357</v>
      </c>
    </row>
    <row r="146" spans="1:10" ht="45" hidden="1">
      <c r="A146" s="9">
        <v>45870</v>
      </c>
      <c r="B146" s="6" t="s">
        <v>7322</v>
      </c>
      <c r="C146" s="14" t="s">
        <v>405</v>
      </c>
      <c r="D146" s="8" t="s">
        <v>354</v>
      </c>
      <c r="E146" s="6" t="s">
        <v>355</v>
      </c>
      <c r="F146" s="6" t="s">
        <v>363</v>
      </c>
      <c r="G146" s="5">
        <v>1431</v>
      </c>
      <c r="H146" s="5">
        <v>0.33529999999999999</v>
      </c>
      <c r="I146" s="20">
        <f t="shared" si="2"/>
        <v>479.8143</v>
      </c>
      <c r="J146" s="6" t="s">
        <v>357</v>
      </c>
    </row>
    <row r="147" spans="1:10" ht="45" hidden="1">
      <c r="A147" s="9">
        <v>45870</v>
      </c>
      <c r="B147" s="6" t="s">
        <v>7323</v>
      </c>
      <c r="C147" s="14" t="s">
        <v>406</v>
      </c>
      <c r="D147" s="8" t="s">
        <v>354</v>
      </c>
      <c r="E147" s="6" t="s">
        <v>355</v>
      </c>
      <c r="F147" s="6" t="s">
        <v>363</v>
      </c>
      <c r="G147" s="5">
        <v>1431</v>
      </c>
      <c r="H147" s="5">
        <v>0.33529999999999999</v>
      </c>
      <c r="I147" s="20">
        <f t="shared" si="2"/>
        <v>479.8143</v>
      </c>
      <c r="J147" s="6" t="s">
        <v>357</v>
      </c>
    </row>
    <row r="148" spans="1:10" ht="45" hidden="1">
      <c r="A148" s="9">
        <v>45755</v>
      </c>
      <c r="B148" s="6" t="s">
        <v>7324</v>
      </c>
      <c r="C148" s="14" t="s">
        <v>407</v>
      </c>
      <c r="D148" s="8" t="s">
        <v>354</v>
      </c>
      <c r="E148" s="6" t="s">
        <v>355</v>
      </c>
      <c r="F148" s="6" t="s">
        <v>363</v>
      </c>
      <c r="G148" s="5">
        <v>2233</v>
      </c>
      <c r="H148" s="5">
        <v>0.33529999999999999</v>
      </c>
      <c r="I148" s="20">
        <f t="shared" si="2"/>
        <v>748.72489999999993</v>
      </c>
      <c r="J148" s="6" t="s">
        <v>357</v>
      </c>
    </row>
    <row r="149" spans="1:10" ht="75" hidden="1">
      <c r="A149" s="283">
        <v>45870</v>
      </c>
      <c r="B149" s="6" t="s">
        <v>7325</v>
      </c>
      <c r="C149" s="5" t="s">
        <v>353</v>
      </c>
      <c r="D149" s="8" t="s">
        <v>354</v>
      </c>
      <c r="E149" s="6" t="s">
        <v>355</v>
      </c>
      <c r="F149" s="6" t="s">
        <v>356</v>
      </c>
      <c r="G149" s="5">
        <v>19743</v>
      </c>
      <c r="H149" s="5">
        <v>0.33529999999999999</v>
      </c>
      <c r="I149" s="20">
        <f t="shared" si="2"/>
        <v>6619.8278999999993</v>
      </c>
      <c r="J149" s="6" t="s">
        <v>357</v>
      </c>
    </row>
    <row r="150" spans="1:10" ht="75" hidden="1">
      <c r="A150" s="283">
        <v>45870</v>
      </c>
      <c r="B150" s="6" t="s">
        <v>7326</v>
      </c>
      <c r="C150" s="5" t="s">
        <v>360</v>
      </c>
      <c r="D150" s="8" t="s">
        <v>354</v>
      </c>
      <c r="E150" s="6" t="s">
        <v>355</v>
      </c>
      <c r="F150" s="6" t="s">
        <v>356</v>
      </c>
      <c r="G150" s="5">
        <v>23221</v>
      </c>
      <c r="H150" s="5">
        <v>0.33529999999999999</v>
      </c>
      <c r="I150" s="20">
        <f t="shared" si="2"/>
        <v>7786.0012999999999</v>
      </c>
      <c r="J150" s="6" t="s">
        <v>357</v>
      </c>
    </row>
    <row r="151" spans="1:10" ht="60" hidden="1">
      <c r="A151" s="283">
        <v>45870</v>
      </c>
      <c r="B151" s="6" t="s">
        <v>7327</v>
      </c>
      <c r="C151" s="5" t="s">
        <v>362</v>
      </c>
      <c r="D151" s="8" t="s">
        <v>354</v>
      </c>
      <c r="E151" s="6" t="s">
        <v>355</v>
      </c>
      <c r="F151" s="6" t="s">
        <v>363</v>
      </c>
      <c r="G151" s="5">
        <v>33578</v>
      </c>
      <c r="H151" s="5">
        <v>0.33529999999999999</v>
      </c>
      <c r="I151" s="20">
        <f t="shared" si="2"/>
        <v>11258.7034</v>
      </c>
      <c r="J151" s="6" t="s">
        <v>357</v>
      </c>
    </row>
    <row r="152" spans="1:10" ht="45" hidden="1">
      <c r="A152" s="9">
        <v>45870</v>
      </c>
      <c r="B152" s="6" t="s">
        <v>7328</v>
      </c>
      <c r="C152" s="5" t="s">
        <v>365</v>
      </c>
      <c r="D152" s="8" t="s">
        <v>354</v>
      </c>
      <c r="E152" s="6" t="s">
        <v>355</v>
      </c>
      <c r="F152" s="6" t="s">
        <v>363</v>
      </c>
      <c r="G152" s="5">
        <v>27662</v>
      </c>
      <c r="H152" s="5">
        <v>0.33529999999999999</v>
      </c>
      <c r="I152" s="20">
        <f t="shared" si="2"/>
        <v>9275.0686000000005</v>
      </c>
      <c r="J152" s="6" t="s">
        <v>357</v>
      </c>
    </row>
    <row r="153" spans="1:10" ht="75" hidden="1">
      <c r="A153" s="10">
        <v>45755</v>
      </c>
      <c r="B153" s="6" t="s">
        <v>7329</v>
      </c>
      <c r="C153" s="5" t="s">
        <v>367</v>
      </c>
      <c r="D153" s="8" t="s">
        <v>354</v>
      </c>
      <c r="E153" s="6" t="s">
        <v>355</v>
      </c>
      <c r="F153" s="6" t="s">
        <v>356</v>
      </c>
      <c r="G153" s="5">
        <f>11255+6639+1256+985</f>
        <v>20135</v>
      </c>
      <c r="H153" s="5">
        <v>0.33529999999999999</v>
      </c>
      <c r="I153" s="20">
        <f t="shared" si="2"/>
        <v>6751.2654999999995</v>
      </c>
      <c r="J153" s="6" t="s">
        <v>357</v>
      </c>
    </row>
    <row r="154" spans="1:10" ht="75" hidden="1">
      <c r="A154" s="10">
        <v>45572</v>
      </c>
      <c r="B154" s="6" t="s">
        <v>7330</v>
      </c>
      <c r="C154" s="5" t="s">
        <v>369</v>
      </c>
      <c r="D154" s="8" t="s">
        <v>354</v>
      </c>
      <c r="E154" s="6" t="s">
        <v>355</v>
      </c>
      <c r="F154" s="6" t="s">
        <v>356</v>
      </c>
      <c r="G154" s="5">
        <v>23672</v>
      </c>
      <c r="H154" s="5">
        <v>0.33529999999999999</v>
      </c>
      <c r="I154" s="20">
        <f t="shared" si="2"/>
        <v>7937.2215999999999</v>
      </c>
      <c r="J154" s="6" t="s">
        <v>357</v>
      </c>
    </row>
    <row r="155" spans="1:10" ht="60" hidden="1">
      <c r="A155" s="10">
        <v>45572</v>
      </c>
      <c r="B155" s="6" t="s">
        <v>7331</v>
      </c>
      <c r="C155" s="5" t="s">
        <v>371</v>
      </c>
      <c r="D155" s="8" t="s">
        <v>354</v>
      </c>
      <c r="E155" s="6" t="s">
        <v>355</v>
      </c>
      <c r="F155" s="6" t="s">
        <v>363</v>
      </c>
      <c r="G155" s="5">
        <v>33986</v>
      </c>
      <c r="H155" s="5">
        <v>0.33529999999999999</v>
      </c>
      <c r="I155" s="20">
        <f t="shared" si="2"/>
        <v>11395.505799999999</v>
      </c>
      <c r="J155" s="6" t="s">
        <v>357</v>
      </c>
    </row>
    <row r="156" spans="1:10" ht="45" hidden="1">
      <c r="A156" s="10">
        <v>45572</v>
      </c>
      <c r="B156" s="6" t="s">
        <v>7332</v>
      </c>
      <c r="C156" s="5" t="s">
        <v>373</v>
      </c>
      <c r="D156" s="8" t="s">
        <v>354</v>
      </c>
      <c r="E156" s="6" t="s">
        <v>355</v>
      </c>
      <c r="F156" s="6" t="s">
        <v>363</v>
      </c>
      <c r="G156" s="5">
        <v>28334</v>
      </c>
      <c r="H156" s="5">
        <v>0.33529999999999999</v>
      </c>
      <c r="I156" s="20">
        <f t="shared" si="2"/>
        <v>9500.3901999999998</v>
      </c>
      <c r="J156" s="6" t="s">
        <v>357</v>
      </c>
    </row>
    <row r="157" spans="1:10" ht="45" hidden="1">
      <c r="A157" s="10">
        <v>45572</v>
      </c>
      <c r="B157" s="6" t="s">
        <v>7333</v>
      </c>
      <c r="C157" s="5" t="s">
        <v>375</v>
      </c>
      <c r="D157" s="8" t="s">
        <v>354</v>
      </c>
      <c r="E157" s="6" t="s">
        <v>355</v>
      </c>
      <c r="F157" s="6" t="s">
        <v>363</v>
      </c>
      <c r="G157" s="5">
        <v>27082</v>
      </c>
      <c r="H157" s="5">
        <v>0.33529999999999999</v>
      </c>
      <c r="I157" s="20">
        <f t="shared" si="2"/>
        <v>9080.5946000000004</v>
      </c>
      <c r="J157" s="6" t="s">
        <v>357</v>
      </c>
    </row>
    <row r="158" spans="1:10" ht="75" hidden="1">
      <c r="A158" s="10">
        <v>45572</v>
      </c>
      <c r="B158" s="6" t="s">
        <v>7334</v>
      </c>
      <c r="C158" s="5" t="s">
        <v>377</v>
      </c>
      <c r="D158" s="8" t="s">
        <v>354</v>
      </c>
      <c r="E158" s="6" t="s">
        <v>355</v>
      </c>
      <c r="F158" s="6" t="s">
        <v>356</v>
      </c>
      <c r="G158" s="5">
        <v>21801</v>
      </c>
      <c r="H158" s="5">
        <v>0.33529999999999999</v>
      </c>
      <c r="I158" s="20">
        <f t="shared" si="2"/>
        <v>7309.8752999999997</v>
      </c>
      <c r="J158" s="6" t="s">
        <v>357</v>
      </c>
    </row>
    <row r="159" spans="1:10" ht="75" hidden="1">
      <c r="A159" s="10">
        <v>45572</v>
      </c>
      <c r="B159" s="6" t="s">
        <v>7335</v>
      </c>
      <c r="C159" s="5" t="s">
        <v>379</v>
      </c>
      <c r="D159" s="8" t="s">
        <v>354</v>
      </c>
      <c r="E159" s="6" t="s">
        <v>355</v>
      </c>
      <c r="F159" s="6" t="s">
        <v>356</v>
      </c>
      <c r="G159" s="5">
        <v>25677</v>
      </c>
      <c r="H159" s="5">
        <v>0.33529999999999999</v>
      </c>
      <c r="I159" s="20">
        <f t="shared" si="2"/>
        <v>8609.4980999999989</v>
      </c>
      <c r="J159" s="6" t="s">
        <v>357</v>
      </c>
    </row>
    <row r="160" spans="1:10" ht="60" hidden="1">
      <c r="A160" s="10">
        <v>45572</v>
      </c>
      <c r="B160" s="6" t="s">
        <v>7336</v>
      </c>
      <c r="C160" s="5" t="s">
        <v>381</v>
      </c>
      <c r="D160" s="8" t="s">
        <v>354</v>
      </c>
      <c r="E160" s="6" t="s">
        <v>355</v>
      </c>
      <c r="F160" s="6" t="s">
        <v>363</v>
      </c>
      <c r="G160" s="5">
        <v>36023</v>
      </c>
      <c r="H160" s="5">
        <v>0.33529999999999999</v>
      </c>
      <c r="I160" s="20">
        <f t="shared" si="2"/>
        <v>12078.5119</v>
      </c>
      <c r="J160" s="6" t="s">
        <v>357</v>
      </c>
    </row>
    <row r="161" spans="1:10" ht="45" hidden="1">
      <c r="A161" s="10">
        <v>45572</v>
      </c>
      <c r="B161" s="6" t="s">
        <v>7337</v>
      </c>
      <c r="C161" s="5" t="s">
        <v>383</v>
      </c>
      <c r="D161" s="8" t="s">
        <v>354</v>
      </c>
      <c r="E161" s="6" t="s">
        <v>355</v>
      </c>
      <c r="F161" s="6" t="s">
        <v>363</v>
      </c>
      <c r="G161" s="5">
        <v>30725</v>
      </c>
      <c r="H161" s="5">
        <v>0.33529999999999999</v>
      </c>
      <c r="I161" s="20">
        <f t="shared" si="2"/>
        <v>10302.092499999999</v>
      </c>
      <c r="J161" s="6" t="s">
        <v>357</v>
      </c>
    </row>
    <row r="162" spans="1:10" ht="45" hidden="1">
      <c r="A162" s="10">
        <v>45572</v>
      </c>
      <c r="B162" s="6" t="s">
        <v>7338</v>
      </c>
      <c r="C162" s="5" t="s">
        <v>385</v>
      </c>
      <c r="D162" s="8" t="s">
        <v>354</v>
      </c>
      <c r="E162" s="6" t="s">
        <v>355</v>
      </c>
      <c r="F162" s="6" t="s">
        <v>363</v>
      </c>
      <c r="G162" s="5">
        <v>28708</v>
      </c>
      <c r="H162" s="5">
        <v>0.33529999999999999</v>
      </c>
      <c r="I162" s="20">
        <f t="shared" si="2"/>
        <v>9625.7924000000003</v>
      </c>
      <c r="J162" s="6" t="s">
        <v>357</v>
      </c>
    </row>
    <row r="163" spans="1:10" ht="75" hidden="1">
      <c r="A163" s="10">
        <v>45572</v>
      </c>
      <c r="B163" s="6" t="s">
        <v>7339</v>
      </c>
      <c r="C163" s="5" t="s">
        <v>387</v>
      </c>
      <c r="D163" s="8" t="s">
        <v>354</v>
      </c>
      <c r="E163" s="6" t="s">
        <v>355</v>
      </c>
      <c r="F163" s="6" t="s">
        <v>356</v>
      </c>
      <c r="G163" s="5">
        <v>23414</v>
      </c>
      <c r="H163" s="5">
        <v>0.33529999999999999</v>
      </c>
      <c r="I163" s="20">
        <f t="shared" si="2"/>
        <v>7850.7141999999994</v>
      </c>
      <c r="J163" s="6" t="s">
        <v>357</v>
      </c>
    </row>
    <row r="164" spans="1:10" ht="75" hidden="1">
      <c r="A164" s="10">
        <v>45572</v>
      </c>
      <c r="B164" s="13" t="s">
        <v>7340</v>
      </c>
      <c r="C164" s="11" t="s">
        <v>389</v>
      </c>
      <c r="D164" s="12" t="s">
        <v>354</v>
      </c>
      <c r="E164" s="6" t="s">
        <v>355</v>
      </c>
      <c r="F164" s="6" t="s">
        <v>356</v>
      </c>
      <c r="G164" s="5">
        <v>27537</v>
      </c>
      <c r="H164" s="5">
        <v>0.33529999999999999</v>
      </c>
      <c r="I164" s="20">
        <f t="shared" si="2"/>
        <v>9233.1561000000002</v>
      </c>
      <c r="J164" s="6" t="s">
        <v>357</v>
      </c>
    </row>
    <row r="165" spans="1:10" ht="60" hidden="1">
      <c r="A165" s="10">
        <v>45572</v>
      </c>
      <c r="B165" s="6" t="s">
        <v>7341</v>
      </c>
      <c r="C165" s="5" t="s">
        <v>391</v>
      </c>
      <c r="D165" s="8" t="s">
        <v>354</v>
      </c>
      <c r="E165" s="6" t="s">
        <v>355</v>
      </c>
      <c r="F165" s="6" t="s">
        <v>363</v>
      </c>
      <c r="G165" s="5">
        <v>37455</v>
      </c>
      <c r="H165" s="5">
        <v>0.33529999999999999</v>
      </c>
      <c r="I165" s="20">
        <f t="shared" si="2"/>
        <v>12558.6615</v>
      </c>
      <c r="J165" s="6" t="s">
        <v>357</v>
      </c>
    </row>
    <row r="166" spans="1:10" ht="45" hidden="1">
      <c r="A166" s="10">
        <v>45572</v>
      </c>
      <c r="B166" s="6" t="s">
        <v>7342</v>
      </c>
      <c r="C166" s="5" t="s">
        <v>393</v>
      </c>
      <c r="D166" s="8" t="s">
        <v>354</v>
      </c>
      <c r="E166" s="6" t="s">
        <v>355</v>
      </c>
      <c r="F166" s="6" t="s">
        <v>363</v>
      </c>
      <c r="G166" s="5">
        <v>32414</v>
      </c>
      <c r="H166" s="5">
        <v>0.33529999999999999</v>
      </c>
      <c r="I166" s="20">
        <f t="shared" si="2"/>
        <v>10868.414199999999</v>
      </c>
      <c r="J166" s="6" t="s">
        <v>357</v>
      </c>
    </row>
    <row r="167" spans="1:10" ht="45" hidden="1">
      <c r="A167" s="10">
        <v>45572</v>
      </c>
      <c r="B167" s="6" t="s">
        <v>7343</v>
      </c>
      <c r="C167" s="5" t="s">
        <v>395</v>
      </c>
      <c r="D167" s="8" t="s">
        <v>354</v>
      </c>
      <c r="E167" s="6" t="s">
        <v>355</v>
      </c>
      <c r="F167" s="6" t="s">
        <v>363</v>
      </c>
      <c r="G167" s="5">
        <v>29854</v>
      </c>
      <c r="H167" s="5">
        <v>0.33529999999999999</v>
      </c>
      <c r="I167" s="20">
        <f t="shared" si="2"/>
        <v>10010.046199999999</v>
      </c>
      <c r="J167" s="6" t="s">
        <v>357</v>
      </c>
    </row>
    <row r="168" spans="1:10" ht="75" hidden="1">
      <c r="A168" s="10">
        <v>45572</v>
      </c>
      <c r="B168" s="6" t="s">
        <v>7344</v>
      </c>
      <c r="C168" s="5" t="s">
        <v>412</v>
      </c>
      <c r="D168" s="8" t="s">
        <v>354</v>
      </c>
      <c r="E168" s="6" t="s">
        <v>355</v>
      </c>
      <c r="F168" s="6" t="s">
        <v>356</v>
      </c>
      <c r="G168" s="5">
        <v>31847</v>
      </c>
      <c r="H168" s="5">
        <v>0.33529999999999999</v>
      </c>
      <c r="I168" s="20">
        <f t="shared" si="2"/>
        <v>10678.2991</v>
      </c>
      <c r="J168" s="6" t="s">
        <v>357</v>
      </c>
    </row>
    <row r="169" spans="1:10" ht="75" hidden="1">
      <c r="A169" s="10">
        <v>45572</v>
      </c>
      <c r="B169" s="6" t="s">
        <v>7345</v>
      </c>
      <c r="C169" s="5" t="s">
        <v>415</v>
      </c>
      <c r="D169" s="8" t="s">
        <v>354</v>
      </c>
      <c r="E169" s="6" t="s">
        <v>355</v>
      </c>
      <c r="F169" s="6" t="s">
        <v>356</v>
      </c>
      <c r="G169" s="5">
        <v>37448</v>
      </c>
      <c r="H169" s="5">
        <v>0.33529999999999999</v>
      </c>
      <c r="I169" s="20">
        <f t="shared" si="2"/>
        <v>12556.314399999999</v>
      </c>
      <c r="J169" s="6" t="s">
        <v>357</v>
      </c>
    </row>
    <row r="170" spans="1:10" ht="60" hidden="1">
      <c r="A170" s="10">
        <v>45572</v>
      </c>
      <c r="B170" s="6" t="s">
        <v>7346</v>
      </c>
      <c r="C170" s="5" t="s">
        <v>416</v>
      </c>
      <c r="D170" s="8" t="s">
        <v>354</v>
      </c>
      <c r="E170" s="6" t="s">
        <v>355</v>
      </c>
      <c r="F170" s="6" t="s">
        <v>363</v>
      </c>
      <c r="G170" s="5">
        <v>50464</v>
      </c>
      <c r="H170" s="5">
        <v>0.33529999999999999</v>
      </c>
      <c r="I170" s="20">
        <f t="shared" si="2"/>
        <v>16920.5792</v>
      </c>
      <c r="J170" s="6" t="s">
        <v>357</v>
      </c>
    </row>
    <row r="171" spans="1:10" ht="45" hidden="1">
      <c r="A171" s="10">
        <v>45572</v>
      </c>
      <c r="B171" s="6" t="s">
        <v>7347</v>
      </c>
      <c r="C171" s="5" t="s">
        <v>418</v>
      </c>
      <c r="D171" s="8" t="s">
        <v>354</v>
      </c>
      <c r="E171" s="6" t="s">
        <v>355</v>
      </c>
      <c r="F171" s="6" t="s">
        <v>363</v>
      </c>
      <c r="G171" s="5">
        <v>42767</v>
      </c>
      <c r="H171" s="5">
        <v>0.33529999999999999</v>
      </c>
      <c r="I171" s="20">
        <f t="shared" si="2"/>
        <v>14339.775099999999</v>
      </c>
      <c r="J171" s="6" t="s">
        <v>357</v>
      </c>
    </row>
    <row r="172" spans="1:10" ht="45" hidden="1">
      <c r="A172" s="10">
        <v>45572</v>
      </c>
      <c r="B172" s="6" t="s">
        <v>7348</v>
      </c>
      <c r="C172" s="5" t="s">
        <v>420</v>
      </c>
      <c r="D172" s="8" t="s">
        <v>354</v>
      </c>
      <c r="E172" s="6" t="s">
        <v>355</v>
      </c>
      <c r="F172" s="6" t="s">
        <v>363</v>
      </c>
      <c r="G172" s="5">
        <v>40248</v>
      </c>
      <c r="H172" s="5">
        <v>0.33529999999999999</v>
      </c>
      <c r="I172" s="20">
        <f t="shared" si="2"/>
        <v>13495.154399999999</v>
      </c>
      <c r="J172" s="6" t="s">
        <v>357</v>
      </c>
    </row>
    <row r="173" spans="1:10" ht="75" hidden="1">
      <c r="A173" s="10">
        <v>45572</v>
      </c>
      <c r="B173" s="6" t="s">
        <v>7349</v>
      </c>
      <c r="C173" s="5" t="s">
        <v>422</v>
      </c>
      <c r="D173" s="8" t="s">
        <v>354</v>
      </c>
      <c r="E173" s="6" t="s">
        <v>355</v>
      </c>
      <c r="F173" s="6" t="s">
        <v>356</v>
      </c>
      <c r="G173" s="5">
        <v>39607</v>
      </c>
      <c r="H173" s="5">
        <v>0.33529999999999999</v>
      </c>
      <c r="I173" s="20">
        <f t="shared" si="2"/>
        <v>13280.2271</v>
      </c>
      <c r="J173" s="6" t="s">
        <v>357</v>
      </c>
    </row>
    <row r="174" spans="1:10" ht="75" hidden="1">
      <c r="A174" s="10">
        <v>45572</v>
      </c>
      <c r="B174" s="6" t="s">
        <v>7350</v>
      </c>
      <c r="C174" s="5" t="s">
        <v>424</v>
      </c>
      <c r="D174" s="8" t="s">
        <v>354</v>
      </c>
      <c r="E174" s="6" t="s">
        <v>355</v>
      </c>
      <c r="F174" s="6" t="s">
        <v>356</v>
      </c>
      <c r="G174" s="5">
        <v>46588</v>
      </c>
      <c r="H174" s="5">
        <v>0.33529999999999999</v>
      </c>
      <c r="I174" s="20">
        <f t="shared" si="2"/>
        <v>15620.956399999999</v>
      </c>
      <c r="J174" s="6" t="s">
        <v>357</v>
      </c>
    </row>
    <row r="175" spans="1:10" ht="60" hidden="1">
      <c r="A175" s="10">
        <v>45572</v>
      </c>
      <c r="B175" s="6" t="s">
        <v>7351</v>
      </c>
      <c r="C175" s="5" t="s">
        <v>426</v>
      </c>
      <c r="D175" s="8" t="s">
        <v>354</v>
      </c>
      <c r="E175" s="6" t="s">
        <v>355</v>
      </c>
      <c r="F175" s="6" t="s">
        <v>363</v>
      </c>
      <c r="G175" s="5">
        <v>58072</v>
      </c>
      <c r="H175" s="5">
        <v>0.33529999999999999</v>
      </c>
      <c r="I175" s="20">
        <f t="shared" si="2"/>
        <v>19471.5416</v>
      </c>
      <c r="J175" s="6" t="s">
        <v>357</v>
      </c>
    </row>
    <row r="176" spans="1:10" ht="45" hidden="1">
      <c r="A176" s="10">
        <v>45572</v>
      </c>
      <c r="B176" s="6" t="s">
        <v>7352</v>
      </c>
      <c r="C176" s="5" t="s">
        <v>428</v>
      </c>
      <c r="D176" s="8" t="s">
        <v>354</v>
      </c>
      <c r="E176" s="6" t="s">
        <v>355</v>
      </c>
      <c r="F176" s="6" t="s">
        <v>363</v>
      </c>
      <c r="G176" s="5">
        <v>54942</v>
      </c>
      <c r="H176" s="5">
        <v>0.33529999999999999</v>
      </c>
      <c r="I176" s="20">
        <f t="shared" si="2"/>
        <v>18422.052599999999</v>
      </c>
      <c r="J176" s="6" t="s">
        <v>357</v>
      </c>
    </row>
    <row r="177" spans="1:10" ht="45" hidden="1">
      <c r="A177" s="10">
        <v>45572</v>
      </c>
      <c r="B177" s="6" t="s">
        <v>7353</v>
      </c>
      <c r="C177" s="5" t="s">
        <v>430</v>
      </c>
      <c r="D177" s="8" t="s">
        <v>354</v>
      </c>
      <c r="E177" s="6" t="s">
        <v>355</v>
      </c>
      <c r="F177" s="6" t="s">
        <v>363</v>
      </c>
      <c r="G177" s="5">
        <v>46326</v>
      </c>
      <c r="H177" s="5">
        <v>0.33529999999999999</v>
      </c>
      <c r="I177" s="20">
        <f t="shared" si="2"/>
        <v>15533.1078</v>
      </c>
      <c r="J177" s="6" t="s">
        <v>357</v>
      </c>
    </row>
    <row r="178" spans="1:10" ht="75" hidden="1">
      <c r="A178" s="10">
        <v>45572</v>
      </c>
      <c r="B178" s="6" t="s">
        <v>7354</v>
      </c>
      <c r="C178" s="5" t="s">
        <v>432</v>
      </c>
      <c r="D178" s="8" t="s">
        <v>354</v>
      </c>
      <c r="E178" s="6" t="s">
        <v>355</v>
      </c>
      <c r="F178" s="6" t="s">
        <v>356</v>
      </c>
      <c r="G178" s="5">
        <v>49892</v>
      </c>
      <c r="H178" s="5">
        <v>0.33529999999999999</v>
      </c>
      <c r="I178" s="20">
        <f t="shared" si="2"/>
        <v>16728.7876</v>
      </c>
      <c r="J178" s="6" t="s">
        <v>357</v>
      </c>
    </row>
    <row r="179" spans="1:10" ht="75" hidden="1">
      <c r="A179" s="10">
        <v>45572</v>
      </c>
      <c r="B179" s="6" t="s">
        <v>7355</v>
      </c>
      <c r="C179" s="5" t="s">
        <v>434</v>
      </c>
      <c r="D179" s="8" t="s">
        <v>354</v>
      </c>
      <c r="E179" s="6" t="s">
        <v>355</v>
      </c>
      <c r="F179" s="6" t="s">
        <v>356</v>
      </c>
      <c r="G179" s="5">
        <v>58686</v>
      </c>
      <c r="H179" s="5">
        <v>0.33529999999999999</v>
      </c>
      <c r="I179" s="20">
        <f t="shared" si="2"/>
        <v>19677.415799999999</v>
      </c>
      <c r="J179" s="6" t="s">
        <v>357</v>
      </c>
    </row>
    <row r="180" spans="1:10" ht="60" hidden="1">
      <c r="A180" s="10">
        <v>45572</v>
      </c>
      <c r="B180" s="6" t="s">
        <v>7356</v>
      </c>
      <c r="C180" s="5" t="s">
        <v>436</v>
      </c>
      <c r="D180" s="8" t="s">
        <v>354</v>
      </c>
      <c r="E180" s="6" t="s">
        <v>355</v>
      </c>
      <c r="F180" s="6" t="s">
        <v>363</v>
      </c>
      <c r="G180" s="5">
        <v>67637</v>
      </c>
      <c r="H180" s="5">
        <v>0.33529999999999999</v>
      </c>
      <c r="I180" s="20">
        <f t="shared" si="2"/>
        <v>22678.686099999999</v>
      </c>
      <c r="J180" s="6" t="s">
        <v>357</v>
      </c>
    </row>
    <row r="181" spans="1:10" ht="45" hidden="1">
      <c r="A181" s="10">
        <v>45572</v>
      </c>
      <c r="B181" s="6" t="s">
        <v>7357</v>
      </c>
      <c r="C181" s="5" t="s">
        <v>438</v>
      </c>
      <c r="D181" s="8" t="s">
        <v>354</v>
      </c>
      <c r="E181" s="6" t="s">
        <v>355</v>
      </c>
      <c r="F181" s="6" t="s">
        <v>363</v>
      </c>
      <c r="G181" s="5">
        <v>62984</v>
      </c>
      <c r="H181" s="5">
        <v>0.33529999999999999</v>
      </c>
      <c r="I181" s="20">
        <f t="shared" si="2"/>
        <v>21118.535199999998</v>
      </c>
      <c r="J181" s="6" t="s">
        <v>357</v>
      </c>
    </row>
    <row r="182" spans="1:10" ht="45" hidden="1">
      <c r="A182" s="10">
        <v>45572</v>
      </c>
      <c r="B182" s="6" t="s">
        <v>7358</v>
      </c>
      <c r="C182" s="5" t="s">
        <v>440</v>
      </c>
      <c r="D182" s="8" t="s">
        <v>354</v>
      </c>
      <c r="E182" s="6" t="s">
        <v>355</v>
      </c>
      <c r="F182" s="6" t="s">
        <v>363</v>
      </c>
      <c r="G182" s="5">
        <v>53969</v>
      </c>
      <c r="H182" s="5">
        <v>0.33529999999999999</v>
      </c>
      <c r="I182" s="20">
        <f t="shared" si="2"/>
        <v>18095.805700000001</v>
      </c>
      <c r="J182" s="6" t="s">
        <v>357</v>
      </c>
    </row>
    <row r="183" spans="1:10" ht="75" hidden="1">
      <c r="A183" s="10">
        <v>45572</v>
      </c>
      <c r="B183" s="6" t="s">
        <v>7359</v>
      </c>
      <c r="C183" s="5" t="s">
        <v>442</v>
      </c>
      <c r="D183" s="8" t="s">
        <v>354</v>
      </c>
      <c r="E183" s="6" t="s">
        <v>355</v>
      </c>
      <c r="F183" s="6" t="s">
        <v>356</v>
      </c>
      <c r="G183" s="5">
        <v>602253</v>
      </c>
      <c r="H183" s="5">
        <v>0.33529999999999999</v>
      </c>
      <c r="I183" s="20">
        <f t="shared" si="2"/>
        <v>201935.43090000001</v>
      </c>
      <c r="J183" s="6" t="s">
        <v>357</v>
      </c>
    </row>
    <row r="184" spans="1:10" ht="75" hidden="1">
      <c r="A184" s="10">
        <v>45572</v>
      </c>
      <c r="B184" s="6" t="s">
        <v>7360</v>
      </c>
      <c r="C184" s="5" t="s">
        <v>444</v>
      </c>
      <c r="D184" s="8" t="s">
        <v>354</v>
      </c>
      <c r="E184" s="6" t="s">
        <v>355</v>
      </c>
      <c r="F184" s="6" t="s">
        <v>356</v>
      </c>
      <c r="G184" s="5">
        <v>70884</v>
      </c>
      <c r="H184" s="5">
        <v>0.33529999999999999</v>
      </c>
      <c r="I184" s="20">
        <f t="shared" si="2"/>
        <v>23767.405199999997</v>
      </c>
      <c r="J184" s="6" t="s">
        <v>357</v>
      </c>
    </row>
    <row r="185" spans="1:10" ht="60" hidden="1">
      <c r="A185" s="10">
        <v>45572</v>
      </c>
      <c r="B185" s="6" t="s">
        <v>7361</v>
      </c>
      <c r="C185" s="5" t="s">
        <v>446</v>
      </c>
      <c r="D185" s="8" t="s">
        <v>354</v>
      </c>
      <c r="E185" s="6" t="s">
        <v>355</v>
      </c>
      <c r="F185" s="6" t="s">
        <v>363</v>
      </c>
      <c r="G185" s="5">
        <v>73903</v>
      </c>
      <c r="H185" s="5">
        <v>0.33529999999999999</v>
      </c>
      <c r="I185" s="20">
        <f t="shared" si="2"/>
        <v>24779.675899999998</v>
      </c>
      <c r="J185" s="6" t="s">
        <v>357</v>
      </c>
    </row>
    <row r="186" spans="1:10" ht="45" hidden="1">
      <c r="A186" s="10">
        <v>45572</v>
      </c>
      <c r="B186" s="6" t="s">
        <v>7362</v>
      </c>
      <c r="C186" s="5" t="s">
        <v>448</v>
      </c>
      <c r="D186" s="8" t="s">
        <v>354</v>
      </c>
      <c r="E186" s="6" t="s">
        <v>355</v>
      </c>
      <c r="F186" s="6" t="s">
        <v>363</v>
      </c>
      <c r="G186" s="5">
        <v>73611</v>
      </c>
      <c r="H186" s="5">
        <v>0.33529999999999999</v>
      </c>
      <c r="I186" s="20">
        <f t="shared" si="2"/>
        <v>24681.7683</v>
      </c>
      <c r="J186" s="6" t="s">
        <v>357</v>
      </c>
    </row>
    <row r="187" spans="1:10" ht="45" hidden="1">
      <c r="A187" s="10">
        <v>45572</v>
      </c>
      <c r="B187" s="6" t="s">
        <v>7363</v>
      </c>
      <c r="C187" s="5" t="s">
        <v>450</v>
      </c>
      <c r="D187" s="8" t="s">
        <v>354</v>
      </c>
      <c r="E187" s="6" t="s">
        <v>355</v>
      </c>
      <c r="F187" s="6" t="s">
        <v>363</v>
      </c>
      <c r="G187" s="5">
        <v>58976</v>
      </c>
      <c r="H187" s="5">
        <v>0.33529999999999999</v>
      </c>
      <c r="I187" s="20">
        <f t="shared" si="2"/>
        <v>19774.6528</v>
      </c>
      <c r="J187" s="6" t="s">
        <v>357</v>
      </c>
    </row>
    <row r="188" spans="1:10" ht="60" hidden="1">
      <c r="A188" s="10">
        <v>45572</v>
      </c>
      <c r="B188" s="6" t="s">
        <v>7364</v>
      </c>
      <c r="C188" s="5" t="s">
        <v>452</v>
      </c>
      <c r="D188" s="8" t="s">
        <v>354</v>
      </c>
      <c r="E188" s="6" t="s">
        <v>355</v>
      </c>
      <c r="F188" s="6" t="s">
        <v>363</v>
      </c>
      <c r="G188" s="5">
        <v>190135</v>
      </c>
      <c r="H188" s="5">
        <v>0.33529999999999999</v>
      </c>
      <c r="I188" s="20">
        <f t="shared" si="2"/>
        <v>63752.265499999994</v>
      </c>
      <c r="J188" s="6" t="s">
        <v>357</v>
      </c>
    </row>
    <row r="189" spans="1:10" ht="45" hidden="1">
      <c r="A189" s="10">
        <v>45572</v>
      </c>
      <c r="B189" s="6" t="s">
        <v>7365</v>
      </c>
      <c r="C189" s="5" t="s">
        <v>456</v>
      </c>
      <c r="D189" s="8" t="s">
        <v>354</v>
      </c>
      <c r="E189" s="6" t="s">
        <v>355</v>
      </c>
      <c r="F189" s="6" t="s">
        <v>363</v>
      </c>
      <c r="G189" s="5">
        <v>151845</v>
      </c>
      <c r="H189" s="5">
        <v>0.33529999999999999</v>
      </c>
      <c r="I189" s="20">
        <f t="shared" si="2"/>
        <v>50913.628499999999</v>
      </c>
      <c r="J189" s="6" t="s">
        <v>357</v>
      </c>
    </row>
    <row r="190" spans="1:10" ht="60" hidden="1">
      <c r="A190" s="10">
        <v>45572</v>
      </c>
      <c r="B190" s="6" t="s">
        <v>7366</v>
      </c>
      <c r="C190" s="5" t="s">
        <v>457</v>
      </c>
      <c r="D190" s="8" t="s">
        <v>354</v>
      </c>
      <c r="E190" s="6" t="s">
        <v>355</v>
      </c>
      <c r="F190" s="6" t="s">
        <v>363</v>
      </c>
      <c r="G190" s="5">
        <v>241902</v>
      </c>
      <c r="H190" s="5">
        <v>0.33529999999999999</v>
      </c>
      <c r="I190" s="20">
        <f t="shared" si="2"/>
        <v>81109.74059999999</v>
      </c>
      <c r="J190" s="6" t="s">
        <v>357</v>
      </c>
    </row>
    <row r="191" spans="1:10" ht="45" hidden="1">
      <c r="A191" s="10">
        <v>45572</v>
      </c>
      <c r="B191" s="6" t="s">
        <v>7367</v>
      </c>
      <c r="C191" s="5" t="s">
        <v>460</v>
      </c>
      <c r="D191" s="8" t="s">
        <v>354</v>
      </c>
      <c r="E191" s="6" t="s">
        <v>355</v>
      </c>
      <c r="F191" s="6" t="s">
        <v>363</v>
      </c>
      <c r="G191" s="5">
        <v>193206</v>
      </c>
      <c r="H191" s="5">
        <v>0.33529999999999999</v>
      </c>
      <c r="I191" s="20">
        <f t="shared" si="2"/>
        <v>64781.971799999999</v>
      </c>
      <c r="J191" s="6" t="s">
        <v>357</v>
      </c>
    </row>
    <row r="192" spans="1:10" ht="45" hidden="1">
      <c r="A192" s="10">
        <v>45572</v>
      </c>
      <c r="B192" s="6" t="s">
        <v>7368</v>
      </c>
      <c r="C192" s="5" t="s">
        <v>463</v>
      </c>
      <c r="D192" s="8" t="s">
        <v>354</v>
      </c>
      <c r="E192" s="6" t="s">
        <v>355</v>
      </c>
      <c r="F192" s="6" t="s">
        <v>363</v>
      </c>
      <c r="G192" s="5">
        <v>26359</v>
      </c>
      <c r="H192" s="5">
        <v>0.33529999999999999</v>
      </c>
      <c r="I192" s="20">
        <f t="shared" si="2"/>
        <v>8838.1726999999992</v>
      </c>
      <c r="J192" s="6" t="s">
        <v>357</v>
      </c>
    </row>
    <row r="193" spans="1:10" ht="75" hidden="1">
      <c r="A193" s="256">
        <v>45320</v>
      </c>
      <c r="B193" s="6" t="s">
        <v>7369</v>
      </c>
      <c r="C193" s="5" t="s">
        <v>359</v>
      </c>
      <c r="D193" s="8" t="s">
        <v>354</v>
      </c>
      <c r="E193" s="6" t="s">
        <v>355</v>
      </c>
      <c r="F193" s="6" t="s">
        <v>356</v>
      </c>
      <c r="G193" s="5">
        <f>13213+8298+1256+985</f>
        <v>23752</v>
      </c>
      <c r="H193" s="5">
        <v>0.33529999999999999</v>
      </c>
      <c r="I193" s="20">
        <f t="shared" si="2"/>
        <v>7964.0455999999995</v>
      </c>
      <c r="J193" s="6" t="s">
        <v>357</v>
      </c>
    </row>
    <row r="194" spans="1:10" ht="75" hidden="1">
      <c r="A194" s="256">
        <v>45320</v>
      </c>
      <c r="B194" s="6" t="s">
        <v>7370</v>
      </c>
      <c r="C194" s="5" t="s">
        <v>361</v>
      </c>
      <c r="D194" s="8" t="s">
        <v>354</v>
      </c>
      <c r="E194" s="6" t="s">
        <v>355</v>
      </c>
      <c r="F194" s="6" t="s">
        <v>356</v>
      </c>
      <c r="G194" s="5">
        <f>17496+8298+1256+985</f>
        <v>28035</v>
      </c>
      <c r="H194" s="5">
        <v>0.33529999999999999</v>
      </c>
      <c r="I194" s="20">
        <f t="shared" si="2"/>
        <v>9400.1355000000003</v>
      </c>
      <c r="J194" s="6" t="s">
        <v>357</v>
      </c>
    </row>
    <row r="195" spans="1:10" ht="60" hidden="1">
      <c r="A195" s="256">
        <v>45321</v>
      </c>
      <c r="B195" s="6" t="s">
        <v>7371</v>
      </c>
      <c r="C195" s="5" t="s">
        <v>364</v>
      </c>
      <c r="D195" s="8" t="s">
        <v>354</v>
      </c>
      <c r="E195" s="6" t="s">
        <v>355</v>
      </c>
      <c r="F195" s="6" t="s">
        <v>363</v>
      </c>
      <c r="G195" s="5">
        <f>30243+9538+1256</f>
        <v>41037</v>
      </c>
      <c r="H195" s="5">
        <v>0.33529999999999999</v>
      </c>
      <c r="I195" s="20">
        <f t="shared" ref="I195:I258" si="3">H195*G195</f>
        <v>13759.706099999999</v>
      </c>
      <c r="J195" s="6" t="s">
        <v>357</v>
      </c>
    </row>
    <row r="196" spans="1:10" ht="45" hidden="1">
      <c r="A196" s="10">
        <v>45325</v>
      </c>
      <c r="B196" s="6" t="s">
        <v>7372</v>
      </c>
      <c r="C196" s="5" t="s">
        <v>366</v>
      </c>
      <c r="D196" s="8" t="s">
        <v>354</v>
      </c>
      <c r="E196" s="6" t="s">
        <v>355</v>
      </c>
      <c r="F196" s="6" t="s">
        <v>363</v>
      </c>
      <c r="G196" s="5">
        <f>23967+9538</f>
        <v>33505</v>
      </c>
      <c r="H196" s="5">
        <v>0.33529999999999999</v>
      </c>
      <c r="I196" s="20">
        <f t="shared" si="3"/>
        <v>11234.226499999999</v>
      </c>
      <c r="J196" s="6" t="s">
        <v>357</v>
      </c>
    </row>
    <row r="197" spans="1:10" ht="75" hidden="1">
      <c r="A197" s="10">
        <v>45325</v>
      </c>
      <c r="B197" s="6" t="s">
        <v>7373</v>
      </c>
      <c r="C197" s="5" t="s">
        <v>368</v>
      </c>
      <c r="D197" s="8" t="s">
        <v>354</v>
      </c>
      <c r="E197" s="6" t="s">
        <v>355</v>
      </c>
      <c r="F197" s="6" t="s">
        <v>356</v>
      </c>
      <c r="G197" s="5">
        <f>14068+8298+1256+985</f>
        <v>24607</v>
      </c>
      <c r="H197" s="5">
        <v>0.33529999999999999</v>
      </c>
      <c r="I197" s="20">
        <f t="shared" si="3"/>
        <v>8250.7271000000001</v>
      </c>
      <c r="J197" s="6" t="s">
        <v>357</v>
      </c>
    </row>
    <row r="198" spans="1:10" ht="75" hidden="1">
      <c r="A198" s="10">
        <v>45572</v>
      </c>
      <c r="B198" s="6" t="s">
        <v>7374</v>
      </c>
      <c r="C198" s="5" t="s">
        <v>370</v>
      </c>
      <c r="D198" s="8" t="s">
        <v>354</v>
      </c>
      <c r="E198" s="6" t="s">
        <v>355</v>
      </c>
      <c r="F198" s="6" t="s">
        <v>356</v>
      </c>
      <c r="G198" s="5">
        <v>29029</v>
      </c>
      <c r="H198" s="5">
        <v>0.33529999999999999</v>
      </c>
      <c r="I198" s="20">
        <f t="shared" si="3"/>
        <v>9733.4236999999994</v>
      </c>
      <c r="J198" s="6" t="s">
        <v>357</v>
      </c>
    </row>
    <row r="199" spans="1:10" ht="60" hidden="1">
      <c r="A199" s="10">
        <v>45572</v>
      </c>
      <c r="B199" s="6" t="s">
        <v>7375</v>
      </c>
      <c r="C199" s="5" t="s">
        <v>372</v>
      </c>
      <c r="D199" s="8" t="s">
        <v>354</v>
      </c>
      <c r="E199" s="6" t="s">
        <v>355</v>
      </c>
      <c r="F199" s="6" t="s">
        <v>363</v>
      </c>
      <c r="G199" s="5">
        <v>42168</v>
      </c>
      <c r="H199" s="5">
        <v>0.33529999999999999</v>
      </c>
      <c r="I199" s="20">
        <f t="shared" si="3"/>
        <v>14138.930399999999</v>
      </c>
      <c r="J199" s="6" t="s">
        <v>357</v>
      </c>
    </row>
    <row r="200" spans="1:10" ht="45" hidden="1">
      <c r="A200" s="10">
        <v>45572</v>
      </c>
      <c r="B200" s="6" t="s">
        <v>7376</v>
      </c>
      <c r="C200" s="5" t="s">
        <v>374</v>
      </c>
      <c r="D200" s="8" t="s">
        <v>354</v>
      </c>
      <c r="E200" s="6" t="s">
        <v>355</v>
      </c>
      <c r="F200" s="6" t="s">
        <v>363</v>
      </c>
      <c r="G200" s="5">
        <v>34857</v>
      </c>
      <c r="H200" s="5">
        <v>0.33529999999999999</v>
      </c>
      <c r="I200" s="20">
        <f t="shared" si="3"/>
        <v>11687.552099999999</v>
      </c>
      <c r="J200" s="6" t="s">
        <v>357</v>
      </c>
    </row>
    <row r="201" spans="1:10" ht="45" hidden="1">
      <c r="A201" s="10">
        <v>45572</v>
      </c>
      <c r="B201" s="6" t="s">
        <v>7377</v>
      </c>
      <c r="C201" s="5" t="s">
        <v>376</v>
      </c>
      <c r="D201" s="8" t="s">
        <v>354</v>
      </c>
      <c r="E201" s="6" t="s">
        <v>355</v>
      </c>
      <c r="F201" s="6" t="s">
        <v>363</v>
      </c>
      <c r="G201" s="5">
        <v>33537</v>
      </c>
      <c r="H201" s="5">
        <v>0.33529999999999999</v>
      </c>
      <c r="I201" s="20">
        <f t="shared" si="3"/>
        <v>11244.956099999999</v>
      </c>
      <c r="J201" s="6" t="s">
        <v>357</v>
      </c>
    </row>
    <row r="202" spans="1:10" ht="75" hidden="1">
      <c r="A202" s="10">
        <v>45572</v>
      </c>
      <c r="B202" s="6" t="s">
        <v>7378</v>
      </c>
      <c r="C202" s="5" t="s">
        <v>378</v>
      </c>
      <c r="D202" s="8" t="s">
        <v>354</v>
      </c>
      <c r="E202" s="6" t="s">
        <v>355</v>
      </c>
      <c r="F202" s="6" t="s">
        <v>356</v>
      </c>
      <c r="G202" s="5">
        <v>26690</v>
      </c>
      <c r="H202" s="5">
        <v>0.33529999999999999</v>
      </c>
      <c r="I202" s="20">
        <f t="shared" si="3"/>
        <v>8949.1569999999992</v>
      </c>
      <c r="J202" s="6" t="s">
        <v>357</v>
      </c>
    </row>
    <row r="203" spans="1:10" ht="75" hidden="1">
      <c r="A203" s="10">
        <v>45572</v>
      </c>
      <c r="B203" s="13" t="s">
        <v>7379</v>
      </c>
      <c r="C203" s="11" t="s">
        <v>380</v>
      </c>
      <c r="D203" s="12" t="s">
        <v>354</v>
      </c>
      <c r="E203" s="6" t="s">
        <v>355</v>
      </c>
      <c r="F203" s="6" t="s">
        <v>356</v>
      </c>
      <c r="G203" s="5">
        <v>31536</v>
      </c>
      <c r="H203" s="5">
        <v>0.33529999999999999</v>
      </c>
      <c r="I203" s="20">
        <f t="shared" si="3"/>
        <v>10574.0208</v>
      </c>
      <c r="J203" s="6" t="s">
        <v>357</v>
      </c>
    </row>
    <row r="204" spans="1:10" ht="60" hidden="1">
      <c r="A204" s="10">
        <v>45572</v>
      </c>
      <c r="B204" s="6" t="s">
        <v>7380</v>
      </c>
      <c r="C204" s="5" t="s">
        <v>382</v>
      </c>
      <c r="D204" s="8" t="s">
        <v>354</v>
      </c>
      <c r="E204" s="6" t="s">
        <v>355</v>
      </c>
      <c r="F204" s="6" t="s">
        <v>363</v>
      </c>
      <c r="G204" s="5">
        <v>44713</v>
      </c>
      <c r="H204" s="5">
        <v>0.33529999999999999</v>
      </c>
      <c r="I204" s="20">
        <f t="shared" si="3"/>
        <v>14992.268899999999</v>
      </c>
      <c r="J204" s="6" t="s">
        <v>357</v>
      </c>
    </row>
    <row r="205" spans="1:10" ht="45" hidden="1">
      <c r="A205" s="10">
        <v>45572</v>
      </c>
      <c r="B205" s="6" t="s">
        <v>7381</v>
      </c>
      <c r="C205" s="5" t="s">
        <v>384</v>
      </c>
      <c r="D205" s="8" t="s">
        <v>354</v>
      </c>
      <c r="E205" s="6" t="s">
        <v>355</v>
      </c>
      <c r="F205" s="6" t="s">
        <v>363</v>
      </c>
      <c r="G205" s="5">
        <v>37845</v>
      </c>
      <c r="H205" s="5">
        <v>0.33529999999999999</v>
      </c>
      <c r="I205" s="20">
        <f t="shared" si="3"/>
        <v>12689.4285</v>
      </c>
      <c r="J205" s="6" t="s">
        <v>357</v>
      </c>
    </row>
    <row r="206" spans="1:10" ht="45" hidden="1">
      <c r="A206" s="10">
        <v>45572</v>
      </c>
      <c r="B206" s="6" t="s">
        <v>7382</v>
      </c>
      <c r="C206" s="5" t="s">
        <v>386</v>
      </c>
      <c r="D206" s="8" t="s">
        <v>354</v>
      </c>
      <c r="E206" s="6" t="s">
        <v>355</v>
      </c>
      <c r="F206" s="6" t="s">
        <v>363</v>
      </c>
      <c r="G206" s="5">
        <v>35571</v>
      </c>
      <c r="H206" s="5">
        <v>0.33529999999999999</v>
      </c>
      <c r="I206" s="20">
        <f t="shared" si="3"/>
        <v>11926.9563</v>
      </c>
      <c r="J206" s="6" t="s">
        <v>357</v>
      </c>
    </row>
    <row r="207" spans="1:10" ht="75" hidden="1">
      <c r="A207" s="10">
        <v>45572</v>
      </c>
      <c r="B207" s="6" t="s">
        <v>7383</v>
      </c>
      <c r="C207" s="5" t="s">
        <v>388</v>
      </c>
      <c r="D207" s="8" t="s">
        <v>354</v>
      </c>
      <c r="E207" s="6" t="s">
        <v>355</v>
      </c>
      <c r="F207" s="6" t="s">
        <v>356</v>
      </c>
      <c r="G207" s="5">
        <v>28707</v>
      </c>
      <c r="H207" s="5">
        <v>0.33529999999999999</v>
      </c>
      <c r="I207" s="20">
        <f t="shared" si="3"/>
        <v>9625.4570999999996</v>
      </c>
      <c r="J207" s="6" t="s">
        <v>357</v>
      </c>
    </row>
    <row r="208" spans="1:10" ht="75" hidden="1">
      <c r="A208" s="10">
        <v>45572</v>
      </c>
      <c r="B208" s="6" t="s">
        <v>7384</v>
      </c>
      <c r="C208" s="5" t="s">
        <v>390</v>
      </c>
      <c r="D208" s="8" t="s">
        <v>354</v>
      </c>
      <c r="E208" s="6" t="s">
        <v>355</v>
      </c>
      <c r="F208" s="6" t="s">
        <v>356</v>
      </c>
      <c r="G208" s="5">
        <v>33860</v>
      </c>
      <c r="H208" s="5">
        <v>0.33529999999999999</v>
      </c>
      <c r="I208" s="20">
        <f t="shared" si="3"/>
        <v>11353.258</v>
      </c>
      <c r="J208" s="6" t="s">
        <v>357</v>
      </c>
    </row>
    <row r="209" spans="1:10" ht="60" hidden="1">
      <c r="A209" s="10">
        <v>45572</v>
      </c>
      <c r="B209" s="6" t="s">
        <v>7385</v>
      </c>
      <c r="C209" s="5" t="s">
        <v>392</v>
      </c>
      <c r="D209" s="8" t="s">
        <v>354</v>
      </c>
      <c r="E209" s="6" t="s">
        <v>355</v>
      </c>
      <c r="F209" s="6" t="s">
        <v>363</v>
      </c>
      <c r="G209" s="5">
        <v>46505</v>
      </c>
      <c r="H209" s="5">
        <v>0.33529999999999999</v>
      </c>
      <c r="I209" s="20">
        <f t="shared" si="3"/>
        <v>15593.126499999998</v>
      </c>
      <c r="J209" s="6" t="s">
        <v>357</v>
      </c>
    </row>
    <row r="210" spans="1:10" ht="45" hidden="1">
      <c r="A210" s="10">
        <v>45572</v>
      </c>
      <c r="B210" s="6" t="s">
        <v>7386</v>
      </c>
      <c r="C210" s="5" t="s">
        <v>394</v>
      </c>
      <c r="D210" s="8" t="s">
        <v>354</v>
      </c>
      <c r="E210" s="6" t="s">
        <v>355</v>
      </c>
      <c r="F210" s="6" t="s">
        <v>363</v>
      </c>
      <c r="G210" s="5">
        <v>39958</v>
      </c>
      <c r="H210" s="5">
        <v>0.33529999999999999</v>
      </c>
      <c r="I210" s="20">
        <f t="shared" si="3"/>
        <v>13397.9174</v>
      </c>
      <c r="J210" s="6" t="s">
        <v>357</v>
      </c>
    </row>
    <row r="211" spans="1:10" ht="45" hidden="1">
      <c r="A211" s="10">
        <v>45572</v>
      </c>
      <c r="B211" s="6" t="s">
        <v>7387</v>
      </c>
      <c r="C211" s="5" t="s">
        <v>396</v>
      </c>
      <c r="D211" s="8" t="s">
        <v>354</v>
      </c>
      <c r="E211" s="6" t="s">
        <v>355</v>
      </c>
      <c r="F211" s="6" t="s">
        <v>363</v>
      </c>
      <c r="G211" s="5">
        <v>37003</v>
      </c>
      <c r="H211" s="5">
        <v>0.33529999999999999</v>
      </c>
      <c r="I211" s="20">
        <f t="shared" si="3"/>
        <v>12407.105899999999</v>
      </c>
      <c r="J211" s="6" t="s">
        <v>357</v>
      </c>
    </row>
    <row r="212" spans="1:10" ht="75" hidden="1">
      <c r="A212" s="10">
        <v>45572</v>
      </c>
      <c r="B212" s="6" t="s">
        <v>7388</v>
      </c>
      <c r="C212" s="5" t="s">
        <v>413</v>
      </c>
      <c r="D212" s="8" t="s">
        <v>354</v>
      </c>
      <c r="E212" s="6" t="s">
        <v>355</v>
      </c>
      <c r="F212" s="6" t="s">
        <v>356</v>
      </c>
      <c r="G212" s="5">
        <v>39247</v>
      </c>
      <c r="H212" s="5">
        <v>0.33529999999999999</v>
      </c>
      <c r="I212" s="20">
        <f t="shared" si="3"/>
        <v>13159.5191</v>
      </c>
      <c r="J212" s="6" t="s">
        <v>357</v>
      </c>
    </row>
    <row r="213" spans="1:10" ht="75" hidden="1">
      <c r="A213" s="10">
        <v>45572</v>
      </c>
      <c r="B213" s="6" t="s">
        <v>7389</v>
      </c>
      <c r="C213" s="5" t="s">
        <v>414</v>
      </c>
      <c r="D213" s="8" t="s">
        <v>354</v>
      </c>
      <c r="E213" s="6" t="s">
        <v>355</v>
      </c>
      <c r="F213" s="6" t="s">
        <v>356</v>
      </c>
      <c r="G213" s="5">
        <v>46250</v>
      </c>
      <c r="H213" s="5">
        <v>0.33529999999999999</v>
      </c>
      <c r="I213" s="20">
        <f t="shared" si="3"/>
        <v>15507.625</v>
      </c>
      <c r="J213" s="6" t="s">
        <v>357</v>
      </c>
    </row>
    <row r="214" spans="1:10" ht="60" hidden="1">
      <c r="A214" s="10">
        <v>45572</v>
      </c>
      <c r="B214" s="6" t="s">
        <v>7390</v>
      </c>
      <c r="C214" s="5" t="s">
        <v>417</v>
      </c>
      <c r="D214" s="8" t="s">
        <v>354</v>
      </c>
      <c r="E214" s="6" t="s">
        <v>355</v>
      </c>
      <c r="F214" s="6" t="s">
        <v>363</v>
      </c>
      <c r="G214" s="5">
        <v>62767</v>
      </c>
      <c r="H214" s="5">
        <v>0.33529999999999999</v>
      </c>
      <c r="I214" s="20">
        <f t="shared" si="3"/>
        <v>21045.775099999999</v>
      </c>
      <c r="J214" s="6" t="s">
        <v>357</v>
      </c>
    </row>
    <row r="215" spans="1:10" ht="45" hidden="1">
      <c r="A215" s="10">
        <v>45572</v>
      </c>
      <c r="B215" s="6" t="s">
        <v>7391</v>
      </c>
      <c r="C215" s="5" t="s">
        <v>419</v>
      </c>
      <c r="D215" s="8" t="s">
        <v>354</v>
      </c>
      <c r="E215" s="6" t="s">
        <v>355</v>
      </c>
      <c r="F215" s="6" t="s">
        <v>363</v>
      </c>
      <c r="G215" s="5">
        <v>52898</v>
      </c>
      <c r="H215" s="5">
        <v>0.33529999999999999</v>
      </c>
      <c r="I215" s="20">
        <f t="shared" si="3"/>
        <v>17736.699399999998</v>
      </c>
      <c r="J215" s="6" t="s">
        <v>357</v>
      </c>
    </row>
    <row r="216" spans="1:10" ht="45" hidden="1">
      <c r="A216" s="10">
        <v>45572</v>
      </c>
      <c r="B216" s="6" t="s">
        <v>7392</v>
      </c>
      <c r="C216" s="5" t="s">
        <v>421</v>
      </c>
      <c r="D216" s="8" t="s">
        <v>354</v>
      </c>
      <c r="E216" s="6" t="s">
        <v>355</v>
      </c>
      <c r="F216" s="6" t="s">
        <v>363</v>
      </c>
      <c r="G216" s="5">
        <v>49996</v>
      </c>
      <c r="H216" s="5">
        <v>0.33529999999999999</v>
      </c>
      <c r="I216" s="20">
        <f t="shared" si="3"/>
        <v>16763.658800000001</v>
      </c>
      <c r="J216" s="6" t="s">
        <v>357</v>
      </c>
    </row>
    <row r="217" spans="1:10" ht="75" hidden="1">
      <c r="A217" s="10">
        <v>45572</v>
      </c>
      <c r="B217" s="6" t="s">
        <v>7393</v>
      </c>
      <c r="C217" s="5" t="s">
        <v>423</v>
      </c>
      <c r="D217" s="8" t="s">
        <v>354</v>
      </c>
      <c r="E217" s="6" t="s">
        <v>355</v>
      </c>
      <c r="F217" s="6" t="s">
        <v>356</v>
      </c>
      <c r="G217" s="5">
        <v>48947</v>
      </c>
      <c r="H217" s="5">
        <v>0.33529999999999999</v>
      </c>
      <c r="I217" s="20">
        <f t="shared" si="3"/>
        <v>16411.929099999998</v>
      </c>
      <c r="J217" s="6" t="s">
        <v>357</v>
      </c>
    </row>
    <row r="218" spans="1:10" ht="75" hidden="1">
      <c r="A218" s="10">
        <v>45572</v>
      </c>
      <c r="B218" s="6" t="s">
        <v>7394</v>
      </c>
      <c r="C218" s="5" t="s">
        <v>425</v>
      </c>
      <c r="D218" s="8" t="s">
        <v>354</v>
      </c>
      <c r="E218" s="6" t="s">
        <v>355</v>
      </c>
      <c r="F218" s="6" t="s">
        <v>356</v>
      </c>
      <c r="G218" s="5">
        <v>57674</v>
      </c>
      <c r="H218" s="5">
        <v>0.33529999999999999</v>
      </c>
      <c r="I218" s="20">
        <f t="shared" si="3"/>
        <v>19338.092199999999</v>
      </c>
      <c r="J218" s="6" t="s">
        <v>357</v>
      </c>
    </row>
    <row r="219" spans="1:10" ht="60" hidden="1">
      <c r="A219" s="10">
        <v>45572</v>
      </c>
      <c r="B219" s="6" t="s">
        <v>7395</v>
      </c>
      <c r="C219" s="5" t="s">
        <v>427</v>
      </c>
      <c r="D219" s="8" t="s">
        <v>354</v>
      </c>
      <c r="E219" s="6" t="s">
        <v>355</v>
      </c>
      <c r="F219" s="6" t="s">
        <v>363</v>
      </c>
      <c r="G219" s="5">
        <v>72275</v>
      </c>
      <c r="H219" s="5">
        <v>0.33529999999999999</v>
      </c>
      <c r="I219" s="20">
        <f t="shared" si="3"/>
        <v>24233.807499999999</v>
      </c>
      <c r="J219" s="6" t="s">
        <v>357</v>
      </c>
    </row>
    <row r="220" spans="1:10" ht="45" hidden="1">
      <c r="A220" s="10">
        <v>45572</v>
      </c>
      <c r="B220" s="6" t="s">
        <v>7396</v>
      </c>
      <c r="C220" s="5" t="s">
        <v>429</v>
      </c>
      <c r="D220" s="8" t="s">
        <v>354</v>
      </c>
      <c r="E220" s="6" t="s">
        <v>355</v>
      </c>
      <c r="F220" s="6" t="s">
        <v>363</v>
      </c>
      <c r="G220" s="5">
        <v>68117</v>
      </c>
      <c r="H220" s="5">
        <v>0.33529999999999999</v>
      </c>
      <c r="I220" s="20">
        <f t="shared" si="3"/>
        <v>22839.630099999998</v>
      </c>
      <c r="J220" s="6" t="s">
        <v>357</v>
      </c>
    </row>
    <row r="221" spans="1:10" ht="45" hidden="1">
      <c r="A221" s="10">
        <v>45572</v>
      </c>
      <c r="B221" s="6" t="s">
        <v>7397</v>
      </c>
      <c r="C221" s="16" t="s">
        <v>431</v>
      </c>
      <c r="D221" s="8" t="s">
        <v>354</v>
      </c>
      <c r="E221" s="6" t="s">
        <v>355</v>
      </c>
      <c r="F221" s="6" t="s">
        <v>363</v>
      </c>
      <c r="G221" s="5">
        <v>57593</v>
      </c>
      <c r="H221" s="5">
        <v>0.33529999999999999</v>
      </c>
      <c r="I221" s="20">
        <f t="shared" si="3"/>
        <v>19310.9329</v>
      </c>
      <c r="J221" s="6" t="s">
        <v>357</v>
      </c>
    </row>
    <row r="222" spans="1:10" ht="75" hidden="1">
      <c r="A222" s="10">
        <v>45572</v>
      </c>
      <c r="B222" s="6" t="s">
        <v>7398</v>
      </c>
      <c r="C222" s="16" t="s">
        <v>433</v>
      </c>
      <c r="D222" s="8" t="s">
        <v>354</v>
      </c>
      <c r="E222" s="6" t="s">
        <v>355</v>
      </c>
      <c r="F222" s="6" t="s">
        <v>356</v>
      </c>
      <c r="G222" s="5">
        <v>61804</v>
      </c>
      <c r="H222" s="5">
        <v>0.33529999999999999</v>
      </c>
      <c r="I222" s="20">
        <f t="shared" si="3"/>
        <v>20722.8812</v>
      </c>
      <c r="J222" s="6" t="s">
        <v>357</v>
      </c>
    </row>
    <row r="223" spans="1:10" ht="75" hidden="1">
      <c r="A223" s="10">
        <v>45572</v>
      </c>
      <c r="B223" s="6" t="s">
        <v>7399</v>
      </c>
      <c r="C223" s="16" t="s">
        <v>435</v>
      </c>
      <c r="D223" s="8" t="s">
        <v>354</v>
      </c>
      <c r="E223" s="6" t="s">
        <v>355</v>
      </c>
      <c r="F223" s="6" t="s">
        <v>356</v>
      </c>
      <c r="G223" s="5">
        <v>72797</v>
      </c>
      <c r="H223" s="5">
        <v>0.33529999999999999</v>
      </c>
      <c r="I223" s="20">
        <f t="shared" si="3"/>
        <v>24408.8341</v>
      </c>
      <c r="J223" s="6" t="s">
        <v>357</v>
      </c>
    </row>
    <row r="224" spans="1:10" ht="60" hidden="1">
      <c r="A224" s="10">
        <v>45572</v>
      </c>
      <c r="B224" s="6" t="s">
        <v>7400</v>
      </c>
      <c r="C224" s="16" t="s">
        <v>437</v>
      </c>
      <c r="D224" s="8" t="s">
        <v>354</v>
      </c>
      <c r="E224" s="6" t="s">
        <v>355</v>
      </c>
      <c r="F224" s="6" t="s">
        <v>363</v>
      </c>
      <c r="G224" s="5">
        <v>84231</v>
      </c>
      <c r="H224" s="5">
        <v>0.33529999999999999</v>
      </c>
      <c r="I224" s="20">
        <f t="shared" si="3"/>
        <v>28242.654299999998</v>
      </c>
      <c r="J224" s="6" t="s">
        <v>357</v>
      </c>
    </row>
    <row r="225" spans="1:10" ht="45" hidden="1">
      <c r="A225" s="10">
        <v>45572</v>
      </c>
      <c r="B225" s="6" t="s">
        <v>7401</v>
      </c>
      <c r="C225" s="5" t="s">
        <v>439</v>
      </c>
      <c r="D225" s="8" t="s">
        <v>354</v>
      </c>
      <c r="E225" s="6" t="s">
        <v>355</v>
      </c>
      <c r="F225" s="6" t="s">
        <v>363</v>
      </c>
      <c r="G225" s="5">
        <v>78171</v>
      </c>
      <c r="H225" s="5">
        <v>0.33529999999999999</v>
      </c>
      <c r="I225" s="20">
        <f t="shared" si="3"/>
        <v>26210.7363</v>
      </c>
      <c r="J225" s="6" t="s">
        <v>357</v>
      </c>
    </row>
    <row r="226" spans="1:10" ht="45" hidden="1">
      <c r="A226" s="10">
        <v>45572</v>
      </c>
      <c r="B226" s="6" t="s">
        <v>7402</v>
      </c>
      <c r="C226" s="5" t="s">
        <v>441</v>
      </c>
      <c r="D226" s="8" t="s">
        <v>354</v>
      </c>
      <c r="E226" s="6" t="s">
        <v>355</v>
      </c>
      <c r="F226" s="6" t="s">
        <v>363</v>
      </c>
      <c r="G226" s="5">
        <v>67147</v>
      </c>
      <c r="H226" s="5">
        <v>0.33529999999999999</v>
      </c>
      <c r="I226" s="20">
        <f t="shared" si="3"/>
        <v>22514.3891</v>
      </c>
      <c r="J226" s="6" t="s">
        <v>357</v>
      </c>
    </row>
    <row r="227" spans="1:10" ht="75" hidden="1">
      <c r="A227" s="10">
        <v>45572</v>
      </c>
      <c r="B227" s="6" t="s">
        <v>7403</v>
      </c>
      <c r="C227" s="5" t="s">
        <v>443</v>
      </c>
      <c r="D227" s="8" t="s">
        <v>354</v>
      </c>
      <c r="E227" s="6" t="s">
        <v>355</v>
      </c>
      <c r="F227" s="6" t="s">
        <v>356</v>
      </c>
      <c r="G227" s="5">
        <v>74756</v>
      </c>
      <c r="H227" s="5">
        <v>0.33529999999999999</v>
      </c>
      <c r="I227" s="20">
        <f t="shared" si="3"/>
        <v>25065.686799999999</v>
      </c>
      <c r="J227" s="6" t="s">
        <v>357</v>
      </c>
    </row>
    <row r="228" spans="1:10" ht="75" hidden="1">
      <c r="A228" s="10">
        <v>45572</v>
      </c>
      <c r="B228" s="6" t="s">
        <v>7404</v>
      </c>
      <c r="C228" s="5" t="s">
        <v>445</v>
      </c>
      <c r="D228" s="8" t="s">
        <v>354</v>
      </c>
      <c r="E228" s="6" t="s">
        <v>355</v>
      </c>
      <c r="F228" s="6" t="s">
        <v>356</v>
      </c>
      <c r="G228" s="5">
        <v>88045</v>
      </c>
      <c r="H228" s="5">
        <v>0.33529999999999999</v>
      </c>
      <c r="I228" s="20">
        <f t="shared" si="3"/>
        <v>29521.488499999999</v>
      </c>
      <c r="J228" s="6" t="s">
        <v>357</v>
      </c>
    </row>
    <row r="229" spans="1:10" ht="60" hidden="1">
      <c r="A229" s="10">
        <v>45572</v>
      </c>
      <c r="B229" s="6" t="s">
        <v>7405</v>
      </c>
      <c r="C229" s="5" t="s">
        <v>447</v>
      </c>
      <c r="D229" s="8" t="s">
        <v>354</v>
      </c>
      <c r="E229" s="6" t="s">
        <v>355</v>
      </c>
      <c r="F229" s="6" t="s">
        <v>363</v>
      </c>
      <c r="G229" s="5">
        <v>92064</v>
      </c>
      <c r="H229" s="5">
        <v>0.33529999999999999</v>
      </c>
      <c r="I229" s="20">
        <f t="shared" si="3"/>
        <v>30869.0592</v>
      </c>
      <c r="J229" s="6" t="s">
        <v>357</v>
      </c>
    </row>
    <row r="230" spans="1:10" ht="45" hidden="1">
      <c r="A230" s="10">
        <v>45572</v>
      </c>
      <c r="B230" s="6" t="s">
        <v>7406</v>
      </c>
      <c r="C230" s="5" t="s">
        <v>449</v>
      </c>
      <c r="D230" s="8" t="s">
        <v>354</v>
      </c>
      <c r="E230" s="6" t="s">
        <v>355</v>
      </c>
      <c r="F230" s="6" t="s">
        <v>363</v>
      </c>
      <c r="G230" s="5">
        <v>91453</v>
      </c>
      <c r="H230" s="5">
        <v>0.33529999999999999</v>
      </c>
      <c r="I230" s="20">
        <f t="shared" si="3"/>
        <v>30664.190899999998</v>
      </c>
      <c r="J230" s="6" t="s">
        <v>357</v>
      </c>
    </row>
    <row r="231" spans="1:10" ht="45" hidden="1">
      <c r="A231" s="10">
        <v>45572</v>
      </c>
      <c r="B231" s="6" t="s">
        <v>7407</v>
      </c>
      <c r="C231" s="5" t="s">
        <v>451</v>
      </c>
      <c r="D231" s="8" t="s">
        <v>354</v>
      </c>
      <c r="E231" s="6" t="s">
        <v>355</v>
      </c>
      <c r="F231" s="6" t="s">
        <v>363</v>
      </c>
      <c r="G231" s="5">
        <v>73406</v>
      </c>
      <c r="H231" s="5">
        <v>0.33529999999999999</v>
      </c>
      <c r="I231" s="20">
        <f t="shared" si="3"/>
        <v>24613.031800000001</v>
      </c>
      <c r="J231" s="6" t="s">
        <v>357</v>
      </c>
    </row>
    <row r="232" spans="1:10" ht="60" hidden="1">
      <c r="A232" s="10">
        <v>45572</v>
      </c>
      <c r="B232" s="6" t="s">
        <v>7408</v>
      </c>
      <c r="C232" s="5" t="s">
        <v>453</v>
      </c>
      <c r="D232" s="8" t="s">
        <v>354</v>
      </c>
      <c r="E232" s="6" t="s">
        <v>355</v>
      </c>
      <c r="F232" s="6" t="s">
        <v>363</v>
      </c>
      <c r="G232" s="5">
        <v>246799</v>
      </c>
      <c r="H232" s="5">
        <v>0.33529999999999999</v>
      </c>
      <c r="I232" s="20">
        <f t="shared" si="3"/>
        <v>82751.704700000002</v>
      </c>
      <c r="J232" s="6" t="s">
        <v>357</v>
      </c>
    </row>
    <row r="233" spans="1:10" ht="75" hidden="1">
      <c r="A233" s="10">
        <v>45572</v>
      </c>
      <c r="B233" s="6" t="s">
        <v>7409</v>
      </c>
      <c r="C233" s="5" t="s">
        <v>454</v>
      </c>
      <c r="D233" s="8" t="s">
        <v>354</v>
      </c>
      <c r="E233" s="6" t="s">
        <v>355</v>
      </c>
      <c r="F233" s="6" t="s">
        <v>363</v>
      </c>
      <c r="G233" s="5">
        <v>191253</v>
      </c>
      <c r="H233" s="5">
        <v>0.33529999999999999</v>
      </c>
      <c r="I233" s="20">
        <f t="shared" si="3"/>
        <v>64127.130899999996</v>
      </c>
      <c r="J233" s="6" t="s">
        <v>357</v>
      </c>
    </row>
    <row r="234" spans="1:10" ht="45" hidden="1">
      <c r="A234" s="10">
        <v>45572</v>
      </c>
      <c r="B234" s="6" t="s">
        <v>7410</v>
      </c>
      <c r="C234" s="5" t="s">
        <v>455</v>
      </c>
      <c r="D234" s="8" t="s">
        <v>354</v>
      </c>
      <c r="E234" s="6" t="s">
        <v>355</v>
      </c>
      <c r="F234" s="6" t="s">
        <v>363</v>
      </c>
      <c r="G234" s="5">
        <v>197022</v>
      </c>
      <c r="H234" s="5">
        <v>0.33529999999999999</v>
      </c>
      <c r="I234" s="20">
        <f t="shared" si="3"/>
        <v>66061.476599999995</v>
      </c>
      <c r="J234" s="6" t="s">
        <v>357</v>
      </c>
    </row>
    <row r="235" spans="1:10" ht="60" hidden="1">
      <c r="A235" s="10">
        <v>45572</v>
      </c>
      <c r="B235" s="6" t="s">
        <v>7411</v>
      </c>
      <c r="C235" s="5" t="s">
        <v>458</v>
      </c>
      <c r="D235" s="8" t="s">
        <v>354</v>
      </c>
      <c r="E235" s="6" t="s">
        <v>355</v>
      </c>
      <c r="F235" s="6" t="s">
        <v>363</v>
      </c>
      <c r="G235" s="5">
        <v>314096</v>
      </c>
      <c r="H235" s="5">
        <v>0.33529999999999999</v>
      </c>
      <c r="I235" s="20">
        <f t="shared" si="3"/>
        <v>105316.3888</v>
      </c>
      <c r="J235" s="6" t="s">
        <v>357</v>
      </c>
    </row>
    <row r="236" spans="1:10" ht="75" hidden="1">
      <c r="A236" s="10">
        <v>45572</v>
      </c>
      <c r="B236" s="6" t="s">
        <v>7412</v>
      </c>
      <c r="C236" s="5" t="s">
        <v>459</v>
      </c>
      <c r="D236" s="8" t="s">
        <v>354</v>
      </c>
      <c r="E236" s="6" t="s">
        <v>355</v>
      </c>
      <c r="F236" s="6" t="s">
        <v>363</v>
      </c>
      <c r="G236" s="5">
        <v>239611</v>
      </c>
      <c r="H236" s="5">
        <v>0.33529999999999999</v>
      </c>
      <c r="I236" s="20">
        <f t="shared" si="3"/>
        <v>80341.568299999999</v>
      </c>
      <c r="J236" s="6" t="s">
        <v>357</v>
      </c>
    </row>
    <row r="237" spans="1:10" ht="45" hidden="1">
      <c r="A237" s="10">
        <v>45572</v>
      </c>
      <c r="B237" s="6" t="s">
        <v>7413</v>
      </c>
      <c r="C237" s="5" t="s">
        <v>461</v>
      </c>
      <c r="D237" s="8" t="s">
        <v>354</v>
      </c>
      <c r="E237" s="6" t="s">
        <v>355</v>
      </c>
      <c r="F237" s="6" t="s">
        <v>363</v>
      </c>
      <c r="G237" s="5">
        <v>250791</v>
      </c>
      <c r="H237" s="5">
        <v>0.33529999999999999</v>
      </c>
      <c r="I237" s="20">
        <f t="shared" si="3"/>
        <v>84090.222299999994</v>
      </c>
      <c r="J237" s="6" t="s">
        <v>357</v>
      </c>
    </row>
    <row r="238" spans="1:10" ht="45" hidden="1">
      <c r="A238" s="10">
        <v>45572</v>
      </c>
      <c r="B238" s="6" t="s">
        <v>7414</v>
      </c>
      <c r="C238" s="5" t="s">
        <v>462</v>
      </c>
      <c r="D238" s="8" t="s">
        <v>354</v>
      </c>
      <c r="E238" s="6" t="s">
        <v>355</v>
      </c>
      <c r="F238" s="6" t="s">
        <v>363</v>
      </c>
      <c r="G238" s="5">
        <v>32634</v>
      </c>
      <c r="H238" s="5">
        <v>0.33529999999999999</v>
      </c>
      <c r="I238" s="20">
        <f t="shared" si="3"/>
        <v>10942.180199999999</v>
      </c>
      <c r="J238" s="6" t="s">
        <v>357</v>
      </c>
    </row>
    <row r="239" spans="1:10" hidden="1">
      <c r="A239" s="10">
        <v>45321</v>
      </c>
      <c r="B239" s="6" t="s">
        <v>601</v>
      </c>
      <c r="C239" s="5" t="s">
        <v>600</v>
      </c>
      <c r="D239" s="8" t="s">
        <v>354</v>
      </c>
      <c r="E239" s="6" t="s">
        <v>602</v>
      </c>
      <c r="F239" s="6" t="s">
        <v>603</v>
      </c>
      <c r="G239" s="5">
        <v>325</v>
      </c>
      <c r="H239" s="5">
        <v>0.33529999999999999</v>
      </c>
      <c r="I239" s="20">
        <f t="shared" si="3"/>
        <v>108.9725</v>
      </c>
      <c r="J239" s="6" t="s">
        <v>357</v>
      </c>
    </row>
    <row r="240" spans="1:10" hidden="1">
      <c r="A240" s="10">
        <v>45321</v>
      </c>
      <c r="B240" s="6" t="s">
        <v>605</v>
      </c>
      <c r="C240" s="5" t="s">
        <v>604</v>
      </c>
      <c r="D240" s="8" t="s">
        <v>354</v>
      </c>
      <c r="E240" s="6" t="s">
        <v>602</v>
      </c>
      <c r="F240" s="6" t="s">
        <v>603</v>
      </c>
      <c r="G240" s="5">
        <v>476</v>
      </c>
      <c r="H240" s="5">
        <v>0.33529999999999999</v>
      </c>
      <c r="I240" s="20">
        <f t="shared" si="3"/>
        <v>159.6028</v>
      </c>
      <c r="J240" s="6" t="s">
        <v>357</v>
      </c>
    </row>
    <row r="241" spans="1:10" hidden="1">
      <c r="A241" s="10">
        <v>45321</v>
      </c>
      <c r="B241" s="6" t="s">
        <v>607</v>
      </c>
      <c r="C241" s="5" t="s">
        <v>606</v>
      </c>
      <c r="D241" s="8" t="s">
        <v>354</v>
      </c>
      <c r="E241" s="6" t="s">
        <v>602</v>
      </c>
      <c r="F241" s="6" t="s">
        <v>603</v>
      </c>
      <c r="G241" s="5">
        <v>10546</v>
      </c>
      <c r="H241" s="5">
        <v>0.33529999999999999</v>
      </c>
      <c r="I241" s="20">
        <f t="shared" si="3"/>
        <v>3536.0737999999997</v>
      </c>
      <c r="J241" s="6" t="s">
        <v>357</v>
      </c>
    </row>
    <row r="242" spans="1:10" hidden="1">
      <c r="A242" s="10">
        <v>45321</v>
      </c>
      <c r="B242" s="6" t="s">
        <v>609</v>
      </c>
      <c r="C242" s="5" t="s">
        <v>608</v>
      </c>
      <c r="D242" s="8" t="s">
        <v>354</v>
      </c>
      <c r="E242" s="6" t="s">
        <v>602</v>
      </c>
      <c r="F242" s="6" t="s">
        <v>603</v>
      </c>
      <c r="G242" s="5">
        <v>635</v>
      </c>
      <c r="H242" s="5">
        <v>0.33529999999999999</v>
      </c>
      <c r="I242" s="20">
        <f t="shared" si="3"/>
        <v>212.91549999999998</v>
      </c>
      <c r="J242" s="6" t="s">
        <v>357</v>
      </c>
    </row>
    <row r="243" spans="1:10" hidden="1">
      <c r="A243" s="10">
        <v>45321</v>
      </c>
      <c r="B243" s="6" t="s">
        <v>611</v>
      </c>
      <c r="C243" s="5" t="s">
        <v>610</v>
      </c>
      <c r="D243" s="8" t="s">
        <v>354</v>
      </c>
      <c r="E243" s="6" t="s">
        <v>602</v>
      </c>
      <c r="F243" s="6" t="s">
        <v>603</v>
      </c>
      <c r="G243" s="5">
        <v>1073</v>
      </c>
      <c r="H243" s="5">
        <v>0.33529999999999999</v>
      </c>
      <c r="I243" s="20">
        <f t="shared" si="3"/>
        <v>359.77690000000001</v>
      </c>
      <c r="J243" s="6" t="s">
        <v>357</v>
      </c>
    </row>
    <row r="244" spans="1:10" hidden="1">
      <c r="A244" s="10">
        <v>43648</v>
      </c>
      <c r="B244" s="6" t="s">
        <v>612</v>
      </c>
      <c r="C244" s="5" t="s">
        <v>305</v>
      </c>
      <c r="D244" s="8" t="s">
        <v>354</v>
      </c>
      <c r="E244" s="6" t="s">
        <v>410</v>
      </c>
      <c r="F244" s="6" t="s">
        <v>613</v>
      </c>
      <c r="G244" s="21">
        <v>65</v>
      </c>
      <c r="H244" s="5">
        <v>1</v>
      </c>
      <c r="I244" s="20">
        <f t="shared" si="3"/>
        <v>65</v>
      </c>
      <c r="J244" s="6" t="s">
        <v>357</v>
      </c>
    </row>
    <row r="245" spans="1:10" hidden="1">
      <c r="A245" s="9">
        <v>45813</v>
      </c>
      <c r="B245" s="6" t="s">
        <v>615</v>
      </c>
      <c r="C245" s="5" t="s">
        <v>614</v>
      </c>
      <c r="D245" s="8" t="s">
        <v>354</v>
      </c>
      <c r="E245" s="6" t="s">
        <v>602</v>
      </c>
      <c r="F245" s="6" t="s">
        <v>616</v>
      </c>
      <c r="G245" s="21">
        <v>137</v>
      </c>
      <c r="H245" s="5">
        <v>0.33529999999999999</v>
      </c>
      <c r="I245" s="20">
        <f t="shared" si="3"/>
        <v>45.936099999999996</v>
      </c>
      <c r="J245" s="6" t="s">
        <v>357</v>
      </c>
    </row>
    <row r="246" spans="1:10" hidden="1">
      <c r="A246" s="9">
        <v>45813</v>
      </c>
      <c r="B246" s="6" t="s">
        <v>618</v>
      </c>
      <c r="C246" s="5" t="s">
        <v>617</v>
      </c>
      <c r="D246" s="8" t="s">
        <v>354</v>
      </c>
      <c r="E246" s="6" t="s">
        <v>602</v>
      </c>
      <c r="F246" s="6" t="s">
        <v>616</v>
      </c>
      <c r="G246" s="5">
        <v>1445</v>
      </c>
      <c r="H246" s="5">
        <v>0.33529999999999999</v>
      </c>
      <c r="I246" s="20">
        <f t="shared" si="3"/>
        <v>484.50849999999997</v>
      </c>
      <c r="J246" s="6" t="s">
        <v>357</v>
      </c>
    </row>
    <row r="247" spans="1:10" hidden="1">
      <c r="A247" s="9">
        <v>45813</v>
      </c>
      <c r="B247" s="6" t="s">
        <v>620</v>
      </c>
      <c r="C247" s="5" t="s">
        <v>619</v>
      </c>
      <c r="D247" s="8" t="s">
        <v>354</v>
      </c>
      <c r="E247" s="6" t="s">
        <v>602</v>
      </c>
      <c r="F247" s="6" t="s">
        <v>616</v>
      </c>
      <c r="G247" s="21">
        <v>170</v>
      </c>
      <c r="H247" s="5">
        <v>0.33529999999999999</v>
      </c>
      <c r="I247" s="20">
        <f t="shared" si="3"/>
        <v>57.000999999999998</v>
      </c>
      <c r="J247" s="6" t="s">
        <v>357</v>
      </c>
    </row>
    <row r="248" spans="1:10" hidden="1">
      <c r="A248" s="9">
        <v>45813</v>
      </c>
      <c r="B248" s="6" t="s">
        <v>622</v>
      </c>
      <c r="C248" s="5" t="s">
        <v>621</v>
      </c>
      <c r="D248" s="8" t="s">
        <v>354</v>
      </c>
      <c r="E248" s="6" t="s">
        <v>602</v>
      </c>
      <c r="F248" s="6" t="s">
        <v>616</v>
      </c>
      <c r="G248" s="5">
        <v>2245</v>
      </c>
      <c r="H248" s="5">
        <v>0.33529999999999999</v>
      </c>
      <c r="I248" s="20">
        <f t="shared" si="3"/>
        <v>752.74849999999992</v>
      </c>
      <c r="J248" s="6" t="s">
        <v>357</v>
      </c>
    </row>
    <row r="249" spans="1:10" hidden="1">
      <c r="A249" s="9">
        <v>45813</v>
      </c>
      <c r="B249" s="6" t="s">
        <v>624</v>
      </c>
      <c r="C249" s="5" t="s">
        <v>623</v>
      </c>
      <c r="D249" s="8" t="s">
        <v>354</v>
      </c>
      <c r="E249" s="6" t="s">
        <v>602</v>
      </c>
      <c r="F249" s="6" t="s">
        <v>616</v>
      </c>
      <c r="G249" s="21">
        <v>213</v>
      </c>
      <c r="H249" s="5">
        <v>0.33529999999999999</v>
      </c>
      <c r="I249" s="20">
        <f t="shared" si="3"/>
        <v>71.418899999999994</v>
      </c>
      <c r="J249" s="6" t="s">
        <v>357</v>
      </c>
    </row>
    <row r="250" spans="1:10" hidden="1">
      <c r="A250" s="9">
        <v>45813</v>
      </c>
      <c r="B250" s="6" t="s">
        <v>626</v>
      </c>
      <c r="C250" s="5" t="s">
        <v>625</v>
      </c>
      <c r="D250" s="8" t="s">
        <v>354</v>
      </c>
      <c r="E250" s="6" t="s">
        <v>602</v>
      </c>
      <c r="F250" s="6" t="s">
        <v>616</v>
      </c>
      <c r="G250" s="5">
        <v>3124</v>
      </c>
      <c r="H250" s="5">
        <v>0.33529999999999999</v>
      </c>
      <c r="I250" s="20">
        <f t="shared" si="3"/>
        <v>1047.4772</v>
      </c>
      <c r="J250" s="6" t="s">
        <v>357</v>
      </c>
    </row>
    <row r="251" spans="1:10" hidden="1">
      <c r="A251" s="9">
        <v>45813</v>
      </c>
      <c r="B251" s="6" t="s">
        <v>628</v>
      </c>
      <c r="C251" s="5" t="s">
        <v>627</v>
      </c>
      <c r="D251" s="8" t="s">
        <v>354</v>
      </c>
      <c r="E251" s="6" t="s">
        <v>602</v>
      </c>
      <c r="F251" s="6" t="s">
        <v>616</v>
      </c>
      <c r="G251" s="5">
        <v>5169</v>
      </c>
      <c r="H251" s="5">
        <v>0.33529999999999999</v>
      </c>
      <c r="I251" s="20">
        <f t="shared" si="3"/>
        <v>1733.1657</v>
      </c>
      <c r="J251" s="6" t="s">
        <v>357</v>
      </c>
    </row>
    <row r="252" spans="1:10" hidden="1">
      <c r="A252" s="9">
        <v>45813</v>
      </c>
      <c r="B252" s="6" t="s">
        <v>630</v>
      </c>
      <c r="C252" s="5" t="s">
        <v>629</v>
      </c>
      <c r="D252" s="8" t="s">
        <v>354</v>
      </c>
      <c r="E252" s="6" t="s">
        <v>602</v>
      </c>
      <c r="F252" s="6" t="s">
        <v>616</v>
      </c>
      <c r="G252" s="21">
        <v>302</v>
      </c>
      <c r="H252" s="5">
        <v>0.33529999999999999</v>
      </c>
      <c r="I252" s="20">
        <f t="shared" si="3"/>
        <v>101.2606</v>
      </c>
      <c r="J252" s="6" t="s">
        <v>357</v>
      </c>
    </row>
    <row r="253" spans="1:10" hidden="1">
      <c r="A253" s="9">
        <v>45813</v>
      </c>
      <c r="B253" s="6" t="s">
        <v>632</v>
      </c>
      <c r="C253" s="5" t="s">
        <v>631</v>
      </c>
      <c r="D253" s="8" t="s">
        <v>354</v>
      </c>
      <c r="E253" s="6" t="s">
        <v>602</v>
      </c>
      <c r="F253" s="6" t="s">
        <v>616</v>
      </c>
      <c r="G253" s="5">
        <v>5958</v>
      </c>
      <c r="H253" s="5">
        <v>0.33529999999999999</v>
      </c>
      <c r="I253" s="20">
        <f t="shared" si="3"/>
        <v>1997.7174</v>
      </c>
      <c r="J253" s="6" t="s">
        <v>357</v>
      </c>
    </row>
    <row r="254" spans="1:10" hidden="1">
      <c r="A254" s="9">
        <v>45813</v>
      </c>
      <c r="B254" s="6" t="s">
        <v>634</v>
      </c>
      <c r="C254" s="5" t="s">
        <v>633</v>
      </c>
      <c r="D254" s="8" t="s">
        <v>354</v>
      </c>
      <c r="E254" s="6" t="s">
        <v>602</v>
      </c>
      <c r="F254" s="6" t="s">
        <v>616</v>
      </c>
      <c r="G254" s="5">
        <v>6527</v>
      </c>
      <c r="H254" s="5">
        <v>0.33529999999999999</v>
      </c>
      <c r="I254" s="20">
        <f t="shared" si="3"/>
        <v>2188.5030999999999</v>
      </c>
      <c r="J254" s="6" t="s">
        <v>357</v>
      </c>
    </row>
    <row r="255" spans="1:10" hidden="1">
      <c r="A255" s="9">
        <v>45813</v>
      </c>
      <c r="B255" s="6" t="s">
        <v>636</v>
      </c>
      <c r="C255" s="5" t="s">
        <v>635</v>
      </c>
      <c r="D255" s="8" t="s">
        <v>354</v>
      </c>
      <c r="E255" s="6" t="s">
        <v>602</v>
      </c>
      <c r="F255" s="6" t="s">
        <v>616</v>
      </c>
      <c r="G255" s="21">
        <v>388</v>
      </c>
      <c r="H255" s="5">
        <v>0.33529999999999999</v>
      </c>
      <c r="I255" s="20">
        <f t="shared" si="3"/>
        <v>130.09639999999999</v>
      </c>
      <c r="J255" s="6" t="s">
        <v>357</v>
      </c>
    </row>
    <row r="256" spans="1:10" hidden="1">
      <c r="A256" s="9">
        <v>45813</v>
      </c>
      <c r="B256" s="6" t="s">
        <v>638</v>
      </c>
      <c r="C256" s="5" t="s">
        <v>637</v>
      </c>
      <c r="D256" s="8" t="s">
        <v>354</v>
      </c>
      <c r="E256" s="6" t="s">
        <v>602</v>
      </c>
      <c r="F256" s="6" t="s">
        <v>616</v>
      </c>
      <c r="G256" s="5">
        <v>7017</v>
      </c>
      <c r="H256" s="5">
        <v>0.33529999999999999</v>
      </c>
      <c r="I256" s="20">
        <f t="shared" si="3"/>
        <v>2352.8000999999999</v>
      </c>
      <c r="J256" s="6" t="s">
        <v>357</v>
      </c>
    </row>
    <row r="257" spans="1:10" hidden="1">
      <c r="A257" s="9">
        <v>45813</v>
      </c>
      <c r="B257" s="6" t="s">
        <v>640</v>
      </c>
      <c r="C257" s="5" t="s">
        <v>639</v>
      </c>
      <c r="D257" s="8" t="s">
        <v>354</v>
      </c>
      <c r="E257" s="6" t="s">
        <v>602</v>
      </c>
      <c r="F257" s="6" t="s">
        <v>616</v>
      </c>
      <c r="G257" s="5">
        <v>476</v>
      </c>
      <c r="H257" s="5">
        <v>0.33529999999999999</v>
      </c>
      <c r="I257" s="20">
        <f t="shared" si="3"/>
        <v>159.6028</v>
      </c>
      <c r="J257" s="6" t="s">
        <v>357</v>
      </c>
    </row>
    <row r="258" spans="1:10" hidden="1">
      <c r="A258" s="9">
        <v>45813</v>
      </c>
      <c r="B258" s="6" t="s">
        <v>642</v>
      </c>
      <c r="C258" s="5" t="s">
        <v>641</v>
      </c>
      <c r="D258" s="8" t="s">
        <v>354</v>
      </c>
      <c r="E258" s="6" t="s">
        <v>602</v>
      </c>
      <c r="F258" s="6" t="s">
        <v>616</v>
      </c>
      <c r="G258" s="21">
        <v>666</v>
      </c>
      <c r="H258" s="5">
        <v>0.33529999999999999</v>
      </c>
      <c r="I258" s="20">
        <f t="shared" si="3"/>
        <v>223.3098</v>
      </c>
      <c r="J258" s="6" t="s">
        <v>357</v>
      </c>
    </row>
    <row r="259" spans="1:10" hidden="1">
      <c r="A259" s="9">
        <v>45813</v>
      </c>
      <c r="B259" s="6" t="s">
        <v>644</v>
      </c>
      <c r="C259" s="5" t="s">
        <v>643</v>
      </c>
      <c r="D259" s="8" t="s">
        <v>354</v>
      </c>
      <c r="E259" s="6" t="s">
        <v>602</v>
      </c>
      <c r="F259" s="6" t="s">
        <v>616</v>
      </c>
      <c r="G259" s="21">
        <v>984</v>
      </c>
      <c r="H259" s="5">
        <v>0.33529999999999999</v>
      </c>
      <c r="I259" s="20">
        <f t="shared" ref="I259:I322" si="4">H259*G259</f>
        <v>329.93520000000001</v>
      </c>
      <c r="J259" s="6" t="s">
        <v>357</v>
      </c>
    </row>
    <row r="260" spans="1:10" hidden="1">
      <c r="A260" s="9">
        <v>45813</v>
      </c>
      <c r="B260" s="6" t="s">
        <v>646</v>
      </c>
      <c r="C260" s="5" t="s">
        <v>645</v>
      </c>
      <c r="D260" s="8" t="s">
        <v>354</v>
      </c>
      <c r="E260" s="6" t="s">
        <v>602</v>
      </c>
      <c r="F260" s="6" t="s">
        <v>616</v>
      </c>
      <c r="G260" s="5">
        <v>1042</v>
      </c>
      <c r="H260" s="5">
        <v>0.33529999999999999</v>
      </c>
      <c r="I260" s="20">
        <f t="shared" si="4"/>
        <v>349.38259999999997</v>
      </c>
      <c r="J260" s="6" t="s">
        <v>357</v>
      </c>
    </row>
    <row r="261" spans="1:10" hidden="1">
      <c r="A261" s="9">
        <v>45813</v>
      </c>
      <c r="B261" s="6" t="s">
        <v>648</v>
      </c>
      <c r="C261" s="5" t="s">
        <v>647</v>
      </c>
      <c r="D261" s="8" t="s">
        <v>354</v>
      </c>
      <c r="E261" s="6" t="s">
        <v>602</v>
      </c>
      <c r="F261" s="6" t="s">
        <v>616</v>
      </c>
      <c r="G261" s="21">
        <v>1135</v>
      </c>
      <c r="H261" s="5">
        <v>0.33529999999999999</v>
      </c>
      <c r="I261" s="20">
        <f t="shared" si="4"/>
        <v>380.56549999999999</v>
      </c>
      <c r="J261" s="6" t="s">
        <v>357</v>
      </c>
    </row>
    <row r="262" spans="1:10" hidden="1">
      <c r="A262" s="10">
        <v>44169</v>
      </c>
      <c r="B262" s="6" t="s">
        <v>650</v>
      </c>
      <c r="C262" s="14" t="s">
        <v>649</v>
      </c>
      <c r="D262" s="8" t="s">
        <v>354</v>
      </c>
      <c r="E262" s="6" t="s">
        <v>466</v>
      </c>
      <c r="F262" s="6" t="s">
        <v>467</v>
      </c>
      <c r="G262" s="5">
        <v>3000</v>
      </c>
      <c r="H262" s="5">
        <v>1</v>
      </c>
      <c r="I262" s="20">
        <f t="shared" si="4"/>
        <v>3000</v>
      </c>
      <c r="J262" s="6" t="s">
        <v>357</v>
      </c>
    </row>
    <row r="263" spans="1:10" hidden="1">
      <c r="A263" s="10">
        <v>44169</v>
      </c>
      <c r="B263" s="6" t="s">
        <v>652</v>
      </c>
      <c r="C263" s="14" t="s">
        <v>651</v>
      </c>
      <c r="D263" s="8" t="s">
        <v>354</v>
      </c>
      <c r="E263" s="6" t="s">
        <v>466</v>
      </c>
      <c r="F263" s="6" t="s">
        <v>467</v>
      </c>
      <c r="G263" s="5">
        <v>2000</v>
      </c>
      <c r="H263" s="5">
        <v>1</v>
      </c>
      <c r="I263" s="20">
        <f t="shared" si="4"/>
        <v>2000</v>
      </c>
      <c r="J263" s="6" t="s">
        <v>357</v>
      </c>
    </row>
    <row r="264" spans="1:10" hidden="1">
      <c r="A264" s="9">
        <v>45814</v>
      </c>
      <c r="B264" s="6" t="s">
        <v>7091</v>
      </c>
      <c r="C264" s="5" t="s">
        <v>653</v>
      </c>
      <c r="D264" s="8" t="s">
        <v>354</v>
      </c>
      <c r="E264" s="6" t="s">
        <v>654</v>
      </c>
      <c r="F264" s="6" t="s">
        <v>655</v>
      </c>
      <c r="G264" s="5">
        <v>1062.8</v>
      </c>
      <c r="H264" s="5">
        <v>0.33529999999999999</v>
      </c>
      <c r="I264" s="20">
        <f t="shared" si="4"/>
        <v>356.35683999999998</v>
      </c>
      <c r="J264" s="6" t="s">
        <v>357</v>
      </c>
    </row>
    <row r="265" spans="1:10" hidden="1">
      <c r="A265" s="9">
        <v>45814</v>
      </c>
      <c r="B265" s="6" t="s">
        <v>7092</v>
      </c>
      <c r="C265" s="5" t="s">
        <v>656</v>
      </c>
      <c r="D265" s="8" t="s">
        <v>354</v>
      </c>
      <c r="E265" s="6" t="s">
        <v>654</v>
      </c>
      <c r="F265" s="6" t="s">
        <v>655</v>
      </c>
      <c r="G265" s="5">
        <v>1117.2</v>
      </c>
      <c r="H265" s="5">
        <v>0.33529999999999999</v>
      </c>
      <c r="I265" s="20">
        <f t="shared" si="4"/>
        <v>374.59715999999997</v>
      </c>
      <c r="J265" s="6" t="s">
        <v>357</v>
      </c>
    </row>
    <row r="266" spans="1:10" hidden="1">
      <c r="A266" s="9">
        <v>45814</v>
      </c>
      <c r="B266" s="6" t="s">
        <v>7093</v>
      </c>
      <c r="C266" s="5" t="s">
        <v>657</v>
      </c>
      <c r="D266" s="8" t="s">
        <v>354</v>
      </c>
      <c r="E266" s="6" t="s">
        <v>654</v>
      </c>
      <c r="F266" s="6" t="s">
        <v>655</v>
      </c>
      <c r="G266" s="5">
        <v>1174.4000000000001</v>
      </c>
      <c r="H266" s="5">
        <v>0.33529999999999999</v>
      </c>
      <c r="I266" s="20">
        <f t="shared" si="4"/>
        <v>393.77632</v>
      </c>
      <c r="J266" s="6" t="s">
        <v>357</v>
      </c>
    </row>
    <row r="267" spans="1:10" hidden="1">
      <c r="A267" s="9">
        <v>45814</v>
      </c>
      <c r="B267" s="6" t="s">
        <v>7094</v>
      </c>
      <c r="C267" s="5" t="s">
        <v>658</v>
      </c>
      <c r="D267" s="8" t="s">
        <v>354</v>
      </c>
      <c r="E267" s="6" t="s">
        <v>654</v>
      </c>
      <c r="F267" s="6" t="s">
        <v>655</v>
      </c>
      <c r="G267" s="5">
        <v>1062.8</v>
      </c>
      <c r="H267" s="5">
        <v>0.33529999999999999</v>
      </c>
      <c r="I267" s="20">
        <f t="shared" si="4"/>
        <v>356.35683999999998</v>
      </c>
      <c r="J267" s="6" t="s">
        <v>357</v>
      </c>
    </row>
    <row r="268" spans="1:10" hidden="1">
      <c r="A268" s="9">
        <v>45814</v>
      </c>
      <c r="B268" s="6" t="s">
        <v>7095</v>
      </c>
      <c r="C268" s="5" t="s">
        <v>659</v>
      </c>
      <c r="D268" s="8" t="s">
        <v>354</v>
      </c>
      <c r="E268" s="6" t="s">
        <v>654</v>
      </c>
      <c r="F268" s="6" t="s">
        <v>655</v>
      </c>
      <c r="G268" s="5">
        <v>1117.2</v>
      </c>
      <c r="H268" s="5">
        <v>0.33529999999999999</v>
      </c>
      <c r="I268" s="20">
        <f t="shared" si="4"/>
        <v>374.59715999999997</v>
      </c>
      <c r="J268" s="6" t="s">
        <v>357</v>
      </c>
    </row>
    <row r="269" spans="1:10" hidden="1">
      <c r="A269" s="9">
        <v>45814</v>
      </c>
      <c r="B269" s="6" t="s">
        <v>7096</v>
      </c>
      <c r="C269" s="5" t="s">
        <v>660</v>
      </c>
      <c r="D269" s="8" t="s">
        <v>354</v>
      </c>
      <c r="E269" s="6" t="s">
        <v>654</v>
      </c>
      <c r="F269" s="6" t="s">
        <v>655</v>
      </c>
      <c r="G269" s="5">
        <v>1174.4000000000001</v>
      </c>
      <c r="H269" s="5">
        <v>0.33529999999999999</v>
      </c>
      <c r="I269" s="20">
        <f t="shared" si="4"/>
        <v>393.77632</v>
      </c>
      <c r="J269" s="6" t="s">
        <v>357</v>
      </c>
    </row>
    <row r="270" spans="1:10" hidden="1">
      <c r="A270" s="9">
        <v>45814</v>
      </c>
      <c r="B270" s="6" t="s">
        <v>7097</v>
      </c>
      <c r="C270" s="5" t="s">
        <v>661</v>
      </c>
      <c r="D270" s="8" t="s">
        <v>354</v>
      </c>
      <c r="E270" s="6" t="s">
        <v>654</v>
      </c>
      <c r="F270" s="6" t="s">
        <v>655</v>
      </c>
      <c r="G270" s="5">
        <v>1062.8</v>
      </c>
      <c r="H270" s="5">
        <v>0.33529999999999999</v>
      </c>
      <c r="I270" s="20">
        <f t="shared" si="4"/>
        <v>356.35683999999998</v>
      </c>
      <c r="J270" s="6" t="s">
        <v>357</v>
      </c>
    </row>
    <row r="271" spans="1:10" hidden="1">
      <c r="A271" s="9">
        <v>45814</v>
      </c>
      <c r="B271" s="6" t="s">
        <v>7098</v>
      </c>
      <c r="C271" s="5" t="s">
        <v>662</v>
      </c>
      <c r="D271" s="8" t="s">
        <v>354</v>
      </c>
      <c r="E271" s="6" t="s">
        <v>654</v>
      </c>
      <c r="F271" s="6" t="s">
        <v>655</v>
      </c>
      <c r="G271" s="5">
        <v>1117.2</v>
      </c>
      <c r="H271" s="5">
        <v>0.33529999999999999</v>
      </c>
      <c r="I271" s="20">
        <f t="shared" si="4"/>
        <v>374.59715999999997</v>
      </c>
      <c r="J271" s="6" t="s">
        <v>357</v>
      </c>
    </row>
    <row r="272" spans="1:10" hidden="1">
      <c r="A272" s="9">
        <v>45814</v>
      </c>
      <c r="B272" s="6" t="s">
        <v>7099</v>
      </c>
      <c r="C272" s="5" t="s">
        <v>663</v>
      </c>
      <c r="D272" s="8" t="s">
        <v>354</v>
      </c>
      <c r="E272" s="6" t="s">
        <v>654</v>
      </c>
      <c r="F272" s="6" t="s">
        <v>655</v>
      </c>
      <c r="G272" s="5">
        <v>1174.4000000000001</v>
      </c>
      <c r="H272" s="5">
        <v>0.33529999999999999</v>
      </c>
      <c r="I272" s="20">
        <f t="shared" si="4"/>
        <v>393.77632</v>
      </c>
      <c r="J272" s="6" t="s">
        <v>357</v>
      </c>
    </row>
    <row r="273" spans="1:10" hidden="1">
      <c r="A273" s="9">
        <v>45814</v>
      </c>
      <c r="B273" s="6" t="s">
        <v>7100</v>
      </c>
      <c r="C273" s="5" t="s">
        <v>664</v>
      </c>
      <c r="D273" s="8" t="s">
        <v>354</v>
      </c>
      <c r="E273" s="6" t="s">
        <v>654</v>
      </c>
      <c r="F273" s="6" t="s">
        <v>655</v>
      </c>
      <c r="G273" s="5">
        <v>1062.8</v>
      </c>
      <c r="H273" s="5">
        <v>0.33529999999999999</v>
      </c>
      <c r="I273" s="20">
        <f t="shared" si="4"/>
        <v>356.35683999999998</v>
      </c>
      <c r="J273" s="6" t="s">
        <v>357</v>
      </c>
    </row>
    <row r="274" spans="1:10" hidden="1">
      <c r="A274" s="9">
        <v>45814</v>
      </c>
      <c r="B274" s="6" t="s">
        <v>7101</v>
      </c>
      <c r="C274" s="5" t="s">
        <v>665</v>
      </c>
      <c r="D274" s="8" t="s">
        <v>354</v>
      </c>
      <c r="E274" s="6" t="s">
        <v>654</v>
      </c>
      <c r="F274" s="6" t="s">
        <v>655</v>
      </c>
      <c r="G274" s="5">
        <v>1117.2</v>
      </c>
      <c r="H274" s="5">
        <v>0.33529999999999999</v>
      </c>
      <c r="I274" s="20">
        <f t="shared" si="4"/>
        <v>374.59715999999997</v>
      </c>
      <c r="J274" s="6" t="s">
        <v>357</v>
      </c>
    </row>
    <row r="275" spans="1:10" hidden="1">
      <c r="A275" s="9">
        <v>45814</v>
      </c>
      <c r="B275" s="6" t="s">
        <v>7102</v>
      </c>
      <c r="C275" s="5" t="s">
        <v>666</v>
      </c>
      <c r="D275" s="8" t="s">
        <v>354</v>
      </c>
      <c r="E275" s="6" t="s">
        <v>654</v>
      </c>
      <c r="F275" s="6" t="s">
        <v>655</v>
      </c>
      <c r="G275" s="5">
        <v>1174.4000000000001</v>
      </c>
      <c r="H275" s="5">
        <v>0.33529999999999999</v>
      </c>
      <c r="I275" s="20">
        <f t="shared" si="4"/>
        <v>393.77632</v>
      </c>
      <c r="J275" s="6" t="s">
        <v>357</v>
      </c>
    </row>
    <row r="276" spans="1:10" hidden="1">
      <c r="A276" s="9">
        <v>45814</v>
      </c>
      <c r="B276" s="6" t="s">
        <v>7103</v>
      </c>
      <c r="C276" s="5" t="s">
        <v>667</v>
      </c>
      <c r="D276" s="8" t="s">
        <v>354</v>
      </c>
      <c r="E276" s="6" t="s">
        <v>654</v>
      </c>
      <c r="F276" s="6" t="s">
        <v>655</v>
      </c>
      <c r="G276" s="5">
        <v>1062.8</v>
      </c>
      <c r="H276" s="5">
        <v>0.33529999999999999</v>
      </c>
      <c r="I276" s="20">
        <f t="shared" si="4"/>
        <v>356.35683999999998</v>
      </c>
      <c r="J276" s="6" t="s">
        <v>357</v>
      </c>
    </row>
    <row r="277" spans="1:10" hidden="1">
      <c r="A277" s="9">
        <v>45814</v>
      </c>
      <c r="B277" s="6" t="s">
        <v>7104</v>
      </c>
      <c r="C277" s="5" t="s">
        <v>668</v>
      </c>
      <c r="D277" s="8" t="s">
        <v>354</v>
      </c>
      <c r="E277" s="6" t="s">
        <v>654</v>
      </c>
      <c r="F277" s="6" t="s">
        <v>655</v>
      </c>
      <c r="G277" s="5">
        <v>1117.2</v>
      </c>
      <c r="H277" s="5">
        <v>0.33529999999999999</v>
      </c>
      <c r="I277" s="20">
        <f t="shared" si="4"/>
        <v>374.59715999999997</v>
      </c>
      <c r="J277" s="6" t="s">
        <v>357</v>
      </c>
    </row>
    <row r="278" spans="1:10" hidden="1">
      <c r="A278" s="9">
        <v>45814</v>
      </c>
      <c r="B278" s="6" t="s">
        <v>7105</v>
      </c>
      <c r="C278" s="5" t="s">
        <v>669</v>
      </c>
      <c r="D278" s="8" t="s">
        <v>354</v>
      </c>
      <c r="E278" s="6" t="s">
        <v>654</v>
      </c>
      <c r="F278" s="6" t="s">
        <v>655</v>
      </c>
      <c r="G278" s="5">
        <v>1174.4000000000001</v>
      </c>
      <c r="H278" s="5">
        <v>0.33529999999999999</v>
      </c>
      <c r="I278" s="20">
        <f t="shared" si="4"/>
        <v>393.77632</v>
      </c>
      <c r="J278" s="6" t="s">
        <v>357</v>
      </c>
    </row>
    <row r="279" spans="1:10" hidden="1">
      <c r="A279" s="9">
        <v>45814</v>
      </c>
      <c r="B279" s="6" t="s">
        <v>7106</v>
      </c>
      <c r="C279" s="5" t="s">
        <v>670</v>
      </c>
      <c r="D279" s="8" t="s">
        <v>354</v>
      </c>
      <c r="E279" s="6" t="s">
        <v>654</v>
      </c>
      <c r="F279" s="6" t="s">
        <v>655</v>
      </c>
      <c r="G279" s="5">
        <v>1062.8</v>
      </c>
      <c r="H279" s="5">
        <v>0.33529999999999999</v>
      </c>
      <c r="I279" s="20">
        <f t="shared" si="4"/>
        <v>356.35683999999998</v>
      </c>
      <c r="J279" s="6" t="s">
        <v>357</v>
      </c>
    </row>
    <row r="280" spans="1:10" hidden="1">
      <c r="A280" s="9">
        <v>45814</v>
      </c>
      <c r="B280" s="6" t="s">
        <v>7107</v>
      </c>
      <c r="C280" s="5" t="s">
        <v>671</v>
      </c>
      <c r="D280" s="8" t="s">
        <v>354</v>
      </c>
      <c r="E280" s="6" t="s">
        <v>654</v>
      </c>
      <c r="F280" s="6" t="s">
        <v>655</v>
      </c>
      <c r="G280" s="5">
        <v>1117.2</v>
      </c>
      <c r="H280" s="5">
        <v>0.33529999999999999</v>
      </c>
      <c r="I280" s="20">
        <f t="shared" si="4"/>
        <v>374.59715999999997</v>
      </c>
      <c r="J280" s="6" t="s">
        <v>357</v>
      </c>
    </row>
    <row r="281" spans="1:10" hidden="1">
      <c r="A281" s="9">
        <v>45814</v>
      </c>
      <c r="B281" s="6" t="s">
        <v>7108</v>
      </c>
      <c r="C281" s="5" t="s">
        <v>672</v>
      </c>
      <c r="D281" s="8" t="s">
        <v>354</v>
      </c>
      <c r="E281" s="6" t="s">
        <v>654</v>
      </c>
      <c r="F281" s="6" t="s">
        <v>655</v>
      </c>
      <c r="G281" s="5">
        <v>1174.4000000000001</v>
      </c>
      <c r="H281" s="5">
        <v>0.33529999999999999</v>
      </c>
      <c r="I281" s="20">
        <f t="shared" si="4"/>
        <v>393.77632</v>
      </c>
      <c r="J281" s="6" t="s">
        <v>357</v>
      </c>
    </row>
    <row r="282" spans="1:10" hidden="1">
      <c r="A282" s="9">
        <v>45814</v>
      </c>
      <c r="B282" s="6" t="s">
        <v>7109</v>
      </c>
      <c r="C282" s="5" t="s">
        <v>673</v>
      </c>
      <c r="D282" s="8" t="s">
        <v>354</v>
      </c>
      <c r="E282" s="6" t="s">
        <v>654</v>
      </c>
      <c r="F282" s="6" t="s">
        <v>655</v>
      </c>
      <c r="G282" s="5">
        <v>1062.8</v>
      </c>
      <c r="H282" s="5">
        <v>0.33529999999999999</v>
      </c>
      <c r="I282" s="20">
        <f t="shared" si="4"/>
        <v>356.35683999999998</v>
      </c>
      <c r="J282" s="6" t="s">
        <v>357</v>
      </c>
    </row>
    <row r="283" spans="1:10" hidden="1">
      <c r="A283" s="9">
        <v>45814</v>
      </c>
      <c r="B283" s="6" t="s">
        <v>7110</v>
      </c>
      <c r="C283" s="5" t="s">
        <v>674</v>
      </c>
      <c r="D283" s="8" t="s">
        <v>354</v>
      </c>
      <c r="E283" s="6" t="s">
        <v>654</v>
      </c>
      <c r="F283" s="6" t="s">
        <v>655</v>
      </c>
      <c r="G283" s="5">
        <v>1117.2</v>
      </c>
      <c r="H283" s="5">
        <v>0.33529999999999999</v>
      </c>
      <c r="I283" s="20">
        <f t="shared" si="4"/>
        <v>374.59715999999997</v>
      </c>
      <c r="J283" s="6" t="s">
        <v>357</v>
      </c>
    </row>
    <row r="284" spans="1:10" hidden="1">
      <c r="A284" s="9">
        <v>45814</v>
      </c>
      <c r="B284" s="6" t="s">
        <v>7111</v>
      </c>
      <c r="C284" s="5" t="s">
        <v>675</v>
      </c>
      <c r="D284" s="8" t="s">
        <v>354</v>
      </c>
      <c r="E284" s="6" t="s">
        <v>654</v>
      </c>
      <c r="F284" s="6" t="s">
        <v>655</v>
      </c>
      <c r="G284" s="5">
        <v>1174.4000000000001</v>
      </c>
      <c r="H284" s="5">
        <v>0.33529999999999999</v>
      </c>
      <c r="I284" s="20">
        <f t="shared" si="4"/>
        <v>393.77632</v>
      </c>
      <c r="J284" s="6" t="s">
        <v>357</v>
      </c>
    </row>
    <row r="285" spans="1:10" hidden="1">
      <c r="A285" s="9">
        <v>45814</v>
      </c>
      <c r="B285" s="6" t="s">
        <v>7112</v>
      </c>
      <c r="C285" s="5" t="s">
        <v>676</v>
      </c>
      <c r="D285" s="8" t="s">
        <v>354</v>
      </c>
      <c r="E285" s="6" t="s">
        <v>654</v>
      </c>
      <c r="F285" s="6" t="s">
        <v>655</v>
      </c>
      <c r="G285" s="5">
        <v>1062.8</v>
      </c>
      <c r="H285" s="5">
        <v>0.33529999999999999</v>
      </c>
      <c r="I285" s="20">
        <f t="shared" si="4"/>
        <v>356.35683999999998</v>
      </c>
      <c r="J285" s="6" t="s">
        <v>357</v>
      </c>
    </row>
    <row r="286" spans="1:10" hidden="1">
      <c r="A286" s="9">
        <v>45814</v>
      </c>
      <c r="B286" s="6" t="s">
        <v>7113</v>
      </c>
      <c r="C286" s="5" t="s">
        <v>677</v>
      </c>
      <c r="D286" s="8" t="s">
        <v>354</v>
      </c>
      <c r="E286" s="6" t="s">
        <v>654</v>
      </c>
      <c r="F286" s="6" t="s">
        <v>655</v>
      </c>
      <c r="G286" s="5">
        <v>1117.2</v>
      </c>
      <c r="H286" s="5">
        <v>0.33529999999999999</v>
      </c>
      <c r="I286" s="20">
        <f t="shared" si="4"/>
        <v>374.59715999999997</v>
      </c>
      <c r="J286" s="6" t="s">
        <v>357</v>
      </c>
    </row>
    <row r="287" spans="1:10" hidden="1">
      <c r="A287" s="9">
        <v>45814</v>
      </c>
      <c r="B287" s="6" t="s">
        <v>7114</v>
      </c>
      <c r="C287" s="5" t="s">
        <v>678</v>
      </c>
      <c r="D287" s="8" t="s">
        <v>354</v>
      </c>
      <c r="E287" s="6" t="s">
        <v>654</v>
      </c>
      <c r="F287" s="6" t="s">
        <v>655</v>
      </c>
      <c r="G287" s="5">
        <v>1174.4000000000001</v>
      </c>
      <c r="H287" s="5">
        <v>0.33529999999999999</v>
      </c>
      <c r="I287" s="20">
        <f t="shared" si="4"/>
        <v>393.77632</v>
      </c>
      <c r="J287" s="6" t="s">
        <v>357</v>
      </c>
    </row>
    <row r="288" spans="1:10" hidden="1">
      <c r="A288" s="10">
        <v>44135</v>
      </c>
      <c r="B288" s="6" t="s">
        <v>680</v>
      </c>
      <c r="C288" s="14" t="s">
        <v>679</v>
      </c>
      <c r="D288" s="8" t="s">
        <v>354</v>
      </c>
      <c r="E288" s="6" t="s">
        <v>355</v>
      </c>
      <c r="F288" s="6" t="s">
        <v>363</v>
      </c>
      <c r="G288" s="5">
        <v>387</v>
      </c>
      <c r="H288" s="5">
        <v>1</v>
      </c>
      <c r="I288" s="20">
        <f t="shared" si="4"/>
        <v>387</v>
      </c>
      <c r="J288" s="6" t="s">
        <v>357</v>
      </c>
    </row>
    <row r="289" spans="1:10" hidden="1">
      <c r="A289" s="10">
        <v>43805</v>
      </c>
      <c r="B289" s="6" t="s">
        <v>682</v>
      </c>
      <c r="C289" s="5" t="s">
        <v>681</v>
      </c>
      <c r="D289" s="8" t="s">
        <v>354</v>
      </c>
      <c r="E289" s="6" t="s">
        <v>683</v>
      </c>
      <c r="F289" s="6" t="s">
        <v>411</v>
      </c>
      <c r="G289" s="5">
        <v>2.5</v>
      </c>
      <c r="H289" s="5">
        <v>1</v>
      </c>
      <c r="I289" s="20">
        <f t="shared" si="4"/>
        <v>2.5</v>
      </c>
      <c r="J289" s="6" t="s">
        <v>357</v>
      </c>
    </row>
    <row r="290" spans="1:10" hidden="1">
      <c r="A290" s="9">
        <v>45813</v>
      </c>
      <c r="B290" s="6" t="s">
        <v>7081</v>
      </c>
      <c r="C290" s="5" t="s">
        <v>684</v>
      </c>
      <c r="D290" s="8" t="s">
        <v>354</v>
      </c>
      <c r="E290" s="6" t="s">
        <v>685</v>
      </c>
      <c r="F290" s="6" t="s">
        <v>655</v>
      </c>
      <c r="G290" s="5">
        <v>180</v>
      </c>
      <c r="H290" s="5">
        <v>1</v>
      </c>
      <c r="I290" s="20">
        <f t="shared" si="4"/>
        <v>180</v>
      </c>
      <c r="J290" s="6" t="s">
        <v>357</v>
      </c>
    </row>
    <row r="291" spans="1:10" hidden="1">
      <c r="A291" s="9">
        <v>45813</v>
      </c>
      <c r="B291" s="6" t="s">
        <v>7082</v>
      </c>
      <c r="C291" s="5" t="s">
        <v>687</v>
      </c>
      <c r="D291" s="8" t="s">
        <v>354</v>
      </c>
      <c r="E291" s="6" t="s">
        <v>685</v>
      </c>
      <c r="F291" s="6" t="s">
        <v>655</v>
      </c>
      <c r="G291" s="5">
        <v>196</v>
      </c>
      <c r="H291" s="5">
        <v>1</v>
      </c>
      <c r="I291" s="20">
        <f t="shared" si="4"/>
        <v>196</v>
      </c>
      <c r="J291" s="6" t="s">
        <v>357</v>
      </c>
    </row>
    <row r="292" spans="1:10" hidden="1">
      <c r="A292" s="9">
        <v>45813</v>
      </c>
      <c r="B292" s="6" t="s">
        <v>7046</v>
      </c>
      <c r="C292" s="5" t="s">
        <v>688</v>
      </c>
      <c r="D292" s="8" t="s">
        <v>354</v>
      </c>
      <c r="E292" s="6" t="s">
        <v>685</v>
      </c>
      <c r="F292" s="6" t="s">
        <v>655</v>
      </c>
      <c r="G292" s="5">
        <v>1493.6</v>
      </c>
      <c r="H292" s="5">
        <v>0.33529999999999999</v>
      </c>
      <c r="I292" s="20">
        <f t="shared" si="4"/>
        <v>500.80407999999994</v>
      </c>
      <c r="J292" s="6" t="s">
        <v>357</v>
      </c>
    </row>
    <row r="293" spans="1:10" hidden="1">
      <c r="A293" s="9">
        <v>45813</v>
      </c>
      <c r="B293" s="6" t="s">
        <v>7047</v>
      </c>
      <c r="C293" s="5" t="s">
        <v>689</v>
      </c>
      <c r="D293" s="8" t="s">
        <v>354</v>
      </c>
      <c r="E293" s="6" t="s">
        <v>685</v>
      </c>
      <c r="F293" s="6" t="s">
        <v>655</v>
      </c>
      <c r="G293" s="5">
        <v>857.6</v>
      </c>
      <c r="H293" s="5">
        <v>0.33529999999999999</v>
      </c>
      <c r="I293" s="20">
        <f t="shared" si="4"/>
        <v>287.55327999999997</v>
      </c>
      <c r="J293" s="6" t="s">
        <v>357</v>
      </c>
    </row>
    <row r="294" spans="1:10" hidden="1">
      <c r="A294" s="9">
        <v>45813</v>
      </c>
      <c r="B294" s="6" t="s">
        <v>7048</v>
      </c>
      <c r="C294" s="5" t="s">
        <v>690</v>
      </c>
      <c r="D294" s="8" t="s">
        <v>354</v>
      </c>
      <c r="E294" s="6" t="s">
        <v>685</v>
      </c>
      <c r="F294" s="6" t="s">
        <v>655</v>
      </c>
      <c r="G294" s="5">
        <v>1009.1</v>
      </c>
      <c r="H294" s="5">
        <v>0.33529999999999999</v>
      </c>
      <c r="I294" s="20">
        <f t="shared" si="4"/>
        <v>338.35122999999999</v>
      </c>
      <c r="J294" s="6" t="s">
        <v>357</v>
      </c>
    </row>
    <row r="295" spans="1:10" hidden="1">
      <c r="A295" s="9">
        <v>45813</v>
      </c>
      <c r="B295" s="6" t="s">
        <v>7049</v>
      </c>
      <c r="C295" s="5" t="s">
        <v>691</v>
      </c>
      <c r="D295" s="8" t="s">
        <v>354</v>
      </c>
      <c r="E295" s="6" t="s">
        <v>685</v>
      </c>
      <c r="F295" s="6" t="s">
        <v>655</v>
      </c>
      <c r="G295" s="5">
        <v>1369.4</v>
      </c>
      <c r="H295" s="5">
        <v>0.33529999999999999</v>
      </c>
      <c r="I295" s="20">
        <f t="shared" si="4"/>
        <v>459.15982000000002</v>
      </c>
      <c r="J295" s="6" t="s">
        <v>357</v>
      </c>
    </row>
    <row r="296" spans="1:10" hidden="1">
      <c r="A296" s="9">
        <v>45813</v>
      </c>
      <c r="B296" s="6" t="s">
        <v>7050</v>
      </c>
      <c r="C296" s="5" t="s">
        <v>320</v>
      </c>
      <c r="D296" s="8" t="s">
        <v>354</v>
      </c>
      <c r="E296" s="6" t="s">
        <v>685</v>
      </c>
      <c r="F296" s="6" t="s">
        <v>655</v>
      </c>
      <c r="G296" s="5">
        <v>436.7</v>
      </c>
      <c r="H296" s="5">
        <v>0.33529999999999999</v>
      </c>
      <c r="I296" s="20">
        <f t="shared" si="4"/>
        <v>146.42551</v>
      </c>
      <c r="J296" s="6" t="s">
        <v>357</v>
      </c>
    </row>
    <row r="297" spans="1:10" hidden="1">
      <c r="A297" s="9">
        <v>45813</v>
      </c>
      <c r="B297" s="6" t="s">
        <v>7051</v>
      </c>
      <c r="C297" s="5" t="s">
        <v>692</v>
      </c>
      <c r="D297" s="8" t="s">
        <v>354</v>
      </c>
      <c r="E297" s="6" t="s">
        <v>685</v>
      </c>
      <c r="F297" s="6" t="s">
        <v>655</v>
      </c>
      <c r="G297" s="5">
        <v>475</v>
      </c>
      <c r="H297" s="5">
        <v>0.33529999999999999</v>
      </c>
      <c r="I297" s="20">
        <f t="shared" si="4"/>
        <v>159.26749999999998</v>
      </c>
      <c r="J297" s="6" t="s">
        <v>357</v>
      </c>
    </row>
    <row r="298" spans="1:10" hidden="1">
      <c r="A298" s="9">
        <v>45813</v>
      </c>
      <c r="B298" s="6" t="s">
        <v>7052</v>
      </c>
      <c r="C298" s="5" t="s">
        <v>693</v>
      </c>
      <c r="D298" s="8" t="s">
        <v>354</v>
      </c>
      <c r="E298" s="6" t="s">
        <v>685</v>
      </c>
      <c r="F298" s="6" t="s">
        <v>655</v>
      </c>
      <c r="G298" s="5">
        <v>350</v>
      </c>
      <c r="H298" s="5">
        <v>0.33529999999999999</v>
      </c>
      <c r="I298" s="20">
        <f t="shared" si="4"/>
        <v>117.35499999999999</v>
      </c>
      <c r="J298" s="6" t="s">
        <v>357</v>
      </c>
    </row>
    <row r="299" spans="1:10" hidden="1">
      <c r="A299" s="9">
        <v>45813</v>
      </c>
      <c r="B299" s="6" t="s">
        <v>7053</v>
      </c>
      <c r="C299" s="5" t="s">
        <v>694</v>
      </c>
      <c r="D299" s="8" t="s">
        <v>354</v>
      </c>
      <c r="E299" s="6" t="s">
        <v>685</v>
      </c>
      <c r="F299" s="6" t="s">
        <v>655</v>
      </c>
      <c r="G299" s="5">
        <v>478</v>
      </c>
      <c r="H299" s="5">
        <v>0.33529999999999999</v>
      </c>
      <c r="I299" s="20">
        <f t="shared" si="4"/>
        <v>160.27339999999998</v>
      </c>
      <c r="J299" s="6" t="s">
        <v>357</v>
      </c>
    </row>
    <row r="300" spans="1:10" hidden="1">
      <c r="A300" s="9">
        <v>45813</v>
      </c>
      <c r="B300" s="6" t="s">
        <v>7054</v>
      </c>
      <c r="C300" s="5" t="s">
        <v>695</v>
      </c>
      <c r="D300" s="8" t="s">
        <v>354</v>
      </c>
      <c r="E300" s="6" t="s">
        <v>685</v>
      </c>
      <c r="F300" s="6" t="s">
        <v>655</v>
      </c>
      <c r="G300" s="5">
        <v>433.9</v>
      </c>
      <c r="H300" s="5">
        <v>0.33529999999999999</v>
      </c>
      <c r="I300" s="20">
        <f t="shared" si="4"/>
        <v>145.48666999999998</v>
      </c>
      <c r="J300" s="6" t="s">
        <v>357</v>
      </c>
    </row>
    <row r="301" spans="1:10" hidden="1">
      <c r="A301" s="9">
        <v>45813</v>
      </c>
      <c r="B301" s="6" t="s">
        <v>7055</v>
      </c>
      <c r="C301" s="5" t="s">
        <v>295</v>
      </c>
      <c r="D301" s="8" t="s">
        <v>354</v>
      </c>
      <c r="E301" s="6" t="s">
        <v>685</v>
      </c>
      <c r="F301" s="6" t="s">
        <v>655</v>
      </c>
      <c r="G301" s="21">
        <v>370.3</v>
      </c>
      <c r="H301" s="5">
        <v>0.33529999999999999</v>
      </c>
      <c r="I301" s="20">
        <f t="shared" si="4"/>
        <v>124.16159</v>
      </c>
      <c r="J301" s="6" t="s">
        <v>357</v>
      </c>
    </row>
    <row r="302" spans="1:10" hidden="1">
      <c r="A302" s="9">
        <v>45813</v>
      </c>
      <c r="B302" s="6" t="s">
        <v>7056</v>
      </c>
      <c r="C302" s="5" t="s">
        <v>696</v>
      </c>
      <c r="D302" s="8" t="s">
        <v>354</v>
      </c>
      <c r="E302" s="6" t="s">
        <v>685</v>
      </c>
      <c r="F302" s="6" t="s">
        <v>655</v>
      </c>
      <c r="G302" s="5">
        <v>431.8</v>
      </c>
      <c r="H302" s="5">
        <v>0.33529999999999999</v>
      </c>
      <c r="I302" s="20">
        <f t="shared" si="4"/>
        <v>144.78254000000001</v>
      </c>
      <c r="J302" s="6" t="s">
        <v>357</v>
      </c>
    </row>
    <row r="303" spans="1:10" hidden="1">
      <c r="A303" s="9">
        <v>45813</v>
      </c>
      <c r="B303" s="6" t="s">
        <v>7057</v>
      </c>
      <c r="C303" s="5" t="s">
        <v>318</v>
      </c>
      <c r="D303" s="8" t="s">
        <v>354</v>
      </c>
      <c r="E303" s="6" t="s">
        <v>685</v>
      </c>
      <c r="F303" s="6" t="s">
        <v>655</v>
      </c>
      <c r="G303" s="5">
        <v>526.4</v>
      </c>
      <c r="H303" s="5">
        <v>0.33529999999999999</v>
      </c>
      <c r="I303" s="20">
        <f t="shared" si="4"/>
        <v>176.50191999999998</v>
      </c>
      <c r="J303" s="6" t="s">
        <v>357</v>
      </c>
    </row>
    <row r="304" spans="1:10" hidden="1">
      <c r="A304" s="9">
        <v>45813</v>
      </c>
      <c r="B304" s="6" t="s">
        <v>7058</v>
      </c>
      <c r="C304" s="5" t="s">
        <v>697</v>
      </c>
      <c r="D304" s="8" t="s">
        <v>354</v>
      </c>
      <c r="E304" s="6" t="s">
        <v>685</v>
      </c>
      <c r="F304" s="6" t="s">
        <v>655</v>
      </c>
      <c r="G304" s="5">
        <v>719.3</v>
      </c>
      <c r="H304" s="5">
        <v>0.33529999999999999</v>
      </c>
      <c r="I304" s="20">
        <f t="shared" si="4"/>
        <v>241.18128999999996</v>
      </c>
      <c r="J304" s="6" t="s">
        <v>357</v>
      </c>
    </row>
    <row r="305" spans="1:10" hidden="1">
      <c r="A305" s="9">
        <v>45813</v>
      </c>
      <c r="B305" s="6" t="s">
        <v>7059</v>
      </c>
      <c r="C305" s="5" t="s">
        <v>698</v>
      </c>
      <c r="D305" s="8" t="s">
        <v>354</v>
      </c>
      <c r="E305" s="6" t="s">
        <v>685</v>
      </c>
      <c r="F305" s="6" t="s">
        <v>655</v>
      </c>
      <c r="G305" s="5">
        <v>555.70000000000005</v>
      </c>
      <c r="H305" s="5">
        <v>0.33529999999999999</v>
      </c>
      <c r="I305" s="20">
        <f t="shared" si="4"/>
        <v>186.32621</v>
      </c>
      <c r="J305" s="6" t="s">
        <v>357</v>
      </c>
    </row>
    <row r="306" spans="1:10" hidden="1">
      <c r="A306" s="9">
        <v>45814</v>
      </c>
      <c r="B306" s="6" t="s">
        <v>7060</v>
      </c>
      <c r="C306" s="5" t="s">
        <v>699</v>
      </c>
      <c r="D306" s="8" t="s">
        <v>354</v>
      </c>
      <c r="E306" s="6" t="s">
        <v>685</v>
      </c>
      <c r="F306" s="6" t="s">
        <v>655</v>
      </c>
      <c r="G306" s="5">
        <v>794.2</v>
      </c>
      <c r="H306" s="5">
        <v>0.33529999999999999</v>
      </c>
      <c r="I306" s="20">
        <f t="shared" si="4"/>
        <v>266.29525999999998</v>
      </c>
      <c r="J306" s="6" t="s">
        <v>357</v>
      </c>
    </row>
    <row r="307" spans="1:10" hidden="1">
      <c r="A307" s="9">
        <v>45814</v>
      </c>
      <c r="B307" s="6" t="s">
        <v>7061</v>
      </c>
      <c r="C307" s="5" t="s">
        <v>700</v>
      </c>
      <c r="D307" s="8" t="s">
        <v>354</v>
      </c>
      <c r="E307" s="6" t="s">
        <v>685</v>
      </c>
      <c r="F307" s="6" t="s">
        <v>655</v>
      </c>
      <c r="G307" s="5">
        <v>658.1</v>
      </c>
      <c r="H307" s="5">
        <v>0.33529999999999999</v>
      </c>
      <c r="I307" s="20">
        <f t="shared" si="4"/>
        <v>220.66093000000001</v>
      </c>
      <c r="J307" s="6" t="s">
        <v>357</v>
      </c>
    </row>
    <row r="308" spans="1:10" hidden="1">
      <c r="A308" s="9">
        <v>45814</v>
      </c>
      <c r="B308" s="6" t="s">
        <v>7062</v>
      </c>
      <c r="C308" s="5" t="s">
        <v>701</v>
      </c>
      <c r="D308" s="8" t="s">
        <v>354</v>
      </c>
      <c r="E308" s="6" t="s">
        <v>685</v>
      </c>
      <c r="F308" s="6" t="s">
        <v>655</v>
      </c>
      <c r="G308" s="5">
        <v>776.9</v>
      </c>
      <c r="H308" s="5">
        <v>0.33529999999999999</v>
      </c>
      <c r="I308" s="20">
        <f t="shared" si="4"/>
        <v>260.49457000000001</v>
      </c>
      <c r="J308" s="6" t="s">
        <v>357</v>
      </c>
    </row>
    <row r="309" spans="1:10" hidden="1">
      <c r="A309" s="9">
        <v>45814</v>
      </c>
      <c r="B309" s="6" t="s">
        <v>7063</v>
      </c>
      <c r="C309" s="5" t="s">
        <v>702</v>
      </c>
      <c r="D309" s="8" t="s">
        <v>354</v>
      </c>
      <c r="E309" s="6" t="s">
        <v>685</v>
      </c>
      <c r="F309" s="6" t="s">
        <v>655</v>
      </c>
      <c r="G309" s="5">
        <v>1135</v>
      </c>
      <c r="H309" s="5">
        <v>0.33529999999999999</v>
      </c>
      <c r="I309" s="20">
        <f t="shared" si="4"/>
        <v>380.56549999999999</v>
      </c>
      <c r="J309" s="6" t="s">
        <v>357</v>
      </c>
    </row>
    <row r="310" spans="1:10" hidden="1">
      <c r="A310" s="9">
        <v>45814</v>
      </c>
      <c r="B310" s="6" t="s">
        <v>7064</v>
      </c>
      <c r="C310" s="5" t="s">
        <v>703</v>
      </c>
      <c r="D310" s="8" t="s">
        <v>354</v>
      </c>
      <c r="E310" s="6" t="s">
        <v>685</v>
      </c>
      <c r="F310" s="6" t="s">
        <v>655</v>
      </c>
      <c r="G310" s="5">
        <v>1187.9000000000001</v>
      </c>
      <c r="H310" s="5">
        <v>0.33529999999999999</v>
      </c>
      <c r="I310" s="20">
        <f t="shared" si="4"/>
        <v>398.30287000000004</v>
      </c>
      <c r="J310" s="6" t="s">
        <v>357</v>
      </c>
    </row>
    <row r="311" spans="1:10" hidden="1">
      <c r="A311" s="9">
        <v>45814</v>
      </c>
      <c r="B311" s="6" t="s">
        <v>7065</v>
      </c>
      <c r="C311" s="5" t="s">
        <v>704</v>
      </c>
      <c r="D311" s="8" t="s">
        <v>354</v>
      </c>
      <c r="E311" s="6" t="s">
        <v>685</v>
      </c>
      <c r="F311" s="6" t="s">
        <v>655</v>
      </c>
      <c r="G311" s="5">
        <v>1053.7</v>
      </c>
      <c r="H311" s="5">
        <v>0.33529999999999999</v>
      </c>
      <c r="I311" s="20">
        <f t="shared" si="4"/>
        <v>353.30561</v>
      </c>
      <c r="J311" s="6" t="s">
        <v>357</v>
      </c>
    </row>
    <row r="312" spans="1:10" hidden="1">
      <c r="A312" s="9">
        <v>45814</v>
      </c>
      <c r="B312" s="6" t="s">
        <v>7066</v>
      </c>
      <c r="C312" s="5" t="s">
        <v>339</v>
      </c>
      <c r="D312" s="8" t="s">
        <v>354</v>
      </c>
      <c r="E312" s="6" t="s">
        <v>685</v>
      </c>
      <c r="F312" s="6" t="s">
        <v>655</v>
      </c>
      <c r="G312" s="5">
        <v>999.2</v>
      </c>
      <c r="H312" s="5">
        <v>0.33529999999999999</v>
      </c>
      <c r="I312" s="20">
        <f t="shared" si="4"/>
        <v>335.03176000000002</v>
      </c>
      <c r="J312" s="6" t="s">
        <v>357</v>
      </c>
    </row>
    <row r="313" spans="1:10" hidden="1">
      <c r="A313" s="9">
        <v>45814</v>
      </c>
      <c r="B313" s="6" t="s">
        <v>7067</v>
      </c>
      <c r="C313" s="5" t="s">
        <v>705</v>
      </c>
      <c r="D313" s="8" t="s">
        <v>354</v>
      </c>
      <c r="E313" s="6" t="s">
        <v>685</v>
      </c>
      <c r="F313" s="6" t="s">
        <v>655</v>
      </c>
      <c r="G313" s="5">
        <v>890.8</v>
      </c>
      <c r="H313" s="5">
        <v>0.33529999999999999</v>
      </c>
      <c r="I313" s="20">
        <f t="shared" si="4"/>
        <v>298.68523999999996</v>
      </c>
      <c r="J313" s="6" t="s">
        <v>357</v>
      </c>
    </row>
    <row r="314" spans="1:10" hidden="1">
      <c r="A314" s="9">
        <v>45814</v>
      </c>
      <c r="B314" s="216" t="s">
        <v>7083</v>
      </c>
      <c r="C314" s="5" t="s">
        <v>7084</v>
      </c>
      <c r="D314" s="8" t="s">
        <v>354</v>
      </c>
      <c r="E314" s="25" t="s">
        <v>685</v>
      </c>
      <c r="F314" s="6" t="s">
        <v>655</v>
      </c>
      <c r="G314" s="31">
        <v>7322.8</v>
      </c>
      <c r="H314" s="5">
        <v>0.33529999999999999</v>
      </c>
      <c r="I314" s="20">
        <f t="shared" si="4"/>
        <v>2455.33484</v>
      </c>
      <c r="J314" s="6" t="s">
        <v>357</v>
      </c>
    </row>
    <row r="315" spans="1:10" hidden="1">
      <c r="A315" s="9">
        <v>45814</v>
      </c>
      <c r="B315" s="216" t="s">
        <v>7085</v>
      </c>
      <c r="C315" s="5" t="s">
        <v>7086</v>
      </c>
      <c r="D315" s="8" t="s">
        <v>354</v>
      </c>
      <c r="E315" s="25" t="s">
        <v>685</v>
      </c>
      <c r="F315" s="6" t="s">
        <v>655</v>
      </c>
      <c r="G315" s="31">
        <v>6178.8</v>
      </c>
      <c r="H315" s="5">
        <v>0.33529999999999999</v>
      </c>
      <c r="I315" s="20">
        <f t="shared" si="4"/>
        <v>2071.75164</v>
      </c>
      <c r="J315" s="6" t="s">
        <v>357</v>
      </c>
    </row>
    <row r="316" spans="1:10" hidden="1">
      <c r="A316" s="9">
        <v>45814</v>
      </c>
      <c r="B316" s="216" t="s">
        <v>7087</v>
      </c>
      <c r="C316" s="5" t="s">
        <v>7088</v>
      </c>
      <c r="D316" s="8" t="s">
        <v>354</v>
      </c>
      <c r="E316" s="25" t="s">
        <v>685</v>
      </c>
      <c r="F316" s="25" t="s">
        <v>655</v>
      </c>
      <c r="G316" s="31">
        <v>6042.6</v>
      </c>
      <c r="H316" s="5">
        <v>0.33529999999999999</v>
      </c>
      <c r="I316" s="20">
        <f t="shared" si="4"/>
        <v>2026.0837799999999</v>
      </c>
      <c r="J316" s="6" t="s">
        <v>357</v>
      </c>
    </row>
    <row r="317" spans="1:10" hidden="1">
      <c r="A317" s="9">
        <v>45814</v>
      </c>
      <c r="B317" s="216" t="s">
        <v>7089</v>
      </c>
      <c r="C317" s="5" t="s">
        <v>7090</v>
      </c>
      <c r="D317" s="8" t="s">
        <v>354</v>
      </c>
      <c r="E317" s="25" t="s">
        <v>685</v>
      </c>
      <c r="F317" s="25" t="s">
        <v>655</v>
      </c>
      <c r="G317" s="31">
        <v>5236.2</v>
      </c>
      <c r="H317" s="5">
        <v>0.33529999999999999</v>
      </c>
      <c r="I317" s="20">
        <f t="shared" si="4"/>
        <v>1755.6978599999998</v>
      </c>
      <c r="J317" s="6" t="s">
        <v>357</v>
      </c>
    </row>
    <row r="318" spans="1:10" hidden="1">
      <c r="A318" s="9">
        <v>45814</v>
      </c>
      <c r="B318" s="6" t="s">
        <v>7068</v>
      </c>
      <c r="C318" s="5" t="s">
        <v>706</v>
      </c>
      <c r="D318" s="8" t="s">
        <v>354</v>
      </c>
      <c r="E318" s="6" t="s">
        <v>685</v>
      </c>
      <c r="F318" s="6" t="s">
        <v>655</v>
      </c>
      <c r="G318" s="5">
        <v>646.29999999999995</v>
      </c>
      <c r="H318" s="5">
        <v>0.33529999999999999</v>
      </c>
      <c r="I318" s="20">
        <f t="shared" si="4"/>
        <v>216.70438999999999</v>
      </c>
      <c r="J318" s="6" t="s">
        <v>357</v>
      </c>
    </row>
    <row r="319" spans="1:10" hidden="1">
      <c r="A319" s="9">
        <v>45814</v>
      </c>
      <c r="B319" s="6" t="s">
        <v>7069</v>
      </c>
      <c r="C319" s="5" t="s">
        <v>707</v>
      </c>
      <c r="D319" s="8" t="s">
        <v>354</v>
      </c>
      <c r="E319" s="6" t="s">
        <v>685</v>
      </c>
      <c r="F319" s="6" t="s">
        <v>655</v>
      </c>
      <c r="G319" s="5">
        <v>429.6</v>
      </c>
      <c r="H319" s="5">
        <v>0.33529999999999999</v>
      </c>
      <c r="I319" s="20">
        <f t="shared" si="4"/>
        <v>144.04488000000001</v>
      </c>
      <c r="J319" s="6" t="s">
        <v>357</v>
      </c>
    </row>
    <row r="320" spans="1:10" hidden="1">
      <c r="A320" s="9">
        <v>45814</v>
      </c>
      <c r="B320" s="6" t="s">
        <v>7070</v>
      </c>
      <c r="C320" s="5" t="s">
        <v>708</v>
      </c>
      <c r="D320" s="8" t="s">
        <v>354</v>
      </c>
      <c r="E320" s="6" t="s">
        <v>685</v>
      </c>
      <c r="F320" s="6" t="s">
        <v>655</v>
      </c>
      <c r="G320" s="5">
        <v>680.8</v>
      </c>
      <c r="H320" s="5">
        <v>0.33529999999999999</v>
      </c>
      <c r="I320" s="20">
        <f t="shared" si="4"/>
        <v>228.27223999999998</v>
      </c>
      <c r="J320" s="6" t="s">
        <v>357</v>
      </c>
    </row>
    <row r="321" spans="1:10" hidden="1">
      <c r="A321" s="9">
        <v>45814</v>
      </c>
      <c r="B321" s="6" t="s">
        <v>7071</v>
      </c>
      <c r="C321" s="5" t="s">
        <v>709</v>
      </c>
      <c r="D321" s="8" t="s">
        <v>354</v>
      </c>
      <c r="E321" s="6" t="s">
        <v>685</v>
      </c>
      <c r="F321" s="6" t="s">
        <v>655</v>
      </c>
      <c r="G321" s="5">
        <v>683.9</v>
      </c>
      <c r="H321" s="5">
        <v>0.33529999999999999</v>
      </c>
      <c r="I321" s="20">
        <f t="shared" si="4"/>
        <v>229.31166999999999</v>
      </c>
      <c r="J321" s="6" t="s">
        <v>357</v>
      </c>
    </row>
    <row r="322" spans="1:10" hidden="1">
      <c r="A322" s="9">
        <v>45814</v>
      </c>
      <c r="B322" s="6" t="s">
        <v>7072</v>
      </c>
      <c r="C322" s="5" t="s">
        <v>330</v>
      </c>
      <c r="D322" s="8" t="s">
        <v>354</v>
      </c>
      <c r="E322" s="6" t="s">
        <v>685</v>
      </c>
      <c r="F322" s="6" t="s">
        <v>655</v>
      </c>
      <c r="G322" s="5">
        <v>451</v>
      </c>
      <c r="H322" s="5">
        <v>0.33529999999999999</v>
      </c>
      <c r="I322" s="20">
        <f t="shared" si="4"/>
        <v>151.22029999999998</v>
      </c>
      <c r="J322" s="6" t="s">
        <v>357</v>
      </c>
    </row>
    <row r="323" spans="1:10" hidden="1">
      <c r="A323" s="9">
        <v>45814</v>
      </c>
      <c r="B323" s="6" t="s">
        <v>7073</v>
      </c>
      <c r="C323" s="5" t="s">
        <v>332</v>
      </c>
      <c r="D323" s="8" t="s">
        <v>354</v>
      </c>
      <c r="E323" s="6" t="s">
        <v>685</v>
      </c>
      <c r="F323" s="6" t="s">
        <v>655</v>
      </c>
      <c r="G323" s="5">
        <v>558</v>
      </c>
      <c r="H323" s="5">
        <v>0.33529999999999999</v>
      </c>
      <c r="I323" s="20">
        <f t="shared" ref="I323:I386" si="5">H323*G323</f>
        <v>187.09739999999999</v>
      </c>
      <c r="J323" s="6" t="s">
        <v>357</v>
      </c>
    </row>
    <row r="324" spans="1:10" hidden="1">
      <c r="A324" s="9">
        <v>45814</v>
      </c>
      <c r="B324" s="6" t="s">
        <v>7074</v>
      </c>
      <c r="C324" s="5" t="s">
        <v>710</v>
      </c>
      <c r="D324" s="8" t="s">
        <v>354</v>
      </c>
      <c r="E324" s="6" t="s">
        <v>685</v>
      </c>
      <c r="F324" s="6" t="s">
        <v>655</v>
      </c>
      <c r="G324" s="5">
        <v>1062</v>
      </c>
      <c r="H324" s="5">
        <v>0.33529999999999999</v>
      </c>
      <c r="I324" s="20">
        <f t="shared" si="5"/>
        <v>356.08859999999999</v>
      </c>
      <c r="J324" s="6" t="s">
        <v>357</v>
      </c>
    </row>
    <row r="325" spans="1:10" hidden="1">
      <c r="A325" s="9">
        <v>45814</v>
      </c>
      <c r="B325" s="6" t="s">
        <v>7075</v>
      </c>
      <c r="C325" s="5" t="s">
        <v>711</v>
      </c>
      <c r="D325" s="8" t="s">
        <v>354</v>
      </c>
      <c r="E325" s="6" t="s">
        <v>685</v>
      </c>
      <c r="F325" s="6" t="s">
        <v>655</v>
      </c>
      <c r="G325" s="5">
        <v>751.6</v>
      </c>
      <c r="H325" s="5">
        <v>0.33529999999999999</v>
      </c>
      <c r="I325" s="20">
        <f t="shared" si="5"/>
        <v>252.01148000000001</v>
      </c>
      <c r="J325" s="6" t="s">
        <v>357</v>
      </c>
    </row>
    <row r="326" spans="1:10" hidden="1">
      <c r="A326" s="9">
        <v>45814</v>
      </c>
      <c r="B326" s="6" t="s">
        <v>7076</v>
      </c>
      <c r="C326" s="5" t="s">
        <v>345</v>
      </c>
      <c r="D326" s="8" t="s">
        <v>354</v>
      </c>
      <c r="E326" s="6" t="s">
        <v>685</v>
      </c>
      <c r="F326" s="6" t="s">
        <v>655</v>
      </c>
      <c r="G326" s="5">
        <v>623.79999999999995</v>
      </c>
      <c r="H326" s="5">
        <v>0.33529999999999999</v>
      </c>
      <c r="I326" s="20">
        <f t="shared" si="5"/>
        <v>209.16013999999998</v>
      </c>
      <c r="J326" s="6" t="s">
        <v>357</v>
      </c>
    </row>
    <row r="327" spans="1:10" hidden="1">
      <c r="A327" s="9">
        <v>45814</v>
      </c>
      <c r="B327" s="6" t="s">
        <v>7077</v>
      </c>
      <c r="C327" s="5" t="s">
        <v>712</v>
      </c>
      <c r="D327" s="8" t="s">
        <v>354</v>
      </c>
      <c r="E327" s="6" t="s">
        <v>685</v>
      </c>
      <c r="F327" s="6" t="s">
        <v>655</v>
      </c>
      <c r="G327" s="5">
        <v>1319.9</v>
      </c>
      <c r="H327" s="5">
        <v>0.33529999999999999</v>
      </c>
      <c r="I327" s="20">
        <f t="shared" si="5"/>
        <v>442.56247000000002</v>
      </c>
      <c r="J327" s="6" t="s">
        <v>357</v>
      </c>
    </row>
    <row r="328" spans="1:10" hidden="1">
      <c r="A328" s="9">
        <v>45814</v>
      </c>
      <c r="B328" s="6" t="s">
        <v>7078</v>
      </c>
      <c r="C328" s="5" t="s">
        <v>713</v>
      </c>
      <c r="D328" s="8" t="s">
        <v>354</v>
      </c>
      <c r="E328" s="6" t="s">
        <v>685</v>
      </c>
      <c r="F328" s="6" t="s">
        <v>655</v>
      </c>
      <c r="G328" s="5">
        <v>1129.2</v>
      </c>
      <c r="H328" s="5">
        <v>0.33529999999999999</v>
      </c>
      <c r="I328" s="20">
        <f t="shared" si="5"/>
        <v>378.62076000000002</v>
      </c>
      <c r="J328" s="6" t="s">
        <v>357</v>
      </c>
    </row>
    <row r="329" spans="1:10" hidden="1">
      <c r="A329" s="9">
        <v>45814</v>
      </c>
      <c r="B329" s="6" t="s">
        <v>7079</v>
      </c>
      <c r="C329" s="5" t="s">
        <v>714</v>
      </c>
      <c r="D329" s="8" t="s">
        <v>354</v>
      </c>
      <c r="E329" s="6" t="s">
        <v>685</v>
      </c>
      <c r="F329" s="6" t="s">
        <v>655</v>
      </c>
      <c r="G329" s="5">
        <v>946.7</v>
      </c>
      <c r="H329" s="5">
        <v>0.33529999999999999</v>
      </c>
      <c r="I329" s="20">
        <f t="shared" si="5"/>
        <v>317.42851000000002</v>
      </c>
      <c r="J329" s="6" t="s">
        <v>357</v>
      </c>
    </row>
    <row r="330" spans="1:10" hidden="1">
      <c r="A330" s="9">
        <v>45814</v>
      </c>
      <c r="B330" s="6" t="s">
        <v>7080</v>
      </c>
      <c r="C330" s="5" t="s">
        <v>715</v>
      </c>
      <c r="D330" s="8" t="s">
        <v>354</v>
      </c>
      <c r="E330" s="6" t="s">
        <v>685</v>
      </c>
      <c r="F330" s="6" t="s">
        <v>655</v>
      </c>
      <c r="G330" s="5">
        <v>742.4</v>
      </c>
      <c r="H330" s="5">
        <v>0.33529999999999999</v>
      </c>
      <c r="I330" s="20">
        <f t="shared" si="5"/>
        <v>248.92671999999999</v>
      </c>
      <c r="J330" s="6" t="s">
        <v>357</v>
      </c>
    </row>
    <row r="331" spans="1:10" hidden="1">
      <c r="A331" s="9">
        <v>45813</v>
      </c>
      <c r="B331" s="6" t="s">
        <v>7028</v>
      </c>
      <c r="C331" s="5" t="s">
        <v>692</v>
      </c>
      <c r="D331" s="8" t="s">
        <v>354</v>
      </c>
      <c r="E331" s="6" t="s">
        <v>685</v>
      </c>
      <c r="F331" s="6" t="s">
        <v>655</v>
      </c>
      <c r="G331" s="5">
        <v>381.6</v>
      </c>
      <c r="H331" s="5">
        <v>0.33529999999999999</v>
      </c>
      <c r="I331" s="20">
        <f t="shared" si="5"/>
        <v>127.95048</v>
      </c>
      <c r="J331" s="6" t="s">
        <v>357</v>
      </c>
    </row>
    <row r="332" spans="1:10" hidden="1">
      <c r="A332" s="9">
        <v>45813</v>
      </c>
      <c r="B332" s="6" t="s">
        <v>7029</v>
      </c>
      <c r="C332" s="5" t="s">
        <v>693</v>
      </c>
      <c r="D332" s="8" t="s">
        <v>354</v>
      </c>
      <c r="E332" s="6" t="s">
        <v>685</v>
      </c>
      <c r="F332" s="6" t="s">
        <v>655</v>
      </c>
      <c r="G332" s="5">
        <v>337.7</v>
      </c>
      <c r="H332" s="5">
        <v>0.33529999999999999</v>
      </c>
      <c r="I332" s="20">
        <f t="shared" si="5"/>
        <v>113.23080999999999</v>
      </c>
      <c r="J332" s="6" t="s">
        <v>357</v>
      </c>
    </row>
    <row r="333" spans="1:10" hidden="1">
      <c r="A333" s="9">
        <v>45813</v>
      </c>
      <c r="B333" s="6" t="s">
        <v>7030</v>
      </c>
      <c r="C333" s="5" t="s">
        <v>694</v>
      </c>
      <c r="D333" s="8" t="s">
        <v>354</v>
      </c>
      <c r="E333" s="6" t="s">
        <v>685</v>
      </c>
      <c r="F333" s="6" t="s">
        <v>655</v>
      </c>
      <c r="G333" s="5">
        <v>360.6</v>
      </c>
      <c r="H333" s="5">
        <v>0.33529999999999999</v>
      </c>
      <c r="I333" s="20">
        <f t="shared" si="5"/>
        <v>120.90918000000001</v>
      </c>
      <c r="J333" s="6" t="s">
        <v>357</v>
      </c>
    </row>
    <row r="334" spans="1:10" hidden="1">
      <c r="A334" s="9">
        <v>45813</v>
      </c>
      <c r="B334" s="6" t="s">
        <v>7031</v>
      </c>
      <c r="C334" s="5" t="s">
        <v>695</v>
      </c>
      <c r="D334" s="8" t="s">
        <v>354</v>
      </c>
      <c r="E334" s="6" t="s">
        <v>685</v>
      </c>
      <c r="F334" s="6" t="s">
        <v>655</v>
      </c>
      <c r="G334" s="5">
        <v>287.3</v>
      </c>
      <c r="H334" s="5">
        <v>0.33529999999999999</v>
      </c>
      <c r="I334" s="20">
        <f t="shared" si="5"/>
        <v>96.331689999999995</v>
      </c>
      <c r="J334" s="6" t="s">
        <v>357</v>
      </c>
    </row>
    <row r="335" spans="1:10" hidden="1">
      <c r="A335" s="9">
        <v>45813</v>
      </c>
      <c r="B335" s="6" t="s">
        <v>7032</v>
      </c>
      <c r="C335" s="5" t="s">
        <v>295</v>
      </c>
      <c r="D335" s="8" t="s">
        <v>354</v>
      </c>
      <c r="E335" s="6" t="s">
        <v>685</v>
      </c>
      <c r="F335" s="6" t="s">
        <v>655</v>
      </c>
      <c r="G335" s="5">
        <v>226.2</v>
      </c>
      <c r="H335" s="5">
        <v>0.33529999999999999</v>
      </c>
      <c r="I335" s="20">
        <f t="shared" si="5"/>
        <v>75.844859999999997</v>
      </c>
      <c r="J335" s="6" t="s">
        <v>357</v>
      </c>
    </row>
    <row r="336" spans="1:10" hidden="1">
      <c r="A336" s="9">
        <v>45813</v>
      </c>
      <c r="B336" s="6" t="s">
        <v>7033</v>
      </c>
      <c r="C336" s="5" t="s">
        <v>696</v>
      </c>
      <c r="D336" s="8" t="s">
        <v>354</v>
      </c>
      <c r="E336" s="6" t="s">
        <v>685</v>
      </c>
      <c r="F336" s="6" t="s">
        <v>655</v>
      </c>
      <c r="G336" s="5">
        <v>323.3</v>
      </c>
      <c r="H336" s="5">
        <v>0.33529999999999999</v>
      </c>
      <c r="I336" s="20">
        <f t="shared" si="5"/>
        <v>108.40249</v>
      </c>
      <c r="J336" s="6" t="s">
        <v>357</v>
      </c>
    </row>
    <row r="337" spans="1:10" hidden="1">
      <c r="A337" s="9">
        <v>45813</v>
      </c>
      <c r="B337" s="6" t="s">
        <v>7034</v>
      </c>
      <c r="C337" s="5" t="s">
        <v>318</v>
      </c>
      <c r="D337" s="8" t="s">
        <v>354</v>
      </c>
      <c r="E337" s="6" t="s">
        <v>685</v>
      </c>
      <c r="F337" s="6" t="s">
        <v>655</v>
      </c>
      <c r="G337" s="5">
        <v>428.4</v>
      </c>
      <c r="H337" s="5">
        <v>0.33529999999999999</v>
      </c>
      <c r="I337" s="20">
        <f t="shared" si="5"/>
        <v>143.64251999999999</v>
      </c>
      <c r="J337" s="6" t="s">
        <v>357</v>
      </c>
    </row>
    <row r="338" spans="1:10" hidden="1">
      <c r="A338" s="9">
        <v>45813</v>
      </c>
      <c r="B338" s="6" t="s">
        <v>7035</v>
      </c>
      <c r="C338" s="5" t="s">
        <v>697</v>
      </c>
      <c r="D338" s="8" t="s">
        <v>354</v>
      </c>
      <c r="E338" s="6" t="s">
        <v>685</v>
      </c>
      <c r="F338" s="6" t="s">
        <v>655</v>
      </c>
      <c r="G338" s="5">
        <v>305.3</v>
      </c>
      <c r="H338" s="5">
        <v>0.33529999999999999</v>
      </c>
      <c r="I338" s="20">
        <f t="shared" si="5"/>
        <v>102.36709</v>
      </c>
      <c r="J338" s="6" t="s">
        <v>357</v>
      </c>
    </row>
    <row r="339" spans="1:10" hidden="1">
      <c r="A339" s="9">
        <v>45813</v>
      </c>
      <c r="B339" s="6" t="s">
        <v>7036</v>
      </c>
      <c r="C339" s="5" t="s">
        <v>698</v>
      </c>
      <c r="D339" s="8" t="s">
        <v>354</v>
      </c>
      <c r="E339" s="6" t="s">
        <v>685</v>
      </c>
      <c r="F339" s="6" t="s">
        <v>655</v>
      </c>
      <c r="G339" s="5">
        <v>425.7</v>
      </c>
      <c r="H339" s="5">
        <v>0.33529999999999999</v>
      </c>
      <c r="I339" s="20">
        <f t="shared" si="5"/>
        <v>142.73721</v>
      </c>
      <c r="J339" s="6" t="s">
        <v>357</v>
      </c>
    </row>
    <row r="340" spans="1:10" hidden="1">
      <c r="A340" s="9">
        <v>45813</v>
      </c>
      <c r="B340" s="6" t="s">
        <v>7037</v>
      </c>
      <c r="C340" s="5" t="s">
        <v>706</v>
      </c>
      <c r="D340" s="8" t="s">
        <v>354</v>
      </c>
      <c r="E340" s="6" t="s">
        <v>685</v>
      </c>
      <c r="F340" s="6" t="s">
        <v>655</v>
      </c>
      <c r="G340" s="5">
        <v>581.29999999999995</v>
      </c>
      <c r="H340" s="5">
        <v>0.33529999999999999</v>
      </c>
      <c r="I340" s="20">
        <f t="shared" si="5"/>
        <v>194.90988999999999</v>
      </c>
      <c r="J340" s="6" t="s">
        <v>357</v>
      </c>
    </row>
    <row r="341" spans="1:10" hidden="1">
      <c r="A341" s="9">
        <v>45813</v>
      </c>
      <c r="B341" s="6" t="s">
        <v>7038</v>
      </c>
      <c r="C341" s="5" t="s">
        <v>707</v>
      </c>
      <c r="D341" s="8" t="s">
        <v>354</v>
      </c>
      <c r="E341" s="6" t="s">
        <v>685</v>
      </c>
      <c r="F341" s="6" t="s">
        <v>655</v>
      </c>
      <c r="G341" s="5">
        <v>688.4</v>
      </c>
      <c r="H341" s="5">
        <v>0.33529999999999999</v>
      </c>
      <c r="I341" s="20">
        <f t="shared" si="5"/>
        <v>230.82051999999999</v>
      </c>
      <c r="J341" s="6" t="s">
        <v>357</v>
      </c>
    </row>
    <row r="342" spans="1:10" hidden="1">
      <c r="A342" s="9">
        <v>45813</v>
      </c>
      <c r="B342" s="6" t="s">
        <v>7039</v>
      </c>
      <c r="C342" s="5" t="s">
        <v>708</v>
      </c>
      <c r="D342" s="8" t="s">
        <v>354</v>
      </c>
      <c r="E342" s="6" t="s">
        <v>685</v>
      </c>
      <c r="F342" s="6" t="s">
        <v>655</v>
      </c>
      <c r="G342" s="5">
        <v>508.7</v>
      </c>
      <c r="H342" s="5">
        <v>0.33529999999999999</v>
      </c>
      <c r="I342" s="20">
        <f t="shared" si="5"/>
        <v>170.56710999999999</v>
      </c>
      <c r="J342" s="6" t="s">
        <v>357</v>
      </c>
    </row>
    <row r="343" spans="1:10" hidden="1">
      <c r="A343" s="9">
        <v>45813</v>
      </c>
      <c r="B343" s="6" t="s">
        <v>7040</v>
      </c>
      <c r="C343" s="5" t="s">
        <v>709</v>
      </c>
      <c r="D343" s="8" t="s">
        <v>354</v>
      </c>
      <c r="E343" s="6" t="s">
        <v>685</v>
      </c>
      <c r="F343" s="6" t="s">
        <v>655</v>
      </c>
      <c r="G343" s="5">
        <v>452.8</v>
      </c>
      <c r="H343" s="5">
        <v>0.33529999999999999</v>
      </c>
      <c r="I343" s="20">
        <f t="shared" si="5"/>
        <v>151.82383999999999</v>
      </c>
      <c r="J343" s="6" t="s">
        <v>357</v>
      </c>
    </row>
    <row r="344" spans="1:10" hidden="1">
      <c r="A344" s="9">
        <v>45813</v>
      </c>
      <c r="B344" s="6" t="s">
        <v>7041</v>
      </c>
      <c r="C344" s="5" t="s">
        <v>330</v>
      </c>
      <c r="D344" s="8" t="s">
        <v>354</v>
      </c>
      <c r="E344" s="6" t="s">
        <v>685</v>
      </c>
      <c r="F344" s="6" t="s">
        <v>655</v>
      </c>
      <c r="G344" s="5">
        <v>431.3</v>
      </c>
      <c r="H344" s="5">
        <v>0.33529999999999999</v>
      </c>
      <c r="I344" s="20">
        <f t="shared" si="5"/>
        <v>144.61489</v>
      </c>
      <c r="J344" s="6" t="s">
        <v>357</v>
      </c>
    </row>
    <row r="345" spans="1:10" hidden="1">
      <c r="A345" s="9">
        <v>45813</v>
      </c>
      <c r="B345" s="6" t="s">
        <v>7042</v>
      </c>
      <c r="C345" s="5" t="s">
        <v>332</v>
      </c>
      <c r="D345" s="8" t="s">
        <v>354</v>
      </c>
      <c r="E345" s="6" t="s">
        <v>685</v>
      </c>
      <c r="F345" s="6" t="s">
        <v>655</v>
      </c>
      <c r="G345" s="5">
        <v>355.4</v>
      </c>
      <c r="H345" s="5">
        <v>0.33529999999999999</v>
      </c>
      <c r="I345" s="20">
        <f t="shared" si="5"/>
        <v>119.16561999999999</v>
      </c>
      <c r="J345" s="6" t="s">
        <v>357</v>
      </c>
    </row>
    <row r="346" spans="1:10" hidden="1">
      <c r="A346" s="9">
        <v>45813</v>
      </c>
      <c r="B346" s="6" t="s">
        <v>7043</v>
      </c>
      <c r="C346" s="5" t="s">
        <v>710</v>
      </c>
      <c r="D346" s="8" t="s">
        <v>354</v>
      </c>
      <c r="E346" s="6" t="s">
        <v>685</v>
      </c>
      <c r="F346" s="6" t="s">
        <v>655</v>
      </c>
      <c r="G346" s="5">
        <v>710.1</v>
      </c>
      <c r="H346" s="5">
        <v>0.33529999999999999</v>
      </c>
      <c r="I346" s="20">
        <f t="shared" si="5"/>
        <v>238.09653</v>
      </c>
      <c r="J346" s="6" t="s">
        <v>357</v>
      </c>
    </row>
    <row r="347" spans="1:10" hidden="1">
      <c r="A347" s="9">
        <v>45813</v>
      </c>
      <c r="B347" s="6" t="s">
        <v>7044</v>
      </c>
      <c r="C347" s="5" t="s">
        <v>711</v>
      </c>
      <c r="D347" s="8" t="s">
        <v>354</v>
      </c>
      <c r="E347" s="6" t="s">
        <v>685</v>
      </c>
      <c r="F347" s="6" t="s">
        <v>655</v>
      </c>
      <c r="G347" s="5">
        <v>563.70000000000005</v>
      </c>
      <c r="H347" s="5">
        <v>0.33529999999999999</v>
      </c>
      <c r="I347" s="20">
        <f t="shared" si="5"/>
        <v>189.00861</v>
      </c>
      <c r="J347" s="6" t="s">
        <v>357</v>
      </c>
    </row>
    <row r="348" spans="1:10" hidden="1">
      <c r="A348" s="9">
        <v>45813</v>
      </c>
      <c r="B348" s="6" t="s">
        <v>7045</v>
      </c>
      <c r="C348" s="5" t="s">
        <v>345</v>
      </c>
      <c r="D348" s="8" t="s">
        <v>354</v>
      </c>
      <c r="E348" s="6" t="s">
        <v>685</v>
      </c>
      <c r="F348" s="6" t="s">
        <v>655</v>
      </c>
      <c r="G348" s="5">
        <v>435.4</v>
      </c>
      <c r="H348" s="5">
        <v>0.33529999999999999</v>
      </c>
      <c r="I348" s="20">
        <f t="shared" si="5"/>
        <v>145.98961999999997</v>
      </c>
      <c r="J348" s="6" t="s">
        <v>357</v>
      </c>
    </row>
    <row r="349" spans="1:10" hidden="1">
      <c r="A349" s="10">
        <v>44902</v>
      </c>
      <c r="B349" s="6" t="s">
        <v>717</v>
      </c>
      <c r="C349" s="15" t="s">
        <v>716</v>
      </c>
      <c r="D349" s="8" t="s">
        <v>354</v>
      </c>
      <c r="E349" s="6" t="s">
        <v>466</v>
      </c>
      <c r="F349" s="6" t="s">
        <v>356</v>
      </c>
      <c r="G349" s="21">
        <v>192</v>
      </c>
      <c r="H349" s="5">
        <v>0.33529999999999999</v>
      </c>
      <c r="I349" s="20">
        <f t="shared" si="5"/>
        <v>64.377600000000001</v>
      </c>
      <c r="J349" s="6" t="s">
        <v>357</v>
      </c>
    </row>
    <row r="350" spans="1:10" hidden="1">
      <c r="A350" s="10">
        <v>44902</v>
      </c>
      <c r="B350" s="6" t="s">
        <v>719</v>
      </c>
      <c r="C350" s="15" t="s">
        <v>718</v>
      </c>
      <c r="D350" s="8" t="s">
        <v>354</v>
      </c>
      <c r="E350" s="6" t="s">
        <v>466</v>
      </c>
      <c r="F350" s="6" t="s">
        <v>356</v>
      </c>
      <c r="G350" s="21">
        <v>448</v>
      </c>
      <c r="H350" s="5">
        <v>0.33529999999999999</v>
      </c>
      <c r="I350" s="20">
        <f t="shared" si="5"/>
        <v>150.21439999999998</v>
      </c>
      <c r="J350" s="6" t="s">
        <v>357</v>
      </c>
    </row>
    <row r="351" spans="1:10" hidden="1">
      <c r="A351" s="10">
        <v>44902</v>
      </c>
      <c r="B351" s="6" t="s">
        <v>721</v>
      </c>
      <c r="C351" s="15" t="s">
        <v>720</v>
      </c>
      <c r="D351" s="8" t="s">
        <v>354</v>
      </c>
      <c r="E351" s="6" t="s">
        <v>466</v>
      </c>
      <c r="F351" s="6" t="s">
        <v>356</v>
      </c>
      <c r="G351" s="21">
        <v>200</v>
      </c>
      <c r="H351" s="5">
        <v>0.33529999999999999</v>
      </c>
      <c r="I351" s="20">
        <f t="shared" si="5"/>
        <v>67.06</v>
      </c>
      <c r="J351" s="6" t="s">
        <v>357</v>
      </c>
    </row>
    <row r="352" spans="1:10" hidden="1">
      <c r="A352" s="10">
        <v>45325</v>
      </c>
      <c r="B352" s="6" t="s">
        <v>723</v>
      </c>
      <c r="C352" s="5" t="s">
        <v>722</v>
      </c>
      <c r="D352" s="8" t="s">
        <v>354</v>
      </c>
      <c r="E352" s="6" t="s">
        <v>724</v>
      </c>
      <c r="F352" s="6" t="s">
        <v>725</v>
      </c>
      <c r="G352" s="5">
        <v>292</v>
      </c>
      <c r="H352" s="5">
        <v>0.33229999999999998</v>
      </c>
      <c r="I352" s="20">
        <f t="shared" si="5"/>
        <v>97.031599999999997</v>
      </c>
      <c r="J352" s="6" t="s">
        <v>357</v>
      </c>
    </row>
    <row r="353" spans="1:10" hidden="1">
      <c r="A353" s="10">
        <v>45325</v>
      </c>
      <c r="B353" s="6" t="s">
        <v>727</v>
      </c>
      <c r="C353" s="5" t="s">
        <v>726</v>
      </c>
      <c r="D353" s="8" t="s">
        <v>354</v>
      </c>
      <c r="E353" s="6" t="s">
        <v>724</v>
      </c>
      <c r="F353" s="6" t="s">
        <v>725</v>
      </c>
      <c r="G353" s="5">
        <v>292</v>
      </c>
      <c r="H353" s="5">
        <v>0.33229999999999998</v>
      </c>
      <c r="I353" s="20">
        <f t="shared" si="5"/>
        <v>97.031599999999997</v>
      </c>
      <c r="J353" s="6" t="s">
        <v>357</v>
      </c>
    </row>
    <row r="354" spans="1:10" hidden="1">
      <c r="A354" s="10">
        <v>45325</v>
      </c>
      <c r="B354" s="6" t="s">
        <v>729</v>
      </c>
      <c r="C354" s="15" t="s">
        <v>728</v>
      </c>
      <c r="D354" s="8" t="s">
        <v>354</v>
      </c>
      <c r="E354" s="6" t="s">
        <v>730</v>
      </c>
      <c r="F354" s="6" t="s">
        <v>731</v>
      </c>
      <c r="G354" s="21">
        <v>74</v>
      </c>
      <c r="H354" s="5">
        <v>0.33529999999999999</v>
      </c>
      <c r="I354" s="20">
        <f t="shared" si="5"/>
        <v>24.812200000000001</v>
      </c>
      <c r="J354" s="6" t="s">
        <v>357</v>
      </c>
    </row>
    <row r="355" spans="1:10" hidden="1">
      <c r="A355" s="10">
        <v>45325</v>
      </c>
      <c r="B355" s="6" t="s">
        <v>733</v>
      </c>
      <c r="C355" s="15" t="s">
        <v>732</v>
      </c>
      <c r="D355" s="8" t="s">
        <v>354</v>
      </c>
      <c r="E355" s="6" t="s">
        <v>730</v>
      </c>
      <c r="F355" s="6" t="s">
        <v>731</v>
      </c>
      <c r="G355" s="21">
        <v>74</v>
      </c>
      <c r="H355" s="5">
        <v>0.33529999999999999</v>
      </c>
      <c r="I355" s="20">
        <f t="shared" si="5"/>
        <v>24.812200000000001</v>
      </c>
      <c r="J355" s="6" t="s">
        <v>357</v>
      </c>
    </row>
    <row r="356" spans="1:10" hidden="1">
      <c r="A356" s="10">
        <v>45325</v>
      </c>
      <c r="B356" s="6" t="s">
        <v>735</v>
      </c>
      <c r="C356" s="15" t="s">
        <v>734</v>
      </c>
      <c r="D356" s="8" t="s">
        <v>354</v>
      </c>
      <c r="E356" s="6" t="s">
        <v>730</v>
      </c>
      <c r="F356" s="6" t="s">
        <v>731</v>
      </c>
      <c r="G356" s="21">
        <v>74</v>
      </c>
      <c r="H356" s="5">
        <v>0.33529999999999999</v>
      </c>
      <c r="I356" s="20">
        <f t="shared" si="5"/>
        <v>24.812200000000001</v>
      </c>
      <c r="J356" s="6" t="s">
        <v>357</v>
      </c>
    </row>
    <row r="357" spans="1:10" hidden="1">
      <c r="A357" s="10">
        <v>45325</v>
      </c>
      <c r="B357" s="6" t="s">
        <v>737</v>
      </c>
      <c r="C357" s="5" t="s">
        <v>736</v>
      </c>
      <c r="D357" s="8" t="s">
        <v>354</v>
      </c>
      <c r="E357" s="6" t="s">
        <v>730</v>
      </c>
      <c r="F357" s="6" t="s">
        <v>731</v>
      </c>
      <c r="G357" s="21">
        <v>1618</v>
      </c>
      <c r="H357" s="5">
        <v>0.33529999999999999</v>
      </c>
      <c r="I357" s="20">
        <f t="shared" si="5"/>
        <v>542.5154</v>
      </c>
      <c r="J357" s="6" t="s">
        <v>357</v>
      </c>
    </row>
    <row r="358" spans="1:10" ht="45" hidden="1">
      <c r="A358" s="10">
        <v>44902</v>
      </c>
      <c r="B358" s="6" t="s">
        <v>739</v>
      </c>
      <c r="C358" s="5" t="s">
        <v>738</v>
      </c>
      <c r="D358" s="8" t="s">
        <v>354</v>
      </c>
      <c r="E358" s="6" t="s">
        <v>740</v>
      </c>
      <c r="F358" s="6" t="s">
        <v>741</v>
      </c>
      <c r="G358" s="21">
        <v>2000</v>
      </c>
      <c r="H358" s="5">
        <v>0.33529999999999999</v>
      </c>
      <c r="I358" s="20">
        <f t="shared" si="5"/>
        <v>670.6</v>
      </c>
      <c r="J358" s="6" t="s">
        <v>357</v>
      </c>
    </row>
    <row r="359" spans="1:10" ht="45" hidden="1">
      <c r="A359" s="10">
        <v>44902</v>
      </c>
      <c r="B359" s="6" t="s">
        <v>743</v>
      </c>
      <c r="C359" s="5" t="s">
        <v>742</v>
      </c>
      <c r="D359" s="8" t="s">
        <v>354</v>
      </c>
      <c r="E359" s="6" t="s">
        <v>740</v>
      </c>
      <c r="F359" s="6" t="s">
        <v>741</v>
      </c>
      <c r="G359" s="5">
        <v>2236</v>
      </c>
      <c r="H359" s="5">
        <v>0.33529999999999999</v>
      </c>
      <c r="I359" s="20">
        <f t="shared" si="5"/>
        <v>749.73079999999993</v>
      </c>
      <c r="J359" s="6" t="s">
        <v>357</v>
      </c>
    </row>
    <row r="360" spans="1:10" hidden="1">
      <c r="A360" s="10">
        <v>44902</v>
      </c>
      <c r="B360" s="6" t="s">
        <v>745</v>
      </c>
      <c r="C360" s="5" t="s">
        <v>744</v>
      </c>
      <c r="D360" s="8" t="s">
        <v>354</v>
      </c>
      <c r="E360" s="6" t="s">
        <v>740</v>
      </c>
      <c r="F360" s="6" t="s">
        <v>741</v>
      </c>
      <c r="G360" s="5">
        <v>3177</v>
      </c>
      <c r="H360" s="5">
        <v>0.33529999999999999</v>
      </c>
      <c r="I360" s="20">
        <f t="shared" si="5"/>
        <v>1065.2481</v>
      </c>
      <c r="J360" s="6" t="s">
        <v>357</v>
      </c>
    </row>
    <row r="361" spans="1:10" ht="45" hidden="1">
      <c r="A361" s="10">
        <v>44902</v>
      </c>
      <c r="B361" s="6" t="s">
        <v>747</v>
      </c>
      <c r="C361" s="5" t="s">
        <v>746</v>
      </c>
      <c r="D361" s="8" t="s">
        <v>354</v>
      </c>
      <c r="E361" s="6" t="s">
        <v>740</v>
      </c>
      <c r="F361" s="6" t="s">
        <v>741</v>
      </c>
      <c r="G361" s="5">
        <v>946</v>
      </c>
      <c r="H361" s="5">
        <v>0.33529999999999999</v>
      </c>
      <c r="I361" s="20">
        <f t="shared" si="5"/>
        <v>317.19380000000001</v>
      </c>
      <c r="J361" s="6" t="s">
        <v>357</v>
      </c>
    </row>
    <row r="362" spans="1:10" hidden="1">
      <c r="A362" s="10">
        <v>44902</v>
      </c>
      <c r="B362" s="6" t="s">
        <v>749</v>
      </c>
      <c r="C362" s="5" t="s">
        <v>748</v>
      </c>
      <c r="D362" s="8" t="s">
        <v>354</v>
      </c>
      <c r="E362" s="6" t="s">
        <v>740</v>
      </c>
      <c r="F362" s="6" t="s">
        <v>741</v>
      </c>
      <c r="G362" s="5">
        <v>3534</v>
      </c>
      <c r="H362" s="5">
        <v>0.33529999999999999</v>
      </c>
      <c r="I362" s="20">
        <f t="shared" si="5"/>
        <v>1184.9502</v>
      </c>
      <c r="J362" s="6" t="s">
        <v>357</v>
      </c>
    </row>
    <row r="363" spans="1:10" hidden="1">
      <c r="A363" s="10">
        <v>44902</v>
      </c>
      <c r="B363" s="6" t="s">
        <v>751</v>
      </c>
      <c r="C363" s="5" t="s">
        <v>750</v>
      </c>
      <c r="D363" s="8" t="s">
        <v>354</v>
      </c>
      <c r="E363" s="6" t="s">
        <v>740</v>
      </c>
      <c r="F363" s="6" t="s">
        <v>741</v>
      </c>
      <c r="G363" s="5">
        <v>4054</v>
      </c>
      <c r="H363" s="5">
        <v>0.33529999999999999</v>
      </c>
      <c r="I363" s="20">
        <f t="shared" si="5"/>
        <v>1359.3062</v>
      </c>
      <c r="J363" s="6" t="s">
        <v>357</v>
      </c>
    </row>
    <row r="364" spans="1:10" ht="45" hidden="1">
      <c r="A364" s="10">
        <v>44902</v>
      </c>
      <c r="B364" s="6" t="s">
        <v>753</v>
      </c>
      <c r="C364" s="5" t="s">
        <v>752</v>
      </c>
      <c r="D364" s="8" t="s">
        <v>354</v>
      </c>
      <c r="E364" s="6" t="s">
        <v>740</v>
      </c>
      <c r="F364" s="6" t="s">
        <v>741</v>
      </c>
      <c r="G364" s="5">
        <v>1048</v>
      </c>
      <c r="H364" s="5">
        <v>0.33529999999999999</v>
      </c>
      <c r="I364" s="20">
        <f t="shared" si="5"/>
        <v>351.39439999999996</v>
      </c>
      <c r="J364" s="6" t="s">
        <v>357</v>
      </c>
    </row>
    <row r="365" spans="1:10" ht="45" hidden="1">
      <c r="A365" s="10">
        <v>44902</v>
      </c>
      <c r="B365" s="6" t="s">
        <v>755</v>
      </c>
      <c r="C365" s="5" t="s">
        <v>754</v>
      </c>
      <c r="D365" s="8" t="s">
        <v>354</v>
      </c>
      <c r="E365" s="6" t="s">
        <v>740</v>
      </c>
      <c r="F365" s="6" t="s">
        <v>741</v>
      </c>
      <c r="G365" s="5">
        <v>1162</v>
      </c>
      <c r="H365" s="5">
        <v>0.33529999999999999</v>
      </c>
      <c r="I365" s="20">
        <f t="shared" si="5"/>
        <v>389.61859999999996</v>
      </c>
      <c r="J365" s="6" t="s">
        <v>357</v>
      </c>
    </row>
    <row r="366" spans="1:10" ht="45" hidden="1">
      <c r="A366" s="10">
        <v>44902</v>
      </c>
      <c r="B366" s="6" t="s">
        <v>757</v>
      </c>
      <c r="C366" s="5" t="s">
        <v>756</v>
      </c>
      <c r="D366" s="8" t="s">
        <v>354</v>
      </c>
      <c r="E366" s="6" t="s">
        <v>740</v>
      </c>
      <c r="F366" s="6" t="s">
        <v>741</v>
      </c>
      <c r="G366" s="5">
        <v>1707</v>
      </c>
      <c r="H366" s="5">
        <v>0.33529999999999999</v>
      </c>
      <c r="I366" s="20">
        <f t="shared" si="5"/>
        <v>572.35709999999995</v>
      </c>
      <c r="J366" s="6" t="s">
        <v>357</v>
      </c>
    </row>
    <row r="367" spans="1:10" ht="45" hidden="1">
      <c r="A367" s="10">
        <v>44902</v>
      </c>
      <c r="B367" s="6" t="s">
        <v>759</v>
      </c>
      <c r="C367" s="5" t="s">
        <v>758</v>
      </c>
      <c r="D367" s="8" t="s">
        <v>354</v>
      </c>
      <c r="E367" s="6" t="s">
        <v>740</v>
      </c>
      <c r="F367" s="6" t="s">
        <v>741</v>
      </c>
      <c r="G367" s="5">
        <v>1826</v>
      </c>
      <c r="H367" s="5">
        <v>0.33529999999999999</v>
      </c>
      <c r="I367" s="20">
        <f t="shared" si="5"/>
        <v>612.25779999999997</v>
      </c>
      <c r="J367" s="6" t="s">
        <v>357</v>
      </c>
    </row>
    <row r="368" spans="1:10" ht="45" hidden="1">
      <c r="A368" s="9">
        <v>45831</v>
      </c>
      <c r="B368" s="6" t="s">
        <v>761</v>
      </c>
      <c r="C368" s="5" t="s">
        <v>760</v>
      </c>
      <c r="D368" s="8" t="s">
        <v>354</v>
      </c>
      <c r="E368" s="6" t="s">
        <v>762</v>
      </c>
      <c r="F368" s="6" t="s">
        <v>763</v>
      </c>
      <c r="G368" s="5">
        <v>37456</v>
      </c>
      <c r="H368" s="5">
        <v>0.33529999999999999</v>
      </c>
      <c r="I368" s="20">
        <f t="shared" si="5"/>
        <v>12558.996799999999</v>
      </c>
      <c r="J368" s="6" t="s">
        <v>357</v>
      </c>
    </row>
    <row r="369" spans="1:10" ht="45" hidden="1">
      <c r="A369" s="9">
        <v>45831</v>
      </c>
      <c r="B369" s="6" t="s">
        <v>765</v>
      </c>
      <c r="C369" s="5" t="s">
        <v>764</v>
      </c>
      <c r="D369" s="8" t="s">
        <v>354</v>
      </c>
      <c r="E369" s="6" t="s">
        <v>762</v>
      </c>
      <c r="F369" s="6" t="s">
        <v>763</v>
      </c>
      <c r="G369" s="16">
        <v>7057</v>
      </c>
      <c r="H369" s="5">
        <v>0.33529999999999999</v>
      </c>
      <c r="I369" s="281">
        <f t="shared" si="5"/>
        <v>2366.2120999999997</v>
      </c>
      <c r="J369" s="6" t="s">
        <v>357</v>
      </c>
    </row>
    <row r="370" spans="1:10" ht="45" hidden="1">
      <c r="A370" s="9">
        <v>45831</v>
      </c>
      <c r="B370" s="6" t="s">
        <v>767</v>
      </c>
      <c r="C370" s="5" t="s">
        <v>766</v>
      </c>
      <c r="D370" s="8" t="s">
        <v>354</v>
      </c>
      <c r="E370" s="6" t="s">
        <v>762</v>
      </c>
      <c r="F370" s="6" t="s">
        <v>763</v>
      </c>
      <c r="G370" s="5">
        <v>39837</v>
      </c>
      <c r="H370" s="5">
        <v>0.33529999999999999</v>
      </c>
      <c r="I370" s="20">
        <f t="shared" si="5"/>
        <v>13357.346099999999</v>
      </c>
      <c r="J370" s="6" t="s">
        <v>357</v>
      </c>
    </row>
    <row r="371" spans="1:10" ht="45" hidden="1">
      <c r="A371" s="9">
        <v>45831</v>
      </c>
      <c r="B371" s="6" t="s">
        <v>769</v>
      </c>
      <c r="C371" s="5" t="s">
        <v>768</v>
      </c>
      <c r="D371" s="8" t="s">
        <v>354</v>
      </c>
      <c r="E371" s="6" t="s">
        <v>762</v>
      </c>
      <c r="F371" s="6" t="s">
        <v>763</v>
      </c>
      <c r="G371" s="5">
        <v>8248</v>
      </c>
      <c r="H371" s="5">
        <v>0.33529999999999999</v>
      </c>
      <c r="I371" s="20">
        <f t="shared" si="5"/>
        <v>2765.5544</v>
      </c>
      <c r="J371" s="6" t="s">
        <v>357</v>
      </c>
    </row>
    <row r="372" spans="1:10" ht="45" hidden="1">
      <c r="A372" s="9">
        <v>45831</v>
      </c>
      <c r="B372" s="6" t="s">
        <v>771</v>
      </c>
      <c r="C372" s="5" t="s">
        <v>770</v>
      </c>
      <c r="D372" s="8" t="s">
        <v>354</v>
      </c>
      <c r="E372" s="6" t="s">
        <v>762</v>
      </c>
      <c r="F372" s="6" t="s">
        <v>763</v>
      </c>
      <c r="G372" s="5">
        <v>50159</v>
      </c>
      <c r="H372" s="5">
        <v>0.33529999999999999</v>
      </c>
      <c r="I372" s="20">
        <f t="shared" si="5"/>
        <v>16818.312699999999</v>
      </c>
      <c r="J372" s="6" t="s">
        <v>357</v>
      </c>
    </row>
    <row r="373" spans="1:10" ht="45" hidden="1">
      <c r="A373" s="9">
        <v>45831</v>
      </c>
      <c r="B373" s="6" t="s">
        <v>773</v>
      </c>
      <c r="C373" s="5" t="s">
        <v>772</v>
      </c>
      <c r="D373" s="8" t="s">
        <v>354</v>
      </c>
      <c r="E373" s="6" t="s">
        <v>762</v>
      </c>
      <c r="F373" s="6" t="s">
        <v>763</v>
      </c>
      <c r="G373" s="5">
        <v>9866</v>
      </c>
      <c r="H373" s="5">
        <v>0.33529999999999999</v>
      </c>
      <c r="I373" s="20">
        <f t="shared" si="5"/>
        <v>3308.0697999999998</v>
      </c>
      <c r="J373" s="6" t="s">
        <v>357</v>
      </c>
    </row>
    <row r="374" spans="1:10" ht="45" hidden="1">
      <c r="A374" s="9">
        <v>45831</v>
      </c>
      <c r="B374" s="6" t="s">
        <v>775</v>
      </c>
      <c r="C374" s="5" t="s">
        <v>774</v>
      </c>
      <c r="D374" s="8" t="s">
        <v>354</v>
      </c>
      <c r="E374" s="6" t="s">
        <v>762</v>
      </c>
      <c r="F374" s="6" t="s">
        <v>763</v>
      </c>
      <c r="G374" s="5">
        <v>72985</v>
      </c>
      <c r="H374" s="5">
        <v>0.33529999999999999</v>
      </c>
      <c r="I374" s="20">
        <f t="shared" si="5"/>
        <v>24471.870499999997</v>
      </c>
      <c r="J374" s="6" t="s">
        <v>357</v>
      </c>
    </row>
    <row r="375" spans="1:10" ht="45" hidden="1">
      <c r="A375" s="9">
        <v>45831</v>
      </c>
      <c r="B375" s="6" t="s">
        <v>777</v>
      </c>
      <c r="C375" s="5" t="s">
        <v>776</v>
      </c>
      <c r="D375" s="8" t="s">
        <v>354</v>
      </c>
      <c r="E375" s="6" t="s">
        <v>762</v>
      </c>
      <c r="F375" s="6" t="s">
        <v>763</v>
      </c>
      <c r="G375" s="5">
        <v>11216</v>
      </c>
      <c r="H375" s="5">
        <v>0.33529999999999999</v>
      </c>
      <c r="I375" s="20">
        <f t="shared" si="5"/>
        <v>3760.7248</v>
      </c>
      <c r="J375" s="6" t="s">
        <v>357</v>
      </c>
    </row>
    <row r="376" spans="1:10" ht="45" hidden="1">
      <c r="A376" s="9">
        <v>45831</v>
      </c>
      <c r="B376" s="6" t="s">
        <v>779</v>
      </c>
      <c r="C376" s="5" t="s">
        <v>778</v>
      </c>
      <c r="D376" s="8" t="s">
        <v>354</v>
      </c>
      <c r="E376" s="6" t="s">
        <v>762</v>
      </c>
      <c r="F376" s="6" t="s">
        <v>763</v>
      </c>
      <c r="G376" s="5">
        <v>81122</v>
      </c>
      <c r="H376" s="5">
        <v>0.33529999999999999</v>
      </c>
      <c r="I376" s="20">
        <f t="shared" si="5"/>
        <v>27200.206599999998</v>
      </c>
      <c r="J376" s="6" t="s">
        <v>357</v>
      </c>
    </row>
    <row r="377" spans="1:10" ht="45" hidden="1">
      <c r="A377" s="9">
        <v>45831</v>
      </c>
      <c r="B377" s="6" t="s">
        <v>781</v>
      </c>
      <c r="C377" s="5" t="s">
        <v>780</v>
      </c>
      <c r="D377" s="8" t="s">
        <v>354</v>
      </c>
      <c r="E377" s="6" t="s">
        <v>762</v>
      </c>
      <c r="F377" s="6" t="s">
        <v>763</v>
      </c>
      <c r="G377" s="5">
        <v>12685</v>
      </c>
      <c r="H377" s="5">
        <v>0.33529999999999999</v>
      </c>
      <c r="I377" s="20">
        <f t="shared" si="5"/>
        <v>4253.2804999999998</v>
      </c>
      <c r="J377" s="6" t="s">
        <v>357</v>
      </c>
    </row>
    <row r="378" spans="1:10" ht="45" hidden="1">
      <c r="A378" s="9">
        <v>45831</v>
      </c>
      <c r="B378" s="6" t="s">
        <v>783</v>
      </c>
      <c r="C378" s="5" t="s">
        <v>782</v>
      </c>
      <c r="D378" s="8" t="s">
        <v>354</v>
      </c>
      <c r="E378" s="6" t="s">
        <v>762</v>
      </c>
      <c r="F378" s="6" t="s">
        <v>763</v>
      </c>
      <c r="G378" s="5">
        <v>14154</v>
      </c>
      <c r="H378" s="5">
        <v>0.33529999999999999</v>
      </c>
      <c r="I378" s="20">
        <f t="shared" si="5"/>
        <v>4745.8361999999997</v>
      </c>
      <c r="J378" s="6" t="s">
        <v>357</v>
      </c>
    </row>
    <row r="379" spans="1:10" ht="45" hidden="1">
      <c r="A379" s="9">
        <v>45831</v>
      </c>
      <c r="B379" s="6" t="s">
        <v>785</v>
      </c>
      <c r="C379" s="5" t="s">
        <v>784</v>
      </c>
      <c r="D379" s="8" t="s">
        <v>354</v>
      </c>
      <c r="E379" s="6" t="s">
        <v>762</v>
      </c>
      <c r="F379" s="6" t="s">
        <v>763</v>
      </c>
      <c r="G379" s="5">
        <v>15662</v>
      </c>
      <c r="H379" s="5">
        <v>0.33529999999999999</v>
      </c>
      <c r="I379" s="20">
        <f t="shared" si="5"/>
        <v>5251.4686000000002</v>
      </c>
      <c r="J379" s="6" t="s">
        <v>357</v>
      </c>
    </row>
    <row r="380" spans="1:10" ht="45" hidden="1">
      <c r="A380" s="9">
        <v>45831</v>
      </c>
      <c r="B380" s="6" t="s">
        <v>787</v>
      </c>
      <c r="C380" s="5" t="s">
        <v>786</v>
      </c>
      <c r="D380" s="8" t="s">
        <v>354</v>
      </c>
      <c r="E380" s="6" t="s">
        <v>762</v>
      </c>
      <c r="F380" s="6" t="s">
        <v>763</v>
      </c>
      <c r="G380" s="5">
        <v>5410</v>
      </c>
      <c r="H380" s="5">
        <v>0.33529999999999999</v>
      </c>
      <c r="I380" s="20">
        <f t="shared" si="5"/>
        <v>1813.973</v>
      </c>
      <c r="J380" s="6" t="s">
        <v>357</v>
      </c>
    </row>
    <row r="381" spans="1:10" ht="45" hidden="1">
      <c r="A381" s="9">
        <v>45831</v>
      </c>
      <c r="B381" s="6" t="s">
        <v>789</v>
      </c>
      <c r="C381" s="5" t="s">
        <v>788</v>
      </c>
      <c r="D381" s="8" t="s">
        <v>354</v>
      </c>
      <c r="E381" s="6" t="s">
        <v>762</v>
      </c>
      <c r="F381" s="6" t="s">
        <v>763</v>
      </c>
      <c r="G381" s="5">
        <v>19156</v>
      </c>
      <c r="H381" s="5">
        <v>0.33529999999999999</v>
      </c>
      <c r="I381" s="20">
        <f t="shared" si="5"/>
        <v>6423.0068000000001</v>
      </c>
      <c r="J381" s="6" t="s">
        <v>357</v>
      </c>
    </row>
    <row r="382" spans="1:10" ht="45" hidden="1">
      <c r="A382" s="9">
        <v>45831</v>
      </c>
      <c r="B382" s="6" t="s">
        <v>791</v>
      </c>
      <c r="C382" s="5" t="s">
        <v>790</v>
      </c>
      <c r="D382" s="8" t="s">
        <v>354</v>
      </c>
      <c r="E382" s="6" t="s">
        <v>762</v>
      </c>
      <c r="F382" s="6" t="s">
        <v>763</v>
      </c>
      <c r="G382" s="5">
        <v>5652</v>
      </c>
      <c r="H382" s="5">
        <v>0.33529999999999999</v>
      </c>
      <c r="I382" s="20">
        <f t="shared" si="5"/>
        <v>1895.1155999999999</v>
      </c>
      <c r="J382" s="6" t="s">
        <v>357</v>
      </c>
    </row>
    <row r="383" spans="1:10" ht="45" hidden="1">
      <c r="A383" s="9">
        <v>45831</v>
      </c>
      <c r="B383" s="6" t="s">
        <v>793</v>
      </c>
      <c r="C383" s="5" t="s">
        <v>792</v>
      </c>
      <c r="D383" s="8" t="s">
        <v>354</v>
      </c>
      <c r="E383" s="6" t="s">
        <v>762</v>
      </c>
      <c r="F383" s="6" t="s">
        <v>763</v>
      </c>
      <c r="G383" s="5">
        <v>23165</v>
      </c>
      <c r="H383" s="5">
        <v>0.33529999999999999</v>
      </c>
      <c r="I383" s="20">
        <f t="shared" si="5"/>
        <v>7767.2244999999994</v>
      </c>
      <c r="J383" s="6" t="s">
        <v>357</v>
      </c>
    </row>
    <row r="384" spans="1:10" ht="45" hidden="1">
      <c r="A384" s="9">
        <v>45831</v>
      </c>
      <c r="B384" s="6" t="s">
        <v>795</v>
      </c>
      <c r="C384" s="5" t="s">
        <v>794</v>
      </c>
      <c r="D384" s="8" t="s">
        <v>354</v>
      </c>
      <c r="E384" s="6" t="s">
        <v>762</v>
      </c>
      <c r="F384" s="6" t="s">
        <v>763</v>
      </c>
      <c r="G384" s="5">
        <v>6382</v>
      </c>
      <c r="H384" s="5">
        <v>0.33529999999999999</v>
      </c>
      <c r="I384" s="20">
        <f t="shared" si="5"/>
        <v>2139.8845999999999</v>
      </c>
      <c r="J384" s="6" t="s">
        <v>357</v>
      </c>
    </row>
    <row r="385" spans="1:10" hidden="1">
      <c r="A385" s="9">
        <v>45988</v>
      </c>
      <c r="B385" s="6" t="s">
        <v>797</v>
      </c>
      <c r="C385" s="5" t="s">
        <v>796</v>
      </c>
      <c r="D385" s="8" t="s">
        <v>354</v>
      </c>
      <c r="E385" s="6" t="s">
        <v>466</v>
      </c>
      <c r="F385" s="6" t="s">
        <v>798</v>
      </c>
      <c r="G385" s="5">
        <v>709</v>
      </c>
      <c r="H385" s="5">
        <v>0.33229999999999998</v>
      </c>
      <c r="I385" s="20">
        <f t="shared" si="5"/>
        <v>235.60069999999999</v>
      </c>
      <c r="J385" s="6" t="s">
        <v>357</v>
      </c>
    </row>
    <row r="386" spans="1:10" hidden="1">
      <c r="A386" s="9">
        <v>45988</v>
      </c>
      <c r="B386" s="6" t="s">
        <v>800</v>
      </c>
      <c r="C386" s="5" t="s">
        <v>799</v>
      </c>
      <c r="D386" s="8" t="s">
        <v>354</v>
      </c>
      <c r="E386" s="6" t="s">
        <v>466</v>
      </c>
      <c r="F386" s="6" t="s">
        <v>798</v>
      </c>
      <c r="G386" s="5">
        <v>709</v>
      </c>
      <c r="H386" s="5">
        <v>0.33229999999999998</v>
      </c>
      <c r="I386" s="20">
        <f t="shared" si="5"/>
        <v>235.60069999999999</v>
      </c>
      <c r="J386" s="6" t="s">
        <v>357</v>
      </c>
    </row>
    <row r="387" spans="1:10" hidden="1">
      <c r="A387" s="9">
        <v>45988</v>
      </c>
      <c r="B387" s="6" t="s">
        <v>802</v>
      </c>
      <c r="C387" s="5" t="s">
        <v>801</v>
      </c>
      <c r="D387" s="8" t="s">
        <v>354</v>
      </c>
      <c r="E387" s="6" t="s">
        <v>466</v>
      </c>
      <c r="F387" s="6" t="s">
        <v>798</v>
      </c>
      <c r="G387" s="5">
        <v>709</v>
      </c>
      <c r="H387" s="5">
        <v>0.33229999999999998</v>
      </c>
      <c r="I387" s="20">
        <f t="shared" ref="I387:I450" si="6">H387*G387</f>
        <v>235.60069999999999</v>
      </c>
      <c r="J387" s="6" t="s">
        <v>357</v>
      </c>
    </row>
    <row r="388" spans="1:10" hidden="1">
      <c r="A388" s="9">
        <v>45988</v>
      </c>
      <c r="B388" s="6" t="s">
        <v>804</v>
      </c>
      <c r="C388" s="5" t="s">
        <v>803</v>
      </c>
      <c r="D388" s="8" t="s">
        <v>354</v>
      </c>
      <c r="E388" s="6" t="s">
        <v>466</v>
      </c>
      <c r="F388" s="6" t="s">
        <v>798</v>
      </c>
      <c r="G388" s="5">
        <v>709</v>
      </c>
      <c r="H388" s="5">
        <v>0.33229999999999998</v>
      </c>
      <c r="I388" s="20">
        <f t="shared" si="6"/>
        <v>235.60069999999999</v>
      </c>
      <c r="J388" s="6" t="s">
        <v>357</v>
      </c>
    </row>
    <row r="389" spans="1:10" hidden="1">
      <c r="A389" s="9">
        <v>45988</v>
      </c>
      <c r="B389" s="6" t="s">
        <v>806</v>
      </c>
      <c r="C389" s="5" t="s">
        <v>805</v>
      </c>
      <c r="D389" s="8" t="s">
        <v>354</v>
      </c>
      <c r="E389" s="6" t="s">
        <v>466</v>
      </c>
      <c r="F389" s="6" t="s">
        <v>798</v>
      </c>
      <c r="G389" s="5">
        <v>709</v>
      </c>
      <c r="H389" s="5">
        <v>0.33229999999999998</v>
      </c>
      <c r="I389" s="20">
        <f t="shared" si="6"/>
        <v>235.60069999999999</v>
      </c>
      <c r="J389" s="6" t="s">
        <v>357</v>
      </c>
    </row>
    <row r="390" spans="1:10" hidden="1">
      <c r="A390" s="9">
        <v>45988</v>
      </c>
      <c r="B390" s="6" t="s">
        <v>808</v>
      </c>
      <c r="C390" s="5" t="s">
        <v>807</v>
      </c>
      <c r="D390" s="8" t="s">
        <v>354</v>
      </c>
      <c r="E390" s="6" t="s">
        <v>466</v>
      </c>
      <c r="F390" s="6" t="s">
        <v>798</v>
      </c>
      <c r="G390" s="5">
        <v>709</v>
      </c>
      <c r="H390" s="5">
        <v>0.33229999999999998</v>
      </c>
      <c r="I390" s="20">
        <f t="shared" si="6"/>
        <v>235.60069999999999</v>
      </c>
      <c r="J390" s="6" t="s">
        <v>357</v>
      </c>
    </row>
    <row r="391" spans="1:10" hidden="1">
      <c r="A391" s="9">
        <v>45988</v>
      </c>
      <c r="B391" s="6" t="s">
        <v>810</v>
      </c>
      <c r="C391" s="5" t="s">
        <v>809</v>
      </c>
      <c r="D391" s="8" t="s">
        <v>354</v>
      </c>
      <c r="E391" s="6" t="s">
        <v>466</v>
      </c>
      <c r="F391" s="6" t="s">
        <v>798</v>
      </c>
      <c r="G391" s="5">
        <v>709</v>
      </c>
      <c r="H391" s="5">
        <v>0.33229999999999998</v>
      </c>
      <c r="I391" s="20">
        <f t="shared" si="6"/>
        <v>235.60069999999999</v>
      </c>
      <c r="J391" s="6" t="s">
        <v>357</v>
      </c>
    </row>
    <row r="392" spans="1:10" hidden="1">
      <c r="A392" s="9">
        <v>45988</v>
      </c>
      <c r="B392" s="6" t="s">
        <v>812</v>
      </c>
      <c r="C392" s="5" t="s">
        <v>811</v>
      </c>
      <c r="D392" s="8" t="s">
        <v>354</v>
      </c>
      <c r="E392" s="6" t="s">
        <v>466</v>
      </c>
      <c r="F392" s="6" t="s">
        <v>798</v>
      </c>
      <c r="G392" s="5">
        <v>709</v>
      </c>
      <c r="H392" s="5">
        <v>0.33229999999999998</v>
      </c>
      <c r="I392" s="20">
        <f t="shared" si="6"/>
        <v>235.60069999999999</v>
      </c>
      <c r="J392" s="6" t="s">
        <v>357</v>
      </c>
    </row>
    <row r="393" spans="1:10" hidden="1">
      <c r="A393" s="9">
        <v>45988</v>
      </c>
      <c r="B393" s="6" t="s">
        <v>814</v>
      </c>
      <c r="C393" s="5" t="s">
        <v>813</v>
      </c>
      <c r="D393" s="8" t="s">
        <v>354</v>
      </c>
      <c r="E393" s="6" t="s">
        <v>466</v>
      </c>
      <c r="F393" s="6" t="s">
        <v>798</v>
      </c>
      <c r="G393" s="5">
        <v>709</v>
      </c>
      <c r="H393" s="5">
        <v>0.33229999999999998</v>
      </c>
      <c r="I393" s="20">
        <f t="shared" si="6"/>
        <v>235.60069999999999</v>
      </c>
      <c r="J393" s="6" t="s">
        <v>357</v>
      </c>
    </row>
    <row r="394" spans="1:10" hidden="1">
      <c r="A394" s="9">
        <v>45988</v>
      </c>
      <c r="B394" s="6" t="s">
        <v>816</v>
      </c>
      <c r="C394" s="5" t="s">
        <v>815</v>
      </c>
      <c r="D394" s="8" t="s">
        <v>354</v>
      </c>
      <c r="E394" s="6" t="s">
        <v>466</v>
      </c>
      <c r="F394" s="6" t="s">
        <v>798</v>
      </c>
      <c r="G394" s="5">
        <v>1096</v>
      </c>
      <c r="H394" s="5">
        <v>0.33229999999999998</v>
      </c>
      <c r="I394" s="20">
        <f t="shared" si="6"/>
        <v>364.20079999999996</v>
      </c>
      <c r="J394" s="6" t="s">
        <v>357</v>
      </c>
    </row>
    <row r="395" spans="1:10" hidden="1">
      <c r="A395" s="9">
        <v>45988</v>
      </c>
      <c r="B395" s="6" t="s">
        <v>818</v>
      </c>
      <c r="C395" s="5" t="s">
        <v>817</v>
      </c>
      <c r="D395" s="8" t="s">
        <v>354</v>
      </c>
      <c r="E395" s="6" t="s">
        <v>466</v>
      </c>
      <c r="F395" s="6" t="s">
        <v>798</v>
      </c>
      <c r="G395" s="5">
        <v>1096</v>
      </c>
      <c r="H395" s="5">
        <v>0.33229999999999998</v>
      </c>
      <c r="I395" s="20">
        <f t="shared" si="6"/>
        <v>364.20079999999996</v>
      </c>
      <c r="J395" s="6" t="s">
        <v>357</v>
      </c>
    </row>
    <row r="396" spans="1:10" hidden="1">
      <c r="A396" s="9">
        <v>45988</v>
      </c>
      <c r="B396" s="6" t="s">
        <v>820</v>
      </c>
      <c r="C396" s="5" t="s">
        <v>819</v>
      </c>
      <c r="D396" s="8" t="s">
        <v>354</v>
      </c>
      <c r="E396" s="6" t="s">
        <v>466</v>
      </c>
      <c r="F396" s="6" t="s">
        <v>798</v>
      </c>
      <c r="G396" s="5">
        <v>991</v>
      </c>
      <c r="H396" s="5">
        <v>0.33229999999999998</v>
      </c>
      <c r="I396" s="20">
        <f t="shared" si="6"/>
        <v>329.30930000000001</v>
      </c>
      <c r="J396" s="6" t="s">
        <v>357</v>
      </c>
    </row>
    <row r="397" spans="1:10" hidden="1">
      <c r="A397" s="9">
        <v>45988</v>
      </c>
      <c r="B397" s="6" t="s">
        <v>822</v>
      </c>
      <c r="C397" s="5" t="s">
        <v>821</v>
      </c>
      <c r="D397" s="8" t="s">
        <v>354</v>
      </c>
      <c r="E397" s="6" t="s">
        <v>466</v>
      </c>
      <c r="F397" s="6" t="s">
        <v>798</v>
      </c>
      <c r="G397" s="5">
        <v>991</v>
      </c>
      <c r="H397" s="5">
        <v>0.33229999999999998</v>
      </c>
      <c r="I397" s="20">
        <f t="shared" si="6"/>
        <v>329.30930000000001</v>
      </c>
      <c r="J397" s="6" t="s">
        <v>357</v>
      </c>
    </row>
    <row r="398" spans="1:10" hidden="1">
      <c r="A398" s="9">
        <v>45988</v>
      </c>
      <c r="B398" s="6" t="s">
        <v>824</v>
      </c>
      <c r="C398" s="5" t="s">
        <v>823</v>
      </c>
      <c r="D398" s="8" t="s">
        <v>354</v>
      </c>
      <c r="E398" s="6" t="s">
        <v>466</v>
      </c>
      <c r="F398" s="6" t="s">
        <v>798</v>
      </c>
      <c r="G398" s="5">
        <v>991</v>
      </c>
      <c r="H398" s="5">
        <v>0.33229999999999998</v>
      </c>
      <c r="I398" s="20">
        <f t="shared" si="6"/>
        <v>329.30930000000001</v>
      </c>
      <c r="J398" s="6" t="s">
        <v>357</v>
      </c>
    </row>
    <row r="399" spans="1:10" hidden="1">
      <c r="A399" s="9">
        <v>45988</v>
      </c>
      <c r="B399" s="6" t="s">
        <v>826</v>
      </c>
      <c r="C399" s="5" t="s">
        <v>825</v>
      </c>
      <c r="D399" s="8" t="s">
        <v>354</v>
      </c>
      <c r="E399" s="6" t="s">
        <v>466</v>
      </c>
      <c r="F399" s="6" t="s">
        <v>798</v>
      </c>
      <c r="G399" s="5">
        <v>991</v>
      </c>
      <c r="H399" s="5">
        <v>0.33229999999999998</v>
      </c>
      <c r="I399" s="20">
        <f t="shared" si="6"/>
        <v>329.30930000000001</v>
      </c>
      <c r="J399" s="6" t="s">
        <v>357</v>
      </c>
    </row>
    <row r="400" spans="1:10" hidden="1">
      <c r="A400" s="9">
        <v>45988</v>
      </c>
      <c r="B400" s="6" t="s">
        <v>828</v>
      </c>
      <c r="C400" s="5" t="s">
        <v>827</v>
      </c>
      <c r="D400" s="8" t="s">
        <v>354</v>
      </c>
      <c r="E400" s="6" t="s">
        <v>466</v>
      </c>
      <c r="F400" s="6" t="s">
        <v>798</v>
      </c>
      <c r="G400" s="5">
        <v>991</v>
      </c>
      <c r="H400" s="5">
        <v>0.33229999999999998</v>
      </c>
      <c r="I400" s="20">
        <f t="shared" si="6"/>
        <v>329.30930000000001</v>
      </c>
      <c r="J400" s="6" t="s">
        <v>357</v>
      </c>
    </row>
    <row r="401" spans="1:10" hidden="1">
      <c r="A401" s="9">
        <v>45988</v>
      </c>
      <c r="B401" s="6" t="s">
        <v>830</v>
      </c>
      <c r="C401" s="5" t="s">
        <v>829</v>
      </c>
      <c r="D401" s="8" t="s">
        <v>354</v>
      </c>
      <c r="E401" s="6" t="s">
        <v>466</v>
      </c>
      <c r="F401" s="6" t="s">
        <v>798</v>
      </c>
      <c r="G401" s="5">
        <v>991</v>
      </c>
      <c r="H401" s="5">
        <v>0.33229999999999998</v>
      </c>
      <c r="I401" s="20">
        <f t="shared" si="6"/>
        <v>329.30930000000001</v>
      </c>
      <c r="J401" s="6" t="s">
        <v>357</v>
      </c>
    </row>
    <row r="402" spans="1:10" hidden="1">
      <c r="A402" s="9">
        <v>45988</v>
      </c>
      <c r="B402" s="6" t="s">
        <v>832</v>
      </c>
      <c r="C402" s="5" t="s">
        <v>831</v>
      </c>
      <c r="D402" s="8" t="s">
        <v>354</v>
      </c>
      <c r="E402" s="6" t="s">
        <v>466</v>
      </c>
      <c r="F402" s="6" t="s">
        <v>798</v>
      </c>
      <c r="G402" s="5">
        <v>991</v>
      </c>
      <c r="H402" s="5">
        <v>0.33229999999999998</v>
      </c>
      <c r="I402" s="20">
        <f t="shared" si="6"/>
        <v>329.30930000000001</v>
      </c>
      <c r="J402" s="6" t="s">
        <v>357</v>
      </c>
    </row>
    <row r="403" spans="1:10" hidden="1">
      <c r="A403" s="9">
        <v>45988</v>
      </c>
      <c r="B403" s="6" t="s">
        <v>834</v>
      </c>
      <c r="C403" s="5" t="s">
        <v>833</v>
      </c>
      <c r="D403" s="8" t="s">
        <v>354</v>
      </c>
      <c r="E403" s="6" t="s">
        <v>466</v>
      </c>
      <c r="F403" s="6" t="s">
        <v>798</v>
      </c>
      <c r="G403" s="5">
        <v>991</v>
      </c>
      <c r="H403" s="5">
        <v>0.33229999999999998</v>
      </c>
      <c r="I403" s="20">
        <f t="shared" si="6"/>
        <v>329.30930000000001</v>
      </c>
      <c r="J403" s="6" t="s">
        <v>357</v>
      </c>
    </row>
    <row r="404" spans="1:10" hidden="1">
      <c r="A404" s="9">
        <v>45988</v>
      </c>
      <c r="B404" s="6" t="s">
        <v>836</v>
      </c>
      <c r="C404" s="5" t="s">
        <v>835</v>
      </c>
      <c r="D404" s="8" t="s">
        <v>354</v>
      </c>
      <c r="E404" s="6" t="s">
        <v>466</v>
      </c>
      <c r="F404" s="6" t="s">
        <v>798</v>
      </c>
      <c r="G404" s="5">
        <v>991</v>
      </c>
      <c r="H404" s="5">
        <v>0.33229999999999998</v>
      </c>
      <c r="I404" s="20">
        <f t="shared" si="6"/>
        <v>329.30930000000001</v>
      </c>
      <c r="J404" s="6" t="s">
        <v>357</v>
      </c>
    </row>
    <row r="405" spans="1:10" hidden="1">
      <c r="A405" s="9">
        <v>45988</v>
      </c>
      <c r="B405" s="6" t="s">
        <v>838</v>
      </c>
      <c r="C405" s="5" t="s">
        <v>837</v>
      </c>
      <c r="D405" s="8" t="s">
        <v>354</v>
      </c>
      <c r="E405" s="6" t="s">
        <v>466</v>
      </c>
      <c r="F405" s="6" t="s">
        <v>798</v>
      </c>
      <c r="G405" s="5">
        <v>1533</v>
      </c>
      <c r="H405" s="5">
        <v>0.33229999999999998</v>
      </c>
      <c r="I405" s="20">
        <f t="shared" si="6"/>
        <v>509.41589999999997</v>
      </c>
      <c r="J405" s="6" t="s">
        <v>357</v>
      </c>
    </row>
    <row r="406" spans="1:10" hidden="1">
      <c r="A406" s="9">
        <v>45988</v>
      </c>
      <c r="B406" s="6" t="s">
        <v>840</v>
      </c>
      <c r="C406" s="5" t="s">
        <v>839</v>
      </c>
      <c r="D406" s="8" t="s">
        <v>354</v>
      </c>
      <c r="E406" s="6" t="s">
        <v>466</v>
      </c>
      <c r="F406" s="6" t="s">
        <v>798</v>
      </c>
      <c r="G406" s="5">
        <v>1533</v>
      </c>
      <c r="H406" s="5">
        <v>0.33229999999999998</v>
      </c>
      <c r="I406" s="20">
        <f t="shared" si="6"/>
        <v>509.41589999999997</v>
      </c>
      <c r="J406" s="6" t="s">
        <v>357</v>
      </c>
    </row>
    <row r="407" spans="1:10" hidden="1">
      <c r="A407" s="9">
        <v>45988</v>
      </c>
      <c r="B407" s="6" t="s">
        <v>842</v>
      </c>
      <c r="C407" s="5" t="s">
        <v>841</v>
      </c>
      <c r="D407" s="8" t="s">
        <v>354</v>
      </c>
      <c r="E407" s="6" t="s">
        <v>466</v>
      </c>
      <c r="F407" s="6" t="s">
        <v>798</v>
      </c>
      <c r="G407" s="5">
        <v>747</v>
      </c>
      <c r="H407" s="5">
        <v>0.33229999999999998</v>
      </c>
      <c r="I407" s="20">
        <f t="shared" si="6"/>
        <v>248.22809999999998</v>
      </c>
      <c r="J407" s="6" t="s">
        <v>357</v>
      </c>
    </row>
    <row r="408" spans="1:10" hidden="1">
      <c r="A408" s="9">
        <v>45988</v>
      </c>
      <c r="B408" s="6" t="s">
        <v>844</v>
      </c>
      <c r="C408" s="5" t="s">
        <v>843</v>
      </c>
      <c r="D408" s="8" t="s">
        <v>354</v>
      </c>
      <c r="E408" s="6" t="s">
        <v>466</v>
      </c>
      <c r="F408" s="6" t="s">
        <v>798</v>
      </c>
      <c r="G408" s="5">
        <v>747</v>
      </c>
      <c r="H408" s="5">
        <v>0.33229999999999998</v>
      </c>
      <c r="I408" s="20">
        <f t="shared" si="6"/>
        <v>248.22809999999998</v>
      </c>
      <c r="J408" s="6" t="s">
        <v>357</v>
      </c>
    </row>
    <row r="409" spans="1:10" hidden="1">
      <c r="A409" s="9">
        <v>45988</v>
      </c>
      <c r="B409" s="6" t="s">
        <v>846</v>
      </c>
      <c r="C409" s="5" t="s">
        <v>845</v>
      </c>
      <c r="D409" s="8" t="s">
        <v>354</v>
      </c>
      <c r="E409" s="6" t="s">
        <v>466</v>
      </c>
      <c r="F409" s="6" t="s">
        <v>798</v>
      </c>
      <c r="G409" s="5">
        <v>747</v>
      </c>
      <c r="H409" s="5">
        <v>0.33229999999999998</v>
      </c>
      <c r="I409" s="20">
        <f t="shared" si="6"/>
        <v>248.22809999999998</v>
      </c>
      <c r="J409" s="6" t="s">
        <v>357</v>
      </c>
    </row>
    <row r="410" spans="1:10" hidden="1">
      <c r="A410" s="9">
        <v>45988</v>
      </c>
      <c r="B410" s="6" t="s">
        <v>848</v>
      </c>
      <c r="C410" s="5" t="s">
        <v>847</v>
      </c>
      <c r="D410" s="8" t="s">
        <v>354</v>
      </c>
      <c r="E410" s="6" t="s">
        <v>466</v>
      </c>
      <c r="F410" s="6" t="s">
        <v>798</v>
      </c>
      <c r="G410" s="5">
        <v>747</v>
      </c>
      <c r="H410" s="5">
        <v>0.33229999999999998</v>
      </c>
      <c r="I410" s="20">
        <f t="shared" si="6"/>
        <v>248.22809999999998</v>
      </c>
      <c r="J410" s="6" t="s">
        <v>357</v>
      </c>
    </row>
    <row r="411" spans="1:10" hidden="1">
      <c r="A411" s="9">
        <v>45988</v>
      </c>
      <c r="B411" s="6" t="s">
        <v>850</v>
      </c>
      <c r="C411" s="5" t="s">
        <v>849</v>
      </c>
      <c r="D411" s="8" t="s">
        <v>354</v>
      </c>
      <c r="E411" s="6" t="s">
        <v>466</v>
      </c>
      <c r="F411" s="6" t="s">
        <v>798</v>
      </c>
      <c r="G411" s="5">
        <v>747</v>
      </c>
      <c r="H411" s="5">
        <v>0.33229999999999998</v>
      </c>
      <c r="I411" s="20">
        <f t="shared" si="6"/>
        <v>248.22809999999998</v>
      </c>
      <c r="J411" s="6" t="s">
        <v>357</v>
      </c>
    </row>
    <row r="412" spans="1:10" hidden="1">
      <c r="A412" s="9">
        <v>45988</v>
      </c>
      <c r="B412" s="6" t="s">
        <v>852</v>
      </c>
      <c r="C412" s="5" t="s">
        <v>851</v>
      </c>
      <c r="D412" s="8" t="s">
        <v>354</v>
      </c>
      <c r="E412" s="6" t="s">
        <v>466</v>
      </c>
      <c r="F412" s="6" t="s">
        <v>798</v>
      </c>
      <c r="G412" s="5">
        <v>747</v>
      </c>
      <c r="H412" s="5">
        <v>0.33229999999999998</v>
      </c>
      <c r="I412" s="20">
        <f t="shared" si="6"/>
        <v>248.22809999999998</v>
      </c>
      <c r="J412" s="6" t="s">
        <v>357</v>
      </c>
    </row>
    <row r="413" spans="1:10" hidden="1">
      <c r="A413" s="9">
        <v>45988</v>
      </c>
      <c r="B413" s="6" t="s">
        <v>854</v>
      </c>
      <c r="C413" s="5" t="s">
        <v>853</v>
      </c>
      <c r="D413" s="8" t="s">
        <v>354</v>
      </c>
      <c r="E413" s="6" t="s">
        <v>466</v>
      </c>
      <c r="F413" s="6" t="s">
        <v>798</v>
      </c>
      <c r="G413" s="5">
        <v>747</v>
      </c>
      <c r="H413" s="5">
        <v>0.33229999999999998</v>
      </c>
      <c r="I413" s="20">
        <f t="shared" si="6"/>
        <v>248.22809999999998</v>
      </c>
      <c r="J413" s="6" t="s">
        <v>357</v>
      </c>
    </row>
    <row r="414" spans="1:10" hidden="1">
      <c r="A414" s="9">
        <v>45988</v>
      </c>
      <c r="B414" s="6" t="s">
        <v>856</v>
      </c>
      <c r="C414" s="5" t="s">
        <v>855</v>
      </c>
      <c r="D414" s="8" t="s">
        <v>354</v>
      </c>
      <c r="E414" s="6" t="s">
        <v>466</v>
      </c>
      <c r="F414" s="6" t="s">
        <v>798</v>
      </c>
      <c r="G414" s="5">
        <v>747</v>
      </c>
      <c r="H414" s="5">
        <v>0.33229999999999998</v>
      </c>
      <c r="I414" s="20">
        <f t="shared" si="6"/>
        <v>248.22809999999998</v>
      </c>
      <c r="J414" s="6" t="s">
        <v>357</v>
      </c>
    </row>
    <row r="415" spans="1:10" hidden="1">
      <c r="A415" s="9">
        <v>45988</v>
      </c>
      <c r="B415" s="6" t="s">
        <v>858</v>
      </c>
      <c r="C415" s="5" t="s">
        <v>857</v>
      </c>
      <c r="D415" s="8" t="s">
        <v>354</v>
      </c>
      <c r="E415" s="6" t="s">
        <v>466</v>
      </c>
      <c r="F415" s="6" t="s">
        <v>798</v>
      </c>
      <c r="G415" s="5">
        <v>747</v>
      </c>
      <c r="H415" s="5">
        <v>0.33229999999999998</v>
      </c>
      <c r="I415" s="20">
        <f t="shared" si="6"/>
        <v>248.22809999999998</v>
      </c>
      <c r="J415" s="6" t="s">
        <v>357</v>
      </c>
    </row>
    <row r="416" spans="1:10" hidden="1">
      <c r="A416" s="9">
        <v>45988</v>
      </c>
      <c r="B416" s="6" t="s">
        <v>860</v>
      </c>
      <c r="C416" s="5" t="s">
        <v>859</v>
      </c>
      <c r="D416" s="8" t="s">
        <v>354</v>
      </c>
      <c r="E416" s="6" t="s">
        <v>466</v>
      </c>
      <c r="F416" s="6" t="s">
        <v>798</v>
      </c>
      <c r="G416" s="5">
        <v>1154</v>
      </c>
      <c r="H416" s="5">
        <v>0.33229999999999998</v>
      </c>
      <c r="I416" s="20">
        <f t="shared" si="6"/>
        <v>383.4742</v>
      </c>
      <c r="J416" s="6" t="s">
        <v>357</v>
      </c>
    </row>
    <row r="417" spans="1:10" hidden="1">
      <c r="A417" s="9">
        <v>45988</v>
      </c>
      <c r="B417" s="6" t="s">
        <v>862</v>
      </c>
      <c r="C417" s="5" t="s">
        <v>861</v>
      </c>
      <c r="D417" s="8" t="s">
        <v>354</v>
      </c>
      <c r="E417" s="6" t="s">
        <v>466</v>
      </c>
      <c r="F417" s="6" t="s">
        <v>798</v>
      </c>
      <c r="G417" s="5">
        <v>1154</v>
      </c>
      <c r="H417" s="5">
        <v>0.33229999999999998</v>
      </c>
      <c r="I417" s="20">
        <f t="shared" si="6"/>
        <v>383.4742</v>
      </c>
      <c r="J417" s="6" t="s">
        <v>357</v>
      </c>
    </row>
    <row r="418" spans="1:10" hidden="1">
      <c r="A418" s="9">
        <v>45988</v>
      </c>
      <c r="B418" s="6" t="s">
        <v>864</v>
      </c>
      <c r="C418" s="5" t="s">
        <v>863</v>
      </c>
      <c r="D418" s="8" t="s">
        <v>354</v>
      </c>
      <c r="E418" s="6" t="s">
        <v>466</v>
      </c>
      <c r="F418" s="6" t="s">
        <v>798</v>
      </c>
      <c r="G418" s="5">
        <v>1044</v>
      </c>
      <c r="H418" s="5">
        <v>0.33229999999999998</v>
      </c>
      <c r="I418" s="20">
        <f t="shared" si="6"/>
        <v>346.9212</v>
      </c>
      <c r="J418" s="6" t="s">
        <v>357</v>
      </c>
    </row>
    <row r="419" spans="1:10" hidden="1">
      <c r="A419" s="9">
        <v>45988</v>
      </c>
      <c r="B419" s="6" t="s">
        <v>866</v>
      </c>
      <c r="C419" s="5" t="s">
        <v>865</v>
      </c>
      <c r="D419" s="8" t="s">
        <v>354</v>
      </c>
      <c r="E419" s="6" t="s">
        <v>466</v>
      </c>
      <c r="F419" s="6" t="s">
        <v>798</v>
      </c>
      <c r="G419" s="5">
        <v>1044</v>
      </c>
      <c r="H419" s="5">
        <v>0.33229999999999998</v>
      </c>
      <c r="I419" s="20">
        <f t="shared" si="6"/>
        <v>346.9212</v>
      </c>
      <c r="J419" s="6" t="s">
        <v>357</v>
      </c>
    </row>
    <row r="420" spans="1:10" hidden="1">
      <c r="A420" s="9">
        <v>45988</v>
      </c>
      <c r="B420" s="6" t="s">
        <v>868</v>
      </c>
      <c r="C420" s="5" t="s">
        <v>867</v>
      </c>
      <c r="D420" s="8" t="s">
        <v>354</v>
      </c>
      <c r="E420" s="6" t="s">
        <v>466</v>
      </c>
      <c r="F420" s="6" t="s">
        <v>798</v>
      </c>
      <c r="G420" s="5">
        <v>1044</v>
      </c>
      <c r="H420" s="5">
        <v>0.33229999999999998</v>
      </c>
      <c r="I420" s="20">
        <f t="shared" si="6"/>
        <v>346.9212</v>
      </c>
      <c r="J420" s="6" t="s">
        <v>357</v>
      </c>
    </row>
    <row r="421" spans="1:10" hidden="1">
      <c r="A421" s="9">
        <v>45988</v>
      </c>
      <c r="B421" s="6" t="s">
        <v>870</v>
      </c>
      <c r="C421" s="5" t="s">
        <v>869</v>
      </c>
      <c r="D421" s="8" t="s">
        <v>354</v>
      </c>
      <c r="E421" s="6" t="s">
        <v>466</v>
      </c>
      <c r="F421" s="6" t="s">
        <v>798</v>
      </c>
      <c r="G421" s="5">
        <v>1044</v>
      </c>
      <c r="H421" s="5">
        <v>0.33229999999999998</v>
      </c>
      <c r="I421" s="20">
        <f t="shared" si="6"/>
        <v>346.9212</v>
      </c>
      <c r="J421" s="6" t="s">
        <v>357</v>
      </c>
    </row>
    <row r="422" spans="1:10" hidden="1">
      <c r="A422" s="9">
        <v>45988</v>
      </c>
      <c r="B422" s="6" t="s">
        <v>872</v>
      </c>
      <c r="C422" s="5" t="s">
        <v>871</v>
      </c>
      <c r="D422" s="8" t="s">
        <v>354</v>
      </c>
      <c r="E422" s="6" t="s">
        <v>466</v>
      </c>
      <c r="F422" s="6" t="s">
        <v>798</v>
      </c>
      <c r="G422" s="5">
        <v>1044</v>
      </c>
      <c r="H422" s="5">
        <v>0.33229999999999998</v>
      </c>
      <c r="I422" s="20">
        <f t="shared" si="6"/>
        <v>346.9212</v>
      </c>
      <c r="J422" s="6" t="s">
        <v>357</v>
      </c>
    </row>
    <row r="423" spans="1:10" hidden="1">
      <c r="A423" s="9">
        <v>45988</v>
      </c>
      <c r="B423" s="6" t="s">
        <v>874</v>
      </c>
      <c r="C423" s="5" t="s">
        <v>873</v>
      </c>
      <c r="D423" s="8" t="s">
        <v>354</v>
      </c>
      <c r="E423" s="6" t="s">
        <v>466</v>
      </c>
      <c r="F423" s="6" t="s">
        <v>798</v>
      </c>
      <c r="G423" s="5">
        <v>1044</v>
      </c>
      <c r="H423" s="5">
        <v>0.33229999999999998</v>
      </c>
      <c r="I423" s="20">
        <f t="shared" si="6"/>
        <v>346.9212</v>
      </c>
      <c r="J423" s="6" t="s">
        <v>357</v>
      </c>
    </row>
    <row r="424" spans="1:10" hidden="1">
      <c r="A424" s="9">
        <v>45988</v>
      </c>
      <c r="B424" s="6" t="s">
        <v>876</v>
      </c>
      <c r="C424" s="5" t="s">
        <v>875</v>
      </c>
      <c r="D424" s="8" t="s">
        <v>354</v>
      </c>
      <c r="E424" s="6" t="s">
        <v>466</v>
      </c>
      <c r="F424" s="6" t="s">
        <v>798</v>
      </c>
      <c r="G424" s="5">
        <v>1044</v>
      </c>
      <c r="H424" s="5">
        <v>0.33229999999999998</v>
      </c>
      <c r="I424" s="20">
        <f t="shared" si="6"/>
        <v>346.9212</v>
      </c>
      <c r="J424" s="6" t="s">
        <v>357</v>
      </c>
    </row>
    <row r="425" spans="1:10" hidden="1">
      <c r="A425" s="9">
        <v>45988</v>
      </c>
      <c r="B425" s="6" t="s">
        <v>878</v>
      </c>
      <c r="C425" s="5" t="s">
        <v>877</v>
      </c>
      <c r="D425" s="8" t="s">
        <v>354</v>
      </c>
      <c r="E425" s="6" t="s">
        <v>466</v>
      </c>
      <c r="F425" s="6" t="s">
        <v>798</v>
      </c>
      <c r="G425" s="5">
        <v>1044</v>
      </c>
      <c r="H425" s="5">
        <v>0.33229999999999998</v>
      </c>
      <c r="I425" s="20">
        <f t="shared" si="6"/>
        <v>346.9212</v>
      </c>
      <c r="J425" s="6" t="s">
        <v>357</v>
      </c>
    </row>
    <row r="426" spans="1:10" hidden="1">
      <c r="A426" s="9">
        <v>45988</v>
      </c>
      <c r="B426" s="6" t="s">
        <v>880</v>
      </c>
      <c r="C426" s="5" t="s">
        <v>879</v>
      </c>
      <c r="D426" s="8" t="s">
        <v>354</v>
      </c>
      <c r="E426" s="6" t="s">
        <v>466</v>
      </c>
      <c r="F426" s="6" t="s">
        <v>798</v>
      </c>
      <c r="G426" s="5">
        <v>1044</v>
      </c>
      <c r="H426" s="5">
        <v>0.33229999999999998</v>
      </c>
      <c r="I426" s="20">
        <f t="shared" si="6"/>
        <v>346.9212</v>
      </c>
      <c r="J426" s="6" t="s">
        <v>357</v>
      </c>
    </row>
    <row r="427" spans="1:10" hidden="1">
      <c r="A427" s="9">
        <v>45988</v>
      </c>
      <c r="B427" s="6" t="s">
        <v>882</v>
      </c>
      <c r="C427" s="5" t="s">
        <v>881</v>
      </c>
      <c r="D427" s="8" t="s">
        <v>354</v>
      </c>
      <c r="E427" s="6" t="s">
        <v>466</v>
      </c>
      <c r="F427" s="6" t="s">
        <v>798</v>
      </c>
      <c r="G427" s="5">
        <v>1613</v>
      </c>
      <c r="H427" s="5">
        <v>0.33229999999999998</v>
      </c>
      <c r="I427" s="20">
        <f t="shared" si="6"/>
        <v>535.99990000000003</v>
      </c>
      <c r="J427" s="6" t="s">
        <v>357</v>
      </c>
    </row>
    <row r="428" spans="1:10" hidden="1">
      <c r="A428" s="9">
        <v>45988</v>
      </c>
      <c r="B428" s="6" t="s">
        <v>884</v>
      </c>
      <c r="C428" s="5" t="s">
        <v>883</v>
      </c>
      <c r="D428" s="8" t="s">
        <v>354</v>
      </c>
      <c r="E428" s="6" t="s">
        <v>466</v>
      </c>
      <c r="F428" s="6" t="s">
        <v>798</v>
      </c>
      <c r="G428" s="5">
        <v>1613</v>
      </c>
      <c r="H428" s="5">
        <v>0.33229999999999998</v>
      </c>
      <c r="I428" s="20">
        <f t="shared" si="6"/>
        <v>535.99990000000003</v>
      </c>
      <c r="J428" s="6" t="s">
        <v>357</v>
      </c>
    </row>
    <row r="429" spans="1:10" hidden="1">
      <c r="A429" s="9">
        <v>45988</v>
      </c>
      <c r="B429" s="6" t="s">
        <v>886</v>
      </c>
      <c r="C429" s="5" t="s">
        <v>885</v>
      </c>
      <c r="D429" s="8" t="s">
        <v>354</v>
      </c>
      <c r="E429" s="6" t="s">
        <v>466</v>
      </c>
      <c r="F429" s="6" t="s">
        <v>798</v>
      </c>
      <c r="G429" s="5">
        <v>1603</v>
      </c>
      <c r="H429" s="5">
        <v>0.33229999999999998</v>
      </c>
      <c r="I429" s="20">
        <f t="shared" si="6"/>
        <v>532.67689999999993</v>
      </c>
      <c r="J429" s="6" t="s">
        <v>357</v>
      </c>
    </row>
    <row r="430" spans="1:10" hidden="1">
      <c r="A430" s="9">
        <v>45988</v>
      </c>
      <c r="B430" s="6" t="s">
        <v>888</v>
      </c>
      <c r="C430" s="5" t="s">
        <v>887</v>
      </c>
      <c r="D430" s="8" t="s">
        <v>354</v>
      </c>
      <c r="E430" s="6" t="s">
        <v>466</v>
      </c>
      <c r="F430" s="6" t="s">
        <v>798</v>
      </c>
      <c r="G430" s="5">
        <v>1603</v>
      </c>
      <c r="H430" s="5">
        <v>0.33229999999999998</v>
      </c>
      <c r="I430" s="20">
        <f t="shared" si="6"/>
        <v>532.67689999999993</v>
      </c>
      <c r="J430" s="6" t="s">
        <v>357</v>
      </c>
    </row>
    <row r="431" spans="1:10" hidden="1">
      <c r="A431" s="9">
        <v>45988</v>
      </c>
      <c r="B431" s="6" t="s">
        <v>890</v>
      </c>
      <c r="C431" s="5" t="s">
        <v>889</v>
      </c>
      <c r="D431" s="8" t="s">
        <v>354</v>
      </c>
      <c r="E431" s="6" t="s">
        <v>466</v>
      </c>
      <c r="F431" s="6" t="s">
        <v>798</v>
      </c>
      <c r="G431" s="5">
        <v>2244</v>
      </c>
      <c r="H431" s="5">
        <v>0.33229999999999998</v>
      </c>
      <c r="I431" s="20">
        <f t="shared" si="6"/>
        <v>745.68119999999999</v>
      </c>
      <c r="J431" s="6" t="s">
        <v>357</v>
      </c>
    </row>
    <row r="432" spans="1:10" hidden="1">
      <c r="A432" s="9">
        <v>45988</v>
      </c>
      <c r="B432" s="6" t="s">
        <v>892</v>
      </c>
      <c r="C432" s="5" t="s">
        <v>891</v>
      </c>
      <c r="D432" s="8" t="s">
        <v>354</v>
      </c>
      <c r="E432" s="6" t="s">
        <v>466</v>
      </c>
      <c r="F432" s="6" t="s">
        <v>798</v>
      </c>
      <c r="G432" s="5">
        <v>2244</v>
      </c>
      <c r="H432" s="5">
        <v>0.33229999999999998</v>
      </c>
      <c r="I432" s="20">
        <f t="shared" si="6"/>
        <v>745.68119999999999</v>
      </c>
      <c r="J432" s="6" t="s">
        <v>357</v>
      </c>
    </row>
    <row r="433" spans="1:10" hidden="1">
      <c r="A433" s="9">
        <v>45988</v>
      </c>
      <c r="B433" s="6" t="s">
        <v>894</v>
      </c>
      <c r="C433" s="5" t="s">
        <v>893</v>
      </c>
      <c r="D433" s="8" t="s">
        <v>354</v>
      </c>
      <c r="E433" s="6" t="s">
        <v>466</v>
      </c>
      <c r="F433" s="6" t="s">
        <v>798</v>
      </c>
      <c r="G433" s="5">
        <v>755</v>
      </c>
      <c r="H433" s="5">
        <v>0.33229999999999998</v>
      </c>
      <c r="I433" s="20">
        <f t="shared" si="6"/>
        <v>250.88649999999998</v>
      </c>
      <c r="J433" s="6" t="s">
        <v>357</v>
      </c>
    </row>
    <row r="434" spans="1:10" hidden="1">
      <c r="A434" s="9">
        <v>45988</v>
      </c>
      <c r="B434" s="6" t="s">
        <v>896</v>
      </c>
      <c r="C434" s="5" t="s">
        <v>895</v>
      </c>
      <c r="D434" s="8" t="s">
        <v>354</v>
      </c>
      <c r="E434" s="6" t="s">
        <v>466</v>
      </c>
      <c r="F434" s="6" t="s">
        <v>798</v>
      </c>
      <c r="G434" s="5">
        <v>755</v>
      </c>
      <c r="H434" s="5">
        <v>0.33229999999999998</v>
      </c>
      <c r="I434" s="20">
        <f t="shared" si="6"/>
        <v>250.88649999999998</v>
      </c>
      <c r="J434" s="6" t="s">
        <v>357</v>
      </c>
    </row>
    <row r="435" spans="1:10" hidden="1">
      <c r="A435" s="9">
        <v>45988</v>
      </c>
      <c r="B435" s="6" t="s">
        <v>898</v>
      </c>
      <c r="C435" s="5" t="s">
        <v>897</v>
      </c>
      <c r="D435" s="8" t="s">
        <v>354</v>
      </c>
      <c r="E435" s="6" t="s">
        <v>466</v>
      </c>
      <c r="F435" s="6" t="s">
        <v>798</v>
      </c>
      <c r="G435" s="5">
        <v>755</v>
      </c>
      <c r="H435" s="5">
        <v>0.33229999999999998</v>
      </c>
      <c r="I435" s="20">
        <f t="shared" si="6"/>
        <v>250.88649999999998</v>
      </c>
      <c r="J435" s="6" t="s">
        <v>357</v>
      </c>
    </row>
    <row r="436" spans="1:10" hidden="1">
      <c r="A436" s="9">
        <v>45988</v>
      </c>
      <c r="B436" s="6" t="s">
        <v>900</v>
      </c>
      <c r="C436" s="5" t="s">
        <v>899</v>
      </c>
      <c r="D436" s="8" t="s">
        <v>354</v>
      </c>
      <c r="E436" s="6" t="s">
        <v>466</v>
      </c>
      <c r="F436" s="6" t="s">
        <v>798</v>
      </c>
      <c r="G436" s="5">
        <v>755</v>
      </c>
      <c r="H436" s="5">
        <v>0.33229999999999998</v>
      </c>
      <c r="I436" s="20">
        <f t="shared" si="6"/>
        <v>250.88649999999998</v>
      </c>
      <c r="J436" s="6" t="s">
        <v>357</v>
      </c>
    </row>
    <row r="437" spans="1:10" hidden="1">
      <c r="A437" s="9">
        <v>45988</v>
      </c>
      <c r="B437" s="6" t="s">
        <v>902</v>
      </c>
      <c r="C437" s="5" t="s">
        <v>901</v>
      </c>
      <c r="D437" s="8" t="s">
        <v>354</v>
      </c>
      <c r="E437" s="6" t="s">
        <v>466</v>
      </c>
      <c r="F437" s="6" t="s">
        <v>798</v>
      </c>
      <c r="G437" s="5">
        <v>755</v>
      </c>
      <c r="H437" s="5">
        <v>0.33229999999999998</v>
      </c>
      <c r="I437" s="20">
        <f t="shared" si="6"/>
        <v>250.88649999999998</v>
      </c>
      <c r="J437" s="6" t="s">
        <v>357</v>
      </c>
    </row>
    <row r="438" spans="1:10" hidden="1">
      <c r="A438" s="9">
        <v>45988</v>
      </c>
      <c r="B438" s="6" t="s">
        <v>904</v>
      </c>
      <c r="C438" s="5" t="s">
        <v>903</v>
      </c>
      <c r="D438" s="8" t="s">
        <v>354</v>
      </c>
      <c r="E438" s="6" t="s">
        <v>466</v>
      </c>
      <c r="F438" s="6" t="s">
        <v>798</v>
      </c>
      <c r="G438" s="5">
        <v>755</v>
      </c>
      <c r="H438" s="5">
        <v>0.33229999999999998</v>
      </c>
      <c r="I438" s="20">
        <f t="shared" si="6"/>
        <v>250.88649999999998</v>
      </c>
      <c r="J438" s="6" t="s">
        <v>357</v>
      </c>
    </row>
    <row r="439" spans="1:10" hidden="1">
      <c r="A439" s="9">
        <v>45988</v>
      </c>
      <c r="B439" s="6" t="s">
        <v>906</v>
      </c>
      <c r="C439" s="5" t="s">
        <v>905</v>
      </c>
      <c r="D439" s="8" t="s">
        <v>354</v>
      </c>
      <c r="E439" s="6" t="s">
        <v>466</v>
      </c>
      <c r="F439" s="6" t="s">
        <v>798</v>
      </c>
      <c r="G439" s="5">
        <v>755</v>
      </c>
      <c r="H439" s="5">
        <v>0.33229999999999998</v>
      </c>
      <c r="I439" s="20">
        <f t="shared" si="6"/>
        <v>250.88649999999998</v>
      </c>
      <c r="J439" s="6" t="s">
        <v>357</v>
      </c>
    </row>
    <row r="440" spans="1:10" hidden="1">
      <c r="A440" s="9">
        <v>45988</v>
      </c>
      <c r="B440" s="6" t="s">
        <v>908</v>
      </c>
      <c r="C440" s="5" t="s">
        <v>907</v>
      </c>
      <c r="D440" s="8" t="s">
        <v>354</v>
      </c>
      <c r="E440" s="6" t="s">
        <v>466</v>
      </c>
      <c r="F440" s="6" t="s">
        <v>798</v>
      </c>
      <c r="G440" s="5">
        <v>755</v>
      </c>
      <c r="H440" s="5">
        <v>0.33229999999999998</v>
      </c>
      <c r="I440" s="20">
        <f t="shared" si="6"/>
        <v>250.88649999999998</v>
      </c>
      <c r="J440" s="6" t="s">
        <v>357</v>
      </c>
    </row>
    <row r="441" spans="1:10" hidden="1">
      <c r="A441" s="9">
        <v>45988</v>
      </c>
      <c r="B441" s="6" t="s">
        <v>910</v>
      </c>
      <c r="C441" s="5" t="s">
        <v>909</v>
      </c>
      <c r="D441" s="8" t="s">
        <v>354</v>
      </c>
      <c r="E441" s="6" t="s">
        <v>466</v>
      </c>
      <c r="F441" s="6" t="s">
        <v>798</v>
      </c>
      <c r="G441" s="5">
        <v>755</v>
      </c>
      <c r="H441" s="5">
        <v>0.33229999999999998</v>
      </c>
      <c r="I441" s="20">
        <f t="shared" si="6"/>
        <v>250.88649999999998</v>
      </c>
      <c r="J441" s="6" t="s">
        <v>357</v>
      </c>
    </row>
    <row r="442" spans="1:10" hidden="1">
      <c r="A442" s="9">
        <v>45988</v>
      </c>
      <c r="B442" s="6" t="s">
        <v>912</v>
      </c>
      <c r="C442" s="5" t="s">
        <v>911</v>
      </c>
      <c r="D442" s="8" t="s">
        <v>354</v>
      </c>
      <c r="E442" s="6" t="s">
        <v>466</v>
      </c>
      <c r="F442" s="6" t="s">
        <v>798</v>
      </c>
      <c r="G442" s="5">
        <v>1205</v>
      </c>
      <c r="H442" s="5">
        <v>0.33229999999999998</v>
      </c>
      <c r="I442" s="20">
        <f t="shared" si="6"/>
        <v>400.42149999999998</v>
      </c>
      <c r="J442" s="6" t="s">
        <v>357</v>
      </c>
    </row>
    <row r="443" spans="1:10" hidden="1">
      <c r="A443" s="9">
        <v>45988</v>
      </c>
      <c r="B443" s="6" t="s">
        <v>914</v>
      </c>
      <c r="C443" s="5" t="s">
        <v>913</v>
      </c>
      <c r="D443" s="8" t="s">
        <v>354</v>
      </c>
      <c r="E443" s="6" t="s">
        <v>466</v>
      </c>
      <c r="F443" s="6" t="s">
        <v>798</v>
      </c>
      <c r="G443" s="5">
        <v>1205</v>
      </c>
      <c r="H443" s="5">
        <v>0.33229999999999998</v>
      </c>
      <c r="I443" s="20">
        <f t="shared" si="6"/>
        <v>400.42149999999998</v>
      </c>
      <c r="J443" s="6" t="s">
        <v>357</v>
      </c>
    </row>
    <row r="444" spans="1:10" hidden="1">
      <c r="A444" s="9">
        <v>45988</v>
      </c>
      <c r="B444" s="6" t="s">
        <v>916</v>
      </c>
      <c r="C444" s="5" t="s">
        <v>915</v>
      </c>
      <c r="D444" s="8" t="s">
        <v>354</v>
      </c>
      <c r="E444" s="6" t="s">
        <v>466</v>
      </c>
      <c r="F444" s="6" t="s">
        <v>798</v>
      </c>
      <c r="G444" s="5">
        <v>1055</v>
      </c>
      <c r="H444" s="5">
        <v>0.33229999999999998</v>
      </c>
      <c r="I444" s="20">
        <f t="shared" si="6"/>
        <v>350.57650000000001</v>
      </c>
      <c r="J444" s="6" t="s">
        <v>357</v>
      </c>
    </row>
    <row r="445" spans="1:10" hidden="1">
      <c r="A445" s="9">
        <v>45988</v>
      </c>
      <c r="B445" s="6" t="s">
        <v>918</v>
      </c>
      <c r="C445" s="5" t="s">
        <v>917</v>
      </c>
      <c r="D445" s="8" t="s">
        <v>354</v>
      </c>
      <c r="E445" s="6" t="s">
        <v>466</v>
      </c>
      <c r="F445" s="6" t="s">
        <v>798</v>
      </c>
      <c r="G445" s="5">
        <v>1055</v>
      </c>
      <c r="H445" s="5">
        <v>0.33229999999999998</v>
      </c>
      <c r="I445" s="20">
        <f t="shared" si="6"/>
        <v>350.57650000000001</v>
      </c>
      <c r="J445" s="6" t="s">
        <v>357</v>
      </c>
    </row>
    <row r="446" spans="1:10" hidden="1">
      <c r="A446" s="9">
        <v>45988</v>
      </c>
      <c r="B446" s="6" t="s">
        <v>920</v>
      </c>
      <c r="C446" s="5" t="s">
        <v>919</v>
      </c>
      <c r="D446" s="8" t="s">
        <v>354</v>
      </c>
      <c r="E446" s="6" t="s">
        <v>466</v>
      </c>
      <c r="F446" s="6" t="s">
        <v>798</v>
      </c>
      <c r="G446" s="5">
        <v>1055</v>
      </c>
      <c r="H446" s="5">
        <v>0.33229999999999998</v>
      </c>
      <c r="I446" s="20">
        <f t="shared" si="6"/>
        <v>350.57650000000001</v>
      </c>
      <c r="J446" s="6" t="s">
        <v>357</v>
      </c>
    </row>
    <row r="447" spans="1:10" hidden="1">
      <c r="A447" s="9">
        <v>45988</v>
      </c>
      <c r="B447" s="6" t="s">
        <v>922</v>
      </c>
      <c r="C447" s="5" t="s">
        <v>921</v>
      </c>
      <c r="D447" s="8" t="s">
        <v>354</v>
      </c>
      <c r="E447" s="6" t="s">
        <v>466</v>
      </c>
      <c r="F447" s="6" t="s">
        <v>798</v>
      </c>
      <c r="G447" s="5">
        <v>1055</v>
      </c>
      <c r="H447" s="5">
        <v>0.33229999999999998</v>
      </c>
      <c r="I447" s="20">
        <f t="shared" si="6"/>
        <v>350.57650000000001</v>
      </c>
      <c r="J447" s="6" t="s">
        <v>357</v>
      </c>
    </row>
    <row r="448" spans="1:10" hidden="1">
      <c r="A448" s="9">
        <v>45988</v>
      </c>
      <c r="B448" s="6" t="s">
        <v>924</v>
      </c>
      <c r="C448" s="5" t="s">
        <v>923</v>
      </c>
      <c r="D448" s="8" t="s">
        <v>354</v>
      </c>
      <c r="E448" s="6" t="s">
        <v>466</v>
      </c>
      <c r="F448" s="6" t="s">
        <v>798</v>
      </c>
      <c r="G448" s="5">
        <v>1055</v>
      </c>
      <c r="H448" s="5">
        <v>0.33229999999999998</v>
      </c>
      <c r="I448" s="20">
        <f t="shared" si="6"/>
        <v>350.57650000000001</v>
      </c>
      <c r="J448" s="6" t="s">
        <v>357</v>
      </c>
    </row>
    <row r="449" spans="1:10" hidden="1">
      <c r="A449" s="9">
        <v>45988</v>
      </c>
      <c r="B449" s="6" t="s">
        <v>926</v>
      </c>
      <c r="C449" s="5" t="s">
        <v>925</v>
      </c>
      <c r="D449" s="8" t="s">
        <v>354</v>
      </c>
      <c r="E449" s="6" t="s">
        <v>466</v>
      </c>
      <c r="F449" s="6" t="s">
        <v>798</v>
      </c>
      <c r="G449" s="5">
        <v>1055</v>
      </c>
      <c r="H449" s="5">
        <v>0.33229999999999998</v>
      </c>
      <c r="I449" s="20">
        <f t="shared" si="6"/>
        <v>350.57650000000001</v>
      </c>
      <c r="J449" s="6" t="s">
        <v>357</v>
      </c>
    </row>
    <row r="450" spans="1:10" hidden="1">
      <c r="A450" s="9">
        <v>45988</v>
      </c>
      <c r="B450" s="6" t="s">
        <v>928</v>
      </c>
      <c r="C450" s="5" t="s">
        <v>927</v>
      </c>
      <c r="D450" s="8" t="s">
        <v>354</v>
      </c>
      <c r="E450" s="6" t="s">
        <v>466</v>
      </c>
      <c r="F450" s="6" t="s">
        <v>798</v>
      </c>
      <c r="G450" s="5">
        <v>1055</v>
      </c>
      <c r="H450" s="5">
        <v>0.33229999999999998</v>
      </c>
      <c r="I450" s="20">
        <f t="shared" si="6"/>
        <v>350.57650000000001</v>
      </c>
      <c r="J450" s="6" t="s">
        <v>357</v>
      </c>
    </row>
    <row r="451" spans="1:10" hidden="1">
      <c r="A451" s="9">
        <v>45988</v>
      </c>
      <c r="B451" s="6" t="s">
        <v>930</v>
      </c>
      <c r="C451" s="5" t="s">
        <v>929</v>
      </c>
      <c r="D451" s="8" t="s">
        <v>354</v>
      </c>
      <c r="E451" s="6" t="s">
        <v>466</v>
      </c>
      <c r="F451" s="6" t="s">
        <v>798</v>
      </c>
      <c r="G451" s="5">
        <v>1055</v>
      </c>
      <c r="H451" s="5">
        <v>0.33229999999999998</v>
      </c>
      <c r="I451" s="20">
        <f t="shared" ref="I451:I514" si="7">H451*G451</f>
        <v>350.57650000000001</v>
      </c>
      <c r="J451" s="6" t="s">
        <v>357</v>
      </c>
    </row>
    <row r="452" spans="1:10" hidden="1">
      <c r="A452" s="9">
        <v>45988</v>
      </c>
      <c r="B452" s="6" t="s">
        <v>932</v>
      </c>
      <c r="C452" s="5" t="s">
        <v>931</v>
      </c>
      <c r="D452" s="8" t="s">
        <v>354</v>
      </c>
      <c r="E452" s="6" t="s">
        <v>466</v>
      </c>
      <c r="F452" s="6" t="s">
        <v>798</v>
      </c>
      <c r="G452" s="5">
        <v>1055</v>
      </c>
      <c r="H452" s="5">
        <v>0.33229999999999998</v>
      </c>
      <c r="I452" s="20">
        <f t="shared" si="7"/>
        <v>350.57650000000001</v>
      </c>
      <c r="J452" s="6" t="s">
        <v>357</v>
      </c>
    </row>
    <row r="453" spans="1:10" hidden="1">
      <c r="A453" s="9">
        <v>45988</v>
      </c>
      <c r="B453" s="6" t="s">
        <v>934</v>
      </c>
      <c r="C453" s="5" t="s">
        <v>933</v>
      </c>
      <c r="D453" s="8" t="s">
        <v>354</v>
      </c>
      <c r="E453" s="6" t="s">
        <v>466</v>
      </c>
      <c r="F453" s="6" t="s">
        <v>798</v>
      </c>
      <c r="G453" s="5">
        <v>1686</v>
      </c>
      <c r="H453" s="5">
        <v>0.33229999999999998</v>
      </c>
      <c r="I453" s="20">
        <f t="shared" si="7"/>
        <v>560.25779999999997</v>
      </c>
      <c r="J453" s="6" t="s">
        <v>357</v>
      </c>
    </row>
    <row r="454" spans="1:10" hidden="1">
      <c r="A454" s="9">
        <v>45988</v>
      </c>
      <c r="B454" s="6" t="s">
        <v>936</v>
      </c>
      <c r="C454" s="5" t="s">
        <v>935</v>
      </c>
      <c r="D454" s="8" t="s">
        <v>354</v>
      </c>
      <c r="E454" s="6" t="s">
        <v>466</v>
      </c>
      <c r="F454" s="6" t="s">
        <v>798</v>
      </c>
      <c r="G454" s="5">
        <v>1686</v>
      </c>
      <c r="H454" s="5">
        <v>0.33229999999999998</v>
      </c>
      <c r="I454" s="20">
        <f t="shared" si="7"/>
        <v>560.25779999999997</v>
      </c>
      <c r="J454" s="6" t="s">
        <v>357</v>
      </c>
    </row>
    <row r="455" spans="1:10" hidden="1">
      <c r="A455" s="9">
        <v>45988</v>
      </c>
      <c r="B455" s="6" t="s">
        <v>938</v>
      </c>
      <c r="C455" s="5" t="s">
        <v>937</v>
      </c>
      <c r="D455" s="8" t="s">
        <v>354</v>
      </c>
      <c r="E455" s="6" t="s">
        <v>466</v>
      </c>
      <c r="F455" s="6" t="s">
        <v>798</v>
      </c>
      <c r="G455" s="5">
        <v>965</v>
      </c>
      <c r="H455" s="5">
        <v>0.33229999999999998</v>
      </c>
      <c r="I455" s="20">
        <f t="shared" si="7"/>
        <v>320.66949999999997</v>
      </c>
      <c r="J455" s="6" t="s">
        <v>357</v>
      </c>
    </row>
    <row r="456" spans="1:10" hidden="1">
      <c r="A456" s="9">
        <v>45988</v>
      </c>
      <c r="B456" s="6" t="s">
        <v>940</v>
      </c>
      <c r="C456" s="5" t="s">
        <v>939</v>
      </c>
      <c r="D456" s="8" t="s">
        <v>354</v>
      </c>
      <c r="E456" s="6" t="s">
        <v>466</v>
      </c>
      <c r="F456" s="6" t="s">
        <v>798</v>
      </c>
      <c r="G456" s="5">
        <v>965</v>
      </c>
      <c r="H456" s="5">
        <v>0.33229999999999998</v>
      </c>
      <c r="I456" s="20">
        <f t="shared" si="7"/>
        <v>320.66949999999997</v>
      </c>
      <c r="J456" s="6" t="s">
        <v>357</v>
      </c>
    </row>
    <row r="457" spans="1:10" hidden="1">
      <c r="A457" s="9">
        <v>45988</v>
      </c>
      <c r="B457" s="6" t="s">
        <v>942</v>
      </c>
      <c r="C457" s="5" t="s">
        <v>941</v>
      </c>
      <c r="D457" s="8" t="s">
        <v>354</v>
      </c>
      <c r="E457" s="6" t="s">
        <v>466</v>
      </c>
      <c r="F457" s="6" t="s">
        <v>798</v>
      </c>
      <c r="G457" s="5">
        <v>965</v>
      </c>
      <c r="H457" s="5">
        <v>0.33229999999999998</v>
      </c>
      <c r="I457" s="20">
        <f t="shared" si="7"/>
        <v>320.66949999999997</v>
      </c>
      <c r="J457" s="6" t="s">
        <v>357</v>
      </c>
    </row>
    <row r="458" spans="1:10" hidden="1">
      <c r="A458" s="9">
        <v>45988</v>
      </c>
      <c r="B458" s="6" t="s">
        <v>944</v>
      </c>
      <c r="C458" s="5" t="s">
        <v>943</v>
      </c>
      <c r="D458" s="8" t="s">
        <v>354</v>
      </c>
      <c r="E458" s="6" t="s">
        <v>466</v>
      </c>
      <c r="F458" s="6" t="s">
        <v>798</v>
      </c>
      <c r="G458" s="5">
        <v>965</v>
      </c>
      <c r="H458" s="5">
        <v>0.33229999999999998</v>
      </c>
      <c r="I458" s="20">
        <f t="shared" si="7"/>
        <v>320.66949999999997</v>
      </c>
      <c r="J458" s="6" t="s">
        <v>357</v>
      </c>
    </row>
    <row r="459" spans="1:10" hidden="1">
      <c r="A459" s="9">
        <v>45988</v>
      </c>
      <c r="B459" s="6" t="s">
        <v>946</v>
      </c>
      <c r="C459" s="5" t="s">
        <v>945</v>
      </c>
      <c r="D459" s="8" t="s">
        <v>354</v>
      </c>
      <c r="E459" s="6" t="s">
        <v>466</v>
      </c>
      <c r="F459" s="6" t="s">
        <v>798</v>
      </c>
      <c r="G459" s="5">
        <v>965</v>
      </c>
      <c r="H459" s="5">
        <v>0.33229999999999998</v>
      </c>
      <c r="I459" s="20">
        <f t="shared" si="7"/>
        <v>320.66949999999997</v>
      </c>
      <c r="J459" s="6" t="s">
        <v>357</v>
      </c>
    </row>
    <row r="460" spans="1:10" hidden="1">
      <c r="A460" s="9">
        <v>45988</v>
      </c>
      <c r="B460" s="6" t="s">
        <v>948</v>
      </c>
      <c r="C460" s="5" t="s">
        <v>947</v>
      </c>
      <c r="D460" s="8" t="s">
        <v>354</v>
      </c>
      <c r="E460" s="6" t="s">
        <v>466</v>
      </c>
      <c r="F460" s="6" t="s">
        <v>798</v>
      </c>
      <c r="G460" s="5">
        <v>965</v>
      </c>
      <c r="H460" s="5">
        <v>0.33229999999999998</v>
      </c>
      <c r="I460" s="20">
        <f t="shared" si="7"/>
        <v>320.66949999999997</v>
      </c>
      <c r="J460" s="6" t="s">
        <v>357</v>
      </c>
    </row>
    <row r="461" spans="1:10" hidden="1">
      <c r="A461" s="9">
        <v>45988</v>
      </c>
      <c r="B461" s="6" t="s">
        <v>950</v>
      </c>
      <c r="C461" s="5" t="s">
        <v>949</v>
      </c>
      <c r="D461" s="8" t="s">
        <v>354</v>
      </c>
      <c r="E461" s="6" t="s">
        <v>466</v>
      </c>
      <c r="F461" s="6" t="s">
        <v>798</v>
      </c>
      <c r="G461" s="5">
        <v>965</v>
      </c>
      <c r="H461" s="5">
        <v>0.33229999999999998</v>
      </c>
      <c r="I461" s="20">
        <f t="shared" si="7"/>
        <v>320.66949999999997</v>
      </c>
      <c r="J461" s="6" t="s">
        <v>357</v>
      </c>
    </row>
    <row r="462" spans="1:10" hidden="1">
      <c r="A462" s="9">
        <v>45988</v>
      </c>
      <c r="B462" s="6" t="s">
        <v>952</v>
      </c>
      <c r="C462" s="5" t="s">
        <v>951</v>
      </c>
      <c r="D462" s="8" t="s">
        <v>354</v>
      </c>
      <c r="E462" s="6" t="s">
        <v>466</v>
      </c>
      <c r="F462" s="6" t="s">
        <v>798</v>
      </c>
      <c r="G462" s="5">
        <v>965</v>
      </c>
      <c r="H462" s="5">
        <v>0.33229999999999998</v>
      </c>
      <c r="I462" s="20">
        <f t="shared" si="7"/>
        <v>320.66949999999997</v>
      </c>
      <c r="J462" s="6" t="s">
        <v>357</v>
      </c>
    </row>
    <row r="463" spans="1:10" hidden="1">
      <c r="A463" s="9">
        <v>45988</v>
      </c>
      <c r="B463" s="6" t="s">
        <v>954</v>
      </c>
      <c r="C463" s="5" t="s">
        <v>953</v>
      </c>
      <c r="D463" s="8" t="s">
        <v>354</v>
      </c>
      <c r="E463" s="6" t="s">
        <v>466</v>
      </c>
      <c r="F463" s="6" t="s">
        <v>798</v>
      </c>
      <c r="G463" s="5">
        <v>965</v>
      </c>
      <c r="H463" s="5">
        <v>0.33229999999999998</v>
      </c>
      <c r="I463" s="20">
        <f t="shared" si="7"/>
        <v>320.66949999999997</v>
      </c>
      <c r="J463" s="6" t="s">
        <v>357</v>
      </c>
    </row>
    <row r="464" spans="1:10" hidden="1">
      <c r="A464" s="9">
        <v>45988</v>
      </c>
      <c r="B464" s="6" t="s">
        <v>956</v>
      </c>
      <c r="C464" s="5" t="s">
        <v>955</v>
      </c>
      <c r="D464" s="8" t="s">
        <v>354</v>
      </c>
      <c r="E464" s="6" t="s">
        <v>466</v>
      </c>
      <c r="F464" s="6" t="s">
        <v>798</v>
      </c>
      <c r="G464" s="5">
        <v>1436</v>
      </c>
      <c r="H464" s="5">
        <v>0.33229999999999998</v>
      </c>
      <c r="I464" s="20">
        <f t="shared" si="7"/>
        <v>477.18279999999999</v>
      </c>
      <c r="J464" s="6" t="s">
        <v>357</v>
      </c>
    </row>
    <row r="465" spans="1:10" hidden="1">
      <c r="A465" s="9">
        <v>45988</v>
      </c>
      <c r="B465" s="6" t="s">
        <v>958</v>
      </c>
      <c r="C465" s="5" t="s">
        <v>957</v>
      </c>
      <c r="D465" s="8" t="s">
        <v>354</v>
      </c>
      <c r="E465" s="6" t="s">
        <v>466</v>
      </c>
      <c r="F465" s="6" t="s">
        <v>798</v>
      </c>
      <c r="G465" s="5">
        <v>1436</v>
      </c>
      <c r="H465" s="5">
        <v>0.33229999999999998</v>
      </c>
      <c r="I465" s="20">
        <f t="shared" si="7"/>
        <v>477.18279999999999</v>
      </c>
      <c r="J465" s="6" t="s">
        <v>357</v>
      </c>
    </row>
    <row r="466" spans="1:10" hidden="1">
      <c r="A466" s="9">
        <v>45988</v>
      </c>
      <c r="B466" s="6" t="s">
        <v>960</v>
      </c>
      <c r="C466" s="5" t="s">
        <v>959</v>
      </c>
      <c r="D466" s="8" t="s">
        <v>354</v>
      </c>
      <c r="E466" s="6" t="s">
        <v>466</v>
      </c>
      <c r="F466" s="6" t="s">
        <v>798</v>
      </c>
      <c r="G466" s="5">
        <v>1349</v>
      </c>
      <c r="H466" s="5">
        <v>0.33229999999999998</v>
      </c>
      <c r="I466" s="20">
        <f t="shared" si="7"/>
        <v>448.27269999999999</v>
      </c>
      <c r="J466" s="6" t="s">
        <v>357</v>
      </c>
    </row>
    <row r="467" spans="1:10" hidden="1">
      <c r="A467" s="9">
        <v>45988</v>
      </c>
      <c r="B467" s="6" t="s">
        <v>962</v>
      </c>
      <c r="C467" s="5" t="s">
        <v>961</v>
      </c>
      <c r="D467" s="8" t="s">
        <v>354</v>
      </c>
      <c r="E467" s="6" t="s">
        <v>466</v>
      </c>
      <c r="F467" s="6" t="s">
        <v>798</v>
      </c>
      <c r="G467" s="5">
        <v>1349</v>
      </c>
      <c r="H467" s="5">
        <v>0.33229999999999998</v>
      </c>
      <c r="I467" s="20">
        <f t="shared" si="7"/>
        <v>448.27269999999999</v>
      </c>
      <c r="J467" s="6" t="s">
        <v>357</v>
      </c>
    </row>
    <row r="468" spans="1:10" hidden="1">
      <c r="A468" s="9">
        <v>45988</v>
      </c>
      <c r="B468" s="6" t="s">
        <v>964</v>
      </c>
      <c r="C468" s="5" t="s">
        <v>963</v>
      </c>
      <c r="D468" s="8" t="s">
        <v>354</v>
      </c>
      <c r="E468" s="6" t="s">
        <v>466</v>
      </c>
      <c r="F468" s="6" t="s">
        <v>798</v>
      </c>
      <c r="G468" s="5">
        <v>1349</v>
      </c>
      <c r="H468" s="5">
        <v>0.33229999999999998</v>
      </c>
      <c r="I468" s="20">
        <f t="shared" si="7"/>
        <v>448.27269999999999</v>
      </c>
      <c r="J468" s="6" t="s">
        <v>357</v>
      </c>
    </row>
    <row r="469" spans="1:10" hidden="1">
      <c r="A469" s="9">
        <v>45988</v>
      </c>
      <c r="B469" s="6" t="s">
        <v>966</v>
      </c>
      <c r="C469" s="5" t="s">
        <v>965</v>
      </c>
      <c r="D469" s="8" t="s">
        <v>354</v>
      </c>
      <c r="E469" s="6" t="s">
        <v>466</v>
      </c>
      <c r="F469" s="6" t="s">
        <v>798</v>
      </c>
      <c r="G469" s="5">
        <v>1349</v>
      </c>
      <c r="H469" s="5">
        <v>0.33229999999999998</v>
      </c>
      <c r="I469" s="20">
        <f t="shared" si="7"/>
        <v>448.27269999999999</v>
      </c>
      <c r="J469" s="6" t="s">
        <v>357</v>
      </c>
    </row>
    <row r="470" spans="1:10" hidden="1">
      <c r="A470" s="9">
        <v>45988</v>
      </c>
      <c r="B470" s="6" t="s">
        <v>968</v>
      </c>
      <c r="C470" s="5" t="s">
        <v>967</v>
      </c>
      <c r="D470" s="8" t="s">
        <v>354</v>
      </c>
      <c r="E470" s="6" t="s">
        <v>466</v>
      </c>
      <c r="F470" s="6" t="s">
        <v>798</v>
      </c>
      <c r="G470" s="5">
        <v>1349</v>
      </c>
      <c r="H470" s="5">
        <v>0.33229999999999998</v>
      </c>
      <c r="I470" s="20">
        <f t="shared" si="7"/>
        <v>448.27269999999999</v>
      </c>
      <c r="J470" s="6" t="s">
        <v>357</v>
      </c>
    </row>
    <row r="471" spans="1:10" hidden="1">
      <c r="A471" s="9">
        <v>45988</v>
      </c>
      <c r="B471" s="6" t="s">
        <v>970</v>
      </c>
      <c r="C471" s="5" t="s">
        <v>969</v>
      </c>
      <c r="D471" s="8" t="s">
        <v>354</v>
      </c>
      <c r="E471" s="6" t="s">
        <v>466</v>
      </c>
      <c r="F471" s="6" t="s">
        <v>798</v>
      </c>
      <c r="G471" s="5">
        <v>1349</v>
      </c>
      <c r="H471" s="5">
        <v>0.33229999999999998</v>
      </c>
      <c r="I471" s="20">
        <f t="shared" si="7"/>
        <v>448.27269999999999</v>
      </c>
      <c r="J471" s="6" t="s">
        <v>357</v>
      </c>
    </row>
    <row r="472" spans="1:10" hidden="1">
      <c r="A472" s="9">
        <v>45988</v>
      </c>
      <c r="B472" s="6" t="s">
        <v>972</v>
      </c>
      <c r="C472" s="5" t="s">
        <v>971</v>
      </c>
      <c r="D472" s="8" t="s">
        <v>354</v>
      </c>
      <c r="E472" s="6" t="s">
        <v>466</v>
      </c>
      <c r="F472" s="6" t="s">
        <v>798</v>
      </c>
      <c r="G472" s="5">
        <v>1349</v>
      </c>
      <c r="H472" s="5">
        <v>0.33229999999999998</v>
      </c>
      <c r="I472" s="20">
        <f t="shared" si="7"/>
        <v>448.27269999999999</v>
      </c>
      <c r="J472" s="6" t="s">
        <v>357</v>
      </c>
    </row>
    <row r="473" spans="1:10" hidden="1">
      <c r="A473" s="9">
        <v>45988</v>
      </c>
      <c r="B473" s="6" t="s">
        <v>974</v>
      </c>
      <c r="C473" s="5" t="s">
        <v>973</v>
      </c>
      <c r="D473" s="8" t="s">
        <v>354</v>
      </c>
      <c r="E473" s="6" t="s">
        <v>466</v>
      </c>
      <c r="F473" s="6" t="s">
        <v>798</v>
      </c>
      <c r="G473" s="5">
        <v>1349</v>
      </c>
      <c r="H473" s="5">
        <v>0.33229999999999998</v>
      </c>
      <c r="I473" s="20">
        <f t="shared" si="7"/>
        <v>448.27269999999999</v>
      </c>
      <c r="J473" s="6" t="s">
        <v>357</v>
      </c>
    </row>
    <row r="474" spans="1:10" hidden="1">
      <c r="A474" s="9">
        <v>45988</v>
      </c>
      <c r="B474" s="6" t="s">
        <v>976</v>
      </c>
      <c r="C474" s="5" t="s">
        <v>975</v>
      </c>
      <c r="D474" s="8" t="s">
        <v>354</v>
      </c>
      <c r="E474" s="6" t="s">
        <v>466</v>
      </c>
      <c r="F474" s="6" t="s">
        <v>798</v>
      </c>
      <c r="G474" s="5">
        <v>1349</v>
      </c>
      <c r="H474" s="5">
        <v>0.33229999999999998</v>
      </c>
      <c r="I474" s="20">
        <f t="shared" si="7"/>
        <v>448.27269999999999</v>
      </c>
      <c r="J474" s="6" t="s">
        <v>357</v>
      </c>
    </row>
    <row r="475" spans="1:10" hidden="1">
      <c r="A475" s="9">
        <v>45988</v>
      </c>
      <c r="B475" s="6" t="s">
        <v>978</v>
      </c>
      <c r="C475" s="5" t="s">
        <v>977</v>
      </c>
      <c r="D475" s="8" t="s">
        <v>354</v>
      </c>
      <c r="E475" s="6" t="s">
        <v>466</v>
      </c>
      <c r="F475" s="6" t="s">
        <v>798</v>
      </c>
      <c r="G475" s="5">
        <v>2010</v>
      </c>
      <c r="H475" s="5">
        <v>0.33229999999999998</v>
      </c>
      <c r="I475" s="20">
        <f t="shared" si="7"/>
        <v>667.923</v>
      </c>
      <c r="J475" s="6" t="s">
        <v>357</v>
      </c>
    </row>
    <row r="476" spans="1:10" hidden="1">
      <c r="A476" s="9">
        <v>45988</v>
      </c>
      <c r="B476" s="6" t="s">
        <v>980</v>
      </c>
      <c r="C476" s="5" t="s">
        <v>979</v>
      </c>
      <c r="D476" s="8" t="s">
        <v>354</v>
      </c>
      <c r="E476" s="6" t="s">
        <v>466</v>
      </c>
      <c r="F476" s="6" t="s">
        <v>798</v>
      </c>
      <c r="G476" s="5">
        <v>2010</v>
      </c>
      <c r="H476" s="5">
        <v>0.33229999999999998</v>
      </c>
      <c r="I476" s="20">
        <f t="shared" si="7"/>
        <v>667.923</v>
      </c>
      <c r="J476" s="6" t="s">
        <v>357</v>
      </c>
    </row>
    <row r="477" spans="1:10" hidden="1">
      <c r="A477" s="9">
        <v>45988</v>
      </c>
      <c r="B477" s="6" t="s">
        <v>992</v>
      </c>
      <c r="C477" s="5" t="s">
        <v>991</v>
      </c>
      <c r="D477" s="8" t="s">
        <v>354</v>
      </c>
      <c r="E477" s="6" t="s">
        <v>466</v>
      </c>
      <c r="F477" s="6" t="s">
        <v>798</v>
      </c>
      <c r="G477" s="5">
        <v>1744</v>
      </c>
      <c r="H477" s="5">
        <v>0.33229999999999998</v>
      </c>
      <c r="I477" s="20">
        <f t="shared" si="7"/>
        <v>579.53120000000001</v>
      </c>
      <c r="J477" s="6" t="s">
        <v>357</v>
      </c>
    </row>
    <row r="478" spans="1:10" hidden="1">
      <c r="A478" s="9">
        <v>45988</v>
      </c>
      <c r="B478" s="6" t="s">
        <v>994</v>
      </c>
      <c r="C478" s="5" t="s">
        <v>993</v>
      </c>
      <c r="D478" s="8" t="s">
        <v>354</v>
      </c>
      <c r="E478" s="6" t="s">
        <v>466</v>
      </c>
      <c r="F478" s="6" t="s">
        <v>798</v>
      </c>
      <c r="G478" s="5">
        <v>1744</v>
      </c>
      <c r="H478" s="5">
        <v>0.33229999999999998</v>
      </c>
      <c r="I478" s="20">
        <f t="shared" si="7"/>
        <v>579.53120000000001</v>
      </c>
      <c r="J478" s="6" t="s">
        <v>357</v>
      </c>
    </row>
    <row r="479" spans="1:10" hidden="1">
      <c r="A479" s="9">
        <v>45988</v>
      </c>
      <c r="B479" s="6" t="s">
        <v>996</v>
      </c>
      <c r="C479" s="5" t="s">
        <v>995</v>
      </c>
      <c r="D479" s="8" t="s">
        <v>354</v>
      </c>
      <c r="E479" s="6" t="s">
        <v>466</v>
      </c>
      <c r="F479" s="6" t="s">
        <v>798</v>
      </c>
      <c r="G479" s="5">
        <v>2443</v>
      </c>
      <c r="H479" s="5">
        <v>0.33229999999999998</v>
      </c>
      <c r="I479" s="20">
        <f t="shared" si="7"/>
        <v>811.80889999999999</v>
      </c>
      <c r="J479" s="6" t="s">
        <v>357</v>
      </c>
    </row>
    <row r="480" spans="1:10" hidden="1">
      <c r="A480" s="9">
        <v>45988</v>
      </c>
      <c r="B480" s="6" t="s">
        <v>998</v>
      </c>
      <c r="C480" s="5" t="s">
        <v>997</v>
      </c>
      <c r="D480" s="8" t="s">
        <v>354</v>
      </c>
      <c r="E480" s="6" t="s">
        <v>466</v>
      </c>
      <c r="F480" s="6" t="s">
        <v>798</v>
      </c>
      <c r="G480" s="5">
        <v>2443</v>
      </c>
      <c r="H480" s="5">
        <v>0.33229999999999998</v>
      </c>
      <c r="I480" s="20">
        <f t="shared" si="7"/>
        <v>811.80889999999999</v>
      </c>
      <c r="J480" s="6" t="s">
        <v>357</v>
      </c>
    </row>
    <row r="481" spans="1:10" hidden="1">
      <c r="A481" s="9">
        <v>45988</v>
      </c>
      <c r="B481" s="6" t="s">
        <v>7674</v>
      </c>
      <c r="C481" s="5" t="s">
        <v>981</v>
      </c>
      <c r="D481" s="8" t="s">
        <v>354</v>
      </c>
      <c r="E481" s="6" t="s">
        <v>466</v>
      </c>
      <c r="F481" s="6" t="s">
        <v>798</v>
      </c>
      <c r="G481" s="5">
        <v>2059</v>
      </c>
      <c r="H481" s="5">
        <v>0.33229999999999998</v>
      </c>
      <c r="I481" s="20">
        <f t="shared" si="7"/>
        <v>684.20569999999998</v>
      </c>
      <c r="J481" s="6" t="s">
        <v>357</v>
      </c>
    </row>
    <row r="482" spans="1:10" hidden="1">
      <c r="A482" s="9">
        <v>45988</v>
      </c>
      <c r="B482" s="6" t="s">
        <v>7675</v>
      </c>
      <c r="C482" s="5" t="s">
        <v>982</v>
      </c>
      <c r="D482" s="8" t="s">
        <v>354</v>
      </c>
      <c r="E482" s="6" t="s">
        <v>466</v>
      </c>
      <c r="F482" s="6" t="s">
        <v>798</v>
      </c>
      <c r="G482" s="5">
        <v>2059</v>
      </c>
      <c r="H482" s="5">
        <v>0.33229999999999998</v>
      </c>
      <c r="I482" s="20">
        <f t="shared" si="7"/>
        <v>684.20569999999998</v>
      </c>
      <c r="J482" s="6" t="s">
        <v>357</v>
      </c>
    </row>
    <row r="483" spans="1:10" hidden="1">
      <c r="A483" s="9">
        <v>45988</v>
      </c>
      <c r="B483" s="6" t="s">
        <v>7676</v>
      </c>
      <c r="C483" s="5" t="s">
        <v>983</v>
      </c>
      <c r="D483" s="8" t="s">
        <v>354</v>
      </c>
      <c r="E483" s="6" t="s">
        <v>466</v>
      </c>
      <c r="F483" s="6" t="s">
        <v>798</v>
      </c>
      <c r="G483" s="5">
        <v>2882</v>
      </c>
      <c r="H483" s="5">
        <v>0.33229999999999998</v>
      </c>
      <c r="I483" s="20">
        <f t="shared" si="7"/>
        <v>957.68859999999995</v>
      </c>
      <c r="J483" s="6" t="s">
        <v>357</v>
      </c>
    </row>
    <row r="484" spans="1:10" hidden="1">
      <c r="A484" s="9">
        <v>45988</v>
      </c>
      <c r="B484" s="6" t="s">
        <v>7677</v>
      </c>
      <c r="C484" s="5" t="s">
        <v>984</v>
      </c>
      <c r="D484" s="8" t="s">
        <v>354</v>
      </c>
      <c r="E484" s="6" t="s">
        <v>466</v>
      </c>
      <c r="F484" s="6" t="s">
        <v>798</v>
      </c>
      <c r="G484" s="5">
        <v>2882</v>
      </c>
      <c r="H484" s="5">
        <v>0.33229999999999998</v>
      </c>
      <c r="I484" s="20">
        <f t="shared" si="7"/>
        <v>957.68859999999995</v>
      </c>
      <c r="J484" s="6" t="s">
        <v>357</v>
      </c>
    </row>
    <row r="485" spans="1:10" hidden="1">
      <c r="A485" s="9">
        <v>45988</v>
      </c>
      <c r="B485" s="6" t="s">
        <v>1000</v>
      </c>
      <c r="C485" s="5" t="s">
        <v>999</v>
      </c>
      <c r="D485" s="8" t="s">
        <v>354</v>
      </c>
      <c r="E485" s="6" t="s">
        <v>466</v>
      </c>
      <c r="F485" s="6" t="s">
        <v>798</v>
      </c>
      <c r="G485" s="5">
        <v>3015</v>
      </c>
      <c r="H485" s="5">
        <v>0.33229999999999998</v>
      </c>
      <c r="I485" s="20">
        <f t="shared" si="7"/>
        <v>1001.8845</v>
      </c>
      <c r="J485" s="6" t="s">
        <v>357</v>
      </c>
    </row>
    <row r="486" spans="1:10" hidden="1">
      <c r="A486" s="9">
        <v>45988</v>
      </c>
      <c r="B486" s="6" t="s">
        <v>1002</v>
      </c>
      <c r="C486" s="5" t="s">
        <v>1001</v>
      </c>
      <c r="D486" s="8" t="s">
        <v>354</v>
      </c>
      <c r="E486" s="6" t="s">
        <v>466</v>
      </c>
      <c r="F486" s="6" t="s">
        <v>798</v>
      </c>
      <c r="G486" s="5">
        <v>3015</v>
      </c>
      <c r="H486" s="5">
        <v>0.33229999999999998</v>
      </c>
      <c r="I486" s="20">
        <f t="shared" si="7"/>
        <v>1001.8845</v>
      </c>
      <c r="J486" s="6" t="s">
        <v>357</v>
      </c>
    </row>
    <row r="487" spans="1:10" hidden="1">
      <c r="A487" s="9">
        <v>45988</v>
      </c>
      <c r="B487" s="6" t="s">
        <v>1004</v>
      </c>
      <c r="C487" s="5" t="s">
        <v>1003</v>
      </c>
      <c r="D487" s="8" t="s">
        <v>354</v>
      </c>
      <c r="E487" s="6" t="s">
        <v>466</v>
      </c>
      <c r="F487" s="6" t="s">
        <v>798</v>
      </c>
      <c r="G487" s="5">
        <v>4222</v>
      </c>
      <c r="H487" s="5">
        <v>0.33229999999999998</v>
      </c>
      <c r="I487" s="20">
        <f t="shared" si="7"/>
        <v>1402.9705999999999</v>
      </c>
      <c r="J487" s="6" t="s">
        <v>357</v>
      </c>
    </row>
    <row r="488" spans="1:10" hidden="1">
      <c r="A488" s="9">
        <v>45988</v>
      </c>
      <c r="B488" s="6" t="s">
        <v>1006</v>
      </c>
      <c r="C488" s="5" t="s">
        <v>1005</v>
      </c>
      <c r="D488" s="8" t="s">
        <v>354</v>
      </c>
      <c r="E488" s="6" t="s">
        <v>466</v>
      </c>
      <c r="F488" s="6" t="s">
        <v>798</v>
      </c>
      <c r="G488" s="5">
        <v>4222</v>
      </c>
      <c r="H488" s="5">
        <v>0.33229999999999998</v>
      </c>
      <c r="I488" s="20">
        <f t="shared" si="7"/>
        <v>1402.9705999999999</v>
      </c>
      <c r="J488" s="6" t="s">
        <v>357</v>
      </c>
    </row>
    <row r="489" spans="1:10" hidden="1">
      <c r="A489" s="9">
        <v>45988</v>
      </c>
      <c r="B489" s="6" t="s">
        <v>1008</v>
      </c>
      <c r="C489" s="5" t="s">
        <v>1007</v>
      </c>
      <c r="D489" s="8" t="s">
        <v>354</v>
      </c>
      <c r="E489" s="6" t="s">
        <v>466</v>
      </c>
      <c r="F489" s="6" t="s">
        <v>798</v>
      </c>
      <c r="G489" s="5">
        <v>4013</v>
      </c>
      <c r="H489" s="5">
        <v>0.33229999999999998</v>
      </c>
      <c r="I489" s="20">
        <f t="shared" si="7"/>
        <v>1333.5199</v>
      </c>
      <c r="J489" s="6" t="s">
        <v>357</v>
      </c>
    </row>
    <row r="490" spans="1:10" hidden="1">
      <c r="A490" s="9">
        <v>45988</v>
      </c>
      <c r="B490" s="6" t="s">
        <v>1010</v>
      </c>
      <c r="C490" s="5" t="s">
        <v>1009</v>
      </c>
      <c r="D490" s="8" t="s">
        <v>354</v>
      </c>
      <c r="E490" s="6" t="s">
        <v>466</v>
      </c>
      <c r="F490" s="6" t="s">
        <v>798</v>
      </c>
      <c r="G490" s="5">
        <v>5619</v>
      </c>
      <c r="H490" s="5">
        <v>0.33229999999999998</v>
      </c>
      <c r="I490" s="20">
        <f t="shared" si="7"/>
        <v>1867.1936999999998</v>
      </c>
      <c r="J490" s="6" t="s">
        <v>357</v>
      </c>
    </row>
    <row r="491" spans="1:10" hidden="1">
      <c r="A491" s="9">
        <v>45988</v>
      </c>
      <c r="B491" s="6" t="s">
        <v>7678</v>
      </c>
      <c r="C491" s="5" t="s">
        <v>985</v>
      </c>
      <c r="D491" s="8" t="s">
        <v>354</v>
      </c>
      <c r="E491" s="6" t="s">
        <v>466</v>
      </c>
      <c r="F491" s="6" t="s">
        <v>798</v>
      </c>
      <c r="G491" s="5">
        <v>3233</v>
      </c>
      <c r="H491" s="5">
        <v>0.33229999999999998</v>
      </c>
      <c r="I491" s="20">
        <f t="shared" si="7"/>
        <v>1074.3259</v>
      </c>
      <c r="J491" s="6" t="s">
        <v>357</v>
      </c>
    </row>
    <row r="492" spans="1:10" hidden="1">
      <c r="A492" s="9">
        <v>45988</v>
      </c>
      <c r="B492" s="6" t="s">
        <v>7679</v>
      </c>
      <c r="C492" s="5" t="s">
        <v>986</v>
      </c>
      <c r="D492" s="8" t="s">
        <v>354</v>
      </c>
      <c r="E492" s="6" t="s">
        <v>466</v>
      </c>
      <c r="F492" s="6" t="s">
        <v>798</v>
      </c>
      <c r="G492" s="5">
        <v>3233</v>
      </c>
      <c r="H492" s="5">
        <v>0.33229999999999998</v>
      </c>
      <c r="I492" s="20">
        <f t="shared" si="7"/>
        <v>1074.3259</v>
      </c>
      <c r="J492" s="6" t="s">
        <v>357</v>
      </c>
    </row>
    <row r="493" spans="1:10" hidden="1">
      <c r="A493" s="9">
        <v>45988</v>
      </c>
      <c r="B493" s="6" t="s">
        <v>7680</v>
      </c>
      <c r="C493" s="5" t="s">
        <v>987</v>
      </c>
      <c r="D493" s="8" t="s">
        <v>354</v>
      </c>
      <c r="E493" s="6" t="s">
        <v>466</v>
      </c>
      <c r="F493" s="6" t="s">
        <v>798</v>
      </c>
      <c r="G493" s="5">
        <v>4525</v>
      </c>
      <c r="H493" s="5">
        <v>0.33229999999999998</v>
      </c>
      <c r="I493" s="20">
        <f t="shared" si="7"/>
        <v>1503.6575</v>
      </c>
      <c r="J493" s="6" t="s">
        <v>357</v>
      </c>
    </row>
    <row r="494" spans="1:10" hidden="1">
      <c r="A494" s="9">
        <v>45988</v>
      </c>
      <c r="B494" s="6" t="s">
        <v>7681</v>
      </c>
      <c r="C494" s="5" t="s">
        <v>988</v>
      </c>
      <c r="D494" s="8" t="s">
        <v>354</v>
      </c>
      <c r="E494" s="6" t="s">
        <v>466</v>
      </c>
      <c r="F494" s="6" t="s">
        <v>798</v>
      </c>
      <c r="G494" s="5">
        <v>4525</v>
      </c>
      <c r="H494" s="5">
        <v>0.33229999999999998</v>
      </c>
      <c r="I494" s="20">
        <f t="shared" si="7"/>
        <v>1503.6575</v>
      </c>
      <c r="J494" s="6" t="s">
        <v>357</v>
      </c>
    </row>
    <row r="495" spans="1:10" hidden="1">
      <c r="A495" s="9">
        <v>45988</v>
      </c>
      <c r="B495" s="6" t="s">
        <v>7682</v>
      </c>
      <c r="C495" s="5" t="s">
        <v>989</v>
      </c>
      <c r="D495" s="8" t="s">
        <v>354</v>
      </c>
      <c r="E495" s="6" t="s">
        <v>466</v>
      </c>
      <c r="F495" s="6" t="s">
        <v>798</v>
      </c>
      <c r="G495" s="5">
        <v>4167</v>
      </c>
      <c r="H495" s="5">
        <v>0.33229999999999998</v>
      </c>
      <c r="I495" s="20">
        <f t="shared" si="7"/>
        <v>1384.6940999999999</v>
      </c>
      <c r="J495" s="6" t="s">
        <v>357</v>
      </c>
    </row>
    <row r="496" spans="1:10" hidden="1">
      <c r="A496" s="9">
        <v>45988</v>
      </c>
      <c r="B496" s="6" t="s">
        <v>7683</v>
      </c>
      <c r="C496" s="5" t="s">
        <v>990</v>
      </c>
      <c r="D496" s="8" t="s">
        <v>354</v>
      </c>
      <c r="E496" s="6" t="s">
        <v>466</v>
      </c>
      <c r="F496" s="6" t="s">
        <v>798</v>
      </c>
      <c r="G496" s="5">
        <v>5834</v>
      </c>
      <c r="H496" s="5">
        <v>0.33229999999999998</v>
      </c>
      <c r="I496" s="20">
        <f t="shared" si="7"/>
        <v>1938.6381999999999</v>
      </c>
      <c r="J496" s="6" t="s">
        <v>357</v>
      </c>
    </row>
    <row r="497" spans="1:10" hidden="1">
      <c r="A497" s="10">
        <v>45007</v>
      </c>
      <c r="B497" s="6" t="s">
        <v>1012</v>
      </c>
      <c r="C497" s="5" t="s">
        <v>1011</v>
      </c>
      <c r="D497" s="8" t="s">
        <v>354</v>
      </c>
      <c r="E497" s="6" t="s">
        <v>1013</v>
      </c>
      <c r="F497" s="6" t="s">
        <v>1014</v>
      </c>
      <c r="G497" s="5">
        <v>3510</v>
      </c>
      <c r="H497" s="5">
        <v>1</v>
      </c>
      <c r="I497" s="20">
        <f t="shared" si="7"/>
        <v>3510</v>
      </c>
      <c r="J497" s="6" t="s">
        <v>357</v>
      </c>
    </row>
    <row r="498" spans="1:10" hidden="1">
      <c r="A498" s="10">
        <v>45007</v>
      </c>
      <c r="B498" s="6" t="s">
        <v>1016</v>
      </c>
      <c r="C498" s="5" t="s">
        <v>1015</v>
      </c>
      <c r="D498" s="8" t="s">
        <v>354</v>
      </c>
      <c r="E498" s="6" t="s">
        <v>1013</v>
      </c>
      <c r="F498" s="6" t="s">
        <v>1014</v>
      </c>
      <c r="G498" s="5">
        <v>1960</v>
      </c>
      <c r="H498" s="5">
        <v>1</v>
      </c>
      <c r="I498" s="20">
        <f t="shared" si="7"/>
        <v>1960</v>
      </c>
      <c r="J498" s="6" t="s">
        <v>357</v>
      </c>
    </row>
    <row r="499" spans="1:10" hidden="1">
      <c r="A499" s="10">
        <v>45007</v>
      </c>
      <c r="B499" s="6" t="s">
        <v>1018</v>
      </c>
      <c r="C499" s="5" t="s">
        <v>1017</v>
      </c>
      <c r="D499" s="8" t="s">
        <v>354</v>
      </c>
      <c r="E499" s="6" t="s">
        <v>1013</v>
      </c>
      <c r="F499" s="6" t="s">
        <v>1014</v>
      </c>
      <c r="G499" s="5">
        <v>2210</v>
      </c>
      <c r="H499" s="5">
        <v>1</v>
      </c>
      <c r="I499" s="20">
        <f t="shared" si="7"/>
        <v>2210</v>
      </c>
      <c r="J499" s="6" t="s">
        <v>357</v>
      </c>
    </row>
    <row r="500" spans="1:10" hidden="1">
      <c r="A500" s="10">
        <v>45007</v>
      </c>
      <c r="B500" s="6" t="s">
        <v>1020</v>
      </c>
      <c r="C500" s="5" t="s">
        <v>1019</v>
      </c>
      <c r="D500" s="8" t="s">
        <v>354</v>
      </c>
      <c r="E500" s="6" t="s">
        <v>1013</v>
      </c>
      <c r="F500" s="6" t="s">
        <v>1014</v>
      </c>
      <c r="G500" s="5">
        <v>2310</v>
      </c>
      <c r="H500" s="5">
        <v>1</v>
      </c>
      <c r="I500" s="20">
        <f t="shared" si="7"/>
        <v>2310</v>
      </c>
      <c r="J500" s="6" t="s">
        <v>357</v>
      </c>
    </row>
    <row r="501" spans="1:10" hidden="1">
      <c r="A501" s="10">
        <v>45007</v>
      </c>
      <c r="B501" s="6" t="s">
        <v>1022</v>
      </c>
      <c r="C501" s="5" t="s">
        <v>1021</v>
      </c>
      <c r="D501" s="8" t="s">
        <v>354</v>
      </c>
      <c r="E501" s="6" t="s">
        <v>1013</v>
      </c>
      <c r="F501" s="6" t="s">
        <v>1014</v>
      </c>
      <c r="G501" s="5">
        <v>3400</v>
      </c>
      <c r="H501" s="5">
        <v>1</v>
      </c>
      <c r="I501" s="20">
        <f t="shared" si="7"/>
        <v>3400</v>
      </c>
      <c r="J501" s="6" t="s">
        <v>357</v>
      </c>
    </row>
    <row r="502" spans="1:10" ht="30" hidden="1">
      <c r="A502" s="9">
        <v>45813</v>
      </c>
      <c r="B502" s="216" t="s">
        <v>6947</v>
      </c>
      <c r="C502" s="5" t="s">
        <v>6939</v>
      </c>
      <c r="D502" s="8" t="s">
        <v>354</v>
      </c>
      <c r="E502" s="25" t="s">
        <v>1024</v>
      </c>
      <c r="F502" s="6" t="s">
        <v>655</v>
      </c>
      <c r="G502" s="31">
        <v>59.9</v>
      </c>
      <c r="H502" s="5">
        <v>0.33529999999999999</v>
      </c>
      <c r="I502" s="20">
        <f t="shared" si="7"/>
        <v>20.08447</v>
      </c>
      <c r="J502" s="6" t="s">
        <v>357</v>
      </c>
    </row>
    <row r="503" spans="1:10" ht="30" hidden="1">
      <c r="A503" s="9">
        <v>45813</v>
      </c>
      <c r="B503" s="216" t="s">
        <v>6948</v>
      </c>
      <c r="C503" s="5" t="s">
        <v>6940</v>
      </c>
      <c r="D503" s="8" t="s">
        <v>354</v>
      </c>
      <c r="E503" s="25" t="s">
        <v>1024</v>
      </c>
      <c r="F503" s="6" t="s">
        <v>655</v>
      </c>
      <c r="G503" s="31">
        <v>59.9</v>
      </c>
      <c r="H503" s="5">
        <v>0.33529999999999999</v>
      </c>
      <c r="I503" s="20">
        <f t="shared" si="7"/>
        <v>20.08447</v>
      </c>
      <c r="J503" s="6" t="s">
        <v>357</v>
      </c>
    </row>
    <row r="504" spans="1:10" ht="30" hidden="1">
      <c r="A504" s="9">
        <v>45813</v>
      </c>
      <c r="B504" s="216" t="s">
        <v>6949</v>
      </c>
      <c r="C504" s="5" t="s">
        <v>6941</v>
      </c>
      <c r="D504" s="8" t="s">
        <v>354</v>
      </c>
      <c r="E504" s="25" t="s">
        <v>1024</v>
      </c>
      <c r="F504" s="6" t="s">
        <v>655</v>
      </c>
      <c r="G504" s="31">
        <v>59.9</v>
      </c>
      <c r="H504" s="5">
        <v>0.33529999999999999</v>
      </c>
      <c r="I504" s="20">
        <f t="shared" si="7"/>
        <v>20.08447</v>
      </c>
      <c r="J504" s="6" t="s">
        <v>357</v>
      </c>
    </row>
    <row r="505" spans="1:10" ht="30" hidden="1">
      <c r="A505" s="9">
        <v>45813</v>
      </c>
      <c r="B505" s="216" t="s">
        <v>6950</v>
      </c>
      <c r="C505" s="5" t="s">
        <v>7011</v>
      </c>
      <c r="D505" s="8" t="s">
        <v>354</v>
      </c>
      <c r="E505" s="25" t="s">
        <v>1024</v>
      </c>
      <c r="F505" s="6" t="s">
        <v>655</v>
      </c>
      <c r="G505" s="31">
        <v>59.9</v>
      </c>
      <c r="H505" s="5">
        <v>0.33529999999999999</v>
      </c>
      <c r="I505" s="20">
        <f t="shared" si="7"/>
        <v>20.08447</v>
      </c>
      <c r="J505" s="6" t="s">
        <v>357</v>
      </c>
    </row>
    <row r="506" spans="1:10" ht="30" hidden="1">
      <c r="A506" s="9">
        <v>45813</v>
      </c>
      <c r="B506" s="216" t="s">
        <v>6951</v>
      </c>
      <c r="C506" s="5" t="s">
        <v>6942</v>
      </c>
      <c r="D506" s="8" t="s">
        <v>354</v>
      </c>
      <c r="E506" s="25" t="s">
        <v>1024</v>
      </c>
      <c r="F506" s="6" t="s">
        <v>655</v>
      </c>
      <c r="G506" s="31">
        <v>59.9</v>
      </c>
      <c r="H506" s="5">
        <v>0.33529999999999999</v>
      </c>
      <c r="I506" s="20">
        <f t="shared" si="7"/>
        <v>20.08447</v>
      </c>
      <c r="J506" s="6" t="s">
        <v>357</v>
      </c>
    </row>
    <row r="507" spans="1:10" ht="30" hidden="1">
      <c r="A507" s="9">
        <v>45813</v>
      </c>
      <c r="B507" s="216" t="s">
        <v>6952</v>
      </c>
      <c r="C507" s="5" t="s">
        <v>6943</v>
      </c>
      <c r="D507" s="8" t="s">
        <v>354</v>
      </c>
      <c r="E507" s="25" t="s">
        <v>1024</v>
      </c>
      <c r="F507" s="6" t="s">
        <v>655</v>
      </c>
      <c r="G507" s="31">
        <v>59.9</v>
      </c>
      <c r="H507" s="5">
        <v>0.33529999999999999</v>
      </c>
      <c r="I507" s="20">
        <f t="shared" si="7"/>
        <v>20.08447</v>
      </c>
      <c r="J507" s="6" t="s">
        <v>357</v>
      </c>
    </row>
    <row r="508" spans="1:10" ht="30" hidden="1">
      <c r="A508" s="9">
        <v>45813</v>
      </c>
      <c r="B508" s="216" t="s">
        <v>6953</v>
      </c>
      <c r="C508" s="5" t="s">
        <v>6944</v>
      </c>
      <c r="D508" s="8" t="s">
        <v>354</v>
      </c>
      <c r="E508" s="25" t="s">
        <v>1024</v>
      </c>
      <c r="F508" s="6" t="s">
        <v>655</v>
      </c>
      <c r="G508" s="31">
        <v>95.4</v>
      </c>
      <c r="H508" s="5">
        <v>0.33529999999999999</v>
      </c>
      <c r="I508" s="20">
        <f t="shared" si="7"/>
        <v>31.98762</v>
      </c>
      <c r="J508" s="6" t="s">
        <v>357</v>
      </c>
    </row>
    <row r="509" spans="1:10" ht="30" hidden="1">
      <c r="A509" s="9">
        <v>45813</v>
      </c>
      <c r="B509" s="216" t="s">
        <v>6946</v>
      </c>
      <c r="C509" s="5" t="s">
        <v>6938</v>
      </c>
      <c r="D509" s="8" t="s">
        <v>354</v>
      </c>
      <c r="E509" s="25" t="s">
        <v>1024</v>
      </c>
      <c r="F509" s="6" t="s">
        <v>655</v>
      </c>
      <c r="G509" s="31">
        <v>59.9</v>
      </c>
      <c r="H509" s="5">
        <v>0.33529999999999999</v>
      </c>
      <c r="I509" s="20">
        <f t="shared" si="7"/>
        <v>20.08447</v>
      </c>
      <c r="J509" s="6" t="s">
        <v>357</v>
      </c>
    </row>
    <row r="510" spans="1:10" ht="30" hidden="1">
      <c r="A510" s="9">
        <v>45813</v>
      </c>
      <c r="B510" s="216" t="s">
        <v>6954</v>
      </c>
      <c r="C510" s="5" t="s">
        <v>6945</v>
      </c>
      <c r="D510" s="8" t="s">
        <v>354</v>
      </c>
      <c r="E510" s="25" t="s">
        <v>1024</v>
      </c>
      <c r="F510" s="6" t="s">
        <v>655</v>
      </c>
      <c r="G510" s="31">
        <v>95.4</v>
      </c>
      <c r="H510" s="5">
        <v>0.33529999999999999</v>
      </c>
      <c r="I510" s="20">
        <f t="shared" si="7"/>
        <v>31.98762</v>
      </c>
      <c r="J510" s="6" t="s">
        <v>357</v>
      </c>
    </row>
    <row r="511" spans="1:10" ht="30" hidden="1">
      <c r="A511" s="9">
        <v>45813</v>
      </c>
      <c r="B511" s="6" t="s">
        <v>1026</v>
      </c>
      <c r="C511" s="5" t="s">
        <v>1025</v>
      </c>
      <c r="D511" s="8" t="s">
        <v>354</v>
      </c>
      <c r="E511" s="6" t="s">
        <v>1024</v>
      </c>
      <c r="F511" s="6" t="s">
        <v>655</v>
      </c>
      <c r="G511" s="5">
        <v>37.5</v>
      </c>
      <c r="H511" s="5">
        <v>0.33529999999999999</v>
      </c>
      <c r="I511" s="20">
        <f t="shared" si="7"/>
        <v>12.573749999999999</v>
      </c>
      <c r="J511" s="6" t="s">
        <v>357</v>
      </c>
    </row>
    <row r="512" spans="1:10" ht="30" hidden="1">
      <c r="A512" s="9">
        <v>45813</v>
      </c>
      <c r="B512" s="6" t="s">
        <v>1028</v>
      </c>
      <c r="C512" s="5" t="s">
        <v>1027</v>
      </c>
      <c r="D512" s="8" t="s">
        <v>354</v>
      </c>
      <c r="E512" s="6" t="s">
        <v>1024</v>
      </c>
      <c r="F512" s="6" t="s">
        <v>655</v>
      </c>
      <c r="G512" s="5">
        <v>37.5</v>
      </c>
      <c r="H512" s="5">
        <v>0.33529999999999999</v>
      </c>
      <c r="I512" s="20">
        <f t="shared" si="7"/>
        <v>12.573749999999999</v>
      </c>
      <c r="J512" s="6" t="s">
        <v>357</v>
      </c>
    </row>
    <row r="513" spans="1:10" ht="30" hidden="1">
      <c r="A513" s="9">
        <v>45813</v>
      </c>
      <c r="B513" s="6" t="s">
        <v>1030</v>
      </c>
      <c r="C513" s="5" t="s">
        <v>1029</v>
      </c>
      <c r="D513" s="8" t="s">
        <v>354</v>
      </c>
      <c r="E513" s="6" t="s">
        <v>1024</v>
      </c>
      <c r="F513" s="6" t="s">
        <v>655</v>
      </c>
      <c r="G513" s="5">
        <v>37.5</v>
      </c>
      <c r="H513" s="5">
        <v>0.33529999999999999</v>
      </c>
      <c r="I513" s="20">
        <f t="shared" si="7"/>
        <v>12.573749999999999</v>
      </c>
      <c r="J513" s="6" t="s">
        <v>357</v>
      </c>
    </row>
    <row r="514" spans="1:10" ht="30" hidden="1">
      <c r="A514" s="9">
        <v>45813</v>
      </c>
      <c r="B514" s="6" t="s">
        <v>1032</v>
      </c>
      <c r="C514" s="5" t="s">
        <v>1031</v>
      </c>
      <c r="D514" s="8" t="s">
        <v>354</v>
      </c>
      <c r="E514" s="6" t="s">
        <v>1024</v>
      </c>
      <c r="F514" s="6" t="s">
        <v>655</v>
      </c>
      <c r="G514" s="5">
        <v>37.5</v>
      </c>
      <c r="H514" s="5">
        <v>0.33529999999999999</v>
      </c>
      <c r="I514" s="20">
        <f t="shared" si="7"/>
        <v>12.573749999999999</v>
      </c>
      <c r="J514" s="6" t="s">
        <v>357</v>
      </c>
    </row>
    <row r="515" spans="1:10" ht="30" hidden="1">
      <c r="A515" s="9">
        <v>45813</v>
      </c>
      <c r="B515" s="6" t="s">
        <v>1034</v>
      </c>
      <c r="C515" s="5" t="s">
        <v>1033</v>
      </c>
      <c r="D515" s="8" t="s">
        <v>354</v>
      </c>
      <c r="E515" s="6" t="s">
        <v>1024</v>
      </c>
      <c r="F515" s="6" t="s">
        <v>655</v>
      </c>
      <c r="G515" s="5">
        <v>37.5</v>
      </c>
      <c r="H515" s="5">
        <v>0.33529999999999999</v>
      </c>
      <c r="I515" s="20">
        <f t="shared" ref="I515:I578" si="8">H515*G515</f>
        <v>12.573749999999999</v>
      </c>
      <c r="J515" s="6" t="s">
        <v>357</v>
      </c>
    </row>
    <row r="516" spans="1:10" ht="30" hidden="1">
      <c r="A516" s="9">
        <v>45813</v>
      </c>
      <c r="B516" s="6" t="s">
        <v>6777</v>
      </c>
      <c r="C516" s="5" t="s">
        <v>1023</v>
      </c>
      <c r="D516" s="8" t="s">
        <v>354</v>
      </c>
      <c r="E516" s="6" t="s">
        <v>1024</v>
      </c>
      <c r="F516" s="6" t="s">
        <v>655</v>
      </c>
      <c r="G516" s="5">
        <v>43.6</v>
      </c>
      <c r="H516" s="5">
        <v>0.33529999999999999</v>
      </c>
      <c r="I516" s="20">
        <f t="shared" si="8"/>
        <v>14.61908</v>
      </c>
      <c r="J516" s="6" t="s">
        <v>357</v>
      </c>
    </row>
    <row r="517" spans="1:10" ht="30" hidden="1">
      <c r="A517" s="9">
        <v>45813</v>
      </c>
      <c r="B517" s="6" t="s">
        <v>1036</v>
      </c>
      <c r="C517" s="5" t="s">
        <v>1035</v>
      </c>
      <c r="D517" s="8" t="s">
        <v>354</v>
      </c>
      <c r="E517" s="6" t="s">
        <v>1024</v>
      </c>
      <c r="F517" s="6" t="s">
        <v>655</v>
      </c>
      <c r="G517" s="5">
        <v>75.5</v>
      </c>
      <c r="H517" s="5">
        <v>0.33529999999999999</v>
      </c>
      <c r="I517" s="20">
        <f t="shared" si="8"/>
        <v>25.315149999999999</v>
      </c>
      <c r="J517" s="6" t="s">
        <v>357</v>
      </c>
    </row>
    <row r="518" spans="1:10" ht="30" hidden="1">
      <c r="A518" s="9">
        <v>45813</v>
      </c>
      <c r="B518" s="6" t="s">
        <v>1038</v>
      </c>
      <c r="C518" s="5" t="s">
        <v>1037</v>
      </c>
      <c r="D518" s="8" t="s">
        <v>354</v>
      </c>
      <c r="E518" s="6" t="s">
        <v>1024</v>
      </c>
      <c r="F518" s="6" t="s">
        <v>655</v>
      </c>
      <c r="G518" s="5">
        <v>37.5</v>
      </c>
      <c r="H518" s="5">
        <v>0.33529999999999999</v>
      </c>
      <c r="I518" s="20">
        <f t="shared" si="8"/>
        <v>12.573749999999999</v>
      </c>
      <c r="J518" s="6" t="s">
        <v>357</v>
      </c>
    </row>
    <row r="519" spans="1:10" ht="30" hidden="1">
      <c r="A519" s="9">
        <v>45813</v>
      </c>
      <c r="B519" s="6" t="s">
        <v>1040</v>
      </c>
      <c r="C519" s="5" t="s">
        <v>1039</v>
      </c>
      <c r="D519" s="8" t="s">
        <v>354</v>
      </c>
      <c r="E519" s="6" t="s">
        <v>1024</v>
      </c>
      <c r="F519" s="6" t="s">
        <v>655</v>
      </c>
      <c r="G519" s="5">
        <v>75.5</v>
      </c>
      <c r="H519" s="5">
        <v>0.33529999999999999</v>
      </c>
      <c r="I519" s="20">
        <f t="shared" si="8"/>
        <v>25.315149999999999</v>
      </c>
      <c r="J519" s="6" t="s">
        <v>357</v>
      </c>
    </row>
    <row r="520" spans="1:10" ht="30" hidden="1">
      <c r="A520" s="9">
        <v>45813</v>
      </c>
      <c r="B520" s="6" t="s">
        <v>1042</v>
      </c>
      <c r="C520" s="5" t="s">
        <v>1041</v>
      </c>
      <c r="D520" s="8" t="s">
        <v>354</v>
      </c>
      <c r="E520" s="6" t="s">
        <v>1024</v>
      </c>
      <c r="F520" s="6" t="s">
        <v>655</v>
      </c>
      <c r="G520" s="5">
        <v>90.3</v>
      </c>
      <c r="H520" s="5">
        <v>0.33529999999999999</v>
      </c>
      <c r="I520" s="20">
        <f t="shared" si="8"/>
        <v>30.277589999999996</v>
      </c>
      <c r="J520" s="6" t="s">
        <v>357</v>
      </c>
    </row>
    <row r="521" spans="1:10" ht="30" hidden="1">
      <c r="A521" s="9">
        <v>45813</v>
      </c>
      <c r="B521" s="6" t="s">
        <v>1044</v>
      </c>
      <c r="C521" s="5" t="s">
        <v>1043</v>
      </c>
      <c r="D521" s="8" t="s">
        <v>354</v>
      </c>
      <c r="E521" s="6" t="s">
        <v>1024</v>
      </c>
      <c r="F521" s="6" t="s">
        <v>655</v>
      </c>
      <c r="G521" s="5">
        <v>90.3</v>
      </c>
      <c r="H521" s="5">
        <v>0.33529999999999999</v>
      </c>
      <c r="I521" s="20">
        <f t="shared" si="8"/>
        <v>30.277589999999996</v>
      </c>
      <c r="J521" s="6" t="s">
        <v>357</v>
      </c>
    </row>
    <row r="522" spans="1:10" ht="30" hidden="1">
      <c r="A522" s="9">
        <v>45813</v>
      </c>
      <c r="B522" s="6" t="s">
        <v>1046</v>
      </c>
      <c r="C522" s="5" t="s">
        <v>1045</v>
      </c>
      <c r="D522" s="8" t="s">
        <v>354</v>
      </c>
      <c r="E522" s="6" t="s">
        <v>1024</v>
      </c>
      <c r="F522" s="6" t="s">
        <v>655</v>
      </c>
      <c r="G522" s="5">
        <v>90.3</v>
      </c>
      <c r="H522" s="5">
        <v>0.33529999999999999</v>
      </c>
      <c r="I522" s="20">
        <f t="shared" si="8"/>
        <v>30.277589999999996</v>
      </c>
      <c r="J522" s="6" t="s">
        <v>357</v>
      </c>
    </row>
    <row r="523" spans="1:10" ht="30" hidden="1">
      <c r="A523" s="9">
        <v>45813</v>
      </c>
      <c r="B523" s="6" t="s">
        <v>1048</v>
      </c>
      <c r="C523" s="5" t="s">
        <v>1047</v>
      </c>
      <c r="D523" s="8" t="s">
        <v>354</v>
      </c>
      <c r="E523" s="6" t="s">
        <v>1024</v>
      </c>
      <c r="F523" s="6" t="s">
        <v>655</v>
      </c>
      <c r="G523" s="5">
        <v>90.3</v>
      </c>
      <c r="H523" s="5">
        <v>0.33529999999999999</v>
      </c>
      <c r="I523" s="20">
        <f t="shared" si="8"/>
        <v>30.277589999999996</v>
      </c>
      <c r="J523" s="6" t="s">
        <v>357</v>
      </c>
    </row>
    <row r="524" spans="1:10" ht="30" hidden="1">
      <c r="A524" s="9">
        <v>45813</v>
      </c>
      <c r="B524" s="6" t="s">
        <v>1050</v>
      </c>
      <c r="C524" s="5" t="s">
        <v>1049</v>
      </c>
      <c r="D524" s="8" t="s">
        <v>354</v>
      </c>
      <c r="E524" s="6" t="s">
        <v>1024</v>
      </c>
      <c r="F524" s="6" t="s">
        <v>655</v>
      </c>
      <c r="G524" s="5">
        <v>90.3</v>
      </c>
      <c r="H524" s="5">
        <v>0.33529999999999999</v>
      </c>
      <c r="I524" s="20">
        <f t="shared" si="8"/>
        <v>30.277589999999996</v>
      </c>
      <c r="J524" s="6" t="s">
        <v>357</v>
      </c>
    </row>
    <row r="525" spans="1:10" ht="30" hidden="1">
      <c r="A525" s="9">
        <v>45813</v>
      </c>
      <c r="B525" s="6" t="s">
        <v>1052</v>
      </c>
      <c r="C525" s="5" t="s">
        <v>1051</v>
      </c>
      <c r="D525" s="8" t="s">
        <v>354</v>
      </c>
      <c r="E525" s="6" t="s">
        <v>1024</v>
      </c>
      <c r="F525" s="6" t="s">
        <v>655</v>
      </c>
      <c r="G525" s="5">
        <v>99</v>
      </c>
      <c r="H525" s="5">
        <v>0.33529999999999999</v>
      </c>
      <c r="I525" s="20">
        <f t="shared" si="8"/>
        <v>33.194699999999997</v>
      </c>
      <c r="J525" s="6" t="s">
        <v>357</v>
      </c>
    </row>
    <row r="526" spans="1:10" ht="30" hidden="1">
      <c r="A526" s="9">
        <v>45813</v>
      </c>
      <c r="B526" s="6" t="s">
        <v>1054</v>
      </c>
      <c r="C526" s="5" t="s">
        <v>1053</v>
      </c>
      <c r="D526" s="8" t="s">
        <v>354</v>
      </c>
      <c r="E526" s="6" t="s">
        <v>1024</v>
      </c>
      <c r="F526" s="6" t="s">
        <v>655</v>
      </c>
      <c r="G526" s="5">
        <v>161.1</v>
      </c>
      <c r="H526" s="5">
        <v>0.33529999999999999</v>
      </c>
      <c r="I526" s="20">
        <f t="shared" si="8"/>
        <v>54.016829999999999</v>
      </c>
      <c r="J526" s="6" t="s">
        <v>357</v>
      </c>
    </row>
    <row r="527" spans="1:10" ht="30" hidden="1">
      <c r="A527" s="9">
        <v>45813</v>
      </c>
      <c r="B527" s="6" t="s">
        <v>1056</v>
      </c>
      <c r="C527" s="5" t="s">
        <v>1055</v>
      </c>
      <c r="D527" s="8" t="s">
        <v>354</v>
      </c>
      <c r="E527" s="6" t="s">
        <v>1024</v>
      </c>
      <c r="F527" s="6" t="s">
        <v>655</v>
      </c>
      <c r="G527" s="5">
        <v>90.3</v>
      </c>
      <c r="H527" s="5">
        <v>0.33529999999999999</v>
      </c>
      <c r="I527" s="20">
        <f t="shared" si="8"/>
        <v>30.277589999999996</v>
      </c>
      <c r="J527" s="6" t="s">
        <v>357</v>
      </c>
    </row>
    <row r="528" spans="1:10" ht="30" hidden="1">
      <c r="A528" s="9">
        <v>45813</v>
      </c>
      <c r="B528" s="6" t="s">
        <v>1058</v>
      </c>
      <c r="C528" s="5" t="s">
        <v>1057</v>
      </c>
      <c r="D528" s="8" t="s">
        <v>354</v>
      </c>
      <c r="E528" s="6" t="s">
        <v>1024</v>
      </c>
      <c r="F528" s="6" t="s">
        <v>655</v>
      </c>
      <c r="G528" s="5">
        <v>161.1</v>
      </c>
      <c r="H528" s="5">
        <v>0.33529999999999999</v>
      </c>
      <c r="I528" s="20">
        <f t="shared" si="8"/>
        <v>54.016829999999999</v>
      </c>
      <c r="J528" s="6" t="s">
        <v>357</v>
      </c>
    </row>
    <row r="529" spans="1:10" ht="30" hidden="1">
      <c r="A529" s="9">
        <v>45813</v>
      </c>
      <c r="B529" s="216" t="s">
        <v>6964</v>
      </c>
      <c r="C529" s="5" t="s">
        <v>6956</v>
      </c>
      <c r="D529" s="8" t="s">
        <v>354</v>
      </c>
      <c r="E529" s="25" t="s">
        <v>1024</v>
      </c>
      <c r="F529" s="6" t="s">
        <v>655</v>
      </c>
      <c r="G529" s="31">
        <v>149.1</v>
      </c>
      <c r="H529" s="5">
        <v>0.33529999999999999</v>
      </c>
      <c r="I529" s="20">
        <f t="shared" si="8"/>
        <v>49.993229999999997</v>
      </c>
      <c r="J529" s="6" t="s">
        <v>357</v>
      </c>
    </row>
    <row r="530" spans="1:10" ht="30" hidden="1">
      <c r="A530" s="9">
        <v>45813</v>
      </c>
      <c r="B530" s="216" t="s">
        <v>6965</v>
      </c>
      <c r="C530" s="5" t="s">
        <v>6957</v>
      </c>
      <c r="D530" s="8" t="s">
        <v>354</v>
      </c>
      <c r="E530" s="25" t="s">
        <v>1024</v>
      </c>
      <c r="F530" s="6" t="s">
        <v>655</v>
      </c>
      <c r="G530" s="31">
        <v>149.1</v>
      </c>
      <c r="H530" s="5">
        <v>0.33529999999999999</v>
      </c>
      <c r="I530" s="20">
        <f t="shared" si="8"/>
        <v>49.993229999999997</v>
      </c>
      <c r="J530" s="6" t="s">
        <v>357</v>
      </c>
    </row>
    <row r="531" spans="1:10" ht="30" hidden="1">
      <c r="A531" s="9">
        <v>45813</v>
      </c>
      <c r="B531" s="216" t="s">
        <v>6966</v>
      </c>
      <c r="C531" s="5" t="s">
        <v>6958</v>
      </c>
      <c r="D531" s="8" t="s">
        <v>354</v>
      </c>
      <c r="E531" s="25" t="s">
        <v>1024</v>
      </c>
      <c r="F531" s="6" t="s">
        <v>655</v>
      </c>
      <c r="G531" s="31">
        <v>149.1</v>
      </c>
      <c r="H531" s="5">
        <v>0.33529999999999999</v>
      </c>
      <c r="I531" s="20">
        <f t="shared" si="8"/>
        <v>49.993229999999997</v>
      </c>
      <c r="J531" s="6" t="s">
        <v>357</v>
      </c>
    </row>
    <row r="532" spans="1:10" ht="30" hidden="1">
      <c r="A532" s="9">
        <v>45813</v>
      </c>
      <c r="B532" s="216" t="s">
        <v>6967</v>
      </c>
      <c r="C532" s="5" t="s">
        <v>7010</v>
      </c>
      <c r="D532" s="8" t="s">
        <v>354</v>
      </c>
      <c r="E532" s="25" t="s">
        <v>1024</v>
      </c>
      <c r="F532" s="6" t="s">
        <v>655</v>
      </c>
      <c r="G532" s="31">
        <v>149.1</v>
      </c>
      <c r="H532" s="5">
        <v>0.33529999999999999</v>
      </c>
      <c r="I532" s="20">
        <f t="shared" si="8"/>
        <v>49.993229999999997</v>
      </c>
      <c r="J532" s="6" t="s">
        <v>357</v>
      </c>
    </row>
    <row r="533" spans="1:10" ht="30" hidden="1">
      <c r="A533" s="9">
        <v>45813</v>
      </c>
      <c r="B533" s="216" t="s">
        <v>6968</v>
      </c>
      <c r="C533" s="5" t="s">
        <v>6959</v>
      </c>
      <c r="D533" s="8" t="s">
        <v>354</v>
      </c>
      <c r="E533" s="25" t="s">
        <v>1024</v>
      </c>
      <c r="F533" s="6" t="s">
        <v>655</v>
      </c>
      <c r="G533" s="31">
        <v>149.1</v>
      </c>
      <c r="H533" s="5">
        <v>0.33529999999999999</v>
      </c>
      <c r="I533" s="20">
        <f t="shared" si="8"/>
        <v>49.993229999999997</v>
      </c>
      <c r="J533" s="6" t="s">
        <v>357</v>
      </c>
    </row>
    <row r="534" spans="1:10" ht="30" hidden="1">
      <c r="A534" s="9">
        <v>45813</v>
      </c>
      <c r="B534" s="216" t="s">
        <v>6969</v>
      </c>
      <c r="C534" s="5" t="s">
        <v>6960</v>
      </c>
      <c r="D534" s="8" t="s">
        <v>354</v>
      </c>
      <c r="E534" s="25" t="s">
        <v>1024</v>
      </c>
      <c r="F534" s="6" t="s">
        <v>655</v>
      </c>
      <c r="G534" s="31">
        <v>149.1</v>
      </c>
      <c r="H534" s="5">
        <v>0.33529999999999999</v>
      </c>
      <c r="I534" s="20">
        <f t="shared" si="8"/>
        <v>49.993229999999997</v>
      </c>
      <c r="J534" s="6" t="s">
        <v>357</v>
      </c>
    </row>
    <row r="535" spans="1:10" ht="30" hidden="1">
      <c r="A535" s="9">
        <v>45813</v>
      </c>
      <c r="B535" s="216" t="s">
        <v>6970</v>
      </c>
      <c r="C535" s="5" t="s">
        <v>6961</v>
      </c>
      <c r="D535" s="8" t="s">
        <v>354</v>
      </c>
      <c r="E535" s="25" t="s">
        <v>1024</v>
      </c>
      <c r="F535" s="6" t="s">
        <v>655</v>
      </c>
      <c r="G535" s="31">
        <v>212</v>
      </c>
      <c r="H535" s="5">
        <v>0.33529999999999999</v>
      </c>
      <c r="I535" s="20">
        <f t="shared" si="8"/>
        <v>71.083600000000004</v>
      </c>
      <c r="J535" s="6" t="s">
        <v>357</v>
      </c>
    </row>
    <row r="536" spans="1:10" ht="30" hidden="1">
      <c r="A536" s="9">
        <v>45813</v>
      </c>
      <c r="B536" s="216" t="s">
        <v>6963</v>
      </c>
      <c r="C536" s="5" t="s">
        <v>6955</v>
      </c>
      <c r="D536" s="8" t="s">
        <v>354</v>
      </c>
      <c r="E536" s="25" t="s">
        <v>1024</v>
      </c>
      <c r="F536" s="6" t="s">
        <v>655</v>
      </c>
      <c r="G536" s="31">
        <v>149.1</v>
      </c>
      <c r="H536" s="5">
        <v>0.33529999999999999</v>
      </c>
      <c r="I536" s="20">
        <f t="shared" si="8"/>
        <v>49.993229999999997</v>
      </c>
      <c r="J536" s="6" t="s">
        <v>357</v>
      </c>
    </row>
    <row r="537" spans="1:10" ht="30" hidden="1">
      <c r="A537" s="9">
        <v>45813</v>
      </c>
      <c r="B537" s="216" t="s">
        <v>6971</v>
      </c>
      <c r="C537" s="5" t="s">
        <v>6962</v>
      </c>
      <c r="D537" s="8" t="s">
        <v>354</v>
      </c>
      <c r="E537" s="25" t="s">
        <v>1024</v>
      </c>
      <c r="F537" s="6" t="s">
        <v>655</v>
      </c>
      <c r="G537" s="31">
        <v>212</v>
      </c>
      <c r="H537" s="5">
        <v>0.33529999999999999</v>
      </c>
      <c r="I537" s="20">
        <f t="shared" si="8"/>
        <v>71.083600000000004</v>
      </c>
      <c r="J537" s="6" t="s">
        <v>357</v>
      </c>
    </row>
    <row r="538" spans="1:10" ht="30" hidden="1">
      <c r="A538" s="9">
        <v>45813</v>
      </c>
      <c r="B538" s="6" t="s">
        <v>1060</v>
      </c>
      <c r="C538" s="5" t="s">
        <v>1059</v>
      </c>
      <c r="D538" s="8" t="s">
        <v>354</v>
      </c>
      <c r="E538" s="6" t="s">
        <v>1024</v>
      </c>
      <c r="F538" s="6" t="s">
        <v>655</v>
      </c>
      <c r="G538" s="5">
        <v>118.8</v>
      </c>
      <c r="H538" s="5">
        <v>0.33529999999999999</v>
      </c>
      <c r="I538" s="20">
        <f t="shared" si="8"/>
        <v>39.833639999999995</v>
      </c>
      <c r="J538" s="6" t="s">
        <v>357</v>
      </c>
    </row>
    <row r="539" spans="1:10" ht="30" hidden="1">
      <c r="A539" s="9">
        <v>45813</v>
      </c>
      <c r="B539" s="6" t="s">
        <v>1062</v>
      </c>
      <c r="C539" s="5" t="s">
        <v>1061</v>
      </c>
      <c r="D539" s="8" t="s">
        <v>354</v>
      </c>
      <c r="E539" s="6" t="s">
        <v>1024</v>
      </c>
      <c r="F539" s="6" t="s">
        <v>655</v>
      </c>
      <c r="G539" s="5">
        <v>118.8</v>
      </c>
      <c r="H539" s="5">
        <v>0.33529999999999999</v>
      </c>
      <c r="I539" s="20">
        <f t="shared" si="8"/>
        <v>39.833639999999995</v>
      </c>
      <c r="J539" s="6" t="s">
        <v>357</v>
      </c>
    </row>
    <row r="540" spans="1:10" ht="30" hidden="1">
      <c r="A540" s="9">
        <v>45813</v>
      </c>
      <c r="B540" s="6" t="s">
        <v>1064</v>
      </c>
      <c r="C540" s="5" t="s">
        <v>1063</v>
      </c>
      <c r="D540" s="8" t="s">
        <v>354</v>
      </c>
      <c r="E540" s="6" t="s">
        <v>1024</v>
      </c>
      <c r="F540" s="6" t="s">
        <v>655</v>
      </c>
      <c r="G540" s="5">
        <v>118.8</v>
      </c>
      <c r="H540" s="5">
        <v>0.33529999999999999</v>
      </c>
      <c r="I540" s="20">
        <f t="shared" si="8"/>
        <v>39.833639999999995</v>
      </c>
      <c r="J540" s="6" t="s">
        <v>357</v>
      </c>
    </row>
    <row r="541" spans="1:10" ht="30" hidden="1">
      <c r="A541" s="9">
        <v>45813</v>
      </c>
      <c r="B541" s="6" t="s">
        <v>1066</v>
      </c>
      <c r="C541" s="5" t="s">
        <v>1065</v>
      </c>
      <c r="D541" s="8" t="s">
        <v>354</v>
      </c>
      <c r="E541" s="6" t="s">
        <v>1024</v>
      </c>
      <c r="F541" s="6" t="s">
        <v>655</v>
      </c>
      <c r="G541" s="5">
        <v>118.8</v>
      </c>
      <c r="H541" s="5">
        <v>0.33529999999999999</v>
      </c>
      <c r="I541" s="20">
        <f t="shared" si="8"/>
        <v>39.833639999999995</v>
      </c>
      <c r="J541" s="6" t="s">
        <v>357</v>
      </c>
    </row>
    <row r="542" spans="1:10" ht="30" hidden="1">
      <c r="A542" s="9">
        <v>45813</v>
      </c>
      <c r="B542" s="6" t="s">
        <v>1068</v>
      </c>
      <c r="C542" s="5" t="s">
        <v>1067</v>
      </c>
      <c r="D542" s="8" t="s">
        <v>354</v>
      </c>
      <c r="E542" s="6" t="s">
        <v>1024</v>
      </c>
      <c r="F542" s="6" t="s">
        <v>655</v>
      </c>
      <c r="G542" s="5">
        <v>118.8</v>
      </c>
      <c r="H542" s="5">
        <v>0.33529999999999999</v>
      </c>
      <c r="I542" s="20">
        <f t="shared" si="8"/>
        <v>39.833639999999995</v>
      </c>
      <c r="J542" s="6" t="s">
        <v>357</v>
      </c>
    </row>
    <row r="543" spans="1:10" ht="30" hidden="1">
      <c r="A543" s="9">
        <v>45813</v>
      </c>
      <c r="B543" s="6" t="s">
        <v>1070</v>
      </c>
      <c r="C543" s="5" t="s">
        <v>1069</v>
      </c>
      <c r="D543" s="8" t="s">
        <v>354</v>
      </c>
      <c r="E543" s="6" t="s">
        <v>1024</v>
      </c>
      <c r="F543" s="6" t="s">
        <v>655</v>
      </c>
      <c r="G543" s="5">
        <v>139.6</v>
      </c>
      <c r="H543" s="5">
        <v>0.33529999999999999</v>
      </c>
      <c r="I543" s="20">
        <f t="shared" si="8"/>
        <v>46.807879999999997</v>
      </c>
      <c r="J543" s="6" t="s">
        <v>357</v>
      </c>
    </row>
    <row r="544" spans="1:10" ht="30" hidden="1">
      <c r="A544" s="9">
        <v>45813</v>
      </c>
      <c r="B544" s="6" t="s">
        <v>1072</v>
      </c>
      <c r="C544" s="5" t="s">
        <v>1071</v>
      </c>
      <c r="D544" s="8" t="s">
        <v>354</v>
      </c>
      <c r="E544" s="6" t="s">
        <v>1024</v>
      </c>
      <c r="F544" s="6" t="s">
        <v>655</v>
      </c>
      <c r="G544" s="5">
        <v>237.1</v>
      </c>
      <c r="H544" s="5">
        <v>0.33529999999999999</v>
      </c>
      <c r="I544" s="20">
        <f t="shared" si="8"/>
        <v>79.499629999999996</v>
      </c>
      <c r="J544" s="6" t="s">
        <v>357</v>
      </c>
    </row>
    <row r="545" spans="1:10" ht="30" hidden="1">
      <c r="A545" s="9">
        <v>45813</v>
      </c>
      <c r="B545" s="6" t="s">
        <v>1074</v>
      </c>
      <c r="C545" s="5" t="s">
        <v>1073</v>
      </c>
      <c r="D545" s="8" t="s">
        <v>354</v>
      </c>
      <c r="E545" s="6" t="s">
        <v>1024</v>
      </c>
      <c r="F545" s="6" t="s">
        <v>655</v>
      </c>
      <c r="G545" s="5">
        <v>118.8</v>
      </c>
      <c r="H545" s="5">
        <v>0.33529999999999999</v>
      </c>
      <c r="I545" s="20">
        <f t="shared" si="8"/>
        <v>39.833639999999995</v>
      </c>
      <c r="J545" s="6" t="s">
        <v>357</v>
      </c>
    </row>
    <row r="546" spans="1:10" ht="30" hidden="1">
      <c r="A546" s="9">
        <v>45813</v>
      </c>
      <c r="B546" s="6" t="s">
        <v>1076</v>
      </c>
      <c r="C546" s="5" t="s">
        <v>1075</v>
      </c>
      <c r="D546" s="8" t="s">
        <v>354</v>
      </c>
      <c r="E546" s="6" t="s">
        <v>1024</v>
      </c>
      <c r="F546" s="6" t="s">
        <v>655</v>
      </c>
      <c r="G546" s="5">
        <v>237.1</v>
      </c>
      <c r="H546" s="5">
        <v>0.33529999999999999</v>
      </c>
      <c r="I546" s="20">
        <f t="shared" si="8"/>
        <v>79.499629999999996</v>
      </c>
      <c r="J546" s="6" t="s">
        <v>357</v>
      </c>
    </row>
    <row r="547" spans="1:10" ht="30" hidden="1">
      <c r="A547" s="9">
        <v>45813</v>
      </c>
      <c r="B547" s="6" t="s">
        <v>1078</v>
      </c>
      <c r="C547" s="5" t="s">
        <v>1077</v>
      </c>
      <c r="D547" s="8" t="s">
        <v>354</v>
      </c>
      <c r="E547" s="6" t="s">
        <v>1024</v>
      </c>
      <c r="F547" s="6" t="s">
        <v>655</v>
      </c>
      <c r="G547" s="5">
        <v>212.2</v>
      </c>
      <c r="H547" s="5">
        <v>0.33529999999999999</v>
      </c>
      <c r="I547" s="20">
        <f t="shared" si="8"/>
        <v>71.150659999999988</v>
      </c>
      <c r="J547" s="6" t="s">
        <v>357</v>
      </c>
    </row>
    <row r="548" spans="1:10" ht="30" hidden="1">
      <c r="A548" s="9">
        <v>45813</v>
      </c>
      <c r="B548" s="6" t="s">
        <v>1080</v>
      </c>
      <c r="C548" s="5" t="s">
        <v>1079</v>
      </c>
      <c r="D548" s="8" t="s">
        <v>354</v>
      </c>
      <c r="E548" s="6" t="s">
        <v>1024</v>
      </c>
      <c r="F548" s="6" t="s">
        <v>655</v>
      </c>
      <c r="G548" s="5">
        <v>212.2</v>
      </c>
      <c r="H548" s="5">
        <v>0.33529999999999999</v>
      </c>
      <c r="I548" s="20">
        <f t="shared" si="8"/>
        <v>71.150659999999988</v>
      </c>
      <c r="J548" s="6" t="s">
        <v>357</v>
      </c>
    </row>
    <row r="549" spans="1:10" ht="30" hidden="1">
      <c r="A549" s="9">
        <v>45813</v>
      </c>
      <c r="B549" s="6" t="s">
        <v>1082</v>
      </c>
      <c r="C549" s="5" t="s">
        <v>1081</v>
      </c>
      <c r="D549" s="8" t="s">
        <v>354</v>
      </c>
      <c r="E549" s="6" t="s">
        <v>1024</v>
      </c>
      <c r="F549" s="6" t="s">
        <v>655</v>
      </c>
      <c r="G549" s="5">
        <v>212.2</v>
      </c>
      <c r="H549" s="5">
        <v>0.33529999999999999</v>
      </c>
      <c r="I549" s="20">
        <f t="shared" si="8"/>
        <v>71.150659999999988</v>
      </c>
      <c r="J549" s="6" t="s">
        <v>357</v>
      </c>
    </row>
    <row r="550" spans="1:10" ht="30" hidden="1">
      <c r="A550" s="9">
        <v>45813</v>
      </c>
      <c r="B550" s="6" t="s">
        <v>1084</v>
      </c>
      <c r="C550" s="5" t="s">
        <v>1083</v>
      </c>
      <c r="D550" s="8" t="s">
        <v>354</v>
      </c>
      <c r="E550" s="6" t="s">
        <v>1024</v>
      </c>
      <c r="F550" s="6" t="s">
        <v>655</v>
      </c>
      <c r="G550" s="5">
        <v>212.2</v>
      </c>
      <c r="H550" s="5">
        <v>0.33529999999999999</v>
      </c>
      <c r="I550" s="20">
        <f t="shared" si="8"/>
        <v>71.150659999999988</v>
      </c>
      <c r="J550" s="6" t="s">
        <v>357</v>
      </c>
    </row>
    <row r="551" spans="1:10" ht="30" hidden="1">
      <c r="A551" s="9">
        <v>45813</v>
      </c>
      <c r="B551" s="6" t="s">
        <v>1086</v>
      </c>
      <c r="C551" s="5" t="s">
        <v>1085</v>
      </c>
      <c r="D551" s="8" t="s">
        <v>354</v>
      </c>
      <c r="E551" s="6" t="s">
        <v>1024</v>
      </c>
      <c r="F551" s="6" t="s">
        <v>655</v>
      </c>
      <c r="G551" s="5">
        <v>212.2</v>
      </c>
      <c r="H551" s="5">
        <v>0.33529999999999999</v>
      </c>
      <c r="I551" s="20">
        <f t="shared" si="8"/>
        <v>71.150659999999988</v>
      </c>
      <c r="J551" s="6" t="s">
        <v>357</v>
      </c>
    </row>
    <row r="552" spans="1:10" ht="30" hidden="1">
      <c r="A552" s="9">
        <v>45813</v>
      </c>
      <c r="B552" s="6" t="s">
        <v>1088</v>
      </c>
      <c r="C552" s="5" t="s">
        <v>1087</v>
      </c>
      <c r="D552" s="8" t="s">
        <v>354</v>
      </c>
      <c r="E552" s="6" t="s">
        <v>1024</v>
      </c>
      <c r="F552" s="6" t="s">
        <v>655</v>
      </c>
      <c r="G552" s="5">
        <v>216.4</v>
      </c>
      <c r="H552" s="5">
        <v>0.33529999999999999</v>
      </c>
      <c r="I552" s="20">
        <f t="shared" si="8"/>
        <v>72.558920000000001</v>
      </c>
      <c r="J552" s="6" t="s">
        <v>357</v>
      </c>
    </row>
    <row r="553" spans="1:10" ht="30" hidden="1">
      <c r="A553" s="9">
        <v>45813</v>
      </c>
      <c r="B553" s="6" t="s">
        <v>1090</v>
      </c>
      <c r="C553" s="5" t="s">
        <v>1089</v>
      </c>
      <c r="D553" s="8" t="s">
        <v>354</v>
      </c>
      <c r="E553" s="6" t="s">
        <v>1024</v>
      </c>
      <c r="F553" s="6" t="s">
        <v>655</v>
      </c>
      <c r="G553" s="5">
        <v>249.4</v>
      </c>
      <c r="H553" s="5">
        <v>0.33529999999999999</v>
      </c>
      <c r="I553" s="20">
        <f t="shared" si="8"/>
        <v>83.623819999999995</v>
      </c>
      <c r="J553" s="6" t="s">
        <v>357</v>
      </c>
    </row>
    <row r="554" spans="1:10" ht="30" hidden="1">
      <c r="A554" s="9">
        <v>45813</v>
      </c>
      <c r="B554" s="6" t="s">
        <v>1092</v>
      </c>
      <c r="C554" s="5" t="s">
        <v>1091</v>
      </c>
      <c r="D554" s="8" t="s">
        <v>354</v>
      </c>
      <c r="E554" s="6" t="s">
        <v>1024</v>
      </c>
      <c r="F554" s="6" t="s">
        <v>655</v>
      </c>
      <c r="G554" s="5">
        <v>212.2</v>
      </c>
      <c r="H554" s="5">
        <v>0.33529999999999999</v>
      </c>
      <c r="I554" s="20">
        <f t="shared" si="8"/>
        <v>71.150659999999988</v>
      </c>
      <c r="J554" s="6" t="s">
        <v>357</v>
      </c>
    </row>
    <row r="555" spans="1:10" ht="30" hidden="1">
      <c r="A555" s="9">
        <v>45813</v>
      </c>
      <c r="B555" s="6" t="s">
        <v>1094</v>
      </c>
      <c r="C555" s="5" t="s">
        <v>1093</v>
      </c>
      <c r="D555" s="8" t="s">
        <v>354</v>
      </c>
      <c r="E555" s="6" t="s">
        <v>1024</v>
      </c>
      <c r="F555" s="6" t="s">
        <v>655</v>
      </c>
      <c r="G555" s="5">
        <v>249.4</v>
      </c>
      <c r="H555" s="5">
        <v>0.33529999999999999</v>
      </c>
      <c r="I555" s="20">
        <f t="shared" si="8"/>
        <v>83.623819999999995</v>
      </c>
      <c r="J555" s="6" t="s">
        <v>357</v>
      </c>
    </row>
    <row r="556" spans="1:10" ht="30" hidden="1">
      <c r="A556" s="9">
        <v>45813</v>
      </c>
      <c r="B556" s="216" t="s">
        <v>6973</v>
      </c>
      <c r="C556" s="5" t="s">
        <v>6982</v>
      </c>
      <c r="D556" s="8" t="s">
        <v>354</v>
      </c>
      <c r="E556" s="25" t="s">
        <v>1024</v>
      </c>
      <c r="F556" s="6" t="s">
        <v>655</v>
      </c>
      <c r="G556" s="31">
        <v>248.5</v>
      </c>
      <c r="H556" s="5">
        <v>0.33529999999999999</v>
      </c>
      <c r="I556" s="20">
        <f t="shared" si="8"/>
        <v>83.32204999999999</v>
      </c>
      <c r="J556" s="6" t="s">
        <v>357</v>
      </c>
    </row>
    <row r="557" spans="1:10" ht="30" hidden="1">
      <c r="A557" s="9">
        <v>45813</v>
      </c>
      <c r="B557" s="216" t="s">
        <v>6974</v>
      </c>
      <c r="C557" s="5" t="s">
        <v>6983</v>
      </c>
      <c r="D557" s="8" t="s">
        <v>354</v>
      </c>
      <c r="E557" s="25" t="s">
        <v>1024</v>
      </c>
      <c r="F557" s="6" t="s">
        <v>655</v>
      </c>
      <c r="G557" s="31">
        <v>248.5</v>
      </c>
      <c r="H557" s="5">
        <v>0.33529999999999999</v>
      </c>
      <c r="I557" s="20">
        <f t="shared" si="8"/>
        <v>83.32204999999999</v>
      </c>
      <c r="J557" s="6" t="s">
        <v>357</v>
      </c>
    </row>
    <row r="558" spans="1:10" ht="30" hidden="1">
      <c r="A558" s="9">
        <v>45813</v>
      </c>
      <c r="B558" s="216" t="s">
        <v>6975</v>
      </c>
      <c r="C558" s="5" t="s">
        <v>6984</v>
      </c>
      <c r="D558" s="8" t="s">
        <v>354</v>
      </c>
      <c r="E558" s="25" t="s">
        <v>1024</v>
      </c>
      <c r="F558" s="6" t="s">
        <v>655</v>
      </c>
      <c r="G558" s="31">
        <v>248.5</v>
      </c>
      <c r="H558" s="5">
        <v>0.33529999999999999</v>
      </c>
      <c r="I558" s="20">
        <f t="shared" si="8"/>
        <v>83.32204999999999</v>
      </c>
      <c r="J558" s="6" t="s">
        <v>357</v>
      </c>
    </row>
    <row r="559" spans="1:10" ht="30" hidden="1">
      <c r="A559" s="9">
        <v>45813</v>
      </c>
      <c r="B559" s="216" t="s">
        <v>6976</v>
      </c>
      <c r="C559" s="5" t="s">
        <v>7009</v>
      </c>
      <c r="D559" s="8" t="s">
        <v>354</v>
      </c>
      <c r="E559" s="25" t="s">
        <v>1024</v>
      </c>
      <c r="F559" s="6" t="s">
        <v>655</v>
      </c>
      <c r="G559" s="31">
        <v>248.5</v>
      </c>
      <c r="H559" s="5">
        <v>0.33529999999999999</v>
      </c>
      <c r="I559" s="20">
        <f t="shared" si="8"/>
        <v>83.32204999999999</v>
      </c>
      <c r="J559" s="6" t="s">
        <v>357</v>
      </c>
    </row>
    <row r="560" spans="1:10" ht="30" hidden="1">
      <c r="A560" s="9">
        <v>45813</v>
      </c>
      <c r="B560" s="216" t="s">
        <v>6977</v>
      </c>
      <c r="C560" s="5" t="s">
        <v>6985</v>
      </c>
      <c r="D560" s="8" t="s">
        <v>354</v>
      </c>
      <c r="E560" s="25" t="s">
        <v>1024</v>
      </c>
      <c r="F560" s="6" t="s">
        <v>655</v>
      </c>
      <c r="G560" s="31">
        <v>248.5</v>
      </c>
      <c r="H560" s="5">
        <v>0.33529999999999999</v>
      </c>
      <c r="I560" s="20">
        <f t="shared" si="8"/>
        <v>83.32204999999999</v>
      </c>
      <c r="J560" s="6" t="s">
        <v>357</v>
      </c>
    </row>
    <row r="561" spans="1:10" ht="30" hidden="1">
      <c r="A561" s="9">
        <v>45813</v>
      </c>
      <c r="B561" s="216" t="s">
        <v>6978</v>
      </c>
      <c r="C561" s="5" t="s">
        <v>6986</v>
      </c>
      <c r="D561" s="8" t="s">
        <v>354</v>
      </c>
      <c r="E561" s="25" t="s">
        <v>1024</v>
      </c>
      <c r="F561" s="6" t="s">
        <v>655</v>
      </c>
      <c r="G561" s="31">
        <v>248.5</v>
      </c>
      <c r="H561" s="5">
        <v>0.33529999999999999</v>
      </c>
      <c r="I561" s="20">
        <f t="shared" si="8"/>
        <v>83.32204999999999</v>
      </c>
      <c r="J561" s="6" t="s">
        <v>357</v>
      </c>
    </row>
    <row r="562" spans="1:10" ht="30" hidden="1">
      <c r="A562" s="9">
        <v>45813</v>
      </c>
      <c r="B562" s="216" t="s">
        <v>6979</v>
      </c>
      <c r="C562" s="5" t="s">
        <v>6987</v>
      </c>
      <c r="D562" s="8" t="s">
        <v>354</v>
      </c>
      <c r="E562" s="25" t="s">
        <v>1024</v>
      </c>
      <c r="F562" s="6" t="s">
        <v>655</v>
      </c>
      <c r="G562" s="31">
        <v>336</v>
      </c>
      <c r="H562" s="5">
        <v>0.33529999999999999</v>
      </c>
      <c r="I562" s="20">
        <f t="shared" si="8"/>
        <v>112.66079999999999</v>
      </c>
      <c r="J562" s="6" t="s">
        <v>357</v>
      </c>
    </row>
    <row r="563" spans="1:10" ht="30" hidden="1">
      <c r="A563" s="9">
        <v>45813</v>
      </c>
      <c r="B563" s="216" t="s">
        <v>6972</v>
      </c>
      <c r="C563" s="5" t="s">
        <v>6981</v>
      </c>
      <c r="D563" s="8" t="s">
        <v>354</v>
      </c>
      <c r="E563" s="25" t="s">
        <v>1024</v>
      </c>
      <c r="F563" s="6" t="s">
        <v>655</v>
      </c>
      <c r="G563" s="31">
        <v>248.5</v>
      </c>
      <c r="H563" s="5">
        <v>0.33529999999999999</v>
      </c>
      <c r="I563" s="20">
        <f t="shared" si="8"/>
        <v>83.32204999999999</v>
      </c>
      <c r="J563" s="6" t="s">
        <v>357</v>
      </c>
    </row>
    <row r="564" spans="1:10" ht="30" hidden="1">
      <c r="A564" s="9">
        <v>45813</v>
      </c>
      <c r="B564" s="216" t="s">
        <v>6980</v>
      </c>
      <c r="C564" s="5" t="s">
        <v>6988</v>
      </c>
      <c r="D564" s="8" t="s">
        <v>354</v>
      </c>
      <c r="E564" s="25" t="s">
        <v>1024</v>
      </c>
      <c r="F564" s="6" t="s">
        <v>655</v>
      </c>
      <c r="G564" s="31">
        <v>336</v>
      </c>
      <c r="H564" s="5">
        <v>0.33529999999999999</v>
      </c>
      <c r="I564" s="20">
        <f t="shared" si="8"/>
        <v>112.66079999999999</v>
      </c>
      <c r="J564" s="6" t="s">
        <v>357</v>
      </c>
    </row>
    <row r="565" spans="1:10" ht="30" hidden="1">
      <c r="A565" s="9">
        <v>45813</v>
      </c>
      <c r="B565" s="6" t="s">
        <v>1096</v>
      </c>
      <c r="C565" s="5" t="s">
        <v>1095</v>
      </c>
      <c r="D565" s="8" t="s">
        <v>354</v>
      </c>
      <c r="E565" s="6" t="s">
        <v>1024</v>
      </c>
      <c r="F565" s="6" t="s">
        <v>655</v>
      </c>
      <c r="G565" s="5">
        <v>179.9</v>
      </c>
      <c r="H565" s="5">
        <v>0.33529999999999999</v>
      </c>
      <c r="I565" s="20">
        <f t="shared" si="8"/>
        <v>60.32047</v>
      </c>
      <c r="J565" s="6" t="s">
        <v>357</v>
      </c>
    </row>
    <row r="566" spans="1:10" ht="30" hidden="1">
      <c r="A566" s="9">
        <v>45813</v>
      </c>
      <c r="B566" s="6" t="s">
        <v>1098</v>
      </c>
      <c r="C566" s="5" t="s">
        <v>1097</v>
      </c>
      <c r="D566" s="8" t="s">
        <v>354</v>
      </c>
      <c r="E566" s="6" t="s">
        <v>1024</v>
      </c>
      <c r="F566" s="6" t="s">
        <v>655</v>
      </c>
      <c r="G566" s="5">
        <v>179.9</v>
      </c>
      <c r="H566" s="5">
        <v>0.33529999999999999</v>
      </c>
      <c r="I566" s="20">
        <f t="shared" si="8"/>
        <v>60.32047</v>
      </c>
      <c r="J566" s="6" t="s">
        <v>357</v>
      </c>
    </row>
    <row r="567" spans="1:10" ht="30" hidden="1">
      <c r="A567" s="9">
        <v>45813</v>
      </c>
      <c r="B567" s="6" t="s">
        <v>1100</v>
      </c>
      <c r="C567" s="5" t="s">
        <v>1099</v>
      </c>
      <c r="D567" s="8" t="s">
        <v>354</v>
      </c>
      <c r="E567" s="6" t="s">
        <v>1024</v>
      </c>
      <c r="F567" s="6" t="s">
        <v>655</v>
      </c>
      <c r="G567" s="5">
        <v>179.9</v>
      </c>
      <c r="H567" s="5">
        <v>0.33529999999999999</v>
      </c>
      <c r="I567" s="20">
        <f t="shared" si="8"/>
        <v>60.32047</v>
      </c>
      <c r="J567" s="6" t="s">
        <v>357</v>
      </c>
    </row>
    <row r="568" spans="1:10" ht="30" hidden="1">
      <c r="A568" s="9">
        <v>45813</v>
      </c>
      <c r="B568" s="6" t="s">
        <v>1102</v>
      </c>
      <c r="C568" s="5" t="s">
        <v>1101</v>
      </c>
      <c r="D568" s="8" t="s">
        <v>354</v>
      </c>
      <c r="E568" s="6" t="s">
        <v>1024</v>
      </c>
      <c r="F568" s="6" t="s">
        <v>655</v>
      </c>
      <c r="G568" s="5">
        <v>179.9</v>
      </c>
      <c r="H568" s="5">
        <v>0.33529999999999999</v>
      </c>
      <c r="I568" s="20">
        <f t="shared" si="8"/>
        <v>60.32047</v>
      </c>
      <c r="J568" s="6" t="s">
        <v>357</v>
      </c>
    </row>
    <row r="569" spans="1:10" ht="30" hidden="1">
      <c r="A569" s="9">
        <v>45813</v>
      </c>
      <c r="B569" s="6" t="s">
        <v>1104</v>
      </c>
      <c r="C569" s="5" t="s">
        <v>1103</v>
      </c>
      <c r="D569" s="8" t="s">
        <v>354</v>
      </c>
      <c r="E569" s="6" t="s">
        <v>1024</v>
      </c>
      <c r="F569" s="6" t="s">
        <v>655</v>
      </c>
      <c r="G569" s="5">
        <v>179.9</v>
      </c>
      <c r="H569" s="5">
        <v>0.33529999999999999</v>
      </c>
      <c r="I569" s="20">
        <f t="shared" si="8"/>
        <v>60.32047</v>
      </c>
      <c r="J569" s="6" t="s">
        <v>357</v>
      </c>
    </row>
    <row r="570" spans="1:10" ht="30" hidden="1">
      <c r="A570" s="9">
        <v>45813</v>
      </c>
      <c r="B570" s="6" t="s">
        <v>1106</v>
      </c>
      <c r="C570" s="5" t="s">
        <v>1105</v>
      </c>
      <c r="D570" s="8" t="s">
        <v>354</v>
      </c>
      <c r="E570" s="6" t="s">
        <v>1024</v>
      </c>
      <c r="F570" s="6" t="s">
        <v>655</v>
      </c>
      <c r="G570" s="5">
        <v>198.8</v>
      </c>
      <c r="H570" s="5">
        <v>0.33529999999999999</v>
      </c>
      <c r="I570" s="20">
        <f t="shared" si="8"/>
        <v>66.657640000000001</v>
      </c>
      <c r="J570" s="6" t="s">
        <v>357</v>
      </c>
    </row>
    <row r="571" spans="1:10" ht="30" hidden="1">
      <c r="A571" s="9">
        <v>45813</v>
      </c>
      <c r="B571" s="6" t="s">
        <v>1108</v>
      </c>
      <c r="C571" s="5" t="s">
        <v>1107</v>
      </c>
      <c r="D571" s="8" t="s">
        <v>354</v>
      </c>
      <c r="E571" s="6" t="s">
        <v>1024</v>
      </c>
      <c r="F571" s="6" t="s">
        <v>655</v>
      </c>
      <c r="G571" s="5">
        <v>365.3</v>
      </c>
      <c r="H571" s="5">
        <v>0.33529999999999999</v>
      </c>
      <c r="I571" s="20">
        <f t="shared" si="8"/>
        <v>122.48509</v>
      </c>
      <c r="J571" s="6" t="s">
        <v>357</v>
      </c>
    </row>
    <row r="572" spans="1:10" ht="30" hidden="1">
      <c r="A572" s="9">
        <v>45813</v>
      </c>
      <c r="B572" s="6" t="s">
        <v>1110</v>
      </c>
      <c r="C572" s="5" t="s">
        <v>1109</v>
      </c>
      <c r="D572" s="8" t="s">
        <v>354</v>
      </c>
      <c r="E572" s="6" t="s">
        <v>1024</v>
      </c>
      <c r="F572" s="6" t="s">
        <v>655</v>
      </c>
      <c r="G572" s="5">
        <v>179.9</v>
      </c>
      <c r="H572" s="5">
        <v>0.33529999999999999</v>
      </c>
      <c r="I572" s="20">
        <f t="shared" si="8"/>
        <v>60.32047</v>
      </c>
      <c r="J572" s="6" t="s">
        <v>357</v>
      </c>
    </row>
    <row r="573" spans="1:10" ht="30" hidden="1">
      <c r="A573" s="9">
        <v>45813</v>
      </c>
      <c r="B573" s="6" t="s">
        <v>1112</v>
      </c>
      <c r="C573" s="5" t="s">
        <v>1111</v>
      </c>
      <c r="D573" s="8" t="s">
        <v>354</v>
      </c>
      <c r="E573" s="6" t="s">
        <v>1024</v>
      </c>
      <c r="F573" s="6" t="s">
        <v>655</v>
      </c>
      <c r="G573" s="5">
        <v>365.3</v>
      </c>
      <c r="H573" s="5">
        <v>0.33529999999999999</v>
      </c>
      <c r="I573" s="20">
        <f t="shared" si="8"/>
        <v>122.48509</v>
      </c>
      <c r="J573" s="6" t="s">
        <v>357</v>
      </c>
    </row>
    <row r="574" spans="1:10" ht="30" hidden="1">
      <c r="A574" s="9">
        <v>45813</v>
      </c>
      <c r="B574" s="6" t="s">
        <v>1114</v>
      </c>
      <c r="C574" s="5" t="s">
        <v>1113</v>
      </c>
      <c r="D574" s="8" t="s">
        <v>354</v>
      </c>
      <c r="E574" s="6" t="s">
        <v>1024</v>
      </c>
      <c r="F574" s="6" t="s">
        <v>655</v>
      </c>
      <c r="G574" s="5">
        <v>295.5</v>
      </c>
      <c r="H574" s="5">
        <v>0.33529999999999999</v>
      </c>
      <c r="I574" s="20">
        <f t="shared" si="8"/>
        <v>99.081149999999994</v>
      </c>
      <c r="J574" s="6" t="s">
        <v>357</v>
      </c>
    </row>
    <row r="575" spans="1:10" ht="30" hidden="1">
      <c r="A575" s="9">
        <v>45813</v>
      </c>
      <c r="B575" s="6" t="s">
        <v>1116</v>
      </c>
      <c r="C575" s="5" t="s">
        <v>1115</v>
      </c>
      <c r="D575" s="8" t="s">
        <v>354</v>
      </c>
      <c r="E575" s="6" t="s">
        <v>1024</v>
      </c>
      <c r="F575" s="6" t="s">
        <v>655</v>
      </c>
      <c r="G575" s="5">
        <v>295.5</v>
      </c>
      <c r="H575" s="5">
        <v>0.33529999999999999</v>
      </c>
      <c r="I575" s="20">
        <f t="shared" si="8"/>
        <v>99.081149999999994</v>
      </c>
      <c r="J575" s="6" t="s">
        <v>357</v>
      </c>
    </row>
    <row r="576" spans="1:10" ht="30" hidden="1">
      <c r="A576" s="9">
        <v>45813</v>
      </c>
      <c r="B576" s="6" t="s">
        <v>1118</v>
      </c>
      <c r="C576" s="5" t="s">
        <v>1117</v>
      </c>
      <c r="D576" s="8" t="s">
        <v>354</v>
      </c>
      <c r="E576" s="6" t="s">
        <v>1024</v>
      </c>
      <c r="F576" s="6" t="s">
        <v>655</v>
      </c>
      <c r="G576" s="5">
        <v>295.5</v>
      </c>
      <c r="H576" s="5">
        <v>0.33529999999999999</v>
      </c>
      <c r="I576" s="20">
        <f t="shared" si="8"/>
        <v>99.081149999999994</v>
      </c>
      <c r="J576" s="6" t="s">
        <v>357</v>
      </c>
    </row>
    <row r="577" spans="1:10" ht="30" hidden="1">
      <c r="A577" s="9">
        <v>45813</v>
      </c>
      <c r="B577" s="6" t="s">
        <v>1120</v>
      </c>
      <c r="C577" s="5" t="s">
        <v>1119</v>
      </c>
      <c r="D577" s="8" t="s">
        <v>354</v>
      </c>
      <c r="E577" s="6" t="s">
        <v>1024</v>
      </c>
      <c r="F577" s="6" t="s">
        <v>655</v>
      </c>
      <c r="G577" s="5">
        <v>295.5</v>
      </c>
      <c r="H577" s="5">
        <v>0.33529999999999999</v>
      </c>
      <c r="I577" s="20">
        <f t="shared" si="8"/>
        <v>99.081149999999994</v>
      </c>
      <c r="J577" s="6" t="s">
        <v>357</v>
      </c>
    </row>
    <row r="578" spans="1:10" ht="30" hidden="1">
      <c r="A578" s="9">
        <v>45813</v>
      </c>
      <c r="B578" s="6" t="s">
        <v>1122</v>
      </c>
      <c r="C578" s="5" t="s">
        <v>1121</v>
      </c>
      <c r="D578" s="8" t="s">
        <v>354</v>
      </c>
      <c r="E578" s="6" t="s">
        <v>1024</v>
      </c>
      <c r="F578" s="6" t="s">
        <v>655</v>
      </c>
      <c r="G578" s="5">
        <v>295.5</v>
      </c>
      <c r="H578" s="5">
        <v>0.33529999999999999</v>
      </c>
      <c r="I578" s="20">
        <f t="shared" si="8"/>
        <v>99.081149999999994</v>
      </c>
      <c r="J578" s="6" t="s">
        <v>357</v>
      </c>
    </row>
    <row r="579" spans="1:10" ht="30" hidden="1">
      <c r="A579" s="9">
        <v>45813</v>
      </c>
      <c r="B579" s="6" t="s">
        <v>1124</v>
      </c>
      <c r="C579" s="5" t="s">
        <v>1123</v>
      </c>
      <c r="D579" s="8" t="s">
        <v>354</v>
      </c>
      <c r="E579" s="6" t="s">
        <v>1024</v>
      </c>
      <c r="F579" s="6" t="s">
        <v>655</v>
      </c>
      <c r="G579" s="5">
        <v>295.5</v>
      </c>
      <c r="H579" s="5">
        <v>0.33529999999999999</v>
      </c>
      <c r="I579" s="20">
        <f t="shared" ref="I579:I642" si="9">H579*G579</f>
        <v>99.081149999999994</v>
      </c>
      <c r="J579" s="6" t="s">
        <v>357</v>
      </c>
    </row>
    <row r="580" spans="1:10" ht="30" hidden="1">
      <c r="A580" s="9">
        <v>45813</v>
      </c>
      <c r="B580" s="6" t="s">
        <v>1126</v>
      </c>
      <c r="C580" s="5" t="s">
        <v>1125</v>
      </c>
      <c r="D580" s="8" t="s">
        <v>354</v>
      </c>
      <c r="E580" s="6" t="s">
        <v>1024</v>
      </c>
      <c r="F580" s="6" t="s">
        <v>655</v>
      </c>
      <c r="G580" s="5">
        <v>383.2</v>
      </c>
      <c r="H580" s="5">
        <v>0.33529999999999999</v>
      </c>
      <c r="I580" s="20">
        <f t="shared" si="9"/>
        <v>128.48695999999998</v>
      </c>
      <c r="J580" s="6" t="s">
        <v>357</v>
      </c>
    </row>
    <row r="581" spans="1:10" ht="30" hidden="1">
      <c r="A581" s="9">
        <v>45813</v>
      </c>
      <c r="B581" s="6" t="s">
        <v>1128</v>
      </c>
      <c r="C581" s="5" t="s">
        <v>1127</v>
      </c>
      <c r="D581" s="8" t="s">
        <v>354</v>
      </c>
      <c r="E581" s="6" t="s">
        <v>1024</v>
      </c>
      <c r="F581" s="6" t="s">
        <v>655</v>
      </c>
      <c r="G581" s="5">
        <v>295.5</v>
      </c>
      <c r="H581" s="5">
        <v>0.33529999999999999</v>
      </c>
      <c r="I581" s="20">
        <f t="shared" si="9"/>
        <v>99.081149999999994</v>
      </c>
      <c r="J581" s="6" t="s">
        <v>357</v>
      </c>
    </row>
    <row r="582" spans="1:10" ht="30" hidden="1">
      <c r="A582" s="9">
        <v>45813</v>
      </c>
      <c r="B582" s="6" t="s">
        <v>1130</v>
      </c>
      <c r="C582" s="5" t="s">
        <v>1129</v>
      </c>
      <c r="D582" s="8" t="s">
        <v>354</v>
      </c>
      <c r="E582" s="6" t="s">
        <v>1024</v>
      </c>
      <c r="F582" s="6" t="s">
        <v>655</v>
      </c>
      <c r="G582" s="5">
        <v>383.2</v>
      </c>
      <c r="H582" s="5">
        <v>0.33529999999999999</v>
      </c>
      <c r="I582" s="20">
        <f t="shared" si="9"/>
        <v>128.48695999999998</v>
      </c>
      <c r="J582" s="6" t="s">
        <v>357</v>
      </c>
    </row>
    <row r="583" spans="1:10" ht="30" hidden="1">
      <c r="A583" s="9">
        <v>45813</v>
      </c>
      <c r="B583" s="216" t="s">
        <v>6998</v>
      </c>
      <c r="C583" s="5" t="s">
        <v>6990</v>
      </c>
      <c r="D583" s="8" t="s">
        <v>354</v>
      </c>
      <c r="E583" s="25" t="s">
        <v>1024</v>
      </c>
      <c r="F583" s="6" t="s">
        <v>655</v>
      </c>
      <c r="G583" s="31">
        <v>336</v>
      </c>
      <c r="H583" s="5">
        <v>0.33529999999999999</v>
      </c>
      <c r="I583" s="20">
        <f t="shared" si="9"/>
        <v>112.66079999999999</v>
      </c>
      <c r="J583" s="6" t="s">
        <v>357</v>
      </c>
    </row>
    <row r="584" spans="1:10" ht="30" hidden="1">
      <c r="A584" s="9">
        <v>45813</v>
      </c>
      <c r="B584" s="216" t="s">
        <v>6999</v>
      </c>
      <c r="C584" s="5" t="s">
        <v>6991</v>
      </c>
      <c r="D584" s="8" t="s">
        <v>354</v>
      </c>
      <c r="E584" s="25" t="s">
        <v>1024</v>
      </c>
      <c r="F584" s="6" t="s">
        <v>655</v>
      </c>
      <c r="G584" s="31">
        <v>336</v>
      </c>
      <c r="H584" s="5">
        <v>0.33529999999999999</v>
      </c>
      <c r="I584" s="20">
        <f t="shared" si="9"/>
        <v>112.66079999999999</v>
      </c>
      <c r="J584" s="6" t="s">
        <v>357</v>
      </c>
    </row>
    <row r="585" spans="1:10" ht="30" hidden="1">
      <c r="A585" s="9">
        <v>45813</v>
      </c>
      <c r="B585" s="216" t="s">
        <v>7000</v>
      </c>
      <c r="C585" s="5" t="s">
        <v>6992</v>
      </c>
      <c r="D585" s="8" t="s">
        <v>354</v>
      </c>
      <c r="E585" s="25" t="s">
        <v>1024</v>
      </c>
      <c r="F585" s="6" t="s">
        <v>655</v>
      </c>
      <c r="G585" s="31">
        <v>336</v>
      </c>
      <c r="H585" s="5">
        <v>0.33529999999999999</v>
      </c>
      <c r="I585" s="20">
        <f t="shared" si="9"/>
        <v>112.66079999999999</v>
      </c>
      <c r="J585" s="6" t="s">
        <v>357</v>
      </c>
    </row>
    <row r="586" spans="1:10" ht="30" hidden="1">
      <c r="A586" s="9">
        <v>45813</v>
      </c>
      <c r="B586" s="216" t="s">
        <v>7001</v>
      </c>
      <c r="C586" s="5" t="s">
        <v>7008</v>
      </c>
      <c r="D586" s="8" t="s">
        <v>354</v>
      </c>
      <c r="E586" s="25" t="s">
        <v>1024</v>
      </c>
      <c r="F586" s="6" t="s">
        <v>655</v>
      </c>
      <c r="G586" s="31">
        <v>336</v>
      </c>
      <c r="H586" s="5">
        <v>0.33529999999999999</v>
      </c>
      <c r="I586" s="20">
        <f t="shared" si="9"/>
        <v>112.66079999999999</v>
      </c>
      <c r="J586" s="6" t="s">
        <v>357</v>
      </c>
    </row>
    <row r="587" spans="1:10" ht="30" hidden="1">
      <c r="A587" s="9">
        <v>45813</v>
      </c>
      <c r="B587" s="216" t="s">
        <v>7002</v>
      </c>
      <c r="C587" s="5" t="s">
        <v>6993</v>
      </c>
      <c r="D587" s="8" t="s">
        <v>354</v>
      </c>
      <c r="E587" s="25" t="s">
        <v>1024</v>
      </c>
      <c r="F587" s="6" t="s">
        <v>655</v>
      </c>
      <c r="G587" s="31">
        <v>336</v>
      </c>
      <c r="H587" s="5">
        <v>0.33529999999999999</v>
      </c>
      <c r="I587" s="20">
        <f t="shared" si="9"/>
        <v>112.66079999999999</v>
      </c>
      <c r="J587" s="6" t="s">
        <v>357</v>
      </c>
    </row>
    <row r="588" spans="1:10" ht="30" hidden="1">
      <c r="A588" s="9">
        <v>45813</v>
      </c>
      <c r="B588" s="216" t="s">
        <v>7003</v>
      </c>
      <c r="C588" s="5" t="s">
        <v>6994</v>
      </c>
      <c r="D588" s="8" t="s">
        <v>354</v>
      </c>
      <c r="E588" s="25" t="s">
        <v>1024</v>
      </c>
      <c r="F588" s="6" t="s">
        <v>655</v>
      </c>
      <c r="G588" s="31">
        <v>336</v>
      </c>
      <c r="H588" s="5">
        <v>0.33529999999999999</v>
      </c>
      <c r="I588" s="20">
        <f t="shared" si="9"/>
        <v>112.66079999999999</v>
      </c>
      <c r="J588" s="6" t="s">
        <v>357</v>
      </c>
    </row>
    <row r="589" spans="1:10" ht="30" hidden="1">
      <c r="A589" s="9">
        <v>45813</v>
      </c>
      <c r="B589" s="216" t="s">
        <v>7004</v>
      </c>
      <c r="C589" s="5" t="s">
        <v>6995</v>
      </c>
      <c r="D589" s="8" t="s">
        <v>354</v>
      </c>
      <c r="E589" s="25" t="s">
        <v>1024</v>
      </c>
      <c r="F589" s="6" t="s">
        <v>655</v>
      </c>
      <c r="G589" s="31">
        <v>409.1</v>
      </c>
      <c r="H589" s="5">
        <v>0.33529999999999999</v>
      </c>
      <c r="I589" s="20">
        <f t="shared" si="9"/>
        <v>137.17123000000001</v>
      </c>
      <c r="J589" s="6" t="s">
        <v>357</v>
      </c>
    </row>
    <row r="590" spans="1:10" ht="30" hidden="1">
      <c r="A590" s="9">
        <v>45813</v>
      </c>
      <c r="B590" s="216" t="s">
        <v>6997</v>
      </c>
      <c r="C590" s="5" t="s">
        <v>6989</v>
      </c>
      <c r="D590" s="8" t="s">
        <v>354</v>
      </c>
      <c r="E590" s="25" t="s">
        <v>1024</v>
      </c>
      <c r="F590" s="6" t="s">
        <v>655</v>
      </c>
      <c r="G590" s="31">
        <v>336</v>
      </c>
      <c r="H590" s="5">
        <v>0.33529999999999999</v>
      </c>
      <c r="I590" s="20">
        <f t="shared" si="9"/>
        <v>112.66079999999999</v>
      </c>
      <c r="J590" s="6" t="s">
        <v>357</v>
      </c>
    </row>
    <row r="591" spans="1:10" ht="30" hidden="1">
      <c r="A591" s="9">
        <v>45813</v>
      </c>
      <c r="B591" s="216" t="s">
        <v>7005</v>
      </c>
      <c r="C591" s="5" t="s">
        <v>6996</v>
      </c>
      <c r="D591" s="8" t="s">
        <v>354</v>
      </c>
      <c r="E591" s="25" t="s">
        <v>1024</v>
      </c>
      <c r="F591" s="6" t="s">
        <v>655</v>
      </c>
      <c r="G591" s="31">
        <v>409.1</v>
      </c>
      <c r="H591" s="5">
        <v>0.33529999999999999</v>
      </c>
      <c r="I591" s="20">
        <f t="shared" si="9"/>
        <v>137.17123000000001</v>
      </c>
      <c r="J591" s="6" t="s">
        <v>357</v>
      </c>
    </row>
    <row r="592" spans="1:10" ht="30" hidden="1">
      <c r="A592" s="9">
        <v>45813</v>
      </c>
      <c r="B592" s="6" t="s">
        <v>1132</v>
      </c>
      <c r="C592" s="5" t="s">
        <v>1131</v>
      </c>
      <c r="D592" s="8" t="s">
        <v>354</v>
      </c>
      <c r="E592" s="6" t="s">
        <v>1024</v>
      </c>
      <c r="F592" s="6" t="s">
        <v>655</v>
      </c>
      <c r="G592" s="5">
        <v>329.5</v>
      </c>
      <c r="H592" s="5">
        <v>0.33529999999999999</v>
      </c>
      <c r="I592" s="20">
        <f t="shared" si="9"/>
        <v>110.48134999999999</v>
      </c>
      <c r="J592" s="6" t="s">
        <v>357</v>
      </c>
    </row>
    <row r="593" spans="1:10" ht="30" hidden="1">
      <c r="A593" s="9">
        <v>45813</v>
      </c>
      <c r="B593" s="6" t="s">
        <v>1134</v>
      </c>
      <c r="C593" s="5" t="s">
        <v>1133</v>
      </c>
      <c r="D593" s="8" t="s">
        <v>354</v>
      </c>
      <c r="E593" s="6" t="s">
        <v>1024</v>
      </c>
      <c r="F593" s="6" t="s">
        <v>655</v>
      </c>
      <c r="G593" s="5">
        <v>329.5</v>
      </c>
      <c r="H593" s="5">
        <v>0.33529999999999999</v>
      </c>
      <c r="I593" s="20">
        <f t="shared" si="9"/>
        <v>110.48134999999999</v>
      </c>
      <c r="J593" s="6" t="s">
        <v>357</v>
      </c>
    </row>
    <row r="594" spans="1:10" ht="30" hidden="1">
      <c r="A594" s="9">
        <v>45813</v>
      </c>
      <c r="B594" s="6" t="s">
        <v>1136</v>
      </c>
      <c r="C594" s="5" t="s">
        <v>1135</v>
      </c>
      <c r="D594" s="8" t="s">
        <v>354</v>
      </c>
      <c r="E594" s="6" t="s">
        <v>1024</v>
      </c>
      <c r="F594" s="6" t="s">
        <v>655</v>
      </c>
      <c r="G594" s="5">
        <v>329.5</v>
      </c>
      <c r="H594" s="5">
        <v>0.33529999999999999</v>
      </c>
      <c r="I594" s="20">
        <f t="shared" si="9"/>
        <v>110.48134999999999</v>
      </c>
      <c r="J594" s="6" t="s">
        <v>357</v>
      </c>
    </row>
    <row r="595" spans="1:10" ht="30" hidden="1">
      <c r="A595" s="9">
        <v>45813</v>
      </c>
      <c r="B595" s="6" t="s">
        <v>1138</v>
      </c>
      <c r="C595" s="5" t="s">
        <v>1137</v>
      </c>
      <c r="D595" s="8" t="s">
        <v>354</v>
      </c>
      <c r="E595" s="6" t="s">
        <v>1024</v>
      </c>
      <c r="F595" s="6" t="s">
        <v>655</v>
      </c>
      <c r="G595" s="5">
        <v>329.5</v>
      </c>
      <c r="H595" s="5">
        <v>0.33529999999999999</v>
      </c>
      <c r="I595" s="20">
        <f t="shared" si="9"/>
        <v>110.48134999999999</v>
      </c>
      <c r="J595" s="6" t="s">
        <v>357</v>
      </c>
    </row>
    <row r="596" spans="1:10" ht="30" hidden="1">
      <c r="A596" s="9">
        <v>45813</v>
      </c>
      <c r="B596" s="6" t="s">
        <v>1140</v>
      </c>
      <c r="C596" s="5" t="s">
        <v>1139</v>
      </c>
      <c r="D596" s="8" t="s">
        <v>354</v>
      </c>
      <c r="E596" s="6" t="s">
        <v>1024</v>
      </c>
      <c r="F596" s="6" t="s">
        <v>655</v>
      </c>
      <c r="G596" s="5">
        <v>329.5</v>
      </c>
      <c r="H596" s="5">
        <v>0.33529999999999999</v>
      </c>
      <c r="I596" s="20">
        <f t="shared" si="9"/>
        <v>110.48134999999999</v>
      </c>
      <c r="J596" s="6" t="s">
        <v>357</v>
      </c>
    </row>
    <row r="597" spans="1:10" ht="30" hidden="1">
      <c r="A597" s="9">
        <v>45813</v>
      </c>
      <c r="B597" s="6" t="s">
        <v>1142</v>
      </c>
      <c r="C597" s="5" t="s">
        <v>1141</v>
      </c>
      <c r="D597" s="8" t="s">
        <v>354</v>
      </c>
      <c r="E597" s="6" t="s">
        <v>1024</v>
      </c>
      <c r="F597" s="6" t="s">
        <v>655</v>
      </c>
      <c r="G597" s="5">
        <v>373.7</v>
      </c>
      <c r="H597" s="5">
        <v>0.33529999999999999</v>
      </c>
      <c r="I597" s="20">
        <f t="shared" si="9"/>
        <v>125.30161</v>
      </c>
      <c r="J597" s="6" t="s">
        <v>357</v>
      </c>
    </row>
    <row r="598" spans="1:10" ht="30" hidden="1">
      <c r="A598" s="9">
        <v>45813</v>
      </c>
      <c r="B598" s="6" t="s">
        <v>1144</v>
      </c>
      <c r="C598" s="5" t="s">
        <v>1143</v>
      </c>
      <c r="D598" s="8" t="s">
        <v>354</v>
      </c>
      <c r="E598" s="6" t="s">
        <v>1024</v>
      </c>
      <c r="F598" s="6" t="s">
        <v>655</v>
      </c>
      <c r="G598" s="5">
        <v>402.2</v>
      </c>
      <c r="H598" s="5">
        <v>0.33529999999999999</v>
      </c>
      <c r="I598" s="20">
        <f t="shared" si="9"/>
        <v>134.85765999999998</v>
      </c>
      <c r="J598" s="6" t="s">
        <v>357</v>
      </c>
    </row>
    <row r="599" spans="1:10" ht="30" hidden="1">
      <c r="A599" s="9">
        <v>45813</v>
      </c>
      <c r="B599" s="6" t="s">
        <v>1146</v>
      </c>
      <c r="C599" s="5" t="s">
        <v>1145</v>
      </c>
      <c r="D599" s="8" t="s">
        <v>354</v>
      </c>
      <c r="E599" s="6" t="s">
        <v>1024</v>
      </c>
      <c r="F599" s="6" t="s">
        <v>655</v>
      </c>
      <c r="G599" s="5">
        <v>329.5</v>
      </c>
      <c r="H599" s="5">
        <v>0.33529999999999999</v>
      </c>
      <c r="I599" s="20">
        <f t="shared" si="9"/>
        <v>110.48134999999999</v>
      </c>
      <c r="J599" s="6" t="s">
        <v>357</v>
      </c>
    </row>
    <row r="600" spans="1:10" ht="30" hidden="1">
      <c r="A600" s="9">
        <v>45813</v>
      </c>
      <c r="B600" s="6" t="s">
        <v>1148</v>
      </c>
      <c r="C600" s="5" t="s">
        <v>1147</v>
      </c>
      <c r="D600" s="8" t="s">
        <v>354</v>
      </c>
      <c r="E600" s="6" t="s">
        <v>1024</v>
      </c>
      <c r="F600" s="6" t="s">
        <v>655</v>
      </c>
      <c r="G600" s="5">
        <v>402.2</v>
      </c>
      <c r="H600" s="5">
        <v>0.33529999999999999</v>
      </c>
      <c r="I600" s="20">
        <f t="shared" si="9"/>
        <v>134.85765999999998</v>
      </c>
      <c r="J600" s="6" t="s">
        <v>357</v>
      </c>
    </row>
    <row r="601" spans="1:10" ht="30" hidden="1">
      <c r="A601" s="9">
        <v>45813</v>
      </c>
      <c r="B601" s="216" t="s">
        <v>7020</v>
      </c>
      <c r="C601" s="5" t="s">
        <v>7007</v>
      </c>
      <c r="D601" s="8" t="s">
        <v>354</v>
      </c>
      <c r="E601" s="25" t="s">
        <v>1024</v>
      </c>
      <c r="F601" s="6" t="s">
        <v>655</v>
      </c>
      <c r="G601" s="31">
        <v>360.3</v>
      </c>
      <c r="H601" s="5">
        <v>0.33529999999999999</v>
      </c>
      <c r="I601" s="20">
        <f t="shared" si="9"/>
        <v>120.80859</v>
      </c>
      <c r="J601" s="6" t="s">
        <v>357</v>
      </c>
    </row>
    <row r="602" spans="1:10" ht="30" hidden="1">
      <c r="A602" s="9">
        <v>45813</v>
      </c>
      <c r="B602" s="216" t="s">
        <v>7022</v>
      </c>
      <c r="C602" s="5" t="s">
        <v>7013</v>
      </c>
      <c r="D602" s="8" t="s">
        <v>354</v>
      </c>
      <c r="E602" s="25" t="s">
        <v>1024</v>
      </c>
      <c r="F602" s="6" t="s">
        <v>655</v>
      </c>
      <c r="G602" s="31">
        <v>360.3</v>
      </c>
      <c r="H602" s="5">
        <v>0.33529999999999999</v>
      </c>
      <c r="I602" s="20">
        <f t="shared" si="9"/>
        <v>120.80859</v>
      </c>
      <c r="J602" s="6" t="s">
        <v>357</v>
      </c>
    </row>
    <row r="603" spans="1:10" ht="30" hidden="1">
      <c r="A603" s="9">
        <v>45813</v>
      </c>
      <c r="B603" s="216" t="s">
        <v>7023</v>
      </c>
      <c r="C603" s="5" t="s">
        <v>7014</v>
      </c>
      <c r="D603" s="8" t="s">
        <v>354</v>
      </c>
      <c r="E603" s="25" t="s">
        <v>1024</v>
      </c>
      <c r="F603" s="6" t="s">
        <v>655</v>
      </c>
      <c r="G603" s="31">
        <v>360.3</v>
      </c>
      <c r="H603" s="5">
        <v>0.33529999999999999</v>
      </c>
      <c r="I603" s="20">
        <f t="shared" si="9"/>
        <v>120.80859</v>
      </c>
      <c r="J603" s="6" t="s">
        <v>357</v>
      </c>
    </row>
    <row r="604" spans="1:10" ht="30" hidden="1">
      <c r="A604" s="9">
        <v>45813</v>
      </c>
      <c r="B604" s="216" t="s">
        <v>7024</v>
      </c>
      <c r="C604" s="5" t="s">
        <v>7015</v>
      </c>
      <c r="D604" s="8" t="s">
        <v>354</v>
      </c>
      <c r="E604" s="25" t="s">
        <v>1024</v>
      </c>
      <c r="F604" s="6" t="s">
        <v>655</v>
      </c>
      <c r="G604" s="31">
        <v>360.3</v>
      </c>
      <c r="H604" s="5">
        <v>0.33529999999999999</v>
      </c>
      <c r="I604" s="20">
        <f t="shared" si="9"/>
        <v>120.80859</v>
      </c>
      <c r="J604" s="6" t="s">
        <v>357</v>
      </c>
    </row>
    <row r="605" spans="1:10" ht="30" hidden="1">
      <c r="A605" s="9">
        <v>45813</v>
      </c>
      <c r="B605" s="216" t="s">
        <v>7025</v>
      </c>
      <c r="C605" s="5" t="s">
        <v>7016</v>
      </c>
      <c r="D605" s="8" t="s">
        <v>354</v>
      </c>
      <c r="E605" s="25" t="s">
        <v>1024</v>
      </c>
      <c r="F605" s="6" t="s">
        <v>655</v>
      </c>
      <c r="G605" s="31">
        <v>395.1</v>
      </c>
      <c r="H605" s="5">
        <v>0.33529999999999999</v>
      </c>
      <c r="I605" s="20">
        <f t="shared" si="9"/>
        <v>132.47703000000001</v>
      </c>
      <c r="J605" s="6" t="s">
        <v>357</v>
      </c>
    </row>
    <row r="606" spans="1:10" ht="30" hidden="1">
      <c r="A606" s="9">
        <v>45813</v>
      </c>
      <c r="B606" s="216" t="s">
        <v>7026</v>
      </c>
      <c r="C606" s="5" t="s">
        <v>7017</v>
      </c>
      <c r="D606" s="8" t="s">
        <v>354</v>
      </c>
      <c r="E606" s="25" t="s">
        <v>1024</v>
      </c>
      <c r="F606" s="6" t="s">
        <v>655</v>
      </c>
      <c r="G606" s="31">
        <v>462.5</v>
      </c>
      <c r="H606" s="5">
        <v>0.33529999999999999</v>
      </c>
      <c r="I606" s="20">
        <f t="shared" si="9"/>
        <v>155.07624999999999</v>
      </c>
      <c r="J606" s="6" t="s">
        <v>357</v>
      </c>
    </row>
    <row r="607" spans="1:10" ht="30" hidden="1">
      <c r="A607" s="9">
        <v>45813</v>
      </c>
      <c r="B607" s="216" t="s">
        <v>7019</v>
      </c>
      <c r="C607" s="5" t="s">
        <v>7006</v>
      </c>
      <c r="D607" s="8" t="s">
        <v>354</v>
      </c>
      <c r="E607" s="25" t="s">
        <v>1024</v>
      </c>
      <c r="F607" s="6" t="s">
        <v>655</v>
      </c>
      <c r="G607" s="31">
        <v>360.3</v>
      </c>
      <c r="H607" s="5">
        <v>0.33529999999999999</v>
      </c>
      <c r="I607" s="20">
        <f t="shared" si="9"/>
        <v>120.80859</v>
      </c>
      <c r="J607" s="6" t="s">
        <v>357</v>
      </c>
    </row>
    <row r="608" spans="1:10" ht="30" hidden="1">
      <c r="A608" s="9">
        <v>45813</v>
      </c>
      <c r="B608" s="216" t="s">
        <v>7027</v>
      </c>
      <c r="C608" s="5" t="s">
        <v>7018</v>
      </c>
      <c r="D608" s="8" t="s">
        <v>354</v>
      </c>
      <c r="E608" s="25" t="s">
        <v>1024</v>
      </c>
      <c r="F608" s="6" t="s">
        <v>655</v>
      </c>
      <c r="G608" s="31">
        <v>462.5</v>
      </c>
      <c r="H608" s="5">
        <v>0.33529999999999999</v>
      </c>
      <c r="I608" s="20">
        <f t="shared" si="9"/>
        <v>155.07624999999999</v>
      </c>
      <c r="J608" s="6" t="s">
        <v>357</v>
      </c>
    </row>
    <row r="609" spans="1:10" ht="30" hidden="1">
      <c r="A609" s="9">
        <v>45813</v>
      </c>
      <c r="B609" s="216" t="s">
        <v>7021</v>
      </c>
      <c r="C609" s="5" t="s">
        <v>7012</v>
      </c>
      <c r="D609" s="8" t="s">
        <v>354</v>
      </c>
      <c r="E609" s="25" t="s">
        <v>1024</v>
      </c>
      <c r="F609" s="6" t="s">
        <v>655</v>
      </c>
      <c r="G609" s="31">
        <v>360.3</v>
      </c>
      <c r="H609" s="5">
        <v>0.33529999999999999</v>
      </c>
      <c r="I609" s="20">
        <f t="shared" si="9"/>
        <v>120.80859</v>
      </c>
      <c r="J609" s="6" t="s">
        <v>357</v>
      </c>
    </row>
    <row r="610" spans="1:10" hidden="1">
      <c r="A610" s="9">
        <v>45813</v>
      </c>
      <c r="B610" s="216" t="s">
        <v>6894</v>
      </c>
      <c r="C610" s="5" t="s">
        <v>6885</v>
      </c>
      <c r="D610" s="8" t="s">
        <v>354</v>
      </c>
      <c r="E610" s="25" t="s">
        <v>1024</v>
      </c>
      <c r="F610" s="6" t="s">
        <v>655</v>
      </c>
      <c r="G610" s="31">
        <v>52.7</v>
      </c>
      <c r="H610" s="5">
        <v>0.33529999999999999</v>
      </c>
      <c r="I610" s="20">
        <f t="shared" si="9"/>
        <v>17.670310000000001</v>
      </c>
      <c r="J610" s="6" t="s">
        <v>357</v>
      </c>
    </row>
    <row r="611" spans="1:10" hidden="1">
      <c r="A611" s="9">
        <v>45813</v>
      </c>
      <c r="B611" s="216" t="s">
        <v>6895</v>
      </c>
      <c r="C611" s="5" t="s">
        <v>6886</v>
      </c>
      <c r="D611" s="8" t="s">
        <v>354</v>
      </c>
      <c r="E611" s="25" t="s">
        <v>1024</v>
      </c>
      <c r="F611" s="6" t="s">
        <v>655</v>
      </c>
      <c r="G611" s="31">
        <v>52.7</v>
      </c>
      <c r="H611" s="5">
        <v>0.33529999999999999</v>
      </c>
      <c r="I611" s="20">
        <f t="shared" si="9"/>
        <v>17.670310000000001</v>
      </c>
      <c r="J611" s="6" t="s">
        <v>357</v>
      </c>
    </row>
    <row r="612" spans="1:10" hidden="1">
      <c r="A612" s="9">
        <v>45813</v>
      </c>
      <c r="B612" s="216" t="s">
        <v>6896</v>
      </c>
      <c r="C612" s="5" t="s">
        <v>6887</v>
      </c>
      <c r="D612" s="8" t="s">
        <v>354</v>
      </c>
      <c r="E612" s="25" t="s">
        <v>1024</v>
      </c>
      <c r="F612" s="6" t="s">
        <v>655</v>
      </c>
      <c r="G612" s="31">
        <v>52.7</v>
      </c>
      <c r="H612" s="5">
        <v>0.33529999999999999</v>
      </c>
      <c r="I612" s="20">
        <f t="shared" si="9"/>
        <v>17.670310000000001</v>
      </c>
      <c r="J612" s="6" t="s">
        <v>357</v>
      </c>
    </row>
    <row r="613" spans="1:10" hidden="1">
      <c r="A613" s="9">
        <v>45813</v>
      </c>
      <c r="B613" s="216" t="s">
        <v>6897</v>
      </c>
      <c r="C613" s="5" t="s">
        <v>6888</v>
      </c>
      <c r="D613" s="8" t="s">
        <v>354</v>
      </c>
      <c r="E613" s="25" t="s">
        <v>1024</v>
      </c>
      <c r="F613" s="6" t="s">
        <v>655</v>
      </c>
      <c r="G613" s="31">
        <v>52.7</v>
      </c>
      <c r="H613" s="5">
        <v>0.33529999999999999</v>
      </c>
      <c r="I613" s="20">
        <f t="shared" si="9"/>
        <v>17.670310000000001</v>
      </c>
      <c r="J613" s="6" t="s">
        <v>357</v>
      </c>
    </row>
    <row r="614" spans="1:10" hidden="1">
      <c r="A614" s="9">
        <v>45813</v>
      </c>
      <c r="B614" s="216" t="s">
        <v>6898</v>
      </c>
      <c r="C614" s="5" t="s">
        <v>6889</v>
      </c>
      <c r="D614" s="8" t="s">
        <v>354</v>
      </c>
      <c r="E614" s="25" t="s">
        <v>1024</v>
      </c>
      <c r="F614" s="6" t="s">
        <v>655</v>
      </c>
      <c r="G614" s="31">
        <v>52.7</v>
      </c>
      <c r="H614" s="5">
        <v>0.33529999999999999</v>
      </c>
      <c r="I614" s="20">
        <f t="shared" si="9"/>
        <v>17.670310000000001</v>
      </c>
      <c r="J614" s="6" t="s">
        <v>357</v>
      </c>
    </row>
    <row r="615" spans="1:10" hidden="1">
      <c r="A615" s="9">
        <v>45813</v>
      </c>
      <c r="B615" s="216" t="s">
        <v>6899</v>
      </c>
      <c r="C615" s="5" t="s">
        <v>6890</v>
      </c>
      <c r="D615" s="8" t="s">
        <v>354</v>
      </c>
      <c r="E615" s="25" t="s">
        <v>1024</v>
      </c>
      <c r="F615" s="6" t="s">
        <v>655</v>
      </c>
      <c r="G615" s="31">
        <v>52.7</v>
      </c>
      <c r="H615" s="5">
        <v>0.33529999999999999</v>
      </c>
      <c r="I615" s="20">
        <f t="shared" si="9"/>
        <v>17.670310000000001</v>
      </c>
      <c r="J615" s="6" t="s">
        <v>357</v>
      </c>
    </row>
    <row r="616" spans="1:10" hidden="1">
      <c r="A616" s="9">
        <v>45813</v>
      </c>
      <c r="B616" s="216" t="s">
        <v>6900</v>
      </c>
      <c r="C616" s="5" t="s">
        <v>6891</v>
      </c>
      <c r="D616" s="8" t="s">
        <v>354</v>
      </c>
      <c r="E616" s="25" t="s">
        <v>1024</v>
      </c>
      <c r="F616" s="6" t="s">
        <v>655</v>
      </c>
      <c r="G616" s="31">
        <v>74.2</v>
      </c>
      <c r="H616" s="5">
        <v>0.33529999999999999</v>
      </c>
      <c r="I616" s="20">
        <f t="shared" si="9"/>
        <v>24.879259999999999</v>
      </c>
      <c r="J616" s="6" t="s">
        <v>357</v>
      </c>
    </row>
    <row r="617" spans="1:10" hidden="1">
      <c r="A617" s="9">
        <v>45813</v>
      </c>
      <c r="B617" s="216" t="s">
        <v>6893</v>
      </c>
      <c r="C617" s="5" t="s">
        <v>6884</v>
      </c>
      <c r="D617" s="8" t="s">
        <v>354</v>
      </c>
      <c r="E617" s="25" t="s">
        <v>1024</v>
      </c>
      <c r="F617" s="6" t="s">
        <v>655</v>
      </c>
      <c r="G617" s="31">
        <v>52.7</v>
      </c>
      <c r="H617" s="5">
        <v>0.33529999999999999</v>
      </c>
      <c r="I617" s="20">
        <f t="shared" si="9"/>
        <v>17.670310000000001</v>
      </c>
      <c r="J617" s="6" t="s">
        <v>357</v>
      </c>
    </row>
    <row r="618" spans="1:10" hidden="1">
      <c r="A618" s="9">
        <v>45813</v>
      </c>
      <c r="B618" s="216" t="s">
        <v>6901</v>
      </c>
      <c r="C618" s="5" t="s">
        <v>6892</v>
      </c>
      <c r="D618" s="8" t="s">
        <v>354</v>
      </c>
      <c r="E618" s="25" t="s">
        <v>1024</v>
      </c>
      <c r="F618" s="6" t="s">
        <v>655</v>
      </c>
      <c r="G618" s="31">
        <v>74.2</v>
      </c>
      <c r="H618" s="5">
        <v>0.33529999999999999</v>
      </c>
      <c r="I618" s="20">
        <f t="shared" si="9"/>
        <v>24.879259999999999</v>
      </c>
      <c r="J618" s="6" t="s">
        <v>357</v>
      </c>
    </row>
    <row r="619" spans="1:10" hidden="1">
      <c r="A619" s="9">
        <v>45813</v>
      </c>
      <c r="B619" s="6" t="s">
        <v>1150</v>
      </c>
      <c r="C619" s="5" t="s">
        <v>1149</v>
      </c>
      <c r="D619" s="8" t="s">
        <v>354</v>
      </c>
      <c r="E619" s="6" t="s">
        <v>1024</v>
      </c>
      <c r="F619" s="6" t="s">
        <v>655</v>
      </c>
      <c r="G619" s="5">
        <v>30.3</v>
      </c>
      <c r="H619" s="5">
        <v>0.33529999999999999</v>
      </c>
      <c r="I619" s="20">
        <f t="shared" si="9"/>
        <v>10.15959</v>
      </c>
      <c r="J619" s="6" t="s">
        <v>357</v>
      </c>
    </row>
    <row r="620" spans="1:10" hidden="1">
      <c r="A620" s="9">
        <v>45813</v>
      </c>
      <c r="B620" s="6" t="s">
        <v>1152</v>
      </c>
      <c r="C620" s="5" t="s">
        <v>1151</v>
      </c>
      <c r="D620" s="8" t="s">
        <v>354</v>
      </c>
      <c r="E620" s="6" t="s">
        <v>1024</v>
      </c>
      <c r="F620" s="6" t="s">
        <v>655</v>
      </c>
      <c r="G620" s="5">
        <v>30.3</v>
      </c>
      <c r="H620" s="5">
        <v>0.33529999999999999</v>
      </c>
      <c r="I620" s="20">
        <f t="shared" si="9"/>
        <v>10.15959</v>
      </c>
      <c r="J620" s="6" t="s">
        <v>357</v>
      </c>
    </row>
    <row r="621" spans="1:10" hidden="1">
      <c r="A621" s="9">
        <v>45813</v>
      </c>
      <c r="B621" s="6" t="s">
        <v>1154</v>
      </c>
      <c r="C621" s="5" t="s">
        <v>1153</v>
      </c>
      <c r="D621" s="8" t="s">
        <v>354</v>
      </c>
      <c r="E621" s="6" t="s">
        <v>1024</v>
      </c>
      <c r="F621" s="6" t="s">
        <v>655</v>
      </c>
      <c r="G621" s="5">
        <v>30.3</v>
      </c>
      <c r="H621" s="5">
        <v>0.33529999999999999</v>
      </c>
      <c r="I621" s="20">
        <f t="shared" si="9"/>
        <v>10.15959</v>
      </c>
      <c r="J621" s="6" t="s">
        <v>357</v>
      </c>
    </row>
    <row r="622" spans="1:10" hidden="1">
      <c r="A622" s="9">
        <v>45813</v>
      </c>
      <c r="B622" s="6" t="s">
        <v>1156</v>
      </c>
      <c r="C622" s="5" t="s">
        <v>1155</v>
      </c>
      <c r="D622" s="8" t="s">
        <v>354</v>
      </c>
      <c r="E622" s="6" t="s">
        <v>1024</v>
      </c>
      <c r="F622" s="6" t="s">
        <v>655</v>
      </c>
      <c r="G622" s="5">
        <v>30.3</v>
      </c>
      <c r="H622" s="5">
        <v>0.33529999999999999</v>
      </c>
      <c r="I622" s="20">
        <f t="shared" si="9"/>
        <v>10.15959</v>
      </c>
      <c r="J622" s="6" t="s">
        <v>357</v>
      </c>
    </row>
    <row r="623" spans="1:10" hidden="1">
      <c r="A623" s="9">
        <v>45813</v>
      </c>
      <c r="B623" s="6" t="s">
        <v>1158</v>
      </c>
      <c r="C623" s="5" t="s">
        <v>1157</v>
      </c>
      <c r="D623" s="8" t="s">
        <v>354</v>
      </c>
      <c r="E623" s="6" t="s">
        <v>1024</v>
      </c>
      <c r="F623" s="6" t="s">
        <v>655</v>
      </c>
      <c r="G623" s="5">
        <v>30.3</v>
      </c>
      <c r="H623" s="5">
        <v>0.33529999999999999</v>
      </c>
      <c r="I623" s="20">
        <f t="shared" si="9"/>
        <v>10.15959</v>
      </c>
      <c r="J623" s="6" t="s">
        <v>357</v>
      </c>
    </row>
    <row r="624" spans="1:10" hidden="1">
      <c r="A624" s="9">
        <v>45813</v>
      </c>
      <c r="B624" s="6" t="s">
        <v>1160</v>
      </c>
      <c r="C624" s="5" t="s">
        <v>1159</v>
      </c>
      <c r="D624" s="8" t="s">
        <v>354</v>
      </c>
      <c r="E624" s="6" t="s">
        <v>1024</v>
      </c>
      <c r="F624" s="6" t="s">
        <v>655</v>
      </c>
      <c r="G624" s="5">
        <v>47.3</v>
      </c>
      <c r="H624" s="5">
        <v>0.33529999999999999</v>
      </c>
      <c r="I624" s="20">
        <f t="shared" si="9"/>
        <v>15.859689999999999</v>
      </c>
      <c r="J624" s="6" t="s">
        <v>357</v>
      </c>
    </row>
    <row r="625" spans="1:10" hidden="1">
      <c r="A625" s="9">
        <v>45813</v>
      </c>
      <c r="B625" s="6" t="s">
        <v>1162</v>
      </c>
      <c r="C625" s="5" t="s">
        <v>1161</v>
      </c>
      <c r="D625" s="8" t="s">
        <v>354</v>
      </c>
      <c r="E625" s="6" t="s">
        <v>1024</v>
      </c>
      <c r="F625" s="6" t="s">
        <v>655</v>
      </c>
      <c r="G625" s="5">
        <v>53.2</v>
      </c>
      <c r="H625" s="5">
        <v>0.33529999999999999</v>
      </c>
      <c r="I625" s="20">
        <f t="shared" si="9"/>
        <v>17.837959999999999</v>
      </c>
      <c r="J625" s="6" t="s">
        <v>357</v>
      </c>
    </row>
    <row r="626" spans="1:10" hidden="1">
      <c r="A626" s="9">
        <v>45813</v>
      </c>
      <c r="B626" s="6" t="s">
        <v>1164</v>
      </c>
      <c r="C626" s="5" t="s">
        <v>1163</v>
      </c>
      <c r="D626" s="8" t="s">
        <v>354</v>
      </c>
      <c r="E626" s="6" t="s">
        <v>1024</v>
      </c>
      <c r="F626" s="6" t="s">
        <v>655</v>
      </c>
      <c r="G626" s="5">
        <v>30.3</v>
      </c>
      <c r="H626" s="5">
        <v>0.33529999999999999</v>
      </c>
      <c r="I626" s="20">
        <f t="shared" si="9"/>
        <v>10.15959</v>
      </c>
      <c r="J626" s="6" t="s">
        <v>357</v>
      </c>
    </row>
    <row r="627" spans="1:10" hidden="1">
      <c r="A627" s="9">
        <v>45813</v>
      </c>
      <c r="B627" s="6" t="s">
        <v>1166</v>
      </c>
      <c r="C627" s="5" t="s">
        <v>1165</v>
      </c>
      <c r="D627" s="8" t="s">
        <v>354</v>
      </c>
      <c r="E627" s="6" t="s">
        <v>1024</v>
      </c>
      <c r="F627" s="6" t="s">
        <v>655</v>
      </c>
      <c r="G627" s="5">
        <v>53.2</v>
      </c>
      <c r="H627" s="5">
        <v>0.33529999999999999</v>
      </c>
      <c r="I627" s="20">
        <f t="shared" si="9"/>
        <v>17.837959999999999</v>
      </c>
      <c r="J627" s="6" t="s">
        <v>357</v>
      </c>
    </row>
    <row r="628" spans="1:10" hidden="1">
      <c r="A628" s="9">
        <v>45813</v>
      </c>
      <c r="B628" s="216" t="s">
        <v>6844</v>
      </c>
      <c r="C628" s="5" t="s">
        <v>6845</v>
      </c>
      <c r="D628" s="8" t="s">
        <v>354</v>
      </c>
      <c r="E628" s="25" t="s">
        <v>1024</v>
      </c>
      <c r="F628" s="6" t="s">
        <v>655</v>
      </c>
      <c r="G628" s="31">
        <v>44.2</v>
      </c>
      <c r="H628" s="5">
        <v>0.33529999999999999</v>
      </c>
      <c r="I628" s="20">
        <f t="shared" si="9"/>
        <v>14.820260000000001</v>
      </c>
      <c r="J628" s="6" t="s">
        <v>357</v>
      </c>
    </row>
    <row r="629" spans="1:10" hidden="1">
      <c r="A629" s="9">
        <v>45813</v>
      </c>
      <c r="B629" s="216" t="s">
        <v>6851</v>
      </c>
      <c r="C629" s="5" t="s">
        <v>6846</v>
      </c>
      <c r="D629" s="8" t="s">
        <v>354</v>
      </c>
      <c r="E629" s="25" t="s">
        <v>1024</v>
      </c>
      <c r="F629" s="6" t="s">
        <v>655</v>
      </c>
      <c r="G629" s="31">
        <v>44.2</v>
      </c>
      <c r="H629" s="5">
        <v>0.33529999999999999</v>
      </c>
      <c r="I629" s="20">
        <f t="shared" si="9"/>
        <v>14.820260000000001</v>
      </c>
      <c r="J629" s="6" t="s">
        <v>357</v>
      </c>
    </row>
    <row r="630" spans="1:10" hidden="1">
      <c r="A630" s="9">
        <v>45813</v>
      </c>
      <c r="B630" s="216" t="s">
        <v>6852</v>
      </c>
      <c r="C630" s="5" t="s">
        <v>6847</v>
      </c>
      <c r="D630" s="8" t="s">
        <v>354</v>
      </c>
      <c r="E630" s="25" t="s">
        <v>1024</v>
      </c>
      <c r="F630" s="6" t="s">
        <v>655</v>
      </c>
      <c r="G630" s="31">
        <v>44.2</v>
      </c>
      <c r="H630" s="5">
        <v>0.33529999999999999</v>
      </c>
      <c r="I630" s="20">
        <f t="shared" si="9"/>
        <v>14.820260000000001</v>
      </c>
      <c r="J630" s="6" t="s">
        <v>357</v>
      </c>
    </row>
    <row r="631" spans="1:10" hidden="1">
      <c r="A631" s="9">
        <v>45813</v>
      </c>
      <c r="B631" s="216" t="s">
        <v>6853</v>
      </c>
      <c r="C631" s="5" t="s">
        <v>6848</v>
      </c>
      <c r="D631" s="8" t="s">
        <v>354</v>
      </c>
      <c r="E631" s="25" t="s">
        <v>1024</v>
      </c>
      <c r="F631" s="6" t="s">
        <v>655</v>
      </c>
      <c r="G631" s="31">
        <v>44.2</v>
      </c>
      <c r="H631" s="5">
        <v>0.33529999999999999</v>
      </c>
      <c r="I631" s="20">
        <f t="shared" si="9"/>
        <v>14.820260000000001</v>
      </c>
      <c r="J631" s="6" t="s">
        <v>357</v>
      </c>
    </row>
    <row r="632" spans="1:10" hidden="1">
      <c r="A632" s="9">
        <v>45813</v>
      </c>
      <c r="B632" s="216" t="s">
        <v>6854</v>
      </c>
      <c r="C632" s="5" t="s">
        <v>6849</v>
      </c>
      <c r="D632" s="8" t="s">
        <v>354</v>
      </c>
      <c r="E632" s="25" t="s">
        <v>1024</v>
      </c>
      <c r="F632" s="6" t="s">
        <v>655</v>
      </c>
      <c r="G632" s="31">
        <v>44.2</v>
      </c>
      <c r="H632" s="5">
        <v>0.33529999999999999</v>
      </c>
      <c r="I632" s="20">
        <f t="shared" si="9"/>
        <v>14.820260000000001</v>
      </c>
      <c r="J632" s="6" t="s">
        <v>357</v>
      </c>
    </row>
    <row r="633" spans="1:10" hidden="1">
      <c r="A633" s="9">
        <v>45813</v>
      </c>
      <c r="B633" s="216" t="s">
        <v>6855</v>
      </c>
      <c r="C633" s="5" t="s">
        <v>6850</v>
      </c>
      <c r="D633" s="8" t="s">
        <v>354</v>
      </c>
      <c r="E633" s="25" t="s">
        <v>1024</v>
      </c>
      <c r="F633" s="6" t="s">
        <v>655</v>
      </c>
      <c r="G633" s="31">
        <v>44.2</v>
      </c>
      <c r="H633" s="5">
        <v>0.33529999999999999</v>
      </c>
      <c r="I633" s="20">
        <f t="shared" si="9"/>
        <v>14.820260000000001</v>
      </c>
      <c r="J633" s="6" t="s">
        <v>357</v>
      </c>
    </row>
    <row r="634" spans="1:10" hidden="1">
      <c r="A634" s="9">
        <v>45813</v>
      </c>
      <c r="B634" s="216" t="s">
        <v>6842</v>
      </c>
      <c r="C634" s="5" t="s">
        <v>6843</v>
      </c>
      <c r="D634" s="8" t="s">
        <v>354</v>
      </c>
      <c r="E634" s="25" t="s">
        <v>1024</v>
      </c>
      <c r="F634" s="6" t="s">
        <v>655</v>
      </c>
      <c r="G634" s="31">
        <v>44.2</v>
      </c>
      <c r="H634" s="5">
        <v>0.33529999999999999</v>
      </c>
      <c r="I634" s="20">
        <f t="shared" si="9"/>
        <v>14.820260000000001</v>
      </c>
      <c r="J634" s="6" t="s">
        <v>357</v>
      </c>
    </row>
    <row r="635" spans="1:10" hidden="1">
      <c r="A635" s="9">
        <v>45813</v>
      </c>
      <c r="B635" s="6" t="s">
        <v>1168</v>
      </c>
      <c r="C635" s="5" t="s">
        <v>1167</v>
      </c>
      <c r="D635" s="8" t="s">
        <v>354</v>
      </c>
      <c r="E635" s="6" t="s">
        <v>1024</v>
      </c>
      <c r="F635" s="6" t="s">
        <v>655</v>
      </c>
      <c r="G635" s="5">
        <v>29.1</v>
      </c>
      <c r="H635" s="5">
        <v>0.33529999999999999</v>
      </c>
      <c r="I635" s="20">
        <f t="shared" si="9"/>
        <v>9.7572299999999998</v>
      </c>
      <c r="J635" s="6" t="s">
        <v>357</v>
      </c>
    </row>
    <row r="636" spans="1:10" hidden="1">
      <c r="A636" s="9">
        <v>45813</v>
      </c>
      <c r="B636" s="6" t="s">
        <v>1170</v>
      </c>
      <c r="C636" s="5" t="s">
        <v>1169</v>
      </c>
      <c r="D636" s="8" t="s">
        <v>354</v>
      </c>
      <c r="E636" s="6" t="s">
        <v>1024</v>
      </c>
      <c r="F636" s="6" t="s">
        <v>655</v>
      </c>
      <c r="G636" s="5">
        <v>29.1</v>
      </c>
      <c r="H636" s="5">
        <v>0.33529999999999999</v>
      </c>
      <c r="I636" s="20">
        <f t="shared" si="9"/>
        <v>9.7572299999999998</v>
      </c>
      <c r="J636" s="6" t="s">
        <v>357</v>
      </c>
    </row>
    <row r="637" spans="1:10" hidden="1">
      <c r="A637" s="9">
        <v>45813</v>
      </c>
      <c r="B637" s="6" t="s">
        <v>1172</v>
      </c>
      <c r="C637" s="5" t="s">
        <v>1171</v>
      </c>
      <c r="D637" s="8" t="s">
        <v>354</v>
      </c>
      <c r="E637" s="6" t="s">
        <v>1024</v>
      </c>
      <c r="F637" s="6" t="s">
        <v>655</v>
      </c>
      <c r="G637" s="5">
        <v>29.1</v>
      </c>
      <c r="H637" s="5">
        <v>0.33529999999999999</v>
      </c>
      <c r="I637" s="20">
        <f t="shared" si="9"/>
        <v>9.7572299999999998</v>
      </c>
      <c r="J637" s="6" t="s">
        <v>357</v>
      </c>
    </row>
    <row r="638" spans="1:10" hidden="1">
      <c r="A638" s="9">
        <v>45813</v>
      </c>
      <c r="B638" s="6" t="s">
        <v>1174</v>
      </c>
      <c r="C638" s="5" t="s">
        <v>1173</v>
      </c>
      <c r="D638" s="8" t="s">
        <v>354</v>
      </c>
      <c r="E638" s="6" t="s">
        <v>1024</v>
      </c>
      <c r="F638" s="6" t="s">
        <v>655</v>
      </c>
      <c r="G638" s="5">
        <v>29.1</v>
      </c>
      <c r="H638" s="5">
        <v>0.33529999999999999</v>
      </c>
      <c r="I638" s="20">
        <f t="shared" si="9"/>
        <v>9.7572299999999998</v>
      </c>
      <c r="J638" s="6" t="s">
        <v>357</v>
      </c>
    </row>
    <row r="639" spans="1:10" hidden="1">
      <c r="A639" s="9">
        <v>45813</v>
      </c>
      <c r="B639" s="6" t="s">
        <v>1176</v>
      </c>
      <c r="C639" s="5" t="s">
        <v>1175</v>
      </c>
      <c r="D639" s="8" t="s">
        <v>354</v>
      </c>
      <c r="E639" s="6" t="s">
        <v>1024</v>
      </c>
      <c r="F639" s="6" t="s">
        <v>655</v>
      </c>
      <c r="G639" s="5">
        <v>29.1</v>
      </c>
      <c r="H639" s="5">
        <v>0.33529999999999999</v>
      </c>
      <c r="I639" s="20">
        <f t="shared" si="9"/>
        <v>9.7572299999999998</v>
      </c>
      <c r="J639" s="6" t="s">
        <v>357</v>
      </c>
    </row>
    <row r="640" spans="1:10" hidden="1">
      <c r="A640" s="9">
        <v>45813</v>
      </c>
      <c r="B640" s="6" t="s">
        <v>1178</v>
      </c>
      <c r="C640" s="5" t="s">
        <v>1177</v>
      </c>
      <c r="D640" s="8" t="s">
        <v>354</v>
      </c>
      <c r="E640" s="6" t="s">
        <v>1024</v>
      </c>
      <c r="F640" s="6" t="s">
        <v>655</v>
      </c>
      <c r="G640" s="5">
        <v>41.9</v>
      </c>
      <c r="H640" s="5">
        <v>0.33529999999999999</v>
      </c>
      <c r="I640" s="20">
        <f t="shared" si="9"/>
        <v>14.049069999999999</v>
      </c>
      <c r="J640" s="6" t="s">
        <v>357</v>
      </c>
    </row>
    <row r="641" spans="1:10" hidden="1">
      <c r="A641" s="9">
        <v>45813</v>
      </c>
      <c r="B641" s="6" t="s">
        <v>1180</v>
      </c>
      <c r="C641" s="5" t="s">
        <v>1179</v>
      </c>
      <c r="D641" s="8" t="s">
        <v>354</v>
      </c>
      <c r="E641" s="6" t="s">
        <v>1024</v>
      </c>
      <c r="F641" s="6" t="s">
        <v>655</v>
      </c>
      <c r="G641" s="5">
        <v>29.1</v>
      </c>
      <c r="H641" s="5">
        <v>0.33529999999999999</v>
      </c>
      <c r="I641" s="20">
        <f t="shared" si="9"/>
        <v>9.7572299999999998</v>
      </c>
      <c r="J641" s="6" t="s">
        <v>357</v>
      </c>
    </row>
    <row r="642" spans="1:10" hidden="1">
      <c r="A642" s="9">
        <v>45813</v>
      </c>
      <c r="B642" s="216" t="s">
        <v>6921</v>
      </c>
      <c r="C642" s="5" t="s">
        <v>6902</v>
      </c>
      <c r="D642" s="8" t="s">
        <v>354</v>
      </c>
      <c r="E642" s="25" t="s">
        <v>1024</v>
      </c>
      <c r="F642" s="6" t="s">
        <v>655</v>
      </c>
      <c r="G642" s="31">
        <v>137.4</v>
      </c>
      <c r="H642" s="5">
        <v>0.33529999999999999</v>
      </c>
      <c r="I642" s="20">
        <f t="shared" si="9"/>
        <v>46.070219999999999</v>
      </c>
      <c r="J642" s="6" t="s">
        <v>357</v>
      </c>
    </row>
    <row r="643" spans="1:10" hidden="1">
      <c r="A643" s="9">
        <v>45813</v>
      </c>
      <c r="B643" s="216" t="s">
        <v>6922</v>
      </c>
      <c r="C643" s="5" t="s">
        <v>6904</v>
      </c>
      <c r="D643" s="8" t="s">
        <v>354</v>
      </c>
      <c r="E643" s="25" t="s">
        <v>1024</v>
      </c>
      <c r="F643" s="6" t="s">
        <v>655</v>
      </c>
      <c r="G643" s="31">
        <v>137.4</v>
      </c>
      <c r="H643" s="5">
        <v>0.33529999999999999</v>
      </c>
      <c r="I643" s="20">
        <f t="shared" ref="I643:I706" si="10">H643*G643</f>
        <v>46.070219999999999</v>
      </c>
      <c r="J643" s="6" t="s">
        <v>357</v>
      </c>
    </row>
    <row r="644" spans="1:10" hidden="1">
      <c r="A644" s="9">
        <v>45813</v>
      </c>
      <c r="B644" s="216" t="s">
        <v>6923</v>
      </c>
      <c r="C644" s="5" t="s">
        <v>6905</v>
      </c>
      <c r="D644" s="8" t="s">
        <v>354</v>
      </c>
      <c r="E644" s="25" t="s">
        <v>1024</v>
      </c>
      <c r="F644" s="6" t="s">
        <v>655</v>
      </c>
      <c r="G644" s="31">
        <v>137.4</v>
      </c>
      <c r="H644" s="5">
        <v>0.33529999999999999</v>
      </c>
      <c r="I644" s="20">
        <f t="shared" si="10"/>
        <v>46.070219999999999</v>
      </c>
      <c r="J644" s="6" t="s">
        <v>357</v>
      </c>
    </row>
    <row r="645" spans="1:10" hidden="1">
      <c r="A645" s="9">
        <v>45813</v>
      </c>
      <c r="B645" s="216" t="s">
        <v>6924</v>
      </c>
      <c r="C645" s="5" t="s">
        <v>6906</v>
      </c>
      <c r="D645" s="8" t="s">
        <v>354</v>
      </c>
      <c r="E645" s="25" t="s">
        <v>1024</v>
      </c>
      <c r="F645" s="6" t="s">
        <v>655</v>
      </c>
      <c r="G645" s="31">
        <v>137.4</v>
      </c>
      <c r="H645" s="5">
        <v>0.33529999999999999</v>
      </c>
      <c r="I645" s="20">
        <f t="shared" si="10"/>
        <v>46.070219999999999</v>
      </c>
      <c r="J645" s="6" t="s">
        <v>357</v>
      </c>
    </row>
    <row r="646" spans="1:10" hidden="1">
      <c r="A646" s="9">
        <v>45813</v>
      </c>
      <c r="B646" s="216" t="s">
        <v>6925</v>
      </c>
      <c r="C646" s="5" t="s">
        <v>6907</v>
      </c>
      <c r="D646" s="8" t="s">
        <v>354</v>
      </c>
      <c r="E646" s="25" t="s">
        <v>1024</v>
      </c>
      <c r="F646" s="6" t="s">
        <v>655</v>
      </c>
      <c r="G646" s="31">
        <v>137.4</v>
      </c>
      <c r="H646" s="5">
        <v>0.33529999999999999</v>
      </c>
      <c r="I646" s="20">
        <f t="shared" si="10"/>
        <v>46.070219999999999</v>
      </c>
      <c r="J646" s="6" t="s">
        <v>357</v>
      </c>
    </row>
    <row r="647" spans="1:10" hidden="1">
      <c r="A647" s="9">
        <v>45813</v>
      </c>
      <c r="B647" s="216" t="s">
        <v>6926</v>
      </c>
      <c r="C647" s="5" t="s">
        <v>6908</v>
      </c>
      <c r="D647" s="8" t="s">
        <v>354</v>
      </c>
      <c r="E647" s="25" t="s">
        <v>1024</v>
      </c>
      <c r="F647" s="6" t="s">
        <v>655</v>
      </c>
      <c r="G647" s="31">
        <v>137.4</v>
      </c>
      <c r="H647" s="5">
        <v>0.33529999999999999</v>
      </c>
      <c r="I647" s="20">
        <f t="shared" si="10"/>
        <v>46.070219999999999</v>
      </c>
      <c r="J647" s="6" t="s">
        <v>357</v>
      </c>
    </row>
    <row r="648" spans="1:10" hidden="1">
      <c r="A648" s="9">
        <v>45813</v>
      </c>
      <c r="B648" s="216" t="s">
        <v>6927</v>
      </c>
      <c r="C648" s="5" t="s">
        <v>6909</v>
      </c>
      <c r="D648" s="8" t="s">
        <v>354</v>
      </c>
      <c r="E648" s="25" t="s">
        <v>1024</v>
      </c>
      <c r="F648" s="6" t="s">
        <v>655</v>
      </c>
      <c r="G648" s="31">
        <v>193.9</v>
      </c>
      <c r="H648" s="5">
        <v>0.33529999999999999</v>
      </c>
      <c r="I648" s="20">
        <f t="shared" si="10"/>
        <v>65.014669999999995</v>
      </c>
      <c r="J648" s="6" t="s">
        <v>357</v>
      </c>
    </row>
    <row r="649" spans="1:10" hidden="1">
      <c r="A649" s="9">
        <v>45813</v>
      </c>
      <c r="B649" s="216" t="s">
        <v>6920</v>
      </c>
      <c r="C649" s="5" t="s">
        <v>6903</v>
      </c>
      <c r="D649" s="8" t="s">
        <v>354</v>
      </c>
      <c r="E649" s="25" t="s">
        <v>1024</v>
      </c>
      <c r="F649" s="6" t="s">
        <v>655</v>
      </c>
      <c r="G649" s="31">
        <v>137.4</v>
      </c>
      <c r="H649" s="5">
        <v>0.33529999999999999</v>
      </c>
      <c r="I649" s="20">
        <f t="shared" si="10"/>
        <v>46.070219999999999</v>
      </c>
      <c r="J649" s="6" t="s">
        <v>357</v>
      </c>
    </row>
    <row r="650" spans="1:10" hidden="1">
      <c r="A650" s="9">
        <v>45813</v>
      </c>
      <c r="B650" s="216" t="s">
        <v>6928</v>
      </c>
      <c r="C650" s="5" t="s">
        <v>6910</v>
      </c>
      <c r="D650" s="8" t="s">
        <v>354</v>
      </c>
      <c r="E650" s="25" t="s">
        <v>1024</v>
      </c>
      <c r="F650" s="6" t="s">
        <v>655</v>
      </c>
      <c r="G650" s="31">
        <v>193.9</v>
      </c>
      <c r="H650" s="5">
        <v>0.33529999999999999</v>
      </c>
      <c r="I650" s="20">
        <f t="shared" si="10"/>
        <v>65.014669999999995</v>
      </c>
      <c r="J650" s="6" t="s">
        <v>357</v>
      </c>
    </row>
    <row r="651" spans="1:10" hidden="1">
      <c r="A651" s="9">
        <v>45813</v>
      </c>
      <c r="B651" s="6" t="s">
        <v>1182</v>
      </c>
      <c r="C651" s="5" t="s">
        <v>1181</v>
      </c>
      <c r="D651" s="8" t="s">
        <v>354</v>
      </c>
      <c r="E651" s="6" t="s">
        <v>1024</v>
      </c>
      <c r="F651" s="6" t="s">
        <v>655</v>
      </c>
      <c r="G651" s="5">
        <v>106.5</v>
      </c>
      <c r="H651" s="5">
        <v>0.33529999999999999</v>
      </c>
      <c r="I651" s="20">
        <f t="shared" si="10"/>
        <v>35.709449999999997</v>
      </c>
      <c r="J651" s="6" t="s">
        <v>357</v>
      </c>
    </row>
    <row r="652" spans="1:10" hidden="1">
      <c r="A652" s="9">
        <v>45813</v>
      </c>
      <c r="B652" s="6" t="s">
        <v>1184</v>
      </c>
      <c r="C652" s="5" t="s">
        <v>1183</v>
      </c>
      <c r="D652" s="8" t="s">
        <v>354</v>
      </c>
      <c r="E652" s="6" t="s">
        <v>1024</v>
      </c>
      <c r="F652" s="6" t="s">
        <v>655</v>
      </c>
      <c r="G652" s="5">
        <v>106.5</v>
      </c>
      <c r="H652" s="5">
        <v>0.33529999999999999</v>
      </c>
      <c r="I652" s="20">
        <f t="shared" si="10"/>
        <v>35.709449999999997</v>
      </c>
      <c r="J652" s="6" t="s">
        <v>357</v>
      </c>
    </row>
    <row r="653" spans="1:10" hidden="1">
      <c r="A653" s="9">
        <v>45813</v>
      </c>
      <c r="B653" s="6" t="s">
        <v>1186</v>
      </c>
      <c r="C653" s="5" t="s">
        <v>1185</v>
      </c>
      <c r="D653" s="8" t="s">
        <v>354</v>
      </c>
      <c r="E653" s="6" t="s">
        <v>1024</v>
      </c>
      <c r="F653" s="6" t="s">
        <v>655</v>
      </c>
      <c r="G653" s="5">
        <v>106.5</v>
      </c>
      <c r="H653" s="5">
        <v>0.33529999999999999</v>
      </c>
      <c r="I653" s="20">
        <f t="shared" si="10"/>
        <v>35.709449999999997</v>
      </c>
      <c r="J653" s="6" t="s">
        <v>357</v>
      </c>
    </row>
    <row r="654" spans="1:10" hidden="1">
      <c r="A654" s="9">
        <v>45813</v>
      </c>
      <c r="B654" s="6" t="s">
        <v>1188</v>
      </c>
      <c r="C654" s="5" t="s">
        <v>1187</v>
      </c>
      <c r="D654" s="8" t="s">
        <v>354</v>
      </c>
      <c r="E654" s="6" t="s">
        <v>1024</v>
      </c>
      <c r="F654" s="6" t="s">
        <v>655</v>
      </c>
      <c r="G654" s="5">
        <v>106.5</v>
      </c>
      <c r="H654" s="5">
        <v>0.33529999999999999</v>
      </c>
      <c r="I654" s="20">
        <f t="shared" si="10"/>
        <v>35.709449999999997</v>
      </c>
      <c r="J654" s="6" t="s">
        <v>357</v>
      </c>
    </row>
    <row r="655" spans="1:10" hidden="1">
      <c r="A655" s="9">
        <v>45813</v>
      </c>
      <c r="B655" s="6" t="s">
        <v>1190</v>
      </c>
      <c r="C655" s="5" t="s">
        <v>1189</v>
      </c>
      <c r="D655" s="8" t="s">
        <v>354</v>
      </c>
      <c r="E655" s="6" t="s">
        <v>1024</v>
      </c>
      <c r="F655" s="6" t="s">
        <v>655</v>
      </c>
      <c r="G655" s="5">
        <v>106.5</v>
      </c>
      <c r="H655" s="5">
        <v>0.33529999999999999</v>
      </c>
      <c r="I655" s="20">
        <f t="shared" si="10"/>
        <v>35.709449999999997</v>
      </c>
      <c r="J655" s="6" t="s">
        <v>357</v>
      </c>
    </row>
    <row r="656" spans="1:10" hidden="1">
      <c r="A656" s="9">
        <v>45813</v>
      </c>
      <c r="B656" s="6" t="s">
        <v>1192</v>
      </c>
      <c r="C656" s="5" t="s">
        <v>1191</v>
      </c>
      <c r="D656" s="8" t="s">
        <v>354</v>
      </c>
      <c r="E656" s="6" t="s">
        <v>1024</v>
      </c>
      <c r="F656" s="6" t="s">
        <v>655</v>
      </c>
      <c r="G656" s="5">
        <v>109.6</v>
      </c>
      <c r="H656" s="5">
        <v>0.33529999999999999</v>
      </c>
      <c r="I656" s="20">
        <f t="shared" si="10"/>
        <v>36.74888</v>
      </c>
      <c r="J656" s="6" t="s">
        <v>357</v>
      </c>
    </row>
    <row r="657" spans="1:10" hidden="1">
      <c r="A657" s="9">
        <v>45813</v>
      </c>
      <c r="B657" s="6" t="s">
        <v>1194</v>
      </c>
      <c r="C657" s="5" t="s">
        <v>1193</v>
      </c>
      <c r="D657" s="8" t="s">
        <v>354</v>
      </c>
      <c r="E657" s="6" t="s">
        <v>1024</v>
      </c>
      <c r="F657" s="6" t="s">
        <v>655</v>
      </c>
      <c r="G657" s="5">
        <v>151.6</v>
      </c>
      <c r="H657" s="5">
        <v>0.33529999999999999</v>
      </c>
      <c r="I657" s="20">
        <f t="shared" si="10"/>
        <v>50.831479999999999</v>
      </c>
      <c r="J657" s="6" t="s">
        <v>357</v>
      </c>
    </row>
    <row r="658" spans="1:10" hidden="1">
      <c r="A658" s="9">
        <v>45813</v>
      </c>
      <c r="B658" s="6" t="s">
        <v>1196</v>
      </c>
      <c r="C658" s="5" t="s">
        <v>1195</v>
      </c>
      <c r="D658" s="8" t="s">
        <v>354</v>
      </c>
      <c r="E658" s="6" t="s">
        <v>1024</v>
      </c>
      <c r="F658" s="6" t="s">
        <v>655</v>
      </c>
      <c r="G658" s="5">
        <v>106.5</v>
      </c>
      <c r="H658" s="5">
        <v>0.33529999999999999</v>
      </c>
      <c r="I658" s="20">
        <f t="shared" si="10"/>
        <v>35.709449999999997</v>
      </c>
      <c r="J658" s="6" t="s">
        <v>357</v>
      </c>
    </row>
    <row r="659" spans="1:10" hidden="1">
      <c r="A659" s="9">
        <v>45813</v>
      </c>
      <c r="B659" s="6" t="s">
        <v>1198</v>
      </c>
      <c r="C659" s="5" t="s">
        <v>1197</v>
      </c>
      <c r="D659" s="8" t="s">
        <v>354</v>
      </c>
      <c r="E659" s="6" t="s">
        <v>1024</v>
      </c>
      <c r="F659" s="6" t="s">
        <v>655</v>
      </c>
      <c r="G659" s="5">
        <v>151.6</v>
      </c>
      <c r="H659" s="5">
        <v>0.33529999999999999</v>
      </c>
      <c r="I659" s="20">
        <f t="shared" si="10"/>
        <v>50.831479999999999</v>
      </c>
      <c r="J659" s="6" t="s">
        <v>357</v>
      </c>
    </row>
    <row r="660" spans="1:10" hidden="1">
      <c r="A660" s="9">
        <v>45813</v>
      </c>
      <c r="B660" s="216" t="s">
        <v>6864</v>
      </c>
      <c r="C660" s="5" t="s">
        <v>6857</v>
      </c>
      <c r="D660" s="8" t="s">
        <v>354</v>
      </c>
      <c r="E660" s="25" t="s">
        <v>1024</v>
      </c>
      <c r="F660" s="6" t="s">
        <v>655</v>
      </c>
      <c r="G660" s="31">
        <v>120</v>
      </c>
      <c r="H660" s="5">
        <v>0.33529999999999999</v>
      </c>
      <c r="I660" s="20">
        <f t="shared" si="10"/>
        <v>40.235999999999997</v>
      </c>
      <c r="J660" s="6" t="s">
        <v>357</v>
      </c>
    </row>
    <row r="661" spans="1:10" hidden="1">
      <c r="A661" s="9">
        <v>45813</v>
      </c>
      <c r="B661" s="216" t="s">
        <v>6865</v>
      </c>
      <c r="C661" s="5" t="s">
        <v>6858</v>
      </c>
      <c r="D661" s="8" t="s">
        <v>354</v>
      </c>
      <c r="E661" s="25" t="s">
        <v>1024</v>
      </c>
      <c r="F661" s="6" t="s">
        <v>655</v>
      </c>
      <c r="G661" s="31">
        <v>120</v>
      </c>
      <c r="H661" s="5">
        <v>0.33529999999999999</v>
      </c>
      <c r="I661" s="20">
        <f t="shared" si="10"/>
        <v>40.235999999999997</v>
      </c>
      <c r="J661" s="6" t="s">
        <v>357</v>
      </c>
    </row>
    <row r="662" spans="1:10" hidden="1">
      <c r="A662" s="9">
        <v>45813</v>
      </c>
      <c r="B662" s="216" t="s">
        <v>6866</v>
      </c>
      <c r="C662" s="5" t="s">
        <v>6859</v>
      </c>
      <c r="D662" s="8" t="s">
        <v>354</v>
      </c>
      <c r="E662" s="25" t="s">
        <v>1024</v>
      </c>
      <c r="F662" s="6" t="s">
        <v>655</v>
      </c>
      <c r="G662" s="31">
        <v>120</v>
      </c>
      <c r="H662" s="5">
        <v>0.33529999999999999</v>
      </c>
      <c r="I662" s="20">
        <f t="shared" si="10"/>
        <v>40.235999999999997</v>
      </c>
      <c r="J662" s="6" t="s">
        <v>357</v>
      </c>
    </row>
    <row r="663" spans="1:10" hidden="1">
      <c r="A663" s="9">
        <v>45813</v>
      </c>
      <c r="B663" s="216" t="s">
        <v>6867</v>
      </c>
      <c r="C663" s="5" t="s">
        <v>6860</v>
      </c>
      <c r="D663" s="8" t="s">
        <v>354</v>
      </c>
      <c r="E663" s="25" t="s">
        <v>1024</v>
      </c>
      <c r="F663" s="6" t="s">
        <v>655</v>
      </c>
      <c r="G663" s="31">
        <v>120</v>
      </c>
      <c r="H663" s="5">
        <v>0.33529999999999999</v>
      </c>
      <c r="I663" s="20">
        <f t="shared" si="10"/>
        <v>40.235999999999997</v>
      </c>
      <c r="J663" s="6" t="s">
        <v>357</v>
      </c>
    </row>
    <row r="664" spans="1:10" hidden="1">
      <c r="A664" s="9">
        <v>45813</v>
      </c>
      <c r="B664" s="216" t="s">
        <v>6868</v>
      </c>
      <c r="C664" s="5" t="s">
        <v>6861</v>
      </c>
      <c r="D664" s="8" t="s">
        <v>354</v>
      </c>
      <c r="E664" s="25" t="s">
        <v>1024</v>
      </c>
      <c r="F664" s="6" t="s">
        <v>655</v>
      </c>
      <c r="G664" s="31">
        <v>120</v>
      </c>
      <c r="H664" s="5">
        <v>0.33529999999999999</v>
      </c>
      <c r="I664" s="20">
        <f t="shared" si="10"/>
        <v>40.235999999999997</v>
      </c>
      <c r="J664" s="6" t="s">
        <v>357</v>
      </c>
    </row>
    <row r="665" spans="1:10" hidden="1">
      <c r="A665" s="9">
        <v>45813</v>
      </c>
      <c r="B665" s="216" t="s">
        <v>6869</v>
      </c>
      <c r="C665" s="5" t="s">
        <v>6862</v>
      </c>
      <c r="D665" s="8" t="s">
        <v>354</v>
      </c>
      <c r="E665" s="25" t="s">
        <v>1024</v>
      </c>
      <c r="F665" s="6" t="s">
        <v>655</v>
      </c>
      <c r="G665" s="31">
        <v>120</v>
      </c>
      <c r="H665" s="5">
        <v>0.33529999999999999</v>
      </c>
      <c r="I665" s="20">
        <f t="shared" si="10"/>
        <v>40.235999999999997</v>
      </c>
      <c r="J665" s="6" t="s">
        <v>357</v>
      </c>
    </row>
    <row r="666" spans="1:10" hidden="1">
      <c r="A666" s="9">
        <v>45813</v>
      </c>
      <c r="B666" s="216" t="s">
        <v>6863</v>
      </c>
      <c r="C666" s="5" t="s">
        <v>6856</v>
      </c>
      <c r="D666" s="8" t="s">
        <v>354</v>
      </c>
      <c r="E666" s="25" t="s">
        <v>1024</v>
      </c>
      <c r="F666" s="6" t="s">
        <v>655</v>
      </c>
      <c r="G666" s="31">
        <v>120</v>
      </c>
      <c r="H666" s="5">
        <v>0.33529999999999999</v>
      </c>
      <c r="I666" s="20">
        <f t="shared" si="10"/>
        <v>40.235999999999997</v>
      </c>
      <c r="J666" s="6" t="s">
        <v>357</v>
      </c>
    </row>
    <row r="667" spans="1:10" hidden="1">
      <c r="A667" s="9">
        <v>45813</v>
      </c>
      <c r="B667" s="6" t="s">
        <v>1200</v>
      </c>
      <c r="C667" s="5" t="s">
        <v>1199</v>
      </c>
      <c r="D667" s="8" t="s">
        <v>354</v>
      </c>
      <c r="E667" s="6" t="s">
        <v>1024</v>
      </c>
      <c r="F667" s="6" t="s">
        <v>655</v>
      </c>
      <c r="G667" s="5">
        <v>93.1</v>
      </c>
      <c r="H667" s="5">
        <v>0.33529999999999999</v>
      </c>
      <c r="I667" s="20">
        <f t="shared" si="10"/>
        <v>31.216429999999995</v>
      </c>
      <c r="J667" s="6" t="s">
        <v>357</v>
      </c>
    </row>
    <row r="668" spans="1:10" hidden="1">
      <c r="A668" s="9">
        <v>45813</v>
      </c>
      <c r="B668" s="6" t="s">
        <v>1202</v>
      </c>
      <c r="C668" s="5" t="s">
        <v>1201</v>
      </c>
      <c r="D668" s="8" t="s">
        <v>354</v>
      </c>
      <c r="E668" s="6" t="s">
        <v>1024</v>
      </c>
      <c r="F668" s="6" t="s">
        <v>655</v>
      </c>
      <c r="G668" s="5">
        <v>93.1</v>
      </c>
      <c r="H668" s="5">
        <v>0.33529999999999999</v>
      </c>
      <c r="I668" s="20">
        <f t="shared" si="10"/>
        <v>31.216429999999995</v>
      </c>
      <c r="J668" s="6" t="s">
        <v>357</v>
      </c>
    </row>
    <row r="669" spans="1:10" hidden="1">
      <c r="A669" s="9">
        <v>45813</v>
      </c>
      <c r="B669" s="6" t="s">
        <v>1204</v>
      </c>
      <c r="C669" s="5" t="s">
        <v>1203</v>
      </c>
      <c r="D669" s="8" t="s">
        <v>354</v>
      </c>
      <c r="E669" s="6" t="s">
        <v>1024</v>
      </c>
      <c r="F669" s="6" t="s">
        <v>655</v>
      </c>
      <c r="G669" s="5">
        <v>93.1</v>
      </c>
      <c r="H669" s="5">
        <v>0.33529999999999999</v>
      </c>
      <c r="I669" s="20">
        <f t="shared" si="10"/>
        <v>31.216429999999995</v>
      </c>
      <c r="J669" s="6" t="s">
        <v>357</v>
      </c>
    </row>
    <row r="670" spans="1:10" hidden="1">
      <c r="A670" s="9">
        <v>45813</v>
      </c>
      <c r="B670" s="6" t="s">
        <v>1206</v>
      </c>
      <c r="C670" s="5" t="s">
        <v>1205</v>
      </c>
      <c r="D670" s="8" t="s">
        <v>354</v>
      </c>
      <c r="E670" s="6" t="s">
        <v>1024</v>
      </c>
      <c r="F670" s="6" t="s">
        <v>655</v>
      </c>
      <c r="G670" s="5">
        <v>93.1</v>
      </c>
      <c r="H670" s="5">
        <v>0.33529999999999999</v>
      </c>
      <c r="I670" s="20">
        <f t="shared" si="10"/>
        <v>31.216429999999995</v>
      </c>
      <c r="J670" s="6" t="s">
        <v>357</v>
      </c>
    </row>
    <row r="671" spans="1:10" hidden="1">
      <c r="A671" s="9">
        <v>45813</v>
      </c>
      <c r="B671" s="6" t="s">
        <v>1208</v>
      </c>
      <c r="C671" s="5" t="s">
        <v>1207</v>
      </c>
      <c r="D671" s="8" t="s">
        <v>354</v>
      </c>
      <c r="E671" s="6" t="s">
        <v>1024</v>
      </c>
      <c r="F671" s="6" t="s">
        <v>655</v>
      </c>
      <c r="G671" s="5">
        <v>93.1</v>
      </c>
      <c r="H671" s="5">
        <v>0.33529999999999999</v>
      </c>
      <c r="I671" s="20">
        <f t="shared" si="10"/>
        <v>31.216429999999995</v>
      </c>
      <c r="J671" s="6" t="s">
        <v>357</v>
      </c>
    </row>
    <row r="672" spans="1:10" hidden="1">
      <c r="A672" s="9">
        <v>45813</v>
      </c>
      <c r="B672" s="6" t="s">
        <v>1210</v>
      </c>
      <c r="C672" s="5" t="s">
        <v>1209</v>
      </c>
      <c r="D672" s="8" t="s">
        <v>354</v>
      </c>
      <c r="E672" s="6" t="s">
        <v>1024</v>
      </c>
      <c r="F672" s="6" t="s">
        <v>655</v>
      </c>
      <c r="G672" s="5">
        <v>95.4</v>
      </c>
      <c r="H672" s="5">
        <v>0.33529999999999999</v>
      </c>
      <c r="I672" s="20">
        <f t="shared" si="10"/>
        <v>31.98762</v>
      </c>
      <c r="J672" s="6" t="s">
        <v>357</v>
      </c>
    </row>
    <row r="673" spans="1:10" hidden="1">
      <c r="A673" s="9">
        <v>45813</v>
      </c>
      <c r="B673" s="6" t="s">
        <v>1212</v>
      </c>
      <c r="C673" s="5" t="s">
        <v>1211</v>
      </c>
      <c r="D673" s="8" t="s">
        <v>354</v>
      </c>
      <c r="E673" s="6" t="s">
        <v>1024</v>
      </c>
      <c r="F673" s="6" t="s">
        <v>655</v>
      </c>
      <c r="G673" s="5">
        <v>93.1</v>
      </c>
      <c r="H673" s="5">
        <v>0.33529999999999999</v>
      </c>
      <c r="I673" s="20">
        <f t="shared" si="10"/>
        <v>31.216429999999995</v>
      </c>
      <c r="J673" s="6" t="s">
        <v>357</v>
      </c>
    </row>
    <row r="674" spans="1:10" hidden="1">
      <c r="A674" s="9">
        <v>45813</v>
      </c>
      <c r="B674" s="216" t="s">
        <v>6930</v>
      </c>
      <c r="C674" s="5" t="s">
        <v>6911</v>
      </c>
      <c r="D674" s="8" t="s">
        <v>354</v>
      </c>
      <c r="E674" s="25" t="s">
        <v>1024</v>
      </c>
      <c r="F674" s="6" t="s">
        <v>655</v>
      </c>
      <c r="G674" s="31">
        <v>223.8</v>
      </c>
      <c r="H674" s="5">
        <v>0.33529999999999999</v>
      </c>
      <c r="I674" s="20">
        <f t="shared" si="10"/>
        <v>75.040139999999994</v>
      </c>
      <c r="J674" s="6" t="s">
        <v>357</v>
      </c>
    </row>
    <row r="675" spans="1:10" hidden="1">
      <c r="A675" s="9">
        <v>45813</v>
      </c>
      <c r="B675" s="216" t="s">
        <v>6931</v>
      </c>
      <c r="C675" s="5" t="s">
        <v>6912</v>
      </c>
      <c r="D675" s="8" t="s">
        <v>354</v>
      </c>
      <c r="E675" s="25" t="s">
        <v>1024</v>
      </c>
      <c r="F675" s="6" t="s">
        <v>655</v>
      </c>
      <c r="G675" s="31">
        <v>223.8</v>
      </c>
      <c r="H675" s="5">
        <v>0.33529999999999999</v>
      </c>
      <c r="I675" s="20">
        <f t="shared" si="10"/>
        <v>75.040139999999994</v>
      </c>
      <c r="J675" s="6" t="s">
        <v>357</v>
      </c>
    </row>
    <row r="676" spans="1:10" hidden="1">
      <c r="A676" s="9">
        <v>45813</v>
      </c>
      <c r="B676" s="216" t="s">
        <v>6932</v>
      </c>
      <c r="C676" s="5" t="s">
        <v>6913</v>
      </c>
      <c r="D676" s="8" t="s">
        <v>354</v>
      </c>
      <c r="E676" s="25" t="s">
        <v>1024</v>
      </c>
      <c r="F676" s="6" t="s">
        <v>655</v>
      </c>
      <c r="G676" s="31">
        <v>223.8</v>
      </c>
      <c r="H676" s="5">
        <v>0.33529999999999999</v>
      </c>
      <c r="I676" s="20">
        <f t="shared" si="10"/>
        <v>75.040139999999994</v>
      </c>
      <c r="J676" s="6" t="s">
        <v>357</v>
      </c>
    </row>
    <row r="677" spans="1:10" hidden="1">
      <c r="A677" s="9">
        <v>45813</v>
      </c>
      <c r="B677" s="216" t="s">
        <v>6933</v>
      </c>
      <c r="C677" s="5" t="s">
        <v>6914</v>
      </c>
      <c r="D677" s="8" t="s">
        <v>354</v>
      </c>
      <c r="E677" s="25" t="s">
        <v>1024</v>
      </c>
      <c r="F677" s="6" t="s">
        <v>655</v>
      </c>
      <c r="G677" s="31">
        <v>223.8</v>
      </c>
      <c r="H677" s="5">
        <v>0.33529999999999999</v>
      </c>
      <c r="I677" s="20">
        <f t="shared" si="10"/>
        <v>75.040139999999994</v>
      </c>
      <c r="J677" s="6" t="s">
        <v>357</v>
      </c>
    </row>
    <row r="678" spans="1:10" hidden="1">
      <c r="A678" s="9">
        <v>45813</v>
      </c>
      <c r="B678" s="216" t="s">
        <v>6934</v>
      </c>
      <c r="C678" s="5" t="s">
        <v>6915</v>
      </c>
      <c r="D678" s="8" t="s">
        <v>354</v>
      </c>
      <c r="E678" s="25" t="s">
        <v>1024</v>
      </c>
      <c r="F678" s="6" t="s">
        <v>655</v>
      </c>
      <c r="G678" s="31">
        <v>223.8</v>
      </c>
      <c r="H678" s="5">
        <v>0.33529999999999999</v>
      </c>
      <c r="I678" s="20">
        <f t="shared" si="10"/>
        <v>75.040139999999994</v>
      </c>
      <c r="J678" s="6" t="s">
        <v>357</v>
      </c>
    </row>
    <row r="679" spans="1:10" hidden="1">
      <c r="A679" s="9">
        <v>45813</v>
      </c>
      <c r="B679" s="216" t="s">
        <v>6935</v>
      </c>
      <c r="C679" s="5" t="s">
        <v>6916</v>
      </c>
      <c r="D679" s="8" t="s">
        <v>354</v>
      </c>
      <c r="E679" s="25" t="s">
        <v>1024</v>
      </c>
      <c r="F679" s="6" t="s">
        <v>655</v>
      </c>
      <c r="G679" s="31">
        <v>223.8</v>
      </c>
      <c r="H679" s="5">
        <v>0.33529999999999999</v>
      </c>
      <c r="I679" s="20">
        <f t="shared" si="10"/>
        <v>75.040139999999994</v>
      </c>
      <c r="J679" s="6" t="s">
        <v>357</v>
      </c>
    </row>
    <row r="680" spans="1:10" hidden="1">
      <c r="A680" s="9">
        <v>45813</v>
      </c>
      <c r="B680" s="216" t="s">
        <v>6936</v>
      </c>
      <c r="C680" s="5" t="s">
        <v>6917</v>
      </c>
      <c r="D680" s="8" t="s">
        <v>354</v>
      </c>
      <c r="E680" s="25" t="s">
        <v>1024</v>
      </c>
      <c r="F680" s="6" t="s">
        <v>655</v>
      </c>
      <c r="G680" s="31">
        <v>312.8</v>
      </c>
      <c r="H680" s="5">
        <v>0.33529999999999999</v>
      </c>
      <c r="I680" s="20">
        <f t="shared" si="10"/>
        <v>104.88184</v>
      </c>
      <c r="J680" s="6" t="s">
        <v>357</v>
      </c>
    </row>
    <row r="681" spans="1:10" hidden="1">
      <c r="A681" s="9">
        <v>45813</v>
      </c>
      <c r="B681" s="216" t="s">
        <v>6929</v>
      </c>
      <c r="C681" s="5" t="s">
        <v>6919</v>
      </c>
      <c r="D681" s="8" t="s">
        <v>354</v>
      </c>
      <c r="E681" s="25" t="s">
        <v>1024</v>
      </c>
      <c r="F681" s="6" t="s">
        <v>655</v>
      </c>
      <c r="G681" s="31">
        <v>223.8</v>
      </c>
      <c r="H681" s="5">
        <v>0.33529999999999999</v>
      </c>
      <c r="I681" s="20">
        <f t="shared" si="10"/>
        <v>75.040139999999994</v>
      </c>
      <c r="J681" s="6" t="s">
        <v>357</v>
      </c>
    </row>
    <row r="682" spans="1:10" hidden="1">
      <c r="A682" s="9">
        <v>45813</v>
      </c>
      <c r="B682" s="216" t="s">
        <v>6937</v>
      </c>
      <c r="C682" s="5" t="s">
        <v>6918</v>
      </c>
      <c r="D682" s="8" t="s">
        <v>354</v>
      </c>
      <c r="E682" s="25" t="s">
        <v>1024</v>
      </c>
      <c r="F682" s="6" t="s">
        <v>655</v>
      </c>
      <c r="G682" s="31">
        <v>312.8</v>
      </c>
      <c r="H682" s="5">
        <v>0.33529999999999999</v>
      </c>
      <c r="I682" s="20">
        <f t="shared" si="10"/>
        <v>104.88184</v>
      </c>
      <c r="J682" s="6" t="s">
        <v>357</v>
      </c>
    </row>
    <row r="683" spans="1:10" hidden="1">
      <c r="A683" s="9">
        <v>45813</v>
      </c>
      <c r="B683" s="6" t="s">
        <v>1214</v>
      </c>
      <c r="C683" s="5" t="s">
        <v>1213</v>
      </c>
      <c r="D683" s="8" t="s">
        <v>354</v>
      </c>
      <c r="E683" s="6" t="s">
        <v>1024</v>
      </c>
      <c r="F683" s="6" t="s">
        <v>655</v>
      </c>
      <c r="G683" s="5">
        <v>164.7</v>
      </c>
      <c r="H683" s="5">
        <v>0.33529999999999999</v>
      </c>
      <c r="I683" s="20">
        <f t="shared" si="10"/>
        <v>55.223909999999997</v>
      </c>
      <c r="J683" s="6" t="s">
        <v>357</v>
      </c>
    </row>
    <row r="684" spans="1:10" hidden="1">
      <c r="A684" s="9">
        <v>45813</v>
      </c>
      <c r="B684" s="6" t="s">
        <v>1216</v>
      </c>
      <c r="C684" s="5" t="s">
        <v>1215</v>
      </c>
      <c r="D684" s="8" t="s">
        <v>354</v>
      </c>
      <c r="E684" s="6" t="s">
        <v>1024</v>
      </c>
      <c r="F684" s="6" t="s">
        <v>655</v>
      </c>
      <c r="G684" s="5">
        <v>164.7</v>
      </c>
      <c r="H684" s="5">
        <v>0.33529999999999999</v>
      </c>
      <c r="I684" s="20">
        <f t="shared" si="10"/>
        <v>55.223909999999997</v>
      </c>
      <c r="J684" s="6" t="s">
        <v>357</v>
      </c>
    </row>
    <row r="685" spans="1:10" hidden="1">
      <c r="A685" s="9">
        <v>45813</v>
      </c>
      <c r="B685" s="6" t="s">
        <v>1218</v>
      </c>
      <c r="C685" s="5" t="s">
        <v>1217</v>
      </c>
      <c r="D685" s="8" t="s">
        <v>354</v>
      </c>
      <c r="E685" s="6" t="s">
        <v>1024</v>
      </c>
      <c r="F685" s="6" t="s">
        <v>655</v>
      </c>
      <c r="G685" s="5">
        <v>164.7</v>
      </c>
      <c r="H685" s="5">
        <v>0.33529999999999999</v>
      </c>
      <c r="I685" s="20">
        <f t="shared" si="10"/>
        <v>55.223909999999997</v>
      </c>
      <c r="J685" s="6" t="s">
        <v>357</v>
      </c>
    </row>
    <row r="686" spans="1:10" hidden="1">
      <c r="A686" s="9">
        <v>45813</v>
      </c>
      <c r="B686" s="6" t="s">
        <v>1220</v>
      </c>
      <c r="C686" s="5" t="s">
        <v>1219</v>
      </c>
      <c r="D686" s="8" t="s">
        <v>354</v>
      </c>
      <c r="E686" s="6" t="s">
        <v>1024</v>
      </c>
      <c r="F686" s="6" t="s">
        <v>655</v>
      </c>
      <c r="G686" s="5">
        <v>164.7</v>
      </c>
      <c r="H686" s="5">
        <v>0.33529999999999999</v>
      </c>
      <c r="I686" s="20">
        <f t="shared" si="10"/>
        <v>55.223909999999997</v>
      </c>
      <c r="J686" s="6" t="s">
        <v>357</v>
      </c>
    </row>
    <row r="687" spans="1:10" hidden="1">
      <c r="A687" s="9">
        <v>45813</v>
      </c>
      <c r="B687" s="6" t="s">
        <v>1222</v>
      </c>
      <c r="C687" s="5" t="s">
        <v>1221</v>
      </c>
      <c r="D687" s="8" t="s">
        <v>354</v>
      </c>
      <c r="E687" s="6" t="s">
        <v>1024</v>
      </c>
      <c r="F687" s="6" t="s">
        <v>655</v>
      </c>
      <c r="G687" s="5">
        <v>164.7</v>
      </c>
      <c r="H687" s="5">
        <v>0.33529999999999999</v>
      </c>
      <c r="I687" s="20">
        <f t="shared" si="10"/>
        <v>55.223909999999997</v>
      </c>
      <c r="J687" s="6" t="s">
        <v>357</v>
      </c>
    </row>
    <row r="688" spans="1:10" hidden="1">
      <c r="A688" s="9">
        <v>45813</v>
      </c>
      <c r="B688" s="6" t="s">
        <v>1224</v>
      </c>
      <c r="C688" s="5" t="s">
        <v>1223</v>
      </c>
      <c r="D688" s="8" t="s">
        <v>354</v>
      </c>
      <c r="E688" s="6" t="s">
        <v>1024</v>
      </c>
      <c r="F688" s="6" t="s">
        <v>655</v>
      </c>
      <c r="G688" s="5">
        <v>167.9</v>
      </c>
      <c r="H688" s="5">
        <v>0.33529999999999999</v>
      </c>
      <c r="I688" s="20">
        <f t="shared" si="10"/>
        <v>56.296869999999998</v>
      </c>
      <c r="J688" s="6" t="s">
        <v>357</v>
      </c>
    </row>
    <row r="689" spans="1:10" hidden="1">
      <c r="A689" s="9">
        <v>45813</v>
      </c>
      <c r="B689" s="6" t="s">
        <v>1226</v>
      </c>
      <c r="C689" s="5" t="s">
        <v>1225</v>
      </c>
      <c r="D689" s="8" t="s">
        <v>354</v>
      </c>
      <c r="E689" s="6" t="s">
        <v>1024</v>
      </c>
      <c r="F689" s="6" t="s">
        <v>655</v>
      </c>
      <c r="G689" s="5">
        <v>236.5</v>
      </c>
      <c r="H689" s="5">
        <v>0.33529999999999999</v>
      </c>
      <c r="I689" s="20">
        <f t="shared" si="10"/>
        <v>79.298450000000003</v>
      </c>
      <c r="J689" s="6" t="s">
        <v>357</v>
      </c>
    </row>
    <row r="690" spans="1:10" hidden="1">
      <c r="A690" s="9">
        <v>45813</v>
      </c>
      <c r="B690" s="6" t="s">
        <v>1228</v>
      </c>
      <c r="C690" s="5" t="s">
        <v>1227</v>
      </c>
      <c r="D690" s="8" t="s">
        <v>354</v>
      </c>
      <c r="E690" s="6" t="s">
        <v>1024</v>
      </c>
      <c r="F690" s="6" t="s">
        <v>655</v>
      </c>
      <c r="G690" s="5">
        <v>164.7</v>
      </c>
      <c r="H690" s="5">
        <v>0.33529999999999999</v>
      </c>
      <c r="I690" s="20">
        <f t="shared" si="10"/>
        <v>55.223909999999997</v>
      </c>
      <c r="J690" s="6" t="s">
        <v>357</v>
      </c>
    </row>
    <row r="691" spans="1:10" hidden="1">
      <c r="A691" s="9">
        <v>45813</v>
      </c>
      <c r="B691" s="6" t="s">
        <v>1230</v>
      </c>
      <c r="C691" s="5" t="s">
        <v>1229</v>
      </c>
      <c r="D691" s="8" t="s">
        <v>354</v>
      </c>
      <c r="E691" s="6" t="s">
        <v>1024</v>
      </c>
      <c r="F691" s="6" t="s">
        <v>655</v>
      </c>
      <c r="G691" s="5">
        <v>236.4</v>
      </c>
      <c r="H691" s="5">
        <v>0.33529999999999999</v>
      </c>
      <c r="I691" s="20">
        <f t="shared" si="10"/>
        <v>79.264920000000004</v>
      </c>
      <c r="J691" s="6" t="s">
        <v>357</v>
      </c>
    </row>
    <row r="692" spans="1:10" hidden="1">
      <c r="A692" s="9">
        <v>45813</v>
      </c>
      <c r="B692" s="216" t="s">
        <v>6878</v>
      </c>
      <c r="C692" s="5" t="s">
        <v>6871</v>
      </c>
      <c r="D692" s="8" t="s">
        <v>354</v>
      </c>
      <c r="E692" s="25" t="s">
        <v>1024</v>
      </c>
      <c r="F692" s="6" t="s">
        <v>655</v>
      </c>
      <c r="G692" s="31">
        <v>175.6</v>
      </c>
      <c r="H692" s="5">
        <v>0.33529999999999999</v>
      </c>
      <c r="I692" s="20">
        <f t="shared" si="10"/>
        <v>58.878679999999996</v>
      </c>
      <c r="J692" s="6" t="s">
        <v>357</v>
      </c>
    </row>
    <row r="693" spans="1:10" hidden="1">
      <c r="A693" s="9">
        <v>45813</v>
      </c>
      <c r="B693" s="216" t="s">
        <v>6879</v>
      </c>
      <c r="C693" s="5" t="s">
        <v>6872</v>
      </c>
      <c r="D693" s="8" t="s">
        <v>354</v>
      </c>
      <c r="E693" s="25" t="s">
        <v>1024</v>
      </c>
      <c r="F693" s="6" t="s">
        <v>655</v>
      </c>
      <c r="G693" s="31">
        <v>175.6</v>
      </c>
      <c r="H693" s="5">
        <v>0.33529999999999999</v>
      </c>
      <c r="I693" s="20">
        <f t="shared" si="10"/>
        <v>58.878679999999996</v>
      </c>
      <c r="J693" s="6" t="s">
        <v>357</v>
      </c>
    </row>
    <row r="694" spans="1:10" hidden="1">
      <c r="A694" s="9">
        <v>45813</v>
      </c>
      <c r="B694" s="216" t="s">
        <v>6880</v>
      </c>
      <c r="C694" s="5" t="s">
        <v>6873</v>
      </c>
      <c r="D694" s="8" t="s">
        <v>354</v>
      </c>
      <c r="E694" s="25" t="s">
        <v>1024</v>
      </c>
      <c r="F694" s="6" t="s">
        <v>655</v>
      </c>
      <c r="G694" s="31">
        <v>175.6</v>
      </c>
      <c r="H694" s="5">
        <v>0.33529999999999999</v>
      </c>
      <c r="I694" s="20">
        <f t="shared" si="10"/>
        <v>58.878679999999996</v>
      </c>
      <c r="J694" s="6" t="s">
        <v>357</v>
      </c>
    </row>
    <row r="695" spans="1:10" hidden="1">
      <c r="A695" s="9">
        <v>45813</v>
      </c>
      <c r="B695" s="216" t="s">
        <v>6881</v>
      </c>
      <c r="C695" s="5" t="s">
        <v>6874</v>
      </c>
      <c r="D695" s="8" t="s">
        <v>354</v>
      </c>
      <c r="E695" s="25" t="s">
        <v>1024</v>
      </c>
      <c r="F695" s="6" t="s">
        <v>655</v>
      </c>
      <c r="G695" s="31">
        <v>175.6</v>
      </c>
      <c r="H695" s="5">
        <v>0.33529999999999999</v>
      </c>
      <c r="I695" s="20">
        <f t="shared" si="10"/>
        <v>58.878679999999996</v>
      </c>
      <c r="J695" s="6" t="s">
        <v>357</v>
      </c>
    </row>
    <row r="696" spans="1:10" hidden="1">
      <c r="A696" s="9">
        <v>45813</v>
      </c>
      <c r="B696" s="216" t="s">
        <v>6882</v>
      </c>
      <c r="C696" s="5" t="s">
        <v>6875</v>
      </c>
      <c r="D696" s="8" t="s">
        <v>354</v>
      </c>
      <c r="E696" s="25" t="s">
        <v>1024</v>
      </c>
      <c r="F696" s="6" t="s">
        <v>655</v>
      </c>
      <c r="G696" s="31">
        <v>175.6</v>
      </c>
      <c r="H696" s="5">
        <v>0.33529999999999999</v>
      </c>
      <c r="I696" s="20">
        <f t="shared" si="10"/>
        <v>58.878679999999996</v>
      </c>
      <c r="J696" s="6" t="s">
        <v>357</v>
      </c>
    </row>
    <row r="697" spans="1:10" hidden="1">
      <c r="A697" s="9">
        <v>45813</v>
      </c>
      <c r="B697" s="216" t="s">
        <v>6883</v>
      </c>
      <c r="C697" s="5" t="s">
        <v>6876</v>
      </c>
      <c r="D697" s="8" t="s">
        <v>354</v>
      </c>
      <c r="E697" s="25" t="s">
        <v>1024</v>
      </c>
      <c r="F697" s="6" t="s">
        <v>655</v>
      </c>
      <c r="G697" s="31">
        <v>175.6</v>
      </c>
      <c r="H697" s="5">
        <v>0.33529999999999999</v>
      </c>
      <c r="I697" s="20">
        <f t="shared" si="10"/>
        <v>58.878679999999996</v>
      </c>
      <c r="J697" s="6" t="s">
        <v>357</v>
      </c>
    </row>
    <row r="698" spans="1:10" hidden="1">
      <c r="A698" s="9">
        <v>45813</v>
      </c>
      <c r="B698" s="216" t="s">
        <v>6877</v>
      </c>
      <c r="C698" s="5" t="s">
        <v>6870</v>
      </c>
      <c r="D698" s="8" t="s">
        <v>354</v>
      </c>
      <c r="E698" s="25" t="s">
        <v>1024</v>
      </c>
      <c r="F698" s="6" t="s">
        <v>655</v>
      </c>
      <c r="G698" s="31">
        <v>175.6</v>
      </c>
      <c r="H698" s="5">
        <v>0.33529999999999999</v>
      </c>
      <c r="I698" s="20">
        <f t="shared" si="10"/>
        <v>58.878679999999996</v>
      </c>
      <c r="J698" s="6" t="s">
        <v>357</v>
      </c>
    </row>
    <row r="699" spans="1:10" hidden="1">
      <c r="A699" s="9">
        <v>45813</v>
      </c>
      <c r="B699" s="6" t="s">
        <v>1232</v>
      </c>
      <c r="C699" s="5" t="s">
        <v>1231</v>
      </c>
      <c r="D699" s="8" t="s">
        <v>354</v>
      </c>
      <c r="E699" s="6" t="s">
        <v>1024</v>
      </c>
      <c r="F699" s="6" t="s">
        <v>655</v>
      </c>
      <c r="G699" s="5">
        <v>138.80000000000001</v>
      </c>
      <c r="H699" s="5">
        <v>0.33529999999999999</v>
      </c>
      <c r="I699" s="20">
        <f t="shared" si="10"/>
        <v>46.539639999999999</v>
      </c>
      <c r="J699" s="6" t="s">
        <v>357</v>
      </c>
    </row>
    <row r="700" spans="1:10" hidden="1">
      <c r="A700" s="9">
        <v>45813</v>
      </c>
      <c r="B700" s="6" t="s">
        <v>1234</v>
      </c>
      <c r="C700" s="5" t="s">
        <v>1233</v>
      </c>
      <c r="D700" s="8" t="s">
        <v>354</v>
      </c>
      <c r="E700" s="6" t="s">
        <v>1024</v>
      </c>
      <c r="F700" s="6" t="s">
        <v>655</v>
      </c>
      <c r="G700" s="5">
        <v>138.80000000000001</v>
      </c>
      <c r="H700" s="5">
        <v>0.33529999999999999</v>
      </c>
      <c r="I700" s="20">
        <f t="shared" si="10"/>
        <v>46.539639999999999</v>
      </c>
      <c r="J700" s="6" t="s">
        <v>357</v>
      </c>
    </row>
    <row r="701" spans="1:10" hidden="1">
      <c r="A701" s="9">
        <v>45813</v>
      </c>
      <c r="B701" s="6" t="s">
        <v>1236</v>
      </c>
      <c r="C701" s="5" t="s">
        <v>1235</v>
      </c>
      <c r="D701" s="8" t="s">
        <v>354</v>
      </c>
      <c r="E701" s="6" t="s">
        <v>1024</v>
      </c>
      <c r="F701" s="6" t="s">
        <v>655</v>
      </c>
      <c r="G701" s="5">
        <v>138.80000000000001</v>
      </c>
      <c r="H701" s="5">
        <v>0.33529999999999999</v>
      </c>
      <c r="I701" s="20">
        <f t="shared" si="10"/>
        <v>46.539639999999999</v>
      </c>
      <c r="J701" s="6" t="s">
        <v>357</v>
      </c>
    </row>
    <row r="702" spans="1:10" hidden="1">
      <c r="A702" s="9">
        <v>45813</v>
      </c>
      <c r="B702" s="6" t="s">
        <v>1238</v>
      </c>
      <c r="C702" s="5" t="s">
        <v>1237</v>
      </c>
      <c r="D702" s="8" t="s">
        <v>354</v>
      </c>
      <c r="E702" s="6" t="s">
        <v>1024</v>
      </c>
      <c r="F702" s="6" t="s">
        <v>655</v>
      </c>
      <c r="G702" s="5">
        <v>138.80000000000001</v>
      </c>
      <c r="H702" s="5">
        <v>0.33529999999999999</v>
      </c>
      <c r="I702" s="20">
        <f t="shared" si="10"/>
        <v>46.539639999999999</v>
      </c>
      <c r="J702" s="6" t="s">
        <v>357</v>
      </c>
    </row>
    <row r="703" spans="1:10" hidden="1">
      <c r="A703" s="9">
        <v>45813</v>
      </c>
      <c r="B703" s="6" t="s">
        <v>1240</v>
      </c>
      <c r="C703" s="5" t="s">
        <v>1239</v>
      </c>
      <c r="D703" s="8" t="s">
        <v>354</v>
      </c>
      <c r="E703" s="6" t="s">
        <v>1024</v>
      </c>
      <c r="F703" s="6" t="s">
        <v>655</v>
      </c>
      <c r="G703" s="5">
        <v>138.80000000000001</v>
      </c>
      <c r="H703" s="5">
        <v>0.33529999999999999</v>
      </c>
      <c r="I703" s="20">
        <f t="shared" si="10"/>
        <v>46.539639999999999</v>
      </c>
      <c r="J703" s="6" t="s">
        <v>357</v>
      </c>
    </row>
    <row r="704" spans="1:10" hidden="1">
      <c r="A704" s="9">
        <v>45813</v>
      </c>
      <c r="B704" s="6" t="s">
        <v>1242</v>
      </c>
      <c r="C704" s="5" t="s">
        <v>1241</v>
      </c>
      <c r="D704" s="8" t="s">
        <v>354</v>
      </c>
      <c r="E704" s="6" t="s">
        <v>1024</v>
      </c>
      <c r="F704" s="6" t="s">
        <v>655</v>
      </c>
      <c r="G704" s="5">
        <v>141.1</v>
      </c>
      <c r="H704" s="5">
        <v>0.33529999999999999</v>
      </c>
      <c r="I704" s="20">
        <f t="shared" si="10"/>
        <v>47.310829999999996</v>
      </c>
      <c r="J704" s="6" t="s">
        <v>357</v>
      </c>
    </row>
    <row r="705" spans="1:10" hidden="1">
      <c r="A705" s="9">
        <v>45813</v>
      </c>
      <c r="B705" s="6" t="s">
        <v>1244</v>
      </c>
      <c r="C705" s="5" t="s">
        <v>1243</v>
      </c>
      <c r="D705" s="8" t="s">
        <v>354</v>
      </c>
      <c r="E705" s="6" t="s">
        <v>1024</v>
      </c>
      <c r="F705" s="6" t="s">
        <v>655</v>
      </c>
      <c r="G705" s="5">
        <v>138.80000000000001</v>
      </c>
      <c r="H705" s="5">
        <v>0.33529999999999999</v>
      </c>
      <c r="I705" s="20">
        <f t="shared" si="10"/>
        <v>46.539639999999999</v>
      </c>
      <c r="J705" s="6" t="s">
        <v>357</v>
      </c>
    </row>
    <row r="706" spans="1:10">
      <c r="A706" s="9">
        <v>45813</v>
      </c>
      <c r="B706" s="6" t="s">
        <v>1246</v>
      </c>
      <c r="C706" s="5" t="s">
        <v>1245</v>
      </c>
      <c r="D706" s="8" t="s">
        <v>354</v>
      </c>
      <c r="E706" s="6" t="s">
        <v>1247</v>
      </c>
      <c r="F706" s="6" t="s">
        <v>616</v>
      </c>
      <c r="G706" s="21">
        <v>177</v>
      </c>
      <c r="H706" s="5">
        <v>0.33529999999999999</v>
      </c>
      <c r="I706" s="20">
        <f t="shared" si="10"/>
        <v>59.348099999999995</v>
      </c>
      <c r="J706" s="6" t="s">
        <v>357</v>
      </c>
    </row>
    <row r="707" spans="1:10">
      <c r="A707" s="9">
        <v>45813</v>
      </c>
      <c r="B707" s="6" t="s">
        <v>1249</v>
      </c>
      <c r="C707" s="5" t="s">
        <v>1248</v>
      </c>
      <c r="D707" s="8" t="s">
        <v>354</v>
      </c>
      <c r="E707" s="6" t="s">
        <v>1247</v>
      </c>
      <c r="F707" s="6" t="s">
        <v>616</v>
      </c>
      <c r="G707" s="21">
        <v>177</v>
      </c>
      <c r="H707" s="5">
        <v>0.33529999999999999</v>
      </c>
      <c r="I707" s="20">
        <f t="shared" ref="I707:I770" si="11">H707*G707</f>
        <v>59.348099999999995</v>
      </c>
      <c r="J707" s="6" t="s">
        <v>357</v>
      </c>
    </row>
    <row r="708" spans="1:10">
      <c r="A708" s="9">
        <v>45813</v>
      </c>
      <c r="B708" s="6" t="s">
        <v>1251</v>
      </c>
      <c r="C708" s="5" t="s">
        <v>1250</v>
      </c>
      <c r="D708" s="8" t="s">
        <v>354</v>
      </c>
      <c r="E708" s="6" t="s">
        <v>1247</v>
      </c>
      <c r="F708" s="6" t="s">
        <v>616</v>
      </c>
      <c r="G708" s="21">
        <v>177</v>
      </c>
      <c r="H708" s="5">
        <v>0.33529999999999999</v>
      </c>
      <c r="I708" s="20">
        <f t="shared" si="11"/>
        <v>59.348099999999995</v>
      </c>
      <c r="J708" s="6" t="s">
        <v>357</v>
      </c>
    </row>
    <row r="709" spans="1:10">
      <c r="A709" s="9">
        <v>45813</v>
      </c>
      <c r="B709" s="6" t="s">
        <v>1253</v>
      </c>
      <c r="C709" s="5" t="s">
        <v>1252</v>
      </c>
      <c r="D709" s="8" t="s">
        <v>354</v>
      </c>
      <c r="E709" s="6" t="s">
        <v>1247</v>
      </c>
      <c r="F709" s="6" t="s">
        <v>616</v>
      </c>
      <c r="G709" s="21">
        <v>177</v>
      </c>
      <c r="H709" s="5">
        <v>0.33529999999999999</v>
      </c>
      <c r="I709" s="20">
        <f t="shared" si="11"/>
        <v>59.348099999999995</v>
      </c>
      <c r="J709" s="6" t="s">
        <v>357</v>
      </c>
    </row>
    <row r="710" spans="1:10">
      <c r="A710" s="9">
        <v>45813</v>
      </c>
      <c r="B710" s="6" t="s">
        <v>1255</v>
      </c>
      <c r="C710" s="5" t="s">
        <v>1254</v>
      </c>
      <c r="D710" s="8" t="s">
        <v>354</v>
      </c>
      <c r="E710" s="6" t="s">
        <v>1247</v>
      </c>
      <c r="F710" s="6" t="s">
        <v>616</v>
      </c>
      <c r="G710" s="21">
        <v>177</v>
      </c>
      <c r="H710" s="5">
        <v>0.33529999999999999</v>
      </c>
      <c r="I710" s="20">
        <f t="shared" si="11"/>
        <v>59.348099999999995</v>
      </c>
      <c r="J710" s="6" t="s">
        <v>357</v>
      </c>
    </row>
    <row r="711" spans="1:10">
      <c r="A711" s="9">
        <v>45813</v>
      </c>
      <c r="B711" s="6" t="s">
        <v>1257</v>
      </c>
      <c r="C711" s="5" t="s">
        <v>1256</v>
      </c>
      <c r="D711" s="8" t="s">
        <v>354</v>
      </c>
      <c r="E711" s="6" t="s">
        <v>1247</v>
      </c>
      <c r="F711" s="6" t="s">
        <v>616</v>
      </c>
      <c r="G711" s="21">
        <v>177</v>
      </c>
      <c r="H711" s="5">
        <v>0.33529999999999999</v>
      </c>
      <c r="I711" s="20">
        <f t="shared" si="11"/>
        <v>59.348099999999995</v>
      </c>
      <c r="J711" s="6" t="s">
        <v>357</v>
      </c>
    </row>
    <row r="712" spans="1:10">
      <c r="A712" s="9">
        <v>45813</v>
      </c>
      <c r="B712" s="6" t="s">
        <v>1259</v>
      </c>
      <c r="C712" s="5" t="s">
        <v>1258</v>
      </c>
      <c r="D712" s="8" t="s">
        <v>354</v>
      </c>
      <c r="E712" s="6" t="s">
        <v>1247</v>
      </c>
      <c r="F712" s="6" t="s">
        <v>616</v>
      </c>
      <c r="G712" s="21">
        <v>177</v>
      </c>
      <c r="H712" s="5">
        <v>0.33529999999999999</v>
      </c>
      <c r="I712" s="20">
        <f t="shared" si="11"/>
        <v>59.348099999999995</v>
      </c>
      <c r="J712" s="6" t="s">
        <v>357</v>
      </c>
    </row>
    <row r="713" spans="1:10">
      <c r="A713" s="9">
        <v>45813</v>
      </c>
      <c r="B713" s="6" t="s">
        <v>1261</v>
      </c>
      <c r="C713" s="5" t="s">
        <v>1260</v>
      </c>
      <c r="D713" s="8" t="s">
        <v>354</v>
      </c>
      <c r="E713" s="6" t="s">
        <v>1247</v>
      </c>
      <c r="F713" s="6" t="s">
        <v>616</v>
      </c>
      <c r="G713" s="21">
        <v>177</v>
      </c>
      <c r="H713" s="5">
        <v>0.33529999999999999</v>
      </c>
      <c r="I713" s="20">
        <f t="shared" si="11"/>
        <v>59.348099999999995</v>
      </c>
      <c r="J713" s="6" t="s">
        <v>357</v>
      </c>
    </row>
    <row r="714" spans="1:10">
      <c r="A714" s="9">
        <v>45813</v>
      </c>
      <c r="B714" s="6" t="s">
        <v>1263</v>
      </c>
      <c r="C714" s="5" t="s">
        <v>1262</v>
      </c>
      <c r="D714" s="8" t="s">
        <v>354</v>
      </c>
      <c r="E714" s="6" t="s">
        <v>1247</v>
      </c>
      <c r="F714" s="6" t="s">
        <v>616</v>
      </c>
      <c r="G714" s="21">
        <v>177</v>
      </c>
      <c r="H714" s="5">
        <v>0.33529999999999999</v>
      </c>
      <c r="I714" s="20">
        <f t="shared" si="11"/>
        <v>59.348099999999995</v>
      </c>
      <c r="J714" s="6" t="s">
        <v>357</v>
      </c>
    </row>
    <row r="715" spans="1:10">
      <c r="A715" s="9">
        <v>45813</v>
      </c>
      <c r="B715" s="6" t="s">
        <v>1265</v>
      </c>
      <c r="C715" s="5" t="s">
        <v>1264</v>
      </c>
      <c r="D715" s="8" t="s">
        <v>354</v>
      </c>
      <c r="E715" s="6" t="s">
        <v>1247</v>
      </c>
      <c r="F715" s="6" t="s">
        <v>616</v>
      </c>
      <c r="G715" s="21">
        <v>177</v>
      </c>
      <c r="H715" s="5">
        <v>0.33529999999999999</v>
      </c>
      <c r="I715" s="20">
        <f t="shared" si="11"/>
        <v>59.348099999999995</v>
      </c>
      <c r="J715" s="6" t="s">
        <v>357</v>
      </c>
    </row>
    <row r="716" spans="1:10">
      <c r="A716" s="9">
        <v>45813</v>
      </c>
      <c r="B716" s="6" t="s">
        <v>1267</v>
      </c>
      <c r="C716" s="5" t="s">
        <v>1266</v>
      </c>
      <c r="D716" s="8" t="s">
        <v>354</v>
      </c>
      <c r="E716" s="6" t="s">
        <v>1247</v>
      </c>
      <c r="F716" s="6" t="s">
        <v>616</v>
      </c>
      <c r="G716" s="21">
        <v>177</v>
      </c>
      <c r="H716" s="5">
        <v>0.33529999999999999</v>
      </c>
      <c r="I716" s="20">
        <f t="shared" si="11"/>
        <v>59.348099999999995</v>
      </c>
      <c r="J716" s="6" t="s">
        <v>357</v>
      </c>
    </row>
    <row r="717" spans="1:10">
      <c r="A717" s="9">
        <v>45813</v>
      </c>
      <c r="B717" s="6" t="s">
        <v>1269</v>
      </c>
      <c r="C717" s="5" t="s">
        <v>1268</v>
      </c>
      <c r="D717" s="8" t="s">
        <v>354</v>
      </c>
      <c r="E717" s="6" t="s">
        <v>1247</v>
      </c>
      <c r="F717" s="6" t="s">
        <v>616</v>
      </c>
      <c r="G717" s="5">
        <v>233</v>
      </c>
      <c r="H717" s="5">
        <v>0.33529999999999999</v>
      </c>
      <c r="I717" s="20">
        <f t="shared" si="11"/>
        <v>78.124899999999997</v>
      </c>
      <c r="J717" s="6" t="s">
        <v>357</v>
      </c>
    </row>
    <row r="718" spans="1:10">
      <c r="A718" s="9">
        <v>45813</v>
      </c>
      <c r="B718" s="6" t="s">
        <v>1271</v>
      </c>
      <c r="C718" s="5" t="s">
        <v>1270</v>
      </c>
      <c r="D718" s="8" t="s">
        <v>354</v>
      </c>
      <c r="E718" s="6" t="s">
        <v>1247</v>
      </c>
      <c r="F718" s="6" t="s">
        <v>616</v>
      </c>
      <c r="G718" s="21">
        <v>177</v>
      </c>
      <c r="H718" s="5">
        <v>0.33529999999999999</v>
      </c>
      <c r="I718" s="20">
        <f t="shared" si="11"/>
        <v>59.348099999999995</v>
      </c>
      <c r="J718" s="6" t="s">
        <v>357</v>
      </c>
    </row>
    <row r="719" spans="1:10">
      <c r="A719" s="9">
        <v>45813</v>
      </c>
      <c r="B719" s="6" t="s">
        <v>1273</v>
      </c>
      <c r="C719" s="5" t="s">
        <v>1272</v>
      </c>
      <c r="D719" s="8" t="s">
        <v>354</v>
      </c>
      <c r="E719" s="6" t="s">
        <v>1247</v>
      </c>
      <c r="F719" s="6" t="s">
        <v>616</v>
      </c>
      <c r="G719" s="5">
        <v>284</v>
      </c>
      <c r="H719" s="5">
        <v>0.33529999999999999</v>
      </c>
      <c r="I719" s="20">
        <f t="shared" si="11"/>
        <v>95.225200000000001</v>
      </c>
      <c r="J719" s="6" t="s">
        <v>357</v>
      </c>
    </row>
    <row r="720" spans="1:10">
      <c r="A720" s="9">
        <v>45813</v>
      </c>
      <c r="B720" s="6" t="s">
        <v>1275</v>
      </c>
      <c r="C720" s="5" t="s">
        <v>1274</v>
      </c>
      <c r="D720" s="8" t="s">
        <v>354</v>
      </c>
      <c r="E720" s="6" t="s">
        <v>1247</v>
      </c>
      <c r="F720" s="6" t="s">
        <v>616</v>
      </c>
      <c r="G720" s="21">
        <v>177</v>
      </c>
      <c r="H720" s="5">
        <v>0.33529999999999999</v>
      </c>
      <c r="I720" s="20">
        <f t="shared" si="11"/>
        <v>59.348099999999995</v>
      </c>
      <c r="J720" s="6" t="s">
        <v>357</v>
      </c>
    </row>
    <row r="721" spans="1:10">
      <c r="A721" s="9">
        <v>45813</v>
      </c>
      <c r="B721" s="6" t="s">
        <v>1277</v>
      </c>
      <c r="C721" s="5" t="s">
        <v>1276</v>
      </c>
      <c r="D721" s="8" t="s">
        <v>354</v>
      </c>
      <c r="E721" s="6" t="s">
        <v>1247</v>
      </c>
      <c r="F721" s="6" t="s">
        <v>616</v>
      </c>
      <c r="G721" s="21">
        <v>177</v>
      </c>
      <c r="H721" s="5">
        <v>0.33529999999999999</v>
      </c>
      <c r="I721" s="20">
        <f t="shared" si="11"/>
        <v>59.348099999999995</v>
      </c>
      <c r="J721" s="6" t="s">
        <v>357</v>
      </c>
    </row>
    <row r="722" spans="1:10">
      <c r="A722" s="9">
        <v>45813</v>
      </c>
      <c r="B722" s="6" t="s">
        <v>1279</v>
      </c>
      <c r="C722" s="5" t="s">
        <v>1278</v>
      </c>
      <c r="D722" s="8" t="s">
        <v>354</v>
      </c>
      <c r="E722" s="6" t="s">
        <v>1247</v>
      </c>
      <c r="F722" s="6" t="s">
        <v>616</v>
      </c>
      <c r="G722" s="21">
        <v>177</v>
      </c>
      <c r="H722" s="5">
        <v>0.33529999999999999</v>
      </c>
      <c r="I722" s="20">
        <f t="shared" si="11"/>
        <v>59.348099999999995</v>
      </c>
      <c r="J722" s="6" t="s">
        <v>357</v>
      </c>
    </row>
    <row r="723" spans="1:10">
      <c r="A723" s="9">
        <v>45813</v>
      </c>
      <c r="B723" s="6" t="s">
        <v>1281</v>
      </c>
      <c r="C723" s="5" t="s">
        <v>1280</v>
      </c>
      <c r="D723" s="8" t="s">
        <v>354</v>
      </c>
      <c r="E723" s="6" t="s">
        <v>1247</v>
      </c>
      <c r="F723" s="6" t="s">
        <v>616</v>
      </c>
      <c r="G723" s="21">
        <v>177</v>
      </c>
      <c r="H723" s="5">
        <v>0.33529999999999999</v>
      </c>
      <c r="I723" s="20">
        <f t="shared" si="11"/>
        <v>59.348099999999995</v>
      </c>
      <c r="J723" s="6" t="s">
        <v>357</v>
      </c>
    </row>
    <row r="724" spans="1:10">
      <c r="A724" s="9">
        <v>45813</v>
      </c>
      <c r="B724" s="6" t="s">
        <v>1283</v>
      </c>
      <c r="C724" s="5" t="s">
        <v>1282</v>
      </c>
      <c r="D724" s="8" t="s">
        <v>354</v>
      </c>
      <c r="E724" s="6" t="s">
        <v>1247</v>
      </c>
      <c r="F724" s="6" t="s">
        <v>616</v>
      </c>
      <c r="G724" s="21">
        <v>492</v>
      </c>
      <c r="H724" s="5">
        <v>0.33529999999999999</v>
      </c>
      <c r="I724" s="20">
        <f t="shared" si="11"/>
        <v>164.9676</v>
      </c>
      <c r="J724" s="6" t="s">
        <v>357</v>
      </c>
    </row>
    <row r="725" spans="1:10">
      <c r="A725" s="9">
        <v>45813</v>
      </c>
      <c r="B725" s="6" t="s">
        <v>1285</v>
      </c>
      <c r="C725" s="5" t="s">
        <v>1284</v>
      </c>
      <c r="D725" s="8" t="s">
        <v>354</v>
      </c>
      <c r="E725" s="6" t="s">
        <v>1247</v>
      </c>
      <c r="F725" s="6" t="s">
        <v>616</v>
      </c>
      <c r="G725" s="21">
        <v>633</v>
      </c>
      <c r="H725" s="5">
        <v>0.33529999999999999</v>
      </c>
      <c r="I725" s="20">
        <f t="shared" si="11"/>
        <v>212.2449</v>
      </c>
      <c r="J725" s="6" t="s">
        <v>357</v>
      </c>
    </row>
    <row r="726" spans="1:10">
      <c r="A726" s="9">
        <v>45813</v>
      </c>
      <c r="B726" s="6" t="s">
        <v>1287</v>
      </c>
      <c r="C726" s="5" t="s">
        <v>1286</v>
      </c>
      <c r="D726" s="8" t="s">
        <v>354</v>
      </c>
      <c r="E726" s="6" t="s">
        <v>1247</v>
      </c>
      <c r="F726" s="6" t="s">
        <v>616</v>
      </c>
      <c r="G726" s="21">
        <v>633</v>
      </c>
      <c r="H726" s="5">
        <v>0.33529999999999999</v>
      </c>
      <c r="I726" s="20">
        <f t="shared" si="11"/>
        <v>212.2449</v>
      </c>
      <c r="J726" s="6" t="s">
        <v>357</v>
      </c>
    </row>
    <row r="727" spans="1:10">
      <c r="A727" s="9">
        <v>45813</v>
      </c>
      <c r="B727" s="6" t="s">
        <v>1289</v>
      </c>
      <c r="C727" s="5" t="s">
        <v>1288</v>
      </c>
      <c r="D727" s="8" t="s">
        <v>354</v>
      </c>
      <c r="E727" s="6" t="s">
        <v>1247</v>
      </c>
      <c r="F727" s="6" t="s">
        <v>616</v>
      </c>
      <c r="G727" s="21">
        <v>633</v>
      </c>
      <c r="H727" s="5">
        <v>0.33529999999999999</v>
      </c>
      <c r="I727" s="20">
        <f t="shared" si="11"/>
        <v>212.2449</v>
      </c>
      <c r="J727" s="6" t="s">
        <v>357</v>
      </c>
    </row>
    <row r="728" spans="1:10" ht="30" hidden="1">
      <c r="A728" s="9">
        <v>45831</v>
      </c>
      <c r="B728" s="6" t="s">
        <v>1291</v>
      </c>
      <c r="C728" s="15" t="s">
        <v>1290</v>
      </c>
      <c r="D728" s="8" t="s">
        <v>354</v>
      </c>
      <c r="E728" s="6" t="s">
        <v>466</v>
      </c>
      <c r="F728" s="6" t="s">
        <v>467</v>
      </c>
      <c r="G728" s="5">
        <v>349</v>
      </c>
      <c r="H728" s="5">
        <v>0.33529999999999999</v>
      </c>
      <c r="I728" s="20">
        <f t="shared" si="11"/>
        <v>117.0197</v>
      </c>
      <c r="J728" s="6" t="s">
        <v>357</v>
      </c>
    </row>
    <row r="729" spans="1:10" ht="30" hidden="1">
      <c r="A729" s="9">
        <v>45831</v>
      </c>
      <c r="B729" s="6" t="s">
        <v>1292</v>
      </c>
      <c r="C729" s="14" t="s">
        <v>1290</v>
      </c>
      <c r="D729" s="8" t="s">
        <v>354</v>
      </c>
      <c r="E729" s="6" t="s">
        <v>466</v>
      </c>
      <c r="F729" s="6" t="s">
        <v>467</v>
      </c>
      <c r="G729" s="21">
        <v>355</v>
      </c>
      <c r="H729" s="5">
        <v>0.33529999999999999</v>
      </c>
      <c r="I729" s="20">
        <f t="shared" si="11"/>
        <v>119.03149999999999</v>
      </c>
      <c r="J729" s="6" t="s">
        <v>357</v>
      </c>
    </row>
    <row r="730" spans="1:10" ht="30" hidden="1">
      <c r="A730" s="9">
        <v>45831</v>
      </c>
      <c r="B730" s="6" t="s">
        <v>1293</v>
      </c>
      <c r="C730" s="14" t="s">
        <v>1290</v>
      </c>
      <c r="D730" s="8" t="s">
        <v>354</v>
      </c>
      <c r="E730" s="6" t="s">
        <v>466</v>
      </c>
      <c r="F730" s="6" t="s">
        <v>467</v>
      </c>
      <c r="G730" s="21">
        <v>395</v>
      </c>
      <c r="H730" s="5">
        <v>0.33529999999999999</v>
      </c>
      <c r="I730" s="20">
        <f t="shared" si="11"/>
        <v>132.4435</v>
      </c>
      <c r="J730" s="6" t="s">
        <v>357</v>
      </c>
    </row>
    <row r="731" spans="1:10" ht="30" hidden="1">
      <c r="A731" s="9">
        <v>45831</v>
      </c>
      <c r="B731" s="6" t="s">
        <v>1294</v>
      </c>
      <c r="C731" s="14" t="s">
        <v>6776</v>
      </c>
      <c r="D731" s="8" t="s">
        <v>354</v>
      </c>
      <c r="E731" s="6" t="s">
        <v>466</v>
      </c>
      <c r="F731" s="6" t="s">
        <v>467</v>
      </c>
      <c r="G731" s="21">
        <v>692</v>
      </c>
      <c r="H731" s="5">
        <v>0.33529999999999999</v>
      </c>
      <c r="I731" s="20">
        <f t="shared" si="11"/>
        <v>232.02759999999998</v>
      </c>
      <c r="J731" s="6" t="s">
        <v>357</v>
      </c>
    </row>
    <row r="732" spans="1:10" ht="30" hidden="1">
      <c r="A732" s="9">
        <v>45831</v>
      </c>
      <c r="B732" s="6" t="s">
        <v>1295</v>
      </c>
      <c r="C732" s="14" t="s">
        <v>1290</v>
      </c>
      <c r="D732" s="8" t="s">
        <v>354</v>
      </c>
      <c r="E732" s="6" t="s">
        <v>466</v>
      </c>
      <c r="F732" s="6" t="s">
        <v>467</v>
      </c>
      <c r="G732" s="21">
        <v>1988</v>
      </c>
      <c r="H732" s="5">
        <v>0.33529999999999999</v>
      </c>
      <c r="I732" s="20">
        <f t="shared" si="11"/>
        <v>666.57639999999992</v>
      </c>
      <c r="J732" s="6" t="s">
        <v>357</v>
      </c>
    </row>
    <row r="733" spans="1:10" ht="30" hidden="1">
      <c r="A733" s="9">
        <v>45831</v>
      </c>
      <c r="B733" s="6" t="s">
        <v>1296</v>
      </c>
      <c r="C733" s="14" t="s">
        <v>1290</v>
      </c>
      <c r="D733" s="8" t="s">
        <v>354</v>
      </c>
      <c r="E733" s="6" t="s">
        <v>466</v>
      </c>
      <c r="F733" s="6" t="s">
        <v>467</v>
      </c>
      <c r="G733" s="21">
        <v>455</v>
      </c>
      <c r="H733" s="5">
        <v>0.33529999999999999</v>
      </c>
      <c r="I733" s="20">
        <f t="shared" si="11"/>
        <v>152.5615</v>
      </c>
      <c r="J733" s="6" t="s">
        <v>357</v>
      </c>
    </row>
    <row r="734" spans="1:10" ht="30" hidden="1">
      <c r="A734" s="9">
        <v>45831</v>
      </c>
      <c r="B734" s="6" t="s">
        <v>1298</v>
      </c>
      <c r="C734" s="15" t="s">
        <v>1297</v>
      </c>
      <c r="D734" s="8" t="s">
        <v>354</v>
      </c>
      <c r="E734" s="6" t="s">
        <v>466</v>
      </c>
      <c r="F734" s="6" t="s">
        <v>467</v>
      </c>
      <c r="G734" s="21">
        <v>564</v>
      </c>
      <c r="H734" s="5">
        <v>0.33529999999999999</v>
      </c>
      <c r="I734" s="20">
        <f t="shared" si="11"/>
        <v>189.10919999999999</v>
      </c>
      <c r="J734" s="6" t="s">
        <v>357</v>
      </c>
    </row>
    <row r="735" spans="1:10" hidden="1">
      <c r="A735" s="9">
        <v>45831</v>
      </c>
      <c r="B735" s="6" t="s">
        <v>1300</v>
      </c>
      <c r="C735" s="15" t="s">
        <v>1299</v>
      </c>
      <c r="D735" s="8" t="s">
        <v>354</v>
      </c>
      <c r="E735" s="6" t="s">
        <v>466</v>
      </c>
      <c r="F735" s="6" t="s">
        <v>467</v>
      </c>
      <c r="G735" s="21">
        <v>679</v>
      </c>
      <c r="H735" s="5">
        <v>0.33529999999999999</v>
      </c>
      <c r="I735" s="20">
        <f t="shared" si="11"/>
        <v>227.6687</v>
      </c>
      <c r="J735" s="6" t="s">
        <v>357</v>
      </c>
    </row>
    <row r="736" spans="1:10" ht="30" hidden="1">
      <c r="A736" s="9">
        <v>45831</v>
      </c>
      <c r="B736" s="6" t="s">
        <v>1302</v>
      </c>
      <c r="C736" s="15" t="s">
        <v>1301</v>
      </c>
      <c r="D736" s="8" t="s">
        <v>354</v>
      </c>
      <c r="E736" s="6" t="s">
        <v>466</v>
      </c>
      <c r="F736" s="6" t="s">
        <v>467</v>
      </c>
      <c r="G736" s="5">
        <v>734</v>
      </c>
      <c r="H736" s="5">
        <v>0.33529999999999999</v>
      </c>
      <c r="I736" s="20">
        <f t="shared" si="11"/>
        <v>246.11019999999999</v>
      </c>
      <c r="J736" s="6" t="s">
        <v>357</v>
      </c>
    </row>
    <row r="737" spans="1:10" ht="30" hidden="1">
      <c r="A737" s="9">
        <v>45831</v>
      </c>
      <c r="B737" s="6" t="s">
        <v>1304</v>
      </c>
      <c r="C737" s="15" t="s">
        <v>1303</v>
      </c>
      <c r="D737" s="8" t="s">
        <v>354</v>
      </c>
      <c r="E737" s="6" t="s">
        <v>466</v>
      </c>
      <c r="F737" s="6" t="s">
        <v>467</v>
      </c>
      <c r="G737" s="21">
        <v>130</v>
      </c>
      <c r="H737" s="5">
        <v>0.33529999999999999</v>
      </c>
      <c r="I737" s="20">
        <f t="shared" si="11"/>
        <v>43.588999999999999</v>
      </c>
      <c r="J737" s="6" t="s">
        <v>357</v>
      </c>
    </row>
    <row r="738" spans="1:10" hidden="1">
      <c r="A738" s="9">
        <v>45831</v>
      </c>
      <c r="B738" s="6" t="s">
        <v>1306</v>
      </c>
      <c r="C738" s="15" t="s">
        <v>1305</v>
      </c>
      <c r="D738" s="8" t="s">
        <v>354</v>
      </c>
      <c r="E738" s="6" t="s">
        <v>466</v>
      </c>
      <c r="F738" s="6" t="s">
        <v>467</v>
      </c>
      <c r="G738" s="21">
        <v>437</v>
      </c>
      <c r="H738" s="5">
        <v>0.33529999999999999</v>
      </c>
      <c r="I738" s="20">
        <f t="shared" si="11"/>
        <v>146.52609999999999</v>
      </c>
      <c r="J738" s="6" t="s">
        <v>357</v>
      </c>
    </row>
    <row r="739" spans="1:10" ht="45" hidden="1">
      <c r="A739" s="9">
        <v>45831</v>
      </c>
      <c r="B739" s="6" t="s">
        <v>1308</v>
      </c>
      <c r="C739" s="14" t="s">
        <v>1307</v>
      </c>
      <c r="D739" s="8" t="s">
        <v>354</v>
      </c>
      <c r="E739" s="6" t="s">
        <v>466</v>
      </c>
      <c r="F739" s="6" t="s">
        <v>467</v>
      </c>
      <c r="G739" s="5">
        <v>731</v>
      </c>
      <c r="H739" s="5">
        <v>0.33529999999999999</v>
      </c>
      <c r="I739" s="20">
        <f t="shared" si="11"/>
        <v>245.10429999999999</v>
      </c>
      <c r="J739" s="6" t="s">
        <v>357</v>
      </c>
    </row>
    <row r="740" spans="1:10" ht="30" hidden="1">
      <c r="A740" s="9">
        <v>45831</v>
      </c>
      <c r="B740" s="6" t="s">
        <v>1310</v>
      </c>
      <c r="C740" s="14" t="s">
        <v>1309</v>
      </c>
      <c r="D740" s="8" t="s">
        <v>354</v>
      </c>
      <c r="E740" s="6" t="s">
        <v>466</v>
      </c>
      <c r="F740" s="6" t="s">
        <v>467</v>
      </c>
      <c r="G740" s="5">
        <v>1886</v>
      </c>
      <c r="H740" s="5">
        <v>0.33529999999999999</v>
      </c>
      <c r="I740" s="20">
        <f t="shared" si="11"/>
        <v>632.37580000000003</v>
      </c>
      <c r="J740" s="6" t="s">
        <v>357</v>
      </c>
    </row>
    <row r="741" spans="1:10" ht="30" hidden="1">
      <c r="A741" s="9">
        <v>45831</v>
      </c>
      <c r="B741" s="6" t="s">
        <v>1312</v>
      </c>
      <c r="C741" s="15" t="s">
        <v>1311</v>
      </c>
      <c r="D741" s="8" t="s">
        <v>354</v>
      </c>
      <c r="E741" s="6" t="s">
        <v>466</v>
      </c>
      <c r="F741" s="6" t="s">
        <v>467</v>
      </c>
      <c r="G741" s="5">
        <v>5680</v>
      </c>
      <c r="H741" s="5">
        <v>0.33529999999999999</v>
      </c>
      <c r="I741" s="20">
        <f t="shared" si="11"/>
        <v>1904.5039999999999</v>
      </c>
      <c r="J741" s="6" t="s">
        <v>357</v>
      </c>
    </row>
    <row r="742" spans="1:10" ht="30" hidden="1">
      <c r="A742" s="9">
        <v>45831</v>
      </c>
      <c r="B742" s="6" t="s">
        <v>1313</v>
      </c>
      <c r="C742" s="15" t="s">
        <v>1297</v>
      </c>
      <c r="D742" s="8" t="s">
        <v>354</v>
      </c>
      <c r="E742" s="6" t="s">
        <v>466</v>
      </c>
      <c r="F742" s="6" t="s">
        <v>467</v>
      </c>
      <c r="G742" s="21">
        <v>592</v>
      </c>
      <c r="H742" s="5">
        <v>0.33529999999999999</v>
      </c>
      <c r="I742" s="20">
        <f t="shared" si="11"/>
        <v>198.49760000000001</v>
      </c>
      <c r="J742" s="6" t="s">
        <v>357</v>
      </c>
    </row>
    <row r="743" spans="1:10" ht="30" hidden="1">
      <c r="A743" s="9">
        <v>45831</v>
      </c>
      <c r="B743" s="6" t="s">
        <v>1314</v>
      </c>
      <c r="C743" s="15" t="s">
        <v>1297</v>
      </c>
      <c r="D743" s="8" t="s">
        <v>354</v>
      </c>
      <c r="E743" s="6" t="s">
        <v>466</v>
      </c>
      <c r="F743" s="6" t="s">
        <v>467</v>
      </c>
      <c r="G743" s="21">
        <v>926</v>
      </c>
      <c r="H743" s="5">
        <v>0.33529999999999999</v>
      </c>
      <c r="I743" s="20">
        <f t="shared" si="11"/>
        <v>310.48779999999999</v>
      </c>
      <c r="J743" s="6" t="s">
        <v>357</v>
      </c>
    </row>
    <row r="744" spans="1:10" hidden="1">
      <c r="A744" s="9">
        <v>45831</v>
      </c>
      <c r="B744" s="6" t="s">
        <v>1316</v>
      </c>
      <c r="C744" s="15" t="s">
        <v>1315</v>
      </c>
      <c r="D744" s="8" t="s">
        <v>354</v>
      </c>
      <c r="E744" s="6" t="s">
        <v>466</v>
      </c>
      <c r="F744" s="6" t="s">
        <v>467</v>
      </c>
      <c r="G744" s="21">
        <v>605</v>
      </c>
      <c r="H744" s="5">
        <v>0.33529999999999999</v>
      </c>
      <c r="I744" s="20">
        <f t="shared" si="11"/>
        <v>202.85649999999998</v>
      </c>
      <c r="J744" s="6" t="s">
        <v>357</v>
      </c>
    </row>
    <row r="745" spans="1:10" hidden="1">
      <c r="A745" s="9">
        <v>45831</v>
      </c>
      <c r="B745" s="6" t="s">
        <v>1318</v>
      </c>
      <c r="C745" s="15" t="s">
        <v>1317</v>
      </c>
      <c r="D745" s="8" t="s">
        <v>354</v>
      </c>
      <c r="E745" s="6" t="s">
        <v>466</v>
      </c>
      <c r="F745" s="6" t="s">
        <v>467</v>
      </c>
      <c r="G745" s="21">
        <v>848</v>
      </c>
      <c r="H745" s="5">
        <v>0.33529999999999999</v>
      </c>
      <c r="I745" s="20">
        <f t="shared" si="11"/>
        <v>284.33440000000002</v>
      </c>
      <c r="J745" s="6" t="s">
        <v>357</v>
      </c>
    </row>
    <row r="746" spans="1:10" ht="30" hidden="1">
      <c r="A746" s="9">
        <v>45831</v>
      </c>
      <c r="B746" s="6" t="s">
        <v>1320</v>
      </c>
      <c r="C746" s="14" t="s">
        <v>1319</v>
      </c>
      <c r="D746" s="8" t="s">
        <v>354</v>
      </c>
      <c r="E746" s="6" t="s">
        <v>466</v>
      </c>
      <c r="F746" s="6" t="s">
        <v>467</v>
      </c>
      <c r="G746" s="5">
        <v>1414</v>
      </c>
      <c r="H746" s="5">
        <v>0.33529999999999999</v>
      </c>
      <c r="I746" s="20">
        <f t="shared" si="11"/>
        <v>474.11419999999998</v>
      </c>
      <c r="J746" s="6" t="s">
        <v>357</v>
      </c>
    </row>
    <row r="747" spans="1:10" hidden="1">
      <c r="A747" s="9">
        <v>45831</v>
      </c>
      <c r="B747" s="6" t="s">
        <v>1322</v>
      </c>
      <c r="C747" s="15" t="s">
        <v>1321</v>
      </c>
      <c r="D747" s="8" t="s">
        <v>354</v>
      </c>
      <c r="E747" s="6" t="s">
        <v>466</v>
      </c>
      <c r="F747" s="6" t="s">
        <v>467</v>
      </c>
      <c r="G747" s="21">
        <v>11282</v>
      </c>
      <c r="H747" s="5">
        <v>0.33529999999999999</v>
      </c>
      <c r="I747" s="20">
        <f t="shared" si="11"/>
        <v>3782.8545999999997</v>
      </c>
      <c r="J747" s="6" t="s">
        <v>357</v>
      </c>
    </row>
    <row r="748" spans="1:10" hidden="1">
      <c r="A748" s="9">
        <v>45831</v>
      </c>
      <c r="B748" s="6" t="s">
        <v>1324</v>
      </c>
      <c r="C748" s="5" t="s">
        <v>1323</v>
      </c>
      <c r="D748" s="8" t="s">
        <v>354</v>
      </c>
      <c r="E748" s="6" t="s">
        <v>602</v>
      </c>
      <c r="F748" s="6" t="s">
        <v>1325</v>
      </c>
      <c r="G748" s="5">
        <v>4295</v>
      </c>
      <c r="H748" s="5">
        <v>0.33529999999999999</v>
      </c>
      <c r="I748" s="20">
        <f t="shared" si="11"/>
        <v>1440.1134999999999</v>
      </c>
      <c r="J748" s="6" t="s">
        <v>357</v>
      </c>
    </row>
    <row r="749" spans="1:10" hidden="1">
      <c r="A749" s="9">
        <v>45831</v>
      </c>
      <c r="B749" s="6" t="s">
        <v>1327</v>
      </c>
      <c r="C749" s="5" t="s">
        <v>1326</v>
      </c>
      <c r="D749" s="8" t="s">
        <v>354</v>
      </c>
      <c r="E749" s="6" t="s">
        <v>602</v>
      </c>
      <c r="F749" s="6" t="s">
        <v>1325</v>
      </c>
      <c r="G749" s="5">
        <v>673</v>
      </c>
      <c r="H749" s="5">
        <v>0.33529999999999999</v>
      </c>
      <c r="I749" s="20">
        <f t="shared" si="11"/>
        <v>225.65689999999998</v>
      </c>
      <c r="J749" s="6" t="s">
        <v>357</v>
      </c>
    </row>
    <row r="750" spans="1:10" hidden="1">
      <c r="A750" s="9">
        <v>45831</v>
      </c>
      <c r="B750" s="6" t="s">
        <v>1329</v>
      </c>
      <c r="C750" s="5" t="s">
        <v>1328</v>
      </c>
      <c r="D750" s="8" t="s">
        <v>354</v>
      </c>
      <c r="E750" s="6" t="s">
        <v>602</v>
      </c>
      <c r="F750" s="6" t="s">
        <v>1325</v>
      </c>
      <c r="G750" s="5">
        <v>859</v>
      </c>
      <c r="H750" s="5">
        <v>0.33529999999999999</v>
      </c>
      <c r="I750" s="20">
        <f t="shared" si="11"/>
        <v>288.02269999999999</v>
      </c>
      <c r="J750" s="6" t="s">
        <v>357</v>
      </c>
    </row>
    <row r="751" spans="1:10" hidden="1">
      <c r="A751" s="9">
        <v>45831</v>
      </c>
      <c r="B751" s="6" t="s">
        <v>1331</v>
      </c>
      <c r="C751" s="5" t="s">
        <v>1330</v>
      </c>
      <c r="D751" s="8" t="s">
        <v>354</v>
      </c>
      <c r="E751" s="6" t="s">
        <v>602</v>
      </c>
      <c r="F751" s="6" t="s">
        <v>1325</v>
      </c>
      <c r="G751" s="5">
        <v>1296</v>
      </c>
      <c r="H751" s="5">
        <v>0.33529999999999999</v>
      </c>
      <c r="I751" s="20">
        <f t="shared" si="11"/>
        <v>434.54879999999997</v>
      </c>
      <c r="J751" s="6" t="s">
        <v>357</v>
      </c>
    </row>
    <row r="752" spans="1:10" hidden="1">
      <c r="A752" s="9">
        <v>45831</v>
      </c>
      <c r="B752" s="6" t="s">
        <v>1333</v>
      </c>
      <c r="C752" s="22" t="s">
        <v>1332</v>
      </c>
      <c r="D752" s="8" t="s">
        <v>354</v>
      </c>
      <c r="E752" s="6" t="s">
        <v>602</v>
      </c>
      <c r="F752" s="6" t="s">
        <v>1325</v>
      </c>
      <c r="G752" s="5">
        <v>1387</v>
      </c>
      <c r="H752" s="5">
        <v>0.33529999999999999</v>
      </c>
      <c r="I752" s="20">
        <f t="shared" si="11"/>
        <v>465.06109999999995</v>
      </c>
      <c r="J752" s="6" t="s">
        <v>357</v>
      </c>
    </row>
    <row r="753" spans="1:10" hidden="1">
      <c r="A753" s="9">
        <v>45831</v>
      </c>
      <c r="B753" s="6" t="s">
        <v>1335</v>
      </c>
      <c r="C753" s="22" t="s">
        <v>1334</v>
      </c>
      <c r="D753" s="8" t="s">
        <v>354</v>
      </c>
      <c r="E753" s="6" t="s">
        <v>602</v>
      </c>
      <c r="F753" s="6" t="s">
        <v>1325</v>
      </c>
      <c r="G753" s="5">
        <v>1419</v>
      </c>
      <c r="H753" s="5">
        <v>0.33529999999999999</v>
      </c>
      <c r="I753" s="20">
        <f t="shared" si="11"/>
        <v>475.79069999999996</v>
      </c>
      <c r="J753" s="6" t="s">
        <v>357</v>
      </c>
    </row>
    <row r="754" spans="1:10" hidden="1">
      <c r="A754" s="9">
        <v>45831</v>
      </c>
      <c r="B754" s="6" t="s">
        <v>1337</v>
      </c>
      <c r="C754" s="22" t="s">
        <v>1336</v>
      </c>
      <c r="D754" s="8" t="s">
        <v>354</v>
      </c>
      <c r="E754" s="6" t="s">
        <v>602</v>
      </c>
      <c r="F754" s="6" t="s">
        <v>1325</v>
      </c>
      <c r="G754" s="5">
        <v>1563</v>
      </c>
      <c r="H754" s="5">
        <v>0.33529999999999999</v>
      </c>
      <c r="I754" s="20">
        <f t="shared" si="11"/>
        <v>524.07389999999998</v>
      </c>
      <c r="J754" s="6" t="s">
        <v>357</v>
      </c>
    </row>
    <row r="755" spans="1:10" hidden="1">
      <c r="A755" s="9">
        <v>45831</v>
      </c>
      <c r="B755" s="6" t="s">
        <v>1339</v>
      </c>
      <c r="C755" s="5" t="s">
        <v>1338</v>
      </c>
      <c r="D755" s="8" t="s">
        <v>354</v>
      </c>
      <c r="E755" s="6" t="s">
        <v>602</v>
      </c>
      <c r="F755" s="6" t="s">
        <v>1325</v>
      </c>
      <c r="G755" s="5">
        <v>4162</v>
      </c>
      <c r="H755" s="5">
        <v>0.33529999999999999</v>
      </c>
      <c r="I755" s="20">
        <f t="shared" si="11"/>
        <v>1395.5185999999999</v>
      </c>
      <c r="J755" s="6" t="s">
        <v>357</v>
      </c>
    </row>
    <row r="756" spans="1:10" hidden="1">
      <c r="A756" s="10">
        <v>45321</v>
      </c>
      <c r="B756" s="6" t="s">
        <v>1341</v>
      </c>
      <c r="C756" s="5" t="s">
        <v>1340</v>
      </c>
      <c r="D756" s="8" t="s">
        <v>354</v>
      </c>
      <c r="E756" s="6" t="s">
        <v>730</v>
      </c>
      <c r="F756" s="6" t="s">
        <v>1342</v>
      </c>
      <c r="G756" s="21">
        <v>501</v>
      </c>
      <c r="H756" s="5">
        <v>0.33529999999999999</v>
      </c>
      <c r="I756" s="20">
        <f t="shared" si="11"/>
        <v>167.9853</v>
      </c>
      <c r="J756" s="6" t="s">
        <v>357</v>
      </c>
    </row>
    <row r="757" spans="1:10" hidden="1">
      <c r="A757" s="9">
        <v>45831</v>
      </c>
      <c r="B757" s="6" t="s">
        <v>6618</v>
      </c>
      <c r="C757" s="5" t="s">
        <v>486</v>
      </c>
      <c r="D757" s="8" t="s">
        <v>354</v>
      </c>
      <c r="E757" s="6" t="s">
        <v>466</v>
      </c>
      <c r="F757" s="6" t="s">
        <v>467</v>
      </c>
      <c r="G757" s="21">
        <v>828</v>
      </c>
      <c r="H757" s="5">
        <v>0.33529999999999999</v>
      </c>
      <c r="I757" s="20">
        <f t="shared" si="11"/>
        <v>277.6284</v>
      </c>
      <c r="J757" s="6" t="s">
        <v>357</v>
      </c>
    </row>
    <row r="758" spans="1:10" hidden="1">
      <c r="A758" s="9">
        <v>45831</v>
      </c>
      <c r="B758" s="6" t="s">
        <v>6620</v>
      </c>
      <c r="C758" s="5" t="s">
        <v>488</v>
      </c>
      <c r="D758" s="8" t="s">
        <v>354</v>
      </c>
      <c r="E758" s="6" t="s">
        <v>466</v>
      </c>
      <c r="F758" s="6" t="s">
        <v>467</v>
      </c>
      <c r="G758" s="5">
        <v>828</v>
      </c>
      <c r="H758" s="5">
        <v>0.33529999999999999</v>
      </c>
      <c r="I758" s="20">
        <f t="shared" si="11"/>
        <v>277.6284</v>
      </c>
      <c r="J758" s="6" t="s">
        <v>357</v>
      </c>
    </row>
    <row r="759" spans="1:10" hidden="1">
      <c r="A759" s="9">
        <v>45831</v>
      </c>
      <c r="B759" s="6" t="s">
        <v>6622</v>
      </c>
      <c r="C759" s="5" t="s">
        <v>490</v>
      </c>
      <c r="D759" s="8" t="s">
        <v>354</v>
      </c>
      <c r="E759" s="6" t="s">
        <v>466</v>
      </c>
      <c r="F759" s="6" t="s">
        <v>467</v>
      </c>
      <c r="G759" s="5">
        <v>828</v>
      </c>
      <c r="H759" s="5">
        <v>0.33529999999999999</v>
      </c>
      <c r="I759" s="20">
        <f t="shared" si="11"/>
        <v>277.6284</v>
      </c>
      <c r="J759" s="6" t="s">
        <v>357</v>
      </c>
    </row>
    <row r="760" spans="1:10" hidden="1">
      <c r="A760" s="9">
        <v>45831</v>
      </c>
      <c r="B760" s="6" t="s">
        <v>6624</v>
      </c>
      <c r="C760" s="5" t="s">
        <v>492</v>
      </c>
      <c r="D760" s="8" t="s">
        <v>354</v>
      </c>
      <c r="E760" s="6" t="s">
        <v>466</v>
      </c>
      <c r="F760" s="6" t="s">
        <v>467</v>
      </c>
      <c r="G760" s="5">
        <v>828</v>
      </c>
      <c r="H760" s="5">
        <v>0.33529999999999999</v>
      </c>
      <c r="I760" s="20">
        <f t="shared" si="11"/>
        <v>277.6284</v>
      </c>
      <c r="J760" s="6" t="s">
        <v>357</v>
      </c>
    </row>
    <row r="761" spans="1:10" hidden="1">
      <c r="A761" s="9">
        <v>45831</v>
      </c>
      <c r="B761" s="6" t="s">
        <v>6626</v>
      </c>
      <c r="C761" s="5" t="s">
        <v>494</v>
      </c>
      <c r="D761" s="8" t="s">
        <v>354</v>
      </c>
      <c r="E761" s="6" t="s">
        <v>466</v>
      </c>
      <c r="F761" s="6" t="s">
        <v>467</v>
      </c>
      <c r="G761" s="5">
        <v>828</v>
      </c>
      <c r="H761" s="5">
        <v>0.33529999999999999</v>
      </c>
      <c r="I761" s="20">
        <f t="shared" si="11"/>
        <v>277.6284</v>
      </c>
      <c r="J761" s="6" t="s">
        <v>357</v>
      </c>
    </row>
    <row r="762" spans="1:10" hidden="1">
      <c r="A762" s="9">
        <v>45831</v>
      </c>
      <c r="B762" s="6" t="s">
        <v>6628</v>
      </c>
      <c r="C762" s="5" t="s">
        <v>496</v>
      </c>
      <c r="D762" s="8" t="s">
        <v>354</v>
      </c>
      <c r="E762" s="6" t="s">
        <v>466</v>
      </c>
      <c r="F762" s="6" t="s">
        <v>467</v>
      </c>
      <c r="G762" s="5">
        <v>828</v>
      </c>
      <c r="H762" s="5">
        <v>0.33529999999999999</v>
      </c>
      <c r="I762" s="20">
        <f t="shared" si="11"/>
        <v>277.6284</v>
      </c>
      <c r="J762" s="6" t="s">
        <v>357</v>
      </c>
    </row>
    <row r="763" spans="1:10" hidden="1">
      <c r="A763" s="9">
        <v>45831</v>
      </c>
      <c r="B763" s="6" t="s">
        <v>6630</v>
      </c>
      <c r="C763" s="5" t="s">
        <v>499</v>
      </c>
      <c r="D763" s="8" t="s">
        <v>354</v>
      </c>
      <c r="E763" s="6" t="s">
        <v>466</v>
      </c>
      <c r="F763" s="6" t="s">
        <v>467</v>
      </c>
      <c r="G763" s="5">
        <v>828</v>
      </c>
      <c r="H763" s="5">
        <v>0.33529999999999999</v>
      </c>
      <c r="I763" s="20">
        <f t="shared" si="11"/>
        <v>277.6284</v>
      </c>
      <c r="J763" s="6" t="s">
        <v>357</v>
      </c>
    </row>
    <row r="764" spans="1:10" hidden="1">
      <c r="A764" s="9">
        <v>45831</v>
      </c>
      <c r="B764" s="6" t="s">
        <v>6632</v>
      </c>
      <c r="C764" s="5" t="s">
        <v>500</v>
      </c>
      <c r="D764" s="8" t="s">
        <v>354</v>
      </c>
      <c r="E764" s="6" t="s">
        <v>466</v>
      </c>
      <c r="F764" s="6" t="s">
        <v>467</v>
      </c>
      <c r="G764" s="5">
        <v>828</v>
      </c>
      <c r="H764" s="5">
        <v>0.33529999999999999</v>
      </c>
      <c r="I764" s="20">
        <f t="shared" si="11"/>
        <v>277.6284</v>
      </c>
      <c r="J764" s="6" t="s">
        <v>357</v>
      </c>
    </row>
    <row r="765" spans="1:10" hidden="1">
      <c r="A765" s="9">
        <v>45831</v>
      </c>
      <c r="B765" s="6" t="s">
        <v>6634</v>
      </c>
      <c r="C765" s="5" t="s">
        <v>502</v>
      </c>
      <c r="D765" s="8" t="s">
        <v>354</v>
      </c>
      <c r="E765" s="6" t="s">
        <v>466</v>
      </c>
      <c r="F765" s="6" t="s">
        <v>467</v>
      </c>
      <c r="G765" s="5">
        <v>828</v>
      </c>
      <c r="H765" s="5">
        <v>0.33529999999999999</v>
      </c>
      <c r="I765" s="20">
        <f t="shared" si="11"/>
        <v>277.6284</v>
      </c>
      <c r="J765" s="6" t="s">
        <v>357</v>
      </c>
    </row>
    <row r="766" spans="1:10" hidden="1">
      <c r="A766" s="9">
        <v>45831</v>
      </c>
      <c r="B766" s="6" t="s">
        <v>6636</v>
      </c>
      <c r="C766" s="5" t="s">
        <v>565</v>
      </c>
      <c r="D766" s="8" t="s">
        <v>354</v>
      </c>
      <c r="E766" s="6" t="s">
        <v>466</v>
      </c>
      <c r="F766" s="6" t="s">
        <v>467</v>
      </c>
      <c r="G766" s="5">
        <v>1199</v>
      </c>
      <c r="H766" s="5">
        <v>0.33529999999999999</v>
      </c>
      <c r="I766" s="20">
        <f t="shared" si="11"/>
        <v>402.0247</v>
      </c>
      <c r="J766" s="6" t="s">
        <v>357</v>
      </c>
    </row>
    <row r="767" spans="1:10" hidden="1">
      <c r="A767" s="9">
        <v>45831</v>
      </c>
      <c r="B767" s="6" t="s">
        <v>6638</v>
      </c>
      <c r="C767" s="5" t="s">
        <v>567</v>
      </c>
      <c r="D767" s="8" t="s">
        <v>354</v>
      </c>
      <c r="E767" s="6" t="s">
        <v>466</v>
      </c>
      <c r="F767" s="6" t="s">
        <v>467</v>
      </c>
      <c r="G767" s="21">
        <v>1405</v>
      </c>
      <c r="H767" s="5">
        <v>0.33529999999999999</v>
      </c>
      <c r="I767" s="20">
        <f t="shared" si="11"/>
        <v>471.09649999999999</v>
      </c>
      <c r="J767" s="6" t="s">
        <v>357</v>
      </c>
    </row>
    <row r="768" spans="1:10" hidden="1">
      <c r="A768" s="9">
        <v>45831</v>
      </c>
      <c r="B768" s="6" t="s">
        <v>6619</v>
      </c>
      <c r="C768" s="5" t="s">
        <v>487</v>
      </c>
      <c r="D768" s="8" t="s">
        <v>354</v>
      </c>
      <c r="E768" s="6" t="s">
        <v>466</v>
      </c>
      <c r="F768" s="6" t="s">
        <v>467</v>
      </c>
      <c r="G768" s="5">
        <v>1158</v>
      </c>
      <c r="H768" s="5">
        <v>0.33529999999999999</v>
      </c>
      <c r="I768" s="20">
        <f t="shared" si="11"/>
        <v>388.2774</v>
      </c>
      <c r="J768" s="6" t="s">
        <v>357</v>
      </c>
    </row>
    <row r="769" spans="1:10" hidden="1">
      <c r="A769" s="9">
        <v>45831</v>
      </c>
      <c r="B769" s="6" t="s">
        <v>6621</v>
      </c>
      <c r="C769" s="5" t="s">
        <v>489</v>
      </c>
      <c r="D769" s="8" t="s">
        <v>354</v>
      </c>
      <c r="E769" s="6" t="s">
        <v>466</v>
      </c>
      <c r="F769" s="6" t="s">
        <v>467</v>
      </c>
      <c r="G769" s="5">
        <v>1158</v>
      </c>
      <c r="H769" s="5">
        <v>0.33529999999999999</v>
      </c>
      <c r="I769" s="20">
        <f t="shared" si="11"/>
        <v>388.2774</v>
      </c>
      <c r="J769" s="6" t="s">
        <v>357</v>
      </c>
    </row>
    <row r="770" spans="1:10" hidden="1">
      <c r="A770" s="9">
        <v>45831</v>
      </c>
      <c r="B770" s="6" t="s">
        <v>6623</v>
      </c>
      <c r="C770" s="5" t="s">
        <v>491</v>
      </c>
      <c r="D770" s="8" t="s">
        <v>354</v>
      </c>
      <c r="E770" s="6" t="s">
        <v>466</v>
      </c>
      <c r="F770" s="6" t="s">
        <v>467</v>
      </c>
      <c r="G770" s="5">
        <v>1158</v>
      </c>
      <c r="H770" s="5">
        <v>0.33529999999999999</v>
      </c>
      <c r="I770" s="20">
        <f t="shared" si="11"/>
        <v>388.2774</v>
      </c>
      <c r="J770" s="6" t="s">
        <v>357</v>
      </c>
    </row>
    <row r="771" spans="1:10" hidden="1">
      <c r="A771" s="9">
        <v>45831</v>
      </c>
      <c r="B771" s="6" t="s">
        <v>6625</v>
      </c>
      <c r="C771" s="5" t="s">
        <v>493</v>
      </c>
      <c r="D771" s="8" t="s">
        <v>354</v>
      </c>
      <c r="E771" s="6" t="s">
        <v>466</v>
      </c>
      <c r="F771" s="6" t="s">
        <v>467</v>
      </c>
      <c r="G771" s="5">
        <v>1158</v>
      </c>
      <c r="H771" s="5">
        <v>0.33529999999999999</v>
      </c>
      <c r="I771" s="20">
        <f t="shared" ref="I771:I834" si="12">H771*G771</f>
        <v>388.2774</v>
      </c>
      <c r="J771" s="6" t="s">
        <v>357</v>
      </c>
    </row>
    <row r="772" spans="1:10" hidden="1">
      <c r="A772" s="9">
        <v>45831</v>
      </c>
      <c r="B772" s="6" t="s">
        <v>6627</v>
      </c>
      <c r="C772" s="5" t="s">
        <v>495</v>
      </c>
      <c r="D772" s="8" t="s">
        <v>354</v>
      </c>
      <c r="E772" s="6" t="s">
        <v>466</v>
      </c>
      <c r="F772" s="6" t="s">
        <v>467</v>
      </c>
      <c r="G772" s="5">
        <v>1158</v>
      </c>
      <c r="H772" s="5">
        <v>0.33529999999999999</v>
      </c>
      <c r="I772" s="20">
        <f t="shared" si="12"/>
        <v>388.2774</v>
      </c>
      <c r="J772" s="6" t="s">
        <v>357</v>
      </c>
    </row>
    <row r="773" spans="1:10" hidden="1">
      <c r="A773" s="9">
        <v>45831</v>
      </c>
      <c r="B773" s="6" t="s">
        <v>6629</v>
      </c>
      <c r="C773" s="5" t="s">
        <v>497</v>
      </c>
      <c r="D773" s="8" t="s">
        <v>354</v>
      </c>
      <c r="E773" s="6" t="s">
        <v>466</v>
      </c>
      <c r="F773" s="6" t="s">
        <v>467</v>
      </c>
      <c r="G773" s="5">
        <v>1158</v>
      </c>
      <c r="H773" s="5">
        <v>0.33529999999999999</v>
      </c>
      <c r="I773" s="20">
        <f t="shared" si="12"/>
        <v>388.2774</v>
      </c>
      <c r="J773" s="6" t="s">
        <v>357</v>
      </c>
    </row>
    <row r="774" spans="1:10" hidden="1">
      <c r="A774" s="9">
        <v>45831</v>
      </c>
      <c r="B774" s="6" t="s">
        <v>6631</v>
      </c>
      <c r="C774" s="5" t="s">
        <v>498</v>
      </c>
      <c r="D774" s="8" t="s">
        <v>354</v>
      </c>
      <c r="E774" s="6" t="s">
        <v>466</v>
      </c>
      <c r="F774" s="6" t="s">
        <v>467</v>
      </c>
      <c r="G774" s="5">
        <v>1158</v>
      </c>
      <c r="H774" s="5">
        <v>0.33529999999999999</v>
      </c>
      <c r="I774" s="20">
        <f t="shared" si="12"/>
        <v>388.2774</v>
      </c>
      <c r="J774" s="6" t="s">
        <v>357</v>
      </c>
    </row>
    <row r="775" spans="1:10" hidden="1">
      <c r="A775" s="9">
        <v>45831</v>
      </c>
      <c r="B775" s="6" t="s">
        <v>6633</v>
      </c>
      <c r="C775" s="5" t="s">
        <v>501</v>
      </c>
      <c r="D775" s="8" t="s">
        <v>354</v>
      </c>
      <c r="E775" s="6" t="s">
        <v>466</v>
      </c>
      <c r="F775" s="6" t="s">
        <v>467</v>
      </c>
      <c r="G775" s="5">
        <v>1158</v>
      </c>
      <c r="H775" s="5">
        <v>0.33529999999999999</v>
      </c>
      <c r="I775" s="20">
        <f t="shared" si="12"/>
        <v>388.2774</v>
      </c>
      <c r="J775" s="6" t="s">
        <v>357</v>
      </c>
    </row>
    <row r="776" spans="1:10" hidden="1">
      <c r="A776" s="9">
        <v>45831</v>
      </c>
      <c r="B776" s="6" t="s">
        <v>6635</v>
      </c>
      <c r="C776" s="5" t="s">
        <v>503</v>
      </c>
      <c r="D776" s="8" t="s">
        <v>354</v>
      </c>
      <c r="E776" s="6" t="s">
        <v>466</v>
      </c>
      <c r="F776" s="6" t="s">
        <v>467</v>
      </c>
      <c r="G776" s="5">
        <v>1158</v>
      </c>
      <c r="H776" s="5">
        <v>0.33529999999999999</v>
      </c>
      <c r="I776" s="20">
        <f t="shared" si="12"/>
        <v>388.2774</v>
      </c>
      <c r="J776" s="6" t="s">
        <v>357</v>
      </c>
    </row>
    <row r="777" spans="1:10" hidden="1">
      <c r="A777" s="9">
        <v>45831</v>
      </c>
      <c r="B777" s="6" t="s">
        <v>6637</v>
      </c>
      <c r="C777" s="5" t="s">
        <v>566</v>
      </c>
      <c r="D777" s="8" t="s">
        <v>354</v>
      </c>
      <c r="E777" s="6" t="s">
        <v>466</v>
      </c>
      <c r="F777" s="6" t="s">
        <v>467</v>
      </c>
      <c r="G777" s="5">
        <v>1678</v>
      </c>
      <c r="H777" s="5">
        <v>0.33529999999999999</v>
      </c>
      <c r="I777" s="20">
        <f t="shared" si="12"/>
        <v>562.63339999999994</v>
      </c>
      <c r="J777" s="6" t="s">
        <v>357</v>
      </c>
    </row>
    <row r="778" spans="1:10" hidden="1">
      <c r="A778" s="9">
        <v>45831</v>
      </c>
      <c r="B778" s="6" t="s">
        <v>6639</v>
      </c>
      <c r="C778" s="5" t="s">
        <v>568</v>
      </c>
      <c r="D778" s="8" t="s">
        <v>354</v>
      </c>
      <c r="E778" s="6" t="s">
        <v>466</v>
      </c>
      <c r="F778" s="6" t="s">
        <v>467</v>
      </c>
      <c r="G778" s="5">
        <v>1967</v>
      </c>
      <c r="H778" s="5">
        <v>0.33529999999999999</v>
      </c>
      <c r="I778" s="20">
        <f t="shared" si="12"/>
        <v>659.53509999999994</v>
      </c>
      <c r="J778" s="6" t="s">
        <v>357</v>
      </c>
    </row>
    <row r="779" spans="1:10" hidden="1">
      <c r="A779" s="9">
        <v>45831</v>
      </c>
      <c r="B779" s="6" t="s">
        <v>6640</v>
      </c>
      <c r="C779" s="5" t="s">
        <v>1343</v>
      </c>
      <c r="D779" s="8" t="s">
        <v>354</v>
      </c>
      <c r="E779" s="6" t="s">
        <v>466</v>
      </c>
      <c r="F779" s="6" t="s">
        <v>467</v>
      </c>
      <c r="G779" s="5">
        <v>852</v>
      </c>
      <c r="H779" s="5">
        <v>0.33529999999999999</v>
      </c>
      <c r="I779" s="20">
        <f t="shared" si="12"/>
        <v>285.67559999999997</v>
      </c>
      <c r="J779" s="6" t="s">
        <v>357</v>
      </c>
    </row>
    <row r="780" spans="1:10" hidden="1">
      <c r="A780" s="9">
        <v>45831</v>
      </c>
      <c r="B780" s="6" t="s">
        <v>6642</v>
      </c>
      <c r="C780" s="5" t="s">
        <v>506</v>
      </c>
      <c r="D780" s="8" t="s">
        <v>354</v>
      </c>
      <c r="E780" s="6" t="s">
        <v>466</v>
      </c>
      <c r="F780" s="6" t="s">
        <v>467</v>
      </c>
      <c r="G780" s="5">
        <v>852</v>
      </c>
      <c r="H780" s="5">
        <v>0.33529999999999999</v>
      </c>
      <c r="I780" s="20">
        <f t="shared" si="12"/>
        <v>285.67559999999997</v>
      </c>
      <c r="J780" s="6" t="s">
        <v>357</v>
      </c>
    </row>
    <row r="781" spans="1:10" hidden="1">
      <c r="A781" s="9">
        <v>45831</v>
      </c>
      <c r="B781" s="6" t="s">
        <v>6644</v>
      </c>
      <c r="C781" s="5" t="s">
        <v>508</v>
      </c>
      <c r="D781" s="8" t="s">
        <v>354</v>
      </c>
      <c r="E781" s="6" t="s">
        <v>466</v>
      </c>
      <c r="F781" s="6" t="s">
        <v>467</v>
      </c>
      <c r="G781" s="5">
        <v>852</v>
      </c>
      <c r="H781" s="5">
        <v>0.33529999999999999</v>
      </c>
      <c r="I781" s="20">
        <f t="shared" si="12"/>
        <v>285.67559999999997</v>
      </c>
      <c r="J781" s="6" t="s">
        <v>357</v>
      </c>
    </row>
    <row r="782" spans="1:10" hidden="1">
      <c r="A782" s="9">
        <v>45831</v>
      </c>
      <c r="B782" s="6" t="s">
        <v>6646</v>
      </c>
      <c r="C782" s="5" t="s">
        <v>510</v>
      </c>
      <c r="D782" s="8" t="s">
        <v>354</v>
      </c>
      <c r="E782" s="6" t="s">
        <v>466</v>
      </c>
      <c r="F782" s="6" t="s">
        <v>467</v>
      </c>
      <c r="G782" s="5">
        <v>852</v>
      </c>
      <c r="H782" s="5">
        <v>0.33529999999999999</v>
      </c>
      <c r="I782" s="20">
        <f t="shared" si="12"/>
        <v>285.67559999999997</v>
      </c>
      <c r="J782" s="6" t="s">
        <v>357</v>
      </c>
    </row>
    <row r="783" spans="1:10" hidden="1">
      <c r="A783" s="9">
        <v>45831</v>
      </c>
      <c r="B783" s="6" t="s">
        <v>6648</v>
      </c>
      <c r="C783" s="5" t="s">
        <v>513</v>
      </c>
      <c r="D783" s="8" t="s">
        <v>354</v>
      </c>
      <c r="E783" s="6" t="s">
        <v>466</v>
      </c>
      <c r="F783" s="6" t="s">
        <v>467</v>
      </c>
      <c r="G783" s="5">
        <v>852</v>
      </c>
      <c r="H783" s="5">
        <v>0.33529999999999999</v>
      </c>
      <c r="I783" s="20">
        <f t="shared" si="12"/>
        <v>285.67559999999997</v>
      </c>
      <c r="J783" s="6" t="s">
        <v>357</v>
      </c>
    </row>
    <row r="784" spans="1:10" hidden="1">
      <c r="A784" s="9">
        <v>45831</v>
      </c>
      <c r="B784" s="6" t="s">
        <v>6650</v>
      </c>
      <c r="C784" s="5" t="s">
        <v>515</v>
      </c>
      <c r="D784" s="8" t="s">
        <v>354</v>
      </c>
      <c r="E784" s="6" t="s">
        <v>466</v>
      </c>
      <c r="F784" s="6" t="s">
        <v>467</v>
      </c>
      <c r="G784" s="5">
        <v>852</v>
      </c>
      <c r="H784" s="5">
        <v>0.33529999999999999</v>
      </c>
      <c r="I784" s="20">
        <f t="shared" si="12"/>
        <v>285.67559999999997</v>
      </c>
      <c r="J784" s="6" t="s">
        <v>357</v>
      </c>
    </row>
    <row r="785" spans="1:10" hidden="1">
      <c r="A785" s="9">
        <v>45831</v>
      </c>
      <c r="B785" s="6" t="s">
        <v>6652</v>
      </c>
      <c r="C785" s="5" t="s">
        <v>517</v>
      </c>
      <c r="D785" s="8" t="s">
        <v>354</v>
      </c>
      <c r="E785" s="6" t="s">
        <v>466</v>
      </c>
      <c r="F785" s="6" t="s">
        <v>467</v>
      </c>
      <c r="G785" s="5">
        <v>852</v>
      </c>
      <c r="H785" s="5">
        <v>0.33529999999999999</v>
      </c>
      <c r="I785" s="20">
        <f t="shared" si="12"/>
        <v>285.67559999999997</v>
      </c>
      <c r="J785" s="6" t="s">
        <v>357</v>
      </c>
    </row>
    <row r="786" spans="1:10" hidden="1">
      <c r="A786" s="9">
        <v>45831</v>
      </c>
      <c r="B786" s="6" t="s">
        <v>6654</v>
      </c>
      <c r="C786" s="5" t="s">
        <v>519</v>
      </c>
      <c r="D786" s="8" t="s">
        <v>354</v>
      </c>
      <c r="E786" s="6" t="s">
        <v>466</v>
      </c>
      <c r="F786" s="6" t="s">
        <v>467</v>
      </c>
      <c r="G786" s="5">
        <v>852</v>
      </c>
      <c r="H786" s="5">
        <v>0.33529999999999999</v>
      </c>
      <c r="I786" s="20">
        <f t="shared" si="12"/>
        <v>285.67559999999997</v>
      </c>
      <c r="J786" s="6" t="s">
        <v>357</v>
      </c>
    </row>
    <row r="787" spans="1:10" hidden="1">
      <c r="A787" s="9">
        <v>45831</v>
      </c>
      <c r="B787" s="6" t="s">
        <v>6656</v>
      </c>
      <c r="C787" s="5" t="s">
        <v>521</v>
      </c>
      <c r="D787" s="8" t="s">
        <v>354</v>
      </c>
      <c r="E787" s="6" t="s">
        <v>466</v>
      </c>
      <c r="F787" s="6" t="s">
        <v>467</v>
      </c>
      <c r="G787" s="5">
        <v>852</v>
      </c>
      <c r="H787" s="5">
        <v>0.33529999999999999</v>
      </c>
      <c r="I787" s="20">
        <f t="shared" si="12"/>
        <v>285.67559999999997</v>
      </c>
      <c r="J787" s="6" t="s">
        <v>357</v>
      </c>
    </row>
    <row r="788" spans="1:10" hidden="1">
      <c r="A788" s="9">
        <v>45831</v>
      </c>
      <c r="B788" s="6" t="s">
        <v>6658</v>
      </c>
      <c r="C788" s="5" t="s">
        <v>573</v>
      </c>
      <c r="D788" s="8" t="s">
        <v>354</v>
      </c>
      <c r="E788" s="6" t="s">
        <v>466</v>
      </c>
      <c r="F788" s="6" t="s">
        <v>467</v>
      </c>
      <c r="G788" s="5">
        <v>1236</v>
      </c>
      <c r="H788" s="5">
        <v>0.33529999999999999</v>
      </c>
      <c r="I788" s="20">
        <f t="shared" si="12"/>
        <v>414.43079999999998</v>
      </c>
      <c r="J788" s="6" t="s">
        <v>357</v>
      </c>
    </row>
    <row r="789" spans="1:10" hidden="1">
      <c r="A789" s="9">
        <v>45831</v>
      </c>
      <c r="B789" s="6" t="s">
        <v>6660</v>
      </c>
      <c r="C789" s="5" t="s">
        <v>575</v>
      </c>
      <c r="D789" s="8" t="s">
        <v>354</v>
      </c>
      <c r="E789" s="6" t="s">
        <v>466</v>
      </c>
      <c r="F789" s="6" t="s">
        <v>467</v>
      </c>
      <c r="G789" s="5">
        <v>1449</v>
      </c>
      <c r="H789" s="5">
        <v>0.33529999999999999</v>
      </c>
      <c r="I789" s="20">
        <f t="shared" si="12"/>
        <v>485.84969999999998</v>
      </c>
      <c r="J789" s="6" t="s">
        <v>357</v>
      </c>
    </row>
    <row r="790" spans="1:10" hidden="1">
      <c r="A790" s="9">
        <v>45831</v>
      </c>
      <c r="B790" s="6" t="s">
        <v>6641</v>
      </c>
      <c r="C790" s="5" t="s">
        <v>505</v>
      </c>
      <c r="D790" s="8" t="s">
        <v>354</v>
      </c>
      <c r="E790" s="6" t="s">
        <v>466</v>
      </c>
      <c r="F790" s="6" t="s">
        <v>467</v>
      </c>
      <c r="G790" s="5">
        <v>1193</v>
      </c>
      <c r="H790" s="5">
        <v>0.33529999999999999</v>
      </c>
      <c r="I790" s="20">
        <f t="shared" si="12"/>
        <v>400.0129</v>
      </c>
      <c r="J790" s="6" t="s">
        <v>357</v>
      </c>
    </row>
    <row r="791" spans="1:10" hidden="1">
      <c r="A791" s="9">
        <v>45831</v>
      </c>
      <c r="B791" s="6" t="s">
        <v>6643</v>
      </c>
      <c r="C791" s="5" t="s">
        <v>507</v>
      </c>
      <c r="D791" s="8" t="s">
        <v>354</v>
      </c>
      <c r="E791" s="6" t="s">
        <v>466</v>
      </c>
      <c r="F791" s="6" t="s">
        <v>467</v>
      </c>
      <c r="G791" s="5">
        <v>1193</v>
      </c>
      <c r="H791" s="5">
        <v>0.33529999999999999</v>
      </c>
      <c r="I791" s="20">
        <f t="shared" si="12"/>
        <v>400.0129</v>
      </c>
      <c r="J791" s="6" t="s">
        <v>357</v>
      </c>
    </row>
    <row r="792" spans="1:10" hidden="1">
      <c r="A792" s="9">
        <v>45831</v>
      </c>
      <c r="B792" s="6" t="s">
        <v>6645</v>
      </c>
      <c r="C792" s="5" t="s">
        <v>509</v>
      </c>
      <c r="D792" s="8" t="s">
        <v>354</v>
      </c>
      <c r="E792" s="6" t="s">
        <v>466</v>
      </c>
      <c r="F792" s="6" t="s">
        <v>467</v>
      </c>
      <c r="G792" s="5">
        <v>1193</v>
      </c>
      <c r="H792" s="5">
        <v>0.33529999999999999</v>
      </c>
      <c r="I792" s="20">
        <f t="shared" si="12"/>
        <v>400.0129</v>
      </c>
      <c r="J792" s="6" t="s">
        <v>357</v>
      </c>
    </row>
    <row r="793" spans="1:10" hidden="1">
      <c r="A793" s="9">
        <v>45831</v>
      </c>
      <c r="B793" s="6" t="s">
        <v>6647</v>
      </c>
      <c r="C793" s="5" t="s">
        <v>511</v>
      </c>
      <c r="D793" s="8" t="s">
        <v>354</v>
      </c>
      <c r="E793" s="6" t="s">
        <v>466</v>
      </c>
      <c r="F793" s="6" t="s">
        <v>467</v>
      </c>
      <c r="G793" s="5">
        <v>1193</v>
      </c>
      <c r="H793" s="5">
        <v>0.33529999999999999</v>
      </c>
      <c r="I793" s="20">
        <f t="shared" si="12"/>
        <v>400.0129</v>
      </c>
      <c r="J793" s="6" t="s">
        <v>357</v>
      </c>
    </row>
    <row r="794" spans="1:10" hidden="1">
      <c r="A794" s="9">
        <v>45831</v>
      </c>
      <c r="B794" s="6" t="s">
        <v>6649</v>
      </c>
      <c r="C794" s="5" t="s">
        <v>514</v>
      </c>
      <c r="D794" s="8" t="s">
        <v>354</v>
      </c>
      <c r="E794" s="6" t="s">
        <v>466</v>
      </c>
      <c r="F794" s="6" t="s">
        <v>467</v>
      </c>
      <c r="G794" s="5">
        <v>1193</v>
      </c>
      <c r="H794" s="5">
        <v>0.33529999999999999</v>
      </c>
      <c r="I794" s="20">
        <f t="shared" si="12"/>
        <v>400.0129</v>
      </c>
      <c r="J794" s="6" t="s">
        <v>357</v>
      </c>
    </row>
    <row r="795" spans="1:10" hidden="1">
      <c r="A795" s="9">
        <v>45831</v>
      </c>
      <c r="B795" s="6" t="s">
        <v>6651</v>
      </c>
      <c r="C795" s="5" t="s">
        <v>516</v>
      </c>
      <c r="D795" s="8" t="s">
        <v>354</v>
      </c>
      <c r="E795" s="6" t="s">
        <v>466</v>
      </c>
      <c r="F795" s="6" t="s">
        <v>467</v>
      </c>
      <c r="G795" s="5">
        <v>1193</v>
      </c>
      <c r="H795" s="5">
        <v>0.33529999999999999</v>
      </c>
      <c r="I795" s="20">
        <f t="shared" si="12"/>
        <v>400.0129</v>
      </c>
      <c r="J795" s="6" t="s">
        <v>357</v>
      </c>
    </row>
    <row r="796" spans="1:10" hidden="1">
      <c r="A796" s="9">
        <v>45831</v>
      </c>
      <c r="B796" s="6" t="s">
        <v>6653</v>
      </c>
      <c r="C796" s="5" t="s">
        <v>518</v>
      </c>
      <c r="D796" s="8" t="s">
        <v>354</v>
      </c>
      <c r="E796" s="6" t="s">
        <v>466</v>
      </c>
      <c r="F796" s="6" t="s">
        <v>467</v>
      </c>
      <c r="G796" s="5">
        <v>1193</v>
      </c>
      <c r="H796" s="5">
        <v>0.33529999999999999</v>
      </c>
      <c r="I796" s="20">
        <f t="shared" si="12"/>
        <v>400.0129</v>
      </c>
      <c r="J796" s="6" t="s">
        <v>357</v>
      </c>
    </row>
    <row r="797" spans="1:10" hidden="1">
      <c r="A797" s="9">
        <v>45831</v>
      </c>
      <c r="B797" s="6" t="s">
        <v>6655</v>
      </c>
      <c r="C797" s="5" t="s">
        <v>520</v>
      </c>
      <c r="D797" s="8" t="s">
        <v>354</v>
      </c>
      <c r="E797" s="6" t="s">
        <v>466</v>
      </c>
      <c r="F797" s="6" t="s">
        <v>467</v>
      </c>
      <c r="G797" s="5">
        <v>1193</v>
      </c>
      <c r="H797" s="5">
        <v>0.33529999999999999</v>
      </c>
      <c r="I797" s="20">
        <f t="shared" si="12"/>
        <v>400.0129</v>
      </c>
      <c r="J797" s="6" t="s">
        <v>357</v>
      </c>
    </row>
    <row r="798" spans="1:10" hidden="1">
      <c r="A798" s="9">
        <v>45831</v>
      </c>
      <c r="B798" s="6" t="s">
        <v>6657</v>
      </c>
      <c r="C798" s="5" t="s">
        <v>522</v>
      </c>
      <c r="D798" s="8" t="s">
        <v>354</v>
      </c>
      <c r="E798" s="6" t="s">
        <v>466</v>
      </c>
      <c r="F798" s="6" t="s">
        <v>467</v>
      </c>
      <c r="G798" s="5">
        <v>1193</v>
      </c>
      <c r="H798" s="5">
        <v>0.33529999999999999</v>
      </c>
      <c r="I798" s="20">
        <f t="shared" si="12"/>
        <v>400.0129</v>
      </c>
      <c r="J798" s="6" t="s">
        <v>357</v>
      </c>
    </row>
    <row r="799" spans="1:10" hidden="1">
      <c r="A799" s="9">
        <v>45831</v>
      </c>
      <c r="B799" s="6" t="s">
        <v>6659</v>
      </c>
      <c r="C799" s="5" t="s">
        <v>574</v>
      </c>
      <c r="D799" s="8" t="s">
        <v>354</v>
      </c>
      <c r="E799" s="6" t="s">
        <v>466</v>
      </c>
      <c r="F799" s="6" t="s">
        <v>467</v>
      </c>
      <c r="G799" s="5">
        <v>1730</v>
      </c>
      <c r="H799" s="5">
        <v>0.33529999999999999</v>
      </c>
      <c r="I799" s="20">
        <f t="shared" si="12"/>
        <v>580.06899999999996</v>
      </c>
      <c r="J799" s="6" t="s">
        <v>357</v>
      </c>
    </row>
    <row r="800" spans="1:10" hidden="1">
      <c r="A800" s="9">
        <v>45831</v>
      </c>
      <c r="B800" s="6" t="s">
        <v>6661</v>
      </c>
      <c r="C800" s="5" t="s">
        <v>576</v>
      </c>
      <c r="D800" s="8" t="s">
        <v>354</v>
      </c>
      <c r="E800" s="6" t="s">
        <v>466</v>
      </c>
      <c r="F800" s="6" t="s">
        <v>467</v>
      </c>
      <c r="G800" s="5">
        <v>2027</v>
      </c>
      <c r="H800" s="5">
        <v>0.33529999999999999</v>
      </c>
      <c r="I800" s="20">
        <f t="shared" si="12"/>
        <v>679.65309999999999</v>
      </c>
      <c r="J800" s="6" t="s">
        <v>357</v>
      </c>
    </row>
    <row r="801" spans="1:10" hidden="1">
      <c r="A801" s="9">
        <v>45831</v>
      </c>
      <c r="B801" s="6" t="s">
        <v>6662</v>
      </c>
      <c r="C801" s="5" t="s">
        <v>523</v>
      </c>
      <c r="D801" s="8" t="s">
        <v>354</v>
      </c>
      <c r="E801" s="6" t="s">
        <v>466</v>
      </c>
      <c r="F801" s="6" t="s">
        <v>467</v>
      </c>
      <c r="G801" s="21">
        <v>1038</v>
      </c>
      <c r="H801" s="5">
        <v>0.33529999999999999</v>
      </c>
      <c r="I801" s="20">
        <f t="shared" si="12"/>
        <v>348.04140000000001</v>
      </c>
      <c r="J801" s="6" t="s">
        <v>357</v>
      </c>
    </row>
    <row r="802" spans="1:10" hidden="1">
      <c r="A802" s="9">
        <v>45831</v>
      </c>
      <c r="B802" s="6" t="s">
        <v>6664</v>
      </c>
      <c r="C802" s="5" t="s">
        <v>528</v>
      </c>
      <c r="D802" s="8" t="s">
        <v>354</v>
      </c>
      <c r="E802" s="6" t="s">
        <v>466</v>
      </c>
      <c r="F802" s="6" t="s">
        <v>467</v>
      </c>
      <c r="G802" s="5">
        <v>1038</v>
      </c>
      <c r="H802" s="5">
        <v>0.33529999999999999</v>
      </c>
      <c r="I802" s="20">
        <f t="shared" si="12"/>
        <v>348.04140000000001</v>
      </c>
      <c r="J802" s="6" t="s">
        <v>357</v>
      </c>
    </row>
    <row r="803" spans="1:10" hidden="1">
      <c r="A803" s="9">
        <v>45831</v>
      </c>
      <c r="B803" s="6" t="s">
        <v>6666</v>
      </c>
      <c r="C803" s="5" t="s">
        <v>532</v>
      </c>
      <c r="D803" s="8" t="s">
        <v>354</v>
      </c>
      <c r="E803" s="6" t="s">
        <v>466</v>
      </c>
      <c r="F803" s="6" t="s">
        <v>467</v>
      </c>
      <c r="G803" s="5">
        <v>1038</v>
      </c>
      <c r="H803" s="5">
        <v>0.33529999999999999</v>
      </c>
      <c r="I803" s="20">
        <f t="shared" si="12"/>
        <v>348.04140000000001</v>
      </c>
      <c r="J803" s="6" t="s">
        <v>357</v>
      </c>
    </row>
    <row r="804" spans="1:10" hidden="1">
      <c r="A804" s="9">
        <v>45831</v>
      </c>
      <c r="B804" s="6" t="s">
        <v>6668</v>
      </c>
      <c r="C804" s="5" t="s">
        <v>536</v>
      </c>
      <c r="D804" s="8" t="s">
        <v>354</v>
      </c>
      <c r="E804" s="6" t="s">
        <v>466</v>
      </c>
      <c r="F804" s="6" t="s">
        <v>467</v>
      </c>
      <c r="G804" s="5">
        <v>1038</v>
      </c>
      <c r="H804" s="5">
        <v>0.33529999999999999</v>
      </c>
      <c r="I804" s="20">
        <f t="shared" si="12"/>
        <v>348.04140000000001</v>
      </c>
      <c r="J804" s="6" t="s">
        <v>357</v>
      </c>
    </row>
    <row r="805" spans="1:10" hidden="1">
      <c r="A805" s="9">
        <v>45831</v>
      </c>
      <c r="B805" s="6" t="s">
        <v>6670</v>
      </c>
      <c r="C805" s="5" t="s">
        <v>328</v>
      </c>
      <c r="D805" s="8" t="s">
        <v>354</v>
      </c>
      <c r="E805" s="6" t="s">
        <v>466</v>
      </c>
      <c r="F805" s="6" t="s">
        <v>467</v>
      </c>
      <c r="G805" s="5">
        <v>1038</v>
      </c>
      <c r="H805" s="5">
        <v>0.33529999999999999</v>
      </c>
      <c r="I805" s="20">
        <f t="shared" si="12"/>
        <v>348.04140000000001</v>
      </c>
      <c r="J805" s="6" t="s">
        <v>357</v>
      </c>
    </row>
    <row r="806" spans="1:10" hidden="1">
      <c r="A806" s="9">
        <v>45831</v>
      </c>
      <c r="B806" s="6" t="s">
        <v>6672</v>
      </c>
      <c r="C806" s="5" t="s">
        <v>543</v>
      </c>
      <c r="D806" s="8" t="s">
        <v>354</v>
      </c>
      <c r="E806" s="6" t="s">
        <v>466</v>
      </c>
      <c r="F806" s="6" t="s">
        <v>467</v>
      </c>
      <c r="G806" s="5">
        <v>1038</v>
      </c>
      <c r="H806" s="5">
        <v>0.33529999999999999</v>
      </c>
      <c r="I806" s="20">
        <f t="shared" si="12"/>
        <v>348.04140000000001</v>
      </c>
      <c r="J806" s="6" t="s">
        <v>357</v>
      </c>
    </row>
    <row r="807" spans="1:10" hidden="1">
      <c r="A807" s="9">
        <v>45831</v>
      </c>
      <c r="B807" s="6" t="s">
        <v>6674</v>
      </c>
      <c r="C807" s="5" t="s">
        <v>547</v>
      </c>
      <c r="D807" s="8" t="s">
        <v>354</v>
      </c>
      <c r="E807" s="6" t="s">
        <v>466</v>
      </c>
      <c r="F807" s="6" t="s">
        <v>467</v>
      </c>
      <c r="G807" s="5">
        <v>1038</v>
      </c>
      <c r="H807" s="5">
        <v>0.33529999999999999</v>
      </c>
      <c r="I807" s="20">
        <f t="shared" si="12"/>
        <v>348.04140000000001</v>
      </c>
      <c r="J807" s="6" t="s">
        <v>357</v>
      </c>
    </row>
    <row r="808" spans="1:10" hidden="1">
      <c r="A808" s="9">
        <v>45831</v>
      </c>
      <c r="B808" s="6" t="s">
        <v>6676</v>
      </c>
      <c r="C808" s="5" t="s">
        <v>551</v>
      </c>
      <c r="D808" s="8" t="s">
        <v>354</v>
      </c>
      <c r="E808" s="6" t="s">
        <v>466</v>
      </c>
      <c r="F808" s="6" t="s">
        <v>467</v>
      </c>
      <c r="G808" s="5">
        <v>1038</v>
      </c>
      <c r="H808" s="5">
        <v>0.33529999999999999</v>
      </c>
      <c r="I808" s="20">
        <f t="shared" si="12"/>
        <v>348.04140000000001</v>
      </c>
      <c r="J808" s="6" t="s">
        <v>357</v>
      </c>
    </row>
    <row r="809" spans="1:10" hidden="1">
      <c r="A809" s="9">
        <v>45831</v>
      </c>
      <c r="B809" s="6" t="s">
        <v>6678</v>
      </c>
      <c r="C809" s="5" t="s">
        <v>337</v>
      </c>
      <c r="D809" s="8" t="s">
        <v>354</v>
      </c>
      <c r="E809" s="6" t="s">
        <v>466</v>
      </c>
      <c r="F809" s="6" t="s">
        <v>467</v>
      </c>
      <c r="G809" s="5">
        <v>1038</v>
      </c>
      <c r="H809" s="5">
        <v>0.33529999999999999</v>
      </c>
      <c r="I809" s="20">
        <f t="shared" si="12"/>
        <v>348.04140000000001</v>
      </c>
      <c r="J809" s="6" t="s">
        <v>357</v>
      </c>
    </row>
    <row r="810" spans="1:10" hidden="1">
      <c r="A810" s="9">
        <v>45831</v>
      </c>
      <c r="B810" s="6" t="s">
        <v>6680</v>
      </c>
      <c r="C810" s="5" t="s">
        <v>581</v>
      </c>
      <c r="D810" s="8" t="s">
        <v>354</v>
      </c>
      <c r="E810" s="6" t="s">
        <v>466</v>
      </c>
      <c r="F810" s="6" t="s">
        <v>467</v>
      </c>
      <c r="G810" s="5">
        <v>1505</v>
      </c>
      <c r="H810" s="5">
        <v>0.33529999999999999</v>
      </c>
      <c r="I810" s="20">
        <f t="shared" si="12"/>
        <v>504.62649999999996</v>
      </c>
      <c r="J810" s="6" t="s">
        <v>357</v>
      </c>
    </row>
    <row r="811" spans="1:10" hidden="1">
      <c r="A811" s="9">
        <v>45831</v>
      </c>
      <c r="B811" s="6" t="s">
        <v>6682</v>
      </c>
      <c r="C811" s="5" t="s">
        <v>583</v>
      </c>
      <c r="D811" s="8" t="s">
        <v>354</v>
      </c>
      <c r="E811" s="6" t="s">
        <v>466</v>
      </c>
      <c r="F811" s="6" t="s">
        <v>467</v>
      </c>
      <c r="G811" s="5">
        <v>1765</v>
      </c>
      <c r="H811" s="5">
        <v>0.33529999999999999</v>
      </c>
      <c r="I811" s="20">
        <f t="shared" si="12"/>
        <v>591.80449999999996</v>
      </c>
      <c r="J811" s="6" t="s">
        <v>357</v>
      </c>
    </row>
    <row r="812" spans="1:10" hidden="1">
      <c r="A812" s="9">
        <v>45831</v>
      </c>
      <c r="B812" s="6" t="s">
        <v>6663</v>
      </c>
      <c r="C812" s="5" t="s">
        <v>524</v>
      </c>
      <c r="D812" s="8" t="s">
        <v>354</v>
      </c>
      <c r="E812" s="6" t="s">
        <v>466</v>
      </c>
      <c r="F812" s="6" t="s">
        <v>467</v>
      </c>
      <c r="G812" s="5">
        <v>1453</v>
      </c>
      <c r="H812" s="5">
        <v>0.33529999999999999</v>
      </c>
      <c r="I812" s="20">
        <f t="shared" si="12"/>
        <v>487.1909</v>
      </c>
      <c r="J812" s="6" t="s">
        <v>357</v>
      </c>
    </row>
    <row r="813" spans="1:10" hidden="1">
      <c r="A813" s="9">
        <v>45831</v>
      </c>
      <c r="B813" s="6" t="s">
        <v>6665</v>
      </c>
      <c r="C813" s="5" t="s">
        <v>529</v>
      </c>
      <c r="D813" s="8" t="s">
        <v>354</v>
      </c>
      <c r="E813" s="6" t="s">
        <v>466</v>
      </c>
      <c r="F813" s="6" t="s">
        <v>467</v>
      </c>
      <c r="G813" s="5">
        <v>1453</v>
      </c>
      <c r="H813" s="5">
        <v>0.33529999999999999</v>
      </c>
      <c r="I813" s="20">
        <f t="shared" si="12"/>
        <v>487.1909</v>
      </c>
      <c r="J813" s="6" t="s">
        <v>357</v>
      </c>
    </row>
    <row r="814" spans="1:10" hidden="1">
      <c r="A814" s="9">
        <v>45831</v>
      </c>
      <c r="B814" s="6" t="s">
        <v>6667</v>
      </c>
      <c r="C814" s="5" t="s">
        <v>533</v>
      </c>
      <c r="D814" s="8" t="s">
        <v>354</v>
      </c>
      <c r="E814" s="6" t="s">
        <v>466</v>
      </c>
      <c r="F814" s="6" t="s">
        <v>467</v>
      </c>
      <c r="G814" s="5">
        <v>1453</v>
      </c>
      <c r="H814" s="5">
        <v>0.33529999999999999</v>
      </c>
      <c r="I814" s="20">
        <f t="shared" si="12"/>
        <v>487.1909</v>
      </c>
      <c r="J814" s="6" t="s">
        <v>357</v>
      </c>
    </row>
    <row r="815" spans="1:10" hidden="1">
      <c r="A815" s="9">
        <v>45831</v>
      </c>
      <c r="B815" s="6" t="s">
        <v>6669</v>
      </c>
      <c r="C815" s="5" t="s">
        <v>537</v>
      </c>
      <c r="D815" s="8" t="s">
        <v>354</v>
      </c>
      <c r="E815" s="6" t="s">
        <v>466</v>
      </c>
      <c r="F815" s="6" t="s">
        <v>467</v>
      </c>
      <c r="G815" s="5">
        <v>1453</v>
      </c>
      <c r="H815" s="5">
        <v>0.33529999999999999</v>
      </c>
      <c r="I815" s="20">
        <f t="shared" si="12"/>
        <v>487.1909</v>
      </c>
      <c r="J815" s="6" t="s">
        <v>357</v>
      </c>
    </row>
    <row r="816" spans="1:10" hidden="1">
      <c r="A816" s="9">
        <v>45831</v>
      </c>
      <c r="B816" s="6" t="s">
        <v>6671</v>
      </c>
      <c r="C816" s="5" t="s">
        <v>540</v>
      </c>
      <c r="D816" s="8" t="s">
        <v>354</v>
      </c>
      <c r="E816" s="6" t="s">
        <v>466</v>
      </c>
      <c r="F816" s="6" t="s">
        <v>467</v>
      </c>
      <c r="G816" s="5">
        <v>1453</v>
      </c>
      <c r="H816" s="5">
        <v>0.33529999999999999</v>
      </c>
      <c r="I816" s="20">
        <f t="shared" si="12"/>
        <v>487.1909</v>
      </c>
      <c r="J816" s="6" t="s">
        <v>357</v>
      </c>
    </row>
    <row r="817" spans="1:10" hidden="1">
      <c r="A817" s="9">
        <v>45831</v>
      </c>
      <c r="B817" s="6" t="s">
        <v>6673</v>
      </c>
      <c r="C817" s="5" t="s">
        <v>544</v>
      </c>
      <c r="D817" s="8" t="s">
        <v>354</v>
      </c>
      <c r="E817" s="6" t="s">
        <v>466</v>
      </c>
      <c r="F817" s="6" t="s">
        <v>467</v>
      </c>
      <c r="G817" s="5">
        <v>1453</v>
      </c>
      <c r="H817" s="5">
        <v>0.33529999999999999</v>
      </c>
      <c r="I817" s="20">
        <f t="shared" si="12"/>
        <v>487.1909</v>
      </c>
      <c r="J817" s="6" t="s">
        <v>357</v>
      </c>
    </row>
    <row r="818" spans="1:10" hidden="1">
      <c r="A818" s="9">
        <v>45831</v>
      </c>
      <c r="B818" s="6" t="s">
        <v>6675</v>
      </c>
      <c r="C818" s="5" t="s">
        <v>548</v>
      </c>
      <c r="D818" s="8" t="s">
        <v>354</v>
      </c>
      <c r="E818" s="6" t="s">
        <v>466</v>
      </c>
      <c r="F818" s="6" t="s">
        <v>467</v>
      </c>
      <c r="G818" s="5">
        <v>1453</v>
      </c>
      <c r="H818" s="5">
        <v>0.33529999999999999</v>
      </c>
      <c r="I818" s="20">
        <f t="shared" si="12"/>
        <v>487.1909</v>
      </c>
      <c r="J818" s="6" t="s">
        <v>357</v>
      </c>
    </row>
    <row r="819" spans="1:10" hidden="1">
      <c r="A819" s="9">
        <v>45831</v>
      </c>
      <c r="B819" s="6" t="s">
        <v>6677</v>
      </c>
      <c r="C819" s="5" t="s">
        <v>552</v>
      </c>
      <c r="D819" s="8" t="s">
        <v>354</v>
      </c>
      <c r="E819" s="6" t="s">
        <v>466</v>
      </c>
      <c r="F819" s="6" t="s">
        <v>467</v>
      </c>
      <c r="G819" s="5">
        <v>1453</v>
      </c>
      <c r="H819" s="5">
        <v>0.33529999999999999</v>
      </c>
      <c r="I819" s="20">
        <f t="shared" si="12"/>
        <v>487.1909</v>
      </c>
      <c r="J819" s="6" t="s">
        <v>357</v>
      </c>
    </row>
    <row r="820" spans="1:10" hidden="1">
      <c r="A820" s="9">
        <v>45831</v>
      </c>
      <c r="B820" s="6" t="s">
        <v>6679</v>
      </c>
      <c r="C820" s="5" t="s">
        <v>555</v>
      </c>
      <c r="D820" s="8" t="s">
        <v>354</v>
      </c>
      <c r="E820" s="6" t="s">
        <v>466</v>
      </c>
      <c r="F820" s="6" t="s">
        <v>467</v>
      </c>
      <c r="G820" s="5">
        <v>1453</v>
      </c>
      <c r="H820" s="5">
        <v>0.33529999999999999</v>
      </c>
      <c r="I820" s="20">
        <f t="shared" si="12"/>
        <v>487.1909</v>
      </c>
      <c r="J820" s="6" t="s">
        <v>357</v>
      </c>
    </row>
    <row r="821" spans="1:10" hidden="1">
      <c r="A821" s="9">
        <v>45831</v>
      </c>
      <c r="B821" s="6" t="s">
        <v>6681</v>
      </c>
      <c r="C821" s="5" t="s">
        <v>557</v>
      </c>
      <c r="D821" s="8" t="s">
        <v>354</v>
      </c>
      <c r="E821" s="6" t="s">
        <v>466</v>
      </c>
      <c r="F821" s="6" t="s">
        <v>467</v>
      </c>
      <c r="G821" s="5">
        <v>2107</v>
      </c>
      <c r="H821" s="5">
        <v>0.33529999999999999</v>
      </c>
      <c r="I821" s="20">
        <f t="shared" si="12"/>
        <v>706.47709999999995</v>
      </c>
      <c r="J821" s="6" t="s">
        <v>357</v>
      </c>
    </row>
    <row r="822" spans="1:10" hidden="1">
      <c r="A822" s="9">
        <v>45831</v>
      </c>
      <c r="B822" s="6" t="s">
        <v>6683</v>
      </c>
      <c r="C822" s="5" t="s">
        <v>558</v>
      </c>
      <c r="D822" s="8" t="s">
        <v>354</v>
      </c>
      <c r="E822" s="6" t="s">
        <v>466</v>
      </c>
      <c r="F822" s="6" t="s">
        <v>467</v>
      </c>
      <c r="G822" s="5">
        <v>2471</v>
      </c>
      <c r="H822" s="5">
        <v>0.33529999999999999</v>
      </c>
      <c r="I822" s="20">
        <f t="shared" si="12"/>
        <v>828.52629999999999</v>
      </c>
      <c r="J822" s="6" t="s">
        <v>357</v>
      </c>
    </row>
    <row r="823" spans="1:10" hidden="1">
      <c r="A823" s="10">
        <v>45755</v>
      </c>
      <c r="B823" s="6" t="s">
        <v>6684</v>
      </c>
      <c r="C823" s="5" t="s">
        <v>1344</v>
      </c>
      <c r="D823" s="8" t="s">
        <v>354</v>
      </c>
      <c r="E823" s="6" t="s">
        <v>466</v>
      </c>
      <c r="F823" s="6" t="s">
        <v>467</v>
      </c>
      <c r="G823" s="5">
        <v>1670</v>
      </c>
      <c r="H823" s="5">
        <v>0.33529999999999999</v>
      </c>
      <c r="I823" s="20">
        <f t="shared" si="12"/>
        <v>559.95100000000002</v>
      </c>
      <c r="J823" s="6" t="s">
        <v>357</v>
      </c>
    </row>
    <row r="824" spans="1:10" hidden="1">
      <c r="A824" s="10">
        <v>45755</v>
      </c>
      <c r="B824" s="6" t="s">
        <v>6686</v>
      </c>
      <c r="C824" s="5" t="s">
        <v>1346</v>
      </c>
      <c r="D824" s="8" t="s">
        <v>354</v>
      </c>
      <c r="E824" s="6" t="s">
        <v>466</v>
      </c>
      <c r="F824" s="6" t="s">
        <v>467</v>
      </c>
      <c r="G824" s="5">
        <v>1670</v>
      </c>
      <c r="H824" s="5">
        <v>0.33529999999999999</v>
      </c>
      <c r="I824" s="20">
        <f t="shared" si="12"/>
        <v>559.95100000000002</v>
      </c>
      <c r="J824" s="6" t="s">
        <v>357</v>
      </c>
    </row>
    <row r="825" spans="1:10" hidden="1">
      <c r="A825" s="10">
        <v>45755</v>
      </c>
      <c r="B825" s="6" t="s">
        <v>6688</v>
      </c>
      <c r="C825" s="5" t="s">
        <v>1348</v>
      </c>
      <c r="D825" s="8" t="s">
        <v>354</v>
      </c>
      <c r="E825" s="6" t="s">
        <v>466</v>
      </c>
      <c r="F825" s="6" t="s">
        <v>467</v>
      </c>
      <c r="G825" s="5">
        <v>1670</v>
      </c>
      <c r="H825" s="5">
        <v>0.33529999999999999</v>
      </c>
      <c r="I825" s="20">
        <f t="shared" si="12"/>
        <v>559.95100000000002</v>
      </c>
      <c r="J825" s="6" t="s">
        <v>357</v>
      </c>
    </row>
    <row r="826" spans="1:10" hidden="1">
      <c r="A826" s="10">
        <v>45755</v>
      </c>
      <c r="B826" s="6" t="s">
        <v>6690</v>
      </c>
      <c r="C826" s="5" t="s">
        <v>1350</v>
      </c>
      <c r="D826" s="8" t="s">
        <v>354</v>
      </c>
      <c r="E826" s="6" t="s">
        <v>466</v>
      </c>
      <c r="F826" s="6" t="s">
        <v>467</v>
      </c>
      <c r="G826" s="5">
        <v>1670</v>
      </c>
      <c r="H826" s="5">
        <v>0.33529999999999999</v>
      </c>
      <c r="I826" s="20">
        <f t="shared" si="12"/>
        <v>559.95100000000002</v>
      </c>
      <c r="J826" s="6" t="s">
        <v>357</v>
      </c>
    </row>
    <row r="827" spans="1:10" hidden="1">
      <c r="A827" s="10">
        <v>45755</v>
      </c>
      <c r="B827" s="6" t="s">
        <v>6692</v>
      </c>
      <c r="C827" s="5" t="s">
        <v>1352</v>
      </c>
      <c r="D827" s="8" t="s">
        <v>354</v>
      </c>
      <c r="E827" s="6" t="s">
        <v>466</v>
      </c>
      <c r="F827" s="6" t="s">
        <v>467</v>
      </c>
      <c r="G827" s="5">
        <v>1670</v>
      </c>
      <c r="H827" s="5">
        <v>0.33529999999999999</v>
      </c>
      <c r="I827" s="20">
        <f t="shared" si="12"/>
        <v>559.95100000000002</v>
      </c>
      <c r="J827" s="6" t="s">
        <v>357</v>
      </c>
    </row>
    <row r="828" spans="1:10" hidden="1">
      <c r="A828" s="10">
        <v>45755</v>
      </c>
      <c r="B828" s="6" t="s">
        <v>6694</v>
      </c>
      <c r="C828" s="5" t="s">
        <v>1354</v>
      </c>
      <c r="D828" s="8" t="s">
        <v>354</v>
      </c>
      <c r="E828" s="6" t="s">
        <v>466</v>
      </c>
      <c r="F828" s="6" t="s">
        <v>467</v>
      </c>
      <c r="G828" s="5">
        <v>1670</v>
      </c>
      <c r="H828" s="5">
        <v>0.33529999999999999</v>
      </c>
      <c r="I828" s="20">
        <f t="shared" si="12"/>
        <v>559.95100000000002</v>
      </c>
      <c r="J828" s="6" t="s">
        <v>357</v>
      </c>
    </row>
    <row r="829" spans="1:10" hidden="1">
      <c r="A829" s="10">
        <v>45755</v>
      </c>
      <c r="B829" s="6" t="s">
        <v>6696</v>
      </c>
      <c r="C829" s="5" t="s">
        <v>1356</v>
      </c>
      <c r="D829" s="8" t="s">
        <v>354</v>
      </c>
      <c r="E829" s="6" t="s">
        <v>466</v>
      </c>
      <c r="F829" s="6" t="s">
        <v>467</v>
      </c>
      <c r="G829" s="5">
        <v>1670</v>
      </c>
      <c r="H829" s="5">
        <v>0.33529999999999999</v>
      </c>
      <c r="I829" s="20">
        <f t="shared" si="12"/>
        <v>559.95100000000002</v>
      </c>
      <c r="J829" s="6" t="s">
        <v>357</v>
      </c>
    </row>
    <row r="830" spans="1:10" hidden="1">
      <c r="A830" s="10">
        <v>45755</v>
      </c>
      <c r="B830" s="6" t="s">
        <v>6698</v>
      </c>
      <c r="C830" s="5" t="s">
        <v>1358</v>
      </c>
      <c r="D830" s="8" t="s">
        <v>354</v>
      </c>
      <c r="E830" s="6" t="s">
        <v>466</v>
      </c>
      <c r="F830" s="6" t="s">
        <v>467</v>
      </c>
      <c r="G830" s="5">
        <v>1670</v>
      </c>
      <c r="H830" s="5">
        <v>0.33529999999999999</v>
      </c>
      <c r="I830" s="20">
        <f t="shared" si="12"/>
        <v>559.95100000000002</v>
      </c>
      <c r="J830" s="6" t="s">
        <v>357</v>
      </c>
    </row>
    <row r="831" spans="1:10" hidden="1">
      <c r="A831" s="10">
        <v>45755</v>
      </c>
      <c r="B831" s="6" t="s">
        <v>6700</v>
      </c>
      <c r="C831" s="5" t="s">
        <v>1360</v>
      </c>
      <c r="D831" s="8" t="s">
        <v>354</v>
      </c>
      <c r="E831" s="6" t="s">
        <v>466</v>
      </c>
      <c r="F831" s="6" t="s">
        <v>467</v>
      </c>
      <c r="G831" s="5">
        <v>1670</v>
      </c>
      <c r="H831" s="5">
        <v>0.33529999999999999</v>
      </c>
      <c r="I831" s="20">
        <f t="shared" si="12"/>
        <v>559.95100000000002</v>
      </c>
      <c r="J831" s="6" t="s">
        <v>357</v>
      </c>
    </row>
    <row r="832" spans="1:10" hidden="1">
      <c r="A832" s="10">
        <v>45755</v>
      </c>
      <c r="B832" s="6" t="s">
        <v>6702</v>
      </c>
      <c r="C832" s="5" t="s">
        <v>1362</v>
      </c>
      <c r="D832" s="8" t="s">
        <v>354</v>
      </c>
      <c r="E832" s="6" t="s">
        <v>466</v>
      </c>
      <c r="F832" s="6" t="s">
        <v>467</v>
      </c>
      <c r="G832" s="5">
        <v>1818</v>
      </c>
      <c r="H832" s="5">
        <v>0.33529999999999999</v>
      </c>
      <c r="I832" s="20">
        <f t="shared" si="12"/>
        <v>609.57539999999995</v>
      </c>
      <c r="J832" s="6" t="s">
        <v>357</v>
      </c>
    </row>
    <row r="833" spans="1:10" hidden="1">
      <c r="A833" s="10">
        <v>45755</v>
      </c>
      <c r="B833" s="6" t="s">
        <v>6704</v>
      </c>
      <c r="C833" s="5" t="s">
        <v>1364</v>
      </c>
      <c r="D833" s="8" t="s">
        <v>354</v>
      </c>
      <c r="E833" s="6" t="s">
        <v>466</v>
      </c>
      <c r="F833" s="6" t="s">
        <v>467</v>
      </c>
      <c r="G833" s="5">
        <v>1824</v>
      </c>
      <c r="H833" s="5">
        <v>0.33529999999999999</v>
      </c>
      <c r="I833" s="20">
        <f t="shared" si="12"/>
        <v>611.58719999999994</v>
      </c>
      <c r="J833" s="6" t="s">
        <v>357</v>
      </c>
    </row>
    <row r="834" spans="1:10" hidden="1">
      <c r="A834" s="10">
        <v>45755</v>
      </c>
      <c r="B834" s="6" t="s">
        <v>6685</v>
      </c>
      <c r="C834" s="5" t="s">
        <v>1345</v>
      </c>
      <c r="D834" s="8" t="s">
        <v>354</v>
      </c>
      <c r="E834" s="6" t="s">
        <v>466</v>
      </c>
      <c r="F834" s="6" t="s">
        <v>467</v>
      </c>
      <c r="G834" s="5">
        <v>2337</v>
      </c>
      <c r="H834" s="5">
        <v>0.33529999999999999</v>
      </c>
      <c r="I834" s="20">
        <f t="shared" si="12"/>
        <v>783.59609999999998</v>
      </c>
      <c r="J834" s="6" t="s">
        <v>357</v>
      </c>
    </row>
    <row r="835" spans="1:10" hidden="1">
      <c r="A835" s="10">
        <v>45755</v>
      </c>
      <c r="B835" s="6" t="s">
        <v>6687</v>
      </c>
      <c r="C835" s="5" t="s">
        <v>1347</v>
      </c>
      <c r="D835" s="8" t="s">
        <v>354</v>
      </c>
      <c r="E835" s="6" t="s">
        <v>466</v>
      </c>
      <c r="F835" s="6" t="s">
        <v>467</v>
      </c>
      <c r="G835" s="5">
        <v>2337</v>
      </c>
      <c r="H835" s="5">
        <v>0.33529999999999999</v>
      </c>
      <c r="I835" s="20">
        <f t="shared" ref="I835:I898" si="13">H835*G835</f>
        <v>783.59609999999998</v>
      </c>
      <c r="J835" s="6" t="s">
        <v>357</v>
      </c>
    </row>
    <row r="836" spans="1:10" hidden="1">
      <c r="A836" s="10">
        <v>45755</v>
      </c>
      <c r="B836" s="6" t="s">
        <v>6689</v>
      </c>
      <c r="C836" s="5" t="s">
        <v>1349</v>
      </c>
      <c r="D836" s="8" t="s">
        <v>354</v>
      </c>
      <c r="E836" s="6" t="s">
        <v>466</v>
      </c>
      <c r="F836" s="6" t="s">
        <v>467</v>
      </c>
      <c r="G836" s="5">
        <v>2337</v>
      </c>
      <c r="H836" s="5">
        <v>0.33529999999999999</v>
      </c>
      <c r="I836" s="20">
        <f t="shared" si="13"/>
        <v>783.59609999999998</v>
      </c>
      <c r="J836" s="6" t="s">
        <v>357</v>
      </c>
    </row>
    <row r="837" spans="1:10" hidden="1">
      <c r="A837" s="10">
        <v>45755</v>
      </c>
      <c r="B837" s="6" t="s">
        <v>6691</v>
      </c>
      <c r="C837" s="5" t="s">
        <v>1351</v>
      </c>
      <c r="D837" s="8" t="s">
        <v>354</v>
      </c>
      <c r="E837" s="6" t="s">
        <v>466</v>
      </c>
      <c r="F837" s="6" t="s">
        <v>467</v>
      </c>
      <c r="G837" s="5">
        <v>2337</v>
      </c>
      <c r="H837" s="5">
        <v>0.33529999999999999</v>
      </c>
      <c r="I837" s="20">
        <f t="shared" si="13"/>
        <v>783.59609999999998</v>
      </c>
      <c r="J837" s="6" t="s">
        <v>357</v>
      </c>
    </row>
    <row r="838" spans="1:10" hidden="1">
      <c r="A838" s="10">
        <v>45755</v>
      </c>
      <c r="B838" s="6" t="s">
        <v>6693</v>
      </c>
      <c r="C838" s="5" t="s">
        <v>1353</v>
      </c>
      <c r="D838" s="8" t="s">
        <v>354</v>
      </c>
      <c r="E838" s="6" t="s">
        <v>466</v>
      </c>
      <c r="F838" s="6" t="s">
        <v>467</v>
      </c>
      <c r="G838" s="5">
        <v>2337</v>
      </c>
      <c r="H838" s="5">
        <v>0.33529999999999999</v>
      </c>
      <c r="I838" s="20">
        <f t="shared" si="13"/>
        <v>783.59609999999998</v>
      </c>
      <c r="J838" s="6" t="s">
        <v>357</v>
      </c>
    </row>
    <row r="839" spans="1:10" hidden="1">
      <c r="A839" s="10">
        <v>45755</v>
      </c>
      <c r="B839" s="6" t="s">
        <v>6695</v>
      </c>
      <c r="C839" s="5" t="s">
        <v>1355</v>
      </c>
      <c r="D839" s="8" t="s">
        <v>354</v>
      </c>
      <c r="E839" s="6" t="s">
        <v>466</v>
      </c>
      <c r="F839" s="6" t="s">
        <v>467</v>
      </c>
      <c r="G839" s="5">
        <v>2337</v>
      </c>
      <c r="H839" s="5">
        <v>0.33529999999999999</v>
      </c>
      <c r="I839" s="20">
        <f t="shared" si="13"/>
        <v>783.59609999999998</v>
      </c>
      <c r="J839" s="6" t="s">
        <v>357</v>
      </c>
    </row>
    <row r="840" spans="1:10" hidden="1">
      <c r="A840" s="10">
        <v>45755</v>
      </c>
      <c r="B840" s="6" t="s">
        <v>6697</v>
      </c>
      <c r="C840" s="5" t="s">
        <v>1357</v>
      </c>
      <c r="D840" s="8" t="s">
        <v>354</v>
      </c>
      <c r="E840" s="6" t="s">
        <v>466</v>
      </c>
      <c r="F840" s="6" t="s">
        <v>467</v>
      </c>
      <c r="G840" s="5">
        <v>2337</v>
      </c>
      <c r="H840" s="5">
        <v>0.33529999999999999</v>
      </c>
      <c r="I840" s="20">
        <f t="shared" si="13"/>
        <v>783.59609999999998</v>
      </c>
      <c r="J840" s="6" t="s">
        <v>357</v>
      </c>
    </row>
    <row r="841" spans="1:10" hidden="1">
      <c r="A841" s="10">
        <v>45755</v>
      </c>
      <c r="B841" s="6" t="s">
        <v>6699</v>
      </c>
      <c r="C841" s="5" t="s">
        <v>1359</v>
      </c>
      <c r="D841" s="8" t="s">
        <v>354</v>
      </c>
      <c r="E841" s="6" t="s">
        <v>466</v>
      </c>
      <c r="F841" s="6" t="s">
        <v>467</v>
      </c>
      <c r="G841" s="5">
        <v>2337</v>
      </c>
      <c r="H841" s="5">
        <v>0.33529999999999999</v>
      </c>
      <c r="I841" s="20">
        <f t="shared" si="13"/>
        <v>783.59609999999998</v>
      </c>
      <c r="J841" s="6" t="s">
        <v>357</v>
      </c>
    </row>
    <row r="842" spans="1:10" hidden="1">
      <c r="A842" s="10">
        <v>45755</v>
      </c>
      <c r="B842" s="6" t="s">
        <v>6701</v>
      </c>
      <c r="C842" s="5" t="s">
        <v>1361</v>
      </c>
      <c r="D842" s="8" t="s">
        <v>354</v>
      </c>
      <c r="E842" s="6" t="s">
        <v>466</v>
      </c>
      <c r="F842" s="6" t="s">
        <v>467</v>
      </c>
      <c r="G842" s="5">
        <v>2337</v>
      </c>
      <c r="H842" s="5">
        <v>0.33529999999999999</v>
      </c>
      <c r="I842" s="20">
        <f t="shared" si="13"/>
        <v>783.59609999999998</v>
      </c>
      <c r="J842" s="6" t="s">
        <v>357</v>
      </c>
    </row>
    <row r="843" spans="1:10" hidden="1">
      <c r="A843" s="10">
        <v>45755</v>
      </c>
      <c r="B843" s="6" t="s">
        <v>6703</v>
      </c>
      <c r="C843" s="5" t="s">
        <v>1363</v>
      </c>
      <c r="D843" s="8" t="s">
        <v>354</v>
      </c>
      <c r="E843" s="6" t="s">
        <v>466</v>
      </c>
      <c r="F843" s="6" t="s">
        <v>467</v>
      </c>
      <c r="G843" s="5">
        <v>2546</v>
      </c>
      <c r="H843" s="5">
        <v>0.33529999999999999</v>
      </c>
      <c r="I843" s="20">
        <f t="shared" si="13"/>
        <v>853.67379999999991</v>
      </c>
      <c r="J843" s="6" t="s">
        <v>357</v>
      </c>
    </row>
    <row r="844" spans="1:10" hidden="1">
      <c r="A844" s="10">
        <v>45755</v>
      </c>
      <c r="B844" s="6" t="s">
        <v>6705</v>
      </c>
      <c r="C844" s="5" t="s">
        <v>1365</v>
      </c>
      <c r="D844" s="8" t="s">
        <v>354</v>
      </c>
      <c r="E844" s="6" t="s">
        <v>466</v>
      </c>
      <c r="F844" s="6" t="s">
        <v>467</v>
      </c>
      <c r="G844" s="5">
        <v>2554</v>
      </c>
      <c r="H844" s="5">
        <v>0.33529999999999999</v>
      </c>
      <c r="I844" s="20">
        <f t="shared" si="13"/>
        <v>856.35619999999994</v>
      </c>
      <c r="J844" s="6" t="s">
        <v>357</v>
      </c>
    </row>
    <row r="845" spans="1:10" hidden="1">
      <c r="A845" s="9">
        <v>45831</v>
      </c>
      <c r="B845" s="6" t="s">
        <v>6706</v>
      </c>
      <c r="C845" s="5" t="s">
        <v>1366</v>
      </c>
      <c r="D845" s="8" t="s">
        <v>354</v>
      </c>
      <c r="E845" s="6" t="s">
        <v>466</v>
      </c>
      <c r="F845" s="6" t="s">
        <v>467</v>
      </c>
      <c r="G845" s="21">
        <v>1395</v>
      </c>
      <c r="H845" s="5">
        <v>0.33529999999999999</v>
      </c>
      <c r="I845" s="20">
        <f t="shared" si="13"/>
        <v>467.74349999999998</v>
      </c>
      <c r="J845" s="6" t="s">
        <v>357</v>
      </c>
    </row>
    <row r="846" spans="1:10" hidden="1">
      <c r="A846" s="9">
        <v>45831</v>
      </c>
      <c r="B846" s="6" t="s">
        <v>6708</v>
      </c>
      <c r="C846" s="5" t="s">
        <v>1368</v>
      </c>
      <c r="D846" s="8" t="s">
        <v>354</v>
      </c>
      <c r="E846" s="6" t="s">
        <v>466</v>
      </c>
      <c r="F846" s="6" t="s">
        <v>467</v>
      </c>
      <c r="G846" s="5">
        <v>1395</v>
      </c>
      <c r="H846" s="5">
        <v>0.33529999999999999</v>
      </c>
      <c r="I846" s="20">
        <f t="shared" si="13"/>
        <v>467.74349999999998</v>
      </c>
      <c r="J846" s="6" t="s">
        <v>357</v>
      </c>
    </row>
    <row r="847" spans="1:10" hidden="1">
      <c r="A847" s="9">
        <v>45831</v>
      </c>
      <c r="B847" s="6" t="s">
        <v>6710</v>
      </c>
      <c r="C847" s="5" t="s">
        <v>1370</v>
      </c>
      <c r="D847" s="8" t="s">
        <v>354</v>
      </c>
      <c r="E847" s="6" t="s">
        <v>466</v>
      </c>
      <c r="F847" s="6" t="s">
        <v>467</v>
      </c>
      <c r="G847" s="5">
        <v>1395</v>
      </c>
      <c r="H847" s="5">
        <v>0.33529999999999999</v>
      </c>
      <c r="I847" s="20">
        <f t="shared" si="13"/>
        <v>467.74349999999998</v>
      </c>
      <c r="J847" s="6" t="s">
        <v>357</v>
      </c>
    </row>
    <row r="848" spans="1:10" hidden="1">
      <c r="A848" s="9">
        <v>45831</v>
      </c>
      <c r="B848" s="6" t="s">
        <v>6712</v>
      </c>
      <c r="C848" s="5" t="s">
        <v>1372</v>
      </c>
      <c r="D848" s="8" t="s">
        <v>354</v>
      </c>
      <c r="E848" s="6" t="s">
        <v>466</v>
      </c>
      <c r="F848" s="6" t="s">
        <v>467</v>
      </c>
      <c r="G848" s="5">
        <v>1395</v>
      </c>
      <c r="H848" s="5">
        <v>0.33529999999999999</v>
      </c>
      <c r="I848" s="20">
        <f t="shared" si="13"/>
        <v>467.74349999999998</v>
      </c>
      <c r="J848" s="6" t="s">
        <v>357</v>
      </c>
    </row>
    <row r="849" spans="1:10" hidden="1">
      <c r="A849" s="9">
        <v>45831</v>
      </c>
      <c r="B849" s="6" t="s">
        <v>6714</v>
      </c>
      <c r="C849" s="5" t="s">
        <v>1374</v>
      </c>
      <c r="D849" s="8" t="s">
        <v>354</v>
      </c>
      <c r="E849" s="6" t="s">
        <v>466</v>
      </c>
      <c r="F849" s="6" t="s">
        <v>467</v>
      </c>
      <c r="G849" s="5">
        <v>1395</v>
      </c>
      <c r="H849" s="5">
        <v>0.33529999999999999</v>
      </c>
      <c r="I849" s="20">
        <f t="shared" si="13"/>
        <v>467.74349999999998</v>
      </c>
      <c r="J849" s="6" t="s">
        <v>357</v>
      </c>
    </row>
    <row r="850" spans="1:10" hidden="1">
      <c r="A850" s="9">
        <v>45831</v>
      </c>
      <c r="B850" s="6" t="s">
        <v>6716</v>
      </c>
      <c r="C850" s="5" t="s">
        <v>1376</v>
      </c>
      <c r="D850" s="8" t="s">
        <v>354</v>
      </c>
      <c r="E850" s="6" t="s">
        <v>466</v>
      </c>
      <c r="F850" s="6" t="s">
        <v>467</v>
      </c>
      <c r="G850" s="5">
        <v>1395</v>
      </c>
      <c r="H850" s="5">
        <v>0.33529999999999999</v>
      </c>
      <c r="I850" s="20">
        <f t="shared" si="13"/>
        <v>467.74349999999998</v>
      </c>
      <c r="J850" s="6" t="s">
        <v>357</v>
      </c>
    </row>
    <row r="851" spans="1:10" hidden="1">
      <c r="A851" s="9">
        <v>45831</v>
      </c>
      <c r="B851" s="6" t="s">
        <v>6718</v>
      </c>
      <c r="C851" s="5" t="s">
        <v>1378</v>
      </c>
      <c r="D851" s="8" t="s">
        <v>354</v>
      </c>
      <c r="E851" s="6" t="s">
        <v>466</v>
      </c>
      <c r="F851" s="6" t="s">
        <v>467</v>
      </c>
      <c r="G851" s="5">
        <v>1395</v>
      </c>
      <c r="H851" s="5">
        <v>0.33529999999999999</v>
      </c>
      <c r="I851" s="20">
        <f t="shared" si="13"/>
        <v>467.74349999999998</v>
      </c>
      <c r="J851" s="6" t="s">
        <v>357</v>
      </c>
    </row>
    <row r="852" spans="1:10" hidden="1">
      <c r="A852" s="9">
        <v>45831</v>
      </c>
      <c r="B852" s="6" t="s">
        <v>6720</v>
      </c>
      <c r="C852" s="5" t="s">
        <v>1380</v>
      </c>
      <c r="D852" s="8" t="s">
        <v>354</v>
      </c>
      <c r="E852" s="6" t="s">
        <v>466</v>
      </c>
      <c r="F852" s="6" t="s">
        <v>467</v>
      </c>
      <c r="G852" s="5">
        <v>1395</v>
      </c>
      <c r="H852" s="5">
        <v>0.33529999999999999</v>
      </c>
      <c r="I852" s="20">
        <f t="shared" si="13"/>
        <v>467.74349999999998</v>
      </c>
      <c r="J852" s="6" t="s">
        <v>357</v>
      </c>
    </row>
    <row r="853" spans="1:10" hidden="1">
      <c r="A853" s="9">
        <v>45831</v>
      </c>
      <c r="B853" s="6" t="s">
        <v>6722</v>
      </c>
      <c r="C853" s="5" t="s">
        <v>1382</v>
      </c>
      <c r="D853" s="8" t="s">
        <v>354</v>
      </c>
      <c r="E853" s="6" t="s">
        <v>466</v>
      </c>
      <c r="F853" s="6" t="s">
        <v>467</v>
      </c>
      <c r="G853" s="5">
        <v>1395</v>
      </c>
      <c r="H853" s="5">
        <v>0.33529999999999999</v>
      </c>
      <c r="I853" s="20">
        <f t="shared" si="13"/>
        <v>467.74349999999998</v>
      </c>
      <c r="J853" s="6" t="s">
        <v>357</v>
      </c>
    </row>
    <row r="854" spans="1:10" hidden="1">
      <c r="A854" s="9">
        <v>45831</v>
      </c>
      <c r="B854" s="6" t="s">
        <v>6724</v>
      </c>
      <c r="C854" s="5" t="s">
        <v>1384</v>
      </c>
      <c r="D854" s="8" t="s">
        <v>354</v>
      </c>
      <c r="E854" s="6" t="s">
        <v>466</v>
      </c>
      <c r="F854" s="6" t="s">
        <v>467</v>
      </c>
      <c r="G854" s="5">
        <v>1932</v>
      </c>
      <c r="H854" s="5">
        <v>0.33529999999999999</v>
      </c>
      <c r="I854" s="20">
        <f t="shared" si="13"/>
        <v>647.79959999999994</v>
      </c>
      <c r="J854" s="6" t="s">
        <v>357</v>
      </c>
    </row>
    <row r="855" spans="1:10" hidden="1">
      <c r="A855" s="9">
        <v>45831</v>
      </c>
      <c r="B855" s="6" t="s">
        <v>6726</v>
      </c>
      <c r="C855" s="5" t="s">
        <v>1386</v>
      </c>
      <c r="D855" s="8" t="s">
        <v>354</v>
      </c>
      <c r="E855" s="6" t="s">
        <v>466</v>
      </c>
      <c r="F855" s="6" t="s">
        <v>467</v>
      </c>
      <c r="G855" s="5">
        <v>1932</v>
      </c>
      <c r="H855" s="5">
        <v>0.33529999999999999</v>
      </c>
      <c r="I855" s="20">
        <f t="shared" si="13"/>
        <v>647.79959999999994</v>
      </c>
      <c r="J855" s="6" t="s">
        <v>357</v>
      </c>
    </row>
    <row r="856" spans="1:10" hidden="1">
      <c r="A856" s="9">
        <v>45831</v>
      </c>
      <c r="B856" s="6" t="s">
        <v>6707</v>
      </c>
      <c r="C856" s="5" t="s">
        <v>1367</v>
      </c>
      <c r="D856" s="8" t="s">
        <v>354</v>
      </c>
      <c r="E856" s="6" t="s">
        <v>466</v>
      </c>
      <c r="F856" s="6" t="s">
        <v>467</v>
      </c>
      <c r="G856" s="5">
        <v>1952</v>
      </c>
      <c r="H856" s="5">
        <v>0.33529999999999999</v>
      </c>
      <c r="I856" s="20">
        <f t="shared" si="13"/>
        <v>654.50559999999996</v>
      </c>
      <c r="J856" s="6" t="s">
        <v>357</v>
      </c>
    </row>
    <row r="857" spans="1:10" hidden="1">
      <c r="A857" s="9">
        <v>45831</v>
      </c>
      <c r="B857" s="6" t="s">
        <v>6709</v>
      </c>
      <c r="C857" s="5" t="s">
        <v>1369</v>
      </c>
      <c r="D857" s="8" t="s">
        <v>354</v>
      </c>
      <c r="E857" s="6" t="s">
        <v>466</v>
      </c>
      <c r="F857" s="6" t="s">
        <v>467</v>
      </c>
      <c r="G857" s="5">
        <v>1952</v>
      </c>
      <c r="H857" s="5">
        <v>0.33529999999999999</v>
      </c>
      <c r="I857" s="20">
        <f t="shared" si="13"/>
        <v>654.50559999999996</v>
      </c>
      <c r="J857" s="6" t="s">
        <v>357</v>
      </c>
    </row>
    <row r="858" spans="1:10" hidden="1">
      <c r="A858" s="9">
        <v>45831</v>
      </c>
      <c r="B858" s="6" t="s">
        <v>6711</v>
      </c>
      <c r="C858" s="5" t="s">
        <v>1371</v>
      </c>
      <c r="D858" s="8" t="s">
        <v>354</v>
      </c>
      <c r="E858" s="6" t="s">
        <v>466</v>
      </c>
      <c r="F858" s="6" t="s">
        <v>467</v>
      </c>
      <c r="G858" s="5">
        <v>1952</v>
      </c>
      <c r="H858" s="5">
        <v>0.33529999999999999</v>
      </c>
      <c r="I858" s="20">
        <f t="shared" si="13"/>
        <v>654.50559999999996</v>
      </c>
      <c r="J858" s="6" t="s">
        <v>357</v>
      </c>
    </row>
    <row r="859" spans="1:10" hidden="1">
      <c r="A859" s="9">
        <v>45831</v>
      </c>
      <c r="B859" s="6" t="s">
        <v>6713</v>
      </c>
      <c r="C859" s="5" t="s">
        <v>1373</v>
      </c>
      <c r="D859" s="8" t="s">
        <v>354</v>
      </c>
      <c r="E859" s="6" t="s">
        <v>466</v>
      </c>
      <c r="F859" s="6" t="s">
        <v>467</v>
      </c>
      <c r="G859" s="5">
        <v>1952</v>
      </c>
      <c r="H859" s="5">
        <v>0.33529999999999999</v>
      </c>
      <c r="I859" s="20">
        <f t="shared" si="13"/>
        <v>654.50559999999996</v>
      </c>
      <c r="J859" s="6" t="s">
        <v>357</v>
      </c>
    </row>
    <row r="860" spans="1:10" hidden="1">
      <c r="A860" s="9">
        <v>45831</v>
      </c>
      <c r="B860" s="6" t="s">
        <v>6715</v>
      </c>
      <c r="C860" s="5" t="s">
        <v>1375</v>
      </c>
      <c r="D860" s="8" t="s">
        <v>354</v>
      </c>
      <c r="E860" s="6" t="s">
        <v>466</v>
      </c>
      <c r="F860" s="6" t="s">
        <v>467</v>
      </c>
      <c r="G860" s="5">
        <v>1952</v>
      </c>
      <c r="H860" s="5">
        <v>0.33529999999999999</v>
      </c>
      <c r="I860" s="20">
        <f t="shared" si="13"/>
        <v>654.50559999999996</v>
      </c>
      <c r="J860" s="6" t="s">
        <v>357</v>
      </c>
    </row>
    <row r="861" spans="1:10" hidden="1">
      <c r="A861" s="9">
        <v>45831</v>
      </c>
      <c r="B861" s="6" t="s">
        <v>6717</v>
      </c>
      <c r="C861" s="5" t="s">
        <v>1377</v>
      </c>
      <c r="D861" s="8" t="s">
        <v>354</v>
      </c>
      <c r="E861" s="6" t="s">
        <v>466</v>
      </c>
      <c r="F861" s="6" t="s">
        <v>467</v>
      </c>
      <c r="G861" s="5">
        <v>1952</v>
      </c>
      <c r="H861" s="5">
        <v>0.33529999999999999</v>
      </c>
      <c r="I861" s="20">
        <f t="shared" si="13"/>
        <v>654.50559999999996</v>
      </c>
      <c r="J861" s="6" t="s">
        <v>357</v>
      </c>
    </row>
    <row r="862" spans="1:10" hidden="1">
      <c r="A862" s="9">
        <v>45831</v>
      </c>
      <c r="B862" s="6" t="s">
        <v>6719</v>
      </c>
      <c r="C862" s="5" t="s">
        <v>1379</v>
      </c>
      <c r="D862" s="8" t="s">
        <v>354</v>
      </c>
      <c r="E862" s="6" t="s">
        <v>466</v>
      </c>
      <c r="F862" s="6" t="s">
        <v>467</v>
      </c>
      <c r="G862" s="5">
        <v>1952</v>
      </c>
      <c r="H862" s="5">
        <v>0.33529999999999999</v>
      </c>
      <c r="I862" s="20">
        <f t="shared" si="13"/>
        <v>654.50559999999996</v>
      </c>
      <c r="J862" s="6" t="s">
        <v>357</v>
      </c>
    </row>
    <row r="863" spans="1:10" hidden="1">
      <c r="A863" s="9">
        <v>45831</v>
      </c>
      <c r="B863" s="6" t="s">
        <v>6721</v>
      </c>
      <c r="C863" s="5" t="s">
        <v>1381</v>
      </c>
      <c r="D863" s="8" t="s">
        <v>354</v>
      </c>
      <c r="E863" s="6" t="s">
        <v>466</v>
      </c>
      <c r="F863" s="6" t="s">
        <v>467</v>
      </c>
      <c r="G863" s="5">
        <v>1952</v>
      </c>
      <c r="H863" s="5">
        <v>0.33529999999999999</v>
      </c>
      <c r="I863" s="20">
        <f t="shared" si="13"/>
        <v>654.50559999999996</v>
      </c>
      <c r="J863" s="6" t="s">
        <v>357</v>
      </c>
    </row>
    <row r="864" spans="1:10" hidden="1">
      <c r="A864" s="9">
        <v>45831</v>
      </c>
      <c r="B864" s="6" t="s">
        <v>6723</v>
      </c>
      <c r="C864" s="5" t="s">
        <v>1383</v>
      </c>
      <c r="D864" s="8" t="s">
        <v>354</v>
      </c>
      <c r="E864" s="6" t="s">
        <v>466</v>
      </c>
      <c r="F864" s="6" t="s">
        <v>467</v>
      </c>
      <c r="G864" s="5">
        <v>1952</v>
      </c>
      <c r="H864" s="5">
        <v>0.33529999999999999</v>
      </c>
      <c r="I864" s="20">
        <f t="shared" si="13"/>
        <v>654.50559999999996</v>
      </c>
      <c r="J864" s="6" t="s">
        <v>357</v>
      </c>
    </row>
    <row r="865" spans="1:10" hidden="1">
      <c r="A865" s="9">
        <v>45831</v>
      </c>
      <c r="B865" s="6" t="s">
        <v>6725</v>
      </c>
      <c r="C865" s="5" t="s">
        <v>1385</v>
      </c>
      <c r="D865" s="8" t="s">
        <v>354</v>
      </c>
      <c r="E865" s="6" t="s">
        <v>466</v>
      </c>
      <c r="F865" s="6" t="s">
        <v>467</v>
      </c>
      <c r="G865" s="5">
        <v>2704</v>
      </c>
      <c r="H865" s="5">
        <v>0.33529999999999999</v>
      </c>
      <c r="I865" s="20">
        <f t="shared" si="13"/>
        <v>906.65120000000002</v>
      </c>
      <c r="J865" s="6" t="s">
        <v>357</v>
      </c>
    </row>
    <row r="866" spans="1:10" hidden="1">
      <c r="A866" s="9">
        <v>45831</v>
      </c>
      <c r="B866" s="6" t="s">
        <v>6727</v>
      </c>
      <c r="C866" s="5" t="s">
        <v>1387</v>
      </c>
      <c r="D866" s="8" t="s">
        <v>354</v>
      </c>
      <c r="E866" s="6" t="s">
        <v>466</v>
      </c>
      <c r="F866" s="6" t="s">
        <v>467</v>
      </c>
      <c r="G866" s="5">
        <v>2704</v>
      </c>
      <c r="H866" s="5">
        <v>0.33529999999999999</v>
      </c>
      <c r="I866" s="20">
        <f t="shared" si="13"/>
        <v>906.65120000000002</v>
      </c>
      <c r="J866" s="6" t="s">
        <v>357</v>
      </c>
    </row>
    <row r="867" spans="1:10" hidden="1">
      <c r="A867" s="9">
        <v>45831</v>
      </c>
      <c r="B867" s="6" t="s">
        <v>6728</v>
      </c>
      <c r="C867" s="5" t="s">
        <v>1388</v>
      </c>
      <c r="D867" s="8" t="s">
        <v>354</v>
      </c>
      <c r="E867" s="6" t="s">
        <v>466</v>
      </c>
      <c r="F867" s="6" t="s">
        <v>467</v>
      </c>
      <c r="G867" s="5">
        <v>3525</v>
      </c>
      <c r="H867" s="5">
        <v>0.33529999999999999</v>
      </c>
      <c r="I867" s="20">
        <f t="shared" si="13"/>
        <v>1181.9324999999999</v>
      </c>
      <c r="J867" s="6" t="s">
        <v>357</v>
      </c>
    </row>
    <row r="868" spans="1:10" hidden="1">
      <c r="A868" s="9">
        <v>45831</v>
      </c>
      <c r="B868" s="6" t="s">
        <v>6730</v>
      </c>
      <c r="C868" s="5" t="s">
        <v>1390</v>
      </c>
      <c r="D868" s="8" t="s">
        <v>354</v>
      </c>
      <c r="E868" s="6" t="s">
        <v>466</v>
      </c>
      <c r="F868" s="6" t="s">
        <v>467</v>
      </c>
      <c r="G868" s="5">
        <v>3525</v>
      </c>
      <c r="H868" s="5">
        <v>0.33529999999999999</v>
      </c>
      <c r="I868" s="20">
        <f t="shared" si="13"/>
        <v>1181.9324999999999</v>
      </c>
      <c r="J868" s="6" t="s">
        <v>357</v>
      </c>
    </row>
    <row r="869" spans="1:10" hidden="1">
      <c r="A869" s="9">
        <v>45831</v>
      </c>
      <c r="B869" s="6" t="s">
        <v>6729</v>
      </c>
      <c r="C869" s="5" t="s">
        <v>1389</v>
      </c>
      <c r="D869" s="8" t="s">
        <v>354</v>
      </c>
      <c r="E869" s="6" t="s">
        <v>466</v>
      </c>
      <c r="F869" s="6" t="s">
        <v>467</v>
      </c>
      <c r="G869" s="5">
        <v>4932</v>
      </c>
      <c r="H869" s="5">
        <v>0.33529999999999999</v>
      </c>
      <c r="I869" s="20">
        <f t="shared" si="13"/>
        <v>1653.6995999999999</v>
      </c>
      <c r="J869" s="6" t="s">
        <v>357</v>
      </c>
    </row>
    <row r="870" spans="1:10" hidden="1">
      <c r="A870" s="9">
        <v>45831</v>
      </c>
      <c r="B870" s="6" t="s">
        <v>6731</v>
      </c>
      <c r="C870" s="5" t="s">
        <v>1391</v>
      </c>
      <c r="D870" s="8" t="s">
        <v>354</v>
      </c>
      <c r="E870" s="6" t="s">
        <v>466</v>
      </c>
      <c r="F870" s="6" t="s">
        <v>467</v>
      </c>
      <c r="G870" s="5">
        <v>4932</v>
      </c>
      <c r="H870" s="5">
        <v>0.33529999999999999</v>
      </c>
      <c r="I870" s="20">
        <f t="shared" si="13"/>
        <v>1653.6995999999999</v>
      </c>
      <c r="J870" s="6" t="s">
        <v>357</v>
      </c>
    </row>
    <row r="871" spans="1:10" hidden="1">
      <c r="A871" s="9">
        <v>45831</v>
      </c>
      <c r="B871" s="6" t="s">
        <v>6732</v>
      </c>
      <c r="C871" s="5" t="s">
        <v>585</v>
      </c>
      <c r="D871" s="8" t="s">
        <v>354</v>
      </c>
      <c r="E871" s="6" t="s">
        <v>466</v>
      </c>
      <c r="F871" s="6" t="s">
        <v>467</v>
      </c>
      <c r="G871" s="5">
        <v>2647</v>
      </c>
      <c r="H871" s="5">
        <v>0.33529999999999999</v>
      </c>
      <c r="I871" s="20">
        <f t="shared" si="13"/>
        <v>887.53909999999996</v>
      </c>
      <c r="J871" s="6" t="s">
        <v>357</v>
      </c>
    </row>
    <row r="872" spans="1:10" hidden="1">
      <c r="A872" s="9">
        <v>45831</v>
      </c>
      <c r="B872" s="6" t="s">
        <v>6734</v>
      </c>
      <c r="C872" s="5" t="s">
        <v>587</v>
      </c>
      <c r="D872" s="8" t="s">
        <v>354</v>
      </c>
      <c r="E872" s="6" t="s">
        <v>466</v>
      </c>
      <c r="F872" s="6" t="s">
        <v>467</v>
      </c>
      <c r="G872" s="5">
        <v>2647</v>
      </c>
      <c r="H872" s="5">
        <v>0.33529999999999999</v>
      </c>
      <c r="I872" s="20">
        <f t="shared" si="13"/>
        <v>887.53909999999996</v>
      </c>
      <c r="J872" s="6" t="s">
        <v>357</v>
      </c>
    </row>
    <row r="873" spans="1:10" hidden="1">
      <c r="A873" s="9">
        <v>45831</v>
      </c>
      <c r="B873" s="6" t="s">
        <v>6733</v>
      </c>
      <c r="C873" s="5" t="s">
        <v>559</v>
      </c>
      <c r="D873" s="8" t="s">
        <v>354</v>
      </c>
      <c r="E873" s="6" t="s">
        <v>466</v>
      </c>
      <c r="F873" s="6" t="s">
        <v>467</v>
      </c>
      <c r="G873" s="5">
        <v>3705</v>
      </c>
      <c r="H873" s="5">
        <v>0.33529999999999999</v>
      </c>
      <c r="I873" s="20">
        <f t="shared" si="13"/>
        <v>1242.2864999999999</v>
      </c>
      <c r="J873" s="6" t="s">
        <v>357</v>
      </c>
    </row>
    <row r="874" spans="1:10" hidden="1">
      <c r="A874" s="9">
        <v>45831</v>
      </c>
      <c r="B874" s="6" t="s">
        <v>6735</v>
      </c>
      <c r="C874" s="5" t="s">
        <v>560</v>
      </c>
      <c r="D874" s="8" t="s">
        <v>354</v>
      </c>
      <c r="E874" s="6" t="s">
        <v>466</v>
      </c>
      <c r="F874" s="6" t="s">
        <v>467</v>
      </c>
      <c r="G874" s="5">
        <v>3705</v>
      </c>
      <c r="H874" s="5">
        <v>0.33529999999999999</v>
      </c>
      <c r="I874" s="20">
        <f t="shared" si="13"/>
        <v>1242.2864999999999</v>
      </c>
      <c r="J874" s="6" t="s">
        <v>357</v>
      </c>
    </row>
    <row r="875" spans="1:10" hidden="1">
      <c r="A875" s="9">
        <v>45831</v>
      </c>
      <c r="B875" s="6" t="s">
        <v>6736</v>
      </c>
      <c r="C875" s="5" t="s">
        <v>1394</v>
      </c>
      <c r="D875" s="8" t="s">
        <v>354</v>
      </c>
      <c r="E875" s="6" t="s">
        <v>466</v>
      </c>
      <c r="F875" s="6" t="s">
        <v>467</v>
      </c>
      <c r="G875" s="5">
        <v>2928</v>
      </c>
      <c r="H875" s="5">
        <v>0.33529999999999999</v>
      </c>
      <c r="I875" s="20">
        <f t="shared" si="13"/>
        <v>981.75839999999994</v>
      </c>
      <c r="J875" s="6" t="s">
        <v>357</v>
      </c>
    </row>
    <row r="876" spans="1:10" hidden="1">
      <c r="A876" s="9">
        <v>45831</v>
      </c>
      <c r="B876" s="6" t="s">
        <v>6738</v>
      </c>
      <c r="C876" s="5" t="s">
        <v>1396</v>
      </c>
      <c r="D876" s="8" t="s">
        <v>354</v>
      </c>
      <c r="E876" s="6" t="s">
        <v>466</v>
      </c>
      <c r="F876" s="6" t="s">
        <v>467</v>
      </c>
      <c r="G876" s="5">
        <v>2928</v>
      </c>
      <c r="H876" s="5">
        <v>0.33529999999999999</v>
      </c>
      <c r="I876" s="20">
        <f t="shared" si="13"/>
        <v>981.75839999999994</v>
      </c>
      <c r="J876" s="6" t="s">
        <v>357</v>
      </c>
    </row>
    <row r="877" spans="1:10" hidden="1">
      <c r="A877" s="9">
        <v>45831</v>
      </c>
      <c r="B877" s="6" t="s">
        <v>6737</v>
      </c>
      <c r="C877" s="5" t="s">
        <v>1395</v>
      </c>
      <c r="D877" s="8" t="s">
        <v>354</v>
      </c>
      <c r="E877" s="6" t="s">
        <v>466</v>
      </c>
      <c r="F877" s="6" t="s">
        <v>467</v>
      </c>
      <c r="G877" s="5">
        <v>4099</v>
      </c>
      <c r="H877" s="5">
        <v>0.33529999999999999</v>
      </c>
      <c r="I877" s="20">
        <f t="shared" si="13"/>
        <v>1374.3947000000001</v>
      </c>
      <c r="J877" s="6" t="s">
        <v>357</v>
      </c>
    </row>
    <row r="878" spans="1:10" hidden="1">
      <c r="A878" s="9">
        <v>45831</v>
      </c>
      <c r="B878" s="6" t="s">
        <v>6739</v>
      </c>
      <c r="C878" s="5" t="s">
        <v>1397</v>
      </c>
      <c r="D878" s="8" t="s">
        <v>354</v>
      </c>
      <c r="E878" s="6" t="s">
        <v>466</v>
      </c>
      <c r="F878" s="6" t="s">
        <v>467</v>
      </c>
      <c r="G878" s="5">
        <v>4099</v>
      </c>
      <c r="H878" s="5">
        <v>0.33529999999999999</v>
      </c>
      <c r="I878" s="20">
        <f t="shared" si="13"/>
        <v>1374.3947000000001</v>
      </c>
      <c r="J878" s="6" t="s">
        <v>357</v>
      </c>
    </row>
    <row r="879" spans="1:10" hidden="1">
      <c r="A879" s="9">
        <v>45831</v>
      </c>
      <c r="B879" s="6" t="s">
        <v>7148</v>
      </c>
      <c r="C879" s="5" t="s">
        <v>1392</v>
      </c>
      <c r="D879" s="8" t="s">
        <v>354</v>
      </c>
      <c r="E879" s="6" t="s">
        <v>466</v>
      </c>
      <c r="F879" s="6" t="s">
        <v>467</v>
      </c>
      <c r="G879" s="5">
        <v>4675</v>
      </c>
      <c r="H879" s="5">
        <v>0.33529999999999999</v>
      </c>
      <c r="I879" s="20">
        <f t="shared" si="13"/>
        <v>1567.5274999999999</v>
      </c>
      <c r="J879" s="6" t="s">
        <v>357</v>
      </c>
    </row>
    <row r="880" spans="1:10" hidden="1">
      <c r="A880" s="9">
        <v>45831</v>
      </c>
      <c r="B880" s="6" t="s">
        <v>6740</v>
      </c>
      <c r="C880" s="5" t="s">
        <v>1398</v>
      </c>
      <c r="D880" s="8" t="s">
        <v>354</v>
      </c>
      <c r="E880" s="6" t="s">
        <v>466</v>
      </c>
      <c r="F880" s="6" t="s">
        <v>467</v>
      </c>
      <c r="G880" s="5">
        <v>4675</v>
      </c>
      <c r="H880" s="5">
        <v>0.33529999999999999</v>
      </c>
      <c r="I880" s="20">
        <f t="shared" si="13"/>
        <v>1567.5274999999999</v>
      </c>
      <c r="J880" s="6" t="s">
        <v>357</v>
      </c>
    </row>
    <row r="881" spans="1:10" hidden="1">
      <c r="A881" s="9">
        <v>45831</v>
      </c>
      <c r="B881" s="6" t="s">
        <v>7149</v>
      </c>
      <c r="C881" s="5" t="s">
        <v>1393</v>
      </c>
      <c r="D881" s="8" t="s">
        <v>354</v>
      </c>
      <c r="E881" s="6" t="s">
        <v>466</v>
      </c>
      <c r="F881" s="6" t="s">
        <v>467</v>
      </c>
      <c r="G881" s="5">
        <v>6543</v>
      </c>
      <c r="H881" s="5">
        <v>0.33529999999999999</v>
      </c>
      <c r="I881" s="20">
        <f t="shared" si="13"/>
        <v>2193.8678999999997</v>
      </c>
      <c r="J881" s="6" t="s">
        <v>357</v>
      </c>
    </row>
    <row r="882" spans="1:10" hidden="1">
      <c r="A882" s="9">
        <v>45831</v>
      </c>
      <c r="B882" s="6" t="s">
        <v>6741</v>
      </c>
      <c r="C882" s="5" t="s">
        <v>1399</v>
      </c>
      <c r="D882" s="8" t="s">
        <v>354</v>
      </c>
      <c r="E882" s="6" t="s">
        <v>466</v>
      </c>
      <c r="F882" s="6" t="s">
        <v>467</v>
      </c>
      <c r="G882" s="5">
        <v>6543</v>
      </c>
      <c r="H882" s="5">
        <v>0.33529999999999999</v>
      </c>
      <c r="I882" s="20">
        <f t="shared" si="13"/>
        <v>2193.8678999999997</v>
      </c>
      <c r="J882" s="6" t="s">
        <v>357</v>
      </c>
    </row>
    <row r="883" spans="1:10" hidden="1">
      <c r="A883" s="9">
        <v>45831</v>
      </c>
      <c r="B883" s="6" t="s">
        <v>6742</v>
      </c>
      <c r="C883" s="5" t="s">
        <v>1400</v>
      </c>
      <c r="D883" s="8" t="s">
        <v>354</v>
      </c>
      <c r="E883" s="6" t="s">
        <v>466</v>
      </c>
      <c r="F883" s="6" t="s">
        <v>467</v>
      </c>
      <c r="G883" s="5">
        <v>7487</v>
      </c>
      <c r="H883" s="5">
        <v>0.33529999999999999</v>
      </c>
      <c r="I883" s="20">
        <f t="shared" si="13"/>
        <v>2510.3910999999998</v>
      </c>
      <c r="J883" s="6" t="s">
        <v>357</v>
      </c>
    </row>
    <row r="884" spans="1:10" hidden="1">
      <c r="A884" s="9">
        <v>45831</v>
      </c>
      <c r="B884" s="6" t="s">
        <v>6744</v>
      </c>
      <c r="C884" s="5" t="s">
        <v>1402</v>
      </c>
      <c r="D884" s="8" t="s">
        <v>354</v>
      </c>
      <c r="E884" s="6" t="s">
        <v>466</v>
      </c>
      <c r="F884" s="6" t="s">
        <v>467</v>
      </c>
      <c r="G884" s="5">
        <v>7548</v>
      </c>
      <c r="H884" s="5">
        <v>0.33529999999999999</v>
      </c>
      <c r="I884" s="20">
        <f t="shared" si="13"/>
        <v>2530.8444</v>
      </c>
      <c r="J884" s="6" t="s">
        <v>357</v>
      </c>
    </row>
    <row r="885" spans="1:10" hidden="1">
      <c r="A885" s="9">
        <v>45831</v>
      </c>
      <c r="B885" s="6" t="s">
        <v>6743</v>
      </c>
      <c r="C885" s="5" t="s">
        <v>1401</v>
      </c>
      <c r="D885" s="8" t="s">
        <v>354</v>
      </c>
      <c r="E885" s="6" t="s">
        <v>466</v>
      </c>
      <c r="F885" s="6" t="s">
        <v>467</v>
      </c>
      <c r="G885" s="5">
        <v>10481</v>
      </c>
      <c r="H885" s="5">
        <v>0.33529999999999999</v>
      </c>
      <c r="I885" s="20">
        <f t="shared" si="13"/>
        <v>3514.2792999999997</v>
      </c>
      <c r="J885" s="6" t="s">
        <v>357</v>
      </c>
    </row>
    <row r="886" spans="1:10" hidden="1">
      <c r="A886" s="9">
        <v>45831</v>
      </c>
      <c r="B886" s="6" t="s">
        <v>6745</v>
      </c>
      <c r="C886" s="5" t="s">
        <v>1403</v>
      </c>
      <c r="D886" s="8" t="s">
        <v>354</v>
      </c>
      <c r="E886" s="6" t="s">
        <v>466</v>
      </c>
      <c r="F886" s="6" t="s">
        <v>467</v>
      </c>
      <c r="G886" s="5">
        <v>10568</v>
      </c>
      <c r="H886" s="5">
        <v>0.33529999999999999</v>
      </c>
      <c r="I886" s="20">
        <f t="shared" si="13"/>
        <v>3543.4503999999997</v>
      </c>
      <c r="J886" s="6" t="s">
        <v>357</v>
      </c>
    </row>
    <row r="887" spans="1:10" hidden="1">
      <c r="A887" s="9">
        <v>45831</v>
      </c>
      <c r="B887" s="6" t="s">
        <v>7146</v>
      </c>
      <c r="C887" s="5" t="s">
        <v>588</v>
      </c>
      <c r="D887" s="8" t="s">
        <v>354</v>
      </c>
      <c r="E887" s="6" t="s">
        <v>466</v>
      </c>
      <c r="F887" s="6" t="s">
        <v>467</v>
      </c>
      <c r="G887" s="5">
        <v>4008</v>
      </c>
      <c r="H887" s="5">
        <v>0.33529999999999999</v>
      </c>
      <c r="I887" s="20">
        <f t="shared" si="13"/>
        <v>1343.8824</v>
      </c>
      <c r="J887" s="6" t="s">
        <v>357</v>
      </c>
    </row>
    <row r="888" spans="1:10" hidden="1">
      <c r="A888" s="9">
        <v>45831</v>
      </c>
      <c r="B888" s="6" t="s">
        <v>6746</v>
      </c>
      <c r="C888" s="5" t="s">
        <v>589</v>
      </c>
      <c r="D888" s="8" t="s">
        <v>354</v>
      </c>
      <c r="E888" s="6" t="s">
        <v>466</v>
      </c>
      <c r="F888" s="6" t="s">
        <v>467</v>
      </c>
      <c r="G888" s="5">
        <v>4008</v>
      </c>
      <c r="H888" s="5">
        <v>0.33529999999999999</v>
      </c>
      <c r="I888" s="20">
        <f t="shared" si="13"/>
        <v>1343.8824</v>
      </c>
      <c r="J888" s="6" t="s">
        <v>357</v>
      </c>
    </row>
    <row r="889" spans="1:10" hidden="1">
      <c r="A889" s="9">
        <v>45831</v>
      </c>
      <c r="B889" s="6" t="s">
        <v>7147</v>
      </c>
      <c r="C889" s="5" t="s">
        <v>561</v>
      </c>
      <c r="D889" s="8" t="s">
        <v>354</v>
      </c>
      <c r="E889" s="6" t="s">
        <v>466</v>
      </c>
      <c r="F889" s="6" t="s">
        <v>467</v>
      </c>
      <c r="G889" s="5">
        <v>5610</v>
      </c>
      <c r="H889" s="5">
        <v>0.33529999999999999</v>
      </c>
      <c r="I889" s="20">
        <f t="shared" si="13"/>
        <v>1881.0329999999999</v>
      </c>
      <c r="J889" s="6" t="s">
        <v>357</v>
      </c>
    </row>
    <row r="890" spans="1:10" hidden="1">
      <c r="A890" s="9">
        <v>45831</v>
      </c>
      <c r="B890" s="6" t="s">
        <v>6747</v>
      </c>
      <c r="C890" s="5" t="s">
        <v>562</v>
      </c>
      <c r="D890" s="8" t="s">
        <v>354</v>
      </c>
      <c r="E890" s="6" t="s">
        <v>466</v>
      </c>
      <c r="F890" s="6" t="s">
        <v>467</v>
      </c>
      <c r="G890" s="5">
        <v>5610</v>
      </c>
      <c r="H890" s="5">
        <v>0.33529999999999999</v>
      </c>
      <c r="I890" s="20">
        <f t="shared" si="13"/>
        <v>1881.0329999999999</v>
      </c>
      <c r="J890" s="6" t="s">
        <v>357</v>
      </c>
    </row>
    <row r="891" spans="1:10" hidden="1">
      <c r="A891" s="9">
        <v>45831</v>
      </c>
      <c r="B891" s="6" t="s">
        <v>6748</v>
      </c>
      <c r="C891" s="5" t="s">
        <v>590</v>
      </c>
      <c r="D891" s="8" t="s">
        <v>354</v>
      </c>
      <c r="E891" s="6" t="s">
        <v>466</v>
      </c>
      <c r="F891" s="6" t="s">
        <v>467</v>
      </c>
      <c r="G891" s="5">
        <v>5921</v>
      </c>
      <c r="H891" s="5">
        <v>0.33529999999999999</v>
      </c>
      <c r="I891" s="20">
        <f t="shared" si="13"/>
        <v>1985.3112999999998</v>
      </c>
      <c r="J891" s="6" t="s">
        <v>357</v>
      </c>
    </row>
    <row r="892" spans="1:10" hidden="1">
      <c r="A892" s="9">
        <v>45831</v>
      </c>
      <c r="B892" s="6" t="s">
        <v>6750</v>
      </c>
      <c r="C892" s="5" t="s">
        <v>591</v>
      </c>
      <c r="D892" s="8" t="s">
        <v>354</v>
      </c>
      <c r="E892" s="6" t="s">
        <v>466</v>
      </c>
      <c r="F892" s="6" t="s">
        <v>467</v>
      </c>
      <c r="G892" s="5">
        <v>5982</v>
      </c>
      <c r="H892" s="5">
        <v>0.33529999999999999</v>
      </c>
      <c r="I892" s="20">
        <f t="shared" si="13"/>
        <v>2005.7646</v>
      </c>
      <c r="J892" s="6" t="s">
        <v>357</v>
      </c>
    </row>
    <row r="893" spans="1:10" hidden="1">
      <c r="A893" s="9">
        <v>45831</v>
      </c>
      <c r="B893" s="6" t="s">
        <v>6749</v>
      </c>
      <c r="C893" s="5" t="s">
        <v>563</v>
      </c>
      <c r="D893" s="8" t="s">
        <v>354</v>
      </c>
      <c r="E893" s="6" t="s">
        <v>466</v>
      </c>
      <c r="F893" s="6" t="s">
        <v>467</v>
      </c>
      <c r="G893" s="5">
        <v>8290</v>
      </c>
      <c r="H893" s="5">
        <v>0.33529999999999999</v>
      </c>
      <c r="I893" s="20">
        <f t="shared" si="13"/>
        <v>2779.6369999999997</v>
      </c>
      <c r="J893" s="6" t="s">
        <v>357</v>
      </c>
    </row>
    <row r="894" spans="1:10" hidden="1">
      <c r="A894" s="9">
        <v>45831</v>
      </c>
      <c r="B894" s="6" t="s">
        <v>6751</v>
      </c>
      <c r="C894" s="5" t="s">
        <v>564</v>
      </c>
      <c r="D894" s="8" t="s">
        <v>354</v>
      </c>
      <c r="E894" s="6" t="s">
        <v>466</v>
      </c>
      <c r="F894" s="6" t="s">
        <v>467</v>
      </c>
      <c r="G894" s="5">
        <v>8374</v>
      </c>
      <c r="H894" s="5">
        <v>0.33529999999999999</v>
      </c>
      <c r="I894" s="20">
        <f t="shared" si="13"/>
        <v>2807.8022000000001</v>
      </c>
      <c r="J894" s="6" t="s">
        <v>357</v>
      </c>
    </row>
    <row r="895" spans="1:10" hidden="1">
      <c r="A895" s="9">
        <v>45831</v>
      </c>
      <c r="B895" s="6" t="s">
        <v>7145</v>
      </c>
      <c r="C895" s="5" t="s">
        <v>592</v>
      </c>
      <c r="D895" s="8" t="s">
        <v>354</v>
      </c>
      <c r="E895" s="6" t="s">
        <v>466</v>
      </c>
      <c r="F895" s="6" t="s">
        <v>467</v>
      </c>
      <c r="G895" s="21">
        <v>4351</v>
      </c>
      <c r="H895" s="5">
        <v>0.33529999999999999</v>
      </c>
      <c r="I895" s="20">
        <f t="shared" si="13"/>
        <v>1458.8903</v>
      </c>
      <c r="J895" s="6" t="s">
        <v>357</v>
      </c>
    </row>
    <row r="896" spans="1:10" hidden="1">
      <c r="A896" s="9">
        <v>45831</v>
      </c>
      <c r="B896" s="6" t="s">
        <v>6752</v>
      </c>
      <c r="C896" s="5" t="s">
        <v>594</v>
      </c>
      <c r="D896" s="8" t="s">
        <v>354</v>
      </c>
      <c r="E896" s="6" t="s">
        <v>466</v>
      </c>
      <c r="F896" s="6" t="s">
        <v>467</v>
      </c>
      <c r="G896" s="21">
        <v>4351</v>
      </c>
      <c r="H896" s="5">
        <v>0.33529999999999999</v>
      </c>
      <c r="I896" s="20">
        <f t="shared" si="13"/>
        <v>1458.8903</v>
      </c>
      <c r="J896" s="6" t="s">
        <v>357</v>
      </c>
    </row>
    <row r="897" spans="1:10" hidden="1">
      <c r="A897" s="9">
        <v>45831</v>
      </c>
      <c r="B897" s="6" t="s">
        <v>7144</v>
      </c>
      <c r="C897" s="5" t="s">
        <v>593</v>
      </c>
      <c r="D897" s="8" t="s">
        <v>354</v>
      </c>
      <c r="E897" s="6" t="s">
        <v>466</v>
      </c>
      <c r="F897" s="6" t="s">
        <v>467</v>
      </c>
      <c r="G897" s="5">
        <v>6090</v>
      </c>
      <c r="H897" s="5">
        <v>0.33529999999999999</v>
      </c>
      <c r="I897" s="20">
        <f t="shared" si="13"/>
        <v>2041.9769999999999</v>
      </c>
      <c r="J897" s="6" t="s">
        <v>357</v>
      </c>
    </row>
    <row r="898" spans="1:10" hidden="1">
      <c r="A898" s="9">
        <v>45831</v>
      </c>
      <c r="B898" s="6" t="s">
        <v>6753</v>
      </c>
      <c r="C898" s="5" t="s">
        <v>595</v>
      </c>
      <c r="D898" s="8" t="s">
        <v>354</v>
      </c>
      <c r="E898" s="6" t="s">
        <v>466</v>
      </c>
      <c r="F898" s="6" t="s">
        <v>467</v>
      </c>
      <c r="G898" s="5">
        <v>6090</v>
      </c>
      <c r="H898" s="5">
        <v>0.33529999999999999</v>
      </c>
      <c r="I898" s="20">
        <f t="shared" si="13"/>
        <v>2041.9769999999999</v>
      </c>
      <c r="J898" s="6" t="s">
        <v>357</v>
      </c>
    </row>
    <row r="899" spans="1:10" hidden="1">
      <c r="A899" s="9">
        <v>45831</v>
      </c>
      <c r="B899" s="6" t="s">
        <v>6754</v>
      </c>
      <c r="C899" s="5" t="s">
        <v>596</v>
      </c>
      <c r="D899" s="8" t="s">
        <v>354</v>
      </c>
      <c r="E899" s="6" t="s">
        <v>466</v>
      </c>
      <c r="F899" s="6" t="s">
        <v>467</v>
      </c>
      <c r="G899" s="5">
        <v>6585</v>
      </c>
      <c r="H899" s="5">
        <v>0.33529999999999999</v>
      </c>
      <c r="I899" s="20">
        <f t="shared" ref="I899:I962" si="14">H899*G899</f>
        <v>2207.9504999999999</v>
      </c>
      <c r="J899" s="6" t="s">
        <v>357</v>
      </c>
    </row>
    <row r="900" spans="1:10" hidden="1">
      <c r="A900" s="9">
        <v>45831</v>
      </c>
      <c r="B900" s="6" t="s">
        <v>6756</v>
      </c>
      <c r="C900" s="5" t="s">
        <v>598</v>
      </c>
      <c r="D900" s="8" t="s">
        <v>354</v>
      </c>
      <c r="E900" s="6" t="s">
        <v>466</v>
      </c>
      <c r="F900" s="6" t="s">
        <v>467</v>
      </c>
      <c r="G900" s="5">
        <v>6646</v>
      </c>
      <c r="H900" s="5">
        <v>0.33529999999999999</v>
      </c>
      <c r="I900" s="20">
        <f t="shared" si="14"/>
        <v>2228.4038</v>
      </c>
      <c r="J900" s="6" t="s">
        <v>357</v>
      </c>
    </row>
    <row r="901" spans="1:10" hidden="1">
      <c r="A901" s="9">
        <v>45831</v>
      </c>
      <c r="B901" s="6" t="s">
        <v>6755</v>
      </c>
      <c r="C901" s="5" t="s">
        <v>597</v>
      </c>
      <c r="D901" s="8" t="s">
        <v>354</v>
      </c>
      <c r="E901" s="6" t="s">
        <v>466</v>
      </c>
      <c r="F901" s="6" t="s">
        <v>467</v>
      </c>
      <c r="G901" s="5">
        <v>9218</v>
      </c>
      <c r="H901" s="5">
        <v>0.33529999999999999</v>
      </c>
      <c r="I901" s="20">
        <f t="shared" si="14"/>
        <v>3090.7954</v>
      </c>
      <c r="J901" s="6" t="s">
        <v>357</v>
      </c>
    </row>
    <row r="902" spans="1:10" hidden="1">
      <c r="A902" s="9">
        <v>45831</v>
      </c>
      <c r="B902" s="6" t="s">
        <v>6757</v>
      </c>
      <c r="C902" s="5" t="s">
        <v>599</v>
      </c>
      <c r="D902" s="8" t="s">
        <v>354</v>
      </c>
      <c r="E902" s="6" t="s">
        <v>466</v>
      </c>
      <c r="F902" s="6" t="s">
        <v>467</v>
      </c>
      <c r="G902" s="5">
        <v>9303</v>
      </c>
      <c r="H902" s="5">
        <v>0.33529999999999999</v>
      </c>
      <c r="I902" s="20">
        <f t="shared" si="14"/>
        <v>3119.2959000000001</v>
      </c>
      <c r="J902" s="6" t="s">
        <v>357</v>
      </c>
    </row>
    <row r="903" spans="1:10" hidden="1">
      <c r="A903" s="9">
        <v>45831</v>
      </c>
      <c r="B903" s="6" t="s">
        <v>6758</v>
      </c>
      <c r="C903" s="5" t="s">
        <v>1404</v>
      </c>
      <c r="D903" s="8" t="s">
        <v>354</v>
      </c>
      <c r="E903" s="6" t="s">
        <v>466</v>
      </c>
      <c r="F903" s="6" t="s">
        <v>467</v>
      </c>
      <c r="G903" s="5">
        <v>14556</v>
      </c>
      <c r="H903" s="5">
        <v>0.33529999999999999</v>
      </c>
      <c r="I903" s="20">
        <f t="shared" si="14"/>
        <v>4880.6268</v>
      </c>
      <c r="J903" s="6" t="s">
        <v>357</v>
      </c>
    </row>
    <row r="904" spans="1:10" hidden="1">
      <c r="A904" s="9">
        <v>45831</v>
      </c>
      <c r="B904" s="6" t="s">
        <v>6759</v>
      </c>
      <c r="C904" s="5" t="s">
        <v>1405</v>
      </c>
      <c r="D904" s="8" t="s">
        <v>354</v>
      </c>
      <c r="E904" s="6" t="s">
        <v>466</v>
      </c>
      <c r="F904" s="6" t="s">
        <v>467</v>
      </c>
      <c r="G904" s="5">
        <v>26326</v>
      </c>
      <c r="H904" s="5">
        <v>0.33529999999999999</v>
      </c>
      <c r="I904" s="20">
        <f t="shared" si="14"/>
        <v>8827.1077999999998</v>
      </c>
      <c r="J904" s="6" t="s">
        <v>357</v>
      </c>
    </row>
    <row r="905" spans="1:10" hidden="1">
      <c r="A905" s="9">
        <v>45831</v>
      </c>
      <c r="B905" s="6" t="s">
        <v>6760</v>
      </c>
      <c r="C905" s="5" t="s">
        <v>1406</v>
      </c>
      <c r="D905" s="8" t="s">
        <v>354</v>
      </c>
      <c r="E905" s="6" t="s">
        <v>466</v>
      </c>
      <c r="F905" s="6" t="s">
        <v>467</v>
      </c>
      <c r="G905" s="5">
        <v>10853</v>
      </c>
      <c r="H905" s="5">
        <v>0.33529999999999999</v>
      </c>
      <c r="I905" s="20">
        <f t="shared" si="14"/>
        <v>3639.0108999999998</v>
      </c>
      <c r="J905" s="6" t="s">
        <v>357</v>
      </c>
    </row>
    <row r="906" spans="1:10" hidden="1">
      <c r="A906" s="9">
        <v>45831</v>
      </c>
      <c r="B906" s="6" t="s">
        <v>6761</v>
      </c>
      <c r="C906" s="5" t="s">
        <v>1407</v>
      </c>
      <c r="D906" s="8" t="s">
        <v>354</v>
      </c>
      <c r="E906" s="6" t="s">
        <v>466</v>
      </c>
      <c r="F906" s="6" t="s">
        <v>467</v>
      </c>
      <c r="G906" s="5">
        <v>15193</v>
      </c>
      <c r="H906" s="5">
        <v>0.33529999999999999</v>
      </c>
      <c r="I906" s="20">
        <f t="shared" si="14"/>
        <v>5094.2128999999995</v>
      </c>
      <c r="J906" s="6" t="s">
        <v>357</v>
      </c>
    </row>
    <row r="907" spans="1:10" hidden="1">
      <c r="A907" s="9">
        <v>45831</v>
      </c>
      <c r="B907" s="6" t="s">
        <v>6762</v>
      </c>
      <c r="C907" s="5" t="s">
        <v>1408</v>
      </c>
      <c r="D907" s="8" t="s">
        <v>354</v>
      </c>
      <c r="E907" s="6" t="s">
        <v>466</v>
      </c>
      <c r="F907" s="6" t="s">
        <v>467</v>
      </c>
      <c r="G907" s="21">
        <v>8520</v>
      </c>
      <c r="H907" s="5">
        <v>0.33529999999999999</v>
      </c>
      <c r="I907" s="20">
        <f t="shared" si="14"/>
        <v>2856.7559999999999</v>
      </c>
      <c r="J907" s="6" t="s">
        <v>357</v>
      </c>
    </row>
    <row r="908" spans="1:10" hidden="1">
      <c r="A908" s="9">
        <v>45831</v>
      </c>
      <c r="B908" s="6" t="s">
        <v>6763</v>
      </c>
      <c r="C908" s="5" t="s">
        <v>1409</v>
      </c>
      <c r="D908" s="8" t="s">
        <v>354</v>
      </c>
      <c r="E908" s="6" t="s">
        <v>466</v>
      </c>
      <c r="F908" s="6" t="s">
        <v>467</v>
      </c>
      <c r="G908" s="5">
        <v>11927</v>
      </c>
      <c r="H908" s="5">
        <v>0.33529999999999999</v>
      </c>
      <c r="I908" s="20">
        <f t="shared" si="14"/>
        <v>3999.1230999999998</v>
      </c>
      <c r="J908" s="6" t="s">
        <v>357</v>
      </c>
    </row>
    <row r="909" spans="1:10" hidden="1">
      <c r="A909" s="9">
        <v>45831</v>
      </c>
      <c r="B909" s="6" t="s">
        <v>6764</v>
      </c>
      <c r="C909" s="5" t="s">
        <v>1410</v>
      </c>
      <c r="D909" s="8" t="s">
        <v>354</v>
      </c>
      <c r="E909" s="6" t="s">
        <v>466</v>
      </c>
      <c r="F909" s="6" t="s">
        <v>467</v>
      </c>
      <c r="G909" s="5">
        <v>11649</v>
      </c>
      <c r="H909" s="5">
        <v>0.33529999999999999</v>
      </c>
      <c r="I909" s="20">
        <f t="shared" si="14"/>
        <v>3905.9096999999997</v>
      </c>
      <c r="J909" s="6" t="s">
        <v>357</v>
      </c>
    </row>
    <row r="910" spans="1:10" hidden="1">
      <c r="A910" s="9">
        <v>45831</v>
      </c>
      <c r="B910" s="6" t="s">
        <v>6765</v>
      </c>
      <c r="C910" s="5" t="s">
        <v>1411</v>
      </c>
      <c r="D910" s="8" t="s">
        <v>354</v>
      </c>
      <c r="E910" s="6" t="s">
        <v>466</v>
      </c>
      <c r="F910" s="6" t="s">
        <v>467</v>
      </c>
      <c r="G910" s="5">
        <v>22257</v>
      </c>
      <c r="H910" s="5">
        <v>0.33529999999999999</v>
      </c>
      <c r="I910" s="20">
        <f t="shared" si="14"/>
        <v>7462.7721000000001</v>
      </c>
      <c r="J910" s="6" t="s">
        <v>357</v>
      </c>
    </row>
    <row r="911" spans="1:10" hidden="1">
      <c r="A911" s="9">
        <v>45831</v>
      </c>
      <c r="B911" s="6" t="s">
        <v>6766</v>
      </c>
      <c r="C911" s="5" t="s">
        <v>1412</v>
      </c>
      <c r="D911" s="8" t="s">
        <v>354</v>
      </c>
      <c r="E911" s="6" t="s">
        <v>466</v>
      </c>
      <c r="F911" s="6" t="s">
        <v>467</v>
      </c>
      <c r="G911" s="5">
        <v>8992</v>
      </c>
      <c r="H911" s="5">
        <v>0.33529999999999999</v>
      </c>
      <c r="I911" s="20">
        <f t="shared" si="14"/>
        <v>3015.0175999999997</v>
      </c>
      <c r="J911" s="6" t="s">
        <v>357</v>
      </c>
    </row>
    <row r="912" spans="1:10" hidden="1">
      <c r="A912" s="9">
        <v>45831</v>
      </c>
      <c r="B912" s="6" t="s">
        <v>6767</v>
      </c>
      <c r="C912" s="5" t="s">
        <v>1413</v>
      </c>
      <c r="D912" s="8" t="s">
        <v>354</v>
      </c>
      <c r="E912" s="6" t="s">
        <v>466</v>
      </c>
      <c r="F912" s="6" t="s">
        <v>467</v>
      </c>
      <c r="G912" s="5">
        <v>12590</v>
      </c>
      <c r="H912" s="5">
        <v>0.33529999999999999</v>
      </c>
      <c r="I912" s="20">
        <f t="shared" si="14"/>
        <v>4221.4269999999997</v>
      </c>
      <c r="J912" s="6" t="s">
        <v>357</v>
      </c>
    </row>
    <row r="913" spans="1:10" hidden="1">
      <c r="A913" s="9">
        <v>45831</v>
      </c>
      <c r="B913" s="6" t="s">
        <v>6768</v>
      </c>
      <c r="C913" s="5" t="s">
        <v>1414</v>
      </c>
      <c r="D913" s="8" t="s">
        <v>354</v>
      </c>
      <c r="E913" s="6" t="s">
        <v>466</v>
      </c>
      <c r="F913" s="6" t="s">
        <v>467</v>
      </c>
      <c r="G913" s="5">
        <v>19074</v>
      </c>
      <c r="H913" s="5">
        <v>0.33529999999999999</v>
      </c>
      <c r="I913" s="20">
        <f t="shared" si="14"/>
        <v>6395.5122000000001</v>
      </c>
      <c r="J913" s="6" t="s">
        <v>357</v>
      </c>
    </row>
    <row r="914" spans="1:10" hidden="1">
      <c r="A914" s="9">
        <v>45831</v>
      </c>
      <c r="B914" s="6" t="s">
        <v>6769</v>
      </c>
      <c r="C914" s="5" t="s">
        <v>1415</v>
      </c>
      <c r="D914" s="8" t="s">
        <v>354</v>
      </c>
      <c r="E914" s="6" t="s">
        <v>466</v>
      </c>
      <c r="F914" s="6" t="s">
        <v>467</v>
      </c>
      <c r="G914" s="5">
        <v>26703</v>
      </c>
      <c r="H914" s="5">
        <v>0.33529999999999999</v>
      </c>
      <c r="I914" s="20">
        <f t="shared" si="14"/>
        <v>8953.5159000000003</v>
      </c>
      <c r="J914" s="6" t="s">
        <v>357</v>
      </c>
    </row>
    <row r="915" spans="1:10" hidden="1">
      <c r="A915" s="9">
        <v>45831</v>
      </c>
      <c r="B915" s="6" t="s">
        <v>6770</v>
      </c>
      <c r="C915" s="5" t="s">
        <v>1416</v>
      </c>
      <c r="D915" s="8" t="s">
        <v>354</v>
      </c>
      <c r="E915" s="6" t="s">
        <v>466</v>
      </c>
      <c r="F915" s="6" t="s">
        <v>467</v>
      </c>
      <c r="G915" s="5">
        <v>23638</v>
      </c>
      <c r="H915" s="5">
        <v>0.33529999999999999</v>
      </c>
      <c r="I915" s="20">
        <f t="shared" si="14"/>
        <v>7925.8213999999998</v>
      </c>
      <c r="J915" s="6" t="s">
        <v>357</v>
      </c>
    </row>
    <row r="916" spans="1:10" hidden="1">
      <c r="A916" s="9">
        <v>45831</v>
      </c>
      <c r="B916" s="6" t="s">
        <v>6771</v>
      </c>
      <c r="C916" s="5" t="s">
        <v>1417</v>
      </c>
      <c r="D916" s="8" t="s">
        <v>354</v>
      </c>
      <c r="E916" s="6" t="s">
        <v>466</v>
      </c>
      <c r="F916" s="6" t="s">
        <v>467</v>
      </c>
      <c r="G916" s="5">
        <v>33092</v>
      </c>
      <c r="H916" s="5">
        <v>0.33529999999999999</v>
      </c>
      <c r="I916" s="20">
        <f t="shared" si="14"/>
        <v>11095.747599999999</v>
      </c>
      <c r="J916" s="6" t="s">
        <v>357</v>
      </c>
    </row>
    <row r="917" spans="1:10" hidden="1">
      <c r="A917" s="9">
        <v>45831</v>
      </c>
      <c r="B917" s="6" t="s">
        <v>6772</v>
      </c>
      <c r="C917" s="5" t="s">
        <v>1418</v>
      </c>
      <c r="D917" s="8" t="s">
        <v>354</v>
      </c>
      <c r="E917" s="6" t="s">
        <v>466</v>
      </c>
      <c r="F917" s="6" t="s">
        <v>467</v>
      </c>
      <c r="G917" s="21">
        <v>17064</v>
      </c>
      <c r="H917" s="5">
        <v>0.33529999999999999</v>
      </c>
      <c r="I917" s="20">
        <f t="shared" si="14"/>
        <v>5721.5591999999997</v>
      </c>
      <c r="J917" s="6" t="s">
        <v>357</v>
      </c>
    </row>
    <row r="918" spans="1:10" hidden="1">
      <c r="A918" s="9">
        <v>45831</v>
      </c>
      <c r="B918" s="6" t="s">
        <v>6773</v>
      </c>
      <c r="C918" s="5" t="s">
        <v>1419</v>
      </c>
      <c r="D918" s="8" t="s">
        <v>354</v>
      </c>
      <c r="E918" s="6" t="s">
        <v>466</v>
      </c>
      <c r="F918" s="6" t="s">
        <v>467</v>
      </c>
      <c r="G918" s="5">
        <v>23889</v>
      </c>
      <c r="H918" s="5">
        <v>0.33529999999999999</v>
      </c>
      <c r="I918" s="20">
        <f t="shared" si="14"/>
        <v>8009.9816999999994</v>
      </c>
      <c r="J918" s="6" t="s">
        <v>357</v>
      </c>
    </row>
    <row r="919" spans="1:10" hidden="1">
      <c r="A919" s="9">
        <v>45831</v>
      </c>
      <c r="B919" s="6" t="s">
        <v>6774</v>
      </c>
      <c r="C919" s="5" t="s">
        <v>1420</v>
      </c>
      <c r="D919" s="8" t="s">
        <v>354</v>
      </c>
      <c r="E919" s="6" t="s">
        <v>466</v>
      </c>
      <c r="F919" s="6" t="s">
        <v>467</v>
      </c>
      <c r="G919" s="5">
        <v>21269</v>
      </c>
      <c r="H919" s="5">
        <v>0.33529999999999999</v>
      </c>
      <c r="I919" s="20">
        <f t="shared" si="14"/>
        <v>7131.4956999999995</v>
      </c>
      <c r="J919" s="6" t="s">
        <v>357</v>
      </c>
    </row>
    <row r="920" spans="1:10" hidden="1">
      <c r="A920" s="9">
        <v>45831</v>
      </c>
      <c r="B920" s="6" t="s">
        <v>6775</v>
      </c>
      <c r="C920" s="5" t="s">
        <v>1421</v>
      </c>
      <c r="D920" s="8" t="s">
        <v>354</v>
      </c>
      <c r="E920" s="6" t="s">
        <v>466</v>
      </c>
      <c r="F920" s="6" t="s">
        <v>467</v>
      </c>
      <c r="G920" s="5">
        <v>29777</v>
      </c>
      <c r="H920" s="5">
        <v>0.33529999999999999</v>
      </c>
      <c r="I920" s="20">
        <f t="shared" si="14"/>
        <v>9984.2281000000003</v>
      </c>
      <c r="J920" s="6" t="s">
        <v>357</v>
      </c>
    </row>
    <row r="921" spans="1:10" hidden="1">
      <c r="A921" s="10">
        <v>43835</v>
      </c>
      <c r="B921" s="6" t="s">
        <v>1423</v>
      </c>
      <c r="C921" s="5" t="s">
        <v>1422</v>
      </c>
      <c r="D921" s="8" t="s">
        <v>303</v>
      </c>
      <c r="E921" s="6" t="s">
        <v>1424</v>
      </c>
      <c r="F921" s="6" t="s">
        <v>411</v>
      </c>
      <c r="G921" s="5">
        <v>6</v>
      </c>
      <c r="H921" s="5">
        <v>1</v>
      </c>
      <c r="I921" s="20">
        <f t="shared" si="14"/>
        <v>6</v>
      </c>
      <c r="J921" s="6" t="s">
        <v>357</v>
      </c>
    </row>
    <row r="922" spans="1:10" hidden="1">
      <c r="A922" s="10">
        <v>43835</v>
      </c>
      <c r="B922" s="6" t="s">
        <v>304</v>
      </c>
      <c r="C922" s="5" t="s">
        <v>302</v>
      </c>
      <c r="D922" s="8" t="s">
        <v>303</v>
      </c>
      <c r="E922" s="6" t="s">
        <v>1425</v>
      </c>
      <c r="F922" s="6" t="s">
        <v>411</v>
      </c>
      <c r="G922" s="5">
        <v>16</v>
      </c>
      <c r="H922" s="5">
        <v>1</v>
      </c>
      <c r="I922" s="20">
        <f t="shared" si="14"/>
        <v>16</v>
      </c>
      <c r="J922" s="6" t="s">
        <v>357</v>
      </c>
    </row>
    <row r="923" spans="1:10" hidden="1">
      <c r="A923" s="10">
        <v>43835</v>
      </c>
      <c r="B923" s="6" t="s">
        <v>1427</v>
      </c>
      <c r="C923" s="5" t="s">
        <v>1426</v>
      </c>
      <c r="D923" s="8" t="s">
        <v>303</v>
      </c>
      <c r="E923" s="6" t="s">
        <v>1424</v>
      </c>
      <c r="F923" s="6" t="s">
        <v>411</v>
      </c>
      <c r="G923" s="5">
        <v>6</v>
      </c>
      <c r="H923" s="5">
        <v>1</v>
      </c>
      <c r="I923" s="20">
        <f t="shared" si="14"/>
        <v>6</v>
      </c>
      <c r="J923" s="6" t="s">
        <v>357</v>
      </c>
    </row>
    <row r="924" spans="1:10" hidden="1">
      <c r="A924" s="10">
        <v>44337</v>
      </c>
      <c r="B924" s="6" t="s">
        <v>1429</v>
      </c>
      <c r="C924" s="5" t="s">
        <v>1428</v>
      </c>
      <c r="D924" s="8" t="s">
        <v>303</v>
      </c>
      <c r="E924" s="6" t="s">
        <v>1424</v>
      </c>
      <c r="F924" s="6" t="s">
        <v>411</v>
      </c>
      <c r="G924" s="5">
        <v>10</v>
      </c>
      <c r="H924" s="5">
        <v>1</v>
      </c>
      <c r="I924" s="20">
        <f t="shared" si="14"/>
        <v>10</v>
      </c>
      <c r="J924" s="6" t="s">
        <v>357</v>
      </c>
    </row>
    <row r="925" spans="1:10" hidden="1">
      <c r="A925" s="10">
        <v>44337</v>
      </c>
      <c r="B925" s="6" t="s">
        <v>1431</v>
      </c>
      <c r="C925" s="5" t="s">
        <v>1430</v>
      </c>
      <c r="D925" s="8" t="s">
        <v>303</v>
      </c>
      <c r="E925" s="6" t="s">
        <v>1424</v>
      </c>
      <c r="F925" s="6" t="s">
        <v>411</v>
      </c>
      <c r="G925" s="5">
        <v>15</v>
      </c>
      <c r="H925" s="5">
        <v>1</v>
      </c>
      <c r="I925" s="20">
        <f t="shared" si="14"/>
        <v>15</v>
      </c>
      <c r="J925" s="6" t="s">
        <v>357</v>
      </c>
    </row>
    <row r="926" spans="1:10" hidden="1">
      <c r="A926" s="9">
        <v>45824</v>
      </c>
      <c r="B926" s="216" t="s">
        <v>7116</v>
      </c>
      <c r="C926" s="5" t="s">
        <v>7117</v>
      </c>
      <c r="D926" s="8" t="s">
        <v>303</v>
      </c>
      <c r="E926" s="25" t="s">
        <v>1425</v>
      </c>
      <c r="F926" s="25" t="s">
        <v>411</v>
      </c>
      <c r="G926" s="31">
        <v>35</v>
      </c>
      <c r="H926" s="5">
        <v>1</v>
      </c>
      <c r="I926" s="20">
        <f t="shared" si="14"/>
        <v>35</v>
      </c>
      <c r="J926" s="6" t="s">
        <v>357</v>
      </c>
    </row>
    <row r="927" spans="1:10" hidden="1">
      <c r="A927" s="10">
        <v>44384</v>
      </c>
      <c r="B927" s="6" t="s">
        <v>1434</v>
      </c>
      <c r="C927" s="5" t="s">
        <v>1432</v>
      </c>
      <c r="D927" s="8" t="s">
        <v>1433</v>
      </c>
      <c r="E927" s="6" t="s">
        <v>1435</v>
      </c>
      <c r="F927" s="6" t="s">
        <v>411</v>
      </c>
      <c r="G927" s="5">
        <f>1850+200/14</f>
        <v>1864.2857142857142</v>
      </c>
      <c r="H927" s="5">
        <v>1</v>
      </c>
      <c r="I927" s="20">
        <f t="shared" si="14"/>
        <v>1864.2857142857142</v>
      </c>
      <c r="J927" s="6" t="s">
        <v>357</v>
      </c>
    </row>
    <row r="928" spans="1:10" hidden="1">
      <c r="A928" s="10">
        <v>44267</v>
      </c>
      <c r="B928" s="6" t="s">
        <v>1438</v>
      </c>
      <c r="C928" s="5" t="s">
        <v>1436</v>
      </c>
      <c r="D928" s="8" t="s">
        <v>1437</v>
      </c>
      <c r="E928" s="6" t="s">
        <v>410</v>
      </c>
      <c r="F928" s="6" t="s">
        <v>686</v>
      </c>
      <c r="G928" s="5">
        <v>155</v>
      </c>
      <c r="H928" s="5">
        <v>1</v>
      </c>
      <c r="I928" s="20">
        <f t="shared" si="14"/>
        <v>155</v>
      </c>
      <c r="J928" s="6" t="s">
        <v>357</v>
      </c>
    </row>
    <row r="929" spans="1:10" hidden="1">
      <c r="A929" s="10">
        <v>44337</v>
      </c>
      <c r="B929" s="6" t="s">
        <v>1440</v>
      </c>
      <c r="C929" s="5" t="s">
        <v>1439</v>
      </c>
      <c r="D929" s="8" t="s">
        <v>1437</v>
      </c>
      <c r="E929" s="6" t="s">
        <v>410</v>
      </c>
      <c r="F929" s="6" t="s">
        <v>411</v>
      </c>
      <c r="G929" s="5">
        <v>110</v>
      </c>
      <c r="H929" s="5">
        <v>0.75</v>
      </c>
      <c r="I929" s="20">
        <f t="shared" si="14"/>
        <v>82.5</v>
      </c>
      <c r="J929" s="6" t="s">
        <v>357</v>
      </c>
    </row>
    <row r="930" spans="1:10" ht="75" hidden="1">
      <c r="A930" s="9">
        <v>45329</v>
      </c>
      <c r="B930" s="6" t="s">
        <v>1443</v>
      </c>
      <c r="C930" s="5" t="s">
        <v>1441</v>
      </c>
      <c r="D930" s="8" t="s">
        <v>1442</v>
      </c>
      <c r="E930" s="6" t="s">
        <v>410</v>
      </c>
      <c r="F930" s="6" t="s">
        <v>1444</v>
      </c>
      <c r="G930" s="5">
        <v>520</v>
      </c>
      <c r="H930" s="5">
        <v>1</v>
      </c>
      <c r="I930" s="20">
        <f t="shared" si="14"/>
        <v>520</v>
      </c>
      <c r="J930" s="6" t="s">
        <v>357</v>
      </c>
    </row>
    <row r="931" spans="1:10" ht="30" hidden="1">
      <c r="A931" s="10">
        <v>43798</v>
      </c>
      <c r="B931" s="6" t="s">
        <v>1446</v>
      </c>
      <c r="C931" s="5" t="s">
        <v>1445</v>
      </c>
      <c r="D931" s="8" t="s">
        <v>1442</v>
      </c>
      <c r="E931" s="6" t="s">
        <v>410</v>
      </c>
      <c r="F931" s="6" t="s">
        <v>1447</v>
      </c>
      <c r="G931" s="5">
        <v>140</v>
      </c>
      <c r="H931" s="5">
        <v>1</v>
      </c>
      <c r="I931" s="20">
        <f t="shared" si="14"/>
        <v>140</v>
      </c>
      <c r="J931" s="6" t="s">
        <v>357</v>
      </c>
    </row>
    <row r="932" spans="1:10" ht="30" hidden="1">
      <c r="A932" s="10">
        <v>44066</v>
      </c>
      <c r="B932" s="6" t="s">
        <v>1449</v>
      </c>
      <c r="C932" s="5" t="s">
        <v>1448</v>
      </c>
      <c r="D932" s="8" t="s">
        <v>1442</v>
      </c>
      <c r="E932" s="6" t="s">
        <v>410</v>
      </c>
      <c r="F932" s="6" t="s">
        <v>50</v>
      </c>
      <c r="G932" s="5">
        <v>176</v>
      </c>
      <c r="H932" s="5">
        <v>1</v>
      </c>
      <c r="I932" s="20">
        <f t="shared" si="14"/>
        <v>176</v>
      </c>
      <c r="J932" s="6" t="s">
        <v>357</v>
      </c>
    </row>
    <row r="933" spans="1:10" hidden="1">
      <c r="A933" s="215">
        <v>45609</v>
      </c>
      <c r="B933" s="214" t="s">
        <v>6218</v>
      </c>
      <c r="C933" s="211" t="s">
        <v>6219</v>
      </c>
      <c r="D933" s="212" t="s">
        <v>1442</v>
      </c>
      <c r="E933" s="25" t="s">
        <v>410</v>
      </c>
      <c r="F933" s="25" t="s">
        <v>6220</v>
      </c>
      <c r="G933" s="31">
        <v>210</v>
      </c>
      <c r="H933" s="211">
        <v>1</v>
      </c>
      <c r="I933" s="213">
        <f t="shared" si="14"/>
        <v>210</v>
      </c>
      <c r="J933" s="111" t="s">
        <v>357</v>
      </c>
    </row>
    <row r="934" spans="1:10" hidden="1">
      <c r="A934" s="10">
        <v>44337</v>
      </c>
      <c r="B934" s="6" t="s">
        <v>1452</v>
      </c>
      <c r="C934" s="5" t="s">
        <v>1450</v>
      </c>
      <c r="D934" s="8" t="s">
        <v>1451</v>
      </c>
      <c r="E934" s="6" t="s">
        <v>1435</v>
      </c>
      <c r="F934" s="6" t="s">
        <v>411</v>
      </c>
      <c r="G934" s="5">
        <v>30</v>
      </c>
      <c r="H934" s="5">
        <v>1</v>
      </c>
      <c r="I934" s="20">
        <f t="shared" si="14"/>
        <v>30</v>
      </c>
      <c r="J934" s="6" t="s">
        <v>357</v>
      </c>
    </row>
    <row r="935" spans="1:10" hidden="1">
      <c r="A935" s="10">
        <v>44229</v>
      </c>
      <c r="B935" s="6" t="s">
        <v>1455</v>
      </c>
      <c r="C935" s="5" t="s">
        <v>1453</v>
      </c>
      <c r="D935" s="8" t="s">
        <v>1454</v>
      </c>
      <c r="E935" s="6" t="s">
        <v>1456</v>
      </c>
      <c r="F935" s="6" t="s">
        <v>1454</v>
      </c>
      <c r="G935" s="5">
        <f>7.8*1.2</f>
        <v>9.36</v>
      </c>
      <c r="H935" s="5">
        <v>1</v>
      </c>
      <c r="I935" s="20">
        <f t="shared" si="14"/>
        <v>9.36</v>
      </c>
      <c r="J935" s="6" t="s">
        <v>357</v>
      </c>
    </row>
    <row r="936" spans="1:10" ht="30" hidden="1">
      <c r="A936" s="10">
        <v>44229</v>
      </c>
      <c r="B936" s="6" t="s">
        <v>1458</v>
      </c>
      <c r="C936" s="5" t="s">
        <v>1457</v>
      </c>
      <c r="D936" s="8" t="s">
        <v>1454</v>
      </c>
      <c r="E936" s="6" t="s">
        <v>1456</v>
      </c>
      <c r="F936" s="6" t="s">
        <v>1454</v>
      </c>
      <c r="G936" s="5">
        <f>10.5*1.2</f>
        <v>12.6</v>
      </c>
      <c r="H936" s="5">
        <v>1</v>
      </c>
      <c r="I936" s="20">
        <f t="shared" si="14"/>
        <v>12.6</v>
      </c>
      <c r="J936" s="6" t="s">
        <v>357</v>
      </c>
    </row>
    <row r="937" spans="1:10" hidden="1">
      <c r="A937" s="10">
        <v>44229</v>
      </c>
      <c r="B937" s="6" t="s">
        <v>1460</v>
      </c>
      <c r="C937" s="5" t="s">
        <v>1459</v>
      </c>
      <c r="D937" s="8" t="s">
        <v>1454</v>
      </c>
      <c r="E937" s="6" t="s">
        <v>1456</v>
      </c>
      <c r="F937" s="6" t="s">
        <v>1454</v>
      </c>
      <c r="G937" s="5">
        <f>12.6*1.2</f>
        <v>15.12</v>
      </c>
      <c r="H937" s="5">
        <v>1</v>
      </c>
      <c r="I937" s="20">
        <f t="shared" si="14"/>
        <v>15.12</v>
      </c>
      <c r="J937" s="6" t="s">
        <v>357</v>
      </c>
    </row>
    <row r="938" spans="1:10" hidden="1">
      <c r="A938" s="10">
        <v>44229</v>
      </c>
      <c r="B938" s="6" t="s">
        <v>1462</v>
      </c>
      <c r="C938" s="5" t="s">
        <v>1461</v>
      </c>
      <c r="D938" s="8" t="s">
        <v>1454</v>
      </c>
      <c r="E938" s="6" t="s">
        <v>1456</v>
      </c>
      <c r="F938" s="6" t="s">
        <v>1454</v>
      </c>
      <c r="G938" s="5">
        <f>11.4*1.2</f>
        <v>13.68</v>
      </c>
      <c r="H938" s="5">
        <v>1</v>
      </c>
      <c r="I938" s="20">
        <f t="shared" si="14"/>
        <v>13.68</v>
      </c>
      <c r="J938" s="6" t="s">
        <v>357</v>
      </c>
    </row>
    <row r="939" spans="1:10" ht="30" hidden="1">
      <c r="A939" s="10">
        <v>44229</v>
      </c>
      <c r="B939" s="6" t="s">
        <v>1464</v>
      </c>
      <c r="C939" s="5" t="s">
        <v>1463</v>
      </c>
      <c r="D939" s="8" t="s">
        <v>1454</v>
      </c>
      <c r="E939" s="6" t="s">
        <v>1456</v>
      </c>
      <c r="F939" s="6" t="s">
        <v>1454</v>
      </c>
      <c r="G939" s="5">
        <f>14.3*1.2</f>
        <v>17.16</v>
      </c>
      <c r="H939" s="5">
        <v>1</v>
      </c>
      <c r="I939" s="20">
        <f t="shared" si="14"/>
        <v>17.16</v>
      </c>
      <c r="J939" s="6" t="s">
        <v>357</v>
      </c>
    </row>
    <row r="940" spans="1:10" hidden="1">
      <c r="A940" s="10">
        <v>44229</v>
      </c>
      <c r="B940" s="6" t="s">
        <v>1466</v>
      </c>
      <c r="C940" s="5" t="s">
        <v>1465</v>
      </c>
      <c r="D940" s="8" t="s">
        <v>1454</v>
      </c>
      <c r="E940" s="6" t="s">
        <v>1456</v>
      </c>
      <c r="F940" s="6" t="s">
        <v>1454</v>
      </c>
      <c r="G940" s="5">
        <f>15.4*1.2</f>
        <v>18.48</v>
      </c>
      <c r="H940" s="5">
        <v>1</v>
      </c>
      <c r="I940" s="20">
        <f t="shared" si="14"/>
        <v>18.48</v>
      </c>
      <c r="J940" s="6" t="s">
        <v>357</v>
      </c>
    </row>
    <row r="941" spans="1:10" hidden="1">
      <c r="A941" s="10">
        <v>44229</v>
      </c>
      <c r="B941" s="6" t="s">
        <v>1468</v>
      </c>
      <c r="C941" s="5" t="s">
        <v>1467</v>
      </c>
      <c r="D941" s="8" t="s">
        <v>1454</v>
      </c>
      <c r="E941" s="6" t="s">
        <v>1456</v>
      </c>
      <c r="F941" s="6" t="s">
        <v>1454</v>
      </c>
      <c r="G941" s="5">
        <f>48.4*1.2</f>
        <v>58.08</v>
      </c>
      <c r="H941" s="5">
        <v>1</v>
      </c>
      <c r="I941" s="20">
        <f t="shared" si="14"/>
        <v>58.08</v>
      </c>
      <c r="J941" s="6" t="s">
        <v>357</v>
      </c>
    </row>
    <row r="942" spans="1:10" hidden="1">
      <c r="A942" s="10">
        <v>44229</v>
      </c>
      <c r="B942" s="6" t="s">
        <v>1470</v>
      </c>
      <c r="C942" s="5" t="s">
        <v>1469</v>
      </c>
      <c r="D942" s="8" t="s">
        <v>1454</v>
      </c>
      <c r="E942" s="6" t="s">
        <v>1456</v>
      </c>
      <c r="F942" s="6" t="s">
        <v>1454</v>
      </c>
      <c r="G942" s="5">
        <f>64.3*1.2</f>
        <v>77.16</v>
      </c>
      <c r="H942" s="5">
        <v>1</v>
      </c>
      <c r="I942" s="20">
        <f t="shared" si="14"/>
        <v>77.16</v>
      </c>
      <c r="J942" s="6" t="s">
        <v>357</v>
      </c>
    </row>
    <row r="943" spans="1:10" hidden="1">
      <c r="A943" s="10">
        <v>43641</v>
      </c>
      <c r="B943" s="6" t="s">
        <v>1473</v>
      </c>
      <c r="C943" s="5" t="s">
        <v>1471</v>
      </c>
      <c r="D943" s="8" t="s">
        <v>1472</v>
      </c>
      <c r="E943" s="111" t="s">
        <v>6491</v>
      </c>
      <c r="F943" s="6" t="s">
        <v>411</v>
      </c>
      <c r="G943" s="5">
        <v>290</v>
      </c>
      <c r="H943" s="5">
        <v>1</v>
      </c>
      <c r="I943" s="20">
        <f t="shared" si="14"/>
        <v>290</v>
      </c>
      <c r="J943" s="6" t="s">
        <v>357</v>
      </c>
    </row>
    <row r="944" spans="1:10" hidden="1">
      <c r="A944" s="9">
        <v>46049</v>
      </c>
      <c r="B944" s="24" t="s">
        <v>1475</v>
      </c>
      <c r="C944" s="14" t="s">
        <v>1474</v>
      </c>
      <c r="D944" s="23" t="s">
        <v>293</v>
      </c>
      <c r="E944" s="6" t="s">
        <v>355</v>
      </c>
      <c r="F944" s="6" t="s">
        <v>1476</v>
      </c>
      <c r="G944" s="5">
        <v>394</v>
      </c>
      <c r="H944" s="5">
        <v>0.47155599999999998</v>
      </c>
      <c r="I944" s="20">
        <f t="shared" si="14"/>
        <v>185.79306399999999</v>
      </c>
      <c r="J944" s="6" t="s">
        <v>357</v>
      </c>
    </row>
    <row r="945" spans="1:10" hidden="1">
      <c r="A945" s="10">
        <v>45414</v>
      </c>
      <c r="B945" s="6" t="s">
        <v>1478</v>
      </c>
      <c r="C945" s="5" t="s">
        <v>1477</v>
      </c>
      <c r="D945" s="8" t="s">
        <v>293</v>
      </c>
      <c r="E945" s="6" t="s">
        <v>602</v>
      </c>
      <c r="F945" s="6" t="s">
        <v>1479</v>
      </c>
      <c r="G945" s="5">
        <v>1007</v>
      </c>
      <c r="H945" s="5">
        <v>0.47155599999999998</v>
      </c>
      <c r="I945" s="20">
        <f t="shared" si="14"/>
        <v>474.85689199999996</v>
      </c>
      <c r="J945" s="6" t="s">
        <v>357</v>
      </c>
    </row>
    <row r="946" spans="1:10" hidden="1">
      <c r="A946" s="10">
        <v>45414</v>
      </c>
      <c r="B946" s="6" t="s">
        <v>1481</v>
      </c>
      <c r="C946" s="5" t="s">
        <v>1480</v>
      </c>
      <c r="D946" s="8" t="s">
        <v>293</v>
      </c>
      <c r="E946" s="6" t="s">
        <v>602</v>
      </c>
      <c r="F946" s="6" t="s">
        <v>1479</v>
      </c>
      <c r="G946" s="5">
        <v>1045</v>
      </c>
      <c r="H946" s="5">
        <v>0.47155599999999998</v>
      </c>
      <c r="I946" s="20">
        <f t="shared" si="14"/>
        <v>492.77601999999996</v>
      </c>
      <c r="J946" s="6" t="s">
        <v>357</v>
      </c>
    </row>
    <row r="947" spans="1:10" hidden="1">
      <c r="A947" s="10">
        <v>45414</v>
      </c>
      <c r="B947" s="6" t="s">
        <v>1483</v>
      </c>
      <c r="C947" s="5" t="s">
        <v>1482</v>
      </c>
      <c r="D947" s="8" t="s">
        <v>293</v>
      </c>
      <c r="E947" s="6" t="s">
        <v>602</v>
      </c>
      <c r="F947" s="6" t="s">
        <v>1479</v>
      </c>
      <c r="G947" s="5">
        <v>1083</v>
      </c>
      <c r="H947" s="5">
        <v>0.47155599999999998</v>
      </c>
      <c r="I947" s="20">
        <f t="shared" si="14"/>
        <v>510.69514799999996</v>
      </c>
      <c r="J947" s="6" t="s">
        <v>357</v>
      </c>
    </row>
    <row r="948" spans="1:10" hidden="1">
      <c r="A948" s="10">
        <v>45414</v>
      </c>
      <c r="B948" s="6" t="s">
        <v>1485</v>
      </c>
      <c r="C948" s="5" t="s">
        <v>1484</v>
      </c>
      <c r="D948" s="8" t="s">
        <v>293</v>
      </c>
      <c r="E948" s="6" t="s">
        <v>602</v>
      </c>
      <c r="F948" s="6" t="s">
        <v>1479</v>
      </c>
      <c r="G948" s="5">
        <v>106</v>
      </c>
      <c r="H948" s="5">
        <v>0.47155599999999998</v>
      </c>
      <c r="I948" s="20">
        <f t="shared" si="14"/>
        <v>49.984935999999998</v>
      </c>
      <c r="J948" s="6" t="s">
        <v>357</v>
      </c>
    </row>
    <row r="949" spans="1:10" hidden="1">
      <c r="A949" s="10">
        <v>45414</v>
      </c>
      <c r="B949" s="6" t="s">
        <v>1487</v>
      </c>
      <c r="C949" s="5" t="s">
        <v>1486</v>
      </c>
      <c r="D949" s="8" t="s">
        <v>293</v>
      </c>
      <c r="E949" s="6" t="s">
        <v>602</v>
      </c>
      <c r="F949" s="6" t="s">
        <v>1479</v>
      </c>
      <c r="G949" s="5">
        <v>125</v>
      </c>
      <c r="H949" s="5">
        <v>0.47155599999999998</v>
      </c>
      <c r="I949" s="20">
        <f t="shared" si="14"/>
        <v>58.944499999999998</v>
      </c>
      <c r="J949" s="6" t="s">
        <v>357</v>
      </c>
    </row>
    <row r="950" spans="1:10" hidden="1">
      <c r="A950" s="10">
        <v>45414</v>
      </c>
      <c r="B950" s="6" t="s">
        <v>1489</v>
      </c>
      <c r="C950" s="5" t="s">
        <v>1488</v>
      </c>
      <c r="D950" s="8" t="s">
        <v>293</v>
      </c>
      <c r="E950" s="6" t="s">
        <v>602</v>
      </c>
      <c r="F950" s="6" t="s">
        <v>1479</v>
      </c>
      <c r="G950" s="5">
        <v>160</v>
      </c>
      <c r="H950" s="5">
        <v>0.47155599999999998</v>
      </c>
      <c r="I950" s="20">
        <f t="shared" si="14"/>
        <v>75.44896</v>
      </c>
      <c r="J950" s="6" t="s">
        <v>357</v>
      </c>
    </row>
    <row r="951" spans="1:10" hidden="1">
      <c r="A951" s="10">
        <v>45414</v>
      </c>
      <c r="B951" s="6" t="s">
        <v>1491</v>
      </c>
      <c r="C951" s="5" t="s">
        <v>1490</v>
      </c>
      <c r="D951" s="8" t="s">
        <v>293</v>
      </c>
      <c r="E951" s="6" t="s">
        <v>602</v>
      </c>
      <c r="F951" s="6" t="s">
        <v>1479</v>
      </c>
      <c r="G951" s="5">
        <v>348</v>
      </c>
      <c r="H951" s="5">
        <v>0.47155599999999998</v>
      </c>
      <c r="I951" s="20">
        <f t="shared" si="14"/>
        <v>164.10148799999999</v>
      </c>
      <c r="J951" s="6" t="s">
        <v>357</v>
      </c>
    </row>
    <row r="952" spans="1:10" hidden="1">
      <c r="A952" s="10">
        <v>45414</v>
      </c>
      <c r="B952" s="6" t="s">
        <v>1493</v>
      </c>
      <c r="C952" s="5" t="s">
        <v>1492</v>
      </c>
      <c r="D952" s="8" t="s">
        <v>293</v>
      </c>
      <c r="E952" s="6" t="s">
        <v>602</v>
      </c>
      <c r="F952" s="6" t="s">
        <v>1479</v>
      </c>
      <c r="G952" s="5">
        <v>466</v>
      </c>
      <c r="H952" s="5">
        <v>0.47155599999999998</v>
      </c>
      <c r="I952" s="20">
        <f t="shared" si="14"/>
        <v>219.74509599999999</v>
      </c>
      <c r="J952" s="6" t="s">
        <v>357</v>
      </c>
    </row>
    <row r="953" spans="1:10" ht="30" hidden="1">
      <c r="A953" s="9">
        <v>46049</v>
      </c>
      <c r="B953" s="24" t="s">
        <v>1495</v>
      </c>
      <c r="C953" s="14" t="s">
        <v>1494</v>
      </c>
      <c r="D953" s="23" t="s">
        <v>293</v>
      </c>
      <c r="E953" s="6" t="s">
        <v>355</v>
      </c>
      <c r="F953" s="6" t="s">
        <v>1476</v>
      </c>
      <c r="G953" s="5">
        <f>1760+360</f>
        <v>2120</v>
      </c>
      <c r="H953" s="5">
        <v>0.47155599999999998</v>
      </c>
      <c r="I953" s="20">
        <f t="shared" si="14"/>
        <v>999.69871999999998</v>
      </c>
      <c r="J953" s="6" t="s">
        <v>357</v>
      </c>
    </row>
    <row r="954" spans="1:10" hidden="1">
      <c r="A954" s="9">
        <v>46049</v>
      </c>
      <c r="B954" s="24" t="s">
        <v>1497</v>
      </c>
      <c r="C954" s="14" t="s">
        <v>1496</v>
      </c>
      <c r="D954" s="23" t="s">
        <v>293</v>
      </c>
      <c r="E954" s="6" t="s">
        <v>355</v>
      </c>
      <c r="F954" s="6" t="s">
        <v>1476</v>
      </c>
      <c r="G954" s="5">
        <v>1790</v>
      </c>
      <c r="H954" s="5">
        <v>0.47155599999999998</v>
      </c>
      <c r="I954" s="20">
        <f t="shared" si="14"/>
        <v>844.08524</v>
      </c>
      <c r="J954" s="6" t="s">
        <v>357</v>
      </c>
    </row>
    <row r="955" spans="1:10" hidden="1">
      <c r="A955" s="9">
        <v>46049</v>
      </c>
      <c r="B955" s="24" t="s">
        <v>1499</v>
      </c>
      <c r="C955" s="14" t="s">
        <v>1498</v>
      </c>
      <c r="D955" s="23" t="s">
        <v>293</v>
      </c>
      <c r="E955" s="6" t="s">
        <v>355</v>
      </c>
      <c r="F955" s="6" t="s">
        <v>1476</v>
      </c>
      <c r="G955" s="5">
        <v>3570</v>
      </c>
      <c r="H955" s="5">
        <v>0.47155599999999998</v>
      </c>
      <c r="I955" s="20">
        <f t="shared" si="14"/>
        <v>1683.4549199999999</v>
      </c>
      <c r="J955" s="6" t="s">
        <v>357</v>
      </c>
    </row>
    <row r="956" spans="1:10" hidden="1">
      <c r="A956" s="9">
        <v>46049</v>
      </c>
      <c r="B956" s="6" t="s">
        <v>1501</v>
      </c>
      <c r="C956" s="5" t="s">
        <v>1500</v>
      </c>
      <c r="D956" s="8" t="s">
        <v>293</v>
      </c>
      <c r="E956" s="6" t="s">
        <v>355</v>
      </c>
      <c r="F956" s="6" t="s">
        <v>1476</v>
      </c>
      <c r="G956" s="5">
        <v>57096</v>
      </c>
      <c r="H956" s="5">
        <v>0.47155599999999998</v>
      </c>
      <c r="I956" s="20">
        <f t="shared" si="14"/>
        <v>26923.961375999999</v>
      </c>
      <c r="J956" s="6" t="s">
        <v>357</v>
      </c>
    </row>
    <row r="957" spans="1:10" hidden="1">
      <c r="A957" s="9">
        <v>46049</v>
      </c>
      <c r="B957" s="6" t="s">
        <v>1503</v>
      </c>
      <c r="C957" s="5" t="s">
        <v>1502</v>
      </c>
      <c r="D957" s="8" t="s">
        <v>293</v>
      </c>
      <c r="E957" s="6" t="s">
        <v>355</v>
      </c>
      <c r="F957" s="6" t="s">
        <v>1476</v>
      </c>
      <c r="G957" s="5">
        <v>83265</v>
      </c>
      <c r="H957" s="5">
        <v>0.47155599999999998</v>
      </c>
      <c r="I957" s="20">
        <f t="shared" si="14"/>
        <v>39264.110339999999</v>
      </c>
      <c r="J957" s="6" t="s">
        <v>357</v>
      </c>
    </row>
    <row r="958" spans="1:10" hidden="1">
      <c r="A958" s="9">
        <v>46049</v>
      </c>
      <c r="B958" s="6" t="s">
        <v>1505</v>
      </c>
      <c r="C958" s="5" t="s">
        <v>1504</v>
      </c>
      <c r="D958" s="8" t="s">
        <v>293</v>
      </c>
      <c r="E958" s="6" t="s">
        <v>355</v>
      </c>
      <c r="F958" s="6" t="s">
        <v>1476</v>
      </c>
      <c r="G958" s="5">
        <v>95159</v>
      </c>
      <c r="H958" s="5">
        <v>0.47155599999999998</v>
      </c>
      <c r="I958" s="20">
        <f t="shared" si="14"/>
        <v>44872.797403999997</v>
      </c>
      <c r="J958" s="6" t="s">
        <v>357</v>
      </c>
    </row>
    <row r="959" spans="1:10" hidden="1">
      <c r="A959" s="9">
        <v>46049</v>
      </c>
      <c r="B959" s="6" t="s">
        <v>1507</v>
      </c>
      <c r="C959" s="5" t="s">
        <v>1506</v>
      </c>
      <c r="D959" s="8" t="s">
        <v>293</v>
      </c>
      <c r="E959" s="6" t="s">
        <v>355</v>
      </c>
      <c r="F959" s="6" t="s">
        <v>1476</v>
      </c>
      <c r="G959" s="5">
        <v>107053</v>
      </c>
      <c r="H959" s="5">
        <v>0.47155599999999998</v>
      </c>
      <c r="I959" s="20">
        <f t="shared" si="14"/>
        <v>50481.484467999995</v>
      </c>
      <c r="J959" s="6" t="s">
        <v>357</v>
      </c>
    </row>
    <row r="960" spans="1:10" hidden="1">
      <c r="A960" s="9">
        <v>46049</v>
      </c>
      <c r="B960" s="24" t="s">
        <v>5612</v>
      </c>
      <c r="C960" s="14" t="s">
        <v>5611</v>
      </c>
      <c r="D960" s="23" t="s">
        <v>293</v>
      </c>
      <c r="E960" s="106" t="s">
        <v>1024</v>
      </c>
      <c r="F960" s="106" t="s">
        <v>1508</v>
      </c>
      <c r="G960" s="107">
        <v>69</v>
      </c>
      <c r="H960" s="5">
        <v>0.47155599999999998</v>
      </c>
      <c r="I960" s="20">
        <f t="shared" si="14"/>
        <v>32.537363999999997</v>
      </c>
      <c r="J960" s="6" t="s">
        <v>357</v>
      </c>
    </row>
    <row r="961" spans="1:10" hidden="1">
      <c r="A961" s="9">
        <v>46049</v>
      </c>
      <c r="B961" s="6" t="s">
        <v>313</v>
      </c>
      <c r="C961" s="5" t="s">
        <v>312</v>
      </c>
      <c r="D961" s="8" t="s">
        <v>293</v>
      </c>
      <c r="E961" s="6" t="s">
        <v>1024</v>
      </c>
      <c r="F961" s="6" t="s">
        <v>1508</v>
      </c>
      <c r="G961" s="5">
        <v>17.3</v>
      </c>
      <c r="H961" s="5">
        <v>0.47155599999999998</v>
      </c>
      <c r="I961" s="20">
        <f t="shared" si="14"/>
        <v>8.1579187999999991</v>
      </c>
      <c r="J961" s="6" t="s">
        <v>357</v>
      </c>
    </row>
    <row r="962" spans="1:10" hidden="1">
      <c r="A962" s="9">
        <v>46049</v>
      </c>
      <c r="B962" s="6" t="s">
        <v>1510</v>
      </c>
      <c r="C962" s="5" t="s">
        <v>1509</v>
      </c>
      <c r="D962" s="8" t="s">
        <v>293</v>
      </c>
      <c r="E962" s="6" t="s">
        <v>1024</v>
      </c>
      <c r="F962" s="6" t="s">
        <v>1508</v>
      </c>
      <c r="G962" s="5">
        <v>19.100000000000001</v>
      </c>
      <c r="H962" s="5">
        <v>0.47155599999999998</v>
      </c>
      <c r="I962" s="20">
        <f t="shared" si="14"/>
        <v>9.0067196000000003</v>
      </c>
      <c r="J962" s="6" t="s">
        <v>357</v>
      </c>
    </row>
    <row r="963" spans="1:10" hidden="1">
      <c r="A963" s="9">
        <v>46049</v>
      </c>
      <c r="B963" s="6" t="s">
        <v>294</v>
      </c>
      <c r="C963" s="5" t="s">
        <v>292</v>
      </c>
      <c r="D963" s="8" t="s">
        <v>293</v>
      </c>
      <c r="E963" s="6" t="s">
        <v>1024</v>
      </c>
      <c r="F963" s="6" t="s">
        <v>1508</v>
      </c>
      <c r="G963" s="5">
        <v>33.9</v>
      </c>
      <c r="H963" s="5">
        <v>0.47155599999999998</v>
      </c>
      <c r="I963" s="20">
        <f t="shared" ref="I963:I1026" si="15">H963*G963</f>
        <v>15.985748399999999</v>
      </c>
      <c r="J963" s="6" t="s">
        <v>357</v>
      </c>
    </row>
    <row r="964" spans="1:10" hidden="1">
      <c r="A964" s="9">
        <v>46049</v>
      </c>
      <c r="B964" s="6" t="s">
        <v>1512</v>
      </c>
      <c r="C964" s="5" t="s">
        <v>1511</v>
      </c>
      <c r="D964" s="8" t="s">
        <v>293</v>
      </c>
      <c r="E964" s="6" t="s">
        <v>1024</v>
      </c>
      <c r="F964" s="6" t="s">
        <v>1508</v>
      </c>
      <c r="G964" s="5">
        <v>42.3</v>
      </c>
      <c r="H964" s="5">
        <v>0.47155599999999998</v>
      </c>
      <c r="I964" s="20">
        <f t="shared" si="15"/>
        <v>19.946818799999999</v>
      </c>
      <c r="J964" s="6" t="s">
        <v>357</v>
      </c>
    </row>
    <row r="965" spans="1:10" hidden="1">
      <c r="A965" s="9">
        <v>46049</v>
      </c>
      <c r="B965" s="6" t="s">
        <v>335</v>
      </c>
      <c r="C965" s="5" t="s">
        <v>334</v>
      </c>
      <c r="D965" s="8" t="s">
        <v>293</v>
      </c>
      <c r="E965" s="6" t="s">
        <v>1024</v>
      </c>
      <c r="F965" s="6" t="s">
        <v>1508</v>
      </c>
      <c r="G965" s="5">
        <v>51.8</v>
      </c>
      <c r="H965" s="5">
        <v>0.47155599999999998</v>
      </c>
      <c r="I965" s="20">
        <f t="shared" si="15"/>
        <v>24.426600799999996</v>
      </c>
      <c r="J965" s="6" t="s">
        <v>357</v>
      </c>
    </row>
    <row r="966" spans="1:10" hidden="1">
      <c r="A966" s="9">
        <v>46049</v>
      </c>
      <c r="B966" s="6" t="s">
        <v>1514</v>
      </c>
      <c r="C966" s="5" t="s">
        <v>1513</v>
      </c>
      <c r="D966" s="8" t="s">
        <v>293</v>
      </c>
      <c r="E966" s="6" t="s">
        <v>1024</v>
      </c>
      <c r="F966" s="6" t="s">
        <v>1508</v>
      </c>
      <c r="G966" s="5">
        <v>57.8</v>
      </c>
      <c r="H966" s="5">
        <v>0.47155599999999998</v>
      </c>
      <c r="I966" s="20">
        <f t="shared" si="15"/>
        <v>27.255936799999997</v>
      </c>
      <c r="J966" s="6" t="s">
        <v>357</v>
      </c>
    </row>
    <row r="967" spans="1:10" hidden="1">
      <c r="A967" s="9">
        <v>46049</v>
      </c>
      <c r="B967" s="6" t="s">
        <v>1516</v>
      </c>
      <c r="C967" s="5" t="s">
        <v>1515</v>
      </c>
      <c r="D967" s="8" t="s">
        <v>293</v>
      </c>
      <c r="E967" s="25" t="s">
        <v>1024</v>
      </c>
      <c r="F967" s="6" t="s">
        <v>1508</v>
      </c>
      <c r="G967" s="5">
        <v>107.2</v>
      </c>
      <c r="H967" s="5">
        <v>0.47155599999999998</v>
      </c>
      <c r="I967" s="20">
        <f t="shared" si="15"/>
        <v>50.550803199999997</v>
      </c>
      <c r="J967" s="6" t="s">
        <v>357</v>
      </c>
    </row>
    <row r="968" spans="1:10" hidden="1">
      <c r="A968" s="9">
        <v>46049</v>
      </c>
      <c r="B968" s="6" t="s">
        <v>1519</v>
      </c>
      <c r="C968" s="5" t="s">
        <v>1518</v>
      </c>
      <c r="D968" s="8" t="s">
        <v>293</v>
      </c>
      <c r="E968" s="25" t="s">
        <v>1024</v>
      </c>
      <c r="F968" s="6" t="s">
        <v>1508</v>
      </c>
      <c r="G968" s="5">
        <v>119</v>
      </c>
      <c r="H968" s="5">
        <v>0.47155599999999998</v>
      </c>
      <c r="I968" s="20">
        <f t="shared" si="15"/>
        <v>56.115164</v>
      </c>
      <c r="J968" s="6" t="s">
        <v>357</v>
      </c>
    </row>
    <row r="969" spans="1:10" hidden="1">
      <c r="A969" s="9">
        <v>46049</v>
      </c>
      <c r="B969" s="6" t="s">
        <v>1521</v>
      </c>
      <c r="C969" s="5" t="s">
        <v>1520</v>
      </c>
      <c r="D969" s="8" t="s">
        <v>293</v>
      </c>
      <c r="E969" s="6" t="s">
        <v>1024</v>
      </c>
      <c r="F969" s="6" t="s">
        <v>1508</v>
      </c>
      <c r="G969" s="5">
        <v>22.1</v>
      </c>
      <c r="H969" s="5">
        <v>0.47155599999999998</v>
      </c>
      <c r="I969" s="20">
        <f t="shared" si="15"/>
        <v>10.421387600000001</v>
      </c>
      <c r="J969" s="6" t="s">
        <v>357</v>
      </c>
    </row>
    <row r="970" spans="1:10" hidden="1">
      <c r="A970" s="9">
        <v>46049</v>
      </c>
      <c r="B970" s="6" t="s">
        <v>1523</v>
      </c>
      <c r="C970" s="5" t="s">
        <v>1522</v>
      </c>
      <c r="D970" s="8" t="s">
        <v>293</v>
      </c>
      <c r="E970" s="6" t="s">
        <v>1024</v>
      </c>
      <c r="F970" s="6" t="s">
        <v>1508</v>
      </c>
      <c r="G970" s="5">
        <v>25.1</v>
      </c>
      <c r="H970" s="5">
        <v>0.47155599999999998</v>
      </c>
      <c r="I970" s="20">
        <f t="shared" si="15"/>
        <v>11.8360556</v>
      </c>
      <c r="J970" s="6" t="s">
        <v>357</v>
      </c>
    </row>
    <row r="971" spans="1:10" hidden="1">
      <c r="A971" s="9">
        <v>46049</v>
      </c>
      <c r="B971" s="6" t="s">
        <v>1525</v>
      </c>
      <c r="C971" s="5" t="s">
        <v>1524</v>
      </c>
      <c r="D971" s="8" t="s">
        <v>293</v>
      </c>
      <c r="E971" s="6" t="s">
        <v>1024</v>
      </c>
      <c r="F971" s="6" t="s">
        <v>1508</v>
      </c>
      <c r="G971" s="5">
        <v>51.2</v>
      </c>
      <c r="H971" s="5">
        <v>0.47155599999999998</v>
      </c>
      <c r="I971" s="20">
        <f t="shared" si="15"/>
        <v>24.143667199999999</v>
      </c>
      <c r="J971" s="6" t="s">
        <v>357</v>
      </c>
    </row>
    <row r="972" spans="1:10" hidden="1">
      <c r="A972" s="9">
        <v>46049</v>
      </c>
      <c r="B972" s="6" t="s">
        <v>1527</v>
      </c>
      <c r="C972" s="5" t="s">
        <v>1526</v>
      </c>
      <c r="D972" s="8" t="s">
        <v>293</v>
      </c>
      <c r="E972" s="6" t="s">
        <v>1024</v>
      </c>
      <c r="F972" s="6" t="s">
        <v>1508</v>
      </c>
      <c r="G972" s="5">
        <v>59</v>
      </c>
      <c r="H972" s="5">
        <v>0.47155599999999998</v>
      </c>
      <c r="I972" s="20">
        <f t="shared" si="15"/>
        <v>27.821804</v>
      </c>
      <c r="J972" s="6" t="s">
        <v>357</v>
      </c>
    </row>
    <row r="973" spans="1:10" hidden="1">
      <c r="A973" s="9">
        <v>46049</v>
      </c>
      <c r="B973" s="6" t="s">
        <v>7297</v>
      </c>
      <c r="C973" s="5" t="s">
        <v>1528</v>
      </c>
      <c r="D973" s="8" t="s">
        <v>293</v>
      </c>
      <c r="E973" s="6" t="s">
        <v>1024</v>
      </c>
      <c r="F973" s="6" t="s">
        <v>1508</v>
      </c>
      <c r="G973" s="5">
        <v>76.8</v>
      </c>
      <c r="H973" s="5">
        <v>0.47155599999999998</v>
      </c>
      <c r="I973" s="20">
        <f t="shared" si="15"/>
        <v>36.215500799999994</v>
      </c>
      <c r="J973" s="6" t="s">
        <v>357</v>
      </c>
    </row>
    <row r="974" spans="1:10" hidden="1">
      <c r="A974" s="9">
        <v>46049</v>
      </c>
      <c r="B974" s="6" t="s">
        <v>1531</v>
      </c>
      <c r="C974" s="5" t="s">
        <v>1530</v>
      </c>
      <c r="D974" s="8" t="s">
        <v>293</v>
      </c>
      <c r="E974" s="6" t="s">
        <v>1024</v>
      </c>
      <c r="F974" s="6" t="s">
        <v>1508</v>
      </c>
      <c r="G974" s="5">
        <v>84</v>
      </c>
      <c r="H974" s="5">
        <v>0.47155599999999998</v>
      </c>
      <c r="I974" s="20">
        <f t="shared" si="15"/>
        <v>39.610703999999998</v>
      </c>
      <c r="J974" s="6" t="s">
        <v>357</v>
      </c>
    </row>
    <row r="975" spans="1:10" hidden="1">
      <c r="A975" s="9">
        <v>46049</v>
      </c>
      <c r="B975" s="6" t="s">
        <v>1533</v>
      </c>
      <c r="C975" s="5" t="s">
        <v>1532</v>
      </c>
      <c r="D975" s="8" t="s">
        <v>293</v>
      </c>
      <c r="E975" s="25" t="s">
        <v>1024</v>
      </c>
      <c r="F975" s="6" t="s">
        <v>1517</v>
      </c>
      <c r="G975" s="5">
        <v>119</v>
      </c>
      <c r="H975" s="5">
        <v>0.47155599999999998</v>
      </c>
      <c r="I975" s="20">
        <f t="shared" si="15"/>
        <v>56.115164</v>
      </c>
      <c r="J975" s="6" t="s">
        <v>357</v>
      </c>
    </row>
    <row r="976" spans="1:10" hidden="1">
      <c r="A976" s="9">
        <v>46049</v>
      </c>
      <c r="B976" s="6" t="s">
        <v>1535</v>
      </c>
      <c r="C976" s="5" t="s">
        <v>1534</v>
      </c>
      <c r="D976" s="8" t="s">
        <v>293</v>
      </c>
      <c r="E976" s="25" t="s">
        <v>1024</v>
      </c>
      <c r="F976" s="6" t="s">
        <v>1517</v>
      </c>
      <c r="G976" s="5">
        <v>142.9</v>
      </c>
      <c r="H976" s="5">
        <v>0.47155599999999998</v>
      </c>
      <c r="I976" s="20">
        <f t="shared" si="15"/>
        <v>67.385352400000002</v>
      </c>
      <c r="J976" s="6" t="s">
        <v>357</v>
      </c>
    </row>
    <row r="977" spans="1:10" hidden="1">
      <c r="A977" s="9">
        <v>46049</v>
      </c>
      <c r="B977" s="6" t="s">
        <v>5720</v>
      </c>
      <c r="C977" s="5" t="s">
        <v>5774</v>
      </c>
      <c r="D977" s="8" t="s">
        <v>293</v>
      </c>
      <c r="E977" s="106" t="s">
        <v>654</v>
      </c>
      <c r="F977" s="106" t="s">
        <v>5717</v>
      </c>
      <c r="G977" s="107">
        <v>131</v>
      </c>
      <c r="H977" s="5">
        <v>0.47155599999999998</v>
      </c>
      <c r="I977" s="20">
        <f t="shared" si="15"/>
        <v>61.773835999999996</v>
      </c>
      <c r="J977" s="6" t="s">
        <v>357</v>
      </c>
    </row>
    <row r="978" spans="1:10" hidden="1">
      <c r="A978" s="9">
        <v>46049</v>
      </c>
      <c r="B978" s="6" t="s">
        <v>5721</v>
      </c>
      <c r="C978" s="5" t="s">
        <v>5775</v>
      </c>
      <c r="D978" s="8" t="s">
        <v>293</v>
      </c>
      <c r="E978" s="106" t="s">
        <v>654</v>
      </c>
      <c r="F978" s="106" t="s">
        <v>5717</v>
      </c>
      <c r="G978" s="107">
        <v>131</v>
      </c>
      <c r="H978" s="5">
        <v>0.47155599999999998</v>
      </c>
      <c r="I978" s="20">
        <f t="shared" si="15"/>
        <v>61.773835999999996</v>
      </c>
      <c r="J978" s="6" t="s">
        <v>357</v>
      </c>
    </row>
    <row r="979" spans="1:10" hidden="1">
      <c r="A979" s="9">
        <v>46049</v>
      </c>
      <c r="B979" s="6" t="s">
        <v>5719</v>
      </c>
      <c r="C979" s="5" t="s">
        <v>5773</v>
      </c>
      <c r="D979" s="8" t="s">
        <v>293</v>
      </c>
      <c r="E979" s="106" t="s">
        <v>654</v>
      </c>
      <c r="F979" s="106" t="s">
        <v>5717</v>
      </c>
      <c r="G979" s="107">
        <v>131</v>
      </c>
      <c r="H979" s="5">
        <v>0.47155599999999998</v>
      </c>
      <c r="I979" s="20">
        <f t="shared" si="15"/>
        <v>61.773835999999996</v>
      </c>
      <c r="J979" s="6" t="s">
        <v>357</v>
      </c>
    </row>
    <row r="980" spans="1:10" hidden="1">
      <c r="A980" s="9">
        <v>46049</v>
      </c>
      <c r="B980" s="6" t="s">
        <v>5726</v>
      </c>
      <c r="C980" s="5" t="s">
        <v>5753</v>
      </c>
      <c r="D980" s="8" t="s">
        <v>293</v>
      </c>
      <c r="E980" s="106" t="s">
        <v>654</v>
      </c>
      <c r="F980" s="106" t="s">
        <v>5717</v>
      </c>
      <c r="G980" s="107">
        <v>167</v>
      </c>
      <c r="H980" s="5">
        <v>0.47155599999999998</v>
      </c>
      <c r="I980" s="20">
        <f t="shared" si="15"/>
        <v>78.74985199999999</v>
      </c>
      <c r="J980" s="6" t="s">
        <v>357</v>
      </c>
    </row>
    <row r="981" spans="1:10" hidden="1">
      <c r="A981" s="9">
        <v>46049</v>
      </c>
      <c r="B981" s="6" t="s">
        <v>5727</v>
      </c>
      <c r="C981" s="5" t="s">
        <v>5754</v>
      </c>
      <c r="D981" s="8" t="s">
        <v>293</v>
      </c>
      <c r="E981" s="106" t="s">
        <v>654</v>
      </c>
      <c r="F981" s="106" t="s">
        <v>5717</v>
      </c>
      <c r="G981" s="107">
        <v>167</v>
      </c>
      <c r="H981" s="5">
        <v>0.47155599999999998</v>
      </c>
      <c r="I981" s="20">
        <f t="shared" si="15"/>
        <v>78.74985199999999</v>
      </c>
      <c r="J981" s="6" t="s">
        <v>357</v>
      </c>
    </row>
    <row r="982" spans="1:10" hidden="1">
      <c r="A982" s="9">
        <v>46049</v>
      </c>
      <c r="B982" s="6" t="s">
        <v>5725</v>
      </c>
      <c r="C982" s="5" t="s">
        <v>5752</v>
      </c>
      <c r="D982" s="8" t="s">
        <v>293</v>
      </c>
      <c r="E982" s="106" t="s">
        <v>654</v>
      </c>
      <c r="F982" s="106" t="s">
        <v>5717</v>
      </c>
      <c r="G982" s="107">
        <v>167</v>
      </c>
      <c r="H982" s="5">
        <v>0.47155599999999998</v>
      </c>
      <c r="I982" s="20">
        <f t="shared" si="15"/>
        <v>78.74985199999999</v>
      </c>
      <c r="J982" s="6" t="s">
        <v>357</v>
      </c>
    </row>
    <row r="983" spans="1:10" hidden="1">
      <c r="A983" s="9">
        <v>46049</v>
      </c>
      <c r="B983" s="6" t="s">
        <v>5732</v>
      </c>
      <c r="C983" s="5" t="s">
        <v>5756</v>
      </c>
      <c r="D983" s="8" t="s">
        <v>293</v>
      </c>
      <c r="E983" s="106" t="s">
        <v>654</v>
      </c>
      <c r="F983" s="106" t="s">
        <v>5717</v>
      </c>
      <c r="G983" s="107">
        <v>239</v>
      </c>
      <c r="H983" s="5">
        <v>0.47155599999999998</v>
      </c>
      <c r="I983" s="20">
        <f t="shared" si="15"/>
        <v>112.70188399999999</v>
      </c>
      <c r="J983" s="6" t="s">
        <v>357</v>
      </c>
    </row>
    <row r="984" spans="1:10" hidden="1">
      <c r="A984" s="9">
        <v>46049</v>
      </c>
      <c r="B984" s="6" t="s">
        <v>5733</v>
      </c>
      <c r="C984" s="5" t="s">
        <v>5757</v>
      </c>
      <c r="D984" s="8" t="s">
        <v>293</v>
      </c>
      <c r="E984" s="106" t="s">
        <v>654</v>
      </c>
      <c r="F984" s="106" t="s">
        <v>5717</v>
      </c>
      <c r="G984" s="107">
        <v>239</v>
      </c>
      <c r="H984" s="5">
        <v>0.47155599999999998</v>
      </c>
      <c r="I984" s="20">
        <f t="shared" si="15"/>
        <v>112.70188399999999</v>
      </c>
      <c r="J984" s="6" t="s">
        <v>357</v>
      </c>
    </row>
    <row r="985" spans="1:10" hidden="1">
      <c r="A985" s="9">
        <v>46049</v>
      </c>
      <c r="B985" s="6" t="s">
        <v>5731</v>
      </c>
      <c r="C985" s="5" t="s">
        <v>5755</v>
      </c>
      <c r="D985" s="8" t="s">
        <v>293</v>
      </c>
      <c r="E985" s="106" t="s">
        <v>654</v>
      </c>
      <c r="F985" s="106" t="s">
        <v>5717</v>
      </c>
      <c r="G985" s="107">
        <v>239</v>
      </c>
      <c r="H985" s="5">
        <v>0.47155599999999998</v>
      </c>
      <c r="I985" s="20">
        <f t="shared" si="15"/>
        <v>112.70188399999999</v>
      </c>
      <c r="J985" s="6" t="s">
        <v>357</v>
      </c>
    </row>
    <row r="986" spans="1:10" hidden="1">
      <c r="A986" s="9">
        <v>46049</v>
      </c>
      <c r="B986" s="6" t="s">
        <v>5738</v>
      </c>
      <c r="C986" s="5" t="s">
        <v>5762</v>
      </c>
      <c r="D986" s="8" t="s">
        <v>293</v>
      </c>
      <c r="E986" s="106" t="s">
        <v>654</v>
      </c>
      <c r="F986" s="106" t="s">
        <v>5717</v>
      </c>
      <c r="G986" s="107">
        <v>286</v>
      </c>
      <c r="H986" s="5">
        <v>0.47155599999999998</v>
      </c>
      <c r="I986" s="20">
        <f t="shared" si="15"/>
        <v>134.865016</v>
      </c>
      <c r="J986" s="6" t="s">
        <v>357</v>
      </c>
    </row>
    <row r="987" spans="1:10" hidden="1">
      <c r="A987" s="9">
        <v>46049</v>
      </c>
      <c r="B987" s="6" t="s">
        <v>5739</v>
      </c>
      <c r="C987" s="5" t="s">
        <v>5763</v>
      </c>
      <c r="D987" s="8" t="s">
        <v>293</v>
      </c>
      <c r="E987" s="106" t="s">
        <v>654</v>
      </c>
      <c r="F987" s="106" t="s">
        <v>5717</v>
      </c>
      <c r="G987" s="107">
        <v>286</v>
      </c>
      <c r="H987" s="5">
        <v>0.47155599999999998</v>
      </c>
      <c r="I987" s="20">
        <f t="shared" si="15"/>
        <v>134.865016</v>
      </c>
      <c r="J987" s="6" t="s">
        <v>357</v>
      </c>
    </row>
    <row r="988" spans="1:10" hidden="1">
      <c r="A988" s="9">
        <v>46049</v>
      </c>
      <c r="B988" s="6" t="s">
        <v>5737</v>
      </c>
      <c r="C988" s="5" t="s">
        <v>5761</v>
      </c>
      <c r="D988" s="8" t="s">
        <v>293</v>
      </c>
      <c r="E988" s="106" t="s">
        <v>654</v>
      </c>
      <c r="F988" s="106" t="s">
        <v>5717</v>
      </c>
      <c r="G988" s="107">
        <v>286</v>
      </c>
      <c r="H988" s="5">
        <v>0.47155599999999998</v>
      </c>
      <c r="I988" s="20">
        <f t="shared" si="15"/>
        <v>134.865016</v>
      </c>
      <c r="J988" s="6" t="s">
        <v>357</v>
      </c>
    </row>
    <row r="989" spans="1:10" hidden="1">
      <c r="A989" s="9">
        <v>46049</v>
      </c>
      <c r="B989" s="6" t="s">
        <v>5743</v>
      </c>
      <c r="C989" s="5" t="s">
        <v>5768</v>
      </c>
      <c r="D989" s="8" t="s">
        <v>293</v>
      </c>
      <c r="E989" s="106" t="s">
        <v>654</v>
      </c>
      <c r="F989" s="106" t="s">
        <v>5717</v>
      </c>
      <c r="G989" s="107">
        <v>334</v>
      </c>
      <c r="H989" s="5">
        <v>0.47155599999999998</v>
      </c>
      <c r="I989" s="20">
        <f t="shared" si="15"/>
        <v>157.49970399999998</v>
      </c>
      <c r="J989" s="6" t="s">
        <v>357</v>
      </c>
    </row>
    <row r="990" spans="1:10" hidden="1">
      <c r="A990" s="9">
        <v>46049</v>
      </c>
      <c r="B990" s="6" t="s">
        <v>5744</v>
      </c>
      <c r="C990" s="5" t="s">
        <v>5769</v>
      </c>
      <c r="D990" s="8" t="s">
        <v>293</v>
      </c>
      <c r="E990" s="106" t="s">
        <v>654</v>
      </c>
      <c r="F990" s="106" t="s">
        <v>5717</v>
      </c>
      <c r="G990" s="107">
        <v>334</v>
      </c>
      <c r="H990" s="5">
        <v>0.47155599999999998</v>
      </c>
      <c r="I990" s="20">
        <f t="shared" si="15"/>
        <v>157.49970399999998</v>
      </c>
      <c r="J990" s="6" t="s">
        <v>357</v>
      </c>
    </row>
    <row r="991" spans="1:10" hidden="1">
      <c r="A991" s="9">
        <v>46049</v>
      </c>
      <c r="B991" s="6" t="s">
        <v>5748</v>
      </c>
      <c r="C991" s="5" t="s">
        <v>5767</v>
      </c>
      <c r="D991" s="8" t="s">
        <v>293</v>
      </c>
      <c r="E991" s="106" t="s">
        <v>654</v>
      </c>
      <c r="F991" s="106" t="s">
        <v>5717</v>
      </c>
      <c r="G991" s="107">
        <v>334</v>
      </c>
      <c r="H991" s="5">
        <v>0.47155599999999998</v>
      </c>
      <c r="I991" s="20">
        <f t="shared" si="15"/>
        <v>157.49970399999998</v>
      </c>
      <c r="J991" s="6" t="s">
        <v>357</v>
      </c>
    </row>
    <row r="992" spans="1:10" hidden="1">
      <c r="A992" s="9">
        <v>46049</v>
      </c>
      <c r="B992" s="6" t="s">
        <v>5723</v>
      </c>
      <c r="C992" s="5" t="s">
        <v>5718</v>
      </c>
      <c r="D992" s="8" t="s">
        <v>293</v>
      </c>
      <c r="E992" s="106" t="s">
        <v>654</v>
      </c>
      <c r="F992" s="106" t="s">
        <v>5717</v>
      </c>
      <c r="G992" s="107">
        <v>179</v>
      </c>
      <c r="H992" s="5">
        <v>0.47155599999999998</v>
      </c>
      <c r="I992" s="20">
        <f t="shared" si="15"/>
        <v>84.408524</v>
      </c>
      <c r="J992" s="6" t="s">
        <v>357</v>
      </c>
    </row>
    <row r="993" spans="1:10" hidden="1">
      <c r="A993" s="9">
        <v>46049</v>
      </c>
      <c r="B993" s="6" t="s">
        <v>5724</v>
      </c>
      <c r="C993" s="5" t="s">
        <v>5777</v>
      </c>
      <c r="D993" s="8" t="s">
        <v>293</v>
      </c>
      <c r="E993" s="106" t="s">
        <v>654</v>
      </c>
      <c r="F993" s="106" t="s">
        <v>5717</v>
      </c>
      <c r="G993" s="107">
        <v>179</v>
      </c>
      <c r="H993" s="5">
        <v>0.47155599999999998</v>
      </c>
      <c r="I993" s="20">
        <f t="shared" si="15"/>
        <v>84.408524</v>
      </c>
      <c r="J993" s="6" t="s">
        <v>357</v>
      </c>
    </row>
    <row r="994" spans="1:10" hidden="1">
      <c r="A994" s="9">
        <v>46049</v>
      </c>
      <c r="B994" s="6" t="s">
        <v>5722</v>
      </c>
      <c r="C994" s="5" t="s">
        <v>5776</v>
      </c>
      <c r="D994" s="8" t="s">
        <v>293</v>
      </c>
      <c r="E994" s="106" t="s">
        <v>654</v>
      </c>
      <c r="F994" s="106" t="s">
        <v>5717</v>
      </c>
      <c r="G994" s="107">
        <v>179</v>
      </c>
      <c r="H994" s="5">
        <v>0.47155599999999998</v>
      </c>
      <c r="I994" s="20">
        <f t="shared" si="15"/>
        <v>84.408524</v>
      </c>
      <c r="J994" s="6" t="s">
        <v>357</v>
      </c>
    </row>
    <row r="995" spans="1:10" hidden="1">
      <c r="A995" s="9">
        <v>46049</v>
      </c>
      <c r="B995" s="6" t="s">
        <v>5729</v>
      </c>
      <c r="C995" s="5" t="s">
        <v>5750</v>
      </c>
      <c r="D995" s="8" t="s">
        <v>293</v>
      </c>
      <c r="E995" s="106" t="s">
        <v>654</v>
      </c>
      <c r="F995" s="106" t="s">
        <v>5717</v>
      </c>
      <c r="G995" s="107">
        <v>215</v>
      </c>
      <c r="H995" s="5">
        <v>0.47155599999999998</v>
      </c>
      <c r="I995" s="20">
        <f t="shared" si="15"/>
        <v>101.38454</v>
      </c>
      <c r="J995" s="6" t="s">
        <v>357</v>
      </c>
    </row>
    <row r="996" spans="1:10" hidden="1">
      <c r="A996" s="9">
        <v>46049</v>
      </c>
      <c r="B996" s="6" t="s">
        <v>5730</v>
      </c>
      <c r="C996" s="5" t="s">
        <v>5751</v>
      </c>
      <c r="D996" s="8" t="s">
        <v>293</v>
      </c>
      <c r="E996" s="106" t="s">
        <v>654</v>
      </c>
      <c r="F996" s="106" t="s">
        <v>5717</v>
      </c>
      <c r="G996" s="107">
        <v>215</v>
      </c>
      <c r="H996" s="5">
        <v>0.47155599999999998</v>
      </c>
      <c r="I996" s="20">
        <f t="shared" si="15"/>
        <v>101.38454</v>
      </c>
      <c r="J996" s="6" t="s">
        <v>357</v>
      </c>
    </row>
    <row r="997" spans="1:10" hidden="1">
      <c r="A997" s="9">
        <v>46049</v>
      </c>
      <c r="B997" s="6" t="s">
        <v>5728</v>
      </c>
      <c r="C997" s="5" t="s">
        <v>5749</v>
      </c>
      <c r="D997" s="8" t="s">
        <v>293</v>
      </c>
      <c r="E997" s="106" t="s">
        <v>654</v>
      </c>
      <c r="F997" s="106" t="s">
        <v>5717</v>
      </c>
      <c r="G997" s="107">
        <v>215</v>
      </c>
      <c r="H997" s="5">
        <v>0.47155599999999998</v>
      </c>
      <c r="I997" s="20">
        <f t="shared" si="15"/>
        <v>101.38454</v>
      </c>
      <c r="J997" s="6" t="s">
        <v>357</v>
      </c>
    </row>
    <row r="998" spans="1:10" hidden="1">
      <c r="A998" s="9">
        <v>46049</v>
      </c>
      <c r="B998" s="6" t="s">
        <v>5735</v>
      </c>
      <c r="C998" s="5" t="s">
        <v>5759</v>
      </c>
      <c r="D998" s="8" t="s">
        <v>293</v>
      </c>
      <c r="E998" s="106" t="s">
        <v>654</v>
      </c>
      <c r="F998" s="106" t="s">
        <v>5717</v>
      </c>
      <c r="G998" s="107">
        <v>286</v>
      </c>
      <c r="H998" s="5">
        <v>0.47155599999999998</v>
      </c>
      <c r="I998" s="20">
        <f t="shared" si="15"/>
        <v>134.865016</v>
      </c>
      <c r="J998" s="6" t="s">
        <v>357</v>
      </c>
    </row>
    <row r="999" spans="1:10" hidden="1">
      <c r="A999" s="9">
        <v>46049</v>
      </c>
      <c r="B999" s="6" t="s">
        <v>5736</v>
      </c>
      <c r="C999" s="5" t="s">
        <v>5760</v>
      </c>
      <c r="D999" s="8" t="s">
        <v>293</v>
      </c>
      <c r="E999" s="106" t="s">
        <v>654</v>
      </c>
      <c r="F999" s="106" t="s">
        <v>5717</v>
      </c>
      <c r="G999" s="107">
        <v>286</v>
      </c>
      <c r="H999" s="5">
        <v>0.47155599999999998</v>
      </c>
      <c r="I999" s="20">
        <f t="shared" si="15"/>
        <v>134.865016</v>
      </c>
      <c r="J999" s="6" t="s">
        <v>357</v>
      </c>
    </row>
    <row r="1000" spans="1:10" hidden="1">
      <c r="A1000" s="9">
        <v>46049</v>
      </c>
      <c r="B1000" s="6" t="s">
        <v>5734</v>
      </c>
      <c r="C1000" s="5" t="s">
        <v>5758</v>
      </c>
      <c r="D1000" s="8" t="s">
        <v>293</v>
      </c>
      <c r="E1000" s="106" t="s">
        <v>654</v>
      </c>
      <c r="F1000" s="106" t="s">
        <v>5717</v>
      </c>
      <c r="G1000" s="107">
        <v>286</v>
      </c>
      <c r="H1000" s="5">
        <v>0.47155599999999998</v>
      </c>
      <c r="I1000" s="20">
        <f t="shared" si="15"/>
        <v>134.865016</v>
      </c>
      <c r="J1000" s="6" t="s">
        <v>357</v>
      </c>
    </row>
    <row r="1001" spans="1:10" hidden="1">
      <c r="A1001" s="9">
        <v>46049</v>
      </c>
      <c r="B1001" s="6" t="s">
        <v>5741</v>
      </c>
      <c r="C1001" s="5" t="s">
        <v>5765</v>
      </c>
      <c r="D1001" s="8" t="s">
        <v>293</v>
      </c>
      <c r="E1001" s="106" t="s">
        <v>654</v>
      </c>
      <c r="F1001" s="106" t="s">
        <v>5717</v>
      </c>
      <c r="G1001" s="107">
        <v>334</v>
      </c>
      <c r="H1001" s="5">
        <v>0.47155599999999998</v>
      </c>
      <c r="I1001" s="20">
        <f t="shared" si="15"/>
        <v>157.49970399999998</v>
      </c>
      <c r="J1001" s="6" t="s">
        <v>357</v>
      </c>
    </row>
    <row r="1002" spans="1:10" hidden="1">
      <c r="A1002" s="9">
        <v>46049</v>
      </c>
      <c r="B1002" s="6" t="s">
        <v>5742</v>
      </c>
      <c r="C1002" s="5" t="s">
        <v>5766</v>
      </c>
      <c r="D1002" s="8" t="s">
        <v>293</v>
      </c>
      <c r="E1002" s="106" t="s">
        <v>654</v>
      </c>
      <c r="F1002" s="106" t="s">
        <v>5717</v>
      </c>
      <c r="G1002" s="107">
        <v>334</v>
      </c>
      <c r="H1002" s="5">
        <v>0.47155599999999998</v>
      </c>
      <c r="I1002" s="20">
        <f t="shared" si="15"/>
        <v>157.49970399999998</v>
      </c>
      <c r="J1002" s="6" t="s">
        <v>357</v>
      </c>
    </row>
    <row r="1003" spans="1:10" hidden="1">
      <c r="A1003" s="9">
        <v>46049</v>
      </c>
      <c r="B1003" s="6" t="s">
        <v>5740</v>
      </c>
      <c r="C1003" s="5" t="s">
        <v>5764</v>
      </c>
      <c r="D1003" s="8" t="s">
        <v>293</v>
      </c>
      <c r="E1003" s="106" t="s">
        <v>654</v>
      </c>
      <c r="F1003" s="106" t="s">
        <v>5717</v>
      </c>
      <c r="G1003" s="107">
        <v>334</v>
      </c>
      <c r="H1003" s="5">
        <v>0.47155599999999998</v>
      </c>
      <c r="I1003" s="20">
        <f t="shared" si="15"/>
        <v>157.49970399999998</v>
      </c>
      <c r="J1003" s="6" t="s">
        <v>357</v>
      </c>
    </row>
    <row r="1004" spans="1:10" hidden="1">
      <c r="A1004" s="9">
        <v>46049</v>
      </c>
      <c r="B1004" s="6" t="s">
        <v>5746</v>
      </c>
      <c r="C1004" s="5" t="s">
        <v>5771</v>
      </c>
      <c r="D1004" s="8" t="s">
        <v>293</v>
      </c>
      <c r="E1004" s="106" t="s">
        <v>654</v>
      </c>
      <c r="F1004" s="106" t="s">
        <v>5717</v>
      </c>
      <c r="G1004" s="107">
        <v>381</v>
      </c>
      <c r="H1004" s="5">
        <v>0.47155599999999998</v>
      </c>
      <c r="I1004" s="20">
        <f t="shared" si="15"/>
        <v>179.662836</v>
      </c>
      <c r="J1004" s="6" t="s">
        <v>357</v>
      </c>
    </row>
    <row r="1005" spans="1:10" hidden="1">
      <c r="A1005" s="9">
        <v>46049</v>
      </c>
      <c r="B1005" s="6" t="s">
        <v>5747</v>
      </c>
      <c r="C1005" s="5" t="s">
        <v>5772</v>
      </c>
      <c r="D1005" s="8" t="s">
        <v>293</v>
      </c>
      <c r="E1005" s="106" t="s">
        <v>654</v>
      </c>
      <c r="F1005" s="106" t="s">
        <v>5717</v>
      </c>
      <c r="G1005" s="107">
        <v>381</v>
      </c>
      <c r="H1005" s="5">
        <v>0.47155599999999998</v>
      </c>
      <c r="I1005" s="20">
        <f t="shared" si="15"/>
        <v>179.662836</v>
      </c>
      <c r="J1005" s="6" t="s">
        <v>357</v>
      </c>
    </row>
    <row r="1006" spans="1:10" hidden="1">
      <c r="A1006" s="9">
        <v>46049</v>
      </c>
      <c r="B1006" s="6" t="s">
        <v>5745</v>
      </c>
      <c r="C1006" s="5" t="s">
        <v>5770</v>
      </c>
      <c r="D1006" s="8" t="s">
        <v>293</v>
      </c>
      <c r="E1006" s="106" t="s">
        <v>654</v>
      </c>
      <c r="F1006" s="106" t="s">
        <v>5717</v>
      </c>
      <c r="G1006" s="107">
        <v>381</v>
      </c>
      <c r="H1006" s="5">
        <v>0.47155599999999998</v>
      </c>
      <c r="I1006" s="20">
        <f t="shared" si="15"/>
        <v>179.662836</v>
      </c>
      <c r="J1006" s="6" t="s">
        <v>357</v>
      </c>
    </row>
    <row r="1007" spans="1:10" hidden="1">
      <c r="A1007" s="9">
        <v>46049</v>
      </c>
      <c r="B1007" s="6" t="s">
        <v>1537</v>
      </c>
      <c r="C1007" s="5" t="s">
        <v>1536</v>
      </c>
      <c r="D1007" s="8" t="s">
        <v>293</v>
      </c>
      <c r="E1007" s="6" t="s">
        <v>654</v>
      </c>
      <c r="F1007" s="6" t="s">
        <v>1538</v>
      </c>
      <c r="G1007" s="5">
        <v>144</v>
      </c>
      <c r="H1007" s="5">
        <v>0.47155599999999998</v>
      </c>
      <c r="I1007" s="20">
        <f t="shared" si="15"/>
        <v>67.904063999999991</v>
      </c>
      <c r="J1007" s="6" t="s">
        <v>357</v>
      </c>
    </row>
    <row r="1008" spans="1:10" hidden="1">
      <c r="A1008" s="10">
        <v>45414</v>
      </c>
      <c r="B1008" s="6" t="s">
        <v>1540</v>
      </c>
      <c r="C1008" s="5" t="s">
        <v>1539</v>
      </c>
      <c r="D1008" s="8" t="s">
        <v>293</v>
      </c>
      <c r="E1008" s="6" t="s">
        <v>1541</v>
      </c>
      <c r="F1008" s="6" t="s">
        <v>1542</v>
      </c>
      <c r="G1008" s="5">
        <v>26</v>
      </c>
      <c r="H1008" s="5">
        <v>0.47155599999999998</v>
      </c>
      <c r="I1008" s="20">
        <f t="shared" si="15"/>
        <v>12.260456</v>
      </c>
      <c r="J1008" s="6" t="s">
        <v>357</v>
      </c>
    </row>
    <row r="1009" spans="1:10" hidden="1">
      <c r="A1009" s="10">
        <v>45414</v>
      </c>
      <c r="B1009" s="6" t="s">
        <v>315</v>
      </c>
      <c r="C1009" s="5" t="s">
        <v>314</v>
      </c>
      <c r="D1009" s="8" t="s">
        <v>293</v>
      </c>
      <c r="E1009" s="6" t="s">
        <v>1541</v>
      </c>
      <c r="F1009" s="6" t="s">
        <v>1542</v>
      </c>
      <c r="G1009" s="5">
        <v>30</v>
      </c>
      <c r="H1009" s="5">
        <v>0.47155599999999998</v>
      </c>
      <c r="I1009" s="20">
        <f t="shared" si="15"/>
        <v>14.14668</v>
      </c>
      <c r="J1009" s="6" t="s">
        <v>357</v>
      </c>
    </row>
    <row r="1010" spans="1:10" hidden="1">
      <c r="A1010" s="10">
        <v>45414</v>
      </c>
      <c r="B1010" s="6" t="s">
        <v>1544</v>
      </c>
      <c r="C1010" s="5" t="s">
        <v>1543</v>
      </c>
      <c r="D1010" s="8" t="s">
        <v>293</v>
      </c>
      <c r="E1010" s="6" t="s">
        <v>1541</v>
      </c>
      <c r="F1010" s="6" t="s">
        <v>1542</v>
      </c>
      <c r="G1010" s="5">
        <v>116</v>
      </c>
      <c r="H1010" s="5">
        <v>0.47155599999999998</v>
      </c>
      <c r="I1010" s="20">
        <f t="shared" si="15"/>
        <v>54.700495999999994</v>
      </c>
      <c r="J1010" s="6" t="s">
        <v>357</v>
      </c>
    </row>
    <row r="1011" spans="1:10" hidden="1">
      <c r="A1011" s="10">
        <v>45414</v>
      </c>
      <c r="B1011" s="6" t="s">
        <v>1546</v>
      </c>
      <c r="C1011" s="5" t="s">
        <v>1545</v>
      </c>
      <c r="D1011" s="8" t="s">
        <v>293</v>
      </c>
      <c r="E1011" s="6" t="s">
        <v>1541</v>
      </c>
      <c r="F1011" s="6" t="s">
        <v>1542</v>
      </c>
      <c r="G1011" s="5">
        <v>49</v>
      </c>
      <c r="H1011" s="5">
        <v>0.47155599999999998</v>
      </c>
      <c r="I1011" s="20">
        <f t="shared" si="15"/>
        <v>23.106244</v>
      </c>
      <c r="J1011" s="6" t="s">
        <v>357</v>
      </c>
    </row>
    <row r="1012" spans="1:10" hidden="1">
      <c r="A1012" s="10">
        <v>45414</v>
      </c>
      <c r="B1012" s="6" t="s">
        <v>344</v>
      </c>
      <c r="C1012" s="5" t="s">
        <v>343</v>
      </c>
      <c r="D1012" s="8" t="s">
        <v>293</v>
      </c>
      <c r="E1012" s="6" t="s">
        <v>1541</v>
      </c>
      <c r="F1012" s="6" t="s">
        <v>1542</v>
      </c>
      <c r="G1012" s="5">
        <v>58</v>
      </c>
      <c r="H1012" s="5">
        <v>0.47155599999999998</v>
      </c>
      <c r="I1012" s="20">
        <f t="shared" si="15"/>
        <v>27.350247999999997</v>
      </c>
      <c r="J1012" s="6" t="s">
        <v>357</v>
      </c>
    </row>
    <row r="1013" spans="1:10" hidden="1">
      <c r="A1013" s="9">
        <v>46049</v>
      </c>
      <c r="B1013" s="6" t="s">
        <v>1547</v>
      </c>
      <c r="C1013" s="5" t="s">
        <v>688</v>
      </c>
      <c r="D1013" s="8" t="s">
        <v>293</v>
      </c>
      <c r="E1013" s="6" t="s">
        <v>685</v>
      </c>
      <c r="F1013" s="6" t="s">
        <v>1548</v>
      </c>
      <c r="G1013" s="5">
        <v>263</v>
      </c>
      <c r="H1013" s="5">
        <v>0.47155599999999998</v>
      </c>
      <c r="I1013" s="20">
        <f t="shared" si="15"/>
        <v>124.019228</v>
      </c>
      <c r="J1013" s="6" t="s">
        <v>357</v>
      </c>
    </row>
    <row r="1014" spans="1:10" hidden="1">
      <c r="A1014" s="9">
        <v>46049</v>
      </c>
      <c r="B1014" s="216" t="s">
        <v>6492</v>
      </c>
      <c r="C1014" s="5" t="s">
        <v>703</v>
      </c>
      <c r="D1014" s="8" t="s">
        <v>293</v>
      </c>
      <c r="E1014" s="25" t="s">
        <v>685</v>
      </c>
      <c r="F1014" s="25" t="s">
        <v>1548</v>
      </c>
      <c r="G1014" s="31">
        <v>509</v>
      </c>
      <c r="H1014" s="5">
        <v>0.47155599999999998</v>
      </c>
      <c r="I1014" s="20">
        <f t="shared" si="15"/>
        <v>240.02200399999998</v>
      </c>
      <c r="J1014" s="6" t="s">
        <v>357</v>
      </c>
    </row>
    <row r="1015" spans="1:10" hidden="1">
      <c r="A1015" s="9">
        <v>46049</v>
      </c>
      <c r="B1015" s="6" t="s">
        <v>1549</v>
      </c>
      <c r="C1015" s="5" t="s">
        <v>689</v>
      </c>
      <c r="D1015" s="8" t="s">
        <v>293</v>
      </c>
      <c r="E1015" s="6" t="s">
        <v>685</v>
      </c>
      <c r="F1015" s="6" t="s">
        <v>1548</v>
      </c>
      <c r="G1015" s="5">
        <v>239</v>
      </c>
      <c r="H1015" s="5">
        <v>0.47155599999999998</v>
      </c>
      <c r="I1015" s="20">
        <f t="shared" si="15"/>
        <v>112.70188399999999</v>
      </c>
      <c r="J1015" s="6" t="s">
        <v>357</v>
      </c>
    </row>
    <row r="1016" spans="1:10" hidden="1">
      <c r="A1016" s="9">
        <v>46049</v>
      </c>
      <c r="B1016" s="6" t="s">
        <v>1550</v>
      </c>
      <c r="C1016" s="5" t="s">
        <v>704</v>
      </c>
      <c r="D1016" s="8" t="s">
        <v>293</v>
      </c>
      <c r="E1016" s="6" t="s">
        <v>685</v>
      </c>
      <c r="F1016" s="6" t="s">
        <v>1548</v>
      </c>
      <c r="G1016" s="5">
        <v>451</v>
      </c>
      <c r="H1016" s="5">
        <v>0.47155599999999998</v>
      </c>
      <c r="I1016" s="20">
        <f t="shared" si="15"/>
        <v>212.67175599999999</v>
      </c>
      <c r="J1016" s="6" t="s">
        <v>357</v>
      </c>
    </row>
    <row r="1017" spans="1:10" hidden="1">
      <c r="A1017" s="9">
        <v>46049</v>
      </c>
      <c r="B1017" s="6" t="s">
        <v>340</v>
      </c>
      <c r="C1017" s="5" t="s">
        <v>339</v>
      </c>
      <c r="D1017" s="8" t="s">
        <v>293</v>
      </c>
      <c r="E1017" s="6" t="s">
        <v>685</v>
      </c>
      <c r="F1017" s="6" t="s">
        <v>1548</v>
      </c>
      <c r="G1017" s="5">
        <v>415</v>
      </c>
      <c r="H1017" s="5">
        <v>0.47155599999999998</v>
      </c>
      <c r="I1017" s="20">
        <f t="shared" si="15"/>
        <v>195.69574</v>
      </c>
      <c r="J1017" s="6" t="s">
        <v>357</v>
      </c>
    </row>
    <row r="1018" spans="1:10" hidden="1">
      <c r="A1018" s="9">
        <v>46050</v>
      </c>
      <c r="B1018" s="216" t="s">
        <v>6417</v>
      </c>
      <c r="C1018" s="5" t="s">
        <v>6402</v>
      </c>
      <c r="D1018" s="8" t="s">
        <v>293</v>
      </c>
      <c r="E1018" s="25" t="s">
        <v>685</v>
      </c>
      <c r="F1018" s="25" t="s">
        <v>1548</v>
      </c>
      <c r="G1018" s="31">
        <v>1080</v>
      </c>
      <c r="H1018" s="5">
        <v>0.47155599999999998</v>
      </c>
      <c r="I1018" s="20">
        <f t="shared" si="15"/>
        <v>509.28047999999995</v>
      </c>
      <c r="J1018" s="6" t="s">
        <v>357</v>
      </c>
    </row>
    <row r="1019" spans="1:10" hidden="1">
      <c r="A1019" s="9">
        <v>46050</v>
      </c>
      <c r="B1019" s="216" t="s">
        <v>6425</v>
      </c>
      <c r="C1019" s="5" t="s">
        <v>6403</v>
      </c>
      <c r="D1019" s="8" t="s">
        <v>293</v>
      </c>
      <c r="E1019" s="25" t="s">
        <v>685</v>
      </c>
      <c r="F1019" s="25" t="s">
        <v>1548</v>
      </c>
      <c r="G1019" s="31">
        <v>1292</v>
      </c>
      <c r="H1019" s="5">
        <v>0.47155599999999998</v>
      </c>
      <c r="I1019" s="20">
        <f t="shared" si="15"/>
        <v>609.25035200000002</v>
      </c>
      <c r="J1019" s="6" t="s">
        <v>357</v>
      </c>
    </row>
    <row r="1020" spans="1:10" hidden="1">
      <c r="A1020" s="9">
        <v>46050</v>
      </c>
      <c r="B1020" s="216" t="s">
        <v>6416</v>
      </c>
      <c r="C1020" s="5" t="s">
        <v>6401</v>
      </c>
      <c r="D1020" s="8" t="s">
        <v>293</v>
      </c>
      <c r="E1020" s="25" t="s">
        <v>685</v>
      </c>
      <c r="F1020" s="25" t="s">
        <v>1548</v>
      </c>
      <c r="G1020" s="31">
        <v>1103</v>
      </c>
      <c r="H1020" s="5">
        <v>0.47155599999999998</v>
      </c>
      <c r="I1020" s="20">
        <f t="shared" si="15"/>
        <v>520.12626799999998</v>
      </c>
      <c r="J1020" s="6" t="s">
        <v>357</v>
      </c>
    </row>
    <row r="1021" spans="1:10" hidden="1">
      <c r="A1021" s="9">
        <v>46050</v>
      </c>
      <c r="B1021" s="216" t="s">
        <v>6424</v>
      </c>
      <c r="C1021" s="5" t="s">
        <v>6426</v>
      </c>
      <c r="D1021" s="8" t="s">
        <v>293</v>
      </c>
      <c r="E1021" s="25" t="s">
        <v>685</v>
      </c>
      <c r="F1021" s="25" t="s">
        <v>1548</v>
      </c>
      <c r="G1021" s="31">
        <v>1350</v>
      </c>
      <c r="H1021" s="5">
        <v>0.47155599999999998</v>
      </c>
      <c r="I1021" s="20">
        <f t="shared" si="15"/>
        <v>636.60059999999999</v>
      </c>
      <c r="J1021" s="6" t="s">
        <v>357</v>
      </c>
    </row>
    <row r="1022" spans="1:10" hidden="1">
      <c r="A1022" s="9">
        <v>46050</v>
      </c>
      <c r="B1022" s="216" t="s">
        <v>6427</v>
      </c>
      <c r="C1022" s="5" t="s">
        <v>6428</v>
      </c>
      <c r="D1022" s="8" t="s">
        <v>293</v>
      </c>
      <c r="E1022" s="25" t="s">
        <v>685</v>
      </c>
      <c r="F1022" s="25" t="s">
        <v>1548</v>
      </c>
      <c r="G1022" s="31">
        <v>1256</v>
      </c>
      <c r="H1022" s="5">
        <v>0.47155599999999998</v>
      </c>
      <c r="I1022" s="20">
        <f t="shared" si="15"/>
        <v>592.27433599999995</v>
      </c>
      <c r="J1022" s="6" t="s">
        <v>357</v>
      </c>
    </row>
    <row r="1023" spans="1:10" hidden="1">
      <c r="A1023" s="9">
        <v>46050</v>
      </c>
      <c r="B1023" s="6" t="s">
        <v>321</v>
      </c>
      <c r="C1023" s="5" t="s">
        <v>320</v>
      </c>
      <c r="D1023" s="8" t="s">
        <v>293</v>
      </c>
      <c r="E1023" s="6" t="s">
        <v>685</v>
      </c>
      <c r="F1023" s="6" t="s">
        <v>1548</v>
      </c>
      <c r="G1023" s="5">
        <v>144</v>
      </c>
      <c r="H1023" s="5">
        <v>0.47155599999999998</v>
      </c>
      <c r="I1023" s="20">
        <f t="shared" si="15"/>
        <v>67.904063999999991</v>
      </c>
      <c r="J1023" s="6" t="s">
        <v>357</v>
      </c>
    </row>
    <row r="1024" spans="1:10" hidden="1">
      <c r="A1024" s="9">
        <v>46050</v>
      </c>
      <c r="B1024" s="6" t="s">
        <v>1551</v>
      </c>
      <c r="C1024" s="5" t="s">
        <v>695</v>
      </c>
      <c r="D1024" s="8" t="s">
        <v>293</v>
      </c>
      <c r="E1024" s="6" t="s">
        <v>685</v>
      </c>
      <c r="F1024" s="6" t="s">
        <v>1548</v>
      </c>
      <c r="G1024" s="5">
        <v>120</v>
      </c>
      <c r="H1024" s="5">
        <v>0.47155599999999998</v>
      </c>
      <c r="I1024" s="20">
        <f t="shared" si="15"/>
        <v>56.58672</v>
      </c>
      <c r="J1024" s="6" t="s">
        <v>357</v>
      </c>
    </row>
    <row r="1025" spans="1:10" hidden="1">
      <c r="A1025" s="9">
        <v>46050</v>
      </c>
      <c r="B1025" s="6" t="s">
        <v>1552</v>
      </c>
      <c r="C1025" s="5" t="s">
        <v>709</v>
      </c>
      <c r="D1025" s="8" t="s">
        <v>293</v>
      </c>
      <c r="E1025" s="6" t="s">
        <v>685</v>
      </c>
      <c r="F1025" s="6" t="s">
        <v>1548</v>
      </c>
      <c r="G1025" s="5">
        <v>191</v>
      </c>
      <c r="H1025" s="5">
        <v>0.47155599999999998</v>
      </c>
      <c r="I1025" s="20">
        <f t="shared" si="15"/>
        <v>90.067195999999996</v>
      </c>
      <c r="J1025" s="6" t="s">
        <v>357</v>
      </c>
    </row>
    <row r="1026" spans="1:10" hidden="1">
      <c r="A1026" s="9">
        <v>46050</v>
      </c>
      <c r="B1026" s="6" t="s">
        <v>296</v>
      </c>
      <c r="C1026" s="5" t="s">
        <v>295</v>
      </c>
      <c r="D1026" s="8" t="s">
        <v>293</v>
      </c>
      <c r="E1026" s="6" t="s">
        <v>685</v>
      </c>
      <c r="F1026" s="6" t="s">
        <v>1548</v>
      </c>
      <c r="G1026" s="5">
        <v>85</v>
      </c>
      <c r="H1026" s="5">
        <v>0.47155599999999998</v>
      </c>
      <c r="I1026" s="20">
        <f t="shared" si="15"/>
        <v>40.082259999999998</v>
      </c>
      <c r="J1026" s="6" t="s">
        <v>357</v>
      </c>
    </row>
    <row r="1027" spans="1:10" hidden="1">
      <c r="A1027" s="9">
        <v>46050</v>
      </c>
      <c r="B1027" s="6" t="s">
        <v>331</v>
      </c>
      <c r="C1027" s="5" t="s">
        <v>330</v>
      </c>
      <c r="D1027" s="8" t="s">
        <v>293</v>
      </c>
      <c r="E1027" s="6" t="s">
        <v>685</v>
      </c>
      <c r="F1027" s="6" t="s">
        <v>1548</v>
      </c>
      <c r="G1027" s="5">
        <v>154</v>
      </c>
      <c r="H1027" s="5">
        <v>0.47155599999999998</v>
      </c>
      <c r="I1027" s="20">
        <f t="shared" ref="I1027:I1090" si="16">H1027*G1027</f>
        <v>72.619624000000002</v>
      </c>
      <c r="J1027" s="6" t="s">
        <v>357</v>
      </c>
    </row>
    <row r="1028" spans="1:10" hidden="1">
      <c r="A1028" s="9">
        <v>46050</v>
      </c>
      <c r="B1028" s="6" t="s">
        <v>1553</v>
      </c>
      <c r="C1028" s="5" t="s">
        <v>696</v>
      </c>
      <c r="D1028" s="8" t="s">
        <v>293</v>
      </c>
      <c r="E1028" s="6" t="s">
        <v>685</v>
      </c>
      <c r="F1028" s="6" t="s">
        <v>1548</v>
      </c>
      <c r="G1028" s="5">
        <v>113</v>
      </c>
      <c r="H1028" s="5">
        <v>0.47155599999999998</v>
      </c>
      <c r="I1028" s="20">
        <f t="shared" si="16"/>
        <v>53.285827999999995</v>
      </c>
      <c r="J1028" s="6" t="s">
        <v>357</v>
      </c>
    </row>
    <row r="1029" spans="1:10" hidden="1">
      <c r="A1029" s="9">
        <v>46050</v>
      </c>
      <c r="B1029" s="6" t="s">
        <v>333</v>
      </c>
      <c r="C1029" s="5" t="s">
        <v>332</v>
      </c>
      <c r="D1029" s="8" t="s">
        <v>293</v>
      </c>
      <c r="E1029" s="6" t="s">
        <v>685</v>
      </c>
      <c r="F1029" s="6" t="s">
        <v>1548</v>
      </c>
      <c r="G1029" s="5">
        <v>133</v>
      </c>
      <c r="H1029" s="5">
        <v>0.47155599999999998</v>
      </c>
      <c r="I1029" s="20">
        <f t="shared" si="16"/>
        <v>62.716947999999995</v>
      </c>
      <c r="J1029" s="6" t="s">
        <v>357</v>
      </c>
    </row>
    <row r="1030" spans="1:10" hidden="1">
      <c r="A1030" s="9">
        <v>46050</v>
      </c>
      <c r="B1030" s="6" t="s">
        <v>319</v>
      </c>
      <c r="C1030" s="5" t="s">
        <v>318</v>
      </c>
      <c r="D1030" s="8" t="s">
        <v>293</v>
      </c>
      <c r="E1030" s="6" t="s">
        <v>685</v>
      </c>
      <c r="F1030" s="6" t="s">
        <v>1548</v>
      </c>
      <c r="G1030" s="5">
        <v>141</v>
      </c>
      <c r="H1030" s="5">
        <v>0.47155599999999998</v>
      </c>
      <c r="I1030" s="20">
        <f t="shared" si="16"/>
        <v>66.489395999999999</v>
      </c>
      <c r="J1030" s="6" t="s">
        <v>357</v>
      </c>
    </row>
    <row r="1031" spans="1:10" hidden="1">
      <c r="A1031" s="9">
        <v>46050</v>
      </c>
      <c r="B1031" s="6" t="s">
        <v>1554</v>
      </c>
      <c r="C1031" s="5" t="s">
        <v>710</v>
      </c>
      <c r="D1031" s="8" t="s">
        <v>293</v>
      </c>
      <c r="E1031" s="6" t="s">
        <v>685</v>
      </c>
      <c r="F1031" s="6" t="s">
        <v>1548</v>
      </c>
      <c r="G1031" s="5">
        <v>191</v>
      </c>
      <c r="H1031" s="5">
        <v>0.47155599999999998</v>
      </c>
      <c r="I1031" s="20">
        <f t="shared" si="16"/>
        <v>90.067195999999996</v>
      </c>
      <c r="J1031" s="6" t="s">
        <v>357</v>
      </c>
    </row>
    <row r="1032" spans="1:10" hidden="1">
      <c r="A1032" s="9">
        <v>46050</v>
      </c>
      <c r="B1032" s="6" t="s">
        <v>1555</v>
      </c>
      <c r="C1032" s="5" t="s">
        <v>697</v>
      </c>
      <c r="D1032" s="8" t="s">
        <v>293</v>
      </c>
      <c r="E1032" s="6" t="s">
        <v>685</v>
      </c>
      <c r="F1032" s="6" t="s">
        <v>1548</v>
      </c>
      <c r="G1032" s="5">
        <v>102</v>
      </c>
      <c r="H1032" s="5">
        <v>0.47155599999999998</v>
      </c>
      <c r="I1032" s="20">
        <f t="shared" si="16"/>
        <v>48.098711999999999</v>
      </c>
      <c r="J1032" s="6" t="s">
        <v>357</v>
      </c>
    </row>
    <row r="1033" spans="1:10" hidden="1">
      <c r="A1033" s="9">
        <v>46050</v>
      </c>
      <c r="B1033" s="6" t="s">
        <v>1556</v>
      </c>
      <c r="C1033" s="5" t="s">
        <v>711</v>
      </c>
      <c r="D1033" s="8" t="s">
        <v>293</v>
      </c>
      <c r="E1033" s="6" t="s">
        <v>685</v>
      </c>
      <c r="F1033" s="6" t="s">
        <v>1548</v>
      </c>
      <c r="G1033" s="5">
        <v>174</v>
      </c>
      <c r="H1033" s="5">
        <v>0.47155599999999998</v>
      </c>
      <c r="I1033" s="20">
        <f t="shared" si="16"/>
        <v>82.050743999999995</v>
      </c>
      <c r="J1033" s="6" t="s">
        <v>357</v>
      </c>
    </row>
    <row r="1034" spans="1:10" hidden="1">
      <c r="A1034" s="9">
        <v>46050</v>
      </c>
      <c r="B1034" s="6" t="s">
        <v>1557</v>
      </c>
      <c r="C1034" s="5" t="s">
        <v>698</v>
      </c>
      <c r="D1034" s="8" t="s">
        <v>293</v>
      </c>
      <c r="E1034" s="6" t="s">
        <v>685</v>
      </c>
      <c r="F1034" s="6" t="s">
        <v>1548</v>
      </c>
      <c r="G1034" s="5">
        <v>127</v>
      </c>
      <c r="H1034" s="5">
        <v>0.47155599999999998</v>
      </c>
      <c r="I1034" s="20">
        <f t="shared" si="16"/>
        <v>59.887611999999997</v>
      </c>
      <c r="J1034" s="6" t="s">
        <v>357</v>
      </c>
    </row>
    <row r="1035" spans="1:10" hidden="1">
      <c r="A1035" s="9">
        <v>46050</v>
      </c>
      <c r="B1035" s="6" t="s">
        <v>346</v>
      </c>
      <c r="C1035" s="5" t="s">
        <v>345</v>
      </c>
      <c r="D1035" s="8" t="s">
        <v>293</v>
      </c>
      <c r="E1035" s="6" t="s">
        <v>685</v>
      </c>
      <c r="F1035" s="6" t="s">
        <v>1548</v>
      </c>
      <c r="G1035" s="5">
        <v>158</v>
      </c>
      <c r="H1035" s="5">
        <v>0.47155599999999998</v>
      </c>
      <c r="I1035" s="20">
        <f t="shared" si="16"/>
        <v>74.505848</v>
      </c>
      <c r="J1035" s="6" t="s">
        <v>357</v>
      </c>
    </row>
    <row r="1036" spans="1:10" hidden="1">
      <c r="A1036" s="9">
        <v>46050</v>
      </c>
      <c r="B1036" s="216" t="s">
        <v>6411</v>
      </c>
      <c r="C1036" s="5" t="s">
        <v>6396</v>
      </c>
      <c r="D1036" s="8" t="s">
        <v>293</v>
      </c>
      <c r="E1036" s="25" t="s">
        <v>685</v>
      </c>
      <c r="F1036" s="25" t="s">
        <v>1548</v>
      </c>
      <c r="G1036" s="31">
        <v>926</v>
      </c>
      <c r="H1036" s="5">
        <v>0.47155599999999998</v>
      </c>
      <c r="I1036" s="20">
        <f t="shared" si="16"/>
        <v>436.66085599999997</v>
      </c>
      <c r="J1036" s="6" t="s">
        <v>357</v>
      </c>
    </row>
    <row r="1037" spans="1:10" hidden="1">
      <c r="A1037" s="9">
        <v>46050</v>
      </c>
      <c r="B1037" s="216" t="s">
        <v>6419</v>
      </c>
      <c r="C1037" s="5" t="s">
        <v>6405</v>
      </c>
      <c r="D1037" s="8" t="s">
        <v>293</v>
      </c>
      <c r="E1037" s="25" t="s">
        <v>685</v>
      </c>
      <c r="F1037" s="25" t="s">
        <v>1548</v>
      </c>
      <c r="G1037" s="31">
        <v>995</v>
      </c>
      <c r="H1037" s="5">
        <v>0.47155599999999998</v>
      </c>
      <c r="I1037" s="20">
        <f t="shared" si="16"/>
        <v>469.19821999999999</v>
      </c>
      <c r="J1037" s="6" t="s">
        <v>357</v>
      </c>
    </row>
    <row r="1038" spans="1:10" hidden="1">
      <c r="A1038" s="9">
        <v>46050</v>
      </c>
      <c r="B1038" s="216" t="s">
        <v>6412</v>
      </c>
      <c r="C1038" s="5" t="s">
        <v>6397</v>
      </c>
      <c r="D1038" s="8" t="s">
        <v>293</v>
      </c>
      <c r="E1038" s="25" t="s">
        <v>685</v>
      </c>
      <c r="F1038" s="25" t="s">
        <v>1548</v>
      </c>
      <c r="G1038" s="31">
        <v>954</v>
      </c>
      <c r="H1038" s="5">
        <v>0.47155599999999998</v>
      </c>
      <c r="I1038" s="20">
        <f t="shared" si="16"/>
        <v>449.86442399999999</v>
      </c>
      <c r="J1038" s="6" t="s">
        <v>357</v>
      </c>
    </row>
    <row r="1039" spans="1:10" hidden="1">
      <c r="A1039" s="9">
        <v>46050</v>
      </c>
      <c r="B1039" s="216" t="s">
        <v>6420</v>
      </c>
      <c r="C1039" s="5" t="s">
        <v>6406</v>
      </c>
      <c r="D1039" s="8" t="s">
        <v>293</v>
      </c>
      <c r="E1039" s="25" t="s">
        <v>685</v>
      </c>
      <c r="F1039" s="25" t="s">
        <v>1548</v>
      </c>
      <c r="G1039" s="31">
        <v>973</v>
      </c>
      <c r="H1039" s="5">
        <v>0.47155599999999998</v>
      </c>
      <c r="I1039" s="20">
        <f t="shared" si="16"/>
        <v>458.82398799999999</v>
      </c>
      <c r="J1039" s="6" t="s">
        <v>357</v>
      </c>
    </row>
    <row r="1040" spans="1:10" hidden="1">
      <c r="A1040" s="9">
        <v>46050</v>
      </c>
      <c r="B1040" s="216" t="s">
        <v>6410</v>
      </c>
      <c r="C1040" s="5" t="s">
        <v>6395</v>
      </c>
      <c r="D1040" s="8" t="s">
        <v>293</v>
      </c>
      <c r="E1040" s="25" t="s">
        <v>685</v>
      </c>
      <c r="F1040" s="25" t="s">
        <v>1548</v>
      </c>
      <c r="G1040" s="31">
        <v>961</v>
      </c>
      <c r="H1040" s="5">
        <v>0.47155599999999998</v>
      </c>
      <c r="I1040" s="20">
        <f t="shared" si="16"/>
        <v>453.16531599999996</v>
      </c>
      <c r="J1040" s="6" t="s">
        <v>357</v>
      </c>
    </row>
    <row r="1041" spans="1:10" hidden="1">
      <c r="A1041" s="9">
        <v>46050</v>
      </c>
      <c r="B1041" s="216" t="s">
        <v>6418</v>
      </c>
      <c r="C1041" s="5" t="s">
        <v>6404</v>
      </c>
      <c r="D1041" s="8" t="s">
        <v>293</v>
      </c>
      <c r="E1041" s="25" t="s">
        <v>685</v>
      </c>
      <c r="F1041" s="25" t="s">
        <v>1548</v>
      </c>
      <c r="G1041" s="31">
        <v>1032</v>
      </c>
      <c r="H1041" s="5">
        <v>0.47155599999999998</v>
      </c>
      <c r="I1041" s="20">
        <f t="shared" si="16"/>
        <v>486.64579199999997</v>
      </c>
      <c r="J1041" s="6" t="s">
        <v>357</v>
      </c>
    </row>
    <row r="1042" spans="1:10" hidden="1">
      <c r="A1042" s="9">
        <v>46050</v>
      </c>
      <c r="B1042" s="216" t="s">
        <v>6414</v>
      </c>
      <c r="C1042" s="5" t="s">
        <v>6399</v>
      </c>
      <c r="D1042" s="8" t="s">
        <v>293</v>
      </c>
      <c r="E1042" s="25" t="s">
        <v>685</v>
      </c>
      <c r="F1042" s="25" t="s">
        <v>1548</v>
      </c>
      <c r="G1042" s="31">
        <v>943</v>
      </c>
      <c r="H1042" s="5">
        <v>0.47155599999999998</v>
      </c>
      <c r="I1042" s="20">
        <f t="shared" si="16"/>
        <v>444.67730799999998</v>
      </c>
      <c r="J1042" s="6" t="s">
        <v>357</v>
      </c>
    </row>
    <row r="1043" spans="1:10" hidden="1">
      <c r="A1043" s="9">
        <v>46050</v>
      </c>
      <c r="B1043" s="216" t="s">
        <v>6422</v>
      </c>
      <c r="C1043" s="5" t="s">
        <v>6408</v>
      </c>
      <c r="D1043" s="8" t="s">
        <v>293</v>
      </c>
      <c r="E1043" s="25" t="s">
        <v>685</v>
      </c>
      <c r="F1043" s="25" t="s">
        <v>1548</v>
      </c>
      <c r="G1043" s="31">
        <v>1015</v>
      </c>
      <c r="H1043" s="5">
        <v>0.47155599999999998</v>
      </c>
      <c r="I1043" s="20">
        <f t="shared" si="16"/>
        <v>478.62933999999996</v>
      </c>
      <c r="J1043" s="6" t="s">
        <v>357</v>
      </c>
    </row>
    <row r="1044" spans="1:10" hidden="1">
      <c r="A1044" s="9">
        <v>46050</v>
      </c>
      <c r="B1044" s="216" t="s">
        <v>6415</v>
      </c>
      <c r="C1044" s="5" t="s">
        <v>6400</v>
      </c>
      <c r="D1044" s="8" t="s">
        <v>293</v>
      </c>
      <c r="E1044" s="25" t="s">
        <v>685</v>
      </c>
      <c r="F1044" s="25" t="s">
        <v>1548</v>
      </c>
      <c r="G1044" s="31">
        <v>968</v>
      </c>
      <c r="H1044" s="5">
        <v>0.47155599999999998</v>
      </c>
      <c r="I1044" s="20">
        <f t="shared" si="16"/>
        <v>456.46620799999999</v>
      </c>
      <c r="J1044" s="6" t="s">
        <v>357</v>
      </c>
    </row>
    <row r="1045" spans="1:10" hidden="1">
      <c r="A1045" s="9">
        <v>46050</v>
      </c>
      <c r="B1045" s="216" t="s">
        <v>6423</v>
      </c>
      <c r="C1045" s="5" t="s">
        <v>6409</v>
      </c>
      <c r="D1045" s="8" t="s">
        <v>293</v>
      </c>
      <c r="E1045" s="25" t="s">
        <v>685</v>
      </c>
      <c r="F1045" s="25" t="s">
        <v>1548</v>
      </c>
      <c r="G1045" s="31">
        <v>999</v>
      </c>
      <c r="H1045" s="5">
        <v>0.47155599999999998</v>
      </c>
      <c r="I1045" s="20">
        <f t="shared" si="16"/>
        <v>471.08444399999996</v>
      </c>
      <c r="J1045" s="6" t="s">
        <v>357</v>
      </c>
    </row>
    <row r="1046" spans="1:10" hidden="1">
      <c r="A1046" s="9">
        <v>46050</v>
      </c>
      <c r="B1046" s="216" t="s">
        <v>6413</v>
      </c>
      <c r="C1046" s="5" t="s">
        <v>6398</v>
      </c>
      <c r="D1046" s="8" t="s">
        <v>293</v>
      </c>
      <c r="E1046" s="25" t="s">
        <v>685</v>
      </c>
      <c r="F1046" s="25" t="s">
        <v>1548</v>
      </c>
      <c r="G1046" s="31">
        <v>982</v>
      </c>
      <c r="H1046" s="5">
        <v>0.47155599999999998</v>
      </c>
      <c r="I1046" s="20">
        <f t="shared" si="16"/>
        <v>463.067992</v>
      </c>
      <c r="J1046" s="6" t="s">
        <v>357</v>
      </c>
    </row>
    <row r="1047" spans="1:10" hidden="1">
      <c r="A1047" s="9">
        <v>46050</v>
      </c>
      <c r="B1047" s="216" t="s">
        <v>6421</v>
      </c>
      <c r="C1047" s="5" t="s">
        <v>6407</v>
      </c>
      <c r="D1047" s="8" t="s">
        <v>293</v>
      </c>
      <c r="E1047" s="25" t="s">
        <v>685</v>
      </c>
      <c r="F1047" s="25" t="s">
        <v>1548</v>
      </c>
      <c r="G1047" s="31">
        <v>1032</v>
      </c>
      <c r="H1047" s="5">
        <v>0.47155599999999998</v>
      </c>
      <c r="I1047" s="20">
        <f t="shared" si="16"/>
        <v>486.64579199999997</v>
      </c>
      <c r="J1047" s="6" t="s">
        <v>357</v>
      </c>
    </row>
    <row r="1048" spans="1:10" ht="30" hidden="1">
      <c r="A1048" s="10">
        <v>45534</v>
      </c>
      <c r="B1048" s="6" t="s">
        <v>5714</v>
      </c>
      <c r="C1048" s="5" t="s">
        <v>5715</v>
      </c>
      <c r="D1048" s="8" t="s">
        <v>293</v>
      </c>
      <c r="E1048" s="106" t="s">
        <v>685</v>
      </c>
      <c r="F1048" s="106" t="s">
        <v>1548</v>
      </c>
      <c r="G1048" s="107">
        <v>195</v>
      </c>
      <c r="H1048" s="5">
        <v>0.47155599999999998</v>
      </c>
      <c r="I1048" s="20">
        <f t="shared" si="16"/>
        <v>91.953419999999994</v>
      </c>
      <c r="J1048" s="6" t="s">
        <v>357</v>
      </c>
    </row>
    <row r="1049" spans="1:10" ht="30" hidden="1">
      <c r="A1049" s="10">
        <v>45534</v>
      </c>
      <c r="B1049" s="6" t="s">
        <v>5716</v>
      </c>
      <c r="C1049" s="5" t="s">
        <v>5713</v>
      </c>
      <c r="D1049" s="8" t="s">
        <v>293</v>
      </c>
      <c r="E1049" s="106" t="s">
        <v>685</v>
      </c>
      <c r="F1049" s="106" t="s">
        <v>1548</v>
      </c>
      <c r="G1049" s="107">
        <v>236</v>
      </c>
      <c r="H1049" s="5">
        <v>0.47155599999999998</v>
      </c>
      <c r="I1049" s="20">
        <f t="shared" si="16"/>
        <v>111.287216</v>
      </c>
      <c r="J1049" s="6" t="s">
        <v>357</v>
      </c>
    </row>
    <row r="1050" spans="1:10" hidden="1">
      <c r="A1050" s="10">
        <v>45610</v>
      </c>
      <c r="B1050" s="216" t="s">
        <v>6221</v>
      </c>
      <c r="C1050" s="5" t="s">
        <v>6222</v>
      </c>
      <c r="D1050" s="8" t="s">
        <v>293</v>
      </c>
      <c r="E1050" s="25" t="s">
        <v>466</v>
      </c>
      <c r="F1050" s="25" t="s">
        <v>6223</v>
      </c>
      <c r="G1050" s="31">
        <v>158</v>
      </c>
      <c r="H1050" s="5">
        <v>0.47155599999999998</v>
      </c>
      <c r="I1050" s="20">
        <f t="shared" si="16"/>
        <v>74.505848</v>
      </c>
      <c r="J1050" s="6" t="s">
        <v>357</v>
      </c>
    </row>
    <row r="1051" spans="1:10" hidden="1">
      <c r="A1051" s="10">
        <v>45610</v>
      </c>
      <c r="B1051" s="216" t="s">
        <v>6224</v>
      </c>
      <c r="C1051" s="5" t="s">
        <v>4811</v>
      </c>
      <c r="D1051" s="8" t="s">
        <v>293</v>
      </c>
      <c r="E1051" s="25" t="s">
        <v>466</v>
      </c>
      <c r="F1051" s="25" t="s">
        <v>6223</v>
      </c>
      <c r="G1051" s="31">
        <v>158</v>
      </c>
      <c r="H1051" s="5">
        <v>0.47155599999999998</v>
      </c>
      <c r="I1051" s="20">
        <f t="shared" si="16"/>
        <v>74.505848</v>
      </c>
      <c r="J1051" s="6" t="s">
        <v>357</v>
      </c>
    </row>
    <row r="1052" spans="1:10" hidden="1">
      <c r="A1052" s="10">
        <v>45610</v>
      </c>
      <c r="B1052" s="216" t="s">
        <v>6225</v>
      </c>
      <c r="C1052" s="5" t="s">
        <v>4813</v>
      </c>
      <c r="D1052" s="8" t="s">
        <v>293</v>
      </c>
      <c r="E1052" s="25" t="s">
        <v>466</v>
      </c>
      <c r="F1052" s="25" t="s">
        <v>6223</v>
      </c>
      <c r="G1052" s="31">
        <v>158</v>
      </c>
      <c r="H1052" s="5">
        <v>0.47155599999999998</v>
      </c>
      <c r="I1052" s="20">
        <f t="shared" si="16"/>
        <v>74.505848</v>
      </c>
      <c r="J1052" s="6" t="s">
        <v>357</v>
      </c>
    </row>
    <row r="1053" spans="1:10" hidden="1">
      <c r="A1053" s="10">
        <v>45610</v>
      </c>
      <c r="B1053" s="216" t="s">
        <v>6226</v>
      </c>
      <c r="C1053" s="5" t="s">
        <v>4817</v>
      </c>
      <c r="D1053" s="8" t="s">
        <v>293</v>
      </c>
      <c r="E1053" s="25" t="s">
        <v>466</v>
      </c>
      <c r="F1053" s="25" t="s">
        <v>6223</v>
      </c>
      <c r="G1053" s="31">
        <v>158</v>
      </c>
      <c r="H1053" s="5">
        <v>0.47155599999999998</v>
      </c>
      <c r="I1053" s="20">
        <f t="shared" si="16"/>
        <v>74.505848</v>
      </c>
      <c r="J1053" s="6" t="s">
        <v>357</v>
      </c>
    </row>
    <row r="1054" spans="1:10" hidden="1">
      <c r="A1054" s="10">
        <v>45610</v>
      </c>
      <c r="B1054" s="216" t="s">
        <v>6227</v>
      </c>
      <c r="C1054" s="5" t="s">
        <v>4819</v>
      </c>
      <c r="D1054" s="8" t="s">
        <v>293</v>
      </c>
      <c r="E1054" s="25" t="s">
        <v>466</v>
      </c>
      <c r="F1054" s="25" t="s">
        <v>6223</v>
      </c>
      <c r="G1054" s="31">
        <v>158</v>
      </c>
      <c r="H1054" s="5">
        <v>0.47155599999999998</v>
      </c>
      <c r="I1054" s="20">
        <f t="shared" si="16"/>
        <v>74.505848</v>
      </c>
      <c r="J1054" s="6" t="s">
        <v>357</v>
      </c>
    </row>
    <row r="1055" spans="1:10" hidden="1">
      <c r="A1055" s="10">
        <v>45610</v>
      </c>
      <c r="B1055" s="216" t="s">
        <v>6228</v>
      </c>
      <c r="C1055" s="5" t="s">
        <v>4823</v>
      </c>
      <c r="D1055" s="8" t="s">
        <v>293</v>
      </c>
      <c r="E1055" s="25" t="s">
        <v>466</v>
      </c>
      <c r="F1055" s="25" t="s">
        <v>6223</v>
      </c>
      <c r="G1055" s="31">
        <v>158</v>
      </c>
      <c r="H1055" s="5">
        <v>0.47155599999999998</v>
      </c>
      <c r="I1055" s="20">
        <f t="shared" si="16"/>
        <v>74.505848</v>
      </c>
      <c r="J1055" s="6" t="s">
        <v>357</v>
      </c>
    </row>
    <row r="1056" spans="1:10" hidden="1">
      <c r="A1056" s="9">
        <v>46050</v>
      </c>
      <c r="B1056" s="6" t="s">
        <v>7447</v>
      </c>
      <c r="C1056" s="14" t="s">
        <v>1558</v>
      </c>
      <c r="D1056" s="23" t="s">
        <v>293</v>
      </c>
      <c r="E1056" s="6" t="s">
        <v>466</v>
      </c>
      <c r="F1056" s="6" t="s">
        <v>7467</v>
      </c>
      <c r="G1056" s="5">
        <v>195</v>
      </c>
      <c r="H1056" s="5">
        <v>0.47155599999999998</v>
      </c>
      <c r="I1056" s="20">
        <f t="shared" si="16"/>
        <v>91.953419999999994</v>
      </c>
      <c r="J1056" s="6" t="s">
        <v>357</v>
      </c>
    </row>
    <row r="1057" spans="1:10" hidden="1">
      <c r="A1057" s="9">
        <v>46050</v>
      </c>
      <c r="B1057" s="216" t="s">
        <v>7470</v>
      </c>
      <c r="C1057" s="5" t="s">
        <v>7471</v>
      </c>
      <c r="D1057" s="8" t="s">
        <v>293</v>
      </c>
      <c r="E1057" s="25" t="s">
        <v>466</v>
      </c>
      <c r="F1057" s="25" t="s">
        <v>7467</v>
      </c>
      <c r="G1057" s="31">
        <v>96</v>
      </c>
      <c r="H1057" s="5">
        <v>0.47155599999999998</v>
      </c>
      <c r="I1057" s="20">
        <f t="shared" si="16"/>
        <v>45.269375999999994</v>
      </c>
      <c r="J1057" s="6" t="s">
        <v>357</v>
      </c>
    </row>
    <row r="1058" spans="1:10" hidden="1">
      <c r="A1058" s="9">
        <v>46050</v>
      </c>
      <c r="B1058" s="216" t="s">
        <v>7468</v>
      </c>
      <c r="C1058" s="5" t="s">
        <v>7469</v>
      </c>
      <c r="D1058" s="8" t="s">
        <v>293</v>
      </c>
      <c r="E1058" s="25" t="s">
        <v>466</v>
      </c>
      <c r="F1058" s="25" t="s">
        <v>7467</v>
      </c>
      <c r="G1058" s="31">
        <v>96</v>
      </c>
      <c r="H1058" s="5">
        <v>0.47155599999999998</v>
      </c>
      <c r="I1058" s="20">
        <f t="shared" si="16"/>
        <v>45.269375999999994</v>
      </c>
      <c r="J1058" s="6" t="s">
        <v>357</v>
      </c>
    </row>
    <row r="1059" spans="1:10" hidden="1">
      <c r="A1059" s="9">
        <v>46050</v>
      </c>
      <c r="B1059" s="216" t="s">
        <v>7453</v>
      </c>
      <c r="C1059" s="5" t="s">
        <v>7454</v>
      </c>
      <c r="D1059" s="8" t="s">
        <v>293</v>
      </c>
      <c r="E1059" s="25" t="s">
        <v>466</v>
      </c>
      <c r="F1059" s="25" t="s">
        <v>7467</v>
      </c>
      <c r="G1059" s="31">
        <v>333</v>
      </c>
      <c r="H1059" s="5">
        <v>0.47155599999999998</v>
      </c>
      <c r="I1059" s="20">
        <f t="shared" si="16"/>
        <v>157.02814799999999</v>
      </c>
      <c r="J1059" s="6" t="s">
        <v>357</v>
      </c>
    </row>
    <row r="1060" spans="1:10" hidden="1">
      <c r="A1060" s="343">
        <v>46050</v>
      </c>
      <c r="B1060" s="260" t="s">
        <v>6802</v>
      </c>
      <c r="C1060" s="257" t="s">
        <v>1360</v>
      </c>
      <c r="D1060" s="258" t="s">
        <v>293</v>
      </c>
      <c r="E1060" s="25" t="s">
        <v>466</v>
      </c>
      <c r="F1060" s="25" t="s">
        <v>7467</v>
      </c>
      <c r="G1060" s="31">
        <v>650</v>
      </c>
      <c r="H1060" s="5">
        <v>0.47155599999999998</v>
      </c>
      <c r="I1060" s="259">
        <f t="shared" si="16"/>
        <v>306.51139999999998</v>
      </c>
      <c r="J1060" s="111" t="s">
        <v>357</v>
      </c>
    </row>
    <row r="1061" spans="1:10" hidden="1">
      <c r="A1061" s="343">
        <v>46050</v>
      </c>
      <c r="B1061" s="344" t="s">
        <v>7726</v>
      </c>
      <c r="C1061" s="257" t="s">
        <v>1362</v>
      </c>
      <c r="D1061" s="258" t="s">
        <v>293</v>
      </c>
      <c r="E1061" s="25" t="s">
        <v>466</v>
      </c>
      <c r="F1061" s="25" t="s">
        <v>7467</v>
      </c>
      <c r="G1061" s="31">
        <v>650</v>
      </c>
      <c r="H1061" s="5">
        <v>0.47155599999999998</v>
      </c>
      <c r="I1061" s="259">
        <f t="shared" si="16"/>
        <v>306.51139999999998</v>
      </c>
      <c r="J1061" s="111" t="s">
        <v>357</v>
      </c>
    </row>
    <row r="1062" spans="1:10" hidden="1">
      <c r="A1062" s="343">
        <v>46050</v>
      </c>
      <c r="B1062" s="260" t="s">
        <v>6798</v>
      </c>
      <c r="C1062" s="257" t="s">
        <v>1346</v>
      </c>
      <c r="D1062" s="258" t="s">
        <v>293</v>
      </c>
      <c r="E1062" s="25" t="s">
        <v>466</v>
      </c>
      <c r="F1062" s="25" t="s">
        <v>7467</v>
      </c>
      <c r="G1062" s="31">
        <v>650</v>
      </c>
      <c r="H1062" s="5">
        <v>0.47155599999999998</v>
      </c>
      <c r="I1062" s="259">
        <f t="shared" si="16"/>
        <v>306.51139999999998</v>
      </c>
      <c r="J1062" s="111" t="s">
        <v>357</v>
      </c>
    </row>
    <row r="1063" spans="1:10" hidden="1">
      <c r="A1063" s="343">
        <v>46050</v>
      </c>
      <c r="B1063" s="260" t="s">
        <v>6799</v>
      </c>
      <c r="C1063" s="257" t="s">
        <v>1348</v>
      </c>
      <c r="D1063" s="258" t="s">
        <v>293</v>
      </c>
      <c r="E1063" s="25" t="s">
        <v>466</v>
      </c>
      <c r="F1063" s="25" t="s">
        <v>7467</v>
      </c>
      <c r="G1063" s="31">
        <v>650</v>
      </c>
      <c r="H1063" s="5">
        <v>0.47155599999999998</v>
      </c>
      <c r="I1063" s="259">
        <f t="shared" si="16"/>
        <v>306.51139999999998</v>
      </c>
      <c r="J1063" s="111" t="s">
        <v>357</v>
      </c>
    </row>
    <row r="1064" spans="1:10" hidden="1">
      <c r="A1064" s="343">
        <v>46050</v>
      </c>
      <c r="B1064" s="260" t="s">
        <v>6800</v>
      </c>
      <c r="C1064" s="257" t="s">
        <v>1350</v>
      </c>
      <c r="D1064" s="258" t="s">
        <v>293</v>
      </c>
      <c r="E1064" s="25" t="s">
        <v>466</v>
      </c>
      <c r="F1064" s="25" t="s">
        <v>7467</v>
      </c>
      <c r="G1064" s="31">
        <v>650</v>
      </c>
      <c r="H1064" s="5">
        <v>0.47155599999999998</v>
      </c>
      <c r="I1064" s="259">
        <f t="shared" si="16"/>
        <v>306.51139999999998</v>
      </c>
      <c r="J1064" s="111" t="s">
        <v>357</v>
      </c>
    </row>
    <row r="1065" spans="1:10" hidden="1">
      <c r="A1065" s="343">
        <v>46050</v>
      </c>
      <c r="B1065" s="260" t="s">
        <v>6801</v>
      </c>
      <c r="C1065" s="257" t="s">
        <v>1352</v>
      </c>
      <c r="D1065" s="258" t="s">
        <v>293</v>
      </c>
      <c r="E1065" s="25" t="s">
        <v>466</v>
      </c>
      <c r="F1065" s="25" t="s">
        <v>7467</v>
      </c>
      <c r="G1065" s="31">
        <v>650</v>
      </c>
      <c r="H1065" s="5">
        <v>0.47155599999999998</v>
      </c>
      <c r="I1065" s="259">
        <f t="shared" si="16"/>
        <v>306.51139999999998</v>
      </c>
      <c r="J1065" s="111" t="s">
        <v>357</v>
      </c>
    </row>
    <row r="1066" spans="1:10" hidden="1">
      <c r="A1066" s="343">
        <v>46050</v>
      </c>
      <c r="B1066" s="260" t="s">
        <v>6811</v>
      </c>
      <c r="C1066" s="257" t="s">
        <v>1356</v>
      </c>
      <c r="D1066" s="258" t="s">
        <v>293</v>
      </c>
      <c r="E1066" s="25" t="s">
        <v>466</v>
      </c>
      <c r="F1066" s="25" t="s">
        <v>7467</v>
      </c>
      <c r="G1066" s="31">
        <v>650</v>
      </c>
      <c r="H1066" s="5">
        <v>0.47155599999999998</v>
      </c>
      <c r="I1066" s="259">
        <f t="shared" si="16"/>
        <v>306.51139999999998</v>
      </c>
      <c r="J1066" s="111" t="s">
        <v>357</v>
      </c>
    </row>
    <row r="1067" spans="1:10" hidden="1">
      <c r="A1067" s="343">
        <v>46050</v>
      </c>
      <c r="B1067" s="260" t="s">
        <v>6803</v>
      </c>
      <c r="C1067" s="257" t="s">
        <v>1358</v>
      </c>
      <c r="D1067" s="258" t="s">
        <v>293</v>
      </c>
      <c r="E1067" s="25" t="s">
        <v>466</v>
      </c>
      <c r="F1067" s="25" t="s">
        <v>7467</v>
      </c>
      <c r="G1067" s="31">
        <v>650</v>
      </c>
      <c r="H1067" s="5">
        <v>0.47155599999999998</v>
      </c>
      <c r="I1067" s="259">
        <f t="shared" si="16"/>
        <v>306.51139999999998</v>
      </c>
      <c r="J1067" s="111" t="s">
        <v>357</v>
      </c>
    </row>
    <row r="1068" spans="1:10" hidden="1">
      <c r="A1068" s="343">
        <v>46050</v>
      </c>
      <c r="B1068" s="260" t="s">
        <v>6809</v>
      </c>
      <c r="C1068" s="257" t="s">
        <v>1361</v>
      </c>
      <c r="D1068" s="258" t="s">
        <v>293</v>
      </c>
      <c r="E1068" s="25" t="s">
        <v>466</v>
      </c>
      <c r="F1068" s="25" t="s">
        <v>7467</v>
      </c>
      <c r="G1068" s="31">
        <v>810</v>
      </c>
      <c r="H1068" s="5">
        <v>0.47155599999999998</v>
      </c>
      <c r="I1068" s="259">
        <f t="shared" si="16"/>
        <v>381.96035999999998</v>
      </c>
      <c r="J1068" s="111" t="s">
        <v>357</v>
      </c>
    </row>
    <row r="1069" spans="1:10" hidden="1">
      <c r="A1069" s="343">
        <v>46050</v>
      </c>
      <c r="B1069" s="260" t="s">
        <v>6804</v>
      </c>
      <c r="C1069" s="257" t="s">
        <v>1347</v>
      </c>
      <c r="D1069" s="258" t="s">
        <v>293</v>
      </c>
      <c r="E1069" s="25" t="s">
        <v>466</v>
      </c>
      <c r="F1069" s="25" t="s">
        <v>7467</v>
      </c>
      <c r="G1069" s="31">
        <v>810</v>
      </c>
      <c r="H1069" s="5">
        <v>0.47155599999999998</v>
      </c>
      <c r="I1069" s="259">
        <f t="shared" si="16"/>
        <v>381.96035999999998</v>
      </c>
      <c r="J1069" s="111" t="s">
        <v>357</v>
      </c>
    </row>
    <row r="1070" spans="1:10" hidden="1">
      <c r="A1070" s="343">
        <v>46050</v>
      </c>
      <c r="B1070" s="264" t="s">
        <v>6835</v>
      </c>
      <c r="C1070" s="257" t="s">
        <v>1349</v>
      </c>
      <c r="D1070" s="258" t="s">
        <v>293</v>
      </c>
      <c r="E1070" s="25" t="s">
        <v>466</v>
      </c>
      <c r="F1070" s="25" t="s">
        <v>7467</v>
      </c>
      <c r="G1070" s="31">
        <v>810</v>
      </c>
      <c r="H1070" s="5">
        <v>0.47155599999999998</v>
      </c>
      <c r="I1070" s="259">
        <f t="shared" si="16"/>
        <v>381.96035999999998</v>
      </c>
      <c r="J1070" s="111" t="s">
        <v>357</v>
      </c>
    </row>
    <row r="1071" spans="1:10" hidden="1">
      <c r="A1071" s="343">
        <v>46050</v>
      </c>
      <c r="B1071" s="260" t="s">
        <v>6805</v>
      </c>
      <c r="C1071" s="257" t="s">
        <v>1351</v>
      </c>
      <c r="D1071" s="258" t="s">
        <v>293</v>
      </c>
      <c r="E1071" s="25" t="s">
        <v>466</v>
      </c>
      <c r="F1071" s="25" t="s">
        <v>7467</v>
      </c>
      <c r="G1071" s="31">
        <v>810</v>
      </c>
      <c r="H1071" s="5">
        <v>0.47155599999999998</v>
      </c>
      <c r="I1071" s="259">
        <f t="shared" si="16"/>
        <v>381.96035999999998</v>
      </c>
      <c r="J1071" s="111" t="s">
        <v>357</v>
      </c>
    </row>
    <row r="1072" spans="1:10" hidden="1">
      <c r="A1072" s="343">
        <v>46050</v>
      </c>
      <c r="B1072" s="260" t="s">
        <v>6806</v>
      </c>
      <c r="C1072" s="257" t="s">
        <v>1353</v>
      </c>
      <c r="D1072" s="258" t="s">
        <v>293</v>
      </c>
      <c r="E1072" s="25" t="s">
        <v>466</v>
      </c>
      <c r="F1072" s="25" t="s">
        <v>7467</v>
      </c>
      <c r="G1072" s="31">
        <v>810</v>
      </c>
      <c r="H1072" s="5">
        <v>0.47155599999999998</v>
      </c>
      <c r="I1072" s="259">
        <f t="shared" si="16"/>
        <v>381.96035999999998</v>
      </c>
      <c r="J1072" s="111" t="s">
        <v>357</v>
      </c>
    </row>
    <row r="1073" spans="1:10" hidden="1">
      <c r="A1073" s="343">
        <v>46050</v>
      </c>
      <c r="B1073" s="260" t="s">
        <v>6807</v>
      </c>
      <c r="C1073" s="257" t="s">
        <v>1357</v>
      </c>
      <c r="D1073" s="258" t="s">
        <v>293</v>
      </c>
      <c r="E1073" s="25" t="s">
        <v>466</v>
      </c>
      <c r="F1073" s="25" t="s">
        <v>7467</v>
      </c>
      <c r="G1073" s="31">
        <v>810</v>
      </c>
      <c r="H1073" s="5">
        <v>0.47155599999999998</v>
      </c>
      <c r="I1073" s="259">
        <f t="shared" si="16"/>
        <v>381.96035999999998</v>
      </c>
      <c r="J1073" s="111" t="s">
        <v>357</v>
      </c>
    </row>
    <row r="1074" spans="1:10" hidden="1">
      <c r="A1074" s="343">
        <v>46050</v>
      </c>
      <c r="B1074" s="260" t="s">
        <v>6808</v>
      </c>
      <c r="C1074" s="257" t="s">
        <v>1359</v>
      </c>
      <c r="D1074" s="258" t="s">
        <v>293</v>
      </c>
      <c r="E1074" s="25" t="s">
        <v>466</v>
      </c>
      <c r="F1074" s="25" t="s">
        <v>7467</v>
      </c>
      <c r="G1074" s="31">
        <v>810</v>
      </c>
      <c r="H1074" s="5">
        <v>0.47155599999999998</v>
      </c>
      <c r="I1074" s="259">
        <f t="shared" si="16"/>
        <v>381.96035999999998</v>
      </c>
      <c r="J1074" s="111" t="s">
        <v>357</v>
      </c>
    </row>
    <row r="1075" spans="1:10" hidden="1">
      <c r="A1075" s="343">
        <v>46050</v>
      </c>
      <c r="B1075" s="260" t="s">
        <v>6810</v>
      </c>
      <c r="C1075" s="257" t="s">
        <v>1363</v>
      </c>
      <c r="D1075" s="258" t="s">
        <v>293</v>
      </c>
      <c r="E1075" s="25" t="s">
        <v>466</v>
      </c>
      <c r="F1075" s="25" t="s">
        <v>7467</v>
      </c>
      <c r="G1075" s="31">
        <v>810</v>
      </c>
      <c r="H1075" s="5">
        <v>0.47155599999999998</v>
      </c>
      <c r="I1075" s="259">
        <f t="shared" si="16"/>
        <v>381.96035999999998</v>
      </c>
      <c r="J1075" s="111" t="s">
        <v>357</v>
      </c>
    </row>
    <row r="1076" spans="1:10" hidden="1">
      <c r="A1076" s="9">
        <v>46050</v>
      </c>
      <c r="B1076" s="6" t="s">
        <v>1564</v>
      </c>
      <c r="C1076" s="5" t="s">
        <v>1382</v>
      </c>
      <c r="D1076" s="8" t="s">
        <v>293</v>
      </c>
      <c r="E1076" s="6" t="s">
        <v>466</v>
      </c>
      <c r="F1076" s="6" t="s">
        <v>7467</v>
      </c>
      <c r="G1076" s="5">
        <v>501</v>
      </c>
      <c r="H1076" s="5">
        <v>0.47155599999999998</v>
      </c>
      <c r="I1076" s="20">
        <f t="shared" si="16"/>
        <v>236.24955599999998</v>
      </c>
      <c r="J1076" s="6" t="s">
        <v>357</v>
      </c>
    </row>
    <row r="1077" spans="1:10" hidden="1">
      <c r="A1077" s="9">
        <v>46050</v>
      </c>
      <c r="B1077" s="6" t="s">
        <v>1565</v>
      </c>
      <c r="C1077" s="5" t="s">
        <v>1384</v>
      </c>
      <c r="D1077" s="8" t="s">
        <v>293</v>
      </c>
      <c r="E1077" s="6" t="s">
        <v>466</v>
      </c>
      <c r="F1077" s="6" t="s">
        <v>7467</v>
      </c>
      <c r="G1077" s="5">
        <v>501</v>
      </c>
      <c r="H1077" s="5">
        <v>0.47155599999999998</v>
      </c>
      <c r="I1077" s="20">
        <f t="shared" si="16"/>
        <v>236.24955599999998</v>
      </c>
      <c r="J1077" s="6" t="s">
        <v>357</v>
      </c>
    </row>
    <row r="1078" spans="1:10" hidden="1">
      <c r="A1078" s="9">
        <v>46050</v>
      </c>
      <c r="B1078" s="6" t="s">
        <v>1566</v>
      </c>
      <c r="C1078" s="5" t="s">
        <v>1368</v>
      </c>
      <c r="D1078" s="8" t="s">
        <v>293</v>
      </c>
      <c r="E1078" s="6" t="s">
        <v>466</v>
      </c>
      <c r="F1078" s="6" t="s">
        <v>7467</v>
      </c>
      <c r="G1078" s="5">
        <v>501</v>
      </c>
      <c r="H1078" s="5">
        <v>0.47155599999999998</v>
      </c>
      <c r="I1078" s="20">
        <f t="shared" si="16"/>
        <v>236.24955599999998</v>
      </c>
      <c r="J1078" s="6" t="s">
        <v>357</v>
      </c>
    </row>
    <row r="1079" spans="1:10" hidden="1">
      <c r="A1079" s="9">
        <v>46050</v>
      </c>
      <c r="B1079" s="6" t="s">
        <v>1567</v>
      </c>
      <c r="C1079" s="5" t="s">
        <v>1370</v>
      </c>
      <c r="D1079" s="8" t="s">
        <v>293</v>
      </c>
      <c r="E1079" s="6" t="s">
        <v>466</v>
      </c>
      <c r="F1079" s="6" t="s">
        <v>7467</v>
      </c>
      <c r="G1079" s="5">
        <v>501</v>
      </c>
      <c r="H1079" s="5">
        <v>0.47155599999999998</v>
      </c>
      <c r="I1079" s="20">
        <f t="shared" si="16"/>
        <v>236.24955599999998</v>
      </c>
      <c r="J1079" s="6" t="s">
        <v>357</v>
      </c>
    </row>
    <row r="1080" spans="1:10" hidden="1">
      <c r="A1080" s="9">
        <v>46050</v>
      </c>
      <c r="B1080" s="6" t="s">
        <v>1568</v>
      </c>
      <c r="C1080" s="5" t="s">
        <v>1372</v>
      </c>
      <c r="D1080" s="8" t="s">
        <v>293</v>
      </c>
      <c r="E1080" s="6" t="s">
        <v>466</v>
      </c>
      <c r="F1080" s="6" t="s">
        <v>7467</v>
      </c>
      <c r="G1080" s="5">
        <v>501</v>
      </c>
      <c r="H1080" s="5">
        <v>0.47155599999999998</v>
      </c>
      <c r="I1080" s="20">
        <f t="shared" si="16"/>
        <v>236.24955599999998</v>
      </c>
      <c r="J1080" s="6" t="s">
        <v>357</v>
      </c>
    </row>
    <row r="1081" spans="1:10" hidden="1">
      <c r="A1081" s="9">
        <v>46050</v>
      </c>
      <c r="B1081" s="6" t="s">
        <v>1569</v>
      </c>
      <c r="C1081" s="5" t="s">
        <v>1374</v>
      </c>
      <c r="D1081" s="8" t="s">
        <v>293</v>
      </c>
      <c r="E1081" s="6" t="s">
        <v>466</v>
      </c>
      <c r="F1081" s="6" t="s">
        <v>7467</v>
      </c>
      <c r="G1081" s="5">
        <v>501</v>
      </c>
      <c r="H1081" s="5">
        <v>0.47155599999999998</v>
      </c>
      <c r="I1081" s="20">
        <f t="shared" si="16"/>
        <v>236.24955599999998</v>
      </c>
      <c r="J1081" s="6" t="s">
        <v>357</v>
      </c>
    </row>
    <row r="1082" spans="1:10" hidden="1">
      <c r="A1082" s="9">
        <v>46050</v>
      </c>
      <c r="B1082" s="6" t="s">
        <v>1570</v>
      </c>
      <c r="C1082" s="5" t="s">
        <v>1378</v>
      </c>
      <c r="D1082" s="8" t="s">
        <v>293</v>
      </c>
      <c r="E1082" s="6" t="s">
        <v>466</v>
      </c>
      <c r="F1082" s="6" t="s">
        <v>7467</v>
      </c>
      <c r="G1082" s="5">
        <v>501</v>
      </c>
      <c r="H1082" s="5">
        <v>0.47155599999999998</v>
      </c>
      <c r="I1082" s="20">
        <f t="shared" si="16"/>
        <v>236.24955599999998</v>
      </c>
      <c r="J1082" s="6" t="s">
        <v>357</v>
      </c>
    </row>
    <row r="1083" spans="1:10" hidden="1">
      <c r="A1083" s="9">
        <v>46050</v>
      </c>
      <c r="B1083" s="6" t="s">
        <v>1571</v>
      </c>
      <c r="C1083" s="5" t="s">
        <v>1380</v>
      </c>
      <c r="D1083" s="8" t="s">
        <v>293</v>
      </c>
      <c r="E1083" s="6" t="s">
        <v>466</v>
      </c>
      <c r="F1083" s="6" t="s">
        <v>7467</v>
      </c>
      <c r="G1083" s="5">
        <v>501</v>
      </c>
      <c r="H1083" s="5">
        <v>0.47155599999999998</v>
      </c>
      <c r="I1083" s="20">
        <f t="shared" si="16"/>
        <v>236.24955599999998</v>
      </c>
      <c r="J1083" s="6" t="s">
        <v>357</v>
      </c>
    </row>
    <row r="1084" spans="1:10" hidden="1">
      <c r="A1084" s="9">
        <v>46050</v>
      </c>
      <c r="B1084" s="6" t="s">
        <v>1572</v>
      </c>
      <c r="C1084" s="5" t="s">
        <v>1383</v>
      </c>
      <c r="D1084" s="8" t="s">
        <v>293</v>
      </c>
      <c r="E1084" s="6" t="s">
        <v>466</v>
      </c>
      <c r="F1084" s="6" t="s">
        <v>7467</v>
      </c>
      <c r="G1084" s="5">
        <v>655</v>
      </c>
      <c r="H1084" s="5">
        <v>0.47155599999999998</v>
      </c>
      <c r="I1084" s="20">
        <f t="shared" si="16"/>
        <v>308.86917999999997</v>
      </c>
      <c r="J1084" s="6" t="s">
        <v>357</v>
      </c>
    </row>
    <row r="1085" spans="1:10" hidden="1">
      <c r="A1085" s="9">
        <v>46050</v>
      </c>
      <c r="B1085" s="6" t="s">
        <v>1573</v>
      </c>
      <c r="C1085" s="5" t="s">
        <v>1385</v>
      </c>
      <c r="D1085" s="8" t="s">
        <v>293</v>
      </c>
      <c r="E1085" s="6" t="s">
        <v>466</v>
      </c>
      <c r="F1085" s="6" t="s">
        <v>7467</v>
      </c>
      <c r="G1085" s="5">
        <v>655</v>
      </c>
      <c r="H1085" s="5">
        <v>0.47155599999999998</v>
      </c>
      <c r="I1085" s="20">
        <f t="shared" si="16"/>
        <v>308.86917999999997</v>
      </c>
      <c r="J1085" s="6" t="s">
        <v>357</v>
      </c>
    </row>
    <row r="1086" spans="1:10" hidden="1">
      <c r="A1086" s="9">
        <v>46050</v>
      </c>
      <c r="B1086" s="6" t="s">
        <v>1574</v>
      </c>
      <c r="C1086" s="5" t="s">
        <v>1369</v>
      </c>
      <c r="D1086" s="8" t="s">
        <v>293</v>
      </c>
      <c r="E1086" s="6" t="s">
        <v>466</v>
      </c>
      <c r="F1086" s="6" t="s">
        <v>7467</v>
      </c>
      <c r="G1086" s="5">
        <v>655</v>
      </c>
      <c r="H1086" s="5">
        <v>0.47155599999999998</v>
      </c>
      <c r="I1086" s="20">
        <f t="shared" si="16"/>
        <v>308.86917999999997</v>
      </c>
      <c r="J1086" s="6" t="s">
        <v>357</v>
      </c>
    </row>
    <row r="1087" spans="1:10" hidden="1">
      <c r="A1087" s="9">
        <v>46050</v>
      </c>
      <c r="B1087" s="6" t="s">
        <v>1575</v>
      </c>
      <c r="C1087" s="5" t="s">
        <v>1371</v>
      </c>
      <c r="D1087" s="8" t="s">
        <v>293</v>
      </c>
      <c r="E1087" s="6" t="s">
        <v>466</v>
      </c>
      <c r="F1087" s="6" t="s">
        <v>7467</v>
      </c>
      <c r="G1087" s="5">
        <v>655</v>
      </c>
      <c r="H1087" s="5">
        <v>0.47155599999999998</v>
      </c>
      <c r="I1087" s="20">
        <f t="shared" si="16"/>
        <v>308.86917999999997</v>
      </c>
      <c r="J1087" s="6" t="s">
        <v>357</v>
      </c>
    </row>
    <row r="1088" spans="1:10" hidden="1">
      <c r="A1088" s="9">
        <v>46050</v>
      </c>
      <c r="B1088" s="6" t="s">
        <v>1576</v>
      </c>
      <c r="C1088" s="5" t="s">
        <v>1373</v>
      </c>
      <c r="D1088" s="8" t="s">
        <v>293</v>
      </c>
      <c r="E1088" s="6" t="s">
        <v>466</v>
      </c>
      <c r="F1088" s="6" t="s">
        <v>7467</v>
      </c>
      <c r="G1088" s="5">
        <v>655</v>
      </c>
      <c r="H1088" s="5">
        <v>0.47155599999999998</v>
      </c>
      <c r="I1088" s="20">
        <f t="shared" si="16"/>
        <v>308.86917999999997</v>
      </c>
      <c r="J1088" s="6" t="s">
        <v>357</v>
      </c>
    </row>
    <row r="1089" spans="1:10" hidden="1">
      <c r="A1089" s="9">
        <v>46050</v>
      </c>
      <c r="B1089" s="6" t="s">
        <v>1577</v>
      </c>
      <c r="C1089" s="5" t="s">
        <v>1375</v>
      </c>
      <c r="D1089" s="8" t="s">
        <v>293</v>
      </c>
      <c r="E1089" s="6" t="s">
        <v>466</v>
      </c>
      <c r="F1089" s="6" t="s">
        <v>7467</v>
      </c>
      <c r="G1089" s="5">
        <v>655</v>
      </c>
      <c r="H1089" s="5">
        <v>0.47155599999999998</v>
      </c>
      <c r="I1089" s="20">
        <f t="shared" si="16"/>
        <v>308.86917999999997</v>
      </c>
      <c r="J1089" s="6" t="s">
        <v>357</v>
      </c>
    </row>
    <row r="1090" spans="1:10" hidden="1">
      <c r="A1090" s="9">
        <v>46050</v>
      </c>
      <c r="B1090" s="6" t="s">
        <v>1578</v>
      </c>
      <c r="C1090" s="5" t="s">
        <v>1377</v>
      </c>
      <c r="D1090" s="8" t="s">
        <v>293</v>
      </c>
      <c r="E1090" s="6" t="s">
        <v>466</v>
      </c>
      <c r="F1090" s="6" t="s">
        <v>7467</v>
      </c>
      <c r="G1090" s="5">
        <v>655</v>
      </c>
      <c r="H1090" s="5">
        <v>0.47155599999999998</v>
      </c>
      <c r="I1090" s="20">
        <f t="shared" si="16"/>
        <v>308.86917999999997</v>
      </c>
      <c r="J1090" s="6" t="s">
        <v>357</v>
      </c>
    </row>
    <row r="1091" spans="1:10" hidden="1">
      <c r="A1091" s="9">
        <v>46050</v>
      </c>
      <c r="B1091" s="6" t="s">
        <v>1579</v>
      </c>
      <c r="C1091" s="5" t="s">
        <v>1379</v>
      </c>
      <c r="D1091" s="8" t="s">
        <v>293</v>
      </c>
      <c r="E1091" s="6" t="s">
        <v>466</v>
      </c>
      <c r="F1091" s="6" t="s">
        <v>7467</v>
      </c>
      <c r="G1091" s="5">
        <v>655</v>
      </c>
      <c r="H1091" s="5">
        <v>0.47155599999999998</v>
      </c>
      <c r="I1091" s="20">
        <f t="shared" ref="I1091:I1154" si="17">H1091*G1091</f>
        <v>308.86917999999997</v>
      </c>
      <c r="J1091" s="6" t="s">
        <v>357</v>
      </c>
    </row>
    <row r="1092" spans="1:10" hidden="1">
      <c r="A1092" s="9">
        <v>46050</v>
      </c>
      <c r="B1092" s="6" t="s">
        <v>1580</v>
      </c>
      <c r="C1092" s="5" t="s">
        <v>1381</v>
      </c>
      <c r="D1092" s="8" t="s">
        <v>293</v>
      </c>
      <c r="E1092" s="6" t="s">
        <v>466</v>
      </c>
      <c r="F1092" s="6" t="s">
        <v>7467</v>
      </c>
      <c r="G1092" s="5">
        <v>655</v>
      </c>
      <c r="H1092" s="5">
        <v>0.47155599999999998</v>
      </c>
      <c r="I1092" s="20">
        <f t="shared" si="17"/>
        <v>308.86917999999997</v>
      </c>
      <c r="J1092" s="6" t="s">
        <v>357</v>
      </c>
    </row>
    <row r="1093" spans="1:10" hidden="1">
      <c r="A1093" s="9">
        <v>46050</v>
      </c>
      <c r="B1093" s="216" t="s">
        <v>7472</v>
      </c>
      <c r="C1093" s="5" t="s">
        <v>7473</v>
      </c>
      <c r="D1093" s="8" t="s">
        <v>293</v>
      </c>
      <c r="E1093" s="25" t="s">
        <v>466</v>
      </c>
      <c r="F1093" s="25" t="s">
        <v>7467</v>
      </c>
      <c r="G1093" s="31">
        <v>275</v>
      </c>
      <c r="H1093" s="5">
        <v>0.47155599999999998</v>
      </c>
      <c r="I1093" s="20">
        <f t="shared" si="17"/>
        <v>129.67789999999999</v>
      </c>
      <c r="J1093" s="6" t="s">
        <v>357</v>
      </c>
    </row>
    <row r="1094" spans="1:10" hidden="1">
      <c r="A1094" s="9">
        <v>46050</v>
      </c>
      <c r="B1094" s="6" t="s">
        <v>7448</v>
      </c>
      <c r="C1094" s="14" t="s">
        <v>1559</v>
      </c>
      <c r="D1094" s="23" t="s">
        <v>293</v>
      </c>
      <c r="E1094" s="6" t="s">
        <v>466</v>
      </c>
      <c r="F1094" s="6" t="s">
        <v>7467</v>
      </c>
      <c r="G1094" s="5">
        <v>514</v>
      </c>
      <c r="H1094" s="5">
        <v>0.47155599999999998</v>
      </c>
      <c r="I1094" s="20">
        <f t="shared" si="17"/>
        <v>242.379784</v>
      </c>
      <c r="J1094" s="6" t="s">
        <v>357</v>
      </c>
    </row>
    <row r="1095" spans="1:10" hidden="1">
      <c r="A1095" s="9">
        <v>46050</v>
      </c>
      <c r="B1095" s="216" t="s">
        <v>7487</v>
      </c>
      <c r="C1095" s="5" t="s">
        <v>7471</v>
      </c>
      <c r="D1095" s="8" t="s">
        <v>293</v>
      </c>
      <c r="E1095" s="25" t="s">
        <v>466</v>
      </c>
      <c r="F1095" s="25" t="s">
        <v>7467</v>
      </c>
      <c r="G1095" s="31">
        <v>96</v>
      </c>
      <c r="H1095" s="5">
        <v>0.47155599999999998</v>
      </c>
      <c r="I1095" s="20">
        <f t="shared" si="17"/>
        <v>45.269375999999994</v>
      </c>
      <c r="J1095" s="6" t="s">
        <v>357</v>
      </c>
    </row>
    <row r="1096" spans="1:10" hidden="1">
      <c r="A1096" s="9">
        <v>46050</v>
      </c>
      <c r="B1096" s="216" t="s">
        <v>7486</v>
      </c>
      <c r="C1096" s="5" t="s">
        <v>7469</v>
      </c>
      <c r="D1096" s="8" t="s">
        <v>293</v>
      </c>
      <c r="E1096" s="25" t="s">
        <v>466</v>
      </c>
      <c r="F1096" s="25" t="s">
        <v>7467</v>
      </c>
      <c r="G1096" s="31">
        <v>96</v>
      </c>
      <c r="H1096" s="5">
        <v>0.47155599999999998</v>
      </c>
      <c r="I1096" s="20">
        <f t="shared" si="17"/>
        <v>45.269375999999994</v>
      </c>
      <c r="J1096" s="6" t="s">
        <v>357</v>
      </c>
    </row>
    <row r="1097" spans="1:10" hidden="1">
      <c r="A1097" s="9">
        <v>46050</v>
      </c>
      <c r="B1097" s="216" t="s">
        <v>7459</v>
      </c>
      <c r="C1097" s="5" t="s">
        <v>7454</v>
      </c>
      <c r="D1097" s="8" t="s">
        <v>293</v>
      </c>
      <c r="E1097" s="25" t="s">
        <v>466</v>
      </c>
      <c r="F1097" s="25" t="s">
        <v>7467</v>
      </c>
      <c r="G1097" s="31">
        <v>596</v>
      </c>
      <c r="H1097" s="5">
        <v>0.47155599999999998</v>
      </c>
      <c r="I1097" s="20">
        <f t="shared" si="17"/>
        <v>281.04737599999999</v>
      </c>
      <c r="J1097" s="6" t="s">
        <v>357</v>
      </c>
    </row>
    <row r="1098" spans="1:10" hidden="1">
      <c r="A1098" s="345">
        <v>46050</v>
      </c>
      <c r="B1098" s="264" t="s">
        <v>6824</v>
      </c>
      <c r="C1098" s="261" t="s">
        <v>1404</v>
      </c>
      <c r="D1098" s="262" t="s">
        <v>293</v>
      </c>
      <c r="E1098" s="25" t="s">
        <v>466</v>
      </c>
      <c r="F1098" s="25" t="s">
        <v>7467</v>
      </c>
      <c r="G1098" s="31">
        <v>6506</v>
      </c>
      <c r="H1098" s="5">
        <v>0.47155599999999998</v>
      </c>
      <c r="I1098" s="263">
        <f t="shared" si="17"/>
        <v>3067.9433359999998</v>
      </c>
      <c r="J1098" s="111" t="s">
        <v>357</v>
      </c>
    </row>
    <row r="1099" spans="1:10" hidden="1">
      <c r="A1099" s="345">
        <v>46050</v>
      </c>
      <c r="B1099" s="265" t="s">
        <v>6836</v>
      </c>
      <c r="C1099" s="261" t="s">
        <v>1414</v>
      </c>
      <c r="D1099" s="262" t="s">
        <v>293</v>
      </c>
      <c r="E1099" s="25" t="s">
        <v>466</v>
      </c>
      <c r="F1099" s="25" t="s">
        <v>7467</v>
      </c>
      <c r="G1099" s="31">
        <v>7097</v>
      </c>
      <c r="H1099" s="5">
        <v>0.47155599999999998</v>
      </c>
      <c r="I1099" s="263">
        <f t="shared" si="17"/>
        <v>3346.632932</v>
      </c>
      <c r="J1099" s="111" t="s">
        <v>357</v>
      </c>
    </row>
    <row r="1100" spans="1:10" hidden="1">
      <c r="A1100" s="345">
        <v>46050</v>
      </c>
      <c r="B1100" s="264" t="s">
        <v>6833</v>
      </c>
      <c r="C1100" s="261" t="s">
        <v>1416</v>
      </c>
      <c r="D1100" s="262" t="s">
        <v>293</v>
      </c>
      <c r="E1100" s="25" t="s">
        <v>466</v>
      </c>
      <c r="F1100" s="25" t="s">
        <v>7467</v>
      </c>
      <c r="G1100" s="31">
        <v>8516</v>
      </c>
      <c r="H1100" s="5">
        <v>0.47155599999999998</v>
      </c>
      <c r="I1100" s="263">
        <f t="shared" si="17"/>
        <v>4015.770896</v>
      </c>
      <c r="J1100" s="111" t="s">
        <v>357</v>
      </c>
    </row>
    <row r="1101" spans="1:10" hidden="1">
      <c r="A1101" s="345">
        <v>46050</v>
      </c>
      <c r="B1101" s="264" t="s">
        <v>6830</v>
      </c>
      <c r="C1101" s="261" t="s">
        <v>1405</v>
      </c>
      <c r="D1101" s="262" t="s">
        <v>293</v>
      </c>
      <c r="E1101" s="25" t="s">
        <v>466</v>
      </c>
      <c r="F1101" s="25" t="s">
        <v>7467</v>
      </c>
      <c r="G1101" s="31">
        <v>2089</v>
      </c>
      <c r="H1101" s="5">
        <v>0.47155599999999998</v>
      </c>
      <c r="I1101" s="263">
        <f t="shared" si="17"/>
        <v>985.08048399999996</v>
      </c>
      <c r="J1101" s="111" t="s">
        <v>357</v>
      </c>
    </row>
    <row r="1102" spans="1:10" hidden="1">
      <c r="A1102" s="345">
        <v>46050</v>
      </c>
      <c r="B1102" s="264" t="s">
        <v>6832</v>
      </c>
      <c r="C1102" s="261" t="s">
        <v>1415</v>
      </c>
      <c r="D1102" s="262" t="s">
        <v>293</v>
      </c>
      <c r="E1102" s="25" t="s">
        <v>466</v>
      </c>
      <c r="F1102" s="25" t="s">
        <v>7467</v>
      </c>
      <c r="G1102" s="31">
        <v>8565</v>
      </c>
      <c r="H1102" s="5">
        <v>0.47155599999999998</v>
      </c>
      <c r="I1102" s="263">
        <f t="shared" si="17"/>
        <v>4038.8771399999996</v>
      </c>
      <c r="J1102" s="111" t="s">
        <v>357</v>
      </c>
    </row>
    <row r="1103" spans="1:10" hidden="1">
      <c r="A1103" s="345">
        <v>46050</v>
      </c>
      <c r="B1103" s="264" t="s">
        <v>6834</v>
      </c>
      <c r="C1103" s="261" t="s">
        <v>1417</v>
      </c>
      <c r="D1103" s="262" t="s">
        <v>293</v>
      </c>
      <c r="E1103" s="25" t="s">
        <v>466</v>
      </c>
      <c r="F1103" s="25" t="s">
        <v>7467</v>
      </c>
      <c r="G1103" s="31">
        <v>10469</v>
      </c>
      <c r="H1103" s="5">
        <v>0.47155599999999998</v>
      </c>
      <c r="I1103" s="263">
        <f t="shared" si="17"/>
        <v>4936.7197639999995</v>
      </c>
      <c r="J1103" s="111" t="s">
        <v>357</v>
      </c>
    </row>
    <row r="1104" spans="1:10" hidden="1">
      <c r="A1104" s="9">
        <v>46050</v>
      </c>
      <c r="B1104" s="6" t="s">
        <v>1581</v>
      </c>
      <c r="C1104" s="5" t="s">
        <v>1410</v>
      </c>
      <c r="D1104" s="8" t="s">
        <v>293</v>
      </c>
      <c r="E1104" s="6" t="s">
        <v>466</v>
      </c>
      <c r="F1104" s="6" t="s">
        <v>7467</v>
      </c>
      <c r="G1104" s="5">
        <v>4878</v>
      </c>
      <c r="H1104" s="5">
        <v>0.47155599999999998</v>
      </c>
      <c r="I1104" s="20">
        <f t="shared" si="17"/>
        <v>2300.250168</v>
      </c>
      <c r="J1104" s="6" t="s">
        <v>357</v>
      </c>
    </row>
    <row r="1105" spans="1:10" hidden="1">
      <c r="A1105" s="9">
        <v>46050</v>
      </c>
      <c r="B1105" s="6" t="s">
        <v>1582</v>
      </c>
      <c r="C1105" s="5" t="s">
        <v>1418</v>
      </c>
      <c r="D1105" s="8" t="s">
        <v>293</v>
      </c>
      <c r="E1105" s="6" t="s">
        <v>466</v>
      </c>
      <c r="F1105" s="6" t="s">
        <v>7467</v>
      </c>
      <c r="G1105" s="5">
        <v>5235</v>
      </c>
      <c r="H1105" s="5">
        <v>0.47155599999999998</v>
      </c>
      <c r="I1105" s="20">
        <f t="shared" si="17"/>
        <v>2468.59566</v>
      </c>
      <c r="J1105" s="6" t="s">
        <v>357</v>
      </c>
    </row>
    <row r="1106" spans="1:10" hidden="1">
      <c r="A1106" s="9">
        <v>46050</v>
      </c>
      <c r="B1106" s="6" t="s">
        <v>1583</v>
      </c>
      <c r="C1106" s="5" t="s">
        <v>1420</v>
      </c>
      <c r="D1106" s="8" t="s">
        <v>293</v>
      </c>
      <c r="E1106" s="6" t="s">
        <v>466</v>
      </c>
      <c r="F1106" s="6" t="s">
        <v>7467</v>
      </c>
      <c r="G1106" s="5">
        <v>7733</v>
      </c>
      <c r="H1106" s="5">
        <v>0.47155599999999998</v>
      </c>
      <c r="I1106" s="20">
        <f t="shared" si="17"/>
        <v>3646.5425479999999</v>
      </c>
      <c r="J1106" s="6" t="s">
        <v>357</v>
      </c>
    </row>
    <row r="1107" spans="1:10" hidden="1">
      <c r="A1107" s="9">
        <v>46050</v>
      </c>
      <c r="B1107" s="6" t="s">
        <v>1584</v>
      </c>
      <c r="C1107" s="5" t="s">
        <v>1411</v>
      </c>
      <c r="D1107" s="8" t="s">
        <v>293</v>
      </c>
      <c r="E1107" s="6" t="s">
        <v>466</v>
      </c>
      <c r="F1107" s="6" t="s">
        <v>7467</v>
      </c>
      <c r="G1107" s="5">
        <v>6365</v>
      </c>
      <c r="H1107" s="5">
        <v>0.47155599999999998</v>
      </c>
      <c r="I1107" s="20">
        <f t="shared" si="17"/>
        <v>3001.4539399999999</v>
      </c>
      <c r="J1107" s="6" t="s">
        <v>357</v>
      </c>
    </row>
    <row r="1108" spans="1:10" hidden="1">
      <c r="A1108" s="9">
        <v>46050</v>
      </c>
      <c r="B1108" s="6" t="s">
        <v>1585</v>
      </c>
      <c r="C1108" s="5" t="s">
        <v>1419</v>
      </c>
      <c r="D1108" s="8" t="s">
        <v>293</v>
      </c>
      <c r="E1108" s="6" t="s">
        <v>466</v>
      </c>
      <c r="F1108" s="6" t="s">
        <v>7467</v>
      </c>
      <c r="G1108" s="5">
        <v>6780</v>
      </c>
      <c r="H1108" s="5">
        <v>0.47155599999999998</v>
      </c>
      <c r="I1108" s="20">
        <f t="shared" si="17"/>
        <v>3197.14968</v>
      </c>
      <c r="J1108" s="6" t="s">
        <v>357</v>
      </c>
    </row>
    <row r="1109" spans="1:10" hidden="1">
      <c r="A1109" s="9">
        <v>46050</v>
      </c>
      <c r="B1109" s="6" t="s">
        <v>1586</v>
      </c>
      <c r="C1109" s="5" t="s">
        <v>1421</v>
      </c>
      <c r="D1109" s="8" t="s">
        <v>293</v>
      </c>
      <c r="E1109" s="6" t="s">
        <v>466</v>
      </c>
      <c r="F1109" s="6" t="s">
        <v>7467</v>
      </c>
      <c r="G1109" s="5">
        <v>9279</v>
      </c>
      <c r="H1109" s="5">
        <v>0.47155599999999998</v>
      </c>
      <c r="I1109" s="20">
        <f t="shared" si="17"/>
        <v>4375.5681239999994</v>
      </c>
      <c r="J1109" s="6" t="s">
        <v>357</v>
      </c>
    </row>
    <row r="1110" spans="1:10" hidden="1">
      <c r="A1110" s="9">
        <v>46050</v>
      </c>
      <c r="B1110" s="216" t="s">
        <v>7488</v>
      </c>
      <c r="C1110" s="5" t="s">
        <v>7473</v>
      </c>
      <c r="D1110" s="8" t="s">
        <v>293</v>
      </c>
      <c r="E1110" s="25" t="s">
        <v>466</v>
      </c>
      <c r="F1110" s="25" t="s">
        <v>7467</v>
      </c>
      <c r="G1110" s="31">
        <v>1048</v>
      </c>
      <c r="H1110" s="5">
        <v>0.47155599999999998</v>
      </c>
      <c r="I1110" s="20">
        <f t="shared" si="17"/>
        <v>494.19068799999997</v>
      </c>
      <c r="J1110" s="6" t="s">
        <v>357</v>
      </c>
    </row>
    <row r="1111" spans="1:10" hidden="1">
      <c r="A1111" s="9">
        <v>46050</v>
      </c>
      <c r="B1111" s="6" t="s">
        <v>7449</v>
      </c>
      <c r="C1111" s="14" t="s">
        <v>1560</v>
      </c>
      <c r="D1111" s="23" t="s">
        <v>293</v>
      </c>
      <c r="E1111" s="6" t="s">
        <v>466</v>
      </c>
      <c r="F1111" s="6" t="s">
        <v>7467</v>
      </c>
      <c r="G1111" s="5">
        <v>248</v>
      </c>
      <c r="H1111" s="5">
        <v>0.47155599999999998</v>
      </c>
      <c r="I1111" s="20">
        <f t="shared" si="17"/>
        <v>116.945888</v>
      </c>
      <c r="J1111" s="6" t="s">
        <v>357</v>
      </c>
    </row>
    <row r="1112" spans="1:10" hidden="1">
      <c r="A1112" s="9">
        <v>46050</v>
      </c>
      <c r="B1112" s="216" t="s">
        <v>7475</v>
      </c>
      <c r="C1112" s="5" t="s">
        <v>7471</v>
      </c>
      <c r="D1112" s="8" t="s">
        <v>293</v>
      </c>
      <c r="E1112" s="25" t="s">
        <v>466</v>
      </c>
      <c r="F1112" s="25" t="s">
        <v>7467</v>
      </c>
      <c r="G1112" s="31">
        <v>96</v>
      </c>
      <c r="H1112" s="5">
        <v>0.47155599999999998</v>
      </c>
      <c r="I1112" s="20">
        <f t="shared" si="17"/>
        <v>45.269375999999994</v>
      </c>
      <c r="J1112" s="6" t="s">
        <v>357</v>
      </c>
    </row>
    <row r="1113" spans="1:10" hidden="1">
      <c r="A1113" s="9">
        <v>46050</v>
      </c>
      <c r="B1113" s="216" t="s">
        <v>7474</v>
      </c>
      <c r="C1113" s="5" t="s">
        <v>7469</v>
      </c>
      <c r="D1113" s="8" t="s">
        <v>293</v>
      </c>
      <c r="E1113" s="25" t="s">
        <v>466</v>
      </c>
      <c r="F1113" s="25" t="s">
        <v>7467</v>
      </c>
      <c r="G1113" s="31">
        <v>96</v>
      </c>
      <c r="H1113" s="5">
        <v>0.47155599999999998</v>
      </c>
      <c r="I1113" s="20">
        <f t="shared" si="17"/>
        <v>45.269375999999994</v>
      </c>
      <c r="J1113" s="6" t="s">
        <v>357</v>
      </c>
    </row>
    <row r="1114" spans="1:10" hidden="1">
      <c r="A1114" s="9">
        <v>46050</v>
      </c>
      <c r="B1114" s="216" t="s">
        <v>7455</v>
      </c>
      <c r="C1114" s="5" t="s">
        <v>7454</v>
      </c>
      <c r="D1114" s="8" t="s">
        <v>293</v>
      </c>
      <c r="E1114" s="25" t="s">
        <v>466</v>
      </c>
      <c r="F1114" s="25" t="s">
        <v>7467</v>
      </c>
      <c r="G1114" s="31">
        <v>402</v>
      </c>
      <c r="H1114" s="5">
        <v>0.47155599999999998</v>
      </c>
      <c r="I1114" s="20">
        <f t="shared" si="17"/>
        <v>189.56551199999998</v>
      </c>
      <c r="J1114" s="6" t="s">
        <v>357</v>
      </c>
    </row>
    <row r="1115" spans="1:10" hidden="1">
      <c r="A1115" s="343">
        <v>46050</v>
      </c>
      <c r="B1115" s="260" t="s">
        <v>6812</v>
      </c>
      <c r="C1115" s="257" t="s">
        <v>1364</v>
      </c>
      <c r="D1115" s="258" t="s">
        <v>293</v>
      </c>
      <c r="E1115" s="25" t="s">
        <v>466</v>
      </c>
      <c r="F1115" s="25" t="s">
        <v>7467</v>
      </c>
      <c r="G1115" s="31">
        <v>794</v>
      </c>
      <c r="H1115" s="5">
        <v>0.47155599999999998</v>
      </c>
      <c r="I1115" s="259">
        <f t="shared" si="17"/>
        <v>374.41546399999999</v>
      </c>
      <c r="J1115" s="111" t="s">
        <v>357</v>
      </c>
    </row>
    <row r="1116" spans="1:10" hidden="1">
      <c r="A1116" s="343">
        <v>46050</v>
      </c>
      <c r="B1116" s="260" t="s">
        <v>6813</v>
      </c>
      <c r="C1116" s="257" t="s">
        <v>1388</v>
      </c>
      <c r="D1116" s="258" t="s">
        <v>293</v>
      </c>
      <c r="E1116" s="25" t="s">
        <v>466</v>
      </c>
      <c r="F1116" s="25" t="s">
        <v>7467</v>
      </c>
      <c r="G1116" s="31">
        <v>829</v>
      </c>
      <c r="H1116" s="5">
        <v>0.47155599999999998</v>
      </c>
      <c r="I1116" s="259">
        <f t="shared" si="17"/>
        <v>390.91992399999998</v>
      </c>
      <c r="J1116" s="111" t="s">
        <v>357</v>
      </c>
    </row>
    <row r="1117" spans="1:10" hidden="1">
      <c r="A1117" s="343">
        <v>46050</v>
      </c>
      <c r="B1117" s="260" t="s">
        <v>6814</v>
      </c>
      <c r="C1117" s="257" t="s">
        <v>1390</v>
      </c>
      <c r="D1117" s="258" t="s">
        <v>293</v>
      </c>
      <c r="E1117" s="25" t="s">
        <v>466</v>
      </c>
      <c r="F1117" s="25" t="s">
        <v>7467</v>
      </c>
      <c r="G1117" s="31">
        <v>888</v>
      </c>
      <c r="H1117" s="5">
        <v>0.47155599999999998</v>
      </c>
      <c r="I1117" s="259">
        <f t="shared" si="17"/>
        <v>418.74172799999997</v>
      </c>
      <c r="J1117" s="111" t="s">
        <v>357</v>
      </c>
    </row>
    <row r="1118" spans="1:10" hidden="1">
      <c r="A1118" s="343">
        <v>46050</v>
      </c>
      <c r="B1118" s="260" t="s">
        <v>6815</v>
      </c>
      <c r="C1118" s="257" t="s">
        <v>1365</v>
      </c>
      <c r="D1118" s="258" t="s">
        <v>293</v>
      </c>
      <c r="E1118" s="25" t="s">
        <v>466</v>
      </c>
      <c r="F1118" s="25" t="s">
        <v>7467</v>
      </c>
      <c r="G1118" s="31">
        <v>1059</v>
      </c>
      <c r="H1118" s="5">
        <v>0.47155599999999998</v>
      </c>
      <c r="I1118" s="259">
        <f t="shared" si="17"/>
        <v>499.37780399999997</v>
      </c>
      <c r="J1118" s="111" t="s">
        <v>357</v>
      </c>
    </row>
    <row r="1119" spans="1:10" hidden="1">
      <c r="A1119" s="343">
        <v>46050</v>
      </c>
      <c r="B1119" s="260" t="s">
        <v>6816</v>
      </c>
      <c r="C1119" s="257" t="s">
        <v>1389</v>
      </c>
      <c r="D1119" s="258" t="s">
        <v>293</v>
      </c>
      <c r="E1119" s="25" t="s">
        <v>466</v>
      </c>
      <c r="F1119" s="25" t="s">
        <v>7467</v>
      </c>
      <c r="G1119" s="31">
        <v>1095</v>
      </c>
      <c r="H1119" s="5">
        <v>0.47155599999999998</v>
      </c>
      <c r="I1119" s="259">
        <f t="shared" si="17"/>
        <v>516.35381999999993</v>
      </c>
      <c r="J1119" s="111" t="s">
        <v>357</v>
      </c>
    </row>
    <row r="1120" spans="1:10" hidden="1">
      <c r="A1120" s="343">
        <v>46050</v>
      </c>
      <c r="B1120" s="260" t="s">
        <v>6817</v>
      </c>
      <c r="C1120" s="257" t="s">
        <v>1391</v>
      </c>
      <c r="D1120" s="258" t="s">
        <v>293</v>
      </c>
      <c r="E1120" s="25" t="s">
        <v>466</v>
      </c>
      <c r="F1120" s="25" t="s">
        <v>7467</v>
      </c>
      <c r="G1120" s="31">
        <v>1130</v>
      </c>
      <c r="H1120" s="5">
        <v>0.47155599999999998</v>
      </c>
      <c r="I1120" s="259">
        <f t="shared" si="17"/>
        <v>532.85827999999992</v>
      </c>
      <c r="J1120" s="111" t="s">
        <v>357</v>
      </c>
    </row>
    <row r="1121" spans="1:10" hidden="1">
      <c r="A1121" s="9">
        <v>46050</v>
      </c>
      <c r="B1121" s="6" t="s">
        <v>1587</v>
      </c>
      <c r="C1121" s="5" t="s">
        <v>1386</v>
      </c>
      <c r="D1121" s="8" t="s">
        <v>293</v>
      </c>
      <c r="E1121" s="6" t="s">
        <v>466</v>
      </c>
      <c r="F1121" s="6" t="s">
        <v>7467</v>
      </c>
      <c r="G1121" s="5">
        <v>678</v>
      </c>
      <c r="H1121" s="5">
        <v>0.47155599999999998</v>
      </c>
      <c r="I1121" s="20">
        <f t="shared" si="17"/>
        <v>319.714968</v>
      </c>
      <c r="J1121" s="6" t="s">
        <v>357</v>
      </c>
    </row>
    <row r="1122" spans="1:10" hidden="1">
      <c r="A1122" s="9">
        <v>46050</v>
      </c>
      <c r="B1122" s="6" t="s">
        <v>1588</v>
      </c>
      <c r="C1122" s="5" t="s">
        <v>1394</v>
      </c>
      <c r="D1122" s="8" t="s">
        <v>293</v>
      </c>
      <c r="E1122" s="6" t="s">
        <v>466</v>
      </c>
      <c r="F1122" s="6" t="s">
        <v>7467</v>
      </c>
      <c r="G1122" s="5">
        <v>715</v>
      </c>
      <c r="H1122" s="5">
        <v>0.47155599999999998</v>
      </c>
      <c r="I1122" s="20">
        <f t="shared" si="17"/>
        <v>337.16253999999998</v>
      </c>
      <c r="J1122" s="6" t="s">
        <v>357</v>
      </c>
    </row>
    <row r="1123" spans="1:10" hidden="1">
      <c r="A1123" s="9">
        <v>46050</v>
      </c>
      <c r="B1123" s="6" t="s">
        <v>1589</v>
      </c>
      <c r="C1123" s="5" t="s">
        <v>1396</v>
      </c>
      <c r="D1123" s="8" t="s">
        <v>293</v>
      </c>
      <c r="E1123" s="6" t="s">
        <v>466</v>
      </c>
      <c r="F1123" s="6" t="s">
        <v>7467</v>
      </c>
      <c r="G1123" s="5">
        <v>775</v>
      </c>
      <c r="H1123" s="5">
        <v>0.47155599999999998</v>
      </c>
      <c r="I1123" s="20">
        <f t="shared" si="17"/>
        <v>365.45589999999999</v>
      </c>
      <c r="J1123" s="6" t="s">
        <v>357</v>
      </c>
    </row>
    <row r="1124" spans="1:10" hidden="1">
      <c r="A1124" s="9">
        <v>46050</v>
      </c>
      <c r="B1124" s="6" t="s">
        <v>1590</v>
      </c>
      <c r="C1124" s="5" t="s">
        <v>1387</v>
      </c>
      <c r="D1124" s="8" t="s">
        <v>293</v>
      </c>
      <c r="E1124" s="6" t="s">
        <v>466</v>
      </c>
      <c r="F1124" s="6" t="s">
        <v>7467</v>
      </c>
      <c r="G1124" s="5">
        <v>941</v>
      </c>
      <c r="H1124" s="5">
        <v>0.47155599999999998</v>
      </c>
      <c r="I1124" s="20">
        <f t="shared" si="17"/>
        <v>443.734196</v>
      </c>
      <c r="J1124" s="6" t="s">
        <v>357</v>
      </c>
    </row>
    <row r="1125" spans="1:10" hidden="1">
      <c r="A1125" s="9">
        <v>46050</v>
      </c>
      <c r="B1125" s="6" t="s">
        <v>1591</v>
      </c>
      <c r="C1125" s="5" t="s">
        <v>1395</v>
      </c>
      <c r="D1125" s="8" t="s">
        <v>293</v>
      </c>
      <c r="E1125" s="6" t="s">
        <v>466</v>
      </c>
      <c r="F1125" s="6" t="s">
        <v>7467</v>
      </c>
      <c r="G1125" s="5">
        <v>977</v>
      </c>
      <c r="H1125" s="5">
        <v>0.47155599999999998</v>
      </c>
      <c r="I1125" s="20">
        <f t="shared" si="17"/>
        <v>460.71021199999996</v>
      </c>
      <c r="J1125" s="6" t="s">
        <v>357</v>
      </c>
    </row>
    <row r="1126" spans="1:10" hidden="1">
      <c r="A1126" s="9">
        <v>46050</v>
      </c>
      <c r="B1126" s="6" t="s">
        <v>1592</v>
      </c>
      <c r="C1126" s="5" t="s">
        <v>1397</v>
      </c>
      <c r="D1126" s="8" t="s">
        <v>293</v>
      </c>
      <c r="E1126" s="6" t="s">
        <v>466</v>
      </c>
      <c r="F1126" s="6" t="s">
        <v>7467</v>
      </c>
      <c r="G1126" s="5">
        <v>1012</v>
      </c>
      <c r="H1126" s="5">
        <v>0.47155599999999998</v>
      </c>
      <c r="I1126" s="20">
        <f t="shared" si="17"/>
        <v>477.21467199999995</v>
      </c>
      <c r="J1126" s="6" t="s">
        <v>357</v>
      </c>
    </row>
    <row r="1127" spans="1:10" hidden="1">
      <c r="A1127" s="9">
        <v>46050</v>
      </c>
      <c r="B1127" s="216" t="s">
        <v>7476</v>
      </c>
      <c r="C1127" s="5" t="s">
        <v>7473</v>
      </c>
      <c r="D1127" s="8" t="s">
        <v>293</v>
      </c>
      <c r="E1127" s="25" t="s">
        <v>466</v>
      </c>
      <c r="F1127" s="25" t="s">
        <v>7467</v>
      </c>
      <c r="G1127" s="31">
        <v>357</v>
      </c>
      <c r="H1127" s="5">
        <v>0.47155599999999998</v>
      </c>
      <c r="I1127" s="20">
        <f t="shared" si="17"/>
        <v>168.34549199999998</v>
      </c>
      <c r="J1127" s="6" t="s">
        <v>357</v>
      </c>
    </row>
    <row r="1128" spans="1:10" hidden="1">
      <c r="A1128" s="9">
        <v>46050</v>
      </c>
      <c r="B1128" s="6" t="s">
        <v>7450</v>
      </c>
      <c r="C1128" s="14" t="s">
        <v>1561</v>
      </c>
      <c r="D1128" s="23" t="s">
        <v>293</v>
      </c>
      <c r="E1128" s="6" t="s">
        <v>466</v>
      </c>
      <c r="F1128" s="6" t="s">
        <v>7467</v>
      </c>
      <c r="G1128" s="5">
        <v>248</v>
      </c>
      <c r="H1128" s="5">
        <v>0.47155599999999998</v>
      </c>
      <c r="I1128" s="20">
        <f t="shared" si="17"/>
        <v>116.945888</v>
      </c>
      <c r="J1128" s="6" t="s">
        <v>357</v>
      </c>
    </row>
    <row r="1129" spans="1:10" hidden="1">
      <c r="A1129" s="9">
        <v>46050</v>
      </c>
      <c r="B1129" s="216" t="s">
        <v>7478</v>
      </c>
      <c r="C1129" s="5" t="s">
        <v>7471</v>
      </c>
      <c r="D1129" s="8" t="s">
        <v>293</v>
      </c>
      <c r="E1129" s="25" t="s">
        <v>466</v>
      </c>
      <c r="F1129" s="25" t="s">
        <v>7467</v>
      </c>
      <c r="G1129" s="31">
        <v>96</v>
      </c>
      <c r="H1129" s="5">
        <v>0.47155599999999998</v>
      </c>
      <c r="I1129" s="20">
        <f t="shared" si="17"/>
        <v>45.269375999999994</v>
      </c>
      <c r="J1129" s="6" t="s">
        <v>357</v>
      </c>
    </row>
    <row r="1130" spans="1:10" hidden="1">
      <c r="A1130" s="9">
        <v>46050</v>
      </c>
      <c r="B1130" s="216" t="s">
        <v>7477</v>
      </c>
      <c r="C1130" s="5" t="s">
        <v>7469</v>
      </c>
      <c r="D1130" s="8" t="s">
        <v>293</v>
      </c>
      <c r="E1130" s="25" t="s">
        <v>466</v>
      </c>
      <c r="F1130" s="25" t="s">
        <v>7467</v>
      </c>
      <c r="G1130" s="31">
        <v>96</v>
      </c>
      <c r="H1130" s="5">
        <v>0.47155599999999998</v>
      </c>
      <c r="I1130" s="20">
        <f t="shared" si="17"/>
        <v>45.269375999999994</v>
      </c>
      <c r="J1130" s="6" t="s">
        <v>357</v>
      </c>
    </row>
    <row r="1131" spans="1:10" hidden="1">
      <c r="A1131" s="9">
        <v>46050</v>
      </c>
      <c r="B1131" s="216" t="s">
        <v>7456</v>
      </c>
      <c r="C1131" s="5" t="s">
        <v>7454</v>
      </c>
      <c r="D1131" s="8" t="s">
        <v>293</v>
      </c>
      <c r="E1131" s="25" t="s">
        <v>466</v>
      </c>
      <c r="F1131" s="25" t="s">
        <v>7467</v>
      </c>
      <c r="G1131" s="31">
        <v>426</v>
      </c>
      <c r="H1131" s="5">
        <v>0.47155599999999998</v>
      </c>
      <c r="I1131" s="20">
        <f t="shared" si="17"/>
        <v>200.88285599999998</v>
      </c>
      <c r="J1131" s="6" t="s">
        <v>357</v>
      </c>
    </row>
    <row r="1132" spans="1:10" hidden="1">
      <c r="A1132" s="345">
        <v>46050</v>
      </c>
      <c r="B1132" s="264" t="s">
        <v>6818</v>
      </c>
      <c r="C1132" s="261" t="s">
        <v>6819</v>
      </c>
      <c r="D1132" s="262" t="s">
        <v>293</v>
      </c>
      <c r="E1132" s="25" t="s">
        <v>466</v>
      </c>
      <c r="F1132" s="25" t="s">
        <v>7467</v>
      </c>
      <c r="G1132" s="31">
        <v>2248</v>
      </c>
      <c r="H1132" s="5">
        <v>0.47155599999999998</v>
      </c>
      <c r="I1132" s="263">
        <f t="shared" si="17"/>
        <v>1060.057888</v>
      </c>
      <c r="J1132" s="111" t="s">
        <v>357</v>
      </c>
    </row>
    <row r="1133" spans="1:10" hidden="1">
      <c r="A1133" s="345">
        <v>46050</v>
      </c>
      <c r="B1133" s="264" t="s">
        <v>6820</v>
      </c>
      <c r="C1133" s="261" t="s">
        <v>1398</v>
      </c>
      <c r="D1133" s="262" t="s">
        <v>293</v>
      </c>
      <c r="E1133" s="25" t="s">
        <v>466</v>
      </c>
      <c r="F1133" s="25" t="s">
        <v>7467</v>
      </c>
      <c r="G1133" s="31">
        <v>2248</v>
      </c>
      <c r="H1133" s="5">
        <v>0.47155599999999998</v>
      </c>
      <c r="I1133" s="263">
        <f t="shared" si="17"/>
        <v>1060.057888</v>
      </c>
      <c r="J1133" s="111" t="s">
        <v>357</v>
      </c>
    </row>
    <row r="1134" spans="1:10" hidden="1">
      <c r="A1134" s="345">
        <v>46050</v>
      </c>
      <c r="B1134" s="264" t="s">
        <v>6825</v>
      </c>
      <c r="C1134" s="261" t="s">
        <v>6831</v>
      </c>
      <c r="D1134" s="262" t="s">
        <v>293</v>
      </c>
      <c r="E1134" s="25" t="s">
        <v>466</v>
      </c>
      <c r="F1134" s="25" t="s">
        <v>7467</v>
      </c>
      <c r="G1134" s="31">
        <v>2975</v>
      </c>
      <c r="H1134" s="5">
        <v>0.47155599999999998</v>
      </c>
      <c r="I1134" s="263">
        <f t="shared" si="17"/>
        <v>1402.8790999999999</v>
      </c>
      <c r="J1134" s="111" t="s">
        <v>357</v>
      </c>
    </row>
    <row r="1135" spans="1:10" hidden="1">
      <c r="A1135" s="345">
        <v>46050</v>
      </c>
      <c r="B1135" s="264" t="s">
        <v>6826</v>
      </c>
      <c r="C1135" s="261" t="s">
        <v>1399</v>
      </c>
      <c r="D1135" s="262" t="s">
        <v>293</v>
      </c>
      <c r="E1135" s="25" t="s">
        <v>466</v>
      </c>
      <c r="F1135" s="25" t="s">
        <v>7467</v>
      </c>
      <c r="G1135" s="31">
        <v>2975</v>
      </c>
      <c r="H1135" s="5">
        <v>0.47155599999999998</v>
      </c>
      <c r="I1135" s="263">
        <f t="shared" si="17"/>
        <v>1402.8790999999999</v>
      </c>
      <c r="J1135" s="111" t="s">
        <v>357</v>
      </c>
    </row>
    <row r="1136" spans="1:10" hidden="1">
      <c r="A1136" s="9">
        <v>46050</v>
      </c>
      <c r="B1136" s="6" t="s">
        <v>1594</v>
      </c>
      <c r="C1136" s="5" t="s">
        <v>1593</v>
      </c>
      <c r="D1136" s="8" t="s">
        <v>293</v>
      </c>
      <c r="E1136" s="6" t="s">
        <v>466</v>
      </c>
      <c r="F1136" s="6" t="s">
        <v>7467</v>
      </c>
      <c r="G1136" s="5">
        <v>2023</v>
      </c>
      <c r="H1136" s="5">
        <v>0.47155599999999998</v>
      </c>
      <c r="I1136" s="20">
        <f t="shared" si="17"/>
        <v>953.95778799999994</v>
      </c>
      <c r="J1136" s="6" t="s">
        <v>357</v>
      </c>
    </row>
    <row r="1137" spans="1:10" hidden="1">
      <c r="A1137" s="9">
        <v>46050</v>
      </c>
      <c r="B1137" s="6" t="s">
        <v>1595</v>
      </c>
      <c r="C1137" s="5" t="s">
        <v>594</v>
      </c>
      <c r="D1137" s="8" t="s">
        <v>293</v>
      </c>
      <c r="E1137" s="6" t="s">
        <v>466</v>
      </c>
      <c r="F1137" s="6" t="s">
        <v>7467</v>
      </c>
      <c r="G1137" s="5">
        <v>2023</v>
      </c>
      <c r="H1137" s="5">
        <v>0.47155599999999998</v>
      </c>
      <c r="I1137" s="20">
        <f t="shared" si="17"/>
        <v>953.95778799999994</v>
      </c>
      <c r="J1137" s="6" t="s">
        <v>357</v>
      </c>
    </row>
    <row r="1138" spans="1:10" hidden="1">
      <c r="A1138" s="9">
        <v>46050</v>
      </c>
      <c r="B1138" s="6" t="s">
        <v>1597</v>
      </c>
      <c r="C1138" s="5" t="s">
        <v>1596</v>
      </c>
      <c r="D1138" s="8" t="s">
        <v>293</v>
      </c>
      <c r="E1138" s="6" t="s">
        <v>466</v>
      </c>
      <c r="F1138" s="6" t="s">
        <v>7467</v>
      </c>
      <c r="G1138" s="5">
        <v>2618</v>
      </c>
      <c r="H1138" s="5">
        <v>0.47155599999999998</v>
      </c>
      <c r="I1138" s="20">
        <f t="shared" si="17"/>
        <v>1234.533608</v>
      </c>
      <c r="J1138" s="6" t="s">
        <v>357</v>
      </c>
    </row>
    <row r="1139" spans="1:10" hidden="1">
      <c r="A1139" s="9">
        <v>46050</v>
      </c>
      <c r="B1139" s="6" t="s">
        <v>1598</v>
      </c>
      <c r="C1139" s="5" t="s">
        <v>595</v>
      </c>
      <c r="D1139" s="8" t="s">
        <v>293</v>
      </c>
      <c r="E1139" s="6" t="s">
        <v>466</v>
      </c>
      <c r="F1139" s="6" t="s">
        <v>7467</v>
      </c>
      <c r="G1139" s="5">
        <v>2618</v>
      </c>
      <c r="H1139" s="5">
        <v>0.47155599999999998</v>
      </c>
      <c r="I1139" s="20">
        <f t="shared" si="17"/>
        <v>1234.533608</v>
      </c>
      <c r="J1139" s="6" t="s">
        <v>357</v>
      </c>
    </row>
    <row r="1140" spans="1:10" hidden="1">
      <c r="A1140" s="9">
        <v>46050</v>
      </c>
      <c r="B1140" s="216" t="s">
        <v>7479</v>
      </c>
      <c r="C1140" s="5" t="s">
        <v>7473</v>
      </c>
      <c r="D1140" s="8" t="s">
        <v>293</v>
      </c>
      <c r="E1140" s="25" t="s">
        <v>466</v>
      </c>
      <c r="F1140" s="25" t="s">
        <v>7467</v>
      </c>
      <c r="G1140" s="31">
        <v>357</v>
      </c>
      <c r="H1140" s="5">
        <v>0.47155599999999998</v>
      </c>
      <c r="I1140" s="20">
        <f t="shared" si="17"/>
        <v>168.34549199999998</v>
      </c>
      <c r="J1140" s="6" t="s">
        <v>357</v>
      </c>
    </row>
    <row r="1141" spans="1:10" hidden="1">
      <c r="A1141" s="9">
        <v>46050</v>
      </c>
      <c r="B1141" s="6" t="s">
        <v>7451</v>
      </c>
      <c r="C1141" s="14" t="s">
        <v>1562</v>
      </c>
      <c r="D1141" s="23" t="s">
        <v>293</v>
      </c>
      <c r="E1141" s="6" t="s">
        <v>466</v>
      </c>
      <c r="F1141" s="6" t="s">
        <v>7467</v>
      </c>
      <c r="G1141" s="5">
        <v>248</v>
      </c>
      <c r="H1141" s="5">
        <v>0.47155599999999998</v>
      </c>
      <c r="I1141" s="20">
        <f t="shared" si="17"/>
        <v>116.945888</v>
      </c>
      <c r="J1141" s="6" t="s">
        <v>357</v>
      </c>
    </row>
    <row r="1142" spans="1:10" hidden="1">
      <c r="A1142" s="9">
        <v>46050</v>
      </c>
      <c r="B1142" s="216" t="s">
        <v>7481</v>
      </c>
      <c r="C1142" s="5" t="s">
        <v>7471</v>
      </c>
      <c r="D1142" s="8" t="s">
        <v>293</v>
      </c>
      <c r="E1142" s="25" t="s">
        <v>466</v>
      </c>
      <c r="F1142" s="25" t="s">
        <v>7467</v>
      </c>
      <c r="G1142" s="31">
        <v>96</v>
      </c>
      <c r="H1142" s="5">
        <v>0.47155599999999998</v>
      </c>
      <c r="I1142" s="20">
        <f t="shared" si="17"/>
        <v>45.269375999999994</v>
      </c>
      <c r="J1142" s="6" t="s">
        <v>357</v>
      </c>
    </row>
    <row r="1143" spans="1:10" hidden="1">
      <c r="A1143" s="9">
        <v>46050</v>
      </c>
      <c r="B1143" s="216" t="s">
        <v>7480</v>
      </c>
      <c r="C1143" s="5" t="s">
        <v>7469</v>
      </c>
      <c r="D1143" s="8" t="s">
        <v>293</v>
      </c>
      <c r="E1143" s="25" t="s">
        <v>466</v>
      </c>
      <c r="F1143" s="25" t="s">
        <v>7467</v>
      </c>
      <c r="G1143" s="31">
        <v>96</v>
      </c>
      <c r="H1143" s="5">
        <v>0.47155599999999998</v>
      </c>
      <c r="I1143" s="20">
        <f t="shared" si="17"/>
        <v>45.269375999999994</v>
      </c>
      <c r="J1143" s="6" t="s">
        <v>357</v>
      </c>
    </row>
    <row r="1144" spans="1:10" hidden="1">
      <c r="A1144" s="9">
        <v>46050</v>
      </c>
      <c r="B1144" s="216" t="s">
        <v>7457</v>
      </c>
      <c r="C1144" s="5" t="s">
        <v>7454</v>
      </c>
      <c r="D1144" s="8" t="s">
        <v>293</v>
      </c>
      <c r="E1144" s="25" t="s">
        <v>466</v>
      </c>
      <c r="F1144" s="25" t="s">
        <v>7467</v>
      </c>
      <c r="G1144" s="31">
        <v>426</v>
      </c>
      <c r="H1144" s="5">
        <v>0.47155599999999998</v>
      </c>
      <c r="I1144" s="20">
        <f t="shared" si="17"/>
        <v>200.88285599999998</v>
      </c>
      <c r="J1144" s="6" t="s">
        <v>357</v>
      </c>
    </row>
    <row r="1145" spans="1:10" hidden="1">
      <c r="A1145" s="345">
        <v>46050</v>
      </c>
      <c r="B1145" s="264" t="s">
        <v>6821</v>
      </c>
      <c r="C1145" s="261" t="s">
        <v>1400</v>
      </c>
      <c r="D1145" s="262" t="s">
        <v>293</v>
      </c>
      <c r="E1145" s="25" t="s">
        <v>466</v>
      </c>
      <c r="F1145" s="25" t="s">
        <v>7467</v>
      </c>
      <c r="G1145" s="31">
        <v>2425</v>
      </c>
      <c r="H1145" s="5">
        <v>0.47155599999999998</v>
      </c>
      <c r="I1145" s="263">
        <f t="shared" si="17"/>
        <v>1143.5232999999998</v>
      </c>
      <c r="J1145" s="111" t="s">
        <v>357</v>
      </c>
    </row>
    <row r="1146" spans="1:10" hidden="1">
      <c r="A1146" s="345">
        <v>46050</v>
      </c>
      <c r="B1146" s="264" t="s">
        <v>6827</v>
      </c>
      <c r="C1146" s="261" t="s">
        <v>1401</v>
      </c>
      <c r="D1146" s="262" t="s">
        <v>293</v>
      </c>
      <c r="E1146" s="25" t="s">
        <v>466</v>
      </c>
      <c r="F1146" s="25" t="s">
        <v>7467</v>
      </c>
      <c r="G1146" s="31">
        <v>3213</v>
      </c>
      <c r="H1146" s="5">
        <v>0.47155599999999998</v>
      </c>
      <c r="I1146" s="263">
        <f t="shared" si="17"/>
        <v>1515.109428</v>
      </c>
      <c r="J1146" s="111" t="s">
        <v>357</v>
      </c>
    </row>
    <row r="1147" spans="1:10" hidden="1">
      <c r="A1147" s="9">
        <v>46050</v>
      </c>
      <c r="B1147" s="6" t="s">
        <v>1599</v>
      </c>
      <c r="C1147" s="5" t="s">
        <v>596</v>
      </c>
      <c r="D1147" s="8" t="s">
        <v>293</v>
      </c>
      <c r="E1147" s="6" t="s">
        <v>466</v>
      </c>
      <c r="F1147" s="6" t="s">
        <v>7467</v>
      </c>
      <c r="G1147" s="5">
        <v>2260</v>
      </c>
      <c r="H1147" s="5">
        <v>0.47155599999999998</v>
      </c>
      <c r="I1147" s="20">
        <f t="shared" si="17"/>
        <v>1065.7165599999998</v>
      </c>
      <c r="J1147" s="6" t="s">
        <v>357</v>
      </c>
    </row>
    <row r="1148" spans="1:10" hidden="1">
      <c r="A1148" s="9">
        <v>46050</v>
      </c>
      <c r="B1148" s="6" t="s">
        <v>1600</v>
      </c>
      <c r="C1148" s="5" t="s">
        <v>597</v>
      </c>
      <c r="D1148" s="8" t="s">
        <v>293</v>
      </c>
      <c r="E1148" s="6" t="s">
        <v>466</v>
      </c>
      <c r="F1148" s="6" t="s">
        <v>7467</v>
      </c>
      <c r="G1148" s="5">
        <v>3035</v>
      </c>
      <c r="H1148" s="5">
        <v>0.47155599999999998</v>
      </c>
      <c r="I1148" s="20">
        <f t="shared" si="17"/>
        <v>1431.17246</v>
      </c>
      <c r="J1148" s="6" t="s">
        <v>357</v>
      </c>
    </row>
    <row r="1149" spans="1:10" hidden="1">
      <c r="A1149" s="9">
        <v>46050</v>
      </c>
      <c r="B1149" s="216" t="s">
        <v>7482</v>
      </c>
      <c r="C1149" s="5" t="s">
        <v>7473</v>
      </c>
      <c r="D1149" s="8" t="s">
        <v>293</v>
      </c>
      <c r="E1149" s="25" t="s">
        <v>466</v>
      </c>
      <c r="F1149" s="25" t="s">
        <v>7467</v>
      </c>
      <c r="G1149" s="31">
        <v>426</v>
      </c>
      <c r="H1149" s="5">
        <v>0.47155599999999998</v>
      </c>
      <c r="I1149" s="20">
        <f t="shared" si="17"/>
        <v>200.88285599999998</v>
      </c>
      <c r="J1149" s="6" t="s">
        <v>357</v>
      </c>
    </row>
    <row r="1150" spans="1:10" hidden="1">
      <c r="A1150" s="9">
        <v>46050</v>
      </c>
      <c r="B1150" s="6" t="s">
        <v>7452</v>
      </c>
      <c r="C1150" s="14" t="s">
        <v>1563</v>
      </c>
      <c r="D1150" s="23" t="s">
        <v>293</v>
      </c>
      <c r="E1150" s="6" t="s">
        <v>466</v>
      </c>
      <c r="F1150" s="6" t="s">
        <v>7467</v>
      </c>
      <c r="G1150" s="5">
        <v>434</v>
      </c>
      <c r="H1150" s="5">
        <v>0.47155599999999998</v>
      </c>
      <c r="I1150" s="20">
        <f t="shared" si="17"/>
        <v>204.655304</v>
      </c>
      <c r="J1150" s="6" t="s">
        <v>357</v>
      </c>
    </row>
    <row r="1151" spans="1:10" hidden="1">
      <c r="A1151" s="9">
        <v>46050</v>
      </c>
      <c r="B1151" s="216" t="s">
        <v>7484</v>
      </c>
      <c r="C1151" s="5" t="s">
        <v>7471</v>
      </c>
      <c r="D1151" s="8" t="s">
        <v>293</v>
      </c>
      <c r="E1151" s="25" t="s">
        <v>466</v>
      </c>
      <c r="F1151" s="25" t="s">
        <v>7467</v>
      </c>
      <c r="G1151" s="31">
        <v>96</v>
      </c>
      <c r="H1151" s="5">
        <v>0.47155599999999998</v>
      </c>
      <c r="I1151" s="20">
        <f t="shared" si="17"/>
        <v>45.269375999999994</v>
      </c>
      <c r="J1151" s="6" t="s">
        <v>357</v>
      </c>
    </row>
    <row r="1152" spans="1:10" hidden="1">
      <c r="A1152" s="9">
        <v>46050</v>
      </c>
      <c r="B1152" s="216" t="s">
        <v>7483</v>
      </c>
      <c r="C1152" s="5" t="s">
        <v>7469</v>
      </c>
      <c r="D1152" s="8" t="s">
        <v>293</v>
      </c>
      <c r="E1152" s="25" t="s">
        <v>466</v>
      </c>
      <c r="F1152" s="25" t="s">
        <v>7467</v>
      </c>
      <c r="G1152" s="31">
        <v>96</v>
      </c>
      <c r="H1152" s="5">
        <v>0.47155599999999998</v>
      </c>
      <c r="I1152" s="20">
        <f t="shared" si="17"/>
        <v>45.269375999999994</v>
      </c>
      <c r="J1152" s="6" t="s">
        <v>357</v>
      </c>
    </row>
    <row r="1153" spans="1:10" hidden="1">
      <c r="A1153" s="9">
        <v>46050</v>
      </c>
      <c r="B1153" s="216" t="s">
        <v>7458</v>
      </c>
      <c r="C1153" s="5" t="s">
        <v>7454</v>
      </c>
      <c r="D1153" s="8" t="s">
        <v>293</v>
      </c>
      <c r="E1153" s="25" t="s">
        <v>466</v>
      </c>
      <c r="F1153" s="25" t="s">
        <v>7467</v>
      </c>
      <c r="G1153" s="31">
        <v>490</v>
      </c>
      <c r="H1153" s="5">
        <v>0.47155599999999998</v>
      </c>
      <c r="I1153" s="20">
        <f t="shared" si="17"/>
        <v>231.06243999999998</v>
      </c>
      <c r="J1153" s="6" t="s">
        <v>357</v>
      </c>
    </row>
    <row r="1154" spans="1:10" hidden="1">
      <c r="A1154" s="345">
        <v>46050</v>
      </c>
      <c r="B1154" s="264" t="s">
        <v>6822</v>
      </c>
      <c r="C1154" s="261" t="s">
        <v>1402</v>
      </c>
      <c r="D1154" s="262" t="s">
        <v>293</v>
      </c>
      <c r="E1154" s="25" t="s">
        <v>466</v>
      </c>
      <c r="F1154" s="25" t="s">
        <v>7467</v>
      </c>
      <c r="G1154" s="31">
        <v>4969</v>
      </c>
      <c r="H1154" s="5">
        <v>0.47155599999999998</v>
      </c>
      <c r="I1154" s="263">
        <f t="shared" si="17"/>
        <v>2343.1617639999999</v>
      </c>
      <c r="J1154" s="111" t="s">
        <v>357</v>
      </c>
    </row>
    <row r="1155" spans="1:10" hidden="1">
      <c r="A1155" s="345">
        <v>46050</v>
      </c>
      <c r="B1155" s="264" t="s">
        <v>6823</v>
      </c>
      <c r="C1155" s="261" t="s">
        <v>1406</v>
      </c>
      <c r="D1155" s="262" t="s">
        <v>293</v>
      </c>
      <c r="E1155" s="25" t="s">
        <v>466</v>
      </c>
      <c r="F1155" s="25" t="s">
        <v>7467</v>
      </c>
      <c r="G1155" s="31">
        <v>5323</v>
      </c>
      <c r="H1155" s="5">
        <v>0.47155599999999998</v>
      </c>
      <c r="I1155" s="263">
        <f t="shared" ref="I1155:I1218" si="18">H1155*G1155</f>
        <v>2510.092588</v>
      </c>
      <c r="J1155" s="111" t="s">
        <v>357</v>
      </c>
    </row>
    <row r="1156" spans="1:10" hidden="1">
      <c r="A1156" s="345">
        <v>46050</v>
      </c>
      <c r="B1156" s="264" t="s">
        <v>6828</v>
      </c>
      <c r="C1156" s="261" t="s">
        <v>1403</v>
      </c>
      <c r="D1156" s="262" t="s">
        <v>293</v>
      </c>
      <c r="E1156" s="25" t="s">
        <v>466</v>
      </c>
      <c r="F1156" s="25" t="s">
        <v>7467</v>
      </c>
      <c r="G1156" s="31">
        <v>6305</v>
      </c>
      <c r="H1156" s="5">
        <v>0.47155599999999998</v>
      </c>
      <c r="I1156" s="263">
        <f t="shared" si="18"/>
        <v>2973.1605799999998</v>
      </c>
      <c r="J1156" s="111" t="s">
        <v>357</v>
      </c>
    </row>
    <row r="1157" spans="1:10" hidden="1">
      <c r="A1157" s="345">
        <v>46050</v>
      </c>
      <c r="B1157" s="264" t="s">
        <v>6829</v>
      </c>
      <c r="C1157" s="261" t="s">
        <v>1407</v>
      </c>
      <c r="D1157" s="262" t="s">
        <v>293</v>
      </c>
      <c r="E1157" s="25" t="s">
        <v>466</v>
      </c>
      <c r="F1157" s="25" t="s">
        <v>7467</v>
      </c>
      <c r="G1157" s="31">
        <v>6900</v>
      </c>
      <c r="H1157" s="5">
        <v>0.47155599999999998</v>
      </c>
      <c r="I1157" s="263">
        <f t="shared" si="18"/>
        <v>3253.7363999999998</v>
      </c>
      <c r="J1157" s="111" t="s">
        <v>357</v>
      </c>
    </row>
    <row r="1158" spans="1:10" hidden="1">
      <c r="A1158" s="9">
        <v>46050</v>
      </c>
      <c r="B1158" s="6" t="s">
        <v>1601</v>
      </c>
      <c r="C1158" s="5" t="s">
        <v>598</v>
      </c>
      <c r="D1158" s="8" t="s">
        <v>293</v>
      </c>
      <c r="E1158" s="6" t="s">
        <v>466</v>
      </c>
      <c r="F1158" s="6" t="s">
        <v>7467</v>
      </c>
      <c r="G1158" s="5">
        <v>3689</v>
      </c>
      <c r="H1158" s="5">
        <v>0.47155599999999998</v>
      </c>
      <c r="I1158" s="20">
        <f t="shared" si="18"/>
        <v>1739.570084</v>
      </c>
      <c r="J1158" s="6" t="s">
        <v>357</v>
      </c>
    </row>
    <row r="1159" spans="1:10" hidden="1">
      <c r="A1159" s="9">
        <v>46050</v>
      </c>
      <c r="B1159" s="6" t="s">
        <v>1602</v>
      </c>
      <c r="C1159" s="5" t="s">
        <v>1412</v>
      </c>
      <c r="D1159" s="8" t="s">
        <v>293</v>
      </c>
      <c r="E1159" s="6" t="s">
        <v>466</v>
      </c>
      <c r="F1159" s="6" t="s">
        <v>7467</v>
      </c>
      <c r="G1159" s="5">
        <v>4165</v>
      </c>
      <c r="H1159" s="5">
        <v>0.47155599999999998</v>
      </c>
      <c r="I1159" s="20">
        <f t="shared" si="18"/>
        <v>1964.0307399999999</v>
      </c>
      <c r="J1159" s="6" t="s">
        <v>357</v>
      </c>
    </row>
    <row r="1160" spans="1:10" hidden="1">
      <c r="A1160" s="9">
        <v>46050</v>
      </c>
      <c r="B1160" s="6" t="s">
        <v>1603</v>
      </c>
      <c r="C1160" s="5" t="s">
        <v>599</v>
      </c>
      <c r="D1160" s="8" t="s">
        <v>293</v>
      </c>
      <c r="E1160" s="6" t="s">
        <v>466</v>
      </c>
      <c r="F1160" s="6" t="s">
        <v>7467</v>
      </c>
      <c r="G1160" s="5">
        <v>4819</v>
      </c>
      <c r="H1160" s="5">
        <v>0.47155599999999998</v>
      </c>
      <c r="I1160" s="20">
        <f t="shared" si="18"/>
        <v>2272.4283639999999</v>
      </c>
      <c r="J1160" s="6" t="s">
        <v>357</v>
      </c>
    </row>
    <row r="1161" spans="1:10" hidden="1">
      <c r="A1161" s="9">
        <v>46050</v>
      </c>
      <c r="B1161" s="6" t="s">
        <v>1604</v>
      </c>
      <c r="C1161" s="5" t="s">
        <v>1413</v>
      </c>
      <c r="D1161" s="8" t="s">
        <v>293</v>
      </c>
      <c r="E1161" s="6" t="s">
        <v>466</v>
      </c>
      <c r="F1161" s="6" t="s">
        <v>7467</v>
      </c>
      <c r="G1161" s="5">
        <v>5116</v>
      </c>
      <c r="H1161" s="5">
        <v>0.47155599999999998</v>
      </c>
      <c r="I1161" s="20">
        <f t="shared" si="18"/>
        <v>2412.4804959999997</v>
      </c>
      <c r="J1161" s="6" t="s">
        <v>357</v>
      </c>
    </row>
    <row r="1162" spans="1:10" hidden="1">
      <c r="A1162" s="9">
        <v>46050</v>
      </c>
      <c r="B1162" s="216" t="s">
        <v>7485</v>
      </c>
      <c r="C1162" s="5" t="s">
        <v>7473</v>
      </c>
      <c r="D1162" s="8" t="s">
        <v>293</v>
      </c>
      <c r="E1162" s="25" t="s">
        <v>466</v>
      </c>
      <c r="F1162" s="25" t="s">
        <v>7467</v>
      </c>
      <c r="G1162" s="31">
        <v>976</v>
      </c>
      <c r="H1162" s="5">
        <v>0.47155599999999998</v>
      </c>
      <c r="I1162" s="20">
        <f t="shared" si="18"/>
        <v>460.23865599999999</v>
      </c>
      <c r="J1162" s="6" t="s">
        <v>357</v>
      </c>
    </row>
    <row r="1163" spans="1:10" hidden="1">
      <c r="A1163" s="9">
        <v>46050</v>
      </c>
      <c r="B1163" s="6" t="s">
        <v>1606</v>
      </c>
      <c r="C1163" s="5" t="s">
        <v>1605</v>
      </c>
      <c r="D1163" s="8" t="s">
        <v>293</v>
      </c>
      <c r="E1163" s="6" t="s">
        <v>355</v>
      </c>
      <c r="F1163" s="6" t="s">
        <v>1476</v>
      </c>
      <c r="G1163" s="5">
        <v>7138</v>
      </c>
      <c r="H1163" s="5">
        <v>0.47155599999999998</v>
      </c>
      <c r="I1163" s="20">
        <f t="shared" si="18"/>
        <v>3365.9667279999999</v>
      </c>
      <c r="J1163" s="6" t="s">
        <v>357</v>
      </c>
    </row>
    <row r="1164" spans="1:10" hidden="1">
      <c r="A1164" s="9">
        <v>46050</v>
      </c>
      <c r="B1164" s="6" t="s">
        <v>1608</v>
      </c>
      <c r="C1164" s="5" t="s">
        <v>1607</v>
      </c>
      <c r="D1164" s="8" t="s">
        <v>293</v>
      </c>
      <c r="E1164" s="6" t="s">
        <v>355</v>
      </c>
      <c r="F1164" s="6" t="s">
        <v>1476</v>
      </c>
      <c r="G1164" s="5">
        <v>9873</v>
      </c>
      <c r="H1164" s="5">
        <v>0.47155599999999998</v>
      </c>
      <c r="I1164" s="20">
        <f t="shared" si="18"/>
        <v>4655.672388</v>
      </c>
      <c r="J1164" s="6" t="s">
        <v>357</v>
      </c>
    </row>
    <row r="1165" spans="1:10" hidden="1">
      <c r="A1165" s="9">
        <v>46050</v>
      </c>
      <c r="B1165" s="6" t="s">
        <v>1610</v>
      </c>
      <c r="C1165" s="5" t="s">
        <v>1609</v>
      </c>
      <c r="D1165" s="8" t="s">
        <v>293</v>
      </c>
      <c r="E1165" s="6" t="s">
        <v>355</v>
      </c>
      <c r="F1165" s="6" t="s">
        <v>1476</v>
      </c>
      <c r="G1165" s="5">
        <v>7376</v>
      </c>
      <c r="H1165" s="5">
        <v>0.47155599999999998</v>
      </c>
      <c r="I1165" s="20">
        <f t="shared" si="18"/>
        <v>3478.197056</v>
      </c>
      <c r="J1165" s="6" t="s">
        <v>357</v>
      </c>
    </row>
    <row r="1166" spans="1:10" hidden="1">
      <c r="A1166" s="9">
        <v>46050</v>
      </c>
      <c r="B1166" s="6" t="s">
        <v>1612</v>
      </c>
      <c r="C1166" s="5" t="s">
        <v>1611</v>
      </c>
      <c r="D1166" s="8" t="s">
        <v>293</v>
      </c>
      <c r="E1166" s="6" t="s">
        <v>355</v>
      </c>
      <c r="F1166" s="6" t="s">
        <v>1476</v>
      </c>
      <c r="G1166" s="5">
        <v>10349</v>
      </c>
      <c r="H1166" s="5">
        <v>0.47155599999999998</v>
      </c>
      <c r="I1166" s="20">
        <f t="shared" si="18"/>
        <v>4880.1330440000002</v>
      </c>
      <c r="J1166" s="6" t="s">
        <v>357</v>
      </c>
    </row>
    <row r="1167" spans="1:10" hidden="1">
      <c r="A1167" s="9">
        <v>46050</v>
      </c>
      <c r="B1167" s="6" t="s">
        <v>1614</v>
      </c>
      <c r="C1167" s="5" t="s">
        <v>1613</v>
      </c>
      <c r="D1167" s="8" t="s">
        <v>293</v>
      </c>
      <c r="E1167" s="6" t="s">
        <v>355</v>
      </c>
      <c r="F1167" s="6" t="s">
        <v>1476</v>
      </c>
      <c r="G1167" s="5">
        <v>7733</v>
      </c>
      <c r="H1167" s="5">
        <v>0.47155599999999998</v>
      </c>
      <c r="I1167" s="20">
        <f t="shared" si="18"/>
        <v>3646.5425479999999</v>
      </c>
      <c r="J1167" s="6" t="s">
        <v>357</v>
      </c>
    </row>
    <row r="1168" spans="1:10" hidden="1">
      <c r="A1168" s="9">
        <v>46050</v>
      </c>
      <c r="B1168" s="6" t="s">
        <v>1616</v>
      </c>
      <c r="C1168" s="5" t="s">
        <v>1615</v>
      </c>
      <c r="D1168" s="8" t="s">
        <v>293</v>
      </c>
      <c r="E1168" s="6" t="s">
        <v>355</v>
      </c>
      <c r="F1168" s="6" t="s">
        <v>1476</v>
      </c>
      <c r="G1168" s="5">
        <v>10706</v>
      </c>
      <c r="H1168" s="5">
        <v>0.47155599999999998</v>
      </c>
      <c r="I1168" s="20">
        <f t="shared" si="18"/>
        <v>5048.4785359999996</v>
      </c>
      <c r="J1168" s="6" t="s">
        <v>357</v>
      </c>
    </row>
    <row r="1169" spans="1:10" hidden="1">
      <c r="A1169" s="9">
        <v>46050</v>
      </c>
      <c r="B1169" s="6" t="s">
        <v>1618</v>
      </c>
      <c r="C1169" s="5" t="s">
        <v>1617</v>
      </c>
      <c r="D1169" s="8" t="s">
        <v>293</v>
      </c>
      <c r="E1169" s="6" t="s">
        <v>355</v>
      </c>
      <c r="F1169" s="6" t="s">
        <v>1476</v>
      </c>
      <c r="G1169" s="5">
        <v>8089</v>
      </c>
      <c r="H1169" s="5">
        <v>0.47155599999999998</v>
      </c>
      <c r="I1169" s="20">
        <f t="shared" si="18"/>
        <v>3814.4164839999999</v>
      </c>
      <c r="J1169" s="6" t="s">
        <v>357</v>
      </c>
    </row>
    <row r="1170" spans="1:10" hidden="1">
      <c r="A1170" s="9">
        <v>46050</v>
      </c>
      <c r="B1170" s="6" t="s">
        <v>1620</v>
      </c>
      <c r="C1170" s="5" t="s">
        <v>1619</v>
      </c>
      <c r="D1170" s="8" t="s">
        <v>293</v>
      </c>
      <c r="E1170" s="6" t="s">
        <v>355</v>
      </c>
      <c r="F1170" s="6" t="s">
        <v>1476</v>
      </c>
      <c r="G1170" s="5">
        <v>11182</v>
      </c>
      <c r="H1170" s="5">
        <v>0.47155599999999998</v>
      </c>
      <c r="I1170" s="20">
        <f t="shared" si="18"/>
        <v>5272.9391919999998</v>
      </c>
      <c r="J1170" s="6" t="s">
        <v>357</v>
      </c>
    </row>
    <row r="1171" spans="1:10" hidden="1">
      <c r="A1171" s="9">
        <v>46050</v>
      </c>
      <c r="B1171" s="6" t="s">
        <v>1622</v>
      </c>
      <c r="C1171" s="5" t="s">
        <v>1621</v>
      </c>
      <c r="D1171" s="8" t="s">
        <v>293</v>
      </c>
      <c r="E1171" s="6" t="s">
        <v>355</v>
      </c>
      <c r="F1171" s="6" t="s">
        <v>1476</v>
      </c>
      <c r="G1171" s="5">
        <v>8565</v>
      </c>
      <c r="H1171" s="5">
        <v>0.47155599999999998</v>
      </c>
      <c r="I1171" s="20">
        <f t="shared" si="18"/>
        <v>4038.8771399999996</v>
      </c>
      <c r="J1171" s="6" t="s">
        <v>357</v>
      </c>
    </row>
    <row r="1172" spans="1:10" hidden="1">
      <c r="A1172" s="9">
        <v>46050</v>
      </c>
      <c r="B1172" s="6" t="s">
        <v>1624</v>
      </c>
      <c r="C1172" s="5" t="s">
        <v>1623</v>
      </c>
      <c r="D1172" s="8" t="s">
        <v>293</v>
      </c>
      <c r="E1172" s="6" t="s">
        <v>355</v>
      </c>
      <c r="F1172" s="6" t="s">
        <v>1476</v>
      </c>
      <c r="G1172" s="5">
        <v>11658</v>
      </c>
      <c r="H1172" s="5">
        <v>0.47155599999999998</v>
      </c>
      <c r="I1172" s="20">
        <f t="shared" si="18"/>
        <v>5497.399848</v>
      </c>
      <c r="J1172" s="6" t="s">
        <v>357</v>
      </c>
    </row>
    <row r="1173" spans="1:10" hidden="1">
      <c r="A1173" s="9">
        <v>46050</v>
      </c>
      <c r="B1173" s="6" t="s">
        <v>1626</v>
      </c>
      <c r="C1173" s="5" t="s">
        <v>1625</v>
      </c>
      <c r="D1173" s="8" t="s">
        <v>293</v>
      </c>
      <c r="E1173" s="6" t="s">
        <v>355</v>
      </c>
      <c r="F1173" s="6" t="s">
        <v>1476</v>
      </c>
      <c r="G1173" s="5">
        <v>9993</v>
      </c>
      <c r="H1173" s="5">
        <v>0.47155599999999998</v>
      </c>
      <c r="I1173" s="20">
        <f t="shared" si="18"/>
        <v>4712.2591080000002</v>
      </c>
      <c r="J1173" s="6" t="s">
        <v>357</v>
      </c>
    </row>
    <row r="1174" spans="1:10" hidden="1">
      <c r="A1174" s="9">
        <v>46050</v>
      </c>
      <c r="B1174" s="6" t="s">
        <v>1628</v>
      </c>
      <c r="C1174" s="5" t="s">
        <v>1627</v>
      </c>
      <c r="D1174" s="8" t="s">
        <v>293</v>
      </c>
      <c r="E1174" s="6" t="s">
        <v>355</v>
      </c>
      <c r="F1174" s="6" t="s">
        <v>1476</v>
      </c>
      <c r="G1174" s="5">
        <v>13442</v>
      </c>
      <c r="H1174" s="5">
        <v>0.47155599999999998</v>
      </c>
      <c r="I1174" s="20">
        <f t="shared" si="18"/>
        <v>6338.6557519999997</v>
      </c>
      <c r="J1174" s="6" t="s">
        <v>357</v>
      </c>
    </row>
    <row r="1175" spans="1:10" hidden="1">
      <c r="A1175" s="9">
        <v>46050</v>
      </c>
      <c r="B1175" s="6" t="s">
        <v>1630</v>
      </c>
      <c r="C1175" s="5" t="s">
        <v>1629</v>
      </c>
      <c r="D1175" s="8" t="s">
        <v>293</v>
      </c>
      <c r="E1175" s="6" t="s">
        <v>355</v>
      </c>
      <c r="F1175" s="6" t="s">
        <v>1476</v>
      </c>
      <c r="G1175" s="5">
        <v>10230</v>
      </c>
      <c r="H1175" s="5">
        <v>0.47155599999999998</v>
      </c>
      <c r="I1175" s="20">
        <f t="shared" si="18"/>
        <v>4824.0178799999994</v>
      </c>
      <c r="J1175" s="6" t="s">
        <v>357</v>
      </c>
    </row>
    <row r="1176" spans="1:10" hidden="1">
      <c r="A1176" s="9">
        <v>46050</v>
      </c>
      <c r="B1176" s="6" t="s">
        <v>1632</v>
      </c>
      <c r="C1176" s="5" t="s">
        <v>1631</v>
      </c>
      <c r="D1176" s="8" t="s">
        <v>293</v>
      </c>
      <c r="E1176" s="6" t="s">
        <v>355</v>
      </c>
      <c r="F1176" s="6" t="s">
        <v>1476</v>
      </c>
      <c r="G1176" s="5">
        <v>13918</v>
      </c>
      <c r="H1176" s="5">
        <v>0.47155599999999998</v>
      </c>
      <c r="I1176" s="20">
        <f t="shared" si="18"/>
        <v>6563.1164079999999</v>
      </c>
      <c r="J1176" s="6" t="s">
        <v>357</v>
      </c>
    </row>
    <row r="1177" spans="1:10" hidden="1">
      <c r="A1177" s="9">
        <v>46050</v>
      </c>
      <c r="B1177" s="6" t="s">
        <v>1634</v>
      </c>
      <c r="C1177" s="5" t="s">
        <v>1633</v>
      </c>
      <c r="D1177" s="8" t="s">
        <v>293</v>
      </c>
      <c r="E1177" s="6" t="s">
        <v>355</v>
      </c>
      <c r="F1177" s="6" t="s">
        <v>1476</v>
      </c>
      <c r="G1177" s="5">
        <v>10469</v>
      </c>
      <c r="H1177" s="5">
        <v>0.47155599999999998</v>
      </c>
      <c r="I1177" s="20">
        <f t="shared" si="18"/>
        <v>4936.7197639999995</v>
      </c>
      <c r="J1177" s="6" t="s">
        <v>357</v>
      </c>
    </row>
    <row r="1178" spans="1:10" hidden="1">
      <c r="A1178" s="9">
        <v>46050</v>
      </c>
      <c r="B1178" s="6" t="s">
        <v>1636</v>
      </c>
      <c r="C1178" s="5" t="s">
        <v>1635</v>
      </c>
      <c r="D1178" s="8" t="s">
        <v>293</v>
      </c>
      <c r="E1178" s="6" t="s">
        <v>355</v>
      </c>
      <c r="F1178" s="6" t="s">
        <v>1476</v>
      </c>
      <c r="G1178" s="5">
        <v>14513</v>
      </c>
      <c r="H1178" s="5">
        <v>0.47155599999999998</v>
      </c>
      <c r="I1178" s="20">
        <f t="shared" si="18"/>
        <v>6843.6922279999999</v>
      </c>
      <c r="J1178" s="6" t="s">
        <v>357</v>
      </c>
    </row>
    <row r="1179" spans="1:10" hidden="1">
      <c r="A1179" s="9">
        <v>46050</v>
      </c>
      <c r="B1179" s="6" t="s">
        <v>1638</v>
      </c>
      <c r="C1179" s="5" t="s">
        <v>1637</v>
      </c>
      <c r="D1179" s="8" t="s">
        <v>293</v>
      </c>
      <c r="E1179" s="6" t="s">
        <v>355</v>
      </c>
      <c r="F1179" s="6" t="s">
        <v>1476</v>
      </c>
      <c r="G1179" s="5">
        <v>10945</v>
      </c>
      <c r="H1179" s="5">
        <v>0.47155599999999998</v>
      </c>
      <c r="I1179" s="20">
        <f t="shared" si="18"/>
        <v>5161.1804199999997</v>
      </c>
      <c r="J1179" s="6" t="s">
        <v>357</v>
      </c>
    </row>
    <row r="1180" spans="1:10" hidden="1">
      <c r="A1180" s="9">
        <v>46050</v>
      </c>
      <c r="B1180" s="6" t="s">
        <v>1640</v>
      </c>
      <c r="C1180" s="5" t="s">
        <v>1639</v>
      </c>
      <c r="D1180" s="8" t="s">
        <v>293</v>
      </c>
      <c r="E1180" s="6" t="s">
        <v>355</v>
      </c>
      <c r="F1180" s="6" t="s">
        <v>1476</v>
      </c>
      <c r="G1180" s="5">
        <v>15107</v>
      </c>
      <c r="H1180" s="5">
        <v>0.47155599999999998</v>
      </c>
      <c r="I1180" s="20">
        <f t="shared" si="18"/>
        <v>7123.7964919999995</v>
      </c>
      <c r="J1180" s="6" t="s">
        <v>357</v>
      </c>
    </row>
    <row r="1181" spans="1:10" hidden="1">
      <c r="A1181" s="9">
        <v>46050</v>
      </c>
      <c r="B1181" s="6" t="s">
        <v>1642</v>
      </c>
      <c r="C1181" s="5" t="s">
        <v>1641</v>
      </c>
      <c r="D1181" s="8" t="s">
        <v>293</v>
      </c>
      <c r="E1181" s="6" t="s">
        <v>355</v>
      </c>
      <c r="F1181" s="6" t="s">
        <v>1476</v>
      </c>
      <c r="G1181" s="5">
        <v>11539</v>
      </c>
      <c r="H1181" s="5">
        <v>0.47155599999999998</v>
      </c>
      <c r="I1181" s="20">
        <f t="shared" si="18"/>
        <v>5441.2846839999993</v>
      </c>
      <c r="J1181" s="6" t="s">
        <v>357</v>
      </c>
    </row>
    <row r="1182" spans="1:10" hidden="1">
      <c r="A1182" s="9">
        <v>46050</v>
      </c>
      <c r="B1182" s="6" t="s">
        <v>1644</v>
      </c>
      <c r="C1182" s="5" t="s">
        <v>1643</v>
      </c>
      <c r="D1182" s="8" t="s">
        <v>293</v>
      </c>
      <c r="E1182" s="6" t="s">
        <v>355</v>
      </c>
      <c r="F1182" s="6" t="s">
        <v>1476</v>
      </c>
      <c r="G1182" s="5">
        <v>15702</v>
      </c>
      <c r="H1182" s="5">
        <v>0.47155599999999998</v>
      </c>
      <c r="I1182" s="20">
        <f t="shared" si="18"/>
        <v>7404.3723119999995</v>
      </c>
      <c r="J1182" s="6" t="s">
        <v>357</v>
      </c>
    </row>
    <row r="1183" spans="1:10" hidden="1">
      <c r="A1183" s="9">
        <v>46050</v>
      </c>
      <c r="B1183" s="6" t="s">
        <v>1646</v>
      </c>
      <c r="C1183" s="5" t="s">
        <v>1645</v>
      </c>
      <c r="D1183" s="8" t="s">
        <v>293</v>
      </c>
      <c r="E1183" s="6" t="s">
        <v>355</v>
      </c>
      <c r="F1183" s="6" t="s">
        <v>1476</v>
      </c>
      <c r="G1183" s="5">
        <v>12015</v>
      </c>
      <c r="H1183" s="5">
        <v>0.47155599999999998</v>
      </c>
      <c r="I1183" s="20">
        <f t="shared" si="18"/>
        <v>5665.7453399999995</v>
      </c>
      <c r="J1183" s="6" t="s">
        <v>357</v>
      </c>
    </row>
    <row r="1184" spans="1:10" hidden="1">
      <c r="A1184" s="9">
        <v>46050</v>
      </c>
      <c r="B1184" s="6" t="s">
        <v>1648</v>
      </c>
      <c r="C1184" s="5" t="s">
        <v>1647</v>
      </c>
      <c r="D1184" s="8" t="s">
        <v>293</v>
      </c>
      <c r="E1184" s="6" t="s">
        <v>355</v>
      </c>
      <c r="F1184" s="6" t="s">
        <v>1476</v>
      </c>
      <c r="G1184" s="5">
        <v>16297</v>
      </c>
      <c r="H1184" s="5">
        <v>0.47155599999999998</v>
      </c>
      <c r="I1184" s="20">
        <f t="shared" si="18"/>
        <v>7684.9481319999995</v>
      </c>
      <c r="J1184" s="6" t="s">
        <v>357</v>
      </c>
    </row>
    <row r="1185" spans="1:10" hidden="1">
      <c r="A1185" s="9">
        <v>46050</v>
      </c>
      <c r="B1185" s="6" t="s">
        <v>1650</v>
      </c>
      <c r="C1185" s="5" t="s">
        <v>1649</v>
      </c>
      <c r="D1185" s="8" t="s">
        <v>293</v>
      </c>
      <c r="E1185" s="6" t="s">
        <v>355</v>
      </c>
      <c r="F1185" s="6" t="s">
        <v>1476</v>
      </c>
      <c r="G1185" s="5">
        <v>16297</v>
      </c>
      <c r="H1185" s="5">
        <v>0.47155599999999998</v>
      </c>
      <c r="I1185" s="20">
        <f t="shared" si="18"/>
        <v>7684.9481319999995</v>
      </c>
      <c r="J1185" s="6" t="s">
        <v>357</v>
      </c>
    </row>
    <row r="1186" spans="1:10" hidden="1">
      <c r="A1186" s="9">
        <v>46050</v>
      </c>
      <c r="B1186" s="6" t="s">
        <v>1652</v>
      </c>
      <c r="C1186" s="5" t="s">
        <v>1651</v>
      </c>
      <c r="D1186" s="8" t="s">
        <v>293</v>
      </c>
      <c r="E1186" s="6" t="s">
        <v>355</v>
      </c>
      <c r="F1186" s="6" t="s">
        <v>1476</v>
      </c>
      <c r="G1186" s="5">
        <v>22006</v>
      </c>
      <c r="H1186" s="5">
        <v>0.47155599999999998</v>
      </c>
      <c r="I1186" s="20">
        <f t="shared" si="18"/>
        <v>10377.061335999999</v>
      </c>
      <c r="J1186" s="6" t="s">
        <v>357</v>
      </c>
    </row>
    <row r="1187" spans="1:10" hidden="1">
      <c r="A1187" s="9">
        <v>46050</v>
      </c>
      <c r="B1187" s="6" t="s">
        <v>1654</v>
      </c>
      <c r="C1187" s="5" t="s">
        <v>1653</v>
      </c>
      <c r="D1187" s="8" t="s">
        <v>293</v>
      </c>
      <c r="E1187" s="6" t="s">
        <v>355</v>
      </c>
      <c r="F1187" s="6" t="s">
        <v>1476</v>
      </c>
      <c r="G1187" s="5">
        <v>17486</v>
      </c>
      <c r="H1187" s="5">
        <v>0.47155599999999998</v>
      </c>
      <c r="I1187" s="20">
        <f t="shared" si="18"/>
        <v>8245.6282159999992</v>
      </c>
      <c r="J1187" s="6" t="s">
        <v>357</v>
      </c>
    </row>
    <row r="1188" spans="1:10" hidden="1">
      <c r="A1188" s="9">
        <v>46050</v>
      </c>
      <c r="B1188" s="6" t="s">
        <v>1656</v>
      </c>
      <c r="C1188" s="5" t="s">
        <v>1655</v>
      </c>
      <c r="D1188" s="8" t="s">
        <v>293</v>
      </c>
      <c r="E1188" s="6" t="s">
        <v>355</v>
      </c>
      <c r="F1188" s="6" t="s">
        <v>1476</v>
      </c>
      <c r="G1188" s="5">
        <v>23790</v>
      </c>
      <c r="H1188" s="5">
        <v>0.47155599999999998</v>
      </c>
      <c r="I1188" s="20">
        <f t="shared" si="18"/>
        <v>11218.31724</v>
      </c>
      <c r="J1188" s="6" t="s">
        <v>357</v>
      </c>
    </row>
    <row r="1189" spans="1:10" hidden="1">
      <c r="A1189" s="9">
        <v>46050</v>
      </c>
      <c r="B1189" s="6" t="s">
        <v>1658</v>
      </c>
      <c r="C1189" s="5" t="s">
        <v>1657</v>
      </c>
      <c r="D1189" s="8" t="s">
        <v>293</v>
      </c>
      <c r="E1189" s="6" t="s">
        <v>355</v>
      </c>
      <c r="F1189" s="6" t="s">
        <v>1476</v>
      </c>
      <c r="G1189" s="5">
        <v>28310</v>
      </c>
      <c r="H1189" s="5">
        <v>0.47155599999999998</v>
      </c>
      <c r="I1189" s="20">
        <f t="shared" si="18"/>
        <v>13349.75036</v>
      </c>
      <c r="J1189" s="6" t="s">
        <v>357</v>
      </c>
    </row>
    <row r="1190" spans="1:10" hidden="1">
      <c r="A1190" s="9">
        <v>46050</v>
      </c>
      <c r="B1190" s="6" t="s">
        <v>1660</v>
      </c>
      <c r="C1190" s="5" t="s">
        <v>1659</v>
      </c>
      <c r="D1190" s="8" t="s">
        <v>293</v>
      </c>
      <c r="E1190" s="6" t="s">
        <v>355</v>
      </c>
      <c r="F1190" s="6" t="s">
        <v>1476</v>
      </c>
      <c r="G1190" s="5">
        <v>31165</v>
      </c>
      <c r="H1190" s="5">
        <v>0.47155599999999998</v>
      </c>
      <c r="I1190" s="20">
        <f t="shared" si="18"/>
        <v>14696.042739999999</v>
      </c>
      <c r="J1190" s="6" t="s">
        <v>357</v>
      </c>
    </row>
    <row r="1191" spans="1:10" hidden="1">
      <c r="A1191" s="9">
        <v>46050</v>
      </c>
      <c r="B1191" s="6" t="s">
        <v>1662</v>
      </c>
      <c r="C1191" s="5" t="s">
        <v>1661</v>
      </c>
      <c r="D1191" s="8" t="s">
        <v>293</v>
      </c>
      <c r="E1191" s="6" t="s">
        <v>355</v>
      </c>
      <c r="F1191" s="6" t="s">
        <v>1476</v>
      </c>
      <c r="G1191" s="5">
        <v>59475</v>
      </c>
      <c r="H1191" s="5">
        <v>0.47155599999999998</v>
      </c>
      <c r="I1191" s="20">
        <f t="shared" si="18"/>
        <v>28045.793099999999</v>
      </c>
      <c r="J1191" s="6" t="s">
        <v>357</v>
      </c>
    </row>
    <row r="1192" spans="1:10" hidden="1">
      <c r="A1192" s="9">
        <v>46050</v>
      </c>
      <c r="B1192" s="6" t="s">
        <v>1664</v>
      </c>
      <c r="C1192" s="5" t="s">
        <v>1663</v>
      </c>
      <c r="D1192" s="8" t="s">
        <v>293</v>
      </c>
      <c r="E1192" s="6" t="s">
        <v>355</v>
      </c>
      <c r="F1192" s="6" t="s">
        <v>1476</v>
      </c>
      <c r="G1192" s="5">
        <v>71369</v>
      </c>
      <c r="H1192" s="5">
        <v>0.47155599999999998</v>
      </c>
      <c r="I1192" s="20">
        <f t="shared" si="18"/>
        <v>33654.480164000001</v>
      </c>
      <c r="J1192" s="6" t="s">
        <v>357</v>
      </c>
    </row>
    <row r="1193" spans="1:10" hidden="1">
      <c r="A1193" s="9">
        <v>46050</v>
      </c>
      <c r="B1193" s="6" t="s">
        <v>1665</v>
      </c>
      <c r="C1193" s="5" t="s">
        <v>312</v>
      </c>
      <c r="D1193" s="8" t="s">
        <v>293</v>
      </c>
      <c r="E1193" s="6" t="s">
        <v>1024</v>
      </c>
      <c r="F1193" s="6" t="s">
        <v>1517</v>
      </c>
      <c r="G1193" s="5">
        <v>9.3000000000000007</v>
      </c>
      <c r="H1193" s="5">
        <v>0.47155599999999998</v>
      </c>
      <c r="I1193" s="20">
        <f t="shared" si="18"/>
        <v>4.3854708000000002</v>
      </c>
      <c r="J1193" s="6" t="s">
        <v>357</v>
      </c>
    </row>
    <row r="1194" spans="1:10" hidden="1">
      <c r="A1194" s="9">
        <v>46050</v>
      </c>
      <c r="B1194" s="6" t="s">
        <v>1667</v>
      </c>
      <c r="C1194" s="5" t="s">
        <v>1666</v>
      </c>
      <c r="D1194" s="8" t="s">
        <v>293</v>
      </c>
      <c r="E1194" s="6" t="s">
        <v>1024</v>
      </c>
      <c r="F1194" s="6" t="s">
        <v>1517</v>
      </c>
      <c r="G1194" s="5">
        <v>17.5</v>
      </c>
      <c r="H1194" s="5">
        <v>0.47155599999999998</v>
      </c>
      <c r="I1194" s="20">
        <f t="shared" si="18"/>
        <v>8.2522299999999991</v>
      </c>
      <c r="J1194" s="6" t="s">
        <v>357</v>
      </c>
    </row>
    <row r="1195" spans="1:10" hidden="1">
      <c r="A1195" s="9">
        <v>46050</v>
      </c>
      <c r="B1195" s="6" t="s">
        <v>1668</v>
      </c>
      <c r="C1195" s="5" t="s">
        <v>292</v>
      </c>
      <c r="D1195" s="8" t="s">
        <v>293</v>
      </c>
      <c r="E1195" s="6" t="s">
        <v>1024</v>
      </c>
      <c r="F1195" s="6" t="s">
        <v>1517</v>
      </c>
      <c r="G1195" s="5">
        <v>25.5</v>
      </c>
      <c r="H1195" s="5">
        <v>0.47155599999999998</v>
      </c>
      <c r="I1195" s="20">
        <f t="shared" si="18"/>
        <v>12.024678</v>
      </c>
      <c r="J1195" s="6" t="s">
        <v>357</v>
      </c>
    </row>
    <row r="1196" spans="1:10" hidden="1">
      <c r="A1196" s="9">
        <v>46050</v>
      </c>
      <c r="B1196" s="6" t="s">
        <v>1670</v>
      </c>
      <c r="C1196" s="5" t="s">
        <v>1669</v>
      </c>
      <c r="D1196" s="8" t="s">
        <v>293</v>
      </c>
      <c r="E1196" s="6" t="s">
        <v>1024</v>
      </c>
      <c r="F1196" s="6" t="s">
        <v>1517</v>
      </c>
      <c r="G1196" s="5">
        <v>33.6</v>
      </c>
      <c r="H1196" s="5">
        <v>0.47155599999999998</v>
      </c>
      <c r="I1196" s="20">
        <f t="shared" si="18"/>
        <v>15.8442816</v>
      </c>
      <c r="J1196" s="6" t="s">
        <v>357</v>
      </c>
    </row>
    <row r="1197" spans="1:10" hidden="1">
      <c r="A1197" s="9">
        <v>46050</v>
      </c>
      <c r="B1197" s="6" t="s">
        <v>347</v>
      </c>
      <c r="C1197" s="5" t="s">
        <v>334</v>
      </c>
      <c r="D1197" s="8" t="s">
        <v>293</v>
      </c>
      <c r="E1197" s="6" t="s">
        <v>1024</v>
      </c>
      <c r="F1197" s="6" t="s">
        <v>1517</v>
      </c>
      <c r="G1197" s="5">
        <v>44.7</v>
      </c>
      <c r="H1197" s="5">
        <v>0.47155599999999998</v>
      </c>
      <c r="I1197" s="20">
        <f t="shared" si="18"/>
        <v>21.078553200000002</v>
      </c>
      <c r="J1197" s="6" t="s">
        <v>357</v>
      </c>
    </row>
    <row r="1198" spans="1:10" hidden="1">
      <c r="A1198" s="9">
        <v>46050</v>
      </c>
      <c r="B1198" s="6" t="s">
        <v>1672</v>
      </c>
      <c r="C1198" s="5" t="s">
        <v>1671</v>
      </c>
      <c r="D1198" s="8" t="s">
        <v>293</v>
      </c>
      <c r="E1198" s="6" t="s">
        <v>1024</v>
      </c>
      <c r="F1198" s="6" t="s">
        <v>1517</v>
      </c>
      <c r="G1198" s="5">
        <v>49.3</v>
      </c>
      <c r="H1198" s="5">
        <v>0.47155599999999998</v>
      </c>
      <c r="I1198" s="20">
        <f t="shared" si="18"/>
        <v>23.247710799999997</v>
      </c>
      <c r="J1198" s="6" t="s">
        <v>357</v>
      </c>
    </row>
    <row r="1199" spans="1:10" hidden="1">
      <c r="A1199" s="9">
        <v>46050</v>
      </c>
      <c r="B1199" s="24" t="s">
        <v>5614</v>
      </c>
      <c r="C1199" s="14" t="s">
        <v>5613</v>
      </c>
      <c r="D1199" s="23" t="s">
        <v>293</v>
      </c>
      <c r="E1199" s="106" t="s">
        <v>1024</v>
      </c>
      <c r="F1199" s="106" t="s">
        <v>1517</v>
      </c>
      <c r="G1199" s="107">
        <v>59.6</v>
      </c>
      <c r="H1199" s="5">
        <v>0.47155599999999998</v>
      </c>
      <c r="I1199" s="20">
        <f t="shared" si="18"/>
        <v>28.1047376</v>
      </c>
      <c r="J1199" s="6" t="s">
        <v>357</v>
      </c>
    </row>
    <row r="1200" spans="1:10" hidden="1">
      <c r="A1200" s="9">
        <v>46050</v>
      </c>
      <c r="B1200" s="24" t="s">
        <v>5616</v>
      </c>
      <c r="C1200" s="14" t="s">
        <v>5615</v>
      </c>
      <c r="D1200" s="23" t="s">
        <v>293</v>
      </c>
      <c r="E1200" s="106" t="s">
        <v>1024</v>
      </c>
      <c r="F1200" s="106" t="s">
        <v>1517</v>
      </c>
      <c r="G1200" s="107">
        <v>69.099999999999994</v>
      </c>
      <c r="H1200" s="5">
        <v>0.47155599999999998</v>
      </c>
      <c r="I1200" s="20">
        <f t="shared" si="18"/>
        <v>32.584519599999993</v>
      </c>
      <c r="J1200" s="6" t="s">
        <v>357</v>
      </c>
    </row>
    <row r="1201" spans="1:10" hidden="1">
      <c r="A1201" s="9">
        <v>46050</v>
      </c>
      <c r="B1201" s="6" t="s">
        <v>1674</v>
      </c>
      <c r="C1201" s="5" t="s">
        <v>1673</v>
      </c>
      <c r="D1201" s="8" t="s">
        <v>293</v>
      </c>
      <c r="E1201" s="6" t="s">
        <v>1024</v>
      </c>
      <c r="F1201" s="6" t="s">
        <v>1517</v>
      </c>
      <c r="G1201" s="5">
        <v>82.2</v>
      </c>
      <c r="H1201" s="5">
        <v>0.47155599999999998</v>
      </c>
      <c r="I1201" s="20">
        <f t="shared" si="18"/>
        <v>38.761903199999999</v>
      </c>
      <c r="J1201" s="6" t="s">
        <v>357</v>
      </c>
    </row>
    <row r="1202" spans="1:10" hidden="1">
      <c r="A1202" s="9">
        <v>46050</v>
      </c>
      <c r="B1202" s="6" t="s">
        <v>1676</v>
      </c>
      <c r="C1202" s="5" t="s">
        <v>1675</v>
      </c>
      <c r="D1202" s="8" t="s">
        <v>293</v>
      </c>
      <c r="E1202" s="6" t="s">
        <v>1024</v>
      </c>
      <c r="F1202" s="6" t="s">
        <v>1517</v>
      </c>
      <c r="G1202" s="5">
        <v>101.2</v>
      </c>
      <c r="H1202" s="5">
        <v>0.47155599999999998</v>
      </c>
      <c r="I1202" s="20">
        <f t="shared" si="18"/>
        <v>47.721467199999999</v>
      </c>
      <c r="J1202" s="6" t="s">
        <v>357</v>
      </c>
    </row>
    <row r="1203" spans="1:10" hidden="1">
      <c r="A1203" s="9">
        <v>46050</v>
      </c>
      <c r="B1203" s="6" t="s">
        <v>1678</v>
      </c>
      <c r="C1203" s="5" t="s">
        <v>1677</v>
      </c>
      <c r="D1203" s="8" t="s">
        <v>293</v>
      </c>
      <c r="E1203" s="6" t="s">
        <v>1024</v>
      </c>
      <c r="F1203" s="6" t="s">
        <v>1517</v>
      </c>
      <c r="G1203" s="5">
        <v>82.2</v>
      </c>
      <c r="H1203" s="5">
        <v>0.47155599999999998</v>
      </c>
      <c r="I1203" s="20">
        <f t="shared" si="18"/>
        <v>38.761903199999999</v>
      </c>
      <c r="J1203" s="6" t="s">
        <v>357</v>
      </c>
    </row>
    <row r="1204" spans="1:10" hidden="1">
      <c r="A1204" s="9">
        <v>46050</v>
      </c>
      <c r="B1204" s="6" t="s">
        <v>1680</v>
      </c>
      <c r="C1204" s="5" t="s">
        <v>1679</v>
      </c>
      <c r="D1204" s="8" t="s">
        <v>293</v>
      </c>
      <c r="E1204" s="6" t="s">
        <v>1024</v>
      </c>
      <c r="F1204" s="6" t="s">
        <v>1517</v>
      </c>
      <c r="G1204" s="5">
        <v>163.1</v>
      </c>
      <c r="H1204" s="5">
        <v>0.47155599999999998</v>
      </c>
      <c r="I1204" s="20">
        <f t="shared" si="18"/>
        <v>76.910783599999988</v>
      </c>
      <c r="J1204" s="6" t="s">
        <v>357</v>
      </c>
    </row>
    <row r="1205" spans="1:10" hidden="1">
      <c r="A1205" s="9">
        <v>46050</v>
      </c>
      <c r="B1205" s="6" t="s">
        <v>1682</v>
      </c>
      <c r="C1205" s="5" t="s">
        <v>1681</v>
      </c>
      <c r="D1205" s="8" t="s">
        <v>293</v>
      </c>
      <c r="E1205" s="6" t="s">
        <v>1024</v>
      </c>
      <c r="F1205" s="6" t="s">
        <v>1517</v>
      </c>
      <c r="G1205" s="5">
        <v>201.1</v>
      </c>
      <c r="H1205" s="5">
        <v>0.47155599999999998</v>
      </c>
      <c r="I1205" s="20">
        <f t="shared" si="18"/>
        <v>94.829911599999988</v>
      </c>
      <c r="J1205" s="6" t="s">
        <v>357</v>
      </c>
    </row>
    <row r="1206" spans="1:10" hidden="1">
      <c r="A1206" s="9">
        <v>46050</v>
      </c>
      <c r="B1206" s="6" t="s">
        <v>1684</v>
      </c>
      <c r="C1206" s="5" t="s">
        <v>1683</v>
      </c>
      <c r="D1206" s="8" t="s">
        <v>293</v>
      </c>
      <c r="E1206" s="6" t="s">
        <v>1024</v>
      </c>
      <c r="F1206" s="6" t="s">
        <v>1517</v>
      </c>
      <c r="G1206" s="5">
        <v>163.1</v>
      </c>
      <c r="H1206" s="5">
        <v>0.47155599999999998</v>
      </c>
      <c r="I1206" s="20">
        <f t="shared" si="18"/>
        <v>76.910783599999988</v>
      </c>
      <c r="J1206" s="6" t="s">
        <v>357</v>
      </c>
    </row>
    <row r="1207" spans="1:10" hidden="1">
      <c r="A1207" s="9">
        <v>46050</v>
      </c>
      <c r="B1207" s="6" t="s">
        <v>1686</v>
      </c>
      <c r="C1207" s="5" t="s">
        <v>1685</v>
      </c>
      <c r="D1207" s="8" t="s">
        <v>293</v>
      </c>
      <c r="E1207" s="6" t="s">
        <v>1024</v>
      </c>
      <c r="F1207" s="6" t="s">
        <v>1517</v>
      </c>
      <c r="G1207" s="5">
        <v>245.1</v>
      </c>
      <c r="H1207" s="5">
        <v>0.47155599999999998</v>
      </c>
      <c r="I1207" s="20">
        <f t="shared" si="18"/>
        <v>115.57837559999999</v>
      </c>
      <c r="J1207" s="6" t="s">
        <v>357</v>
      </c>
    </row>
    <row r="1208" spans="1:10" hidden="1">
      <c r="A1208" s="9">
        <v>46050</v>
      </c>
      <c r="B1208" s="6" t="s">
        <v>1688</v>
      </c>
      <c r="C1208" s="5" t="s">
        <v>1687</v>
      </c>
      <c r="D1208" s="8" t="s">
        <v>293</v>
      </c>
      <c r="E1208" s="6" t="s">
        <v>1024</v>
      </c>
      <c r="F1208" s="6" t="s">
        <v>1517</v>
      </c>
      <c r="G1208" s="5">
        <v>301.10000000000002</v>
      </c>
      <c r="H1208" s="5">
        <v>0.47155599999999998</v>
      </c>
      <c r="I1208" s="20">
        <f t="shared" si="18"/>
        <v>141.9855116</v>
      </c>
      <c r="J1208" s="6" t="s">
        <v>357</v>
      </c>
    </row>
    <row r="1209" spans="1:10" hidden="1">
      <c r="A1209" s="9">
        <v>46050</v>
      </c>
      <c r="B1209" s="6" t="s">
        <v>1690</v>
      </c>
      <c r="C1209" s="5" t="s">
        <v>1689</v>
      </c>
      <c r="D1209" s="8" t="s">
        <v>293</v>
      </c>
      <c r="E1209" s="6" t="s">
        <v>1024</v>
      </c>
      <c r="F1209" s="6" t="s">
        <v>1517</v>
      </c>
      <c r="G1209" s="5">
        <v>245.1</v>
      </c>
      <c r="H1209" s="5">
        <v>0.47155599999999998</v>
      </c>
      <c r="I1209" s="20">
        <f t="shared" si="18"/>
        <v>115.57837559999999</v>
      </c>
      <c r="J1209" s="6" t="s">
        <v>357</v>
      </c>
    </row>
    <row r="1210" spans="1:10" hidden="1">
      <c r="A1210" s="9">
        <v>46050</v>
      </c>
      <c r="B1210" s="6" t="s">
        <v>327</v>
      </c>
      <c r="C1210" s="5" t="s">
        <v>326</v>
      </c>
      <c r="D1210" s="8" t="s">
        <v>293</v>
      </c>
      <c r="E1210" s="6" t="s">
        <v>602</v>
      </c>
      <c r="F1210" s="6" t="s">
        <v>1691</v>
      </c>
      <c r="G1210" s="5">
        <v>51</v>
      </c>
      <c r="H1210" s="5">
        <v>0.47155599999999998</v>
      </c>
      <c r="I1210" s="20">
        <f t="shared" si="18"/>
        <v>24.049356</v>
      </c>
      <c r="J1210" s="6" t="s">
        <v>357</v>
      </c>
    </row>
    <row r="1211" spans="1:10" hidden="1">
      <c r="A1211" s="9">
        <v>46050</v>
      </c>
      <c r="B1211" s="6" t="s">
        <v>1693</v>
      </c>
      <c r="C1211" s="5" t="s">
        <v>1692</v>
      </c>
      <c r="D1211" s="8" t="s">
        <v>293</v>
      </c>
      <c r="E1211" s="6" t="s">
        <v>602</v>
      </c>
      <c r="F1211" s="6" t="s">
        <v>1691</v>
      </c>
      <c r="G1211" s="5">
        <v>314</v>
      </c>
      <c r="H1211" s="5">
        <v>0.47155599999999998</v>
      </c>
      <c r="I1211" s="20">
        <f t="shared" si="18"/>
        <v>148.06858399999999</v>
      </c>
      <c r="J1211" s="6" t="s">
        <v>357</v>
      </c>
    </row>
    <row r="1212" spans="1:10" hidden="1">
      <c r="A1212" s="9">
        <v>46050</v>
      </c>
      <c r="B1212" s="6" t="s">
        <v>1695</v>
      </c>
      <c r="C1212" s="5" t="s">
        <v>1694</v>
      </c>
      <c r="D1212" s="8" t="s">
        <v>293</v>
      </c>
      <c r="E1212" s="6" t="s">
        <v>602</v>
      </c>
      <c r="F1212" s="6" t="s">
        <v>1691</v>
      </c>
      <c r="G1212" s="5">
        <v>54</v>
      </c>
      <c r="H1212" s="5">
        <v>0.47155599999999998</v>
      </c>
      <c r="I1212" s="20">
        <f t="shared" si="18"/>
        <v>25.464023999999998</v>
      </c>
      <c r="J1212" s="6" t="s">
        <v>357</v>
      </c>
    </row>
    <row r="1213" spans="1:10" hidden="1">
      <c r="A1213" s="9">
        <v>46050</v>
      </c>
      <c r="B1213" s="6" t="s">
        <v>1697</v>
      </c>
      <c r="C1213" s="5" t="s">
        <v>1696</v>
      </c>
      <c r="D1213" s="8" t="s">
        <v>293</v>
      </c>
      <c r="E1213" s="6" t="s">
        <v>602</v>
      </c>
      <c r="F1213" s="6" t="s">
        <v>1691</v>
      </c>
      <c r="G1213" s="5">
        <v>620</v>
      </c>
      <c r="H1213" s="5">
        <v>0.47155599999999998</v>
      </c>
      <c r="I1213" s="20">
        <f t="shared" si="18"/>
        <v>292.36471999999998</v>
      </c>
      <c r="J1213" s="6" t="s">
        <v>357</v>
      </c>
    </row>
    <row r="1214" spans="1:10" hidden="1">
      <c r="A1214" s="9">
        <v>46050</v>
      </c>
      <c r="B1214" s="6" t="s">
        <v>1699</v>
      </c>
      <c r="C1214" s="5" t="s">
        <v>1698</v>
      </c>
      <c r="D1214" s="8" t="s">
        <v>293</v>
      </c>
      <c r="E1214" s="6" t="s">
        <v>602</v>
      </c>
      <c r="F1214" s="6" t="s">
        <v>1691</v>
      </c>
      <c r="G1214" s="5">
        <v>779</v>
      </c>
      <c r="H1214" s="5">
        <v>0.47155599999999998</v>
      </c>
      <c r="I1214" s="20">
        <f t="shared" si="18"/>
        <v>367.34212399999996</v>
      </c>
      <c r="J1214" s="6" t="s">
        <v>357</v>
      </c>
    </row>
    <row r="1215" spans="1:10" hidden="1">
      <c r="A1215" s="9">
        <v>46050</v>
      </c>
      <c r="B1215" s="6" t="s">
        <v>1701</v>
      </c>
      <c r="C1215" s="5" t="s">
        <v>1700</v>
      </c>
      <c r="D1215" s="8" t="s">
        <v>293</v>
      </c>
      <c r="E1215" s="6" t="s">
        <v>602</v>
      </c>
      <c r="F1215" s="6" t="s">
        <v>1691</v>
      </c>
      <c r="G1215" s="5">
        <v>58</v>
      </c>
      <c r="H1215" s="5">
        <v>0.47155599999999998</v>
      </c>
      <c r="I1215" s="20">
        <f t="shared" si="18"/>
        <v>27.350247999999997</v>
      </c>
      <c r="J1215" s="6" t="s">
        <v>357</v>
      </c>
    </row>
    <row r="1216" spans="1:10" hidden="1">
      <c r="A1216" s="9">
        <v>46050</v>
      </c>
      <c r="B1216" s="6" t="s">
        <v>1703</v>
      </c>
      <c r="C1216" s="5" t="s">
        <v>1702</v>
      </c>
      <c r="D1216" s="8" t="s">
        <v>293</v>
      </c>
      <c r="E1216" s="6" t="s">
        <v>602</v>
      </c>
      <c r="F1216" s="6" t="s">
        <v>1691</v>
      </c>
      <c r="G1216" s="5">
        <v>1017</v>
      </c>
      <c r="H1216" s="5">
        <v>0.47155599999999998</v>
      </c>
      <c r="I1216" s="20">
        <f t="shared" si="18"/>
        <v>479.572452</v>
      </c>
      <c r="J1216" s="6" t="s">
        <v>357</v>
      </c>
    </row>
    <row r="1217" spans="1:10" hidden="1">
      <c r="A1217" s="9">
        <v>46050</v>
      </c>
      <c r="B1217" s="6" t="s">
        <v>1705</v>
      </c>
      <c r="C1217" s="5" t="s">
        <v>1704</v>
      </c>
      <c r="D1217" s="8" t="s">
        <v>293</v>
      </c>
      <c r="E1217" s="6" t="s">
        <v>602</v>
      </c>
      <c r="F1217" s="6" t="s">
        <v>1691</v>
      </c>
      <c r="G1217" s="5">
        <v>1268</v>
      </c>
      <c r="H1217" s="5">
        <v>0.47155599999999998</v>
      </c>
      <c r="I1217" s="20">
        <f t="shared" si="18"/>
        <v>597.93300799999997</v>
      </c>
      <c r="J1217" s="6" t="s">
        <v>357</v>
      </c>
    </row>
    <row r="1218" spans="1:10" hidden="1">
      <c r="A1218" s="9">
        <v>46050</v>
      </c>
      <c r="B1218" s="6" t="s">
        <v>1707</v>
      </c>
      <c r="C1218" s="5" t="s">
        <v>1706</v>
      </c>
      <c r="D1218" s="8" t="s">
        <v>293</v>
      </c>
      <c r="E1218" s="6" t="s">
        <v>602</v>
      </c>
      <c r="F1218" s="6" t="s">
        <v>1691</v>
      </c>
      <c r="G1218" s="5">
        <v>75</v>
      </c>
      <c r="H1218" s="5">
        <v>0.47155599999999998</v>
      </c>
      <c r="I1218" s="20">
        <f t="shared" si="18"/>
        <v>35.366700000000002</v>
      </c>
      <c r="J1218" s="6" t="s">
        <v>357</v>
      </c>
    </row>
    <row r="1219" spans="1:10" hidden="1">
      <c r="A1219" s="9">
        <v>46050</v>
      </c>
      <c r="B1219" s="6" t="s">
        <v>1709</v>
      </c>
      <c r="C1219" s="5" t="s">
        <v>1708</v>
      </c>
      <c r="D1219" s="8" t="s">
        <v>293</v>
      </c>
      <c r="E1219" s="6" t="s">
        <v>602</v>
      </c>
      <c r="F1219" s="6" t="s">
        <v>1691</v>
      </c>
      <c r="G1219" s="5">
        <v>1589</v>
      </c>
      <c r="H1219" s="5">
        <v>0.47155599999999998</v>
      </c>
      <c r="I1219" s="20">
        <f t="shared" ref="I1219:I1282" si="19">H1219*G1219</f>
        <v>749.30248399999994</v>
      </c>
      <c r="J1219" s="6" t="s">
        <v>357</v>
      </c>
    </row>
    <row r="1220" spans="1:10" hidden="1">
      <c r="A1220" s="9">
        <v>46050</v>
      </c>
      <c r="B1220" s="6" t="s">
        <v>1711</v>
      </c>
      <c r="C1220" s="5" t="s">
        <v>1710</v>
      </c>
      <c r="D1220" s="8" t="s">
        <v>293</v>
      </c>
      <c r="E1220" s="6" t="s">
        <v>602</v>
      </c>
      <c r="F1220" s="6" t="s">
        <v>1691</v>
      </c>
      <c r="G1220" s="5">
        <v>97</v>
      </c>
      <c r="H1220" s="5">
        <v>0.47155599999999998</v>
      </c>
      <c r="I1220" s="20">
        <f t="shared" si="19"/>
        <v>45.740932000000001</v>
      </c>
      <c r="J1220" s="6" t="s">
        <v>357</v>
      </c>
    </row>
    <row r="1221" spans="1:10" hidden="1">
      <c r="A1221" s="9">
        <v>46050</v>
      </c>
      <c r="B1221" s="6" t="s">
        <v>1713</v>
      </c>
      <c r="C1221" s="5" t="s">
        <v>1712</v>
      </c>
      <c r="D1221" s="8" t="s">
        <v>293</v>
      </c>
      <c r="E1221" s="6" t="s">
        <v>602</v>
      </c>
      <c r="F1221" s="6" t="s">
        <v>1691</v>
      </c>
      <c r="G1221" s="5">
        <v>2034</v>
      </c>
      <c r="H1221" s="5">
        <v>0.47155599999999998</v>
      </c>
      <c r="I1221" s="20">
        <f t="shared" si="19"/>
        <v>959.144904</v>
      </c>
      <c r="J1221" s="6" t="s">
        <v>357</v>
      </c>
    </row>
    <row r="1222" spans="1:10" hidden="1">
      <c r="A1222" s="9">
        <v>46050</v>
      </c>
      <c r="B1222" s="6" t="s">
        <v>309</v>
      </c>
      <c r="C1222" s="5" t="s">
        <v>308</v>
      </c>
      <c r="D1222" s="8" t="s">
        <v>293</v>
      </c>
      <c r="E1222" s="6" t="s">
        <v>602</v>
      </c>
      <c r="F1222" s="6" t="s">
        <v>1691</v>
      </c>
      <c r="G1222" s="5">
        <v>173</v>
      </c>
      <c r="H1222" s="5">
        <v>0.47155599999999998</v>
      </c>
      <c r="I1222" s="20">
        <f t="shared" si="19"/>
        <v>81.579188000000002</v>
      </c>
      <c r="J1222" s="6" t="s">
        <v>357</v>
      </c>
    </row>
    <row r="1223" spans="1:10" hidden="1">
      <c r="A1223" s="9">
        <v>46050</v>
      </c>
      <c r="B1223" s="6" t="s">
        <v>1715</v>
      </c>
      <c r="C1223" s="5" t="s">
        <v>1714</v>
      </c>
      <c r="D1223" s="8" t="s">
        <v>293</v>
      </c>
      <c r="E1223" s="6" t="s">
        <v>602</v>
      </c>
      <c r="F1223" s="6" t="s">
        <v>1691</v>
      </c>
      <c r="G1223" s="5">
        <v>2154</v>
      </c>
      <c r="H1223" s="5">
        <v>0.47155599999999998</v>
      </c>
      <c r="I1223" s="20">
        <f t="shared" si="19"/>
        <v>1015.7316239999999</v>
      </c>
      <c r="J1223" s="6" t="s">
        <v>357</v>
      </c>
    </row>
    <row r="1224" spans="1:10" hidden="1">
      <c r="A1224" s="9">
        <v>46050</v>
      </c>
      <c r="B1224" s="6" t="s">
        <v>1717</v>
      </c>
      <c r="C1224" s="5" t="s">
        <v>1716</v>
      </c>
      <c r="D1224" s="8" t="s">
        <v>293</v>
      </c>
      <c r="E1224" s="6" t="s">
        <v>602</v>
      </c>
      <c r="F1224" s="6" t="s">
        <v>1691</v>
      </c>
      <c r="G1224" s="5">
        <v>179</v>
      </c>
      <c r="H1224" s="5">
        <v>0.47155599999999998</v>
      </c>
      <c r="I1224" s="20">
        <f t="shared" si="19"/>
        <v>84.408524</v>
      </c>
      <c r="J1224" s="6" t="s">
        <v>357</v>
      </c>
    </row>
    <row r="1225" spans="1:10" hidden="1">
      <c r="A1225" s="9">
        <v>46050</v>
      </c>
      <c r="B1225" s="6" t="s">
        <v>1719</v>
      </c>
      <c r="C1225" s="5" t="s">
        <v>1718</v>
      </c>
      <c r="D1225" s="8" t="s">
        <v>293</v>
      </c>
      <c r="E1225" s="6" t="s">
        <v>602</v>
      </c>
      <c r="F1225" s="6" t="s">
        <v>1691</v>
      </c>
      <c r="G1225" s="5">
        <v>3149</v>
      </c>
      <c r="H1225" s="5">
        <v>0.47155599999999998</v>
      </c>
      <c r="I1225" s="20">
        <f t="shared" si="19"/>
        <v>1484.929844</v>
      </c>
      <c r="J1225" s="6" t="s">
        <v>357</v>
      </c>
    </row>
    <row r="1226" spans="1:10" hidden="1">
      <c r="A1226" s="9">
        <v>46050</v>
      </c>
      <c r="B1226" s="6" t="s">
        <v>1721</v>
      </c>
      <c r="C1226" s="5" t="s">
        <v>1720</v>
      </c>
      <c r="D1226" s="8" t="s">
        <v>293</v>
      </c>
      <c r="E1226" s="6" t="s">
        <v>602</v>
      </c>
      <c r="F1226" s="6" t="s">
        <v>1691</v>
      </c>
      <c r="G1226" s="5">
        <v>3740</v>
      </c>
      <c r="H1226" s="5">
        <v>0.47155599999999998</v>
      </c>
      <c r="I1226" s="20">
        <f t="shared" si="19"/>
        <v>1763.6194399999999</v>
      </c>
      <c r="J1226" s="6" t="s">
        <v>357</v>
      </c>
    </row>
    <row r="1227" spans="1:10" hidden="1">
      <c r="A1227" s="9">
        <v>46050</v>
      </c>
      <c r="B1227" s="6" t="s">
        <v>1723</v>
      </c>
      <c r="C1227" s="5" t="s">
        <v>1722</v>
      </c>
      <c r="D1227" s="8" t="s">
        <v>293</v>
      </c>
      <c r="E1227" s="6" t="s">
        <v>602</v>
      </c>
      <c r="F1227" s="6" t="s">
        <v>1691</v>
      </c>
      <c r="G1227" s="5">
        <v>220</v>
      </c>
      <c r="H1227" s="5">
        <v>0.47155599999999998</v>
      </c>
      <c r="I1227" s="20">
        <f t="shared" si="19"/>
        <v>103.74231999999999</v>
      </c>
      <c r="J1227" s="6" t="s">
        <v>357</v>
      </c>
    </row>
    <row r="1228" spans="1:10" hidden="1">
      <c r="A1228" s="9">
        <v>46050</v>
      </c>
      <c r="B1228" s="6" t="s">
        <v>1725</v>
      </c>
      <c r="C1228" s="5" t="s">
        <v>1724</v>
      </c>
      <c r="D1228" s="8" t="s">
        <v>293</v>
      </c>
      <c r="E1228" s="6" t="s">
        <v>602</v>
      </c>
      <c r="F1228" s="6" t="s">
        <v>1691</v>
      </c>
      <c r="G1228" s="5">
        <v>292</v>
      </c>
      <c r="H1228" s="5">
        <v>0.47155599999999998</v>
      </c>
      <c r="I1228" s="20">
        <f t="shared" si="19"/>
        <v>137.69435199999998</v>
      </c>
      <c r="J1228" s="6" t="s">
        <v>357</v>
      </c>
    </row>
    <row r="1229" spans="1:10" ht="30" hidden="1">
      <c r="A1229" s="350">
        <v>46064</v>
      </c>
      <c r="B1229" s="349" t="s">
        <v>7733</v>
      </c>
      <c r="C1229" s="346" t="s">
        <v>7741</v>
      </c>
      <c r="D1229" s="347" t="s">
        <v>293</v>
      </c>
      <c r="E1229" s="25" t="s">
        <v>602</v>
      </c>
      <c r="F1229" s="25" t="s">
        <v>7728</v>
      </c>
      <c r="G1229" s="31">
        <v>1500</v>
      </c>
      <c r="H1229" s="5">
        <v>0.47155599999999998</v>
      </c>
      <c r="I1229" s="348">
        <f t="shared" si="19"/>
        <v>707.33399999999995</v>
      </c>
      <c r="J1229" s="111" t="s">
        <v>357</v>
      </c>
    </row>
    <row r="1230" spans="1:10" ht="30" hidden="1">
      <c r="A1230" s="350">
        <v>46064</v>
      </c>
      <c r="B1230" s="349" t="s">
        <v>7734</v>
      </c>
      <c r="C1230" s="346" t="s">
        <v>7742</v>
      </c>
      <c r="D1230" s="347" t="s">
        <v>293</v>
      </c>
      <c r="E1230" s="25" t="s">
        <v>602</v>
      </c>
      <c r="F1230" s="25" t="s">
        <v>7728</v>
      </c>
      <c r="G1230" s="31">
        <v>1750</v>
      </c>
      <c r="H1230" s="5">
        <v>0.47155599999999998</v>
      </c>
      <c r="I1230" s="348">
        <f t="shared" si="19"/>
        <v>825.22299999999996</v>
      </c>
      <c r="J1230" s="111" t="s">
        <v>357</v>
      </c>
    </row>
    <row r="1231" spans="1:10" ht="30" hidden="1">
      <c r="A1231" s="350">
        <v>46064</v>
      </c>
      <c r="B1231" s="349" t="s">
        <v>7735</v>
      </c>
      <c r="C1231" s="346" t="s">
        <v>7743</v>
      </c>
      <c r="D1231" s="347" t="s">
        <v>293</v>
      </c>
      <c r="E1231" s="25" t="s">
        <v>602</v>
      </c>
      <c r="F1231" s="25" t="s">
        <v>7728</v>
      </c>
      <c r="G1231" s="31">
        <v>1830</v>
      </c>
      <c r="H1231" s="5">
        <v>0.47155599999999998</v>
      </c>
      <c r="I1231" s="348">
        <f t="shared" si="19"/>
        <v>862.94747999999993</v>
      </c>
      <c r="J1231" s="111" t="s">
        <v>357</v>
      </c>
    </row>
    <row r="1232" spans="1:10" ht="30" hidden="1">
      <c r="A1232" s="350">
        <v>46064</v>
      </c>
      <c r="B1232" s="349" t="s">
        <v>7727</v>
      </c>
      <c r="C1232" s="346" t="s">
        <v>7737</v>
      </c>
      <c r="D1232" s="347" t="s">
        <v>293</v>
      </c>
      <c r="E1232" s="25" t="s">
        <v>602</v>
      </c>
      <c r="F1232" s="25" t="s">
        <v>7728</v>
      </c>
      <c r="G1232" s="31">
        <v>170</v>
      </c>
      <c r="H1232" s="5">
        <v>0.47155599999999998</v>
      </c>
      <c r="I1232" s="348">
        <f t="shared" si="19"/>
        <v>80.164519999999996</v>
      </c>
      <c r="J1232" s="111" t="s">
        <v>357</v>
      </c>
    </row>
    <row r="1233" spans="1:10" ht="30" hidden="1">
      <c r="A1233" s="350">
        <v>46064</v>
      </c>
      <c r="B1233" s="349" t="s">
        <v>7729</v>
      </c>
      <c r="C1233" s="346" t="s">
        <v>7738</v>
      </c>
      <c r="D1233" s="347" t="s">
        <v>293</v>
      </c>
      <c r="E1233" s="25" t="s">
        <v>602</v>
      </c>
      <c r="F1233" s="25" t="s">
        <v>7728</v>
      </c>
      <c r="G1233" s="31">
        <v>210</v>
      </c>
      <c r="H1233" s="5">
        <v>0.47155599999999998</v>
      </c>
      <c r="I1233" s="348">
        <f t="shared" si="19"/>
        <v>99.026759999999996</v>
      </c>
      <c r="J1233" s="111" t="s">
        <v>357</v>
      </c>
    </row>
    <row r="1234" spans="1:10" ht="30" hidden="1">
      <c r="A1234" s="350">
        <v>46064</v>
      </c>
      <c r="B1234" s="349" t="s">
        <v>7730</v>
      </c>
      <c r="C1234" s="346" t="s">
        <v>7739</v>
      </c>
      <c r="D1234" s="347" t="s">
        <v>293</v>
      </c>
      <c r="E1234" s="25" t="s">
        <v>602</v>
      </c>
      <c r="F1234" s="25" t="s">
        <v>7728</v>
      </c>
      <c r="G1234" s="31">
        <v>300</v>
      </c>
      <c r="H1234" s="5">
        <v>0.47155599999999998</v>
      </c>
      <c r="I1234" s="348">
        <f t="shared" si="19"/>
        <v>141.46680000000001</v>
      </c>
      <c r="J1234" s="111" t="s">
        <v>357</v>
      </c>
    </row>
    <row r="1235" spans="1:10" ht="30" hidden="1">
      <c r="A1235" s="350">
        <v>46064</v>
      </c>
      <c r="B1235" s="349" t="s">
        <v>7731</v>
      </c>
      <c r="C1235" s="346" t="s">
        <v>7740</v>
      </c>
      <c r="D1235" s="347" t="s">
        <v>293</v>
      </c>
      <c r="E1235" s="25" t="s">
        <v>602</v>
      </c>
      <c r="F1235" s="25" t="s">
        <v>7728</v>
      </c>
      <c r="G1235" s="31">
        <v>570</v>
      </c>
      <c r="H1235" s="5">
        <v>0.47155599999999998</v>
      </c>
      <c r="I1235" s="348">
        <f t="shared" si="19"/>
        <v>268.78692000000001</v>
      </c>
      <c r="J1235" s="111" t="s">
        <v>357</v>
      </c>
    </row>
    <row r="1236" spans="1:10" ht="45" hidden="1">
      <c r="A1236" s="350">
        <v>46064</v>
      </c>
      <c r="B1236" s="349" t="s">
        <v>7732</v>
      </c>
      <c r="C1236" s="346" t="s">
        <v>7736</v>
      </c>
      <c r="D1236" s="347" t="s">
        <v>293</v>
      </c>
      <c r="E1236" s="25" t="s">
        <v>602</v>
      </c>
      <c r="F1236" s="25" t="s">
        <v>7728</v>
      </c>
      <c r="G1236" s="31">
        <v>820</v>
      </c>
      <c r="H1236" s="5">
        <v>0.47155599999999998</v>
      </c>
      <c r="I1236" s="348">
        <f t="shared" si="19"/>
        <v>386.67591999999996</v>
      </c>
      <c r="J1236" s="111" t="s">
        <v>357</v>
      </c>
    </row>
    <row r="1237" spans="1:10" hidden="1">
      <c r="A1237" s="9">
        <v>46050</v>
      </c>
      <c r="B1237" s="6" t="s">
        <v>338</v>
      </c>
      <c r="C1237" s="5" t="s">
        <v>6238</v>
      </c>
      <c r="D1237" s="8" t="s">
        <v>293</v>
      </c>
      <c r="E1237" s="6" t="s">
        <v>466</v>
      </c>
      <c r="F1237" s="6" t="s">
        <v>1726</v>
      </c>
      <c r="G1237" s="5">
        <v>250</v>
      </c>
      <c r="H1237" s="5">
        <v>0.47155599999999998</v>
      </c>
      <c r="I1237" s="20">
        <f t="shared" si="19"/>
        <v>117.889</v>
      </c>
      <c r="J1237" s="6" t="s">
        <v>357</v>
      </c>
    </row>
    <row r="1238" spans="1:10" hidden="1">
      <c r="A1238" s="9">
        <v>46050</v>
      </c>
      <c r="B1238" s="6" t="s">
        <v>1727</v>
      </c>
      <c r="C1238" s="5" t="s">
        <v>6239</v>
      </c>
      <c r="D1238" s="8" t="s">
        <v>293</v>
      </c>
      <c r="E1238" s="6" t="s">
        <v>466</v>
      </c>
      <c r="F1238" s="6" t="s">
        <v>1726</v>
      </c>
      <c r="G1238" s="5">
        <v>250</v>
      </c>
      <c r="H1238" s="5">
        <v>0.47155599999999998</v>
      </c>
      <c r="I1238" s="20">
        <f t="shared" si="19"/>
        <v>117.889</v>
      </c>
      <c r="J1238" s="6" t="s">
        <v>357</v>
      </c>
    </row>
    <row r="1239" spans="1:10" hidden="1">
      <c r="A1239" s="9">
        <v>46050</v>
      </c>
      <c r="B1239" s="6" t="s">
        <v>1728</v>
      </c>
      <c r="C1239" s="5" t="s">
        <v>6240</v>
      </c>
      <c r="D1239" s="8" t="s">
        <v>293</v>
      </c>
      <c r="E1239" s="6" t="s">
        <v>466</v>
      </c>
      <c r="F1239" s="6" t="s">
        <v>1726</v>
      </c>
      <c r="G1239" s="5">
        <v>250</v>
      </c>
      <c r="H1239" s="5">
        <v>0.47155599999999998</v>
      </c>
      <c r="I1239" s="20">
        <f t="shared" si="19"/>
        <v>117.889</v>
      </c>
      <c r="J1239" s="6" t="s">
        <v>357</v>
      </c>
    </row>
    <row r="1240" spans="1:10" hidden="1">
      <c r="A1240" s="9">
        <v>46050</v>
      </c>
      <c r="B1240" s="6" t="s">
        <v>329</v>
      </c>
      <c r="C1240" s="5" t="s">
        <v>6241</v>
      </c>
      <c r="D1240" s="8" t="s">
        <v>293</v>
      </c>
      <c r="E1240" s="6" t="s">
        <v>466</v>
      </c>
      <c r="F1240" s="6" t="s">
        <v>1726</v>
      </c>
      <c r="G1240" s="5">
        <v>250</v>
      </c>
      <c r="H1240" s="5">
        <v>0.47155599999999998</v>
      </c>
      <c r="I1240" s="20">
        <f t="shared" si="19"/>
        <v>117.889</v>
      </c>
      <c r="J1240" s="6" t="s">
        <v>357</v>
      </c>
    </row>
    <row r="1241" spans="1:10" hidden="1">
      <c r="A1241" s="9">
        <v>46050</v>
      </c>
      <c r="B1241" s="6" t="s">
        <v>1729</v>
      </c>
      <c r="C1241" s="5" t="s">
        <v>6242</v>
      </c>
      <c r="D1241" s="8" t="s">
        <v>293</v>
      </c>
      <c r="E1241" s="6" t="s">
        <v>466</v>
      </c>
      <c r="F1241" s="6" t="s">
        <v>1726</v>
      </c>
      <c r="G1241" s="5">
        <v>250</v>
      </c>
      <c r="H1241" s="5">
        <v>0.47155599999999998</v>
      </c>
      <c r="I1241" s="20">
        <f t="shared" si="19"/>
        <v>117.889</v>
      </c>
      <c r="J1241" s="6" t="s">
        <v>357</v>
      </c>
    </row>
    <row r="1242" spans="1:10" hidden="1">
      <c r="A1242" s="9">
        <v>46050</v>
      </c>
      <c r="B1242" s="6" t="s">
        <v>1730</v>
      </c>
      <c r="C1242" s="5" t="s">
        <v>6243</v>
      </c>
      <c r="D1242" s="8" t="s">
        <v>293</v>
      </c>
      <c r="E1242" s="6" t="s">
        <v>466</v>
      </c>
      <c r="F1242" s="6" t="s">
        <v>1726</v>
      </c>
      <c r="G1242" s="5">
        <v>250</v>
      </c>
      <c r="H1242" s="5">
        <v>0.47155599999999998</v>
      </c>
      <c r="I1242" s="20">
        <f t="shared" si="19"/>
        <v>117.889</v>
      </c>
      <c r="J1242" s="6" t="s">
        <v>357</v>
      </c>
    </row>
    <row r="1243" spans="1:10" hidden="1">
      <c r="A1243" s="9">
        <v>46050</v>
      </c>
      <c r="B1243" s="6" t="s">
        <v>1731</v>
      </c>
      <c r="C1243" s="5" t="s">
        <v>6244</v>
      </c>
      <c r="D1243" s="8" t="s">
        <v>293</v>
      </c>
      <c r="E1243" s="6" t="s">
        <v>466</v>
      </c>
      <c r="F1243" s="6" t="s">
        <v>1726</v>
      </c>
      <c r="G1243" s="5">
        <v>250</v>
      </c>
      <c r="H1243" s="5">
        <v>0.47155599999999998</v>
      </c>
      <c r="I1243" s="20">
        <f t="shared" si="19"/>
        <v>117.889</v>
      </c>
      <c r="J1243" s="6" t="s">
        <v>357</v>
      </c>
    </row>
    <row r="1244" spans="1:10" hidden="1">
      <c r="A1244" s="9">
        <v>46050</v>
      </c>
      <c r="B1244" s="216" t="s">
        <v>7300</v>
      </c>
      <c r="C1244" s="5" t="s">
        <v>7299</v>
      </c>
      <c r="D1244" s="8" t="s">
        <v>293</v>
      </c>
      <c r="E1244" s="25" t="s">
        <v>466</v>
      </c>
      <c r="F1244" s="25" t="s">
        <v>1726</v>
      </c>
      <c r="G1244" s="31">
        <v>133</v>
      </c>
      <c r="H1244" s="5">
        <v>0.47155599999999998</v>
      </c>
      <c r="I1244" s="20">
        <f t="shared" si="19"/>
        <v>62.716947999999995</v>
      </c>
      <c r="J1244" s="6" t="s">
        <v>357</v>
      </c>
    </row>
    <row r="1245" spans="1:10" hidden="1">
      <c r="A1245" s="9">
        <v>46050</v>
      </c>
      <c r="B1245" s="24" t="s">
        <v>1733</v>
      </c>
      <c r="C1245" s="14" t="s">
        <v>1732</v>
      </c>
      <c r="D1245" s="23" t="s">
        <v>293</v>
      </c>
      <c r="E1245" s="6" t="s">
        <v>466</v>
      </c>
      <c r="F1245" s="6" t="s">
        <v>1726</v>
      </c>
      <c r="G1245" s="5">
        <v>120</v>
      </c>
      <c r="H1245" s="5">
        <v>0.47155599999999998</v>
      </c>
      <c r="I1245" s="20">
        <f t="shared" si="19"/>
        <v>56.58672</v>
      </c>
      <c r="J1245" s="6" t="s">
        <v>357</v>
      </c>
    </row>
    <row r="1246" spans="1:10" hidden="1">
      <c r="A1246" s="9">
        <v>46050</v>
      </c>
      <c r="B1246" s="6" t="s">
        <v>1735</v>
      </c>
      <c r="C1246" s="5" t="s">
        <v>1734</v>
      </c>
      <c r="D1246" s="8" t="s">
        <v>293</v>
      </c>
      <c r="E1246" s="6" t="s">
        <v>466</v>
      </c>
      <c r="F1246" s="6" t="s">
        <v>1726</v>
      </c>
      <c r="G1246" s="5">
        <v>150</v>
      </c>
      <c r="H1246" s="5">
        <v>0.47155599999999998</v>
      </c>
      <c r="I1246" s="20">
        <f t="shared" si="19"/>
        <v>70.733400000000003</v>
      </c>
      <c r="J1246" s="6" t="s">
        <v>357</v>
      </c>
    </row>
    <row r="1247" spans="1:10" hidden="1">
      <c r="A1247" s="9">
        <v>46050</v>
      </c>
      <c r="B1247" s="6" t="s">
        <v>1737</v>
      </c>
      <c r="C1247" s="5" t="s">
        <v>1736</v>
      </c>
      <c r="D1247" s="8" t="s">
        <v>293</v>
      </c>
      <c r="E1247" s="6" t="s">
        <v>466</v>
      </c>
      <c r="F1247" s="6" t="s">
        <v>1726</v>
      </c>
      <c r="G1247" s="5">
        <v>150</v>
      </c>
      <c r="H1247" s="5">
        <v>0.47155599999999998</v>
      </c>
      <c r="I1247" s="20">
        <f t="shared" si="19"/>
        <v>70.733400000000003</v>
      </c>
      <c r="J1247" s="6" t="s">
        <v>357</v>
      </c>
    </row>
    <row r="1248" spans="1:10" hidden="1">
      <c r="A1248" s="9">
        <v>46050</v>
      </c>
      <c r="B1248" s="6" t="s">
        <v>1739</v>
      </c>
      <c r="C1248" s="5" t="s">
        <v>1738</v>
      </c>
      <c r="D1248" s="8" t="s">
        <v>293</v>
      </c>
      <c r="E1248" s="6" t="s">
        <v>466</v>
      </c>
      <c r="F1248" s="6" t="s">
        <v>1726</v>
      </c>
      <c r="G1248" s="5">
        <v>150</v>
      </c>
      <c r="H1248" s="5">
        <v>0.47155599999999998</v>
      </c>
      <c r="I1248" s="20">
        <f t="shared" si="19"/>
        <v>70.733400000000003</v>
      </c>
      <c r="J1248" s="6" t="s">
        <v>357</v>
      </c>
    </row>
    <row r="1249" spans="1:10" hidden="1">
      <c r="A1249" s="9">
        <v>46050</v>
      </c>
      <c r="B1249" s="6" t="s">
        <v>323</v>
      </c>
      <c r="C1249" s="5" t="s">
        <v>322</v>
      </c>
      <c r="D1249" s="8" t="s">
        <v>293</v>
      </c>
      <c r="E1249" s="6" t="s">
        <v>466</v>
      </c>
      <c r="F1249" s="6" t="s">
        <v>1726</v>
      </c>
      <c r="G1249" s="5">
        <v>150</v>
      </c>
      <c r="H1249" s="5">
        <v>0.47155599999999998</v>
      </c>
      <c r="I1249" s="20">
        <f t="shared" si="19"/>
        <v>70.733400000000003</v>
      </c>
      <c r="J1249" s="6" t="s">
        <v>357</v>
      </c>
    </row>
    <row r="1250" spans="1:10" hidden="1">
      <c r="A1250" s="9">
        <v>46050</v>
      </c>
      <c r="B1250" s="6" t="s">
        <v>1741</v>
      </c>
      <c r="C1250" s="5" t="s">
        <v>1740</v>
      </c>
      <c r="D1250" s="8" t="s">
        <v>293</v>
      </c>
      <c r="E1250" s="6" t="s">
        <v>466</v>
      </c>
      <c r="F1250" s="6" t="s">
        <v>1726</v>
      </c>
      <c r="G1250" s="5">
        <v>150</v>
      </c>
      <c r="H1250" s="5">
        <v>0.47155599999999998</v>
      </c>
      <c r="I1250" s="20">
        <f t="shared" si="19"/>
        <v>70.733400000000003</v>
      </c>
      <c r="J1250" s="6" t="s">
        <v>357</v>
      </c>
    </row>
    <row r="1251" spans="1:10" hidden="1">
      <c r="A1251" s="9">
        <v>46050</v>
      </c>
      <c r="B1251" s="6" t="s">
        <v>1743</v>
      </c>
      <c r="C1251" s="5" t="s">
        <v>1742</v>
      </c>
      <c r="D1251" s="8" t="s">
        <v>293</v>
      </c>
      <c r="E1251" s="6" t="s">
        <v>466</v>
      </c>
      <c r="F1251" s="6" t="s">
        <v>1726</v>
      </c>
      <c r="G1251" s="5">
        <v>150</v>
      </c>
      <c r="H1251" s="5">
        <v>0.47155599999999998</v>
      </c>
      <c r="I1251" s="20">
        <f t="shared" si="19"/>
        <v>70.733400000000003</v>
      </c>
      <c r="J1251" s="6" t="s">
        <v>357</v>
      </c>
    </row>
    <row r="1252" spans="1:10" hidden="1">
      <c r="A1252" s="9">
        <v>46050</v>
      </c>
      <c r="B1252" s="6" t="s">
        <v>1745</v>
      </c>
      <c r="C1252" s="5" t="s">
        <v>1744</v>
      </c>
      <c r="D1252" s="8" t="s">
        <v>293</v>
      </c>
      <c r="E1252" s="6" t="s">
        <v>466</v>
      </c>
      <c r="F1252" s="6" t="s">
        <v>1726</v>
      </c>
      <c r="G1252" s="5">
        <v>150</v>
      </c>
      <c r="H1252" s="5">
        <v>0.47155599999999998</v>
      </c>
      <c r="I1252" s="20">
        <f t="shared" si="19"/>
        <v>70.733400000000003</v>
      </c>
      <c r="J1252" s="6" t="s">
        <v>357</v>
      </c>
    </row>
    <row r="1253" spans="1:10" hidden="1">
      <c r="A1253" s="9">
        <v>46050</v>
      </c>
      <c r="B1253" s="216" t="s">
        <v>6255</v>
      </c>
      <c r="C1253" s="5" t="s">
        <v>6261</v>
      </c>
      <c r="D1253" s="8" t="s">
        <v>293</v>
      </c>
      <c r="E1253" s="25" t="s">
        <v>466</v>
      </c>
      <c r="F1253" s="25" t="s">
        <v>1726</v>
      </c>
      <c r="G1253" s="31">
        <v>203</v>
      </c>
      <c r="H1253" s="5">
        <v>0.47155599999999998</v>
      </c>
      <c r="I1253" s="20">
        <f t="shared" si="19"/>
        <v>95.725867999999991</v>
      </c>
      <c r="J1253" s="6" t="s">
        <v>357</v>
      </c>
    </row>
    <row r="1254" spans="1:10" hidden="1">
      <c r="A1254" s="9">
        <v>46050</v>
      </c>
      <c r="B1254" s="216" t="s">
        <v>6248</v>
      </c>
      <c r="C1254" s="5" t="s">
        <v>6249</v>
      </c>
      <c r="D1254" s="8" t="s">
        <v>293</v>
      </c>
      <c r="E1254" s="25" t="s">
        <v>466</v>
      </c>
      <c r="F1254" s="25" t="s">
        <v>1726</v>
      </c>
      <c r="G1254" s="31">
        <v>203</v>
      </c>
      <c r="H1254" s="5">
        <v>0.47155599999999998</v>
      </c>
      <c r="I1254" s="20">
        <f t="shared" si="19"/>
        <v>95.725867999999991</v>
      </c>
      <c r="J1254" s="6" t="s">
        <v>357</v>
      </c>
    </row>
    <row r="1255" spans="1:10" hidden="1">
      <c r="A1255" s="9">
        <v>46050</v>
      </c>
      <c r="B1255" s="216" t="s">
        <v>6250</v>
      </c>
      <c r="C1255" s="5" t="s">
        <v>6256</v>
      </c>
      <c r="D1255" s="8" t="s">
        <v>293</v>
      </c>
      <c r="E1255" s="25" t="s">
        <v>466</v>
      </c>
      <c r="F1255" s="25" t="s">
        <v>1726</v>
      </c>
      <c r="G1255" s="31">
        <v>203</v>
      </c>
      <c r="H1255" s="5">
        <v>0.47155599999999998</v>
      </c>
      <c r="I1255" s="20">
        <f t="shared" si="19"/>
        <v>95.725867999999991</v>
      </c>
      <c r="J1255" s="6" t="s">
        <v>357</v>
      </c>
    </row>
    <row r="1256" spans="1:10" hidden="1">
      <c r="A1256" s="9">
        <v>46050</v>
      </c>
      <c r="B1256" s="216" t="s">
        <v>6251</v>
      </c>
      <c r="C1256" s="5" t="s">
        <v>6257</v>
      </c>
      <c r="D1256" s="8" t="s">
        <v>293</v>
      </c>
      <c r="E1256" s="25" t="s">
        <v>466</v>
      </c>
      <c r="F1256" s="25" t="s">
        <v>1726</v>
      </c>
      <c r="G1256" s="31">
        <v>203</v>
      </c>
      <c r="H1256" s="5">
        <v>0.47155599999999998</v>
      </c>
      <c r="I1256" s="20">
        <f t="shared" si="19"/>
        <v>95.725867999999991</v>
      </c>
      <c r="J1256" s="6" t="s">
        <v>357</v>
      </c>
    </row>
    <row r="1257" spans="1:10" hidden="1">
      <c r="A1257" s="9">
        <v>46050</v>
      </c>
      <c r="B1257" s="216" t="s">
        <v>6252</v>
      </c>
      <c r="C1257" s="5" t="s">
        <v>6258</v>
      </c>
      <c r="D1257" s="8" t="s">
        <v>293</v>
      </c>
      <c r="E1257" s="25" t="s">
        <v>466</v>
      </c>
      <c r="F1257" s="25" t="s">
        <v>1726</v>
      </c>
      <c r="G1257" s="31">
        <v>203</v>
      </c>
      <c r="H1257" s="5">
        <v>0.47155599999999998</v>
      </c>
      <c r="I1257" s="20">
        <f t="shared" si="19"/>
        <v>95.725867999999991</v>
      </c>
      <c r="J1257" s="6" t="s">
        <v>357</v>
      </c>
    </row>
    <row r="1258" spans="1:10" hidden="1">
      <c r="A1258" s="9">
        <v>46050</v>
      </c>
      <c r="B1258" s="216" t="s">
        <v>6253</v>
      </c>
      <c r="C1258" s="5" t="s">
        <v>6259</v>
      </c>
      <c r="D1258" s="8" t="s">
        <v>293</v>
      </c>
      <c r="E1258" s="25" t="s">
        <v>466</v>
      </c>
      <c r="F1258" s="25" t="s">
        <v>1726</v>
      </c>
      <c r="G1258" s="31">
        <v>203</v>
      </c>
      <c r="H1258" s="5">
        <v>0.47155599999999998</v>
      </c>
      <c r="I1258" s="20">
        <f t="shared" si="19"/>
        <v>95.725867999999991</v>
      </c>
      <c r="J1258" s="6" t="s">
        <v>357</v>
      </c>
    </row>
    <row r="1259" spans="1:10" hidden="1">
      <c r="A1259" s="9">
        <v>46050</v>
      </c>
      <c r="B1259" s="216" t="s">
        <v>6254</v>
      </c>
      <c r="C1259" s="5" t="s">
        <v>6260</v>
      </c>
      <c r="D1259" s="8" t="s">
        <v>293</v>
      </c>
      <c r="E1259" s="25" t="s">
        <v>466</v>
      </c>
      <c r="F1259" s="25" t="s">
        <v>1726</v>
      </c>
      <c r="G1259" s="31">
        <v>203</v>
      </c>
      <c r="H1259" s="5">
        <v>0.47155599999999998</v>
      </c>
      <c r="I1259" s="20">
        <f t="shared" si="19"/>
        <v>95.725867999999991</v>
      </c>
      <c r="J1259" s="6" t="s">
        <v>357</v>
      </c>
    </row>
    <row r="1260" spans="1:10" hidden="1">
      <c r="A1260" s="9">
        <v>46050</v>
      </c>
      <c r="B1260" s="216" t="s">
        <v>7306</v>
      </c>
      <c r="C1260" s="5" t="s">
        <v>7299</v>
      </c>
      <c r="D1260" s="8" t="s">
        <v>293</v>
      </c>
      <c r="E1260" s="25" t="s">
        <v>466</v>
      </c>
      <c r="F1260" s="25" t="s">
        <v>1726</v>
      </c>
      <c r="G1260" s="31">
        <v>527</v>
      </c>
      <c r="H1260" s="5">
        <v>0.47155599999999998</v>
      </c>
      <c r="I1260" s="20">
        <f t="shared" si="19"/>
        <v>248.51001199999999</v>
      </c>
      <c r="J1260" s="6" t="s">
        <v>357</v>
      </c>
    </row>
    <row r="1261" spans="1:10" hidden="1">
      <c r="A1261" s="9">
        <v>46050</v>
      </c>
      <c r="B1261" s="24" t="s">
        <v>1747</v>
      </c>
      <c r="C1261" s="14" t="s">
        <v>1746</v>
      </c>
      <c r="D1261" s="23" t="s">
        <v>293</v>
      </c>
      <c r="E1261" s="6" t="s">
        <v>1748</v>
      </c>
      <c r="F1261" s="6" t="s">
        <v>1726</v>
      </c>
      <c r="G1261" s="5">
        <v>536</v>
      </c>
      <c r="H1261" s="5">
        <v>0.47155599999999998</v>
      </c>
      <c r="I1261" s="20">
        <f t="shared" si="19"/>
        <v>252.75401599999998</v>
      </c>
      <c r="J1261" s="6" t="s">
        <v>357</v>
      </c>
    </row>
    <row r="1262" spans="1:10" hidden="1">
      <c r="A1262" s="9">
        <v>46050</v>
      </c>
      <c r="B1262" s="6" t="s">
        <v>1749</v>
      </c>
      <c r="C1262" s="5" t="s">
        <v>6229</v>
      </c>
      <c r="D1262" s="8" t="s">
        <v>293</v>
      </c>
      <c r="E1262" s="6" t="s">
        <v>466</v>
      </c>
      <c r="F1262" s="6" t="s">
        <v>1726</v>
      </c>
      <c r="G1262" s="5">
        <v>251</v>
      </c>
      <c r="H1262" s="5">
        <v>0.47155599999999998</v>
      </c>
      <c r="I1262" s="20">
        <f t="shared" si="19"/>
        <v>118.36055599999999</v>
      </c>
      <c r="J1262" s="6" t="s">
        <v>357</v>
      </c>
    </row>
    <row r="1263" spans="1:10" hidden="1">
      <c r="A1263" s="9">
        <v>46050</v>
      </c>
      <c r="B1263" s="6" t="s">
        <v>1750</v>
      </c>
      <c r="C1263" s="5" t="s">
        <v>6230</v>
      </c>
      <c r="D1263" s="8" t="s">
        <v>293</v>
      </c>
      <c r="E1263" s="6" t="s">
        <v>466</v>
      </c>
      <c r="F1263" s="6" t="s">
        <v>1726</v>
      </c>
      <c r="G1263" s="5">
        <v>251</v>
      </c>
      <c r="H1263" s="5">
        <v>0.47155599999999998</v>
      </c>
      <c r="I1263" s="20">
        <f t="shared" si="19"/>
        <v>118.36055599999999</v>
      </c>
      <c r="J1263" s="6" t="s">
        <v>357</v>
      </c>
    </row>
    <row r="1264" spans="1:10" hidden="1">
      <c r="A1264" s="9">
        <v>46050</v>
      </c>
      <c r="B1264" s="6" t="s">
        <v>1751</v>
      </c>
      <c r="C1264" s="5" t="s">
        <v>6231</v>
      </c>
      <c r="D1264" s="8" t="s">
        <v>293</v>
      </c>
      <c r="E1264" s="6" t="s">
        <v>466</v>
      </c>
      <c r="F1264" s="6" t="s">
        <v>1726</v>
      </c>
      <c r="G1264" s="5">
        <v>251</v>
      </c>
      <c r="H1264" s="5">
        <v>0.47155599999999998</v>
      </c>
      <c r="I1264" s="20">
        <f t="shared" si="19"/>
        <v>118.36055599999999</v>
      </c>
      <c r="J1264" s="6" t="s">
        <v>357</v>
      </c>
    </row>
    <row r="1265" spans="1:10" hidden="1">
      <c r="A1265" s="9">
        <v>46050</v>
      </c>
      <c r="B1265" s="6" t="s">
        <v>1752</v>
      </c>
      <c r="C1265" s="5" t="s">
        <v>6232</v>
      </c>
      <c r="D1265" s="8" t="s">
        <v>293</v>
      </c>
      <c r="E1265" s="6" t="s">
        <v>466</v>
      </c>
      <c r="F1265" s="6" t="s">
        <v>1726</v>
      </c>
      <c r="G1265" s="5">
        <v>251</v>
      </c>
      <c r="H1265" s="5">
        <v>0.47155599999999998</v>
      </c>
      <c r="I1265" s="20">
        <f t="shared" si="19"/>
        <v>118.36055599999999</v>
      </c>
      <c r="J1265" s="6" t="s">
        <v>357</v>
      </c>
    </row>
    <row r="1266" spans="1:10" hidden="1">
      <c r="A1266" s="9">
        <v>46050</v>
      </c>
      <c r="B1266" s="6" t="s">
        <v>1753</v>
      </c>
      <c r="C1266" s="5" t="s">
        <v>6233</v>
      </c>
      <c r="D1266" s="8" t="s">
        <v>293</v>
      </c>
      <c r="E1266" s="6" t="s">
        <v>466</v>
      </c>
      <c r="F1266" s="6" t="s">
        <v>1726</v>
      </c>
      <c r="G1266" s="5">
        <v>251</v>
      </c>
      <c r="H1266" s="5">
        <v>0.47155599999999998</v>
      </c>
      <c r="I1266" s="20">
        <f t="shared" si="19"/>
        <v>118.36055599999999</v>
      </c>
      <c r="J1266" s="6" t="s">
        <v>357</v>
      </c>
    </row>
    <row r="1267" spans="1:10" hidden="1">
      <c r="A1267" s="9">
        <v>46050</v>
      </c>
      <c r="B1267" s="6" t="s">
        <v>1754</v>
      </c>
      <c r="C1267" s="5" t="s">
        <v>6234</v>
      </c>
      <c r="D1267" s="8" t="s">
        <v>293</v>
      </c>
      <c r="E1267" s="6" t="s">
        <v>466</v>
      </c>
      <c r="F1267" s="6" t="s">
        <v>1726</v>
      </c>
      <c r="G1267" s="5">
        <v>251</v>
      </c>
      <c r="H1267" s="5">
        <v>0.47155599999999998</v>
      </c>
      <c r="I1267" s="20">
        <f t="shared" si="19"/>
        <v>118.36055599999999</v>
      </c>
      <c r="J1267" s="6" t="s">
        <v>357</v>
      </c>
    </row>
    <row r="1268" spans="1:10" hidden="1">
      <c r="A1268" s="9">
        <v>46050</v>
      </c>
      <c r="B1268" s="6" t="s">
        <v>1755</v>
      </c>
      <c r="C1268" s="5" t="s">
        <v>6235</v>
      </c>
      <c r="D1268" s="8" t="s">
        <v>293</v>
      </c>
      <c r="E1268" s="6" t="s">
        <v>466</v>
      </c>
      <c r="F1268" s="6" t="s">
        <v>1726</v>
      </c>
      <c r="G1268" s="5">
        <v>251</v>
      </c>
      <c r="H1268" s="5">
        <v>0.47155599999999998</v>
      </c>
      <c r="I1268" s="20">
        <f t="shared" si="19"/>
        <v>118.36055599999999</v>
      </c>
      <c r="J1268" s="6" t="s">
        <v>357</v>
      </c>
    </row>
    <row r="1269" spans="1:10" hidden="1">
      <c r="A1269" s="9">
        <v>46050</v>
      </c>
      <c r="B1269" s="6" t="s">
        <v>1756</v>
      </c>
      <c r="C1269" s="5" t="s">
        <v>6236</v>
      </c>
      <c r="D1269" s="8" t="s">
        <v>293</v>
      </c>
      <c r="E1269" s="6" t="s">
        <v>466</v>
      </c>
      <c r="F1269" s="6" t="s">
        <v>1726</v>
      </c>
      <c r="G1269" s="5">
        <v>251</v>
      </c>
      <c r="H1269" s="5">
        <v>0.47155599999999998</v>
      </c>
      <c r="I1269" s="20">
        <f t="shared" si="19"/>
        <v>118.36055599999999</v>
      </c>
      <c r="J1269" s="6" t="s">
        <v>357</v>
      </c>
    </row>
    <row r="1270" spans="1:10" hidden="1">
      <c r="A1270" s="9">
        <v>46050</v>
      </c>
      <c r="B1270" s="6" t="s">
        <v>1757</v>
      </c>
      <c r="C1270" s="5" t="s">
        <v>6237</v>
      </c>
      <c r="D1270" s="8" t="s">
        <v>293</v>
      </c>
      <c r="E1270" s="6" t="s">
        <v>466</v>
      </c>
      <c r="F1270" s="6" t="s">
        <v>1726</v>
      </c>
      <c r="G1270" s="5">
        <v>251</v>
      </c>
      <c r="H1270" s="5">
        <v>0.47155599999999998</v>
      </c>
      <c r="I1270" s="20">
        <f t="shared" si="19"/>
        <v>118.36055599999999</v>
      </c>
      <c r="J1270" s="6" t="s">
        <v>357</v>
      </c>
    </row>
    <row r="1271" spans="1:10" hidden="1">
      <c r="A1271" s="9">
        <v>46050</v>
      </c>
      <c r="B1271" s="216" t="s">
        <v>7301</v>
      </c>
      <c r="C1271" s="5" t="s">
        <v>7299</v>
      </c>
      <c r="D1271" s="8" t="s">
        <v>293</v>
      </c>
      <c r="E1271" s="25" t="s">
        <v>466</v>
      </c>
      <c r="F1271" s="25" t="s">
        <v>1726</v>
      </c>
      <c r="G1271" s="31">
        <v>133</v>
      </c>
      <c r="H1271" s="5">
        <v>0.47155599999999998</v>
      </c>
      <c r="I1271" s="20">
        <f t="shared" si="19"/>
        <v>62.716947999999995</v>
      </c>
      <c r="J1271" s="6" t="s">
        <v>357</v>
      </c>
    </row>
    <row r="1272" spans="1:10" hidden="1">
      <c r="A1272" s="9">
        <v>46050</v>
      </c>
      <c r="B1272" s="24" t="s">
        <v>1759</v>
      </c>
      <c r="C1272" s="14" t="s">
        <v>1758</v>
      </c>
      <c r="D1272" s="23" t="s">
        <v>293</v>
      </c>
      <c r="E1272" s="6" t="s">
        <v>466</v>
      </c>
      <c r="F1272" s="6" t="s">
        <v>1726</v>
      </c>
      <c r="G1272" s="5">
        <v>131</v>
      </c>
      <c r="H1272" s="5">
        <v>0.47155599999999998</v>
      </c>
      <c r="I1272" s="20">
        <f t="shared" si="19"/>
        <v>61.773835999999996</v>
      </c>
      <c r="J1272" s="6" t="s">
        <v>357</v>
      </c>
    </row>
    <row r="1273" spans="1:10" hidden="1">
      <c r="A1273" s="9">
        <v>46050</v>
      </c>
      <c r="B1273" s="6" t="s">
        <v>1760</v>
      </c>
      <c r="C1273" s="5" t="s">
        <v>553</v>
      </c>
      <c r="D1273" s="8" t="s">
        <v>293</v>
      </c>
      <c r="E1273" s="6" t="s">
        <v>466</v>
      </c>
      <c r="F1273" s="6" t="s">
        <v>1726</v>
      </c>
      <c r="G1273" s="5">
        <v>200</v>
      </c>
      <c r="H1273" s="5">
        <v>0.47155599999999998</v>
      </c>
      <c r="I1273" s="20">
        <f t="shared" si="19"/>
        <v>94.311199999999999</v>
      </c>
      <c r="J1273" s="6" t="s">
        <v>357</v>
      </c>
    </row>
    <row r="1274" spans="1:10" hidden="1">
      <c r="A1274" s="9">
        <v>46050</v>
      </c>
      <c r="B1274" s="6" t="s">
        <v>1761</v>
      </c>
      <c r="C1274" s="5" t="s">
        <v>530</v>
      </c>
      <c r="D1274" s="8" t="s">
        <v>293</v>
      </c>
      <c r="E1274" s="6" t="s">
        <v>466</v>
      </c>
      <c r="F1274" s="6" t="s">
        <v>1726</v>
      </c>
      <c r="G1274" s="5">
        <v>200</v>
      </c>
      <c r="H1274" s="5">
        <v>0.47155599999999998</v>
      </c>
      <c r="I1274" s="20">
        <f t="shared" si="19"/>
        <v>94.311199999999999</v>
      </c>
      <c r="J1274" s="6" t="s">
        <v>357</v>
      </c>
    </row>
    <row r="1275" spans="1:10" hidden="1">
      <c r="A1275" s="9">
        <v>46050</v>
      </c>
      <c r="B1275" s="6" t="s">
        <v>1762</v>
      </c>
      <c r="C1275" s="5" t="s">
        <v>535</v>
      </c>
      <c r="D1275" s="8" t="s">
        <v>293</v>
      </c>
      <c r="E1275" s="6" t="s">
        <v>466</v>
      </c>
      <c r="F1275" s="6" t="s">
        <v>1726</v>
      </c>
      <c r="G1275" s="5">
        <v>200</v>
      </c>
      <c r="H1275" s="5">
        <v>0.47155599999999998</v>
      </c>
      <c r="I1275" s="20">
        <f t="shared" si="19"/>
        <v>94.311199999999999</v>
      </c>
      <c r="J1275" s="6" t="s">
        <v>357</v>
      </c>
    </row>
    <row r="1276" spans="1:10" hidden="1">
      <c r="A1276" s="9">
        <v>46050</v>
      </c>
      <c r="B1276" s="6" t="s">
        <v>1763</v>
      </c>
      <c r="C1276" s="5" t="s">
        <v>538</v>
      </c>
      <c r="D1276" s="8" t="s">
        <v>293</v>
      </c>
      <c r="E1276" s="6" t="s">
        <v>466</v>
      </c>
      <c r="F1276" s="6" t="s">
        <v>1726</v>
      </c>
      <c r="G1276" s="5">
        <v>200</v>
      </c>
      <c r="H1276" s="5">
        <v>0.47155599999999998</v>
      </c>
      <c r="I1276" s="20">
        <f t="shared" si="19"/>
        <v>94.311199999999999</v>
      </c>
      <c r="J1276" s="6" t="s">
        <v>357</v>
      </c>
    </row>
    <row r="1277" spans="1:10" hidden="1">
      <c r="A1277" s="9">
        <v>46050</v>
      </c>
      <c r="B1277" s="6" t="s">
        <v>1764</v>
      </c>
      <c r="C1277" s="5" t="s">
        <v>541</v>
      </c>
      <c r="D1277" s="8" t="s">
        <v>293</v>
      </c>
      <c r="E1277" s="6" t="s">
        <v>466</v>
      </c>
      <c r="F1277" s="6" t="s">
        <v>1726</v>
      </c>
      <c r="G1277" s="5">
        <v>200</v>
      </c>
      <c r="H1277" s="5">
        <v>0.47155599999999998</v>
      </c>
      <c r="I1277" s="20">
        <f t="shared" si="19"/>
        <v>94.311199999999999</v>
      </c>
      <c r="J1277" s="6" t="s">
        <v>357</v>
      </c>
    </row>
    <row r="1278" spans="1:10" hidden="1">
      <c r="A1278" s="9">
        <v>46050</v>
      </c>
      <c r="B1278" s="6" t="s">
        <v>1765</v>
      </c>
      <c r="C1278" s="5" t="s">
        <v>546</v>
      </c>
      <c r="D1278" s="8" t="s">
        <v>293</v>
      </c>
      <c r="E1278" s="6" t="s">
        <v>466</v>
      </c>
      <c r="F1278" s="6" t="s">
        <v>1726</v>
      </c>
      <c r="G1278" s="5">
        <v>200</v>
      </c>
      <c r="H1278" s="5">
        <v>0.47155599999999998</v>
      </c>
      <c r="I1278" s="20">
        <f t="shared" si="19"/>
        <v>94.311199999999999</v>
      </c>
      <c r="J1278" s="6" t="s">
        <v>357</v>
      </c>
    </row>
    <row r="1279" spans="1:10" hidden="1">
      <c r="A1279" s="9">
        <v>46050</v>
      </c>
      <c r="B1279" s="6" t="s">
        <v>1766</v>
      </c>
      <c r="C1279" s="5" t="s">
        <v>549</v>
      </c>
      <c r="D1279" s="8" t="s">
        <v>293</v>
      </c>
      <c r="E1279" s="6" t="s">
        <v>466</v>
      </c>
      <c r="F1279" s="6" t="s">
        <v>1726</v>
      </c>
      <c r="G1279" s="5">
        <v>200</v>
      </c>
      <c r="H1279" s="5">
        <v>0.47155599999999998</v>
      </c>
      <c r="I1279" s="20">
        <f t="shared" si="19"/>
        <v>94.311199999999999</v>
      </c>
      <c r="J1279" s="6" t="s">
        <v>357</v>
      </c>
    </row>
    <row r="1280" spans="1:10" hidden="1">
      <c r="A1280" s="9">
        <v>46050</v>
      </c>
      <c r="B1280" s="216" t="s">
        <v>6262</v>
      </c>
      <c r="C1280" s="5" t="s">
        <v>6266</v>
      </c>
      <c r="D1280" s="8" t="s">
        <v>293</v>
      </c>
      <c r="E1280" s="25" t="s">
        <v>466</v>
      </c>
      <c r="F1280" s="25" t="s">
        <v>1726</v>
      </c>
      <c r="G1280" s="31">
        <v>251</v>
      </c>
      <c r="H1280" s="5">
        <v>0.47155599999999998</v>
      </c>
      <c r="I1280" s="20">
        <f t="shared" si="19"/>
        <v>118.36055599999999</v>
      </c>
      <c r="J1280" s="6" t="s">
        <v>357</v>
      </c>
    </row>
    <row r="1281" spans="1:10" hidden="1">
      <c r="A1281" s="9">
        <v>46050</v>
      </c>
      <c r="B1281" s="6" t="s">
        <v>1767</v>
      </c>
      <c r="C1281" s="5" t="s">
        <v>6245</v>
      </c>
      <c r="D1281" s="8" t="s">
        <v>293</v>
      </c>
      <c r="E1281" s="6" t="s">
        <v>466</v>
      </c>
      <c r="F1281" s="6" t="s">
        <v>1726</v>
      </c>
      <c r="G1281" s="5">
        <v>447</v>
      </c>
      <c r="H1281" s="5">
        <v>0.47155599999999998</v>
      </c>
      <c r="I1281" s="20">
        <f t="shared" si="19"/>
        <v>210.78553199999999</v>
      </c>
      <c r="J1281" s="6" t="s">
        <v>357</v>
      </c>
    </row>
    <row r="1282" spans="1:10" hidden="1">
      <c r="A1282" s="9">
        <v>46050</v>
      </c>
      <c r="B1282" s="6" t="s">
        <v>1768</v>
      </c>
      <c r="C1282" s="5" t="s">
        <v>6246</v>
      </c>
      <c r="D1282" s="8" t="s">
        <v>293</v>
      </c>
      <c r="E1282" s="6" t="s">
        <v>466</v>
      </c>
      <c r="F1282" s="6" t="s">
        <v>1726</v>
      </c>
      <c r="G1282" s="5">
        <v>473</v>
      </c>
      <c r="H1282" s="5">
        <v>0.47155599999999998</v>
      </c>
      <c r="I1282" s="20">
        <f t="shared" si="19"/>
        <v>223.04598799999999</v>
      </c>
      <c r="J1282" s="6" t="s">
        <v>357</v>
      </c>
    </row>
    <row r="1283" spans="1:10" hidden="1">
      <c r="A1283" s="9">
        <v>46050</v>
      </c>
      <c r="B1283" s="6" t="s">
        <v>1769</v>
      </c>
      <c r="C1283" s="5" t="s">
        <v>6247</v>
      </c>
      <c r="D1283" s="8" t="s">
        <v>293</v>
      </c>
      <c r="E1283" s="6" t="s">
        <v>466</v>
      </c>
      <c r="F1283" s="6" t="s">
        <v>1726</v>
      </c>
      <c r="G1283" s="5">
        <v>729</v>
      </c>
      <c r="H1283" s="5">
        <v>0.47155599999999998</v>
      </c>
      <c r="I1283" s="20">
        <f t="shared" ref="I1283:I1346" si="20">H1283*G1283</f>
        <v>343.76432399999999</v>
      </c>
      <c r="J1283" s="6" t="s">
        <v>357</v>
      </c>
    </row>
    <row r="1284" spans="1:10" hidden="1">
      <c r="A1284" s="9">
        <v>46050</v>
      </c>
      <c r="B1284" s="24" t="s">
        <v>1771</v>
      </c>
      <c r="C1284" s="14" t="s">
        <v>1770</v>
      </c>
      <c r="D1284" s="23" t="s">
        <v>293</v>
      </c>
      <c r="E1284" s="6" t="s">
        <v>466</v>
      </c>
      <c r="F1284" s="6" t="s">
        <v>1726</v>
      </c>
      <c r="G1284" s="5">
        <v>194</v>
      </c>
      <c r="H1284" s="5">
        <v>0.47155599999999998</v>
      </c>
      <c r="I1284" s="20">
        <f t="shared" si="20"/>
        <v>91.481864000000002</v>
      </c>
      <c r="J1284" s="6" t="s">
        <v>357</v>
      </c>
    </row>
    <row r="1285" spans="1:10" hidden="1">
      <c r="A1285" s="9">
        <v>46050</v>
      </c>
      <c r="B1285" s="216" t="s">
        <v>7302</v>
      </c>
      <c r="C1285" s="5" t="s">
        <v>7299</v>
      </c>
      <c r="D1285" s="8" t="s">
        <v>293</v>
      </c>
      <c r="E1285" s="25" t="s">
        <v>466</v>
      </c>
      <c r="F1285" s="25" t="s">
        <v>1726</v>
      </c>
      <c r="G1285" s="31">
        <v>146</v>
      </c>
      <c r="H1285" s="5">
        <v>0.47155599999999998</v>
      </c>
      <c r="I1285" s="20">
        <f t="shared" si="20"/>
        <v>68.84717599999999</v>
      </c>
      <c r="J1285" s="6" t="s">
        <v>357</v>
      </c>
    </row>
    <row r="1286" spans="1:10" hidden="1">
      <c r="A1286" s="9">
        <v>46050</v>
      </c>
      <c r="B1286" s="24" t="s">
        <v>1773</v>
      </c>
      <c r="C1286" s="14" t="s">
        <v>1772</v>
      </c>
      <c r="D1286" s="23" t="s">
        <v>293</v>
      </c>
      <c r="E1286" s="6" t="s">
        <v>466</v>
      </c>
      <c r="F1286" s="6" t="s">
        <v>1726</v>
      </c>
      <c r="G1286" s="5">
        <v>146</v>
      </c>
      <c r="H1286" s="5">
        <v>0.47155599999999998</v>
      </c>
      <c r="I1286" s="20">
        <f t="shared" si="20"/>
        <v>68.84717599999999</v>
      </c>
      <c r="J1286" s="6" t="s">
        <v>357</v>
      </c>
    </row>
    <row r="1287" spans="1:10" hidden="1">
      <c r="A1287" s="9">
        <v>46050</v>
      </c>
      <c r="B1287" s="216" t="s">
        <v>6263</v>
      </c>
      <c r="C1287" s="5" t="s">
        <v>6267</v>
      </c>
      <c r="D1287" s="8" t="s">
        <v>293</v>
      </c>
      <c r="E1287" s="25" t="s">
        <v>466</v>
      </c>
      <c r="F1287" s="25" t="s">
        <v>1726</v>
      </c>
      <c r="G1287" s="31">
        <v>301</v>
      </c>
      <c r="H1287" s="5">
        <v>0.47155599999999998</v>
      </c>
      <c r="I1287" s="20">
        <f t="shared" si="20"/>
        <v>141.938356</v>
      </c>
      <c r="J1287" s="6" t="s">
        <v>357</v>
      </c>
    </row>
    <row r="1288" spans="1:10" hidden="1">
      <c r="A1288" s="9">
        <v>46050</v>
      </c>
      <c r="B1288" s="216" t="s">
        <v>6264</v>
      </c>
      <c r="C1288" s="5" t="s">
        <v>6268</v>
      </c>
      <c r="D1288" s="8" t="s">
        <v>293</v>
      </c>
      <c r="E1288" s="25" t="s">
        <v>466</v>
      </c>
      <c r="F1288" s="25" t="s">
        <v>1726</v>
      </c>
      <c r="G1288" s="31">
        <v>381</v>
      </c>
      <c r="H1288" s="5">
        <v>0.47155599999999998</v>
      </c>
      <c r="I1288" s="20">
        <f t="shared" si="20"/>
        <v>179.662836</v>
      </c>
      <c r="J1288" s="6" t="s">
        <v>357</v>
      </c>
    </row>
    <row r="1289" spans="1:10" hidden="1">
      <c r="A1289" s="9">
        <v>46050</v>
      </c>
      <c r="B1289" s="216" t="s">
        <v>6265</v>
      </c>
      <c r="C1289" s="5" t="s">
        <v>6269</v>
      </c>
      <c r="D1289" s="8" t="s">
        <v>293</v>
      </c>
      <c r="E1289" s="25" t="s">
        <v>466</v>
      </c>
      <c r="F1289" s="25" t="s">
        <v>1726</v>
      </c>
      <c r="G1289" s="31">
        <v>558</v>
      </c>
      <c r="H1289" s="5">
        <v>0.47155599999999998</v>
      </c>
      <c r="I1289" s="20">
        <f t="shared" si="20"/>
        <v>263.12824799999999</v>
      </c>
      <c r="J1289" s="6" t="s">
        <v>357</v>
      </c>
    </row>
    <row r="1290" spans="1:10" hidden="1">
      <c r="A1290" s="9">
        <v>46050</v>
      </c>
      <c r="B1290" s="24" t="s">
        <v>1775</v>
      </c>
      <c r="C1290" s="14" t="s">
        <v>1774</v>
      </c>
      <c r="D1290" s="23" t="s">
        <v>293</v>
      </c>
      <c r="E1290" s="6" t="s">
        <v>466</v>
      </c>
      <c r="F1290" s="6" t="s">
        <v>1726</v>
      </c>
      <c r="G1290" s="5">
        <v>248</v>
      </c>
      <c r="H1290" s="5">
        <v>0.47155599999999998</v>
      </c>
      <c r="I1290" s="20">
        <f t="shared" si="20"/>
        <v>116.945888</v>
      </c>
      <c r="J1290" s="6" t="s">
        <v>357</v>
      </c>
    </row>
    <row r="1291" spans="1:10" hidden="1">
      <c r="A1291" s="9">
        <v>46050</v>
      </c>
      <c r="B1291" s="6" t="s">
        <v>1776</v>
      </c>
      <c r="C1291" s="5" t="s">
        <v>592</v>
      </c>
      <c r="D1291" s="8" t="s">
        <v>293</v>
      </c>
      <c r="E1291" s="6" t="s">
        <v>466</v>
      </c>
      <c r="F1291" s="6" t="s">
        <v>1726</v>
      </c>
      <c r="G1291" s="5">
        <v>1190</v>
      </c>
      <c r="H1291" s="5">
        <v>0.47155599999999998</v>
      </c>
      <c r="I1291" s="20">
        <f t="shared" si="20"/>
        <v>561.15163999999993</v>
      </c>
      <c r="J1291" s="6" t="s">
        <v>357</v>
      </c>
    </row>
    <row r="1292" spans="1:10" hidden="1">
      <c r="A1292" s="9">
        <v>46050</v>
      </c>
      <c r="B1292" s="216" t="s">
        <v>7303</v>
      </c>
      <c r="C1292" s="5" t="s">
        <v>7299</v>
      </c>
      <c r="D1292" s="8" t="s">
        <v>293</v>
      </c>
      <c r="E1292" s="25" t="s">
        <v>466</v>
      </c>
      <c r="F1292" s="25" t="s">
        <v>1726</v>
      </c>
      <c r="G1292" s="31">
        <v>191</v>
      </c>
      <c r="H1292" s="5">
        <v>0.47155599999999998</v>
      </c>
      <c r="I1292" s="20">
        <f t="shared" si="20"/>
        <v>90.067195999999996</v>
      </c>
      <c r="J1292" s="6" t="s">
        <v>357</v>
      </c>
    </row>
    <row r="1293" spans="1:10" ht="30" hidden="1">
      <c r="A1293" s="9">
        <v>46050</v>
      </c>
      <c r="B1293" s="24" t="s">
        <v>1778</v>
      </c>
      <c r="C1293" s="14" t="s">
        <v>1777</v>
      </c>
      <c r="D1293" s="23" t="s">
        <v>293</v>
      </c>
      <c r="E1293" s="6" t="s">
        <v>466</v>
      </c>
      <c r="F1293" s="6" t="s">
        <v>1726</v>
      </c>
      <c r="G1293" s="5">
        <v>245</v>
      </c>
      <c r="H1293" s="5">
        <v>0.47155599999999998</v>
      </c>
      <c r="I1293" s="20">
        <f t="shared" si="20"/>
        <v>115.53121999999999</v>
      </c>
      <c r="J1293" s="6" t="s">
        <v>357</v>
      </c>
    </row>
    <row r="1294" spans="1:10" hidden="1">
      <c r="A1294" s="9">
        <v>46050</v>
      </c>
      <c r="B1294" s="6" t="s">
        <v>1779</v>
      </c>
      <c r="C1294" s="5" t="s">
        <v>594</v>
      </c>
      <c r="D1294" s="8" t="s">
        <v>293</v>
      </c>
      <c r="E1294" s="6" t="s">
        <v>466</v>
      </c>
      <c r="F1294" s="6" t="s">
        <v>1726</v>
      </c>
      <c r="G1294" s="5">
        <v>1429</v>
      </c>
      <c r="H1294" s="5">
        <v>0.47155599999999998</v>
      </c>
      <c r="I1294" s="20">
        <f t="shared" si="20"/>
        <v>673.85352399999999</v>
      </c>
      <c r="J1294" s="6" t="s">
        <v>357</v>
      </c>
    </row>
    <row r="1295" spans="1:10" hidden="1">
      <c r="A1295" s="9">
        <v>46050</v>
      </c>
      <c r="B1295" s="6" t="s">
        <v>1780</v>
      </c>
      <c r="C1295" s="5" t="s">
        <v>596</v>
      </c>
      <c r="D1295" s="8" t="s">
        <v>293</v>
      </c>
      <c r="E1295" s="6" t="s">
        <v>466</v>
      </c>
      <c r="F1295" s="6" t="s">
        <v>1726</v>
      </c>
      <c r="G1295" s="5">
        <v>2231</v>
      </c>
      <c r="H1295" s="5">
        <v>0.47155599999999998</v>
      </c>
      <c r="I1295" s="20">
        <f t="shared" si="20"/>
        <v>1052.041436</v>
      </c>
      <c r="J1295" s="6" t="s">
        <v>357</v>
      </c>
    </row>
    <row r="1296" spans="1:10" hidden="1">
      <c r="A1296" s="9">
        <v>46050</v>
      </c>
      <c r="B1296" s="6" t="s">
        <v>1781</v>
      </c>
      <c r="C1296" s="5" t="s">
        <v>598</v>
      </c>
      <c r="D1296" s="8" t="s">
        <v>293</v>
      </c>
      <c r="E1296" s="6" t="s">
        <v>466</v>
      </c>
      <c r="F1296" s="6" t="s">
        <v>1726</v>
      </c>
      <c r="G1296" s="5">
        <v>2231</v>
      </c>
      <c r="H1296" s="5">
        <v>0.47155599999999998</v>
      </c>
      <c r="I1296" s="20">
        <f t="shared" si="20"/>
        <v>1052.041436</v>
      </c>
      <c r="J1296" s="6" t="s">
        <v>357</v>
      </c>
    </row>
    <row r="1297" spans="1:10" hidden="1">
      <c r="A1297" s="9">
        <v>46050</v>
      </c>
      <c r="B1297" s="216" t="s">
        <v>7304</v>
      </c>
      <c r="C1297" s="5" t="s">
        <v>7299</v>
      </c>
      <c r="D1297" s="8" t="s">
        <v>293</v>
      </c>
      <c r="E1297" s="25" t="s">
        <v>466</v>
      </c>
      <c r="F1297" s="25" t="s">
        <v>1726</v>
      </c>
      <c r="G1297" s="31">
        <v>191</v>
      </c>
      <c r="H1297" s="5">
        <v>0.47155599999999998</v>
      </c>
      <c r="I1297" s="20">
        <f t="shared" si="20"/>
        <v>90.067195999999996</v>
      </c>
      <c r="J1297" s="6" t="s">
        <v>357</v>
      </c>
    </row>
    <row r="1298" spans="1:10" hidden="1">
      <c r="A1298" s="9">
        <v>46050</v>
      </c>
      <c r="B1298" s="216" t="s">
        <v>7298</v>
      </c>
      <c r="C1298" s="5" t="s">
        <v>7299</v>
      </c>
      <c r="D1298" s="8" t="s">
        <v>293</v>
      </c>
      <c r="E1298" s="25" t="s">
        <v>466</v>
      </c>
      <c r="F1298" s="25" t="s">
        <v>1726</v>
      </c>
      <c r="G1298" s="31">
        <v>133</v>
      </c>
      <c r="H1298" s="5">
        <v>0.47155599999999998</v>
      </c>
      <c r="I1298" s="20">
        <f t="shared" si="20"/>
        <v>62.716947999999995</v>
      </c>
      <c r="J1298" s="6" t="s">
        <v>357</v>
      </c>
    </row>
    <row r="1299" spans="1:10" hidden="1">
      <c r="A1299" s="9">
        <v>46050</v>
      </c>
      <c r="B1299" s="6" t="s">
        <v>1782</v>
      </c>
      <c r="C1299" s="5" t="s">
        <v>1412</v>
      </c>
      <c r="D1299" s="8" t="s">
        <v>293</v>
      </c>
      <c r="E1299" s="6" t="s">
        <v>466</v>
      </c>
      <c r="F1299" s="6" t="s">
        <v>1726</v>
      </c>
      <c r="G1299" s="5">
        <v>3807</v>
      </c>
      <c r="H1299" s="5">
        <v>0.47155599999999998</v>
      </c>
      <c r="I1299" s="20">
        <f t="shared" si="20"/>
        <v>1795.2136919999998</v>
      </c>
      <c r="J1299" s="6" t="s">
        <v>357</v>
      </c>
    </row>
    <row r="1300" spans="1:10" hidden="1">
      <c r="A1300" s="9">
        <v>46050</v>
      </c>
      <c r="B1300" s="216" t="s">
        <v>7305</v>
      </c>
      <c r="C1300" s="5" t="s">
        <v>7299</v>
      </c>
      <c r="D1300" s="8" t="s">
        <v>293</v>
      </c>
      <c r="E1300" s="25" t="s">
        <v>466</v>
      </c>
      <c r="F1300" s="25" t="s">
        <v>1726</v>
      </c>
      <c r="G1300" s="31">
        <v>238</v>
      </c>
      <c r="H1300" s="5">
        <v>0.47155599999999998</v>
      </c>
      <c r="I1300" s="20">
        <f t="shared" si="20"/>
        <v>112.230328</v>
      </c>
      <c r="J1300" s="6" t="s">
        <v>357</v>
      </c>
    </row>
    <row r="1301" spans="1:10" hidden="1">
      <c r="A1301" s="9">
        <v>46050</v>
      </c>
      <c r="B1301" s="24" t="s">
        <v>1784</v>
      </c>
      <c r="C1301" s="14" t="s">
        <v>1783</v>
      </c>
      <c r="D1301" s="23" t="s">
        <v>293</v>
      </c>
      <c r="E1301" s="6" t="s">
        <v>466</v>
      </c>
      <c r="F1301" s="6" t="s">
        <v>1726</v>
      </c>
      <c r="G1301" s="5">
        <v>276</v>
      </c>
      <c r="H1301" s="5">
        <v>0.47155599999999998</v>
      </c>
      <c r="I1301" s="20">
        <f t="shared" si="20"/>
        <v>130.14945599999999</v>
      </c>
      <c r="J1301" s="6" t="s">
        <v>357</v>
      </c>
    </row>
    <row r="1302" spans="1:10" hidden="1">
      <c r="A1302" s="9">
        <v>46050</v>
      </c>
      <c r="B1302" s="6" t="s">
        <v>1786</v>
      </c>
      <c r="C1302" s="5" t="s">
        <v>1785</v>
      </c>
      <c r="D1302" s="8" t="s">
        <v>293</v>
      </c>
      <c r="E1302" s="6" t="s">
        <v>1247</v>
      </c>
      <c r="F1302" s="6" t="s">
        <v>1691</v>
      </c>
      <c r="G1302" s="5">
        <v>52</v>
      </c>
      <c r="H1302" s="5">
        <v>0.47155599999999998</v>
      </c>
      <c r="I1302" s="20">
        <f t="shared" si="20"/>
        <v>24.520911999999999</v>
      </c>
      <c r="J1302" s="6" t="s">
        <v>357</v>
      </c>
    </row>
    <row r="1303" spans="1:10" hidden="1">
      <c r="A1303" s="9">
        <v>46050</v>
      </c>
      <c r="B1303" s="6" t="s">
        <v>1788</v>
      </c>
      <c r="C1303" s="5" t="s">
        <v>1787</v>
      </c>
      <c r="D1303" s="8" t="s">
        <v>293</v>
      </c>
      <c r="E1303" s="6" t="s">
        <v>1247</v>
      </c>
      <c r="F1303" s="6" t="s">
        <v>1691</v>
      </c>
      <c r="G1303" s="5">
        <v>52</v>
      </c>
      <c r="H1303" s="5">
        <v>0.47155599999999998</v>
      </c>
      <c r="I1303" s="20">
        <f t="shared" si="20"/>
        <v>24.520911999999999</v>
      </c>
      <c r="J1303" s="6" t="s">
        <v>357</v>
      </c>
    </row>
    <row r="1304" spans="1:10" hidden="1">
      <c r="A1304" s="9">
        <v>46050</v>
      </c>
      <c r="B1304" s="6" t="s">
        <v>1790</v>
      </c>
      <c r="C1304" s="5" t="s">
        <v>1789</v>
      </c>
      <c r="D1304" s="8" t="s">
        <v>293</v>
      </c>
      <c r="E1304" s="6" t="s">
        <v>1247</v>
      </c>
      <c r="F1304" s="6" t="s">
        <v>1691</v>
      </c>
      <c r="G1304" s="5">
        <v>52</v>
      </c>
      <c r="H1304" s="5">
        <v>0.47155599999999998</v>
      </c>
      <c r="I1304" s="20">
        <f t="shared" si="20"/>
        <v>24.520911999999999</v>
      </c>
      <c r="J1304" s="6" t="s">
        <v>357</v>
      </c>
    </row>
    <row r="1305" spans="1:10" hidden="1">
      <c r="A1305" s="9">
        <v>46050</v>
      </c>
      <c r="B1305" s="6" t="s">
        <v>1792</v>
      </c>
      <c r="C1305" s="5" t="s">
        <v>1791</v>
      </c>
      <c r="D1305" s="8" t="s">
        <v>293</v>
      </c>
      <c r="E1305" s="6" t="s">
        <v>1247</v>
      </c>
      <c r="F1305" s="6" t="s">
        <v>1691</v>
      </c>
      <c r="G1305" s="5">
        <v>52</v>
      </c>
      <c r="H1305" s="5">
        <v>0.47155599999999998</v>
      </c>
      <c r="I1305" s="20">
        <f t="shared" si="20"/>
        <v>24.520911999999999</v>
      </c>
      <c r="J1305" s="6" t="s">
        <v>357</v>
      </c>
    </row>
    <row r="1306" spans="1:10" hidden="1">
      <c r="A1306" s="9">
        <v>46050</v>
      </c>
      <c r="B1306" s="6" t="s">
        <v>1794</v>
      </c>
      <c r="C1306" s="5" t="s">
        <v>1793</v>
      </c>
      <c r="D1306" s="8" t="s">
        <v>293</v>
      </c>
      <c r="E1306" s="6" t="s">
        <v>1247</v>
      </c>
      <c r="F1306" s="6" t="s">
        <v>1691</v>
      </c>
      <c r="G1306" s="5">
        <v>52</v>
      </c>
      <c r="H1306" s="5">
        <v>0.47155599999999998</v>
      </c>
      <c r="I1306" s="20">
        <f t="shared" si="20"/>
        <v>24.520911999999999</v>
      </c>
      <c r="J1306" s="6" t="s">
        <v>357</v>
      </c>
    </row>
    <row r="1307" spans="1:10" hidden="1">
      <c r="A1307" s="9">
        <v>46050</v>
      </c>
      <c r="B1307" s="6" t="s">
        <v>1796</v>
      </c>
      <c r="C1307" s="5" t="s">
        <v>1795</v>
      </c>
      <c r="D1307" s="8" t="s">
        <v>293</v>
      </c>
      <c r="E1307" s="6" t="s">
        <v>1247</v>
      </c>
      <c r="F1307" s="6" t="s">
        <v>1691</v>
      </c>
      <c r="G1307" s="5">
        <v>52</v>
      </c>
      <c r="H1307" s="5">
        <v>0.47155599999999998</v>
      </c>
      <c r="I1307" s="20">
        <f t="shared" si="20"/>
        <v>24.520911999999999</v>
      </c>
      <c r="J1307" s="6" t="s">
        <v>357</v>
      </c>
    </row>
    <row r="1308" spans="1:10" hidden="1">
      <c r="A1308" s="9">
        <v>46050</v>
      </c>
      <c r="B1308" s="6" t="s">
        <v>1798</v>
      </c>
      <c r="C1308" s="5" t="s">
        <v>1797</v>
      </c>
      <c r="D1308" s="8" t="s">
        <v>293</v>
      </c>
      <c r="E1308" s="6" t="s">
        <v>1247</v>
      </c>
      <c r="F1308" s="6" t="s">
        <v>1691</v>
      </c>
      <c r="G1308" s="5">
        <v>52</v>
      </c>
      <c r="H1308" s="5">
        <v>0.47155599999999998</v>
      </c>
      <c r="I1308" s="20">
        <f t="shared" si="20"/>
        <v>24.520911999999999</v>
      </c>
      <c r="J1308" s="6" t="s">
        <v>357</v>
      </c>
    </row>
    <row r="1309" spans="1:10" hidden="1">
      <c r="A1309" s="9">
        <v>46050</v>
      </c>
      <c r="B1309" s="6" t="s">
        <v>1800</v>
      </c>
      <c r="C1309" s="5" t="s">
        <v>1799</v>
      </c>
      <c r="D1309" s="8" t="s">
        <v>293</v>
      </c>
      <c r="E1309" s="6" t="s">
        <v>1247</v>
      </c>
      <c r="F1309" s="6" t="s">
        <v>1691</v>
      </c>
      <c r="G1309" s="5">
        <v>54</v>
      </c>
      <c r="H1309" s="5">
        <v>0.47155599999999998</v>
      </c>
      <c r="I1309" s="20">
        <f t="shared" si="20"/>
        <v>25.464023999999998</v>
      </c>
      <c r="J1309" s="6" t="s">
        <v>357</v>
      </c>
    </row>
    <row r="1310" spans="1:10" hidden="1">
      <c r="A1310" s="9">
        <v>46050</v>
      </c>
      <c r="B1310" s="6" t="s">
        <v>1802</v>
      </c>
      <c r="C1310" s="5" t="s">
        <v>1801</v>
      </c>
      <c r="D1310" s="8" t="s">
        <v>293</v>
      </c>
      <c r="E1310" s="6" t="s">
        <v>1247</v>
      </c>
      <c r="F1310" s="6" t="s">
        <v>1691</v>
      </c>
      <c r="G1310" s="5">
        <v>54</v>
      </c>
      <c r="H1310" s="5">
        <v>0.47155599999999998</v>
      </c>
      <c r="I1310" s="20">
        <f t="shared" si="20"/>
        <v>25.464023999999998</v>
      </c>
      <c r="J1310" s="6" t="s">
        <v>357</v>
      </c>
    </row>
    <row r="1311" spans="1:10" hidden="1">
      <c r="A1311" s="9">
        <v>46050</v>
      </c>
      <c r="B1311" s="6" t="s">
        <v>1804</v>
      </c>
      <c r="C1311" s="5" t="s">
        <v>1803</v>
      </c>
      <c r="D1311" s="8" t="s">
        <v>293</v>
      </c>
      <c r="E1311" s="6" t="s">
        <v>1247</v>
      </c>
      <c r="F1311" s="6" t="s">
        <v>1691</v>
      </c>
      <c r="G1311" s="5">
        <v>52</v>
      </c>
      <c r="H1311" s="5">
        <v>0.47155599999999998</v>
      </c>
      <c r="I1311" s="20">
        <f t="shared" si="20"/>
        <v>24.520911999999999</v>
      </c>
      <c r="J1311" s="6" t="s">
        <v>357</v>
      </c>
    </row>
    <row r="1312" spans="1:10" hidden="1">
      <c r="A1312" s="9">
        <v>46050</v>
      </c>
      <c r="B1312" s="6" t="s">
        <v>1806</v>
      </c>
      <c r="C1312" s="5" t="s">
        <v>1805</v>
      </c>
      <c r="D1312" s="8" t="s">
        <v>293</v>
      </c>
      <c r="E1312" s="6" t="s">
        <v>1247</v>
      </c>
      <c r="F1312" s="6" t="s">
        <v>1691</v>
      </c>
      <c r="G1312" s="5">
        <v>52</v>
      </c>
      <c r="H1312" s="5">
        <v>0.47155599999999998</v>
      </c>
      <c r="I1312" s="20">
        <f t="shared" si="20"/>
        <v>24.520911999999999</v>
      </c>
      <c r="J1312" s="6" t="s">
        <v>357</v>
      </c>
    </row>
    <row r="1313" spans="1:10" hidden="1">
      <c r="A1313" s="9">
        <v>46050</v>
      </c>
      <c r="B1313" s="6" t="s">
        <v>1808</v>
      </c>
      <c r="C1313" s="5" t="s">
        <v>1807</v>
      </c>
      <c r="D1313" s="8" t="s">
        <v>293</v>
      </c>
      <c r="E1313" s="6" t="s">
        <v>1247</v>
      </c>
      <c r="F1313" s="6" t="s">
        <v>1691</v>
      </c>
      <c r="G1313" s="5">
        <v>52</v>
      </c>
      <c r="H1313" s="5">
        <v>0.47155599999999998</v>
      </c>
      <c r="I1313" s="20">
        <f t="shared" si="20"/>
        <v>24.520911999999999</v>
      </c>
      <c r="J1313" s="6" t="s">
        <v>357</v>
      </c>
    </row>
    <row r="1314" spans="1:10" hidden="1">
      <c r="A1314" s="9">
        <v>46050</v>
      </c>
      <c r="B1314" s="6" t="s">
        <v>1810</v>
      </c>
      <c r="C1314" s="5" t="s">
        <v>1809</v>
      </c>
      <c r="D1314" s="8" t="s">
        <v>293</v>
      </c>
      <c r="E1314" s="6" t="s">
        <v>1247</v>
      </c>
      <c r="F1314" s="6" t="s">
        <v>1691</v>
      </c>
      <c r="G1314" s="5">
        <v>52</v>
      </c>
      <c r="H1314" s="5">
        <v>0.47155599999999998</v>
      </c>
      <c r="I1314" s="20">
        <f t="shared" si="20"/>
        <v>24.520911999999999</v>
      </c>
      <c r="J1314" s="6" t="s">
        <v>357</v>
      </c>
    </row>
    <row r="1315" spans="1:10" hidden="1">
      <c r="A1315" s="9">
        <v>46050</v>
      </c>
      <c r="B1315" s="6" t="s">
        <v>1812</v>
      </c>
      <c r="C1315" s="5" t="s">
        <v>1811</v>
      </c>
      <c r="D1315" s="8" t="s">
        <v>293</v>
      </c>
      <c r="E1315" s="6" t="s">
        <v>1247</v>
      </c>
      <c r="F1315" s="6" t="s">
        <v>1691</v>
      </c>
      <c r="G1315" s="5">
        <v>54</v>
      </c>
      <c r="H1315" s="5">
        <v>0.47155599999999998</v>
      </c>
      <c r="I1315" s="20">
        <f t="shared" si="20"/>
        <v>25.464023999999998</v>
      </c>
      <c r="J1315" s="6" t="s">
        <v>357</v>
      </c>
    </row>
    <row r="1316" spans="1:10" hidden="1">
      <c r="A1316" s="9">
        <v>46050</v>
      </c>
      <c r="B1316" s="6" t="s">
        <v>1814</v>
      </c>
      <c r="C1316" s="5" t="s">
        <v>1813</v>
      </c>
      <c r="D1316" s="8" t="s">
        <v>293</v>
      </c>
      <c r="E1316" s="6" t="s">
        <v>1247</v>
      </c>
      <c r="F1316" s="6" t="s">
        <v>1691</v>
      </c>
      <c r="G1316" s="5">
        <v>94</v>
      </c>
      <c r="H1316" s="5">
        <v>0.47155599999999998</v>
      </c>
      <c r="I1316" s="20">
        <f t="shared" si="20"/>
        <v>44.326263999999995</v>
      </c>
      <c r="J1316" s="6" t="s">
        <v>357</v>
      </c>
    </row>
    <row r="1317" spans="1:10" hidden="1">
      <c r="A1317" s="9">
        <v>46050</v>
      </c>
      <c r="B1317" s="6" t="s">
        <v>1816</v>
      </c>
      <c r="C1317" s="5" t="s">
        <v>1815</v>
      </c>
      <c r="D1317" s="8" t="s">
        <v>293</v>
      </c>
      <c r="E1317" s="6" t="s">
        <v>1247</v>
      </c>
      <c r="F1317" s="6" t="s">
        <v>1691</v>
      </c>
      <c r="G1317" s="5">
        <v>94</v>
      </c>
      <c r="H1317" s="5">
        <v>0.47155599999999998</v>
      </c>
      <c r="I1317" s="20">
        <f t="shared" si="20"/>
        <v>44.326263999999995</v>
      </c>
      <c r="J1317" s="6" t="s">
        <v>357</v>
      </c>
    </row>
    <row r="1318" spans="1:10" hidden="1">
      <c r="A1318" s="9">
        <v>46050</v>
      </c>
      <c r="B1318" s="6" t="s">
        <v>1818</v>
      </c>
      <c r="C1318" s="5" t="s">
        <v>1817</v>
      </c>
      <c r="D1318" s="8" t="s">
        <v>293</v>
      </c>
      <c r="E1318" s="6" t="s">
        <v>1247</v>
      </c>
      <c r="F1318" s="6" t="s">
        <v>1691</v>
      </c>
      <c r="G1318" s="5">
        <v>139</v>
      </c>
      <c r="H1318" s="5">
        <v>0.47155599999999998</v>
      </c>
      <c r="I1318" s="20">
        <f t="shared" si="20"/>
        <v>65.546284</v>
      </c>
      <c r="J1318" s="6" t="s">
        <v>357</v>
      </c>
    </row>
    <row r="1319" spans="1:10" hidden="1">
      <c r="A1319" s="9">
        <v>46050</v>
      </c>
      <c r="B1319" s="6" t="s">
        <v>1820</v>
      </c>
      <c r="C1319" s="5" t="s">
        <v>1819</v>
      </c>
      <c r="D1319" s="8" t="s">
        <v>293</v>
      </c>
      <c r="E1319" s="6" t="s">
        <v>1247</v>
      </c>
      <c r="F1319" s="6" t="s">
        <v>1691</v>
      </c>
      <c r="G1319" s="5">
        <v>139</v>
      </c>
      <c r="H1319" s="5">
        <v>0.47155599999999998</v>
      </c>
      <c r="I1319" s="20">
        <f t="shared" si="20"/>
        <v>65.546284</v>
      </c>
      <c r="J1319" s="6" t="s">
        <v>357</v>
      </c>
    </row>
    <row r="1320" spans="1:10" hidden="1">
      <c r="A1320" s="9">
        <v>46050</v>
      </c>
      <c r="B1320" s="6" t="s">
        <v>1822</v>
      </c>
      <c r="C1320" s="5" t="s">
        <v>1821</v>
      </c>
      <c r="D1320" s="8" t="s">
        <v>293</v>
      </c>
      <c r="E1320" s="6" t="s">
        <v>1247</v>
      </c>
      <c r="F1320" s="6" t="s">
        <v>1691</v>
      </c>
      <c r="G1320" s="5">
        <v>139</v>
      </c>
      <c r="H1320" s="5">
        <v>0.47155599999999998</v>
      </c>
      <c r="I1320" s="20">
        <f t="shared" si="20"/>
        <v>65.546284</v>
      </c>
      <c r="J1320" s="6" t="s">
        <v>357</v>
      </c>
    </row>
    <row r="1321" spans="1:10" hidden="1">
      <c r="A1321" s="9">
        <v>46050</v>
      </c>
      <c r="B1321" s="6" t="s">
        <v>1824</v>
      </c>
      <c r="C1321" s="5" t="s">
        <v>1823</v>
      </c>
      <c r="D1321" s="8" t="s">
        <v>293</v>
      </c>
      <c r="E1321" s="6" t="s">
        <v>1247</v>
      </c>
      <c r="F1321" s="6" t="s">
        <v>1691</v>
      </c>
      <c r="G1321" s="5">
        <v>139</v>
      </c>
      <c r="H1321" s="5">
        <v>0.47155599999999998</v>
      </c>
      <c r="I1321" s="20">
        <f t="shared" si="20"/>
        <v>65.546284</v>
      </c>
      <c r="J1321" s="6" t="s">
        <v>357</v>
      </c>
    </row>
    <row r="1322" spans="1:10" hidden="1">
      <c r="A1322" s="9">
        <v>46050</v>
      </c>
      <c r="B1322" s="6" t="s">
        <v>1826</v>
      </c>
      <c r="C1322" s="5" t="s">
        <v>1825</v>
      </c>
      <c r="D1322" s="8" t="s">
        <v>293</v>
      </c>
      <c r="E1322" s="6" t="s">
        <v>1247</v>
      </c>
      <c r="F1322" s="6" t="s">
        <v>1691</v>
      </c>
      <c r="G1322" s="5">
        <v>139</v>
      </c>
      <c r="H1322" s="5">
        <v>0.47155599999999998</v>
      </c>
      <c r="I1322" s="20">
        <f t="shared" si="20"/>
        <v>65.546284</v>
      </c>
      <c r="J1322" s="6" t="s">
        <v>357</v>
      </c>
    </row>
    <row r="1323" spans="1:10" hidden="1">
      <c r="A1323" s="9">
        <v>46050</v>
      </c>
      <c r="B1323" s="6" t="s">
        <v>1828</v>
      </c>
      <c r="C1323" s="5" t="s">
        <v>1827</v>
      </c>
      <c r="D1323" s="8" t="s">
        <v>293</v>
      </c>
      <c r="E1323" s="6" t="s">
        <v>1247</v>
      </c>
      <c r="F1323" s="6" t="s">
        <v>1691</v>
      </c>
      <c r="G1323" s="5">
        <v>146</v>
      </c>
      <c r="H1323" s="5">
        <v>0.47155599999999998</v>
      </c>
      <c r="I1323" s="20">
        <f t="shared" si="20"/>
        <v>68.84717599999999</v>
      </c>
      <c r="J1323" s="6" t="s">
        <v>357</v>
      </c>
    </row>
    <row r="1324" spans="1:10" hidden="1">
      <c r="A1324" s="9">
        <v>46050</v>
      </c>
      <c r="B1324" s="24" t="s">
        <v>1830</v>
      </c>
      <c r="C1324" s="14" t="s">
        <v>1829</v>
      </c>
      <c r="D1324" s="23" t="s">
        <v>293</v>
      </c>
      <c r="E1324" s="6" t="s">
        <v>355</v>
      </c>
      <c r="F1324" s="6" t="s">
        <v>1476</v>
      </c>
      <c r="G1324" s="5">
        <v>860</v>
      </c>
      <c r="H1324" s="5">
        <v>0.47155599999999998</v>
      </c>
      <c r="I1324" s="20">
        <f t="shared" si="20"/>
        <v>405.53816</v>
      </c>
      <c r="J1324" s="6" t="s">
        <v>357</v>
      </c>
    </row>
    <row r="1325" spans="1:10" hidden="1">
      <c r="A1325" s="10">
        <v>43648</v>
      </c>
      <c r="B1325" s="105" t="s">
        <v>1833</v>
      </c>
      <c r="C1325" s="5" t="s">
        <v>1831</v>
      </c>
      <c r="D1325" s="104" t="s">
        <v>1832</v>
      </c>
      <c r="E1325" s="105" t="s">
        <v>410</v>
      </c>
      <c r="F1325" s="105" t="s">
        <v>411</v>
      </c>
      <c r="G1325" s="5">
        <v>68</v>
      </c>
      <c r="H1325" s="5">
        <v>1</v>
      </c>
      <c r="I1325" s="20">
        <f t="shared" si="20"/>
        <v>68</v>
      </c>
      <c r="J1325" s="6" t="s">
        <v>357</v>
      </c>
    </row>
    <row r="1326" spans="1:10" hidden="1">
      <c r="A1326" s="9">
        <v>45824</v>
      </c>
      <c r="B1326" s="216" t="s">
        <v>7118</v>
      </c>
      <c r="C1326" s="5" t="s">
        <v>7120</v>
      </c>
      <c r="D1326" s="8" t="s">
        <v>7119</v>
      </c>
      <c r="E1326" s="25" t="s">
        <v>7121</v>
      </c>
      <c r="F1326" s="25" t="s">
        <v>411</v>
      </c>
      <c r="G1326" s="31">
        <v>1850</v>
      </c>
      <c r="H1326" s="5">
        <v>1</v>
      </c>
      <c r="I1326" s="20">
        <f t="shared" si="20"/>
        <v>1850</v>
      </c>
      <c r="J1326" s="6" t="s">
        <v>357</v>
      </c>
    </row>
    <row r="1327" spans="1:10" ht="30" hidden="1">
      <c r="A1327" s="9">
        <v>45824</v>
      </c>
      <c r="B1327" s="216" t="s">
        <v>7122</v>
      </c>
      <c r="C1327" s="5" t="s">
        <v>7123</v>
      </c>
      <c r="D1327" s="8" t="s">
        <v>7119</v>
      </c>
      <c r="E1327" s="25" t="s">
        <v>7124</v>
      </c>
      <c r="F1327" s="25" t="s">
        <v>411</v>
      </c>
      <c r="G1327" s="31">
        <v>1850</v>
      </c>
      <c r="H1327" s="5">
        <v>1</v>
      </c>
      <c r="I1327" s="20">
        <f t="shared" si="20"/>
        <v>1850</v>
      </c>
      <c r="J1327" s="6" t="s">
        <v>357</v>
      </c>
    </row>
    <row r="1328" spans="1:10" hidden="1">
      <c r="A1328" s="9">
        <v>44943</v>
      </c>
      <c r="B1328" s="6" t="s">
        <v>1836</v>
      </c>
      <c r="C1328" s="5" t="s">
        <v>1834</v>
      </c>
      <c r="D1328" s="8" t="s">
        <v>1835</v>
      </c>
      <c r="E1328" s="6" t="s">
        <v>1837</v>
      </c>
      <c r="F1328" s="6" t="s">
        <v>1838</v>
      </c>
      <c r="G1328" s="5">
        <v>6250</v>
      </c>
      <c r="H1328" s="5">
        <v>1</v>
      </c>
      <c r="I1328" s="20">
        <f t="shared" si="20"/>
        <v>6250</v>
      </c>
      <c r="J1328" s="6" t="s">
        <v>357</v>
      </c>
    </row>
    <row r="1329" spans="1:10" hidden="1">
      <c r="A1329" s="9">
        <v>44944</v>
      </c>
      <c r="B1329" s="6" t="s">
        <v>1840</v>
      </c>
      <c r="C1329" s="5" t="s">
        <v>1839</v>
      </c>
      <c r="D1329" s="8" t="s">
        <v>1835</v>
      </c>
      <c r="E1329" s="6" t="s">
        <v>1841</v>
      </c>
      <c r="F1329" s="6" t="s">
        <v>1838</v>
      </c>
      <c r="G1329" s="5">
        <v>450</v>
      </c>
      <c r="H1329" s="5">
        <v>1</v>
      </c>
      <c r="I1329" s="20">
        <f t="shared" si="20"/>
        <v>450</v>
      </c>
      <c r="J1329" s="6" t="s">
        <v>357</v>
      </c>
    </row>
    <row r="1330" spans="1:10" hidden="1">
      <c r="A1330" s="9">
        <v>44944</v>
      </c>
      <c r="B1330" s="6" t="s">
        <v>1843</v>
      </c>
      <c r="C1330" s="5" t="s">
        <v>1842</v>
      </c>
      <c r="D1330" s="8" t="s">
        <v>1835</v>
      </c>
      <c r="E1330" s="6" t="s">
        <v>1837</v>
      </c>
      <c r="F1330" s="6" t="s">
        <v>1838</v>
      </c>
      <c r="G1330" s="5">
        <v>7150</v>
      </c>
      <c r="H1330" s="5">
        <v>1</v>
      </c>
      <c r="I1330" s="20">
        <f t="shared" si="20"/>
        <v>7150</v>
      </c>
      <c r="J1330" s="6" t="s">
        <v>357</v>
      </c>
    </row>
    <row r="1331" spans="1:10" ht="30" hidden="1">
      <c r="A1331" s="9">
        <v>44944</v>
      </c>
      <c r="B1331" s="6" t="s">
        <v>1845</v>
      </c>
      <c r="C1331" s="5" t="s">
        <v>1844</v>
      </c>
      <c r="D1331" s="8" t="s">
        <v>1835</v>
      </c>
      <c r="E1331" s="6" t="s">
        <v>1837</v>
      </c>
      <c r="F1331" s="6" t="s">
        <v>1838</v>
      </c>
      <c r="G1331" s="5">
        <v>9000</v>
      </c>
      <c r="H1331" s="5">
        <v>1</v>
      </c>
      <c r="I1331" s="20">
        <f t="shared" si="20"/>
        <v>9000</v>
      </c>
      <c r="J1331" s="6" t="s">
        <v>357</v>
      </c>
    </row>
    <row r="1332" spans="1:10" hidden="1">
      <c r="A1332" s="9">
        <v>44944</v>
      </c>
      <c r="B1332" s="6" t="s">
        <v>1847</v>
      </c>
      <c r="C1332" s="5" t="s">
        <v>1846</v>
      </c>
      <c r="D1332" s="8" t="s">
        <v>1835</v>
      </c>
      <c r="E1332" s="6" t="s">
        <v>1837</v>
      </c>
      <c r="F1332" s="6" t="s">
        <v>1838</v>
      </c>
      <c r="G1332" s="5">
        <v>10500</v>
      </c>
      <c r="H1332" s="5">
        <v>1</v>
      </c>
      <c r="I1332" s="20">
        <f t="shared" si="20"/>
        <v>10500</v>
      </c>
      <c r="J1332" s="6" t="s">
        <v>357</v>
      </c>
    </row>
    <row r="1333" spans="1:10" hidden="1">
      <c r="A1333" s="9">
        <v>44943</v>
      </c>
      <c r="B1333" s="6" t="s">
        <v>1849</v>
      </c>
      <c r="C1333" s="5" t="s">
        <v>1848</v>
      </c>
      <c r="D1333" s="8" t="s">
        <v>1835</v>
      </c>
      <c r="E1333" s="6" t="s">
        <v>1837</v>
      </c>
      <c r="F1333" s="6" t="s">
        <v>1838</v>
      </c>
      <c r="G1333" s="5">
        <v>12200</v>
      </c>
      <c r="H1333" s="5">
        <v>1</v>
      </c>
      <c r="I1333" s="20">
        <f t="shared" si="20"/>
        <v>12200</v>
      </c>
      <c r="J1333" s="6" t="s">
        <v>357</v>
      </c>
    </row>
    <row r="1334" spans="1:10" hidden="1">
      <c r="A1334" s="10">
        <v>44491</v>
      </c>
      <c r="B1334" s="6" t="s">
        <v>1852</v>
      </c>
      <c r="C1334" s="5" t="s">
        <v>1850</v>
      </c>
      <c r="D1334" s="8" t="s">
        <v>1851</v>
      </c>
      <c r="E1334" s="6" t="s">
        <v>1853</v>
      </c>
      <c r="F1334" s="6" t="s">
        <v>411</v>
      </c>
      <c r="G1334" s="5">
        <v>1500</v>
      </c>
      <c r="H1334" s="5">
        <v>1</v>
      </c>
      <c r="I1334" s="20">
        <f t="shared" si="20"/>
        <v>1500</v>
      </c>
      <c r="J1334" s="6" t="s">
        <v>357</v>
      </c>
    </row>
    <row r="1335" spans="1:10" hidden="1">
      <c r="A1335" s="9">
        <v>44893</v>
      </c>
      <c r="B1335" s="6" t="s">
        <v>6479</v>
      </c>
      <c r="C1335" s="5" t="s">
        <v>1870</v>
      </c>
      <c r="D1335" s="8" t="s">
        <v>1855</v>
      </c>
      <c r="E1335" s="6" t="s">
        <v>1871</v>
      </c>
      <c r="F1335" s="6" t="s">
        <v>411</v>
      </c>
      <c r="G1335" s="5">
        <v>200</v>
      </c>
      <c r="H1335" s="5">
        <f t="shared" ref="H1335:H1350" si="21">0.5*0.9*0.95*0.98</f>
        <v>0.41894999999999999</v>
      </c>
      <c r="I1335" s="20">
        <f t="shared" si="20"/>
        <v>83.789999999999992</v>
      </c>
      <c r="J1335" s="6" t="s">
        <v>357</v>
      </c>
    </row>
    <row r="1336" spans="1:10" hidden="1">
      <c r="A1336" s="9">
        <v>44893</v>
      </c>
      <c r="B1336" s="6" t="s">
        <v>6480</v>
      </c>
      <c r="C1336" s="5" t="s">
        <v>1872</v>
      </c>
      <c r="D1336" s="8" t="s">
        <v>1855</v>
      </c>
      <c r="E1336" s="6" t="s">
        <v>1871</v>
      </c>
      <c r="F1336" s="6" t="s">
        <v>411</v>
      </c>
      <c r="G1336" s="5">
        <v>247</v>
      </c>
      <c r="H1336" s="5">
        <f t="shared" si="21"/>
        <v>0.41894999999999999</v>
      </c>
      <c r="I1336" s="20">
        <f t="shared" si="20"/>
        <v>103.48065</v>
      </c>
      <c r="J1336" s="6" t="s">
        <v>357</v>
      </c>
    </row>
    <row r="1337" spans="1:10" hidden="1">
      <c r="A1337" s="9">
        <v>44893</v>
      </c>
      <c r="B1337" s="6" t="s">
        <v>6481</v>
      </c>
      <c r="C1337" s="5" t="s">
        <v>1873</v>
      </c>
      <c r="D1337" s="8" t="s">
        <v>1855</v>
      </c>
      <c r="E1337" s="6" t="s">
        <v>1871</v>
      </c>
      <c r="F1337" s="6" t="s">
        <v>411</v>
      </c>
      <c r="G1337" s="5">
        <v>740</v>
      </c>
      <c r="H1337" s="5">
        <f t="shared" si="21"/>
        <v>0.41894999999999999</v>
      </c>
      <c r="I1337" s="20">
        <f t="shared" si="20"/>
        <v>310.02299999999997</v>
      </c>
      <c r="J1337" s="6" t="s">
        <v>357</v>
      </c>
    </row>
    <row r="1338" spans="1:10" hidden="1">
      <c r="A1338" s="9">
        <v>44893</v>
      </c>
      <c r="B1338" s="6" t="s">
        <v>6482</v>
      </c>
      <c r="C1338" s="5" t="s">
        <v>1874</v>
      </c>
      <c r="D1338" s="8" t="s">
        <v>1855</v>
      </c>
      <c r="E1338" s="6" t="s">
        <v>1871</v>
      </c>
      <c r="F1338" s="6" t="s">
        <v>411</v>
      </c>
      <c r="G1338" s="5">
        <v>80</v>
      </c>
      <c r="H1338" s="5">
        <f t="shared" si="21"/>
        <v>0.41894999999999999</v>
      </c>
      <c r="I1338" s="20">
        <f t="shared" si="20"/>
        <v>33.515999999999998</v>
      </c>
      <c r="J1338" s="6" t="s">
        <v>357</v>
      </c>
    </row>
    <row r="1339" spans="1:10" hidden="1">
      <c r="A1339" s="9">
        <v>44893</v>
      </c>
      <c r="B1339" s="6" t="s">
        <v>6483</v>
      </c>
      <c r="C1339" s="5" t="s">
        <v>1875</v>
      </c>
      <c r="D1339" s="8" t="s">
        <v>1855</v>
      </c>
      <c r="E1339" s="6" t="s">
        <v>1871</v>
      </c>
      <c r="F1339" s="6" t="s">
        <v>411</v>
      </c>
      <c r="G1339" s="5">
        <v>90</v>
      </c>
      <c r="H1339" s="5">
        <f t="shared" si="21"/>
        <v>0.41894999999999999</v>
      </c>
      <c r="I1339" s="20">
        <f t="shared" si="20"/>
        <v>37.705500000000001</v>
      </c>
      <c r="J1339" s="6" t="s">
        <v>357</v>
      </c>
    </row>
    <row r="1340" spans="1:10" hidden="1">
      <c r="A1340" s="9">
        <v>44893</v>
      </c>
      <c r="B1340" s="6" t="s">
        <v>6484</v>
      </c>
      <c r="C1340" s="5" t="s">
        <v>1876</v>
      </c>
      <c r="D1340" s="8" t="s">
        <v>1855</v>
      </c>
      <c r="E1340" s="6" t="s">
        <v>1871</v>
      </c>
      <c r="F1340" s="6" t="s">
        <v>411</v>
      </c>
      <c r="G1340" s="5">
        <v>110</v>
      </c>
      <c r="H1340" s="5">
        <f t="shared" si="21"/>
        <v>0.41894999999999999</v>
      </c>
      <c r="I1340" s="20">
        <f t="shared" si="20"/>
        <v>46.084499999999998</v>
      </c>
      <c r="J1340" s="6" t="s">
        <v>357</v>
      </c>
    </row>
    <row r="1341" spans="1:10" hidden="1">
      <c r="A1341" s="9">
        <v>44893</v>
      </c>
      <c r="B1341" s="6" t="s">
        <v>6485</v>
      </c>
      <c r="C1341" s="5" t="s">
        <v>1877</v>
      </c>
      <c r="D1341" s="8" t="s">
        <v>1855</v>
      </c>
      <c r="E1341" s="6" t="s">
        <v>1871</v>
      </c>
      <c r="F1341" s="6" t="s">
        <v>411</v>
      </c>
      <c r="G1341" s="5">
        <v>140</v>
      </c>
      <c r="H1341" s="5">
        <f t="shared" si="21"/>
        <v>0.41894999999999999</v>
      </c>
      <c r="I1341" s="20">
        <f t="shared" si="20"/>
        <v>58.652999999999999</v>
      </c>
      <c r="J1341" s="6" t="s">
        <v>357</v>
      </c>
    </row>
    <row r="1342" spans="1:10" hidden="1">
      <c r="A1342" s="9">
        <v>44893</v>
      </c>
      <c r="B1342" s="6" t="s">
        <v>1856</v>
      </c>
      <c r="C1342" s="5" t="s">
        <v>1854</v>
      </c>
      <c r="D1342" s="8" t="s">
        <v>1855</v>
      </c>
      <c r="E1342" s="6" t="s">
        <v>6381</v>
      </c>
      <c r="F1342" s="6" t="s">
        <v>411</v>
      </c>
      <c r="G1342" s="5">
        <v>295</v>
      </c>
      <c r="H1342" s="5">
        <f t="shared" si="21"/>
        <v>0.41894999999999999</v>
      </c>
      <c r="I1342" s="20">
        <f t="shared" si="20"/>
        <v>123.59025</v>
      </c>
      <c r="J1342" s="6" t="s">
        <v>357</v>
      </c>
    </row>
    <row r="1343" spans="1:10" hidden="1">
      <c r="A1343" s="9">
        <v>44893</v>
      </c>
      <c r="B1343" s="6" t="s">
        <v>1858</v>
      </c>
      <c r="C1343" s="5" t="s">
        <v>1857</v>
      </c>
      <c r="D1343" s="8" t="s">
        <v>1855</v>
      </c>
      <c r="E1343" s="6" t="s">
        <v>6382</v>
      </c>
      <c r="F1343" s="6" t="s">
        <v>411</v>
      </c>
      <c r="G1343" s="5">
        <v>366</v>
      </c>
      <c r="H1343" s="5">
        <f t="shared" si="21"/>
        <v>0.41894999999999999</v>
      </c>
      <c r="I1343" s="20">
        <f t="shared" si="20"/>
        <v>153.3357</v>
      </c>
      <c r="J1343" s="6" t="s">
        <v>357</v>
      </c>
    </row>
    <row r="1344" spans="1:10" ht="30" hidden="1">
      <c r="A1344" s="9">
        <v>44893</v>
      </c>
      <c r="B1344" s="6" t="s">
        <v>1860</v>
      </c>
      <c r="C1344" s="5" t="s">
        <v>1859</v>
      </c>
      <c r="D1344" s="8" t="s">
        <v>1855</v>
      </c>
      <c r="E1344" s="6" t="s">
        <v>6383</v>
      </c>
      <c r="F1344" s="6" t="s">
        <v>411</v>
      </c>
      <c r="G1344" s="5">
        <v>741</v>
      </c>
      <c r="H1344" s="5">
        <f t="shared" si="21"/>
        <v>0.41894999999999999</v>
      </c>
      <c r="I1344" s="20">
        <f t="shared" si="20"/>
        <v>310.44195000000002</v>
      </c>
      <c r="J1344" s="6" t="s">
        <v>357</v>
      </c>
    </row>
    <row r="1345" spans="1:10" hidden="1">
      <c r="A1345" s="9">
        <v>44893</v>
      </c>
      <c r="B1345" s="6" t="s">
        <v>1862</v>
      </c>
      <c r="C1345" s="5" t="s">
        <v>1861</v>
      </c>
      <c r="D1345" s="8" t="s">
        <v>1855</v>
      </c>
      <c r="E1345" s="6" t="s">
        <v>6382</v>
      </c>
      <c r="F1345" s="6" t="s">
        <v>411</v>
      </c>
      <c r="G1345" s="5">
        <v>563</v>
      </c>
      <c r="H1345" s="5">
        <f t="shared" si="21"/>
        <v>0.41894999999999999</v>
      </c>
      <c r="I1345" s="20">
        <f t="shared" si="20"/>
        <v>235.86884999999998</v>
      </c>
      <c r="J1345" s="6" t="s">
        <v>357</v>
      </c>
    </row>
    <row r="1346" spans="1:10" hidden="1">
      <c r="A1346" s="9">
        <v>44893</v>
      </c>
      <c r="B1346" s="6" t="s">
        <v>1864</v>
      </c>
      <c r="C1346" s="5" t="s">
        <v>1863</v>
      </c>
      <c r="D1346" s="8" t="s">
        <v>1855</v>
      </c>
      <c r="E1346" s="6" t="s">
        <v>6383</v>
      </c>
      <c r="F1346" s="6" t="s">
        <v>411</v>
      </c>
      <c r="G1346" s="5">
        <v>791</v>
      </c>
      <c r="H1346" s="5">
        <f t="shared" si="21"/>
        <v>0.41894999999999999</v>
      </c>
      <c r="I1346" s="20">
        <f t="shared" si="20"/>
        <v>331.38945000000001</v>
      </c>
      <c r="J1346" s="6" t="s">
        <v>357</v>
      </c>
    </row>
    <row r="1347" spans="1:10" ht="30" hidden="1">
      <c r="A1347" s="9">
        <v>44893</v>
      </c>
      <c r="B1347" s="6" t="s">
        <v>1866</v>
      </c>
      <c r="C1347" s="5" t="s">
        <v>1865</v>
      </c>
      <c r="D1347" s="8" t="s">
        <v>1855</v>
      </c>
      <c r="E1347" s="6" t="s">
        <v>6384</v>
      </c>
      <c r="F1347" s="6" t="s">
        <v>411</v>
      </c>
      <c r="G1347" s="5">
        <v>1430</v>
      </c>
      <c r="H1347" s="5">
        <f t="shared" si="21"/>
        <v>0.41894999999999999</v>
      </c>
      <c r="I1347" s="20">
        <f t="shared" ref="I1347:I1410" si="22">H1347*G1347</f>
        <v>599.09849999999994</v>
      </c>
      <c r="J1347" s="6" t="s">
        <v>357</v>
      </c>
    </row>
    <row r="1348" spans="1:10" hidden="1">
      <c r="A1348" s="9">
        <v>45582</v>
      </c>
      <c r="B1348" s="6" t="s">
        <v>5878</v>
      </c>
      <c r="C1348" s="5" t="s">
        <v>5877</v>
      </c>
      <c r="D1348" s="8" t="s">
        <v>1855</v>
      </c>
      <c r="E1348" s="106" t="s">
        <v>3041</v>
      </c>
      <c r="F1348" s="106" t="s">
        <v>3042</v>
      </c>
      <c r="G1348" s="107">
        <v>910</v>
      </c>
      <c r="H1348" s="5">
        <f t="shared" si="21"/>
        <v>0.41894999999999999</v>
      </c>
      <c r="I1348" s="20">
        <f t="shared" si="22"/>
        <v>381.24450000000002</v>
      </c>
      <c r="J1348" s="6" t="s">
        <v>357</v>
      </c>
    </row>
    <row r="1349" spans="1:10" hidden="1">
      <c r="A1349" s="9">
        <v>45582</v>
      </c>
      <c r="B1349" s="6" t="s">
        <v>5874</v>
      </c>
      <c r="C1349" s="5" t="s">
        <v>5873</v>
      </c>
      <c r="D1349" s="8" t="s">
        <v>1855</v>
      </c>
      <c r="E1349" s="106" t="s">
        <v>3041</v>
      </c>
      <c r="F1349" s="106" t="s">
        <v>3042</v>
      </c>
      <c r="G1349" s="107">
        <v>660</v>
      </c>
      <c r="H1349" s="5">
        <f t="shared" si="21"/>
        <v>0.41894999999999999</v>
      </c>
      <c r="I1349" s="20">
        <f t="shared" si="22"/>
        <v>276.50700000000001</v>
      </c>
      <c r="J1349" s="6" t="s">
        <v>357</v>
      </c>
    </row>
    <row r="1350" spans="1:10" hidden="1">
      <c r="A1350" s="9">
        <v>45582</v>
      </c>
      <c r="B1350" s="6" t="s">
        <v>5876</v>
      </c>
      <c r="C1350" s="5" t="s">
        <v>5875</v>
      </c>
      <c r="D1350" s="8" t="s">
        <v>1855</v>
      </c>
      <c r="E1350" s="106" t="s">
        <v>3041</v>
      </c>
      <c r="F1350" s="106" t="s">
        <v>3042</v>
      </c>
      <c r="G1350" s="107">
        <v>720</v>
      </c>
      <c r="H1350" s="5">
        <f t="shared" si="21"/>
        <v>0.41894999999999999</v>
      </c>
      <c r="I1350" s="20">
        <f t="shared" si="22"/>
        <v>301.64400000000001</v>
      </c>
      <c r="J1350" s="6" t="s">
        <v>357</v>
      </c>
    </row>
    <row r="1351" spans="1:10" hidden="1">
      <c r="A1351" s="26">
        <v>44679</v>
      </c>
      <c r="B1351" s="6" t="s">
        <v>1868</v>
      </c>
      <c r="C1351" s="5" t="s">
        <v>1471</v>
      </c>
      <c r="D1351" s="8" t="s">
        <v>1867</v>
      </c>
      <c r="E1351" s="111" t="s">
        <v>6491</v>
      </c>
      <c r="F1351" s="6" t="s">
        <v>411</v>
      </c>
      <c r="G1351" s="5">
        <v>855</v>
      </c>
      <c r="H1351" s="5">
        <f>0.5*0.9*0.95*0.96</f>
        <v>0.41039999999999999</v>
      </c>
      <c r="I1351" s="20">
        <f t="shared" si="22"/>
        <v>350.892</v>
      </c>
      <c r="J1351" s="6" t="s">
        <v>357</v>
      </c>
    </row>
    <row r="1352" spans="1:10" hidden="1">
      <c r="A1352" s="26">
        <v>44679</v>
      </c>
      <c r="B1352" s="6" t="s">
        <v>1869</v>
      </c>
      <c r="C1352" s="5" t="s">
        <v>1471</v>
      </c>
      <c r="D1352" s="8" t="s">
        <v>1867</v>
      </c>
      <c r="E1352" s="111" t="s">
        <v>6491</v>
      </c>
      <c r="F1352" s="6" t="s">
        <v>411</v>
      </c>
      <c r="G1352" s="5">
        <v>953</v>
      </c>
      <c r="H1352" s="5">
        <f>0.5*0.9*0.95*0.96</f>
        <v>0.41039999999999999</v>
      </c>
      <c r="I1352" s="20">
        <f t="shared" si="22"/>
        <v>391.1112</v>
      </c>
      <c r="J1352" s="6" t="s">
        <v>357</v>
      </c>
    </row>
    <row r="1353" spans="1:10" hidden="1">
      <c r="A1353" s="9">
        <v>45640</v>
      </c>
      <c r="B1353" s="216" t="s">
        <v>6315</v>
      </c>
      <c r="C1353" s="5" t="s">
        <v>6314</v>
      </c>
      <c r="D1353" s="8" t="s">
        <v>6316</v>
      </c>
      <c r="E1353" s="25" t="s">
        <v>1435</v>
      </c>
      <c r="F1353" s="25" t="s">
        <v>686</v>
      </c>
      <c r="G1353" s="31">
        <v>3500</v>
      </c>
      <c r="H1353" s="5">
        <v>1</v>
      </c>
      <c r="I1353" s="20">
        <f t="shared" si="22"/>
        <v>3500</v>
      </c>
      <c r="J1353" s="6" t="s">
        <v>357</v>
      </c>
    </row>
    <row r="1354" spans="1:10" hidden="1">
      <c r="A1354" s="10">
        <v>44231</v>
      </c>
      <c r="B1354" s="6" t="s">
        <v>1880</v>
      </c>
      <c r="C1354" s="5" t="s">
        <v>1878</v>
      </c>
      <c r="D1354" s="8" t="s">
        <v>1879</v>
      </c>
      <c r="E1354" s="6" t="s">
        <v>1881</v>
      </c>
      <c r="F1354" s="6" t="s">
        <v>411</v>
      </c>
      <c r="G1354" s="5">
        <v>1050</v>
      </c>
      <c r="H1354" s="5">
        <v>1</v>
      </c>
      <c r="I1354" s="20">
        <f t="shared" si="22"/>
        <v>1050</v>
      </c>
      <c r="J1354" s="6" t="s">
        <v>357</v>
      </c>
    </row>
    <row r="1355" spans="1:10" ht="30" hidden="1">
      <c r="A1355" s="10">
        <v>44231</v>
      </c>
      <c r="B1355" s="6" t="s">
        <v>1883</v>
      </c>
      <c r="C1355" s="5" t="s">
        <v>1882</v>
      </c>
      <c r="D1355" s="8" t="s">
        <v>1879</v>
      </c>
      <c r="E1355" s="6" t="s">
        <v>1881</v>
      </c>
      <c r="F1355" s="6" t="s">
        <v>411</v>
      </c>
      <c r="G1355" s="5">
        <v>1660</v>
      </c>
      <c r="H1355" s="5">
        <v>1</v>
      </c>
      <c r="I1355" s="20">
        <f t="shared" si="22"/>
        <v>1660</v>
      </c>
      <c r="J1355" s="6" t="s">
        <v>357</v>
      </c>
    </row>
    <row r="1356" spans="1:10" hidden="1">
      <c r="A1356" s="10">
        <v>44231</v>
      </c>
      <c r="B1356" s="6" t="s">
        <v>1885</v>
      </c>
      <c r="C1356" s="5" t="s">
        <v>1884</v>
      </c>
      <c r="D1356" s="8" t="s">
        <v>1879</v>
      </c>
      <c r="E1356" s="6" t="s">
        <v>1881</v>
      </c>
      <c r="F1356" s="6" t="s">
        <v>686</v>
      </c>
      <c r="G1356" s="5">
        <v>2500</v>
      </c>
      <c r="H1356" s="5">
        <v>1</v>
      </c>
      <c r="I1356" s="20">
        <f t="shared" si="22"/>
        <v>2500</v>
      </c>
      <c r="J1356" s="6" t="s">
        <v>357</v>
      </c>
    </row>
    <row r="1357" spans="1:10" ht="30" hidden="1">
      <c r="A1357" s="10">
        <v>44231</v>
      </c>
      <c r="B1357" s="6" t="s">
        <v>1887</v>
      </c>
      <c r="C1357" s="5" t="s">
        <v>1886</v>
      </c>
      <c r="D1357" s="8" t="s">
        <v>1879</v>
      </c>
      <c r="E1357" s="6" t="s">
        <v>1881</v>
      </c>
      <c r="F1357" s="6" t="s">
        <v>411</v>
      </c>
      <c r="G1357" s="5">
        <v>2700</v>
      </c>
      <c r="H1357" s="5">
        <v>1</v>
      </c>
      <c r="I1357" s="20">
        <f t="shared" si="22"/>
        <v>2700</v>
      </c>
      <c r="J1357" s="6" t="s">
        <v>357</v>
      </c>
    </row>
    <row r="1358" spans="1:10" ht="30" hidden="1">
      <c r="A1358" s="10">
        <v>44231</v>
      </c>
      <c r="B1358" s="6" t="s">
        <v>1889</v>
      </c>
      <c r="C1358" s="5" t="s">
        <v>1888</v>
      </c>
      <c r="D1358" s="8" t="s">
        <v>1879</v>
      </c>
      <c r="E1358" s="6" t="s">
        <v>1881</v>
      </c>
      <c r="F1358" s="6" t="s">
        <v>411</v>
      </c>
      <c r="G1358" s="5">
        <v>680</v>
      </c>
      <c r="H1358" s="5">
        <v>1</v>
      </c>
      <c r="I1358" s="20">
        <f t="shared" si="22"/>
        <v>680</v>
      </c>
      <c r="J1358" s="6" t="s">
        <v>357</v>
      </c>
    </row>
    <row r="1359" spans="1:10" hidden="1">
      <c r="A1359" s="9">
        <v>45580</v>
      </c>
      <c r="B1359" s="6" t="s">
        <v>1891</v>
      </c>
      <c r="C1359" s="5" t="s">
        <v>1890</v>
      </c>
      <c r="D1359" s="8" t="s">
        <v>1879</v>
      </c>
      <c r="E1359" s="6" t="s">
        <v>1881</v>
      </c>
      <c r="F1359" s="6" t="s">
        <v>411</v>
      </c>
      <c r="G1359" s="5">
        <v>140</v>
      </c>
      <c r="H1359" s="5">
        <v>1</v>
      </c>
      <c r="I1359" s="20">
        <f t="shared" si="22"/>
        <v>140</v>
      </c>
      <c r="J1359" s="6" t="s">
        <v>357</v>
      </c>
    </row>
    <row r="1360" spans="1:10" hidden="1">
      <c r="A1360" s="9">
        <v>45580</v>
      </c>
      <c r="B1360" s="6" t="s">
        <v>1892</v>
      </c>
      <c r="C1360" s="5" t="s">
        <v>1890</v>
      </c>
      <c r="D1360" s="8" t="s">
        <v>1879</v>
      </c>
      <c r="E1360" s="6" t="s">
        <v>1881</v>
      </c>
      <c r="F1360" s="6" t="s">
        <v>411</v>
      </c>
      <c r="G1360" s="5">
        <v>200</v>
      </c>
      <c r="H1360" s="5">
        <v>1</v>
      </c>
      <c r="I1360" s="20">
        <f t="shared" si="22"/>
        <v>200</v>
      </c>
      <c r="J1360" s="6" t="s">
        <v>357</v>
      </c>
    </row>
    <row r="1361" spans="1:10" ht="30" hidden="1">
      <c r="A1361" s="10">
        <v>44231</v>
      </c>
      <c r="B1361" s="6" t="s">
        <v>1895</v>
      </c>
      <c r="C1361" s="5" t="s">
        <v>1894</v>
      </c>
      <c r="D1361" s="8" t="s">
        <v>1879</v>
      </c>
      <c r="E1361" s="6" t="s">
        <v>1881</v>
      </c>
      <c r="F1361" s="6" t="s">
        <v>411</v>
      </c>
      <c r="G1361" s="5">
        <v>265</v>
      </c>
      <c r="H1361" s="5">
        <v>1</v>
      </c>
      <c r="I1361" s="20">
        <f t="shared" si="22"/>
        <v>265</v>
      </c>
      <c r="J1361" s="6" t="s">
        <v>357</v>
      </c>
    </row>
    <row r="1362" spans="1:10" hidden="1">
      <c r="A1362" s="9">
        <v>45580</v>
      </c>
      <c r="B1362" s="6" t="s">
        <v>1896</v>
      </c>
      <c r="C1362" s="5" t="s">
        <v>1893</v>
      </c>
      <c r="D1362" s="8" t="s">
        <v>1879</v>
      </c>
      <c r="E1362" s="6" t="s">
        <v>1881</v>
      </c>
      <c r="F1362" s="6" t="s">
        <v>411</v>
      </c>
      <c r="G1362" s="5">
        <v>345</v>
      </c>
      <c r="H1362" s="5">
        <v>1</v>
      </c>
      <c r="I1362" s="20">
        <f t="shared" si="22"/>
        <v>345</v>
      </c>
      <c r="J1362" s="6" t="s">
        <v>357</v>
      </c>
    </row>
    <row r="1363" spans="1:10" hidden="1">
      <c r="A1363" s="9">
        <v>45580</v>
      </c>
      <c r="B1363" s="6" t="s">
        <v>5837</v>
      </c>
      <c r="C1363" s="5" t="s">
        <v>1893</v>
      </c>
      <c r="D1363" s="8" t="s">
        <v>1879</v>
      </c>
      <c r="E1363" s="6" t="s">
        <v>1881</v>
      </c>
      <c r="F1363" s="6" t="s">
        <v>411</v>
      </c>
      <c r="G1363" s="5">
        <v>255</v>
      </c>
      <c r="H1363" s="5">
        <v>1</v>
      </c>
      <c r="I1363" s="20">
        <f t="shared" si="22"/>
        <v>255</v>
      </c>
      <c r="J1363" s="6" t="s">
        <v>357</v>
      </c>
    </row>
    <row r="1364" spans="1:10" hidden="1">
      <c r="A1364" s="9">
        <v>45580</v>
      </c>
      <c r="B1364" s="6" t="s">
        <v>1898</v>
      </c>
      <c r="C1364" s="5" t="s">
        <v>1897</v>
      </c>
      <c r="D1364" s="8" t="s">
        <v>1879</v>
      </c>
      <c r="E1364" s="6" t="s">
        <v>1881</v>
      </c>
      <c r="F1364" s="6" t="s">
        <v>686</v>
      </c>
      <c r="G1364" s="5">
        <v>240</v>
      </c>
      <c r="H1364" s="5">
        <v>1</v>
      </c>
      <c r="I1364" s="20">
        <f t="shared" si="22"/>
        <v>240</v>
      </c>
      <c r="J1364" s="6" t="s">
        <v>357</v>
      </c>
    </row>
    <row r="1365" spans="1:10" hidden="1">
      <c r="A1365" s="9">
        <v>45580</v>
      </c>
      <c r="B1365" s="6" t="s">
        <v>1899</v>
      </c>
      <c r="C1365" s="5" t="s">
        <v>1897</v>
      </c>
      <c r="D1365" s="8" t="s">
        <v>1879</v>
      </c>
      <c r="E1365" s="6" t="s">
        <v>1881</v>
      </c>
      <c r="F1365" s="6" t="s">
        <v>411</v>
      </c>
      <c r="G1365" s="5">
        <v>285</v>
      </c>
      <c r="H1365" s="5">
        <v>1</v>
      </c>
      <c r="I1365" s="20">
        <f t="shared" si="22"/>
        <v>285</v>
      </c>
      <c r="J1365" s="6" t="s">
        <v>357</v>
      </c>
    </row>
    <row r="1366" spans="1:10" ht="30" hidden="1">
      <c r="A1366" s="10">
        <v>44231</v>
      </c>
      <c r="B1366" s="6" t="s">
        <v>1902</v>
      </c>
      <c r="C1366" s="5" t="s">
        <v>1901</v>
      </c>
      <c r="D1366" s="8" t="s">
        <v>1879</v>
      </c>
      <c r="E1366" s="6" t="s">
        <v>1881</v>
      </c>
      <c r="F1366" s="6" t="s">
        <v>411</v>
      </c>
      <c r="G1366" s="5">
        <v>390</v>
      </c>
      <c r="H1366" s="5">
        <v>1</v>
      </c>
      <c r="I1366" s="20">
        <f t="shared" si="22"/>
        <v>390</v>
      </c>
      <c r="J1366" s="6" t="s">
        <v>357</v>
      </c>
    </row>
    <row r="1367" spans="1:10" ht="30" hidden="1">
      <c r="A1367" s="10">
        <v>44231</v>
      </c>
      <c r="B1367" s="6" t="s">
        <v>1904</v>
      </c>
      <c r="C1367" s="5" t="s">
        <v>1903</v>
      </c>
      <c r="D1367" s="8" t="s">
        <v>1879</v>
      </c>
      <c r="E1367" s="6" t="s">
        <v>1881</v>
      </c>
      <c r="F1367" s="6" t="s">
        <v>411</v>
      </c>
      <c r="G1367" s="5">
        <v>790</v>
      </c>
      <c r="H1367" s="5">
        <v>1</v>
      </c>
      <c r="I1367" s="20">
        <f t="shared" si="22"/>
        <v>790</v>
      </c>
      <c r="J1367" s="6" t="s">
        <v>357</v>
      </c>
    </row>
    <row r="1368" spans="1:10" hidden="1">
      <c r="A1368" s="9">
        <v>45580</v>
      </c>
      <c r="B1368" s="6" t="s">
        <v>5836</v>
      </c>
      <c r="C1368" s="5" t="s">
        <v>1900</v>
      </c>
      <c r="D1368" s="8" t="s">
        <v>1879</v>
      </c>
      <c r="E1368" s="6" t="s">
        <v>1881</v>
      </c>
      <c r="F1368" s="6" t="s">
        <v>411</v>
      </c>
      <c r="G1368" s="5">
        <v>345</v>
      </c>
      <c r="H1368" s="5">
        <v>1</v>
      </c>
      <c r="I1368" s="20">
        <f t="shared" si="22"/>
        <v>345</v>
      </c>
      <c r="J1368" s="6" t="s">
        <v>357</v>
      </c>
    </row>
    <row r="1369" spans="1:10" hidden="1">
      <c r="A1369" s="9">
        <v>45580</v>
      </c>
      <c r="B1369" s="6" t="s">
        <v>5835</v>
      </c>
      <c r="C1369" s="5" t="s">
        <v>1900</v>
      </c>
      <c r="D1369" s="8" t="s">
        <v>1879</v>
      </c>
      <c r="E1369" s="6" t="s">
        <v>1881</v>
      </c>
      <c r="F1369" s="6" t="s">
        <v>686</v>
      </c>
      <c r="G1369" s="5">
        <v>420</v>
      </c>
      <c r="H1369" s="5">
        <v>1</v>
      </c>
      <c r="I1369" s="20">
        <f t="shared" si="22"/>
        <v>420</v>
      </c>
      <c r="J1369" s="6" t="s">
        <v>357</v>
      </c>
    </row>
    <row r="1370" spans="1:10" ht="30" hidden="1">
      <c r="A1370" s="10">
        <v>44231</v>
      </c>
      <c r="B1370" s="6" t="s">
        <v>1908</v>
      </c>
      <c r="C1370" s="5" t="s">
        <v>1907</v>
      </c>
      <c r="D1370" s="8" t="s">
        <v>1879</v>
      </c>
      <c r="E1370" s="6" t="s">
        <v>1881</v>
      </c>
      <c r="F1370" s="6" t="s">
        <v>411</v>
      </c>
      <c r="G1370" s="5">
        <v>1300</v>
      </c>
      <c r="H1370" s="5">
        <v>1</v>
      </c>
      <c r="I1370" s="20">
        <f t="shared" si="22"/>
        <v>1300</v>
      </c>
      <c r="J1370" s="6" t="s">
        <v>357</v>
      </c>
    </row>
    <row r="1371" spans="1:10" hidden="1">
      <c r="A1371" s="9">
        <v>45580</v>
      </c>
      <c r="B1371" s="6" t="s">
        <v>5833</v>
      </c>
      <c r="C1371" s="5" t="s">
        <v>1905</v>
      </c>
      <c r="D1371" s="8" t="s">
        <v>1879</v>
      </c>
      <c r="E1371" s="6" t="s">
        <v>1881</v>
      </c>
      <c r="F1371" s="6" t="s">
        <v>411</v>
      </c>
      <c r="G1371" s="5">
        <v>385</v>
      </c>
      <c r="H1371" s="5">
        <v>1</v>
      </c>
      <c r="I1371" s="20">
        <f t="shared" si="22"/>
        <v>385</v>
      </c>
      <c r="J1371" s="6" t="s">
        <v>357</v>
      </c>
    </row>
    <row r="1372" spans="1:10" hidden="1">
      <c r="A1372" s="9">
        <v>45580</v>
      </c>
      <c r="B1372" s="6" t="s">
        <v>5834</v>
      </c>
      <c r="C1372" s="5" t="s">
        <v>1905</v>
      </c>
      <c r="D1372" s="8" t="s">
        <v>1879</v>
      </c>
      <c r="E1372" s="6" t="s">
        <v>1881</v>
      </c>
      <c r="F1372" s="6" t="s">
        <v>411</v>
      </c>
      <c r="G1372" s="5">
        <v>450</v>
      </c>
      <c r="H1372" s="5">
        <v>1</v>
      </c>
      <c r="I1372" s="20">
        <f t="shared" si="22"/>
        <v>450</v>
      </c>
      <c r="J1372" s="6" t="s">
        <v>357</v>
      </c>
    </row>
    <row r="1373" spans="1:10" hidden="1">
      <c r="A1373" s="9">
        <v>45580</v>
      </c>
      <c r="B1373" s="6" t="s">
        <v>5831</v>
      </c>
      <c r="C1373" s="5" t="s">
        <v>1906</v>
      </c>
      <c r="D1373" s="8" t="s">
        <v>1879</v>
      </c>
      <c r="E1373" s="6" t="s">
        <v>1881</v>
      </c>
      <c r="F1373" s="6" t="s">
        <v>411</v>
      </c>
      <c r="G1373" s="5">
        <v>740</v>
      </c>
      <c r="H1373" s="5">
        <v>1</v>
      </c>
      <c r="I1373" s="20">
        <f t="shared" si="22"/>
        <v>740</v>
      </c>
      <c r="J1373" s="6" t="s">
        <v>357</v>
      </c>
    </row>
    <row r="1374" spans="1:10" hidden="1">
      <c r="A1374" s="9">
        <v>45580</v>
      </c>
      <c r="B1374" s="6" t="s">
        <v>5832</v>
      </c>
      <c r="C1374" s="5" t="s">
        <v>1906</v>
      </c>
      <c r="D1374" s="8" t="s">
        <v>1879</v>
      </c>
      <c r="E1374" s="6" t="s">
        <v>1881</v>
      </c>
      <c r="F1374" s="6" t="s">
        <v>686</v>
      </c>
      <c r="G1374" s="5">
        <v>790</v>
      </c>
      <c r="H1374" s="5">
        <v>1</v>
      </c>
      <c r="I1374" s="20">
        <f t="shared" si="22"/>
        <v>790</v>
      </c>
      <c r="J1374" s="6" t="s">
        <v>357</v>
      </c>
    </row>
    <row r="1375" spans="1:10" hidden="1">
      <c r="A1375" s="9">
        <v>45926</v>
      </c>
      <c r="B1375" s="216" t="s">
        <v>7555</v>
      </c>
      <c r="C1375" s="5" t="s">
        <v>7552</v>
      </c>
      <c r="D1375" s="8" t="s">
        <v>1879</v>
      </c>
      <c r="E1375" s="25" t="s">
        <v>685</v>
      </c>
      <c r="F1375" s="25" t="s">
        <v>411</v>
      </c>
      <c r="G1375" s="31">
        <v>120</v>
      </c>
      <c r="H1375" s="5">
        <v>1</v>
      </c>
      <c r="I1375" s="20">
        <f t="shared" si="22"/>
        <v>120</v>
      </c>
      <c r="J1375" s="6" t="s">
        <v>357</v>
      </c>
    </row>
    <row r="1376" spans="1:10" hidden="1">
      <c r="A1376" s="9">
        <v>45926</v>
      </c>
      <c r="B1376" s="216" t="s">
        <v>7556</v>
      </c>
      <c r="C1376" s="5" t="s">
        <v>7553</v>
      </c>
      <c r="D1376" s="8" t="s">
        <v>1879</v>
      </c>
      <c r="E1376" s="25" t="s">
        <v>685</v>
      </c>
      <c r="F1376" s="25" t="s">
        <v>411</v>
      </c>
      <c r="G1376" s="31">
        <v>120</v>
      </c>
      <c r="H1376" s="5">
        <v>1</v>
      </c>
      <c r="I1376" s="20">
        <f t="shared" si="22"/>
        <v>120</v>
      </c>
      <c r="J1376" s="6" t="s">
        <v>357</v>
      </c>
    </row>
    <row r="1377" spans="1:10" hidden="1">
      <c r="A1377" s="9">
        <v>45926</v>
      </c>
      <c r="B1377" s="216" t="s">
        <v>7560</v>
      </c>
      <c r="C1377" s="5" t="s">
        <v>7559</v>
      </c>
      <c r="D1377" s="8" t="s">
        <v>1879</v>
      </c>
      <c r="E1377" s="25" t="s">
        <v>685</v>
      </c>
      <c r="F1377" s="25" t="s">
        <v>411</v>
      </c>
      <c r="G1377" s="31">
        <v>105</v>
      </c>
      <c r="H1377" s="5">
        <v>1</v>
      </c>
      <c r="I1377" s="20">
        <f t="shared" si="22"/>
        <v>105</v>
      </c>
      <c r="J1377" s="6" t="s">
        <v>357</v>
      </c>
    </row>
    <row r="1378" spans="1:10" hidden="1">
      <c r="A1378" s="9">
        <v>45926</v>
      </c>
      <c r="B1378" s="216" t="s">
        <v>7554</v>
      </c>
      <c r="C1378" s="5" t="s">
        <v>7557</v>
      </c>
      <c r="D1378" s="8" t="s">
        <v>1879</v>
      </c>
      <c r="E1378" s="25" t="s">
        <v>685</v>
      </c>
      <c r="F1378" s="25" t="s">
        <v>411</v>
      </c>
      <c r="G1378" s="31">
        <v>120</v>
      </c>
      <c r="H1378" s="5">
        <v>1</v>
      </c>
      <c r="I1378" s="20">
        <f t="shared" si="22"/>
        <v>120</v>
      </c>
      <c r="J1378" s="6" t="s">
        <v>357</v>
      </c>
    </row>
    <row r="1379" spans="1:10" hidden="1">
      <c r="A1379" s="9">
        <v>45926</v>
      </c>
      <c r="B1379" s="216" t="s">
        <v>7558</v>
      </c>
      <c r="C1379" s="5" t="s">
        <v>6175</v>
      </c>
      <c r="D1379" s="8" t="s">
        <v>1879</v>
      </c>
      <c r="E1379" s="25" t="s">
        <v>685</v>
      </c>
      <c r="F1379" s="25" t="s">
        <v>411</v>
      </c>
      <c r="G1379" s="31">
        <v>105</v>
      </c>
      <c r="H1379" s="5">
        <v>1</v>
      </c>
      <c r="I1379" s="20">
        <f t="shared" si="22"/>
        <v>105</v>
      </c>
      <c r="J1379" s="6" t="s">
        <v>357</v>
      </c>
    </row>
    <row r="1380" spans="1:10" hidden="1">
      <c r="A1380" s="9">
        <v>45926</v>
      </c>
      <c r="B1380" s="216" t="s">
        <v>7563</v>
      </c>
      <c r="C1380" s="5" t="s">
        <v>7564</v>
      </c>
      <c r="D1380" s="8" t="s">
        <v>1879</v>
      </c>
      <c r="E1380" s="25" t="s">
        <v>685</v>
      </c>
      <c r="F1380" s="25" t="s">
        <v>411</v>
      </c>
      <c r="G1380" s="31">
        <v>105</v>
      </c>
      <c r="H1380" s="5">
        <v>1</v>
      </c>
      <c r="I1380" s="20">
        <f t="shared" si="22"/>
        <v>105</v>
      </c>
      <c r="J1380" s="6" t="s">
        <v>357</v>
      </c>
    </row>
    <row r="1381" spans="1:10" hidden="1">
      <c r="A1381" s="9">
        <v>45926</v>
      </c>
      <c r="B1381" s="216" t="s">
        <v>7561</v>
      </c>
      <c r="C1381" s="5" t="s">
        <v>7562</v>
      </c>
      <c r="D1381" s="8" t="s">
        <v>1879</v>
      </c>
      <c r="E1381" s="25" t="s">
        <v>685</v>
      </c>
      <c r="F1381" s="25" t="s">
        <v>411</v>
      </c>
      <c r="G1381" s="31">
        <v>105</v>
      </c>
      <c r="H1381" s="5">
        <v>1</v>
      </c>
      <c r="I1381" s="20">
        <f t="shared" si="22"/>
        <v>105</v>
      </c>
      <c r="J1381" s="6" t="s">
        <v>357</v>
      </c>
    </row>
    <row r="1382" spans="1:10" hidden="1">
      <c r="A1382" s="9">
        <v>45926</v>
      </c>
      <c r="B1382" s="216" t="s">
        <v>7565</v>
      </c>
      <c r="C1382" s="5" t="s">
        <v>7567</v>
      </c>
      <c r="D1382" s="8" t="s">
        <v>1879</v>
      </c>
      <c r="E1382" s="25" t="s">
        <v>685</v>
      </c>
      <c r="F1382" s="25" t="s">
        <v>411</v>
      </c>
      <c r="G1382" s="31">
        <v>140</v>
      </c>
      <c r="H1382" s="5">
        <v>1</v>
      </c>
      <c r="I1382" s="20">
        <f t="shared" si="22"/>
        <v>140</v>
      </c>
      <c r="J1382" s="6" t="s">
        <v>357</v>
      </c>
    </row>
    <row r="1383" spans="1:10" hidden="1">
      <c r="A1383" s="9">
        <v>45926</v>
      </c>
      <c r="B1383" s="216" t="s">
        <v>7566</v>
      </c>
      <c r="C1383" s="5" t="s">
        <v>6176</v>
      </c>
      <c r="D1383" s="8" t="s">
        <v>1879</v>
      </c>
      <c r="E1383" s="25" t="s">
        <v>685</v>
      </c>
      <c r="F1383" s="25" t="s">
        <v>411</v>
      </c>
      <c r="G1383" s="31">
        <v>140</v>
      </c>
      <c r="H1383" s="5">
        <v>1</v>
      </c>
      <c r="I1383" s="20">
        <f t="shared" si="22"/>
        <v>140</v>
      </c>
      <c r="J1383" s="6" t="s">
        <v>357</v>
      </c>
    </row>
    <row r="1384" spans="1:10" hidden="1">
      <c r="A1384" s="9">
        <v>45926</v>
      </c>
      <c r="B1384" s="216" t="s">
        <v>7570</v>
      </c>
      <c r="C1384" s="5" t="s">
        <v>7571</v>
      </c>
      <c r="D1384" s="8" t="s">
        <v>1879</v>
      </c>
      <c r="E1384" s="25" t="s">
        <v>685</v>
      </c>
      <c r="F1384" s="25" t="s">
        <v>411</v>
      </c>
      <c r="G1384" s="31">
        <v>140</v>
      </c>
      <c r="H1384" s="5">
        <v>1</v>
      </c>
      <c r="I1384" s="20">
        <f t="shared" si="22"/>
        <v>140</v>
      </c>
      <c r="J1384" s="6" t="s">
        <v>357</v>
      </c>
    </row>
    <row r="1385" spans="1:10" hidden="1">
      <c r="A1385" s="9">
        <v>45926</v>
      </c>
      <c r="B1385" s="216" t="s">
        <v>7568</v>
      </c>
      <c r="C1385" s="5" t="s">
        <v>7569</v>
      </c>
      <c r="D1385" s="8" t="s">
        <v>1879</v>
      </c>
      <c r="E1385" s="25" t="s">
        <v>685</v>
      </c>
      <c r="F1385" s="25" t="s">
        <v>411</v>
      </c>
      <c r="G1385" s="31">
        <v>140</v>
      </c>
      <c r="H1385" s="5">
        <v>1</v>
      </c>
      <c r="I1385" s="20">
        <f t="shared" si="22"/>
        <v>140</v>
      </c>
      <c r="J1385" s="6" t="s">
        <v>357</v>
      </c>
    </row>
    <row r="1386" spans="1:10" hidden="1">
      <c r="A1386" s="9">
        <v>45128</v>
      </c>
      <c r="B1386" s="6" t="s">
        <v>1911</v>
      </c>
      <c r="C1386" s="5" t="s">
        <v>1909</v>
      </c>
      <c r="D1386" s="8" t="s">
        <v>1910</v>
      </c>
      <c r="E1386" s="6" t="s">
        <v>1912</v>
      </c>
      <c r="F1386" s="6" t="s">
        <v>1910</v>
      </c>
      <c r="G1386" s="5">
        <v>2332</v>
      </c>
      <c r="H1386" s="5">
        <f t="shared" ref="H1386:H1411" si="23">0.5*0.9*0.9*0.9</f>
        <v>0.36450000000000005</v>
      </c>
      <c r="I1386" s="20">
        <f t="shared" si="22"/>
        <v>850.01400000000012</v>
      </c>
      <c r="J1386" s="6" t="s">
        <v>357</v>
      </c>
    </row>
    <row r="1387" spans="1:10" hidden="1">
      <c r="A1387" s="9">
        <v>45128</v>
      </c>
      <c r="B1387" s="6" t="s">
        <v>1914</v>
      </c>
      <c r="C1387" s="5" t="s">
        <v>1913</v>
      </c>
      <c r="D1387" s="8" t="s">
        <v>1910</v>
      </c>
      <c r="E1387" s="6" t="s">
        <v>1912</v>
      </c>
      <c r="F1387" s="6" t="s">
        <v>1910</v>
      </c>
      <c r="G1387" s="5">
        <v>302</v>
      </c>
      <c r="H1387" s="5">
        <f t="shared" si="23"/>
        <v>0.36450000000000005</v>
      </c>
      <c r="I1387" s="20">
        <f t="shared" si="22"/>
        <v>110.07900000000001</v>
      </c>
      <c r="J1387" s="6" t="s">
        <v>357</v>
      </c>
    </row>
    <row r="1388" spans="1:10" hidden="1">
      <c r="A1388" s="9">
        <v>45128</v>
      </c>
      <c r="B1388" s="6" t="s">
        <v>1916</v>
      </c>
      <c r="C1388" s="5" t="s">
        <v>1915</v>
      </c>
      <c r="D1388" s="8" t="s">
        <v>1910</v>
      </c>
      <c r="E1388" s="6" t="s">
        <v>1912</v>
      </c>
      <c r="F1388" s="6" t="s">
        <v>1910</v>
      </c>
      <c r="G1388" s="5">
        <v>2798</v>
      </c>
      <c r="H1388" s="5">
        <f t="shared" si="23"/>
        <v>0.36450000000000005</v>
      </c>
      <c r="I1388" s="20">
        <f t="shared" si="22"/>
        <v>1019.8710000000001</v>
      </c>
      <c r="J1388" s="6" t="s">
        <v>357</v>
      </c>
    </row>
    <row r="1389" spans="1:10" hidden="1">
      <c r="A1389" s="9">
        <v>45128</v>
      </c>
      <c r="B1389" s="6" t="s">
        <v>1918</v>
      </c>
      <c r="C1389" s="5" t="s">
        <v>1917</v>
      </c>
      <c r="D1389" s="8" t="s">
        <v>1910</v>
      </c>
      <c r="E1389" s="6" t="s">
        <v>1912</v>
      </c>
      <c r="F1389" s="6" t="s">
        <v>1910</v>
      </c>
      <c r="G1389" s="5">
        <v>362</v>
      </c>
      <c r="H1389" s="5">
        <f t="shared" si="23"/>
        <v>0.36450000000000005</v>
      </c>
      <c r="I1389" s="20">
        <f t="shared" si="22"/>
        <v>131.94900000000001</v>
      </c>
      <c r="J1389" s="6" t="s">
        <v>357</v>
      </c>
    </row>
    <row r="1390" spans="1:10" hidden="1">
      <c r="A1390" s="9">
        <v>45128</v>
      </c>
      <c r="B1390" s="6" t="s">
        <v>1920</v>
      </c>
      <c r="C1390" s="5" t="s">
        <v>1919</v>
      </c>
      <c r="D1390" s="8" t="s">
        <v>1910</v>
      </c>
      <c r="E1390" s="6" t="s">
        <v>1912</v>
      </c>
      <c r="F1390" s="6" t="s">
        <v>1910</v>
      </c>
      <c r="G1390" s="5">
        <v>467</v>
      </c>
      <c r="H1390" s="5">
        <f t="shared" si="23"/>
        <v>0.36450000000000005</v>
      </c>
      <c r="I1390" s="20">
        <f t="shared" si="22"/>
        <v>170.22150000000002</v>
      </c>
      <c r="J1390" s="6" t="s">
        <v>357</v>
      </c>
    </row>
    <row r="1391" spans="1:10" hidden="1">
      <c r="A1391" s="9">
        <v>45128</v>
      </c>
      <c r="B1391" s="6" t="s">
        <v>1922</v>
      </c>
      <c r="C1391" s="5" t="s">
        <v>1921</v>
      </c>
      <c r="D1391" s="8" t="s">
        <v>1910</v>
      </c>
      <c r="E1391" s="6" t="s">
        <v>1912</v>
      </c>
      <c r="F1391" s="6" t="s">
        <v>1910</v>
      </c>
      <c r="G1391" s="5">
        <v>583</v>
      </c>
      <c r="H1391" s="5">
        <f t="shared" si="23"/>
        <v>0.36450000000000005</v>
      </c>
      <c r="I1391" s="20">
        <f t="shared" si="22"/>
        <v>212.50350000000003</v>
      </c>
      <c r="J1391" s="6" t="s">
        <v>357</v>
      </c>
    </row>
    <row r="1392" spans="1:10" hidden="1">
      <c r="A1392" s="9">
        <v>45128</v>
      </c>
      <c r="B1392" s="6" t="s">
        <v>1924</v>
      </c>
      <c r="C1392" s="5" t="s">
        <v>1923</v>
      </c>
      <c r="D1392" s="8" t="s">
        <v>1910</v>
      </c>
      <c r="E1392" s="6" t="s">
        <v>1912</v>
      </c>
      <c r="F1392" s="6" t="s">
        <v>1910</v>
      </c>
      <c r="G1392" s="5">
        <v>700</v>
      </c>
      <c r="H1392" s="5">
        <f t="shared" si="23"/>
        <v>0.36450000000000005</v>
      </c>
      <c r="I1392" s="20">
        <f t="shared" si="22"/>
        <v>255.15000000000003</v>
      </c>
      <c r="J1392" s="6" t="s">
        <v>357</v>
      </c>
    </row>
    <row r="1393" spans="1:10" hidden="1">
      <c r="A1393" s="9">
        <v>45128</v>
      </c>
      <c r="B1393" s="6" t="s">
        <v>1926</v>
      </c>
      <c r="C1393" s="5" t="s">
        <v>1925</v>
      </c>
      <c r="D1393" s="8" t="s">
        <v>1910</v>
      </c>
      <c r="E1393" s="6" t="s">
        <v>1912</v>
      </c>
      <c r="F1393" s="6" t="s">
        <v>1910</v>
      </c>
      <c r="G1393" s="5">
        <v>933</v>
      </c>
      <c r="H1393" s="5">
        <f t="shared" si="23"/>
        <v>0.36450000000000005</v>
      </c>
      <c r="I1393" s="20">
        <f t="shared" si="22"/>
        <v>340.07850000000002</v>
      </c>
      <c r="J1393" s="6" t="s">
        <v>357</v>
      </c>
    </row>
    <row r="1394" spans="1:10" hidden="1">
      <c r="A1394" s="9">
        <v>45128</v>
      </c>
      <c r="B1394" s="6" t="s">
        <v>1928</v>
      </c>
      <c r="C1394" s="5" t="s">
        <v>1927</v>
      </c>
      <c r="D1394" s="8" t="s">
        <v>1910</v>
      </c>
      <c r="E1394" s="6" t="s">
        <v>1912</v>
      </c>
      <c r="F1394" s="6" t="s">
        <v>1910</v>
      </c>
      <c r="G1394" s="5">
        <v>1166</v>
      </c>
      <c r="H1394" s="5">
        <f t="shared" si="23"/>
        <v>0.36450000000000005</v>
      </c>
      <c r="I1394" s="20">
        <f t="shared" si="22"/>
        <v>425.00700000000006</v>
      </c>
      <c r="J1394" s="6" t="s">
        <v>357</v>
      </c>
    </row>
    <row r="1395" spans="1:10" hidden="1">
      <c r="A1395" s="9">
        <v>45128</v>
      </c>
      <c r="B1395" s="6" t="s">
        <v>1930</v>
      </c>
      <c r="C1395" s="5" t="s">
        <v>1929</v>
      </c>
      <c r="D1395" s="8" t="s">
        <v>1910</v>
      </c>
      <c r="E1395" s="6" t="s">
        <v>1912</v>
      </c>
      <c r="F1395" s="6" t="s">
        <v>1910</v>
      </c>
      <c r="G1395" s="5">
        <v>178</v>
      </c>
      <c r="H1395" s="5">
        <f t="shared" si="23"/>
        <v>0.36450000000000005</v>
      </c>
      <c r="I1395" s="20">
        <f t="shared" si="22"/>
        <v>64.881000000000014</v>
      </c>
      <c r="J1395" s="6" t="s">
        <v>357</v>
      </c>
    </row>
    <row r="1396" spans="1:10" hidden="1">
      <c r="A1396" s="9">
        <v>45128</v>
      </c>
      <c r="B1396" s="6" t="s">
        <v>1932</v>
      </c>
      <c r="C1396" s="5" t="s">
        <v>1931</v>
      </c>
      <c r="D1396" s="8" t="s">
        <v>1910</v>
      </c>
      <c r="E1396" s="6" t="s">
        <v>1912</v>
      </c>
      <c r="F1396" s="6" t="s">
        <v>1910</v>
      </c>
      <c r="G1396" s="5">
        <v>1399</v>
      </c>
      <c r="H1396" s="5">
        <f t="shared" si="23"/>
        <v>0.36450000000000005</v>
      </c>
      <c r="I1396" s="20">
        <f t="shared" si="22"/>
        <v>509.93550000000005</v>
      </c>
      <c r="J1396" s="6" t="s">
        <v>357</v>
      </c>
    </row>
    <row r="1397" spans="1:10" hidden="1">
      <c r="A1397" s="9">
        <v>45128</v>
      </c>
      <c r="B1397" s="6" t="s">
        <v>1934</v>
      </c>
      <c r="C1397" s="5" t="s">
        <v>1933</v>
      </c>
      <c r="D1397" s="8" t="s">
        <v>1910</v>
      </c>
      <c r="E1397" s="6" t="s">
        <v>1912</v>
      </c>
      <c r="F1397" s="6" t="s">
        <v>1910</v>
      </c>
      <c r="G1397" s="5">
        <v>1749</v>
      </c>
      <c r="H1397" s="5">
        <f t="shared" si="23"/>
        <v>0.36450000000000005</v>
      </c>
      <c r="I1397" s="20">
        <f t="shared" si="22"/>
        <v>637.51050000000009</v>
      </c>
      <c r="J1397" s="6" t="s">
        <v>357</v>
      </c>
    </row>
    <row r="1398" spans="1:10" hidden="1">
      <c r="A1398" s="9">
        <v>45128</v>
      </c>
      <c r="B1398" s="6" t="s">
        <v>1936</v>
      </c>
      <c r="C1398" s="5" t="s">
        <v>1935</v>
      </c>
      <c r="D1398" s="8" t="s">
        <v>1910</v>
      </c>
      <c r="E1398" s="6" t="s">
        <v>1912</v>
      </c>
      <c r="F1398" s="6" t="s">
        <v>1910</v>
      </c>
      <c r="G1398" s="5">
        <v>1866</v>
      </c>
      <c r="H1398" s="5">
        <f t="shared" si="23"/>
        <v>0.36450000000000005</v>
      </c>
      <c r="I1398" s="20">
        <f t="shared" si="22"/>
        <v>680.15700000000004</v>
      </c>
      <c r="J1398" s="6" t="s">
        <v>357</v>
      </c>
    </row>
    <row r="1399" spans="1:10" hidden="1">
      <c r="A1399" s="9">
        <v>45128</v>
      </c>
      <c r="B1399" s="6" t="s">
        <v>1938</v>
      </c>
      <c r="C1399" s="5" t="s">
        <v>1937</v>
      </c>
      <c r="D1399" s="8" t="s">
        <v>1910</v>
      </c>
      <c r="E1399" s="6" t="s">
        <v>1912</v>
      </c>
      <c r="F1399" s="6" t="s">
        <v>1910</v>
      </c>
      <c r="G1399" s="5">
        <v>2277</v>
      </c>
      <c r="H1399" s="5">
        <f t="shared" si="23"/>
        <v>0.36450000000000005</v>
      </c>
      <c r="I1399" s="20">
        <f t="shared" si="22"/>
        <v>829.96650000000011</v>
      </c>
      <c r="J1399" s="6" t="s">
        <v>357</v>
      </c>
    </row>
    <row r="1400" spans="1:10" hidden="1">
      <c r="A1400" s="9">
        <v>45128</v>
      </c>
      <c r="B1400" s="6" t="s">
        <v>1940</v>
      </c>
      <c r="C1400" s="5" t="s">
        <v>1939</v>
      </c>
      <c r="D1400" s="8" t="s">
        <v>1910</v>
      </c>
      <c r="E1400" s="6" t="s">
        <v>1912</v>
      </c>
      <c r="F1400" s="6" t="s">
        <v>1910</v>
      </c>
      <c r="G1400" s="5">
        <v>274</v>
      </c>
      <c r="H1400" s="5">
        <f t="shared" si="23"/>
        <v>0.36450000000000005</v>
      </c>
      <c r="I1400" s="20">
        <f t="shared" si="22"/>
        <v>99.873000000000019</v>
      </c>
      <c r="J1400" s="6" t="s">
        <v>357</v>
      </c>
    </row>
    <row r="1401" spans="1:10" hidden="1">
      <c r="A1401" s="9">
        <v>45128</v>
      </c>
      <c r="B1401" s="6" t="s">
        <v>1942</v>
      </c>
      <c r="C1401" s="5" t="s">
        <v>1941</v>
      </c>
      <c r="D1401" s="8" t="s">
        <v>1910</v>
      </c>
      <c r="E1401" s="6" t="s">
        <v>1912</v>
      </c>
      <c r="F1401" s="6" t="s">
        <v>1910</v>
      </c>
      <c r="G1401" s="5">
        <v>2733</v>
      </c>
      <c r="H1401" s="5">
        <f t="shared" si="23"/>
        <v>0.36450000000000005</v>
      </c>
      <c r="I1401" s="20">
        <f t="shared" si="22"/>
        <v>996.1785000000001</v>
      </c>
      <c r="J1401" s="6" t="s">
        <v>357</v>
      </c>
    </row>
    <row r="1402" spans="1:10" hidden="1">
      <c r="A1402" s="9">
        <v>45128</v>
      </c>
      <c r="B1402" s="6" t="s">
        <v>1944</v>
      </c>
      <c r="C1402" s="5" t="s">
        <v>1943</v>
      </c>
      <c r="D1402" s="8" t="s">
        <v>1910</v>
      </c>
      <c r="E1402" s="6" t="s">
        <v>1912</v>
      </c>
      <c r="F1402" s="6" t="s">
        <v>1910</v>
      </c>
      <c r="G1402" s="5">
        <v>351</v>
      </c>
      <c r="H1402" s="5">
        <f t="shared" si="23"/>
        <v>0.36450000000000005</v>
      </c>
      <c r="I1402" s="20">
        <f t="shared" si="22"/>
        <v>127.93950000000001</v>
      </c>
      <c r="J1402" s="6" t="s">
        <v>357</v>
      </c>
    </row>
    <row r="1403" spans="1:10" hidden="1">
      <c r="A1403" s="9">
        <v>45128</v>
      </c>
      <c r="B1403" s="6" t="s">
        <v>1946</v>
      </c>
      <c r="C1403" s="5" t="s">
        <v>1945</v>
      </c>
      <c r="D1403" s="8" t="s">
        <v>1910</v>
      </c>
      <c r="E1403" s="6" t="s">
        <v>1912</v>
      </c>
      <c r="F1403" s="6" t="s">
        <v>1910</v>
      </c>
      <c r="G1403" s="5">
        <v>439</v>
      </c>
      <c r="H1403" s="5">
        <f t="shared" si="23"/>
        <v>0.36450000000000005</v>
      </c>
      <c r="I1403" s="20">
        <f t="shared" si="22"/>
        <v>160.01550000000003</v>
      </c>
      <c r="J1403" s="6" t="s">
        <v>357</v>
      </c>
    </row>
    <row r="1404" spans="1:10" hidden="1">
      <c r="A1404" s="9">
        <v>45128</v>
      </c>
      <c r="B1404" s="6" t="s">
        <v>1948</v>
      </c>
      <c r="C1404" s="5" t="s">
        <v>1947</v>
      </c>
      <c r="D1404" s="8" t="s">
        <v>1910</v>
      </c>
      <c r="E1404" s="6" t="s">
        <v>1912</v>
      </c>
      <c r="F1404" s="6" t="s">
        <v>1910</v>
      </c>
      <c r="G1404" s="5">
        <v>549</v>
      </c>
      <c r="H1404" s="5">
        <f t="shared" si="23"/>
        <v>0.36450000000000005</v>
      </c>
      <c r="I1404" s="20">
        <f t="shared" si="22"/>
        <v>200.11050000000003</v>
      </c>
      <c r="J1404" s="6" t="s">
        <v>357</v>
      </c>
    </row>
    <row r="1405" spans="1:10" hidden="1">
      <c r="A1405" s="9">
        <v>45128</v>
      </c>
      <c r="B1405" s="6" t="s">
        <v>1950</v>
      </c>
      <c r="C1405" s="5" t="s">
        <v>1949</v>
      </c>
      <c r="D1405" s="8" t="s">
        <v>1910</v>
      </c>
      <c r="E1405" s="6" t="s">
        <v>1912</v>
      </c>
      <c r="F1405" s="6" t="s">
        <v>1910</v>
      </c>
      <c r="G1405" s="5">
        <v>658</v>
      </c>
      <c r="H1405" s="5">
        <f t="shared" si="23"/>
        <v>0.36450000000000005</v>
      </c>
      <c r="I1405" s="20">
        <f t="shared" si="22"/>
        <v>239.84100000000004</v>
      </c>
      <c r="J1405" s="6" t="s">
        <v>357</v>
      </c>
    </row>
    <row r="1406" spans="1:10" hidden="1">
      <c r="A1406" s="9">
        <v>45128</v>
      </c>
      <c r="B1406" s="6" t="s">
        <v>1952</v>
      </c>
      <c r="C1406" s="5" t="s">
        <v>1951</v>
      </c>
      <c r="D1406" s="8" t="s">
        <v>1910</v>
      </c>
      <c r="E1406" s="6" t="s">
        <v>1912</v>
      </c>
      <c r="F1406" s="6" t="s">
        <v>1910</v>
      </c>
      <c r="G1406" s="5">
        <v>911</v>
      </c>
      <c r="H1406" s="5">
        <f t="shared" si="23"/>
        <v>0.36450000000000005</v>
      </c>
      <c r="I1406" s="20">
        <f t="shared" si="22"/>
        <v>332.05950000000001</v>
      </c>
      <c r="J1406" s="6" t="s">
        <v>357</v>
      </c>
    </row>
    <row r="1407" spans="1:10" hidden="1">
      <c r="A1407" s="9">
        <v>45128</v>
      </c>
      <c r="B1407" s="6" t="s">
        <v>1954</v>
      </c>
      <c r="C1407" s="5" t="s">
        <v>1953</v>
      </c>
      <c r="D1407" s="8" t="s">
        <v>1910</v>
      </c>
      <c r="E1407" s="6" t="s">
        <v>1912</v>
      </c>
      <c r="F1407" s="6" t="s">
        <v>1910</v>
      </c>
      <c r="G1407" s="5">
        <v>1139</v>
      </c>
      <c r="H1407" s="5">
        <f t="shared" si="23"/>
        <v>0.36450000000000005</v>
      </c>
      <c r="I1407" s="20">
        <f t="shared" si="22"/>
        <v>415.16550000000007</v>
      </c>
      <c r="J1407" s="6" t="s">
        <v>357</v>
      </c>
    </row>
    <row r="1408" spans="1:10" hidden="1">
      <c r="A1408" s="9">
        <v>45128</v>
      </c>
      <c r="B1408" s="6" t="s">
        <v>1956</v>
      </c>
      <c r="C1408" s="5" t="s">
        <v>1955</v>
      </c>
      <c r="D1408" s="8" t="s">
        <v>1910</v>
      </c>
      <c r="E1408" s="6" t="s">
        <v>1912</v>
      </c>
      <c r="F1408" s="6" t="s">
        <v>1910</v>
      </c>
      <c r="G1408" s="5">
        <v>148</v>
      </c>
      <c r="H1408" s="5">
        <f t="shared" si="23"/>
        <v>0.36450000000000005</v>
      </c>
      <c r="I1408" s="20">
        <f t="shared" si="22"/>
        <v>53.946000000000005</v>
      </c>
      <c r="J1408" s="6" t="s">
        <v>357</v>
      </c>
    </row>
    <row r="1409" spans="1:10" hidden="1">
      <c r="A1409" s="9">
        <v>45128</v>
      </c>
      <c r="B1409" s="6" t="s">
        <v>1958</v>
      </c>
      <c r="C1409" s="5" t="s">
        <v>1957</v>
      </c>
      <c r="D1409" s="8" t="s">
        <v>1910</v>
      </c>
      <c r="E1409" s="6" t="s">
        <v>1912</v>
      </c>
      <c r="F1409" s="6" t="s">
        <v>1910</v>
      </c>
      <c r="G1409" s="5">
        <v>1366</v>
      </c>
      <c r="H1409" s="5">
        <f t="shared" si="23"/>
        <v>0.36450000000000005</v>
      </c>
      <c r="I1409" s="20">
        <f t="shared" si="22"/>
        <v>497.90700000000004</v>
      </c>
      <c r="J1409" s="6" t="s">
        <v>357</v>
      </c>
    </row>
    <row r="1410" spans="1:10" hidden="1">
      <c r="A1410" s="9">
        <v>45128</v>
      </c>
      <c r="B1410" s="6" t="s">
        <v>1960</v>
      </c>
      <c r="C1410" s="5" t="s">
        <v>1959</v>
      </c>
      <c r="D1410" s="8" t="s">
        <v>1910</v>
      </c>
      <c r="E1410" s="6" t="s">
        <v>1912</v>
      </c>
      <c r="F1410" s="6" t="s">
        <v>1910</v>
      </c>
      <c r="G1410" s="5">
        <v>1708</v>
      </c>
      <c r="H1410" s="5">
        <f t="shared" si="23"/>
        <v>0.36450000000000005</v>
      </c>
      <c r="I1410" s="20">
        <f t="shared" si="22"/>
        <v>622.56600000000003</v>
      </c>
      <c r="J1410" s="6" t="s">
        <v>357</v>
      </c>
    </row>
    <row r="1411" spans="1:10" hidden="1">
      <c r="A1411" s="9">
        <v>45128</v>
      </c>
      <c r="B1411" s="6" t="s">
        <v>1962</v>
      </c>
      <c r="C1411" s="5" t="s">
        <v>1961</v>
      </c>
      <c r="D1411" s="8" t="s">
        <v>1910</v>
      </c>
      <c r="E1411" s="6" t="s">
        <v>1912</v>
      </c>
      <c r="F1411" s="6" t="s">
        <v>1910</v>
      </c>
      <c r="G1411" s="5">
        <v>1822</v>
      </c>
      <c r="H1411" s="5">
        <f t="shared" si="23"/>
        <v>0.36450000000000005</v>
      </c>
      <c r="I1411" s="20">
        <f t="shared" ref="I1411:I1474" si="24">H1411*G1411</f>
        <v>664.11900000000003</v>
      </c>
      <c r="J1411" s="6" t="s">
        <v>357</v>
      </c>
    </row>
    <row r="1412" spans="1:10" hidden="1">
      <c r="A1412" s="10">
        <v>44663</v>
      </c>
      <c r="B1412" s="6" t="s">
        <v>1965</v>
      </c>
      <c r="C1412" s="5" t="s">
        <v>1963</v>
      </c>
      <c r="D1412" s="8" t="s">
        <v>1964</v>
      </c>
      <c r="E1412" s="6" t="s">
        <v>1912</v>
      </c>
      <c r="F1412" s="6" t="s">
        <v>686</v>
      </c>
      <c r="G1412" s="5">
        <f>9.2*100</f>
        <v>919.99999999999989</v>
      </c>
      <c r="H1412" s="5">
        <v>1</v>
      </c>
      <c r="I1412" s="20">
        <f t="shared" si="24"/>
        <v>919.99999999999989</v>
      </c>
      <c r="J1412" s="6" t="s">
        <v>357</v>
      </c>
    </row>
    <row r="1413" spans="1:10" hidden="1">
      <c r="A1413" s="10">
        <v>44663</v>
      </c>
      <c r="B1413" s="6" t="s">
        <v>1967</v>
      </c>
      <c r="C1413" s="5" t="s">
        <v>1966</v>
      </c>
      <c r="D1413" s="8" t="s">
        <v>1964</v>
      </c>
      <c r="E1413" s="6" t="s">
        <v>1912</v>
      </c>
      <c r="F1413" s="6" t="s">
        <v>411</v>
      </c>
      <c r="G1413" s="5">
        <v>270</v>
      </c>
      <c r="H1413" s="5">
        <f>0.5*0.92</f>
        <v>0.46</v>
      </c>
      <c r="I1413" s="20">
        <f t="shared" si="24"/>
        <v>124.2</v>
      </c>
      <c r="J1413" s="6" t="s">
        <v>357</v>
      </c>
    </row>
    <row r="1414" spans="1:10" hidden="1">
      <c r="A1414" s="10">
        <v>44663</v>
      </c>
      <c r="B1414" s="6" t="s">
        <v>1969</v>
      </c>
      <c r="C1414" s="5" t="s">
        <v>1968</v>
      </c>
      <c r="D1414" s="8" t="s">
        <v>1964</v>
      </c>
      <c r="E1414" s="6" t="s">
        <v>1912</v>
      </c>
      <c r="F1414" s="6" t="s">
        <v>686</v>
      </c>
      <c r="G1414" s="5">
        <v>310</v>
      </c>
      <c r="H1414" s="5">
        <f>0.5*0.92</f>
        <v>0.46</v>
      </c>
      <c r="I1414" s="20">
        <f t="shared" si="24"/>
        <v>142.6</v>
      </c>
      <c r="J1414" s="6" t="s">
        <v>357</v>
      </c>
    </row>
    <row r="1415" spans="1:10" hidden="1">
      <c r="A1415" s="10">
        <v>44663</v>
      </c>
      <c r="B1415" s="6" t="s">
        <v>1971</v>
      </c>
      <c r="C1415" s="5" t="s">
        <v>1970</v>
      </c>
      <c r="D1415" s="8" t="s">
        <v>1964</v>
      </c>
      <c r="E1415" s="6" t="s">
        <v>1912</v>
      </c>
      <c r="F1415" s="6" t="s">
        <v>686</v>
      </c>
      <c r="G1415" s="5">
        <f>9.2*120</f>
        <v>1104</v>
      </c>
      <c r="H1415" s="5">
        <v>1</v>
      </c>
      <c r="I1415" s="20">
        <f t="shared" si="24"/>
        <v>1104</v>
      </c>
      <c r="J1415" s="6" t="s">
        <v>357</v>
      </c>
    </row>
    <row r="1416" spans="1:10" hidden="1">
      <c r="A1416" s="10">
        <v>44663</v>
      </c>
      <c r="B1416" s="6" t="s">
        <v>1973</v>
      </c>
      <c r="C1416" s="5" t="s">
        <v>1972</v>
      </c>
      <c r="D1416" s="8" t="s">
        <v>1964</v>
      </c>
      <c r="E1416" s="6" t="s">
        <v>1912</v>
      </c>
      <c r="F1416" s="6" t="s">
        <v>686</v>
      </c>
      <c r="G1416" s="5">
        <f>9.2*150</f>
        <v>1380</v>
      </c>
      <c r="H1416" s="5">
        <v>1</v>
      </c>
      <c r="I1416" s="20">
        <f t="shared" si="24"/>
        <v>1380</v>
      </c>
      <c r="J1416" s="6" t="s">
        <v>357</v>
      </c>
    </row>
    <row r="1417" spans="1:10" hidden="1">
      <c r="A1417" s="10">
        <v>44663</v>
      </c>
      <c r="B1417" s="6" t="s">
        <v>1974</v>
      </c>
      <c r="C1417" s="5" t="s">
        <v>1943</v>
      </c>
      <c r="D1417" s="8" t="s">
        <v>1964</v>
      </c>
      <c r="E1417" s="6" t="s">
        <v>1912</v>
      </c>
      <c r="F1417" s="6" t="s">
        <v>686</v>
      </c>
      <c r="G1417" s="5">
        <v>340</v>
      </c>
      <c r="H1417" s="5">
        <f>0.5*0.92</f>
        <v>0.46</v>
      </c>
      <c r="I1417" s="20">
        <f t="shared" si="24"/>
        <v>156.4</v>
      </c>
      <c r="J1417" s="6" t="s">
        <v>357</v>
      </c>
    </row>
    <row r="1418" spans="1:10" hidden="1">
      <c r="A1418" s="10">
        <v>44663</v>
      </c>
      <c r="B1418" s="6" t="s">
        <v>1976</v>
      </c>
      <c r="C1418" s="5" t="s">
        <v>1975</v>
      </c>
      <c r="D1418" s="8" t="s">
        <v>1964</v>
      </c>
      <c r="E1418" s="6" t="s">
        <v>1912</v>
      </c>
      <c r="F1418" s="6" t="s">
        <v>686</v>
      </c>
      <c r="G1418" s="5">
        <f>9.2*160</f>
        <v>1472</v>
      </c>
      <c r="H1418" s="5">
        <v>1</v>
      </c>
      <c r="I1418" s="20">
        <f t="shared" si="24"/>
        <v>1472</v>
      </c>
      <c r="J1418" s="6" t="s">
        <v>357</v>
      </c>
    </row>
    <row r="1419" spans="1:10" hidden="1">
      <c r="A1419" s="10">
        <v>44663</v>
      </c>
      <c r="B1419" s="6" t="s">
        <v>1978</v>
      </c>
      <c r="C1419" s="5" t="s">
        <v>1977</v>
      </c>
      <c r="D1419" s="8" t="s">
        <v>1964</v>
      </c>
      <c r="E1419" s="6" t="s">
        <v>1912</v>
      </c>
      <c r="F1419" s="6" t="s">
        <v>686</v>
      </c>
      <c r="G1419" s="5">
        <v>160</v>
      </c>
      <c r="H1419" s="5">
        <f>0.5*0.92</f>
        <v>0.46</v>
      </c>
      <c r="I1419" s="20">
        <f t="shared" si="24"/>
        <v>73.600000000000009</v>
      </c>
      <c r="J1419" s="6" t="s">
        <v>357</v>
      </c>
    </row>
    <row r="1420" spans="1:10" hidden="1">
      <c r="A1420" s="10">
        <v>44663</v>
      </c>
      <c r="B1420" s="6" t="s">
        <v>1980</v>
      </c>
      <c r="C1420" s="5" t="s">
        <v>1979</v>
      </c>
      <c r="D1420" s="8" t="s">
        <v>1964</v>
      </c>
      <c r="E1420" s="6" t="s">
        <v>1912</v>
      </c>
      <c r="F1420" s="6" t="s">
        <v>686</v>
      </c>
      <c r="G1420" s="5">
        <f>9.2*200</f>
        <v>1839.9999999999998</v>
      </c>
      <c r="H1420" s="5">
        <v>1</v>
      </c>
      <c r="I1420" s="20">
        <f t="shared" si="24"/>
        <v>1839.9999999999998</v>
      </c>
      <c r="J1420" s="6" t="s">
        <v>357</v>
      </c>
    </row>
    <row r="1421" spans="1:10" hidden="1">
      <c r="A1421" s="10">
        <v>44663</v>
      </c>
      <c r="B1421" s="6" t="s">
        <v>1982</v>
      </c>
      <c r="C1421" s="5" t="s">
        <v>1981</v>
      </c>
      <c r="D1421" s="8" t="s">
        <v>1964</v>
      </c>
      <c r="E1421" s="6" t="s">
        <v>1912</v>
      </c>
      <c r="F1421" s="6" t="s">
        <v>411</v>
      </c>
      <c r="G1421" s="27">
        <f>20*9.2</f>
        <v>184</v>
      </c>
      <c r="H1421" s="5">
        <v>1</v>
      </c>
      <c r="I1421" s="20">
        <f t="shared" si="24"/>
        <v>184</v>
      </c>
      <c r="J1421" s="6" t="s">
        <v>357</v>
      </c>
    </row>
    <row r="1422" spans="1:10" hidden="1">
      <c r="A1422" s="10">
        <v>44663</v>
      </c>
      <c r="B1422" s="6" t="s">
        <v>1983</v>
      </c>
      <c r="C1422" s="5" t="s">
        <v>1947</v>
      </c>
      <c r="D1422" s="8" t="s">
        <v>1964</v>
      </c>
      <c r="E1422" s="6" t="s">
        <v>1912</v>
      </c>
      <c r="F1422" s="6" t="s">
        <v>686</v>
      </c>
      <c r="G1422" s="5">
        <f>9.2*25</f>
        <v>229.99999999999997</v>
      </c>
      <c r="H1422" s="5">
        <v>1</v>
      </c>
      <c r="I1422" s="20">
        <f t="shared" si="24"/>
        <v>229.99999999999997</v>
      </c>
      <c r="J1422" s="6" t="s">
        <v>357</v>
      </c>
    </row>
    <row r="1423" spans="1:10" hidden="1">
      <c r="A1423" s="10">
        <v>44663</v>
      </c>
      <c r="B1423" s="6" t="s">
        <v>1984</v>
      </c>
      <c r="C1423" s="5" t="s">
        <v>1949</v>
      </c>
      <c r="D1423" s="8" t="s">
        <v>1964</v>
      </c>
      <c r="E1423" s="6" t="s">
        <v>1912</v>
      </c>
      <c r="F1423" s="6" t="s">
        <v>411</v>
      </c>
      <c r="G1423" s="5">
        <f>30*9.2</f>
        <v>276</v>
      </c>
      <c r="H1423" s="5">
        <v>1</v>
      </c>
      <c r="I1423" s="20">
        <f t="shared" si="24"/>
        <v>276</v>
      </c>
      <c r="J1423" s="6" t="s">
        <v>357</v>
      </c>
    </row>
    <row r="1424" spans="1:10" hidden="1">
      <c r="A1424" s="10">
        <v>44663</v>
      </c>
      <c r="B1424" s="6" t="s">
        <v>1986</v>
      </c>
      <c r="C1424" s="5" t="s">
        <v>1985</v>
      </c>
      <c r="D1424" s="8" t="s">
        <v>1964</v>
      </c>
      <c r="E1424" s="6" t="s">
        <v>1912</v>
      </c>
      <c r="F1424" s="6" t="s">
        <v>686</v>
      </c>
      <c r="G1424" s="5">
        <f>9.2*40</f>
        <v>368</v>
      </c>
      <c r="H1424" s="5">
        <v>1</v>
      </c>
      <c r="I1424" s="20">
        <f t="shared" si="24"/>
        <v>368</v>
      </c>
      <c r="J1424" s="6" t="s">
        <v>357</v>
      </c>
    </row>
    <row r="1425" spans="1:10" hidden="1">
      <c r="A1425" s="10">
        <v>44663</v>
      </c>
      <c r="B1425" s="6" t="s">
        <v>1988</v>
      </c>
      <c r="C1425" s="5" t="s">
        <v>1987</v>
      </c>
      <c r="D1425" s="8" t="s">
        <v>1964</v>
      </c>
      <c r="E1425" s="6" t="s">
        <v>1912</v>
      </c>
      <c r="F1425" s="6" t="s">
        <v>411</v>
      </c>
      <c r="G1425" s="27">
        <f>50*9.2</f>
        <v>459.99999999999994</v>
      </c>
      <c r="H1425" s="5">
        <v>1</v>
      </c>
      <c r="I1425" s="20">
        <f t="shared" si="24"/>
        <v>459.99999999999994</v>
      </c>
      <c r="J1425" s="6" t="s">
        <v>357</v>
      </c>
    </row>
    <row r="1426" spans="1:10" hidden="1">
      <c r="A1426" s="10">
        <v>44663</v>
      </c>
      <c r="B1426" s="6" t="s">
        <v>1990</v>
      </c>
      <c r="C1426" s="5" t="s">
        <v>1989</v>
      </c>
      <c r="D1426" s="8" t="s">
        <v>1964</v>
      </c>
      <c r="E1426" s="6" t="s">
        <v>1912</v>
      </c>
      <c r="F1426" s="6" t="s">
        <v>411</v>
      </c>
      <c r="G1426" s="5">
        <v>210</v>
      </c>
      <c r="H1426" s="5">
        <f>0.5*0.92</f>
        <v>0.46</v>
      </c>
      <c r="I1426" s="20">
        <f t="shared" si="24"/>
        <v>96.600000000000009</v>
      </c>
      <c r="J1426" s="6" t="s">
        <v>357</v>
      </c>
    </row>
    <row r="1427" spans="1:10" hidden="1">
      <c r="A1427" s="10">
        <v>44663</v>
      </c>
      <c r="B1427" s="6" t="s">
        <v>1992</v>
      </c>
      <c r="C1427" s="5" t="s">
        <v>1991</v>
      </c>
      <c r="D1427" s="8" t="s">
        <v>1964</v>
      </c>
      <c r="E1427" s="6" t="s">
        <v>1912</v>
      </c>
      <c r="F1427" s="6" t="s">
        <v>686</v>
      </c>
      <c r="G1427" s="5">
        <f>9.2*60</f>
        <v>552</v>
      </c>
      <c r="H1427" s="5">
        <v>1</v>
      </c>
      <c r="I1427" s="20">
        <f t="shared" si="24"/>
        <v>552</v>
      </c>
      <c r="J1427" s="6" t="s">
        <v>357</v>
      </c>
    </row>
    <row r="1428" spans="1:10" hidden="1">
      <c r="A1428" s="10">
        <v>44663</v>
      </c>
      <c r="B1428" s="6" t="s">
        <v>1994</v>
      </c>
      <c r="C1428" s="5" t="s">
        <v>1993</v>
      </c>
      <c r="D1428" s="8" t="s">
        <v>1964</v>
      </c>
      <c r="E1428" s="6" t="s">
        <v>1912</v>
      </c>
      <c r="F1428" s="6" t="s">
        <v>686</v>
      </c>
      <c r="G1428" s="5">
        <f>9.2*75</f>
        <v>690</v>
      </c>
      <c r="H1428" s="5">
        <v>1</v>
      </c>
      <c r="I1428" s="20">
        <f t="shared" si="24"/>
        <v>690</v>
      </c>
      <c r="J1428" s="6" t="s">
        <v>357</v>
      </c>
    </row>
    <row r="1429" spans="1:10" hidden="1">
      <c r="A1429" s="10">
        <v>44663</v>
      </c>
      <c r="B1429" s="6" t="s">
        <v>1996</v>
      </c>
      <c r="C1429" s="5" t="s">
        <v>1995</v>
      </c>
      <c r="D1429" s="8" t="s">
        <v>1964</v>
      </c>
      <c r="E1429" s="6" t="s">
        <v>1912</v>
      </c>
      <c r="F1429" s="6" t="s">
        <v>686</v>
      </c>
      <c r="G1429" s="5">
        <f>9.2*80</f>
        <v>736</v>
      </c>
      <c r="H1429" s="5">
        <v>1</v>
      </c>
      <c r="I1429" s="20">
        <f t="shared" si="24"/>
        <v>736</v>
      </c>
      <c r="J1429" s="6" t="s">
        <v>357</v>
      </c>
    </row>
    <row r="1430" spans="1:10" hidden="1">
      <c r="A1430" s="10">
        <v>44663</v>
      </c>
      <c r="B1430" s="6" t="s">
        <v>1998</v>
      </c>
      <c r="C1430" s="5" t="s">
        <v>1997</v>
      </c>
      <c r="D1430" s="8" t="s">
        <v>1964</v>
      </c>
      <c r="E1430" s="6" t="s">
        <v>1912</v>
      </c>
      <c r="F1430" s="6" t="s">
        <v>686</v>
      </c>
      <c r="G1430" s="5">
        <f>10.5*100</f>
        <v>1050</v>
      </c>
      <c r="H1430" s="5">
        <v>1</v>
      </c>
      <c r="I1430" s="20">
        <f t="shared" si="24"/>
        <v>1050</v>
      </c>
      <c r="J1430" s="6" t="s">
        <v>357</v>
      </c>
    </row>
    <row r="1431" spans="1:10" hidden="1">
      <c r="A1431" s="10">
        <v>44663</v>
      </c>
      <c r="B1431" s="6" t="s">
        <v>1999</v>
      </c>
      <c r="C1431" s="5" t="s">
        <v>1913</v>
      </c>
      <c r="D1431" s="8" t="s">
        <v>1964</v>
      </c>
      <c r="E1431" s="6" t="s">
        <v>1912</v>
      </c>
      <c r="F1431" s="6" t="s">
        <v>686</v>
      </c>
      <c r="G1431" s="5">
        <v>310</v>
      </c>
      <c r="H1431" s="5">
        <f>0.5*0.92</f>
        <v>0.46</v>
      </c>
      <c r="I1431" s="20">
        <f t="shared" si="24"/>
        <v>142.6</v>
      </c>
      <c r="J1431" s="6" t="s">
        <v>357</v>
      </c>
    </row>
    <row r="1432" spans="1:10" hidden="1">
      <c r="A1432" s="10">
        <v>44663</v>
      </c>
      <c r="B1432" s="6" t="s">
        <v>2001</v>
      </c>
      <c r="C1432" s="5" t="s">
        <v>2000</v>
      </c>
      <c r="D1432" s="8" t="s">
        <v>1964</v>
      </c>
      <c r="E1432" s="6" t="s">
        <v>1912</v>
      </c>
      <c r="F1432" s="6" t="s">
        <v>686</v>
      </c>
      <c r="G1432" s="5">
        <v>350</v>
      </c>
      <c r="H1432" s="5">
        <f>0.5*0.92</f>
        <v>0.46</v>
      </c>
      <c r="I1432" s="20">
        <f t="shared" si="24"/>
        <v>161</v>
      </c>
      <c r="J1432" s="6" t="s">
        <v>357</v>
      </c>
    </row>
    <row r="1433" spans="1:10" hidden="1">
      <c r="A1433" s="10">
        <v>44663</v>
      </c>
      <c r="B1433" s="6" t="s">
        <v>2003</v>
      </c>
      <c r="C1433" s="5" t="s">
        <v>2002</v>
      </c>
      <c r="D1433" s="8" t="s">
        <v>1964</v>
      </c>
      <c r="E1433" s="6" t="s">
        <v>1912</v>
      </c>
      <c r="F1433" s="6" t="s">
        <v>686</v>
      </c>
      <c r="G1433" s="5">
        <f>10.5*120</f>
        <v>1260</v>
      </c>
      <c r="H1433" s="5">
        <v>1</v>
      </c>
      <c r="I1433" s="20">
        <f t="shared" si="24"/>
        <v>1260</v>
      </c>
      <c r="J1433" s="6" t="s">
        <v>357</v>
      </c>
    </row>
    <row r="1434" spans="1:10" hidden="1">
      <c r="A1434" s="10">
        <v>44663</v>
      </c>
      <c r="B1434" s="6" t="s">
        <v>2005</v>
      </c>
      <c r="C1434" s="5" t="s">
        <v>2004</v>
      </c>
      <c r="D1434" s="8" t="s">
        <v>1964</v>
      </c>
      <c r="E1434" s="6" t="s">
        <v>1912</v>
      </c>
      <c r="F1434" s="6" t="s">
        <v>686</v>
      </c>
      <c r="G1434" s="5">
        <f>10.5*150</f>
        <v>1575</v>
      </c>
      <c r="H1434" s="5">
        <v>1</v>
      </c>
      <c r="I1434" s="20">
        <f t="shared" si="24"/>
        <v>1575</v>
      </c>
      <c r="J1434" s="6" t="s">
        <v>357</v>
      </c>
    </row>
    <row r="1435" spans="1:10" hidden="1">
      <c r="A1435" s="10">
        <v>44663</v>
      </c>
      <c r="B1435" s="6" t="s">
        <v>2006</v>
      </c>
      <c r="C1435" s="5" t="s">
        <v>1917</v>
      </c>
      <c r="D1435" s="8" t="s">
        <v>1964</v>
      </c>
      <c r="E1435" s="6" t="s">
        <v>1912</v>
      </c>
      <c r="F1435" s="6" t="s">
        <v>411</v>
      </c>
      <c r="G1435" s="5">
        <v>400</v>
      </c>
      <c r="H1435" s="5">
        <f>0.5*0.92</f>
        <v>0.46</v>
      </c>
      <c r="I1435" s="20">
        <f t="shared" si="24"/>
        <v>184</v>
      </c>
      <c r="J1435" s="6" t="s">
        <v>357</v>
      </c>
    </row>
    <row r="1436" spans="1:10" hidden="1">
      <c r="A1436" s="10">
        <v>44663</v>
      </c>
      <c r="B1436" s="6" t="s">
        <v>2008</v>
      </c>
      <c r="C1436" s="5" t="s">
        <v>2007</v>
      </c>
      <c r="D1436" s="8" t="s">
        <v>1964</v>
      </c>
      <c r="E1436" s="6" t="s">
        <v>1912</v>
      </c>
      <c r="F1436" s="6" t="s">
        <v>686</v>
      </c>
      <c r="G1436" s="5">
        <f>10.5*160</f>
        <v>1680</v>
      </c>
      <c r="H1436" s="5">
        <v>1</v>
      </c>
      <c r="I1436" s="20">
        <f t="shared" si="24"/>
        <v>1680</v>
      </c>
      <c r="J1436" s="6" t="s">
        <v>357</v>
      </c>
    </row>
    <row r="1437" spans="1:10" hidden="1">
      <c r="A1437" s="10">
        <v>44663</v>
      </c>
      <c r="B1437" s="6" t="s">
        <v>2010</v>
      </c>
      <c r="C1437" s="5" t="s">
        <v>2009</v>
      </c>
      <c r="D1437" s="8" t="s">
        <v>1964</v>
      </c>
      <c r="E1437" s="6" t="s">
        <v>1912</v>
      </c>
      <c r="F1437" s="6" t="s">
        <v>686</v>
      </c>
      <c r="G1437" s="5">
        <v>250</v>
      </c>
      <c r="H1437" s="5">
        <f>0.5*0.92</f>
        <v>0.46</v>
      </c>
      <c r="I1437" s="20">
        <f t="shared" si="24"/>
        <v>115</v>
      </c>
      <c r="J1437" s="6" t="s">
        <v>357</v>
      </c>
    </row>
    <row r="1438" spans="1:10" hidden="1">
      <c r="A1438" s="10">
        <v>44663</v>
      </c>
      <c r="B1438" s="6" t="s">
        <v>2012</v>
      </c>
      <c r="C1438" s="5" t="s">
        <v>2011</v>
      </c>
      <c r="D1438" s="8" t="s">
        <v>1964</v>
      </c>
      <c r="E1438" s="6" t="s">
        <v>1912</v>
      </c>
      <c r="F1438" s="6" t="s">
        <v>686</v>
      </c>
      <c r="G1438" s="5">
        <f>10.5*200</f>
        <v>2100</v>
      </c>
      <c r="H1438" s="5">
        <v>1</v>
      </c>
      <c r="I1438" s="20">
        <f t="shared" si="24"/>
        <v>2100</v>
      </c>
      <c r="J1438" s="6" t="s">
        <v>357</v>
      </c>
    </row>
    <row r="1439" spans="1:10" hidden="1">
      <c r="A1439" s="10">
        <v>44663</v>
      </c>
      <c r="B1439" s="6" t="s">
        <v>2013</v>
      </c>
      <c r="C1439" s="5" t="s">
        <v>1919</v>
      </c>
      <c r="D1439" s="8" t="s">
        <v>1964</v>
      </c>
      <c r="E1439" s="6" t="s">
        <v>1912</v>
      </c>
      <c r="F1439" s="6" t="s">
        <v>686</v>
      </c>
      <c r="G1439" s="5">
        <f>10.5*20</f>
        <v>210</v>
      </c>
      <c r="H1439" s="5">
        <v>1</v>
      </c>
      <c r="I1439" s="20">
        <f t="shared" si="24"/>
        <v>210</v>
      </c>
      <c r="J1439" s="6" t="s">
        <v>357</v>
      </c>
    </row>
    <row r="1440" spans="1:10" hidden="1">
      <c r="A1440" s="10">
        <v>44663</v>
      </c>
      <c r="B1440" s="6" t="s">
        <v>2014</v>
      </c>
      <c r="C1440" s="5" t="s">
        <v>1921</v>
      </c>
      <c r="D1440" s="8" t="s">
        <v>1964</v>
      </c>
      <c r="E1440" s="6" t="s">
        <v>1912</v>
      </c>
      <c r="F1440" s="6" t="s">
        <v>686</v>
      </c>
      <c r="G1440" s="5">
        <f>10.5*25</f>
        <v>262.5</v>
      </c>
      <c r="H1440" s="5">
        <v>1</v>
      </c>
      <c r="I1440" s="20">
        <f t="shared" si="24"/>
        <v>262.5</v>
      </c>
      <c r="J1440" s="6" t="s">
        <v>357</v>
      </c>
    </row>
    <row r="1441" spans="1:10" hidden="1">
      <c r="A1441" s="10">
        <v>44663</v>
      </c>
      <c r="B1441" s="6" t="s">
        <v>2015</v>
      </c>
      <c r="C1441" s="5" t="s">
        <v>1923</v>
      </c>
      <c r="D1441" s="8" t="s">
        <v>1964</v>
      </c>
      <c r="E1441" s="6" t="s">
        <v>1912</v>
      </c>
      <c r="F1441" s="6" t="s">
        <v>686</v>
      </c>
      <c r="G1441" s="5">
        <f>30*10.5</f>
        <v>315</v>
      </c>
      <c r="H1441" s="5">
        <v>1</v>
      </c>
      <c r="I1441" s="20">
        <f t="shared" si="24"/>
        <v>315</v>
      </c>
      <c r="J1441" s="6" t="s">
        <v>357</v>
      </c>
    </row>
    <row r="1442" spans="1:10" hidden="1">
      <c r="A1442" s="10">
        <v>44663</v>
      </c>
      <c r="B1442" s="6" t="s">
        <v>2017</v>
      </c>
      <c r="C1442" s="5" t="s">
        <v>2016</v>
      </c>
      <c r="D1442" s="8" t="s">
        <v>1964</v>
      </c>
      <c r="E1442" s="6" t="s">
        <v>1912</v>
      </c>
      <c r="F1442" s="6" t="s">
        <v>411</v>
      </c>
      <c r="G1442" s="5">
        <f>10.5*40</f>
        <v>420</v>
      </c>
      <c r="H1442" s="5">
        <v>1</v>
      </c>
      <c r="I1442" s="20">
        <f t="shared" si="24"/>
        <v>420</v>
      </c>
      <c r="J1442" s="6" t="s">
        <v>357</v>
      </c>
    </row>
    <row r="1443" spans="1:10" hidden="1">
      <c r="A1443" s="10">
        <v>44663</v>
      </c>
      <c r="B1443" s="6" t="s">
        <v>2019</v>
      </c>
      <c r="C1443" s="5" t="s">
        <v>2018</v>
      </c>
      <c r="D1443" s="8" t="s">
        <v>1964</v>
      </c>
      <c r="E1443" s="6" t="s">
        <v>1912</v>
      </c>
      <c r="F1443" s="6" t="s">
        <v>411</v>
      </c>
      <c r="G1443" s="5">
        <f>50*10.5</f>
        <v>525</v>
      </c>
      <c r="H1443" s="5">
        <v>1</v>
      </c>
      <c r="I1443" s="20">
        <f t="shared" si="24"/>
        <v>525</v>
      </c>
      <c r="J1443" s="6" t="s">
        <v>357</v>
      </c>
    </row>
    <row r="1444" spans="1:10" hidden="1">
      <c r="A1444" s="10">
        <v>44663</v>
      </c>
      <c r="B1444" s="6" t="s">
        <v>2020</v>
      </c>
      <c r="C1444" s="5" t="s">
        <v>1929</v>
      </c>
      <c r="D1444" s="8" t="s">
        <v>1964</v>
      </c>
      <c r="E1444" s="6" t="s">
        <v>1912</v>
      </c>
      <c r="F1444" s="6" t="s">
        <v>411</v>
      </c>
      <c r="G1444" s="5">
        <v>260</v>
      </c>
      <c r="H1444" s="5">
        <f>0.5*0.92</f>
        <v>0.46</v>
      </c>
      <c r="I1444" s="20">
        <f t="shared" si="24"/>
        <v>119.60000000000001</v>
      </c>
      <c r="J1444" s="6" t="s">
        <v>357</v>
      </c>
    </row>
    <row r="1445" spans="1:10" hidden="1">
      <c r="A1445" s="10">
        <v>44663</v>
      </c>
      <c r="B1445" s="6" t="s">
        <v>2022</v>
      </c>
      <c r="C1445" s="5" t="s">
        <v>2021</v>
      </c>
      <c r="D1445" s="8" t="s">
        <v>1964</v>
      </c>
      <c r="E1445" s="6" t="s">
        <v>1912</v>
      </c>
      <c r="F1445" s="6" t="s">
        <v>686</v>
      </c>
      <c r="G1445" s="5">
        <f>10.5*60</f>
        <v>630</v>
      </c>
      <c r="H1445" s="5">
        <v>1</v>
      </c>
      <c r="I1445" s="20">
        <f t="shared" si="24"/>
        <v>630</v>
      </c>
      <c r="J1445" s="6" t="s">
        <v>357</v>
      </c>
    </row>
    <row r="1446" spans="1:10" hidden="1">
      <c r="A1446" s="10">
        <v>44663</v>
      </c>
      <c r="B1446" s="6" t="s">
        <v>2024</v>
      </c>
      <c r="C1446" s="5" t="s">
        <v>2023</v>
      </c>
      <c r="D1446" s="8" t="s">
        <v>1964</v>
      </c>
      <c r="E1446" s="6" t="s">
        <v>1912</v>
      </c>
      <c r="F1446" s="6" t="s">
        <v>411</v>
      </c>
      <c r="G1446" s="5">
        <f>75*10.5</f>
        <v>787.5</v>
      </c>
      <c r="H1446" s="5">
        <v>1</v>
      </c>
      <c r="I1446" s="20">
        <f t="shared" si="24"/>
        <v>787.5</v>
      </c>
      <c r="J1446" s="6" t="s">
        <v>357</v>
      </c>
    </row>
    <row r="1447" spans="1:10" hidden="1">
      <c r="A1447" s="10">
        <v>44663</v>
      </c>
      <c r="B1447" s="6" t="s">
        <v>2026</v>
      </c>
      <c r="C1447" s="5" t="s">
        <v>2025</v>
      </c>
      <c r="D1447" s="8" t="s">
        <v>1964</v>
      </c>
      <c r="E1447" s="6" t="s">
        <v>1912</v>
      </c>
      <c r="F1447" s="6" t="s">
        <v>686</v>
      </c>
      <c r="G1447" s="5">
        <f>10.5*80</f>
        <v>840</v>
      </c>
      <c r="H1447" s="5">
        <v>1</v>
      </c>
      <c r="I1447" s="20">
        <f t="shared" si="24"/>
        <v>840</v>
      </c>
      <c r="J1447" s="6" t="s">
        <v>357</v>
      </c>
    </row>
    <row r="1448" spans="1:10" hidden="1">
      <c r="A1448" s="9">
        <v>44777</v>
      </c>
      <c r="B1448" s="6" t="s">
        <v>2027</v>
      </c>
      <c r="C1448" s="5" t="s">
        <v>2027</v>
      </c>
      <c r="D1448" s="8" t="s">
        <v>2028</v>
      </c>
      <c r="E1448" s="6" t="s">
        <v>1912</v>
      </c>
      <c r="F1448" s="6" t="s">
        <v>2028</v>
      </c>
      <c r="G1448" s="5">
        <v>124</v>
      </c>
      <c r="H1448" s="5">
        <v>1</v>
      </c>
      <c r="I1448" s="20">
        <f t="shared" si="24"/>
        <v>124</v>
      </c>
      <c r="J1448" s="6" t="s">
        <v>357</v>
      </c>
    </row>
    <row r="1449" spans="1:10" hidden="1">
      <c r="A1449" s="9">
        <v>44777</v>
      </c>
      <c r="B1449" s="6" t="s">
        <v>2029</v>
      </c>
      <c r="C1449" s="5" t="s">
        <v>2029</v>
      </c>
      <c r="D1449" s="8" t="s">
        <v>2028</v>
      </c>
      <c r="E1449" s="6" t="s">
        <v>1912</v>
      </c>
      <c r="F1449" s="6" t="s">
        <v>2028</v>
      </c>
      <c r="G1449" s="5">
        <f>8.8*15</f>
        <v>132</v>
      </c>
      <c r="H1449" s="5">
        <v>1</v>
      </c>
      <c r="I1449" s="20">
        <f t="shared" si="24"/>
        <v>132</v>
      </c>
      <c r="J1449" s="6" t="s">
        <v>357</v>
      </c>
    </row>
    <row r="1450" spans="1:10" hidden="1">
      <c r="A1450" s="9">
        <v>44777</v>
      </c>
      <c r="B1450" s="6" t="s">
        <v>2030</v>
      </c>
      <c r="C1450" s="5" t="s">
        <v>2030</v>
      </c>
      <c r="D1450" s="8" t="s">
        <v>2028</v>
      </c>
      <c r="E1450" s="6" t="s">
        <v>1912</v>
      </c>
      <c r="F1450" s="6" t="s">
        <v>2028</v>
      </c>
      <c r="G1450" s="5">
        <f>8.8*20.8</f>
        <v>183.04000000000002</v>
      </c>
      <c r="H1450" s="5">
        <v>1</v>
      </c>
      <c r="I1450" s="20">
        <f t="shared" si="24"/>
        <v>183.04000000000002</v>
      </c>
      <c r="J1450" s="6" t="s">
        <v>357</v>
      </c>
    </row>
    <row r="1451" spans="1:10" hidden="1">
      <c r="A1451" s="9">
        <v>44777</v>
      </c>
      <c r="B1451" s="6" t="s">
        <v>2031</v>
      </c>
      <c r="C1451" s="5" t="s">
        <v>2031</v>
      </c>
      <c r="D1451" s="8" t="s">
        <v>2028</v>
      </c>
      <c r="E1451" s="6" t="s">
        <v>1912</v>
      </c>
      <c r="F1451" s="6" t="s">
        <v>2028</v>
      </c>
      <c r="G1451" s="5">
        <f>8.8*25</f>
        <v>220.00000000000003</v>
      </c>
      <c r="H1451" s="5">
        <v>1</v>
      </c>
      <c r="I1451" s="20">
        <f t="shared" si="24"/>
        <v>220.00000000000003</v>
      </c>
      <c r="J1451" s="6" t="s">
        <v>357</v>
      </c>
    </row>
    <row r="1452" spans="1:10" hidden="1">
      <c r="A1452" s="9">
        <v>44777</v>
      </c>
      <c r="B1452" s="6" t="s">
        <v>2032</v>
      </c>
      <c r="C1452" s="5" t="s">
        <v>2032</v>
      </c>
      <c r="D1452" s="8" t="s">
        <v>2028</v>
      </c>
      <c r="E1452" s="6" t="s">
        <v>1912</v>
      </c>
      <c r="F1452" s="6" t="s">
        <v>2028</v>
      </c>
      <c r="G1452" s="5">
        <f>8.8*30</f>
        <v>264</v>
      </c>
      <c r="H1452" s="5">
        <v>1</v>
      </c>
      <c r="I1452" s="20">
        <f t="shared" si="24"/>
        <v>264</v>
      </c>
      <c r="J1452" s="6" t="s">
        <v>357</v>
      </c>
    </row>
    <row r="1453" spans="1:10" hidden="1">
      <c r="A1453" s="9">
        <v>44777</v>
      </c>
      <c r="B1453" s="6" t="s">
        <v>2033</v>
      </c>
      <c r="C1453" s="5" t="s">
        <v>2033</v>
      </c>
      <c r="D1453" s="8" t="s">
        <v>2028</v>
      </c>
      <c r="E1453" s="6" t="s">
        <v>1912</v>
      </c>
      <c r="F1453" s="6" t="s">
        <v>2028</v>
      </c>
      <c r="G1453" s="5">
        <v>55</v>
      </c>
      <c r="H1453" s="5">
        <v>1</v>
      </c>
      <c r="I1453" s="20">
        <f t="shared" si="24"/>
        <v>55</v>
      </c>
      <c r="J1453" s="6" t="s">
        <v>357</v>
      </c>
    </row>
    <row r="1454" spans="1:10" hidden="1">
      <c r="A1454" s="9">
        <v>44777</v>
      </c>
      <c r="B1454" s="6" t="s">
        <v>2034</v>
      </c>
      <c r="C1454" s="5" t="s">
        <v>2034</v>
      </c>
      <c r="D1454" s="8" t="s">
        <v>2028</v>
      </c>
      <c r="E1454" s="6" t="s">
        <v>1912</v>
      </c>
      <c r="F1454" s="6" t="s">
        <v>2028</v>
      </c>
      <c r="G1454" s="5">
        <v>65</v>
      </c>
      <c r="H1454" s="5">
        <v>1</v>
      </c>
      <c r="I1454" s="20">
        <f t="shared" si="24"/>
        <v>65</v>
      </c>
      <c r="J1454" s="6" t="s">
        <v>357</v>
      </c>
    </row>
    <row r="1455" spans="1:10" hidden="1">
      <c r="A1455" s="9">
        <v>44777</v>
      </c>
      <c r="B1455" s="6" t="s">
        <v>2035</v>
      </c>
      <c r="C1455" s="5" t="s">
        <v>2035</v>
      </c>
      <c r="D1455" s="8" t="s">
        <v>2028</v>
      </c>
      <c r="E1455" s="6" t="s">
        <v>1912</v>
      </c>
      <c r="F1455" s="6" t="s">
        <v>2028</v>
      </c>
      <c r="G1455" s="5">
        <v>150</v>
      </c>
      <c r="H1455" s="5">
        <v>1</v>
      </c>
      <c r="I1455" s="20">
        <f t="shared" si="24"/>
        <v>150</v>
      </c>
      <c r="J1455" s="6" t="s">
        <v>357</v>
      </c>
    </row>
    <row r="1456" spans="1:10" hidden="1">
      <c r="A1456" s="9">
        <v>44777</v>
      </c>
      <c r="B1456" s="6" t="s">
        <v>2037</v>
      </c>
      <c r="C1456" s="5" t="s">
        <v>2036</v>
      </c>
      <c r="D1456" s="8" t="s">
        <v>2028</v>
      </c>
      <c r="E1456" s="6" t="s">
        <v>1912</v>
      </c>
      <c r="F1456" s="6" t="s">
        <v>2028</v>
      </c>
      <c r="G1456" s="5">
        <f>7*16.7</f>
        <v>116.89999999999999</v>
      </c>
      <c r="H1456" s="5">
        <v>1</v>
      </c>
      <c r="I1456" s="20">
        <f t="shared" si="24"/>
        <v>116.89999999999999</v>
      </c>
      <c r="J1456" s="6" t="s">
        <v>357</v>
      </c>
    </row>
    <row r="1457" spans="1:10" hidden="1">
      <c r="A1457" s="9">
        <v>44777</v>
      </c>
      <c r="B1457" s="6" t="s">
        <v>2038</v>
      </c>
      <c r="C1457" s="5" t="s">
        <v>2038</v>
      </c>
      <c r="D1457" s="8" t="s">
        <v>2028</v>
      </c>
      <c r="E1457" s="6" t="s">
        <v>1912</v>
      </c>
      <c r="F1457" s="6" t="s">
        <v>2028</v>
      </c>
      <c r="G1457" s="5">
        <f>20.8*9.5</f>
        <v>197.6</v>
      </c>
      <c r="H1457" s="5">
        <v>1</v>
      </c>
      <c r="I1457" s="20">
        <f t="shared" si="24"/>
        <v>197.6</v>
      </c>
      <c r="J1457" s="6" t="s">
        <v>357</v>
      </c>
    </row>
    <row r="1458" spans="1:10" hidden="1">
      <c r="A1458" s="9">
        <v>44777</v>
      </c>
      <c r="B1458" s="6" t="s">
        <v>2039</v>
      </c>
      <c r="C1458" s="5" t="s">
        <v>2039</v>
      </c>
      <c r="D1458" s="8" t="s">
        <v>2028</v>
      </c>
      <c r="E1458" s="6" t="s">
        <v>1912</v>
      </c>
      <c r="F1458" s="6" t="s">
        <v>2028</v>
      </c>
      <c r="G1458" s="5">
        <f>25*9.5</f>
        <v>237.5</v>
      </c>
      <c r="H1458" s="5">
        <v>1</v>
      </c>
      <c r="I1458" s="20">
        <f t="shared" si="24"/>
        <v>237.5</v>
      </c>
      <c r="J1458" s="6" t="s">
        <v>357</v>
      </c>
    </row>
    <row r="1459" spans="1:10" hidden="1">
      <c r="A1459" s="9">
        <v>44777</v>
      </c>
      <c r="B1459" s="6" t="s">
        <v>2040</v>
      </c>
      <c r="C1459" s="5" t="s">
        <v>2040</v>
      </c>
      <c r="D1459" s="8" t="s">
        <v>2028</v>
      </c>
      <c r="E1459" s="6" t="s">
        <v>1912</v>
      </c>
      <c r="F1459" s="6" t="s">
        <v>2028</v>
      </c>
      <c r="G1459" s="5">
        <f>30*9.5</f>
        <v>285</v>
      </c>
      <c r="H1459" s="5">
        <v>1</v>
      </c>
      <c r="I1459" s="20">
        <f t="shared" si="24"/>
        <v>285</v>
      </c>
      <c r="J1459" s="6" t="s">
        <v>357</v>
      </c>
    </row>
    <row r="1460" spans="1:10" hidden="1">
      <c r="A1460" s="9">
        <v>44777</v>
      </c>
      <c r="B1460" s="6" t="s">
        <v>2041</v>
      </c>
      <c r="C1460" s="5" t="s">
        <v>2041</v>
      </c>
      <c r="D1460" s="8" t="s">
        <v>2028</v>
      </c>
      <c r="E1460" s="6" t="s">
        <v>1912</v>
      </c>
      <c r="F1460" s="6" t="s">
        <v>2028</v>
      </c>
      <c r="G1460" s="5">
        <v>100</v>
      </c>
      <c r="H1460" s="5">
        <v>1</v>
      </c>
      <c r="I1460" s="20">
        <f t="shared" si="24"/>
        <v>100</v>
      </c>
      <c r="J1460" s="6" t="s">
        <v>357</v>
      </c>
    </row>
    <row r="1461" spans="1:10" hidden="1">
      <c r="A1461" s="9">
        <v>45128</v>
      </c>
      <c r="B1461" s="6" t="s">
        <v>2044</v>
      </c>
      <c r="C1461" s="5" t="s">
        <v>2042</v>
      </c>
      <c r="D1461" s="8" t="s">
        <v>2043</v>
      </c>
      <c r="E1461" s="6" t="s">
        <v>2045</v>
      </c>
      <c r="F1461" s="6" t="s">
        <v>2043</v>
      </c>
      <c r="G1461" s="5">
        <v>1037.0999999999999</v>
      </c>
      <c r="H1461" s="5">
        <v>1</v>
      </c>
      <c r="I1461" s="20">
        <f t="shared" si="24"/>
        <v>1037.0999999999999</v>
      </c>
      <c r="J1461" s="6" t="s">
        <v>357</v>
      </c>
    </row>
    <row r="1462" spans="1:10" hidden="1">
      <c r="A1462" s="9">
        <v>45128</v>
      </c>
      <c r="B1462" s="6" t="s">
        <v>2047</v>
      </c>
      <c r="C1462" s="5" t="s">
        <v>2046</v>
      </c>
      <c r="D1462" s="8" t="s">
        <v>2043</v>
      </c>
      <c r="E1462" s="6" t="s">
        <v>2045</v>
      </c>
      <c r="F1462" s="6" t="s">
        <v>2043</v>
      </c>
      <c r="G1462" s="5">
        <v>1751.6</v>
      </c>
      <c r="H1462" s="5">
        <v>1</v>
      </c>
      <c r="I1462" s="20">
        <f t="shared" si="24"/>
        <v>1751.6</v>
      </c>
      <c r="J1462" s="6" t="s">
        <v>357</v>
      </c>
    </row>
    <row r="1463" spans="1:10" hidden="1">
      <c r="A1463" s="9">
        <v>45128</v>
      </c>
      <c r="B1463" s="6" t="s">
        <v>2049</v>
      </c>
      <c r="C1463" s="5" t="s">
        <v>2048</v>
      </c>
      <c r="D1463" s="8" t="s">
        <v>2043</v>
      </c>
      <c r="E1463" s="6" t="s">
        <v>2045</v>
      </c>
      <c r="F1463" s="6" t="s">
        <v>2043</v>
      </c>
      <c r="G1463" s="5">
        <v>272.2</v>
      </c>
      <c r="H1463" s="5">
        <v>1</v>
      </c>
      <c r="I1463" s="20">
        <f t="shared" si="24"/>
        <v>272.2</v>
      </c>
      <c r="J1463" s="6" t="s">
        <v>357</v>
      </c>
    </row>
    <row r="1464" spans="1:10" hidden="1">
      <c r="A1464" s="9">
        <v>45128</v>
      </c>
      <c r="B1464" s="6" t="s">
        <v>2051</v>
      </c>
      <c r="C1464" s="5" t="s">
        <v>2050</v>
      </c>
      <c r="D1464" s="8" t="s">
        <v>2043</v>
      </c>
      <c r="E1464" s="6" t="s">
        <v>2045</v>
      </c>
      <c r="F1464" s="6" t="s">
        <v>2043</v>
      </c>
      <c r="G1464" s="5">
        <v>459.7</v>
      </c>
      <c r="H1464" s="5">
        <v>1</v>
      </c>
      <c r="I1464" s="20">
        <f t="shared" si="24"/>
        <v>459.7</v>
      </c>
      <c r="J1464" s="6" t="s">
        <v>357</v>
      </c>
    </row>
    <row r="1465" spans="1:10" hidden="1">
      <c r="A1465" s="9">
        <v>45128</v>
      </c>
      <c r="B1465" s="6" t="s">
        <v>2053</v>
      </c>
      <c r="C1465" s="5" t="s">
        <v>2052</v>
      </c>
      <c r="D1465" s="8" t="s">
        <v>2043</v>
      </c>
      <c r="E1465" s="6" t="s">
        <v>2045</v>
      </c>
      <c r="F1465" s="6" t="s">
        <v>2043</v>
      </c>
      <c r="G1465" s="5">
        <v>1178.5999999999999</v>
      </c>
      <c r="H1465" s="5">
        <v>1</v>
      </c>
      <c r="I1465" s="20">
        <f t="shared" si="24"/>
        <v>1178.5999999999999</v>
      </c>
      <c r="J1465" s="6" t="s">
        <v>357</v>
      </c>
    </row>
    <row r="1466" spans="1:10" hidden="1">
      <c r="A1466" s="9">
        <v>45128</v>
      </c>
      <c r="B1466" s="6" t="s">
        <v>2055</v>
      </c>
      <c r="C1466" s="5" t="s">
        <v>2054</v>
      </c>
      <c r="D1466" s="8" t="s">
        <v>2043</v>
      </c>
      <c r="E1466" s="6" t="s">
        <v>2045</v>
      </c>
      <c r="F1466" s="6" t="s">
        <v>2043</v>
      </c>
      <c r="G1466" s="5">
        <v>1990.5</v>
      </c>
      <c r="H1466" s="5">
        <v>1</v>
      </c>
      <c r="I1466" s="20">
        <f t="shared" si="24"/>
        <v>1990.5</v>
      </c>
      <c r="J1466" s="6" t="s">
        <v>357</v>
      </c>
    </row>
    <row r="1467" spans="1:10" hidden="1">
      <c r="A1467" s="9">
        <v>45128</v>
      </c>
      <c r="B1467" s="6" t="s">
        <v>2057</v>
      </c>
      <c r="C1467" s="5" t="s">
        <v>2056</v>
      </c>
      <c r="D1467" s="8" t="s">
        <v>2043</v>
      </c>
      <c r="E1467" s="6" t="s">
        <v>2045</v>
      </c>
      <c r="F1467" s="6" t="s">
        <v>2043</v>
      </c>
      <c r="G1467" s="5">
        <v>1398.6</v>
      </c>
      <c r="H1467" s="5">
        <v>1</v>
      </c>
      <c r="I1467" s="20">
        <f t="shared" si="24"/>
        <v>1398.6</v>
      </c>
      <c r="J1467" s="6" t="s">
        <v>357</v>
      </c>
    </row>
    <row r="1468" spans="1:10" hidden="1">
      <c r="A1468" s="9">
        <v>45128</v>
      </c>
      <c r="B1468" s="6" t="s">
        <v>2059</v>
      </c>
      <c r="C1468" s="5" t="s">
        <v>2058</v>
      </c>
      <c r="D1468" s="8" t="s">
        <v>2043</v>
      </c>
      <c r="E1468" s="6" t="s">
        <v>2045</v>
      </c>
      <c r="F1468" s="6" t="s">
        <v>2043</v>
      </c>
      <c r="G1468" s="5">
        <v>1990.5</v>
      </c>
      <c r="H1468" s="5">
        <v>1</v>
      </c>
      <c r="I1468" s="20">
        <f t="shared" si="24"/>
        <v>1990.5</v>
      </c>
      <c r="J1468" s="6" t="s">
        <v>357</v>
      </c>
    </row>
    <row r="1469" spans="1:10" hidden="1">
      <c r="A1469" s="9">
        <v>45128</v>
      </c>
      <c r="B1469" s="6" t="s">
        <v>2061</v>
      </c>
      <c r="C1469" s="5" t="s">
        <v>2060</v>
      </c>
      <c r="D1469" s="8" t="s">
        <v>2043</v>
      </c>
      <c r="E1469" s="6" t="s">
        <v>2045</v>
      </c>
      <c r="F1469" s="6" t="s">
        <v>2043</v>
      </c>
      <c r="G1469" s="5">
        <v>313.3</v>
      </c>
      <c r="H1469" s="5">
        <v>1</v>
      </c>
      <c r="I1469" s="20">
        <f t="shared" si="24"/>
        <v>313.3</v>
      </c>
      <c r="J1469" s="6" t="s">
        <v>357</v>
      </c>
    </row>
    <row r="1470" spans="1:10" hidden="1">
      <c r="A1470" s="9">
        <v>45128</v>
      </c>
      <c r="B1470" s="6" t="s">
        <v>2063</v>
      </c>
      <c r="C1470" s="5" t="s">
        <v>2062</v>
      </c>
      <c r="D1470" s="8" t="s">
        <v>2043</v>
      </c>
      <c r="E1470" s="6" t="s">
        <v>2045</v>
      </c>
      <c r="F1470" s="6" t="s">
        <v>2043</v>
      </c>
      <c r="G1470" s="5">
        <v>529.20000000000005</v>
      </c>
      <c r="H1470" s="5">
        <v>1</v>
      </c>
      <c r="I1470" s="20">
        <f t="shared" si="24"/>
        <v>529.20000000000005</v>
      </c>
      <c r="J1470" s="6" t="s">
        <v>357</v>
      </c>
    </row>
    <row r="1471" spans="1:10" hidden="1">
      <c r="A1471" s="9">
        <v>45128</v>
      </c>
      <c r="B1471" s="6" t="s">
        <v>2065</v>
      </c>
      <c r="C1471" s="5" t="s">
        <v>2064</v>
      </c>
      <c r="D1471" s="8" t="s">
        <v>2043</v>
      </c>
      <c r="E1471" s="6" t="s">
        <v>2045</v>
      </c>
      <c r="F1471" s="6" t="s">
        <v>2043</v>
      </c>
      <c r="G1471" s="5">
        <v>1445.7</v>
      </c>
      <c r="H1471" s="5">
        <v>1</v>
      </c>
      <c r="I1471" s="20">
        <f t="shared" si="24"/>
        <v>1445.7</v>
      </c>
      <c r="J1471" s="6" t="s">
        <v>357</v>
      </c>
    </row>
    <row r="1472" spans="1:10" hidden="1">
      <c r="A1472" s="9">
        <v>45128</v>
      </c>
      <c r="B1472" s="6" t="s">
        <v>2067</v>
      </c>
      <c r="C1472" s="5" t="s">
        <v>2066</v>
      </c>
      <c r="D1472" s="8" t="s">
        <v>2043</v>
      </c>
      <c r="E1472" s="6" t="s">
        <v>2045</v>
      </c>
      <c r="F1472" s="6" t="s">
        <v>2043</v>
      </c>
      <c r="G1472" s="5">
        <v>2441.6999999999998</v>
      </c>
      <c r="H1472" s="5">
        <v>1</v>
      </c>
      <c r="I1472" s="20">
        <f t="shared" si="24"/>
        <v>2441.6999999999998</v>
      </c>
      <c r="J1472" s="6" t="s">
        <v>357</v>
      </c>
    </row>
    <row r="1473" spans="1:10" hidden="1">
      <c r="A1473" s="9">
        <v>45128</v>
      </c>
      <c r="B1473" s="6" t="s">
        <v>2069</v>
      </c>
      <c r="C1473" s="5" t="s">
        <v>2068</v>
      </c>
      <c r="D1473" s="8" t="s">
        <v>2043</v>
      </c>
      <c r="E1473" s="6" t="s">
        <v>2045</v>
      </c>
      <c r="F1473" s="6" t="s">
        <v>2043</v>
      </c>
      <c r="G1473" s="5">
        <v>199.4</v>
      </c>
      <c r="H1473" s="5">
        <v>1</v>
      </c>
      <c r="I1473" s="20">
        <f t="shared" si="24"/>
        <v>199.4</v>
      </c>
      <c r="J1473" s="6" t="s">
        <v>357</v>
      </c>
    </row>
    <row r="1474" spans="1:10" hidden="1">
      <c r="A1474" s="9">
        <v>45128</v>
      </c>
      <c r="B1474" s="6" t="s">
        <v>2071</v>
      </c>
      <c r="C1474" s="5" t="s">
        <v>2070</v>
      </c>
      <c r="D1474" s="8" t="s">
        <v>2043</v>
      </c>
      <c r="E1474" s="6" t="s">
        <v>2045</v>
      </c>
      <c r="F1474" s="6" t="s">
        <v>2043</v>
      </c>
      <c r="G1474" s="5">
        <v>336.8</v>
      </c>
      <c r="H1474" s="5">
        <v>1</v>
      </c>
      <c r="I1474" s="20">
        <f t="shared" si="24"/>
        <v>336.8</v>
      </c>
      <c r="J1474" s="6" t="s">
        <v>357</v>
      </c>
    </row>
    <row r="1475" spans="1:10" hidden="1">
      <c r="A1475" s="9">
        <v>45128</v>
      </c>
      <c r="B1475" s="6" t="s">
        <v>2073</v>
      </c>
      <c r="C1475" s="5" t="s">
        <v>2072</v>
      </c>
      <c r="D1475" s="8" t="s">
        <v>2043</v>
      </c>
      <c r="E1475" s="6" t="s">
        <v>2045</v>
      </c>
      <c r="F1475" s="6" t="s">
        <v>2043</v>
      </c>
      <c r="G1475" s="5">
        <v>1885.7</v>
      </c>
      <c r="H1475" s="5">
        <v>1</v>
      </c>
      <c r="I1475" s="20">
        <f t="shared" ref="I1475:I1538" si="25">H1475*G1475</f>
        <v>1885.7</v>
      </c>
      <c r="J1475" s="6" t="s">
        <v>357</v>
      </c>
    </row>
    <row r="1476" spans="1:10" hidden="1">
      <c r="A1476" s="9">
        <v>45128</v>
      </c>
      <c r="B1476" s="6" t="s">
        <v>2075</v>
      </c>
      <c r="C1476" s="5" t="s">
        <v>2074</v>
      </c>
      <c r="D1476" s="8" t="s">
        <v>2043</v>
      </c>
      <c r="E1476" s="6" t="s">
        <v>2045</v>
      </c>
      <c r="F1476" s="6" t="s">
        <v>2043</v>
      </c>
      <c r="G1476" s="5">
        <v>3184.8</v>
      </c>
      <c r="H1476" s="5">
        <v>1</v>
      </c>
      <c r="I1476" s="20">
        <f t="shared" si="25"/>
        <v>3184.8</v>
      </c>
      <c r="J1476" s="6" t="s">
        <v>357</v>
      </c>
    </row>
    <row r="1477" spans="1:10" hidden="1">
      <c r="A1477" s="9">
        <v>45128</v>
      </c>
      <c r="B1477" s="6" t="s">
        <v>2077</v>
      </c>
      <c r="C1477" s="5" t="s">
        <v>2076</v>
      </c>
      <c r="D1477" s="8" t="s">
        <v>2043</v>
      </c>
      <c r="E1477" s="6" t="s">
        <v>2045</v>
      </c>
      <c r="F1477" s="6" t="s">
        <v>2043</v>
      </c>
      <c r="G1477" s="5">
        <v>353.6</v>
      </c>
      <c r="H1477" s="5">
        <v>1</v>
      </c>
      <c r="I1477" s="20">
        <f t="shared" si="25"/>
        <v>353.6</v>
      </c>
      <c r="J1477" s="6" t="s">
        <v>357</v>
      </c>
    </row>
    <row r="1478" spans="1:10" hidden="1">
      <c r="A1478" s="9">
        <v>45128</v>
      </c>
      <c r="B1478" s="6" t="s">
        <v>2079</v>
      </c>
      <c r="C1478" s="5" t="s">
        <v>2078</v>
      </c>
      <c r="D1478" s="8" t="s">
        <v>2043</v>
      </c>
      <c r="E1478" s="6" t="s">
        <v>2045</v>
      </c>
      <c r="F1478" s="6" t="s">
        <v>2043</v>
      </c>
      <c r="G1478" s="5">
        <v>529.20000000000005</v>
      </c>
      <c r="H1478" s="5">
        <v>1</v>
      </c>
      <c r="I1478" s="20">
        <f t="shared" si="25"/>
        <v>529.20000000000005</v>
      </c>
      <c r="J1478" s="6" t="s">
        <v>357</v>
      </c>
    </row>
    <row r="1479" spans="1:10" hidden="1">
      <c r="A1479" s="9">
        <v>45128</v>
      </c>
      <c r="B1479" s="6" t="s">
        <v>2081</v>
      </c>
      <c r="C1479" s="5" t="s">
        <v>2080</v>
      </c>
      <c r="D1479" s="8" t="s">
        <v>2043</v>
      </c>
      <c r="E1479" s="6" t="s">
        <v>2045</v>
      </c>
      <c r="F1479" s="6" t="s">
        <v>2043</v>
      </c>
      <c r="G1479" s="5">
        <v>392.9</v>
      </c>
      <c r="H1479" s="5">
        <v>1</v>
      </c>
      <c r="I1479" s="20">
        <f t="shared" si="25"/>
        <v>392.9</v>
      </c>
      <c r="J1479" s="6" t="s">
        <v>357</v>
      </c>
    </row>
    <row r="1480" spans="1:10" hidden="1">
      <c r="A1480" s="9">
        <v>45128</v>
      </c>
      <c r="B1480" s="6" t="s">
        <v>2083</v>
      </c>
      <c r="C1480" s="5" t="s">
        <v>2082</v>
      </c>
      <c r="D1480" s="8" t="s">
        <v>2043</v>
      </c>
      <c r="E1480" s="6" t="s">
        <v>2045</v>
      </c>
      <c r="F1480" s="6" t="s">
        <v>2043</v>
      </c>
      <c r="G1480" s="5">
        <v>663.5</v>
      </c>
      <c r="H1480" s="5">
        <v>1</v>
      </c>
      <c r="I1480" s="20">
        <f t="shared" si="25"/>
        <v>663.5</v>
      </c>
      <c r="J1480" s="6" t="s">
        <v>357</v>
      </c>
    </row>
    <row r="1481" spans="1:10" hidden="1">
      <c r="A1481" s="9">
        <v>45128</v>
      </c>
      <c r="B1481" s="6" t="s">
        <v>2085</v>
      </c>
      <c r="C1481" s="5" t="s">
        <v>2084</v>
      </c>
      <c r="D1481" s="8" t="s">
        <v>2043</v>
      </c>
      <c r="E1481" s="6" t="s">
        <v>2045</v>
      </c>
      <c r="F1481" s="6" t="s">
        <v>2043</v>
      </c>
      <c r="G1481" s="5">
        <v>455.7</v>
      </c>
      <c r="H1481" s="5">
        <v>1</v>
      </c>
      <c r="I1481" s="20">
        <f t="shared" si="25"/>
        <v>455.7</v>
      </c>
      <c r="J1481" s="6" t="s">
        <v>357</v>
      </c>
    </row>
    <row r="1482" spans="1:10" hidden="1">
      <c r="A1482" s="9">
        <v>45128</v>
      </c>
      <c r="B1482" s="6" t="s">
        <v>2087</v>
      </c>
      <c r="C1482" s="5" t="s">
        <v>2086</v>
      </c>
      <c r="D1482" s="8" t="s">
        <v>2043</v>
      </c>
      <c r="E1482" s="6" t="s">
        <v>2045</v>
      </c>
      <c r="F1482" s="6" t="s">
        <v>2043</v>
      </c>
      <c r="G1482" s="5">
        <v>769.7</v>
      </c>
      <c r="H1482" s="5">
        <v>1</v>
      </c>
      <c r="I1482" s="20">
        <f t="shared" si="25"/>
        <v>769.7</v>
      </c>
      <c r="J1482" s="6" t="s">
        <v>357</v>
      </c>
    </row>
    <row r="1483" spans="1:10" hidden="1">
      <c r="A1483" s="9">
        <v>45128</v>
      </c>
      <c r="B1483" s="6" t="s">
        <v>2089</v>
      </c>
      <c r="C1483" s="5" t="s">
        <v>2088</v>
      </c>
      <c r="D1483" s="8" t="s">
        <v>2043</v>
      </c>
      <c r="E1483" s="6" t="s">
        <v>2045</v>
      </c>
      <c r="F1483" s="6" t="s">
        <v>2043</v>
      </c>
      <c r="G1483" s="5">
        <v>518.6</v>
      </c>
      <c r="H1483" s="5">
        <v>1</v>
      </c>
      <c r="I1483" s="20">
        <f t="shared" si="25"/>
        <v>518.6</v>
      </c>
      <c r="J1483" s="6" t="s">
        <v>357</v>
      </c>
    </row>
    <row r="1484" spans="1:10" hidden="1">
      <c r="A1484" s="9">
        <v>45128</v>
      </c>
      <c r="B1484" s="6" t="s">
        <v>2091</v>
      </c>
      <c r="C1484" s="5" t="s">
        <v>2090</v>
      </c>
      <c r="D1484" s="8" t="s">
        <v>2043</v>
      </c>
      <c r="E1484" s="6" t="s">
        <v>2045</v>
      </c>
      <c r="F1484" s="6" t="s">
        <v>2043</v>
      </c>
      <c r="G1484" s="5">
        <v>875.8</v>
      </c>
      <c r="H1484" s="5">
        <v>1</v>
      </c>
      <c r="I1484" s="20">
        <f t="shared" si="25"/>
        <v>875.8</v>
      </c>
      <c r="J1484" s="6" t="s">
        <v>357</v>
      </c>
    </row>
    <row r="1485" spans="1:10" hidden="1">
      <c r="A1485" s="9">
        <v>45128</v>
      </c>
      <c r="B1485" s="6" t="s">
        <v>2093</v>
      </c>
      <c r="C1485" s="5" t="s">
        <v>2092</v>
      </c>
      <c r="D1485" s="8" t="s">
        <v>2043</v>
      </c>
      <c r="E1485" s="6" t="s">
        <v>2045</v>
      </c>
      <c r="F1485" s="6" t="s">
        <v>2043</v>
      </c>
      <c r="G1485" s="5">
        <v>589.29999999999995</v>
      </c>
      <c r="H1485" s="5">
        <v>1</v>
      </c>
      <c r="I1485" s="20">
        <f t="shared" si="25"/>
        <v>589.29999999999995</v>
      </c>
      <c r="J1485" s="6" t="s">
        <v>357</v>
      </c>
    </row>
    <row r="1486" spans="1:10" hidden="1">
      <c r="A1486" s="9">
        <v>45128</v>
      </c>
      <c r="B1486" s="6" t="s">
        <v>2095</v>
      </c>
      <c r="C1486" s="5" t="s">
        <v>2094</v>
      </c>
      <c r="D1486" s="8" t="s">
        <v>2043</v>
      </c>
      <c r="E1486" s="6" t="s">
        <v>2045</v>
      </c>
      <c r="F1486" s="6" t="s">
        <v>2043</v>
      </c>
      <c r="G1486" s="5">
        <v>995.2</v>
      </c>
      <c r="H1486" s="5">
        <v>1</v>
      </c>
      <c r="I1486" s="20">
        <f t="shared" si="25"/>
        <v>995.2</v>
      </c>
      <c r="J1486" s="6" t="s">
        <v>357</v>
      </c>
    </row>
    <row r="1487" spans="1:10" hidden="1">
      <c r="A1487" s="9">
        <v>45128</v>
      </c>
      <c r="B1487" s="6" t="s">
        <v>2097</v>
      </c>
      <c r="C1487" s="5" t="s">
        <v>2096</v>
      </c>
      <c r="D1487" s="8" t="s">
        <v>2043</v>
      </c>
      <c r="E1487" s="6" t="s">
        <v>2045</v>
      </c>
      <c r="F1487" s="6" t="s">
        <v>2043</v>
      </c>
      <c r="G1487" s="5">
        <v>214.2</v>
      </c>
      <c r="H1487" s="5">
        <v>1</v>
      </c>
      <c r="I1487" s="20">
        <f t="shared" si="25"/>
        <v>214.2</v>
      </c>
      <c r="J1487" s="6" t="s">
        <v>357</v>
      </c>
    </row>
    <row r="1488" spans="1:10" hidden="1">
      <c r="A1488" s="9">
        <v>45128</v>
      </c>
      <c r="B1488" s="6" t="s">
        <v>2099</v>
      </c>
      <c r="C1488" s="5" t="s">
        <v>2098</v>
      </c>
      <c r="D1488" s="8" t="s">
        <v>2043</v>
      </c>
      <c r="E1488" s="6" t="s">
        <v>2045</v>
      </c>
      <c r="F1488" s="6" t="s">
        <v>2043</v>
      </c>
      <c r="G1488" s="5">
        <v>361.7</v>
      </c>
      <c r="H1488" s="5">
        <v>1</v>
      </c>
      <c r="I1488" s="20">
        <f t="shared" si="25"/>
        <v>361.7</v>
      </c>
      <c r="J1488" s="6" t="s">
        <v>357</v>
      </c>
    </row>
    <row r="1489" spans="1:10" hidden="1">
      <c r="A1489" s="9">
        <v>45128</v>
      </c>
      <c r="B1489" s="6" t="s">
        <v>2101</v>
      </c>
      <c r="C1489" s="5" t="s">
        <v>2100</v>
      </c>
      <c r="D1489" s="8" t="s">
        <v>2043</v>
      </c>
      <c r="E1489" s="6" t="s">
        <v>2045</v>
      </c>
      <c r="F1489" s="6" t="s">
        <v>2043</v>
      </c>
      <c r="G1489" s="5">
        <v>652.1</v>
      </c>
      <c r="H1489" s="5">
        <v>1</v>
      </c>
      <c r="I1489" s="20">
        <f t="shared" si="25"/>
        <v>652.1</v>
      </c>
      <c r="J1489" s="6" t="s">
        <v>357</v>
      </c>
    </row>
    <row r="1490" spans="1:10" hidden="1">
      <c r="A1490" s="9">
        <v>45128</v>
      </c>
      <c r="B1490" s="6" t="s">
        <v>2103</v>
      </c>
      <c r="C1490" s="5" t="s">
        <v>2102</v>
      </c>
      <c r="D1490" s="8" t="s">
        <v>2043</v>
      </c>
      <c r="E1490" s="6" t="s">
        <v>2045</v>
      </c>
      <c r="F1490" s="6" t="s">
        <v>2043</v>
      </c>
      <c r="G1490" s="5">
        <v>1101.4000000000001</v>
      </c>
      <c r="H1490" s="5">
        <v>1</v>
      </c>
      <c r="I1490" s="20">
        <f t="shared" si="25"/>
        <v>1101.4000000000001</v>
      </c>
      <c r="J1490" s="6" t="s">
        <v>357</v>
      </c>
    </row>
    <row r="1491" spans="1:10" hidden="1">
      <c r="A1491" s="9">
        <v>45128</v>
      </c>
      <c r="B1491" s="6" t="s">
        <v>2105</v>
      </c>
      <c r="C1491" s="5" t="s">
        <v>2104</v>
      </c>
      <c r="D1491" s="8" t="s">
        <v>2043</v>
      </c>
      <c r="E1491" s="6" t="s">
        <v>2045</v>
      </c>
      <c r="F1491" s="6" t="s">
        <v>2043</v>
      </c>
      <c r="G1491" s="5">
        <v>790.4</v>
      </c>
      <c r="H1491" s="5">
        <v>1</v>
      </c>
      <c r="I1491" s="20">
        <f t="shared" si="25"/>
        <v>790.4</v>
      </c>
      <c r="J1491" s="6" t="s">
        <v>357</v>
      </c>
    </row>
    <row r="1492" spans="1:10" hidden="1">
      <c r="A1492" s="9">
        <v>45128</v>
      </c>
      <c r="B1492" s="6" t="s">
        <v>2107</v>
      </c>
      <c r="C1492" s="5" t="s">
        <v>2106</v>
      </c>
      <c r="D1492" s="8" t="s">
        <v>2043</v>
      </c>
      <c r="E1492" s="6" t="s">
        <v>2045</v>
      </c>
      <c r="F1492" s="6" t="s">
        <v>2043</v>
      </c>
      <c r="G1492" s="5">
        <v>1335</v>
      </c>
      <c r="H1492" s="5">
        <v>1</v>
      </c>
      <c r="I1492" s="20">
        <f t="shared" si="25"/>
        <v>1335</v>
      </c>
      <c r="J1492" s="6" t="s">
        <v>357</v>
      </c>
    </row>
    <row r="1493" spans="1:10" hidden="1">
      <c r="A1493" s="9">
        <v>45128</v>
      </c>
      <c r="B1493" s="6" t="s">
        <v>2109</v>
      </c>
      <c r="C1493" s="5" t="s">
        <v>2108</v>
      </c>
      <c r="D1493" s="8" t="s">
        <v>2043</v>
      </c>
      <c r="E1493" s="6" t="s">
        <v>2045</v>
      </c>
      <c r="F1493" s="6" t="s">
        <v>2043</v>
      </c>
      <c r="G1493" s="5">
        <v>801.4</v>
      </c>
      <c r="H1493" s="5">
        <v>1</v>
      </c>
      <c r="I1493" s="20">
        <f t="shared" si="25"/>
        <v>801.4</v>
      </c>
      <c r="J1493" s="6" t="s">
        <v>357</v>
      </c>
    </row>
    <row r="1494" spans="1:10" hidden="1">
      <c r="A1494" s="9">
        <v>45128</v>
      </c>
      <c r="B1494" s="6" t="s">
        <v>2111</v>
      </c>
      <c r="C1494" s="5" t="s">
        <v>2110</v>
      </c>
      <c r="D1494" s="8" t="s">
        <v>2043</v>
      </c>
      <c r="E1494" s="6" t="s">
        <v>2045</v>
      </c>
      <c r="F1494" s="6" t="s">
        <v>2043</v>
      </c>
      <c r="G1494" s="5">
        <v>1353.5</v>
      </c>
      <c r="H1494" s="5">
        <v>1</v>
      </c>
      <c r="I1494" s="20">
        <f t="shared" si="25"/>
        <v>1353.5</v>
      </c>
      <c r="J1494" s="6" t="s">
        <v>357</v>
      </c>
    </row>
    <row r="1495" spans="1:10" hidden="1">
      <c r="A1495" s="9">
        <v>45128</v>
      </c>
      <c r="B1495" s="6" t="s">
        <v>2113</v>
      </c>
      <c r="C1495" s="5" t="s">
        <v>2112</v>
      </c>
      <c r="D1495" s="8" t="s">
        <v>2043</v>
      </c>
      <c r="E1495" s="6" t="s">
        <v>2045</v>
      </c>
      <c r="F1495" s="6" t="s">
        <v>2043</v>
      </c>
      <c r="G1495" s="5">
        <v>848.6</v>
      </c>
      <c r="H1495" s="5">
        <v>1</v>
      </c>
      <c r="I1495" s="20">
        <f t="shared" si="25"/>
        <v>848.6</v>
      </c>
      <c r="J1495" s="6" t="s">
        <v>357</v>
      </c>
    </row>
    <row r="1496" spans="1:10" hidden="1">
      <c r="A1496" s="9">
        <v>45128</v>
      </c>
      <c r="B1496" s="6" t="s">
        <v>2115</v>
      </c>
      <c r="C1496" s="5" t="s">
        <v>2114</v>
      </c>
      <c r="D1496" s="8" t="s">
        <v>2043</v>
      </c>
      <c r="E1496" s="6" t="s">
        <v>2045</v>
      </c>
      <c r="F1496" s="6" t="s">
        <v>2043</v>
      </c>
      <c r="G1496" s="5">
        <v>1433.1</v>
      </c>
      <c r="H1496" s="5">
        <v>1</v>
      </c>
      <c r="I1496" s="20">
        <f t="shared" si="25"/>
        <v>1433.1</v>
      </c>
      <c r="J1496" s="6" t="s">
        <v>357</v>
      </c>
    </row>
    <row r="1497" spans="1:10" hidden="1">
      <c r="A1497" s="10">
        <v>44022</v>
      </c>
      <c r="B1497" s="6" t="s">
        <v>2118</v>
      </c>
      <c r="C1497" s="5" t="s">
        <v>2116</v>
      </c>
      <c r="D1497" s="8" t="s">
        <v>2117</v>
      </c>
      <c r="E1497" s="6" t="s">
        <v>1013</v>
      </c>
      <c r="F1497" s="6" t="s">
        <v>2119</v>
      </c>
      <c r="G1497" s="5">
        <v>1750</v>
      </c>
      <c r="H1497" s="5">
        <v>1</v>
      </c>
      <c r="I1497" s="20">
        <f t="shared" si="25"/>
        <v>1750</v>
      </c>
      <c r="J1497" s="6" t="s">
        <v>357</v>
      </c>
    </row>
    <row r="1498" spans="1:10" hidden="1">
      <c r="A1498" s="10">
        <v>44027</v>
      </c>
      <c r="B1498" s="6" t="s">
        <v>2121</v>
      </c>
      <c r="C1498" s="5" t="s">
        <v>2120</v>
      </c>
      <c r="D1498" s="8" t="s">
        <v>2117</v>
      </c>
      <c r="E1498" s="6" t="s">
        <v>1013</v>
      </c>
      <c r="F1498" s="6" t="s">
        <v>2122</v>
      </c>
      <c r="G1498" s="5">
        <v>1210</v>
      </c>
      <c r="H1498" s="5">
        <v>1</v>
      </c>
      <c r="I1498" s="20">
        <f t="shared" si="25"/>
        <v>1210</v>
      </c>
      <c r="J1498" s="6" t="s">
        <v>357</v>
      </c>
    </row>
    <row r="1499" spans="1:10" hidden="1">
      <c r="A1499" s="10">
        <v>44027</v>
      </c>
      <c r="B1499" s="6" t="s">
        <v>2124</v>
      </c>
      <c r="C1499" s="5" t="s">
        <v>2123</v>
      </c>
      <c r="D1499" s="8" t="s">
        <v>2117</v>
      </c>
      <c r="E1499" s="6" t="s">
        <v>1013</v>
      </c>
      <c r="F1499" s="6" t="s">
        <v>2122</v>
      </c>
      <c r="G1499" s="5">
        <v>1290</v>
      </c>
      <c r="H1499" s="5">
        <v>1</v>
      </c>
      <c r="I1499" s="20">
        <f t="shared" si="25"/>
        <v>1290</v>
      </c>
      <c r="J1499" s="6" t="s">
        <v>357</v>
      </c>
    </row>
    <row r="1500" spans="1:10" hidden="1">
      <c r="A1500" s="10">
        <v>44027</v>
      </c>
      <c r="B1500" s="6" t="s">
        <v>2126</v>
      </c>
      <c r="C1500" s="5" t="s">
        <v>2125</v>
      </c>
      <c r="D1500" s="8" t="s">
        <v>2117</v>
      </c>
      <c r="E1500" s="6" t="s">
        <v>1013</v>
      </c>
      <c r="F1500" s="6" t="s">
        <v>2122</v>
      </c>
      <c r="G1500" s="5">
        <v>1470</v>
      </c>
      <c r="H1500" s="5">
        <v>1</v>
      </c>
      <c r="I1500" s="20">
        <f t="shared" si="25"/>
        <v>1470</v>
      </c>
      <c r="J1500" s="6" t="s">
        <v>357</v>
      </c>
    </row>
    <row r="1501" spans="1:10" hidden="1">
      <c r="A1501" s="10">
        <v>44027</v>
      </c>
      <c r="B1501" s="6" t="s">
        <v>2128</v>
      </c>
      <c r="C1501" s="5" t="s">
        <v>2127</v>
      </c>
      <c r="D1501" s="8" t="s">
        <v>2117</v>
      </c>
      <c r="E1501" s="6" t="s">
        <v>1013</v>
      </c>
      <c r="F1501" s="6" t="s">
        <v>2122</v>
      </c>
      <c r="G1501" s="5">
        <v>1640</v>
      </c>
      <c r="H1501" s="5">
        <v>1</v>
      </c>
      <c r="I1501" s="20">
        <f t="shared" si="25"/>
        <v>1640</v>
      </c>
      <c r="J1501" s="6" t="s">
        <v>357</v>
      </c>
    </row>
    <row r="1502" spans="1:10" hidden="1">
      <c r="A1502" s="10">
        <v>44027</v>
      </c>
      <c r="B1502" s="6" t="s">
        <v>2130</v>
      </c>
      <c r="C1502" s="5" t="s">
        <v>2129</v>
      </c>
      <c r="D1502" s="8" t="s">
        <v>2117</v>
      </c>
      <c r="E1502" s="6" t="s">
        <v>1013</v>
      </c>
      <c r="F1502" s="6" t="s">
        <v>2122</v>
      </c>
      <c r="G1502" s="5">
        <v>1840</v>
      </c>
      <c r="H1502" s="5">
        <v>1</v>
      </c>
      <c r="I1502" s="20">
        <f t="shared" si="25"/>
        <v>1840</v>
      </c>
      <c r="J1502" s="6" t="s">
        <v>357</v>
      </c>
    </row>
    <row r="1503" spans="1:10" hidden="1">
      <c r="A1503" s="10">
        <v>44027</v>
      </c>
      <c r="B1503" s="6" t="s">
        <v>2132</v>
      </c>
      <c r="C1503" s="5" t="s">
        <v>2131</v>
      </c>
      <c r="D1503" s="8" t="s">
        <v>2117</v>
      </c>
      <c r="E1503" s="6" t="s">
        <v>1013</v>
      </c>
      <c r="F1503" s="6" t="s">
        <v>2122</v>
      </c>
      <c r="G1503" s="5">
        <v>1980</v>
      </c>
      <c r="H1503" s="5">
        <v>1</v>
      </c>
      <c r="I1503" s="20">
        <f t="shared" si="25"/>
        <v>1980</v>
      </c>
      <c r="J1503" s="6" t="s">
        <v>357</v>
      </c>
    </row>
    <row r="1504" spans="1:10" hidden="1">
      <c r="A1504" s="10">
        <v>44013</v>
      </c>
      <c r="B1504" s="6" t="s">
        <v>2134</v>
      </c>
      <c r="C1504" s="5" t="s">
        <v>2133</v>
      </c>
      <c r="D1504" s="8" t="s">
        <v>2117</v>
      </c>
      <c r="E1504" s="6" t="s">
        <v>1013</v>
      </c>
      <c r="F1504" s="6" t="s">
        <v>2135</v>
      </c>
      <c r="G1504" s="5">
        <v>700</v>
      </c>
      <c r="H1504" s="5">
        <v>1</v>
      </c>
      <c r="I1504" s="20">
        <f t="shared" si="25"/>
        <v>700</v>
      </c>
      <c r="J1504" s="6" t="s">
        <v>357</v>
      </c>
    </row>
    <row r="1505" spans="1:10" hidden="1">
      <c r="A1505" s="10">
        <v>43835</v>
      </c>
      <c r="B1505" s="6" t="s">
        <v>2137</v>
      </c>
      <c r="C1505" s="5" t="s">
        <v>2136</v>
      </c>
      <c r="D1505" s="8" t="s">
        <v>2117</v>
      </c>
      <c r="E1505" s="6" t="s">
        <v>1013</v>
      </c>
      <c r="F1505" s="6" t="s">
        <v>2135</v>
      </c>
      <c r="G1505" s="5">
        <v>752</v>
      </c>
      <c r="H1505" s="5">
        <v>1</v>
      </c>
      <c r="I1505" s="20">
        <f t="shared" si="25"/>
        <v>752</v>
      </c>
      <c r="J1505" s="6" t="s">
        <v>357</v>
      </c>
    </row>
    <row r="1506" spans="1:10" hidden="1">
      <c r="A1506" s="10">
        <v>44027</v>
      </c>
      <c r="B1506" s="6" t="s">
        <v>2139</v>
      </c>
      <c r="C1506" s="5" t="s">
        <v>2138</v>
      </c>
      <c r="D1506" s="8" t="s">
        <v>2117</v>
      </c>
      <c r="E1506" s="6" t="s">
        <v>1013</v>
      </c>
      <c r="F1506" s="6" t="s">
        <v>2135</v>
      </c>
      <c r="G1506" s="5">
        <v>850</v>
      </c>
      <c r="H1506" s="5">
        <v>1</v>
      </c>
      <c r="I1506" s="20">
        <f t="shared" si="25"/>
        <v>850</v>
      </c>
      <c r="J1506" s="6" t="s">
        <v>357</v>
      </c>
    </row>
    <row r="1507" spans="1:10" hidden="1">
      <c r="A1507" s="10">
        <v>43676</v>
      </c>
      <c r="B1507" s="6" t="s">
        <v>2141</v>
      </c>
      <c r="C1507" s="5" t="s">
        <v>2140</v>
      </c>
      <c r="D1507" s="8" t="s">
        <v>2117</v>
      </c>
      <c r="E1507" s="6" t="s">
        <v>1013</v>
      </c>
      <c r="F1507" s="6" t="s">
        <v>2135</v>
      </c>
      <c r="G1507" s="5">
        <v>900</v>
      </c>
      <c r="H1507" s="5">
        <v>1</v>
      </c>
      <c r="I1507" s="20">
        <f t="shared" si="25"/>
        <v>900</v>
      </c>
      <c r="J1507" s="6" t="s">
        <v>357</v>
      </c>
    </row>
    <row r="1508" spans="1:10" hidden="1">
      <c r="A1508" s="10">
        <v>44027</v>
      </c>
      <c r="B1508" s="6" t="s">
        <v>2143</v>
      </c>
      <c r="C1508" s="5" t="s">
        <v>2142</v>
      </c>
      <c r="D1508" s="8" t="s">
        <v>2117</v>
      </c>
      <c r="E1508" s="6" t="s">
        <v>1013</v>
      </c>
      <c r="F1508" s="6" t="s">
        <v>2135</v>
      </c>
      <c r="G1508" s="5">
        <v>900</v>
      </c>
      <c r="H1508" s="5">
        <v>1</v>
      </c>
      <c r="I1508" s="20">
        <f t="shared" si="25"/>
        <v>900</v>
      </c>
      <c r="J1508" s="6" t="s">
        <v>357</v>
      </c>
    </row>
    <row r="1509" spans="1:10" hidden="1">
      <c r="A1509" s="10">
        <v>43676</v>
      </c>
      <c r="B1509" s="6" t="s">
        <v>2145</v>
      </c>
      <c r="C1509" s="5" t="s">
        <v>2144</v>
      </c>
      <c r="D1509" s="8" t="s">
        <v>2117</v>
      </c>
      <c r="E1509" s="6" t="s">
        <v>1013</v>
      </c>
      <c r="F1509" s="6" t="s">
        <v>2135</v>
      </c>
      <c r="G1509" s="5">
        <v>1000</v>
      </c>
      <c r="H1509" s="5">
        <v>1</v>
      </c>
      <c r="I1509" s="20">
        <f t="shared" si="25"/>
        <v>1000</v>
      </c>
      <c r="J1509" s="6" t="s">
        <v>357</v>
      </c>
    </row>
    <row r="1510" spans="1:10" hidden="1">
      <c r="A1510" s="10">
        <v>44021</v>
      </c>
      <c r="B1510" s="6" t="s">
        <v>2147</v>
      </c>
      <c r="C1510" s="5" t="s">
        <v>2146</v>
      </c>
      <c r="D1510" s="8" t="s">
        <v>2117</v>
      </c>
      <c r="E1510" s="6" t="s">
        <v>1013</v>
      </c>
      <c r="F1510" s="6" t="s">
        <v>2119</v>
      </c>
      <c r="G1510" s="5">
        <v>3000</v>
      </c>
      <c r="H1510" s="5">
        <v>1</v>
      </c>
      <c r="I1510" s="20">
        <f t="shared" si="25"/>
        <v>3000</v>
      </c>
      <c r="J1510" s="6" t="s">
        <v>357</v>
      </c>
    </row>
    <row r="1511" spans="1:10" hidden="1">
      <c r="A1511" s="10">
        <v>43676</v>
      </c>
      <c r="B1511" s="6" t="s">
        <v>2149</v>
      </c>
      <c r="C1511" s="5" t="s">
        <v>2148</v>
      </c>
      <c r="D1511" s="8" t="s">
        <v>2117</v>
      </c>
      <c r="E1511" s="6" t="s">
        <v>1013</v>
      </c>
      <c r="F1511" s="6" t="s">
        <v>2119</v>
      </c>
      <c r="G1511" s="5">
        <v>3500</v>
      </c>
      <c r="H1511" s="5">
        <v>1</v>
      </c>
      <c r="I1511" s="20">
        <f t="shared" si="25"/>
        <v>3500</v>
      </c>
      <c r="J1511" s="6" t="s">
        <v>357</v>
      </c>
    </row>
    <row r="1512" spans="1:10" hidden="1">
      <c r="A1512" s="10">
        <v>44021</v>
      </c>
      <c r="B1512" s="6" t="s">
        <v>2151</v>
      </c>
      <c r="C1512" s="5" t="s">
        <v>2150</v>
      </c>
      <c r="D1512" s="8" t="s">
        <v>2117</v>
      </c>
      <c r="E1512" s="6" t="s">
        <v>1013</v>
      </c>
      <c r="F1512" s="6" t="s">
        <v>2119</v>
      </c>
      <c r="G1512" s="5">
        <v>4750</v>
      </c>
      <c r="H1512" s="5">
        <v>1</v>
      </c>
      <c r="I1512" s="20">
        <f t="shared" si="25"/>
        <v>4750</v>
      </c>
      <c r="J1512" s="6" t="s">
        <v>357</v>
      </c>
    </row>
    <row r="1513" spans="1:10" hidden="1">
      <c r="A1513" s="10">
        <v>43676</v>
      </c>
      <c r="B1513" s="6" t="s">
        <v>2153</v>
      </c>
      <c r="C1513" s="5" t="s">
        <v>2152</v>
      </c>
      <c r="D1513" s="8" t="s">
        <v>2117</v>
      </c>
      <c r="E1513" s="6" t="s">
        <v>1013</v>
      </c>
      <c r="F1513" s="6" t="s">
        <v>2119</v>
      </c>
      <c r="G1513" s="5">
        <v>4600</v>
      </c>
      <c r="H1513" s="5">
        <v>1</v>
      </c>
      <c r="I1513" s="20">
        <f t="shared" si="25"/>
        <v>4600</v>
      </c>
      <c r="J1513" s="6" t="s">
        <v>357</v>
      </c>
    </row>
    <row r="1514" spans="1:10" hidden="1">
      <c r="A1514" s="10">
        <v>44021</v>
      </c>
      <c r="B1514" s="6" t="s">
        <v>2155</v>
      </c>
      <c r="C1514" s="5" t="s">
        <v>2154</v>
      </c>
      <c r="D1514" s="8" t="s">
        <v>2117</v>
      </c>
      <c r="E1514" s="6" t="s">
        <v>1013</v>
      </c>
      <c r="F1514" s="6" t="s">
        <v>2119</v>
      </c>
      <c r="G1514" s="5">
        <v>5750</v>
      </c>
      <c r="H1514" s="5">
        <v>1</v>
      </c>
      <c r="I1514" s="20">
        <f t="shared" si="25"/>
        <v>5750</v>
      </c>
      <c r="J1514" s="6" t="s">
        <v>357</v>
      </c>
    </row>
    <row r="1515" spans="1:10" hidden="1">
      <c r="A1515" s="10">
        <v>43994</v>
      </c>
      <c r="B1515" s="6" t="s">
        <v>2157</v>
      </c>
      <c r="C1515" s="5" t="s">
        <v>2156</v>
      </c>
      <c r="D1515" s="8" t="s">
        <v>2117</v>
      </c>
      <c r="E1515" s="6" t="s">
        <v>1013</v>
      </c>
      <c r="F1515" s="6" t="s">
        <v>2119</v>
      </c>
      <c r="G1515" s="5">
        <v>8400</v>
      </c>
      <c r="H1515" s="5">
        <v>1</v>
      </c>
      <c r="I1515" s="20">
        <f t="shared" si="25"/>
        <v>8400</v>
      </c>
      <c r="J1515" s="6" t="s">
        <v>357</v>
      </c>
    </row>
    <row r="1516" spans="1:10" hidden="1">
      <c r="A1516" s="10">
        <v>44021</v>
      </c>
      <c r="B1516" s="6" t="s">
        <v>2159</v>
      </c>
      <c r="C1516" s="5" t="s">
        <v>2158</v>
      </c>
      <c r="D1516" s="8" t="s">
        <v>2117</v>
      </c>
      <c r="E1516" s="6" t="s">
        <v>1013</v>
      </c>
      <c r="F1516" s="6" t="s">
        <v>2119</v>
      </c>
      <c r="G1516" s="5">
        <v>10000</v>
      </c>
      <c r="H1516" s="5">
        <v>1</v>
      </c>
      <c r="I1516" s="20">
        <f t="shared" si="25"/>
        <v>10000</v>
      </c>
      <c r="J1516" s="6" t="s">
        <v>357</v>
      </c>
    </row>
    <row r="1517" spans="1:10" hidden="1">
      <c r="A1517" s="10">
        <v>43835</v>
      </c>
      <c r="B1517" s="6" t="s">
        <v>2162</v>
      </c>
      <c r="C1517" s="5" t="s">
        <v>2160</v>
      </c>
      <c r="D1517" s="8" t="s">
        <v>2161</v>
      </c>
      <c r="E1517" s="6" t="s">
        <v>2163</v>
      </c>
      <c r="F1517" s="6" t="s">
        <v>411</v>
      </c>
      <c r="G1517" s="5">
        <v>4</v>
      </c>
      <c r="H1517" s="5">
        <v>1</v>
      </c>
      <c r="I1517" s="20">
        <f t="shared" si="25"/>
        <v>4</v>
      </c>
      <c r="J1517" s="6" t="s">
        <v>357</v>
      </c>
    </row>
    <row r="1518" spans="1:10" hidden="1">
      <c r="A1518" s="10">
        <v>43835</v>
      </c>
      <c r="B1518" s="6" t="s">
        <v>2165</v>
      </c>
      <c r="C1518" s="5" t="s">
        <v>2164</v>
      </c>
      <c r="D1518" s="8" t="s">
        <v>2161</v>
      </c>
      <c r="E1518" s="6" t="s">
        <v>2163</v>
      </c>
      <c r="F1518" s="6" t="s">
        <v>411</v>
      </c>
      <c r="G1518" s="5">
        <v>4</v>
      </c>
      <c r="H1518" s="5">
        <v>1</v>
      </c>
      <c r="I1518" s="20">
        <f t="shared" si="25"/>
        <v>4</v>
      </c>
      <c r="J1518" s="6" t="s">
        <v>357</v>
      </c>
    </row>
    <row r="1519" spans="1:10" hidden="1">
      <c r="A1519" s="9">
        <v>44848</v>
      </c>
      <c r="B1519" s="6" t="s">
        <v>2167</v>
      </c>
      <c r="C1519" s="5" t="s">
        <v>1949</v>
      </c>
      <c r="D1519" s="8" t="s">
        <v>2166</v>
      </c>
      <c r="E1519" s="6" t="s">
        <v>1912</v>
      </c>
      <c r="F1519" s="6" t="s">
        <v>411</v>
      </c>
      <c r="G1519" s="5">
        <f>870/2</f>
        <v>435</v>
      </c>
      <c r="H1519" s="5">
        <v>1</v>
      </c>
      <c r="I1519" s="20">
        <f t="shared" si="25"/>
        <v>435</v>
      </c>
      <c r="J1519" s="6" t="s">
        <v>357</v>
      </c>
    </row>
    <row r="1520" spans="1:10" hidden="1">
      <c r="A1520" s="10">
        <v>44456</v>
      </c>
      <c r="B1520" s="6" t="s">
        <v>2169</v>
      </c>
      <c r="C1520" s="5" t="s">
        <v>1605</v>
      </c>
      <c r="D1520" s="8" t="s">
        <v>2168</v>
      </c>
      <c r="E1520" s="6" t="s">
        <v>355</v>
      </c>
      <c r="F1520" s="6" t="s">
        <v>2170</v>
      </c>
      <c r="G1520" s="5">
        <f t="shared" ref="G1520:G1551" si="26">0.5*0.9*0.9*0.9*0.9*0.95</f>
        <v>0.31164750000000002</v>
      </c>
      <c r="H1520" s="5">
        <v>11500</v>
      </c>
      <c r="I1520" s="20">
        <f t="shared" si="25"/>
        <v>3583.9462500000004</v>
      </c>
      <c r="J1520" s="6" t="s">
        <v>357</v>
      </c>
    </row>
    <row r="1521" spans="1:10" hidden="1">
      <c r="A1521" s="10">
        <v>44456</v>
      </c>
      <c r="B1521" s="6" t="s">
        <v>2171</v>
      </c>
      <c r="C1521" s="5" t="s">
        <v>1609</v>
      </c>
      <c r="D1521" s="8" t="s">
        <v>2168</v>
      </c>
      <c r="E1521" s="6" t="s">
        <v>355</v>
      </c>
      <c r="F1521" s="6" t="s">
        <v>2170</v>
      </c>
      <c r="G1521" s="5">
        <f t="shared" si="26"/>
        <v>0.31164750000000002</v>
      </c>
      <c r="H1521" s="5">
        <v>11500</v>
      </c>
      <c r="I1521" s="20">
        <f t="shared" si="25"/>
        <v>3583.9462500000004</v>
      </c>
      <c r="J1521" s="6" t="s">
        <v>357</v>
      </c>
    </row>
    <row r="1522" spans="1:10" hidden="1">
      <c r="A1522" s="10">
        <v>44456</v>
      </c>
      <c r="B1522" s="6" t="s">
        <v>2172</v>
      </c>
      <c r="C1522" s="5" t="s">
        <v>1613</v>
      </c>
      <c r="D1522" s="8" t="s">
        <v>2168</v>
      </c>
      <c r="E1522" s="6" t="s">
        <v>355</v>
      </c>
      <c r="F1522" s="6" t="s">
        <v>2170</v>
      </c>
      <c r="G1522" s="5">
        <f t="shared" si="26"/>
        <v>0.31164750000000002</v>
      </c>
      <c r="H1522" s="5">
        <v>13300</v>
      </c>
      <c r="I1522" s="20">
        <f t="shared" si="25"/>
        <v>4144.9117500000002</v>
      </c>
      <c r="J1522" s="6" t="s">
        <v>357</v>
      </c>
    </row>
    <row r="1523" spans="1:10" hidden="1">
      <c r="A1523" s="10">
        <v>44456</v>
      </c>
      <c r="B1523" s="6" t="s">
        <v>2173</v>
      </c>
      <c r="C1523" s="5" t="s">
        <v>1617</v>
      </c>
      <c r="D1523" s="8" t="s">
        <v>2168</v>
      </c>
      <c r="E1523" s="6" t="s">
        <v>355</v>
      </c>
      <c r="F1523" s="6" t="s">
        <v>2170</v>
      </c>
      <c r="G1523" s="5">
        <f t="shared" si="26"/>
        <v>0.31164750000000002</v>
      </c>
      <c r="H1523" s="5">
        <v>13300</v>
      </c>
      <c r="I1523" s="20">
        <f t="shared" si="25"/>
        <v>4144.9117500000002</v>
      </c>
      <c r="J1523" s="6" t="s">
        <v>357</v>
      </c>
    </row>
    <row r="1524" spans="1:10" hidden="1">
      <c r="A1524" s="10">
        <v>44456</v>
      </c>
      <c r="B1524" s="6" t="s">
        <v>2174</v>
      </c>
      <c r="C1524" s="5" t="s">
        <v>1621</v>
      </c>
      <c r="D1524" s="8" t="s">
        <v>2168</v>
      </c>
      <c r="E1524" s="6" t="s">
        <v>355</v>
      </c>
      <c r="F1524" s="6" t="s">
        <v>2170</v>
      </c>
      <c r="G1524" s="5">
        <f t="shared" si="26"/>
        <v>0.31164750000000002</v>
      </c>
      <c r="H1524" s="5">
        <v>14300</v>
      </c>
      <c r="I1524" s="20">
        <f t="shared" si="25"/>
        <v>4456.5592500000002</v>
      </c>
      <c r="J1524" s="6" t="s">
        <v>357</v>
      </c>
    </row>
    <row r="1525" spans="1:10" hidden="1">
      <c r="A1525" s="10">
        <v>44456</v>
      </c>
      <c r="B1525" s="6" t="s">
        <v>2175</v>
      </c>
      <c r="C1525" s="5" t="s">
        <v>1607</v>
      </c>
      <c r="D1525" s="8" t="s">
        <v>2168</v>
      </c>
      <c r="E1525" s="6" t="s">
        <v>355</v>
      </c>
      <c r="F1525" s="6" t="s">
        <v>2170</v>
      </c>
      <c r="G1525" s="5">
        <f t="shared" si="26"/>
        <v>0.31164750000000002</v>
      </c>
      <c r="H1525" s="5">
        <v>13700</v>
      </c>
      <c r="I1525" s="20">
        <f t="shared" si="25"/>
        <v>4269.5707499999999</v>
      </c>
      <c r="J1525" s="6" t="s">
        <v>357</v>
      </c>
    </row>
    <row r="1526" spans="1:10" hidden="1">
      <c r="A1526" s="10">
        <v>44456</v>
      </c>
      <c r="B1526" s="6" t="s">
        <v>2176</v>
      </c>
      <c r="C1526" s="5" t="s">
        <v>1611</v>
      </c>
      <c r="D1526" s="8" t="s">
        <v>2168</v>
      </c>
      <c r="E1526" s="6" t="s">
        <v>355</v>
      </c>
      <c r="F1526" s="6" t="s">
        <v>2170</v>
      </c>
      <c r="G1526" s="5">
        <f t="shared" si="26"/>
        <v>0.31164750000000002</v>
      </c>
      <c r="H1526" s="5">
        <v>13700</v>
      </c>
      <c r="I1526" s="20">
        <f t="shared" si="25"/>
        <v>4269.5707499999999</v>
      </c>
      <c r="J1526" s="6" t="s">
        <v>357</v>
      </c>
    </row>
    <row r="1527" spans="1:10" hidden="1">
      <c r="A1527" s="10">
        <v>44456</v>
      </c>
      <c r="B1527" s="6" t="s">
        <v>2177</v>
      </c>
      <c r="C1527" s="5" t="s">
        <v>1615</v>
      </c>
      <c r="D1527" s="8" t="s">
        <v>2168</v>
      </c>
      <c r="E1527" s="6" t="s">
        <v>355</v>
      </c>
      <c r="F1527" s="6" t="s">
        <v>2170</v>
      </c>
      <c r="G1527" s="5">
        <f t="shared" si="26"/>
        <v>0.31164750000000002</v>
      </c>
      <c r="H1527" s="5">
        <v>16200</v>
      </c>
      <c r="I1527" s="20">
        <f t="shared" si="25"/>
        <v>5048.6895000000004</v>
      </c>
      <c r="J1527" s="6" t="s">
        <v>357</v>
      </c>
    </row>
    <row r="1528" spans="1:10" hidden="1">
      <c r="A1528" s="10">
        <v>44456</v>
      </c>
      <c r="B1528" s="6" t="s">
        <v>2178</v>
      </c>
      <c r="C1528" s="5" t="s">
        <v>1619</v>
      </c>
      <c r="D1528" s="8" t="s">
        <v>2168</v>
      </c>
      <c r="E1528" s="6" t="s">
        <v>355</v>
      </c>
      <c r="F1528" s="6" t="s">
        <v>2170</v>
      </c>
      <c r="G1528" s="5">
        <f t="shared" si="26"/>
        <v>0.31164750000000002</v>
      </c>
      <c r="H1528" s="5">
        <v>16200</v>
      </c>
      <c r="I1528" s="20">
        <f t="shared" si="25"/>
        <v>5048.6895000000004</v>
      </c>
      <c r="J1528" s="6" t="s">
        <v>357</v>
      </c>
    </row>
    <row r="1529" spans="1:10" hidden="1">
      <c r="A1529" s="10">
        <v>44456</v>
      </c>
      <c r="B1529" s="6" t="s">
        <v>2179</v>
      </c>
      <c r="C1529" s="5" t="s">
        <v>1623</v>
      </c>
      <c r="D1529" s="8" t="s">
        <v>2168</v>
      </c>
      <c r="E1529" s="6" t="s">
        <v>355</v>
      </c>
      <c r="F1529" s="6" t="s">
        <v>2170</v>
      </c>
      <c r="G1529" s="5">
        <f t="shared" si="26"/>
        <v>0.31164750000000002</v>
      </c>
      <c r="H1529" s="5">
        <v>17300</v>
      </c>
      <c r="I1529" s="20">
        <f t="shared" si="25"/>
        <v>5391.5017500000004</v>
      </c>
      <c r="J1529" s="6" t="s">
        <v>357</v>
      </c>
    </row>
    <row r="1530" spans="1:10" hidden="1">
      <c r="A1530" s="10">
        <v>44456</v>
      </c>
      <c r="B1530" s="6" t="s">
        <v>2180</v>
      </c>
      <c r="C1530" s="5" t="s">
        <v>1645</v>
      </c>
      <c r="D1530" s="8" t="s">
        <v>2168</v>
      </c>
      <c r="E1530" s="6" t="s">
        <v>355</v>
      </c>
      <c r="F1530" s="6" t="s">
        <v>2170</v>
      </c>
      <c r="G1530" s="5">
        <f t="shared" si="26"/>
        <v>0.31164750000000002</v>
      </c>
      <c r="H1530" s="5">
        <v>21000</v>
      </c>
      <c r="I1530" s="20">
        <f t="shared" si="25"/>
        <v>6544.5975000000008</v>
      </c>
      <c r="J1530" s="6" t="s">
        <v>357</v>
      </c>
    </row>
    <row r="1531" spans="1:10" hidden="1">
      <c r="A1531" s="10">
        <v>44456</v>
      </c>
      <c r="B1531" s="6" t="s">
        <v>2182</v>
      </c>
      <c r="C1531" s="5" t="s">
        <v>2181</v>
      </c>
      <c r="D1531" s="8" t="s">
        <v>2168</v>
      </c>
      <c r="E1531" s="6" t="s">
        <v>355</v>
      </c>
      <c r="F1531" s="6" t="s">
        <v>2170</v>
      </c>
      <c r="G1531" s="5">
        <f t="shared" si="26"/>
        <v>0.31164750000000002</v>
      </c>
      <c r="H1531" s="5">
        <v>24200</v>
      </c>
      <c r="I1531" s="20">
        <f t="shared" si="25"/>
        <v>7541.8695000000007</v>
      </c>
      <c r="J1531" s="6" t="s">
        <v>357</v>
      </c>
    </row>
    <row r="1532" spans="1:10" hidden="1">
      <c r="A1532" s="10">
        <v>44456</v>
      </c>
      <c r="B1532" s="6" t="s">
        <v>2183</v>
      </c>
      <c r="C1532" s="5" t="s">
        <v>1647</v>
      </c>
      <c r="D1532" s="8" t="s">
        <v>2168</v>
      </c>
      <c r="E1532" s="6" t="s">
        <v>355</v>
      </c>
      <c r="F1532" s="6" t="s">
        <v>2170</v>
      </c>
      <c r="G1532" s="5">
        <f t="shared" si="26"/>
        <v>0.31164750000000002</v>
      </c>
      <c r="H1532" s="5">
        <v>25300</v>
      </c>
      <c r="I1532" s="20">
        <f t="shared" si="25"/>
        <v>7884.6817500000006</v>
      </c>
      <c r="J1532" s="6" t="s">
        <v>357</v>
      </c>
    </row>
    <row r="1533" spans="1:10" hidden="1">
      <c r="A1533" s="10">
        <v>44456</v>
      </c>
      <c r="B1533" s="6" t="s">
        <v>2185</v>
      </c>
      <c r="C1533" s="5" t="s">
        <v>2184</v>
      </c>
      <c r="D1533" s="8" t="s">
        <v>2168</v>
      </c>
      <c r="E1533" s="6" t="s">
        <v>355</v>
      </c>
      <c r="F1533" s="6" t="s">
        <v>2170</v>
      </c>
      <c r="G1533" s="5">
        <f t="shared" si="26"/>
        <v>0.31164750000000002</v>
      </c>
      <c r="H1533" s="5">
        <v>28200</v>
      </c>
      <c r="I1533" s="20">
        <f t="shared" si="25"/>
        <v>8788.4595000000008</v>
      </c>
      <c r="J1533" s="6" t="s">
        <v>357</v>
      </c>
    </row>
    <row r="1534" spans="1:10" hidden="1">
      <c r="A1534" s="10">
        <v>44456</v>
      </c>
      <c r="B1534" s="6" t="s">
        <v>2187</v>
      </c>
      <c r="C1534" s="5" t="s">
        <v>2186</v>
      </c>
      <c r="D1534" s="8" t="s">
        <v>2168</v>
      </c>
      <c r="E1534" s="6" t="s">
        <v>355</v>
      </c>
      <c r="F1534" s="6" t="s">
        <v>2170</v>
      </c>
      <c r="G1534" s="5">
        <f t="shared" si="26"/>
        <v>0.31164750000000002</v>
      </c>
      <c r="H1534" s="5">
        <v>33000</v>
      </c>
      <c r="I1534" s="20">
        <f t="shared" si="25"/>
        <v>10284.3675</v>
      </c>
      <c r="J1534" s="6" t="s">
        <v>357</v>
      </c>
    </row>
    <row r="1535" spans="1:10" hidden="1">
      <c r="A1535" s="10">
        <v>44456</v>
      </c>
      <c r="B1535" s="6" t="s">
        <v>2188</v>
      </c>
      <c r="C1535" s="5" t="s">
        <v>1657</v>
      </c>
      <c r="D1535" s="8" t="s">
        <v>2168</v>
      </c>
      <c r="E1535" s="6" t="s">
        <v>355</v>
      </c>
      <c r="F1535" s="6" t="s">
        <v>2170</v>
      </c>
      <c r="G1535" s="5">
        <f t="shared" si="26"/>
        <v>0.31164750000000002</v>
      </c>
      <c r="H1535" s="5">
        <v>36000</v>
      </c>
      <c r="I1535" s="20">
        <f t="shared" si="25"/>
        <v>11219.310000000001</v>
      </c>
      <c r="J1535" s="6" t="s">
        <v>357</v>
      </c>
    </row>
    <row r="1536" spans="1:10" hidden="1">
      <c r="A1536" s="10">
        <v>44456</v>
      </c>
      <c r="B1536" s="6" t="s">
        <v>2190</v>
      </c>
      <c r="C1536" s="5" t="s">
        <v>2189</v>
      </c>
      <c r="D1536" s="8" t="s">
        <v>2168</v>
      </c>
      <c r="E1536" s="6" t="s">
        <v>355</v>
      </c>
      <c r="F1536" s="6" t="s">
        <v>2170</v>
      </c>
      <c r="G1536" s="5">
        <f t="shared" si="26"/>
        <v>0.31164750000000002</v>
      </c>
      <c r="H1536" s="5">
        <v>38800</v>
      </c>
      <c r="I1536" s="20">
        <f t="shared" si="25"/>
        <v>12091.923000000001</v>
      </c>
      <c r="J1536" s="6" t="s">
        <v>357</v>
      </c>
    </row>
    <row r="1537" spans="1:10" hidden="1">
      <c r="A1537" s="10">
        <v>44456</v>
      </c>
      <c r="B1537" s="6" t="s">
        <v>2191</v>
      </c>
      <c r="C1537" s="5" t="s">
        <v>1659</v>
      </c>
      <c r="D1537" s="8" t="s">
        <v>2168</v>
      </c>
      <c r="E1537" s="6" t="s">
        <v>355</v>
      </c>
      <c r="F1537" s="6" t="s">
        <v>2170</v>
      </c>
      <c r="G1537" s="5">
        <f t="shared" si="26"/>
        <v>0.31164750000000002</v>
      </c>
      <c r="H1537" s="5">
        <v>40800</v>
      </c>
      <c r="I1537" s="20">
        <f t="shared" si="25"/>
        <v>12715.218000000001</v>
      </c>
      <c r="J1537" s="6" t="s">
        <v>357</v>
      </c>
    </row>
    <row r="1538" spans="1:10" hidden="1">
      <c r="A1538" s="10">
        <v>44456</v>
      </c>
      <c r="B1538" s="6" t="s">
        <v>2193</v>
      </c>
      <c r="C1538" s="5" t="s">
        <v>2192</v>
      </c>
      <c r="D1538" s="8" t="s">
        <v>2168</v>
      </c>
      <c r="E1538" s="6" t="s">
        <v>355</v>
      </c>
      <c r="F1538" s="6" t="s">
        <v>2170</v>
      </c>
      <c r="G1538" s="5">
        <f t="shared" si="26"/>
        <v>0.31164750000000002</v>
      </c>
      <c r="H1538" s="5">
        <v>98000</v>
      </c>
      <c r="I1538" s="20">
        <f t="shared" si="25"/>
        <v>30541.455000000002</v>
      </c>
      <c r="J1538" s="6" t="s">
        <v>357</v>
      </c>
    </row>
    <row r="1539" spans="1:10" hidden="1">
      <c r="A1539" s="10">
        <v>44456</v>
      </c>
      <c r="B1539" s="6" t="s">
        <v>2195</v>
      </c>
      <c r="C1539" s="5" t="s">
        <v>2194</v>
      </c>
      <c r="D1539" s="8" t="s">
        <v>2168</v>
      </c>
      <c r="E1539" s="6" t="s">
        <v>355</v>
      </c>
      <c r="F1539" s="6" t="s">
        <v>2170</v>
      </c>
      <c r="G1539" s="5">
        <f t="shared" si="26"/>
        <v>0.31164750000000002</v>
      </c>
      <c r="H1539" s="5">
        <v>118000</v>
      </c>
      <c r="I1539" s="20">
        <f t="shared" ref="I1539:I1602" si="27">H1539*G1539</f>
        <v>36774.405000000006</v>
      </c>
      <c r="J1539" s="6" t="s">
        <v>357</v>
      </c>
    </row>
    <row r="1540" spans="1:10" hidden="1">
      <c r="A1540" s="10">
        <v>44456</v>
      </c>
      <c r="B1540" s="6" t="s">
        <v>2197</v>
      </c>
      <c r="C1540" s="5" t="s">
        <v>2196</v>
      </c>
      <c r="D1540" s="8" t="s">
        <v>2168</v>
      </c>
      <c r="E1540" s="6" t="s">
        <v>355</v>
      </c>
      <c r="F1540" s="6" t="s">
        <v>2170</v>
      </c>
      <c r="G1540" s="5">
        <f t="shared" si="26"/>
        <v>0.31164750000000002</v>
      </c>
      <c r="H1540" s="5">
        <v>126600</v>
      </c>
      <c r="I1540" s="20">
        <f t="shared" si="27"/>
        <v>39454.573500000006</v>
      </c>
      <c r="J1540" s="6" t="s">
        <v>357</v>
      </c>
    </row>
    <row r="1541" spans="1:10" hidden="1">
      <c r="A1541" s="10">
        <v>44456</v>
      </c>
      <c r="B1541" s="6" t="s">
        <v>2199</v>
      </c>
      <c r="C1541" s="5" t="s">
        <v>2198</v>
      </c>
      <c r="D1541" s="8" t="s">
        <v>2168</v>
      </c>
      <c r="E1541" s="6" t="s">
        <v>355</v>
      </c>
      <c r="F1541" s="6" t="s">
        <v>2170</v>
      </c>
      <c r="G1541" s="5">
        <f t="shared" si="26"/>
        <v>0.31164750000000002</v>
      </c>
      <c r="H1541" s="5">
        <v>155000</v>
      </c>
      <c r="I1541" s="20">
        <f t="shared" si="27"/>
        <v>48305.362500000003</v>
      </c>
      <c r="J1541" s="6" t="s">
        <v>357</v>
      </c>
    </row>
    <row r="1542" spans="1:10" ht="30" hidden="1">
      <c r="A1542" s="10">
        <v>44456</v>
      </c>
      <c r="B1542" s="6" t="s">
        <v>2201</v>
      </c>
      <c r="C1542" s="14" t="s">
        <v>2200</v>
      </c>
      <c r="D1542" s="23" t="s">
        <v>2168</v>
      </c>
      <c r="E1542" s="6" t="s">
        <v>355</v>
      </c>
      <c r="F1542" s="6" t="s">
        <v>2170</v>
      </c>
      <c r="G1542" s="5">
        <f t="shared" si="26"/>
        <v>0.31164750000000002</v>
      </c>
      <c r="H1542" s="5">
        <v>4200</v>
      </c>
      <c r="I1542" s="20">
        <f t="shared" si="27"/>
        <v>1308.9195000000002</v>
      </c>
      <c r="J1542" s="6" t="s">
        <v>357</v>
      </c>
    </row>
    <row r="1543" spans="1:10" ht="30" hidden="1">
      <c r="A1543" s="10">
        <v>44456</v>
      </c>
      <c r="B1543" s="6" t="s">
        <v>2203</v>
      </c>
      <c r="C1543" s="14" t="s">
        <v>2202</v>
      </c>
      <c r="D1543" s="23" t="s">
        <v>2168</v>
      </c>
      <c r="E1543" s="6" t="s">
        <v>355</v>
      </c>
      <c r="F1543" s="6" t="s">
        <v>2170</v>
      </c>
      <c r="G1543" s="5">
        <f t="shared" si="26"/>
        <v>0.31164750000000002</v>
      </c>
      <c r="H1543" s="5">
        <v>4200</v>
      </c>
      <c r="I1543" s="20">
        <f t="shared" si="27"/>
        <v>1308.9195000000002</v>
      </c>
      <c r="J1543" s="6" t="s">
        <v>357</v>
      </c>
    </row>
    <row r="1544" spans="1:10" ht="30" hidden="1">
      <c r="A1544" s="10">
        <v>44456</v>
      </c>
      <c r="B1544" s="6" t="s">
        <v>2205</v>
      </c>
      <c r="C1544" s="14" t="s">
        <v>2204</v>
      </c>
      <c r="D1544" s="23" t="s">
        <v>2168</v>
      </c>
      <c r="E1544" s="6" t="s">
        <v>355</v>
      </c>
      <c r="F1544" s="6" t="s">
        <v>2170</v>
      </c>
      <c r="G1544" s="5">
        <f t="shared" si="26"/>
        <v>0.31164750000000002</v>
      </c>
      <c r="H1544" s="5">
        <v>4200</v>
      </c>
      <c r="I1544" s="20">
        <f t="shared" si="27"/>
        <v>1308.9195000000002</v>
      </c>
      <c r="J1544" s="6" t="s">
        <v>357</v>
      </c>
    </row>
    <row r="1545" spans="1:10" ht="30" hidden="1">
      <c r="A1545" s="10">
        <v>44456</v>
      </c>
      <c r="B1545" s="6" t="s">
        <v>2207</v>
      </c>
      <c r="C1545" s="14" t="s">
        <v>2206</v>
      </c>
      <c r="D1545" s="23" t="s">
        <v>2168</v>
      </c>
      <c r="E1545" s="6" t="s">
        <v>355</v>
      </c>
      <c r="F1545" s="6" t="s">
        <v>2170</v>
      </c>
      <c r="G1545" s="5">
        <f t="shared" si="26"/>
        <v>0.31164750000000002</v>
      </c>
      <c r="H1545" s="5">
        <v>4200</v>
      </c>
      <c r="I1545" s="20">
        <f t="shared" si="27"/>
        <v>1308.9195000000002</v>
      </c>
      <c r="J1545" s="6" t="s">
        <v>357</v>
      </c>
    </row>
    <row r="1546" spans="1:10" hidden="1">
      <c r="A1546" s="10">
        <v>44456</v>
      </c>
      <c r="B1546" s="6" t="s">
        <v>2209</v>
      </c>
      <c r="C1546" s="14" t="s">
        <v>2208</v>
      </c>
      <c r="D1546" s="23" t="s">
        <v>2168</v>
      </c>
      <c r="E1546" s="6" t="s">
        <v>355</v>
      </c>
      <c r="F1546" s="6" t="s">
        <v>2170</v>
      </c>
      <c r="G1546" s="5">
        <f t="shared" si="26"/>
        <v>0.31164750000000002</v>
      </c>
      <c r="H1546" s="5">
        <v>1300</v>
      </c>
      <c r="I1546" s="20">
        <f t="shared" si="27"/>
        <v>405.14175</v>
      </c>
      <c r="J1546" s="6" t="s">
        <v>357</v>
      </c>
    </row>
    <row r="1547" spans="1:10" ht="30" hidden="1">
      <c r="A1547" s="10">
        <v>44456</v>
      </c>
      <c r="B1547" s="6" t="s">
        <v>2211</v>
      </c>
      <c r="C1547" s="14" t="s">
        <v>2210</v>
      </c>
      <c r="D1547" s="23" t="s">
        <v>2168</v>
      </c>
      <c r="E1547" s="6" t="s">
        <v>355</v>
      </c>
      <c r="F1547" s="6" t="s">
        <v>2170</v>
      </c>
      <c r="G1547" s="5">
        <f t="shared" si="26"/>
        <v>0.31164750000000002</v>
      </c>
      <c r="H1547" s="5">
        <v>1600</v>
      </c>
      <c r="I1547" s="20">
        <f t="shared" si="27"/>
        <v>498.63600000000002</v>
      </c>
      <c r="J1547" s="6" t="s">
        <v>357</v>
      </c>
    </row>
    <row r="1548" spans="1:10" hidden="1">
      <c r="A1548" s="10">
        <v>44456</v>
      </c>
      <c r="B1548" s="6" t="s">
        <v>2213</v>
      </c>
      <c r="C1548" s="14" t="s">
        <v>2212</v>
      </c>
      <c r="D1548" s="23" t="s">
        <v>2168</v>
      </c>
      <c r="E1548" s="6" t="s">
        <v>355</v>
      </c>
      <c r="F1548" s="6" t="s">
        <v>2170</v>
      </c>
      <c r="G1548" s="5">
        <f t="shared" si="26"/>
        <v>0.31164750000000002</v>
      </c>
      <c r="H1548" s="5">
        <v>1300</v>
      </c>
      <c r="I1548" s="20">
        <f t="shared" si="27"/>
        <v>405.14175</v>
      </c>
      <c r="J1548" s="6" t="s">
        <v>357</v>
      </c>
    </row>
    <row r="1549" spans="1:10" ht="30" hidden="1">
      <c r="A1549" s="10">
        <v>44456</v>
      </c>
      <c r="B1549" s="6" t="s">
        <v>2215</v>
      </c>
      <c r="C1549" s="14" t="s">
        <v>2214</v>
      </c>
      <c r="D1549" s="23" t="s">
        <v>2168</v>
      </c>
      <c r="E1549" s="6" t="s">
        <v>355</v>
      </c>
      <c r="F1549" s="6" t="s">
        <v>2170</v>
      </c>
      <c r="G1549" s="5">
        <f t="shared" si="26"/>
        <v>0.31164750000000002</v>
      </c>
      <c r="H1549" s="5">
        <v>1600</v>
      </c>
      <c r="I1549" s="20">
        <f t="shared" si="27"/>
        <v>498.63600000000002</v>
      </c>
      <c r="J1549" s="6" t="s">
        <v>357</v>
      </c>
    </row>
    <row r="1550" spans="1:10" hidden="1">
      <c r="A1550" s="10">
        <v>44456</v>
      </c>
      <c r="B1550" s="6" t="s">
        <v>2217</v>
      </c>
      <c r="C1550" s="14" t="s">
        <v>2216</v>
      </c>
      <c r="D1550" s="23" t="s">
        <v>2168</v>
      </c>
      <c r="E1550" s="6" t="s">
        <v>355</v>
      </c>
      <c r="F1550" s="6" t="s">
        <v>2170</v>
      </c>
      <c r="G1550" s="5">
        <f t="shared" si="26"/>
        <v>0.31164750000000002</v>
      </c>
      <c r="H1550" s="5">
        <v>400</v>
      </c>
      <c r="I1550" s="20">
        <f t="shared" si="27"/>
        <v>124.65900000000001</v>
      </c>
      <c r="J1550" s="6" t="s">
        <v>357</v>
      </c>
    </row>
    <row r="1551" spans="1:10" hidden="1">
      <c r="A1551" s="10">
        <v>44456</v>
      </c>
      <c r="B1551" s="6" t="s">
        <v>2219</v>
      </c>
      <c r="C1551" s="14" t="s">
        <v>2218</v>
      </c>
      <c r="D1551" s="23" t="s">
        <v>2168</v>
      </c>
      <c r="E1551" s="6" t="s">
        <v>355</v>
      </c>
      <c r="F1551" s="6" t="s">
        <v>2170</v>
      </c>
      <c r="G1551" s="5">
        <f t="shared" si="26"/>
        <v>0.31164750000000002</v>
      </c>
      <c r="H1551" s="5">
        <v>400</v>
      </c>
      <c r="I1551" s="20">
        <f t="shared" si="27"/>
        <v>124.65900000000001</v>
      </c>
      <c r="J1551" s="6" t="s">
        <v>357</v>
      </c>
    </row>
    <row r="1552" spans="1:10" hidden="1">
      <c r="A1552" s="10">
        <v>44456</v>
      </c>
      <c r="B1552" s="6" t="s">
        <v>2221</v>
      </c>
      <c r="C1552" s="14" t="s">
        <v>2220</v>
      </c>
      <c r="D1552" s="23" t="s">
        <v>2168</v>
      </c>
      <c r="E1552" s="6" t="s">
        <v>355</v>
      </c>
      <c r="F1552" s="6" t="s">
        <v>2170</v>
      </c>
      <c r="G1552" s="5">
        <f t="shared" ref="G1552:G1583" si="28">0.5*0.9*0.9*0.9*0.9*0.95</f>
        <v>0.31164750000000002</v>
      </c>
      <c r="H1552" s="5">
        <v>550</v>
      </c>
      <c r="I1552" s="20">
        <f t="shared" si="27"/>
        <v>171.406125</v>
      </c>
      <c r="J1552" s="6" t="s">
        <v>357</v>
      </c>
    </row>
    <row r="1553" spans="1:10" hidden="1">
      <c r="A1553" s="10">
        <v>44456</v>
      </c>
      <c r="B1553" s="6" t="s">
        <v>2223</v>
      </c>
      <c r="C1553" s="14" t="s">
        <v>2222</v>
      </c>
      <c r="D1553" s="23" t="s">
        <v>2168</v>
      </c>
      <c r="E1553" s="6" t="s">
        <v>355</v>
      </c>
      <c r="F1553" s="6" t="s">
        <v>2170</v>
      </c>
      <c r="G1553" s="5">
        <f t="shared" si="28"/>
        <v>0.31164750000000002</v>
      </c>
      <c r="H1553" s="5">
        <v>550</v>
      </c>
      <c r="I1553" s="20">
        <f t="shared" si="27"/>
        <v>171.406125</v>
      </c>
      <c r="J1553" s="6" t="s">
        <v>357</v>
      </c>
    </row>
    <row r="1554" spans="1:10" hidden="1">
      <c r="A1554" s="10">
        <v>44456</v>
      </c>
      <c r="B1554" s="6" t="s">
        <v>2225</v>
      </c>
      <c r="C1554" s="14" t="s">
        <v>2224</v>
      </c>
      <c r="D1554" s="23" t="s">
        <v>2168</v>
      </c>
      <c r="E1554" s="6" t="s">
        <v>355</v>
      </c>
      <c r="F1554" s="6" t="s">
        <v>2170</v>
      </c>
      <c r="G1554" s="5">
        <f t="shared" si="28"/>
        <v>0.31164750000000002</v>
      </c>
      <c r="H1554" s="5">
        <v>960</v>
      </c>
      <c r="I1554" s="20">
        <f t="shared" si="27"/>
        <v>299.1816</v>
      </c>
      <c r="J1554" s="6" t="s">
        <v>357</v>
      </c>
    </row>
    <row r="1555" spans="1:10" hidden="1">
      <c r="A1555" s="10">
        <v>44456</v>
      </c>
      <c r="B1555" s="6" t="s">
        <v>2227</v>
      </c>
      <c r="C1555" s="14" t="s">
        <v>2226</v>
      </c>
      <c r="D1555" s="23" t="s">
        <v>2168</v>
      </c>
      <c r="E1555" s="6" t="s">
        <v>355</v>
      </c>
      <c r="F1555" s="6" t="s">
        <v>2170</v>
      </c>
      <c r="G1555" s="5">
        <f t="shared" si="28"/>
        <v>0.31164750000000002</v>
      </c>
      <c r="H1555" s="5">
        <v>960</v>
      </c>
      <c r="I1555" s="20">
        <f t="shared" si="27"/>
        <v>299.1816</v>
      </c>
      <c r="J1555" s="6" t="s">
        <v>357</v>
      </c>
    </row>
    <row r="1556" spans="1:10" hidden="1">
      <c r="A1556" s="10">
        <v>44456</v>
      </c>
      <c r="B1556" s="6" t="s">
        <v>2229</v>
      </c>
      <c r="C1556" s="14" t="s">
        <v>2228</v>
      </c>
      <c r="D1556" s="23" t="s">
        <v>2168</v>
      </c>
      <c r="E1556" s="6" t="s">
        <v>355</v>
      </c>
      <c r="F1556" s="6" t="s">
        <v>2170</v>
      </c>
      <c r="G1556" s="5">
        <f t="shared" si="28"/>
        <v>0.31164750000000002</v>
      </c>
      <c r="H1556" s="5">
        <v>1920</v>
      </c>
      <c r="I1556" s="20">
        <f t="shared" si="27"/>
        <v>598.36320000000001</v>
      </c>
      <c r="J1556" s="6" t="s">
        <v>357</v>
      </c>
    </row>
    <row r="1557" spans="1:10" hidden="1">
      <c r="A1557" s="10">
        <v>44456</v>
      </c>
      <c r="B1557" s="6" t="s">
        <v>2231</v>
      </c>
      <c r="C1557" s="14" t="s">
        <v>2230</v>
      </c>
      <c r="D1557" s="23" t="s">
        <v>2168</v>
      </c>
      <c r="E1557" s="6" t="s">
        <v>355</v>
      </c>
      <c r="F1557" s="6" t="s">
        <v>2170</v>
      </c>
      <c r="G1557" s="5">
        <f t="shared" si="28"/>
        <v>0.31164750000000002</v>
      </c>
      <c r="H1557" s="5">
        <v>1920</v>
      </c>
      <c r="I1557" s="20">
        <f t="shared" si="27"/>
        <v>598.36320000000001</v>
      </c>
      <c r="J1557" s="6" t="s">
        <v>357</v>
      </c>
    </row>
    <row r="1558" spans="1:10" hidden="1">
      <c r="A1558" s="10">
        <v>44456</v>
      </c>
      <c r="B1558" s="6" t="s">
        <v>2233</v>
      </c>
      <c r="C1558" s="14" t="s">
        <v>2232</v>
      </c>
      <c r="D1558" s="23" t="s">
        <v>2168</v>
      </c>
      <c r="E1558" s="6" t="s">
        <v>355</v>
      </c>
      <c r="F1558" s="6" t="s">
        <v>2170</v>
      </c>
      <c r="G1558" s="5">
        <f t="shared" si="28"/>
        <v>0.31164750000000002</v>
      </c>
      <c r="H1558" s="5">
        <v>2880</v>
      </c>
      <c r="I1558" s="20">
        <f t="shared" si="27"/>
        <v>897.54480000000001</v>
      </c>
      <c r="J1558" s="6" t="s">
        <v>357</v>
      </c>
    </row>
    <row r="1559" spans="1:10" hidden="1">
      <c r="A1559" s="10">
        <v>44456</v>
      </c>
      <c r="B1559" s="6" t="s">
        <v>2235</v>
      </c>
      <c r="C1559" s="14" t="s">
        <v>2234</v>
      </c>
      <c r="D1559" s="23" t="s">
        <v>2168</v>
      </c>
      <c r="E1559" s="6" t="s">
        <v>355</v>
      </c>
      <c r="F1559" s="6" t="s">
        <v>2170</v>
      </c>
      <c r="G1559" s="5">
        <f t="shared" si="28"/>
        <v>0.31164750000000002</v>
      </c>
      <c r="H1559" s="5">
        <v>2880</v>
      </c>
      <c r="I1559" s="20">
        <f t="shared" si="27"/>
        <v>897.54480000000001</v>
      </c>
      <c r="J1559" s="6" t="s">
        <v>357</v>
      </c>
    </row>
    <row r="1560" spans="1:10" ht="60" hidden="1">
      <c r="A1560" s="10">
        <v>44456</v>
      </c>
      <c r="B1560" s="6" t="s">
        <v>2237</v>
      </c>
      <c r="C1560" s="15" t="s">
        <v>2236</v>
      </c>
      <c r="D1560" s="28" t="s">
        <v>2168</v>
      </c>
      <c r="E1560" s="6" t="s">
        <v>466</v>
      </c>
      <c r="F1560" s="6" t="s">
        <v>2238</v>
      </c>
      <c r="G1560" s="5">
        <f t="shared" si="28"/>
        <v>0.31164750000000002</v>
      </c>
      <c r="H1560" s="5">
        <v>392</v>
      </c>
      <c r="I1560" s="20">
        <f t="shared" si="27"/>
        <v>122.16582000000001</v>
      </c>
      <c r="J1560" s="6" t="s">
        <v>357</v>
      </c>
    </row>
    <row r="1561" spans="1:10" ht="30" hidden="1">
      <c r="A1561" s="10">
        <v>44456</v>
      </c>
      <c r="B1561" s="6" t="s">
        <v>2240</v>
      </c>
      <c r="C1561" s="15" t="s">
        <v>2239</v>
      </c>
      <c r="D1561" s="28" t="s">
        <v>2168</v>
      </c>
      <c r="E1561" s="6" t="s">
        <v>466</v>
      </c>
      <c r="F1561" s="6" t="s">
        <v>2238</v>
      </c>
      <c r="G1561" s="5">
        <f t="shared" si="28"/>
        <v>0.31164750000000002</v>
      </c>
      <c r="H1561" s="5">
        <v>211</v>
      </c>
      <c r="I1561" s="20">
        <f t="shared" si="27"/>
        <v>65.757622500000011</v>
      </c>
      <c r="J1561" s="6" t="s">
        <v>357</v>
      </c>
    </row>
    <row r="1562" spans="1:10" ht="75" hidden="1">
      <c r="A1562" s="10">
        <v>44456</v>
      </c>
      <c r="B1562" s="6" t="s">
        <v>2242</v>
      </c>
      <c r="C1562" s="15" t="s">
        <v>2241</v>
      </c>
      <c r="D1562" s="28" t="s">
        <v>2168</v>
      </c>
      <c r="E1562" s="6" t="s">
        <v>466</v>
      </c>
      <c r="F1562" s="6" t="s">
        <v>2238</v>
      </c>
      <c r="G1562" s="5">
        <f t="shared" si="28"/>
        <v>0.31164750000000002</v>
      </c>
      <c r="H1562" s="5">
        <v>269</v>
      </c>
      <c r="I1562" s="20">
        <f t="shared" si="27"/>
        <v>83.833177500000005</v>
      </c>
      <c r="J1562" s="6" t="s">
        <v>357</v>
      </c>
    </row>
    <row r="1563" spans="1:10" ht="30" hidden="1">
      <c r="A1563" s="10">
        <v>44456</v>
      </c>
      <c r="B1563" s="6" t="s">
        <v>2244</v>
      </c>
      <c r="C1563" s="15" t="s">
        <v>2243</v>
      </c>
      <c r="D1563" s="28" t="s">
        <v>2168</v>
      </c>
      <c r="E1563" s="6" t="s">
        <v>466</v>
      </c>
      <c r="F1563" s="6" t="s">
        <v>2238</v>
      </c>
      <c r="G1563" s="5">
        <f t="shared" si="28"/>
        <v>0.31164750000000002</v>
      </c>
      <c r="H1563" s="5">
        <v>152</v>
      </c>
      <c r="I1563" s="20">
        <f t="shared" si="27"/>
        <v>47.370420000000003</v>
      </c>
      <c r="J1563" s="6" t="s">
        <v>357</v>
      </c>
    </row>
    <row r="1564" spans="1:10" ht="75" hidden="1">
      <c r="A1564" s="10">
        <v>44456</v>
      </c>
      <c r="B1564" s="6" t="s">
        <v>2246</v>
      </c>
      <c r="C1564" s="15" t="s">
        <v>2245</v>
      </c>
      <c r="D1564" s="28" t="s">
        <v>2168</v>
      </c>
      <c r="E1564" s="6" t="s">
        <v>466</v>
      </c>
      <c r="F1564" s="6" t="s">
        <v>2238</v>
      </c>
      <c r="G1564" s="5">
        <f t="shared" si="28"/>
        <v>0.31164750000000002</v>
      </c>
      <c r="H1564" s="5">
        <v>154</v>
      </c>
      <c r="I1564" s="20">
        <f t="shared" si="27"/>
        <v>47.993715000000002</v>
      </c>
      <c r="J1564" s="6" t="s">
        <v>357</v>
      </c>
    </row>
    <row r="1565" spans="1:10" ht="60" hidden="1">
      <c r="A1565" s="10">
        <v>44456</v>
      </c>
      <c r="B1565" s="6" t="s">
        <v>2248</v>
      </c>
      <c r="C1565" s="15" t="s">
        <v>2247</v>
      </c>
      <c r="D1565" s="28" t="s">
        <v>2168</v>
      </c>
      <c r="E1565" s="6" t="s">
        <v>466</v>
      </c>
      <c r="F1565" s="6" t="s">
        <v>2238</v>
      </c>
      <c r="G1565" s="5">
        <f t="shared" si="28"/>
        <v>0.31164750000000002</v>
      </c>
      <c r="H1565" s="5">
        <v>233</v>
      </c>
      <c r="I1565" s="20">
        <f t="shared" si="27"/>
        <v>72.613867500000012</v>
      </c>
      <c r="J1565" s="6" t="s">
        <v>357</v>
      </c>
    </row>
    <row r="1566" spans="1:10" ht="30" hidden="1">
      <c r="A1566" s="10">
        <v>44456</v>
      </c>
      <c r="B1566" s="6" t="s">
        <v>2250</v>
      </c>
      <c r="C1566" s="15" t="s">
        <v>2249</v>
      </c>
      <c r="D1566" s="28" t="s">
        <v>2168</v>
      </c>
      <c r="E1566" s="6" t="s">
        <v>466</v>
      </c>
      <c r="F1566" s="6" t="s">
        <v>2238</v>
      </c>
      <c r="G1566" s="5">
        <f t="shared" si="28"/>
        <v>0.31164750000000002</v>
      </c>
      <c r="H1566" s="5">
        <v>221</v>
      </c>
      <c r="I1566" s="20">
        <f t="shared" si="27"/>
        <v>68.874097500000005</v>
      </c>
      <c r="J1566" s="6" t="s">
        <v>357</v>
      </c>
    </row>
    <row r="1567" spans="1:10" ht="30" hidden="1">
      <c r="A1567" s="10">
        <v>44456</v>
      </c>
      <c r="B1567" s="6" t="s">
        <v>2252</v>
      </c>
      <c r="C1567" s="15" t="s">
        <v>2251</v>
      </c>
      <c r="D1567" s="28" t="s">
        <v>2168</v>
      </c>
      <c r="E1567" s="6" t="s">
        <v>466</v>
      </c>
      <c r="F1567" s="6" t="s">
        <v>2238</v>
      </c>
      <c r="G1567" s="5">
        <f t="shared" si="28"/>
        <v>0.31164750000000002</v>
      </c>
      <c r="H1567" s="5">
        <v>221</v>
      </c>
      <c r="I1567" s="20">
        <f t="shared" si="27"/>
        <v>68.874097500000005</v>
      </c>
      <c r="J1567" s="6" t="s">
        <v>357</v>
      </c>
    </row>
    <row r="1568" spans="1:10" ht="45" hidden="1">
      <c r="A1568" s="10">
        <v>44456</v>
      </c>
      <c r="B1568" s="6" t="s">
        <v>2254</v>
      </c>
      <c r="C1568" s="15" t="s">
        <v>2253</v>
      </c>
      <c r="D1568" s="28" t="s">
        <v>2168</v>
      </c>
      <c r="E1568" s="6" t="s">
        <v>466</v>
      </c>
      <c r="F1568" s="6" t="s">
        <v>2238</v>
      </c>
      <c r="G1568" s="5">
        <f t="shared" si="28"/>
        <v>0.31164750000000002</v>
      </c>
      <c r="H1568" s="5">
        <v>221</v>
      </c>
      <c r="I1568" s="20">
        <f t="shared" si="27"/>
        <v>68.874097500000005</v>
      </c>
      <c r="J1568" s="6" t="s">
        <v>357</v>
      </c>
    </row>
    <row r="1569" spans="1:10" ht="45" hidden="1">
      <c r="A1569" s="10">
        <v>44456</v>
      </c>
      <c r="B1569" s="6" t="s">
        <v>2256</v>
      </c>
      <c r="C1569" s="15" t="s">
        <v>2255</v>
      </c>
      <c r="D1569" s="28" t="s">
        <v>2168</v>
      </c>
      <c r="E1569" s="6" t="s">
        <v>466</v>
      </c>
      <c r="F1569" s="6" t="s">
        <v>2238</v>
      </c>
      <c r="G1569" s="5">
        <f t="shared" si="28"/>
        <v>0.31164750000000002</v>
      </c>
      <c r="H1569" s="5">
        <v>375</v>
      </c>
      <c r="I1569" s="20">
        <f t="shared" si="27"/>
        <v>116.86781250000001</v>
      </c>
      <c r="J1569" s="6" t="s">
        <v>357</v>
      </c>
    </row>
    <row r="1570" spans="1:10" ht="30" hidden="1">
      <c r="A1570" s="10">
        <v>44456</v>
      </c>
      <c r="B1570" s="6" t="s">
        <v>2258</v>
      </c>
      <c r="C1570" s="15" t="s">
        <v>2257</v>
      </c>
      <c r="D1570" s="28" t="s">
        <v>2168</v>
      </c>
      <c r="E1570" s="6" t="s">
        <v>466</v>
      </c>
      <c r="F1570" s="6" t="s">
        <v>2238</v>
      </c>
      <c r="G1570" s="5">
        <f t="shared" si="28"/>
        <v>0.31164750000000002</v>
      </c>
      <c r="H1570" s="5">
        <v>597</v>
      </c>
      <c r="I1570" s="20">
        <f t="shared" si="27"/>
        <v>186.05355750000001</v>
      </c>
      <c r="J1570" s="6" t="s">
        <v>357</v>
      </c>
    </row>
    <row r="1571" spans="1:10" ht="30" hidden="1">
      <c r="A1571" s="10">
        <v>44456</v>
      </c>
      <c r="B1571" s="6" t="s">
        <v>2260</v>
      </c>
      <c r="C1571" s="15" t="s">
        <v>2259</v>
      </c>
      <c r="D1571" s="28" t="s">
        <v>2168</v>
      </c>
      <c r="E1571" s="6" t="s">
        <v>466</v>
      </c>
      <c r="F1571" s="6" t="s">
        <v>2238</v>
      </c>
      <c r="G1571" s="5">
        <f t="shared" si="28"/>
        <v>0.31164750000000002</v>
      </c>
      <c r="H1571" s="5">
        <v>460</v>
      </c>
      <c r="I1571" s="20">
        <f t="shared" si="27"/>
        <v>143.35785000000001</v>
      </c>
      <c r="J1571" s="6" t="s">
        <v>357</v>
      </c>
    </row>
    <row r="1572" spans="1:10" ht="30" hidden="1">
      <c r="A1572" s="10">
        <v>44456</v>
      </c>
      <c r="B1572" s="6" t="s">
        <v>2262</v>
      </c>
      <c r="C1572" s="15" t="s">
        <v>2261</v>
      </c>
      <c r="D1572" s="28" t="s">
        <v>2168</v>
      </c>
      <c r="E1572" s="6" t="s">
        <v>466</v>
      </c>
      <c r="F1572" s="6" t="s">
        <v>2238</v>
      </c>
      <c r="G1572" s="5">
        <f t="shared" si="28"/>
        <v>0.31164750000000002</v>
      </c>
      <c r="H1572" s="5">
        <v>660</v>
      </c>
      <c r="I1572" s="20">
        <f t="shared" si="27"/>
        <v>205.68735000000001</v>
      </c>
      <c r="J1572" s="6" t="s">
        <v>357</v>
      </c>
    </row>
    <row r="1573" spans="1:10" ht="60" hidden="1">
      <c r="A1573" s="10">
        <v>44456</v>
      </c>
      <c r="B1573" s="6" t="s">
        <v>2264</v>
      </c>
      <c r="C1573" s="15" t="s">
        <v>2263</v>
      </c>
      <c r="D1573" s="28" t="s">
        <v>2168</v>
      </c>
      <c r="E1573" s="6" t="s">
        <v>466</v>
      </c>
      <c r="F1573" s="6" t="s">
        <v>2238</v>
      </c>
      <c r="G1573" s="5">
        <f t="shared" si="28"/>
        <v>0.31164750000000002</v>
      </c>
      <c r="H1573" s="5">
        <v>799</v>
      </c>
      <c r="I1573" s="20">
        <f t="shared" si="27"/>
        <v>249.00635250000002</v>
      </c>
      <c r="J1573" s="6" t="s">
        <v>357</v>
      </c>
    </row>
    <row r="1574" spans="1:10" ht="60" hidden="1">
      <c r="A1574" s="10">
        <v>44456</v>
      </c>
      <c r="B1574" s="6" t="s">
        <v>2266</v>
      </c>
      <c r="C1574" s="15" t="s">
        <v>2265</v>
      </c>
      <c r="D1574" s="28" t="s">
        <v>2168</v>
      </c>
      <c r="E1574" s="6" t="s">
        <v>466</v>
      </c>
      <c r="F1574" s="6" t="s">
        <v>2238</v>
      </c>
      <c r="G1574" s="5">
        <f t="shared" si="28"/>
        <v>0.31164750000000002</v>
      </c>
      <c r="H1574" s="5">
        <v>909</v>
      </c>
      <c r="I1574" s="20">
        <f t="shared" si="27"/>
        <v>283.2875775</v>
      </c>
      <c r="J1574" s="6" t="s">
        <v>357</v>
      </c>
    </row>
    <row r="1575" spans="1:10" ht="30" hidden="1">
      <c r="A1575" s="10">
        <v>44456</v>
      </c>
      <c r="B1575" s="6" t="s">
        <v>2268</v>
      </c>
      <c r="C1575" s="15" t="s">
        <v>2267</v>
      </c>
      <c r="D1575" s="28" t="s">
        <v>2168</v>
      </c>
      <c r="E1575" s="6" t="s">
        <v>466</v>
      </c>
      <c r="F1575" s="6" t="s">
        <v>2238</v>
      </c>
      <c r="G1575" s="5">
        <f t="shared" si="28"/>
        <v>0.31164750000000002</v>
      </c>
      <c r="H1575" s="5">
        <v>639</v>
      </c>
      <c r="I1575" s="20">
        <f t="shared" si="27"/>
        <v>199.1427525</v>
      </c>
      <c r="J1575" s="6" t="s">
        <v>357</v>
      </c>
    </row>
    <row r="1576" spans="1:10" ht="30" hidden="1">
      <c r="A1576" s="10">
        <v>44456</v>
      </c>
      <c r="B1576" s="6" t="s">
        <v>2270</v>
      </c>
      <c r="C1576" s="15" t="s">
        <v>2269</v>
      </c>
      <c r="D1576" s="28" t="s">
        <v>2168</v>
      </c>
      <c r="E1576" s="6" t="s">
        <v>466</v>
      </c>
      <c r="F1576" s="6" t="s">
        <v>2238</v>
      </c>
      <c r="G1576" s="5">
        <f t="shared" si="28"/>
        <v>0.31164750000000002</v>
      </c>
      <c r="H1576" s="5">
        <v>799</v>
      </c>
      <c r="I1576" s="20">
        <f t="shared" si="27"/>
        <v>249.00635250000002</v>
      </c>
      <c r="J1576" s="6" t="s">
        <v>357</v>
      </c>
    </row>
    <row r="1577" spans="1:10" ht="30" hidden="1">
      <c r="A1577" s="10">
        <v>44456</v>
      </c>
      <c r="B1577" s="6" t="s">
        <v>2272</v>
      </c>
      <c r="C1577" s="15" t="s">
        <v>2271</v>
      </c>
      <c r="D1577" s="28" t="s">
        <v>2168</v>
      </c>
      <c r="E1577" s="6" t="s">
        <v>466</v>
      </c>
      <c r="F1577" s="6" t="s">
        <v>2238</v>
      </c>
      <c r="G1577" s="5">
        <f t="shared" si="28"/>
        <v>0.31164750000000002</v>
      </c>
      <c r="H1577" s="5">
        <v>119</v>
      </c>
      <c r="I1577" s="20">
        <f t="shared" si="27"/>
        <v>37.086052500000001</v>
      </c>
      <c r="J1577" s="6" t="s">
        <v>357</v>
      </c>
    </row>
    <row r="1578" spans="1:10" ht="75" hidden="1">
      <c r="A1578" s="10">
        <v>44456</v>
      </c>
      <c r="B1578" s="6" t="s">
        <v>2274</v>
      </c>
      <c r="C1578" s="15" t="s">
        <v>2273</v>
      </c>
      <c r="D1578" s="28" t="s">
        <v>2168</v>
      </c>
      <c r="E1578" s="6" t="s">
        <v>466</v>
      </c>
      <c r="F1578" s="6" t="s">
        <v>2238</v>
      </c>
      <c r="G1578" s="5">
        <f t="shared" si="28"/>
        <v>0.31164750000000002</v>
      </c>
      <c r="H1578" s="5">
        <v>147</v>
      </c>
      <c r="I1578" s="20">
        <f t="shared" si="27"/>
        <v>45.812182500000006</v>
      </c>
      <c r="J1578" s="6" t="s">
        <v>357</v>
      </c>
    </row>
    <row r="1579" spans="1:10" ht="60" hidden="1">
      <c r="A1579" s="10">
        <v>44456</v>
      </c>
      <c r="B1579" s="6" t="s">
        <v>2276</v>
      </c>
      <c r="C1579" s="15" t="s">
        <v>2275</v>
      </c>
      <c r="D1579" s="28" t="s">
        <v>2168</v>
      </c>
      <c r="E1579" s="6" t="s">
        <v>466</v>
      </c>
      <c r="F1579" s="6" t="s">
        <v>2238</v>
      </c>
      <c r="G1579" s="5">
        <f t="shared" si="28"/>
        <v>0.31164750000000002</v>
      </c>
      <c r="H1579" s="5">
        <v>201</v>
      </c>
      <c r="I1579" s="20">
        <f t="shared" si="27"/>
        <v>62.641147500000002</v>
      </c>
      <c r="J1579" s="6" t="s">
        <v>357</v>
      </c>
    </row>
    <row r="1580" spans="1:10" ht="30" hidden="1">
      <c r="A1580" s="10">
        <v>44456</v>
      </c>
      <c r="B1580" s="6" t="s">
        <v>2278</v>
      </c>
      <c r="C1580" s="15" t="s">
        <v>2277</v>
      </c>
      <c r="D1580" s="28" t="s">
        <v>2168</v>
      </c>
      <c r="E1580" s="6" t="s">
        <v>466</v>
      </c>
      <c r="F1580" s="6" t="s">
        <v>2238</v>
      </c>
      <c r="G1580" s="5">
        <f t="shared" si="28"/>
        <v>0.31164750000000002</v>
      </c>
      <c r="H1580" s="5">
        <v>271</v>
      </c>
      <c r="I1580" s="20">
        <f t="shared" si="27"/>
        <v>84.456472500000004</v>
      </c>
      <c r="J1580" s="6" t="s">
        <v>357</v>
      </c>
    </row>
    <row r="1581" spans="1:10" ht="75" hidden="1">
      <c r="A1581" s="10">
        <v>44456</v>
      </c>
      <c r="B1581" s="6" t="s">
        <v>2280</v>
      </c>
      <c r="C1581" s="15" t="s">
        <v>2279</v>
      </c>
      <c r="D1581" s="28" t="s">
        <v>2168</v>
      </c>
      <c r="E1581" s="6" t="s">
        <v>466</v>
      </c>
      <c r="F1581" s="6" t="s">
        <v>2238</v>
      </c>
      <c r="G1581" s="5">
        <f t="shared" si="28"/>
        <v>0.31164750000000002</v>
      </c>
      <c r="H1581" s="5">
        <v>300</v>
      </c>
      <c r="I1581" s="20">
        <f t="shared" si="27"/>
        <v>93.494250000000008</v>
      </c>
      <c r="J1581" s="6" t="s">
        <v>357</v>
      </c>
    </row>
    <row r="1582" spans="1:10" ht="60" hidden="1">
      <c r="A1582" s="10">
        <v>44456</v>
      </c>
      <c r="B1582" s="6" t="s">
        <v>2282</v>
      </c>
      <c r="C1582" s="15" t="s">
        <v>2281</v>
      </c>
      <c r="D1582" s="28" t="s">
        <v>2168</v>
      </c>
      <c r="E1582" s="6" t="s">
        <v>466</v>
      </c>
      <c r="F1582" s="6" t="s">
        <v>2238</v>
      </c>
      <c r="G1582" s="5">
        <f t="shared" si="28"/>
        <v>0.31164750000000002</v>
      </c>
      <c r="H1582" s="5">
        <v>434</v>
      </c>
      <c r="I1582" s="20">
        <f t="shared" si="27"/>
        <v>135.25501500000001</v>
      </c>
      <c r="J1582" s="6" t="s">
        <v>357</v>
      </c>
    </row>
    <row r="1583" spans="1:10" ht="45" hidden="1">
      <c r="A1583" s="10">
        <v>44456</v>
      </c>
      <c r="B1583" s="6" t="s">
        <v>2284</v>
      </c>
      <c r="C1583" s="15" t="s">
        <v>2283</v>
      </c>
      <c r="D1583" s="28" t="s">
        <v>2168</v>
      </c>
      <c r="E1583" s="6" t="s">
        <v>466</v>
      </c>
      <c r="F1583" s="6" t="s">
        <v>2238</v>
      </c>
      <c r="G1583" s="5">
        <f t="shared" si="28"/>
        <v>0.31164750000000002</v>
      </c>
      <c r="H1583" s="5">
        <v>290</v>
      </c>
      <c r="I1583" s="20">
        <f t="shared" si="27"/>
        <v>90.377775</v>
      </c>
      <c r="J1583" s="6" t="s">
        <v>357</v>
      </c>
    </row>
    <row r="1584" spans="1:10" ht="30" hidden="1">
      <c r="A1584" s="10">
        <v>44456</v>
      </c>
      <c r="B1584" s="6" t="s">
        <v>2286</v>
      </c>
      <c r="C1584" s="15" t="s">
        <v>2285</v>
      </c>
      <c r="D1584" s="28" t="s">
        <v>2168</v>
      </c>
      <c r="E1584" s="6" t="s">
        <v>466</v>
      </c>
      <c r="F1584" s="6" t="s">
        <v>2238</v>
      </c>
      <c r="G1584" s="5">
        <f t="shared" ref="G1584:G1615" si="29">0.5*0.9*0.9*0.9*0.9*0.95</f>
        <v>0.31164750000000002</v>
      </c>
      <c r="H1584" s="5">
        <v>206</v>
      </c>
      <c r="I1584" s="20">
        <f t="shared" si="27"/>
        <v>64.199385000000007</v>
      </c>
      <c r="J1584" s="6" t="s">
        <v>357</v>
      </c>
    </row>
    <row r="1585" spans="1:10" ht="45" hidden="1">
      <c r="A1585" s="10">
        <v>44456</v>
      </c>
      <c r="B1585" s="6" t="s">
        <v>2288</v>
      </c>
      <c r="C1585" s="15" t="s">
        <v>2287</v>
      </c>
      <c r="D1585" s="28" t="s">
        <v>2168</v>
      </c>
      <c r="E1585" s="6" t="s">
        <v>466</v>
      </c>
      <c r="F1585" s="6" t="s">
        <v>2238</v>
      </c>
      <c r="G1585" s="5">
        <f t="shared" si="29"/>
        <v>0.31164750000000002</v>
      </c>
      <c r="H1585" s="5">
        <v>120</v>
      </c>
      <c r="I1585" s="20">
        <f t="shared" si="27"/>
        <v>37.3977</v>
      </c>
      <c r="J1585" s="6" t="s">
        <v>357</v>
      </c>
    </row>
    <row r="1586" spans="1:10" ht="30" hidden="1">
      <c r="A1586" s="10">
        <v>44456</v>
      </c>
      <c r="B1586" s="6" t="s">
        <v>2290</v>
      </c>
      <c r="C1586" s="15" t="s">
        <v>2289</v>
      </c>
      <c r="D1586" s="28" t="s">
        <v>2168</v>
      </c>
      <c r="E1586" s="6" t="s">
        <v>466</v>
      </c>
      <c r="F1586" s="6" t="s">
        <v>2238</v>
      </c>
      <c r="G1586" s="5">
        <f t="shared" si="29"/>
        <v>0.31164750000000002</v>
      </c>
      <c r="H1586" s="5">
        <v>126</v>
      </c>
      <c r="I1586" s="20">
        <f t="shared" si="27"/>
        <v>39.267585000000004</v>
      </c>
      <c r="J1586" s="6" t="s">
        <v>357</v>
      </c>
    </row>
    <row r="1587" spans="1:10" ht="30" hidden="1">
      <c r="A1587" s="10">
        <v>44456</v>
      </c>
      <c r="B1587" s="6" t="s">
        <v>2292</v>
      </c>
      <c r="C1587" s="15" t="s">
        <v>2291</v>
      </c>
      <c r="D1587" s="28" t="s">
        <v>2168</v>
      </c>
      <c r="E1587" s="6" t="s">
        <v>466</v>
      </c>
      <c r="F1587" s="6" t="s">
        <v>2238</v>
      </c>
      <c r="G1587" s="5">
        <f t="shared" si="29"/>
        <v>0.31164750000000002</v>
      </c>
      <c r="H1587" s="5">
        <v>221</v>
      </c>
      <c r="I1587" s="20">
        <f t="shared" si="27"/>
        <v>68.874097500000005</v>
      </c>
      <c r="J1587" s="6" t="s">
        <v>357</v>
      </c>
    </row>
    <row r="1588" spans="1:10" ht="45" hidden="1">
      <c r="A1588" s="10">
        <v>44456</v>
      </c>
      <c r="B1588" s="6" t="s">
        <v>2294</v>
      </c>
      <c r="C1588" s="15" t="s">
        <v>2293</v>
      </c>
      <c r="D1588" s="28" t="s">
        <v>2168</v>
      </c>
      <c r="E1588" s="6" t="s">
        <v>466</v>
      </c>
      <c r="F1588" s="6" t="s">
        <v>2238</v>
      </c>
      <c r="G1588" s="5">
        <f t="shared" si="29"/>
        <v>0.31164750000000002</v>
      </c>
      <c r="H1588" s="5">
        <v>430</v>
      </c>
      <c r="I1588" s="20">
        <f t="shared" si="27"/>
        <v>134.00842500000002</v>
      </c>
      <c r="J1588" s="6" t="s">
        <v>357</v>
      </c>
    </row>
    <row r="1589" spans="1:10" ht="30" hidden="1">
      <c r="A1589" s="10">
        <v>44456</v>
      </c>
      <c r="B1589" s="6" t="s">
        <v>2296</v>
      </c>
      <c r="C1589" s="15" t="s">
        <v>2295</v>
      </c>
      <c r="D1589" s="28" t="s">
        <v>2168</v>
      </c>
      <c r="E1589" s="6" t="s">
        <v>466</v>
      </c>
      <c r="F1589" s="6" t="s">
        <v>2238</v>
      </c>
      <c r="G1589" s="5">
        <f t="shared" si="29"/>
        <v>0.31164750000000002</v>
      </c>
      <c r="H1589" s="5">
        <v>634</v>
      </c>
      <c r="I1589" s="20">
        <f t="shared" si="27"/>
        <v>197.58451500000001</v>
      </c>
      <c r="J1589" s="6" t="s">
        <v>357</v>
      </c>
    </row>
    <row r="1590" spans="1:10" ht="45" hidden="1">
      <c r="A1590" s="10">
        <v>44456</v>
      </c>
      <c r="B1590" s="6" t="s">
        <v>2298</v>
      </c>
      <c r="C1590" s="15" t="s">
        <v>2297</v>
      </c>
      <c r="D1590" s="28" t="s">
        <v>2168</v>
      </c>
      <c r="E1590" s="6" t="s">
        <v>466</v>
      </c>
      <c r="F1590" s="6" t="s">
        <v>2238</v>
      </c>
      <c r="G1590" s="5">
        <f t="shared" si="29"/>
        <v>0.31164750000000002</v>
      </c>
      <c r="H1590" s="5">
        <v>120</v>
      </c>
      <c r="I1590" s="20">
        <f t="shared" si="27"/>
        <v>37.3977</v>
      </c>
      <c r="J1590" s="6" t="s">
        <v>357</v>
      </c>
    </row>
    <row r="1591" spans="1:10" ht="45" hidden="1">
      <c r="A1591" s="10">
        <v>44456</v>
      </c>
      <c r="B1591" s="6" t="s">
        <v>2300</v>
      </c>
      <c r="C1591" s="15" t="s">
        <v>2299</v>
      </c>
      <c r="D1591" s="28" t="s">
        <v>2168</v>
      </c>
      <c r="E1591" s="6" t="s">
        <v>466</v>
      </c>
      <c r="F1591" s="6" t="s">
        <v>2238</v>
      </c>
      <c r="G1591" s="5">
        <f t="shared" si="29"/>
        <v>0.31164750000000002</v>
      </c>
      <c r="H1591" s="5">
        <v>240</v>
      </c>
      <c r="I1591" s="20">
        <f t="shared" si="27"/>
        <v>74.795400000000001</v>
      </c>
      <c r="J1591" s="6" t="s">
        <v>357</v>
      </c>
    </row>
    <row r="1592" spans="1:10" ht="30" hidden="1">
      <c r="A1592" s="10">
        <v>44456</v>
      </c>
      <c r="B1592" s="6" t="s">
        <v>2302</v>
      </c>
      <c r="C1592" s="15" t="s">
        <v>2301</v>
      </c>
      <c r="D1592" s="28" t="s">
        <v>2168</v>
      </c>
      <c r="E1592" s="6" t="s">
        <v>466</v>
      </c>
      <c r="F1592" s="6" t="s">
        <v>2238</v>
      </c>
      <c r="G1592" s="5">
        <f t="shared" si="29"/>
        <v>0.31164750000000002</v>
      </c>
      <c r="H1592" s="5">
        <v>246</v>
      </c>
      <c r="I1592" s="20">
        <f t="shared" si="27"/>
        <v>76.665285000000011</v>
      </c>
      <c r="J1592" s="6" t="s">
        <v>357</v>
      </c>
    </row>
    <row r="1593" spans="1:10" ht="30" hidden="1">
      <c r="A1593" s="10">
        <v>44456</v>
      </c>
      <c r="B1593" s="6" t="s">
        <v>2304</v>
      </c>
      <c r="C1593" s="15" t="s">
        <v>2303</v>
      </c>
      <c r="D1593" s="28" t="s">
        <v>2168</v>
      </c>
      <c r="E1593" s="6" t="s">
        <v>466</v>
      </c>
      <c r="F1593" s="6" t="s">
        <v>2238</v>
      </c>
      <c r="G1593" s="5">
        <f t="shared" si="29"/>
        <v>0.31164750000000002</v>
      </c>
      <c r="H1593" s="5">
        <v>119</v>
      </c>
      <c r="I1593" s="20">
        <f t="shared" si="27"/>
        <v>37.086052500000001</v>
      </c>
      <c r="J1593" s="6" t="s">
        <v>357</v>
      </c>
    </row>
    <row r="1594" spans="1:10" ht="30" hidden="1">
      <c r="A1594" s="10">
        <v>44456</v>
      </c>
      <c r="B1594" s="6" t="s">
        <v>2306</v>
      </c>
      <c r="C1594" s="15" t="s">
        <v>2305</v>
      </c>
      <c r="D1594" s="28" t="s">
        <v>2168</v>
      </c>
      <c r="E1594" s="6" t="s">
        <v>466</v>
      </c>
      <c r="F1594" s="6" t="s">
        <v>2238</v>
      </c>
      <c r="G1594" s="5">
        <f t="shared" si="29"/>
        <v>0.31164750000000002</v>
      </c>
      <c r="H1594" s="5">
        <v>221</v>
      </c>
      <c r="I1594" s="20">
        <f t="shared" si="27"/>
        <v>68.874097500000005</v>
      </c>
      <c r="J1594" s="6" t="s">
        <v>357</v>
      </c>
    </row>
    <row r="1595" spans="1:10" hidden="1">
      <c r="A1595" s="10">
        <v>44456</v>
      </c>
      <c r="B1595" s="6" t="s">
        <v>2308</v>
      </c>
      <c r="C1595" s="14" t="s">
        <v>2307</v>
      </c>
      <c r="D1595" s="23" t="s">
        <v>2168</v>
      </c>
      <c r="E1595" s="6" t="s">
        <v>355</v>
      </c>
      <c r="F1595" s="6" t="s">
        <v>2170</v>
      </c>
      <c r="G1595" s="5">
        <f t="shared" si="29"/>
        <v>0.31164750000000002</v>
      </c>
      <c r="H1595" s="5">
        <v>4800</v>
      </c>
      <c r="I1595" s="20">
        <f t="shared" si="27"/>
        <v>1495.9080000000001</v>
      </c>
      <c r="J1595" s="6" t="s">
        <v>357</v>
      </c>
    </row>
    <row r="1596" spans="1:10" hidden="1">
      <c r="A1596" s="10">
        <v>44456</v>
      </c>
      <c r="B1596" s="6" t="s">
        <v>2310</v>
      </c>
      <c r="C1596" s="14" t="s">
        <v>2309</v>
      </c>
      <c r="D1596" s="23" t="s">
        <v>2168</v>
      </c>
      <c r="E1596" s="6" t="s">
        <v>355</v>
      </c>
      <c r="F1596" s="6" t="s">
        <v>2170</v>
      </c>
      <c r="G1596" s="5">
        <f t="shared" si="29"/>
        <v>0.31164750000000002</v>
      </c>
      <c r="H1596" s="5">
        <v>6200</v>
      </c>
      <c r="I1596" s="20">
        <f t="shared" si="27"/>
        <v>1932.2145</v>
      </c>
      <c r="J1596" s="6" t="s">
        <v>357</v>
      </c>
    </row>
    <row r="1597" spans="1:10" ht="30" hidden="1">
      <c r="A1597" s="10">
        <v>44456</v>
      </c>
      <c r="B1597" s="6" t="s">
        <v>2312</v>
      </c>
      <c r="C1597" s="5" t="s">
        <v>2311</v>
      </c>
      <c r="D1597" s="8" t="s">
        <v>2168</v>
      </c>
      <c r="E1597" s="6" t="s">
        <v>466</v>
      </c>
      <c r="F1597" s="6" t="s">
        <v>2238</v>
      </c>
      <c r="G1597" s="5">
        <f t="shared" si="29"/>
        <v>0.31164750000000002</v>
      </c>
      <c r="H1597" s="5">
        <v>161</v>
      </c>
      <c r="I1597" s="20">
        <f t="shared" si="27"/>
        <v>50.175247500000005</v>
      </c>
      <c r="J1597" s="6" t="s">
        <v>357</v>
      </c>
    </row>
    <row r="1598" spans="1:10" ht="30" hidden="1">
      <c r="A1598" s="10">
        <v>44456</v>
      </c>
      <c r="B1598" s="6" t="s">
        <v>2314</v>
      </c>
      <c r="C1598" s="5" t="s">
        <v>2313</v>
      </c>
      <c r="D1598" s="8" t="s">
        <v>2168</v>
      </c>
      <c r="E1598" s="6" t="s">
        <v>466</v>
      </c>
      <c r="F1598" s="6" t="s">
        <v>2238</v>
      </c>
      <c r="G1598" s="5">
        <f t="shared" si="29"/>
        <v>0.31164750000000002</v>
      </c>
      <c r="H1598" s="5">
        <v>193</v>
      </c>
      <c r="I1598" s="20">
        <f t="shared" si="27"/>
        <v>60.147967500000007</v>
      </c>
      <c r="J1598" s="6" t="s">
        <v>357</v>
      </c>
    </row>
    <row r="1599" spans="1:10" ht="30" hidden="1">
      <c r="A1599" s="10">
        <v>44456</v>
      </c>
      <c r="B1599" s="6" t="s">
        <v>2316</v>
      </c>
      <c r="C1599" s="5" t="s">
        <v>2315</v>
      </c>
      <c r="D1599" s="8" t="s">
        <v>2168</v>
      </c>
      <c r="E1599" s="6" t="s">
        <v>466</v>
      </c>
      <c r="F1599" s="6" t="s">
        <v>2238</v>
      </c>
      <c r="G1599" s="5">
        <f t="shared" si="29"/>
        <v>0.31164750000000002</v>
      </c>
      <c r="H1599" s="5">
        <v>190</v>
      </c>
      <c r="I1599" s="20">
        <f t="shared" si="27"/>
        <v>59.213025000000002</v>
      </c>
      <c r="J1599" s="6" t="s">
        <v>357</v>
      </c>
    </row>
    <row r="1600" spans="1:10" ht="30" hidden="1">
      <c r="A1600" s="10">
        <v>44456</v>
      </c>
      <c r="B1600" s="6" t="s">
        <v>2318</v>
      </c>
      <c r="C1600" s="5" t="s">
        <v>2317</v>
      </c>
      <c r="D1600" s="8" t="s">
        <v>2168</v>
      </c>
      <c r="E1600" s="6" t="s">
        <v>466</v>
      </c>
      <c r="F1600" s="6" t="s">
        <v>2238</v>
      </c>
      <c r="G1600" s="5">
        <f t="shared" si="29"/>
        <v>0.31164750000000002</v>
      </c>
      <c r="H1600" s="5">
        <v>231</v>
      </c>
      <c r="I1600" s="20">
        <f t="shared" si="27"/>
        <v>71.990572499999999</v>
      </c>
      <c r="J1600" s="6" t="s">
        <v>357</v>
      </c>
    </row>
    <row r="1601" spans="1:10" ht="30" hidden="1">
      <c r="A1601" s="10">
        <v>44456</v>
      </c>
      <c r="B1601" s="6" t="s">
        <v>2320</v>
      </c>
      <c r="C1601" s="5" t="s">
        <v>2319</v>
      </c>
      <c r="D1601" s="8" t="s">
        <v>2168</v>
      </c>
      <c r="E1601" s="6" t="s">
        <v>466</v>
      </c>
      <c r="F1601" s="6" t="s">
        <v>2238</v>
      </c>
      <c r="G1601" s="5">
        <f t="shared" si="29"/>
        <v>0.31164750000000002</v>
      </c>
      <c r="H1601" s="5">
        <v>206</v>
      </c>
      <c r="I1601" s="20">
        <f t="shared" si="27"/>
        <v>64.199385000000007</v>
      </c>
      <c r="J1601" s="6" t="s">
        <v>357</v>
      </c>
    </row>
    <row r="1602" spans="1:10" ht="30" hidden="1">
      <c r="A1602" s="10">
        <v>44456</v>
      </c>
      <c r="B1602" s="6" t="s">
        <v>2322</v>
      </c>
      <c r="C1602" s="5" t="s">
        <v>2321</v>
      </c>
      <c r="D1602" s="8" t="s">
        <v>2168</v>
      </c>
      <c r="E1602" s="6" t="s">
        <v>466</v>
      </c>
      <c r="F1602" s="6" t="s">
        <v>2238</v>
      </c>
      <c r="G1602" s="5">
        <f t="shared" si="29"/>
        <v>0.31164750000000002</v>
      </c>
      <c r="H1602" s="5">
        <v>241</v>
      </c>
      <c r="I1602" s="20">
        <f t="shared" si="27"/>
        <v>75.107047500000007</v>
      </c>
      <c r="J1602" s="6" t="s">
        <v>357</v>
      </c>
    </row>
    <row r="1603" spans="1:10" ht="30" hidden="1">
      <c r="A1603" s="10">
        <v>44456</v>
      </c>
      <c r="B1603" s="6" t="s">
        <v>2324</v>
      </c>
      <c r="C1603" s="5" t="s">
        <v>2323</v>
      </c>
      <c r="D1603" s="8" t="s">
        <v>2168</v>
      </c>
      <c r="E1603" s="6" t="s">
        <v>466</v>
      </c>
      <c r="F1603" s="6" t="s">
        <v>2238</v>
      </c>
      <c r="G1603" s="5">
        <f t="shared" si="29"/>
        <v>0.31164750000000002</v>
      </c>
      <c r="H1603" s="5">
        <v>241</v>
      </c>
      <c r="I1603" s="20">
        <f t="shared" ref="I1603:I1666" si="30">H1603*G1603</f>
        <v>75.107047500000007</v>
      </c>
      <c r="J1603" s="6" t="s">
        <v>357</v>
      </c>
    </row>
    <row r="1604" spans="1:10" ht="30" hidden="1">
      <c r="A1604" s="10">
        <v>44456</v>
      </c>
      <c r="B1604" s="6" t="s">
        <v>2326</v>
      </c>
      <c r="C1604" s="5" t="s">
        <v>2325</v>
      </c>
      <c r="D1604" s="8" t="s">
        <v>2168</v>
      </c>
      <c r="E1604" s="6" t="s">
        <v>466</v>
      </c>
      <c r="F1604" s="6" t="s">
        <v>2238</v>
      </c>
      <c r="G1604" s="5">
        <f t="shared" si="29"/>
        <v>0.31164750000000002</v>
      </c>
      <c r="H1604" s="5">
        <v>295</v>
      </c>
      <c r="I1604" s="20">
        <f t="shared" si="30"/>
        <v>91.936012500000004</v>
      </c>
      <c r="J1604" s="6" t="s">
        <v>357</v>
      </c>
    </row>
    <row r="1605" spans="1:10" ht="30" hidden="1">
      <c r="A1605" s="10">
        <v>44456</v>
      </c>
      <c r="B1605" s="6" t="s">
        <v>2328</v>
      </c>
      <c r="C1605" s="5" t="s">
        <v>2327</v>
      </c>
      <c r="D1605" s="8" t="s">
        <v>2168</v>
      </c>
      <c r="E1605" s="6" t="s">
        <v>466</v>
      </c>
      <c r="F1605" s="6" t="s">
        <v>2238</v>
      </c>
      <c r="G1605" s="5">
        <f t="shared" si="29"/>
        <v>0.31164750000000002</v>
      </c>
      <c r="H1605" s="5">
        <v>319</v>
      </c>
      <c r="I1605" s="20">
        <f t="shared" si="30"/>
        <v>99.415552500000004</v>
      </c>
      <c r="J1605" s="6" t="s">
        <v>357</v>
      </c>
    </row>
    <row r="1606" spans="1:10" ht="30" hidden="1">
      <c r="A1606" s="10">
        <v>44456</v>
      </c>
      <c r="B1606" s="6" t="s">
        <v>2330</v>
      </c>
      <c r="C1606" s="5" t="s">
        <v>2329</v>
      </c>
      <c r="D1606" s="8" t="s">
        <v>2168</v>
      </c>
      <c r="E1606" s="6" t="s">
        <v>466</v>
      </c>
      <c r="F1606" s="6" t="s">
        <v>2238</v>
      </c>
      <c r="G1606" s="5">
        <f t="shared" si="29"/>
        <v>0.31164750000000002</v>
      </c>
      <c r="H1606" s="5">
        <v>320</v>
      </c>
      <c r="I1606" s="20">
        <f t="shared" si="30"/>
        <v>99.727200000000011</v>
      </c>
      <c r="J1606" s="6" t="s">
        <v>357</v>
      </c>
    </row>
    <row r="1607" spans="1:10" ht="30" hidden="1">
      <c r="A1607" s="10">
        <v>44456</v>
      </c>
      <c r="B1607" s="6" t="s">
        <v>2332</v>
      </c>
      <c r="C1607" s="5" t="s">
        <v>2331</v>
      </c>
      <c r="D1607" s="8" t="s">
        <v>2168</v>
      </c>
      <c r="E1607" s="6" t="s">
        <v>466</v>
      </c>
      <c r="F1607" s="6" t="s">
        <v>2238</v>
      </c>
      <c r="G1607" s="5">
        <f t="shared" si="29"/>
        <v>0.31164750000000002</v>
      </c>
      <c r="H1607" s="5">
        <v>199</v>
      </c>
      <c r="I1607" s="20">
        <f t="shared" si="30"/>
        <v>62.017852500000004</v>
      </c>
      <c r="J1607" s="6" t="s">
        <v>357</v>
      </c>
    </row>
    <row r="1608" spans="1:10" ht="30" hidden="1">
      <c r="A1608" s="10">
        <v>44456</v>
      </c>
      <c r="B1608" s="6" t="s">
        <v>2334</v>
      </c>
      <c r="C1608" s="5" t="s">
        <v>2333</v>
      </c>
      <c r="D1608" s="8" t="s">
        <v>2168</v>
      </c>
      <c r="E1608" s="6" t="s">
        <v>466</v>
      </c>
      <c r="F1608" s="6" t="s">
        <v>2238</v>
      </c>
      <c r="G1608" s="5">
        <f t="shared" si="29"/>
        <v>0.31164750000000002</v>
      </c>
      <c r="H1608" s="5">
        <v>263</v>
      </c>
      <c r="I1608" s="20">
        <f t="shared" si="30"/>
        <v>81.963292500000009</v>
      </c>
      <c r="J1608" s="6" t="s">
        <v>357</v>
      </c>
    </row>
    <row r="1609" spans="1:10" ht="30" hidden="1">
      <c r="A1609" s="10">
        <v>44456</v>
      </c>
      <c r="B1609" s="6" t="s">
        <v>2336</v>
      </c>
      <c r="C1609" s="5" t="s">
        <v>2335</v>
      </c>
      <c r="D1609" s="8" t="s">
        <v>2168</v>
      </c>
      <c r="E1609" s="6" t="s">
        <v>466</v>
      </c>
      <c r="F1609" s="6" t="s">
        <v>2238</v>
      </c>
      <c r="G1609" s="5">
        <f t="shared" si="29"/>
        <v>0.31164750000000002</v>
      </c>
      <c r="H1609" s="5">
        <v>295</v>
      </c>
      <c r="I1609" s="20">
        <f t="shared" si="30"/>
        <v>91.936012500000004</v>
      </c>
      <c r="J1609" s="6" t="s">
        <v>357</v>
      </c>
    </row>
    <row r="1610" spans="1:10" ht="30" hidden="1">
      <c r="A1610" s="10">
        <v>44456</v>
      </c>
      <c r="B1610" s="6" t="s">
        <v>2338</v>
      </c>
      <c r="C1610" s="5" t="s">
        <v>2337</v>
      </c>
      <c r="D1610" s="8" t="s">
        <v>2168</v>
      </c>
      <c r="E1610" s="6" t="s">
        <v>466</v>
      </c>
      <c r="F1610" s="6" t="s">
        <v>2238</v>
      </c>
      <c r="G1610" s="5">
        <f t="shared" si="29"/>
        <v>0.31164750000000002</v>
      </c>
      <c r="H1610" s="5">
        <v>319</v>
      </c>
      <c r="I1610" s="20">
        <f t="shared" si="30"/>
        <v>99.415552500000004</v>
      </c>
      <c r="J1610" s="6" t="s">
        <v>357</v>
      </c>
    </row>
    <row r="1611" spans="1:10" ht="30" hidden="1">
      <c r="A1611" s="10">
        <v>44456</v>
      </c>
      <c r="B1611" s="6" t="s">
        <v>2340</v>
      </c>
      <c r="C1611" s="5" t="s">
        <v>2339</v>
      </c>
      <c r="D1611" s="8" t="s">
        <v>2168</v>
      </c>
      <c r="E1611" s="6" t="s">
        <v>466</v>
      </c>
      <c r="F1611" s="6" t="s">
        <v>2238</v>
      </c>
      <c r="G1611" s="5">
        <f t="shared" si="29"/>
        <v>0.31164750000000002</v>
      </c>
      <c r="H1611" s="5">
        <v>320</v>
      </c>
      <c r="I1611" s="20">
        <f t="shared" si="30"/>
        <v>99.727200000000011</v>
      </c>
      <c r="J1611" s="6" t="s">
        <v>357</v>
      </c>
    </row>
    <row r="1612" spans="1:10" ht="30" hidden="1">
      <c r="A1612" s="10">
        <v>44456</v>
      </c>
      <c r="B1612" s="6" t="s">
        <v>2342</v>
      </c>
      <c r="C1612" s="5" t="s">
        <v>2341</v>
      </c>
      <c r="D1612" s="8" t="s">
        <v>2168</v>
      </c>
      <c r="E1612" s="6" t="s">
        <v>466</v>
      </c>
      <c r="F1612" s="6" t="s">
        <v>2238</v>
      </c>
      <c r="G1612" s="5">
        <f t="shared" si="29"/>
        <v>0.31164750000000002</v>
      </c>
      <c r="H1612" s="5">
        <v>199</v>
      </c>
      <c r="I1612" s="20">
        <f t="shared" si="30"/>
        <v>62.017852500000004</v>
      </c>
      <c r="J1612" s="6" t="s">
        <v>357</v>
      </c>
    </row>
    <row r="1613" spans="1:10" ht="30" hidden="1">
      <c r="A1613" s="10">
        <v>44456</v>
      </c>
      <c r="B1613" s="6" t="s">
        <v>2344</v>
      </c>
      <c r="C1613" s="5" t="s">
        <v>2343</v>
      </c>
      <c r="D1613" s="8" t="s">
        <v>2168</v>
      </c>
      <c r="E1613" s="6" t="s">
        <v>466</v>
      </c>
      <c r="F1613" s="6" t="s">
        <v>2238</v>
      </c>
      <c r="G1613" s="5">
        <f t="shared" si="29"/>
        <v>0.31164750000000002</v>
      </c>
      <c r="H1613" s="5">
        <v>263</v>
      </c>
      <c r="I1613" s="20">
        <f t="shared" si="30"/>
        <v>81.963292500000009</v>
      </c>
      <c r="J1613" s="6" t="s">
        <v>357</v>
      </c>
    </row>
    <row r="1614" spans="1:10" ht="30" hidden="1">
      <c r="A1614" s="10">
        <v>44456</v>
      </c>
      <c r="B1614" s="6" t="s">
        <v>2346</v>
      </c>
      <c r="C1614" s="5" t="s">
        <v>2345</v>
      </c>
      <c r="D1614" s="8" t="s">
        <v>2168</v>
      </c>
      <c r="E1614" s="6" t="s">
        <v>466</v>
      </c>
      <c r="F1614" s="6" t="s">
        <v>2238</v>
      </c>
      <c r="G1614" s="5">
        <f t="shared" si="29"/>
        <v>0.31164750000000002</v>
      </c>
      <c r="H1614" s="5">
        <v>364</v>
      </c>
      <c r="I1614" s="20">
        <f t="shared" si="30"/>
        <v>113.43969000000001</v>
      </c>
      <c r="J1614" s="6" t="s">
        <v>357</v>
      </c>
    </row>
    <row r="1615" spans="1:10" ht="30" hidden="1">
      <c r="A1615" s="10">
        <v>44456</v>
      </c>
      <c r="B1615" s="6" t="s">
        <v>2348</v>
      </c>
      <c r="C1615" s="5" t="s">
        <v>2347</v>
      </c>
      <c r="D1615" s="8" t="s">
        <v>2168</v>
      </c>
      <c r="E1615" s="6" t="s">
        <v>466</v>
      </c>
      <c r="F1615" s="6" t="s">
        <v>2238</v>
      </c>
      <c r="G1615" s="5">
        <f t="shared" si="29"/>
        <v>0.31164750000000002</v>
      </c>
      <c r="H1615" s="5">
        <v>386</v>
      </c>
      <c r="I1615" s="20">
        <f t="shared" si="30"/>
        <v>120.29593500000001</v>
      </c>
      <c r="J1615" s="6" t="s">
        <v>357</v>
      </c>
    </row>
    <row r="1616" spans="1:10" ht="30" hidden="1">
      <c r="A1616" s="10">
        <v>44456</v>
      </c>
      <c r="B1616" s="6" t="s">
        <v>2350</v>
      </c>
      <c r="C1616" s="5" t="s">
        <v>2349</v>
      </c>
      <c r="D1616" s="8" t="s">
        <v>2168</v>
      </c>
      <c r="E1616" s="6" t="s">
        <v>466</v>
      </c>
      <c r="F1616" s="6" t="s">
        <v>2238</v>
      </c>
      <c r="G1616" s="5">
        <f t="shared" ref="G1616:G1649" si="31">0.5*0.9*0.9*0.9*0.9*0.95</f>
        <v>0.31164750000000002</v>
      </c>
      <c r="H1616" s="5">
        <v>415</v>
      </c>
      <c r="I1616" s="20">
        <f t="shared" si="30"/>
        <v>129.33371250000002</v>
      </c>
      <c r="J1616" s="6" t="s">
        <v>357</v>
      </c>
    </row>
    <row r="1617" spans="1:10" ht="30" hidden="1">
      <c r="A1617" s="10">
        <v>44456</v>
      </c>
      <c r="B1617" s="6" t="s">
        <v>2352</v>
      </c>
      <c r="C1617" s="5" t="s">
        <v>2351</v>
      </c>
      <c r="D1617" s="8" t="s">
        <v>2168</v>
      </c>
      <c r="E1617" s="6" t="s">
        <v>466</v>
      </c>
      <c r="F1617" s="6" t="s">
        <v>2238</v>
      </c>
      <c r="G1617" s="5">
        <f t="shared" si="31"/>
        <v>0.31164750000000002</v>
      </c>
      <c r="H1617" s="5">
        <v>386</v>
      </c>
      <c r="I1617" s="20">
        <f t="shared" si="30"/>
        <v>120.29593500000001</v>
      </c>
      <c r="J1617" s="6" t="s">
        <v>357</v>
      </c>
    </row>
    <row r="1618" spans="1:10" ht="30" hidden="1">
      <c r="A1618" s="10">
        <v>44456</v>
      </c>
      <c r="B1618" s="6" t="s">
        <v>2354</v>
      </c>
      <c r="C1618" s="5" t="s">
        <v>2353</v>
      </c>
      <c r="D1618" s="8" t="s">
        <v>2168</v>
      </c>
      <c r="E1618" s="6" t="s">
        <v>466</v>
      </c>
      <c r="F1618" s="6" t="s">
        <v>2238</v>
      </c>
      <c r="G1618" s="5">
        <f t="shared" si="31"/>
        <v>0.31164750000000002</v>
      </c>
      <c r="H1618" s="5">
        <v>455</v>
      </c>
      <c r="I1618" s="20">
        <f t="shared" si="30"/>
        <v>141.79961250000002</v>
      </c>
      <c r="J1618" s="6" t="s">
        <v>357</v>
      </c>
    </row>
    <row r="1619" spans="1:10" ht="30" hidden="1">
      <c r="A1619" s="10">
        <v>44456</v>
      </c>
      <c r="B1619" s="6" t="s">
        <v>2355</v>
      </c>
      <c r="C1619" s="5" t="s">
        <v>2351</v>
      </c>
      <c r="D1619" s="8" t="s">
        <v>2168</v>
      </c>
      <c r="E1619" s="6" t="s">
        <v>466</v>
      </c>
      <c r="F1619" s="6" t="s">
        <v>2238</v>
      </c>
      <c r="G1619" s="5">
        <f t="shared" si="31"/>
        <v>0.31164750000000002</v>
      </c>
      <c r="H1619" s="5">
        <v>420</v>
      </c>
      <c r="I1619" s="20">
        <f t="shared" si="30"/>
        <v>130.89195000000001</v>
      </c>
      <c r="J1619" s="6" t="s">
        <v>357</v>
      </c>
    </row>
    <row r="1620" spans="1:10" ht="30" hidden="1">
      <c r="A1620" s="10">
        <v>44456</v>
      </c>
      <c r="B1620" s="6" t="s">
        <v>2356</v>
      </c>
      <c r="C1620" s="5" t="s">
        <v>2353</v>
      </c>
      <c r="D1620" s="8" t="s">
        <v>2168</v>
      </c>
      <c r="E1620" s="6" t="s">
        <v>466</v>
      </c>
      <c r="F1620" s="6" t="s">
        <v>2238</v>
      </c>
      <c r="G1620" s="5">
        <f t="shared" si="31"/>
        <v>0.31164750000000002</v>
      </c>
      <c r="H1620" s="5">
        <v>479</v>
      </c>
      <c r="I1620" s="20">
        <f t="shared" si="30"/>
        <v>149.27915250000001</v>
      </c>
      <c r="J1620" s="6" t="s">
        <v>357</v>
      </c>
    </row>
    <row r="1621" spans="1:10" ht="30" hidden="1">
      <c r="A1621" s="10">
        <v>44456</v>
      </c>
      <c r="B1621" s="6" t="s">
        <v>2358</v>
      </c>
      <c r="C1621" s="5" t="s">
        <v>2357</v>
      </c>
      <c r="D1621" s="8" t="s">
        <v>2168</v>
      </c>
      <c r="E1621" s="6" t="s">
        <v>466</v>
      </c>
      <c r="F1621" s="6" t="s">
        <v>2238</v>
      </c>
      <c r="G1621" s="5">
        <f t="shared" si="31"/>
        <v>0.31164750000000002</v>
      </c>
      <c r="H1621" s="5">
        <v>779</v>
      </c>
      <c r="I1621" s="20">
        <f t="shared" si="30"/>
        <v>242.7734025</v>
      </c>
      <c r="J1621" s="6" t="s">
        <v>357</v>
      </c>
    </row>
    <row r="1622" spans="1:10" ht="30" hidden="1">
      <c r="A1622" s="10">
        <v>44456</v>
      </c>
      <c r="B1622" s="6" t="s">
        <v>2360</v>
      </c>
      <c r="C1622" s="5" t="s">
        <v>2359</v>
      </c>
      <c r="D1622" s="8" t="s">
        <v>2168</v>
      </c>
      <c r="E1622" s="6" t="s">
        <v>466</v>
      </c>
      <c r="F1622" s="6" t="s">
        <v>2238</v>
      </c>
      <c r="G1622" s="5">
        <f t="shared" si="31"/>
        <v>0.31164750000000002</v>
      </c>
      <c r="H1622" s="5">
        <v>753</v>
      </c>
      <c r="I1622" s="20">
        <f t="shared" si="30"/>
        <v>234.6705675</v>
      </c>
      <c r="J1622" s="6" t="s">
        <v>357</v>
      </c>
    </row>
    <row r="1623" spans="1:10" ht="30" hidden="1">
      <c r="A1623" s="10">
        <v>44456</v>
      </c>
      <c r="B1623" s="6" t="s">
        <v>2362</v>
      </c>
      <c r="C1623" s="5" t="s">
        <v>2361</v>
      </c>
      <c r="D1623" s="8" t="s">
        <v>2168</v>
      </c>
      <c r="E1623" s="6" t="s">
        <v>466</v>
      </c>
      <c r="F1623" s="6" t="s">
        <v>2238</v>
      </c>
      <c r="G1623" s="5">
        <f t="shared" si="31"/>
        <v>0.31164750000000002</v>
      </c>
      <c r="H1623" s="5">
        <v>7139</v>
      </c>
      <c r="I1623" s="20">
        <f t="shared" si="30"/>
        <v>2224.8515025000002</v>
      </c>
      <c r="J1623" s="6" t="s">
        <v>357</v>
      </c>
    </row>
    <row r="1624" spans="1:10" ht="30" hidden="1">
      <c r="A1624" s="10">
        <v>44456</v>
      </c>
      <c r="B1624" s="6" t="s">
        <v>2364</v>
      </c>
      <c r="C1624" s="5" t="s">
        <v>2363</v>
      </c>
      <c r="D1624" s="8" t="s">
        <v>2168</v>
      </c>
      <c r="E1624" s="6" t="s">
        <v>466</v>
      </c>
      <c r="F1624" s="6" t="s">
        <v>2238</v>
      </c>
      <c r="G1624" s="5">
        <f t="shared" si="31"/>
        <v>0.31164750000000002</v>
      </c>
      <c r="H1624" s="5">
        <v>8679</v>
      </c>
      <c r="I1624" s="20">
        <f t="shared" si="30"/>
        <v>2704.7886525000004</v>
      </c>
      <c r="J1624" s="6" t="s">
        <v>357</v>
      </c>
    </row>
    <row r="1625" spans="1:10" ht="30" hidden="1">
      <c r="A1625" s="10">
        <v>44456</v>
      </c>
      <c r="B1625" s="6" t="s">
        <v>2366</v>
      </c>
      <c r="C1625" s="5" t="s">
        <v>2365</v>
      </c>
      <c r="D1625" s="8" t="s">
        <v>2168</v>
      </c>
      <c r="E1625" s="6" t="s">
        <v>466</v>
      </c>
      <c r="F1625" s="6" t="s">
        <v>2238</v>
      </c>
      <c r="G1625" s="5">
        <f t="shared" si="31"/>
        <v>0.31164750000000002</v>
      </c>
      <c r="H1625" s="5">
        <v>13159</v>
      </c>
      <c r="I1625" s="20">
        <f t="shared" si="30"/>
        <v>4100.9694525000004</v>
      </c>
      <c r="J1625" s="6" t="s">
        <v>357</v>
      </c>
    </row>
    <row r="1626" spans="1:10" ht="30" hidden="1">
      <c r="A1626" s="10">
        <v>44456</v>
      </c>
      <c r="B1626" s="6" t="s">
        <v>2368</v>
      </c>
      <c r="C1626" s="5" t="s">
        <v>2367</v>
      </c>
      <c r="D1626" s="8" t="s">
        <v>2168</v>
      </c>
      <c r="E1626" s="6" t="s">
        <v>466</v>
      </c>
      <c r="F1626" s="6" t="s">
        <v>2238</v>
      </c>
      <c r="G1626" s="5">
        <f t="shared" si="31"/>
        <v>0.31164750000000002</v>
      </c>
      <c r="H1626" s="5">
        <v>460</v>
      </c>
      <c r="I1626" s="20">
        <f t="shared" si="30"/>
        <v>143.35785000000001</v>
      </c>
      <c r="J1626" s="6" t="s">
        <v>357</v>
      </c>
    </row>
    <row r="1627" spans="1:10" ht="30" hidden="1">
      <c r="A1627" s="10">
        <v>44456</v>
      </c>
      <c r="B1627" s="6" t="s">
        <v>2370</v>
      </c>
      <c r="C1627" s="5" t="s">
        <v>2369</v>
      </c>
      <c r="D1627" s="8" t="s">
        <v>2168</v>
      </c>
      <c r="E1627" s="6" t="s">
        <v>466</v>
      </c>
      <c r="F1627" s="6" t="s">
        <v>2238</v>
      </c>
      <c r="G1627" s="5">
        <f t="shared" si="31"/>
        <v>0.31164750000000002</v>
      </c>
      <c r="H1627" s="5">
        <v>600</v>
      </c>
      <c r="I1627" s="20">
        <f t="shared" si="30"/>
        <v>186.98850000000002</v>
      </c>
      <c r="J1627" s="6" t="s">
        <v>357</v>
      </c>
    </row>
    <row r="1628" spans="1:10" ht="30" hidden="1">
      <c r="A1628" s="10">
        <v>44456</v>
      </c>
      <c r="B1628" s="6" t="s">
        <v>2372</v>
      </c>
      <c r="C1628" s="5" t="s">
        <v>2371</v>
      </c>
      <c r="D1628" s="8" t="s">
        <v>2168</v>
      </c>
      <c r="E1628" s="6" t="s">
        <v>466</v>
      </c>
      <c r="F1628" s="6" t="s">
        <v>2238</v>
      </c>
      <c r="G1628" s="5">
        <f t="shared" si="31"/>
        <v>0.31164750000000002</v>
      </c>
      <c r="H1628" s="5">
        <v>849</v>
      </c>
      <c r="I1628" s="20">
        <f t="shared" si="30"/>
        <v>264.5887275</v>
      </c>
      <c r="J1628" s="6" t="s">
        <v>357</v>
      </c>
    </row>
    <row r="1629" spans="1:10" ht="30" hidden="1">
      <c r="A1629" s="10">
        <v>44456</v>
      </c>
      <c r="B1629" s="6" t="s">
        <v>2374</v>
      </c>
      <c r="C1629" s="5" t="s">
        <v>2373</v>
      </c>
      <c r="D1629" s="8" t="s">
        <v>2168</v>
      </c>
      <c r="E1629" s="6" t="s">
        <v>466</v>
      </c>
      <c r="F1629" s="6" t="s">
        <v>2238</v>
      </c>
      <c r="G1629" s="5">
        <f t="shared" si="31"/>
        <v>0.31164750000000002</v>
      </c>
      <c r="H1629" s="5">
        <v>825</v>
      </c>
      <c r="I1629" s="20">
        <f t="shared" si="30"/>
        <v>257.10918750000002</v>
      </c>
      <c r="J1629" s="6" t="s">
        <v>357</v>
      </c>
    </row>
    <row r="1630" spans="1:10" ht="30" hidden="1">
      <c r="A1630" s="10">
        <v>44456</v>
      </c>
      <c r="B1630" s="6" t="s">
        <v>2376</v>
      </c>
      <c r="C1630" s="5" t="s">
        <v>2375</v>
      </c>
      <c r="D1630" s="8" t="s">
        <v>2168</v>
      </c>
      <c r="E1630" s="6" t="s">
        <v>466</v>
      </c>
      <c r="F1630" s="6" t="s">
        <v>2238</v>
      </c>
      <c r="G1630" s="5">
        <f t="shared" si="31"/>
        <v>0.31164750000000002</v>
      </c>
      <c r="H1630" s="5">
        <v>781</v>
      </c>
      <c r="I1630" s="20">
        <f t="shared" si="30"/>
        <v>243.39669750000002</v>
      </c>
      <c r="J1630" s="6" t="s">
        <v>357</v>
      </c>
    </row>
    <row r="1631" spans="1:10" ht="30" hidden="1">
      <c r="A1631" s="10">
        <v>44456</v>
      </c>
      <c r="B1631" s="6" t="s">
        <v>2378</v>
      </c>
      <c r="C1631" s="5" t="s">
        <v>2377</v>
      </c>
      <c r="D1631" s="8" t="s">
        <v>2168</v>
      </c>
      <c r="E1631" s="6" t="s">
        <v>466</v>
      </c>
      <c r="F1631" s="6" t="s">
        <v>2238</v>
      </c>
      <c r="G1631" s="5">
        <f t="shared" si="31"/>
        <v>0.31164750000000002</v>
      </c>
      <c r="H1631" s="5">
        <v>822</v>
      </c>
      <c r="I1631" s="20">
        <f t="shared" si="30"/>
        <v>256.17424500000004</v>
      </c>
      <c r="J1631" s="6" t="s">
        <v>357</v>
      </c>
    </row>
    <row r="1632" spans="1:10" ht="30" hidden="1">
      <c r="A1632" s="10">
        <v>44456</v>
      </c>
      <c r="B1632" s="6" t="s">
        <v>2380</v>
      </c>
      <c r="C1632" s="5" t="s">
        <v>2379</v>
      </c>
      <c r="D1632" s="8" t="s">
        <v>2168</v>
      </c>
      <c r="E1632" s="6" t="s">
        <v>466</v>
      </c>
      <c r="F1632" s="6" t="s">
        <v>2238</v>
      </c>
      <c r="G1632" s="5">
        <f t="shared" si="31"/>
        <v>0.31164750000000002</v>
      </c>
      <c r="H1632" s="5">
        <v>1079</v>
      </c>
      <c r="I1632" s="20">
        <f t="shared" si="30"/>
        <v>336.2676525</v>
      </c>
      <c r="J1632" s="6" t="s">
        <v>357</v>
      </c>
    </row>
    <row r="1633" spans="1:10" ht="30" hidden="1">
      <c r="A1633" s="10">
        <v>44456</v>
      </c>
      <c r="B1633" s="6" t="s">
        <v>2382</v>
      </c>
      <c r="C1633" s="5" t="s">
        <v>2381</v>
      </c>
      <c r="D1633" s="8" t="s">
        <v>2168</v>
      </c>
      <c r="E1633" s="6" t="s">
        <v>466</v>
      </c>
      <c r="F1633" s="6" t="s">
        <v>2238</v>
      </c>
      <c r="G1633" s="5">
        <f t="shared" si="31"/>
        <v>0.31164750000000002</v>
      </c>
      <c r="H1633" s="5">
        <v>865</v>
      </c>
      <c r="I1633" s="20">
        <f t="shared" si="30"/>
        <v>269.5750875</v>
      </c>
      <c r="J1633" s="6" t="s">
        <v>357</v>
      </c>
    </row>
    <row r="1634" spans="1:10" ht="30" hidden="1">
      <c r="A1634" s="10">
        <v>44456</v>
      </c>
      <c r="B1634" s="6" t="s">
        <v>2384</v>
      </c>
      <c r="C1634" s="5" t="s">
        <v>2383</v>
      </c>
      <c r="D1634" s="8" t="s">
        <v>2168</v>
      </c>
      <c r="E1634" s="6" t="s">
        <v>466</v>
      </c>
      <c r="F1634" s="6" t="s">
        <v>2238</v>
      </c>
      <c r="G1634" s="5">
        <f t="shared" si="31"/>
        <v>0.31164750000000002</v>
      </c>
      <c r="H1634" s="5">
        <v>858</v>
      </c>
      <c r="I1634" s="20">
        <f t="shared" si="30"/>
        <v>267.39355499999999</v>
      </c>
      <c r="J1634" s="6" t="s">
        <v>357</v>
      </c>
    </row>
    <row r="1635" spans="1:10" ht="30" hidden="1">
      <c r="A1635" s="10">
        <v>44456</v>
      </c>
      <c r="B1635" s="6" t="s">
        <v>2386</v>
      </c>
      <c r="C1635" s="5" t="s">
        <v>2385</v>
      </c>
      <c r="D1635" s="8" t="s">
        <v>2168</v>
      </c>
      <c r="E1635" s="6" t="s">
        <v>466</v>
      </c>
      <c r="F1635" s="6" t="s">
        <v>2238</v>
      </c>
      <c r="G1635" s="5">
        <f t="shared" si="31"/>
        <v>0.31164750000000002</v>
      </c>
      <c r="H1635" s="5">
        <v>903</v>
      </c>
      <c r="I1635" s="20">
        <f t="shared" si="30"/>
        <v>281.41769250000004</v>
      </c>
      <c r="J1635" s="6" t="s">
        <v>357</v>
      </c>
    </row>
    <row r="1636" spans="1:10" ht="30" hidden="1">
      <c r="A1636" s="10">
        <v>44456</v>
      </c>
      <c r="B1636" s="6" t="s">
        <v>2388</v>
      </c>
      <c r="C1636" s="5" t="s">
        <v>2387</v>
      </c>
      <c r="D1636" s="8" t="s">
        <v>2168</v>
      </c>
      <c r="E1636" s="6" t="s">
        <v>466</v>
      </c>
      <c r="F1636" s="6" t="s">
        <v>2238</v>
      </c>
      <c r="G1636" s="5">
        <f t="shared" si="31"/>
        <v>0.31164750000000002</v>
      </c>
      <c r="H1636" s="5">
        <v>1009</v>
      </c>
      <c r="I1636" s="20">
        <f t="shared" si="30"/>
        <v>314.45232750000002</v>
      </c>
      <c r="J1636" s="6" t="s">
        <v>357</v>
      </c>
    </row>
    <row r="1637" spans="1:10" ht="30" hidden="1">
      <c r="A1637" s="10">
        <v>44456</v>
      </c>
      <c r="B1637" s="6" t="s">
        <v>2390</v>
      </c>
      <c r="C1637" s="5" t="s">
        <v>2389</v>
      </c>
      <c r="D1637" s="8" t="s">
        <v>2168</v>
      </c>
      <c r="E1637" s="6" t="s">
        <v>466</v>
      </c>
      <c r="F1637" s="6" t="s">
        <v>2238</v>
      </c>
      <c r="G1637" s="5">
        <f t="shared" si="31"/>
        <v>0.31164750000000002</v>
      </c>
      <c r="H1637" s="5">
        <v>1176</v>
      </c>
      <c r="I1637" s="20">
        <f t="shared" si="30"/>
        <v>366.49746000000005</v>
      </c>
      <c r="J1637" s="6" t="s">
        <v>357</v>
      </c>
    </row>
    <row r="1638" spans="1:10" ht="30" hidden="1">
      <c r="A1638" s="10">
        <v>44456</v>
      </c>
      <c r="B1638" s="6" t="s">
        <v>2392</v>
      </c>
      <c r="C1638" s="5" t="s">
        <v>2391</v>
      </c>
      <c r="D1638" s="8" t="s">
        <v>2168</v>
      </c>
      <c r="E1638" s="6" t="s">
        <v>466</v>
      </c>
      <c r="F1638" s="6" t="s">
        <v>2238</v>
      </c>
      <c r="G1638" s="5">
        <f t="shared" si="31"/>
        <v>0.31164750000000002</v>
      </c>
      <c r="H1638" s="5">
        <v>911</v>
      </c>
      <c r="I1638" s="20">
        <f t="shared" si="30"/>
        <v>283.91087250000004</v>
      </c>
      <c r="J1638" s="6" t="s">
        <v>357</v>
      </c>
    </row>
    <row r="1639" spans="1:10" ht="30" hidden="1">
      <c r="A1639" s="10">
        <v>44456</v>
      </c>
      <c r="B1639" s="6" t="s">
        <v>2394</v>
      </c>
      <c r="C1639" s="5" t="s">
        <v>2393</v>
      </c>
      <c r="D1639" s="8" t="s">
        <v>2168</v>
      </c>
      <c r="E1639" s="6" t="s">
        <v>466</v>
      </c>
      <c r="F1639" s="6" t="s">
        <v>2238</v>
      </c>
      <c r="G1639" s="5">
        <f t="shared" si="31"/>
        <v>0.31164750000000002</v>
      </c>
      <c r="H1639" s="5">
        <v>959</v>
      </c>
      <c r="I1639" s="20">
        <f t="shared" si="30"/>
        <v>298.86995250000001</v>
      </c>
      <c r="J1639" s="6" t="s">
        <v>357</v>
      </c>
    </row>
    <row r="1640" spans="1:10" ht="30" hidden="1">
      <c r="A1640" s="10">
        <v>44456</v>
      </c>
      <c r="B1640" s="6" t="s">
        <v>2396</v>
      </c>
      <c r="C1640" s="5" t="s">
        <v>2395</v>
      </c>
      <c r="D1640" s="8" t="s">
        <v>2168</v>
      </c>
      <c r="E1640" s="6" t="s">
        <v>466</v>
      </c>
      <c r="F1640" s="6" t="s">
        <v>2238</v>
      </c>
      <c r="G1640" s="5">
        <f t="shared" si="31"/>
        <v>0.31164750000000002</v>
      </c>
      <c r="H1640" s="5">
        <v>1128</v>
      </c>
      <c r="I1640" s="20">
        <f t="shared" si="30"/>
        <v>351.53838000000002</v>
      </c>
      <c r="J1640" s="6" t="s">
        <v>357</v>
      </c>
    </row>
    <row r="1641" spans="1:10" ht="30" hidden="1">
      <c r="A1641" s="10">
        <v>44456</v>
      </c>
      <c r="B1641" s="6" t="s">
        <v>2398</v>
      </c>
      <c r="C1641" s="5" t="s">
        <v>2397</v>
      </c>
      <c r="D1641" s="8" t="s">
        <v>2168</v>
      </c>
      <c r="E1641" s="6" t="s">
        <v>466</v>
      </c>
      <c r="F1641" s="6" t="s">
        <v>2238</v>
      </c>
      <c r="G1641" s="5">
        <f t="shared" si="31"/>
        <v>0.31164750000000002</v>
      </c>
      <c r="H1641" s="5">
        <v>1366</v>
      </c>
      <c r="I1641" s="20">
        <f t="shared" si="30"/>
        <v>425.71048500000001</v>
      </c>
      <c r="J1641" s="6" t="s">
        <v>357</v>
      </c>
    </row>
    <row r="1642" spans="1:10" ht="30" hidden="1">
      <c r="A1642" s="10">
        <v>44456</v>
      </c>
      <c r="B1642" s="6" t="s">
        <v>2400</v>
      </c>
      <c r="C1642" s="5" t="s">
        <v>2399</v>
      </c>
      <c r="D1642" s="8" t="s">
        <v>2168</v>
      </c>
      <c r="E1642" s="6" t="s">
        <v>466</v>
      </c>
      <c r="F1642" s="6" t="s">
        <v>2238</v>
      </c>
      <c r="G1642" s="5">
        <f t="shared" si="31"/>
        <v>0.31164750000000002</v>
      </c>
      <c r="H1642" s="5">
        <v>1920</v>
      </c>
      <c r="I1642" s="20">
        <f t="shared" si="30"/>
        <v>598.36320000000001</v>
      </c>
      <c r="J1642" s="6" t="s">
        <v>357</v>
      </c>
    </row>
    <row r="1643" spans="1:10" ht="30" hidden="1">
      <c r="A1643" s="10">
        <v>44456</v>
      </c>
      <c r="B1643" s="6" t="s">
        <v>2402</v>
      </c>
      <c r="C1643" s="5" t="s">
        <v>2401</v>
      </c>
      <c r="D1643" s="8" t="s">
        <v>2168</v>
      </c>
      <c r="E1643" s="6" t="s">
        <v>466</v>
      </c>
      <c r="F1643" s="6" t="s">
        <v>2238</v>
      </c>
      <c r="G1643" s="5">
        <f t="shared" si="31"/>
        <v>0.31164750000000002</v>
      </c>
      <c r="H1643" s="5">
        <v>1995</v>
      </c>
      <c r="I1643" s="20">
        <f t="shared" si="30"/>
        <v>621.73676250000005</v>
      </c>
      <c r="J1643" s="6" t="s">
        <v>357</v>
      </c>
    </row>
    <row r="1644" spans="1:10" ht="45" hidden="1">
      <c r="A1644" s="10">
        <v>44456</v>
      </c>
      <c r="B1644" s="6" t="s">
        <v>2404</v>
      </c>
      <c r="C1644" s="5" t="s">
        <v>2403</v>
      </c>
      <c r="D1644" s="8" t="s">
        <v>2168</v>
      </c>
      <c r="E1644" s="6" t="s">
        <v>466</v>
      </c>
      <c r="F1644" s="6" t="s">
        <v>2238</v>
      </c>
      <c r="G1644" s="5">
        <f t="shared" si="31"/>
        <v>0.31164750000000002</v>
      </c>
      <c r="H1644" s="5">
        <v>1596</v>
      </c>
      <c r="I1644" s="20">
        <f t="shared" si="30"/>
        <v>497.38941000000005</v>
      </c>
      <c r="J1644" s="6" t="s">
        <v>357</v>
      </c>
    </row>
    <row r="1645" spans="1:10" ht="30" hidden="1">
      <c r="A1645" s="10">
        <v>44456</v>
      </c>
      <c r="B1645" s="6" t="s">
        <v>2406</v>
      </c>
      <c r="C1645" s="5" t="s">
        <v>2405</v>
      </c>
      <c r="D1645" s="8" t="s">
        <v>2168</v>
      </c>
      <c r="E1645" s="6" t="s">
        <v>466</v>
      </c>
      <c r="F1645" s="6" t="s">
        <v>2238</v>
      </c>
      <c r="G1645" s="5">
        <f t="shared" si="31"/>
        <v>0.31164750000000002</v>
      </c>
      <c r="H1645" s="5">
        <v>2130</v>
      </c>
      <c r="I1645" s="20">
        <f t="shared" si="30"/>
        <v>663.8091750000001</v>
      </c>
      <c r="J1645" s="6" t="s">
        <v>357</v>
      </c>
    </row>
    <row r="1646" spans="1:10" ht="30" hidden="1">
      <c r="A1646" s="10">
        <v>44456</v>
      </c>
      <c r="B1646" s="6" t="s">
        <v>2408</v>
      </c>
      <c r="C1646" s="5" t="s">
        <v>2407</v>
      </c>
      <c r="D1646" s="8" t="s">
        <v>2168</v>
      </c>
      <c r="E1646" s="6" t="s">
        <v>466</v>
      </c>
      <c r="F1646" s="6" t="s">
        <v>2238</v>
      </c>
      <c r="G1646" s="5">
        <f t="shared" si="31"/>
        <v>0.31164750000000002</v>
      </c>
      <c r="H1646" s="5">
        <v>3835</v>
      </c>
      <c r="I1646" s="20">
        <f t="shared" si="30"/>
        <v>1195.1681625000001</v>
      </c>
      <c r="J1646" s="6" t="s">
        <v>357</v>
      </c>
    </row>
    <row r="1647" spans="1:10" ht="30" hidden="1">
      <c r="A1647" s="10">
        <v>44456</v>
      </c>
      <c r="B1647" s="6" t="s">
        <v>2410</v>
      </c>
      <c r="C1647" s="5" t="s">
        <v>2409</v>
      </c>
      <c r="D1647" s="8" t="s">
        <v>2168</v>
      </c>
      <c r="E1647" s="6" t="s">
        <v>466</v>
      </c>
      <c r="F1647" s="6" t="s">
        <v>2238</v>
      </c>
      <c r="G1647" s="5">
        <f t="shared" si="31"/>
        <v>0.31164750000000002</v>
      </c>
      <c r="H1647" s="5">
        <v>4787</v>
      </c>
      <c r="I1647" s="20">
        <f t="shared" si="30"/>
        <v>1491.8565825000001</v>
      </c>
      <c r="J1647" s="6" t="s">
        <v>357</v>
      </c>
    </row>
    <row r="1648" spans="1:10" hidden="1">
      <c r="A1648" s="10">
        <v>44456</v>
      </c>
      <c r="B1648" s="6" t="s">
        <v>2412</v>
      </c>
      <c r="C1648" s="14" t="s">
        <v>2411</v>
      </c>
      <c r="D1648" s="23" t="s">
        <v>2168</v>
      </c>
      <c r="E1648" s="6" t="s">
        <v>355</v>
      </c>
      <c r="F1648" s="6" t="s">
        <v>2170</v>
      </c>
      <c r="G1648" s="5">
        <f t="shared" si="31"/>
        <v>0.31164750000000002</v>
      </c>
      <c r="H1648" s="5">
        <v>3800</v>
      </c>
      <c r="I1648" s="20">
        <f t="shared" si="30"/>
        <v>1184.2605000000001</v>
      </c>
      <c r="J1648" s="6" t="s">
        <v>357</v>
      </c>
    </row>
    <row r="1649" spans="1:10" hidden="1">
      <c r="A1649" s="10">
        <v>44456</v>
      </c>
      <c r="B1649" s="6" t="s">
        <v>2414</v>
      </c>
      <c r="C1649" s="14" t="s">
        <v>2413</v>
      </c>
      <c r="D1649" s="23" t="s">
        <v>2168</v>
      </c>
      <c r="E1649" s="6" t="s">
        <v>355</v>
      </c>
      <c r="F1649" s="6" t="s">
        <v>2170</v>
      </c>
      <c r="G1649" s="5">
        <f t="shared" si="31"/>
        <v>0.31164750000000002</v>
      </c>
      <c r="H1649" s="5">
        <v>6900</v>
      </c>
      <c r="I1649" s="20">
        <f t="shared" si="30"/>
        <v>2150.3677500000003</v>
      </c>
      <c r="J1649" s="6" t="s">
        <v>357</v>
      </c>
    </row>
    <row r="1650" spans="1:10" hidden="1">
      <c r="A1650" s="10">
        <v>44457</v>
      </c>
      <c r="B1650" s="6" t="s">
        <v>2415</v>
      </c>
      <c r="C1650" s="5" t="s">
        <v>326</v>
      </c>
      <c r="D1650" s="8" t="s">
        <v>2168</v>
      </c>
      <c r="E1650" s="6" t="s">
        <v>602</v>
      </c>
      <c r="F1650" s="6" t="s">
        <v>686</v>
      </c>
      <c r="G1650" s="5">
        <v>93</v>
      </c>
      <c r="H1650" s="5">
        <f t="shared" ref="H1650:H1667" si="32">0.5*0.95</f>
        <v>0.47499999999999998</v>
      </c>
      <c r="I1650" s="20">
        <f t="shared" si="30"/>
        <v>44.174999999999997</v>
      </c>
      <c r="J1650" s="6" t="s">
        <v>357</v>
      </c>
    </row>
    <row r="1651" spans="1:10" hidden="1">
      <c r="A1651" s="10">
        <v>44457</v>
      </c>
      <c r="B1651" s="6" t="s">
        <v>2416</v>
      </c>
      <c r="C1651" s="5" t="s">
        <v>1694</v>
      </c>
      <c r="D1651" s="8" t="s">
        <v>2168</v>
      </c>
      <c r="E1651" s="6" t="s">
        <v>602</v>
      </c>
      <c r="F1651" s="6" t="s">
        <v>686</v>
      </c>
      <c r="G1651" s="5">
        <v>126</v>
      </c>
      <c r="H1651" s="5">
        <f t="shared" si="32"/>
        <v>0.47499999999999998</v>
      </c>
      <c r="I1651" s="20">
        <f t="shared" si="30"/>
        <v>59.849999999999994</v>
      </c>
      <c r="J1651" s="6" t="s">
        <v>357</v>
      </c>
    </row>
    <row r="1652" spans="1:10" hidden="1">
      <c r="A1652" s="10">
        <v>44457</v>
      </c>
      <c r="B1652" s="6" t="s">
        <v>2418</v>
      </c>
      <c r="C1652" s="5" t="s">
        <v>2417</v>
      </c>
      <c r="D1652" s="8" t="s">
        <v>2168</v>
      </c>
      <c r="E1652" s="6" t="s">
        <v>602</v>
      </c>
      <c r="F1652" s="6" t="s">
        <v>686</v>
      </c>
      <c r="G1652" s="5">
        <v>142</v>
      </c>
      <c r="H1652" s="5">
        <f t="shared" si="32"/>
        <v>0.47499999999999998</v>
      </c>
      <c r="I1652" s="20">
        <f t="shared" si="30"/>
        <v>67.45</v>
      </c>
      <c r="J1652" s="6" t="s">
        <v>357</v>
      </c>
    </row>
    <row r="1653" spans="1:10" hidden="1">
      <c r="A1653" s="10">
        <v>44457</v>
      </c>
      <c r="B1653" s="6" t="s">
        <v>2420</v>
      </c>
      <c r="C1653" s="5" t="s">
        <v>2419</v>
      </c>
      <c r="D1653" s="8" t="s">
        <v>2168</v>
      </c>
      <c r="E1653" s="6" t="s">
        <v>602</v>
      </c>
      <c r="F1653" s="6" t="s">
        <v>686</v>
      </c>
      <c r="G1653" s="5">
        <v>157</v>
      </c>
      <c r="H1653" s="5">
        <f t="shared" si="32"/>
        <v>0.47499999999999998</v>
      </c>
      <c r="I1653" s="20">
        <f t="shared" si="30"/>
        <v>74.575000000000003</v>
      </c>
      <c r="J1653" s="6" t="s">
        <v>357</v>
      </c>
    </row>
    <row r="1654" spans="1:10" hidden="1">
      <c r="A1654" s="10">
        <v>44457</v>
      </c>
      <c r="B1654" s="6" t="s">
        <v>2421</v>
      </c>
      <c r="C1654" s="5" t="s">
        <v>1710</v>
      </c>
      <c r="D1654" s="8" t="s">
        <v>2168</v>
      </c>
      <c r="E1654" s="6" t="s">
        <v>602</v>
      </c>
      <c r="F1654" s="6" t="s">
        <v>686</v>
      </c>
      <c r="G1654" s="5">
        <v>234</v>
      </c>
      <c r="H1654" s="5">
        <f t="shared" si="32"/>
        <v>0.47499999999999998</v>
      </c>
      <c r="I1654" s="20">
        <f t="shared" si="30"/>
        <v>111.14999999999999</v>
      </c>
      <c r="J1654" s="6" t="s">
        <v>357</v>
      </c>
    </row>
    <row r="1655" spans="1:10" hidden="1">
      <c r="A1655" s="10">
        <v>44457</v>
      </c>
      <c r="B1655" s="6" t="s">
        <v>2423</v>
      </c>
      <c r="C1655" s="5" t="s">
        <v>2422</v>
      </c>
      <c r="D1655" s="8" t="s">
        <v>2168</v>
      </c>
      <c r="E1655" s="6" t="s">
        <v>602</v>
      </c>
      <c r="F1655" s="6" t="s">
        <v>686</v>
      </c>
      <c r="G1655" s="5">
        <v>3517</v>
      </c>
      <c r="H1655" s="5">
        <f t="shared" si="32"/>
        <v>0.47499999999999998</v>
      </c>
      <c r="I1655" s="20">
        <f t="shared" si="30"/>
        <v>1670.5749999999998</v>
      </c>
      <c r="J1655" s="6" t="s">
        <v>357</v>
      </c>
    </row>
    <row r="1656" spans="1:10" hidden="1">
      <c r="A1656" s="10">
        <v>44457</v>
      </c>
      <c r="B1656" s="6" t="s">
        <v>2425</v>
      </c>
      <c r="C1656" s="5" t="s">
        <v>2424</v>
      </c>
      <c r="D1656" s="8" t="s">
        <v>2168</v>
      </c>
      <c r="E1656" s="6" t="s">
        <v>602</v>
      </c>
      <c r="F1656" s="6" t="s">
        <v>686</v>
      </c>
      <c r="G1656" s="5">
        <v>3585</v>
      </c>
      <c r="H1656" s="5">
        <f t="shared" si="32"/>
        <v>0.47499999999999998</v>
      </c>
      <c r="I1656" s="20">
        <f t="shared" si="30"/>
        <v>1702.875</v>
      </c>
      <c r="J1656" s="6" t="s">
        <v>357</v>
      </c>
    </row>
    <row r="1657" spans="1:10" hidden="1">
      <c r="A1657" s="10">
        <v>44457</v>
      </c>
      <c r="B1657" s="6" t="s">
        <v>2426</v>
      </c>
      <c r="C1657" s="5" t="s">
        <v>1714</v>
      </c>
      <c r="D1657" s="8" t="s">
        <v>2168</v>
      </c>
      <c r="E1657" s="6" t="s">
        <v>602</v>
      </c>
      <c r="F1657" s="6" t="s">
        <v>686</v>
      </c>
      <c r="G1657" s="5">
        <v>3779</v>
      </c>
      <c r="H1657" s="5">
        <f t="shared" si="32"/>
        <v>0.47499999999999998</v>
      </c>
      <c r="I1657" s="20">
        <f t="shared" si="30"/>
        <v>1795.0249999999999</v>
      </c>
      <c r="J1657" s="6" t="s">
        <v>357</v>
      </c>
    </row>
    <row r="1658" spans="1:10" hidden="1">
      <c r="A1658" s="10">
        <v>44457</v>
      </c>
      <c r="B1658" s="6" t="s">
        <v>2428</v>
      </c>
      <c r="C1658" s="5" t="s">
        <v>2427</v>
      </c>
      <c r="D1658" s="8" t="s">
        <v>2168</v>
      </c>
      <c r="E1658" s="6" t="s">
        <v>602</v>
      </c>
      <c r="F1658" s="6" t="s">
        <v>686</v>
      </c>
      <c r="G1658" s="5">
        <v>8196</v>
      </c>
      <c r="H1658" s="5">
        <f t="shared" si="32"/>
        <v>0.47499999999999998</v>
      </c>
      <c r="I1658" s="20">
        <f t="shared" si="30"/>
        <v>3893.1</v>
      </c>
      <c r="J1658" s="6" t="s">
        <v>357</v>
      </c>
    </row>
    <row r="1659" spans="1:10" hidden="1">
      <c r="A1659" s="10">
        <v>44457</v>
      </c>
      <c r="B1659" s="6" t="s">
        <v>2430</v>
      </c>
      <c r="C1659" s="5" t="s">
        <v>2429</v>
      </c>
      <c r="D1659" s="8" t="s">
        <v>2168</v>
      </c>
      <c r="E1659" s="6" t="s">
        <v>602</v>
      </c>
      <c r="F1659" s="6" t="s">
        <v>686</v>
      </c>
      <c r="G1659" s="5">
        <v>14001</v>
      </c>
      <c r="H1659" s="5">
        <f t="shared" si="32"/>
        <v>0.47499999999999998</v>
      </c>
      <c r="I1659" s="20">
        <f t="shared" si="30"/>
        <v>6650.4749999999995</v>
      </c>
      <c r="J1659" s="6" t="s">
        <v>357</v>
      </c>
    </row>
    <row r="1660" spans="1:10" hidden="1">
      <c r="A1660" s="10">
        <v>44457</v>
      </c>
      <c r="B1660" s="6" t="s">
        <v>2431</v>
      </c>
      <c r="C1660" s="5" t="s">
        <v>308</v>
      </c>
      <c r="D1660" s="8" t="s">
        <v>2168</v>
      </c>
      <c r="E1660" s="6" t="s">
        <v>602</v>
      </c>
      <c r="F1660" s="6" t="s">
        <v>686</v>
      </c>
      <c r="G1660" s="5">
        <v>323</v>
      </c>
      <c r="H1660" s="5">
        <f t="shared" si="32"/>
        <v>0.47499999999999998</v>
      </c>
      <c r="I1660" s="20">
        <f t="shared" si="30"/>
        <v>153.42499999999998</v>
      </c>
      <c r="J1660" s="6" t="s">
        <v>357</v>
      </c>
    </row>
    <row r="1661" spans="1:10" hidden="1">
      <c r="A1661" s="10">
        <v>44457</v>
      </c>
      <c r="B1661" s="6" t="s">
        <v>2432</v>
      </c>
      <c r="C1661" s="5" t="s">
        <v>1716</v>
      </c>
      <c r="D1661" s="8" t="s">
        <v>2168</v>
      </c>
      <c r="E1661" s="6" t="s">
        <v>602</v>
      </c>
      <c r="F1661" s="6" t="s">
        <v>686</v>
      </c>
      <c r="G1661" s="5">
        <v>395</v>
      </c>
      <c r="H1661" s="5">
        <f t="shared" si="32"/>
        <v>0.47499999999999998</v>
      </c>
      <c r="I1661" s="20">
        <f t="shared" si="30"/>
        <v>187.625</v>
      </c>
      <c r="J1661" s="6" t="s">
        <v>357</v>
      </c>
    </row>
    <row r="1662" spans="1:10" hidden="1">
      <c r="A1662" s="10">
        <v>44457</v>
      </c>
      <c r="B1662" s="6" t="s">
        <v>2433</v>
      </c>
      <c r="C1662" s="5" t="s">
        <v>1722</v>
      </c>
      <c r="D1662" s="8" t="s">
        <v>2168</v>
      </c>
      <c r="E1662" s="6" t="s">
        <v>602</v>
      </c>
      <c r="F1662" s="6" t="s">
        <v>686</v>
      </c>
      <c r="G1662" s="5">
        <v>449</v>
      </c>
      <c r="H1662" s="5">
        <f t="shared" si="32"/>
        <v>0.47499999999999998</v>
      </c>
      <c r="I1662" s="20">
        <f t="shared" si="30"/>
        <v>213.27499999999998</v>
      </c>
      <c r="J1662" s="6" t="s">
        <v>357</v>
      </c>
    </row>
    <row r="1663" spans="1:10" hidden="1">
      <c r="A1663" s="10">
        <v>44457</v>
      </c>
      <c r="B1663" s="6" t="s">
        <v>2435</v>
      </c>
      <c r="C1663" s="5" t="s">
        <v>2434</v>
      </c>
      <c r="D1663" s="8" t="s">
        <v>2168</v>
      </c>
      <c r="E1663" s="6" t="s">
        <v>602</v>
      </c>
      <c r="F1663" s="6" t="s">
        <v>686</v>
      </c>
      <c r="G1663" s="5">
        <v>688</v>
      </c>
      <c r="H1663" s="5">
        <f t="shared" si="32"/>
        <v>0.47499999999999998</v>
      </c>
      <c r="I1663" s="20">
        <f t="shared" si="30"/>
        <v>326.8</v>
      </c>
      <c r="J1663" s="6" t="s">
        <v>357</v>
      </c>
    </row>
    <row r="1664" spans="1:10" hidden="1">
      <c r="A1664" s="10">
        <v>44457</v>
      </c>
      <c r="B1664" s="6" t="s">
        <v>2437</v>
      </c>
      <c r="C1664" s="5" t="s">
        <v>2436</v>
      </c>
      <c r="D1664" s="8" t="s">
        <v>2168</v>
      </c>
      <c r="E1664" s="6" t="s">
        <v>602</v>
      </c>
      <c r="F1664" s="6" t="s">
        <v>686</v>
      </c>
      <c r="G1664" s="5">
        <v>702</v>
      </c>
      <c r="H1664" s="5">
        <f t="shared" si="32"/>
        <v>0.47499999999999998</v>
      </c>
      <c r="I1664" s="20">
        <f t="shared" si="30"/>
        <v>333.45</v>
      </c>
      <c r="J1664" s="6" t="s">
        <v>357</v>
      </c>
    </row>
    <row r="1665" spans="1:10" hidden="1">
      <c r="A1665" s="10">
        <v>44457</v>
      </c>
      <c r="B1665" s="6" t="s">
        <v>2439</v>
      </c>
      <c r="C1665" s="5" t="s">
        <v>2438</v>
      </c>
      <c r="D1665" s="8" t="s">
        <v>2168</v>
      </c>
      <c r="E1665" s="6" t="s">
        <v>602</v>
      </c>
      <c r="F1665" s="6" t="s">
        <v>686</v>
      </c>
      <c r="G1665" s="5">
        <v>1045</v>
      </c>
      <c r="H1665" s="5">
        <f t="shared" si="32"/>
        <v>0.47499999999999998</v>
      </c>
      <c r="I1665" s="20">
        <f t="shared" si="30"/>
        <v>496.375</v>
      </c>
      <c r="J1665" s="6" t="s">
        <v>357</v>
      </c>
    </row>
    <row r="1666" spans="1:10" hidden="1">
      <c r="A1666" s="10">
        <v>44457</v>
      </c>
      <c r="B1666" s="6" t="s">
        <v>2441</v>
      </c>
      <c r="C1666" s="5" t="s">
        <v>2440</v>
      </c>
      <c r="D1666" s="8" t="s">
        <v>2168</v>
      </c>
      <c r="E1666" s="6" t="s">
        <v>602</v>
      </c>
      <c r="F1666" s="6" t="s">
        <v>686</v>
      </c>
      <c r="G1666" s="5">
        <v>1487</v>
      </c>
      <c r="H1666" s="5">
        <f t="shared" si="32"/>
        <v>0.47499999999999998</v>
      </c>
      <c r="I1666" s="20">
        <f t="shared" si="30"/>
        <v>706.32499999999993</v>
      </c>
      <c r="J1666" s="6" t="s">
        <v>357</v>
      </c>
    </row>
    <row r="1667" spans="1:10" hidden="1">
      <c r="A1667" s="10">
        <v>44457</v>
      </c>
      <c r="B1667" s="6" t="s">
        <v>2443</v>
      </c>
      <c r="C1667" s="5" t="s">
        <v>2442</v>
      </c>
      <c r="D1667" s="8" t="s">
        <v>2168</v>
      </c>
      <c r="E1667" s="6" t="s">
        <v>602</v>
      </c>
      <c r="F1667" s="6" t="s">
        <v>686</v>
      </c>
      <c r="G1667" s="5">
        <v>1745</v>
      </c>
      <c r="H1667" s="5">
        <f t="shared" si="32"/>
        <v>0.47499999999999998</v>
      </c>
      <c r="I1667" s="20">
        <f t="shared" ref="I1667:I1730" si="33">H1667*G1667</f>
        <v>828.875</v>
      </c>
      <c r="J1667" s="6" t="s">
        <v>357</v>
      </c>
    </row>
    <row r="1668" spans="1:10" hidden="1">
      <c r="A1668" s="9">
        <v>45790</v>
      </c>
      <c r="B1668" s="216" t="s">
        <v>6840</v>
      </c>
      <c r="C1668" s="5" t="s">
        <v>6841</v>
      </c>
      <c r="D1668" s="8" t="s">
        <v>6839</v>
      </c>
      <c r="E1668" s="25" t="s">
        <v>685</v>
      </c>
      <c r="F1668" s="25" t="s">
        <v>411</v>
      </c>
      <c r="G1668" s="31">
        <v>385</v>
      </c>
      <c r="H1668" s="5">
        <v>1</v>
      </c>
      <c r="I1668" s="20">
        <f t="shared" si="33"/>
        <v>385</v>
      </c>
      <c r="J1668" s="6" t="s">
        <v>357</v>
      </c>
    </row>
    <row r="1669" spans="1:10" hidden="1">
      <c r="A1669" s="9">
        <v>45790</v>
      </c>
      <c r="B1669" s="216" t="s">
        <v>6837</v>
      </c>
      <c r="C1669" s="5" t="s">
        <v>6838</v>
      </c>
      <c r="D1669" s="8" t="s">
        <v>6839</v>
      </c>
      <c r="E1669" s="25" t="s">
        <v>685</v>
      </c>
      <c r="F1669" s="25" t="s">
        <v>411</v>
      </c>
      <c r="G1669" s="31">
        <v>312</v>
      </c>
      <c r="H1669" s="5">
        <v>1</v>
      </c>
      <c r="I1669" s="20">
        <f t="shared" si="33"/>
        <v>312</v>
      </c>
      <c r="J1669" s="6" t="s">
        <v>357</v>
      </c>
    </row>
    <row r="1670" spans="1:10" hidden="1">
      <c r="A1670" s="273">
        <v>45828</v>
      </c>
      <c r="B1670" s="272" t="s">
        <v>7133</v>
      </c>
      <c r="C1670" s="268" t="s">
        <v>7134</v>
      </c>
      <c r="D1670" s="269" t="s">
        <v>6839</v>
      </c>
      <c r="E1670" s="25" t="s">
        <v>685</v>
      </c>
      <c r="F1670" s="25" t="s">
        <v>411</v>
      </c>
      <c r="G1670" s="31">
        <v>410.76</v>
      </c>
      <c r="H1670" s="268">
        <v>1</v>
      </c>
      <c r="I1670" s="271">
        <f t="shared" si="33"/>
        <v>410.76</v>
      </c>
      <c r="J1670" s="111" t="s">
        <v>357</v>
      </c>
    </row>
    <row r="1671" spans="1:10" hidden="1">
      <c r="A1671" s="9">
        <v>45575</v>
      </c>
      <c r="B1671" s="6" t="s">
        <v>5821</v>
      </c>
      <c r="C1671" s="5" t="s">
        <v>5820</v>
      </c>
      <c r="D1671" s="8" t="s">
        <v>5819</v>
      </c>
      <c r="E1671" s="106" t="s">
        <v>336</v>
      </c>
      <c r="F1671" s="106" t="s">
        <v>5822</v>
      </c>
      <c r="G1671" s="107">
        <v>104</v>
      </c>
      <c r="H1671" s="5">
        <f>0.7*0.95</f>
        <v>0.66499999999999992</v>
      </c>
      <c r="I1671" s="20">
        <f t="shared" si="33"/>
        <v>69.16</v>
      </c>
      <c r="J1671" s="6" t="s">
        <v>357</v>
      </c>
    </row>
    <row r="1672" spans="1:10" hidden="1">
      <c r="A1672" s="9">
        <v>45575</v>
      </c>
      <c r="B1672" s="6" t="s">
        <v>5824</v>
      </c>
      <c r="C1672" s="5" t="s">
        <v>5823</v>
      </c>
      <c r="D1672" s="8" t="s">
        <v>5819</v>
      </c>
      <c r="E1672" s="106" t="s">
        <v>336</v>
      </c>
      <c r="F1672" s="106" t="s">
        <v>5822</v>
      </c>
      <c r="G1672" s="107">
        <v>148</v>
      </c>
      <c r="H1672" s="5">
        <f>0.7*0.95</f>
        <v>0.66499999999999992</v>
      </c>
      <c r="I1672" s="20">
        <f t="shared" si="33"/>
        <v>98.419999999999987</v>
      </c>
      <c r="J1672" s="6" t="s">
        <v>357</v>
      </c>
    </row>
    <row r="1673" spans="1:10" hidden="1">
      <c r="A1673" s="9">
        <v>45575</v>
      </c>
      <c r="B1673" s="6" t="s">
        <v>5826</v>
      </c>
      <c r="C1673" s="5" t="s">
        <v>5825</v>
      </c>
      <c r="D1673" s="8" t="s">
        <v>5819</v>
      </c>
      <c r="E1673" s="106" t="s">
        <v>336</v>
      </c>
      <c r="F1673" s="106" t="s">
        <v>5822</v>
      </c>
      <c r="G1673" s="107">
        <v>189</v>
      </c>
      <c r="H1673" s="5">
        <f>0.7*0.95</f>
        <v>0.66499999999999992</v>
      </c>
      <c r="I1673" s="20">
        <f t="shared" si="33"/>
        <v>125.68499999999999</v>
      </c>
      <c r="J1673" s="6" t="s">
        <v>357</v>
      </c>
    </row>
    <row r="1674" spans="1:10" hidden="1">
      <c r="A1674" s="9">
        <v>45575</v>
      </c>
      <c r="B1674" s="6" t="s">
        <v>5828</v>
      </c>
      <c r="C1674" s="5" t="s">
        <v>5827</v>
      </c>
      <c r="D1674" s="8" t="s">
        <v>5819</v>
      </c>
      <c r="E1674" s="106" t="s">
        <v>336</v>
      </c>
      <c r="F1674" s="106" t="s">
        <v>5822</v>
      </c>
      <c r="G1674" s="107">
        <v>266</v>
      </c>
      <c r="H1674" s="5">
        <f>0.7*0.95</f>
        <v>0.66499999999999992</v>
      </c>
      <c r="I1674" s="20">
        <f t="shared" si="33"/>
        <v>176.89</v>
      </c>
      <c r="J1674" s="6" t="s">
        <v>512</v>
      </c>
    </row>
    <row r="1675" spans="1:10" hidden="1">
      <c r="A1675" s="9">
        <v>45575</v>
      </c>
      <c r="B1675" s="6" t="s">
        <v>5830</v>
      </c>
      <c r="C1675" s="5" t="s">
        <v>5829</v>
      </c>
      <c r="D1675" s="8" t="s">
        <v>5819</v>
      </c>
      <c r="E1675" s="106" t="s">
        <v>336</v>
      </c>
      <c r="F1675" s="106" t="s">
        <v>5822</v>
      </c>
      <c r="G1675" s="107">
        <v>327</v>
      </c>
      <c r="H1675" s="5">
        <f>0.7*0.95</f>
        <v>0.66499999999999992</v>
      </c>
      <c r="I1675" s="20">
        <f t="shared" si="33"/>
        <v>217.45499999999998</v>
      </c>
      <c r="J1675" s="6" t="s">
        <v>357</v>
      </c>
    </row>
    <row r="1676" spans="1:10" hidden="1">
      <c r="A1676" s="10">
        <v>43835</v>
      </c>
      <c r="B1676" s="6" t="s">
        <v>301</v>
      </c>
      <c r="C1676" s="5" t="s">
        <v>300</v>
      </c>
      <c r="D1676" s="8" t="s">
        <v>2444</v>
      </c>
      <c r="E1676" s="6" t="s">
        <v>2445</v>
      </c>
      <c r="F1676" s="6" t="s">
        <v>411</v>
      </c>
      <c r="G1676" s="5">
        <v>6</v>
      </c>
      <c r="H1676" s="5">
        <v>1</v>
      </c>
      <c r="I1676" s="20">
        <f t="shared" si="33"/>
        <v>6</v>
      </c>
      <c r="J1676" s="6" t="s">
        <v>357</v>
      </c>
    </row>
    <row r="1677" spans="1:10" hidden="1">
      <c r="A1677" s="9">
        <v>45889</v>
      </c>
      <c r="B1677" s="216" t="s">
        <v>7437</v>
      </c>
      <c r="C1677" s="5" t="s">
        <v>7438</v>
      </c>
      <c r="D1677" s="8" t="s">
        <v>7433</v>
      </c>
      <c r="E1677" s="25" t="s">
        <v>1424</v>
      </c>
      <c r="F1677" s="25" t="s">
        <v>411</v>
      </c>
      <c r="G1677" s="31">
        <v>32</v>
      </c>
      <c r="H1677" s="5">
        <v>1</v>
      </c>
      <c r="I1677" s="20">
        <f t="shared" si="33"/>
        <v>32</v>
      </c>
      <c r="J1677" s="6" t="s">
        <v>357</v>
      </c>
    </row>
    <row r="1678" spans="1:10" hidden="1">
      <c r="A1678" s="9">
        <v>45889</v>
      </c>
      <c r="B1678" s="216" t="s">
        <v>7431</v>
      </c>
      <c r="C1678" s="5" t="s">
        <v>7432</v>
      </c>
      <c r="D1678" s="8" t="s">
        <v>7433</v>
      </c>
      <c r="E1678" s="25" t="s">
        <v>2163</v>
      </c>
      <c r="F1678" s="25" t="s">
        <v>411</v>
      </c>
      <c r="G1678" s="31">
        <v>45</v>
      </c>
      <c r="H1678" s="5">
        <v>1</v>
      </c>
      <c r="I1678" s="20">
        <f t="shared" si="33"/>
        <v>45</v>
      </c>
      <c r="J1678" s="6" t="s">
        <v>357</v>
      </c>
    </row>
    <row r="1679" spans="1:10" hidden="1">
      <c r="A1679" s="9">
        <v>45889</v>
      </c>
      <c r="B1679" s="216" t="s">
        <v>7439</v>
      </c>
      <c r="C1679" s="5" t="s">
        <v>7440</v>
      </c>
      <c r="D1679" s="8" t="s">
        <v>7433</v>
      </c>
      <c r="E1679" s="25" t="s">
        <v>1424</v>
      </c>
      <c r="F1679" s="25" t="s">
        <v>411</v>
      </c>
      <c r="G1679" s="31">
        <v>75</v>
      </c>
      <c r="H1679" s="5">
        <v>1</v>
      </c>
      <c r="I1679" s="20">
        <f t="shared" si="33"/>
        <v>75</v>
      </c>
      <c r="J1679" s="6" t="s">
        <v>357</v>
      </c>
    </row>
    <row r="1680" spans="1:10" hidden="1">
      <c r="A1680" s="10">
        <v>44295</v>
      </c>
      <c r="B1680" s="6" t="s">
        <v>2448</v>
      </c>
      <c r="C1680" s="5" t="s">
        <v>2446</v>
      </c>
      <c r="D1680" s="8" t="s">
        <v>2447</v>
      </c>
      <c r="E1680" s="6" t="s">
        <v>1435</v>
      </c>
      <c r="F1680" s="6" t="s">
        <v>411</v>
      </c>
      <c r="G1680" s="5">
        <v>19.5</v>
      </c>
      <c r="H1680" s="5">
        <v>1</v>
      </c>
      <c r="I1680" s="20">
        <f t="shared" si="33"/>
        <v>19.5</v>
      </c>
      <c r="J1680" s="6" t="s">
        <v>357</v>
      </c>
    </row>
    <row r="1681" spans="1:10" hidden="1">
      <c r="A1681" s="10">
        <v>44295</v>
      </c>
      <c r="B1681" s="6" t="s">
        <v>2450</v>
      </c>
      <c r="C1681" s="5" t="s">
        <v>2449</v>
      </c>
      <c r="D1681" s="8" t="s">
        <v>2447</v>
      </c>
      <c r="E1681" s="6" t="s">
        <v>1435</v>
      </c>
      <c r="F1681" s="6" t="s">
        <v>411</v>
      </c>
      <c r="G1681" s="5">
        <v>29</v>
      </c>
      <c r="H1681" s="5">
        <v>1</v>
      </c>
      <c r="I1681" s="20">
        <f t="shared" si="33"/>
        <v>29</v>
      </c>
      <c r="J1681" s="6" t="s">
        <v>357</v>
      </c>
    </row>
    <row r="1682" spans="1:10" ht="30" hidden="1">
      <c r="A1682" s="10">
        <v>44295</v>
      </c>
      <c r="B1682" s="6" t="s">
        <v>2452</v>
      </c>
      <c r="C1682" s="5" t="s">
        <v>2451</v>
      </c>
      <c r="D1682" s="8" t="s">
        <v>2447</v>
      </c>
      <c r="E1682" s="6" t="s">
        <v>1435</v>
      </c>
      <c r="F1682" s="6" t="s">
        <v>411</v>
      </c>
      <c r="G1682" s="5">
        <v>16.5</v>
      </c>
      <c r="H1682" s="5">
        <v>1</v>
      </c>
      <c r="I1682" s="20">
        <f t="shared" si="33"/>
        <v>16.5</v>
      </c>
      <c r="J1682" s="6" t="s">
        <v>357</v>
      </c>
    </row>
    <row r="1683" spans="1:10" ht="30" hidden="1">
      <c r="A1683" s="10">
        <v>44295</v>
      </c>
      <c r="B1683" s="6" t="s">
        <v>2454</v>
      </c>
      <c r="C1683" s="5" t="s">
        <v>2453</v>
      </c>
      <c r="D1683" s="8" t="s">
        <v>2447</v>
      </c>
      <c r="E1683" s="6" t="s">
        <v>1435</v>
      </c>
      <c r="F1683" s="6" t="s">
        <v>411</v>
      </c>
      <c r="G1683" s="5">
        <v>49</v>
      </c>
      <c r="H1683" s="5">
        <v>1</v>
      </c>
      <c r="I1683" s="20">
        <f t="shared" si="33"/>
        <v>49</v>
      </c>
      <c r="J1683" s="6" t="s">
        <v>357</v>
      </c>
    </row>
    <row r="1684" spans="1:10" hidden="1">
      <c r="A1684" s="10">
        <v>44295</v>
      </c>
      <c r="B1684" s="6" t="s">
        <v>2456</v>
      </c>
      <c r="C1684" s="5" t="s">
        <v>2455</v>
      </c>
      <c r="D1684" s="8" t="s">
        <v>2447</v>
      </c>
      <c r="E1684" s="6" t="s">
        <v>1435</v>
      </c>
      <c r="F1684" s="6" t="s">
        <v>411</v>
      </c>
      <c r="G1684" s="5">
        <v>150</v>
      </c>
      <c r="H1684" s="5">
        <v>1</v>
      </c>
      <c r="I1684" s="20">
        <f t="shared" si="33"/>
        <v>150</v>
      </c>
      <c r="J1684" s="6" t="s">
        <v>357</v>
      </c>
    </row>
    <row r="1685" spans="1:10" ht="30" hidden="1">
      <c r="A1685" s="10">
        <v>44295</v>
      </c>
      <c r="B1685" s="6" t="s">
        <v>2458</v>
      </c>
      <c r="C1685" s="5" t="s">
        <v>2457</v>
      </c>
      <c r="D1685" s="8" t="s">
        <v>2447</v>
      </c>
      <c r="E1685" s="6" t="s">
        <v>1435</v>
      </c>
      <c r="F1685" s="6" t="s">
        <v>411</v>
      </c>
      <c r="G1685" s="5">
        <v>58</v>
      </c>
      <c r="H1685" s="5">
        <v>1</v>
      </c>
      <c r="I1685" s="20">
        <f t="shared" si="33"/>
        <v>58</v>
      </c>
      <c r="J1685" s="6" t="s">
        <v>357</v>
      </c>
    </row>
    <row r="1686" spans="1:10" ht="30" hidden="1">
      <c r="A1686" s="10">
        <v>44295</v>
      </c>
      <c r="B1686" s="6" t="s">
        <v>2460</v>
      </c>
      <c r="C1686" s="5" t="s">
        <v>2459</v>
      </c>
      <c r="D1686" s="8" t="s">
        <v>2447</v>
      </c>
      <c r="E1686" s="6" t="s">
        <v>1435</v>
      </c>
      <c r="F1686" s="6" t="s">
        <v>411</v>
      </c>
      <c r="G1686" s="5">
        <v>84</v>
      </c>
      <c r="H1686" s="5">
        <v>1</v>
      </c>
      <c r="I1686" s="20">
        <f t="shared" si="33"/>
        <v>84</v>
      </c>
      <c r="J1686" s="6" t="s">
        <v>357</v>
      </c>
    </row>
    <row r="1687" spans="1:10" ht="30" hidden="1">
      <c r="A1687" s="10">
        <v>44295</v>
      </c>
      <c r="B1687" s="6" t="s">
        <v>2462</v>
      </c>
      <c r="C1687" s="5" t="s">
        <v>2461</v>
      </c>
      <c r="D1687" s="8" t="s">
        <v>2447</v>
      </c>
      <c r="E1687" s="6" t="s">
        <v>1435</v>
      </c>
      <c r="F1687" s="6" t="s">
        <v>411</v>
      </c>
      <c r="G1687" s="5">
        <v>16.5</v>
      </c>
      <c r="H1687" s="5">
        <v>1</v>
      </c>
      <c r="I1687" s="20">
        <f t="shared" si="33"/>
        <v>16.5</v>
      </c>
      <c r="J1687" s="6" t="s">
        <v>357</v>
      </c>
    </row>
    <row r="1688" spans="1:10" ht="30" hidden="1">
      <c r="A1688" s="10">
        <v>43802</v>
      </c>
      <c r="B1688" s="6" t="s">
        <v>2464</v>
      </c>
      <c r="C1688" s="5" t="s">
        <v>2463</v>
      </c>
      <c r="D1688" s="8" t="s">
        <v>2447</v>
      </c>
      <c r="E1688" s="6" t="s">
        <v>1435</v>
      </c>
      <c r="F1688" s="6" t="s">
        <v>411</v>
      </c>
      <c r="G1688" s="5">
        <v>190</v>
      </c>
      <c r="H1688" s="5">
        <v>1</v>
      </c>
      <c r="I1688" s="20">
        <f t="shared" si="33"/>
        <v>190</v>
      </c>
      <c r="J1688" s="6" t="s">
        <v>357</v>
      </c>
    </row>
    <row r="1689" spans="1:10" ht="30" hidden="1">
      <c r="A1689" s="10">
        <v>43802</v>
      </c>
      <c r="B1689" s="6" t="s">
        <v>2466</v>
      </c>
      <c r="C1689" s="5" t="s">
        <v>2465</v>
      </c>
      <c r="D1689" s="8" t="s">
        <v>2447</v>
      </c>
      <c r="E1689" s="6" t="s">
        <v>1435</v>
      </c>
      <c r="F1689" s="6" t="s">
        <v>411</v>
      </c>
      <c r="G1689" s="5">
        <v>215</v>
      </c>
      <c r="H1689" s="5">
        <v>1</v>
      </c>
      <c r="I1689" s="20">
        <f t="shared" si="33"/>
        <v>215</v>
      </c>
      <c r="J1689" s="6" t="s">
        <v>357</v>
      </c>
    </row>
    <row r="1690" spans="1:10" ht="30" hidden="1">
      <c r="A1690" s="10">
        <v>43802</v>
      </c>
      <c r="B1690" s="6" t="s">
        <v>2468</v>
      </c>
      <c r="C1690" s="5" t="s">
        <v>2467</v>
      </c>
      <c r="D1690" s="8" t="s">
        <v>2447</v>
      </c>
      <c r="E1690" s="6" t="s">
        <v>1435</v>
      </c>
      <c r="F1690" s="6" t="s">
        <v>411</v>
      </c>
      <c r="G1690" s="5">
        <v>380</v>
      </c>
      <c r="H1690" s="5">
        <v>1</v>
      </c>
      <c r="I1690" s="20">
        <f t="shared" si="33"/>
        <v>380</v>
      </c>
      <c r="J1690" s="6" t="s">
        <v>357</v>
      </c>
    </row>
    <row r="1691" spans="1:10" ht="30" hidden="1">
      <c r="A1691" s="10">
        <v>43802</v>
      </c>
      <c r="B1691" s="6" t="s">
        <v>2470</v>
      </c>
      <c r="C1691" s="5" t="s">
        <v>2469</v>
      </c>
      <c r="D1691" s="8" t="s">
        <v>2447</v>
      </c>
      <c r="E1691" s="6" t="s">
        <v>1435</v>
      </c>
      <c r="F1691" s="6" t="s">
        <v>411</v>
      </c>
      <c r="G1691" s="5">
        <v>405</v>
      </c>
      <c r="H1691" s="5">
        <v>1</v>
      </c>
      <c r="I1691" s="20">
        <f t="shared" si="33"/>
        <v>405</v>
      </c>
      <c r="J1691" s="6" t="s">
        <v>357</v>
      </c>
    </row>
    <row r="1692" spans="1:10" ht="30" hidden="1">
      <c r="A1692" s="10">
        <v>43802</v>
      </c>
      <c r="B1692" s="6" t="s">
        <v>2472</v>
      </c>
      <c r="C1692" s="5" t="s">
        <v>2471</v>
      </c>
      <c r="D1692" s="8" t="s">
        <v>2447</v>
      </c>
      <c r="E1692" s="6" t="s">
        <v>1435</v>
      </c>
      <c r="F1692" s="6" t="s">
        <v>411</v>
      </c>
      <c r="G1692" s="5">
        <v>780</v>
      </c>
      <c r="H1692" s="5">
        <v>1</v>
      </c>
      <c r="I1692" s="20">
        <f t="shared" si="33"/>
        <v>780</v>
      </c>
      <c r="J1692" s="6" t="s">
        <v>357</v>
      </c>
    </row>
    <row r="1693" spans="1:10" ht="30" hidden="1">
      <c r="A1693" s="10">
        <v>43802</v>
      </c>
      <c r="B1693" s="6" t="s">
        <v>2474</v>
      </c>
      <c r="C1693" s="5" t="s">
        <v>2473</v>
      </c>
      <c r="D1693" s="8" t="s">
        <v>2447</v>
      </c>
      <c r="E1693" s="6" t="s">
        <v>1435</v>
      </c>
      <c r="F1693" s="6" t="s">
        <v>411</v>
      </c>
      <c r="G1693" s="5">
        <v>190</v>
      </c>
      <c r="H1693" s="5">
        <v>1</v>
      </c>
      <c r="I1693" s="20">
        <f t="shared" si="33"/>
        <v>190</v>
      </c>
      <c r="J1693" s="6" t="s">
        <v>357</v>
      </c>
    </row>
    <row r="1694" spans="1:10" ht="30" hidden="1">
      <c r="A1694" s="9">
        <v>45294</v>
      </c>
      <c r="B1694" s="6" t="s">
        <v>2477</v>
      </c>
      <c r="C1694" s="5" t="s">
        <v>2475</v>
      </c>
      <c r="D1694" s="8" t="s">
        <v>2476</v>
      </c>
      <c r="E1694" s="6" t="s">
        <v>410</v>
      </c>
      <c r="F1694" s="6" t="s">
        <v>686</v>
      </c>
      <c r="G1694" s="5">
        <v>209</v>
      </c>
      <c r="H1694" s="5">
        <v>1</v>
      </c>
      <c r="I1694" s="20">
        <f t="shared" si="33"/>
        <v>209</v>
      </c>
      <c r="J1694" s="6" t="s">
        <v>357</v>
      </c>
    </row>
    <row r="1695" spans="1:10" hidden="1">
      <c r="A1695" s="10">
        <v>43661</v>
      </c>
      <c r="B1695" s="6" t="s">
        <v>2480</v>
      </c>
      <c r="C1695" s="5" t="s">
        <v>2478</v>
      </c>
      <c r="D1695" s="8" t="s">
        <v>2479</v>
      </c>
      <c r="E1695" s="6" t="s">
        <v>2481</v>
      </c>
      <c r="F1695" s="6" t="s">
        <v>411</v>
      </c>
      <c r="G1695" s="5">
        <v>100</v>
      </c>
      <c r="H1695" s="5">
        <v>1</v>
      </c>
      <c r="I1695" s="20">
        <f t="shared" si="33"/>
        <v>100</v>
      </c>
      <c r="J1695" s="6" t="s">
        <v>357</v>
      </c>
    </row>
    <row r="1696" spans="1:10" ht="30" hidden="1">
      <c r="A1696" s="9">
        <v>45889</v>
      </c>
      <c r="B1696" s="216" t="s">
        <v>7434</v>
      </c>
      <c r="C1696" s="5" t="s">
        <v>7435</v>
      </c>
      <c r="D1696" s="8" t="s">
        <v>7436</v>
      </c>
      <c r="E1696" s="25" t="s">
        <v>1425</v>
      </c>
      <c r="F1696" s="25" t="s">
        <v>411</v>
      </c>
      <c r="G1696" s="31">
        <v>65</v>
      </c>
      <c r="H1696" s="5">
        <v>1</v>
      </c>
      <c r="I1696" s="20">
        <f t="shared" si="33"/>
        <v>65</v>
      </c>
      <c r="J1696" s="6" t="s">
        <v>357</v>
      </c>
    </row>
    <row r="1697" spans="1:10" hidden="1">
      <c r="A1697" s="29">
        <v>45397</v>
      </c>
      <c r="B1697" s="6" t="s">
        <v>2487</v>
      </c>
      <c r="C1697" s="5" t="s">
        <v>2485</v>
      </c>
      <c r="D1697" s="8" t="s">
        <v>2486</v>
      </c>
      <c r="E1697" s="6" t="s">
        <v>466</v>
      </c>
      <c r="F1697" s="6" t="s">
        <v>2488</v>
      </c>
      <c r="G1697" s="5">
        <f>668*1.03</f>
        <v>688.04</v>
      </c>
      <c r="H1697" s="5">
        <f t="shared" ref="H1697:H1728" si="34">0.5*0.9*0.9*0.9*0.9*0.9</f>
        <v>0.29524500000000009</v>
      </c>
      <c r="I1697" s="20">
        <f t="shared" si="33"/>
        <v>203.14036980000006</v>
      </c>
      <c r="J1697" s="6" t="s">
        <v>357</v>
      </c>
    </row>
    <row r="1698" spans="1:10" hidden="1">
      <c r="A1698" s="29">
        <v>45397</v>
      </c>
      <c r="B1698" s="6" t="s">
        <v>2490</v>
      </c>
      <c r="C1698" s="5" t="s">
        <v>2489</v>
      </c>
      <c r="D1698" s="8" t="s">
        <v>2486</v>
      </c>
      <c r="E1698" s="6" t="s">
        <v>466</v>
      </c>
      <c r="F1698" s="6" t="s">
        <v>2488</v>
      </c>
      <c r="G1698" s="5">
        <f>593*1.03</f>
        <v>610.79</v>
      </c>
      <c r="H1698" s="5">
        <f t="shared" si="34"/>
        <v>0.29524500000000009</v>
      </c>
      <c r="I1698" s="20">
        <f t="shared" si="33"/>
        <v>180.33269355000004</v>
      </c>
      <c r="J1698" s="6" t="s">
        <v>357</v>
      </c>
    </row>
    <row r="1699" spans="1:10" hidden="1">
      <c r="A1699" s="29">
        <v>45397</v>
      </c>
      <c r="B1699" s="6" t="s">
        <v>2492</v>
      </c>
      <c r="C1699" s="5" t="s">
        <v>2491</v>
      </c>
      <c r="D1699" s="8" t="s">
        <v>2486</v>
      </c>
      <c r="E1699" s="6" t="s">
        <v>466</v>
      </c>
      <c r="F1699" s="6" t="s">
        <v>2488</v>
      </c>
      <c r="G1699" s="5">
        <f>1017*1.03</f>
        <v>1047.51</v>
      </c>
      <c r="H1699" s="5">
        <f t="shared" si="34"/>
        <v>0.29524500000000009</v>
      </c>
      <c r="I1699" s="20">
        <f t="shared" si="33"/>
        <v>309.27208995000007</v>
      </c>
      <c r="J1699" s="6" t="s">
        <v>357</v>
      </c>
    </row>
    <row r="1700" spans="1:10" hidden="1">
      <c r="A1700" s="29">
        <v>45397</v>
      </c>
      <c r="B1700" s="6" t="s">
        <v>2494</v>
      </c>
      <c r="C1700" s="5" t="s">
        <v>2493</v>
      </c>
      <c r="D1700" s="8" t="s">
        <v>2486</v>
      </c>
      <c r="E1700" s="6" t="s">
        <v>466</v>
      </c>
      <c r="F1700" s="6" t="s">
        <v>2488</v>
      </c>
      <c r="G1700" s="5">
        <f>1078*1.03</f>
        <v>1110.3399999999999</v>
      </c>
      <c r="H1700" s="5">
        <f t="shared" si="34"/>
        <v>0.29524500000000009</v>
      </c>
      <c r="I1700" s="20">
        <f t="shared" si="33"/>
        <v>327.82233330000008</v>
      </c>
      <c r="J1700" s="6" t="s">
        <v>357</v>
      </c>
    </row>
    <row r="1701" spans="1:10" hidden="1">
      <c r="A1701" s="29">
        <v>45397</v>
      </c>
      <c r="B1701" s="6" t="s">
        <v>2495</v>
      </c>
      <c r="C1701" s="5" t="s">
        <v>1396</v>
      </c>
      <c r="D1701" s="8" t="s">
        <v>2486</v>
      </c>
      <c r="E1701" s="6" t="s">
        <v>466</v>
      </c>
      <c r="F1701" s="6" t="s">
        <v>2488</v>
      </c>
      <c r="G1701" s="5">
        <f>1186*1.03</f>
        <v>1221.58</v>
      </c>
      <c r="H1701" s="5">
        <f t="shared" si="34"/>
        <v>0.29524500000000009</v>
      </c>
      <c r="I1701" s="20">
        <f t="shared" si="33"/>
        <v>360.66538710000009</v>
      </c>
      <c r="J1701" s="6" t="s">
        <v>357</v>
      </c>
    </row>
    <row r="1702" spans="1:10" hidden="1">
      <c r="A1702" s="29">
        <v>45397</v>
      </c>
      <c r="B1702" s="6" t="s">
        <v>2497</v>
      </c>
      <c r="C1702" s="5" t="s">
        <v>2496</v>
      </c>
      <c r="D1702" s="8" t="s">
        <v>2486</v>
      </c>
      <c r="E1702" s="6" t="s">
        <v>466</v>
      </c>
      <c r="F1702" s="6" t="s">
        <v>2488</v>
      </c>
      <c r="G1702" s="5">
        <f>1423*1.03</f>
        <v>1465.69</v>
      </c>
      <c r="H1702" s="5">
        <f t="shared" si="34"/>
        <v>0.29524500000000009</v>
      </c>
      <c r="I1702" s="20">
        <f t="shared" si="33"/>
        <v>432.73764405000014</v>
      </c>
      <c r="J1702" s="6" t="s">
        <v>357</v>
      </c>
    </row>
    <row r="1703" spans="1:10" hidden="1">
      <c r="A1703" s="29">
        <v>45397</v>
      </c>
      <c r="B1703" s="6" t="s">
        <v>2499</v>
      </c>
      <c r="C1703" s="5" t="s">
        <v>2498</v>
      </c>
      <c r="D1703" s="8" t="s">
        <v>2486</v>
      </c>
      <c r="E1703" s="6" t="s">
        <v>466</v>
      </c>
      <c r="F1703" s="6" t="s">
        <v>2488</v>
      </c>
      <c r="G1703" s="5">
        <f>1423*1.03</f>
        <v>1465.69</v>
      </c>
      <c r="H1703" s="5">
        <f t="shared" si="34"/>
        <v>0.29524500000000009</v>
      </c>
      <c r="I1703" s="20">
        <f t="shared" si="33"/>
        <v>432.73764405000014</v>
      </c>
      <c r="J1703" s="6" t="s">
        <v>357</v>
      </c>
    </row>
    <row r="1704" spans="1:10" hidden="1">
      <c r="A1704" s="29">
        <v>45397</v>
      </c>
      <c r="B1704" s="6" t="s">
        <v>2501</v>
      </c>
      <c r="C1704" s="5" t="s">
        <v>2500</v>
      </c>
      <c r="D1704" s="8" t="s">
        <v>2486</v>
      </c>
      <c r="E1704" s="6" t="s">
        <v>466</v>
      </c>
      <c r="F1704" s="6" t="s">
        <v>2488</v>
      </c>
      <c r="G1704" s="5">
        <f>1525*1.03</f>
        <v>1570.75</v>
      </c>
      <c r="H1704" s="5">
        <f t="shared" si="34"/>
        <v>0.29524500000000009</v>
      </c>
      <c r="I1704" s="20">
        <f t="shared" si="33"/>
        <v>463.75608375000013</v>
      </c>
      <c r="J1704" s="6" t="s">
        <v>357</v>
      </c>
    </row>
    <row r="1705" spans="1:10" hidden="1">
      <c r="A1705" s="29">
        <v>45397</v>
      </c>
      <c r="B1705" s="6" t="s">
        <v>2503</v>
      </c>
      <c r="C1705" s="5" t="s">
        <v>2502</v>
      </c>
      <c r="D1705" s="8" t="s">
        <v>2486</v>
      </c>
      <c r="E1705" s="6" t="s">
        <v>466</v>
      </c>
      <c r="F1705" s="6" t="s">
        <v>2488</v>
      </c>
      <c r="G1705" s="5">
        <f>2236*1.03</f>
        <v>2303.08</v>
      </c>
      <c r="H1705" s="5">
        <f t="shared" si="34"/>
        <v>0.29524500000000009</v>
      </c>
      <c r="I1705" s="20">
        <f t="shared" si="33"/>
        <v>679.97285460000023</v>
      </c>
      <c r="J1705" s="6" t="s">
        <v>357</v>
      </c>
    </row>
    <row r="1706" spans="1:10" hidden="1">
      <c r="A1706" s="29">
        <v>45397</v>
      </c>
      <c r="B1706" s="6" t="s">
        <v>2505</v>
      </c>
      <c r="C1706" s="5" t="s">
        <v>2504</v>
      </c>
      <c r="D1706" s="8" t="s">
        <v>2486</v>
      </c>
      <c r="E1706" s="6" t="s">
        <v>466</v>
      </c>
      <c r="F1706" s="6" t="s">
        <v>2488</v>
      </c>
      <c r="G1706" s="5">
        <f>2913*1.03</f>
        <v>3000.39</v>
      </c>
      <c r="H1706" s="5">
        <f t="shared" si="34"/>
        <v>0.29524500000000009</v>
      </c>
      <c r="I1706" s="20">
        <f t="shared" si="33"/>
        <v>885.85014555000021</v>
      </c>
      <c r="J1706" s="6" t="s">
        <v>357</v>
      </c>
    </row>
    <row r="1707" spans="1:10" hidden="1">
      <c r="A1707" s="29">
        <v>45397</v>
      </c>
      <c r="B1707" s="6" t="s">
        <v>2507</v>
      </c>
      <c r="C1707" s="5" t="s">
        <v>2506</v>
      </c>
      <c r="D1707" s="8" t="s">
        <v>2486</v>
      </c>
      <c r="E1707" s="6" t="s">
        <v>466</v>
      </c>
      <c r="F1707" s="6" t="s">
        <v>2488</v>
      </c>
      <c r="G1707" s="5">
        <f>542*1.03</f>
        <v>558.26</v>
      </c>
      <c r="H1707" s="5">
        <f t="shared" si="34"/>
        <v>0.29524500000000009</v>
      </c>
      <c r="I1707" s="20">
        <f t="shared" si="33"/>
        <v>164.82347370000005</v>
      </c>
      <c r="J1707" s="6" t="s">
        <v>357</v>
      </c>
    </row>
    <row r="1708" spans="1:10" hidden="1">
      <c r="A1708" s="29">
        <v>45397</v>
      </c>
      <c r="B1708" s="6" t="s">
        <v>2509</v>
      </c>
      <c r="C1708" s="5" t="s">
        <v>2508</v>
      </c>
      <c r="D1708" s="8" t="s">
        <v>2486</v>
      </c>
      <c r="E1708" s="6" t="s">
        <v>466</v>
      </c>
      <c r="F1708" s="6" t="s">
        <v>2488</v>
      </c>
      <c r="G1708" s="5">
        <f>807*1.03</f>
        <v>831.21</v>
      </c>
      <c r="H1708" s="5">
        <f t="shared" si="34"/>
        <v>0.29524500000000009</v>
      </c>
      <c r="I1708" s="20">
        <f t="shared" si="33"/>
        <v>245.4105964500001</v>
      </c>
      <c r="J1708" s="6" t="s">
        <v>357</v>
      </c>
    </row>
    <row r="1709" spans="1:10" hidden="1">
      <c r="A1709" s="29">
        <v>45397</v>
      </c>
      <c r="B1709" s="6" t="s">
        <v>2511</v>
      </c>
      <c r="C1709" s="5" t="s">
        <v>2510</v>
      </c>
      <c r="D1709" s="8" t="s">
        <v>2486</v>
      </c>
      <c r="E1709" s="6" t="s">
        <v>466</v>
      </c>
      <c r="F1709" s="6" t="s">
        <v>2488</v>
      </c>
      <c r="G1709" s="5">
        <f>434*1.03</f>
        <v>447.02000000000004</v>
      </c>
      <c r="H1709" s="5">
        <f t="shared" si="34"/>
        <v>0.29524500000000009</v>
      </c>
      <c r="I1709" s="20">
        <f t="shared" si="33"/>
        <v>131.98041990000004</v>
      </c>
      <c r="J1709" s="6" t="s">
        <v>357</v>
      </c>
    </row>
    <row r="1710" spans="1:10" hidden="1">
      <c r="A1710" s="29">
        <v>45397</v>
      </c>
      <c r="B1710" s="6" t="s">
        <v>2513</v>
      </c>
      <c r="C1710" s="5" t="s">
        <v>2512</v>
      </c>
      <c r="D1710" s="8" t="s">
        <v>2486</v>
      </c>
      <c r="E1710" s="6" t="s">
        <v>466</v>
      </c>
      <c r="F1710" s="6" t="s">
        <v>2488</v>
      </c>
      <c r="G1710" s="5">
        <f>668*1.03</f>
        <v>688.04</v>
      </c>
      <c r="H1710" s="5">
        <f t="shared" si="34"/>
        <v>0.29524500000000009</v>
      </c>
      <c r="I1710" s="20">
        <f t="shared" si="33"/>
        <v>203.14036980000006</v>
      </c>
      <c r="J1710" s="6" t="s">
        <v>357</v>
      </c>
    </row>
    <row r="1711" spans="1:10" hidden="1">
      <c r="A1711" s="29">
        <v>45397</v>
      </c>
      <c r="B1711" s="6" t="s">
        <v>2515</v>
      </c>
      <c r="C1711" s="5" t="s">
        <v>2514</v>
      </c>
      <c r="D1711" s="8" t="s">
        <v>2486</v>
      </c>
      <c r="E1711" s="6" t="s">
        <v>466</v>
      </c>
      <c r="F1711" s="6" t="s">
        <v>2488</v>
      </c>
      <c r="G1711" s="5">
        <f>1999*1.03</f>
        <v>2058.9700000000003</v>
      </c>
      <c r="H1711" s="5">
        <f t="shared" si="34"/>
        <v>0.29524500000000009</v>
      </c>
      <c r="I1711" s="20">
        <f t="shared" si="33"/>
        <v>607.90059765000024</v>
      </c>
      <c r="J1711" s="6" t="s">
        <v>357</v>
      </c>
    </row>
    <row r="1712" spans="1:10" hidden="1">
      <c r="A1712" s="29">
        <v>45397</v>
      </c>
      <c r="B1712" s="6" t="s">
        <v>2517</v>
      </c>
      <c r="C1712" s="5" t="s">
        <v>2516</v>
      </c>
      <c r="D1712" s="8" t="s">
        <v>2486</v>
      </c>
      <c r="E1712" s="6" t="s">
        <v>466</v>
      </c>
      <c r="F1712" s="6" t="s">
        <v>2488</v>
      </c>
      <c r="G1712" s="5">
        <f>2642*1.03</f>
        <v>2721.26</v>
      </c>
      <c r="H1712" s="5">
        <f t="shared" si="34"/>
        <v>0.29524500000000009</v>
      </c>
      <c r="I1712" s="20">
        <f t="shared" si="33"/>
        <v>803.43840870000031</v>
      </c>
      <c r="J1712" s="6" t="s">
        <v>357</v>
      </c>
    </row>
    <row r="1713" spans="1:10" hidden="1">
      <c r="A1713" s="29">
        <v>45397</v>
      </c>
      <c r="B1713" s="6" t="s">
        <v>2519</v>
      </c>
      <c r="C1713" s="5" t="s">
        <v>2518</v>
      </c>
      <c r="D1713" s="8" t="s">
        <v>2486</v>
      </c>
      <c r="E1713" s="6" t="s">
        <v>466</v>
      </c>
      <c r="F1713" s="6" t="s">
        <v>2488</v>
      </c>
      <c r="G1713" s="5">
        <f>265*1.03</f>
        <v>272.95</v>
      </c>
      <c r="H1713" s="5">
        <f t="shared" si="34"/>
        <v>0.29524500000000009</v>
      </c>
      <c r="I1713" s="20">
        <f t="shared" si="33"/>
        <v>80.58712275000002</v>
      </c>
      <c r="J1713" s="6" t="s">
        <v>357</v>
      </c>
    </row>
    <row r="1714" spans="1:10" hidden="1">
      <c r="A1714" s="29">
        <v>45397</v>
      </c>
      <c r="B1714" s="6" t="s">
        <v>2521</v>
      </c>
      <c r="C1714" s="5" t="s">
        <v>2520</v>
      </c>
      <c r="D1714" s="8" t="s">
        <v>2486</v>
      </c>
      <c r="E1714" s="6" t="s">
        <v>466</v>
      </c>
      <c r="F1714" s="6" t="s">
        <v>2488</v>
      </c>
      <c r="G1714" s="5">
        <f>288*1.03</f>
        <v>296.64</v>
      </c>
      <c r="H1714" s="5">
        <f t="shared" si="34"/>
        <v>0.29524500000000009</v>
      </c>
      <c r="I1714" s="20">
        <f t="shared" si="33"/>
        <v>87.581476800000019</v>
      </c>
      <c r="J1714" s="6" t="s">
        <v>357</v>
      </c>
    </row>
    <row r="1715" spans="1:10" hidden="1">
      <c r="A1715" s="29">
        <v>45397</v>
      </c>
      <c r="B1715" s="6" t="s">
        <v>2523</v>
      </c>
      <c r="C1715" s="5" t="s">
        <v>2522</v>
      </c>
      <c r="D1715" s="8" t="s">
        <v>2486</v>
      </c>
      <c r="E1715" s="6" t="s">
        <v>466</v>
      </c>
      <c r="F1715" s="6" t="s">
        <v>2488</v>
      </c>
      <c r="G1715" s="5">
        <f>265*1.03</f>
        <v>272.95</v>
      </c>
      <c r="H1715" s="5">
        <f t="shared" si="34"/>
        <v>0.29524500000000009</v>
      </c>
      <c r="I1715" s="20">
        <f t="shared" si="33"/>
        <v>80.58712275000002</v>
      </c>
      <c r="J1715" s="6" t="s">
        <v>357</v>
      </c>
    </row>
    <row r="1716" spans="1:10" hidden="1">
      <c r="A1716" s="29">
        <v>45397</v>
      </c>
      <c r="B1716" s="6" t="s">
        <v>2525</v>
      </c>
      <c r="C1716" s="5" t="s">
        <v>2524</v>
      </c>
      <c r="D1716" s="8" t="s">
        <v>2486</v>
      </c>
      <c r="E1716" s="6" t="s">
        <v>466</v>
      </c>
      <c r="F1716" s="6" t="s">
        <v>2488</v>
      </c>
      <c r="G1716" s="5">
        <f>305*1.03</f>
        <v>314.15000000000003</v>
      </c>
      <c r="H1716" s="5">
        <f t="shared" si="34"/>
        <v>0.29524500000000009</v>
      </c>
      <c r="I1716" s="20">
        <f t="shared" si="33"/>
        <v>92.75121675000004</v>
      </c>
      <c r="J1716" s="6" t="s">
        <v>357</v>
      </c>
    </row>
    <row r="1717" spans="1:10" hidden="1">
      <c r="A1717" s="29">
        <v>45397</v>
      </c>
      <c r="B1717" s="6" t="s">
        <v>2527</v>
      </c>
      <c r="C1717" s="5" t="s">
        <v>2526</v>
      </c>
      <c r="D1717" s="8" t="s">
        <v>2486</v>
      </c>
      <c r="E1717" s="6" t="s">
        <v>466</v>
      </c>
      <c r="F1717" s="6" t="s">
        <v>2488</v>
      </c>
      <c r="G1717" s="5">
        <f>8468*1.03</f>
        <v>8722.0400000000009</v>
      </c>
      <c r="H1717" s="5">
        <f t="shared" si="34"/>
        <v>0.29524500000000009</v>
      </c>
      <c r="I1717" s="20">
        <f t="shared" si="33"/>
        <v>2575.1386998000012</v>
      </c>
      <c r="J1717" s="6" t="s">
        <v>357</v>
      </c>
    </row>
    <row r="1718" spans="1:10" hidden="1">
      <c r="A1718" s="29">
        <v>45397</v>
      </c>
      <c r="B1718" s="6" t="s">
        <v>2529</v>
      </c>
      <c r="C1718" s="5" t="s">
        <v>2528</v>
      </c>
      <c r="D1718" s="8" t="s">
        <v>2486</v>
      </c>
      <c r="E1718" s="6" t="s">
        <v>466</v>
      </c>
      <c r="F1718" s="6" t="s">
        <v>2488</v>
      </c>
      <c r="G1718" s="5">
        <f>11411*1.03</f>
        <v>11753.33</v>
      </c>
      <c r="H1718" s="5">
        <f t="shared" si="34"/>
        <v>0.29524500000000009</v>
      </c>
      <c r="I1718" s="20">
        <f t="shared" si="33"/>
        <v>3470.111915850001</v>
      </c>
      <c r="J1718" s="6" t="s">
        <v>357</v>
      </c>
    </row>
    <row r="1719" spans="1:10" hidden="1">
      <c r="A1719" s="29">
        <v>45397</v>
      </c>
      <c r="B1719" s="6" t="s">
        <v>2531</v>
      </c>
      <c r="C1719" s="5" t="s">
        <v>2530</v>
      </c>
      <c r="D1719" s="8" t="s">
        <v>2486</v>
      </c>
      <c r="E1719" s="6" t="s">
        <v>466</v>
      </c>
      <c r="F1719" s="6" t="s">
        <v>2488</v>
      </c>
      <c r="G1719" s="5">
        <f>434*1.03</f>
        <v>447.02000000000004</v>
      </c>
      <c r="H1719" s="5">
        <f t="shared" si="34"/>
        <v>0.29524500000000009</v>
      </c>
      <c r="I1719" s="20">
        <f t="shared" si="33"/>
        <v>131.98041990000004</v>
      </c>
      <c r="J1719" s="6" t="s">
        <v>357</v>
      </c>
    </row>
    <row r="1720" spans="1:10" hidden="1">
      <c r="A1720" s="29">
        <v>45397</v>
      </c>
      <c r="B1720" s="6" t="s">
        <v>2533</v>
      </c>
      <c r="C1720" s="5" t="s">
        <v>2532</v>
      </c>
      <c r="D1720" s="8" t="s">
        <v>2486</v>
      </c>
      <c r="E1720" s="6" t="s">
        <v>466</v>
      </c>
      <c r="F1720" s="6" t="s">
        <v>2488</v>
      </c>
      <c r="G1720" s="5">
        <f>468*1.03</f>
        <v>482.04</v>
      </c>
      <c r="H1720" s="5">
        <f t="shared" si="34"/>
        <v>0.29524500000000009</v>
      </c>
      <c r="I1720" s="20">
        <f t="shared" si="33"/>
        <v>142.31989980000006</v>
      </c>
      <c r="J1720" s="6" t="s">
        <v>357</v>
      </c>
    </row>
    <row r="1721" spans="1:10" hidden="1">
      <c r="A1721" s="29">
        <v>45397</v>
      </c>
      <c r="B1721" s="6" t="s">
        <v>2535</v>
      </c>
      <c r="C1721" s="5" t="s">
        <v>2534</v>
      </c>
      <c r="D1721" s="8" t="s">
        <v>2486</v>
      </c>
      <c r="E1721" s="6" t="s">
        <v>466</v>
      </c>
      <c r="F1721" s="6" t="s">
        <v>2488</v>
      </c>
      <c r="G1721" s="5">
        <f>593*1.03</f>
        <v>610.79</v>
      </c>
      <c r="H1721" s="5">
        <f t="shared" si="34"/>
        <v>0.29524500000000009</v>
      </c>
      <c r="I1721" s="20">
        <f t="shared" si="33"/>
        <v>180.33269355000004</v>
      </c>
      <c r="J1721" s="6" t="s">
        <v>357</v>
      </c>
    </row>
    <row r="1722" spans="1:10" hidden="1">
      <c r="A1722" s="29">
        <v>45397</v>
      </c>
      <c r="B1722" s="6" t="s">
        <v>2537</v>
      </c>
      <c r="C1722" s="5" t="s">
        <v>2536</v>
      </c>
      <c r="D1722" s="8" t="s">
        <v>2486</v>
      </c>
      <c r="E1722" s="6" t="s">
        <v>466</v>
      </c>
      <c r="F1722" s="6" t="s">
        <v>2488</v>
      </c>
      <c r="G1722" s="5">
        <f>6530*1.03</f>
        <v>6725.9000000000005</v>
      </c>
      <c r="H1722" s="5">
        <f t="shared" si="34"/>
        <v>0.29524500000000009</v>
      </c>
      <c r="I1722" s="20">
        <f t="shared" si="33"/>
        <v>1985.7883455000008</v>
      </c>
      <c r="J1722" s="6" t="s">
        <v>357</v>
      </c>
    </row>
    <row r="1723" spans="1:10" hidden="1">
      <c r="A1723" s="29">
        <v>45397</v>
      </c>
      <c r="B1723" s="6" t="s">
        <v>2539</v>
      </c>
      <c r="C1723" s="5" t="s">
        <v>2538</v>
      </c>
      <c r="D1723" s="8" t="s">
        <v>2486</v>
      </c>
      <c r="E1723" s="6" t="s">
        <v>466</v>
      </c>
      <c r="F1723" s="6" t="s">
        <v>2488</v>
      </c>
      <c r="G1723" s="5">
        <f>8973*1.03</f>
        <v>9242.19</v>
      </c>
      <c r="H1723" s="5">
        <f t="shared" si="34"/>
        <v>0.29524500000000009</v>
      </c>
      <c r="I1723" s="20">
        <f t="shared" si="33"/>
        <v>2728.7103865500012</v>
      </c>
      <c r="J1723" s="6" t="s">
        <v>357</v>
      </c>
    </row>
    <row r="1724" spans="1:10" hidden="1">
      <c r="A1724" s="29">
        <v>45397</v>
      </c>
      <c r="B1724" s="6" t="s">
        <v>2541</v>
      </c>
      <c r="C1724" s="5" t="s">
        <v>2540</v>
      </c>
      <c r="D1724" s="8" t="s">
        <v>2486</v>
      </c>
      <c r="E1724" s="6" t="s">
        <v>466</v>
      </c>
      <c r="F1724" s="6" t="s">
        <v>2488</v>
      </c>
      <c r="G1724" s="5">
        <f>820*1.03</f>
        <v>844.6</v>
      </c>
      <c r="H1724" s="5">
        <f t="shared" si="34"/>
        <v>0.29524500000000009</v>
      </c>
      <c r="I1724" s="20">
        <f t="shared" si="33"/>
        <v>249.36392700000007</v>
      </c>
      <c r="J1724" s="6" t="s">
        <v>357</v>
      </c>
    </row>
    <row r="1725" spans="1:10" hidden="1">
      <c r="A1725" s="29">
        <v>45397</v>
      </c>
      <c r="B1725" s="6" t="s">
        <v>2543</v>
      </c>
      <c r="C1725" s="5" t="s">
        <v>2542</v>
      </c>
      <c r="D1725" s="8" t="s">
        <v>2486</v>
      </c>
      <c r="E1725" s="6" t="s">
        <v>466</v>
      </c>
      <c r="F1725" s="6" t="s">
        <v>2488</v>
      </c>
      <c r="G1725" s="5">
        <f>830*1.03</f>
        <v>854.9</v>
      </c>
      <c r="H1725" s="5">
        <f t="shared" si="34"/>
        <v>0.29524500000000009</v>
      </c>
      <c r="I1725" s="20">
        <f t="shared" si="33"/>
        <v>252.40495050000007</v>
      </c>
      <c r="J1725" s="6" t="s">
        <v>357</v>
      </c>
    </row>
    <row r="1726" spans="1:10" hidden="1">
      <c r="A1726" s="29">
        <v>45397</v>
      </c>
      <c r="B1726" s="6" t="s">
        <v>2545</v>
      </c>
      <c r="C1726" s="5" t="s">
        <v>2544</v>
      </c>
      <c r="D1726" s="8" t="s">
        <v>2486</v>
      </c>
      <c r="E1726" s="6" t="s">
        <v>466</v>
      </c>
      <c r="F1726" s="6" t="s">
        <v>2488</v>
      </c>
      <c r="G1726" s="5">
        <f>932*1.03</f>
        <v>959.96</v>
      </c>
      <c r="H1726" s="5">
        <f t="shared" si="34"/>
        <v>0.29524500000000009</v>
      </c>
      <c r="I1726" s="20">
        <f t="shared" si="33"/>
        <v>283.42339020000009</v>
      </c>
      <c r="J1726" s="6" t="s">
        <v>357</v>
      </c>
    </row>
    <row r="1727" spans="1:10" hidden="1">
      <c r="A1727" s="29">
        <v>45397</v>
      </c>
      <c r="B1727" s="6" t="s">
        <v>2547</v>
      </c>
      <c r="C1727" s="5" t="s">
        <v>2546</v>
      </c>
      <c r="D1727" s="8" t="s">
        <v>2486</v>
      </c>
      <c r="E1727" s="6" t="s">
        <v>466</v>
      </c>
      <c r="F1727" s="6" t="s">
        <v>2488</v>
      </c>
      <c r="G1727" s="5">
        <f>1423*1.03</f>
        <v>1465.69</v>
      </c>
      <c r="H1727" s="5">
        <f t="shared" si="34"/>
        <v>0.29524500000000009</v>
      </c>
      <c r="I1727" s="20">
        <f t="shared" si="33"/>
        <v>432.73764405000014</v>
      </c>
      <c r="J1727" s="6" t="s">
        <v>357</v>
      </c>
    </row>
    <row r="1728" spans="1:10" hidden="1">
      <c r="A1728" s="29">
        <v>45397</v>
      </c>
      <c r="B1728" s="6" t="s">
        <v>2549</v>
      </c>
      <c r="C1728" s="5" t="s">
        <v>2548</v>
      </c>
      <c r="D1728" s="8" t="s">
        <v>2486</v>
      </c>
      <c r="E1728" s="6" t="s">
        <v>466</v>
      </c>
      <c r="F1728" s="6" t="s">
        <v>2488</v>
      </c>
      <c r="G1728" s="5">
        <f>1423*1.03</f>
        <v>1465.69</v>
      </c>
      <c r="H1728" s="5">
        <f t="shared" si="34"/>
        <v>0.29524500000000009</v>
      </c>
      <c r="I1728" s="20">
        <f t="shared" si="33"/>
        <v>432.73764405000014</v>
      </c>
      <c r="J1728" s="6" t="s">
        <v>357</v>
      </c>
    </row>
    <row r="1729" spans="1:10" hidden="1">
      <c r="A1729" s="29">
        <v>45397</v>
      </c>
      <c r="B1729" s="6" t="s">
        <v>2551</v>
      </c>
      <c r="C1729" s="5" t="s">
        <v>2550</v>
      </c>
      <c r="D1729" s="8" t="s">
        <v>2486</v>
      </c>
      <c r="E1729" s="6" t="s">
        <v>466</v>
      </c>
      <c r="F1729" s="6" t="s">
        <v>2488</v>
      </c>
      <c r="G1729" s="5">
        <f>1525*1.03</f>
        <v>1570.75</v>
      </c>
      <c r="H1729" s="5">
        <f t="shared" ref="H1729:H1754" si="35">0.5*0.9*0.9*0.9*0.9*0.9</f>
        <v>0.29524500000000009</v>
      </c>
      <c r="I1729" s="20">
        <f t="shared" si="33"/>
        <v>463.75608375000013</v>
      </c>
      <c r="J1729" s="6" t="s">
        <v>357</v>
      </c>
    </row>
    <row r="1730" spans="1:10" hidden="1">
      <c r="A1730" s="29">
        <v>45397</v>
      </c>
      <c r="B1730" s="6" t="s">
        <v>2553</v>
      </c>
      <c r="C1730" s="5" t="s">
        <v>2552</v>
      </c>
      <c r="D1730" s="8" t="s">
        <v>2486</v>
      </c>
      <c r="E1730" s="6" t="s">
        <v>466</v>
      </c>
      <c r="F1730" s="6" t="s">
        <v>2488</v>
      </c>
      <c r="G1730" s="5">
        <f>3658*1.03</f>
        <v>3767.7400000000002</v>
      </c>
      <c r="H1730" s="5">
        <f t="shared" si="35"/>
        <v>0.29524500000000009</v>
      </c>
      <c r="I1730" s="20">
        <f t="shared" si="33"/>
        <v>1112.4063963000003</v>
      </c>
      <c r="J1730" s="6" t="s">
        <v>357</v>
      </c>
    </row>
    <row r="1731" spans="1:10" hidden="1">
      <c r="A1731" s="29">
        <v>45397</v>
      </c>
      <c r="B1731" s="6" t="s">
        <v>2555</v>
      </c>
      <c r="C1731" s="5" t="s">
        <v>2554</v>
      </c>
      <c r="D1731" s="8" t="s">
        <v>2486</v>
      </c>
      <c r="E1731" s="6" t="s">
        <v>466</v>
      </c>
      <c r="F1731" s="6" t="s">
        <v>2488</v>
      </c>
      <c r="G1731" s="5">
        <f>4116*1.03</f>
        <v>4239.4800000000005</v>
      </c>
      <c r="H1731" s="5">
        <f t="shared" si="35"/>
        <v>0.29524500000000009</v>
      </c>
      <c r="I1731" s="20">
        <f t="shared" ref="I1731:I1794" si="36">H1731*G1731</f>
        <v>1251.6852726000004</v>
      </c>
      <c r="J1731" s="6" t="s">
        <v>357</v>
      </c>
    </row>
    <row r="1732" spans="1:10" hidden="1">
      <c r="A1732" s="29">
        <v>45397</v>
      </c>
      <c r="B1732" s="6" t="s">
        <v>2557</v>
      </c>
      <c r="C1732" s="5" t="s">
        <v>2556</v>
      </c>
      <c r="D1732" s="8" t="s">
        <v>2486</v>
      </c>
      <c r="E1732" s="6" t="s">
        <v>466</v>
      </c>
      <c r="F1732" s="6" t="s">
        <v>2488</v>
      </c>
      <c r="G1732" s="5">
        <f>4878*1.03</f>
        <v>5024.34</v>
      </c>
      <c r="H1732" s="5">
        <f t="shared" si="35"/>
        <v>0.29524500000000009</v>
      </c>
      <c r="I1732" s="20">
        <f t="shared" si="36"/>
        <v>1483.4112633000004</v>
      </c>
      <c r="J1732" s="6" t="s">
        <v>357</v>
      </c>
    </row>
    <row r="1733" spans="1:10" hidden="1">
      <c r="A1733" s="29">
        <v>45397</v>
      </c>
      <c r="B1733" s="6" t="s">
        <v>2559</v>
      </c>
      <c r="C1733" s="5" t="s">
        <v>2558</v>
      </c>
      <c r="D1733" s="8" t="s">
        <v>2486</v>
      </c>
      <c r="E1733" s="6" t="s">
        <v>466</v>
      </c>
      <c r="F1733" s="6" t="s">
        <v>2488</v>
      </c>
      <c r="G1733" s="5">
        <f>5454*1.03</f>
        <v>5617.62</v>
      </c>
      <c r="H1733" s="5">
        <f t="shared" si="35"/>
        <v>0.29524500000000009</v>
      </c>
      <c r="I1733" s="20">
        <f t="shared" si="36"/>
        <v>1658.5742169000005</v>
      </c>
      <c r="J1733" s="6" t="s">
        <v>357</v>
      </c>
    </row>
    <row r="1734" spans="1:10" hidden="1">
      <c r="A1734" s="29">
        <v>45397</v>
      </c>
      <c r="B1734" s="6" t="s">
        <v>2561</v>
      </c>
      <c r="C1734" s="14" t="s">
        <v>2560</v>
      </c>
      <c r="D1734" s="23" t="s">
        <v>2486</v>
      </c>
      <c r="E1734" s="6" t="s">
        <v>466</v>
      </c>
      <c r="F1734" s="6" t="s">
        <v>2562</v>
      </c>
      <c r="G1734" s="5">
        <f>210*1.03</f>
        <v>216.3</v>
      </c>
      <c r="H1734" s="5">
        <f t="shared" si="35"/>
        <v>0.29524500000000009</v>
      </c>
      <c r="I1734" s="20">
        <f t="shared" si="36"/>
        <v>63.861493500000023</v>
      </c>
      <c r="J1734" s="6" t="s">
        <v>357</v>
      </c>
    </row>
    <row r="1735" spans="1:10" hidden="1">
      <c r="A1735" s="29">
        <v>45397</v>
      </c>
      <c r="B1735" s="6" t="s">
        <v>2564</v>
      </c>
      <c r="C1735" s="5" t="s">
        <v>2563</v>
      </c>
      <c r="D1735" s="8" t="s">
        <v>2486</v>
      </c>
      <c r="E1735" s="6" t="s">
        <v>355</v>
      </c>
      <c r="F1735" s="6" t="s">
        <v>2488</v>
      </c>
      <c r="G1735" s="5">
        <f>13481*1.03</f>
        <v>13885.43</v>
      </c>
      <c r="H1735" s="5">
        <f t="shared" si="35"/>
        <v>0.29524500000000009</v>
      </c>
      <c r="I1735" s="20">
        <f t="shared" si="36"/>
        <v>4099.6037803500012</v>
      </c>
      <c r="J1735" s="6" t="s">
        <v>357</v>
      </c>
    </row>
    <row r="1736" spans="1:10" hidden="1">
      <c r="A1736" s="29">
        <v>45397</v>
      </c>
      <c r="B1736" s="6" t="s">
        <v>2566</v>
      </c>
      <c r="C1736" s="5" t="s">
        <v>2565</v>
      </c>
      <c r="D1736" s="8" t="s">
        <v>2486</v>
      </c>
      <c r="E1736" s="6" t="s">
        <v>355</v>
      </c>
      <c r="F1736" s="6" t="s">
        <v>2488</v>
      </c>
      <c r="G1736" s="5">
        <f>17274*1.03</f>
        <v>17792.22</v>
      </c>
      <c r="H1736" s="5">
        <f t="shared" si="35"/>
        <v>0.29524500000000009</v>
      </c>
      <c r="I1736" s="20">
        <f t="shared" si="36"/>
        <v>5253.0639939000021</v>
      </c>
      <c r="J1736" s="6" t="s">
        <v>357</v>
      </c>
    </row>
    <row r="1737" spans="1:10" hidden="1">
      <c r="A1737" s="29">
        <v>45397</v>
      </c>
      <c r="B1737" s="6" t="s">
        <v>2568</v>
      </c>
      <c r="C1737" s="5" t="s">
        <v>2567</v>
      </c>
      <c r="D1737" s="8" t="s">
        <v>2486</v>
      </c>
      <c r="E1737" s="6" t="s">
        <v>355</v>
      </c>
      <c r="F1737" s="6" t="s">
        <v>2488</v>
      </c>
      <c r="G1737" s="5">
        <f>13948*1.03</f>
        <v>14366.44</v>
      </c>
      <c r="H1737" s="5">
        <f t="shared" si="35"/>
        <v>0.29524500000000009</v>
      </c>
      <c r="I1737" s="20">
        <f t="shared" si="36"/>
        <v>4241.619577800001</v>
      </c>
      <c r="J1737" s="6" t="s">
        <v>357</v>
      </c>
    </row>
    <row r="1738" spans="1:10" hidden="1">
      <c r="A1738" s="29">
        <v>45397</v>
      </c>
      <c r="B1738" s="6" t="s">
        <v>2570</v>
      </c>
      <c r="C1738" s="5" t="s">
        <v>2569</v>
      </c>
      <c r="D1738" s="8" t="s">
        <v>2486</v>
      </c>
      <c r="E1738" s="6" t="s">
        <v>355</v>
      </c>
      <c r="F1738" s="6" t="s">
        <v>2488</v>
      </c>
      <c r="G1738" s="5">
        <f>17274*1.03</f>
        <v>17792.22</v>
      </c>
      <c r="H1738" s="5">
        <f t="shared" si="35"/>
        <v>0.29524500000000009</v>
      </c>
      <c r="I1738" s="20">
        <f t="shared" si="36"/>
        <v>5253.0639939000021</v>
      </c>
      <c r="J1738" s="6" t="s">
        <v>357</v>
      </c>
    </row>
    <row r="1739" spans="1:10" hidden="1">
      <c r="A1739" s="29">
        <v>45397</v>
      </c>
      <c r="B1739" s="6" t="s">
        <v>2572</v>
      </c>
      <c r="C1739" s="5" t="s">
        <v>2571</v>
      </c>
      <c r="D1739" s="8" t="s">
        <v>2486</v>
      </c>
      <c r="E1739" s="6" t="s">
        <v>355</v>
      </c>
      <c r="F1739" s="6" t="s">
        <v>2488</v>
      </c>
      <c r="G1739" s="5">
        <f>15649*1.03</f>
        <v>16118.470000000001</v>
      </c>
      <c r="H1739" s="5">
        <f t="shared" si="35"/>
        <v>0.29524500000000009</v>
      </c>
      <c r="I1739" s="20">
        <f t="shared" si="36"/>
        <v>4758.8976751500022</v>
      </c>
      <c r="J1739" s="6" t="s">
        <v>357</v>
      </c>
    </row>
    <row r="1740" spans="1:10" hidden="1">
      <c r="A1740" s="29">
        <v>45397</v>
      </c>
      <c r="B1740" s="6" t="s">
        <v>2574</v>
      </c>
      <c r="C1740" s="5" t="s">
        <v>2573</v>
      </c>
      <c r="D1740" s="8" t="s">
        <v>2486</v>
      </c>
      <c r="E1740" s="6" t="s">
        <v>355</v>
      </c>
      <c r="F1740" s="6" t="s">
        <v>2488</v>
      </c>
      <c r="G1740" s="5">
        <f>18968*1.03</f>
        <v>19537.04</v>
      </c>
      <c r="H1740" s="5">
        <f t="shared" si="35"/>
        <v>0.29524500000000009</v>
      </c>
      <c r="I1740" s="20">
        <f t="shared" si="36"/>
        <v>5768.2133748000024</v>
      </c>
      <c r="J1740" s="6" t="s">
        <v>357</v>
      </c>
    </row>
    <row r="1741" spans="1:10" hidden="1">
      <c r="A1741" s="29">
        <v>45397</v>
      </c>
      <c r="B1741" s="6" t="s">
        <v>2576</v>
      </c>
      <c r="C1741" s="5" t="s">
        <v>2575</v>
      </c>
      <c r="D1741" s="8" t="s">
        <v>2486</v>
      </c>
      <c r="E1741" s="6" t="s">
        <v>355</v>
      </c>
      <c r="F1741" s="6" t="s">
        <v>2488</v>
      </c>
      <c r="G1741" s="27">
        <f>16089*1.03</f>
        <v>16571.670000000002</v>
      </c>
      <c r="H1741" s="5">
        <f t="shared" si="35"/>
        <v>0.29524500000000009</v>
      </c>
      <c r="I1741" s="20">
        <f t="shared" si="36"/>
        <v>4892.7027091500022</v>
      </c>
      <c r="J1741" s="6" t="s">
        <v>357</v>
      </c>
    </row>
    <row r="1742" spans="1:10" hidden="1">
      <c r="A1742" s="29">
        <v>45397</v>
      </c>
      <c r="B1742" s="6" t="s">
        <v>2578</v>
      </c>
      <c r="C1742" s="5" t="s">
        <v>2577</v>
      </c>
      <c r="D1742" s="8" t="s">
        <v>2486</v>
      </c>
      <c r="E1742" s="6" t="s">
        <v>355</v>
      </c>
      <c r="F1742" s="6" t="s">
        <v>2488</v>
      </c>
      <c r="G1742" s="5">
        <f>19645*1.03</f>
        <v>20234.350000000002</v>
      </c>
      <c r="H1742" s="5">
        <f t="shared" si="35"/>
        <v>0.29524500000000009</v>
      </c>
      <c r="I1742" s="20">
        <f t="shared" si="36"/>
        <v>5974.0906657500027</v>
      </c>
      <c r="J1742" s="6" t="s">
        <v>357</v>
      </c>
    </row>
    <row r="1743" spans="1:10" hidden="1">
      <c r="A1743" s="29">
        <v>45397</v>
      </c>
      <c r="B1743" s="6" t="s">
        <v>2580</v>
      </c>
      <c r="C1743" s="5" t="s">
        <v>2579</v>
      </c>
      <c r="D1743" s="8" t="s">
        <v>2486</v>
      </c>
      <c r="E1743" s="6" t="s">
        <v>355</v>
      </c>
      <c r="F1743" s="6" t="s">
        <v>2488</v>
      </c>
      <c r="G1743" s="5">
        <f>17274*1.03</f>
        <v>17792.22</v>
      </c>
      <c r="H1743" s="5">
        <f t="shared" si="35"/>
        <v>0.29524500000000009</v>
      </c>
      <c r="I1743" s="20">
        <f t="shared" si="36"/>
        <v>5253.0639939000021</v>
      </c>
      <c r="J1743" s="6" t="s">
        <v>357</v>
      </c>
    </row>
    <row r="1744" spans="1:10" hidden="1">
      <c r="A1744" s="29">
        <v>45397</v>
      </c>
      <c r="B1744" s="6" t="s">
        <v>2582</v>
      </c>
      <c r="C1744" s="5" t="s">
        <v>2581</v>
      </c>
      <c r="D1744" s="8" t="s">
        <v>2486</v>
      </c>
      <c r="E1744" s="6" t="s">
        <v>355</v>
      </c>
      <c r="F1744" s="6" t="s">
        <v>2488</v>
      </c>
      <c r="G1744" s="5">
        <f>21000*1.03</f>
        <v>21630</v>
      </c>
      <c r="H1744" s="5">
        <f t="shared" si="35"/>
        <v>0.29524500000000009</v>
      </c>
      <c r="I1744" s="20">
        <f t="shared" si="36"/>
        <v>6386.1493500000024</v>
      </c>
      <c r="J1744" s="6" t="s">
        <v>357</v>
      </c>
    </row>
    <row r="1745" spans="1:10" hidden="1">
      <c r="A1745" s="29">
        <v>45397</v>
      </c>
      <c r="B1745" s="6" t="s">
        <v>2584</v>
      </c>
      <c r="C1745" s="5" t="s">
        <v>2583</v>
      </c>
      <c r="D1745" s="8" t="s">
        <v>2486</v>
      </c>
      <c r="E1745" s="6" t="s">
        <v>355</v>
      </c>
      <c r="F1745" s="6" t="s">
        <v>2488</v>
      </c>
      <c r="G1745" s="21">
        <f>23032*1.03</f>
        <v>23722.959999999999</v>
      </c>
      <c r="H1745" s="5">
        <f t="shared" si="35"/>
        <v>0.29524500000000009</v>
      </c>
      <c r="I1745" s="20">
        <f t="shared" si="36"/>
        <v>7004.0853252000015</v>
      </c>
      <c r="J1745" s="6" t="s">
        <v>357</v>
      </c>
    </row>
    <row r="1746" spans="1:10" hidden="1">
      <c r="A1746" s="29">
        <v>45397</v>
      </c>
      <c r="B1746" s="6" t="s">
        <v>2586</v>
      </c>
      <c r="C1746" s="5" t="s">
        <v>2585</v>
      </c>
      <c r="D1746" s="8" t="s">
        <v>2486</v>
      </c>
      <c r="E1746" s="6" t="s">
        <v>355</v>
      </c>
      <c r="F1746" s="6" t="s">
        <v>2488</v>
      </c>
      <c r="G1746" s="5">
        <f>27774*1.03</f>
        <v>28607.22</v>
      </c>
      <c r="H1746" s="5">
        <f t="shared" si="35"/>
        <v>0.29524500000000009</v>
      </c>
      <c r="I1746" s="20">
        <f t="shared" si="36"/>
        <v>8446.1386689000028</v>
      </c>
      <c r="J1746" s="6" t="s">
        <v>357</v>
      </c>
    </row>
    <row r="1747" spans="1:10" hidden="1">
      <c r="A1747" s="29">
        <v>45397</v>
      </c>
      <c r="B1747" s="6" t="s">
        <v>2588</v>
      </c>
      <c r="C1747" s="5" t="s">
        <v>2587</v>
      </c>
      <c r="D1747" s="8" t="s">
        <v>2486</v>
      </c>
      <c r="E1747" s="6" t="s">
        <v>355</v>
      </c>
      <c r="F1747" s="6" t="s">
        <v>2488</v>
      </c>
      <c r="G1747" s="5">
        <f>29468*1.03</f>
        <v>30352.04</v>
      </c>
      <c r="H1747" s="5">
        <f t="shared" si="35"/>
        <v>0.29524500000000009</v>
      </c>
      <c r="I1747" s="20">
        <f t="shared" si="36"/>
        <v>8961.2880498000031</v>
      </c>
      <c r="J1747" s="6" t="s">
        <v>357</v>
      </c>
    </row>
    <row r="1748" spans="1:10" hidden="1">
      <c r="A1748" s="29">
        <v>45397</v>
      </c>
      <c r="B1748" s="6" t="s">
        <v>2590</v>
      </c>
      <c r="C1748" s="5" t="s">
        <v>2589</v>
      </c>
      <c r="D1748" s="8" t="s">
        <v>2486</v>
      </c>
      <c r="E1748" s="6" t="s">
        <v>355</v>
      </c>
      <c r="F1748" s="6" t="s">
        <v>2488</v>
      </c>
      <c r="G1748" s="5">
        <f>36580*1.03</f>
        <v>37677.4</v>
      </c>
      <c r="H1748" s="5">
        <f t="shared" si="35"/>
        <v>0.29524500000000009</v>
      </c>
      <c r="I1748" s="20">
        <f t="shared" si="36"/>
        <v>11124.063963000004</v>
      </c>
      <c r="J1748" s="6" t="s">
        <v>357</v>
      </c>
    </row>
    <row r="1749" spans="1:10" hidden="1">
      <c r="A1749" s="29">
        <v>45397</v>
      </c>
      <c r="B1749" s="6" t="s">
        <v>2592</v>
      </c>
      <c r="C1749" s="5" t="s">
        <v>2591</v>
      </c>
      <c r="D1749" s="8" t="s">
        <v>2486</v>
      </c>
      <c r="E1749" s="6" t="s">
        <v>355</v>
      </c>
      <c r="F1749" s="6" t="s">
        <v>2488</v>
      </c>
      <c r="G1749" s="5">
        <f>38951*1.03</f>
        <v>40119.53</v>
      </c>
      <c r="H1749" s="5">
        <f t="shared" si="35"/>
        <v>0.29524500000000009</v>
      </c>
      <c r="I1749" s="20">
        <f t="shared" si="36"/>
        <v>11845.090634850003</v>
      </c>
      <c r="J1749" s="6" t="s">
        <v>357</v>
      </c>
    </row>
    <row r="1750" spans="1:10" hidden="1">
      <c r="A1750" s="29">
        <v>45397</v>
      </c>
      <c r="B1750" s="6" t="s">
        <v>2594</v>
      </c>
      <c r="C1750" s="5" t="s">
        <v>2593</v>
      </c>
      <c r="D1750" s="8" t="s">
        <v>2486</v>
      </c>
      <c r="E1750" s="6" t="s">
        <v>355</v>
      </c>
      <c r="F1750" s="6" t="s">
        <v>2488</v>
      </c>
      <c r="G1750" s="5">
        <f>46741*1.03</f>
        <v>48143.23</v>
      </c>
      <c r="H1750" s="5">
        <f t="shared" si="35"/>
        <v>0.29524500000000009</v>
      </c>
      <c r="I1750" s="20">
        <f t="shared" si="36"/>
        <v>14214.047941350005</v>
      </c>
      <c r="J1750" s="6" t="s">
        <v>357</v>
      </c>
    </row>
    <row r="1751" spans="1:10" hidden="1">
      <c r="A1751" s="29">
        <v>45397</v>
      </c>
      <c r="B1751" s="6" t="s">
        <v>2596</v>
      </c>
      <c r="C1751" s="5" t="s">
        <v>2595</v>
      </c>
      <c r="D1751" s="8" t="s">
        <v>2486</v>
      </c>
      <c r="E1751" s="6" t="s">
        <v>355</v>
      </c>
      <c r="F1751" s="6" t="s">
        <v>2488</v>
      </c>
      <c r="G1751" s="5">
        <f>46741*1.03</f>
        <v>48143.23</v>
      </c>
      <c r="H1751" s="5">
        <f t="shared" si="35"/>
        <v>0.29524500000000009</v>
      </c>
      <c r="I1751" s="20">
        <f t="shared" si="36"/>
        <v>14214.047941350005</v>
      </c>
      <c r="J1751" s="6" t="s">
        <v>357</v>
      </c>
    </row>
    <row r="1752" spans="1:10" hidden="1">
      <c r="A1752" s="29">
        <v>45397</v>
      </c>
      <c r="B1752" s="6" t="s">
        <v>2598</v>
      </c>
      <c r="C1752" s="5" t="s">
        <v>2597</v>
      </c>
      <c r="D1752" s="8" t="s">
        <v>2486</v>
      </c>
      <c r="E1752" s="6" t="s">
        <v>355</v>
      </c>
      <c r="F1752" s="6" t="s">
        <v>2488</v>
      </c>
      <c r="G1752" s="5">
        <f>57580*1.03</f>
        <v>59307.4</v>
      </c>
      <c r="H1752" s="5">
        <f t="shared" si="35"/>
        <v>0.29524500000000009</v>
      </c>
      <c r="I1752" s="20">
        <f t="shared" si="36"/>
        <v>17510.213313000007</v>
      </c>
      <c r="J1752" s="6" t="s">
        <v>357</v>
      </c>
    </row>
    <row r="1753" spans="1:10" hidden="1">
      <c r="A1753" s="29">
        <v>45397</v>
      </c>
      <c r="B1753" s="6" t="s">
        <v>2600</v>
      </c>
      <c r="C1753" s="5" t="s">
        <v>2599</v>
      </c>
      <c r="D1753" s="8" t="s">
        <v>2486</v>
      </c>
      <c r="E1753" s="6" t="s">
        <v>355</v>
      </c>
      <c r="F1753" s="6" t="s">
        <v>2488</v>
      </c>
      <c r="G1753" s="5">
        <f>93143*1.03</f>
        <v>95937.290000000008</v>
      </c>
      <c r="H1753" s="5">
        <f t="shared" si="35"/>
        <v>0.29524500000000009</v>
      </c>
      <c r="I1753" s="20">
        <f t="shared" si="36"/>
        <v>28325.00518605001</v>
      </c>
      <c r="J1753" s="6" t="s">
        <v>357</v>
      </c>
    </row>
    <row r="1754" spans="1:10" hidden="1">
      <c r="A1754" s="29">
        <v>45397</v>
      </c>
      <c r="B1754" s="6" t="s">
        <v>2602</v>
      </c>
      <c r="C1754" s="5" t="s">
        <v>2601</v>
      </c>
      <c r="D1754" s="8" t="s">
        <v>2486</v>
      </c>
      <c r="E1754" s="6" t="s">
        <v>355</v>
      </c>
      <c r="F1754" s="6" t="s">
        <v>2488</v>
      </c>
      <c r="G1754" s="5">
        <f>108385*1.03</f>
        <v>111636.55</v>
      </c>
      <c r="H1754" s="5">
        <f t="shared" si="35"/>
        <v>0.29524500000000009</v>
      </c>
      <c r="I1754" s="20">
        <f t="shared" si="36"/>
        <v>32960.133204750011</v>
      </c>
      <c r="J1754" s="6" t="s">
        <v>357</v>
      </c>
    </row>
    <row r="1755" spans="1:10" ht="30" hidden="1">
      <c r="A1755" s="29">
        <v>45397</v>
      </c>
      <c r="B1755" s="24" t="s">
        <v>2604</v>
      </c>
      <c r="C1755" s="14" t="s">
        <v>2603</v>
      </c>
      <c r="D1755" s="23" t="s">
        <v>2486</v>
      </c>
      <c r="E1755" s="6" t="s">
        <v>602</v>
      </c>
      <c r="F1755" s="6" t="s">
        <v>2488</v>
      </c>
      <c r="G1755" s="5">
        <f>78*1.05</f>
        <v>81.900000000000006</v>
      </c>
      <c r="H1755" s="5">
        <f>0.5*0.9*0.9</f>
        <v>0.40500000000000003</v>
      </c>
      <c r="I1755" s="20">
        <f t="shared" si="36"/>
        <v>33.169500000000006</v>
      </c>
      <c r="J1755" s="6" t="s">
        <v>357</v>
      </c>
    </row>
    <row r="1756" spans="1:10" hidden="1">
      <c r="A1756" s="29">
        <v>45397</v>
      </c>
      <c r="B1756" s="6" t="s">
        <v>616</v>
      </c>
      <c r="C1756" s="14" t="s">
        <v>2605</v>
      </c>
      <c r="D1756" s="23" t="s">
        <v>2486</v>
      </c>
      <c r="E1756" s="6" t="s">
        <v>466</v>
      </c>
      <c r="F1756" s="6" t="s">
        <v>2562</v>
      </c>
      <c r="G1756" s="5">
        <f>210*1.03</f>
        <v>216.3</v>
      </c>
      <c r="H1756" s="5">
        <f>0.5*0.9*0.9*0.9*0.9*0.9</f>
        <v>0.29524500000000009</v>
      </c>
      <c r="I1756" s="20">
        <f t="shared" si="36"/>
        <v>63.861493500000023</v>
      </c>
      <c r="J1756" s="6" t="s">
        <v>357</v>
      </c>
    </row>
    <row r="1757" spans="1:10" hidden="1">
      <c r="A1757" s="29">
        <v>45397</v>
      </c>
      <c r="B1757" s="6" t="s">
        <v>2607</v>
      </c>
      <c r="C1757" s="14" t="s">
        <v>2606</v>
      </c>
      <c r="D1757" s="23" t="s">
        <v>2486</v>
      </c>
      <c r="E1757" s="6" t="s">
        <v>466</v>
      </c>
      <c r="F1757" s="6" t="s">
        <v>2488</v>
      </c>
      <c r="G1757" s="5">
        <f>333*1.03</f>
        <v>342.99</v>
      </c>
      <c r="H1757" s="5">
        <f>0.5*0.9*0.9*0.9*0.9*0.9</f>
        <v>0.29524500000000009</v>
      </c>
      <c r="I1757" s="20">
        <f t="shared" si="36"/>
        <v>101.26608255000004</v>
      </c>
      <c r="J1757" s="6" t="s">
        <v>357</v>
      </c>
    </row>
    <row r="1758" spans="1:10" hidden="1">
      <c r="A1758" s="29">
        <v>45397</v>
      </c>
      <c r="B1758" s="6" t="s">
        <v>2609</v>
      </c>
      <c r="C1758" s="14" t="s">
        <v>2608</v>
      </c>
      <c r="D1758" s="23" t="s">
        <v>2486</v>
      </c>
      <c r="E1758" s="6" t="s">
        <v>466</v>
      </c>
      <c r="F1758" s="6" t="s">
        <v>2488</v>
      </c>
      <c r="G1758" s="5">
        <f>401*1.03</f>
        <v>413.03000000000003</v>
      </c>
      <c r="H1758" s="5">
        <f>0.5*0.9*0.9*0.9*0.9*0.9</f>
        <v>0.29524500000000009</v>
      </c>
      <c r="I1758" s="20">
        <f t="shared" si="36"/>
        <v>121.94504235000005</v>
      </c>
      <c r="J1758" s="6" t="s">
        <v>357</v>
      </c>
    </row>
    <row r="1759" spans="1:10" hidden="1">
      <c r="A1759" s="29">
        <v>45397</v>
      </c>
      <c r="B1759" s="6" t="s">
        <v>2611</v>
      </c>
      <c r="C1759" s="5" t="s">
        <v>2610</v>
      </c>
      <c r="D1759" s="8" t="s">
        <v>2486</v>
      </c>
      <c r="E1759" s="6" t="s">
        <v>1024</v>
      </c>
      <c r="F1759" s="6" t="s">
        <v>2612</v>
      </c>
      <c r="G1759" s="5">
        <f>19.3*1.03</f>
        <v>19.879000000000001</v>
      </c>
      <c r="H1759" s="5">
        <v>1</v>
      </c>
      <c r="I1759" s="20">
        <f t="shared" si="36"/>
        <v>19.879000000000001</v>
      </c>
      <c r="J1759" s="6" t="s">
        <v>357</v>
      </c>
    </row>
    <row r="1760" spans="1:10" hidden="1">
      <c r="A1760" s="29">
        <v>45397</v>
      </c>
      <c r="B1760" s="6" t="s">
        <v>2614</v>
      </c>
      <c r="C1760" s="5" t="s">
        <v>2613</v>
      </c>
      <c r="D1760" s="8" t="s">
        <v>2486</v>
      </c>
      <c r="E1760" s="6" t="s">
        <v>1024</v>
      </c>
      <c r="F1760" s="6" t="s">
        <v>2612</v>
      </c>
      <c r="G1760" s="5">
        <f>16.2*1.03</f>
        <v>16.686</v>
      </c>
      <c r="H1760" s="5">
        <v>1</v>
      </c>
      <c r="I1760" s="20">
        <f t="shared" si="36"/>
        <v>16.686</v>
      </c>
      <c r="J1760" s="6" t="s">
        <v>357</v>
      </c>
    </row>
    <row r="1761" spans="1:10" hidden="1">
      <c r="A1761" s="29">
        <v>45397</v>
      </c>
      <c r="B1761" s="6" t="s">
        <v>2616</v>
      </c>
      <c r="C1761" s="5" t="s">
        <v>2615</v>
      </c>
      <c r="D1761" s="8" t="s">
        <v>2486</v>
      </c>
      <c r="E1761" s="6" t="s">
        <v>1024</v>
      </c>
      <c r="F1761" s="6" t="s">
        <v>2612</v>
      </c>
      <c r="G1761" s="5">
        <f>35.3*1.03</f>
        <v>36.358999999999995</v>
      </c>
      <c r="H1761" s="5">
        <v>1</v>
      </c>
      <c r="I1761" s="20">
        <f t="shared" si="36"/>
        <v>36.358999999999995</v>
      </c>
      <c r="J1761" s="6" t="s">
        <v>357</v>
      </c>
    </row>
    <row r="1762" spans="1:10" hidden="1">
      <c r="A1762" s="29">
        <v>45397</v>
      </c>
      <c r="B1762" s="6" t="s">
        <v>2618</v>
      </c>
      <c r="C1762" s="5" t="s">
        <v>2617</v>
      </c>
      <c r="D1762" s="8" t="s">
        <v>2486</v>
      </c>
      <c r="E1762" s="6" t="s">
        <v>1024</v>
      </c>
      <c r="F1762" s="6" t="s">
        <v>2612</v>
      </c>
      <c r="G1762" s="5">
        <f>31.5*1.03</f>
        <v>32.445</v>
      </c>
      <c r="H1762" s="5">
        <v>1</v>
      </c>
      <c r="I1762" s="20">
        <f t="shared" si="36"/>
        <v>32.445</v>
      </c>
      <c r="J1762" s="6" t="s">
        <v>357</v>
      </c>
    </row>
    <row r="1763" spans="1:10" hidden="1">
      <c r="A1763" s="29">
        <v>45397</v>
      </c>
      <c r="B1763" s="6" t="s">
        <v>2620</v>
      </c>
      <c r="C1763" s="5" t="s">
        <v>2619</v>
      </c>
      <c r="D1763" s="8" t="s">
        <v>2486</v>
      </c>
      <c r="E1763" s="6" t="s">
        <v>1024</v>
      </c>
      <c r="F1763" s="6" t="s">
        <v>2612</v>
      </c>
      <c r="G1763" s="5">
        <f>7.1*1.03</f>
        <v>7.3129999999999997</v>
      </c>
      <c r="H1763" s="5">
        <v>1</v>
      </c>
      <c r="I1763" s="20">
        <f t="shared" si="36"/>
        <v>7.3129999999999997</v>
      </c>
      <c r="J1763" s="6" t="s">
        <v>357</v>
      </c>
    </row>
    <row r="1764" spans="1:10" hidden="1">
      <c r="A1764" s="29">
        <v>45397</v>
      </c>
      <c r="B1764" s="6" t="s">
        <v>2622</v>
      </c>
      <c r="C1764" s="5" t="s">
        <v>2621</v>
      </c>
      <c r="D1764" s="8" t="s">
        <v>2486</v>
      </c>
      <c r="E1764" s="6" t="s">
        <v>1024</v>
      </c>
      <c r="F1764" s="6" t="s">
        <v>2612</v>
      </c>
      <c r="G1764" s="5">
        <f>6.5*1.03</f>
        <v>6.6950000000000003</v>
      </c>
      <c r="H1764" s="5">
        <v>1</v>
      </c>
      <c r="I1764" s="20">
        <f t="shared" si="36"/>
        <v>6.6950000000000003</v>
      </c>
      <c r="J1764" s="6" t="s">
        <v>357</v>
      </c>
    </row>
    <row r="1765" spans="1:10" hidden="1">
      <c r="A1765" s="29">
        <v>45397</v>
      </c>
      <c r="B1765" s="6" t="s">
        <v>2623</v>
      </c>
      <c r="C1765" s="5" t="s">
        <v>1543</v>
      </c>
      <c r="D1765" s="8" t="s">
        <v>2486</v>
      </c>
      <c r="E1765" s="6" t="s">
        <v>1541</v>
      </c>
      <c r="F1765" s="6" t="s">
        <v>2624</v>
      </c>
      <c r="G1765" s="5">
        <f>78*1.03</f>
        <v>80.34</v>
      </c>
      <c r="H1765" s="5">
        <f t="shared" ref="H1765:H1808" si="37">0.5*0.9*0.9*0.9*0.9*0.9</f>
        <v>0.29524500000000009</v>
      </c>
      <c r="I1765" s="20">
        <f t="shared" si="36"/>
        <v>23.71998330000001</v>
      </c>
      <c r="J1765" s="6" t="s">
        <v>357</v>
      </c>
    </row>
    <row r="1766" spans="1:10" hidden="1">
      <c r="A1766" s="29">
        <v>45397</v>
      </c>
      <c r="B1766" s="6" t="s">
        <v>2626</v>
      </c>
      <c r="C1766" s="5" t="s">
        <v>2625</v>
      </c>
      <c r="D1766" s="8" t="s">
        <v>2486</v>
      </c>
      <c r="E1766" s="6" t="s">
        <v>1541</v>
      </c>
      <c r="F1766" s="6" t="s">
        <v>2624</v>
      </c>
      <c r="G1766" s="5">
        <f>85*1.03</f>
        <v>87.55</v>
      </c>
      <c r="H1766" s="5">
        <f t="shared" si="37"/>
        <v>0.29524500000000009</v>
      </c>
      <c r="I1766" s="20">
        <f t="shared" si="36"/>
        <v>25.848699750000009</v>
      </c>
      <c r="J1766" s="6" t="s">
        <v>357</v>
      </c>
    </row>
    <row r="1767" spans="1:10" hidden="1">
      <c r="A1767" s="29">
        <v>45397</v>
      </c>
      <c r="B1767" s="6" t="s">
        <v>2628</v>
      </c>
      <c r="C1767" s="5" t="s">
        <v>2627</v>
      </c>
      <c r="D1767" s="8" t="s">
        <v>2486</v>
      </c>
      <c r="E1767" s="6" t="s">
        <v>1541</v>
      </c>
      <c r="F1767" s="6" t="s">
        <v>2624</v>
      </c>
      <c r="G1767" s="5">
        <f>39*1.03</f>
        <v>40.17</v>
      </c>
      <c r="H1767" s="5">
        <f t="shared" si="37"/>
        <v>0.29524500000000009</v>
      </c>
      <c r="I1767" s="20">
        <f t="shared" si="36"/>
        <v>11.859991650000005</v>
      </c>
      <c r="J1767" s="6" t="s">
        <v>357</v>
      </c>
    </row>
    <row r="1768" spans="1:10" hidden="1">
      <c r="A1768" s="29">
        <v>45397</v>
      </c>
      <c r="B1768" s="6" t="s">
        <v>2630</v>
      </c>
      <c r="C1768" s="5" t="s">
        <v>2629</v>
      </c>
      <c r="D1768" s="8" t="s">
        <v>2486</v>
      </c>
      <c r="E1768" s="6" t="s">
        <v>1541</v>
      </c>
      <c r="F1768" s="6" t="s">
        <v>2624</v>
      </c>
      <c r="G1768" s="5">
        <f>55*1.03</f>
        <v>56.65</v>
      </c>
      <c r="H1768" s="5">
        <f t="shared" si="37"/>
        <v>0.29524500000000009</v>
      </c>
      <c r="I1768" s="20">
        <f t="shared" si="36"/>
        <v>16.725629250000004</v>
      </c>
      <c r="J1768" s="6" t="s">
        <v>357</v>
      </c>
    </row>
    <row r="1769" spans="1:10" hidden="1">
      <c r="A1769" s="29">
        <v>45397</v>
      </c>
      <c r="B1769" s="6" t="s">
        <v>2632</v>
      </c>
      <c r="C1769" s="5" t="s">
        <v>2631</v>
      </c>
      <c r="D1769" s="8" t="s">
        <v>2486</v>
      </c>
      <c r="E1769" s="6" t="s">
        <v>1541</v>
      </c>
      <c r="F1769" s="6" t="s">
        <v>2624</v>
      </c>
      <c r="G1769" s="5">
        <f>43*1.03</f>
        <v>44.29</v>
      </c>
      <c r="H1769" s="5">
        <f t="shared" si="37"/>
        <v>0.29524500000000009</v>
      </c>
      <c r="I1769" s="20">
        <f t="shared" si="36"/>
        <v>13.076401050000003</v>
      </c>
      <c r="J1769" s="6" t="s">
        <v>357</v>
      </c>
    </row>
    <row r="1770" spans="1:10" hidden="1">
      <c r="A1770" s="29">
        <v>45397</v>
      </c>
      <c r="B1770" s="6" t="s">
        <v>2634</v>
      </c>
      <c r="C1770" s="5" t="s">
        <v>2633</v>
      </c>
      <c r="D1770" s="8" t="s">
        <v>2486</v>
      </c>
      <c r="E1770" s="6" t="s">
        <v>1541</v>
      </c>
      <c r="F1770" s="6" t="s">
        <v>2624</v>
      </c>
      <c r="G1770" s="5">
        <f>60*1.03</f>
        <v>61.800000000000004</v>
      </c>
      <c r="H1770" s="5">
        <f t="shared" si="37"/>
        <v>0.29524500000000009</v>
      </c>
      <c r="I1770" s="20">
        <f t="shared" si="36"/>
        <v>18.246141000000009</v>
      </c>
      <c r="J1770" s="6" t="s">
        <v>357</v>
      </c>
    </row>
    <row r="1771" spans="1:10" hidden="1">
      <c r="A1771" s="29">
        <v>45397</v>
      </c>
      <c r="B1771" s="6" t="s">
        <v>2635</v>
      </c>
      <c r="C1771" s="5" t="s">
        <v>314</v>
      </c>
      <c r="D1771" s="8" t="s">
        <v>2486</v>
      </c>
      <c r="E1771" s="6" t="s">
        <v>1541</v>
      </c>
      <c r="F1771" s="6" t="s">
        <v>2624</v>
      </c>
      <c r="G1771" s="5">
        <f>46*1.03</f>
        <v>47.38</v>
      </c>
      <c r="H1771" s="5">
        <f t="shared" si="37"/>
        <v>0.29524500000000009</v>
      </c>
      <c r="I1771" s="20">
        <f t="shared" si="36"/>
        <v>13.988708100000006</v>
      </c>
      <c r="J1771" s="6" t="s">
        <v>357</v>
      </c>
    </row>
    <row r="1772" spans="1:10" hidden="1">
      <c r="A1772" s="29">
        <v>45397</v>
      </c>
      <c r="B1772" s="6" t="s">
        <v>2637</v>
      </c>
      <c r="C1772" s="5" t="s">
        <v>2636</v>
      </c>
      <c r="D1772" s="8" t="s">
        <v>2486</v>
      </c>
      <c r="E1772" s="6" t="s">
        <v>1541</v>
      </c>
      <c r="F1772" s="6" t="s">
        <v>2624</v>
      </c>
      <c r="G1772" s="5">
        <f>50*1.03</f>
        <v>51.5</v>
      </c>
      <c r="H1772" s="5">
        <f t="shared" si="37"/>
        <v>0.29524500000000009</v>
      </c>
      <c r="I1772" s="20">
        <f t="shared" si="36"/>
        <v>15.205117500000005</v>
      </c>
      <c r="J1772" s="6" t="s">
        <v>357</v>
      </c>
    </row>
    <row r="1773" spans="1:10" hidden="1">
      <c r="A1773" s="29">
        <v>45397</v>
      </c>
      <c r="B1773" s="6" t="s">
        <v>2639</v>
      </c>
      <c r="C1773" s="5" t="s">
        <v>2638</v>
      </c>
      <c r="D1773" s="8" t="s">
        <v>2486</v>
      </c>
      <c r="E1773" s="6" t="s">
        <v>1541</v>
      </c>
      <c r="F1773" s="6" t="s">
        <v>2624</v>
      </c>
      <c r="G1773" s="5">
        <f>72*1.03</f>
        <v>74.16</v>
      </c>
      <c r="H1773" s="5">
        <f t="shared" si="37"/>
        <v>0.29524500000000009</v>
      </c>
      <c r="I1773" s="20">
        <f t="shared" si="36"/>
        <v>21.895369200000005</v>
      </c>
      <c r="J1773" s="6" t="s">
        <v>357</v>
      </c>
    </row>
    <row r="1774" spans="1:10" hidden="1">
      <c r="A1774" s="29">
        <v>45397</v>
      </c>
      <c r="B1774" s="6" t="s">
        <v>2641</v>
      </c>
      <c r="C1774" s="14" t="s">
        <v>2640</v>
      </c>
      <c r="D1774" s="23" t="s">
        <v>2486</v>
      </c>
      <c r="E1774" s="6" t="s">
        <v>466</v>
      </c>
      <c r="F1774" s="6" t="s">
        <v>2562</v>
      </c>
      <c r="G1774" s="5">
        <f>290*1.03</f>
        <v>298.7</v>
      </c>
      <c r="H1774" s="5">
        <f t="shared" si="37"/>
        <v>0.29524500000000009</v>
      </c>
      <c r="I1774" s="20">
        <f t="shared" si="36"/>
        <v>88.18968150000002</v>
      </c>
      <c r="J1774" s="6" t="s">
        <v>357</v>
      </c>
    </row>
    <row r="1775" spans="1:10" ht="30" hidden="1">
      <c r="A1775" s="29">
        <v>45397</v>
      </c>
      <c r="B1775" s="6" t="s">
        <v>2643</v>
      </c>
      <c r="C1775" s="14" t="s">
        <v>2642</v>
      </c>
      <c r="D1775" s="23" t="s">
        <v>2486</v>
      </c>
      <c r="E1775" s="6" t="s">
        <v>466</v>
      </c>
      <c r="F1775" s="6" t="s">
        <v>2488</v>
      </c>
      <c r="G1775" s="5">
        <f>251*1.03</f>
        <v>258.53000000000003</v>
      </c>
      <c r="H1775" s="5">
        <f t="shared" si="37"/>
        <v>0.29524500000000009</v>
      </c>
      <c r="I1775" s="20">
        <f t="shared" si="36"/>
        <v>76.329689850000037</v>
      </c>
      <c r="J1775" s="6" t="s">
        <v>357</v>
      </c>
    </row>
    <row r="1776" spans="1:10" hidden="1">
      <c r="A1776" s="29">
        <v>45397</v>
      </c>
      <c r="B1776" s="6" t="s">
        <v>2645</v>
      </c>
      <c r="C1776" s="14" t="s">
        <v>2644</v>
      </c>
      <c r="D1776" s="23" t="s">
        <v>2486</v>
      </c>
      <c r="E1776" s="6" t="s">
        <v>466</v>
      </c>
      <c r="F1776" s="6" t="s">
        <v>2562</v>
      </c>
      <c r="G1776" s="5">
        <f>305*1.03</f>
        <v>314.15000000000003</v>
      </c>
      <c r="H1776" s="5">
        <f t="shared" si="37"/>
        <v>0.29524500000000009</v>
      </c>
      <c r="I1776" s="20">
        <f t="shared" si="36"/>
        <v>92.75121675000004</v>
      </c>
      <c r="J1776" s="6" t="s">
        <v>357</v>
      </c>
    </row>
    <row r="1777" spans="1:10" ht="30" hidden="1">
      <c r="A1777" s="29">
        <v>45397</v>
      </c>
      <c r="B1777" s="6" t="s">
        <v>2647</v>
      </c>
      <c r="C1777" s="14" t="s">
        <v>2646</v>
      </c>
      <c r="D1777" s="23" t="s">
        <v>2486</v>
      </c>
      <c r="E1777" s="6" t="s">
        <v>466</v>
      </c>
      <c r="F1777" s="6" t="s">
        <v>2488</v>
      </c>
      <c r="G1777" s="5">
        <f>271*1.03</f>
        <v>279.13</v>
      </c>
      <c r="H1777" s="5">
        <f t="shared" si="37"/>
        <v>0.29524500000000009</v>
      </c>
      <c r="I1777" s="20">
        <f t="shared" si="36"/>
        <v>82.411736850000025</v>
      </c>
      <c r="J1777" s="6" t="s">
        <v>357</v>
      </c>
    </row>
    <row r="1778" spans="1:10" hidden="1">
      <c r="A1778" s="29">
        <v>45397</v>
      </c>
      <c r="B1778" s="6" t="s">
        <v>2649</v>
      </c>
      <c r="C1778" s="14" t="s">
        <v>2648</v>
      </c>
      <c r="D1778" s="23" t="s">
        <v>2486</v>
      </c>
      <c r="E1778" s="6" t="s">
        <v>466</v>
      </c>
      <c r="F1778" s="6" t="s">
        <v>2562</v>
      </c>
      <c r="G1778" s="5">
        <f>576*1.03</f>
        <v>593.28</v>
      </c>
      <c r="H1778" s="5">
        <f t="shared" si="37"/>
        <v>0.29524500000000009</v>
      </c>
      <c r="I1778" s="20">
        <f t="shared" si="36"/>
        <v>175.16295360000004</v>
      </c>
      <c r="J1778" s="6" t="s">
        <v>357</v>
      </c>
    </row>
    <row r="1779" spans="1:10" hidden="1">
      <c r="A1779" s="29">
        <v>45397</v>
      </c>
      <c r="B1779" s="6" t="s">
        <v>2651</v>
      </c>
      <c r="C1779" s="14" t="s">
        <v>2650</v>
      </c>
      <c r="D1779" s="23" t="s">
        <v>2486</v>
      </c>
      <c r="E1779" s="6" t="s">
        <v>466</v>
      </c>
      <c r="F1779" s="6" t="s">
        <v>2562</v>
      </c>
      <c r="G1779" s="5">
        <f>702*1.03</f>
        <v>723.06000000000006</v>
      </c>
      <c r="H1779" s="5">
        <f t="shared" si="37"/>
        <v>0.29524500000000009</v>
      </c>
      <c r="I1779" s="20">
        <f t="shared" si="36"/>
        <v>213.47984970000007</v>
      </c>
      <c r="J1779" s="6" t="s">
        <v>357</v>
      </c>
    </row>
    <row r="1780" spans="1:10" hidden="1">
      <c r="A1780" s="29">
        <v>45397</v>
      </c>
      <c r="B1780" s="6" t="s">
        <v>2653</v>
      </c>
      <c r="C1780" s="15" t="s">
        <v>2652</v>
      </c>
      <c r="D1780" s="28" t="s">
        <v>2486</v>
      </c>
      <c r="E1780" s="6" t="s">
        <v>466</v>
      </c>
      <c r="F1780" s="6" t="s">
        <v>2488</v>
      </c>
      <c r="G1780" s="5">
        <f>847*1.03</f>
        <v>872.41</v>
      </c>
      <c r="H1780" s="5">
        <f t="shared" si="37"/>
        <v>0.29524500000000009</v>
      </c>
      <c r="I1780" s="20">
        <f t="shared" si="36"/>
        <v>257.57469045000005</v>
      </c>
      <c r="J1780" s="6" t="s">
        <v>357</v>
      </c>
    </row>
    <row r="1781" spans="1:10" hidden="1">
      <c r="A1781" s="29">
        <v>45397</v>
      </c>
      <c r="B1781" s="6" t="s">
        <v>2655</v>
      </c>
      <c r="C1781" s="15" t="s">
        <v>2654</v>
      </c>
      <c r="D1781" s="28" t="s">
        <v>2486</v>
      </c>
      <c r="E1781" s="6" t="s">
        <v>466</v>
      </c>
      <c r="F1781" s="6" t="s">
        <v>2488</v>
      </c>
      <c r="G1781" s="5">
        <f>1017*1.03</f>
        <v>1047.51</v>
      </c>
      <c r="H1781" s="5">
        <f t="shared" si="37"/>
        <v>0.29524500000000009</v>
      </c>
      <c r="I1781" s="20">
        <f t="shared" si="36"/>
        <v>309.27208995000007</v>
      </c>
      <c r="J1781" s="6" t="s">
        <v>357</v>
      </c>
    </row>
    <row r="1782" spans="1:10" ht="30" hidden="1">
      <c r="A1782" s="9">
        <v>45912</v>
      </c>
      <c r="B1782" s="216" t="s">
        <v>7516</v>
      </c>
      <c r="C1782" s="5" t="s">
        <v>7517</v>
      </c>
      <c r="D1782" s="8" t="s">
        <v>2486</v>
      </c>
      <c r="E1782" s="25" t="s">
        <v>466</v>
      </c>
      <c r="F1782" s="25" t="s">
        <v>2488</v>
      </c>
      <c r="G1782" s="31">
        <v>915</v>
      </c>
      <c r="H1782" s="5">
        <f t="shared" si="37"/>
        <v>0.29524500000000009</v>
      </c>
      <c r="I1782" s="20">
        <f t="shared" si="36"/>
        <v>270.14917500000007</v>
      </c>
      <c r="J1782" s="6" t="s">
        <v>357</v>
      </c>
    </row>
    <row r="1783" spans="1:10" ht="30" hidden="1">
      <c r="A1783" s="9">
        <v>45912</v>
      </c>
      <c r="B1783" s="216" t="s">
        <v>7531</v>
      </c>
      <c r="C1783" s="5" t="s">
        <v>7517</v>
      </c>
      <c r="D1783" s="8" t="s">
        <v>2486</v>
      </c>
      <c r="E1783" s="25" t="s">
        <v>466</v>
      </c>
      <c r="F1783" s="25" t="s">
        <v>2488</v>
      </c>
      <c r="G1783" s="31">
        <v>1020</v>
      </c>
      <c r="H1783" s="5">
        <f t="shared" si="37"/>
        <v>0.29524500000000009</v>
      </c>
      <c r="I1783" s="20">
        <f t="shared" si="36"/>
        <v>301.14990000000012</v>
      </c>
      <c r="J1783" s="6" t="s">
        <v>357</v>
      </c>
    </row>
    <row r="1784" spans="1:10" ht="30" hidden="1">
      <c r="A1784" s="9">
        <v>45912</v>
      </c>
      <c r="B1784" s="216" t="s">
        <v>7525</v>
      </c>
      <c r="C1784" s="5" t="s">
        <v>7522</v>
      </c>
      <c r="D1784" s="8" t="s">
        <v>2486</v>
      </c>
      <c r="E1784" s="25" t="s">
        <v>466</v>
      </c>
      <c r="F1784" s="25" t="s">
        <v>2488</v>
      </c>
      <c r="G1784" s="31">
        <v>1260</v>
      </c>
      <c r="H1784" s="5">
        <f t="shared" si="37"/>
        <v>0.29524500000000009</v>
      </c>
      <c r="I1784" s="20">
        <f t="shared" si="36"/>
        <v>372.00870000000009</v>
      </c>
      <c r="J1784" s="6" t="s">
        <v>357</v>
      </c>
    </row>
    <row r="1785" spans="1:10" hidden="1">
      <c r="A1785" s="9">
        <v>45912</v>
      </c>
      <c r="B1785" s="216" t="s">
        <v>7526</v>
      </c>
      <c r="C1785" s="5" t="s">
        <v>7523</v>
      </c>
      <c r="D1785" s="8" t="s">
        <v>2486</v>
      </c>
      <c r="E1785" s="25" t="s">
        <v>466</v>
      </c>
      <c r="F1785" s="25" t="s">
        <v>2488</v>
      </c>
      <c r="G1785" s="31">
        <v>1500</v>
      </c>
      <c r="H1785" s="5">
        <f t="shared" si="37"/>
        <v>0.29524500000000009</v>
      </c>
      <c r="I1785" s="20">
        <f t="shared" si="36"/>
        <v>442.86750000000012</v>
      </c>
      <c r="J1785" s="6" t="s">
        <v>357</v>
      </c>
    </row>
    <row r="1786" spans="1:10" ht="30" hidden="1">
      <c r="A1786" s="9">
        <v>45912</v>
      </c>
      <c r="B1786" s="216" t="s">
        <v>7532</v>
      </c>
      <c r="C1786" s="5" t="s">
        <v>7522</v>
      </c>
      <c r="D1786" s="8" t="s">
        <v>2486</v>
      </c>
      <c r="E1786" s="25" t="s">
        <v>466</v>
      </c>
      <c r="F1786" s="25" t="s">
        <v>2488</v>
      </c>
      <c r="G1786" s="31">
        <v>1410</v>
      </c>
      <c r="H1786" s="5">
        <f t="shared" si="37"/>
        <v>0.29524500000000009</v>
      </c>
      <c r="I1786" s="20">
        <f t="shared" si="36"/>
        <v>416.29545000000013</v>
      </c>
      <c r="J1786" s="6" t="s">
        <v>357</v>
      </c>
    </row>
    <row r="1787" spans="1:10" hidden="1">
      <c r="A1787" s="9">
        <v>45912</v>
      </c>
      <c r="B1787" s="216" t="s">
        <v>7533</v>
      </c>
      <c r="C1787" s="5" t="s">
        <v>7523</v>
      </c>
      <c r="D1787" s="8" t="s">
        <v>2486</v>
      </c>
      <c r="E1787" s="25" t="s">
        <v>466</v>
      </c>
      <c r="F1787" s="25" t="s">
        <v>2488</v>
      </c>
      <c r="G1787" s="31">
        <v>1680</v>
      </c>
      <c r="H1787" s="5">
        <f t="shared" si="37"/>
        <v>0.29524500000000009</v>
      </c>
      <c r="I1787" s="20">
        <f t="shared" si="36"/>
        <v>496.01160000000016</v>
      </c>
      <c r="J1787" s="6" t="s">
        <v>357</v>
      </c>
    </row>
    <row r="1788" spans="1:10" ht="30" hidden="1">
      <c r="A1788" s="29">
        <v>45397</v>
      </c>
      <c r="B1788" s="6" t="s">
        <v>2657</v>
      </c>
      <c r="C1788" s="5" t="s">
        <v>2656</v>
      </c>
      <c r="D1788" s="8" t="s">
        <v>2486</v>
      </c>
      <c r="E1788" s="6" t="s">
        <v>466</v>
      </c>
      <c r="F1788" s="6" t="s">
        <v>2488</v>
      </c>
      <c r="G1788" s="5">
        <f>1355*1.03</f>
        <v>1395.65</v>
      </c>
      <c r="H1788" s="5">
        <f t="shared" si="37"/>
        <v>0.29524500000000009</v>
      </c>
      <c r="I1788" s="20">
        <f t="shared" si="36"/>
        <v>412.05868425000017</v>
      </c>
      <c r="J1788" s="6" t="s">
        <v>357</v>
      </c>
    </row>
    <row r="1789" spans="1:10" ht="30" hidden="1">
      <c r="A1789" s="29">
        <v>45397</v>
      </c>
      <c r="B1789" s="6" t="s">
        <v>2659</v>
      </c>
      <c r="C1789" s="5" t="s">
        <v>2658</v>
      </c>
      <c r="D1789" s="8" t="s">
        <v>2486</v>
      </c>
      <c r="E1789" s="6" t="s">
        <v>466</v>
      </c>
      <c r="F1789" s="6" t="s">
        <v>2488</v>
      </c>
      <c r="G1789" s="5">
        <f>1525*1.03</f>
        <v>1570.75</v>
      </c>
      <c r="H1789" s="5">
        <f t="shared" si="37"/>
        <v>0.29524500000000009</v>
      </c>
      <c r="I1789" s="20">
        <f t="shared" si="36"/>
        <v>463.75608375000013</v>
      </c>
      <c r="J1789" s="6" t="s">
        <v>357</v>
      </c>
    </row>
    <row r="1790" spans="1:10" ht="30" hidden="1">
      <c r="A1790" s="29">
        <v>45397</v>
      </c>
      <c r="B1790" s="6" t="s">
        <v>2661</v>
      </c>
      <c r="C1790" s="5" t="s">
        <v>2660</v>
      </c>
      <c r="D1790" s="8" t="s">
        <v>2486</v>
      </c>
      <c r="E1790" s="6" t="s">
        <v>466</v>
      </c>
      <c r="F1790" s="6" t="s">
        <v>2488</v>
      </c>
      <c r="G1790" s="5">
        <f>2456*1.03</f>
        <v>2529.6800000000003</v>
      </c>
      <c r="H1790" s="5">
        <f t="shared" si="37"/>
        <v>0.29524500000000009</v>
      </c>
      <c r="I1790" s="20">
        <f t="shared" si="36"/>
        <v>746.87537160000034</v>
      </c>
      <c r="J1790" s="6" t="s">
        <v>357</v>
      </c>
    </row>
    <row r="1791" spans="1:10" hidden="1">
      <c r="A1791" s="9">
        <v>45912</v>
      </c>
      <c r="B1791" s="216" t="s">
        <v>7520</v>
      </c>
      <c r="C1791" s="5" t="s">
        <v>7521</v>
      </c>
      <c r="D1791" s="8" t="s">
        <v>2486</v>
      </c>
      <c r="E1791" s="25" t="s">
        <v>466</v>
      </c>
      <c r="F1791" s="25" t="s">
        <v>2488</v>
      </c>
      <c r="G1791" s="31">
        <v>1100</v>
      </c>
      <c r="H1791" s="5">
        <f t="shared" si="37"/>
        <v>0.29524500000000009</v>
      </c>
      <c r="I1791" s="20">
        <f t="shared" si="36"/>
        <v>324.76950000000011</v>
      </c>
      <c r="J1791" s="6" t="s">
        <v>357</v>
      </c>
    </row>
    <row r="1792" spans="1:10" hidden="1">
      <c r="A1792" s="9">
        <v>45912</v>
      </c>
      <c r="B1792" s="216" t="s">
        <v>7529</v>
      </c>
      <c r="C1792" s="5" t="s">
        <v>7521</v>
      </c>
      <c r="D1792" s="8" t="s">
        <v>2486</v>
      </c>
      <c r="E1792" s="25" t="s">
        <v>466</v>
      </c>
      <c r="F1792" s="25" t="s">
        <v>2488</v>
      </c>
      <c r="G1792" s="31">
        <v>1233</v>
      </c>
      <c r="H1792" s="5">
        <f t="shared" si="37"/>
        <v>0.29524500000000009</v>
      </c>
      <c r="I1792" s="20">
        <f t="shared" si="36"/>
        <v>364.0370850000001</v>
      </c>
      <c r="J1792" s="6" t="s">
        <v>357</v>
      </c>
    </row>
    <row r="1793" spans="1:10" ht="30" hidden="1">
      <c r="A1793" s="9">
        <v>45912</v>
      </c>
      <c r="B1793" s="216" t="s">
        <v>7515</v>
      </c>
      <c r="C1793" s="5" t="s">
        <v>7518</v>
      </c>
      <c r="D1793" s="8" t="s">
        <v>2486</v>
      </c>
      <c r="E1793" s="25" t="s">
        <v>466</v>
      </c>
      <c r="F1793" s="25" t="s">
        <v>2488</v>
      </c>
      <c r="G1793" s="31">
        <v>2100</v>
      </c>
      <c r="H1793" s="5">
        <f t="shared" si="37"/>
        <v>0.29524500000000009</v>
      </c>
      <c r="I1793" s="20">
        <f t="shared" si="36"/>
        <v>620.01450000000023</v>
      </c>
      <c r="J1793" s="6" t="s">
        <v>357</v>
      </c>
    </row>
    <row r="1794" spans="1:10" ht="30" hidden="1">
      <c r="A1794" s="9">
        <v>45912</v>
      </c>
      <c r="B1794" s="216" t="s">
        <v>7530</v>
      </c>
      <c r="C1794" s="5" t="s">
        <v>7518</v>
      </c>
      <c r="D1794" s="8" t="s">
        <v>2486</v>
      </c>
      <c r="E1794" s="25" t="s">
        <v>466</v>
      </c>
      <c r="F1794" s="25" t="s">
        <v>2488</v>
      </c>
      <c r="G1794" s="31">
        <v>2346</v>
      </c>
      <c r="H1794" s="5">
        <f t="shared" si="37"/>
        <v>0.29524500000000009</v>
      </c>
      <c r="I1794" s="20">
        <f t="shared" si="36"/>
        <v>692.64477000000022</v>
      </c>
      <c r="J1794" s="6" t="s">
        <v>357</v>
      </c>
    </row>
    <row r="1795" spans="1:10" ht="30" hidden="1">
      <c r="A1795" s="9">
        <v>45912</v>
      </c>
      <c r="B1795" s="216" t="s">
        <v>7511</v>
      </c>
      <c r="C1795" s="5" t="s">
        <v>7512</v>
      </c>
      <c r="D1795" s="8" t="s">
        <v>2486</v>
      </c>
      <c r="E1795" s="25" t="s">
        <v>466</v>
      </c>
      <c r="F1795" s="25" t="s">
        <v>2488</v>
      </c>
      <c r="G1795" s="31">
        <v>680</v>
      </c>
      <c r="H1795" s="5">
        <f t="shared" si="37"/>
        <v>0.29524500000000009</v>
      </c>
      <c r="I1795" s="20">
        <f t="shared" ref="I1795:I1858" si="38">H1795*G1795</f>
        <v>200.76660000000007</v>
      </c>
      <c r="J1795" s="6" t="s">
        <v>357</v>
      </c>
    </row>
    <row r="1796" spans="1:10" ht="30" hidden="1">
      <c r="A1796" s="9">
        <v>45912</v>
      </c>
      <c r="B1796" s="216" t="s">
        <v>7527</v>
      </c>
      <c r="C1796" s="5" t="s">
        <v>7512</v>
      </c>
      <c r="D1796" s="8" t="s">
        <v>2486</v>
      </c>
      <c r="E1796" s="25" t="s">
        <v>466</v>
      </c>
      <c r="F1796" s="25" t="s">
        <v>2488</v>
      </c>
      <c r="G1796" s="31">
        <v>760</v>
      </c>
      <c r="H1796" s="5">
        <f t="shared" si="37"/>
        <v>0.29524500000000009</v>
      </c>
      <c r="I1796" s="20">
        <f t="shared" si="38"/>
        <v>224.38620000000006</v>
      </c>
      <c r="J1796" s="6" t="s">
        <v>357</v>
      </c>
    </row>
    <row r="1797" spans="1:10" ht="30" hidden="1">
      <c r="A1797" s="9">
        <v>45912</v>
      </c>
      <c r="B1797" s="216" t="s">
        <v>7513</v>
      </c>
      <c r="C1797" s="5" t="s">
        <v>7519</v>
      </c>
      <c r="D1797" s="8" t="s">
        <v>2486</v>
      </c>
      <c r="E1797" s="25" t="s">
        <v>466</v>
      </c>
      <c r="F1797" s="25" t="s">
        <v>2488</v>
      </c>
      <c r="G1797" s="31">
        <v>975</v>
      </c>
      <c r="H1797" s="5">
        <f t="shared" si="37"/>
        <v>0.29524500000000009</v>
      </c>
      <c r="I1797" s="20">
        <f t="shared" si="38"/>
        <v>287.86387500000006</v>
      </c>
      <c r="J1797" s="6" t="s">
        <v>357</v>
      </c>
    </row>
    <row r="1798" spans="1:10" ht="30" hidden="1">
      <c r="A1798" s="9">
        <v>45912</v>
      </c>
      <c r="B1798" s="216" t="s">
        <v>7528</v>
      </c>
      <c r="C1798" s="5" t="s">
        <v>7519</v>
      </c>
      <c r="D1798" s="8" t="s">
        <v>2486</v>
      </c>
      <c r="E1798" s="25" t="s">
        <v>466</v>
      </c>
      <c r="F1798" s="25" t="s">
        <v>2488</v>
      </c>
      <c r="G1798" s="31">
        <v>1090</v>
      </c>
      <c r="H1798" s="5">
        <f t="shared" si="37"/>
        <v>0.29524500000000009</v>
      </c>
      <c r="I1798" s="20">
        <f t="shared" si="38"/>
        <v>321.81705000000011</v>
      </c>
      <c r="J1798" s="6" t="s">
        <v>357</v>
      </c>
    </row>
    <row r="1799" spans="1:10" ht="30" hidden="1">
      <c r="A1799" s="9">
        <v>45912</v>
      </c>
      <c r="B1799" s="216" t="s">
        <v>7514</v>
      </c>
      <c r="C1799" s="5" t="s">
        <v>7524</v>
      </c>
      <c r="D1799" s="8" t="s">
        <v>2486</v>
      </c>
      <c r="E1799" s="25" t="s">
        <v>466</v>
      </c>
      <c r="F1799" s="25" t="s">
        <v>2488</v>
      </c>
      <c r="G1799" s="31">
        <v>2600</v>
      </c>
      <c r="H1799" s="5">
        <f t="shared" si="37"/>
        <v>0.29524500000000009</v>
      </c>
      <c r="I1799" s="20">
        <f t="shared" si="38"/>
        <v>767.63700000000028</v>
      </c>
      <c r="J1799" s="6" t="s">
        <v>357</v>
      </c>
    </row>
    <row r="1800" spans="1:10" ht="30" hidden="1">
      <c r="A1800" s="9">
        <v>45912</v>
      </c>
      <c r="B1800" s="216" t="s">
        <v>7534</v>
      </c>
      <c r="C1800" s="5" t="s">
        <v>7524</v>
      </c>
      <c r="D1800" s="8" t="s">
        <v>2486</v>
      </c>
      <c r="E1800" s="25" t="s">
        <v>466</v>
      </c>
      <c r="F1800" s="25" t="s">
        <v>2488</v>
      </c>
      <c r="G1800" s="31">
        <v>2915</v>
      </c>
      <c r="H1800" s="5">
        <f t="shared" si="37"/>
        <v>0.29524500000000009</v>
      </c>
      <c r="I1800" s="20">
        <f t="shared" si="38"/>
        <v>860.63917500000025</v>
      </c>
      <c r="J1800" s="6" t="s">
        <v>357</v>
      </c>
    </row>
    <row r="1801" spans="1:10" ht="30" hidden="1">
      <c r="A1801" s="29">
        <v>45397</v>
      </c>
      <c r="B1801" s="6" t="s">
        <v>2663</v>
      </c>
      <c r="C1801" s="14" t="s">
        <v>2662</v>
      </c>
      <c r="D1801" s="23" t="s">
        <v>2486</v>
      </c>
      <c r="E1801" s="6" t="s">
        <v>466</v>
      </c>
      <c r="F1801" s="6" t="s">
        <v>2562</v>
      </c>
      <c r="G1801" s="5">
        <f>448*1.03</f>
        <v>461.44</v>
      </c>
      <c r="H1801" s="5">
        <f t="shared" si="37"/>
        <v>0.29524500000000009</v>
      </c>
      <c r="I1801" s="20">
        <f t="shared" si="38"/>
        <v>136.23785280000004</v>
      </c>
      <c r="J1801" s="6" t="s">
        <v>357</v>
      </c>
    </row>
    <row r="1802" spans="1:10" hidden="1">
      <c r="A1802" s="29">
        <v>45397</v>
      </c>
      <c r="B1802" s="6" t="s">
        <v>2665</v>
      </c>
      <c r="C1802" s="14" t="s">
        <v>2664</v>
      </c>
      <c r="D1802" s="23" t="s">
        <v>2486</v>
      </c>
      <c r="E1802" s="6" t="s">
        <v>466</v>
      </c>
      <c r="F1802" s="6" t="s">
        <v>2488</v>
      </c>
      <c r="G1802" s="5">
        <f>424*1.03</f>
        <v>436.72</v>
      </c>
      <c r="H1802" s="5">
        <f t="shared" si="37"/>
        <v>0.29524500000000009</v>
      </c>
      <c r="I1802" s="20">
        <f t="shared" si="38"/>
        <v>128.93939640000005</v>
      </c>
      <c r="J1802" s="6" t="s">
        <v>357</v>
      </c>
    </row>
    <row r="1803" spans="1:10" ht="30" hidden="1">
      <c r="A1803" s="29">
        <v>45397</v>
      </c>
      <c r="B1803" s="6" t="s">
        <v>2667</v>
      </c>
      <c r="C1803" s="14" t="s">
        <v>2666</v>
      </c>
      <c r="D1803" s="23" t="s">
        <v>2486</v>
      </c>
      <c r="E1803" s="6" t="s">
        <v>466</v>
      </c>
      <c r="F1803" s="6" t="s">
        <v>2562</v>
      </c>
      <c r="G1803" s="5">
        <f>488*1.03</f>
        <v>502.64</v>
      </c>
      <c r="H1803" s="5">
        <f t="shared" si="37"/>
        <v>0.29524500000000009</v>
      </c>
      <c r="I1803" s="20">
        <f t="shared" si="38"/>
        <v>148.40194680000005</v>
      </c>
      <c r="J1803" s="6" t="s">
        <v>357</v>
      </c>
    </row>
    <row r="1804" spans="1:10" hidden="1">
      <c r="A1804" s="29">
        <v>45397</v>
      </c>
      <c r="B1804" s="6" t="s">
        <v>2669</v>
      </c>
      <c r="C1804" s="14" t="s">
        <v>2668</v>
      </c>
      <c r="D1804" s="23" t="s">
        <v>2486</v>
      </c>
      <c r="E1804" s="6" t="s">
        <v>466</v>
      </c>
      <c r="F1804" s="6" t="s">
        <v>2488</v>
      </c>
      <c r="G1804" s="5">
        <f>509*1.03</f>
        <v>524.27</v>
      </c>
      <c r="H1804" s="5">
        <f t="shared" si="37"/>
        <v>0.29524500000000009</v>
      </c>
      <c r="I1804" s="20">
        <f t="shared" si="38"/>
        <v>154.78809615000003</v>
      </c>
      <c r="J1804" s="6" t="s">
        <v>357</v>
      </c>
    </row>
    <row r="1805" spans="1:10" ht="30" hidden="1">
      <c r="A1805" s="29">
        <v>45397</v>
      </c>
      <c r="B1805" s="6" t="s">
        <v>2671</v>
      </c>
      <c r="C1805" s="14" t="s">
        <v>2670</v>
      </c>
      <c r="D1805" s="23" t="s">
        <v>2486</v>
      </c>
      <c r="E1805" s="6" t="s">
        <v>466</v>
      </c>
      <c r="F1805" s="6" t="s">
        <v>2562</v>
      </c>
      <c r="G1805" s="5">
        <f>813*1.03</f>
        <v>837.39</v>
      </c>
      <c r="H1805" s="5">
        <f t="shared" si="37"/>
        <v>0.29524500000000009</v>
      </c>
      <c r="I1805" s="20">
        <f t="shared" si="38"/>
        <v>247.23521055000006</v>
      </c>
      <c r="J1805" s="6" t="s">
        <v>357</v>
      </c>
    </row>
    <row r="1806" spans="1:10" ht="30" hidden="1">
      <c r="A1806" s="29">
        <v>45397</v>
      </c>
      <c r="B1806" s="6" t="s">
        <v>2673</v>
      </c>
      <c r="C1806" s="14" t="s">
        <v>2672</v>
      </c>
      <c r="D1806" s="23" t="s">
        <v>2486</v>
      </c>
      <c r="E1806" s="6" t="s">
        <v>466</v>
      </c>
      <c r="F1806" s="6" t="s">
        <v>2562</v>
      </c>
      <c r="G1806" s="5">
        <f>949*1.03</f>
        <v>977.47</v>
      </c>
      <c r="H1806" s="5">
        <f t="shared" si="37"/>
        <v>0.29524500000000009</v>
      </c>
      <c r="I1806" s="20">
        <f t="shared" si="38"/>
        <v>288.59313015000009</v>
      </c>
      <c r="J1806" s="6" t="s">
        <v>357</v>
      </c>
    </row>
    <row r="1807" spans="1:10" hidden="1">
      <c r="A1807" s="29">
        <v>45397</v>
      </c>
      <c r="B1807" s="6" t="s">
        <v>2675</v>
      </c>
      <c r="C1807" s="15" t="s">
        <v>2674</v>
      </c>
      <c r="D1807" s="28" t="s">
        <v>2486</v>
      </c>
      <c r="E1807" s="6" t="s">
        <v>355</v>
      </c>
      <c r="F1807" s="6" t="s">
        <v>2488</v>
      </c>
      <c r="G1807" s="5">
        <f>1813*1.03</f>
        <v>1867.39</v>
      </c>
      <c r="H1807" s="5">
        <f t="shared" si="37"/>
        <v>0.29524500000000009</v>
      </c>
      <c r="I1807" s="20">
        <f t="shared" si="38"/>
        <v>551.33756055000015</v>
      </c>
      <c r="J1807" s="6" t="s">
        <v>357</v>
      </c>
    </row>
    <row r="1808" spans="1:10" hidden="1">
      <c r="A1808" s="29">
        <v>45397</v>
      </c>
      <c r="B1808" s="6" t="s">
        <v>2677</v>
      </c>
      <c r="C1808" s="5" t="s">
        <v>2676</v>
      </c>
      <c r="D1808" s="8" t="s">
        <v>2486</v>
      </c>
      <c r="E1808" s="6" t="s">
        <v>654</v>
      </c>
      <c r="F1808" s="6" t="s">
        <v>2678</v>
      </c>
      <c r="G1808" s="5">
        <f>293*1.03</f>
        <v>301.79000000000002</v>
      </c>
      <c r="H1808" s="5">
        <f t="shared" si="37"/>
        <v>0.29524500000000009</v>
      </c>
      <c r="I1808" s="20">
        <f t="shared" si="38"/>
        <v>89.10198855000003</v>
      </c>
      <c r="J1808" s="6" t="s">
        <v>357</v>
      </c>
    </row>
    <row r="1809" spans="1:10" hidden="1">
      <c r="A1809" s="29">
        <v>45397</v>
      </c>
      <c r="B1809" s="6" t="s">
        <v>2679</v>
      </c>
      <c r="C1809" s="5" t="s">
        <v>320</v>
      </c>
      <c r="D1809" s="8" t="s">
        <v>2486</v>
      </c>
      <c r="E1809" s="6" t="s">
        <v>685</v>
      </c>
      <c r="F1809" s="6" t="s">
        <v>2678</v>
      </c>
      <c r="G1809" s="5">
        <f>188*1.03</f>
        <v>193.64000000000001</v>
      </c>
      <c r="H1809" s="5">
        <f>0.5*0.9*0.99</f>
        <v>0.44550000000000001</v>
      </c>
      <c r="I1809" s="20">
        <f t="shared" si="38"/>
        <v>86.266620000000003</v>
      </c>
      <c r="J1809" s="6" t="s">
        <v>357</v>
      </c>
    </row>
    <row r="1810" spans="1:10" hidden="1">
      <c r="A1810" s="29">
        <v>45397</v>
      </c>
      <c r="B1810" s="6" t="s">
        <v>2681</v>
      </c>
      <c r="C1810" s="15" t="s">
        <v>2680</v>
      </c>
      <c r="D1810" s="8" t="s">
        <v>2486</v>
      </c>
      <c r="E1810" s="6" t="s">
        <v>730</v>
      </c>
      <c r="F1810" s="6" t="s">
        <v>731</v>
      </c>
      <c r="G1810" s="21">
        <f>56*1.03</f>
        <v>57.68</v>
      </c>
      <c r="H1810" s="5">
        <v>0.5</v>
      </c>
      <c r="I1810" s="20">
        <f t="shared" si="38"/>
        <v>28.84</v>
      </c>
      <c r="J1810" s="6" t="s">
        <v>357</v>
      </c>
    </row>
    <row r="1811" spans="1:10" hidden="1">
      <c r="A1811" s="29">
        <v>45397</v>
      </c>
      <c r="B1811" s="6" t="s">
        <v>2683</v>
      </c>
      <c r="C1811" s="15" t="s">
        <v>2682</v>
      </c>
      <c r="D1811" s="8" t="s">
        <v>2486</v>
      </c>
      <c r="E1811" s="6" t="s">
        <v>730</v>
      </c>
      <c r="F1811" s="6" t="s">
        <v>731</v>
      </c>
      <c r="G1811" s="21">
        <f>187*1.03</f>
        <v>192.61</v>
      </c>
      <c r="H1811" s="5">
        <v>0.5</v>
      </c>
      <c r="I1811" s="20">
        <f t="shared" si="38"/>
        <v>96.305000000000007</v>
      </c>
      <c r="J1811" s="6" t="s">
        <v>357</v>
      </c>
    </row>
    <row r="1812" spans="1:10" hidden="1">
      <c r="A1812" s="29">
        <v>45397</v>
      </c>
      <c r="B1812" s="6" t="s">
        <v>2685</v>
      </c>
      <c r="C1812" s="15" t="s">
        <v>2684</v>
      </c>
      <c r="D1812" s="8" t="s">
        <v>2486</v>
      </c>
      <c r="E1812" s="6" t="s">
        <v>730</v>
      </c>
      <c r="F1812" s="6" t="s">
        <v>731</v>
      </c>
      <c r="G1812" s="21">
        <f>122*1.03</f>
        <v>125.66</v>
      </c>
      <c r="H1812" s="5">
        <v>0.5</v>
      </c>
      <c r="I1812" s="20">
        <f t="shared" si="38"/>
        <v>62.83</v>
      </c>
      <c r="J1812" s="6" t="s">
        <v>357</v>
      </c>
    </row>
    <row r="1813" spans="1:10" hidden="1">
      <c r="A1813" s="29">
        <v>45397</v>
      </c>
      <c r="B1813" s="6" t="s">
        <v>2687</v>
      </c>
      <c r="C1813" s="15" t="s">
        <v>2686</v>
      </c>
      <c r="D1813" s="8" t="s">
        <v>2486</v>
      </c>
      <c r="E1813" s="6" t="s">
        <v>730</v>
      </c>
      <c r="F1813" s="6" t="s">
        <v>731</v>
      </c>
      <c r="G1813" s="21">
        <f>192*1.03</f>
        <v>197.76</v>
      </c>
      <c r="H1813" s="5">
        <v>0.5</v>
      </c>
      <c r="I1813" s="20">
        <f t="shared" si="38"/>
        <v>98.88</v>
      </c>
      <c r="J1813" s="6" t="s">
        <v>357</v>
      </c>
    </row>
    <row r="1814" spans="1:10" ht="30" hidden="1">
      <c r="A1814" s="29">
        <v>45397</v>
      </c>
      <c r="B1814" s="6" t="s">
        <v>2689</v>
      </c>
      <c r="C1814" s="5" t="s">
        <v>2688</v>
      </c>
      <c r="D1814" s="8" t="s">
        <v>2486</v>
      </c>
      <c r="E1814" s="6" t="s">
        <v>602</v>
      </c>
      <c r="F1814" s="6" t="s">
        <v>2488</v>
      </c>
      <c r="G1814" s="5">
        <f>880*1.05</f>
        <v>924</v>
      </c>
      <c r="H1814" s="5">
        <f t="shared" ref="H1814:H1855" si="39">0.5*0.9*0.9</f>
        <v>0.40500000000000003</v>
      </c>
      <c r="I1814" s="20">
        <f t="shared" si="38"/>
        <v>374.22</v>
      </c>
      <c r="J1814" s="6" t="s">
        <v>357</v>
      </c>
    </row>
    <row r="1815" spans="1:10" ht="30" hidden="1">
      <c r="A1815" s="29">
        <v>45397</v>
      </c>
      <c r="B1815" s="6" t="s">
        <v>2691</v>
      </c>
      <c r="C1815" s="5" t="s">
        <v>2690</v>
      </c>
      <c r="D1815" s="8" t="s">
        <v>2486</v>
      </c>
      <c r="E1815" s="6" t="s">
        <v>602</v>
      </c>
      <c r="F1815" s="6" t="s">
        <v>2488</v>
      </c>
      <c r="G1815" s="5">
        <f>1760*1.05</f>
        <v>1848</v>
      </c>
      <c r="H1815" s="5">
        <f t="shared" si="39"/>
        <v>0.40500000000000003</v>
      </c>
      <c r="I1815" s="20">
        <f t="shared" si="38"/>
        <v>748.44</v>
      </c>
      <c r="J1815" s="6" t="s">
        <v>357</v>
      </c>
    </row>
    <row r="1816" spans="1:10" hidden="1">
      <c r="A1816" s="29">
        <v>45397</v>
      </c>
      <c r="B1816" s="6" t="s">
        <v>2693</v>
      </c>
      <c r="C1816" s="5" t="s">
        <v>2692</v>
      </c>
      <c r="D1816" s="8" t="s">
        <v>2486</v>
      </c>
      <c r="E1816" s="6" t="s">
        <v>602</v>
      </c>
      <c r="F1816" s="6" t="s">
        <v>2488</v>
      </c>
      <c r="G1816" s="5">
        <f>1688*1.05</f>
        <v>1772.4</v>
      </c>
      <c r="H1816" s="5">
        <f t="shared" si="39"/>
        <v>0.40500000000000003</v>
      </c>
      <c r="I1816" s="20">
        <f t="shared" si="38"/>
        <v>717.82200000000012</v>
      </c>
      <c r="J1816" s="6" t="s">
        <v>357</v>
      </c>
    </row>
    <row r="1817" spans="1:10" hidden="1">
      <c r="A1817" s="29">
        <v>45397</v>
      </c>
      <c r="B1817" s="6" t="s">
        <v>2694</v>
      </c>
      <c r="C1817" s="5" t="s">
        <v>1692</v>
      </c>
      <c r="D1817" s="8" t="s">
        <v>2486</v>
      </c>
      <c r="E1817" s="6" t="s">
        <v>602</v>
      </c>
      <c r="F1817" s="6" t="s">
        <v>2488</v>
      </c>
      <c r="G1817" s="5">
        <f>720*1.05</f>
        <v>756</v>
      </c>
      <c r="H1817" s="5">
        <f t="shared" si="39"/>
        <v>0.40500000000000003</v>
      </c>
      <c r="I1817" s="20">
        <f t="shared" si="38"/>
        <v>306.18</v>
      </c>
      <c r="J1817" s="6" t="s">
        <v>357</v>
      </c>
    </row>
    <row r="1818" spans="1:10" hidden="1">
      <c r="A1818" s="29">
        <v>45397</v>
      </c>
      <c r="B1818" s="6" t="s">
        <v>2696</v>
      </c>
      <c r="C1818" s="5" t="s">
        <v>2695</v>
      </c>
      <c r="D1818" s="8" t="s">
        <v>2486</v>
      </c>
      <c r="E1818" s="6" t="s">
        <v>602</v>
      </c>
      <c r="F1818" s="6" t="s">
        <v>2488</v>
      </c>
      <c r="G1818" s="5">
        <f>116*1.05</f>
        <v>121.80000000000001</v>
      </c>
      <c r="H1818" s="5">
        <f t="shared" si="39"/>
        <v>0.40500000000000003</v>
      </c>
      <c r="I1818" s="20">
        <f t="shared" si="38"/>
        <v>49.329000000000008</v>
      </c>
      <c r="J1818" s="6" t="s">
        <v>357</v>
      </c>
    </row>
    <row r="1819" spans="1:10" ht="30" hidden="1">
      <c r="A1819" s="29">
        <v>45397</v>
      </c>
      <c r="B1819" s="6" t="s">
        <v>2698</v>
      </c>
      <c r="C1819" s="5" t="s">
        <v>2697</v>
      </c>
      <c r="D1819" s="8" t="s">
        <v>2486</v>
      </c>
      <c r="E1819" s="6" t="s">
        <v>602</v>
      </c>
      <c r="F1819" s="6" t="s">
        <v>2488</v>
      </c>
      <c r="G1819" s="5">
        <f>221*1.05</f>
        <v>232.05</v>
      </c>
      <c r="H1819" s="5">
        <f t="shared" si="39"/>
        <v>0.40500000000000003</v>
      </c>
      <c r="I1819" s="20">
        <f t="shared" si="38"/>
        <v>93.980250000000012</v>
      </c>
      <c r="J1819" s="6" t="s">
        <v>357</v>
      </c>
    </row>
    <row r="1820" spans="1:10" hidden="1">
      <c r="A1820" s="29">
        <v>45397</v>
      </c>
      <c r="B1820" s="6" t="s">
        <v>2699</v>
      </c>
      <c r="C1820" s="5" t="s">
        <v>1694</v>
      </c>
      <c r="D1820" s="8" t="s">
        <v>2486</v>
      </c>
      <c r="E1820" s="6" t="s">
        <v>602</v>
      </c>
      <c r="F1820" s="6" t="s">
        <v>2488</v>
      </c>
      <c r="G1820" s="5">
        <f>101*1.05</f>
        <v>106.05000000000001</v>
      </c>
      <c r="H1820" s="5">
        <f t="shared" si="39"/>
        <v>0.40500000000000003</v>
      </c>
      <c r="I1820" s="20">
        <f t="shared" si="38"/>
        <v>42.950250000000004</v>
      </c>
      <c r="J1820" s="6" t="s">
        <v>357</v>
      </c>
    </row>
    <row r="1821" spans="1:10" hidden="1">
      <c r="A1821" s="29">
        <v>45397</v>
      </c>
      <c r="B1821" s="6" t="s">
        <v>2701</v>
      </c>
      <c r="C1821" s="5" t="s">
        <v>2700</v>
      </c>
      <c r="D1821" s="8" t="s">
        <v>2486</v>
      </c>
      <c r="E1821" s="6" t="s">
        <v>602</v>
      </c>
      <c r="F1821" s="6" t="s">
        <v>2488</v>
      </c>
      <c r="G1821" s="5">
        <f>1750*1.05</f>
        <v>1837.5</v>
      </c>
      <c r="H1821" s="5">
        <f t="shared" si="39"/>
        <v>0.40500000000000003</v>
      </c>
      <c r="I1821" s="20">
        <f t="shared" si="38"/>
        <v>744.1875</v>
      </c>
      <c r="J1821" s="6" t="s">
        <v>357</v>
      </c>
    </row>
    <row r="1822" spans="1:10" hidden="1">
      <c r="A1822" s="29">
        <v>45397</v>
      </c>
      <c r="B1822" s="6" t="s">
        <v>2703</v>
      </c>
      <c r="C1822" s="5" t="s">
        <v>2702</v>
      </c>
      <c r="D1822" s="8" t="s">
        <v>2486</v>
      </c>
      <c r="E1822" s="6" t="s">
        <v>602</v>
      </c>
      <c r="F1822" s="6" t="s">
        <v>2488</v>
      </c>
      <c r="G1822" s="5">
        <f>948*1.05</f>
        <v>995.40000000000009</v>
      </c>
      <c r="H1822" s="5">
        <f t="shared" si="39"/>
        <v>0.40500000000000003</v>
      </c>
      <c r="I1822" s="20">
        <f t="shared" si="38"/>
        <v>403.13700000000006</v>
      </c>
      <c r="J1822" s="6" t="s">
        <v>357</v>
      </c>
    </row>
    <row r="1823" spans="1:10" hidden="1">
      <c r="A1823" s="29">
        <v>45397</v>
      </c>
      <c r="B1823" s="6" t="s">
        <v>2705</v>
      </c>
      <c r="C1823" s="5" t="s">
        <v>2704</v>
      </c>
      <c r="D1823" s="8" t="s">
        <v>2486</v>
      </c>
      <c r="E1823" s="6" t="s">
        <v>602</v>
      </c>
      <c r="F1823" s="6" t="s">
        <v>2488</v>
      </c>
      <c r="G1823" s="5">
        <f>2020*1.05</f>
        <v>2121</v>
      </c>
      <c r="H1823" s="5">
        <f t="shared" si="39"/>
        <v>0.40500000000000003</v>
      </c>
      <c r="I1823" s="20">
        <f t="shared" si="38"/>
        <v>859.00500000000011</v>
      </c>
      <c r="J1823" s="6" t="s">
        <v>357</v>
      </c>
    </row>
    <row r="1824" spans="1:10" hidden="1">
      <c r="A1824" s="29">
        <v>45397</v>
      </c>
      <c r="B1824" s="6" t="s">
        <v>2706</v>
      </c>
      <c r="C1824" s="5" t="s">
        <v>2440</v>
      </c>
      <c r="D1824" s="8" t="s">
        <v>2486</v>
      </c>
      <c r="E1824" s="6" t="s">
        <v>602</v>
      </c>
      <c r="F1824" s="6" t="s">
        <v>2488</v>
      </c>
      <c r="G1824" s="5">
        <f>1280*1.05</f>
        <v>1344</v>
      </c>
      <c r="H1824" s="5">
        <f t="shared" si="39"/>
        <v>0.40500000000000003</v>
      </c>
      <c r="I1824" s="20">
        <f t="shared" si="38"/>
        <v>544.32000000000005</v>
      </c>
      <c r="J1824" s="6" t="s">
        <v>357</v>
      </c>
    </row>
    <row r="1825" spans="1:10" hidden="1">
      <c r="A1825" s="29">
        <v>45397</v>
      </c>
      <c r="B1825" s="6" t="s">
        <v>2708</v>
      </c>
      <c r="C1825" s="5" t="s">
        <v>2707</v>
      </c>
      <c r="D1825" s="8" t="s">
        <v>2486</v>
      </c>
      <c r="E1825" s="6" t="s">
        <v>602</v>
      </c>
      <c r="F1825" s="6" t="s">
        <v>2488</v>
      </c>
      <c r="G1825" s="5">
        <f>2735*1.05</f>
        <v>2871.75</v>
      </c>
      <c r="H1825" s="5">
        <f t="shared" si="39"/>
        <v>0.40500000000000003</v>
      </c>
      <c r="I1825" s="20">
        <f t="shared" si="38"/>
        <v>1163.0587500000001</v>
      </c>
      <c r="J1825" s="6" t="s">
        <v>357</v>
      </c>
    </row>
    <row r="1826" spans="1:10" hidden="1">
      <c r="A1826" s="29">
        <v>45397</v>
      </c>
      <c r="B1826" s="6" t="s">
        <v>2709</v>
      </c>
      <c r="C1826" s="5" t="s">
        <v>1702</v>
      </c>
      <c r="D1826" s="8" t="s">
        <v>2486</v>
      </c>
      <c r="E1826" s="6" t="s">
        <v>602</v>
      </c>
      <c r="F1826" s="6" t="s">
        <v>2488</v>
      </c>
      <c r="G1826" s="5">
        <f>1775*1.05</f>
        <v>1863.75</v>
      </c>
      <c r="H1826" s="5">
        <f t="shared" si="39"/>
        <v>0.40500000000000003</v>
      </c>
      <c r="I1826" s="20">
        <f t="shared" si="38"/>
        <v>754.81875000000002</v>
      </c>
      <c r="J1826" s="6" t="s">
        <v>357</v>
      </c>
    </row>
    <row r="1827" spans="1:10" hidden="1">
      <c r="A1827" s="29">
        <v>45397</v>
      </c>
      <c r="B1827" s="6" t="s">
        <v>2711</v>
      </c>
      <c r="C1827" s="5" t="s">
        <v>2710</v>
      </c>
      <c r="D1827" s="8" t="s">
        <v>2486</v>
      </c>
      <c r="E1827" s="6" t="s">
        <v>602</v>
      </c>
      <c r="F1827" s="6" t="s">
        <v>2488</v>
      </c>
      <c r="G1827" s="5">
        <f>160*1.05</f>
        <v>168</v>
      </c>
      <c r="H1827" s="5">
        <f t="shared" si="39"/>
        <v>0.40500000000000003</v>
      </c>
      <c r="I1827" s="20">
        <f t="shared" si="38"/>
        <v>68.040000000000006</v>
      </c>
      <c r="J1827" s="6" t="s">
        <v>357</v>
      </c>
    </row>
    <row r="1828" spans="1:10" hidden="1">
      <c r="A1828" s="29">
        <v>45397</v>
      </c>
      <c r="B1828" s="6" t="s">
        <v>2712</v>
      </c>
      <c r="C1828" s="5" t="s">
        <v>1700</v>
      </c>
      <c r="D1828" s="8" t="s">
        <v>2486</v>
      </c>
      <c r="E1828" s="6" t="s">
        <v>602</v>
      </c>
      <c r="F1828" s="6" t="s">
        <v>2488</v>
      </c>
      <c r="G1828" s="5">
        <f>115*1.05</f>
        <v>120.75</v>
      </c>
      <c r="H1828" s="5">
        <f t="shared" si="39"/>
        <v>0.40500000000000003</v>
      </c>
      <c r="I1828" s="20">
        <f t="shared" si="38"/>
        <v>48.903750000000002</v>
      </c>
      <c r="J1828" s="6" t="s">
        <v>357</v>
      </c>
    </row>
    <row r="1829" spans="1:10" hidden="1">
      <c r="A1829" s="29">
        <v>45397</v>
      </c>
      <c r="B1829" s="6" t="s">
        <v>2714</v>
      </c>
      <c r="C1829" s="5" t="s">
        <v>2713</v>
      </c>
      <c r="D1829" s="8" t="s">
        <v>2486</v>
      </c>
      <c r="E1829" s="6" t="s">
        <v>602</v>
      </c>
      <c r="F1829" s="6" t="s">
        <v>2488</v>
      </c>
      <c r="G1829" s="5">
        <f>3544*1.05</f>
        <v>3721.2000000000003</v>
      </c>
      <c r="H1829" s="5">
        <f t="shared" si="39"/>
        <v>0.40500000000000003</v>
      </c>
      <c r="I1829" s="20">
        <f t="shared" si="38"/>
        <v>1507.0860000000002</v>
      </c>
      <c r="J1829" s="6" t="s">
        <v>357</v>
      </c>
    </row>
    <row r="1830" spans="1:10" hidden="1">
      <c r="A1830" s="29">
        <v>45397</v>
      </c>
      <c r="B1830" s="6" t="s">
        <v>2715</v>
      </c>
      <c r="C1830" s="5" t="s">
        <v>1704</v>
      </c>
      <c r="D1830" s="8" t="s">
        <v>2486</v>
      </c>
      <c r="E1830" s="6" t="s">
        <v>602</v>
      </c>
      <c r="F1830" s="6" t="s">
        <v>2488</v>
      </c>
      <c r="G1830" s="5">
        <f>2188*1.05</f>
        <v>2297.4</v>
      </c>
      <c r="H1830" s="5">
        <f t="shared" si="39"/>
        <v>0.40500000000000003</v>
      </c>
      <c r="I1830" s="20">
        <f t="shared" si="38"/>
        <v>930.44700000000012</v>
      </c>
      <c r="J1830" s="6" t="s">
        <v>357</v>
      </c>
    </row>
    <row r="1831" spans="1:10" hidden="1">
      <c r="A1831" s="29">
        <v>45397</v>
      </c>
      <c r="B1831" s="6" t="s">
        <v>2717</v>
      </c>
      <c r="C1831" s="5" t="s">
        <v>2716</v>
      </c>
      <c r="D1831" s="8" t="s">
        <v>2486</v>
      </c>
      <c r="E1831" s="6" t="s">
        <v>602</v>
      </c>
      <c r="F1831" s="6" t="s">
        <v>2488</v>
      </c>
      <c r="G1831" s="5">
        <f>193*1.05</f>
        <v>202.65</v>
      </c>
      <c r="H1831" s="5">
        <f t="shared" si="39"/>
        <v>0.40500000000000003</v>
      </c>
      <c r="I1831" s="20">
        <f t="shared" si="38"/>
        <v>82.073250000000002</v>
      </c>
      <c r="J1831" s="6" t="s">
        <v>357</v>
      </c>
    </row>
    <row r="1832" spans="1:10" ht="30" hidden="1">
      <c r="A1832" s="29">
        <v>45397</v>
      </c>
      <c r="B1832" s="6" t="s">
        <v>2719</v>
      </c>
      <c r="C1832" s="5" t="s">
        <v>2718</v>
      </c>
      <c r="D1832" s="8" t="s">
        <v>2486</v>
      </c>
      <c r="E1832" s="6" t="s">
        <v>602</v>
      </c>
      <c r="F1832" s="6" t="s">
        <v>2488</v>
      </c>
      <c r="G1832" s="5">
        <f>265*1.05</f>
        <v>278.25</v>
      </c>
      <c r="H1832" s="5">
        <f t="shared" si="39"/>
        <v>0.40500000000000003</v>
      </c>
      <c r="I1832" s="20">
        <f t="shared" si="38"/>
        <v>112.69125000000001</v>
      </c>
      <c r="J1832" s="6" t="s">
        <v>357</v>
      </c>
    </row>
    <row r="1833" spans="1:10" hidden="1">
      <c r="A1833" s="29">
        <v>45397</v>
      </c>
      <c r="B1833" s="6" t="s">
        <v>2720</v>
      </c>
      <c r="C1833" s="5" t="s">
        <v>2419</v>
      </c>
      <c r="D1833" s="8" t="s">
        <v>2486</v>
      </c>
      <c r="E1833" s="6" t="s">
        <v>602</v>
      </c>
      <c r="F1833" s="6" t="s">
        <v>2488</v>
      </c>
      <c r="G1833" s="5">
        <f>140*1.05</f>
        <v>147</v>
      </c>
      <c r="H1833" s="5">
        <f t="shared" si="39"/>
        <v>0.40500000000000003</v>
      </c>
      <c r="I1833" s="20">
        <f t="shared" si="38"/>
        <v>59.535000000000004</v>
      </c>
      <c r="J1833" s="6" t="s">
        <v>357</v>
      </c>
    </row>
    <row r="1834" spans="1:10" hidden="1">
      <c r="A1834" s="29">
        <v>45397</v>
      </c>
      <c r="B1834" s="6" t="s">
        <v>2722</v>
      </c>
      <c r="C1834" s="5" t="s">
        <v>2721</v>
      </c>
      <c r="D1834" s="8" t="s">
        <v>2486</v>
      </c>
      <c r="E1834" s="6" t="s">
        <v>602</v>
      </c>
      <c r="F1834" s="6" t="s">
        <v>2488</v>
      </c>
      <c r="G1834" s="5">
        <f>5375*1.05</f>
        <v>5643.75</v>
      </c>
      <c r="H1834" s="5">
        <f t="shared" si="39"/>
        <v>0.40500000000000003</v>
      </c>
      <c r="I1834" s="20">
        <f t="shared" si="38"/>
        <v>2285.71875</v>
      </c>
      <c r="J1834" s="6" t="s">
        <v>357</v>
      </c>
    </row>
    <row r="1835" spans="1:10" hidden="1">
      <c r="A1835" s="29">
        <v>45397</v>
      </c>
      <c r="B1835" s="6" t="s">
        <v>2723</v>
      </c>
      <c r="C1835" s="5" t="s">
        <v>1708</v>
      </c>
      <c r="D1835" s="8" t="s">
        <v>2486</v>
      </c>
      <c r="E1835" s="6" t="s">
        <v>602</v>
      </c>
      <c r="F1835" s="6" t="s">
        <v>2488</v>
      </c>
      <c r="G1835" s="5">
        <f>2745*1.05</f>
        <v>2882.25</v>
      </c>
      <c r="H1835" s="5">
        <f t="shared" si="39"/>
        <v>0.40500000000000003</v>
      </c>
      <c r="I1835" s="20">
        <f t="shared" si="38"/>
        <v>1167.31125</v>
      </c>
      <c r="J1835" s="6" t="s">
        <v>357</v>
      </c>
    </row>
    <row r="1836" spans="1:10" ht="30" hidden="1">
      <c r="A1836" s="29">
        <v>45397</v>
      </c>
      <c r="B1836" s="6" t="s">
        <v>2725</v>
      </c>
      <c r="C1836" s="5" t="s">
        <v>2724</v>
      </c>
      <c r="D1836" s="8" t="s">
        <v>2486</v>
      </c>
      <c r="E1836" s="6" t="s">
        <v>602</v>
      </c>
      <c r="F1836" s="6" t="s">
        <v>2488</v>
      </c>
      <c r="G1836" s="5">
        <f>280*1.05</f>
        <v>294</v>
      </c>
      <c r="H1836" s="5">
        <f t="shared" si="39"/>
        <v>0.40500000000000003</v>
      </c>
      <c r="I1836" s="20">
        <f t="shared" si="38"/>
        <v>119.07000000000001</v>
      </c>
      <c r="J1836" s="6" t="s">
        <v>357</v>
      </c>
    </row>
    <row r="1837" spans="1:10" hidden="1">
      <c r="A1837" s="29">
        <v>45397</v>
      </c>
      <c r="B1837" s="6" t="s">
        <v>2727</v>
      </c>
      <c r="C1837" s="5" t="s">
        <v>2726</v>
      </c>
      <c r="D1837" s="8" t="s">
        <v>2486</v>
      </c>
      <c r="E1837" s="6" t="s">
        <v>602</v>
      </c>
      <c r="F1837" s="6" t="s">
        <v>2488</v>
      </c>
      <c r="G1837" s="5">
        <f>294*1.05</f>
        <v>308.7</v>
      </c>
      <c r="H1837" s="5">
        <f t="shared" si="39"/>
        <v>0.40500000000000003</v>
      </c>
      <c r="I1837" s="20">
        <f t="shared" si="38"/>
        <v>125.0235</v>
      </c>
      <c r="J1837" s="6" t="s">
        <v>357</v>
      </c>
    </row>
    <row r="1838" spans="1:10" hidden="1">
      <c r="A1838" s="29">
        <v>45397</v>
      </c>
      <c r="B1838" s="6" t="s">
        <v>2728</v>
      </c>
      <c r="C1838" s="5" t="s">
        <v>1710</v>
      </c>
      <c r="D1838" s="8" t="s">
        <v>2486</v>
      </c>
      <c r="E1838" s="6" t="s">
        <v>602</v>
      </c>
      <c r="F1838" s="6" t="s">
        <v>2488</v>
      </c>
      <c r="G1838" s="5">
        <f>155*1.05</f>
        <v>162.75</v>
      </c>
      <c r="H1838" s="5">
        <f t="shared" si="39"/>
        <v>0.40500000000000003</v>
      </c>
      <c r="I1838" s="20">
        <f t="shared" si="38"/>
        <v>65.913750000000007</v>
      </c>
      <c r="J1838" s="6" t="s">
        <v>357</v>
      </c>
    </row>
    <row r="1839" spans="1:10" hidden="1">
      <c r="A1839" s="29">
        <v>45397</v>
      </c>
      <c r="B1839" s="6" t="s">
        <v>2730</v>
      </c>
      <c r="C1839" s="5" t="s">
        <v>2729</v>
      </c>
      <c r="D1839" s="8" t="s">
        <v>2486</v>
      </c>
      <c r="E1839" s="6" t="s">
        <v>602</v>
      </c>
      <c r="F1839" s="6" t="s">
        <v>2488</v>
      </c>
      <c r="G1839" s="5">
        <f>6250*1.05</f>
        <v>6562.5</v>
      </c>
      <c r="H1839" s="5">
        <f t="shared" si="39"/>
        <v>0.40500000000000003</v>
      </c>
      <c r="I1839" s="20">
        <f t="shared" si="38"/>
        <v>2657.8125</v>
      </c>
      <c r="J1839" s="6" t="s">
        <v>357</v>
      </c>
    </row>
    <row r="1840" spans="1:10" hidden="1">
      <c r="A1840" s="29">
        <v>45397</v>
      </c>
      <c r="B1840" s="6" t="s">
        <v>2731</v>
      </c>
      <c r="C1840" s="5" t="s">
        <v>1712</v>
      </c>
      <c r="D1840" s="8" t="s">
        <v>2486</v>
      </c>
      <c r="E1840" s="6" t="s">
        <v>602</v>
      </c>
      <c r="F1840" s="6" t="s">
        <v>2488</v>
      </c>
      <c r="G1840" s="5">
        <f>2916*1.05</f>
        <v>3061.8</v>
      </c>
      <c r="H1840" s="5">
        <f t="shared" si="39"/>
        <v>0.40500000000000003</v>
      </c>
      <c r="I1840" s="20">
        <f t="shared" si="38"/>
        <v>1240.0290000000002</v>
      </c>
      <c r="J1840" s="6" t="s">
        <v>357</v>
      </c>
    </row>
    <row r="1841" spans="1:10" hidden="1">
      <c r="A1841" s="29">
        <v>45397</v>
      </c>
      <c r="B1841" s="6" t="s">
        <v>2733</v>
      </c>
      <c r="C1841" s="5" t="s">
        <v>2732</v>
      </c>
      <c r="D1841" s="8" t="s">
        <v>2486</v>
      </c>
      <c r="E1841" s="6" t="s">
        <v>602</v>
      </c>
      <c r="F1841" s="6" t="s">
        <v>2488</v>
      </c>
      <c r="G1841" s="5">
        <f>6389*1.05</f>
        <v>6708.4500000000007</v>
      </c>
      <c r="H1841" s="5">
        <f t="shared" si="39"/>
        <v>0.40500000000000003</v>
      </c>
      <c r="I1841" s="20">
        <f t="shared" si="38"/>
        <v>2716.9222500000005</v>
      </c>
      <c r="J1841" s="6" t="s">
        <v>357</v>
      </c>
    </row>
    <row r="1842" spans="1:10" hidden="1">
      <c r="A1842" s="29">
        <v>45397</v>
      </c>
      <c r="B1842" s="6" t="s">
        <v>2734</v>
      </c>
      <c r="C1842" s="5" t="s">
        <v>1714</v>
      </c>
      <c r="D1842" s="8" t="s">
        <v>2486</v>
      </c>
      <c r="E1842" s="6" t="s">
        <v>602</v>
      </c>
      <c r="F1842" s="6" t="s">
        <v>2488</v>
      </c>
      <c r="G1842" s="5">
        <f>3153*1.05</f>
        <v>3310.65</v>
      </c>
      <c r="H1842" s="5">
        <f t="shared" si="39"/>
        <v>0.40500000000000003</v>
      </c>
      <c r="I1842" s="20">
        <f t="shared" si="38"/>
        <v>1340.8132500000002</v>
      </c>
      <c r="J1842" s="6" t="s">
        <v>357</v>
      </c>
    </row>
    <row r="1843" spans="1:10" ht="30" hidden="1">
      <c r="A1843" s="29">
        <v>45397</v>
      </c>
      <c r="B1843" s="6" t="s">
        <v>2736</v>
      </c>
      <c r="C1843" s="5" t="s">
        <v>2735</v>
      </c>
      <c r="D1843" s="8" t="s">
        <v>2486</v>
      </c>
      <c r="E1843" s="6" t="s">
        <v>602</v>
      </c>
      <c r="F1843" s="6" t="s">
        <v>2488</v>
      </c>
      <c r="G1843" s="5">
        <f>320*1.05</f>
        <v>336</v>
      </c>
      <c r="H1843" s="5">
        <f t="shared" si="39"/>
        <v>0.40500000000000003</v>
      </c>
      <c r="I1843" s="20">
        <f t="shared" si="38"/>
        <v>136.08000000000001</v>
      </c>
      <c r="J1843" s="6" t="s">
        <v>357</v>
      </c>
    </row>
    <row r="1844" spans="1:10" hidden="1">
      <c r="A1844" s="29">
        <v>45397</v>
      </c>
      <c r="B1844" s="6" t="s">
        <v>2738</v>
      </c>
      <c r="C1844" s="5" t="s">
        <v>2737</v>
      </c>
      <c r="D1844" s="8" t="s">
        <v>2486</v>
      </c>
      <c r="E1844" s="6" t="s">
        <v>602</v>
      </c>
      <c r="F1844" s="6" t="s">
        <v>2488</v>
      </c>
      <c r="G1844" s="5">
        <f>342*1.05</f>
        <v>359.1</v>
      </c>
      <c r="H1844" s="5">
        <f t="shared" si="39"/>
        <v>0.40500000000000003</v>
      </c>
      <c r="I1844" s="20">
        <f t="shared" si="38"/>
        <v>145.43550000000002</v>
      </c>
      <c r="J1844" s="6" t="s">
        <v>357</v>
      </c>
    </row>
    <row r="1845" spans="1:10" hidden="1">
      <c r="A1845" s="29">
        <v>45397</v>
      </c>
      <c r="B1845" s="6" t="s">
        <v>2739</v>
      </c>
      <c r="C1845" s="5" t="s">
        <v>308</v>
      </c>
      <c r="D1845" s="8" t="s">
        <v>2486</v>
      </c>
      <c r="E1845" s="6" t="s">
        <v>602</v>
      </c>
      <c r="F1845" s="6" t="s">
        <v>2488</v>
      </c>
      <c r="G1845" s="5">
        <f>195*1.05</f>
        <v>204.75</v>
      </c>
      <c r="H1845" s="5">
        <f t="shared" si="39"/>
        <v>0.40500000000000003</v>
      </c>
      <c r="I1845" s="20">
        <f t="shared" si="38"/>
        <v>82.923750000000013</v>
      </c>
      <c r="J1845" s="6" t="s">
        <v>357</v>
      </c>
    </row>
    <row r="1846" spans="1:10" hidden="1">
      <c r="A1846" s="29">
        <v>45397</v>
      </c>
      <c r="B1846" s="6" t="s">
        <v>2741</v>
      </c>
      <c r="C1846" s="5" t="s">
        <v>2740</v>
      </c>
      <c r="D1846" s="8" t="s">
        <v>2486</v>
      </c>
      <c r="E1846" s="6" t="s">
        <v>602</v>
      </c>
      <c r="F1846" s="6" t="s">
        <v>2488</v>
      </c>
      <c r="G1846" s="5">
        <f>8125*1.05</f>
        <v>8531.25</v>
      </c>
      <c r="H1846" s="5">
        <f t="shared" si="39"/>
        <v>0.40500000000000003</v>
      </c>
      <c r="I1846" s="20">
        <f t="shared" si="38"/>
        <v>3455.15625</v>
      </c>
      <c r="J1846" s="6" t="s">
        <v>357</v>
      </c>
    </row>
    <row r="1847" spans="1:10" hidden="1">
      <c r="A1847" s="29">
        <v>45397</v>
      </c>
      <c r="B1847" s="6" t="s">
        <v>2742</v>
      </c>
      <c r="C1847" s="5" t="s">
        <v>1718</v>
      </c>
      <c r="D1847" s="8" t="s">
        <v>2486</v>
      </c>
      <c r="E1847" s="6" t="s">
        <v>602</v>
      </c>
      <c r="F1847" s="6" t="s">
        <v>2488</v>
      </c>
      <c r="G1847" s="5">
        <f>6863*1.05</f>
        <v>7206.1500000000005</v>
      </c>
      <c r="H1847" s="5">
        <f t="shared" si="39"/>
        <v>0.40500000000000003</v>
      </c>
      <c r="I1847" s="20">
        <f t="shared" si="38"/>
        <v>2918.4907500000004</v>
      </c>
      <c r="J1847" s="6" t="s">
        <v>357</v>
      </c>
    </row>
    <row r="1848" spans="1:10" ht="30" hidden="1">
      <c r="A1848" s="29">
        <v>45397</v>
      </c>
      <c r="B1848" s="6" t="s">
        <v>2744</v>
      </c>
      <c r="C1848" s="5" t="s">
        <v>2743</v>
      </c>
      <c r="D1848" s="8" t="s">
        <v>2486</v>
      </c>
      <c r="E1848" s="6" t="s">
        <v>602</v>
      </c>
      <c r="F1848" s="6" t="s">
        <v>2488</v>
      </c>
      <c r="G1848" s="5">
        <f>470*1.05</f>
        <v>493.5</v>
      </c>
      <c r="H1848" s="5">
        <f t="shared" si="39"/>
        <v>0.40500000000000003</v>
      </c>
      <c r="I1848" s="20">
        <f t="shared" si="38"/>
        <v>199.86750000000001</v>
      </c>
      <c r="J1848" s="6" t="s">
        <v>357</v>
      </c>
    </row>
    <row r="1849" spans="1:10" hidden="1">
      <c r="A1849" s="29">
        <v>45397</v>
      </c>
      <c r="B1849" s="6" t="s">
        <v>2746</v>
      </c>
      <c r="C1849" s="5" t="s">
        <v>2745</v>
      </c>
      <c r="D1849" s="8" t="s">
        <v>2486</v>
      </c>
      <c r="E1849" s="6" t="s">
        <v>602</v>
      </c>
      <c r="F1849" s="6" t="s">
        <v>2488</v>
      </c>
      <c r="G1849" s="5">
        <f>530*1.05</f>
        <v>556.5</v>
      </c>
      <c r="H1849" s="5">
        <f t="shared" si="39"/>
        <v>0.40500000000000003</v>
      </c>
      <c r="I1849" s="20">
        <f t="shared" si="38"/>
        <v>225.38250000000002</v>
      </c>
      <c r="J1849" s="6" t="s">
        <v>357</v>
      </c>
    </row>
    <row r="1850" spans="1:10" hidden="1">
      <c r="A1850" s="29">
        <v>45397</v>
      </c>
      <c r="B1850" s="6" t="s">
        <v>2747</v>
      </c>
      <c r="C1850" s="5" t="s">
        <v>1716</v>
      </c>
      <c r="D1850" s="8" t="s">
        <v>2486</v>
      </c>
      <c r="E1850" s="6" t="s">
        <v>602</v>
      </c>
      <c r="F1850" s="6" t="s">
        <v>2488</v>
      </c>
      <c r="G1850" s="5">
        <f>310*1.05</f>
        <v>325.5</v>
      </c>
      <c r="H1850" s="5">
        <f t="shared" si="39"/>
        <v>0.40500000000000003</v>
      </c>
      <c r="I1850" s="20">
        <f t="shared" si="38"/>
        <v>131.82750000000001</v>
      </c>
      <c r="J1850" s="6" t="s">
        <v>357</v>
      </c>
    </row>
    <row r="1851" spans="1:10" hidden="1">
      <c r="A1851" s="29">
        <v>45397</v>
      </c>
      <c r="B1851" s="6" t="s">
        <v>2749</v>
      </c>
      <c r="C1851" s="5" t="s">
        <v>2748</v>
      </c>
      <c r="D1851" s="8" t="s">
        <v>2486</v>
      </c>
      <c r="E1851" s="6" t="s">
        <v>602</v>
      </c>
      <c r="F1851" s="6" t="s">
        <v>2488</v>
      </c>
      <c r="G1851" s="5">
        <f>8610*1.05</f>
        <v>9040.5</v>
      </c>
      <c r="H1851" s="5">
        <f t="shared" si="39"/>
        <v>0.40500000000000003</v>
      </c>
      <c r="I1851" s="20">
        <f t="shared" si="38"/>
        <v>3661.4025000000001</v>
      </c>
      <c r="J1851" s="6" t="s">
        <v>357</v>
      </c>
    </row>
    <row r="1852" spans="1:10" hidden="1">
      <c r="A1852" s="29">
        <v>45397</v>
      </c>
      <c r="B1852" s="6" t="s">
        <v>2750</v>
      </c>
      <c r="C1852" s="5" t="s">
        <v>1720</v>
      </c>
      <c r="D1852" s="8" t="s">
        <v>2486</v>
      </c>
      <c r="E1852" s="6" t="s">
        <v>602</v>
      </c>
      <c r="F1852" s="6" t="s">
        <v>2488</v>
      </c>
      <c r="G1852" s="5">
        <f>7250*1.05</f>
        <v>7612.5</v>
      </c>
      <c r="H1852" s="5">
        <f t="shared" si="39"/>
        <v>0.40500000000000003</v>
      </c>
      <c r="I1852" s="20">
        <f t="shared" si="38"/>
        <v>3083.0625</v>
      </c>
      <c r="J1852" s="6" t="s">
        <v>357</v>
      </c>
    </row>
    <row r="1853" spans="1:10" ht="30" hidden="1">
      <c r="A1853" s="29">
        <v>45397</v>
      </c>
      <c r="B1853" s="6" t="s">
        <v>2752</v>
      </c>
      <c r="C1853" s="5" t="s">
        <v>2751</v>
      </c>
      <c r="D1853" s="8" t="s">
        <v>2486</v>
      </c>
      <c r="E1853" s="6" t="s">
        <v>602</v>
      </c>
      <c r="F1853" s="6" t="s">
        <v>2488</v>
      </c>
      <c r="G1853" s="5">
        <f>1554*1.05</f>
        <v>1631.7</v>
      </c>
      <c r="H1853" s="5">
        <f t="shared" si="39"/>
        <v>0.40500000000000003</v>
      </c>
      <c r="I1853" s="20">
        <f t="shared" si="38"/>
        <v>660.83850000000007</v>
      </c>
      <c r="J1853" s="6" t="s">
        <v>357</v>
      </c>
    </row>
    <row r="1854" spans="1:10" ht="30" hidden="1">
      <c r="A1854" s="29">
        <v>45397</v>
      </c>
      <c r="B1854" s="6" t="s">
        <v>2754</v>
      </c>
      <c r="C1854" s="5" t="s">
        <v>2753</v>
      </c>
      <c r="D1854" s="8" t="s">
        <v>2486</v>
      </c>
      <c r="E1854" s="6" t="s">
        <v>602</v>
      </c>
      <c r="F1854" s="6" t="s">
        <v>2488</v>
      </c>
      <c r="G1854" s="5">
        <f>580*1.05</f>
        <v>609</v>
      </c>
      <c r="H1854" s="5">
        <f t="shared" si="39"/>
        <v>0.40500000000000003</v>
      </c>
      <c r="I1854" s="20">
        <f t="shared" si="38"/>
        <v>246.64500000000001</v>
      </c>
      <c r="J1854" s="6" t="s">
        <v>357</v>
      </c>
    </row>
    <row r="1855" spans="1:10" hidden="1">
      <c r="A1855" s="29">
        <v>45397</v>
      </c>
      <c r="B1855" s="6" t="s">
        <v>2756</v>
      </c>
      <c r="C1855" s="5" t="s">
        <v>2755</v>
      </c>
      <c r="D1855" s="8" t="s">
        <v>2486</v>
      </c>
      <c r="E1855" s="6" t="s">
        <v>602</v>
      </c>
      <c r="F1855" s="6" t="s">
        <v>2488</v>
      </c>
      <c r="G1855" s="5">
        <f>728*1.05</f>
        <v>764.4</v>
      </c>
      <c r="H1855" s="5">
        <f t="shared" si="39"/>
        <v>0.40500000000000003</v>
      </c>
      <c r="I1855" s="20">
        <f t="shared" si="38"/>
        <v>309.58199999999999</v>
      </c>
      <c r="J1855" s="6" t="s">
        <v>357</v>
      </c>
    </row>
    <row r="1856" spans="1:10" hidden="1">
      <c r="A1856" s="29">
        <v>45397</v>
      </c>
      <c r="B1856" s="6" t="s">
        <v>2757</v>
      </c>
      <c r="C1856" s="5" t="s">
        <v>1722</v>
      </c>
      <c r="D1856" s="8" t="s">
        <v>2486</v>
      </c>
      <c r="E1856" s="6" t="s">
        <v>602</v>
      </c>
      <c r="F1856" s="6" t="s">
        <v>2488</v>
      </c>
      <c r="G1856" s="5">
        <f>420*1.05</f>
        <v>441</v>
      </c>
      <c r="H1856" s="5">
        <v>0.40500000000000003</v>
      </c>
      <c r="I1856" s="20">
        <f t="shared" si="38"/>
        <v>178.60500000000002</v>
      </c>
      <c r="J1856" s="6" t="s">
        <v>357</v>
      </c>
    </row>
    <row r="1857" spans="1:10" hidden="1">
      <c r="A1857" s="29">
        <v>45397</v>
      </c>
      <c r="B1857" s="6" t="s">
        <v>2759</v>
      </c>
      <c r="C1857" s="5" t="s">
        <v>2758</v>
      </c>
      <c r="D1857" s="8" t="s">
        <v>2486</v>
      </c>
      <c r="E1857" s="6" t="s">
        <v>602</v>
      </c>
      <c r="F1857" s="6" t="s">
        <v>2488</v>
      </c>
      <c r="G1857" s="5">
        <f>844*1.05</f>
        <v>886.2</v>
      </c>
      <c r="H1857" s="5">
        <f t="shared" ref="H1857:H1866" si="40">0.5*0.9*0.9</f>
        <v>0.40500000000000003</v>
      </c>
      <c r="I1857" s="20">
        <f t="shared" si="38"/>
        <v>358.91100000000006</v>
      </c>
      <c r="J1857" s="6" t="s">
        <v>357</v>
      </c>
    </row>
    <row r="1858" spans="1:10" hidden="1">
      <c r="A1858" s="29">
        <v>45397</v>
      </c>
      <c r="B1858" s="6" t="s">
        <v>2761</v>
      </c>
      <c r="C1858" s="5" t="s">
        <v>2760</v>
      </c>
      <c r="D1858" s="8" t="s">
        <v>2486</v>
      </c>
      <c r="E1858" s="6" t="s">
        <v>602</v>
      </c>
      <c r="F1858" s="6" t="s">
        <v>2488</v>
      </c>
      <c r="G1858" s="5">
        <f>483*1.05</f>
        <v>507.15000000000003</v>
      </c>
      <c r="H1858" s="5">
        <f t="shared" si="40"/>
        <v>0.40500000000000003</v>
      </c>
      <c r="I1858" s="20">
        <f t="shared" si="38"/>
        <v>205.39575000000002</v>
      </c>
      <c r="J1858" s="6" t="s">
        <v>357</v>
      </c>
    </row>
    <row r="1859" spans="1:10" hidden="1">
      <c r="A1859" s="29">
        <v>45397</v>
      </c>
      <c r="B1859" s="6" t="s">
        <v>2763</v>
      </c>
      <c r="C1859" s="5" t="s">
        <v>2762</v>
      </c>
      <c r="D1859" s="8" t="s">
        <v>2486</v>
      </c>
      <c r="E1859" s="6" t="s">
        <v>602</v>
      </c>
      <c r="F1859" s="6" t="s">
        <v>2488</v>
      </c>
      <c r="G1859" s="5">
        <f>9721*1.05</f>
        <v>10207.050000000001</v>
      </c>
      <c r="H1859" s="5">
        <f t="shared" si="40"/>
        <v>0.40500000000000003</v>
      </c>
      <c r="I1859" s="20">
        <f t="shared" ref="I1859:I1922" si="41">H1859*G1859</f>
        <v>4133.8552500000005</v>
      </c>
      <c r="J1859" s="6" t="s">
        <v>357</v>
      </c>
    </row>
    <row r="1860" spans="1:10" hidden="1">
      <c r="A1860" s="29">
        <v>45397</v>
      </c>
      <c r="B1860" s="6" t="s">
        <v>2764</v>
      </c>
      <c r="C1860" s="5" t="s">
        <v>2429</v>
      </c>
      <c r="D1860" s="8" t="s">
        <v>2486</v>
      </c>
      <c r="E1860" s="6" t="s">
        <v>602</v>
      </c>
      <c r="F1860" s="6" t="s">
        <v>2488</v>
      </c>
      <c r="G1860" s="5">
        <f>9375*1.05</f>
        <v>9843.75</v>
      </c>
      <c r="H1860" s="5">
        <f t="shared" si="40"/>
        <v>0.40500000000000003</v>
      </c>
      <c r="I1860" s="20">
        <f t="shared" si="41"/>
        <v>3986.7187500000005</v>
      </c>
      <c r="J1860" s="6" t="s">
        <v>357</v>
      </c>
    </row>
    <row r="1861" spans="1:10" ht="30" hidden="1">
      <c r="A1861" s="29">
        <v>45397</v>
      </c>
      <c r="B1861" s="6" t="s">
        <v>2766</v>
      </c>
      <c r="C1861" s="5" t="s">
        <v>2765</v>
      </c>
      <c r="D1861" s="8" t="s">
        <v>2486</v>
      </c>
      <c r="E1861" s="6" t="s">
        <v>602</v>
      </c>
      <c r="F1861" s="6" t="s">
        <v>2488</v>
      </c>
      <c r="G1861" s="5">
        <f>699*1.05</f>
        <v>733.95</v>
      </c>
      <c r="H1861" s="5">
        <f t="shared" si="40"/>
        <v>0.40500000000000003</v>
      </c>
      <c r="I1861" s="20">
        <f t="shared" si="41"/>
        <v>297.24975000000006</v>
      </c>
      <c r="J1861" s="6" t="s">
        <v>357</v>
      </c>
    </row>
    <row r="1862" spans="1:10" ht="30" hidden="1">
      <c r="A1862" s="29">
        <v>45397</v>
      </c>
      <c r="B1862" s="6" t="s">
        <v>2768</v>
      </c>
      <c r="C1862" s="5" t="s">
        <v>2767</v>
      </c>
      <c r="D1862" s="8" t="s">
        <v>2486</v>
      </c>
      <c r="E1862" s="6" t="s">
        <v>602</v>
      </c>
      <c r="F1862" s="6" t="s">
        <v>2488</v>
      </c>
      <c r="G1862" s="5">
        <f>1814*1.05</f>
        <v>1904.7</v>
      </c>
      <c r="H1862" s="5">
        <f t="shared" si="40"/>
        <v>0.40500000000000003</v>
      </c>
      <c r="I1862" s="20">
        <f t="shared" si="41"/>
        <v>771.40350000000012</v>
      </c>
      <c r="J1862" s="6" t="s">
        <v>357</v>
      </c>
    </row>
    <row r="1863" spans="1:10" hidden="1">
      <c r="A1863" s="29">
        <v>45397</v>
      </c>
      <c r="B1863" s="6" t="s">
        <v>2770</v>
      </c>
      <c r="C1863" s="5" t="s">
        <v>2769</v>
      </c>
      <c r="D1863" s="8" t="s">
        <v>2486</v>
      </c>
      <c r="E1863" s="6" t="s">
        <v>602</v>
      </c>
      <c r="F1863" s="6" t="s">
        <v>2488</v>
      </c>
      <c r="G1863" s="5">
        <f>858*1.05</f>
        <v>900.90000000000009</v>
      </c>
      <c r="H1863" s="5">
        <f t="shared" si="40"/>
        <v>0.40500000000000003</v>
      </c>
      <c r="I1863" s="20">
        <f t="shared" si="41"/>
        <v>364.86450000000008</v>
      </c>
      <c r="J1863" s="6" t="s">
        <v>357</v>
      </c>
    </row>
    <row r="1864" spans="1:10" hidden="1">
      <c r="A1864" s="29">
        <v>45397</v>
      </c>
      <c r="B1864" s="6" t="s">
        <v>2771</v>
      </c>
      <c r="C1864" s="5" t="s">
        <v>1724</v>
      </c>
      <c r="D1864" s="8" t="s">
        <v>2486</v>
      </c>
      <c r="E1864" s="6" t="s">
        <v>602</v>
      </c>
      <c r="F1864" s="6" t="s">
        <v>2488</v>
      </c>
      <c r="G1864" s="5">
        <f>539*1.05</f>
        <v>565.95000000000005</v>
      </c>
      <c r="H1864" s="5">
        <f t="shared" si="40"/>
        <v>0.40500000000000003</v>
      </c>
      <c r="I1864" s="20">
        <f t="shared" si="41"/>
        <v>229.20975000000004</v>
      </c>
      <c r="J1864" s="6" t="s">
        <v>357</v>
      </c>
    </row>
    <row r="1865" spans="1:10" hidden="1">
      <c r="A1865" s="29">
        <v>45397</v>
      </c>
      <c r="B1865" s="6" t="s">
        <v>2773</v>
      </c>
      <c r="C1865" s="5" t="s">
        <v>2772</v>
      </c>
      <c r="D1865" s="8" t="s">
        <v>2486</v>
      </c>
      <c r="E1865" s="6" t="s">
        <v>602</v>
      </c>
      <c r="F1865" s="6" t="s">
        <v>2488</v>
      </c>
      <c r="G1865" s="5">
        <f>104*1.05</f>
        <v>109.2</v>
      </c>
      <c r="H1865" s="5">
        <f t="shared" si="40"/>
        <v>0.40500000000000003</v>
      </c>
      <c r="I1865" s="20">
        <f t="shared" si="41"/>
        <v>44.226000000000006</v>
      </c>
      <c r="J1865" s="6" t="s">
        <v>357</v>
      </c>
    </row>
    <row r="1866" spans="1:10" hidden="1">
      <c r="A1866" s="29">
        <v>45397</v>
      </c>
      <c r="B1866" s="6" t="s">
        <v>2774</v>
      </c>
      <c r="C1866" s="5" t="s">
        <v>326</v>
      </c>
      <c r="D1866" s="8" t="s">
        <v>2486</v>
      </c>
      <c r="E1866" s="6" t="s">
        <v>602</v>
      </c>
      <c r="F1866" s="6" t="s">
        <v>2488</v>
      </c>
      <c r="G1866" s="5">
        <f>76*1.05</f>
        <v>79.8</v>
      </c>
      <c r="H1866" s="5">
        <f t="shared" si="40"/>
        <v>0.40500000000000003</v>
      </c>
      <c r="I1866" s="20">
        <f t="shared" si="41"/>
        <v>32.319000000000003</v>
      </c>
      <c r="J1866" s="6" t="s">
        <v>357</v>
      </c>
    </row>
    <row r="1867" spans="1:10" hidden="1">
      <c r="A1867" s="29">
        <v>45397</v>
      </c>
      <c r="B1867" s="6" t="s">
        <v>2776</v>
      </c>
      <c r="C1867" s="15" t="s">
        <v>2775</v>
      </c>
      <c r="D1867" s="28" t="s">
        <v>2486</v>
      </c>
      <c r="E1867" s="6" t="s">
        <v>355</v>
      </c>
      <c r="F1867" s="6" t="s">
        <v>2488</v>
      </c>
      <c r="G1867" s="5">
        <f>7140*1.03</f>
        <v>7354.2</v>
      </c>
      <c r="H1867" s="5">
        <f>0.5*0.9*0.9*0.9*0.9*0.9</f>
        <v>0.29524500000000009</v>
      </c>
      <c r="I1867" s="20">
        <f t="shared" si="41"/>
        <v>2171.2907790000008</v>
      </c>
      <c r="J1867" s="6" t="s">
        <v>357</v>
      </c>
    </row>
    <row r="1868" spans="1:10" hidden="1">
      <c r="A1868" s="29">
        <v>45397</v>
      </c>
      <c r="B1868" s="6" t="s">
        <v>2778</v>
      </c>
      <c r="C1868" s="14" t="s">
        <v>2777</v>
      </c>
      <c r="D1868" s="23" t="s">
        <v>2486</v>
      </c>
      <c r="E1868" s="6" t="s">
        <v>466</v>
      </c>
      <c r="F1868" s="6" t="s">
        <v>2562</v>
      </c>
      <c r="G1868" s="5">
        <f>2642*1.03</f>
        <v>2721.26</v>
      </c>
      <c r="H1868" s="5">
        <f>0.5*0.9*0.9*0.9*0.9*0.9</f>
        <v>0.29524500000000009</v>
      </c>
      <c r="I1868" s="20">
        <f t="shared" si="41"/>
        <v>803.43840870000031</v>
      </c>
      <c r="J1868" s="6" t="s">
        <v>357</v>
      </c>
    </row>
    <row r="1869" spans="1:10" hidden="1">
      <c r="A1869" s="29">
        <v>45397</v>
      </c>
      <c r="B1869" s="6" t="s">
        <v>2780</v>
      </c>
      <c r="C1869" s="14" t="s">
        <v>2779</v>
      </c>
      <c r="D1869" s="23" t="s">
        <v>2486</v>
      </c>
      <c r="E1869" s="6" t="s">
        <v>466</v>
      </c>
      <c r="F1869" s="6" t="s">
        <v>2562</v>
      </c>
      <c r="G1869" s="5">
        <f>3320*1.03</f>
        <v>3419.6</v>
      </c>
      <c r="H1869" s="5">
        <f>0.5*0.9*0.9*0.9*0.9*0.9</f>
        <v>0.29524500000000009</v>
      </c>
      <c r="I1869" s="20">
        <f t="shared" si="41"/>
        <v>1009.6198020000003</v>
      </c>
      <c r="J1869" s="6" t="s">
        <v>357</v>
      </c>
    </row>
    <row r="1870" spans="1:10" hidden="1">
      <c r="A1870" s="29">
        <v>45397</v>
      </c>
      <c r="B1870" s="6" t="s">
        <v>2782</v>
      </c>
      <c r="C1870" s="14" t="s">
        <v>2781</v>
      </c>
      <c r="D1870" s="23" t="s">
        <v>2486</v>
      </c>
      <c r="E1870" s="6" t="s">
        <v>466</v>
      </c>
      <c r="F1870" s="6" t="s">
        <v>2562</v>
      </c>
      <c r="G1870" s="5">
        <f>4336*1.03</f>
        <v>4466.08</v>
      </c>
      <c r="H1870" s="5">
        <f>0.5*0.9*0.9*0.9*0.9*0.9</f>
        <v>0.29524500000000009</v>
      </c>
      <c r="I1870" s="20">
        <f t="shared" si="41"/>
        <v>1318.5877896000004</v>
      </c>
      <c r="J1870" s="6" t="s">
        <v>357</v>
      </c>
    </row>
    <row r="1871" spans="1:10" ht="30" hidden="1">
      <c r="A1871" s="29">
        <v>45397</v>
      </c>
      <c r="B1871" s="6" t="s">
        <v>2784</v>
      </c>
      <c r="C1871" s="15" t="s">
        <v>2783</v>
      </c>
      <c r="D1871" s="28" t="s">
        <v>2486</v>
      </c>
      <c r="E1871" s="6" t="s">
        <v>355</v>
      </c>
      <c r="F1871" s="6" t="s">
        <v>2488</v>
      </c>
      <c r="G1871" s="5">
        <f>3476*1.03</f>
        <v>3580.28</v>
      </c>
      <c r="H1871" s="5">
        <f>0.5*0.9*0.9*0.9*0.9*0.9</f>
        <v>0.29524500000000009</v>
      </c>
      <c r="I1871" s="20">
        <f t="shared" si="41"/>
        <v>1057.0597686000003</v>
      </c>
      <c r="J1871" s="6" t="s">
        <v>357</v>
      </c>
    </row>
    <row r="1872" spans="1:10" hidden="1">
      <c r="A1872" s="29">
        <v>45397</v>
      </c>
      <c r="B1872" s="6" t="s">
        <v>2786</v>
      </c>
      <c r="C1872" s="5" t="s">
        <v>2785</v>
      </c>
      <c r="D1872" s="8" t="s">
        <v>2486</v>
      </c>
      <c r="E1872" s="6" t="s">
        <v>1247</v>
      </c>
      <c r="F1872" s="6" t="s">
        <v>2488</v>
      </c>
      <c r="G1872" s="5">
        <f>450*1.05</f>
        <v>472.5</v>
      </c>
      <c r="H1872" s="5">
        <f t="shared" ref="H1872:H1880" si="42">0.5*0.9*0.9</f>
        <v>0.40500000000000003</v>
      </c>
      <c r="I1872" s="20">
        <f t="shared" si="41"/>
        <v>191.36250000000001</v>
      </c>
      <c r="J1872" s="6" t="s">
        <v>357</v>
      </c>
    </row>
    <row r="1873" spans="1:10" hidden="1">
      <c r="A1873" s="29">
        <v>45397</v>
      </c>
      <c r="B1873" s="6" t="s">
        <v>2788</v>
      </c>
      <c r="C1873" s="5" t="s">
        <v>2787</v>
      </c>
      <c r="D1873" s="8" t="s">
        <v>2486</v>
      </c>
      <c r="E1873" s="6" t="s">
        <v>1247</v>
      </c>
      <c r="F1873" s="6" t="s">
        <v>2488</v>
      </c>
      <c r="G1873" s="5">
        <f>700*1.05</f>
        <v>735</v>
      </c>
      <c r="H1873" s="5">
        <f t="shared" si="42"/>
        <v>0.40500000000000003</v>
      </c>
      <c r="I1873" s="20">
        <f t="shared" si="41"/>
        <v>297.67500000000001</v>
      </c>
      <c r="J1873" s="6" t="s">
        <v>357</v>
      </c>
    </row>
    <row r="1874" spans="1:10" hidden="1">
      <c r="A1874" s="29">
        <v>45397</v>
      </c>
      <c r="B1874" s="6" t="s">
        <v>2790</v>
      </c>
      <c r="C1874" s="5" t="s">
        <v>2789</v>
      </c>
      <c r="D1874" s="8" t="s">
        <v>2486</v>
      </c>
      <c r="E1874" s="6" t="s">
        <v>1247</v>
      </c>
      <c r="F1874" s="6" t="s">
        <v>2488</v>
      </c>
      <c r="G1874" s="5">
        <f>98*1.05</f>
        <v>102.9</v>
      </c>
      <c r="H1874" s="5">
        <f t="shared" si="42"/>
        <v>0.40500000000000003</v>
      </c>
      <c r="I1874" s="20">
        <f t="shared" si="41"/>
        <v>41.674500000000002</v>
      </c>
      <c r="J1874" s="6" t="s">
        <v>357</v>
      </c>
    </row>
    <row r="1875" spans="1:10" hidden="1">
      <c r="A1875" s="29">
        <v>45397</v>
      </c>
      <c r="B1875" s="6" t="s">
        <v>2792</v>
      </c>
      <c r="C1875" s="5" t="s">
        <v>2791</v>
      </c>
      <c r="D1875" s="8" t="s">
        <v>2486</v>
      </c>
      <c r="E1875" s="6" t="s">
        <v>1247</v>
      </c>
      <c r="F1875" s="6" t="s">
        <v>2488</v>
      </c>
      <c r="G1875" s="5">
        <f>106*1.05</f>
        <v>111.30000000000001</v>
      </c>
      <c r="H1875" s="5">
        <f t="shared" si="42"/>
        <v>0.40500000000000003</v>
      </c>
      <c r="I1875" s="20">
        <f t="shared" si="41"/>
        <v>45.07650000000001</v>
      </c>
      <c r="J1875" s="6" t="s">
        <v>357</v>
      </c>
    </row>
    <row r="1876" spans="1:10" hidden="1">
      <c r="A1876" s="29">
        <v>45397</v>
      </c>
      <c r="B1876" s="6" t="s">
        <v>2794</v>
      </c>
      <c r="C1876" s="5" t="s">
        <v>2793</v>
      </c>
      <c r="D1876" s="8" t="s">
        <v>2486</v>
      </c>
      <c r="E1876" s="6" t="s">
        <v>1247</v>
      </c>
      <c r="F1876" s="6" t="s">
        <v>2488</v>
      </c>
      <c r="G1876" s="5">
        <f>93*1.05</f>
        <v>97.65</v>
      </c>
      <c r="H1876" s="5">
        <f t="shared" si="42"/>
        <v>0.40500000000000003</v>
      </c>
      <c r="I1876" s="20">
        <f t="shared" si="41"/>
        <v>39.548250000000003</v>
      </c>
      <c r="J1876" s="6" t="s">
        <v>357</v>
      </c>
    </row>
    <row r="1877" spans="1:10" hidden="1">
      <c r="A1877" s="29">
        <v>45397</v>
      </c>
      <c r="B1877" s="6" t="s">
        <v>2796</v>
      </c>
      <c r="C1877" s="5" t="s">
        <v>2795</v>
      </c>
      <c r="D1877" s="8" t="s">
        <v>2486</v>
      </c>
      <c r="E1877" s="6" t="s">
        <v>1247</v>
      </c>
      <c r="F1877" s="6" t="s">
        <v>2488</v>
      </c>
      <c r="G1877" s="5">
        <f>1033*1.05</f>
        <v>1084.6500000000001</v>
      </c>
      <c r="H1877" s="5">
        <f t="shared" si="42"/>
        <v>0.40500000000000003</v>
      </c>
      <c r="I1877" s="20">
        <f t="shared" si="41"/>
        <v>439.28325000000007</v>
      </c>
      <c r="J1877" s="6" t="s">
        <v>357</v>
      </c>
    </row>
    <row r="1878" spans="1:10" hidden="1">
      <c r="A1878" s="29">
        <v>45397</v>
      </c>
      <c r="B1878" s="6" t="s">
        <v>2798</v>
      </c>
      <c r="C1878" s="5" t="s">
        <v>2797</v>
      </c>
      <c r="D1878" s="8" t="s">
        <v>2486</v>
      </c>
      <c r="E1878" s="6" t="s">
        <v>1247</v>
      </c>
      <c r="F1878" s="6" t="s">
        <v>2488</v>
      </c>
      <c r="G1878" s="5">
        <f>160*1.05</f>
        <v>168</v>
      </c>
      <c r="H1878" s="5">
        <f t="shared" si="42"/>
        <v>0.40500000000000003</v>
      </c>
      <c r="I1878" s="20">
        <f t="shared" si="41"/>
        <v>68.040000000000006</v>
      </c>
      <c r="J1878" s="6" t="s">
        <v>357</v>
      </c>
    </row>
    <row r="1879" spans="1:10" hidden="1">
      <c r="A1879" s="29">
        <v>45397</v>
      </c>
      <c r="B1879" s="6" t="s">
        <v>2800</v>
      </c>
      <c r="C1879" s="5" t="s">
        <v>2799</v>
      </c>
      <c r="D1879" s="8" t="s">
        <v>2486</v>
      </c>
      <c r="E1879" s="6" t="s">
        <v>1247</v>
      </c>
      <c r="F1879" s="6" t="s">
        <v>2488</v>
      </c>
      <c r="G1879" s="5">
        <f>2375*1.05</f>
        <v>2493.75</v>
      </c>
      <c r="H1879" s="5">
        <f t="shared" si="42"/>
        <v>0.40500000000000003</v>
      </c>
      <c r="I1879" s="20">
        <f t="shared" si="41"/>
        <v>1009.9687500000001</v>
      </c>
      <c r="J1879" s="6" t="s">
        <v>357</v>
      </c>
    </row>
    <row r="1880" spans="1:10" hidden="1">
      <c r="A1880" s="29">
        <v>45397</v>
      </c>
      <c r="B1880" s="6" t="s">
        <v>2802</v>
      </c>
      <c r="C1880" s="5" t="s">
        <v>2801</v>
      </c>
      <c r="D1880" s="8" t="s">
        <v>2486</v>
      </c>
      <c r="E1880" s="6" t="s">
        <v>1247</v>
      </c>
      <c r="F1880" s="6" t="s">
        <v>2488</v>
      </c>
      <c r="G1880" s="5">
        <f>306*1.05</f>
        <v>321.3</v>
      </c>
      <c r="H1880" s="5">
        <f t="shared" si="42"/>
        <v>0.40500000000000003</v>
      </c>
      <c r="I1880" s="20">
        <f t="shared" si="41"/>
        <v>130.12650000000002</v>
      </c>
      <c r="J1880" s="6" t="s">
        <v>357</v>
      </c>
    </row>
    <row r="1881" spans="1:10" ht="30" hidden="1">
      <c r="A1881" s="29">
        <v>45397</v>
      </c>
      <c r="B1881" s="6" t="s">
        <v>2804</v>
      </c>
      <c r="C1881" s="14" t="s">
        <v>2803</v>
      </c>
      <c r="D1881" s="23" t="s">
        <v>2486</v>
      </c>
      <c r="E1881" s="6" t="s">
        <v>466</v>
      </c>
      <c r="F1881" s="6" t="s">
        <v>2488</v>
      </c>
      <c r="G1881" s="5">
        <f>458*1.05</f>
        <v>480.90000000000003</v>
      </c>
      <c r="H1881" s="5">
        <f>0.5*0.9*0.9*0.9*0.9*0.9</f>
        <v>0.29524500000000009</v>
      </c>
      <c r="I1881" s="20">
        <f t="shared" si="41"/>
        <v>141.98332050000005</v>
      </c>
      <c r="J1881" s="6" t="s">
        <v>357</v>
      </c>
    </row>
    <row r="1882" spans="1:10" ht="30" hidden="1">
      <c r="A1882" s="29">
        <v>45397</v>
      </c>
      <c r="B1882" s="6" t="s">
        <v>2806</v>
      </c>
      <c r="C1882" s="14" t="s">
        <v>2805</v>
      </c>
      <c r="D1882" s="23" t="s">
        <v>2486</v>
      </c>
      <c r="E1882" s="6" t="s">
        <v>466</v>
      </c>
      <c r="F1882" s="6" t="s">
        <v>2488</v>
      </c>
      <c r="G1882" s="5">
        <f>458*1.05</f>
        <v>480.90000000000003</v>
      </c>
      <c r="H1882" s="5">
        <f>0.5*0.9*0.9*0.9*0.9*0.9</f>
        <v>0.29524500000000009</v>
      </c>
      <c r="I1882" s="20">
        <f t="shared" si="41"/>
        <v>141.98332050000005</v>
      </c>
      <c r="J1882" s="6" t="s">
        <v>357</v>
      </c>
    </row>
    <row r="1883" spans="1:10" hidden="1">
      <c r="A1883" s="29">
        <v>45397</v>
      </c>
      <c r="B1883" s="6" t="s">
        <v>2807</v>
      </c>
      <c r="C1883" s="5" t="s">
        <v>295</v>
      </c>
      <c r="D1883" s="8" t="s">
        <v>2486</v>
      </c>
      <c r="E1883" s="6" t="s">
        <v>685</v>
      </c>
      <c r="F1883" s="6" t="s">
        <v>2808</v>
      </c>
      <c r="G1883" s="5">
        <f>49*1.03</f>
        <v>50.47</v>
      </c>
      <c r="H1883" s="5">
        <v>1</v>
      </c>
      <c r="I1883" s="20">
        <f t="shared" si="41"/>
        <v>50.47</v>
      </c>
      <c r="J1883" s="6" t="s">
        <v>357</v>
      </c>
    </row>
    <row r="1884" spans="1:10" hidden="1">
      <c r="A1884" s="29">
        <v>45397</v>
      </c>
      <c r="B1884" s="6" t="s">
        <v>2809</v>
      </c>
      <c r="C1884" s="5" t="s">
        <v>695</v>
      </c>
      <c r="D1884" s="8" t="s">
        <v>2486</v>
      </c>
      <c r="E1884" s="6" t="s">
        <v>685</v>
      </c>
      <c r="F1884" s="6" t="s">
        <v>2808</v>
      </c>
      <c r="G1884" s="5">
        <f>58.2*1.03</f>
        <v>59.946000000000005</v>
      </c>
      <c r="H1884" s="5">
        <v>1</v>
      </c>
      <c r="I1884" s="20">
        <f t="shared" si="41"/>
        <v>59.946000000000005</v>
      </c>
      <c r="J1884" s="6" t="s">
        <v>357</v>
      </c>
    </row>
    <row r="1885" spans="1:10" hidden="1">
      <c r="A1885" s="29">
        <v>45397</v>
      </c>
      <c r="B1885" s="6" t="s">
        <v>2810</v>
      </c>
      <c r="C1885" s="5" t="s">
        <v>696</v>
      </c>
      <c r="D1885" s="8" t="s">
        <v>2486</v>
      </c>
      <c r="E1885" s="6" t="s">
        <v>685</v>
      </c>
      <c r="F1885" s="6" t="s">
        <v>2808</v>
      </c>
      <c r="G1885" s="5">
        <f>57.3*1.03</f>
        <v>59.018999999999998</v>
      </c>
      <c r="H1885" s="5">
        <v>1</v>
      </c>
      <c r="I1885" s="20">
        <f t="shared" si="41"/>
        <v>59.018999999999998</v>
      </c>
      <c r="J1885" s="6" t="s">
        <v>357</v>
      </c>
    </row>
    <row r="1886" spans="1:10" hidden="1">
      <c r="A1886" s="29">
        <v>45397</v>
      </c>
      <c r="B1886" s="6" t="s">
        <v>2811</v>
      </c>
      <c r="C1886" s="5" t="s">
        <v>697</v>
      </c>
      <c r="D1886" s="8" t="s">
        <v>2486</v>
      </c>
      <c r="E1886" s="6" t="s">
        <v>685</v>
      </c>
      <c r="F1886" s="6" t="s">
        <v>2808</v>
      </c>
      <c r="G1886" s="5">
        <f>56.1*1.03</f>
        <v>57.783000000000001</v>
      </c>
      <c r="H1886" s="5">
        <v>1</v>
      </c>
      <c r="I1886" s="20">
        <f t="shared" si="41"/>
        <v>57.783000000000001</v>
      </c>
      <c r="J1886" s="6" t="s">
        <v>357</v>
      </c>
    </row>
    <row r="1887" spans="1:10" hidden="1">
      <c r="A1887" s="29">
        <v>45397</v>
      </c>
      <c r="B1887" s="6" t="s">
        <v>2812</v>
      </c>
      <c r="C1887" s="5" t="s">
        <v>318</v>
      </c>
      <c r="D1887" s="8" t="s">
        <v>2486</v>
      </c>
      <c r="E1887" s="6" t="s">
        <v>685</v>
      </c>
      <c r="F1887" s="6" t="s">
        <v>2808</v>
      </c>
      <c r="G1887" s="5">
        <f>74.1*1.03</f>
        <v>76.322999999999993</v>
      </c>
      <c r="H1887" s="5">
        <v>1</v>
      </c>
      <c r="I1887" s="20">
        <f t="shared" si="41"/>
        <v>76.322999999999993</v>
      </c>
      <c r="J1887" s="6" t="s">
        <v>357</v>
      </c>
    </row>
    <row r="1888" spans="1:10" hidden="1">
      <c r="A1888" s="29">
        <v>45397</v>
      </c>
      <c r="B1888" s="6" t="s">
        <v>2813</v>
      </c>
      <c r="C1888" s="5" t="s">
        <v>698</v>
      </c>
      <c r="D1888" s="8" t="s">
        <v>2486</v>
      </c>
      <c r="E1888" s="6" t="s">
        <v>685</v>
      </c>
      <c r="F1888" s="6" t="s">
        <v>2808</v>
      </c>
      <c r="G1888" s="5">
        <f>70.3*1.03</f>
        <v>72.409000000000006</v>
      </c>
      <c r="H1888" s="5">
        <v>1</v>
      </c>
      <c r="I1888" s="20">
        <f t="shared" si="41"/>
        <v>72.409000000000006</v>
      </c>
      <c r="J1888" s="6" t="s">
        <v>357</v>
      </c>
    </row>
    <row r="1889" spans="1:10" hidden="1">
      <c r="A1889" s="29">
        <v>45397</v>
      </c>
      <c r="B1889" s="6" t="s">
        <v>2814</v>
      </c>
      <c r="C1889" s="5" t="s">
        <v>330</v>
      </c>
      <c r="D1889" s="8" t="s">
        <v>2486</v>
      </c>
      <c r="E1889" s="6" t="s">
        <v>685</v>
      </c>
      <c r="F1889" s="6" t="s">
        <v>2808</v>
      </c>
      <c r="G1889" s="5">
        <f>83.9*1.03</f>
        <v>86.417000000000002</v>
      </c>
      <c r="H1889" s="5">
        <v>1</v>
      </c>
      <c r="I1889" s="20">
        <f t="shared" si="41"/>
        <v>86.417000000000002</v>
      </c>
      <c r="J1889" s="6" t="s">
        <v>357</v>
      </c>
    </row>
    <row r="1890" spans="1:10" hidden="1">
      <c r="A1890" s="29">
        <v>45397</v>
      </c>
      <c r="B1890" s="6" t="s">
        <v>2815</v>
      </c>
      <c r="C1890" s="5" t="s">
        <v>709</v>
      </c>
      <c r="D1890" s="8" t="s">
        <v>2486</v>
      </c>
      <c r="E1890" s="6" t="s">
        <v>685</v>
      </c>
      <c r="F1890" s="6" t="s">
        <v>2808</v>
      </c>
      <c r="G1890" s="5">
        <f>94.2*1.03</f>
        <v>97.02600000000001</v>
      </c>
      <c r="H1890" s="5">
        <v>1</v>
      </c>
      <c r="I1890" s="20">
        <f t="shared" si="41"/>
        <v>97.02600000000001</v>
      </c>
      <c r="J1890" s="6" t="s">
        <v>357</v>
      </c>
    </row>
    <row r="1891" spans="1:10" hidden="1">
      <c r="A1891" s="29">
        <v>45397</v>
      </c>
      <c r="B1891" s="6" t="s">
        <v>2816</v>
      </c>
      <c r="C1891" s="5" t="s">
        <v>332</v>
      </c>
      <c r="D1891" s="8" t="s">
        <v>2486</v>
      </c>
      <c r="E1891" s="6" t="s">
        <v>685</v>
      </c>
      <c r="F1891" s="6" t="s">
        <v>2808</v>
      </c>
      <c r="G1891" s="5">
        <f>85*1.03</f>
        <v>87.55</v>
      </c>
      <c r="H1891" s="5">
        <v>1</v>
      </c>
      <c r="I1891" s="20">
        <f t="shared" si="41"/>
        <v>87.55</v>
      </c>
      <c r="J1891" s="6" t="s">
        <v>357</v>
      </c>
    </row>
    <row r="1892" spans="1:10" hidden="1">
      <c r="A1892" s="29">
        <v>45397</v>
      </c>
      <c r="B1892" s="6" t="s">
        <v>2817</v>
      </c>
      <c r="C1892" s="5" t="s">
        <v>711</v>
      </c>
      <c r="D1892" s="8" t="s">
        <v>2486</v>
      </c>
      <c r="E1892" s="6" t="s">
        <v>685</v>
      </c>
      <c r="F1892" s="6" t="s">
        <v>2808</v>
      </c>
      <c r="G1892" s="5">
        <f>93*1.03</f>
        <v>95.79</v>
      </c>
      <c r="H1892" s="5">
        <v>1</v>
      </c>
      <c r="I1892" s="20">
        <f t="shared" si="41"/>
        <v>95.79</v>
      </c>
      <c r="J1892" s="6" t="s">
        <v>357</v>
      </c>
    </row>
    <row r="1893" spans="1:10" hidden="1">
      <c r="A1893" s="29">
        <v>45397</v>
      </c>
      <c r="B1893" s="6" t="s">
        <v>2818</v>
      </c>
      <c r="C1893" s="5" t="s">
        <v>710</v>
      </c>
      <c r="D1893" s="8" t="s">
        <v>2486</v>
      </c>
      <c r="E1893" s="6" t="s">
        <v>685</v>
      </c>
      <c r="F1893" s="6" t="s">
        <v>2808</v>
      </c>
      <c r="G1893" s="5">
        <f>110.1*1.03</f>
        <v>113.40299999999999</v>
      </c>
      <c r="H1893" s="5">
        <v>1</v>
      </c>
      <c r="I1893" s="20">
        <f t="shared" si="41"/>
        <v>113.40299999999999</v>
      </c>
      <c r="J1893" s="6" t="s">
        <v>357</v>
      </c>
    </row>
    <row r="1894" spans="1:10" hidden="1">
      <c r="A1894" s="29">
        <v>45397</v>
      </c>
      <c r="B1894" s="6" t="s">
        <v>2819</v>
      </c>
      <c r="C1894" s="5" t="s">
        <v>345</v>
      </c>
      <c r="D1894" s="8" t="s">
        <v>2486</v>
      </c>
      <c r="E1894" s="6" t="s">
        <v>685</v>
      </c>
      <c r="F1894" s="6" t="s">
        <v>2808</v>
      </c>
      <c r="G1894" s="5">
        <f>95.1*1.03</f>
        <v>97.953000000000003</v>
      </c>
      <c r="H1894" s="5">
        <v>1</v>
      </c>
      <c r="I1894" s="20">
        <f t="shared" si="41"/>
        <v>97.953000000000003</v>
      </c>
      <c r="J1894" s="6" t="s">
        <v>357</v>
      </c>
    </row>
    <row r="1895" spans="1:10" hidden="1">
      <c r="A1895" s="29">
        <v>45397</v>
      </c>
      <c r="B1895" s="6" t="s">
        <v>2820</v>
      </c>
      <c r="C1895" s="5" t="s">
        <v>653</v>
      </c>
      <c r="D1895" s="8" t="s">
        <v>2486</v>
      </c>
      <c r="E1895" s="6" t="s">
        <v>654</v>
      </c>
      <c r="F1895" s="6" t="s">
        <v>2821</v>
      </c>
      <c r="G1895" s="5">
        <f>214*1.03</f>
        <v>220.42000000000002</v>
      </c>
      <c r="H1895" s="5">
        <f t="shared" ref="H1895:H1924" si="43">0.5*0.9*0.9*0.9*0.9*0.9</f>
        <v>0.29524500000000009</v>
      </c>
      <c r="I1895" s="20">
        <f t="shared" si="41"/>
        <v>65.077902900000026</v>
      </c>
      <c r="J1895" s="6" t="s">
        <v>357</v>
      </c>
    </row>
    <row r="1896" spans="1:10" hidden="1">
      <c r="A1896" s="29">
        <v>45397</v>
      </c>
      <c r="B1896" s="6" t="s">
        <v>2822</v>
      </c>
      <c r="C1896" s="5" t="s">
        <v>656</v>
      </c>
      <c r="D1896" s="8" t="s">
        <v>2486</v>
      </c>
      <c r="E1896" s="6" t="s">
        <v>654</v>
      </c>
      <c r="F1896" s="6" t="s">
        <v>2821</v>
      </c>
      <c r="G1896" s="5">
        <f>234*1.03</f>
        <v>241.02</v>
      </c>
      <c r="H1896" s="5">
        <f t="shared" si="43"/>
        <v>0.29524500000000009</v>
      </c>
      <c r="I1896" s="20">
        <f t="shared" si="41"/>
        <v>71.159949900000029</v>
      </c>
      <c r="J1896" s="6" t="s">
        <v>357</v>
      </c>
    </row>
    <row r="1897" spans="1:10" hidden="1">
      <c r="A1897" s="29">
        <v>45397</v>
      </c>
      <c r="B1897" s="6" t="s">
        <v>2823</v>
      </c>
      <c r="C1897" s="5" t="s">
        <v>661</v>
      </c>
      <c r="D1897" s="8" t="s">
        <v>2486</v>
      </c>
      <c r="E1897" s="6" t="s">
        <v>654</v>
      </c>
      <c r="F1897" s="6" t="s">
        <v>2821</v>
      </c>
      <c r="G1897" s="5">
        <f>214*1.03</f>
        <v>220.42000000000002</v>
      </c>
      <c r="H1897" s="5">
        <f t="shared" si="43"/>
        <v>0.29524500000000009</v>
      </c>
      <c r="I1897" s="20">
        <f t="shared" si="41"/>
        <v>65.077902900000026</v>
      </c>
      <c r="J1897" s="6" t="s">
        <v>357</v>
      </c>
    </row>
    <row r="1898" spans="1:10" hidden="1">
      <c r="A1898" s="29">
        <v>45397</v>
      </c>
      <c r="B1898" s="6" t="s">
        <v>2824</v>
      </c>
      <c r="C1898" s="5" t="s">
        <v>662</v>
      </c>
      <c r="D1898" s="8" t="s">
        <v>2486</v>
      </c>
      <c r="E1898" s="6" t="s">
        <v>654</v>
      </c>
      <c r="F1898" s="6" t="s">
        <v>2821</v>
      </c>
      <c r="G1898" s="5">
        <f>234*1.03</f>
        <v>241.02</v>
      </c>
      <c r="H1898" s="5">
        <f t="shared" si="43"/>
        <v>0.29524500000000009</v>
      </c>
      <c r="I1898" s="20">
        <f t="shared" si="41"/>
        <v>71.159949900000029</v>
      </c>
      <c r="J1898" s="6" t="s">
        <v>357</v>
      </c>
    </row>
    <row r="1899" spans="1:10" hidden="1">
      <c r="A1899" s="29">
        <v>45397</v>
      </c>
      <c r="B1899" s="6" t="s">
        <v>2825</v>
      </c>
      <c r="C1899" s="5" t="s">
        <v>664</v>
      </c>
      <c r="D1899" s="8" t="s">
        <v>2486</v>
      </c>
      <c r="E1899" s="6" t="s">
        <v>654</v>
      </c>
      <c r="F1899" s="6" t="s">
        <v>2821</v>
      </c>
      <c r="G1899" s="5">
        <f>214*1.03</f>
        <v>220.42000000000002</v>
      </c>
      <c r="H1899" s="5">
        <f t="shared" si="43"/>
        <v>0.29524500000000009</v>
      </c>
      <c r="I1899" s="20">
        <f t="shared" si="41"/>
        <v>65.077902900000026</v>
      </c>
      <c r="J1899" s="6" t="s">
        <v>357</v>
      </c>
    </row>
    <row r="1900" spans="1:10" hidden="1">
      <c r="A1900" s="29">
        <v>45397</v>
      </c>
      <c r="B1900" s="6" t="s">
        <v>2826</v>
      </c>
      <c r="C1900" s="5" t="s">
        <v>665</v>
      </c>
      <c r="D1900" s="8" t="s">
        <v>2486</v>
      </c>
      <c r="E1900" s="6" t="s">
        <v>654</v>
      </c>
      <c r="F1900" s="6" t="s">
        <v>2821</v>
      </c>
      <c r="G1900" s="5">
        <f>234*1.03</f>
        <v>241.02</v>
      </c>
      <c r="H1900" s="5">
        <f t="shared" si="43"/>
        <v>0.29524500000000009</v>
      </c>
      <c r="I1900" s="20">
        <f t="shared" si="41"/>
        <v>71.159949900000029</v>
      </c>
      <c r="J1900" s="6" t="s">
        <v>357</v>
      </c>
    </row>
    <row r="1901" spans="1:10" hidden="1">
      <c r="A1901" s="29">
        <v>45397</v>
      </c>
      <c r="B1901" s="6" t="s">
        <v>2827</v>
      </c>
      <c r="C1901" s="5" t="s">
        <v>667</v>
      </c>
      <c r="D1901" s="8" t="s">
        <v>2486</v>
      </c>
      <c r="E1901" s="6" t="s">
        <v>654</v>
      </c>
      <c r="F1901" s="6" t="s">
        <v>2821</v>
      </c>
      <c r="G1901" s="5">
        <f>214*1.03</f>
        <v>220.42000000000002</v>
      </c>
      <c r="H1901" s="5">
        <f t="shared" si="43"/>
        <v>0.29524500000000009</v>
      </c>
      <c r="I1901" s="20">
        <f t="shared" si="41"/>
        <v>65.077902900000026</v>
      </c>
      <c r="J1901" s="6" t="s">
        <v>357</v>
      </c>
    </row>
    <row r="1902" spans="1:10" hidden="1">
      <c r="A1902" s="29">
        <v>45397</v>
      </c>
      <c r="B1902" s="6" t="s">
        <v>2828</v>
      </c>
      <c r="C1902" s="5" t="s">
        <v>668</v>
      </c>
      <c r="D1902" s="8" t="s">
        <v>2486</v>
      </c>
      <c r="E1902" s="6" t="s">
        <v>654</v>
      </c>
      <c r="F1902" s="6" t="s">
        <v>2821</v>
      </c>
      <c r="G1902" s="5">
        <f>234*1.03</f>
        <v>241.02</v>
      </c>
      <c r="H1902" s="5">
        <f t="shared" si="43"/>
        <v>0.29524500000000009</v>
      </c>
      <c r="I1902" s="20">
        <f t="shared" si="41"/>
        <v>71.159949900000029</v>
      </c>
      <c r="J1902" s="6" t="s">
        <v>357</v>
      </c>
    </row>
    <row r="1903" spans="1:10" hidden="1">
      <c r="A1903" s="29">
        <v>45397</v>
      </c>
      <c r="B1903" s="6" t="s">
        <v>2829</v>
      </c>
      <c r="C1903" s="5" t="s">
        <v>670</v>
      </c>
      <c r="D1903" s="8" t="s">
        <v>2486</v>
      </c>
      <c r="E1903" s="6" t="s">
        <v>654</v>
      </c>
      <c r="F1903" s="6" t="s">
        <v>2821</v>
      </c>
      <c r="G1903" s="5">
        <f>214*1.03</f>
        <v>220.42000000000002</v>
      </c>
      <c r="H1903" s="5">
        <f t="shared" si="43"/>
        <v>0.29524500000000009</v>
      </c>
      <c r="I1903" s="20">
        <f t="shared" si="41"/>
        <v>65.077902900000026</v>
      </c>
      <c r="J1903" s="6" t="s">
        <v>357</v>
      </c>
    </row>
    <row r="1904" spans="1:10" hidden="1">
      <c r="A1904" s="29">
        <v>45397</v>
      </c>
      <c r="B1904" s="6" t="s">
        <v>2830</v>
      </c>
      <c r="C1904" s="5" t="s">
        <v>671</v>
      </c>
      <c r="D1904" s="8" t="s">
        <v>2486</v>
      </c>
      <c r="E1904" s="6" t="s">
        <v>654</v>
      </c>
      <c r="F1904" s="6" t="s">
        <v>2821</v>
      </c>
      <c r="G1904" s="5">
        <f>234*1.03</f>
        <v>241.02</v>
      </c>
      <c r="H1904" s="5">
        <f t="shared" si="43"/>
        <v>0.29524500000000009</v>
      </c>
      <c r="I1904" s="20">
        <f t="shared" si="41"/>
        <v>71.159949900000029</v>
      </c>
      <c r="J1904" s="6" t="s">
        <v>357</v>
      </c>
    </row>
    <row r="1905" spans="1:10" hidden="1">
      <c r="A1905" s="29">
        <v>45397</v>
      </c>
      <c r="B1905" s="6" t="s">
        <v>2831</v>
      </c>
      <c r="C1905" s="5" t="s">
        <v>676</v>
      </c>
      <c r="D1905" s="8" t="s">
        <v>2486</v>
      </c>
      <c r="E1905" s="6" t="s">
        <v>654</v>
      </c>
      <c r="F1905" s="6" t="s">
        <v>2821</v>
      </c>
      <c r="G1905" s="5">
        <f>214*1.03</f>
        <v>220.42000000000002</v>
      </c>
      <c r="H1905" s="5">
        <f t="shared" si="43"/>
        <v>0.29524500000000009</v>
      </c>
      <c r="I1905" s="20">
        <f t="shared" si="41"/>
        <v>65.077902900000026</v>
      </c>
      <c r="J1905" s="6" t="s">
        <v>357</v>
      </c>
    </row>
    <row r="1906" spans="1:10" hidden="1">
      <c r="A1906" s="29">
        <v>45397</v>
      </c>
      <c r="B1906" s="6" t="s">
        <v>2832</v>
      </c>
      <c r="C1906" s="5" t="s">
        <v>677</v>
      </c>
      <c r="D1906" s="8" t="s">
        <v>2486</v>
      </c>
      <c r="E1906" s="6" t="s">
        <v>654</v>
      </c>
      <c r="F1906" s="6" t="s">
        <v>2821</v>
      </c>
      <c r="G1906" s="5">
        <f>234*1.03</f>
        <v>241.02</v>
      </c>
      <c r="H1906" s="5">
        <f t="shared" si="43"/>
        <v>0.29524500000000009</v>
      </c>
      <c r="I1906" s="20">
        <f t="shared" si="41"/>
        <v>71.159949900000029</v>
      </c>
      <c r="J1906" s="6" t="s">
        <v>357</v>
      </c>
    </row>
    <row r="1907" spans="1:10" hidden="1">
      <c r="A1907" s="29">
        <v>45397</v>
      </c>
      <c r="B1907" s="6" t="s">
        <v>2834</v>
      </c>
      <c r="C1907" s="14" t="s">
        <v>2833</v>
      </c>
      <c r="D1907" s="23" t="s">
        <v>2486</v>
      </c>
      <c r="E1907" s="6" t="s">
        <v>466</v>
      </c>
      <c r="F1907" s="6" t="s">
        <v>2562</v>
      </c>
      <c r="G1907" s="5">
        <f>234*1.03</f>
        <v>241.02</v>
      </c>
      <c r="H1907" s="5">
        <f t="shared" si="43"/>
        <v>0.29524500000000009</v>
      </c>
      <c r="I1907" s="20">
        <f t="shared" si="41"/>
        <v>71.159949900000029</v>
      </c>
      <c r="J1907" s="6" t="s">
        <v>357</v>
      </c>
    </row>
    <row r="1908" spans="1:10" hidden="1">
      <c r="A1908" s="29">
        <v>45397</v>
      </c>
      <c r="B1908" s="6" t="s">
        <v>2836</v>
      </c>
      <c r="C1908" s="15" t="s">
        <v>2835</v>
      </c>
      <c r="D1908" s="28" t="s">
        <v>2486</v>
      </c>
      <c r="E1908" s="6" t="s">
        <v>466</v>
      </c>
      <c r="F1908" s="6" t="s">
        <v>2488</v>
      </c>
      <c r="G1908" s="5">
        <f>160*1.03</f>
        <v>164.8</v>
      </c>
      <c r="H1908" s="5">
        <f t="shared" si="43"/>
        <v>0.29524500000000009</v>
      </c>
      <c r="I1908" s="20">
        <f t="shared" si="41"/>
        <v>48.656376000000016</v>
      </c>
      <c r="J1908" s="6" t="s">
        <v>357</v>
      </c>
    </row>
    <row r="1909" spans="1:10" hidden="1">
      <c r="A1909" s="29">
        <v>45397</v>
      </c>
      <c r="B1909" s="6" t="s">
        <v>2838</v>
      </c>
      <c r="C1909" s="15" t="s">
        <v>2837</v>
      </c>
      <c r="D1909" s="28" t="s">
        <v>2486</v>
      </c>
      <c r="E1909" s="6" t="s">
        <v>466</v>
      </c>
      <c r="F1909" s="6" t="s">
        <v>2488</v>
      </c>
      <c r="G1909" s="5">
        <f>373*1.03</f>
        <v>384.19</v>
      </c>
      <c r="H1909" s="5">
        <f t="shared" si="43"/>
        <v>0.29524500000000009</v>
      </c>
      <c r="I1909" s="20">
        <f t="shared" si="41"/>
        <v>113.43017655000003</v>
      </c>
      <c r="J1909" s="6" t="s">
        <v>357</v>
      </c>
    </row>
    <row r="1910" spans="1:10" hidden="1">
      <c r="A1910" s="29">
        <v>45397</v>
      </c>
      <c r="B1910" s="6" t="s">
        <v>2840</v>
      </c>
      <c r="C1910" s="14" t="s">
        <v>2839</v>
      </c>
      <c r="D1910" s="23" t="s">
        <v>2486</v>
      </c>
      <c r="E1910" s="6" t="s">
        <v>466</v>
      </c>
      <c r="F1910" s="6" t="s">
        <v>2488</v>
      </c>
      <c r="G1910" s="5">
        <f>1186*1.03</f>
        <v>1221.58</v>
      </c>
      <c r="H1910" s="5">
        <f t="shared" si="43"/>
        <v>0.29524500000000009</v>
      </c>
      <c r="I1910" s="20">
        <f t="shared" si="41"/>
        <v>360.66538710000009</v>
      </c>
      <c r="J1910" s="6" t="s">
        <v>357</v>
      </c>
    </row>
    <row r="1911" spans="1:10" hidden="1">
      <c r="A1911" s="29">
        <v>45397</v>
      </c>
      <c r="B1911" s="6" t="s">
        <v>2842</v>
      </c>
      <c r="C1911" s="5" t="s">
        <v>2841</v>
      </c>
      <c r="D1911" s="8" t="s">
        <v>2486</v>
      </c>
      <c r="E1911" s="6" t="s">
        <v>466</v>
      </c>
      <c r="F1911" s="6" t="s">
        <v>2562</v>
      </c>
      <c r="G1911" s="5">
        <f>756*1.03</f>
        <v>778.68000000000006</v>
      </c>
      <c r="H1911" s="5">
        <f t="shared" si="43"/>
        <v>0.29524500000000009</v>
      </c>
      <c r="I1911" s="20">
        <f t="shared" si="41"/>
        <v>229.90137660000008</v>
      </c>
      <c r="J1911" s="6" t="s">
        <v>357</v>
      </c>
    </row>
    <row r="1912" spans="1:10" hidden="1">
      <c r="A1912" s="29">
        <v>45397</v>
      </c>
      <c r="B1912" s="6" t="s">
        <v>2844</v>
      </c>
      <c r="C1912" s="5" t="s">
        <v>2843</v>
      </c>
      <c r="D1912" s="8" t="s">
        <v>2486</v>
      </c>
      <c r="E1912" s="6" t="s">
        <v>466</v>
      </c>
      <c r="F1912" s="6" t="s">
        <v>2562</v>
      </c>
      <c r="G1912" s="5">
        <f>989*1.03</f>
        <v>1018.6700000000001</v>
      </c>
      <c r="H1912" s="5">
        <f t="shared" si="43"/>
        <v>0.29524500000000009</v>
      </c>
      <c r="I1912" s="20">
        <f t="shared" si="41"/>
        <v>300.75722415000013</v>
      </c>
      <c r="J1912" s="6" t="s">
        <v>357</v>
      </c>
    </row>
    <row r="1913" spans="1:10" hidden="1">
      <c r="A1913" s="29">
        <v>45397</v>
      </c>
      <c r="B1913" s="6" t="s">
        <v>2846</v>
      </c>
      <c r="C1913" s="5" t="s">
        <v>2845</v>
      </c>
      <c r="D1913" s="8" t="s">
        <v>2486</v>
      </c>
      <c r="E1913" s="6" t="s">
        <v>466</v>
      </c>
      <c r="F1913" s="6" t="s">
        <v>2562</v>
      </c>
      <c r="G1913" s="5">
        <f>1084*1.03</f>
        <v>1116.52</v>
      </c>
      <c r="H1913" s="5">
        <f t="shared" si="43"/>
        <v>0.29524500000000009</v>
      </c>
      <c r="I1913" s="20">
        <f t="shared" si="41"/>
        <v>329.6469474000001</v>
      </c>
      <c r="J1913" s="6" t="s">
        <v>357</v>
      </c>
    </row>
    <row r="1914" spans="1:10" hidden="1">
      <c r="A1914" s="29">
        <v>45397</v>
      </c>
      <c r="B1914" s="6" t="s">
        <v>2848</v>
      </c>
      <c r="C1914" s="5" t="s">
        <v>2847</v>
      </c>
      <c r="D1914" s="8" t="s">
        <v>2486</v>
      </c>
      <c r="E1914" s="6" t="s">
        <v>466</v>
      </c>
      <c r="F1914" s="6" t="s">
        <v>2562</v>
      </c>
      <c r="G1914" s="5">
        <f>1511*1.03</f>
        <v>1556.33</v>
      </c>
      <c r="H1914" s="5">
        <f t="shared" si="43"/>
        <v>0.29524500000000009</v>
      </c>
      <c r="I1914" s="20">
        <f t="shared" si="41"/>
        <v>459.4986508500001</v>
      </c>
      <c r="J1914" s="6" t="s">
        <v>357</v>
      </c>
    </row>
    <row r="1915" spans="1:10" hidden="1">
      <c r="A1915" s="29">
        <v>45397</v>
      </c>
      <c r="B1915" s="6" t="s">
        <v>2849</v>
      </c>
      <c r="C1915" s="5" t="s">
        <v>1394</v>
      </c>
      <c r="D1915" s="8" t="s">
        <v>2486</v>
      </c>
      <c r="E1915" s="6" t="s">
        <v>466</v>
      </c>
      <c r="F1915" s="6" t="s">
        <v>2562</v>
      </c>
      <c r="G1915" s="5">
        <f>1321*1.03</f>
        <v>1360.63</v>
      </c>
      <c r="H1915" s="5">
        <f t="shared" si="43"/>
        <v>0.29524500000000009</v>
      </c>
      <c r="I1915" s="20">
        <f t="shared" si="41"/>
        <v>401.71920435000015</v>
      </c>
      <c r="J1915" s="6" t="s">
        <v>357</v>
      </c>
    </row>
    <row r="1916" spans="1:10" hidden="1">
      <c r="A1916" s="29">
        <v>45397</v>
      </c>
      <c r="B1916" s="6" t="s">
        <v>2850</v>
      </c>
      <c r="C1916" s="5" t="s">
        <v>1395</v>
      </c>
      <c r="D1916" s="8" t="s">
        <v>2486</v>
      </c>
      <c r="E1916" s="6" t="s">
        <v>466</v>
      </c>
      <c r="F1916" s="6" t="s">
        <v>2562</v>
      </c>
      <c r="G1916" s="5">
        <f>1897*1.03</f>
        <v>1953.91</v>
      </c>
      <c r="H1916" s="5">
        <f t="shared" si="43"/>
        <v>0.29524500000000009</v>
      </c>
      <c r="I1916" s="20">
        <f t="shared" si="41"/>
        <v>576.88215795000019</v>
      </c>
      <c r="J1916" s="6" t="s">
        <v>357</v>
      </c>
    </row>
    <row r="1917" spans="1:10" hidden="1">
      <c r="A1917" s="29">
        <v>45397</v>
      </c>
      <c r="B1917" s="6" t="s">
        <v>2851</v>
      </c>
      <c r="C1917" s="5" t="s">
        <v>1396</v>
      </c>
      <c r="D1917" s="8" t="s">
        <v>2486</v>
      </c>
      <c r="E1917" s="6" t="s">
        <v>466</v>
      </c>
      <c r="F1917" s="6" t="s">
        <v>2562</v>
      </c>
      <c r="G1917" s="5">
        <f>1586*1.03</f>
        <v>1633.5800000000002</v>
      </c>
      <c r="H1917" s="5">
        <f t="shared" si="43"/>
        <v>0.29524500000000009</v>
      </c>
      <c r="I1917" s="20">
        <f t="shared" si="41"/>
        <v>482.3063271000002</v>
      </c>
      <c r="J1917" s="6" t="s">
        <v>357</v>
      </c>
    </row>
    <row r="1918" spans="1:10" hidden="1">
      <c r="A1918" s="29">
        <v>45397</v>
      </c>
      <c r="B1918" s="6" t="s">
        <v>2852</v>
      </c>
      <c r="C1918" s="5" t="s">
        <v>1397</v>
      </c>
      <c r="D1918" s="8" t="s">
        <v>2486</v>
      </c>
      <c r="E1918" s="6" t="s">
        <v>466</v>
      </c>
      <c r="F1918" s="6" t="s">
        <v>2562</v>
      </c>
      <c r="G1918" s="5">
        <f>2114*1.03</f>
        <v>2177.42</v>
      </c>
      <c r="H1918" s="5">
        <f t="shared" si="43"/>
        <v>0.29524500000000009</v>
      </c>
      <c r="I1918" s="20">
        <f t="shared" si="41"/>
        <v>642.8723679000002</v>
      </c>
      <c r="J1918" s="6" t="s">
        <v>357</v>
      </c>
    </row>
    <row r="1919" spans="1:10" hidden="1">
      <c r="A1919" s="29">
        <v>45397</v>
      </c>
      <c r="B1919" s="6" t="s">
        <v>2854</v>
      </c>
      <c r="C1919" s="5" t="s">
        <v>2853</v>
      </c>
      <c r="D1919" s="8" t="s">
        <v>2486</v>
      </c>
      <c r="E1919" s="6" t="s">
        <v>466</v>
      </c>
      <c r="F1919" s="6" t="s">
        <v>2562</v>
      </c>
      <c r="G1919" s="5">
        <f>3320*1.03</f>
        <v>3419.6</v>
      </c>
      <c r="H1919" s="5">
        <f t="shared" si="43"/>
        <v>0.29524500000000009</v>
      </c>
      <c r="I1919" s="20">
        <f t="shared" si="41"/>
        <v>1009.6198020000003</v>
      </c>
      <c r="J1919" s="6" t="s">
        <v>357</v>
      </c>
    </row>
    <row r="1920" spans="1:10" hidden="1">
      <c r="A1920" s="29">
        <v>45397</v>
      </c>
      <c r="B1920" s="6" t="s">
        <v>2856</v>
      </c>
      <c r="C1920" s="5" t="s">
        <v>2855</v>
      </c>
      <c r="D1920" s="8" t="s">
        <v>2486</v>
      </c>
      <c r="E1920" s="6" t="s">
        <v>466</v>
      </c>
      <c r="F1920" s="6" t="s">
        <v>2562</v>
      </c>
      <c r="G1920" s="5">
        <f>4542*1.03</f>
        <v>4678.26</v>
      </c>
      <c r="H1920" s="5">
        <f t="shared" si="43"/>
        <v>0.29524500000000009</v>
      </c>
      <c r="I1920" s="20">
        <f t="shared" si="41"/>
        <v>1381.2328737000005</v>
      </c>
      <c r="J1920" s="6" t="s">
        <v>357</v>
      </c>
    </row>
    <row r="1921" spans="1:10" hidden="1">
      <c r="A1921" s="29">
        <v>45397</v>
      </c>
      <c r="B1921" s="6" t="s">
        <v>2858</v>
      </c>
      <c r="C1921" s="5" t="s">
        <v>2857</v>
      </c>
      <c r="D1921" s="8" t="s">
        <v>2486</v>
      </c>
      <c r="E1921" s="6" t="s">
        <v>466</v>
      </c>
      <c r="F1921" s="6" t="s">
        <v>2562</v>
      </c>
      <c r="G1921" s="5">
        <f>5013*1.03</f>
        <v>5163.3900000000003</v>
      </c>
      <c r="H1921" s="5">
        <f t="shared" si="43"/>
        <v>0.29524500000000009</v>
      </c>
      <c r="I1921" s="20">
        <f t="shared" si="41"/>
        <v>1524.4650805500005</v>
      </c>
      <c r="J1921" s="6" t="s">
        <v>357</v>
      </c>
    </row>
    <row r="1922" spans="1:10" hidden="1">
      <c r="A1922" s="29">
        <v>45397</v>
      </c>
      <c r="B1922" s="6" t="s">
        <v>2860</v>
      </c>
      <c r="C1922" s="5" t="s">
        <v>2859</v>
      </c>
      <c r="D1922" s="8" t="s">
        <v>2486</v>
      </c>
      <c r="E1922" s="6" t="s">
        <v>466</v>
      </c>
      <c r="F1922" s="6" t="s">
        <v>2562</v>
      </c>
      <c r="G1922" s="5">
        <f>7384*1.03</f>
        <v>7605.52</v>
      </c>
      <c r="H1922" s="5">
        <f t="shared" si="43"/>
        <v>0.29524500000000009</v>
      </c>
      <c r="I1922" s="20">
        <f t="shared" si="41"/>
        <v>2245.4917524000007</v>
      </c>
      <c r="J1922" s="6" t="s">
        <v>357</v>
      </c>
    </row>
    <row r="1923" spans="1:10" hidden="1">
      <c r="A1923" s="29">
        <v>45397</v>
      </c>
      <c r="B1923" s="6" t="s">
        <v>2862</v>
      </c>
      <c r="C1923" s="5" t="s">
        <v>2861</v>
      </c>
      <c r="D1923" s="8" t="s">
        <v>2486</v>
      </c>
      <c r="E1923" s="6" t="s">
        <v>466</v>
      </c>
      <c r="F1923" s="6" t="s">
        <v>2562</v>
      </c>
      <c r="G1923" s="5">
        <f>6067*1.03</f>
        <v>6249.01</v>
      </c>
      <c r="H1923" s="5">
        <f t="shared" si="43"/>
        <v>0.29524500000000009</v>
      </c>
      <c r="I1923" s="20">
        <f t="shared" ref="I1923:I1986" si="44">H1923*G1923</f>
        <v>1844.9889574500007</v>
      </c>
      <c r="J1923" s="6" t="s">
        <v>357</v>
      </c>
    </row>
    <row r="1924" spans="1:10" hidden="1">
      <c r="A1924" s="29">
        <v>45397</v>
      </c>
      <c r="B1924" s="6" t="s">
        <v>2864</v>
      </c>
      <c r="C1924" s="5" t="s">
        <v>2863</v>
      </c>
      <c r="D1924" s="8" t="s">
        <v>2486</v>
      </c>
      <c r="E1924" s="6" t="s">
        <v>466</v>
      </c>
      <c r="F1924" s="6" t="s">
        <v>2562</v>
      </c>
      <c r="G1924" s="5">
        <f>8695*1.03</f>
        <v>8955.85</v>
      </c>
      <c r="H1924" s="5">
        <f t="shared" si="43"/>
        <v>0.29524500000000009</v>
      </c>
      <c r="I1924" s="20">
        <f t="shared" si="44"/>
        <v>2644.1699332500011</v>
      </c>
      <c r="J1924" s="6" t="s">
        <v>357</v>
      </c>
    </row>
    <row r="1925" spans="1:10" ht="30" hidden="1">
      <c r="A1925" s="29">
        <v>45397</v>
      </c>
      <c r="B1925" s="24" t="s">
        <v>2866</v>
      </c>
      <c r="C1925" s="14" t="s">
        <v>2865</v>
      </c>
      <c r="D1925" s="23" t="s">
        <v>2486</v>
      </c>
      <c r="E1925" s="6" t="s">
        <v>602</v>
      </c>
      <c r="F1925" s="6" t="s">
        <v>2488</v>
      </c>
      <c r="G1925" s="5">
        <f>29*1.05</f>
        <v>30.450000000000003</v>
      </c>
      <c r="H1925" s="5">
        <f>0.5*0.9*0.9</f>
        <v>0.40500000000000003</v>
      </c>
      <c r="I1925" s="20">
        <f t="shared" si="44"/>
        <v>12.332250000000002</v>
      </c>
      <c r="J1925" s="6" t="s">
        <v>357</v>
      </c>
    </row>
    <row r="1926" spans="1:10" ht="30" hidden="1">
      <c r="A1926" s="29">
        <v>45397</v>
      </c>
      <c r="B1926" s="24" t="s">
        <v>2868</v>
      </c>
      <c r="C1926" s="14" t="s">
        <v>2867</v>
      </c>
      <c r="D1926" s="23" t="s">
        <v>2486</v>
      </c>
      <c r="E1926" s="6" t="s">
        <v>602</v>
      </c>
      <c r="F1926" s="6" t="s">
        <v>2488</v>
      </c>
      <c r="G1926" s="5">
        <f>40*1.05</f>
        <v>42</v>
      </c>
      <c r="H1926" s="5">
        <f>0.5*0.9*0.9</f>
        <v>0.40500000000000003</v>
      </c>
      <c r="I1926" s="20">
        <f t="shared" si="44"/>
        <v>17.010000000000002</v>
      </c>
      <c r="J1926" s="6" t="s">
        <v>357</v>
      </c>
    </row>
    <row r="1927" spans="1:10" ht="45" hidden="1">
      <c r="A1927" s="29">
        <v>45397</v>
      </c>
      <c r="B1927" s="24" t="s">
        <v>2870</v>
      </c>
      <c r="C1927" s="14" t="s">
        <v>2869</v>
      </c>
      <c r="D1927" s="23" t="s">
        <v>2486</v>
      </c>
      <c r="E1927" s="6" t="s">
        <v>602</v>
      </c>
      <c r="F1927" s="6" t="s">
        <v>2488</v>
      </c>
      <c r="G1927" s="5">
        <f>78*1.05</f>
        <v>81.900000000000006</v>
      </c>
      <c r="H1927" s="5">
        <f>0.5*0.9*0.9</f>
        <v>0.40500000000000003</v>
      </c>
      <c r="I1927" s="20">
        <f t="shared" si="44"/>
        <v>33.169500000000006</v>
      </c>
      <c r="J1927" s="6" t="s">
        <v>357</v>
      </c>
    </row>
    <row r="1928" spans="1:10" hidden="1">
      <c r="A1928" s="9">
        <v>45397</v>
      </c>
      <c r="B1928" s="6" t="s">
        <v>2872</v>
      </c>
      <c r="C1928" s="14" t="s">
        <v>2871</v>
      </c>
      <c r="D1928" s="23" t="s">
        <v>2486</v>
      </c>
      <c r="E1928" s="6" t="s">
        <v>355</v>
      </c>
      <c r="F1928" s="6" t="s">
        <v>411</v>
      </c>
      <c r="G1928" s="5">
        <v>400</v>
      </c>
      <c r="H1928" s="5">
        <v>1</v>
      </c>
      <c r="I1928" s="20">
        <f t="shared" si="44"/>
        <v>400</v>
      </c>
      <c r="J1928" s="6" t="s">
        <v>357</v>
      </c>
    </row>
    <row r="1929" spans="1:10" hidden="1">
      <c r="A1929" s="29">
        <v>45397</v>
      </c>
      <c r="B1929" s="6" t="s">
        <v>2874</v>
      </c>
      <c r="C1929" s="15" t="s">
        <v>2873</v>
      </c>
      <c r="D1929" s="28" t="s">
        <v>2486</v>
      </c>
      <c r="E1929" s="6" t="s">
        <v>355</v>
      </c>
      <c r="F1929" s="6" t="s">
        <v>2488</v>
      </c>
      <c r="G1929" s="5">
        <f>1220*1.03</f>
        <v>1256.6000000000001</v>
      </c>
      <c r="H1929" s="5">
        <f t="shared" ref="H1929:H1941" si="45">0.5*0.9*0.9*0.9*0.9*0.9</f>
        <v>0.29524500000000009</v>
      </c>
      <c r="I1929" s="20">
        <f t="shared" si="44"/>
        <v>371.00486700000016</v>
      </c>
      <c r="J1929" s="6" t="s">
        <v>357</v>
      </c>
    </row>
    <row r="1930" spans="1:10" hidden="1">
      <c r="A1930" s="29">
        <v>45397</v>
      </c>
      <c r="B1930" s="6" t="s">
        <v>2876</v>
      </c>
      <c r="C1930" s="23" t="s">
        <v>2875</v>
      </c>
      <c r="D1930" s="23" t="s">
        <v>2486</v>
      </c>
      <c r="E1930" s="6" t="s">
        <v>466</v>
      </c>
      <c r="F1930" s="6" t="s">
        <v>2562</v>
      </c>
      <c r="G1930" s="5">
        <f>502*1.03</f>
        <v>517.06000000000006</v>
      </c>
      <c r="H1930" s="5">
        <f t="shared" si="45"/>
        <v>0.29524500000000009</v>
      </c>
      <c r="I1930" s="20">
        <f t="shared" si="44"/>
        <v>152.65937970000007</v>
      </c>
      <c r="J1930" s="6" t="s">
        <v>357</v>
      </c>
    </row>
    <row r="1931" spans="1:10" hidden="1">
      <c r="A1931" s="29">
        <v>45397</v>
      </c>
      <c r="B1931" s="6" t="s">
        <v>2878</v>
      </c>
      <c r="C1931" s="14" t="s">
        <v>2877</v>
      </c>
      <c r="D1931" s="23" t="s">
        <v>2486</v>
      </c>
      <c r="E1931" s="6" t="s">
        <v>466</v>
      </c>
      <c r="F1931" s="6" t="s">
        <v>2488</v>
      </c>
      <c r="G1931" s="5">
        <f>356*1.03</f>
        <v>366.68</v>
      </c>
      <c r="H1931" s="5">
        <f t="shared" si="45"/>
        <v>0.29524500000000009</v>
      </c>
      <c r="I1931" s="20">
        <f t="shared" si="44"/>
        <v>108.26043660000003</v>
      </c>
      <c r="J1931" s="6" t="s">
        <v>357</v>
      </c>
    </row>
    <row r="1932" spans="1:10" hidden="1">
      <c r="A1932" s="10">
        <v>44295</v>
      </c>
      <c r="B1932" s="6" t="s">
        <v>2880</v>
      </c>
      <c r="C1932" s="14" t="s">
        <v>2879</v>
      </c>
      <c r="D1932" s="23" t="s">
        <v>2486</v>
      </c>
      <c r="E1932" s="6" t="s">
        <v>466</v>
      </c>
      <c r="F1932" s="6" t="s">
        <v>2488</v>
      </c>
      <c r="G1932" s="5" t="s">
        <v>2881</v>
      </c>
      <c r="H1932" s="5">
        <f t="shared" si="45"/>
        <v>0.29524500000000009</v>
      </c>
      <c r="I1932" s="20" t="e">
        <f t="shared" si="44"/>
        <v>#VALUE!</v>
      </c>
      <c r="J1932" s="6" t="s">
        <v>357</v>
      </c>
    </row>
    <row r="1933" spans="1:10" hidden="1">
      <c r="A1933" s="29">
        <v>45397</v>
      </c>
      <c r="B1933" s="6" t="s">
        <v>2883</v>
      </c>
      <c r="C1933" s="14" t="s">
        <v>2882</v>
      </c>
      <c r="D1933" s="23" t="s">
        <v>2486</v>
      </c>
      <c r="E1933" s="6" t="s">
        <v>466</v>
      </c>
      <c r="F1933" s="6" t="s">
        <v>2488</v>
      </c>
      <c r="G1933" s="5">
        <f>238*1.03</f>
        <v>245.14000000000001</v>
      </c>
      <c r="H1933" s="5">
        <f t="shared" si="45"/>
        <v>0.29524500000000009</v>
      </c>
      <c r="I1933" s="20">
        <f t="shared" si="44"/>
        <v>72.376359300000033</v>
      </c>
      <c r="J1933" s="6" t="s">
        <v>357</v>
      </c>
    </row>
    <row r="1934" spans="1:10" hidden="1">
      <c r="A1934" s="29">
        <v>45397</v>
      </c>
      <c r="B1934" s="6" t="s">
        <v>2885</v>
      </c>
      <c r="C1934" s="14" t="s">
        <v>2884</v>
      </c>
      <c r="D1934" s="23" t="s">
        <v>2486</v>
      </c>
      <c r="E1934" s="6" t="s">
        <v>466</v>
      </c>
      <c r="F1934" s="6" t="s">
        <v>2488</v>
      </c>
      <c r="G1934" s="5">
        <f>200*1.03</f>
        <v>206</v>
      </c>
      <c r="H1934" s="5">
        <f t="shared" si="45"/>
        <v>0.29524500000000009</v>
      </c>
      <c r="I1934" s="20">
        <f t="shared" si="44"/>
        <v>60.820470000000022</v>
      </c>
      <c r="J1934" s="6" t="s">
        <v>357</v>
      </c>
    </row>
    <row r="1935" spans="1:10" hidden="1">
      <c r="A1935" s="29">
        <v>45397</v>
      </c>
      <c r="B1935" s="6" t="s">
        <v>2887</v>
      </c>
      <c r="C1935" s="5" t="s">
        <v>343</v>
      </c>
      <c r="D1935" s="8" t="s">
        <v>2886</v>
      </c>
      <c r="E1935" s="6" t="s">
        <v>1541</v>
      </c>
      <c r="F1935" s="6" t="s">
        <v>2624</v>
      </c>
      <c r="G1935" s="5">
        <f>63*1.03</f>
        <v>64.89</v>
      </c>
      <c r="H1935" s="5">
        <f t="shared" si="45"/>
        <v>0.29524500000000009</v>
      </c>
      <c r="I1935" s="20">
        <f t="shared" si="44"/>
        <v>19.158448050000008</v>
      </c>
      <c r="J1935" s="6" t="s">
        <v>357</v>
      </c>
    </row>
    <row r="1936" spans="1:10" hidden="1">
      <c r="A1936" s="29">
        <v>45397</v>
      </c>
      <c r="B1936" s="6" t="s">
        <v>2889</v>
      </c>
      <c r="C1936" s="5" t="s">
        <v>2888</v>
      </c>
      <c r="D1936" s="8" t="s">
        <v>2886</v>
      </c>
      <c r="E1936" s="6" t="s">
        <v>1024</v>
      </c>
      <c r="F1936" s="6" t="s">
        <v>2612</v>
      </c>
      <c r="G1936" s="5">
        <f>39*1.03</f>
        <v>40.17</v>
      </c>
      <c r="H1936" s="5">
        <f t="shared" si="45"/>
        <v>0.29524500000000009</v>
      </c>
      <c r="I1936" s="20">
        <f t="shared" si="44"/>
        <v>11.859991650000005</v>
      </c>
      <c r="J1936" s="6" t="s">
        <v>357</v>
      </c>
    </row>
    <row r="1937" spans="1:10" hidden="1">
      <c r="A1937" s="29">
        <v>45397</v>
      </c>
      <c r="B1937" s="6" t="s">
        <v>2891</v>
      </c>
      <c r="C1937" s="5" t="s">
        <v>2890</v>
      </c>
      <c r="D1937" s="8" t="s">
        <v>2886</v>
      </c>
      <c r="E1937" s="6" t="s">
        <v>1024</v>
      </c>
      <c r="F1937" s="6" t="s">
        <v>2612</v>
      </c>
      <c r="G1937" s="5">
        <f>50*1.03</f>
        <v>51.5</v>
      </c>
      <c r="H1937" s="5">
        <f t="shared" si="45"/>
        <v>0.29524500000000009</v>
      </c>
      <c r="I1937" s="20">
        <f t="shared" si="44"/>
        <v>15.205117500000005</v>
      </c>
      <c r="J1937" s="6" t="s">
        <v>357</v>
      </c>
    </row>
    <row r="1938" spans="1:10" hidden="1">
      <c r="A1938" s="29">
        <v>45397</v>
      </c>
      <c r="B1938" s="6" t="s">
        <v>2893</v>
      </c>
      <c r="C1938" s="5" t="s">
        <v>2892</v>
      </c>
      <c r="D1938" s="8" t="s">
        <v>2886</v>
      </c>
      <c r="E1938" s="6" t="s">
        <v>1024</v>
      </c>
      <c r="F1938" s="6" t="s">
        <v>2612</v>
      </c>
      <c r="G1938" s="5">
        <f>85*1.03</f>
        <v>87.55</v>
      </c>
      <c r="H1938" s="5">
        <f t="shared" si="45"/>
        <v>0.29524500000000009</v>
      </c>
      <c r="I1938" s="20">
        <f t="shared" si="44"/>
        <v>25.848699750000009</v>
      </c>
      <c r="J1938" s="6" t="s">
        <v>357</v>
      </c>
    </row>
    <row r="1939" spans="1:10" hidden="1">
      <c r="A1939" s="29">
        <v>45397</v>
      </c>
      <c r="B1939" s="6" t="s">
        <v>2895</v>
      </c>
      <c r="C1939" s="5" t="s">
        <v>2894</v>
      </c>
      <c r="D1939" s="8" t="s">
        <v>2886</v>
      </c>
      <c r="E1939" s="6" t="s">
        <v>1024</v>
      </c>
      <c r="F1939" s="6" t="s">
        <v>2612</v>
      </c>
      <c r="G1939" s="5">
        <f>95*1.03</f>
        <v>97.850000000000009</v>
      </c>
      <c r="H1939" s="5">
        <f t="shared" si="45"/>
        <v>0.29524500000000009</v>
      </c>
      <c r="I1939" s="20">
        <f t="shared" si="44"/>
        <v>28.88972325000001</v>
      </c>
      <c r="J1939" s="6" t="s">
        <v>357</v>
      </c>
    </row>
    <row r="1940" spans="1:10" hidden="1">
      <c r="A1940" s="29">
        <v>45397</v>
      </c>
      <c r="B1940" s="6" t="s">
        <v>2897</v>
      </c>
      <c r="C1940" s="5" t="s">
        <v>2896</v>
      </c>
      <c r="D1940" s="8" t="s">
        <v>2886</v>
      </c>
      <c r="E1940" s="6" t="s">
        <v>1024</v>
      </c>
      <c r="F1940" s="6" t="s">
        <v>2612</v>
      </c>
      <c r="G1940" s="5">
        <f>133*1.03</f>
        <v>136.99</v>
      </c>
      <c r="H1940" s="5">
        <f t="shared" si="45"/>
        <v>0.29524500000000009</v>
      </c>
      <c r="I1940" s="20">
        <f t="shared" si="44"/>
        <v>40.445612550000014</v>
      </c>
      <c r="J1940" s="6" t="s">
        <v>357</v>
      </c>
    </row>
    <row r="1941" spans="1:10" hidden="1">
      <c r="A1941" s="29">
        <v>45397</v>
      </c>
      <c r="B1941" s="6" t="s">
        <v>2899</v>
      </c>
      <c r="C1941" s="5" t="s">
        <v>2898</v>
      </c>
      <c r="D1941" s="8" t="s">
        <v>2886</v>
      </c>
      <c r="E1941" s="6" t="s">
        <v>1024</v>
      </c>
      <c r="F1941" s="6" t="s">
        <v>2612</v>
      </c>
      <c r="G1941" s="5">
        <f>153*1.03</f>
        <v>157.59</v>
      </c>
      <c r="H1941" s="5">
        <f t="shared" si="45"/>
        <v>0.29524500000000009</v>
      </c>
      <c r="I1941" s="20">
        <f t="shared" si="44"/>
        <v>46.527659550000017</v>
      </c>
      <c r="J1941" s="6" t="s">
        <v>357</v>
      </c>
    </row>
    <row r="1942" spans="1:10" hidden="1">
      <c r="A1942" s="29">
        <v>45397</v>
      </c>
      <c r="B1942" s="6" t="s">
        <v>2901</v>
      </c>
      <c r="C1942" s="5" t="s">
        <v>2900</v>
      </c>
      <c r="D1942" s="8" t="s">
        <v>2886</v>
      </c>
      <c r="E1942" s="6" t="s">
        <v>685</v>
      </c>
      <c r="F1942" s="6" t="s">
        <v>2808</v>
      </c>
      <c r="G1942" s="5">
        <v>246.3</v>
      </c>
      <c r="H1942" s="5">
        <v>1</v>
      </c>
      <c r="I1942" s="20">
        <f t="shared" si="44"/>
        <v>246.3</v>
      </c>
      <c r="J1942" s="6" t="s">
        <v>357</v>
      </c>
    </row>
    <row r="1943" spans="1:10" hidden="1">
      <c r="A1943" s="29">
        <v>45397</v>
      </c>
      <c r="B1943" s="6" t="s">
        <v>2903</v>
      </c>
      <c r="C1943" s="5" t="s">
        <v>2902</v>
      </c>
      <c r="D1943" s="8" t="s">
        <v>2886</v>
      </c>
      <c r="E1943" s="6" t="s">
        <v>685</v>
      </c>
      <c r="F1943" s="6" t="s">
        <v>2808</v>
      </c>
      <c r="G1943" s="5">
        <v>251.6</v>
      </c>
      <c r="H1943" s="5">
        <v>1</v>
      </c>
      <c r="I1943" s="20">
        <f t="shared" si="44"/>
        <v>251.6</v>
      </c>
      <c r="J1943" s="6" t="s">
        <v>357</v>
      </c>
    </row>
    <row r="1944" spans="1:10" hidden="1">
      <c r="A1944" s="9">
        <v>45450</v>
      </c>
      <c r="B1944" s="6" t="s">
        <v>2906</v>
      </c>
      <c r="C1944" s="5" t="s">
        <v>2904</v>
      </c>
      <c r="D1944" s="8" t="s">
        <v>2905</v>
      </c>
      <c r="E1944" s="6" t="s">
        <v>2483</v>
      </c>
      <c r="F1944" s="6" t="s">
        <v>411</v>
      </c>
      <c r="G1944" s="30">
        <v>65</v>
      </c>
      <c r="H1944" s="5">
        <v>1</v>
      </c>
      <c r="I1944" s="20">
        <f t="shared" si="44"/>
        <v>65</v>
      </c>
      <c r="J1944" s="6" t="s">
        <v>2907</v>
      </c>
    </row>
    <row r="1945" spans="1:10" ht="30" hidden="1">
      <c r="A1945" s="9">
        <v>45450</v>
      </c>
      <c r="B1945" s="6" t="s">
        <v>6375</v>
      </c>
      <c r="C1945" s="5" t="s">
        <v>2909</v>
      </c>
      <c r="D1945" s="8" t="s">
        <v>2905</v>
      </c>
      <c r="E1945" s="6" t="s">
        <v>2483</v>
      </c>
      <c r="F1945" s="6" t="s">
        <v>411</v>
      </c>
      <c r="G1945" s="30">
        <f>0.025*0.003*8920*65</f>
        <v>43.484999999999999</v>
      </c>
      <c r="H1945" s="5">
        <v>1</v>
      </c>
      <c r="I1945" s="20">
        <f t="shared" si="44"/>
        <v>43.484999999999999</v>
      </c>
      <c r="J1945" s="6" t="s">
        <v>2484</v>
      </c>
    </row>
    <row r="1946" spans="1:10" ht="30" hidden="1">
      <c r="A1946" s="9">
        <v>45450</v>
      </c>
      <c r="B1946" s="6" t="s">
        <v>6374</v>
      </c>
      <c r="C1946" s="5" t="s">
        <v>2913</v>
      </c>
      <c r="D1946" s="8" t="s">
        <v>2905</v>
      </c>
      <c r="E1946" s="6" t="s">
        <v>2483</v>
      </c>
      <c r="F1946" s="6" t="s">
        <v>411</v>
      </c>
      <c r="G1946" s="5">
        <f>0.02*0.006*8920*65</f>
        <v>69.576000000000008</v>
      </c>
      <c r="H1946" s="5">
        <v>1</v>
      </c>
      <c r="I1946" s="20">
        <f t="shared" si="44"/>
        <v>69.576000000000008</v>
      </c>
      <c r="J1946" s="6" t="s">
        <v>2484</v>
      </c>
    </row>
    <row r="1947" spans="1:10" ht="30" hidden="1">
      <c r="A1947" s="9">
        <v>45450</v>
      </c>
      <c r="B1947" s="6" t="s">
        <v>6373</v>
      </c>
      <c r="C1947" s="5" t="s">
        <v>2916</v>
      </c>
      <c r="D1947" s="8" t="s">
        <v>2905</v>
      </c>
      <c r="E1947" s="6" t="s">
        <v>2483</v>
      </c>
      <c r="F1947" s="6" t="s">
        <v>411</v>
      </c>
      <c r="G1947" s="5">
        <f>0.025*0.006*8920*65</f>
        <v>86.97</v>
      </c>
      <c r="H1947" s="5">
        <v>1</v>
      </c>
      <c r="I1947" s="20">
        <f t="shared" si="44"/>
        <v>86.97</v>
      </c>
      <c r="J1947" s="6" t="s">
        <v>2484</v>
      </c>
    </row>
    <row r="1948" spans="1:10" ht="30" hidden="1">
      <c r="A1948" s="9">
        <v>45667</v>
      </c>
      <c r="B1948" s="216" t="s">
        <v>6372</v>
      </c>
      <c r="C1948" s="5" t="s">
        <v>6356</v>
      </c>
      <c r="D1948" s="8" t="s">
        <v>2905</v>
      </c>
      <c r="E1948" s="25" t="s">
        <v>2483</v>
      </c>
      <c r="F1948" s="25" t="s">
        <v>411</v>
      </c>
      <c r="G1948" s="31">
        <f>0.03*0.01*8920*65</f>
        <v>173.93999999999997</v>
      </c>
      <c r="H1948" s="5">
        <v>1</v>
      </c>
      <c r="I1948" s="20">
        <f t="shared" si="44"/>
        <v>173.93999999999997</v>
      </c>
      <c r="J1948" s="6" t="s">
        <v>2484</v>
      </c>
    </row>
    <row r="1949" spans="1:10" ht="30" hidden="1">
      <c r="A1949" s="9">
        <v>45450</v>
      </c>
      <c r="B1949" s="6" t="s">
        <v>6364</v>
      </c>
      <c r="C1949" s="5" t="s">
        <v>2918</v>
      </c>
      <c r="D1949" s="8" t="s">
        <v>2905</v>
      </c>
      <c r="E1949" s="6" t="s">
        <v>2483</v>
      </c>
      <c r="F1949" s="6" t="s">
        <v>411</v>
      </c>
      <c r="G1949" s="5">
        <f>0.025*0.01*8920*65</f>
        <v>144.94999999999999</v>
      </c>
      <c r="H1949" s="5">
        <v>1</v>
      </c>
      <c r="I1949" s="20">
        <f t="shared" si="44"/>
        <v>144.94999999999999</v>
      </c>
      <c r="J1949" s="6" t="s">
        <v>2484</v>
      </c>
    </row>
    <row r="1950" spans="1:10" ht="30" hidden="1">
      <c r="A1950" s="9">
        <v>45450</v>
      </c>
      <c r="B1950" s="6" t="s">
        <v>6363</v>
      </c>
      <c r="C1950" s="5" t="s">
        <v>6357</v>
      </c>
      <c r="D1950" s="8" t="s">
        <v>2905</v>
      </c>
      <c r="E1950" s="6" t="s">
        <v>2483</v>
      </c>
      <c r="F1950" s="6" t="s">
        <v>411</v>
      </c>
      <c r="G1950" s="5">
        <f>0.03*0.01*8920*65</f>
        <v>173.93999999999997</v>
      </c>
      <c r="H1950" s="5">
        <v>1</v>
      </c>
      <c r="I1950" s="20">
        <f t="shared" si="44"/>
        <v>173.93999999999997</v>
      </c>
      <c r="J1950" s="6" t="s">
        <v>2484</v>
      </c>
    </row>
    <row r="1951" spans="1:10" ht="30" hidden="1">
      <c r="A1951" s="9">
        <v>45450</v>
      </c>
      <c r="B1951" s="6" t="s">
        <v>6362</v>
      </c>
      <c r="C1951" s="5" t="s">
        <v>2919</v>
      </c>
      <c r="D1951" s="8" t="s">
        <v>2905</v>
      </c>
      <c r="E1951" s="6" t="s">
        <v>2483</v>
      </c>
      <c r="F1951" s="6" t="s">
        <v>411</v>
      </c>
      <c r="G1951" s="5">
        <f>0.04*0.01*8920*65</f>
        <v>231.92000000000002</v>
      </c>
      <c r="H1951" s="5">
        <v>1</v>
      </c>
      <c r="I1951" s="20">
        <f t="shared" si="44"/>
        <v>231.92000000000002</v>
      </c>
      <c r="J1951" s="6" t="s">
        <v>2484</v>
      </c>
    </row>
    <row r="1952" spans="1:10" ht="30" hidden="1">
      <c r="A1952" s="9">
        <v>45450</v>
      </c>
      <c r="B1952" s="6" t="s">
        <v>6361</v>
      </c>
      <c r="C1952" s="5" t="s">
        <v>2920</v>
      </c>
      <c r="D1952" s="8" t="s">
        <v>2905</v>
      </c>
      <c r="E1952" s="6" t="s">
        <v>2483</v>
      </c>
      <c r="F1952" s="6" t="s">
        <v>411</v>
      </c>
      <c r="G1952" s="5">
        <f>0.05*0.01*8920*65</f>
        <v>289.89999999999998</v>
      </c>
      <c r="H1952" s="5">
        <v>1</v>
      </c>
      <c r="I1952" s="20">
        <f t="shared" si="44"/>
        <v>289.89999999999998</v>
      </c>
      <c r="J1952" s="6" t="s">
        <v>2484</v>
      </c>
    </row>
    <row r="1953" spans="1:12" ht="30" hidden="1">
      <c r="A1953" s="9">
        <v>45450</v>
      </c>
      <c r="B1953" s="6" t="s">
        <v>6360</v>
      </c>
      <c r="C1953" s="5" t="s">
        <v>2921</v>
      </c>
      <c r="D1953" s="8" t="s">
        <v>2905</v>
      </c>
      <c r="E1953" s="6" t="s">
        <v>2483</v>
      </c>
      <c r="F1953" s="6" t="s">
        <v>411</v>
      </c>
      <c r="G1953" s="5">
        <f>0.055*0.01*8920*65</f>
        <v>318.89000000000004</v>
      </c>
      <c r="H1953" s="5">
        <v>1</v>
      </c>
      <c r="I1953" s="20">
        <f t="shared" si="44"/>
        <v>318.89000000000004</v>
      </c>
      <c r="J1953" s="6" t="s">
        <v>2484</v>
      </c>
    </row>
    <row r="1954" spans="1:12" ht="30" hidden="1">
      <c r="A1954" s="9">
        <v>45450</v>
      </c>
      <c r="B1954" s="6" t="s">
        <v>6359</v>
      </c>
      <c r="C1954" s="5" t="s">
        <v>2908</v>
      </c>
      <c r="D1954" s="8" t="s">
        <v>2905</v>
      </c>
      <c r="E1954" s="6" t="s">
        <v>2483</v>
      </c>
      <c r="F1954" s="6" t="s">
        <v>411</v>
      </c>
      <c r="G1954" s="30">
        <f>0.065*0.01*8920*65</f>
        <v>376.87000000000006</v>
      </c>
      <c r="H1954" s="5">
        <v>1</v>
      </c>
      <c r="I1954" s="20">
        <f t="shared" si="44"/>
        <v>376.87000000000006</v>
      </c>
      <c r="J1954" s="6" t="s">
        <v>2484</v>
      </c>
    </row>
    <row r="1955" spans="1:12" ht="30" hidden="1">
      <c r="A1955" s="9">
        <v>45450</v>
      </c>
      <c r="B1955" s="6" t="s">
        <v>6358</v>
      </c>
      <c r="C1955" s="5" t="s">
        <v>2910</v>
      </c>
      <c r="D1955" s="8" t="s">
        <v>2905</v>
      </c>
      <c r="E1955" s="6" t="s">
        <v>2483</v>
      </c>
      <c r="F1955" s="6" t="s">
        <v>411</v>
      </c>
      <c r="G1955" s="30">
        <f>0.085*0.01*8920*65</f>
        <v>492.83000000000004</v>
      </c>
      <c r="H1955" s="5">
        <v>1</v>
      </c>
      <c r="I1955" s="20">
        <f t="shared" si="44"/>
        <v>492.83000000000004</v>
      </c>
      <c r="J1955" s="6" t="s">
        <v>2484</v>
      </c>
    </row>
    <row r="1956" spans="1:12" ht="30" hidden="1">
      <c r="A1956" s="9">
        <v>45450</v>
      </c>
      <c r="B1956" s="6" t="s">
        <v>6371</v>
      </c>
      <c r="C1956" s="5" t="s">
        <v>2911</v>
      </c>
      <c r="D1956" s="8" t="s">
        <v>2905</v>
      </c>
      <c r="E1956" s="6" t="s">
        <v>2483</v>
      </c>
      <c r="F1956" s="6" t="s">
        <v>411</v>
      </c>
      <c r="G1956" s="30">
        <f>0.1*0.01*8920*65</f>
        <v>579.79999999999995</v>
      </c>
      <c r="H1956" s="5">
        <v>1</v>
      </c>
      <c r="I1956" s="20">
        <f t="shared" si="44"/>
        <v>579.79999999999995</v>
      </c>
      <c r="J1956" s="6" t="s">
        <v>2484</v>
      </c>
    </row>
    <row r="1957" spans="1:12" ht="30" hidden="1">
      <c r="A1957" s="9">
        <v>45450</v>
      </c>
      <c r="B1957" s="6" t="s">
        <v>6370</v>
      </c>
      <c r="C1957" s="5" t="s">
        <v>2912</v>
      </c>
      <c r="D1957" s="8" t="s">
        <v>2905</v>
      </c>
      <c r="E1957" s="6" t="s">
        <v>2483</v>
      </c>
      <c r="F1957" s="6" t="s">
        <v>411</v>
      </c>
      <c r="G1957" s="5">
        <f>0.11*0.01*8920*65</f>
        <v>637.78000000000009</v>
      </c>
      <c r="H1957" s="5">
        <v>1</v>
      </c>
      <c r="I1957" s="20">
        <f t="shared" si="44"/>
        <v>637.78000000000009</v>
      </c>
      <c r="J1957" s="6" t="s">
        <v>2484</v>
      </c>
    </row>
    <row r="1958" spans="1:12" ht="30" hidden="1">
      <c r="A1958" s="9">
        <v>45450</v>
      </c>
      <c r="B1958" s="6" t="s">
        <v>6369</v>
      </c>
      <c r="C1958" s="5" t="s">
        <v>2914</v>
      </c>
      <c r="D1958" s="8" t="s">
        <v>2905</v>
      </c>
      <c r="E1958" s="6" t="s">
        <v>2483</v>
      </c>
      <c r="F1958" s="6" t="s">
        <v>411</v>
      </c>
      <c r="G1958" s="5">
        <f>0.12*0.01*8920*65</f>
        <v>695.75999999999988</v>
      </c>
      <c r="H1958" s="5">
        <v>1</v>
      </c>
      <c r="I1958" s="20">
        <f t="shared" si="44"/>
        <v>695.75999999999988</v>
      </c>
      <c r="J1958" s="6" t="s">
        <v>2484</v>
      </c>
      <c r="L1958" s="5">
        <f>163*1.35</f>
        <v>220.05</v>
      </c>
    </row>
    <row r="1959" spans="1:12" ht="30" hidden="1">
      <c r="A1959" s="9">
        <v>45450</v>
      </c>
      <c r="B1959" s="6" t="s">
        <v>6368</v>
      </c>
      <c r="C1959" s="5" t="s">
        <v>2915</v>
      </c>
      <c r="D1959" s="8" t="s">
        <v>2905</v>
      </c>
      <c r="E1959" s="6" t="s">
        <v>2483</v>
      </c>
      <c r="F1959" s="6" t="s">
        <v>411</v>
      </c>
      <c r="G1959" s="5">
        <f>0.13*0.01*8920*65</f>
        <v>753.74000000000012</v>
      </c>
      <c r="H1959" s="5">
        <v>1</v>
      </c>
      <c r="I1959" s="20">
        <f t="shared" si="44"/>
        <v>753.74000000000012</v>
      </c>
      <c r="J1959" s="6" t="s">
        <v>2484</v>
      </c>
    </row>
    <row r="1960" spans="1:12" ht="30" hidden="1">
      <c r="A1960" s="9">
        <v>45996</v>
      </c>
      <c r="B1960" s="216" t="s">
        <v>7696</v>
      </c>
      <c r="C1960" s="5" t="s">
        <v>7697</v>
      </c>
      <c r="D1960" s="8" t="s">
        <v>2905</v>
      </c>
      <c r="E1960" s="25" t="s">
        <v>2483</v>
      </c>
      <c r="F1960" s="25" t="s">
        <v>411</v>
      </c>
      <c r="G1960" s="31">
        <f>0.15*0.01*8920*65</f>
        <v>869.7</v>
      </c>
      <c r="H1960" s="5">
        <v>1</v>
      </c>
      <c r="I1960" s="20">
        <f t="shared" si="44"/>
        <v>869.7</v>
      </c>
      <c r="J1960" s="6" t="s">
        <v>2484</v>
      </c>
    </row>
    <row r="1961" spans="1:12" ht="30" hidden="1">
      <c r="A1961" s="9">
        <v>45450</v>
      </c>
      <c r="B1961" s="6" t="s">
        <v>6367</v>
      </c>
      <c r="C1961" s="5" t="s">
        <v>2917</v>
      </c>
      <c r="D1961" s="8" t="s">
        <v>2905</v>
      </c>
      <c r="E1961" s="6" t="s">
        <v>2483</v>
      </c>
      <c r="F1961" s="6" t="s">
        <v>686</v>
      </c>
      <c r="G1961" s="5">
        <f>0.16*0.01*8920*65</f>
        <v>927.68000000000006</v>
      </c>
      <c r="H1961" s="5">
        <v>1</v>
      </c>
      <c r="I1961" s="20">
        <f t="shared" si="44"/>
        <v>927.68000000000006</v>
      </c>
      <c r="J1961" s="6" t="s">
        <v>2484</v>
      </c>
    </row>
    <row r="1962" spans="1:12" ht="30" hidden="1">
      <c r="A1962" s="9">
        <v>45450</v>
      </c>
      <c r="B1962" s="6" t="s">
        <v>6366</v>
      </c>
      <c r="C1962" s="5" t="s">
        <v>2482</v>
      </c>
      <c r="D1962" s="8" t="s">
        <v>2905</v>
      </c>
      <c r="E1962" s="6" t="s">
        <v>2483</v>
      </c>
      <c r="F1962" s="6" t="s">
        <v>411</v>
      </c>
      <c r="G1962" s="30">
        <f>0.165*0.01*8920*65</f>
        <v>956.67000000000007</v>
      </c>
      <c r="H1962" s="5">
        <v>1</v>
      </c>
      <c r="I1962" s="20">
        <f t="shared" si="44"/>
        <v>956.67000000000007</v>
      </c>
      <c r="J1962" s="6" t="s">
        <v>2484</v>
      </c>
    </row>
    <row r="1963" spans="1:12" ht="30" hidden="1">
      <c r="A1963" s="158">
        <v>45597</v>
      </c>
      <c r="B1963" s="239" t="s">
        <v>6365</v>
      </c>
      <c r="C1963" s="154" t="s">
        <v>5972</v>
      </c>
      <c r="D1963" s="155" t="s">
        <v>2905</v>
      </c>
      <c r="E1963" s="25" t="s">
        <v>2483</v>
      </c>
      <c r="F1963" s="25" t="s">
        <v>686</v>
      </c>
      <c r="G1963" s="5">
        <f>0.2*0.01*8920*65</f>
        <v>1159.5999999999999</v>
      </c>
      <c r="H1963" s="154">
        <v>1</v>
      </c>
      <c r="I1963" s="157">
        <f t="shared" si="44"/>
        <v>1159.5999999999999</v>
      </c>
      <c r="J1963" s="156" t="s">
        <v>2484</v>
      </c>
    </row>
    <row r="1964" spans="1:12" hidden="1">
      <c r="A1964" s="9">
        <v>45848</v>
      </c>
      <c r="B1964" s="6" t="s">
        <v>7296</v>
      </c>
      <c r="C1964" s="5" t="s">
        <v>5472</v>
      </c>
      <c r="D1964" s="8" t="s">
        <v>7295</v>
      </c>
      <c r="E1964" s="6" t="s">
        <v>4139</v>
      </c>
      <c r="F1964" s="6" t="s">
        <v>411</v>
      </c>
      <c r="G1964" s="5">
        <v>70</v>
      </c>
      <c r="H1964" s="5">
        <v>1</v>
      </c>
      <c r="I1964" s="20">
        <f t="shared" si="44"/>
        <v>70</v>
      </c>
      <c r="J1964" s="6" t="s">
        <v>357</v>
      </c>
    </row>
    <row r="1965" spans="1:12" hidden="1">
      <c r="A1965" s="9">
        <v>45070</v>
      </c>
      <c r="B1965" s="6" t="s">
        <v>3007</v>
      </c>
      <c r="C1965" s="5" t="s">
        <v>3005</v>
      </c>
      <c r="D1965" s="8" t="s">
        <v>3006</v>
      </c>
      <c r="E1965" s="6" t="s">
        <v>410</v>
      </c>
      <c r="F1965" s="6" t="s">
        <v>411</v>
      </c>
      <c r="G1965" s="5">
        <v>86</v>
      </c>
      <c r="H1965" s="5">
        <v>0.8</v>
      </c>
      <c r="I1965" s="20">
        <f t="shared" si="44"/>
        <v>68.8</v>
      </c>
      <c r="J1965" s="6" t="s">
        <v>357</v>
      </c>
    </row>
    <row r="1966" spans="1:12" hidden="1">
      <c r="A1966" s="9">
        <v>45070</v>
      </c>
      <c r="B1966" s="6" t="s">
        <v>3009</v>
      </c>
      <c r="C1966" s="5" t="s">
        <v>3008</v>
      </c>
      <c r="D1966" s="8" t="s">
        <v>3006</v>
      </c>
      <c r="E1966" s="111" t="s">
        <v>6491</v>
      </c>
      <c r="F1966" s="6" t="s">
        <v>411</v>
      </c>
      <c r="G1966" s="5">
        <v>518</v>
      </c>
      <c r="H1966" s="5">
        <v>0.8</v>
      </c>
      <c r="I1966" s="20">
        <f t="shared" si="44"/>
        <v>414.40000000000003</v>
      </c>
      <c r="J1966" s="6" t="s">
        <v>357</v>
      </c>
    </row>
    <row r="1967" spans="1:12" hidden="1">
      <c r="A1967" s="9">
        <v>45070</v>
      </c>
      <c r="B1967" s="6" t="s">
        <v>3010</v>
      </c>
      <c r="C1967" s="5" t="s">
        <v>1471</v>
      </c>
      <c r="D1967" s="8" t="s">
        <v>3006</v>
      </c>
      <c r="E1967" s="111" t="s">
        <v>6491</v>
      </c>
      <c r="F1967" s="6" t="s">
        <v>411</v>
      </c>
      <c r="G1967" s="5">
        <v>486</v>
      </c>
      <c r="H1967" s="5">
        <v>0.8</v>
      </c>
      <c r="I1967" s="20">
        <f t="shared" si="44"/>
        <v>388.8</v>
      </c>
      <c r="J1967" s="6" t="s">
        <v>357</v>
      </c>
    </row>
    <row r="1968" spans="1:12" ht="30" hidden="1">
      <c r="A1968" s="9">
        <v>45070</v>
      </c>
      <c r="B1968" s="6" t="s">
        <v>3012</v>
      </c>
      <c r="C1968" s="5" t="s">
        <v>3011</v>
      </c>
      <c r="D1968" s="8" t="s">
        <v>3006</v>
      </c>
      <c r="E1968" s="111" t="s">
        <v>6491</v>
      </c>
      <c r="F1968" s="6" t="s">
        <v>411</v>
      </c>
      <c r="G1968" s="5">
        <v>980</v>
      </c>
      <c r="H1968" s="5">
        <v>0.8</v>
      </c>
      <c r="I1968" s="20">
        <f t="shared" si="44"/>
        <v>784</v>
      </c>
      <c r="J1968" s="6" t="s">
        <v>357</v>
      </c>
    </row>
    <row r="1969" spans="1:10" hidden="1">
      <c r="A1969" s="9">
        <v>45070</v>
      </c>
      <c r="B1969" s="6" t="s">
        <v>3014</v>
      </c>
      <c r="C1969" s="5" t="s">
        <v>3013</v>
      </c>
      <c r="D1969" s="8" t="s">
        <v>3006</v>
      </c>
      <c r="E1969" s="111" t="s">
        <v>6491</v>
      </c>
      <c r="F1969" s="6" t="s">
        <v>411</v>
      </c>
      <c r="G1969" s="5">
        <v>700</v>
      </c>
      <c r="H1969" s="5">
        <v>0.8</v>
      </c>
      <c r="I1969" s="20">
        <f t="shared" si="44"/>
        <v>560</v>
      </c>
      <c r="J1969" s="6" t="s">
        <v>357</v>
      </c>
    </row>
    <row r="1970" spans="1:10" hidden="1">
      <c r="A1970" s="9">
        <v>45070</v>
      </c>
      <c r="B1970" s="6" t="s">
        <v>6486</v>
      </c>
      <c r="C1970" s="5" t="s">
        <v>3049</v>
      </c>
      <c r="D1970" s="8" t="s">
        <v>3006</v>
      </c>
      <c r="E1970" s="6" t="s">
        <v>1871</v>
      </c>
      <c r="F1970" s="6" t="s">
        <v>1871</v>
      </c>
      <c r="G1970" s="5">
        <v>108</v>
      </c>
      <c r="H1970" s="5">
        <v>0.8</v>
      </c>
      <c r="I1970" s="20">
        <f t="shared" si="44"/>
        <v>86.4</v>
      </c>
      <c r="J1970" s="6" t="s">
        <v>357</v>
      </c>
    </row>
    <row r="1971" spans="1:10" hidden="1">
      <c r="A1971" s="9">
        <v>45070</v>
      </c>
      <c r="B1971" s="6" t="s">
        <v>6487</v>
      </c>
      <c r="C1971" s="5" t="s">
        <v>3050</v>
      </c>
      <c r="D1971" s="8" t="s">
        <v>3006</v>
      </c>
      <c r="E1971" s="6" t="s">
        <v>1871</v>
      </c>
      <c r="F1971" s="6" t="s">
        <v>1871</v>
      </c>
      <c r="G1971" s="5">
        <v>324</v>
      </c>
      <c r="H1971" s="5">
        <v>0.8</v>
      </c>
      <c r="I1971" s="20">
        <f t="shared" si="44"/>
        <v>259.2</v>
      </c>
      <c r="J1971" s="6" t="s">
        <v>357</v>
      </c>
    </row>
    <row r="1972" spans="1:10" hidden="1">
      <c r="A1972" s="9">
        <v>45070</v>
      </c>
      <c r="B1972" s="6" t="s">
        <v>6488</v>
      </c>
      <c r="C1972" s="5" t="s">
        <v>3051</v>
      </c>
      <c r="D1972" s="8" t="s">
        <v>3006</v>
      </c>
      <c r="E1972" s="6" t="s">
        <v>1871</v>
      </c>
      <c r="F1972" s="6" t="s">
        <v>1871</v>
      </c>
      <c r="G1972" s="5">
        <v>49</v>
      </c>
      <c r="H1972" s="5">
        <v>0.8</v>
      </c>
      <c r="I1972" s="20">
        <f t="shared" si="44"/>
        <v>39.200000000000003</v>
      </c>
      <c r="J1972" s="6" t="s">
        <v>357</v>
      </c>
    </row>
    <row r="1973" spans="1:10" hidden="1">
      <c r="A1973" s="9">
        <v>45070</v>
      </c>
      <c r="B1973" s="6" t="s">
        <v>6489</v>
      </c>
      <c r="C1973" s="5" t="s">
        <v>3052</v>
      </c>
      <c r="D1973" s="8" t="s">
        <v>3006</v>
      </c>
      <c r="E1973" s="6" t="s">
        <v>1871</v>
      </c>
      <c r="F1973" s="6" t="s">
        <v>1871</v>
      </c>
      <c r="G1973" s="5">
        <v>59</v>
      </c>
      <c r="H1973" s="5">
        <v>0.8</v>
      </c>
      <c r="I1973" s="20">
        <f t="shared" si="44"/>
        <v>47.2</v>
      </c>
      <c r="J1973" s="6" t="s">
        <v>357</v>
      </c>
    </row>
    <row r="1974" spans="1:10" hidden="1">
      <c r="A1974" s="9">
        <v>45070</v>
      </c>
      <c r="B1974" s="6" t="s">
        <v>6490</v>
      </c>
      <c r="C1974" s="5" t="s">
        <v>3053</v>
      </c>
      <c r="D1974" s="8" t="s">
        <v>3006</v>
      </c>
      <c r="E1974" s="6" t="s">
        <v>1871</v>
      </c>
      <c r="F1974" s="6" t="s">
        <v>1871</v>
      </c>
      <c r="G1974" s="5">
        <v>76</v>
      </c>
      <c r="H1974" s="5">
        <v>0.8</v>
      </c>
      <c r="I1974" s="20">
        <f t="shared" si="44"/>
        <v>60.800000000000004</v>
      </c>
      <c r="J1974" s="6" t="s">
        <v>357</v>
      </c>
    </row>
    <row r="1975" spans="1:10" ht="30" hidden="1">
      <c r="A1975" s="9">
        <v>45239</v>
      </c>
      <c r="B1975" s="6" t="s">
        <v>3017</v>
      </c>
      <c r="C1975" s="5" t="s">
        <v>3015</v>
      </c>
      <c r="D1975" s="8" t="s">
        <v>3016</v>
      </c>
      <c r="E1975" s="6" t="s">
        <v>6384</v>
      </c>
      <c r="F1975" s="6" t="s">
        <v>3018</v>
      </c>
      <c r="G1975" s="5">
        <v>1296</v>
      </c>
      <c r="H1975" s="5">
        <v>0.8</v>
      </c>
      <c r="I1975" s="20">
        <f t="shared" si="44"/>
        <v>1036.8</v>
      </c>
      <c r="J1975" s="6" t="s">
        <v>357</v>
      </c>
    </row>
    <row r="1976" spans="1:10" hidden="1">
      <c r="A1976" s="9">
        <v>45070</v>
      </c>
      <c r="B1976" s="6" t="s">
        <v>3020</v>
      </c>
      <c r="C1976" s="5" t="s">
        <v>3019</v>
      </c>
      <c r="D1976" s="8" t="s">
        <v>3006</v>
      </c>
      <c r="E1976" s="6" t="s">
        <v>410</v>
      </c>
      <c r="F1976" s="6" t="s">
        <v>3021</v>
      </c>
      <c r="G1976" s="5">
        <v>71</v>
      </c>
      <c r="H1976" s="5">
        <v>0.8</v>
      </c>
      <c r="I1976" s="20">
        <f t="shared" si="44"/>
        <v>56.800000000000004</v>
      </c>
      <c r="J1976" s="6" t="s">
        <v>357</v>
      </c>
    </row>
    <row r="1977" spans="1:10" hidden="1">
      <c r="A1977" s="9">
        <v>45070</v>
      </c>
      <c r="B1977" s="6" t="s">
        <v>3023</v>
      </c>
      <c r="C1977" s="5" t="s">
        <v>3022</v>
      </c>
      <c r="D1977" s="8" t="s">
        <v>3016</v>
      </c>
      <c r="E1977" s="6" t="s">
        <v>410</v>
      </c>
      <c r="F1977" s="6" t="s">
        <v>3021</v>
      </c>
      <c r="G1977" s="5">
        <v>59</v>
      </c>
      <c r="H1977" s="5">
        <v>0.8</v>
      </c>
      <c r="I1977" s="20">
        <f t="shared" si="44"/>
        <v>47.2</v>
      </c>
      <c r="J1977" s="6" t="s">
        <v>357</v>
      </c>
    </row>
    <row r="1978" spans="1:10" ht="30" hidden="1">
      <c r="A1978" s="9">
        <v>45070</v>
      </c>
      <c r="B1978" s="6" t="s">
        <v>3025</v>
      </c>
      <c r="C1978" s="5" t="s">
        <v>3024</v>
      </c>
      <c r="D1978" s="8" t="s">
        <v>3006</v>
      </c>
      <c r="E1978" s="6" t="s">
        <v>6384</v>
      </c>
      <c r="F1978" s="6" t="s">
        <v>1476</v>
      </c>
      <c r="G1978" s="5">
        <v>1080</v>
      </c>
      <c r="H1978" s="5">
        <v>0.8</v>
      </c>
      <c r="I1978" s="20">
        <f t="shared" si="44"/>
        <v>864</v>
      </c>
      <c r="J1978" s="6" t="s">
        <v>357</v>
      </c>
    </row>
    <row r="1979" spans="1:10" ht="30" hidden="1">
      <c r="A1979" s="9">
        <v>45070</v>
      </c>
      <c r="B1979" s="6" t="s">
        <v>3027</v>
      </c>
      <c r="C1979" s="5" t="s">
        <v>3026</v>
      </c>
      <c r="D1979" s="8" t="s">
        <v>3016</v>
      </c>
      <c r="E1979" s="6" t="s">
        <v>6384</v>
      </c>
      <c r="F1979" s="6" t="s">
        <v>1476</v>
      </c>
      <c r="G1979" s="5">
        <v>799</v>
      </c>
      <c r="H1979" s="5">
        <v>0.8</v>
      </c>
      <c r="I1979" s="20">
        <f t="shared" si="44"/>
        <v>639.20000000000005</v>
      </c>
      <c r="J1979" s="6" t="s">
        <v>357</v>
      </c>
    </row>
    <row r="1980" spans="1:10" ht="30" hidden="1">
      <c r="A1980" s="9">
        <v>45070</v>
      </c>
      <c r="B1980" s="6" t="s">
        <v>3029</v>
      </c>
      <c r="C1980" s="5" t="s">
        <v>3028</v>
      </c>
      <c r="D1980" s="8" t="s">
        <v>3006</v>
      </c>
      <c r="E1980" s="6" t="s">
        <v>6384</v>
      </c>
      <c r="F1980" s="6" t="s">
        <v>1476</v>
      </c>
      <c r="G1980" s="5">
        <v>1080</v>
      </c>
      <c r="H1980" s="5">
        <v>0.8</v>
      </c>
      <c r="I1980" s="20">
        <f t="shared" si="44"/>
        <v>864</v>
      </c>
      <c r="J1980" s="6" t="s">
        <v>357</v>
      </c>
    </row>
    <row r="1981" spans="1:10" hidden="1">
      <c r="A1981" s="9">
        <v>45070</v>
      </c>
      <c r="B1981" s="6" t="s">
        <v>3031</v>
      </c>
      <c r="C1981" s="5" t="s">
        <v>3030</v>
      </c>
      <c r="D1981" s="8" t="s">
        <v>3016</v>
      </c>
      <c r="E1981" s="6" t="s">
        <v>6382</v>
      </c>
      <c r="F1981" s="6" t="s">
        <v>1476</v>
      </c>
      <c r="G1981" s="5">
        <v>205</v>
      </c>
      <c r="H1981" s="5">
        <v>0.8</v>
      </c>
      <c r="I1981" s="20">
        <f t="shared" si="44"/>
        <v>164</v>
      </c>
      <c r="J1981" s="6" t="s">
        <v>357</v>
      </c>
    </row>
    <row r="1982" spans="1:10" hidden="1">
      <c r="A1982" s="9">
        <v>45070</v>
      </c>
      <c r="B1982" s="6" t="s">
        <v>3033</v>
      </c>
      <c r="C1982" s="5" t="s">
        <v>3032</v>
      </c>
      <c r="D1982" s="8" t="s">
        <v>3016</v>
      </c>
      <c r="E1982" s="6" t="s">
        <v>6383</v>
      </c>
      <c r="F1982" s="6" t="s">
        <v>1476</v>
      </c>
      <c r="G1982" s="5">
        <v>432</v>
      </c>
      <c r="H1982" s="5">
        <v>0.8</v>
      </c>
      <c r="I1982" s="20">
        <f t="shared" si="44"/>
        <v>345.6</v>
      </c>
      <c r="J1982" s="6" t="s">
        <v>357</v>
      </c>
    </row>
    <row r="1983" spans="1:10" hidden="1">
      <c r="A1983" s="9">
        <v>45239</v>
      </c>
      <c r="B1983" s="6" t="s">
        <v>3035</v>
      </c>
      <c r="C1983" s="5" t="s">
        <v>3034</v>
      </c>
      <c r="D1983" s="8" t="s">
        <v>3016</v>
      </c>
      <c r="E1983" s="6" t="s">
        <v>6382</v>
      </c>
      <c r="F1983" s="6" t="s">
        <v>1476</v>
      </c>
      <c r="G1983" s="5">
        <v>324</v>
      </c>
      <c r="H1983" s="5">
        <v>0.8</v>
      </c>
      <c r="I1983" s="20">
        <f t="shared" si="44"/>
        <v>259.2</v>
      </c>
      <c r="J1983" s="6" t="s">
        <v>357</v>
      </c>
    </row>
    <row r="1984" spans="1:10" hidden="1">
      <c r="A1984" s="9">
        <v>45070</v>
      </c>
      <c r="B1984" s="6" t="s">
        <v>3036</v>
      </c>
      <c r="C1984" s="5" t="s">
        <v>3037</v>
      </c>
      <c r="D1984" s="8" t="s">
        <v>3016</v>
      </c>
      <c r="E1984" s="6" t="s">
        <v>6381</v>
      </c>
      <c r="F1984" s="6" t="s">
        <v>1476</v>
      </c>
      <c r="G1984" s="5">
        <f>162</f>
        <v>162</v>
      </c>
      <c r="H1984" s="5">
        <v>0.8</v>
      </c>
      <c r="I1984" s="20">
        <f t="shared" si="44"/>
        <v>129.6</v>
      </c>
      <c r="J1984" s="6" t="s">
        <v>357</v>
      </c>
    </row>
    <row r="1985" spans="1:10" hidden="1">
      <c r="A1985" s="9">
        <v>45070</v>
      </c>
      <c r="B1985" s="6" t="s">
        <v>3038</v>
      </c>
      <c r="C1985" s="5" t="s">
        <v>3037</v>
      </c>
      <c r="D1985" s="8" t="s">
        <v>3016</v>
      </c>
      <c r="E1985" s="6" t="s">
        <v>6381</v>
      </c>
      <c r="F1985" s="6" t="s">
        <v>1476</v>
      </c>
      <c r="G1985" s="5">
        <v>162</v>
      </c>
      <c r="H1985" s="5">
        <v>0.8</v>
      </c>
      <c r="I1985" s="20">
        <f t="shared" si="44"/>
        <v>129.6</v>
      </c>
      <c r="J1985" s="6" t="s">
        <v>357</v>
      </c>
    </row>
    <row r="1986" spans="1:10" hidden="1">
      <c r="A1986" s="9">
        <v>45070</v>
      </c>
      <c r="B1986" s="6" t="s">
        <v>3040</v>
      </c>
      <c r="C1986" s="5" t="s">
        <v>3039</v>
      </c>
      <c r="D1986" s="8" t="s">
        <v>3016</v>
      </c>
      <c r="E1986" s="6" t="s">
        <v>3041</v>
      </c>
      <c r="F1986" s="6" t="s">
        <v>3042</v>
      </c>
      <c r="G1986" s="5">
        <v>486</v>
      </c>
      <c r="H1986" s="5">
        <f>0.8</f>
        <v>0.8</v>
      </c>
      <c r="I1986" s="20">
        <f t="shared" si="44"/>
        <v>388.8</v>
      </c>
      <c r="J1986" s="6" t="s">
        <v>357</v>
      </c>
    </row>
    <row r="1987" spans="1:10" hidden="1">
      <c r="A1987" s="9">
        <v>45070</v>
      </c>
      <c r="B1987" s="6" t="s">
        <v>3044</v>
      </c>
      <c r="C1987" s="5" t="s">
        <v>3043</v>
      </c>
      <c r="D1987" s="8" t="s">
        <v>3016</v>
      </c>
      <c r="E1987" s="6" t="s">
        <v>3041</v>
      </c>
      <c r="F1987" s="6" t="s">
        <v>3042</v>
      </c>
      <c r="G1987" s="5">
        <v>518</v>
      </c>
      <c r="H1987" s="5">
        <f>0.8</f>
        <v>0.8</v>
      </c>
      <c r="I1987" s="20">
        <f t="shared" ref="I1987:I2050" si="46">H1987*G1987</f>
        <v>414.40000000000003</v>
      </c>
      <c r="J1987" s="6" t="s">
        <v>357</v>
      </c>
    </row>
    <row r="1988" spans="1:10" hidden="1">
      <c r="A1988" s="9">
        <v>45070</v>
      </c>
      <c r="B1988" s="6" t="s">
        <v>3046</v>
      </c>
      <c r="C1988" s="5" t="s">
        <v>3045</v>
      </c>
      <c r="D1988" s="8" t="s">
        <v>3016</v>
      </c>
      <c r="E1988" s="6" t="s">
        <v>3041</v>
      </c>
      <c r="F1988" s="6" t="s">
        <v>3042</v>
      </c>
      <c r="G1988" s="27">
        <v>378</v>
      </c>
      <c r="H1988" s="5">
        <f>0.8</f>
        <v>0.8</v>
      </c>
      <c r="I1988" s="20">
        <f t="shared" si="46"/>
        <v>302.40000000000003</v>
      </c>
      <c r="J1988" s="6" t="s">
        <v>357</v>
      </c>
    </row>
    <row r="1989" spans="1:10" hidden="1">
      <c r="A1989" s="9">
        <v>45070</v>
      </c>
      <c r="B1989" s="6" t="s">
        <v>3048</v>
      </c>
      <c r="C1989" s="5" t="s">
        <v>3047</v>
      </c>
      <c r="D1989" s="8" t="s">
        <v>3016</v>
      </c>
      <c r="E1989" s="6" t="s">
        <v>3041</v>
      </c>
      <c r="F1989" s="6" t="s">
        <v>3042</v>
      </c>
      <c r="G1989" s="5">
        <v>410</v>
      </c>
      <c r="H1989" s="5">
        <f>0.8</f>
        <v>0.8</v>
      </c>
      <c r="I1989" s="20">
        <f t="shared" si="46"/>
        <v>328</v>
      </c>
      <c r="J1989" s="6" t="s">
        <v>357</v>
      </c>
    </row>
    <row r="1990" spans="1:10" hidden="1">
      <c r="A1990" s="9">
        <v>45449</v>
      </c>
      <c r="B1990" s="6" t="s">
        <v>5609</v>
      </c>
      <c r="C1990" s="5" t="s">
        <v>5608</v>
      </c>
      <c r="D1990" s="8" t="s">
        <v>3006</v>
      </c>
      <c r="E1990" s="25" t="s">
        <v>6382</v>
      </c>
      <c r="F1990" s="37" t="s">
        <v>5607</v>
      </c>
      <c r="G1990" s="38">
        <v>900</v>
      </c>
      <c r="H1990" s="5">
        <v>0.9</v>
      </c>
      <c r="I1990" s="20">
        <f t="shared" si="46"/>
        <v>810</v>
      </c>
      <c r="J1990" s="6" t="s">
        <v>357</v>
      </c>
    </row>
    <row r="1991" spans="1:10" hidden="1">
      <c r="A1991" s="9">
        <v>45449</v>
      </c>
      <c r="B1991" s="6" t="s">
        <v>5606</v>
      </c>
      <c r="C1991" s="5" t="s">
        <v>5605</v>
      </c>
      <c r="D1991" s="8" t="s">
        <v>3006</v>
      </c>
      <c r="E1991" s="25" t="s">
        <v>6384</v>
      </c>
      <c r="F1991" s="37" t="s">
        <v>5607</v>
      </c>
      <c r="G1991" s="38">
        <v>1000</v>
      </c>
      <c r="H1991" s="5">
        <v>0.9</v>
      </c>
      <c r="I1991" s="20">
        <f t="shared" si="46"/>
        <v>900</v>
      </c>
      <c r="J1991" s="6" t="s">
        <v>357</v>
      </c>
    </row>
    <row r="1992" spans="1:10" hidden="1">
      <c r="A1992" s="22">
        <v>44953</v>
      </c>
      <c r="B1992" s="6" t="s">
        <v>3056</v>
      </c>
      <c r="C1992" s="5" t="s">
        <v>3054</v>
      </c>
      <c r="D1992" s="8" t="s">
        <v>3055</v>
      </c>
      <c r="E1992" s="6" t="s">
        <v>1024</v>
      </c>
      <c r="F1992" s="6" t="s">
        <v>411</v>
      </c>
      <c r="G1992" s="5">
        <v>88</v>
      </c>
      <c r="H1992" s="5">
        <f t="shared" ref="H1992:H2023" si="47">0.7*0.9</f>
        <v>0.63</v>
      </c>
      <c r="I1992" s="20">
        <f t="shared" si="46"/>
        <v>55.44</v>
      </c>
      <c r="J1992" s="6" t="s">
        <v>357</v>
      </c>
    </row>
    <row r="1993" spans="1:10" hidden="1">
      <c r="A1993" s="22">
        <v>44915</v>
      </c>
      <c r="B1993" s="6" t="s">
        <v>3058</v>
      </c>
      <c r="C1993" s="5" t="s">
        <v>3057</v>
      </c>
      <c r="D1993" s="8" t="s">
        <v>3055</v>
      </c>
      <c r="E1993" s="6" t="s">
        <v>1024</v>
      </c>
      <c r="F1993" s="6" t="s">
        <v>411</v>
      </c>
      <c r="G1993" s="5">
        <v>14</v>
      </c>
      <c r="H1993" s="5">
        <f t="shared" si="47"/>
        <v>0.63</v>
      </c>
      <c r="I1993" s="20">
        <f t="shared" si="46"/>
        <v>8.82</v>
      </c>
      <c r="J1993" s="6" t="s">
        <v>357</v>
      </c>
    </row>
    <row r="1994" spans="1:10" hidden="1">
      <c r="A1994" s="22">
        <v>44915</v>
      </c>
      <c r="B1994" s="6" t="s">
        <v>3060</v>
      </c>
      <c r="C1994" s="5" t="s">
        <v>3059</v>
      </c>
      <c r="D1994" s="8" t="s">
        <v>3055</v>
      </c>
      <c r="E1994" s="6" t="s">
        <v>1024</v>
      </c>
      <c r="F1994" s="6" t="s">
        <v>411</v>
      </c>
      <c r="G1994" s="5">
        <v>14</v>
      </c>
      <c r="H1994" s="5">
        <f t="shared" si="47"/>
        <v>0.63</v>
      </c>
      <c r="I1994" s="20">
        <f t="shared" si="46"/>
        <v>8.82</v>
      </c>
      <c r="J1994" s="6" t="s">
        <v>357</v>
      </c>
    </row>
    <row r="1995" spans="1:10" hidden="1">
      <c r="A1995" s="22">
        <v>44915</v>
      </c>
      <c r="B1995" s="6" t="s">
        <v>3062</v>
      </c>
      <c r="C1995" s="5" t="s">
        <v>3061</v>
      </c>
      <c r="D1995" s="8" t="s">
        <v>3055</v>
      </c>
      <c r="E1995" s="6" t="s">
        <v>1024</v>
      </c>
      <c r="F1995" s="6" t="s">
        <v>411</v>
      </c>
      <c r="G1995" s="5">
        <v>14</v>
      </c>
      <c r="H1995" s="5">
        <f t="shared" si="47"/>
        <v>0.63</v>
      </c>
      <c r="I1995" s="20">
        <f t="shared" si="46"/>
        <v>8.82</v>
      </c>
      <c r="J1995" s="6" t="s">
        <v>357</v>
      </c>
    </row>
    <row r="1996" spans="1:10" hidden="1">
      <c r="A1996" s="22">
        <v>44915</v>
      </c>
      <c r="B1996" s="6" t="s">
        <v>3064</v>
      </c>
      <c r="C1996" s="5" t="s">
        <v>3063</v>
      </c>
      <c r="D1996" s="8" t="s">
        <v>3055</v>
      </c>
      <c r="E1996" s="6" t="s">
        <v>1024</v>
      </c>
      <c r="F1996" s="6" t="s">
        <v>411</v>
      </c>
      <c r="G1996" s="5">
        <v>14</v>
      </c>
      <c r="H1996" s="5">
        <f t="shared" si="47"/>
        <v>0.63</v>
      </c>
      <c r="I1996" s="20">
        <f t="shared" si="46"/>
        <v>8.82</v>
      </c>
      <c r="J1996" s="6" t="s">
        <v>357</v>
      </c>
    </row>
    <row r="1997" spans="1:10" hidden="1">
      <c r="A1997" s="22">
        <v>44915</v>
      </c>
      <c r="B1997" s="6" t="s">
        <v>3066</v>
      </c>
      <c r="C1997" s="5" t="s">
        <v>3065</v>
      </c>
      <c r="D1997" s="8" t="s">
        <v>3055</v>
      </c>
      <c r="E1997" s="6" t="s">
        <v>1024</v>
      </c>
      <c r="F1997" s="6" t="s">
        <v>411</v>
      </c>
      <c r="G1997" s="5">
        <v>14</v>
      </c>
      <c r="H1997" s="5">
        <f t="shared" si="47"/>
        <v>0.63</v>
      </c>
      <c r="I1997" s="20">
        <f t="shared" si="46"/>
        <v>8.82</v>
      </c>
      <c r="J1997" s="6" t="s">
        <v>357</v>
      </c>
    </row>
    <row r="1998" spans="1:10" hidden="1">
      <c r="A1998" s="22">
        <v>44915</v>
      </c>
      <c r="B1998" s="6" t="s">
        <v>3068</v>
      </c>
      <c r="C1998" s="5" t="s">
        <v>3067</v>
      </c>
      <c r="D1998" s="8" t="s">
        <v>3055</v>
      </c>
      <c r="E1998" s="6" t="s">
        <v>1024</v>
      </c>
      <c r="F1998" s="6" t="s">
        <v>411</v>
      </c>
      <c r="G1998" s="5">
        <v>14</v>
      </c>
      <c r="H1998" s="5">
        <f t="shared" si="47"/>
        <v>0.63</v>
      </c>
      <c r="I1998" s="20">
        <f t="shared" si="46"/>
        <v>8.82</v>
      </c>
      <c r="J1998" s="6" t="s">
        <v>357</v>
      </c>
    </row>
    <row r="1999" spans="1:10" hidden="1">
      <c r="A1999" s="22">
        <v>44915</v>
      </c>
      <c r="B1999" s="6" t="s">
        <v>3070</v>
      </c>
      <c r="C1999" s="5" t="s">
        <v>3069</v>
      </c>
      <c r="D1999" s="8" t="s">
        <v>3055</v>
      </c>
      <c r="E1999" s="6" t="s">
        <v>1024</v>
      </c>
      <c r="F1999" s="6" t="s">
        <v>411</v>
      </c>
      <c r="G1999" s="5">
        <v>14</v>
      </c>
      <c r="H1999" s="5">
        <f t="shared" si="47"/>
        <v>0.63</v>
      </c>
      <c r="I1999" s="20">
        <f t="shared" si="46"/>
        <v>8.82</v>
      </c>
      <c r="J1999" s="6" t="s">
        <v>357</v>
      </c>
    </row>
    <row r="2000" spans="1:10" hidden="1">
      <c r="A2000" s="22">
        <v>44915</v>
      </c>
      <c r="B2000" s="6" t="s">
        <v>3072</v>
      </c>
      <c r="C2000" s="5" t="s">
        <v>3071</v>
      </c>
      <c r="D2000" s="8" t="s">
        <v>3055</v>
      </c>
      <c r="E2000" s="6" t="s">
        <v>1024</v>
      </c>
      <c r="F2000" s="6" t="s">
        <v>411</v>
      </c>
      <c r="G2000" s="5">
        <v>56</v>
      </c>
      <c r="H2000" s="5">
        <f t="shared" si="47"/>
        <v>0.63</v>
      </c>
      <c r="I2000" s="20">
        <f t="shared" si="46"/>
        <v>35.28</v>
      </c>
      <c r="J2000" s="6" t="s">
        <v>357</v>
      </c>
    </row>
    <row r="2001" spans="1:10" hidden="1">
      <c r="A2001" s="22">
        <v>44915</v>
      </c>
      <c r="B2001" s="6" t="s">
        <v>3074</v>
      </c>
      <c r="C2001" s="5" t="s">
        <v>3073</v>
      </c>
      <c r="D2001" s="8" t="s">
        <v>3055</v>
      </c>
      <c r="E2001" s="6" t="s">
        <v>1024</v>
      </c>
      <c r="F2001" s="6" t="s">
        <v>411</v>
      </c>
      <c r="G2001" s="5">
        <v>56</v>
      </c>
      <c r="H2001" s="5">
        <f t="shared" si="47"/>
        <v>0.63</v>
      </c>
      <c r="I2001" s="20">
        <f t="shared" si="46"/>
        <v>35.28</v>
      </c>
      <c r="J2001" s="6" t="s">
        <v>357</v>
      </c>
    </row>
    <row r="2002" spans="1:10" hidden="1">
      <c r="A2002" s="22">
        <v>44915</v>
      </c>
      <c r="B2002" s="6" t="s">
        <v>3076</v>
      </c>
      <c r="C2002" s="5" t="s">
        <v>3075</v>
      </c>
      <c r="D2002" s="8" t="s">
        <v>3055</v>
      </c>
      <c r="E2002" s="6" t="s">
        <v>1024</v>
      </c>
      <c r="F2002" s="6" t="s">
        <v>411</v>
      </c>
      <c r="G2002" s="5">
        <v>56</v>
      </c>
      <c r="H2002" s="5">
        <f t="shared" si="47"/>
        <v>0.63</v>
      </c>
      <c r="I2002" s="20">
        <f t="shared" si="46"/>
        <v>35.28</v>
      </c>
      <c r="J2002" s="6" t="s">
        <v>357</v>
      </c>
    </row>
    <row r="2003" spans="1:10" hidden="1">
      <c r="A2003" s="22">
        <v>44915</v>
      </c>
      <c r="B2003" s="6" t="s">
        <v>3078</v>
      </c>
      <c r="C2003" s="5" t="s">
        <v>3077</v>
      </c>
      <c r="D2003" s="8" t="s">
        <v>3055</v>
      </c>
      <c r="E2003" s="6" t="s">
        <v>1024</v>
      </c>
      <c r="F2003" s="6" t="s">
        <v>411</v>
      </c>
      <c r="G2003" s="5">
        <v>56</v>
      </c>
      <c r="H2003" s="5">
        <f t="shared" si="47"/>
        <v>0.63</v>
      </c>
      <c r="I2003" s="20">
        <f t="shared" si="46"/>
        <v>35.28</v>
      </c>
      <c r="J2003" s="6" t="s">
        <v>357</v>
      </c>
    </row>
    <row r="2004" spans="1:10" hidden="1">
      <c r="A2004" s="22">
        <v>44915</v>
      </c>
      <c r="B2004" s="6" t="s">
        <v>3080</v>
      </c>
      <c r="C2004" s="5" t="s">
        <v>3079</v>
      </c>
      <c r="D2004" s="8" t="s">
        <v>3055</v>
      </c>
      <c r="E2004" s="6" t="s">
        <v>1024</v>
      </c>
      <c r="F2004" s="6" t="s">
        <v>411</v>
      </c>
      <c r="G2004" s="5">
        <v>56</v>
      </c>
      <c r="H2004" s="5">
        <f t="shared" si="47"/>
        <v>0.63</v>
      </c>
      <c r="I2004" s="20">
        <f t="shared" si="46"/>
        <v>35.28</v>
      </c>
      <c r="J2004" s="6" t="s">
        <v>357</v>
      </c>
    </row>
    <row r="2005" spans="1:10" hidden="1">
      <c r="A2005" s="22">
        <v>44915</v>
      </c>
      <c r="B2005" s="6" t="s">
        <v>3082</v>
      </c>
      <c r="C2005" s="5" t="s">
        <v>3081</v>
      </c>
      <c r="D2005" s="8" t="s">
        <v>3055</v>
      </c>
      <c r="E2005" s="6" t="s">
        <v>1024</v>
      </c>
      <c r="F2005" s="6" t="s">
        <v>411</v>
      </c>
      <c r="G2005" s="5">
        <v>56</v>
      </c>
      <c r="H2005" s="5">
        <f t="shared" si="47"/>
        <v>0.63</v>
      </c>
      <c r="I2005" s="20">
        <f t="shared" si="46"/>
        <v>35.28</v>
      </c>
      <c r="J2005" s="6" t="s">
        <v>357</v>
      </c>
    </row>
    <row r="2006" spans="1:10" hidden="1">
      <c r="A2006" s="22">
        <v>44915</v>
      </c>
      <c r="B2006" s="6" t="s">
        <v>3084</v>
      </c>
      <c r="C2006" s="5" t="s">
        <v>3083</v>
      </c>
      <c r="D2006" s="8" t="s">
        <v>3055</v>
      </c>
      <c r="E2006" s="6" t="s">
        <v>1024</v>
      </c>
      <c r="F2006" s="6" t="s">
        <v>411</v>
      </c>
      <c r="G2006" s="5">
        <v>56</v>
      </c>
      <c r="H2006" s="5">
        <f t="shared" si="47"/>
        <v>0.63</v>
      </c>
      <c r="I2006" s="20">
        <f t="shared" si="46"/>
        <v>35.28</v>
      </c>
      <c r="J2006" s="6" t="s">
        <v>357</v>
      </c>
    </row>
    <row r="2007" spans="1:10" hidden="1">
      <c r="A2007" s="22">
        <v>44953</v>
      </c>
      <c r="B2007" s="6" t="s">
        <v>3086</v>
      </c>
      <c r="C2007" s="5" t="s">
        <v>3085</v>
      </c>
      <c r="D2007" s="8" t="s">
        <v>3055</v>
      </c>
      <c r="E2007" s="6" t="s">
        <v>1024</v>
      </c>
      <c r="F2007" s="6" t="s">
        <v>411</v>
      </c>
      <c r="G2007" s="5">
        <v>88</v>
      </c>
      <c r="H2007" s="5">
        <f t="shared" si="47"/>
        <v>0.63</v>
      </c>
      <c r="I2007" s="20">
        <f t="shared" si="46"/>
        <v>55.44</v>
      </c>
      <c r="J2007" s="6" t="s">
        <v>357</v>
      </c>
    </row>
    <row r="2008" spans="1:10" hidden="1">
      <c r="A2008" s="22">
        <v>44953</v>
      </c>
      <c r="B2008" s="6" t="s">
        <v>3088</v>
      </c>
      <c r="C2008" s="5" t="s">
        <v>3087</v>
      </c>
      <c r="D2008" s="8" t="s">
        <v>3055</v>
      </c>
      <c r="E2008" s="6" t="s">
        <v>1024</v>
      </c>
      <c r="F2008" s="6" t="s">
        <v>411</v>
      </c>
      <c r="G2008" s="5">
        <v>88</v>
      </c>
      <c r="H2008" s="5">
        <f t="shared" si="47"/>
        <v>0.63</v>
      </c>
      <c r="I2008" s="20">
        <f t="shared" si="46"/>
        <v>55.44</v>
      </c>
      <c r="J2008" s="6" t="s">
        <v>357</v>
      </c>
    </row>
    <row r="2009" spans="1:10" hidden="1">
      <c r="A2009" s="22">
        <v>44953</v>
      </c>
      <c r="B2009" s="6" t="s">
        <v>3090</v>
      </c>
      <c r="C2009" s="5" t="s">
        <v>3089</v>
      </c>
      <c r="D2009" s="8" t="s">
        <v>3055</v>
      </c>
      <c r="E2009" s="6" t="s">
        <v>1024</v>
      </c>
      <c r="F2009" s="6" t="s">
        <v>411</v>
      </c>
      <c r="G2009" s="5">
        <v>88</v>
      </c>
      <c r="H2009" s="5">
        <f t="shared" si="47"/>
        <v>0.63</v>
      </c>
      <c r="I2009" s="20">
        <f t="shared" si="46"/>
        <v>55.44</v>
      </c>
      <c r="J2009" s="6" t="s">
        <v>357</v>
      </c>
    </row>
    <row r="2010" spans="1:10" hidden="1">
      <c r="A2010" s="22">
        <v>44953</v>
      </c>
      <c r="B2010" s="6" t="s">
        <v>3092</v>
      </c>
      <c r="C2010" s="5" t="s">
        <v>3091</v>
      </c>
      <c r="D2010" s="8" t="s">
        <v>3055</v>
      </c>
      <c r="E2010" s="6" t="s">
        <v>1024</v>
      </c>
      <c r="F2010" s="6" t="s">
        <v>411</v>
      </c>
      <c r="G2010" s="5">
        <v>88</v>
      </c>
      <c r="H2010" s="5">
        <f t="shared" si="47"/>
        <v>0.63</v>
      </c>
      <c r="I2010" s="20">
        <f t="shared" si="46"/>
        <v>55.44</v>
      </c>
      <c r="J2010" s="6" t="s">
        <v>357</v>
      </c>
    </row>
    <row r="2011" spans="1:10" hidden="1">
      <c r="A2011" s="22">
        <v>44953</v>
      </c>
      <c r="B2011" s="6" t="s">
        <v>3094</v>
      </c>
      <c r="C2011" s="5" t="s">
        <v>3093</v>
      </c>
      <c r="D2011" s="8" t="s">
        <v>3055</v>
      </c>
      <c r="E2011" s="6" t="s">
        <v>1024</v>
      </c>
      <c r="F2011" s="6" t="s">
        <v>411</v>
      </c>
      <c r="G2011" s="5">
        <v>88</v>
      </c>
      <c r="H2011" s="5">
        <f t="shared" si="47"/>
        <v>0.63</v>
      </c>
      <c r="I2011" s="20">
        <f t="shared" si="46"/>
        <v>55.44</v>
      </c>
      <c r="J2011" s="6" t="s">
        <v>357</v>
      </c>
    </row>
    <row r="2012" spans="1:10" hidden="1">
      <c r="A2012" s="22">
        <v>44953</v>
      </c>
      <c r="B2012" s="6" t="s">
        <v>3096</v>
      </c>
      <c r="C2012" s="5" t="s">
        <v>3095</v>
      </c>
      <c r="D2012" s="8" t="s">
        <v>3055</v>
      </c>
      <c r="E2012" s="6" t="s">
        <v>1024</v>
      </c>
      <c r="F2012" s="6" t="s">
        <v>411</v>
      </c>
      <c r="G2012" s="5">
        <v>88</v>
      </c>
      <c r="H2012" s="5">
        <f t="shared" si="47"/>
        <v>0.63</v>
      </c>
      <c r="I2012" s="20">
        <f t="shared" si="46"/>
        <v>55.44</v>
      </c>
      <c r="J2012" s="6" t="s">
        <v>357</v>
      </c>
    </row>
    <row r="2013" spans="1:10" hidden="1">
      <c r="A2013" s="22">
        <v>44915</v>
      </c>
      <c r="B2013" s="6" t="s">
        <v>3098</v>
      </c>
      <c r="C2013" s="5" t="s">
        <v>3097</v>
      </c>
      <c r="D2013" s="8" t="s">
        <v>3055</v>
      </c>
      <c r="E2013" s="6" t="s">
        <v>685</v>
      </c>
      <c r="F2013" s="6" t="s">
        <v>411</v>
      </c>
      <c r="G2013" s="5">
        <v>266</v>
      </c>
      <c r="H2013" s="5">
        <f t="shared" si="47"/>
        <v>0.63</v>
      </c>
      <c r="I2013" s="20">
        <f t="shared" si="46"/>
        <v>167.58</v>
      </c>
      <c r="J2013" s="6" t="s">
        <v>357</v>
      </c>
    </row>
    <row r="2014" spans="1:10" hidden="1">
      <c r="A2014" s="22">
        <v>44915</v>
      </c>
      <c r="B2014" s="6" t="s">
        <v>3100</v>
      </c>
      <c r="C2014" s="5" t="s">
        <v>3099</v>
      </c>
      <c r="D2014" s="8" t="s">
        <v>3055</v>
      </c>
      <c r="E2014" s="6" t="s">
        <v>685</v>
      </c>
      <c r="F2014" s="6" t="s">
        <v>411</v>
      </c>
      <c r="G2014" s="5">
        <v>266</v>
      </c>
      <c r="H2014" s="5">
        <f t="shared" si="47"/>
        <v>0.63</v>
      </c>
      <c r="I2014" s="20">
        <f t="shared" si="46"/>
        <v>167.58</v>
      </c>
      <c r="J2014" s="6" t="s">
        <v>357</v>
      </c>
    </row>
    <row r="2015" spans="1:10" hidden="1">
      <c r="A2015" s="22">
        <v>44915</v>
      </c>
      <c r="B2015" s="6" t="s">
        <v>3102</v>
      </c>
      <c r="C2015" s="5" t="s">
        <v>3101</v>
      </c>
      <c r="D2015" s="8" t="s">
        <v>3055</v>
      </c>
      <c r="E2015" s="6" t="s">
        <v>685</v>
      </c>
      <c r="F2015" s="6" t="s">
        <v>411</v>
      </c>
      <c r="G2015" s="5">
        <v>144</v>
      </c>
      <c r="H2015" s="5">
        <f t="shared" si="47"/>
        <v>0.63</v>
      </c>
      <c r="I2015" s="20">
        <f t="shared" si="46"/>
        <v>90.72</v>
      </c>
      <c r="J2015" s="6" t="s">
        <v>357</v>
      </c>
    </row>
    <row r="2016" spans="1:10" hidden="1">
      <c r="A2016" s="22">
        <v>44915</v>
      </c>
      <c r="B2016" s="6" t="s">
        <v>3104</v>
      </c>
      <c r="C2016" s="5" t="s">
        <v>3103</v>
      </c>
      <c r="D2016" s="8" t="s">
        <v>3055</v>
      </c>
      <c r="E2016" s="6" t="s">
        <v>685</v>
      </c>
      <c r="F2016" s="6" t="s">
        <v>411</v>
      </c>
      <c r="G2016" s="5">
        <v>176</v>
      </c>
      <c r="H2016" s="5">
        <f t="shared" si="47"/>
        <v>0.63</v>
      </c>
      <c r="I2016" s="20">
        <f t="shared" si="46"/>
        <v>110.88</v>
      </c>
      <c r="J2016" s="6" t="s">
        <v>357</v>
      </c>
    </row>
    <row r="2017" spans="1:10" hidden="1">
      <c r="A2017" s="22">
        <v>44915</v>
      </c>
      <c r="B2017" s="6" t="s">
        <v>3106</v>
      </c>
      <c r="C2017" s="5" t="s">
        <v>3105</v>
      </c>
      <c r="D2017" s="8" t="s">
        <v>3055</v>
      </c>
      <c r="E2017" s="6" t="s">
        <v>685</v>
      </c>
      <c r="F2017" s="6" t="s">
        <v>411</v>
      </c>
      <c r="G2017" s="5">
        <v>145</v>
      </c>
      <c r="H2017" s="5">
        <f t="shared" si="47"/>
        <v>0.63</v>
      </c>
      <c r="I2017" s="20">
        <f t="shared" si="46"/>
        <v>91.35</v>
      </c>
      <c r="J2017" s="6" t="s">
        <v>357</v>
      </c>
    </row>
    <row r="2018" spans="1:10" hidden="1">
      <c r="A2018" s="22">
        <v>44915</v>
      </c>
      <c r="B2018" s="6" t="s">
        <v>3108</v>
      </c>
      <c r="C2018" s="5" t="s">
        <v>3107</v>
      </c>
      <c r="D2018" s="8" t="s">
        <v>3055</v>
      </c>
      <c r="E2018" s="6" t="s">
        <v>685</v>
      </c>
      <c r="F2018" s="6" t="s">
        <v>411</v>
      </c>
      <c r="G2018" s="5">
        <v>192</v>
      </c>
      <c r="H2018" s="5">
        <f t="shared" si="47"/>
        <v>0.63</v>
      </c>
      <c r="I2018" s="20">
        <f t="shared" si="46"/>
        <v>120.96000000000001</v>
      </c>
      <c r="J2018" s="6" t="s">
        <v>357</v>
      </c>
    </row>
    <row r="2019" spans="1:10" hidden="1">
      <c r="A2019" s="22">
        <v>44915</v>
      </c>
      <c r="B2019" s="6" t="s">
        <v>3110</v>
      </c>
      <c r="C2019" s="5" t="s">
        <v>3109</v>
      </c>
      <c r="D2019" s="8" t="s">
        <v>3055</v>
      </c>
      <c r="E2019" s="6" t="s">
        <v>685</v>
      </c>
      <c r="F2019" s="6" t="s">
        <v>411</v>
      </c>
      <c r="G2019" s="5">
        <v>225</v>
      </c>
      <c r="H2019" s="5">
        <f t="shared" si="47"/>
        <v>0.63</v>
      </c>
      <c r="I2019" s="20">
        <f t="shared" si="46"/>
        <v>141.75</v>
      </c>
      <c r="J2019" s="6" t="s">
        <v>357</v>
      </c>
    </row>
    <row r="2020" spans="1:10" hidden="1">
      <c r="A2020" s="22">
        <v>44915</v>
      </c>
      <c r="B2020" s="6" t="s">
        <v>3112</v>
      </c>
      <c r="C2020" s="5" t="s">
        <v>3111</v>
      </c>
      <c r="D2020" s="8" t="s">
        <v>3055</v>
      </c>
      <c r="E2020" s="6" t="s">
        <v>685</v>
      </c>
      <c r="F2020" s="6" t="s">
        <v>411</v>
      </c>
      <c r="G2020" s="5">
        <v>192</v>
      </c>
      <c r="H2020" s="5">
        <f t="shared" si="47"/>
        <v>0.63</v>
      </c>
      <c r="I2020" s="20">
        <f t="shared" si="46"/>
        <v>120.96000000000001</v>
      </c>
      <c r="J2020" s="6" t="s">
        <v>357</v>
      </c>
    </row>
    <row r="2021" spans="1:10" hidden="1">
      <c r="A2021" s="22">
        <v>44915</v>
      </c>
      <c r="B2021" s="6" t="s">
        <v>3114</v>
      </c>
      <c r="C2021" s="5" t="s">
        <v>3113</v>
      </c>
      <c r="D2021" s="8" t="s">
        <v>3055</v>
      </c>
      <c r="E2021" s="6" t="s">
        <v>685</v>
      </c>
      <c r="F2021" s="6" t="s">
        <v>411</v>
      </c>
      <c r="G2021" s="5">
        <v>400</v>
      </c>
      <c r="H2021" s="5">
        <f t="shared" si="47"/>
        <v>0.63</v>
      </c>
      <c r="I2021" s="20">
        <f t="shared" si="46"/>
        <v>252</v>
      </c>
      <c r="J2021" s="6" t="s">
        <v>357</v>
      </c>
    </row>
    <row r="2022" spans="1:10" hidden="1">
      <c r="A2022" s="22">
        <v>44915</v>
      </c>
      <c r="B2022" s="6" t="s">
        <v>3116</v>
      </c>
      <c r="C2022" s="5" t="s">
        <v>3115</v>
      </c>
      <c r="D2022" s="8" t="s">
        <v>3055</v>
      </c>
      <c r="E2022" s="6" t="s">
        <v>685</v>
      </c>
      <c r="F2022" s="6" t="s">
        <v>411</v>
      </c>
      <c r="G2022" s="5">
        <v>480</v>
      </c>
      <c r="H2022" s="5">
        <f t="shared" si="47"/>
        <v>0.63</v>
      </c>
      <c r="I2022" s="20">
        <f t="shared" si="46"/>
        <v>302.39999999999998</v>
      </c>
      <c r="J2022" s="6" t="s">
        <v>357</v>
      </c>
    </row>
    <row r="2023" spans="1:10" hidden="1">
      <c r="A2023" s="22">
        <v>44915</v>
      </c>
      <c r="B2023" s="6" t="s">
        <v>3118</v>
      </c>
      <c r="C2023" s="5" t="s">
        <v>3117</v>
      </c>
      <c r="D2023" s="8" t="s">
        <v>3055</v>
      </c>
      <c r="E2023" s="6" t="s">
        <v>685</v>
      </c>
      <c r="F2023" s="6" t="s">
        <v>411</v>
      </c>
      <c r="G2023" s="5">
        <v>400</v>
      </c>
      <c r="H2023" s="5">
        <f t="shared" si="47"/>
        <v>0.63</v>
      </c>
      <c r="I2023" s="20">
        <f t="shared" si="46"/>
        <v>252</v>
      </c>
      <c r="J2023" s="6" t="s">
        <v>357</v>
      </c>
    </row>
    <row r="2024" spans="1:10" hidden="1">
      <c r="A2024" s="22">
        <v>44915</v>
      </c>
      <c r="B2024" s="6" t="s">
        <v>3120</v>
      </c>
      <c r="C2024" s="5" t="s">
        <v>3119</v>
      </c>
      <c r="D2024" s="8" t="s">
        <v>3055</v>
      </c>
      <c r="E2024" s="6" t="s">
        <v>685</v>
      </c>
      <c r="F2024" s="6" t="s">
        <v>411</v>
      </c>
      <c r="G2024" s="5">
        <v>231</v>
      </c>
      <c r="H2024" s="5">
        <f t="shared" ref="H2024:H2055" si="48">0.7*0.9</f>
        <v>0.63</v>
      </c>
      <c r="I2024" s="20">
        <f t="shared" si="46"/>
        <v>145.53</v>
      </c>
      <c r="J2024" s="6" t="s">
        <v>357</v>
      </c>
    </row>
    <row r="2025" spans="1:10" hidden="1">
      <c r="A2025" s="22">
        <v>44915</v>
      </c>
      <c r="B2025" s="6" t="s">
        <v>3122</v>
      </c>
      <c r="C2025" s="5" t="s">
        <v>3121</v>
      </c>
      <c r="D2025" s="8" t="s">
        <v>3055</v>
      </c>
      <c r="E2025" s="6" t="s">
        <v>685</v>
      </c>
      <c r="F2025" s="6" t="s">
        <v>411</v>
      </c>
      <c r="G2025" s="5">
        <v>281</v>
      </c>
      <c r="H2025" s="5">
        <f t="shared" si="48"/>
        <v>0.63</v>
      </c>
      <c r="I2025" s="20">
        <f t="shared" si="46"/>
        <v>177.03</v>
      </c>
      <c r="J2025" s="6" t="s">
        <v>357</v>
      </c>
    </row>
    <row r="2026" spans="1:10" hidden="1">
      <c r="A2026" s="22">
        <v>44915</v>
      </c>
      <c r="B2026" s="6" t="s">
        <v>3124</v>
      </c>
      <c r="C2026" s="5" t="s">
        <v>3123</v>
      </c>
      <c r="D2026" s="8" t="s">
        <v>3055</v>
      </c>
      <c r="E2026" s="6" t="s">
        <v>685</v>
      </c>
      <c r="F2026" s="6" t="s">
        <v>411</v>
      </c>
      <c r="G2026" s="5">
        <v>231</v>
      </c>
      <c r="H2026" s="5">
        <f t="shared" si="48"/>
        <v>0.63</v>
      </c>
      <c r="I2026" s="20">
        <f t="shared" si="46"/>
        <v>145.53</v>
      </c>
      <c r="J2026" s="6" t="s">
        <v>357</v>
      </c>
    </row>
    <row r="2027" spans="1:10" hidden="1">
      <c r="A2027" s="22">
        <v>44915</v>
      </c>
      <c r="B2027" s="6" t="s">
        <v>3126</v>
      </c>
      <c r="C2027" s="5" t="s">
        <v>3125</v>
      </c>
      <c r="D2027" s="8" t="s">
        <v>3055</v>
      </c>
      <c r="E2027" s="6" t="s">
        <v>685</v>
      </c>
      <c r="F2027" s="6" t="s">
        <v>411</v>
      </c>
      <c r="G2027" s="5">
        <v>278</v>
      </c>
      <c r="H2027" s="5">
        <f t="shared" si="48"/>
        <v>0.63</v>
      </c>
      <c r="I2027" s="20">
        <f t="shared" si="46"/>
        <v>175.14000000000001</v>
      </c>
      <c r="J2027" s="6" t="s">
        <v>357</v>
      </c>
    </row>
    <row r="2028" spans="1:10" hidden="1">
      <c r="A2028" s="22">
        <v>44915</v>
      </c>
      <c r="B2028" s="6" t="s">
        <v>3128</v>
      </c>
      <c r="C2028" s="5" t="s">
        <v>3127</v>
      </c>
      <c r="D2028" s="8" t="s">
        <v>3055</v>
      </c>
      <c r="E2028" s="6" t="s">
        <v>685</v>
      </c>
      <c r="F2028" s="6" t="s">
        <v>411</v>
      </c>
      <c r="G2028" s="5">
        <v>330</v>
      </c>
      <c r="H2028" s="5">
        <f t="shared" si="48"/>
        <v>0.63</v>
      </c>
      <c r="I2028" s="20">
        <f t="shared" si="46"/>
        <v>207.9</v>
      </c>
      <c r="J2028" s="6" t="s">
        <v>357</v>
      </c>
    </row>
    <row r="2029" spans="1:10" hidden="1">
      <c r="A2029" s="22">
        <v>44915</v>
      </c>
      <c r="B2029" s="6" t="s">
        <v>3130</v>
      </c>
      <c r="C2029" s="5" t="s">
        <v>3129</v>
      </c>
      <c r="D2029" s="8" t="s">
        <v>3055</v>
      </c>
      <c r="E2029" s="6" t="s">
        <v>685</v>
      </c>
      <c r="F2029" s="6" t="s">
        <v>411</v>
      </c>
      <c r="G2029" s="5">
        <v>278</v>
      </c>
      <c r="H2029" s="5">
        <f t="shared" si="48"/>
        <v>0.63</v>
      </c>
      <c r="I2029" s="20">
        <f t="shared" si="46"/>
        <v>175.14000000000001</v>
      </c>
      <c r="J2029" s="6" t="s">
        <v>357</v>
      </c>
    </row>
    <row r="2030" spans="1:10" hidden="1">
      <c r="A2030" s="22">
        <v>44915</v>
      </c>
      <c r="B2030" s="6" t="s">
        <v>3132</v>
      </c>
      <c r="C2030" s="5" t="s">
        <v>3131</v>
      </c>
      <c r="D2030" s="8" t="s">
        <v>3055</v>
      </c>
      <c r="E2030" s="6" t="s">
        <v>685</v>
      </c>
      <c r="F2030" s="6" t="s">
        <v>411</v>
      </c>
      <c r="G2030" s="5">
        <v>355</v>
      </c>
      <c r="H2030" s="5">
        <f t="shared" si="48"/>
        <v>0.63</v>
      </c>
      <c r="I2030" s="20">
        <f t="shared" si="46"/>
        <v>223.65</v>
      </c>
      <c r="J2030" s="6" t="s">
        <v>357</v>
      </c>
    </row>
    <row r="2031" spans="1:10" ht="30" hidden="1">
      <c r="A2031" s="22">
        <v>44915</v>
      </c>
      <c r="B2031" s="6" t="s">
        <v>3134</v>
      </c>
      <c r="C2031" s="5" t="s">
        <v>3133</v>
      </c>
      <c r="D2031" s="8" t="s">
        <v>3055</v>
      </c>
      <c r="E2031" s="6" t="s">
        <v>466</v>
      </c>
      <c r="F2031" s="6" t="s">
        <v>3135</v>
      </c>
      <c r="G2031" s="5">
        <v>275</v>
      </c>
      <c r="H2031" s="5">
        <f t="shared" si="48"/>
        <v>0.63</v>
      </c>
      <c r="I2031" s="20">
        <f t="shared" si="46"/>
        <v>173.25</v>
      </c>
      <c r="J2031" s="6" t="s">
        <v>357</v>
      </c>
    </row>
    <row r="2032" spans="1:10" ht="30" hidden="1">
      <c r="A2032" s="22">
        <v>44915</v>
      </c>
      <c r="B2032" s="6" t="s">
        <v>3137</v>
      </c>
      <c r="C2032" s="5" t="s">
        <v>3136</v>
      </c>
      <c r="D2032" s="8" t="s">
        <v>3055</v>
      </c>
      <c r="E2032" s="6" t="s">
        <v>466</v>
      </c>
      <c r="F2032" s="6" t="s">
        <v>3135</v>
      </c>
      <c r="G2032" s="5">
        <v>275</v>
      </c>
      <c r="H2032" s="5">
        <f t="shared" si="48"/>
        <v>0.63</v>
      </c>
      <c r="I2032" s="20">
        <f t="shared" si="46"/>
        <v>173.25</v>
      </c>
      <c r="J2032" s="6" t="s">
        <v>357</v>
      </c>
    </row>
    <row r="2033" spans="1:10" ht="30" hidden="1">
      <c r="A2033" s="22">
        <v>44915</v>
      </c>
      <c r="B2033" s="6" t="s">
        <v>3139</v>
      </c>
      <c r="C2033" s="5" t="s">
        <v>3138</v>
      </c>
      <c r="D2033" s="8" t="s">
        <v>3055</v>
      </c>
      <c r="E2033" s="6" t="s">
        <v>466</v>
      </c>
      <c r="F2033" s="6" t="s">
        <v>3135</v>
      </c>
      <c r="G2033" s="5">
        <v>275</v>
      </c>
      <c r="H2033" s="5">
        <f t="shared" si="48"/>
        <v>0.63</v>
      </c>
      <c r="I2033" s="20">
        <f t="shared" si="46"/>
        <v>173.25</v>
      </c>
      <c r="J2033" s="6" t="s">
        <v>357</v>
      </c>
    </row>
    <row r="2034" spans="1:10" ht="30" hidden="1">
      <c r="A2034" s="22">
        <v>44915</v>
      </c>
      <c r="B2034" s="6" t="s">
        <v>3141</v>
      </c>
      <c r="C2034" s="5" t="s">
        <v>3140</v>
      </c>
      <c r="D2034" s="8" t="s">
        <v>3055</v>
      </c>
      <c r="E2034" s="6" t="s">
        <v>466</v>
      </c>
      <c r="F2034" s="6" t="s">
        <v>3135</v>
      </c>
      <c r="G2034" s="5">
        <v>275</v>
      </c>
      <c r="H2034" s="5">
        <f t="shared" si="48"/>
        <v>0.63</v>
      </c>
      <c r="I2034" s="20">
        <f t="shared" si="46"/>
        <v>173.25</v>
      </c>
      <c r="J2034" s="6" t="s">
        <v>357</v>
      </c>
    </row>
    <row r="2035" spans="1:10" ht="30" hidden="1">
      <c r="A2035" s="22">
        <v>44915</v>
      </c>
      <c r="B2035" s="6" t="s">
        <v>3143</v>
      </c>
      <c r="C2035" s="5" t="s">
        <v>3142</v>
      </c>
      <c r="D2035" s="8" t="s">
        <v>3055</v>
      </c>
      <c r="E2035" s="6" t="s">
        <v>466</v>
      </c>
      <c r="F2035" s="6" t="s">
        <v>3135</v>
      </c>
      <c r="G2035" s="5">
        <v>330</v>
      </c>
      <c r="H2035" s="5">
        <f t="shared" si="48"/>
        <v>0.63</v>
      </c>
      <c r="I2035" s="20">
        <f t="shared" si="46"/>
        <v>207.9</v>
      </c>
      <c r="J2035" s="6" t="s">
        <v>357</v>
      </c>
    </row>
    <row r="2036" spans="1:10" ht="30" hidden="1">
      <c r="A2036" s="22">
        <v>44915</v>
      </c>
      <c r="B2036" s="6" t="s">
        <v>3145</v>
      </c>
      <c r="C2036" s="5" t="s">
        <v>3144</v>
      </c>
      <c r="D2036" s="8" t="s">
        <v>3055</v>
      </c>
      <c r="E2036" s="6" t="s">
        <v>466</v>
      </c>
      <c r="F2036" s="6" t="s">
        <v>3135</v>
      </c>
      <c r="G2036" s="5">
        <v>337</v>
      </c>
      <c r="H2036" s="5">
        <f t="shared" si="48"/>
        <v>0.63</v>
      </c>
      <c r="I2036" s="20">
        <f t="shared" si="46"/>
        <v>212.31</v>
      </c>
      <c r="J2036" s="6" t="s">
        <v>357</v>
      </c>
    </row>
    <row r="2037" spans="1:10" ht="30" hidden="1">
      <c r="A2037" s="22">
        <v>44915</v>
      </c>
      <c r="B2037" s="6" t="s">
        <v>3147</v>
      </c>
      <c r="C2037" s="5" t="s">
        <v>3146</v>
      </c>
      <c r="D2037" s="8" t="s">
        <v>3055</v>
      </c>
      <c r="E2037" s="6" t="s">
        <v>466</v>
      </c>
      <c r="F2037" s="6" t="s">
        <v>3135</v>
      </c>
      <c r="G2037" s="5">
        <v>330</v>
      </c>
      <c r="H2037" s="5">
        <f t="shared" si="48"/>
        <v>0.63</v>
      </c>
      <c r="I2037" s="20">
        <f t="shared" si="46"/>
        <v>207.9</v>
      </c>
      <c r="J2037" s="6" t="s">
        <v>357</v>
      </c>
    </row>
    <row r="2038" spans="1:10" ht="30" hidden="1">
      <c r="A2038" s="22">
        <v>44915</v>
      </c>
      <c r="B2038" s="6" t="s">
        <v>3149</v>
      </c>
      <c r="C2038" s="5" t="s">
        <v>3148</v>
      </c>
      <c r="D2038" s="8" t="s">
        <v>3055</v>
      </c>
      <c r="E2038" s="6" t="s">
        <v>466</v>
      </c>
      <c r="F2038" s="6" t="s">
        <v>3135</v>
      </c>
      <c r="G2038" s="5">
        <v>330</v>
      </c>
      <c r="H2038" s="5">
        <f t="shared" si="48"/>
        <v>0.63</v>
      </c>
      <c r="I2038" s="20">
        <f t="shared" si="46"/>
        <v>207.9</v>
      </c>
      <c r="J2038" s="6" t="s">
        <v>357</v>
      </c>
    </row>
    <row r="2039" spans="1:10" ht="30" hidden="1">
      <c r="A2039" s="22">
        <v>44915</v>
      </c>
      <c r="B2039" s="6" t="s">
        <v>3151</v>
      </c>
      <c r="C2039" s="5" t="s">
        <v>3150</v>
      </c>
      <c r="D2039" s="8" t="s">
        <v>3055</v>
      </c>
      <c r="E2039" s="6" t="s">
        <v>466</v>
      </c>
      <c r="F2039" s="6" t="s">
        <v>3135</v>
      </c>
      <c r="G2039" s="5">
        <v>337</v>
      </c>
      <c r="H2039" s="5">
        <f t="shared" si="48"/>
        <v>0.63</v>
      </c>
      <c r="I2039" s="20">
        <f t="shared" si="46"/>
        <v>212.31</v>
      </c>
      <c r="J2039" s="6" t="s">
        <v>357</v>
      </c>
    </row>
    <row r="2040" spans="1:10" ht="30" hidden="1">
      <c r="A2040" s="22">
        <v>44915</v>
      </c>
      <c r="B2040" s="6" t="s">
        <v>3153</v>
      </c>
      <c r="C2040" s="5" t="s">
        <v>3152</v>
      </c>
      <c r="D2040" s="8" t="s">
        <v>3055</v>
      </c>
      <c r="E2040" s="6" t="s">
        <v>466</v>
      </c>
      <c r="F2040" s="6" t="s">
        <v>3135</v>
      </c>
      <c r="G2040" s="5">
        <v>330</v>
      </c>
      <c r="H2040" s="5">
        <f t="shared" si="48"/>
        <v>0.63</v>
      </c>
      <c r="I2040" s="20">
        <f t="shared" si="46"/>
        <v>207.9</v>
      </c>
      <c r="J2040" s="6" t="s">
        <v>357</v>
      </c>
    </row>
    <row r="2041" spans="1:10" ht="30" hidden="1">
      <c r="A2041" s="22">
        <v>44915</v>
      </c>
      <c r="B2041" s="6" t="s">
        <v>3155</v>
      </c>
      <c r="C2041" s="5" t="s">
        <v>3154</v>
      </c>
      <c r="D2041" s="8" t="s">
        <v>3055</v>
      </c>
      <c r="E2041" s="6" t="s">
        <v>466</v>
      </c>
      <c r="F2041" s="6" t="s">
        <v>3135</v>
      </c>
      <c r="G2041" s="5">
        <v>337</v>
      </c>
      <c r="H2041" s="5">
        <f t="shared" si="48"/>
        <v>0.63</v>
      </c>
      <c r="I2041" s="20">
        <f t="shared" si="46"/>
        <v>212.31</v>
      </c>
      <c r="J2041" s="6" t="s">
        <v>357</v>
      </c>
    </row>
    <row r="2042" spans="1:10" ht="30" hidden="1">
      <c r="A2042" s="22">
        <v>44915</v>
      </c>
      <c r="B2042" s="6" t="s">
        <v>3157</v>
      </c>
      <c r="C2042" s="5" t="s">
        <v>3156</v>
      </c>
      <c r="D2042" s="8" t="s">
        <v>3055</v>
      </c>
      <c r="E2042" s="6" t="s">
        <v>466</v>
      </c>
      <c r="F2042" s="6" t="s">
        <v>3135</v>
      </c>
      <c r="G2042" s="5">
        <v>330</v>
      </c>
      <c r="H2042" s="5">
        <f t="shared" si="48"/>
        <v>0.63</v>
      </c>
      <c r="I2042" s="20">
        <f t="shared" si="46"/>
        <v>207.9</v>
      </c>
      <c r="J2042" s="6" t="s">
        <v>357</v>
      </c>
    </row>
    <row r="2043" spans="1:10" ht="30" hidden="1">
      <c r="A2043" s="22">
        <v>44915</v>
      </c>
      <c r="B2043" s="6" t="s">
        <v>3159</v>
      </c>
      <c r="C2043" s="5" t="s">
        <v>3158</v>
      </c>
      <c r="D2043" s="8" t="s">
        <v>3055</v>
      </c>
      <c r="E2043" s="6" t="s">
        <v>466</v>
      </c>
      <c r="F2043" s="6" t="s">
        <v>3135</v>
      </c>
      <c r="G2043" s="5">
        <v>337</v>
      </c>
      <c r="H2043" s="5">
        <f t="shared" si="48"/>
        <v>0.63</v>
      </c>
      <c r="I2043" s="20">
        <f t="shared" si="46"/>
        <v>212.31</v>
      </c>
      <c r="J2043" s="6" t="s">
        <v>357</v>
      </c>
    </row>
    <row r="2044" spans="1:10" ht="30" hidden="1">
      <c r="A2044" s="22">
        <v>44915</v>
      </c>
      <c r="B2044" s="6" t="s">
        <v>3161</v>
      </c>
      <c r="C2044" s="5" t="s">
        <v>3160</v>
      </c>
      <c r="D2044" s="8" t="s">
        <v>3055</v>
      </c>
      <c r="E2044" s="6" t="s">
        <v>466</v>
      </c>
      <c r="F2044" s="6" t="s">
        <v>3135</v>
      </c>
      <c r="G2044" s="5">
        <v>330</v>
      </c>
      <c r="H2044" s="5">
        <f t="shared" si="48"/>
        <v>0.63</v>
      </c>
      <c r="I2044" s="20">
        <f t="shared" si="46"/>
        <v>207.9</v>
      </c>
      <c r="J2044" s="6" t="s">
        <v>357</v>
      </c>
    </row>
    <row r="2045" spans="1:10" ht="30" hidden="1">
      <c r="A2045" s="22">
        <v>44915</v>
      </c>
      <c r="B2045" s="6" t="s">
        <v>3163</v>
      </c>
      <c r="C2045" s="5" t="s">
        <v>3162</v>
      </c>
      <c r="D2045" s="12" t="s">
        <v>3055</v>
      </c>
      <c r="E2045" s="6" t="s">
        <v>466</v>
      </c>
      <c r="F2045" s="6" t="s">
        <v>3135</v>
      </c>
      <c r="G2045" s="5">
        <v>337</v>
      </c>
      <c r="H2045" s="5">
        <f t="shared" si="48"/>
        <v>0.63</v>
      </c>
      <c r="I2045" s="20">
        <f t="shared" si="46"/>
        <v>212.31</v>
      </c>
      <c r="J2045" s="6" t="s">
        <v>357</v>
      </c>
    </row>
    <row r="2046" spans="1:10" ht="30" hidden="1">
      <c r="A2046" s="22">
        <v>44915</v>
      </c>
      <c r="B2046" s="6" t="s">
        <v>3165</v>
      </c>
      <c r="C2046" s="5" t="s">
        <v>3164</v>
      </c>
      <c r="D2046" s="12" t="s">
        <v>3055</v>
      </c>
      <c r="E2046" s="6" t="s">
        <v>466</v>
      </c>
      <c r="F2046" s="6" t="s">
        <v>3135</v>
      </c>
      <c r="G2046" s="5">
        <v>330</v>
      </c>
      <c r="H2046" s="5">
        <f t="shared" si="48"/>
        <v>0.63</v>
      </c>
      <c r="I2046" s="20">
        <f t="shared" si="46"/>
        <v>207.9</v>
      </c>
      <c r="J2046" s="6" t="s">
        <v>357</v>
      </c>
    </row>
    <row r="2047" spans="1:10" ht="30" hidden="1">
      <c r="A2047" s="22">
        <v>44915</v>
      </c>
      <c r="B2047" s="6" t="s">
        <v>3167</v>
      </c>
      <c r="C2047" s="5" t="s">
        <v>3166</v>
      </c>
      <c r="D2047" s="12" t="s">
        <v>3055</v>
      </c>
      <c r="E2047" s="6" t="s">
        <v>466</v>
      </c>
      <c r="F2047" s="6" t="s">
        <v>3135</v>
      </c>
      <c r="G2047" s="5">
        <v>337</v>
      </c>
      <c r="H2047" s="5">
        <f t="shared" si="48"/>
        <v>0.63</v>
      </c>
      <c r="I2047" s="20">
        <f t="shared" si="46"/>
        <v>212.31</v>
      </c>
      <c r="J2047" s="6" t="s">
        <v>357</v>
      </c>
    </row>
    <row r="2048" spans="1:10" ht="30" hidden="1">
      <c r="A2048" s="22">
        <v>44915</v>
      </c>
      <c r="B2048" s="6" t="s">
        <v>3169</v>
      </c>
      <c r="C2048" s="5" t="s">
        <v>3168</v>
      </c>
      <c r="D2048" s="12" t="s">
        <v>3055</v>
      </c>
      <c r="E2048" s="6" t="s">
        <v>466</v>
      </c>
      <c r="F2048" s="6" t="s">
        <v>3135</v>
      </c>
      <c r="G2048" s="5">
        <v>330</v>
      </c>
      <c r="H2048" s="5">
        <f t="shared" si="48"/>
        <v>0.63</v>
      </c>
      <c r="I2048" s="20">
        <f t="shared" si="46"/>
        <v>207.9</v>
      </c>
      <c r="J2048" s="6" t="s">
        <v>357</v>
      </c>
    </row>
    <row r="2049" spans="1:10" ht="30" hidden="1">
      <c r="A2049" s="22">
        <v>44915</v>
      </c>
      <c r="B2049" s="6" t="s">
        <v>3171</v>
      </c>
      <c r="C2049" s="5" t="s">
        <v>3170</v>
      </c>
      <c r="D2049" s="12" t="s">
        <v>3055</v>
      </c>
      <c r="E2049" s="6" t="s">
        <v>466</v>
      </c>
      <c r="F2049" s="6" t="s">
        <v>3135</v>
      </c>
      <c r="G2049" s="5">
        <v>337</v>
      </c>
      <c r="H2049" s="5">
        <f t="shared" si="48"/>
        <v>0.63</v>
      </c>
      <c r="I2049" s="20">
        <f t="shared" si="46"/>
        <v>212.31</v>
      </c>
      <c r="J2049" s="6" t="s">
        <v>357</v>
      </c>
    </row>
    <row r="2050" spans="1:10" ht="30" hidden="1">
      <c r="A2050" s="22">
        <v>44915</v>
      </c>
      <c r="B2050" s="6" t="s">
        <v>3173</v>
      </c>
      <c r="C2050" s="5" t="s">
        <v>3172</v>
      </c>
      <c r="D2050" s="12" t="s">
        <v>3055</v>
      </c>
      <c r="E2050" s="6" t="s">
        <v>466</v>
      </c>
      <c r="F2050" s="6" t="s">
        <v>3135</v>
      </c>
      <c r="G2050" s="5">
        <v>330</v>
      </c>
      <c r="H2050" s="5">
        <f t="shared" si="48"/>
        <v>0.63</v>
      </c>
      <c r="I2050" s="20">
        <f t="shared" si="46"/>
        <v>207.9</v>
      </c>
      <c r="J2050" s="6" t="s">
        <v>357</v>
      </c>
    </row>
    <row r="2051" spans="1:10" ht="30" hidden="1">
      <c r="A2051" s="22">
        <v>44915</v>
      </c>
      <c r="B2051" s="6" t="s">
        <v>3175</v>
      </c>
      <c r="C2051" s="5" t="s">
        <v>3174</v>
      </c>
      <c r="D2051" s="12" t="s">
        <v>3055</v>
      </c>
      <c r="E2051" s="6" t="s">
        <v>466</v>
      </c>
      <c r="F2051" s="6" t="s">
        <v>3135</v>
      </c>
      <c r="G2051" s="5">
        <v>337</v>
      </c>
      <c r="H2051" s="5">
        <f t="shared" si="48"/>
        <v>0.63</v>
      </c>
      <c r="I2051" s="20">
        <f t="shared" ref="I2051:I2114" si="49">H2051*G2051</f>
        <v>212.31</v>
      </c>
      <c r="J2051" s="6" t="s">
        <v>357</v>
      </c>
    </row>
    <row r="2052" spans="1:10" ht="30" hidden="1">
      <c r="A2052" s="22">
        <v>44915</v>
      </c>
      <c r="B2052" s="6" t="s">
        <v>3177</v>
      </c>
      <c r="C2052" s="5" t="s">
        <v>3176</v>
      </c>
      <c r="D2052" s="12" t="s">
        <v>3055</v>
      </c>
      <c r="E2052" s="6" t="s">
        <v>466</v>
      </c>
      <c r="F2052" s="6" t="s">
        <v>3135</v>
      </c>
      <c r="G2052" s="5">
        <v>330</v>
      </c>
      <c r="H2052" s="5">
        <f t="shared" si="48"/>
        <v>0.63</v>
      </c>
      <c r="I2052" s="20">
        <f t="shared" si="49"/>
        <v>207.9</v>
      </c>
      <c r="J2052" s="6" t="s">
        <v>357</v>
      </c>
    </row>
    <row r="2053" spans="1:10" ht="30" hidden="1">
      <c r="A2053" s="22">
        <v>44915</v>
      </c>
      <c r="B2053" s="6" t="s">
        <v>3179</v>
      </c>
      <c r="C2053" s="5" t="s">
        <v>3178</v>
      </c>
      <c r="D2053" s="12" t="s">
        <v>3055</v>
      </c>
      <c r="E2053" s="6" t="s">
        <v>466</v>
      </c>
      <c r="F2053" s="6" t="s">
        <v>3135</v>
      </c>
      <c r="G2053" s="5">
        <v>337</v>
      </c>
      <c r="H2053" s="5">
        <f t="shared" si="48"/>
        <v>0.63</v>
      </c>
      <c r="I2053" s="20">
        <f t="shared" si="49"/>
        <v>212.31</v>
      </c>
      <c r="J2053" s="6" t="s">
        <v>357</v>
      </c>
    </row>
    <row r="2054" spans="1:10" ht="30" hidden="1">
      <c r="A2054" s="22">
        <v>44915</v>
      </c>
      <c r="B2054" s="6" t="s">
        <v>3181</v>
      </c>
      <c r="C2054" s="5" t="s">
        <v>3180</v>
      </c>
      <c r="D2054" s="12" t="s">
        <v>3055</v>
      </c>
      <c r="E2054" s="6" t="s">
        <v>466</v>
      </c>
      <c r="F2054" s="6" t="s">
        <v>3135</v>
      </c>
      <c r="G2054" s="5">
        <v>150</v>
      </c>
      <c r="H2054" s="5">
        <f t="shared" si="48"/>
        <v>0.63</v>
      </c>
      <c r="I2054" s="20">
        <f t="shared" si="49"/>
        <v>94.5</v>
      </c>
      <c r="J2054" s="6" t="s">
        <v>357</v>
      </c>
    </row>
    <row r="2055" spans="1:10" ht="30" hidden="1">
      <c r="A2055" s="22">
        <v>44915</v>
      </c>
      <c r="B2055" s="6" t="s">
        <v>3183</v>
      </c>
      <c r="C2055" s="5" t="s">
        <v>3182</v>
      </c>
      <c r="D2055" s="12" t="s">
        <v>3055</v>
      </c>
      <c r="E2055" s="6" t="s">
        <v>466</v>
      </c>
      <c r="F2055" s="6" t="s">
        <v>3135</v>
      </c>
      <c r="G2055" s="5">
        <v>170</v>
      </c>
      <c r="H2055" s="5">
        <f t="shared" si="48"/>
        <v>0.63</v>
      </c>
      <c r="I2055" s="20">
        <f t="shared" si="49"/>
        <v>107.1</v>
      </c>
      <c r="J2055" s="6" t="s">
        <v>357</v>
      </c>
    </row>
    <row r="2056" spans="1:10" ht="30" hidden="1">
      <c r="A2056" s="22">
        <v>44915</v>
      </c>
      <c r="B2056" s="6" t="s">
        <v>3185</v>
      </c>
      <c r="C2056" s="5" t="s">
        <v>3184</v>
      </c>
      <c r="D2056" s="12" t="s">
        <v>3055</v>
      </c>
      <c r="E2056" s="6" t="s">
        <v>466</v>
      </c>
      <c r="F2056" s="6" t="s">
        <v>3135</v>
      </c>
      <c r="G2056" s="5">
        <v>150</v>
      </c>
      <c r="H2056" s="5">
        <f t="shared" ref="H2056:H2074" si="50">0.7*0.9</f>
        <v>0.63</v>
      </c>
      <c r="I2056" s="20">
        <f t="shared" si="49"/>
        <v>94.5</v>
      </c>
      <c r="J2056" s="6" t="s">
        <v>357</v>
      </c>
    </row>
    <row r="2057" spans="1:10" ht="30" hidden="1">
      <c r="A2057" s="22">
        <v>44915</v>
      </c>
      <c r="B2057" s="6" t="s">
        <v>3187</v>
      </c>
      <c r="C2057" s="5" t="s">
        <v>3186</v>
      </c>
      <c r="D2057" s="12" t="s">
        <v>3055</v>
      </c>
      <c r="E2057" s="6" t="s">
        <v>466</v>
      </c>
      <c r="F2057" s="6" t="s">
        <v>3135</v>
      </c>
      <c r="G2057" s="5">
        <v>170</v>
      </c>
      <c r="H2057" s="5">
        <f t="shared" si="50"/>
        <v>0.63</v>
      </c>
      <c r="I2057" s="20">
        <f t="shared" si="49"/>
        <v>107.1</v>
      </c>
      <c r="J2057" s="6" t="s">
        <v>357</v>
      </c>
    </row>
    <row r="2058" spans="1:10" ht="30" hidden="1">
      <c r="A2058" s="22">
        <v>44915</v>
      </c>
      <c r="B2058" s="6" t="s">
        <v>3189</v>
      </c>
      <c r="C2058" s="5" t="s">
        <v>3188</v>
      </c>
      <c r="D2058" s="12" t="s">
        <v>3055</v>
      </c>
      <c r="E2058" s="6" t="s">
        <v>466</v>
      </c>
      <c r="F2058" s="6" t="s">
        <v>3135</v>
      </c>
      <c r="G2058" s="5">
        <v>150</v>
      </c>
      <c r="H2058" s="5">
        <f t="shared" si="50"/>
        <v>0.63</v>
      </c>
      <c r="I2058" s="20">
        <f t="shared" si="49"/>
        <v>94.5</v>
      </c>
      <c r="J2058" s="6" t="s">
        <v>357</v>
      </c>
    </row>
    <row r="2059" spans="1:10" ht="30" hidden="1">
      <c r="A2059" s="22">
        <v>44915</v>
      </c>
      <c r="B2059" s="6" t="s">
        <v>3191</v>
      </c>
      <c r="C2059" s="5" t="s">
        <v>3190</v>
      </c>
      <c r="D2059" s="12" t="s">
        <v>3055</v>
      </c>
      <c r="E2059" s="6" t="s">
        <v>466</v>
      </c>
      <c r="F2059" s="6" t="s">
        <v>3135</v>
      </c>
      <c r="G2059" s="5">
        <v>170</v>
      </c>
      <c r="H2059" s="5">
        <f t="shared" si="50"/>
        <v>0.63</v>
      </c>
      <c r="I2059" s="20">
        <f t="shared" si="49"/>
        <v>107.1</v>
      </c>
      <c r="J2059" s="6" t="s">
        <v>357</v>
      </c>
    </row>
    <row r="2060" spans="1:10" ht="30" hidden="1">
      <c r="A2060" s="22">
        <v>44915</v>
      </c>
      <c r="B2060" s="6" t="s">
        <v>3193</v>
      </c>
      <c r="C2060" s="5" t="s">
        <v>3192</v>
      </c>
      <c r="D2060" s="12" t="s">
        <v>3055</v>
      </c>
      <c r="E2060" s="6" t="s">
        <v>466</v>
      </c>
      <c r="F2060" s="6" t="s">
        <v>3135</v>
      </c>
      <c r="G2060" s="5">
        <v>150</v>
      </c>
      <c r="H2060" s="5">
        <f t="shared" si="50"/>
        <v>0.63</v>
      </c>
      <c r="I2060" s="20">
        <f t="shared" si="49"/>
        <v>94.5</v>
      </c>
      <c r="J2060" s="6" t="s">
        <v>357</v>
      </c>
    </row>
    <row r="2061" spans="1:10" ht="30" hidden="1">
      <c r="A2061" s="22">
        <v>44915</v>
      </c>
      <c r="B2061" s="6" t="s">
        <v>3195</v>
      </c>
      <c r="C2061" s="5" t="s">
        <v>3194</v>
      </c>
      <c r="D2061" s="8" t="s">
        <v>3055</v>
      </c>
      <c r="E2061" s="6" t="s">
        <v>466</v>
      </c>
      <c r="F2061" s="6" t="s">
        <v>3135</v>
      </c>
      <c r="G2061" s="5">
        <v>170</v>
      </c>
      <c r="H2061" s="5">
        <f t="shared" si="50"/>
        <v>0.63</v>
      </c>
      <c r="I2061" s="20">
        <f t="shared" si="49"/>
        <v>107.1</v>
      </c>
      <c r="J2061" s="6" t="s">
        <v>357</v>
      </c>
    </row>
    <row r="2062" spans="1:10" ht="30" hidden="1">
      <c r="A2062" s="22">
        <v>44915</v>
      </c>
      <c r="B2062" s="6" t="s">
        <v>3197</v>
      </c>
      <c r="C2062" s="5" t="s">
        <v>3196</v>
      </c>
      <c r="D2062" s="8" t="s">
        <v>3055</v>
      </c>
      <c r="E2062" s="6" t="s">
        <v>466</v>
      </c>
      <c r="F2062" s="6" t="s">
        <v>3135</v>
      </c>
      <c r="G2062" s="5">
        <v>150</v>
      </c>
      <c r="H2062" s="5">
        <f t="shared" si="50"/>
        <v>0.63</v>
      </c>
      <c r="I2062" s="20">
        <f t="shared" si="49"/>
        <v>94.5</v>
      </c>
      <c r="J2062" s="6" t="s">
        <v>357</v>
      </c>
    </row>
    <row r="2063" spans="1:10" ht="30" hidden="1">
      <c r="A2063" s="22">
        <v>44915</v>
      </c>
      <c r="B2063" s="6" t="s">
        <v>3199</v>
      </c>
      <c r="C2063" s="5" t="s">
        <v>3198</v>
      </c>
      <c r="D2063" s="8" t="s">
        <v>3055</v>
      </c>
      <c r="E2063" s="6" t="s">
        <v>466</v>
      </c>
      <c r="F2063" s="6" t="s">
        <v>3135</v>
      </c>
      <c r="G2063" s="5">
        <v>170</v>
      </c>
      <c r="H2063" s="5">
        <f t="shared" si="50"/>
        <v>0.63</v>
      </c>
      <c r="I2063" s="20">
        <f t="shared" si="49"/>
        <v>107.1</v>
      </c>
      <c r="J2063" s="6" t="s">
        <v>357</v>
      </c>
    </row>
    <row r="2064" spans="1:10" ht="30" hidden="1">
      <c r="A2064" s="22">
        <v>44915</v>
      </c>
      <c r="B2064" s="6" t="s">
        <v>3201</v>
      </c>
      <c r="C2064" s="5" t="s">
        <v>3200</v>
      </c>
      <c r="D2064" s="8" t="s">
        <v>3055</v>
      </c>
      <c r="E2064" s="6" t="s">
        <v>466</v>
      </c>
      <c r="F2064" s="6" t="s">
        <v>3135</v>
      </c>
      <c r="G2064" s="5">
        <v>150</v>
      </c>
      <c r="H2064" s="5">
        <f t="shared" si="50"/>
        <v>0.63</v>
      </c>
      <c r="I2064" s="20">
        <f t="shared" si="49"/>
        <v>94.5</v>
      </c>
      <c r="J2064" s="6" t="s">
        <v>357</v>
      </c>
    </row>
    <row r="2065" spans="1:10" ht="30" hidden="1">
      <c r="A2065" s="22">
        <v>44915</v>
      </c>
      <c r="B2065" s="6" t="s">
        <v>3203</v>
      </c>
      <c r="C2065" s="5" t="s">
        <v>3202</v>
      </c>
      <c r="D2065" s="8" t="s">
        <v>3055</v>
      </c>
      <c r="E2065" s="6" t="s">
        <v>466</v>
      </c>
      <c r="F2065" s="6" t="s">
        <v>3135</v>
      </c>
      <c r="G2065" s="5">
        <v>170</v>
      </c>
      <c r="H2065" s="5">
        <f t="shared" si="50"/>
        <v>0.63</v>
      </c>
      <c r="I2065" s="20">
        <f t="shared" si="49"/>
        <v>107.1</v>
      </c>
      <c r="J2065" s="6" t="s">
        <v>357</v>
      </c>
    </row>
    <row r="2066" spans="1:10" ht="30" hidden="1">
      <c r="A2066" s="22">
        <v>44915</v>
      </c>
      <c r="B2066" s="6" t="s">
        <v>3205</v>
      </c>
      <c r="C2066" s="5" t="s">
        <v>3204</v>
      </c>
      <c r="D2066" s="8" t="s">
        <v>3055</v>
      </c>
      <c r="E2066" s="6" t="s">
        <v>466</v>
      </c>
      <c r="F2066" s="6" t="s">
        <v>3135</v>
      </c>
      <c r="G2066" s="5">
        <v>180</v>
      </c>
      <c r="H2066" s="5">
        <f t="shared" si="50"/>
        <v>0.63</v>
      </c>
      <c r="I2066" s="20">
        <f t="shared" si="49"/>
        <v>113.4</v>
      </c>
      <c r="J2066" s="6" t="s">
        <v>357</v>
      </c>
    </row>
    <row r="2067" spans="1:10" ht="30" hidden="1">
      <c r="A2067" s="22">
        <v>44915</v>
      </c>
      <c r="B2067" s="6" t="s">
        <v>3207</v>
      </c>
      <c r="C2067" s="5" t="s">
        <v>3206</v>
      </c>
      <c r="D2067" s="8" t="s">
        <v>3055</v>
      </c>
      <c r="E2067" s="6" t="s">
        <v>466</v>
      </c>
      <c r="F2067" s="6" t="s">
        <v>3135</v>
      </c>
      <c r="G2067" s="5">
        <v>180</v>
      </c>
      <c r="H2067" s="5">
        <f t="shared" si="50"/>
        <v>0.63</v>
      </c>
      <c r="I2067" s="20">
        <f t="shared" si="49"/>
        <v>113.4</v>
      </c>
      <c r="J2067" s="6" t="s">
        <v>357</v>
      </c>
    </row>
    <row r="2068" spans="1:10" ht="30" hidden="1">
      <c r="A2068" s="22">
        <v>44915</v>
      </c>
      <c r="B2068" s="6" t="s">
        <v>3209</v>
      </c>
      <c r="C2068" s="5" t="s">
        <v>3208</v>
      </c>
      <c r="D2068" s="8" t="s">
        <v>3055</v>
      </c>
      <c r="E2068" s="6" t="s">
        <v>466</v>
      </c>
      <c r="F2068" s="6" t="s">
        <v>3135</v>
      </c>
      <c r="G2068" s="5">
        <v>180</v>
      </c>
      <c r="H2068" s="5">
        <f t="shared" si="50"/>
        <v>0.63</v>
      </c>
      <c r="I2068" s="20">
        <f t="shared" si="49"/>
        <v>113.4</v>
      </c>
      <c r="J2068" s="6" t="s">
        <v>357</v>
      </c>
    </row>
    <row r="2069" spans="1:10" ht="30" hidden="1">
      <c r="A2069" s="22">
        <v>44915</v>
      </c>
      <c r="B2069" s="6" t="s">
        <v>3211</v>
      </c>
      <c r="C2069" s="5" t="s">
        <v>3210</v>
      </c>
      <c r="D2069" s="8" t="s">
        <v>3055</v>
      </c>
      <c r="E2069" s="6" t="s">
        <v>466</v>
      </c>
      <c r="F2069" s="6" t="s">
        <v>3135</v>
      </c>
      <c r="G2069" s="5">
        <v>180</v>
      </c>
      <c r="H2069" s="5">
        <f t="shared" si="50"/>
        <v>0.63</v>
      </c>
      <c r="I2069" s="20">
        <f t="shared" si="49"/>
        <v>113.4</v>
      </c>
      <c r="J2069" s="6" t="s">
        <v>357</v>
      </c>
    </row>
    <row r="2070" spans="1:10" ht="30" hidden="1">
      <c r="A2070" s="22">
        <v>44915</v>
      </c>
      <c r="B2070" s="6" t="s">
        <v>3213</v>
      </c>
      <c r="C2070" s="5" t="s">
        <v>3212</v>
      </c>
      <c r="D2070" s="8" t="s">
        <v>3055</v>
      </c>
      <c r="E2070" s="6" t="s">
        <v>466</v>
      </c>
      <c r="F2070" s="6" t="s">
        <v>3135</v>
      </c>
      <c r="G2070" s="5">
        <v>180</v>
      </c>
      <c r="H2070" s="5">
        <f t="shared" si="50"/>
        <v>0.63</v>
      </c>
      <c r="I2070" s="20">
        <f t="shared" si="49"/>
        <v>113.4</v>
      </c>
      <c r="J2070" s="6" t="s">
        <v>357</v>
      </c>
    </row>
    <row r="2071" spans="1:10" ht="30" hidden="1">
      <c r="A2071" s="22">
        <v>44915</v>
      </c>
      <c r="B2071" s="6" t="s">
        <v>3215</v>
      </c>
      <c r="C2071" s="5" t="s">
        <v>3214</v>
      </c>
      <c r="D2071" s="8" t="s">
        <v>3055</v>
      </c>
      <c r="E2071" s="6" t="s">
        <v>466</v>
      </c>
      <c r="F2071" s="6" t="s">
        <v>3135</v>
      </c>
      <c r="G2071" s="5">
        <v>180</v>
      </c>
      <c r="H2071" s="5">
        <f t="shared" si="50"/>
        <v>0.63</v>
      </c>
      <c r="I2071" s="20">
        <f t="shared" si="49"/>
        <v>113.4</v>
      </c>
      <c r="J2071" s="6" t="s">
        <v>357</v>
      </c>
    </row>
    <row r="2072" spans="1:10" ht="30" hidden="1">
      <c r="A2072" s="22">
        <v>44915</v>
      </c>
      <c r="B2072" s="6" t="s">
        <v>3217</v>
      </c>
      <c r="C2072" s="5" t="s">
        <v>3216</v>
      </c>
      <c r="D2072" s="8" t="s">
        <v>3055</v>
      </c>
      <c r="E2072" s="6" t="s">
        <v>466</v>
      </c>
      <c r="F2072" s="6" t="s">
        <v>3135</v>
      </c>
      <c r="G2072" s="5">
        <v>180</v>
      </c>
      <c r="H2072" s="5">
        <f t="shared" si="50"/>
        <v>0.63</v>
      </c>
      <c r="I2072" s="20">
        <f t="shared" si="49"/>
        <v>113.4</v>
      </c>
      <c r="J2072" s="6" t="s">
        <v>357</v>
      </c>
    </row>
    <row r="2073" spans="1:10" ht="30" hidden="1">
      <c r="A2073" s="22">
        <v>44915</v>
      </c>
      <c r="B2073" s="6" t="s">
        <v>3219</v>
      </c>
      <c r="C2073" s="5" t="s">
        <v>3218</v>
      </c>
      <c r="D2073" s="8" t="s">
        <v>3055</v>
      </c>
      <c r="E2073" s="6" t="s">
        <v>466</v>
      </c>
      <c r="F2073" s="6" t="s">
        <v>3135</v>
      </c>
      <c r="G2073" s="5">
        <v>180</v>
      </c>
      <c r="H2073" s="5">
        <f t="shared" si="50"/>
        <v>0.63</v>
      </c>
      <c r="I2073" s="20">
        <f t="shared" si="49"/>
        <v>113.4</v>
      </c>
      <c r="J2073" s="6" t="s">
        <v>357</v>
      </c>
    </row>
    <row r="2074" spans="1:10" ht="30" hidden="1">
      <c r="A2074" s="22">
        <v>44946</v>
      </c>
      <c r="B2074" s="6" t="s">
        <v>3221</v>
      </c>
      <c r="C2074" s="5" t="s">
        <v>3220</v>
      </c>
      <c r="D2074" s="8" t="s">
        <v>3055</v>
      </c>
      <c r="E2074" s="6" t="s">
        <v>466</v>
      </c>
      <c r="F2074" s="6" t="s">
        <v>358</v>
      </c>
      <c r="G2074" s="5">
        <v>195</v>
      </c>
      <c r="H2074" s="5">
        <f t="shared" si="50"/>
        <v>0.63</v>
      </c>
      <c r="I2074" s="20">
        <f t="shared" si="49"/>
        <v>122.85</v>
      </c>
      <c r="J2074" s="6" t="s">
        <v>357</v>
      </c>
    </row>
    <row r="2075" spans="1:10" hidden="1">
      <c r="A2075" s="22">
        <v>44915</v>
      </c>
      <c r="B2075" s="6" t="s">
        <v>3223</v>
      </c>
      <c r="C2075" s="5" t="s">
        <v>3222</v>
      </c>
      <c r="D2075" s="8" t="s">
        <v>3055</v>
      </c>
      <c r="E2075" s="6" t="s">
        <v>602</v>
      </c>
      <c r="F2075" s="6" t="s">
        <v>411</v>
      </c>
      <c r="G2075" s="5">
        <v>52</v>
      </c>
      <c r="H2075" s="5">
        <f t="shared" ref="H2075:H2099" si="51">0.8*0.9</f>
        <v>0.72000000000000008</v>
      </c>
      <c r="I2075" s="20">
        <f t="shared" si="49"/>
        <v>37.440000000000005</v>
      </c>
      <c r="J2075" s="6" t="s">
        <v>357</v>
      </c>
    </row>
    <row r="2076" spans="1:10" hidden="1">
      <c r="A2076" s="22">
        <v>44915</v>
      </c>
      <c r="B2076" s="6" t="s">
        <v>3225</v>
      </c>
      <c r="C2076" s="5" t="s">
        <v>3224</v>
      </c>
      <c r="D2076" s="8" t="s">
        <v>3055</v>
      </c>
      <c r="E2076" s="6" t="s">
        <v>602</v>
      </c>
      <c r="F2076" s="6" t="s">
        <v>411</v>
      </c>
      <c r="G2076" s="5">
        <v>78</v>
      </c>
      <c r="H2076" s="5">
        <f t="shared" si="51"/>
        <v>0.72000000000000008</v>
      </c>
      <c r="I2076" s="20">
        <f t="shared" si="49"/>
        <v>56.160000000000004</v>
      </c>
      <c r="J2076" s="6" t="s">
        <v>357</v>
      </c>
    </row>
    <row r="2077" spans="1:10" hidden="1">
      <c r="A2077" s="22">
        <v>44915</v>
      </c>
      <c r="B2077" s="6" t="s">
        <v>3227</v>
      </c>
      <c r="C2077" s="5" t="s">
        <v>3226</v>
      </c>
      <c r="D2077" s="8" t="s">
        <v>3055</v>
      </c>
      <c r="E2077" s="6" t="s">
        <v>602</v>
      </c>
      <c r="F2077" s="6" t="s">
        <v>411</v>
      </c>
      <c r="G2077" s="5">
        <v>93</v>
      </c>
      <c r="H2077" s="5">
        <f t="shared" si="51"/>
        <v>0.72000000000000008</v>
      </c>
      <c r="I2077" s="20">
        <f t="shared" si="49"/>
        <v>66.960000000000008</v>
      </c>
      <c r="J2077" s="6" t="s">
        <v>357</v>
      </c>
    </row>
    <row r="2078" spans="1:10" hidden="1">
      <c r="A2078" s="22">
        <v>44915</v>
      </c>
      <c r="B2078" s="6" t="s">
        <v>3229</v>
      </c>
      <c r="C2078" s="5" t="s">
        <v>3228</v>
      </c>
      <c r="D2078" s="8" t="s">
        <v>3055</v>
      </c>
      <c r="E2078" s="6" t="s">
        <v>602</v>
      </c>
      <c r="F2078" s="6" t="s">
        <v>411</v>
      </c>
      <c r="G2078" s="5">
        <v>126</v>
      </c>
      <c r="H2078" s="5">
        <f t="shared" si="51"/>
        <v>0.72000000000000008</v>
      </c>
      <c r="I2078" s="20">
        <f t="shared" si="49"/>
        <v>90.720000000000013</v>
      </c>
      <c r="J2078" s="6" t="s">
        <v>357</v>
      </c>
    </row>
    <row r="2079" spans="1:10" hidden="1">
      <c r="A2079" s="22">
        <v>44915</v>
      </c>
      <c r="B2079" s="6" t="s">
        <v>3231</v>
      </c>
      <c r="C2079" s="5" t="s">
        <v>3230</v>
      </c>
      <c r="D2079" s="8" t="s">
        <v>3055</v>
      </c>
      <c r="E2079" s="6" t="s">
        <v>602</v>
      </c>
      <c r="F2079" s="6" t="s">
        <v>411</v>
      </c>
      <c r="G2079" s="5">
        <v>144</v>
      </c>
      <c r="H2079" s="5">
        <f t="shared" si="51"/>
        <v>0.72000000000000008</v>
      </c>
      <c r="I2079" s="20">
        <f t="shared" si="49"/>
        <v>103.68</v>
      </c>
      <c r="J2079" s="6" t="s">
        <v>357</v>
      </c>
    </row>
    <row r="2080" spans="1:10" hidden="1">
      <c r="A2080" s="22">
        <v>44915</v>
      </c>
      <c r="B2080" s="6" t="s">
        <v>3233</v>
      </c>
      <c r="C2080" s="5" t="s">
        <v>3232</v>
      </c>
      <c r="D2080" s="8" t="s">
        <v>3055</v>
      </c>
      <c r="E2080" s="6" t="s">
        <v>602</v>
      </c>
      <c r="F2080" s="6" t="s">
        <v>411</v>
      </c>
      <c r="G2080" s="5">
        <v>189</v>
      </c>
      <c r="H2080" s="5">
        <f t="shared" si="51"/>
        <v>0.72000000000000008</v>
      </c>
      <c r="I2080" s="20">
        <f t="shared" si="49"/>
        <v>136.08000000000001</v>
      </c>
      <c r="J2080" s="6" t="s">
        <v>357</v>
      </c>
    </row>
    <row r="2081" spans="1:10" hidden="1">
      <c r="A2081" s="22">
        <v>44915</v>
      </c>
      <c r="B2081" s="6" t="s">
        <v>3235</v>
      </c>
      <c r="C2081" s="5" t="s">
        <v>3234</v>
      </c>
      <c r="D2081" s="8" t="s">
        <v>3055</v>
      </c>
      <c r="E2081" s="6" t="s">
        <v>602</v>
      </c>
      <c r="F2081" s="6" t="s">
        <v>411</v>
      </c>
      <c r="G2081" s="5">
        <v>231</v>
      </c>
      <c r="H2081" s="5">
        <f t="shared" si="51"/>
        <v>0.72000000000000008</v>
      </c>
      <c r="I2081" s="20">
        <f t="shared" si="49"/>
        <v>166.32000000000002</v>
      </c>
      <c r="J2081" s="6" t="s">
        <v>357</v>
      </c>
    </row>
    <row r="2082" spans="1:10" hidden="1">
      <c r="A2082" s="22">
        <v>44915</v>
      </c>
      <c r="B2082" s="6" t="s">
        <v>3237</v>
      </c>
      <c r="C2082" s="5" t="s">
        <v>3236</v>
      </c>
      <c r="D2082" s="8" t="s">
        <v>3055</v>
      </c>
      <c r="E2082" s="6" t="s">
        <v>602</v>
      </c>
      <c r="F2082" s="6" t="s">
        <v>411</v>
      </c>
      <c r="G2082" s="5">
        <v>263</v>
      </c>
      <c r="H2082" s="5">
        <f t="shared" si="51"/>
        <v>0.72000000000000008</v>
      </c>
      <c r="I2082" s="20">
        <f t="shared" si="49"/>
        <v>189.36</v>
      </c>
      <c r="J2082" s="6" t="s">
        <v>357</v>
      </c>
    </row>
    <row r="2083" spans="1:10" hidden="1">
      <c r="A2083" s="9">
        <v>44915</v>
      </c>
      <c r="B2083" s="6" t="s">
        <v>3239</v>
      </c>
      <c r="C2083" s="5" t="s">
        <v>3238</v>
      </c>
      <c r="D2083" s="8" t="s">
        <v>3055</v>
      </c>
      <c r="E2083" s="6" t="s">
        <v>1247</v>
      </c>
      <c r="F2083" s="6" t="s">
        <v>3240</v>
      </c>
      <c r="G2083" s="5">
        <v>74</v>
      </c>
      <c r="H2083" s="5">
        <f t="shared" si="51"/>
        <v>0.72000000000000008</v>
      </c>
      <c r="I2083" s="20">
        <f t="shared" si="49"/>
        <v>53.280000000000008</v>
      </c>
      <c r="J2083" s="6" t="s">
        <v>357</v>
      </c>
    </row>
    <row r="2084" spans="1:10" hidden="1">
      <c r="A2084" s="9">
        <v>44915</v>
      </c>
      <c r="B2084" s="6" t="s">
        <v>3242</v>
      </c>
      <c r="C2084" s="5" t="s">
        <v>3241</v>
      </c>
      <c r="D2084" s="8" t="s">
        <v>3055</v>
      </c>
      <c r="E2084" s="6" t="s">
        <v>1247</v>
      </c>
      <c r="F2084" s="6" t="s">
        <v>3240</v>
      </c>
      <c r="G2084" s="5">
        <v>74</v>
      </c>
      <c r="H2084" s="5">
        <f t="shared" si="51"/>
        <v>0.72000000000000008</v>
      </c>
      <c r="I2084" s="20">
        <f t="shared" si="49"/>
        <v>53.280000000000008</v>
      </c>
      <c r="J2084" s="6" t="s">
        <v>357</v>
      </c>
    </row>
    <row r="2085" spans="1:10" hidden="1">
      <c r="A2085" s="9">
        <v>44915</v>
      </c>
      <c r="B2085" s="6" t="s">
        <v>3244</v>
      </c>
      <c r="C2085" s="5" t="s">
        <v>3243</v>
      </c>
      <c r="D2085" s="8" t="s">
        <v>3055</v>
      </c>
      <c r="E2085" s="6" t="s">
        <v>1247</v>
      </c>
      <c r="F2085" s="6" t="s">
        <v>3240</v>
      </c>
      <c r="G2085" s="5">
        <v>74</v>
      </c>
      <c r="H2085" s="5">
        <f t="shared" si="51"/>
        <v>0.72000000000000008</v>
      </c>
      <c r="I2085" s="20">
        <f t="shared" si="49"/>
        <v>53.280000000000008</v>
      </c>
      <c r="J2085" s="6" t="s">
        <v>357</v>
      </c>
    </row>
    <row r="2086" spans="1:10" hidden="1">
      <c r="A2086" s="9">
        <v>44915</v>
      </c>
      <c r="B2086" s="6" t="s">
        <v>3246</v>
      </c>
      <c r="C2086" s="5" t="s">
        <v>3245</v>
      </c>
      <c r="D2086" s="8" t="s">
        <v>3055</v>
      </c>
      <c r="E2086" s="6" t="s">
        <v>1247</v>
      </c>
      <c r="F2086" s="6" t="s">
        <v>3240</v>
      </c>
      <c r="G2086" s="5">
        <v>74</v>
      </c>
      <c r="H2086" s="5">
        <f t="shared" si="51"/>
        <v>0.72000000000000008</v>
      </c>
      <c r="I2086" s="20">
        <f t="shared" si="49"/>
        <v>53.280000000000008</v>
      </c>
      <c r="J2086" s="6" t="s">
        <v>357</v>
      </c>
    </row>
    <row r="2087" spans="1:10" hidden="1">
      <c r="A2087" s="9">
        <v>44915</v>
      </c>
      <c r="B2087" s="6" t="s">
        <v>3248</v>
      </c>
      <c r="C2087" s="5" t="s">
        <v>3247</v>
      </c>
      <c r="D2087" s="8" t="s">
        <v>3055</v>
      </c>
      <c r="E2087" s="6" t="s">
        <v>1247</v>
      </c>
      <c r="F2087" s="6" t="s">
        <v>3240</v>
      </c>
      <c r="G2087" s="5">
        <v>74</v>
      </c>
      <c r="H2087" s="5">
        <f t="shared" si="51"/>
        <v>0.72000000000000008</v>
      </c>
      <c r="I2087" s="20">
        <f t="shared" si="49"/>
        <v>53.280000000000008</v>
      </c>
      <c r="J2087" s="6" t="s">
        <v>357</v>
      </c>
    </row>
    <row r="2088" spans="1:10" hidden="1">
      <c r="A2088" s="9">
        <v>44915</v>
      </c>
      <c r="B2088" s="6" t="s">
        <v>3250</v>
      </c>
      <c r="C2088" s="5" t="s">
        <v>3249</v>
      </c>
      <c r="D2088" s="8" t="s">
        <v>3055</v>
      </c>
      <c r="E2088" s="6" t="s">
        <v>1247</v>
      </c>
      <c r="F2088" s="6" t="s">
        <v>3240</v>
      </c>
      <c r="G2088" s="5">
        <v>74</v>
      </c>
      <c r="H2088" s="5">
        <f t="shared" si="51"/>
        <v>0.72000000000000008</v>
      </c>
      <c r="I2088" s="20">
        <f t="shared" si="49"/>
        <v>53.280000000000008</v>
      </c>
      <c r="J2088" s="6" t="s">
        <v>357</v>
      </c>
    </row>
    <row r="2089" spans="1:10" hidden="1">
      <c r="A2089" s="9">
        <v>44915</v>
      </c>
      <c r="B2089" s="6" t="s">
        <v>3252</v>
      </c>
      <c r="C2089" s="5" t="s">
        <v>3251</v>
      </c>
      <c r="D2089" s="8" t="s">
        <v>3055</v>
      </c>
      <c r="E2089" s="6" t="s">
        <v>1247</v>
      </c>
      <c r="F2089" s="6" t="s">
        <v>3240</v>
      </c>
      <c r="G2089" s="5">
        <v>74</v>
      </c>
      <c r="H2089" s="5">
        <f t="shared" si="51"/>
        <v>0.72000000000000008</v>
      </c>
      <c r="I2089" s="20">
        <f t="shared" si="49"/>
        <v>53.280000000000008</v>
      </c>
      <c r="J2089" s="6" t="s">
        <v>357</v>
      </c>
    </row>
    <row r="2090" spans="1:10" hidden="1">
      <c r="A2090" s="9">
        <v>44915</v>
      </c>
      <c r="B2090" s="6" t="s">
        <v>3254</v>
      </c>
      <c r="C2090" s="5" t="s">
        <v>3253</v>
      </c>
      <c r="D2090" s="8" t="s">
        <v>3055</v>
      </c>
      <c r="E2090" s="6" t="s">
        <v>1247</v>
      </c>
      <c r="F2090" s="6" t="s">
        <v>3240</v>
      </c>
      <c r="G2090" s="5">
        <v>74</v>
      </c>
      <c r="H2090" s="5">
        <f t="shared" si="51"/>
        <v>0.72000000000000008</v>
      </c>
      <c r="I2090" s="20">
        <f t="shared" si="49"/>
        <v>53.280000000000008</v>
      </c>
      <c r="J2090" s="6" t="s">
        <v>357</v>
      </c>
    </row>
    <row r="2091" spans="1:10" hidden="1">
      <c r="A2091" s="9">
        <v>44915</v>
      </c>
      <c r="B2091" s="6" t="s">
        <v>3256</v>
      </c>
      <c r="C2091" s="5" t="s">
        <v>3255</v>
      </c>
      <c r="D2091" s="8" t="s">
        <v>3055</v>
      </c>
      <c r="E2091" s="6" t="s">
        <v>1247</v>
      </c>
      <c r="F2091" s="6" t="s">
        <v>3240</v>
      </c>
      <c r="G2091" s="5">
        <v>74</v>
      </c>
      <c r="H2091" s="5">
        <f t="shared" si="51"/>
        <v>0.72000000000000008</v>
      </c>
      <c r="I2091" s="20">
        <f t="shared" si="49"/>
        <v>53.280000000000008</v>
      </c>
      <c r="J2091" s="6" t="s">
        <v>357</v>
      </c>
    </row>
    <row r="2092" spans="1:10" hidden="1">
      <c r="A2092" s="9">
        <v>44915</v>
      </c>
      <c r="B2092" s="6" t="s">
        <v>3258</v>
      </c>
      <c r="C2092" s="5" t="s">
        <v>3257</v>
      </c>
      <c r="D2092" s="8" t="s">
        <v>3055</v>
      </c>
      <c r="E2092" s="6" t="s">
        <v>1247</v>
      </c>
      <c r="F2092" s="6" t="s">
        <v>3240</v>
      </c>
      <c r="G2092" s="5">
        <v>74</v>
      </c>
      <c r="H2092" s="5">
        <f t="shared" si="51"/>
        <v>0.72000000000000008</v>
      </c>
      <c r="I2092" s="20">
        <f t="shared" si="49"/>
        <v>53.280000000000008</v>
      </c>
      <c r="J2092" s="6" t="s">
        <v>357</v>
      </c>
    </row>
    <row r="2093" spans="1:10" hidden="1">
      <c r="A2093" s="9">
        <v>44915</v>
      </c>
      <c r="B2093" s="6" t="s">
        <v>3260</v>
      </c>
      <c r="C2093" s="5" t="s">
        <v>3259</v>
      </c>
      <c r="D2093" s="8" t="s">
        <v>3055</v>
      </c>
      <c r="E2093" s="6" t="s">
        <v>1247</v>
      </c>
      <c r="F2093" s="6" t="s">
        <v>3240</v>
      </c>
      <c r="G2093" s="5">
        <v>74</v>
      </c>
      <c r="H2093" s="5">
        <f t="shared" si="51"/>
        <v>0.72000000000000008</v>
      </c>
      <c r="I2093" s="20">
        <f t="shared" si="49"/>
        <v>53.280000000000008</v>
      </c>
      <c r="J2093" s="6" t="s">
        <v>357</v>
      </c>
    </row>
    <row r="2094" spans="1:10" hidden="1">
      <c r="A2094" s="9">
        <v>44915</v>
      </c>
      <c r="B2094" s="6" t="s">
        <v>3262</v>
      </c>
      <c r="C2094" s="5" t="s">
        <v>3261</v>
      </c>
      <c r="D2094" s="8" t="s">
        <v>3055</v>
      </c>
      <c r="E2094" s="6" t="s">
        <v>1247</v>
      </c>
      <c r="F2094" s="6" t="s">
        <v>3240</v>
      </c>
      <c r="G2094" s="5">
        <v>74</v>
      </c>
      <c r="H2094" s="5">
        <f t="shared" si="51"/>
        <v>0.72000000000000008</v>
      </c>
      <c r="I2094" s="20">
        <f t="shared" si="49"/>
        <v>53.280000000000008</v>
      </c>
      <c r="J2094" s="6" t="s">
        <v>357</v>
      </c>
    </row>
    <row r="2095" spans="1:10" hidden="1">
      <c r="A2095" s="9">
        <v>44915</v>
      </c>
      <c r="B2095" s="6" t="s">
        <v>3264</v>
      </c>
      <c r="C2095" s="5" t="s">
        <v>3263</v>
      </c>
      <c r="D2095" s="8" t="s">
        <v>3055</v>
      </c>
      <c r="E2095" s="6" t="s">
        <v>1247</v>
      </c>
      <c r="F2095" s="6" t="s">
        <v>3240</v>
      </c>
      <c r="G2095" s="5">
        <v>74</v>
      </c>
      <c r="H2095" s="5">
        <f t="shared" si="51"/>
        <v>0.72000000000000008</v>
      </c>
      <c r="I2095" s="20">
        <f t="shared" si="49"/>
        <v>53.280000000000008</v>
      </c>
      <c r="J2095" s="6" t="s">
        <v>357</v>
      </c>
    </row>
    <row r="2096" spans="1:10" hidden="1">
      <c r="A2096" s="9">
        <v>44915</v>
      </c>
      <c r="B2096" s="6" t="s">
        <v>3266</v>
      </c>
      <c r="C2096" s="5" t="s">
        <v>3265</v>
      </c>
      <c r="D2096" s="8" t="s">
        <v>3055</v>
      </c>
      <c r="E2096" s="6" t="s">
        <v>1247</v>
      </c>
      <c r="F2096" s="6" t="s">
        <v>3240</v>
      </c>
      <c r="G2096" s="5">
        <v>74</v>
      </c>
      <c r="H2096" s="5">
        <f t="shared" si="51"/>
        <v>0.72000000000000008</v>
      </c>
      <c r="I2096" s="20">
        <f t="shared" si="49"/>
        <v>53.280000000000008</v>
      </c>
      <c r="J2096" s="6" t="s">
        <v>357</v>
      </c>
    </row>
    <row r="2097" spans="1:10" hidden="1">
      <c r="A2097" s="9">
        <v>44915</v>
      </c>
      <c r="B2097" s="6" t="s">
        <v>3268</v>
      </c>
      <c r="C2097" s="5" t="s">
        <v>3267</v>
      </c>
      <c r="D2097" s="8" t="s">
        <v>3055</v>
      </c>
      <c r="E2097" s="6" t="s">
        <v>1247</v>
      </c>
      <c r="F2097" s="6" t="s">
        <v>3240</v>
      </c>
      <c r="G2097" s="5">
        <v>74</v>
      </c>
      <c r="H2097" s="5">
        <f t="shared" si="51"/>
        <v>0.72000000000000008</v>
      </c>
      <c r="I2097" s="20">
        <f t="shared" si="49"/>
        <v>53.280000000000008</v>
      </c>
      <c r="J2097" s="6" t="s">
        <v>357</v>
      </c>
    </row>
    <row r="2098" spans="1:10" hidden="1">
      <c r="A2098" s="9">
        <v>44915</v>
      </c>
      <c r="B2098" s="6" t="s">
        <v>3270</v>
      </c>
      <c r="C2098" s="5" t="s">
        <v>3269</v>
      </c>
      <c r="D2098" s="8" t="s">
        <v>3055</v>
      </c>
      <c r="E2098" s="6" t="s">
        <v>1247</v>
      </c>
      <c r="F2098" s="6" t="s">
        <v>3240</v>
      </c>
      <c r="G2098" s="5">
        <v>74</v>
      </c>
      <c r="H2098" s="5">
        <f t="shared" si="51"/>
        <v>0.72000000000000008</v>
      </c>
      <c r="I2098" s="20">
        <f t="shared" si="49"/>
        <v>53.280000000000008</v>
      </c>
      <c r="J2098" s="6" t="s">
        <v>357</v>
      </c>
    </row>
    <row r="2099" spans="1:10" hidden="1">
      <c r="A2099" s="9">
        <v>44915</v>
      </c>
      <c r="B2099" s="6" t="s">
        <v>3272</v>
      </c>
      <c r="C2099" s="5" t="s">
        <v>3271</v>
      </c>
      <c r="D2099" s="8" t="s">
        <v>3055</v>
      </c>
      <c r="E2099" s="6" t="s">
        <v>1247</v>
      </c>
      <c r="F2099" s="6" t="s">
        <v>3240</v>
      </c>
      <c r="G2099" s="5">
        <v>74</v>
      </c>
      <c r="H2099" s="5">
        <f t="shared" si="51"/>
        <v>0.72000000000000008</v>
      </c>
      <c r="I2099" s="20">
        <f t="shared" si="49"/>
        <v>53.280000000000008</v>
      </c>
      <c r="J2099" s="6" t="s">
        <v>357</v>
      </c>
    </row>
    <row r="2100" spans="1:10" hidden="1">
      <c r="A2100" s="9">
        <v>45070</v>
      </c>
      <c r="B2100" s="6" t="s">
        <v>3275</v>
      </c>
      <c r="C2100" s="5" t="s">
        <v>3273</v>
      </c>
      <c r="D2100" s="8" t="s">
        <v>3274</v>
      </c>
      <c r="E2100" s="6" t="s">
        <v>2045</v>
      </c>
      <c r="F2100" s="6" t="s">
        <v>411</v>
      </c>
      <c r="G2100" s="5">
        <v>3970</v>
      </c>
      <c r="H2100" s="5">
        <f t="shared" ref="H2100:H2127" si="52">0.75*0.9*0.9*0.95</f>
        <v>0.577125</v>
      </c>
      <c r="I2100" s="20">
        <f t="shared" si="49"/>
        <v>2291.1862500000002</v>
      </c>
      <c r="J2100" s="6" t="s">
        <v>357</v>
      </c>
    </row>
    <row r="2101" spans="1:10" hidden="1">
      <c r="A2101" s="9">
        <v>45070</v>
      </c>
      <c r="B2101" s="6" t="s">
        <v>3277</v>
      </c>
      <c r="C2101" s="5" t="s">
        <v>3276</v>
      </c>
      <c r="D2101" s="8" t="s">
        <v>3274</v>
      </c>
      <c r="E2101" s="6" t="s">
        <v>2045</v>
      </c>
      <c r="F2101" s="6" t="s">
        <v>686</v>
      </c>
      <c r="G2101" s="5">
        <v>5399</v>
      </c>
      <c r="H2101" s="5">
        <f t="shared" si="52"/>
        <v>0.577125</v>
      </c>
      <c r="I2101" s="20">
        <f t="shared" si="49"/>
        <v>3115.8978750000001</v>
      </c>
      <c r="J2101" s="6" t="s">
        <v>357</v>
      </c>
    </row>
    <row r="2102" spans="1:10" hidden="1">
      <c r="A2102" s="9">
        <v>45070</v>
      </c>
      <c r="B2102" s="6" t="s">
        <v>3279</v>
      </c>
      <c r="C2102" s="5" t="s">
        <v>3278</v>
      </c>
      <c r="D2102" s="8" t="s">
        <v>3274</v>
      </c>
      <c r="E2102" s="6" t="s">
        <v>2045</v>
      </c>
      <c r="F2102" s="6" t="s">
        <v>411</v>
      </c>
      <c r="G2102" s="5">
        <v>826</v>
      </c>
      <c r="H2102" s="5">
        <f t="shared" si="52"/>
        <v>0.577125</v>
      </c>
      <c r="I2102" s="20">
        <f t="shared" si="49"/>
        <v>476.70524999999998</v>
      </c>
      <c r="J2102" s="6" t="s">
        <v>357</v>
      </c>
    </row>
    <row r="2103" spans="1:10" hidden="1">
      <c r="A2103" s="9">
        <v>45070</v>
      </c>
      <c r="B2103" s="6" t="s">
        <v>3281</v>
      </c>
      <c r="C2103" s="5" t="s">
        <v>3280</v>
      </c>
      <c r="D2103" s="8" t="s">
        <v>3274</v>
      </c>
      <c r="E2103" s="6" t="s">
        <v>2045</v>
      </c>
      <c r="F2103" s="6" t="s">
        <v>686</v>
      </c>
      <c r="G2103" s="5">
        <v>1461</v>
      </c>
      <c r="H2103" s="5">
        <f t="shared" si="52"/>
        <v>0.577125</v>
      </c>
      <c r="I2103" s="20">
        <f t="shared" si="49"/>
        <v>843.17962499999999</v>
      </c>
      <c r="J2103" s="6" t="s">
        <v>357</v>
      </c>
    </row>
    <row r="2104" spans="1:10" hidden="1">
      <c r="A2104" s="9">
        <v>45070</v>
      </c>
      <c r="B2104" s="6" t="s">
        <v>3283</v>
      </c>
      <c r="C2104" s="5" t="s">
        <v>3282</v>
      </c>
      <c r="D2104" s="8" t="s">
        <v>3274</v>
      </c>
      <c r="E2104" s="6" t="s">
        <v>2045</v>
      </c>
      <c r="F2104" s="6" t="s">
        <v>411</v>
      </c>
      <c r="G2104" s="5">
        <v>4195</v>
      </c>
      <c r="H2104" s="5">
        <f t="shared" si="52"/>
        <v>0.577125</v>
      </c>
      <c r="I2104" s="20">
        <f t="shared" si="49"/>
        <v>2421.0393749999998</v>
      </c>
      <c r="J2104" s="6" t="s">
        <v>357</v>
      </c>
    </row>
    <row r="2105" spans="1:10" hidden="1">
      <c r="A2105" s="9">
        <v>45070</v>
      </c>
      <c r="B2105" s="6" t="s">
        <v>3285</v>
      </c>
      <c r="C2105" s="5" t="s">
        <v>3284</v>
      </c>
      <c r="D2105" s="8" t="s">
        <v>3274</v>
      </c>
      <c r="E2105" s="6" t="s">
        <v>2045</v>
      </c>
      <c r="F2105" s="6" t="s">
        <v>686</v>
      </c>
      <c r="G2105" s="5">
        <v>6114</v>
      </c>
      <c r="H2105" s="5">
        <f t="shared" si="52"/>
        <v>0.577125</v>
      </c>
      <c r="I2105" s="20">
        <f t="shared" si="49"/>
        <v>3528.54225</v>
      </c>
      <c r="J2105" s="6" t="s">
        <v>357</v>
      </c>
    </row>
    <row r="2106" spans="1:10" hidden="1">
      <c r="A2106" s="9">
        <v>45070</v>
      </c>
      <c r="B2106" s="6" t="s">
        <v>3287</v>
      </c>
      <c r="C2106" s="5" t="s">
        <v>3286</v>
      </c>
      <c r="D2106" s="8" t="s">
        <v>3274</v>
      </c>
      <c r="E2106" s="6" t="s">
        <v>2045</v>
      </c>
      <c r="F2106" s="6" t="s">
        <v>411</v>
      </c>
      <c r="G2106" s="5">
        <v>1096</v>
      </c>
      <c r="H2106" s="5">
        <f t="shared" si="52"/>
        <v>0.577125</v>
      </c>
      <c r="I2106" s="20">
        <f t="shared" si="49"/>
        <v>632.529</v>
      </c>
      <c r="J2106" s="6" t="s">
        <v>357</v>
      </c>
    </row>
    <row r="2107" spans="1:10" hidden="1">
      <c r="A2107" s="9">
        <v>45070</v>
      </c>
      <c r="B2107" s="6" t="s">
        <v>3289</v>
      </c>
      <c r="C2107" s="5" t="s">
        <v>3288</v>
      </c>
      <c r="D2107" s="8" t="s">
        <v>3274</v>
      </c>
      <c r="E2107" s="6" t="s">
        <v>2045</v>
      </c>
      <c r="F2107" s="6" t="s">
        <v>686</v>
      </c>
      <c r="G2107" s="5">
        <v>1715</v>
      </c>
      <c r="H2107" s="5">
        <f t="shared" si="52"/>
        <v>0.577125</v>
      </c>
      <c r="I2107" s="20">
        <f t="shared" si="49"/>
        <v>989.76937499999997</v>
      </c>
      <c r="J2107" s="6" t="s">
        <v>357</v>
      </c>
    </row>
    <row r="2108" spans="1:10" hidden="1">
      <c r="A2108" s="9">
        <v>45070</v>
      </c>
      <c r="B2108" s="6" t="s">
        <v>3291</v>
      </c>
      <c r="C2108" s="5" t="s">
        <v>3290</v>
      </c>
      <c r="D2108" s="8" t="s">
        <v>3274</v>
      </c>
      <c r="E2108" s="6" t="s">
        <v>2045</v>
      </c>
      <c r="F2108" s="6" t="s">
        <v>411</v>
      </c>
      <c r="G2108" s="5">
        <v>1191</v>
      </c>
      <c r="H2108" s="5">
        <f t="shared" si="52"/>
        <v>0.577125</v>
      </c>
      <c r="I2108" s="20">
        <f t="shared" si="49"/>
        <v>687.35587499999997</v>
      </c>
      <c r="J2108" s="6" t="s">
        <v>357</v>
      </c>
    </row>
    <row r="2109" spans="1:10" hidden="1">
      <c r="A2109" s="9">
        <v>45070</v>
      </c>
      <c r="B2109" s="6" t="s">
        <v>3293</v>
      </c>
      <c r="C2109" s="5" t="s">
        <v>3292</v>
      </c>
      <c r="D2109" s="8" t="s">
        <v>3274</v>
      </c>
      <c r="E2109" s="6" t="s">
        <v>2045</v>
      </c>
      <c r="F2109" s="6" t="s">
        <v>686</v>
      </c>
      <c r="G2109" s="5">
        <v>1970</v>
      </c>
      <c r="H2109" s="5">
        <f t="shared" si="52"/>
        <v>0.577125</v>
      </c>
      <c r="I2109" s="20">
        <f t="shared" si="49"/>
        <v>1136.93625</v>
      </c>
      <c r="J2109" s="6" t="s">
        <v>357</v>
      </c>
    </row>
    <row r="2110" spans="1:10" hidden="1">
      <c r="A2110" s="9">
        <v>45070</v>
      </c>
      <c r="B2110" s="6" t="s">
        <v>3295</v>
      </c>
      <c r="C2110" s="5" t="s">
        <v>3294</v>
      </c>
      <c r="D2110" s="8" t="s">
        <v>3274</v>
      </c>
      <c r="E2110" s="6" t="s">
        <v>2045</v>
      </c>
      <c r="F2110" s="6" t="s">
        <v>411</v>
      </c>
      <c r="G2110" s="5">
        <v>1270</v>
      </c>
      <c r="H2110" s="5">
        <f t="shared" si="52"/>
        <v>0.577125</v>
      </c>
      <c r="I2110" s="20">
        <f t="shared" si="49"/>
        <v>732.94875000000002</v>
      </c>
      <c r="J2110" s="6" t="s">
        <v>357</v>
      </c>
    </row>
    <row r="2111" spans="1:10" hidden="1">
      <c r="A2111" s="9">
        <v>45070</v>
      </c>
      <c r="B2111" s="6" t="s">
        <v>3297</v>
      </c>
      <c r="C2111" s="5" t="s">
        <v>3296</v>
      </c>
      <c r="D2111" s="8" t="s">
        <v>3274</v>
      </c>
      <c r="E2111" s="6" t="s">
        <v>2045</v>
      </c>
      <c r="F2111" s="6" t="s">
        <v>686</v>
      </c>
      <c r="G2111" s="5">
        <v>2223</v>
      </c>
      <c r="H2111" s="5">
        <f t="shared" si="52"/>
        <v>0.577125</v>
      </c>
      <c r="I2111" s="20">
        <f t="shared" si="49"/>
        <v>1282.948875</v>
      </c>
      <c r="J2111" s="6" t="s">
        <v>357</v>
      </c>
    </row>
    <row r="2112" spans="1:10" hidden="1">
      <c r="A2112" s="9">
        <v>45070</v>
      </c>
      <c r="B2112" s="6" t="s">
        <v>3299</v>
      </c>
      <c r="C2112" s="5" t="s">
        <v>3298</v>
      </c>
      <c r="D2112" s="8" t="s">
        <v>3274</v>
      </c>
      <c r="E2112" s="6" t="s">
        <v>2045</v>
      </c>
      <c r="F2112" s="6" t="s">
        <v>411</v>
      </c>
      <c r="G2112" s="5">
        <v>1430</v>
      </c>
      <c r="H2112" s="5">
        <f t="shared" si="52"/>
        <v>0.577125</v>
      </c>
      <c r="I2112" s="20">
        <f t="shared" si="49"/>
        <v>825.28875000000005</v>
      </c>
      <c r="J2112" s="6" t="s">
        <v>357</v>
      </c>
    </row>
    <row r="2113" spans="1:10" hidden="1">
      <c r="A2113" s="9">
        <v>45070</v>
      </c>
      <c r="B2113" s="6" t="s">
        <v>3301</v>
      </c>
      <c r="C2113" s="5" t="s">
        <v>3300</v>
      </c>
      <c r="D2113" s="8" t="s">
        <v>3274</v>
      </c>
      <c r="E2113" s="6" t="s">
        <v>2045</v>
      </c>
      <c r="F2113" s="6" t="s">
        <v>686</v>
      </c>
      <c r="G2113" s="5">
        <v>2541</v>
      </c>
      <c r="H2113" s="5">
        <f t="shared" si="52"/>
        <v>0.577125</v>
      </c>
      <c r="I2113" s="20">
        <f t="shared" si="49"/>
        <v>1466.4746250000001</v>
      </c>
      <c r="J2113" s="6" t="s">
        <v>357</v>
      </c>
    </row>
    <row r="2114" spans="1:10" hidden="1">
      <c r="A2114" s="9">
        <v>45070</v>
      </c>
      <c r="B2114" s="6" t="s">
        <v>3303</v>
      </c>
      <c r="C2114" s="5" t="s">
        <v>3302</v>
      </c>
      <c r="D2114" s="8" t="s">
        <v>3274</v>
      </c>
      <c r="E2114" s="6" t="s">
        <v>2045</v>
      </c>
      <c r="F2114" s="6" t="s">
        <v>411</v>
      </c>
      <c r="G2114" s="5">
        <v>1747</v>
      </c>
      <c r="H2114" s="5">
        <f t="shared" si="52"/>
        <v>0.577125</v>
      </c>
      <c r="I2114" s="20">
        <f t="shared" si="49"/>
        <v>1008.237375</v>
      </c>
      <c r="J2114" s="6" t="s">
        <v>357</v>
      </c>
    </row>
    <row r="2115" spans="1:10" hidden="1">
      <c r="A2115" s="9">
        <v>45070</v>
      </c>
      <c r="B2115" s="6" t="s">
        <v>3305</v>
      </c>
      <c r="C2115" s="5" t="s">
        <v>3304</v>
      </c>
      <c r="D2115" s="8" t="s">
        <v>3274</v>
      </c>
      <c r="E2115" s="6" t="s">
        <v>2045</v>
      </c>
      <c r="F2115" s="6" t="s">
        <v>686</v>
      </c>
      <c r="G2115" s="5">
        <v>2795</v>
      </c>
      <c r="H2115" s="5">
        <f t="shared" si="52"/>
        <v>0.577125</v>
      </c>
      <c r="I2115" s="20">
        <f t="shared" ref="I2115:I2178" si="53">H2115*G2115</f>
        <v>1613.0643749999999</v>
      </c>
      <c r="J2115" s="6" t="s">
        <v>357</v>
      </c>
    </row>
    <row r="2116" spans="1:10" hidden="1">
      <c r="A2116" s="9">
        <v>45070</v>
      </c>
      <c r="B2116" s="6" t="s">
        <v>3307</v>
      </c>
      <c r="C2116" s="5" t="s">
        <v>3306</v>
      </c>
      <c r="D2116" s="8" t="s">
        <v>3274</v>
      </c>
      <c r="E2116" s="6" t="s">
        <v>2045</v>
      </c>
      <c r="F2116" s="6" t="s">
        <v>411</v>
      </c>
      <c r="G2116" s="5">
        <v>1970</v>
      </c>
      <c r="H2116" s="5">
        <f t="shared" si="52"/>
        <v>0.577125</v>
      </c>
      <c r="I2116" s="20">
        <f t="shared" si="53"/>
        <v>1136.93625</v>
      </c>
      <c r="J2116" s="6" t="s">
        <v>357</v>
      </c>
    </row>
    <row r="2117" spans="1:10" hidden="1">
      <c r="A2117" s="9">
        <v>45070</v>
      </c>
      <c r="B2117" s="6" t="s">
        <v>3309</v>
      </c>
      <c r="C2117" s="5" t="s">
        <v>3308</v>
      </c>
      <c r="D2117" s="8" t="s">
        <v>3274</v>
      </c>
      <c r="E2117" s="6" t="s">
        <v>2045</v>
      </c>
      <c r="F2117" s="6" t="s">
        <v>686</v>
      </c>
      <c r="G2117" s="5">
        <v>3414</v>
      </c>
      <c r="H2117" s="5">
        <f t="shared" si="52"/>
        <v>0.577125</v>
      </c>
      <c r="I2117" s="20">
        <f t="shared" si="53"/>
        <v>1970.30475</v>
      </c>
      <c r="J2117" s="6" t="s">
        <v>357</v>
      </c>
    </row>
    <row r="2118" spans="1:10" hidden="1">
      <c r="A2118" s="9">
        <v>45070</v>
      </c>
      <c r="B2118" s="6" t="s">
        <v>3311</v>
      </c>
      <c r="C2118" s="5" t="s">
        <v>3310</v>
      </c>
      <c r="D2118" s="8" t="s">
        <v>3274</v>
      </c>
      <c r="E2118" s="6" t="s">
        <v>2045</v>
      </c>
      <c r="F2118" s="6" t="s">
        <v>411</v>
      </c>
      <c r="G2118" s="5">
        <v>765</v>
      </c>
      <c r="H2118" s="5">
        <f t="shared" si="52"/>
        <v>0.577125</v>
      </c>
      <c r="I2118" s="20">
        <f t="shared" si="53"/>
        <v>441.50062500000001</v>
      </c>
      <c r="J2118" s="6" t="s">
        <v>357</v>
      </c>
    </row>
    <row r="2119" spans="1:10" hidden="1">
      <c r="A2119" s="9">
        <v>45070</v>
      </c>
      <c r="B2119" s="6" t="s">
        <v>3313</v>
      </c>
      <c r="C2119" s="5" t="s">
        <v>3312</v>
      </c>
      <c r="D2119" s="8" t="s">
        <v>3274</v>
      </c>
      <c r="E2119" s="6" t="s">
        <v>2045</v>
      </c>
      <c r="F2119" s="6" t="s">
        <v>686</v>
      </c>
      <c r="G2119" s="5">
        <v>1225</v>
      </c>
      <c r="H2119" s="5">
        <f t="shared" si="52"/>
        <v>0.577125</v>
      </c>
      <c r="I2119" s="20">
        <f t="shared" si="53"/>
        <v>706.97812499999998</v>
      </c>
      <c r="J2119" s="6" t="s">
        <v>357</v>
      </c>
    </row>
    <row r="2120" spans="1:10" hidden="1">
      <c r="A2120" s="9">
        <v>45070</v>
      </c>
      <c r="B2120" s="6" t="s">
        <v>3315</v>
      </c>
      <c r="C2120" s="5" t="s">
        <v>3314</v>
      </c>
      <c r="D2120" s="8" t="s">
        <v>3274</v>
      </c>
      <c r="E2120" s="6" t="s">
        <v>2045</v>
      </c>
      <c r="F2120" s="6" t="s">
        <v>411</v>
      </c>
      <c r="G2120" s="5">
        <v>2223</v>
      </c>
      <c r="H2120" s="5">
        <f t="shared" si="52"/>
        <v>0.577125</v>
      </c>
      <c r="I2120" s="20">
        <f t="shared" si="53"/>
        <v>1282.948875</v>
      </c>
      <c r="J2120" s="6" t="s">
        <v>357</v>
      </c>
    </row>
    <row r="2121" spans="1:10" hidden="1">
      <c r="A2121" s="9">
        <v>45070</v>
      </c>
      <c r="B2121" s="6" t="s">
        <v>3317</v>
      </c>
      <c r="C2121" s="5" t="s">
        <v>3316</v>
      </c>
      <c r="D2121" s="8" t="s">
        <v>3274</v>
      </c>
      <c r="E2121" s="6" t="s">
        <v>2045</v>
      </c>
      <c r="F2121" s="6" t="s">
        <v>686</v>
      </c>
      <c r="G2121" s="5">
        <v>3573</v>
      </c>
      <c r="H2121" s="5">
        <f t="shared" si="52"/>
        <v>0.577125</v>
      </c>
      <c r="I2121" s="20">
        <f t="shared" si="53"/>
        <v>2062.0676250000001</v>
      </c>
      <c r="J2121" s="6" t="s">
        <v>357</v>
      </c>
    </row>
    <row r="2122" spans="1:10" hidden="1">
      <c r="A2122" s="9">
        <v>45070</v>
      </c>
      <c r="B2122" s="6" t="s">
        <v>3319</v>
      </c>
      <c r="C2122" s="5" t="s">
        <v>3318</v>
      </c>
      <c r="D2122" s="8" t="s">
        <v>3274</v>
      </c>
      <c r="E2122" s="6" t="s">
        <v>2045</v>
      </c>
      <c r="F2122" s="6" t="s">
        <v>411</v>
      </c>
      <c r="G2122" s="5">
        <v>2700</v>
      </c>
      <c r="H2122" s="5">
        <f t="shared" si="52"/>
        <v>0.577125</v>
      </c>
      <c r="I2122" s="20">
        <f t="shared" si="53"/>
        <v>1558.2375</v>
      </c>
      <c r="J2122" s="6" t="s">
        <v>357</v>
      </c>
    </row>
    <row r="2123" spans="1:10" hidden="1">
      <c r="A2123" s="9">
        <v>45070</v>
      </c>
      <c r="B2123" s="6" t="s">
        <v>3321</v>
      </c>
      <c r="C2123" s="5" t="s">
        <v>3320</v>
      </c>
      <c r="D2123" s="8" t="s">
        <v>3274</v>
      </c>
      <c r="E2123" s="6" t="s">
        <v>2045</v>
      </c>
      <c r="F2123" s="6" t="s">
        <v>686</v>
      </c>
      <c r="G2123" s="5">
        <v>4033</v>
      </c>
      <c r="H2123" s="5">
        <f t="shared" si="52"/>
        <v>0.577125</v>
      </c>
      <c r="I2123" s="20">
        <f t="shared" si="53"/>
        <v>2327.5451250000001</v>
      </c>
      <c r="J2123" s="6" t="s">
        <v>357</v>
      </c>
    </row>
    <row r="2124" spans="1:10" hidden="1">
      <c r="A2124" s="9">
        <v>45070</v>
      </c>
      <c r="B2124" s="6" t="s">
        <v>3323</v>
      </c>
      <c r="C2124" s="5" t="s">
        <v>3322</v>
      </c>
      <c r="D2124" s="8" t="s">
        <v>3274</v>
      </c>
      <c r="E2124" s="6" t="s">
        <v>2045</v>
      </c>
      <c r="F2124" s="6" t="s">
        <v>411</v>
      </c>
      <c r="G2124" s="5">
        <v>2811</v>
      </c>
      <c r="H2124" s="5">
        <f t="shared" si="52"/>
        <v>0.577125</v>
      </c>
      <c r="I2124" s="20">
        <f t="shared" si="53"/>
        <v>1622.2983750000001</v>
      </c>
      <c r="J2124" s="6" t="s">
        <v>357</v>
      </c>
    </row>
    <row r="2125" spans="1:10" hidden="1">
      <c r="A2125" s="9">
        <v>45070</v>
      </c>
      <c r="B2125" s="6" t="s">
        <v>3325</v>
      </c>
      <c r="C2125" s="5" t="s">
        <v>3324</v>
      </c>
      <c r="D2125" s="8" t="s">
        <v>3274</v>
      </c>
      <c r="E2125" s="6" t="s">
        <v>2045</v>
      </c>
      <c r="F2125" s="6" t="s">
        <v>686</v>
      </c>
      <c r="G2125" s="5">
        <v>4129</v>
      </c>
      <c r="H2125" s="5">
        <f t="shared" si="52"/>
        <v>0.577125</v>
      </c>
      <c r="I2125" s="20">
        <f t="shared" si="53"/>
        <v>2382.9491250000001</v>
      </c>
      <c r="J2125" s="6" t="s">
        <v>357</v>
      </c>
    </row>
    <row r="2126" spans="1:10" hidden="1">
      <c r="A2126" s="9">
        <v>45070</v>
      </c>
      <c r="B2126" s="6" t="s">
        <v>3327</v>
      </c>
      <c r="C2126" s="5" t="s">
        <v>3326</v>
      </c>
      <c r="D2126" s="8" t="s">
        <v>3274</v>
      </c>
      <c r="E2126" s="6" t="s">
        <v>2045</v>
      </c>
      <c r="F2126" s="6" t="s">
        <v>411</v>
      </c>
      <c r="G2126" s="5">
        <v>2955</v>
      </c>
      <c r="H2126" s="5">
        <f t="shared" si="52"/>
        <v>0.577125</v>
      </c>
      <c r="I2126" s="20">
        <f t="shared" si="53"/>
        <v>1705.4043750000001</v>
      </c>
      <c r="J2126" s="6" t="s">
        <v>357</v>
      </c>
    </row>
    <row r="2127" spans="1:10" hidden="1">
      <c r="A2127" s="9">
        <v>45070</v>
      </c>
      <c r="B2127" s="6" t="s">
        <v>3329</v>
      </c>
      <c r="C2127" s="5" t="s">
        <v>3328</v>
      </c>
      <c r="D2127" s="8" t="s">
        <v>3274</v>
      </c>
      <c r="E2127" s="6" t="s">
        <v>2045</v>
      </c>
      <c r="F2127" s="6" t="s">
        <v>686</v>
      </c>
      <c r="G2127" s="5">
        <v>4526</v>
      </c>
      <c r="H2127" s="5">
        <f t="shared" si="52"/>
        <v>0.577125</v>
      </c>
      <c r="I2127" s="20">
        <f t="shared" si="53"/>
        <v>2612.0677500000002</v>
      </c>
      <c r="J2127" s="6" t="s">
        <v>357</v>
      </c>
    </row>
    <row r="2128" spans="1:10" hidden="1">
      <c r="A2128" s="22">
        <v>45070</v>
      </c>
      <c r="B2128" s="6" t="s">
        <v>3331</v>
      </c>
      <c r="C2128" s="5" t="s">
        <v>3330</v>
      </c>
      <c r="D2128" s="8" t="s">
        <v>3274</v>
      </c>
      <c r="E2128" s="6" t="s">
        <v>1871</v>
      </c>
      <c r="F2128" s="6" t="s">
        <v>411</v>
      </c>
      <c r="G2128" s="5">
        <v>63</v>
      </c>
      <c r="H2128" s="5">
        <f>0.75*0.9*0.9</f>
        <v>0.60750000000000004</v>
      </c>
      <c r="I2128" s="20">
        <f t="shared" si="53"/>
        <v>38.272500000000001</v>
      </c>
      <c r="J2128" s="6" t="s">
        <v>357</v>
      </c>
    </row>
    <row r="2129" spans="1:10" hidden="1">
      <c r="A2129" s="22">
        <v>45070</v>
      </c>
      <c r="B2129" s="6" t="s">
        <v>3333</v>
      </c>
      <c r="C2129" s="5" t="s">
        <v>3332</v>
      </c>
      <c r="D2129" s="8" t="s">
        <v>3274</v>
      </c>
      <c r="E2129" s="6" t="s">
        <v>1871</v>
      </c>
      <c r="F2129" s="6" t="s">
        <v>411</v>
      </c>
      <c r="G2129" s="5">
        <v>80</v>
      </c>
      <c r="H2129" s="5">
        <f>0.75*0.9*0.9</f>
        <v>0.60750000000000004</v>
      </c>
      <c r="I2129" s="20">
        <f t="shared" si="53"/>
        <v>48.6</v>
      </c>
      <c r="J2129" s="6" t="s">
        <v>357</v>
      </c>
    </row>
    <row r="2130" spans="1:10" hidden="1">
      <c r="A2130" s="9">
        <v>45824</v>
      </c>
      <c r="B2130" s="216" t="s">
        <v>7125</v>
      </c>
      <c r="C2130" s="5" t="s">
        <v>7126</v>
      </c>
      <c r="D2130" s="8" t="s">
        <v>3337</v>
      </c>
      <c r="E2130" s="25" t="s">
        <v>1435</v>
      </c>
      <c r="F2130" s="25" t="s">
        <v>411</v>
      </c>
      <c r="G2130" s="31">
        <v>354</v>
      </c>
      <c r="H2130" s="5">
        <v>1</v>
      </c>
      <c r="I2130" s="20">
        <f t="shared" si="53"/>
        <v>354</v>
      </c>
      <c r="J2130" s="6" t="s">
        <v>357</v>
      </c>
    </row>
    <row r="2131" spans="1:10" ht="30" hidden="1">
      <c r="A2131" s="9">
        <v>45070</v>
      </c>
      <c r="B2131" s="6" t="s">
        <v>3335</v>
      </c>
      <c r="C2131" s="5" t="s">
        <v>3334</v>
      </c>
      <c r="D2131" s="8" t="s">
        <v>3274</v>
      </c>
      <c r="E2131" s="6" t="s">
        <v>3041</v>
      </c>
      <c r="F2131" s="6" t="s">
        <v>3042</v>
      </c>
      <c r="G2131" s="5">
        <v>1140</v>
      </c>
      <c r="H2131" s="5">
        <f>0.75*0.9*0.9*0.95</f>
        <v>0.577125</v>
      </c>
      <c r="I2131" s="20">
        <f t="shared" si="53"/>
        <v>657.92250000000001</v>
      </c>
      <c r="J2131" s="6" t="s">
        <v>357</v>
      </c>
    </row>
    <row r="2132" spans="1:10" ht="30" hidden="1">
      <c r="A2132" s="9">
        <v>45070</v>
      </c>
      <c r="B2132" s="6" t="s">
        <v>3338</v>
      </c>
      <c r="C2132" s="5" t="s">
        <v>3336</v>
      </c>
      <c r="D2132" s="8" t="s">
        <v>3337</v>
      </c>
      <c r="E2132" s="6" t="s">
        <v>3041</v>
      </c>
      <c r="F2132" s="6" t="s">
        <v>3042</v>
      </c>
      <c r="G2132" s="5">
        <v>863</v>
      </c>
      <c r="H2132" s="5">
        <f>0.75*0.9*0.9*0.95</f>
        <v>0.577125</v>
      </c>
      <c r="I2132" s="20">
        <f t="shared" si="53"/>
        <v>498.058875</v>
      </c>
      <c r="J2132" s="6" t="s">
        <v>357</v>
      </c>
    </row>
    <row r="2133" spans="1:10" ht="30" hidden="1">
      <c r="A2133" s="9">
        <v>45070</v>
      </c>
      <c r="B2133" s="6" t="s">
        <v>3340</v>
      </c>
      <c r="C2133" s="5" t="s">
        <v>3339</v>
      </c>
      <c r="D2133" s="8" t="s">
        <v>3274</v>
      </c>
      <c r="E2133" s="6" t="s">
        <v>6382</v>
      </c>
      <c r="F2133" s="6" t="s">
        <v>3341</v>
      </c>
      <c r="G2133" s="5">
        <v>449</v>
      </c>
      <c r="H2133" s="5">
        <f>0.75*0.9*0.9</f>
        <v>0.60750000000000004</v>
      </c>
      <c r="I2133" s="20">
        <f t="shared" si="53"/>
        <v>272.76750000000004</v>
      </c>
      <c r="J2133" s="6" t="s">
        <v>357</v>
      </c>
    </row>
    <row r="2134" spans="1:10" ht="30" hidden="1">
      <c r="A2134" s="9">
        <v>45070</v>
      </c>
      <c r="B2134" s="6" t="s">
        <v>3343</v>
      </c>
      <c r="C2134" s="5" t="s">
        <v>3342</v>
      </c>
      <c r="D2134" s="8" t="s">
        <v>3274</v>
      </c>
      <c r="E2134" s="6" t="s">
        <v>6382</v>
      </c>
      <c r="F2134" s="6" t="s">
        <v>3344</v>
      </c>
      <c r="G2134" s="5">
        <v>986</v>
      </c>
      <c r="H2134" s="5">
        <f>0.75*0.9*0.9</f>
        <v>0.60750000000000004</v>
      </c>
      <c r="I2134" s="20">
        <f t="shared" si="53"/>
        <v>598.995</v>
      </c>
      <c r="J2134" s="6" t="s">
        <v>357</v>
      </c>
    </row>
    <row r="2135" spans="1:10" hidden="1">
      <c r="A2135" s="9">
        <v>45070</v>
      </c>
      <c r="B2135" s="6" t="s">
        <v>3345</v>
      </c>
      <c r="C2135" s="5" t="s">
        <v>3037</v>
      </c>
      <c r="D2135" s="8" t="s">
        <v>3274</v>
      </c>
      <c r="E2135" s="6" t="s">
        <v>6381</v>
      </c>
      <c r="F2135" s="6" t="s">
        <v>3344</v>
      </c>
      <c r="G2135" s="5">
        <v>310</v>
      </c>
      <c r="H2135" s="5">
        <f>0.75*0.9*0.9</f>
        <v>0.60750000000000004</v>
      </c>
      <c r="I2135" s="20">
        <f t="shared" si="53"/>
        <v>188.32500000000002</v>
      </c>
      <c r="J2135" s="6" t="s">
        <v>357</v>
      </c>
    </row>
    <row r="2136" spans="1:10" hidden="1">
      <c r="A2136" s="9">
        <v>45926</v>
      </c>
      <c r="B2136" s="216" t="s">
        <v>7578</v>
      </c>
      <c r="C2136" s="5" t="s">
        <v>7579</v>
      </c>
      <c r="D2136" s="8" t="s">
        <v>3274</v>
      </c>
      <c r="E2136" s="25" t="s">
        <v>2924</v>
      </c>
      <c r="F2136" s="25" t="s">
        <v>2925</v>
      </c>
      <c r="G2136" s="31">
        <v>295</v>
      </c>
      <c r="H2136" s="5">
        <f t="shared" ref="H2136:H2167" si="54">0.75*0.9*0.9*0.8</f>
        <v>0.48600000000000004</v>
      </c>
      <c r="I2136" s="20">
        <f t="shared" si="53"/>
        <v>143.37</v>
      </c>
      <c r="J2136" s="6" t="s">
        <v>357</v>
      </c>
    </row>
    <row r="2137" spans="1:10" hidden="1">
      <c r="A2137" s="9">
        <v>45926</v>
      </c>
      <c r="B2137" s="216" t="s">
        <v>7606</v>
      </c>
      <c r="C2137" s="5" t="s">
        <v>7611</v>
      </c>
      <c r="D2137" s="8" t="s">
        <v>3274</v>
      </c>
      <c r="E2137" s="25" t="s">
        <v>2924</v>
      </c>
      <c r="F2137" s="25" t="s">
        <v>2968</v>
      </c>
      <c r="G2137" s="31">
        <v>965</v>
      </c>
      <c r="H2137" s="5">
        <f t="shared" si="54"/>
        <v>0.48600000000000004</v>
      </c>
      <c r="I2137" s="20">
        <f t="shared" si="53"/>
        <v>468.99000000000007</v>
      </c>
      <c r="J2137" s="6" t="s">
        <v>357</v>
      </c>
    </row>
    <row r="2138" spans="1:10" hidden="1">
      <c r="A2138" s="9">
        <v>45926</v>
      </c>
      <c r="B2138" s="216" t="s">
        <v>7596</v>
      </c>
      <c r="C2138" s="5" t="s">
        <v>7597</v>
      </c>
      <c r="D2138" s="8" t="s">
        <v>3274</v>
      </c>
      <c r="E2138" s="25" t="s">
        <v>2924</v>
      </c>
      <c r="F2138" s="25" t="s">
        <v>2925</v>
      </c>
      <c r="G2138" s="31">
        <v>465</v>
      </c>
      <c r="H2138" s="5">
        <f t="shared" si="54"/>
        <v>0.48600000000000004</v>
      </c>
      <c r="I2138" s="20">
        <f t="shared" si="53"/>
        <v>225.99</v>
      </c>
      <c r="J2138" s="6" t="s">
        <v>357</v>
      </c>
    </row>
    <row r="2139" spans="1:10" hidden="1">
      <c r="A2139" s="9">
        <v>45926</v>
      </c>
      <c r="B2139" s="216" t="s">
        <v>7621</v>
      </c>
      <c r="C2139" s="5" t="s">
        <v>7630</v>
      </c>
      <c r="D2139" s="8" t="s">
        <v>3274</v>
      </c>
      <c r="E2139" s="25" t="s">
        <v>2924</v>
      </c>
      <c r="F2139" s="25" t="s">
        <v>2968</v>
      </c>
      <c r="G2139" s="31">
        <v>1010</v>
      </c>
      <c r="H2139" s="5">
        <f t="shared" si="54"/>
        <v>0.48600000000000004</v>
      </c>
      <c r="I2139" s="20">
        <f t="shared" si="53"/>
        <v>490.86000000000007</v>
      </c>
      <c r="J2139" s="6" t="s">
        <v>357</v>
      </c>
    </row>
    <row r="2140" spans="1:10" hidden="1">
      <c r="A2140" s="9">
        <v>45926</v>
      </c>
      <c r="B2140" s="216" t="s">
        <v>7580</v>
      </c>
      <c r="C2140" s="5" t="s">
        <v>7581</v>
      </c>
      <c r="D2140" s="8" t="s">
        <v>3274</v>
      </c>
      <c r="E2140" s="25" t="s">
        <v>2924</v>
      </c>
      <c r="F2140" s="25" t="s">
        <v>2925</v>
      </c>
      <c r="G2140" s="31">
        <v>295</v>
      </c>
      <c r="H2140" s="5">
        <f t="shared" si="54"/>
        <v>0.48600000000000004</v>
      </c>
      <c r="I2140" s="20">
        <f t="shared" si="53"/>
        <v>143.37</v>
      </c>
      <c r="J2140" s="6" t="s">
        <v>357</v>
      </c>
    </row>
    <row r="2141" spans="1:10" hidden="1">
      <c r="A2141" s="9">
        <v>45926</v>
      </c>
      <c r="B2141" s="216" t="s">
        <v>7598</v>
      </c>
      <c r="C2141" s="5" t="s">
        <v>7599</v>
      </c>
      <c r="D2141" s="8" t="s">
        <v>3274</v>
      </c>
      <c r="E2141" s="25" t="s">
        <v>2924</v>
      </c>
      <c r="F2141" s="25" t="s">
        <v>2925</v>
      </c>
      <c r="G2141" s="31">
        <v>510</v>
      </c>
      <c r="H2141" s="5">
        <f t="shared" si="54"/>
        <v>0.48600000000000004</v>
      </c>
      <c r="I2141" s="20">
        <f t="shared" si="53"/>
        <v>247.86</v>
      </c>
      <c r="J2141" s="6" t="s">
        <v>357</v>
      </c>
    </row>
    <row r="2142" spans="1:10" hidden="1">
      <c r="A2142" s="9">
        <v>45926</v>
      </c>
      <c r="B2142" s="216" t="s">
        <v>7622</v>
      </c>
      <c r="C2142" s="5" t="s">
        <v>7631</v>
      </c>
      <c r="D2142" s="8" t="s">
        <v>3274</v>
      </c>
      <c r="E2142" s="25" t="s">
        <v>2924</v>
      </c>
      <c r="F2142" s="25" t="s">
        <v>2968</v>
      </c>
      <c r="G2142" s="31">
        <v>1045</v>
      </c>
      <c r="H2142" s="5">
        <f t="shared" si="54"/>
        <v>0.48600000000000004</v>
      </c>
      <c r="I2142" s="20">
        <f t="shared" si="53"/>
        <v>507.87000000000006</v>
      </c>
      <c r="J2142" s="6" t="s">
        <v>357</v>
      </c>
    </row>
    <row r="2143" spans="1:10" hidden="1">
      <c r="A2143" s="9">
        <v>45926</v>
      </c>
      <c r="B2143" s="216" t="s">
        <v>7582</v>
      </c>
      <c r="C2143" s="5" t="s">
        <v>7583</v>
      </c>
      <c r="D2143" s="8" t="s">
        <v>3274</v>
      </c>
      <c r="E2143" s="25" t="s">
        <v>2924</v>
      </c>
      <c r="F2143" s="25" t="s">
        <v>2925</v>
      </c>
      <c r="G2143" s="31">
        <v>300</v>
      </c>
      <c r="H2143" s="5">
        <f t="shared" si="54"/>
        <v>0.48600000000000004</v>
      </c>
      <c r="I2143" s="20">
        <f t="shared" si="53"/>
        <v>145.80000000000001</v>
      </c>
      <c r="J2143" s="6" t="s">
        <v>357</v>
      </c>
    </row>
    <row r="2144" spans="1:10" hidden="1">
      <c r="A2144" s="9">
        <v>45926</v>
      </c>
      <c r="B2144" s="216" t="s">
        <v>7607</v>
      </c>
      <c r="C2144" s="5" t="s">
        <v>7612</v>
      </c>
      <c r="D2144" s="8" t="s">
        <v>3274</v>
      </c>
      <c r="E2144" s="25" t="s">
        <v>2924</v>
      </c>
      <c r="F2144" s="25" t="s">
        <v>2968</v>
      </c>
      <c r="G2144" s="31">
        <v>965</v>
      </c>
      <c r="H2144" s="5">
        <f t="shared" si="54"/>
        <v>0.48600000000000004</v>
      </c>
      <c r="I2144" s="20">
        <f t="shared" si="53"/>
        <v>468.99000000000007</v>
      </c>
      <c r="J2144" s="6" t="s">
        <v>357</v>
      </c>
    </row>
    <row r="2145" spans="1:10" hidden="1">
      <c r="A2145" s="9">
        <v>45926</v>
      </c>
      <c r="B2145" s="216" t="s">
        <v>7600</v>
      </c>
      <c r="C2145" s="5" t="s">
        <v>7601</v>
      </c>
      <c r="D2145" s="8" t="s">
        <v>3274</v>
      </c>
      <c r="E2145" s="25" t="s">
        <v>2924</v>
      </c>
      <c r="F2145" s="25" t="s">
        <v>2925</v>
      </c>
      <c r="G2145" s="31">
        <v>540</v>
      </c>
      <c r="H2145" s="5">
        <f t="shared" si="54"/>
        <v>0.48600000000000004</v>
      </c>
      <c r="I2145" s="20">
        <f t="shared" si="53"/>
        <v>262.44</v>
      </c>
      <c r="J2145" s="6" t="s">
        <v>357</v>
      </c>
    </row>
    <row r="2146" spans="1:10" hidden="1">
      <c r="A2146" s="9">
        <v>45926</v>
      </c>
      <c r="B2146" s="216" t="s">
        <v>7623</v>
      </c>
      <c r="C2146" s="5" t="s">
        <v>7632</v>
      </c>
      <c r="D2146" s="8" t="s">
        <v>3274</v>
      </c>
      <c r="E2146" s="25" t="s">
        <v>2924</v>
      </c>
      <c r="F2146" s="25" t="s">
        <v>2968</v>
      </c>
      <c r="G2146" s="31">
        <v>1170</v>
      </c>
      <c r="H2146" s="5">
        <f t="shared" si="54"/>
        <v>0.48600000000000004</v>
      </c>
      <c r="I2146" s="20">
        <f t="shared" si="53"/>
        <v>568.62</v>
      </c>
      <c r="J2146" s="6" t="s">
        <v>357</v>
      </c>
    </row>
    <row r="2147" spans="1:10" hidden="1">
      <c r="A2147" s="9">
        <v>45926</v>
      </c>
      <c r="B2147" s="216" t="s">
        <v>7584</v>
      </c>
      <c r="C2147" s="5" t="s">
        <v>7585</v>
      </c>
      <c r="D2147" s="8" t="s">
        <v>3274</v>
      </c>
      <c r="E2147" s="25" t="s">
        <v>2924</v>
      </c>
      <c r="F2147" s="25" t="s">
        <v>2925</v>
      </c>
      <c r="G2147" s="31">
        <v>320</v>
      </c>
      <c r="H2147" s="5">
        <f t="shared" si="54"/>
        <v>0.48600000000000004</v>
      </c>
      <c r="I2147" s="20">
        <f t="shared" si="53"/>
        <v>155.52000000000001</v>
      </c>
      <c r="J2147" s="6" t="s">
        <v>357</v>
      </c>
    </row>
    <row r="2148" spans="1:10" hidden="1">
      <c r="A2148" s="9">
        <v>45926</v>
      </c>
      <c r="B2148" s="216" t="s">
        <v>7608</v>
      </c>
      <c r="C2148" s="5" t="s">
        <v>7613</v>
      </c>
      <c r="D2148" s="8" t="s">
        <v>3274</v>
      </c>
      <c r="E2148" s="25" t="s">
        <v>2924</v>
      </c>
      <c r="F2148" s="25" t="s">
        <v>2968</v>
      </c>
      <c r="G2148" s="31">
        <v>925</v>
      </c>
      <c r="H2148" s="5">
        <f t="shared" si="54"/>
        <v>0.48600000000000004</v>
      </c>
      <c r="I2148" s="20">
        <f t="shared" si="53"/>
        <v>449.55000000000007</v>
      </c>
      <c r="J2148" s="6" t="s">
        <v>357</v>
      </c>
    </row>
    <row r="2149" spans="1:10" hidden="1">
      <c r="A2149" s="9">
        <v>45926</v>
      </c>
      <c r="B2149" s="216" t="s">
        <v>7602</v>
      </c>
      <c r="C2149" s="5" t="s">
        <v>7603</v>
      </c>
      <c r="D2149" s="8" t="s">
        <v>3274</v>
      </c>
      <c r="E2149" s="25" t="s">
        <v>2924</v>
      </c>
      <c r="F2149" s="25" t="s">
        <v>2925</v>
      </c>
      <c r="G2149" s="31">
        <v>560</v>
      </c>
      <c r="H2149" s="5">
        <f t="shared" si="54"/>
        <v>0.48600000000000004</v>
      </c>
      <c r="I2149" s="20">
        <f t="shared" si="53"/>
        <v>272.16000000000003</v>
      </c>
      <c r="J2149" s="6" t="s">
        <v>357</v>
      </c>
    </row>
    <row r="2150" spans="1:10" hidden="1">
      <c r="A2150" s="9">
        <v>45926</v>
      </c>
      <c r="B2150" s="216" t="s">
        <v>7624</v>
      </c>
      <c r="C2150" s="5" t="s">
        <v>7633</v>
      </c>
      <c r="D2150" s="8" t="s">
        <v>3274</v>
      </c>
      <c r="E2150" s="25" t="s">
        <v>2924</v>
      </c>
      <c r="F2150" s="25" t="s">
        <v>2968</v>
      </c>
      <c r="G2150" s="31">
        <v>1200</v>
      </c>
      <c r="H2150" s="5">
        <f t="shared" si="54"/>
        <v>0.48600000000000004</v>
      </c>
      <c r="I2150" s="20">
        <f t="shared" si="53"/>
        <v>583.20000000000005</v>
      </c>
      <c r="J2150" s="6" t="s">
        <v>357</v>
      </c>
    </row>
    <row r="2151" spans="1:10" hidden="1">
      <c r="A2151" s="9">
        <v>45926</v>
      </c>
      <c r="B2151" s="216" t="s">
        <v>7625</v>
      </c>
      <c r="C2151" s="5" t="s">
        <v>7634</v>
      </c>
      <c r="D2151" s="8" t="s">
        <v>3274</v>
      </c>
      <c r="E2151" s="25" t="s">
        <v>2924</v>
      </c>
      <c r="F2151" s="25" t="s">
        <v>2968</v>
      </c>
      <c r="G2151" s="31">
        <v>1200</v>
      </c>
      <c r="H2151" s="5">
        <f t="shared" si="54"/>
        <v>0.48600000000000004</v>
      </c>
      <c r="I2151" s="20">
        <f t="shared" si="53"/>
        <v>583.20000000000005</v>
      </c>
      <c r="J2151" s="6" t="s">
        <v>357</v>
      </c>
    </row>
    <row r="2152" spans="1:10" hidden="1">
      <c r="A2152" s="9">
        <v>45926</v>
      </c>
      <c r="B2152" s="216" t="s">
        <v>7586</v>
      </c>
      <c r="C2152" s="5" t="s">
        <v>7587</v>
      </c>
      <c r="D2152" s="8" t="s">
        <v>3274</v>
      </c>
      <c r="E2152" s="25" t="s">
        <v>2924</v>
      </c>
      <c r="F2152" s="25" t="s">
        <v>2925</v>
      </c>
      <c r="G2152" s="31">
        <v>320</v>
      </c>
      <c r="H2152" s="5">
        <f t="shared" si="54"/>
        <v>0.48600000000000004</v>
      </c>
      <c r="I2152" s="20">
        <f t="shared" si="53"/>
        <v>155.52000000000001</v>
      </c>
      <c r="J2152" s="6" t="s">
        <v>357</v>
      </c>
    </row>
    <row r="2153" spans="1:10" hidden="1">
      <c r="A2153" s="9">
        <v>45926</v>
      </c>
      <c r="B2153" s="216" t="s">
        <v>7609</v>
      </c>
      <c r="C2153" s="5" t="s">
        <v>7614</v>
      </c>
      <c r="D2153" s="8" t="s">
        <v>3274</v>
      </c>
      <c r="E2153" s="25" t="s">
        <v>2924</v>
      </c>
      <c r="F2153" s="25" t="s">
        <v>2968</v>
      </c>
      <c r="G2153" s="31">
        <v>925</v>
      </c>
      <c r="H2153" s="5">
        <f t="shared" si="54"/>
        <v>0.48600000000000004</v>
      </c>
      <c r="I2153" s="20">
        <f t="shared" si="53"/>
        <v>449.55000000000007</v>
      </c>
      <c r="J2153" s="6" t="s">
        <v>357</v>
      </c>
    </row>
    <row r="2154" spans="1:10" hidden="1">
      <c r="A2154" s="9">
        <v>45926</v>
      </c>
      <c r="B2154" s="216" t="s">
        <v>7604</v>
      </c>
      <c r="C2154" s="5" t="s">
        <v>7605</v>
      </c>
      <c r="D2154" s="8" t="s">
        <v>3274</v>
      </c>
      <c r="E2154" s="25" t="s">
        <v>2924</v>
      </c>
      <c r="F2154" s="25" t="s">
        <v>2925</v>
      </c>
      <c r="G2154" s="31">
        <v>830</v>
      </c>
      <c r="H2154" s="5">
        <f t="shared" si="54"/>
        <v>0.48600000000000004</v>
      </c>
      <c r="I2154" s="20">
        <f t="shared" si="53"/>
        <v>403.38000000000005</v>
      </c>
      <c r="J2154" s="6" t="s">
        <v>357</v>
      </c>
    </row>
    <row r="2155" spans="1:10" hidden="1">
      <c r="A2155" s="9">
        <v>45926</v>
      </c>
      <c r="B2155" s="216" t="s">
        <v>7626</v>
      </c>
      <c r="C2155" s="5" t="s">
        <v>7635</v>
      </c>
      <c r="D2155" s="8" t="s">
        <v>3274</v>
      </c>
      <c r="E2155" s="25" t="s">
        <v>2924</v>
      </c>
      <c r="F2155" s="25" t="s">
        <v>2968</v>
      </c>
      <c r="G2155" s="31">
        <v>1200</v>
      </c>
      <c r="H2155" s="5">
        <f t="shared" si="54"/>
        <v>0.48600000000000004</v>
      </c>
      <c r="I2155" s="20">
        <f t="shared" si="53"/>
        <v>583.20000000000005</v>
      </c>
      <c r="J2155" s="6" t="s">
        <v>357</v>
      </c>
    </row>
    <row r="2156" spans="1:10" hidden="1">
      <c r="A2156" s="9">
        <v>45926</v>
      </c>
      <c r="B2156" s="216" t="s">
        <v>7575</v>
      </c>
      <c r="C2156" s="5" t="s">
        <v>7573</v>
      </c>
      <c r="D2156" s="8" t="s">
        <v>3274</v>
      </c>
      <c r="E2156" s="25" t="s">
        <v>2924</v>
      </c>
      <c r="F2156" s="25" t="s">
        <v>2925</v>
      </c>
      <c r="G2156" s="31">
        <v>300</v>
      </c>
      <c r="H2156" s="5">
        <f t="shared" si="54"/>
        <v>0.48600000000000004</v>
      </c>
      <c r="I2156" s="20">
        <f t="shared" si="53"/>
        <v>145.80000000000001</v>
      </c>
      <c r="J2156" s="6" t="s">
        <v>357</v>
      </c>
    </row>
    <row r="2157" spans="1:10" hidden="1">
      <c r="A2157" s="9">
        <v>45926</v>
      </c>
      <c r="B2157" s="216" t="s">
        <v>7574</v>
      </c>
      <c r="C2157" s="5" t="s">
        <v>7572</v>
      </c>
      <c r="D2157" s="8" t="s">
        <v>3274</v>
      </c>
      <c r="E2157" s="25" t="s">
        <v>2924</v>
      </c>
      <c r="F2157" s="25" t="s">
        <v>2925</v>
      </c>
      <c r="G2157" s="31">
        <v>385</v>
      </c>
      <c r="H2157" s="5">
        <f t="shared" si="54"/>
        <v>0.48600000000000004</v>
      </c>
      <c r="I2157" s="20">
        <f t="shared" si="53"/>
        <v>187.11</v>
      </c>
      <c r="J2157" s="6" t="s">
        <v>357</v>
      </c>
    </row>
    <row r="2158" spans="1:10" hidden="1">
      <c r="A2158" s="9">
        <v>45926</v>
      </c>
      <c r="B2158" s="216" t="s">
        <v>7588</v>
      </c>
      <c r="C2158" s="5" t="s">
        <v>7589</v>
      </c>
      <c r="D2158" s="8" t="s">
        <v>3274</v>
      </c>
      <c r="E2158" s="25" t="s">
        <v>2924</v>
      </c>
      <c r="F2158" s="25" t="s">
        <v>2925</v>
      </c>
      <c r="G2158" s="31">
        <v>330</v>
      </c>
      <c r="H2158" s="5">
        <f t="shared" si="54"/>
        <v>0.48600000000000004</v>
      </c>
      <c r="I2158" s="20">
        <f t="shared" si="53"/>
        <v>160.38000000000002</v>
      </c>
      <c r="J2158" s="6" t="s">
        <v>357</v>
      </c>
    </row>
    <row r="2159" spans="1:10" hidden="1">
      <c r="A2159" s="9">
        <v>45926</v>
      </c>
      <c r="B2159" s="216" t="s">
        <v>7617</v>
      </c>
      <c r="C2159" s="5" t="s">
        <v>7615</v>
      </c>
      <c r="D2159" s="8" t="s">
        <v>3274</v>
      </c>
      <c r="E2159" s="25" t="s">
        <v>2924</v>
      </c>
      <c r="F2159" s="25" t="s">
        <v>2968</v>
      </c>
      <c r="G2159" s="31">
        <v>925</v>
      </c>
      <c r="H2159" s="5">
        <f t="shared" si="54"/>
        <v>0.48600000000000004</v>
      </c>
      <c r="I2159" s="20">
        <f t="shared" si="53"/>
        <v>449.55000000000007</v>
      </c>
      <c r="J2159" s="6" t="s">
        <v>357</v>
      </c>
    </row>
    <row r="2160" spans="1:10" hidden="1">
      <c r="A2160" s="9">
        <v>45926</v>
      </c>
      <c r="B2160" s="216" t="s">
        <v>7590</v>
      </c>
      <c r="C2160" s="5" t="s">
        <v>7591</v>
      </c>
      <c r="D2160" s="8" t="s">
        <v>3274</v>
      </c>
      <c r="E2160" s="25" t="s">
        <v>2924</v>
      </c>
      <c r="F2160" s="25" t="s">
        <v>2925</v>
      </c>
      <c r="G2160" s="31">
        <v>340</v>
      </c>
      <c r="H2160" s="5">
        <f t="shared" si="54"/>
        <v>0.48600000000000004</v>
      </c>
      <c r="I2160" s="20">
        <f t="shared" si="53"/>
        <v>165.24</v>
      </c>
      <c r="J2160" s="6" t="s">
        <v>357</v>
      </c>
    </row>
    <row r="2161" spans="1:10" hidden="1">
      <c r="A2161" s="9">
        <v>45926</v>
      </c>
      <c r="B2161" s="216" t="s">
        <v>7610</v>
      </c>
      <c r="C2161" s="5" t="s">
        <v>7616</v>
      </c>
      <c r="D2161" s="8" t="s">
        <v>3274</v>
      </c>
      <c r="E2161" s="25" t="s">
        <v>2924</v>
      </c>
      <c r="F2161" s="25" t="s">
        <v>2968</v>
      </c>
      <c r="G2161" s="31">
        <v>1010</v>
      </c>
      <c r="H2161" s="5">
        <f t="shared" si="54"/>
        <v>0.48600000000000004</v>
      </c>
      <c r="I2161" s="20">
        <f t="shared" si="53"/>
        <v>490.86000000000007</v>
      </c>
      <c r="J2161" s="6" t="s">
        <v>357</v>
      </c>
    </row>
    <row r="2162" spans="1:10" hidden="1">
      <c r="A2162" s="9">
        <v>45926</v>
      </c>
      <c r="B2162" s="216" t="s">
        <v>7618</v>
      </c>
      <c r="C2162" s="5" t="s">
        <v>7627</v>
      </c>
      <c r="D2162" s="8" t="s">
        <v>3274</v>
      </c>
      <c r="E2162" s="25" t="s">
        <v>2924</v>
      </c>
      <c r="F2162" s="25" t="s">
        <v>2968</v>
      </c>
      <c r="G2162" s="31">
        <v>1010</v>
      </c>
      <c r="H2162" s="5">
        <f t="shared" si="54"/>
        <v>0.48600000000000004</v>
      </c>
      <c r="I2162" s="20">
        <f t="shared" si="53"/>
        <v>490.86000000000007</v>
      </c>
      <c r="J2162" s="6" t="s">
        <v>357</v>
      </c>
    </row>
    <row r="2163" spans="1:10" hidden="1">
      <c r="A2163" s="9">
        <v>45926</v>
      </c>
      <c r="B2163" s="216" t="s">
        <v>7576</v>
      </c>
      <c r="C2163" s="5" t="s">
        <v>7577</v>
      </c>
      <c r="D2163" s="8" t="s">
        <v>3274</v>
      </c>
      <c r="E2163" s="25" t="s">
        <v>2924</v>
      </c>
      <c r="F2163" s="25" t="s">
        <v>2925</v>
      </c>
      <c r="G2163" s="31">
        <v>300</v>
      </c>
      <c r="H2163" s="5">
        <f t="shared" si="54"/>
        <v>0.48600000000000004</v>
      </c>
      <c r="I2163" s="20">
        <f t="shared" si="53"/>
        <v>145.80000000000001</v>
      </c>
      <c r="J2163" s="6" t="s">
        <v>357</v>
      </c>
    </row>
    <row r="2164" spans="1:10" hidden="1">
      <c r="A2164" s="9">
        <v>45926</v>
      </c>
      <c r="B2164" s="216" t="s">
        <v>7592</v>
      </c>
      <c r="C2164" s="5" t="s">
        <v>7593</v>
      </c>
      <c r="D2164" s="8" t="s">
        <v>3274</v>
      </c>
      <c r="E2164" s="25" t="s">
        <v>2924</v>
      </c>
      <c r="F2164" s="25" t="s">
        <v>2925</v>
      </c>
      <c r="G2164" s="31">
        <v>345</v>
      </c>
      <c r="H2164" s="5">
        <f t="shared" si="54"/>
        <v>0.48600000000000004</v>
      </c>
      <c r="I2164" s="20">
        <f t="shared" si="53"/>
        <v>167.67000000000002</v>
      </c>
      <c r="J2164" s="6" t="s">
        <v>357</v>
      </c>
    </row>
    <row r="2165" spans="1:10" hidden="1">
      <c r="A2165" s="9">
        <v>45926</v>
      </c>
      <c r="B2165" s="216" t="s">
        <v>7619</v>
      </c>
      <c r="C2165" s="5" t="s">
        <v>7628</v>
      </c>
      <c r="D2165" s="8" t="s">
        <v>3274</v>
      </c>
      <c r="E2165" s="25" t="s">
        <v>2924</v>
      </c>
      <c r="F2165" s="25" t="s">
        <v>2968</v>
      </c>
      <c r="G2165" s="31">
        <v>1010</v>
      </c>
      <c r="H2165" s="5">
        <f t="shared" si="54"/>
        <v>0.48600000000000004</v>
      </c>
      <c r="I2165" s="20">
        <f t="shared" si="53"/>
        <v>490.86000000000007</v>
      </c>
      <c r="J2165" s="6" t="s">
        <v>357</v>
      </c>
    </row>
    <row r="2166" spans="1:10" hidden="1">
      <c r="A2166" s="9">
        <v>45926</v>
      </c>
      <c r="B2166" s="216" t="s">
        <v>7594</v>
      </c>
      <c r="C2166" s="5" t="s">
        <v>7595</v>
      </c>
      <c r="D2166" s="8" t="s">
        <v>3274</v>
      </c>
      <c r="E2166" s="25" t="s">
        <v>2924</v>
      </c>
      <c r="F2166" s="25" t="s">
        <v>2925</v>
      </c>
      <c r="G2166" s="31">
        <v>430</v>
      </c>
      <c r="H2166" s="5">
        <f t="shared" si="54"/>
        <v>0.48600000000000004</v>
      </c>
      <c r="I2166" s="20">
        <f t="shared" si="53"/>
        <v>208.98000000000002</v>
      </c>
      <c r="J2166" s="6" t="s">
        <v>357</v>
      </c>
    </row>
    <row r="2167" spans="1:10" hidden="1">
      <c r="A2167" s="9">
        <v>45926</v>
      </c>
      <c r="B2167" s="216" t="s">
        <v>7620</v>
      </c>
      <c r="C2167" s="5" t="s">
        <v>7629</v>
      </c>
      <c r="D2167" s="8" t="s">
        <v>3274</v>
      </c>
      <c r="E2167" s="25" t="s">
        <v>2924</v>
      </c>
      <c r="F2167" s="25" t="s">
        <v>2968</v>
      </c>
      <c r="G2167" s="31">
        <v>1065</v>
      </c>
      <c r="H2167" s="5">
        <f t="shared" si="54"/>
        <v>0.48600000000000004</v>
      </c>
      <c r="I2167" s="20">
        <f t="shared" si="53"/>
        <v>517.59</v>
      </c>
      <c r="J2167" s="6" t="s">
        <v>357</v>
      </c>
    </row>
    <row r="2168" spans="1:10" hidden="1">
      <c r="A2168" s="10">
        <v>44337</v>
      </c>
      <c r="B2168" s="6" t="s">
        <v>2923</v>
      </c>
      <c r="C2168" s="5" t="s">
        <v>2922</v>
      </c>
      <c r="D2168" s="8" t="s">
        <v>3274</v>
      </c>
      <c r="E2168" s="6" t="s">
        <v>2924</v>
      </c>
      <c r="F2168" s="6" t="s">
        <v>2925</v>
      </c>
      <c r="G2168" s="5">
        <v>118</v>
      </c>
      <c r="H2168" s="5">
        <f>0.75*0.9*0.9*0.95*0.95</f>
        <v>0.54826874999999997</v>
      </c>
      <c r="I2168" s="20">
        <f t="shared" si="53"/>
        <v>64.695712499999999</v>
      </c>
      <c r="J2168" s="6" t="s">
        <v>357</v>
      </c>
    </row>
    <row r="2169" spans="1:10" hidden="1">
      <c r="A2169" s="10">
        <v>44337</v>
      </c>
      <c r="B2169" s="6" t="s">
        <v>2927</v>
      </c>
      <c r="C2169" s="5" t="s">
        <v>2926</v>
      </c>
      <c r="D2169" s="8" t="s">
        <v>3274</v>
      </c>
      <c r="E2169" s="6" t="s">
        <v>2924</v>
      </c>
      <c r="F2169" s="6" t="s">
        <v>2925</v>
      </c>
      <c r="G2169" s="5">
        <v>58</v>
      </c>
      <c r="H2169" s="5">
        <v>1</v>
      </c>
      <c r="I2169" s="20">
        <f t="shared" si="53"/>
        <v>58</v>
      </c>
      <c r="J2169" s="6" t="s">
        <v>357</v>
      </c>
    </row>
    <row r="2170" spans="1:10" hidden="1">
      <c r="A2170" s="10">
        <v>44337</v>
      </c>
      <c r="B2170" s="6" t="s">
        <v>2929</v>
      </c>
      <c r="C2170" s="5" t="s">
        <v>2928</v>
      </c>
      <c r="D2170" s="8" t="s">
        <v>3274</v>
      </c>
      <c r="E2170" s="6" t="s">
        <v>2924</v>
      </c>
      <c r="F2170" s="6" t="s">
        <v>2925</v>
      </c>
      <c r="G2170" s="5">
        <v>65</v>
      </c>
      <c r="H2170" s="5">
        <v>1</v>
      </c>
      <c r="I2170" s="20">
        <f t="shared" si="53"/>
        <v>65</v>
      </c>
      <c r="J2170" s="6" t="s">
        <v>357</v>
      </c>
    </row>
    <row r="2171" spans="1:10" hidden="1">
      <c r="A2171" s="10">
        <v>44337</v>
      </c>
      <c r="B2171" s="6" t="s">
        <v>2931</v>
      </c>
      <c r="C2171" s="5" t="s">
        <v>2930</v>
      </c>
      <c r="D2171" s="8" t="s">
        <v>3274</v>
      </c>
      <c r="E2171" s="6" t="s">
        <v>2924</v>
      </c>
      <c r="F2171" s="6" t="s">
        <v>2925</v>
      </c>
      <c r="G2171" s="5">
        <v>68</v>
      </c>
      <c r="H2171" s="5">
        <f t="shared" ref="H2171:H2177" si="55">0.75*0.9*0.9*0.95*0.95</f>
        <v>0.54826874999999997</v>
      </c>
      <c r="I2171" s="20">
        <f t="shared" si="53"/>
        <v>37.282274999999998</v>
      </c>
      <c r="J2171" s="6" t="s">
        <v>357</v>
      </c>
    </row>
    <row r="2172" spans="1:10" hidden="1">
      <c r="A2172" s="10">
        <v>44337</v>
      </c>
      <c r="B2172" s="6" t="s">
        <v>2933</v>
      </c>
      <c r="C2172" s="5" t="s">
        <v>2932</v>
      </c>
      <c r="D2172" s="8" t="s">
        <v>3274</v>
      </c>
      <c r="E2172" s="6" t="s">
        <v>2924</v>
      </c>
      <c r="F2172" s="6" t="s">
        <v>2925</v>
      </c>
      <c r="G2172" s="21">
        <v>72</v>
      </c>
      <c r="H2172" s="5">
        <f t="shared" si="55"/>
        <v>0.54826874999999997</v>
      </c>
      <c r="I2172" s="20">
        <f t="shared" si="53"/>
        <v>39.475349999999999</v>
      </c>
      <c r="J2172" s="6" t="s">
        <v>357</v>
      </c>
    </row>
    <row r="2173" spans="1:10" hidden="1">
      <c r="A2173" s="10">
        <v>44337</v>
      </c>
      <c r="B2173" s="6" t="s">
        <v>2935</v>
      </c>
      <c r="C2173" s="5" t="s">
        <v>2934</v>
      </c>
      <c r="D2173" s="8" t="s">
        <v>3274</v>
      </c>
      <c r="E2173" s="6" t="s">
        <v>2924</v>
      </c>
      <c r="F2173" s="6" t="s">
        <v>2925</v>
      </c>
      <c r="G2173" s="5">
        <v>65</v>
      </c>
      <c r="H2173" s="5">
        <f t="shared" si="55"/>
        <v>0.54826874999999997</v>
      </c>
      <c r="I2173" s="20">
        <f t="shared" si="53"/>
        <v>35.637468749999996</v>
      </c>
      <c r="J2173" s="6" t="s">
        <v>357</v>
      </c>
    </row>
    <row r="2174" spans="1:10" hidden="1">
      <c r="A2174" s="10">
        <v>44337</v>
      </c>
      <c r="B2174" s="6" t="s">
        <v>2937</v>
      </c>
      <c r="C2174" s="5" t="s">
        <v>2936</v>
      </c>
      <c r="D2174" s="8" t="s">
        <v>3274</v>
      </c>
      <c r="E2174" s="6" t="s">
        <v>2924</v>
      </c>
      <c r="F2174" s="6" t="s">
        <v>2925</v>
      </c>
      <c r="G2174" s="21">
        <v>78</v>
      </c>
      <c r="H2174" s="5">
        <f t="shared" si="55"/>
        <v>0.54826874999999997</v>
      </c>
      <c r="I2174" s="20">
        <f t="shared" si="53"/>
        <v>42.764962499999996</v>
      </c>
      <c r="J2174" s="6" t="s">
        <v>357</v>
      </c>
    </row>
    <row r="2175" spans="1:10" hidden="1">
      <c r="A2175" s="10">
        <v>44337</v>
      </c>
      <c r="B2175" s="6" t="s">
        <v>2939</v>
      </c>
      <c r="C2175" s="5" t="s">
        <v>2938</v>
      </c>
      <c r="D2175" s="8" t="s">
        <v>3274</v>
      </c>
      <c r="E2175" s="6" t="s">
        <v>2924</v>
      </c>
      <c r="F2175" s="6" t="s">
        <v>2925</v>
      </c>
      <c r="G2175" s="5">
        <v>47</v>
      </c>
      <c r="H2175" s="5">
        <f t="shared" si="55"/>
        <v>0.54826874999999997</v>
      </c>
      <c r="I2175" s="20">
        <f t="shared" si="53"/>
        <v>25.768631249999999</v>
      </c>
      <c r="J2175" s="6" t="s">
        <v>357</v>
      </c>
    </row>
    <row r="2176" spans="1:10" hidden="1">
      <c r="A2176" s="10">
        <v>44337</v>
      </c>
      <c r="B2176" s="6" t="s">
        <v>2941</v>
      </c>
      <c r="C2176" s="5" t="s">
        <v>2940</v>
      </c>
      <c r="D2176" s="8" t="s">
        <v>3274</v>
      </c>
      <c r="E2176" s="6" t="s">
        <v>2924</v>
      </c>
      <c r="F2176" s="6" t="s">
        <v>2925</v>
      </c>
      <c r="G2176" s="5">
        <v>87</v>
      </c>
      <c r="H2176" s="5">
        <f t="shared" si="55"/>
        <v>0.54826874999999997</v>
      </c>
      <c r="I2176" s="20">
        <f t="shared" si="53"/>
        <v>47.699381249999995</v>
      </c>
      <c r="J2176" s="6" t="s">
        <v>357</v>
      </c>
    </row>
    <row r="2177" spans="1:10" hidden="1">
      <c r="A2177" s="10">
        <v>44337</v>
      </c>
      <c r="B2177" s="6" t="s">
        <v>2943</v>
      </c>
      <c r="C2177" s="5" t="s">
        <v>2942</v>
      </c>
      <c r="D2177" s="8" t="s">
        <v>3274</v>
      </c>
      <c r="E2177" s="6" t="s">
        <v>2924</v>
      </c>
      <c r="F2177" s="6" t="s">
        <v>2925</v>
      </c>
      <c r="G2177" s="5">
        <v>48</v>
      </c>
      <c r="H2177" s="5">
        <f t="shared" si="55"/>
        <v>0.54826874999999997</v>
      </c>
      <c r="I2177" s="20">
        <f t="shared" si="53"/>
        <v>26.316899999999997</v>
      </c>
      <c r="J2177" s="6" t="s">
        <v>357</v>
      </c>
    </row>
    <row r="2178" spans="1:10" hidden="1">
      <c r="A2178" s="10">
        <v>44337</v>
      </c>
      <c r="B2178" s="6" t="s">
        <v>2945</v>
      </c>
      <c r="C2178" s="5" t="s">
        <v>2944</v>
      </c>
      <c r="D2178" s="8" t="s">
        <v>3274</v>
      </c>
      <c r="E2178" s="6" t="s">
        <v>2924</v>
      </c>
      <c r="F2178" s="6" t="s">
        <v>2925</v>
      </c>
      <c r="G2178" s="5">
        <v>135</v>
      </c>
      <c r="H2178" s="5">
        <v>1</v>
      </c>
      <c r="I2178" s="20">
        <f t="shared" si="53"/>
        <v>135</v>
      </c>
      <c r="J2178" s="6" t="s">
        <v>357</v>
      </c>
    </row>
    <row r="2179" spans="1:10" hidden="1">
      <c r="A2179" s="10">
        <v>44337</v>
      </c>
      <c r="B2179" s="6" t="s">
        <v>2947</v>
      </c>
      <c r="C2179" s="5" t="s">
        <v>2946</v>
      </c>
      <c r="D2179" s="8" t="s">
        <v>3274</v>
      </c>
      <c r="E2179" s="6" t="s">
        <v>2924</v>
      </c>
      <c r="F2179" s="6" t="s">
        <v>2925</v>
      </c>
      <c r="G2179" s="5">
        <v>148</v>
      </c>
      <c r="H2179" s="5">
        <v>1</v>
      </c>
      <c r="I2179" s="20">
        <f t="shared" ref="I2179:I2242" si="56">H2179*G2179</f>
        <v>148</v>
      </c>
      <c r="J2179" s="6" t="s">
        <v>357</v>
      </c>
    </row>
    <row r="2180" spans="1:10" hidden="1">
      <c r="A2180" s="10">
        <v>44337</v>
      </c>
      <c r="B2180" s="6" t="s">
        <v>2949</v>
      </c>
      <c r="C2180" s="5" t="s">
        <v>2948</v>
      </c>
      <c r="D2180" s="8" t="s">
        <v>3274</v>
      </c>
      <c r="E2180" s="6" t="s">
        <v>2924</v>
      </c>
      <c r="F2180" s="6" t="s">
        <v>2925</v>
      </c>
      <c r="G2180" s="5">
        <v>49</v>
      </c>
      <c r="H2180" s="5">
        <v>1</v>
      </c>
      <c r="I2180" s="20">
        <f t="shared" si="56"/>
        <v>49</v>
      </c>
      <c r="J2180" s="6" t="s">
        <v>357</v>
      </c>
    </row>
    <row r="2181" spans="1:10" hidden="1">
      <c r="A2181" s="10">
        <v>44002</v>
      </c>
      <c r="B2181" s="6" t="s">
        <v>2951</v>
      </c>
      <c r="C2181" s="5" t="s">
        <v>2950</v>
      </c>
      <c r="D2181" s="8" t="s">
        <v>3274</v>
      </c>
      <c r="E2181" s="6" t="s">
        <v>2924</v>
      </c>
      <c r="F2181" s="6" t="s">
        <v>2925</v>
      </c>
      <c r="G2181" s="5">
        <v>163</v>
      </c>
      <c r="H2181" s="5">
        <v>1</v>
      </c>
      <c r="I2181" s="20">
        <f t="shared" si="56"/>
        <v>163</v>
      </c>
      <c r="J2181" s="6" t="s">
        <v>357</v>
      </c>
    </row>
    <row r="2182" spans="1:10" hidden="1">
      <c r="A2182" s="10">
        <v>44337</v>
      </c>
      <c r="B2182" s="6" t="s">
        <v>2953</v>
      </c>
      <c r="C2182" s="5" t="s">
        <v>2952</v>
      </c>
      <c r="D2182" s="8" t="s">
        <v>3274</v>
      </c>
      <c r="E2182" s="6" t="s">
        <v>2924</v>
      </c>
      <c r="F2182" s="6" t="s">
        <v>2925</v>
      </c>
      <c r="G2182" s="27">
        <v>50</v>
      </c>
      <c r="H2182" s="5">
        <f>0.75*0.9*0.9*0.95*0.95</f>
        <v>0.54826874999999997</v>
      </c>
      <c r="I2182" s="20">
        <f t="shared" si="56"/>
        <v>27.413437499999997</v>
      </c>
      <c r="J2182" s="6" t="s">
        <v>357</v>
      </c>
    </row>
    <row r="2183" spans="1:10" hidden="1">
      <c r="A2183" s="10">
        <v>44337</v>
      </c>
      <c r="B2183" s="6" t="s">
        <v>2955</v>
      </c>
      <c r="C2183" s="5" t="s">
        <v>2954</v>
      </c>
      <c r="D2183" s="8" t="s">
        <v>3274</v>
      </c>
      <c r="E2183" s="6" t="s">
        <v>2924</v>
      </c>
      <c r="F2183" s="6" t="s">
        <v>2925</v>
      </c>
      <c r="G2183" s="5">
        <v>120</v>
      </c>
      <c r="H2183" s="5">
        <v>1</v>
      </c>
      <c r="I2183" s="20">
        <f t="shared" si="56"/>
        <v>120</v>
      </c>
      <c r="J2183" s="6" t="s">
        <v>357</v>
      </c>
    </row>
    <row r="2184" spans="1:10" hidden="1">
      <c r="A2184" s="10">
        <v>44337</v>
      </c>
      <c r="B2184" s="6" t="s">
        <v>2957</v>
      </c>
      <c r="C2184" s="5" t="s">
        <v>2956</v>
      </c>
      <c r="D2184" s="8" t="s">
        <v>3274</v>
      </c>
      <c r="E2184" s="6" t="s">
        <v>2924</v>
      </c>
      <c r="F2184" s="6" t="s">
        <v>2925</v>
      </c>
      <c r="G2184" s="5">
        <v>172</v>
      </c>
      <c r="H2184" s="5">
        <f>0.75*0.9*0.9*0.95*0.95</f>
        <v>0.54826874999999997</v>
      </c>
      <c r="I2184" s="20">
        <f t="shared" si="56"/>
        <v>94.302224999999993</v>
      </c>
      <c r="J2184" s="6" t="s">
        <v>357</v>
      </c>
    </row>
    <row r="2185" spans="1:10" hidden="1">
      <c r="A2185" s="10">
        <v>44337</v>
      </c>
      <c r="B2185" s="6" t="s">
        <v>2959</v>
      </c>
      <c r="C2185" s="5" t="s">
        <v>2958</v>
      </c>
      <c r="D2185" s="8" t="s">
        <v>3274</v>
      </c>
      <c r="E2185" s="6" t="s">
        <v>2924</v>
      </c>
      <c r="F2185" s="6" t="s">
        <v>2925</v>
      </c>
      <c r="G2185" s="5">
        <v>28</v>
      </c>
      <c r="H2185" s="5">
        <v>1</v>
      </c>
      <c r="I2185" s="20">
        <f t="shared" si="56"/>
        <v>28</v>
      </c>
      <c r="J2185" s="6" t="s">
        <v>357</v>
      </c>
    </row>
    <row r="2186" spans="1:10" hidden="1">
      <c r="A2186" s="10">
        <v>44337</v>
      </c>
      <c r="B2186" s="6" t="s">
        <v>2961</v>
      </c>
      <c r="C2186" s="5" t="s">
        <v>2960</v>
      </c>
      <c r="D2186" s="8" t="s">
        <v>3274</v>
      </c>
      <c r="E2186" s="6" t="s">
        <v>2924</v>
      </c>
      <c r="F2186" s="6" t="s">
        <v>2925</v>
      </c>
      <c r="G2186" s="27">
        <v>52</v>
      </c>
      <c r="H2186" s="5">
        <f>0.75*0.9*0.9*0.95*0.95</f>
        <v>0.54826874999999997</v>
      </c>
      <c r="I2186" s="20">
        <f t="shared" si="56"/>
        <v>28.509974999999997</v>
      </c>
      <c r="J2186" s="6" t="s">
        <v>357</v>
      </c>
    </row>
    <row r="2187" spans="1:10" hidden="1">
      <c r="A2187" s="10">
        <v>44337</v>
      </c>
      <c r="B2187" s="6" t="s">
        <v>2963</v>
      </c>
      <c r="C2187" s="5" t="s">
        <v>2962</v>
      </c>
      <c r="D2187" s="8" t="s">
        <v>3274</v>
      </c>
      <c r="E2187" s="6" t="s">
        <v>2924</v>
      </c>
      <c r="F2187" s="6" t="s">
        <v>2925</v>
      </c>
      <c r="G2187" s="5">
        <v>222</v>
      </c>
      <c r="H2187" s="5">
        <v>1</v>
      </c>
      <c r="I2187" s="20">
        <f t="shared" si="56"/>
        <v>222</v>
      </c>
      <c r="J2187" s="6" t="s">
        <v>357</v>
      </c>
    </row>
    <row r="2188" spans="1:10" hidden="1">
      <c r="A2188" s="10">
        <v>44337</v>
      </c>
      <c r="B2188" s="6" t="s">
        <v>2965</v>
      </c>
      <c r="C2188" s="5" t="s">
        <v>2964</v>
      </c>
      <c r="D2188" s="8" t="s">
        <v>3274</v>
      </c>
      <c r="E2188" s="6" t="s">
        <v>2924</v>
      </c>
      <c r="F2188" s="6" t="s">
        <v>2925</v>
      </c>
      <c r="G2188" s="5">
        <v>53</v>
      </c>
      <c r="H2188" s="5">
        <f>0.75*0.9*0.9*0.95*0.95</f>
        <v>0.54826874999999997</v>
      </c>
      <c r="I2188" s="20">
        <f t="shared" si="56"/>
        <v>29.058243749999999</v>
      </c>
      <c r="J2188" s="6" t="s">
        <v>357</v>
      </c>
    </row>
    <row r="2189" spans="1:10" hidden="1">
      <c r="A2189" s="10">
        <v>44337</v>
      </c>
      <c r="B2189" s="6" t="s">
        <v>2967</v>
      </c>
      <c r="C2189" s="5" t="s">
        <v>2966</v>
      </c>
      <c r="D2189" s="8" t="s">
        <v>3274</v>
      </c>
      <c r="E2189" s="6" t="s">
        <v>2924</v>
      </c>
      <c r="F2189" s="6" t="s">
        <v>2968</v>
      </c>
      <c r="G2189" s="5">
        <v>268</v>
      </c>
      <c r="H2189" s="5">
        <f>0.75*0.9*0.9*0.95*0.95</f>
        <v>0.54826874999999997</v>
      </c>
      <c r="I2189" s="20">
        <f t="shared" si="56"/>
        <v>146.936025</v>
      </c>
      <c r="J2189" s="6" t="s">
        <v>357</v>
      </c>
    </row>
    <row r="2190" spans="1:10" hidden="1">
      <c r="A2190" s="10">
        <v>44337</v>
      </c>
      <c r="B2190" s="6" t="s">
        <v>2970</v>
      </c>
      <c r="C2190" s="5" t="s">
        <v>2969</v>
      </c>
      <c r="D2190" s="8" t="s">
        <v>3274</v>
      </c>
      <c r="E2190" s="6" t="s">
        <v>2924</v>
      </c>
      <c r="F2190" s="6" t="s">
        <v>2968</v>
      </c>
      <c r="G2190" s="5">
        <v>127</v>
      </c>
      <c r="H2190" s="5">
        <f>0.75*0.9*0.9*0.95*0.95</f>
        <v>0.54826874999999997</v>
      </c>
      <c r="I2190" s="20">
        <f t="shared" si="56"/>
        <v>69.630131249999991</v>
      </c>
      <c r="J2190" s="6" t="s">
        <v>357</v>
      </c>
    </row>
    <row r="2191" spans="1:10" hidden="1">
      <c r="A2191" s="10">
        <v>44337</v>
      </c>
      <c r="B2191" s="6" t="s">
        <v>2972</v>
      </c>
      <c r="C2191" s="5" t="s">
        <v>2971</v>
      </c>
      <c r="D2191" s="8" t="s">
        <v>3274</v>
      </c>
      <c r="E2191" s="6" t="s">
        <v>2924</v>
      </c>
      <c r="F2191" s="6" t="s">
        <v>2968</v>
      </c>
      <c r="G2191" s="5">
        <v>110</v>
      </c>
      <c r="H2191" s="5">
        <v>1</v>
      </c>
      <c r="I2191" s="20">
        <f t="shared" si="56"/>
        <v>110</v>
      </c>
      <c r="J2191" s="6" t="s">
        <v>357</v>
      </c>
    </row>
    <row r="2192" spans="1:10" hidden="1">
      <c r="A2192" s="10">
        <v>44337</v>
      </c>
      <c r="B2192" s="6" t="s">
        <v>2974</v>
      </c>
      <c r="C2192" s="5" t="s">
        <v>2973</v>
      </c>
      <c r="D2192" s="8" t="s">
        <v>3274</v>
      </c>
      <c r="E2192" s="6" t="s">
        <v>2924</v>
      </c>
      <c r="F2192" s="6" t="s">
        <v>2968</v>
      </c>
      <c r="G2192" s="5">
        <v>223</v>
      </c>
      <c r="H2192" s="5">
        <f t="shared" ref="H2192:H2202" si="57">0.75*0.9*0.9*0.95*0.95</f>
        <v>0.54826874999999997</v>
      </c>
      <c r="I2192" s="20">
        <f t="shared" si="56"/>
        <v>122.26393125</v>
      </c>
      <c r="J2192" s="6" t="s">
        <v>357</v>
      </c>
    </row>
    <row r="2193" spans="1:10" hidden="1">
      <c r="A2193" s="10">
        <v>44337</v>
      </c>
      <c r="B2193" s="6" t="s">
        <v>2976</v>
      </c>
      <c r="C2193" s="5" t="s">
        <v>2975</v>
      </c>
      <c r="D2193" s="8" t="s">
        <v>3274</v>
      </c>
      <c r="E2193" s="6" t="s">
        <v>2924</v>
      </c>
      <c r="F2193" s="6" t="s">
        <v>2968</v>
      </c>
      <c r="G2193" s="21">
        <v>136</v>
      </c>
      <c r="H2193" s="5">
        <f t="shared" si="57"/>
        <v>0.54826874999999997</v>
      </c>
      <c r="I2193" s="20">
        <f t="shared" si="56"/>
        <v>74.564549999999997</v>
      </c>
      <c r="J2193" s="6" t="s">
        <v>357</v>
      </c>
    </row>
    <row r="2194" spans="1:10" hidden="1">
      <c r="A2194" s="10">
        <v>44337</v>
      </c>
      <c r="B2194" s="6" t="s">
        <v>2978</v>
      </c>
      <c r="C2194" s="5" t="s">
        <v>2977</v>
      </c>
      <c r="D2194" s="8" t="s">
        <v>3274</v>
      </c>
      <c r="E2194" s="6" t="s">
        <v>2924</v>
      </c>
      <c r="F2194" s="6" t="s">
        <v>2968</v>
      </c>
      <c r="G2194" s="5">
        <v>213</v>
      </c>
      <c r="H2194" s="5">
        <f t="shared" si="57"/>
        <v>0.54826874999999997</v>
      </c>
      <c r="I2194" s="20">
        <f t="shared" si="56"/>
        <v>116.78124374999999</v>
      </c>
      <c r="J2194" s="6" t="s">
        <v>357</v>
      </c>
    </row>
    <row r="2195" spans="1:10" hidden="1">
      <c r="A2195" s="10">
        <v>44337</v>
      </c>
      <c r="B2195" s="6" t="s">
        <v>2980</v>
      </c>
      <c r="C2195" s="5" t="s">
        <v>2979</v>
      </c>
      <c r="D2195" s="8" t="s">
        <v>3274</v>
      </c>
      <c r="E2195" s="6" t="s">
        <v>2924</v>
      </c>
      <c r="F2195" s="6" t="s">
        <v>2968</v>
      </c>
      <c r="G2195" s="21">
        <v>157</v>
      </c>
      <c r="H2195" s="5">
        <f t="shared" si="57"/>
        <v>0.54826874999999997</v>
      </c>
      <c r="I2195" s="20">
        <f t="shared" si="56"/>
        <v>86.078193749999997</v>
      </c>
      <c r="J2195" s="6" t="s">
        <v>357</v>
      </c>
    </row>
    <row r="2196" spans="1:10" hidden="1">
      <c r="A2196" s="10">
        <v>44337</v>
      </c>
      <c r="B2196" s="6" t="s">
        <v>2982</v>
      </c>
      <c r="C2196" s="5" t="s">
        <v>2981</v>
      </c>
      <c r="D2196" s="8" t="s">
        <v>3274</v>
      </c>
      <c r="E2196" s="6" t="s">
        <v>2924</v>
      </c>
      <c r="F2196" s="6" t="s">
        <v>2968</v>
      </c>
      <c r="G2196" s="5">
        <v>164</v>
      </c>
      <c r="H2196" s="5">
        <f t="shared" si="57"/>
        <v>0.54826874999999997</v>
      </c>
      <c r="I2196" s="20">
        <f t="shared" si="56"/>
        <v>89.916074999999992</v>
      </c>
      <c r="J2196" s="6" t="s">
        <v>357</v>
      </c>
    </row>
    <row r="2197" spans="1:10" hidden="1">
      <c r="A2197" s="10">
        <v>44337</v>
      </c>
      <c r="B2197" s="6" t="s">
        <v>2984</v>
      </c>
      <c r="C2197" s="5" t="s">
        <v>2983</v>
      </c>
      <c r="D2197" s="8" t="s">
        <v>3274</v>
      </c>
      <c r="E2197" s="6" t="s">
        <v>2924</v>
      </c>
      <c r="F2197" s="6" t="s">
        <v>2968</v>
      </c>
      <c r="G2197" s="5">
        <v>168</v>
      </c>
      <c r="H2197" s="5">
        <f t="shared" si="57"/>
        <v>0.54826874999999997</v>
      </c>
      <c r="I2197" s="20">
        <f t="shared" si="56"/>
        <v>92.10915</v>
      </c>
      <c r="J2197" s="6" t="s">
        <v>357</v>
      </c>
    </row>
    <row r="2198" spans="1:10" hidden="1">
      <c r="A2198" s="10">
        <v>44337</v>
      </c>
      <c r="B2198" s="6" t="s">
        <v>2986</v>
      </c>
      <c r="C2198" s="5" t="s">
        <v>2985</v>
      </c>
      <c r="D2198" s="8" t="s">
        <v>3274</v>
      </c>
      <c r="E2198" s="6" t="s">
        <v>2924</v>
      </c>
      <c r="F2198" s="6" t="s">
        <v>2968</v>
      </c>
      <c r="G2198" s="5">
        <v>173</v>
      </c>
      <c r="H2198" s="5">
        <f t="shared" si="57"/>
        <v>0.54826874999999997</v>
      </c>
      <c r="I2198" s="20">
        <f t="shared" si="56"/>
        <v>94.850493749999998</v>
      </c>
      <c r="J2198" s="6" t="s">
        <v>357</v>
      </c>
    </row>
    <row r="2199" spans="1:10" hidden="1">
      <c r="A2199" s="10">
        <v>44029</v>
      </c>
      <c r="B2199" s="6" t="s">
        <v>2988</v>
      </c>
      <c r="C2199" s="5" t="s">
        <v>2987</v>
      </c>
      <c r="D2199" s="8" t="s">
        <v>3274</v>
      </c>
      <c r="E2199" s="6" t="s">
        <v>2924</v>
      </c>
      <c r="F2199" s="6" t="s">
        <v>2968</v>
      </c>
      <c r="G2199" s="5">
        <v>177</v>
      </c>
      <c r="H2199" s="5">
        <f t="shared" si="57"/>
        <v>0.54826874999999997</v>
      </c>
      <c r="I2199" s="20">
        <f t="shared" si="56"/>
        <v>97.043568749999991</v>
      </c>
      <c r="J2199" s="6" t="s">
        <v>357</v>
      </c>
    </row>
    <row r="2200" spans="1:10" hidden="1">
      <c r="A2200" s="10">
        <v>44337</v>
      </c>
      <c r="B2200" s="6" t="s">
        <v>2990</v>
      </c>
      <c r="C2200" s="5" t="s">
        <v>2989</v>
      </c>
      <c r="D2200" s="8" t="s">
        <v>3274</v>
      </c>
      <c r="E2200" s="6" t="s">
        <v>2924</v>
      </c>
      <c r="F2200" s="6" t="s">
        <v>2968</v>
      </c>
      <c r="G2200" s="5">
        <v>160</v>
      </c>
      <c r="H2200" s="5">
        <f t="shared" si="57"/>
        <v>0.54826874999999997</v>
      </c>
      <c r="I2200" s="20">
        <f t="shared" si="56"/>
        <v>87.722999999999999</v>
      </c>
      <c r="J2200" s="6" t="s">
        <v>357</v>
      </c>
    </row>
    <row r="2201" spans="1:10" hidden="1">
      <c r="A2201" s="10">
        <v>44257</v>
      </c>
      <c r="B2201" s="6" t="s">
        <v>2992</v>
      </c>
      <c r="C2201" s="5" t="s">
        <v>2991</v>
      </c>
      <c r="D2201" s="8" t="s">
        <v>3274</v>
      </c>
      <c r="E2201" s="6" t="s">
        <v>2924</v>
      </c>
      <c r="F2201" s="6" t="s">
        <v>2968</v>
      </c>
      <c r="G2201" s="5">
        <v>200</v>
      </c>
      <c r="H2201" s="5">
        <f t="shared" si="57"/>
        <v>0.54826874999999997</v>
      </c>
      <c r="I2201" s="20">
        <f t="shared" si="56"/>
        <v>109.65374999999999</v>
      </c>
      <c r="J2201" s="6" t="s">
        <v>357</v>
      </c>
    </row>
    <row r="2202" spans="1:10" hidden="1">
      <c r="A2202" s="10">
        <v>44337</v>
      </c>
      <c r="B2202" s="6" t="s">
        <v>2994</v>
      </c>
      <c r="C2202" s="5" t="s">
        <v>2993</v>
      </c>
      <c r="D2202" s="8" t="s">
        <v>3274</v>
      </c>
      <c r="E2202" s="6" t="s">
        <v>2924</v>
      </c>
      <c r="F2202" s="6" t="s">
        <v>2968</v>
      </c>
      <c r="G2202" s="27">
        <v>151</v>
      </c>
      <c r="H2202" s="5">
        <f t="shared" si="57"/>
        <v>0.54826874999999997</v>
      </c>
      <c r="I2202" s="20">
        <f t="shared" si="56"/>
        <v>82.788581249999993</v>
      </c>
      <c r="J2202" s="6" t="s">
        <v>357</v>
      </c>
    </row>
    <row r="2203" spans="1:10" hidden="1">
      <c r="A2203" s="10">
        <v>44337</v>
      </c>
      <c r="B2203" s="6" t="s">
        <v>2996</v>
      </c>
      <c r="C2203" s="5" t="s">
        <v>2995</v>
      </c>
      <c r="D2203" s="8" t="s">
        <v>3274</v>
      </c>
      <c r="E2203" s="6" t="s">
        <v>2924</v>
      </c>
      <c r="F2203" s="6" t="s">
        <v>2968</v>
      </c>
      <c r="G2203" s="5">
        <v>181</v>
      </c>
      <c r="H2203" s="5">
        <v>1</v>
      </c>
      <c r="I2203" s="20">
        <f t="shared" si="56"/>
        <v>181</v>
      </c>
      <c r="J2203" s="6" t="s">
        <v>357</v>
      </c>
    </row>
    <row r="2204" spans="1:10" hidden="1">
      <c r="A2204" s="10">
        <v>44337</v>
      </c>
      <c r="B2204" s="6" t="s">
        <v>2998</v>
      </c>
      <c r="C2204" s="5" t="s">
        <v>2997</v>
      </c>
      <c r="D2204" s="8" t="s">
        <v>3274</v>
      </c>
      <c r="E2204" s="6" t="s">
        <v>2924</v>
      </c>
      <c r="F2204" s="6" t="s">
        <v>2968</v>
      </c>
      <c r="G2204" s="5">
        <v>238</v>
      </c>
      <c r="H2204" s="5">
        <f>0.75*0.9*0.9*0.95*0.95</f>
        <v>0.54826874999999997</v>
      </c>
      <c r="I2204" s="20">
        <f t="shared" si="56"/>
        <v>130.48796249999998</v>
      </c>
      <c r="J2204" s="6" t="s">
        <v>357</v>
      </c>
    </row>
    <row r="2205" spans="1:10" hidden="1">
      <c r="A2205" s="10">
        <v>44337</v>
      </c>
      <c r="B2205" s="6" t="s">
        <v>3000</v>
      </c>
      <c r="C2205" s="5" t="s">
        <v>2999</v>
      </c>
      <c r="D2205" s="8" t="s">
        <v>3274</v>
      </c>
      <c r="E2205" s="6" t="s">
        <v>2924</v>
      </c>
      <c r="F2205" s="6" t="s">
        <v>2968</v>
      </c>
      <c r="G2205" s="27">
        <v>149</v>
      </c>
      <c r="H2205" s="5">
        <f>0.75*0.9*0.9*0.95*0.95</f>
        <v>0.54826874999999997</v>
      </c>
      <c r="I2205" s="20">
        <f t="shared" si="56"/>
        <v>81.692043749999996</v>
      </c>
      <c r="J2205" s="6" t="s">
        <v>357</v>
      </c>
    </row>
    <row r="2206" spans="1:10" hidden="1">
      <c r="A2206" s="10">
        <v>44337</v>
      </c>
      <c r="B2206" s="6" t="s">
        <v>3002</v>
      </c>
      <c r="C2206" s="5" t="s">
        <v>3001</v>
      </c>
      <c r="D2206" s="8" t="s">
        <v>3274</v>
      </c>
      <c r="E2206" s="6" t="s">
        <v>2924</v>
      </c>
      <c r="F2206" s="6" t="s">
        <v>2968</v>
      </c>
      <c r="G2206" s="5">
        <v>319</v>
      </c>
      <c r="H2206" s="5">
        <v>1</v>
      </c>
      <c r="I2206" s="20">
        <f t="shared" si="56"/>
        <v>319</v>
      </c>
      <c r="J2206" s="6" t="s">
        <v>357</v>
      </c>
    </row>
    <row r="2207" spans="1:10" hidden="1">
      <c r="A2207" s="10">
        <v>44337</v>
      </c>
      <c r="B2207" s="6" t="s">
        <v>3004</v>
      </c>
      <c r="C2207" s="5" t="s">
        <v>3003</v>
      </c>
      <c r="D2207" s="8" t="s">
        <v>3274</v>
      </c>
      <c r="E2207" s="6" t="s">
        <v>2924</v>
      </c>
      <c r="F2207" s="6" t="s">
        <v>2968</v>
      </c>
      <c r="G2207" s="5">
        <v>143</v>
      </c>
      <c r="H2207" s="5">
        <f>0.75*0.9*0.9*0.95*0.95</f>
        <v>0.54826874999999997</v>
      </c>
      <c r="I2207" s="20">
        <f t="shared" si="56"/>
        <v>78.402431249999992</v>
      </c>
      <c r="J2207" s="6" t="s">
        <v>357</v>
      </c>
    </row>
    <row r="2208" spans="1:10" ht="30" hidden="1">
      <c r="A2208" s="9">
        <v>45070</v>
      </c>
      <c r="B2208" s="6" t="s">
        <v>3347</v>
      </c>
      <c r="C2208" s="5" t="s">
        <v>3346</v>
      </c>
      <c r="D2208" s="8" t="s">
        <v>3274</v>
      </c>
      <c r="E2208" s="6" t="s">
        <v>6383</v>
      </c>
      <c r="F2208" s="6" t="s">
        <v>3341</v>
      </c>
      <c r="G2208" s="5">
        <v>1156</v>
      </c>
      <c r="H2208" s="5">
        <f>0.75*0.9*0.9</f>
        <v>0.60750000000000004</v>
      </c>
      <c r="I2208" s="20">
        <f t="shared" si="56"/>
        <v>702.2700000000001</v>
      </c>
      <c r="J2208" s="6" t="s">
        <v>357</v>
      </c>
    </row>
    <row r="2209" spans="1:10" hidden="1">
      <c r="A2209" s="9">
        <v>45463</v>
      </c>
      <c r="B2209" s="6" t="s">
        <v>5619</v>
      </c>
      <c r="C2209" s="5" t="s">
        <v>5617</v>
      </c>
      <c r="D2209" s="8" t="s">
        <v>5618</v>
      </c>
      <c r="E2209" s="25" t="s">
        <v>6384</v>
      </c>
      <c r="F2209" s="106" t="s">
        <v>5620</v>
      </c>
      <c r="G2209" s="107">
        <v>990</v>
      </c>
      <c r="H2209" s="5">
        <f t="shared" ref="H2209:H2222" si="58">0.55*0.95*0.95*0.95</f>
        <v>0.47155624999999995</v>
      </c>
      <c r="I2209" s="20">
        <f t="shared" si="56"/>
        <v>466.84068749999994</v>
      </c>
      <c r="J2209" s="6" t="s">
        <v>357</v>
      </c>
    </row>
    <row r="2210" spans="1:10" ht="30" hidden="1">
      <c r="A2210" s="9">
        <v>45845</v>
      </c>
      <c r="B2210" s="216" t="s">
        <v>7280</v>
      </c>
      <c r="C2210" s="5" t="s">
        <v>7281</v>
      </c>
      <c r="D2210" s="8" t="s">
        <v>5618</v>
      </c>
      <c r="E2210" s="25" t="s">
        <v>6384</v>
      </c>
      <c r="F2210" s="25" t="s">
        <v>5620</v>
      </c>
      <c r="G2210" s="31">
        <v>2350</v>
      </c>
      <c r="H2210" s="5">
        <f t="shared" si="58"/>
        <v>0.47155624999999995</v>
      </c>
      <c r="I2210" s="20">
        <f t="shared" si="56"/>
        <v>1108.1571875</v>
      </c>
      <c r="J2210" s="6" t="s">
        <v>357</v>
      </c>
    </row>
    <row r="2211" spans="1:10" ht="30" hidden="1">
      <c r="A2211" s="9">
        <v>45845</v>
      </c>
      <c r="B2211" s="216" t="s">
        <v>7278</v>
      </c>
      <c r="C2211" s="5" t="s">
        <v>7279</v>
      </c>
      <c r="D2211" s="8" t="s">
        <v>5618</v>
      </c>
      <c r="E2211" s="25" t="s">
        <v>6384</v>
      </c>
      <c r="F2211" s="25" t="s">
        <v>5620</v>
      </c>
      <c r="G2211" s="31">
        <v>2350</v>
      </c>
      <c r="H2211" s="5">
        <f t="shared" si="58"/>
        <v>0.47155624999999995</v>
      </c>
      <c r="I2211" s="20">
        <f t="shared" si="56"/>
        <v>1108.1571875</v>
      </c>
      <c r="J2211" s="6" t="s">
        <v>357</v>
      </c>
    </row>
    <row r="2212" spans="1:10" hidden="1">
      <c r="A2212" s="9">
        <v>45463</v>
      </c>
      <c r="B2212" s="6" t="s">
        <v>5622</v>
      </c>
      <c r="C2212" s="5" t="s">
        <v>5621</v>
      </c>
      <c r="D2212" s="8" t="s">
        <v>5618</v>
      </c>
      <c r="E2212" s="25" t="s">
        <v>6382</v>
      </c>
      <c r="F2212" s="106" t="s">
        <v>5620</v>
      </c>
      <c r="G2212" s="107">
        <v>320</v>
      </c>
      <c r="H2212" s="5">
        <f t="shared" si="58"/>
        <v>0.47155624999999995</v>
      </c>
      <c r="I2212" s="20">
        <f t="shared" si="56"/>
        <v>150.898</v>
      </c>
      <c r="J2212" s="6" t="s">
        <v>357</v>
      </c>
    </row>
    <row r="2213" spans="1:10" hidden="1">
      <c r="A2213" s="9">
        <v>45463</v>
      </c>
      <c r="B2213" s="6" t="s">
        <v>5624</v>
      </c>
      <c r="C2213" s="5" t="s">
        <v>5623</v>
      </c>
      <c r="D2213" s="8" t="s">
        <v>5618</v>
      </c>
      <c r="E2213" s="25" t="s">
        <v>6382</v>
      </c>
      <c r="F2213" s="106" t="s">
        <v>5620</v>
      </c>
      <c r="G2213" s="107">
        <v>450</v>
      </c>
      <c r="H2213" s="5">
        <f t="shared" si="58"/>
        <v>0.47155624999999995</v>
      </c>
      <c r="I2213" s="20">
        <f t="shared" si="56"/>
        <v>212.20031249999997</v>
      </c>
      <c r="J2213" s="6" t="s">
        <v>357</v>
      </c>
    </row>
    <row r="2214" spans="1:10" hidden="1">
      <c r="A2214" s="9">
        <v>45463</v>
      </c>
      <c r="B2214" s="6" t="s">
        <v>5626</v>
      </c>
      <c r="C2214" s="5" t="s">
        <v>5625</v>
      </c>
      <c r="D2214" s="8" t="s">
        <v>5618</v>
      </c>
      <c r="E2214" s="25" t="s">
        <v>6383</v>
      </c>
      <c r="F2214" s="106" t="s">
        <v>5620</v>
      </c>
      <c r="G2214" s="107">
        <v>500</v>
      </c>
      <c r="H2214" s="5">
        <f t="shared" si="58"/>
        <v>0.47155624999999995</v>
      </c>
      <c r="I2214" s="20">
        <f t="shared" si="56"/>
        <v>235.77812499999999</v>
      </c>
      <c r="J2214" s="6" t="s">
        <v>357</v>
      </c>
    </row>
    <row r="2215" spans="1:10" hidden="1">
      <c r="A2215" s="9">
        <v>45463</v>
      </c>
      <c r="B2215" s="6" t="s">
        <v>5628</v>
      </c>
      <c r="C2215" s="5" t="s">
        <v>5627</v>
      </c>
      <c r="D2215" s="8" t="s">
        <v>5618</v>
      </c>
      <c r="E2215" s="25" t="s">
        <v>6383</v>
      </c>
      <c r="F2215" s="106" t="s">
        <v>5620</v>
      </c>
      <c r="G2215" s="107">
        <v>590</v>
      </c>
      <c r="H2215" s="5">
        <f t="shared" si="58"/>
        <v>0.47155624999999995</v>
      </c>
      <c r="I2215" s="20">
        <f t="shared" si="56"/>
        <v>278.2181875</v>
      </c>
      <c r="J2215" s="6" t="s">
        <v>357</v>
      </c>
    </row>
    <row r="2216" spans="1:10" hidden="1">
      <c r="A2216" s="9">
        <v>45463</v>
      </c>
      <c r="B2216" s="6" t="s">
        <v>5629</v>
      </c>
      <c r="C2216" s="5" t="s">
        <v>7282</v>
      </c>
      <c r="D2216" s="8" t="s">
        <v>5618</v>
      </c>
      <c r="E2216" s="25" t="s">
        <v>6381</v>
      </c>
      <c r="F2216" s="106" t="s">
        <v>5620</v>
      </c>
      <c r="G2216" s="107">
        <v>275</v>
      </c>
      <c r="H2216" s="5">
        <f t="shared" si="58"/>
        <v>0.47155624999999995</v>
      </c>
      <c r="I2216" s="20">
        <f t="shared" si="56"/>
        <v>129.67796874999999</v>
      </c>
      <c r="J2216" s="6" t="s">
        <v>357</v>
      </c>
    </row>
    <row r="2217" spans="1:10" hidden="1">
      <c r="A2217" s="9">
        <v>45845</v>
      </c>
      <c r="B2217" s="216" t="s">
        <v>7291</v>
      </c>
      <c r="C2217" s="5" t="s">
        <v>7292</v>
      </c>
      <c r="D2217" s="8" t="s">
        <v>5618</v>
      </c>
      <c r="E2217" s="25" t="s">
        <v>6491</v>
      </c>
      <c r="F2217" s="25" t="s">
        <v>5620</v>
      </c>
      <c r="G2217" s="31">
        <v>500</v>
      </c>
      <c r="H2217" s="5">
        <f t="shared" si="58"/>
        <v>0.47155624999999995</v>
      </c>
      <c r="I2217" s="20">
        <f t="shared" si="56"/>
        <v>235.77812499999999</v>
      </c>
      <c r="J2217" s="6" t="s">
        <v>357</v>
      </c>
    </row>
    <row r="2218" spans="1:10" hidden="1">
      <c r="A2218" s="9">
        <v>45845</v>
      </c>
      <c r="B2218" s="216" t="s">
        <v>7293</v>
      </c>
      <c r="C2218" s="5" t="s">
        <v>7294</v>
      </c>
      <c r="D2218" s="8" t="s">
        <v>5618</v>
      </c>
      <c r="E2218" s="25" t="s">
        <v>3041</v>
      </c>
      <c r="F2218" s="25" t="s">
        <v>5620</v>
      </c>
      <c r="G2218" s="31">
        <v>550</v>
      </c>
      <c r="H2218" s="5">
        <f t="shared" si="58"/>
        <v>0.47155624999999995</v>
      </c>
      <c r="I2218" s="20">
        <f t="shared" si="56"/>
        <v>259.35593749999998</v>
      </c>
      <c r="J2218" s="6" t="s">
        <v>357</v>
      </c>
    </row>
    <row r="2219" spans="1:10" hidden="1">
      <c r="A2219" s="9">
        <v>45845</v>
      </c>
      <c r="B2219" s="216" t="s">
        <v>7289</v>
      </c>
      <c r="C2219" s="5" t="s">
        <v>7290</v>
      </c>
      <c r="D2219" s="8" t="s">
        <v>5618</v>
      </c>
      <c r="E2219" s="25" t="s">
        <v>1871</v>
      </c>
      <c r="F2219" s="25" t="s">
        <v>5620</v>
      </c>
      <c r="G2219" s="31">
        <v>140</v>
      </c>
      <c r="H2219" s="5">
        <f t="shared" si="58"/>
        <v>0.47155624999999995</v>
      </c>
      <c r="I2219" s="20">
        <f t="shared" si="56"/>
        <v>66.017874999999989</v>
      </c>
      <c r="J2219" s="6" t="s">
        <v>357</v>
      </c>
    </row>
    <row r="2220" spans="1:10" hidden="1">
      <c r="A2220" s="9">
        <v>45845</v>
      </c>
      <c r="B2220" s="216" t="s">
        <v>7283</v>
      </c>
      <c r="C2220" s="5" t="s">
        <v>7284</v>
      </c>
      <c r="D2220" s="8" t="s">
        <v>5618</v>
      </c>
      <c r="E2220" s="25" t="s">
        <v>1871</v>
      </c>
      <c r="F2220" s="25" t="s">
        <v>5620</v>
      </c>
      <c r="G2220" s="31">
        <v>55</v>
      </c>
      <c r="H2220" s="5">
        <f t="shared" si="58"/>
        <v>0.47155624999999995</v>
      </c>
      <c r="I2220" s="20">
        <f t="shared" si="56"/>
        <v>25.935593749999999</v>
      </c>
      <c r="J2220" s="6" t="s">
        <v>357</v>
      </c>
    </row>
    <row r="2221" spans="1:10" hidden="1">
      <c r="A2221" s="9">
        <v>45845</v>
      </c>
      <c r="B2221" s="216" t="s">
        <v>7285</v>
      </c>
      <c r="C2221" s="5" t="s">
        <v>7286</v>
      </c>
      <c r="D2221" s="8" t="s">
        <v>5618</v>
      </c>
      <c r="E2221" s="25" t="s">
        <v>1871</v>
      </c>
      <c r="F2221" s="25" t="s">
        <v>5620</v>
      </c>
      <c r="G2221" s="31">
        <v>75</v>
      </c>
      <c r="H2221" s="5">
        <f t="shared" si="58"/>
        <v>0.47155624999999995</v>
      </c>
      <c r="I2221" s="20">
        <f t="shared" si="56"/>
        <v>35.366718749999997</v>
      </c>
      <c r="J2221" s="6" t="s">
        <v>357</v>
      </c>
    </row>
    <row r="2222" spans="1:10" hidden="1">
      <c r="A2222" s="9">
        <v>45845</v>
      </c>
      <c r="B2222" s="216" t="s">
        <v>7287</v>
      </c>
      <c r="C2222" s="5" t="s">
        <v>7288</v>
      </c>
      <c r="D2222" s="8" t="s">
        <v>5618</v>
      </c>
      <c r="E2222" s="25" t="s">
        <v>1871</v>
      </c>
      <c r="F2222" s="25" t="s">
        <v>5620</v>
      </c>
      <c r="G2222" s="31">
        <v>90</v>
      </c>
      <c r="H2222" s="5">
        <f t="shared" si="58"/>
        <v>0.47155624999999995</v>
      </c>
      <c r="I2222" s="20">
        <f t="shared" si="56"/>
        <v>42.440062499999996</v>
      </c>
      <c r="J2222" s="6" t="s">
        <v>357</v>
      </c>
    </row>
    <row r="2223" spans="1:10" hidden="1">
      <c r="A2223" s="9">
        <v>45994</v>
      </c>
      <c r="B2223" s="6" t="s">
        <v>3350</v>
      </c>
      <c r="C2223" s="5" t="s">
        <v>3348</v>
      </c>
      <c r="D2223" s="8" t="s">
        <v>3349</v>
      </c>
      <c r="E2223" s="6" t="s">
        <v>1881</v>
      </c>
      <c r="F2223" s="6" t="s">
        <v>3351</v>
      </c>
      <c r="G2223" s="5">
        <v>1010</v>
      </c>
      <c r="H2223" s="5">
        <v>1</v>
      </c>
      <c r="I2223" s="20">
        <f t="shared" si="56"/>
        <v>1010</v>
      </c>
      <c r="J2223" s="6" t="s">
        <v>357</v>
      </c>
    </row>
    <row r="2224" spans="1:10" ht="30" hidden="1">
      <c r="A2224" s="10">
        <v>44352</v>
      </c>
      <c r="B2224" s="6" t="s">
        <v>3353</v>
      </c>
      <c r="C2224" s="5" t="s">
        <v>3352</v>
      </c>
      <c r="D2224" s="8" t="s">
        <v>3349</v>
      </c>
      <c r="E2224" s="6" t="s">
        <v>1881</v>
      </c>
      <c r="F2224" s="6" t="s">
        <v>3351</v>
      </c>
      <c r="G2224" s="5">
        <v>2612</v>
      </c>
      <c r="H2224" s="5">
        <v>1</v>
      </c>
      <c r="I2224" s="20">
        <f t="shared" si="56"/>
        <v>2612</v>
      </c>
      <c r="J2224" s="6" t="s">
        <v>357</v>
      </c>
    </row>
    <row r="2225" spans="1:10" hidden="1">
      <c r="A2225" s="10">
        <v>44352</v>
      </c>
      <c r="B2225" s="6" t="s">
        <v>3355</v>
      </c>
      <c r="C2225" s="5" t="s">
        <v>3354</v>
      </c>
      <c r="D2225" s="8" t="s">
        <v>3349</v>
      </c>
      <c r="E2225" s="6" t="s">
        <v>1881</v>
      </c>
      <c r="F2225" s="6" t="s">
        <v>3351</v>
      </c>
      <c r="G2225" s="5">
        <v>2685</v>
      </c>
      <c r="H2225" s="5">
        <v>1</v>
      </c>
      <c r="I2225" s="20">
        <f t="shared" si="56"/>
        <v>2685</v>
      </c>
      <c r="J2225" s="6" t="s">
        <v>357</v>
      </c>
    </row>
    <row r="2226" spans="1:10" ht="30" hidden="1">
      <c r="A2226" s="10">
        <v>44352</v>
      </c>
      <c r="B2226" s="6" t="s">
        <v>3357</v>
      </c>
      <c r="C2226" s="5" t="s">
        <v>3356</v>
      </c>
      <c r="D2226" s="8" t="s">
        <v>3349</v>
      </c>
      <c r="E2226" s="6" t="s">
        <v>1881</v>
      </c>
      <c r="F2226" s="6" t="s">
        <v>3351</v>
      </c>
      <c r="G2226" s="5">
        <v>2896</v>
      </c>
      <c r="H2226" s="5">
        <v>1</v>
      </c>
      <c r="I2226" s="20">
        <f t="shared" si="56"/>
        <v>2896</v>
      </c>
      <c r="J2226" s="6" t="s">
        <v>357</v>
      </c>
    </row>
    <row r="2227" spans="1:10" hidden="1">
      <c r="A2227" s="10">
        <v>44352</v>
      </c>
      <c r="B2227" s="6" t="s">
        <v>3359</v>
      </c>
      <c r="C2227" s="5" t="s">
        <v>3358</v>
      </c>
      <c r="D2227" s="8" t="s">
        <v>3349</v>
      </c>
      <c r="E2227" s="6" t="s">
        <v>1881</v>
      </c>
      <c r="F2227" s="6" t="s">
        <v>3351</v>
      </c>
      <c r="G2227" s="5">
        <v>2792</v>
      </c>
      <c r="H2227" s="5">
        <v>1</v>
      </c>
      <c r="I2227" s="20">
        <f t="shared" si="56"/>
        <v>2792</v>
      </c>
      <c r="J2227" s="6" t="s">
        <v>357</v>
      </c>
    </row>
    <row r="2228" spans="1:10" ht="30" hidden="1">
      <c r="A2228" s="10">
        <v>44352</v>
      </c>
      <c r="B2228" s="6" t="s">
        <v>3361</v>
      </c>
      <c r="C2228" s="5" t="s">
        <v>3360</v>
      </c>
      <c r="D2228" s="8" t="s">
        <v>3349</v>
      </c>
      <c r="E2228" s="6" t="s">
        <v>1881</v>
      </c>
      <c r="F2228" s="6" t="s">
        <v>3351</v>
      </c>
      <c r="G2228" s="5">
        <v>3003</v>
      </c>
      <c r="H2228" s="5">
        <v>1</v>
      </c>
      <c r="I2228" s="20">
        <f t="shared" si="56"/>
        <v>3003</v>
      </c>
      <c r="J2228" s="6" t="s">
        <v>357</v>
      </c>
    </row>
    <row r="2229" spans="1:10" hidden="1">
      <c r="A2229" s="119">
        <v>45574</v>
      </c>
      <c r="B2229" s="183" t="s">
        <v>5838</v>
      </c>
      <c r="C2229" s="114" t="s">
        <v>5815</v>
      </c>
      <c r="D2229" s="182" t="s">
        <v>5838</v>
      </c>
      <c r="E2229" s="106" t="s">
        <v>5597</v>
      </c>
      <c r="F2229" s="106" t="s">
        <v>686</v>
      </c>
      <c r="G2229" s="107">
        <v>0</v>
      </c>
      <c r="H2229" s="114">
        <v>1</v>
      </c>
      <c r="I2229" s="116">
        <f t="shared" si="56"/>
        <v>0</v>
      </c>
      <c r="J2229" s="115" t="s">
        <v>357</v>
      </c>
    </row>
    <row r="2230" spans="1:10" hidden="1">
      <c r="A2230" s="10">
        <v>43731</v>
      </c>
      <c r="B2230" s="6" t="s">
        <v>3364</v>
      </c>
      <c r="C2230" s="5" t="s">
        <v>3362</v>
      </c>
      <c r="D2230" s="8" t="s">
        <v>3363</v>
      </c>
      <c r="E2230" s="6" t="s">
        <v>410</v>
      </c>
      <c r="F2230" s="6" t="s">
        <v>411</v>
      </c>
      <c r="G2230" s="5">
        <v>142.9</v>
      </c>
      <c r="H2230" s="5">
        <v>1</v>
      </c>
      <c r="I2230" s="20">
        <f t="shared" si="56"/>
        <v>142.9</v>
      </c>
      <c r="J2230" s="6" t="s">
        <v>357</v>
      </c>
    </row>
    <row r="2231" spans="1:10" hidden="1">
      <c r="A2231" s="288">
        <v>45737</v>
      </c>
      <c r="B2231" s="287" t="s">
        <v>7415</v>
      </c>
      <c r="C2231" s="284" t="s">
        <v>7416</v>
      </c>
      <c r="D2231" s="285" t="s">
        <v>3363</v>
      </c>
      <c r="E2231" s="25" t="s">
        <v>410</v>
      </c>
      <c r="F2231" s="25" t="s">
        <v>411</v>
      </c>
      <c r="G2231" s="31">
        <v>410</v>
      </c>
      <c r="H2231" s="284">
        <v>1</v>
      </c>
      <c r="I2231" s="286">
        <f t="shared" si="56"/>
        <v>410</v>
      </c>
      <c r="J2231" s="111" t="s">
        <v>357</v>
      </c>
    </row>
    <row r="2232" spans="1:10" hidden="1">
      <c r="A2232" s="10">
        <v>43837</v>
      </c>
      <c r="B2232" s="6" t="s">
        <v>3366</v>
      </c>
      <c r="C2232" s="5" t="s">
        <v>3365</v>
      </c>
      <c r="D2232" s="8" t="s">
        <v>3363</v>
      </c>
      <c r="E2232" s="6" t="s">
        <v>410</v>
      </c>
      <c r="F2232" s="6" t="s">
        <v>411</v>
      </c>
      <c r="G2232" s="5">
        <f>133.8+22.5</f>
        <v>156.30000000000001</v>
      </c>
      <c r="H2232" s="5">
        <v>1</v>
      </c>
      <c r="I2232" s="20">
        <f t="shared" si="56"/>
        <v>156.30000000000001</v>
      </c>
      <c r="J2232" s="6" t="s">
        <v>357</v>
      </c>
    </row>
    <row r="2233" spans="1:10" hidden="1">
      <c r="A2233" s="9">
        <v>45058</v>
      </c>
      <c r="B2233" s="6" t="s">
        <v>3368</v>
      </c>
      <c r="C2233" s="5" t="s">
        <v>3367</v>
      </c>
      <c r="D2233" s="8" t="s">
        <v>3363</v>
      </c>
      <c r="E2233" s="6" t="s">
        <v>410</v>
      </c>
      <c r="F2233" s="6" t="s">
        <v>411</v>
      </c>
      <c r="G2233" s="5">
        <v>92.9</v>
      </c>
      <c r="H2233" s="5">
        <v>1</v>
      </c>
      <c r="I2233" s="20">
        <f t="shared" si="56"/>
        <v>92.9</v>
      </c>
      <c r="J2233" s="6" t="s">
        <v>357</v>
      </c>
    </row>
    <row r="2234" spans="1:10" hidden="1">
      <c r="A2234" s="9">
        <v>45866</v>
      </c>
      <c r="B2234" s="216" t="s">
        <v>7309</v>
      </c>
      <c r="C2234" s="5" t="s">
        <v>7310</v>
      </c>
      <c r="D2234" s="8" t="s">
        <v>3363</v>
      </c>
      <c r="E2234" s="25" t="s">
        <v>410</v>
      </c>
      <c r="F2234" s="25" t="s">
        <v>411</v>
      </c>
      <c r="G2234" s="31">
        <v>635.79999999999995</v>
      </c>
      <c r="H2234" s="5">
        <f>0.8*0.9*0.9</f>
        <v>0.64800000000000013</v>
      </c>
      <c r="I2234" s="20">
        <f t="shared" si="56"/>
        <v>411.99840000000006</v>
      </c>
      <c r="J2234" s="6" t="s">
        <v>357</v>
      </c>
    </row>
    <row r="2235" spans="1:10" hidden="1">
      <c r="A2235" s="9">
        <v>45058</v>
      </c>
      <c r="B2235" s="6" t="s">
        <v>3370</v>
      </c>
      <c r="C2235" s="5" t="s">
        <v>3369</v>
      </c>
      <c r="D2235" s="8" t="s">
        <v>3363</v>
      </c>
      <c r="E2235" s="6" t="s">
        <v>410</v>
      </c>
      <c r="F2235" s="6" t="s">
        <v>411</v>
      </c>
      <c r="G2235" s="5">
        <v>271</v>
      </c>
      <c r="H2235" s="5">
        <v>1</v>
      </c>
      <c r="I2235" s="20">
        <f t="shared" si="56"/>
        <v>271</v>
      </c>
      <c r="J2235" s="6" t="s">
        <v>357</v>
      </c>
    </row>
    <row r="2236" spans="1:10" hidden="1">
      <c r="A2236" s="9">
        <v>44975</v>
      </c>
      <c r="B2236" s="6" t="s">
        <v>3372</v>
      </c>
      <c r="C2236" s="5" t="s">
        <v>3371</v>
      </c>
      <c r="D2236" s="8" t="s">
        <v>3363</v>
      </c>
      <c r="E2236" s="6" t="s">
        <v>410</v>
      </c>
      <c r="F2236" s="6" t="s">
        <v>411</v>
      </c>
      <c r="G2236" s="5">
        <f>74.7+12</f>
        <v>86.7</v>
      </c>
      <c r="H2236" s="5">
        <v>1</v>
      </c>
      <c r="I2236" s="20">
        <f t="shared" si="56"/>
        <v>86.7</v>
      </c>
      <c r="J2236" s="6" t="s">
        <v>357</v>
      </c>
    </row>
    <row r="2237" spans="1:10" hidden="1">
      <c r="A2237" s="9">
        <v>45843</v>
      </c>
      <c r="B2237" s="216" t="s">
        <v>7267</v>
      </c>
      <c r="C2237" s="5" t="s">
        <v>7268</v>
      </c>
      <c r="D2237" s="8" t="s">
        <v>3363</v>
      </c>
      <c r="E2237" s="25" t="s">
        <v>410</v>
      </c>
      <c r="F2237" s="25" t="s">
        <v>411</v>
      </c>
      <c r="G2237" s="31">
        <v>197</v>
      </c>
      <c r="H2237" s="5">
        <v>1</v>
      </c>
      <c r="I2237" s="20">
        <f t="shared" si="56"/>
        <v>197</v>
      </c>
      <c r="J2237" s="6" t="s">
        <v>357</v>
      </c>
    </row>
    <row r="2238" spans="1:10" ht="60" hidden="1">
      <c r="A2238" s="10">
        <v>43804</v>
      </c>
      <c r="B2238" s="6" t="s">
        <v>3374</v>
      </c>
      <c r="C2238" s="5" t="s">
        <v>3373</v>
      </c>
      <c r="D2238" s="8" t="s">
        <v>3363</v>
      </c>
      <c r="E2238" s="6" t="s">
        <v>3375</v>
      </c>
      <c r="F2238" s="6" t="s">
        <v>411</v>
      </c>
      <c r="G2238" s="5">
        <v>2200</v>
      </c>
      <c r="H2238" s="5">
        <v>1</v>
      </c>
      <c r="I2238" s="20">
        <f t="shared" si="56"/>
        <v>2200</v>
      </c>
      <c r="J2238" s="6" t="s">
        <v>357</v>
      </c>
    </row>
    <row r="2239" spans="1:10" hidden="1">
      <c r="A2239" s="9">
        <v>45866</v>
      </c>
      <c r="B2239" s="216" t="s">
        <v>7307</v>
      </c>
      <c r="C2239" s="5" t="s">
        <v>7308</v>
      </c>
      <c r="D2239" s="8" t="s">
        <v>3363</v>
      </c>
      <c r="E2239" s="25" t="s">
        <v>4139</v>
      </c>
      <c r="F2239" s="25" t="s">
        <v>411</v>
      </c>
      <c r="G2239" s="31">
        <v>410.3</v>
      </c>
      <c r="H2239" s="5">
        <f>0.8*0.9*0.9</f>
        <v>0.64800000000000013</v>
      </c>
      <c r="I2239" s="20">
        <f t="shared" si="56"/>
        <v>265.87440000000004</v>
      </c>
      <c r="J2239" s="6" t="s">
        <v>357</v>
      </c>
    </row>
    <row r="2240" spans="1:10" hidden="1">
      <c r="A2240" s="9">
        <v>45843</v>
      </c>
      <c r="B2240" s="216" t="s">
        <v>7273</v>
      </c>
      <c r="C2240" s="5" t="s">
        <v>7274</v>
      </c>
      <c r="D2240" s="8" t="s">
        <v>7275</v>
      </c>
      <c r="E2240" s="6" t="s">
        <v>4139</v>
      </c>
      <c r="F2240" s="25" t="s">
        <v>411</v>
      </c>
      <c r="G2240" s="31">
        <v>995</v>
      </c>
      <c r="H2240" s="5">
        <v>1</v>
      </c>
      <c r="I2240" s="20">
        <f t="shared" si="56"/>
        <v>995</v>
      </c>
      <c r="J2240" s="6" t="s">
        <v>357</v>
      </c>
    </row>
    <row r="2241" spans="1:10" ht="60" hidden="1">
      <c r="A2241" s="9">
        <v>45843</v>
      </c>
      <c r="B2241" s="216" t="s">
        <v>7265</v>
      </c>
      <c r="C2241" s="5" t="s">
        <v>7266</v>
      </c>
      <c r="D2241" s="8" t="s">
        <v>3363</v>
      </c>
      <c r="E2241" s="25" t="s">
        <v>410</v>
      </c>
      <c r="F2241" s="25" t="s">
        <v>411</v>
      </c>
      <c r="G2241" s="31">
        <v>502</v>
      </c>
      <c r="H2241" s="5">
        <v>1</v>
      </c>
      <c r="I2241" s="20">
        <f t="shared" si="56"/>
        <v>502</v>
      </c>
      <c r="J2241" s="6" t="s">
        <v>357</v>
      </c>
    </row>
    <row r="2242" spans="1:10" hidden="1">
      <c r="A2242" s="10">
        <v>44053</v>
      </c>
      <c r="B2242" s="6" t="s">
        <v>3377</v>
      </c>
      <c r="C2242" s="5" t="s">
        <v>3376</v>
      </c>
      <c r="D2242" s="8" t="s">
        <v>3363</v>
      </c>
      <c r="E2242" s="6" t="s">
        <v>410</v>
      </c>
      <c r="F2242" s="6" t="s">
        <v>411</v>
      </c>
      <c r="G2242" s="5">
        <v>140</v>
      </c>
      <c r="H2242" s="5">
        <v>1</v>
      </c>
      <c r="I2242" s="20">
        <f t="shared" si="56"/>
        <v>140</v>
      </c>
      <c r="J2242" s="6" t="s">
        <v>357</v>
      </c>
    </row>
    <row r="2243" spans="1:10" hidden="1">
      <c r="A2243" s="9">
        <v>45593</v>
      </c>
      <c r="B2243" s="6" t="s">
        <v>5901</v>
      </c>
      <c r="C2243" s="5" t="s">
        <v>5893</v>
      </c>
      <c r="D2243" s="8" t="s">
        <v>5882</v>
      </c>
      <c r="E2243" s="25" t="s">
        <v>1881</v>
      </c>
      <c r="F2243" s="25" t="s">
        <v>686</v>
      </c>
      <c r="G2243" s="31">
        <v>118</v>
      </c>
      <c r="H2243" s="5">
        <v>1</v>
      </c>
      <c r="I2243" s="20">
        <f t="shared" ref="I2243:I2306" si="59">H2243*G2243</f>
        <v>118</v>
      </c>
      <c r="J2243" s="6" t="s">
        <v>357</v>
      </c>
    </row>
    <row r="2244" spans="1:10" hidden="1">
      <c r="A2244" s="9">
        <v>45593</v>
      </c>
      <c r="B2244" s="6" t="s">
        <v>5900</v>
      </c>
      <c r="C2244" s="5" t="s">
        <v>5892</v>
      </c>
      <c r="D2244" s="8" t="s">
        <v>5882</v>
      </c>
      <c r="E2244" s="25" t="s">
        <v>1881</v>
      </c>
      <c r="F2244" s="25" t="s">
        <v>686</v>
      </c>
      <c r="G2244" s="31">
        <v>207</v>
      </c>
      <c r="H2244" s="5">
        <v>1</v>
      </c>
      <c r="I2244" s="20">
        <f t="shared" si="59"/>
        <v>207</v>
      </c>
      <c r="J2244" s="6" t="s">
        <v>357</v>
      </c>
    </row>
    <row r="2245" spans="1:10" hidden="1">
      <c r="A2245" s="9">
        <v>45593</v>
      </c>
      <c r="B2245" s="6" t="s">
        <v>5887</v>
      </c>
      <c r="C2245" s="5" t="s">
        <v>5886</v>
      </c>
      <c r="D2245" s="8" t="s">
        <v>5882</v>
      </c>
      <c r="E2245" s="25" t="s">
        <v>1881</v>
      </c>
      <c r="F2245" s="25" t="s">
        <v>686</v>
      </c>
      <c r="G2245" s="31">
        <v>410</v>
      </c>
      <c r="H2245" s="5">
        <v>1</v>
      </c>
      <c r="I2245" s="20">
        <f t="shared" si="59"/>
        <v>410</v>
      </c>
      <c r="J2245" s="6" t="s">
        <v>357</v>
      </c>
    </row>
    <row r="2246" spans="1:10" hidden="1">
      <c r="A2246" s="9">
        <v>45593</v>
      </c>
      <c r="B2246" s="6" t="s">
        <v>5903</v>
      </c>
      <c r="C2246" s="5" t="s">
        <v>5895</v>
      </c>
      <c r="D2246" s="8" t="s">
        <v>5882</v>
      </c>
      <c r="E2246" s="25" t="s">
        <v>1881</v>
      </c>
      <c r="F2246" s="25" t="s">
        <v>686</v>
      </c>
      <c r="G2246" s="31">
        <v>140</v>
      </c>
      <c r="H2246" s="5">
        <v>1</v>
      </c>
      <c r="I2246" s="20">
        <f t="shared" si="59"/>
        <v>140</v>
      </c>
      <c r="J2246" s="6" t="s">
        <v>357</v>
      </c>
    </row>
    <row r="2247" spans="1:10" ht="30" hidden="1">
      <c r="A2247" s="9">
        <v>45593</v>
      </c>
      <c r="B2247" s="6" t="s">
        <v>5896</v>
      </c>
      <c r="C2247" s="5" t="s">
        <v>5888</v>
      </c>
      <c r="D2247" s="8" t="s">
        <v>5882</v>
      </c>
      <c r="E2247" s="25" t="s">
        <v>1881</v>
      </c>
      <c r="F2247" s="25" t="s">
        <v>686</v>
      </c>
      <c r="G2247" s="31">
        <v>789</v>
      </c>
      <c r="H2247" s="5">
        <v>1</v>
      </c>
      <c r="I2247" s="20">
        <f t="shared" si="59"/>
        <v>789</v>
      </c>
      <c r="J2247" s="6" t="s">
        <v>357</v>
      </c>
    </row>
    <row r="2248" spans="1:10" hidden="1">
      <c r="A2248" s="9">
        <v>45593</v>
      </c>
      <c r="B2248" s="6" t="s">
        <v>5898</v>
      </c>
      <c r="C2248" s="5" t="s">
        <v>5891</v>
      </c>
      <c r="D2248" s="8" t="s">
        <v>5882</v>
      </c>
      <c r="E2248" s="25" t="s">
        <v>1881</v>
      </c>
      <c r="F2248" s="25" t="s">
        <v>686</v>
      </c>
      <c r="G2248" s="31">
        <v>209</v>
      </c>
      <c r="H2248" s="5">
        <v>1</v>
      </c>
      <c r="I2248" s="20">
        <f t="shared" si="59"/>
        <v>209</v>
      </c>
      <c r="J2248" s="6" t="s">
        <v>357</v>
      </c>
    </row>
    <row r="2249" spans="1:10" hidden="1">
      <c r="A2249" s="9">
        <v>45593</v>
      </c>
      <c r="B2249" s="6" t="s">
        <v>5897</v>
      </c>
      <c r="C2249" s="5" t="s">
        <v>5890</v>
      </c>
      <c r="D2249" s="8" t="s">
        <v>5882</v>
      </c>
      <c r="E2249" s="25" t="s">
        <v>1881</v>
      </c>
      <c r="F2249" s="25" t="s">
        <v>686</v>
      </c>
      <c r="G2249" s="31">
        <v>340</v>
      </c>
      <c r="H2249" s="5">
        <v>1</v>
      </c>
      <c r="I2249" s="20">
        <f t="shared" si="59"/>
        <v>340</v>
      </c>
      <c r="J2249" s="6" t="s">
        <v>357</v>
      </c>
    </row>
    <row r="2250" spans="1:10" hidden="1">
      <c r="A2250" s="9">
        <v>45593</v>
      </c>
      <c r="B2250" s="6" t="s">
        <v>5884</v>
      </c>
      <c r="C2250" s="5" t="s">
        <v>5885</v>
      </c>
      <c r="D2250" s="8" t="s">
        <v>5882</v>
      </c>
      <c r="E2250" s="25" t="s">
        <v>1881</v>
      </c>
      <c r="F2250" s="25" t="s">
        <v>686</v>
      </c>
      <c r="G2250" s="31">
        <v>680</v>
      </c>
      <c r="H2250" s="5">
        <v>1</v>
      </c>
      <c r="I2250" s="20">
        <f t="shared" si="59"/>
        <v>680</v>
      </c>
      <c r="J2250" s="6" t="s">
        <v>357</v>
      </c>
    </row>
    <row r="2251" spans="1:10" ht="30" hidden="1">
      <c r="A2251" s="9">
        <v>45593</v>
      </c>
      <c r="B2251" s="6" t="s">
        <v>5899</v>
      </c>
      <c r="C2251" s="5" t="s">
        <v>5889</v>
      </c>
      <c r="D2251" s="8" t="s">
        <v>5882</v>
      </c>
      <c r="E2251" s="25" t="s">
        <v>1881</v>
      </c>
      <c r="F2251" s="25" t="s">
        <v>686</v>
      </c>
      <c r="G2251" s="31">
        <v>659</v>
      </c>
      <c r="H2251" s="5">
        <v>1</v>
      </c>
      <c r="I2251" s="20">
        <f t="shared" si="59"/>
        <v>659</v>
      </c>
      <c r="J2251" s="6" t="s">
        <v>357</v>
      </c>
    </row>
    <row r="2252" spans="1:10" hidden="1">
      <c r="A2252" s="9">
        <v>45593</v>
      </c>
      <c r="B2252" s="6" t="s">
        <v>5883</v>
      </c>
      <c r="C2252" s="5" t="s">
        <v>5881</v>
      </c>
      <c r="D2252" s="8" t="s">
        <v>5882</v>
      </c>
      <c r="E2252" s="25" t="s">
        <v>1881</v>
      </c>
      <c r="F2252" s="25" t="s">
        <v>686</v>
      </c>
      <c r="G2252" s="31">
        <v>1349</v>
      </c>
      <c r="H2252" s="5">
        <v>1</v>
      </c>
      <c r="I2252" s="20">
        <f t="shared" si="59"/>
        <v>1349</v>
      </c>
      <c r="J2252" s="6" t="s">
        <v>357</v>
      </c>
    </row>
    <row r="2253" spans="1:10" hidden="1">
      <c r="A2253" s="9">
        <v>45593</v>
      </c>
      <c r="B2253" s="6" t="s">
        <v>5902</v>
      </c>
      <c r="C2253" s="5" t="s">
        <v>5894</v>
      </c>
      <c r="D2253" s="8" t="s">
        <v>5882</v>
      </c>
      <c r="E2253" s="25" t="s">
        <v>1881</v>
      </c>
      <c r="F2253" s="25" t="s">
        <v>686</v>
      </c>
      <c r="G2253" s="31">
        <v>230</v>
      </c>
      <c r="H2253" s="5">
        <v>1</v>
      </c>
      <c r="I2253" s="20">
        <f t="shared" si="59"/>
        <v>230</v>
      </c>
      <c r="J2253" s="6" t="s">
        <v>357</v>
      </c>
    </row>
    <row r="2254" spans="1:10" hidden="1">
      <c r="A2254" s="9">
        <v>44848</v>
      </c>
      <c r="B2254" s="6" t="s">
        <v>3380</v>
      </c>
      <c r="C2254" s="5" t="s">
        <v>3378</v>
      </c>
      <c r="D2254" s="8" t="s">
        <v>3379</v>
      </c>
      <c r="E2254" s="6" t="s">
        <v>3381</v>
      </c>
      <c r="F2254" s="6" t="s">
        <v>3382</v>
      </c>
      <c r="G2254" s="5">
        <v>1228</v>
      </c>
      <c r="H2254" s="5">
        <f>0.5*0.9*0.9*0.9</f>
        <v>0.36450000000000005</v>
      </c>
      <c r="I2254" s="20">
        <f t="shared" si="59"/>
        <v>447.60600000000005</v>
      </c>
      <c r="J2254" s="6" t="s">
        <v>357</v>
      </c>
    </row>
    <row r="2255" spans="1:10" hidden="1">
      <c r="A2255" s="10">
        <v>44505</v>
      </c>
      <c r="B2255" s="6" t="s">
        <v>3385</v>
      </c>
      <c r="C2255" s="5" t="s">
        <v>3383</v>
      </c>
      <c r="D2255" s="8" t="s">
        <v>3384</v>
      </c>
      <c r="E2255" s="6" t="s">
        <v>683</v>
      </c>
      <c r="F2255" s="6" t="s">
        <v>411</v>
      </c>
      <c r="G2255" s="5">
        <v>0.6</v>
      </c>
      <c r="H2255" s="5">
        <v>1</v>
      </c>
      <c r="I2255" s="20">
        <f t="shared" si="59"/>
        <v>0.6</v>
      </c>
      <c r="J2255" s="6" t="s">
        <v>357</v>
      </c>
    </row>
    <row r="2256" spans="1:10" hidden="1">
      <c r="A2256" s="10">
        <v>44505</v>
      </c>
      <c r="B2256" s="6" t="s">
        <v>3387</v>
      </c>
      <c r="C2256" s="5" t="s">
        <v>3386</v>
      </c>
      <c r="D2256" s="8" t="s">
        <v>3384</v>
      </c>
      <c r="E2256" s="6" t="s">
        <v>683</v>
      </c>
      <c r="F2256" s="6" t="s">
        <v>411</v>
      </c>
      <c r="G2256" s="5">
        <v>1</v>
      </c>
      <c r="H2256" s="5">
        <v>1</v>
      </c>
      <c r="I2256" s="20">
        <f t="shared" si="59"/>
        <v>1</v>
      </c>
      <c r="J2256" s="6" t="s">
        <v>357</v>
      </c>
    </row>
    <row r="2257" spans="1:10" ht="30" hidden="1">
      <c r="A2257" s="10">
        <v>43783</v>
      </c>
      <c r="B2257" s="6" t="s">
        <v>3390</v>
      </c>
      <c r="C2257" s="5" t="s">
        <v>3388</v>
      </c>
      <c r="D2257" s="8" t="s">
        <v>3389</v>
      </c>
      <c r="E2257" s="6" t="s">
        <v>1541</v>
      </c>
      <c r="F2257" s="6" t="s">
        <v>411</v>
      </c>
      <c r="G2257" s="5">
        <v>495</v>
      </c>
      <c r="H2257" s="5">
        <v>1</v>
      </c>
      <c r="I2257" s="20">
        <f t="shared" si="59"/>
        <v>495</v>
      </c>
      <c r="J2257" s="6" t="s">
        <v>357</v>
      </c>
    </row>
    <row r="2258" spans="1:10" hidden="1">
      <c r="A2258" s="22">
        <v>45672</v>
      </c>
      <c r="B2258" s="216" t="s">
        <v>6376</v>
      </c>
      <c r="C2258" s="5" t="s">
        <v>6377</v>
      </c>
      <c r="D2258" s="8" t="s">
        <v>6378</v>
      </c>
      <c r="E2258" s="25" t="s">
        <v>2445</v>
      </c>
      <c r="F2258" s="25" t="s">
        <v>686</v>
      </c>
      <c r="G2258" s="31">
        <f>78+31</f>
        <v>109</v>
      </c>
      <c r="H2258" s="5">
        <v>1</v>
      </c>
      <c r="I2258" s="20">
        <f t="shared" si="59"/>
        <v>109</v>
      </c>
      <c r="J2258" s="6" t="s">
        <v>357</v>
      </c>
    </row>
    <row r="2259" spans="1:10" ht="30" hidden="1">
      <c r="A2259" s="9">
        <v>45070</v>
      </c>
      <c r="B2259" s="6" t="s">
        <v>3393</v>
      </c>
      <c r="C2259" s="5" t="s">
        <v>3391</v>
      </c>
      <c r="D2259" s="8" t="s">
        <v>3392</v>
      </c>
      <c r="E2259" s="6" t="s">
        <v>2045</v>
      </c>
      <c r="F2259" s="6" t="s">
        <v>411</v>
      </c>
      <c r="G2259" s="5">
        <v>181</v>
      </c>
      <c r="H2259" s="5">
        <v>1</v>
      </c>
      <c r="I2259" s="20">
        <f t="shared" si="59"/>
        <v>181</v>
      </c>
      <c r="J2259" s="6" t="s">
        <v>357</v>
      </c>
    </row>
    <row r="2260" spans="1:10" hidden="1">
      <c r="A2260" s="9">
        <v>45156</v>
      </c>
      <c r="B2260" s="6" t="s">
        <v>3395</v>
      </c>
      <c r="C2260" s="5" t="s">
        <v>3394</v>
      </c>
      <c r="D2260" s="8" t="s">
        <v>3392</v>
      </c>
      <c r="E2260" s="6" t="s">
        <v>2045</v>
      </c>
      <c r="F2260" s="6" t="s">
        <v>411</v>
      </c>
      <c r="G2260" s="5">
        <v>271.13</v>
      </c>
      <c r="H2260" s="5">
        <v>1</v>
      </c>
      <c r="I2260" s="20">
        <f t="shared" si="59"/>
        <v>271.13</v>
      </c>
      <c r="J2260" s="6" t="s">
        <v>357</v>
      </c>
    </row>
    <row r="2261" spans="1:10" ht="30" hidden="1">
      <c r="A2261" s="9">
        <v>45070</v>
      </c>
      <c r="B2261" s="6" t="s">
        <v>3397</v>
      </c>
      <c r="C2261" s="5" t="s">
        <v>3396</v>
      </c>
      <c r="D2261" s="8" t="s">
        <v>3392</v>
      </c>
      <c r="E2261" s="6" t="s">
        <v>2045</v>
      </c>
      <c r="F2261" s="6" t="s">
        <v>411</v>
      </c>
      <c r="G2261" s="5">
        <v>211</v>
      </c>
      <c r="H2261" s="5">
        <v>1</v>
      </c>
      <c r="I2261" s="20">
        <f t="shared" si="59"/>
        <v>211</v>
      </c>
      <c r="J2261" s="6" t="s">
        <v>357</v>
      </c>
    </row>
    <row r="2262" spans="1:10" hidden="1">
      <c r="A2262" s="9">
        <v>45156</v>
      </c>
      <c r="B2262" s="6" t="s">
        <v>3399</v>
      </c>
      <c r="C2262" s="5" t="s">
        <v>3398</v>
      </c>
      <c r="D2262" s="8" t="s">
        <v>3392</v>
      </c>
      <c r="E2262" s="6" t="s">
        <v>2045</v>
      </c>
      <c r="F2262" s="6" t="s">
        <v>411</v>
      </c>
      <c r="G2262" s="5">
        <v>395.37</v>
      </c>
      <c r="H2262" s="5">
        <v>1</v>
      </c>
      <c r="I2262" s="20">
        <f t="shared" si="59"/>
        <v>395.37</v>
      </c>
      <c r="J2262" s="6" t="s">
        <v>357</v>
      </c>
    </row>
    <row r="2263" spans="1:10" ht="30" hidden="1">
      <c r="A2263" s="9">
        <v>45070</v>
      </c>
      <c r="B2263" s="6" t="s">
        <v>3401</v>
      </c>
      <c r="C2263" s="5" t="s">
        <v>3400</v>
      </c>
      <c r="D2263" s="8" t="s">
        <v>3392</v>
      </c>
      <c r="E2263" s="6" t="s">
        <v>2045</v>
      </c>
      <c r="F2263" s="6" t="s">
        <v>411</v>
      </c>
      <c r="G2263" s="5">
        <v>259</v>
      </c>
      <c r="H2263" s="5">
        <v>1</v>
      </c>
      <c r="I2263" s="20">
        <f t="shared" si="59"/>
        <v>259</v>
      </c>
      <c r="J2263" s="6" t="s">
        <v>357</v>
      </c>
    </row>
    <row r="2264" spans="1:10" hidden="1">
      <c r="A2264" s="9">
        <v>45156</v>
      </c>
      <c r="B2264" s="6" t="s">
        <v>3403</v>
      </c>
      <c r="C2264" s="5" t="s">
        <v>3402</v>
      </c>
      <c r="D2264" s="8" t="s">
        <v>3392</v>
      </c>
      <c r="E2264" s="6" t="s">
        <v>2045</v>
      </c>
      <c r="F2264" s="6" t="s">
        <v>411</v>
      </c>
      <c r="G2264" s="5">
        <v>473.81</v>
      </c>
      <c r="H2264" s="5">
        <v>1</v>
      </c>
      <c r="I2264" s="20">
        <f t="shared" si="59"/>
        <v>473.81</v>
      </c>
      <c r="J2264" s="6" t="s">
        <v>357</v>
      </c>
    </row>
    <row r="2265" spans="1:10" ht="30" hidden="1">
      <c r="A2265" s="9">
        <v>45070</v>
      </c>
      <c r="B2265" s="6" t="s">
        <v>3405</v>
      </c>
      <c r="C2265" s="5" t="s">
        <v>3404</v>
      </c>
      <c r="D2265" s="8" t="s">
        <v>3392</v>
      </c>
      <c r="E2265" s="6" t="s">
        <v>2045</v>
      </c>
      <c r="F2265" s="6" t="s">
        <v>411</v>
      </c>
      <c r="G2265" s="5">
        <v>290</v>
      </c>
      <c r="H2265" s="5">
        <v>1</v>
      </c>
      <c r="I2265" s="20">
        <f t="shared" si="59"/>
        <v>290</v>
      </c>
      <c r="J2265" s="6" t="s">
        <v>357</v>
      </c>
    </row>
    <row r="2266" spans="1:10" hidden="1">
      <c r="A2266" s="9">
        <v>45156</v>
      </c>
      <c r="B2266" s="6" t="s">
        <v>3407</v>
      </c>
      <c r="C2266" s="5" t="s">
        <v>3406</v>
      </c>
      <c r="D2266" s="8" t="s">
        <v>3392</v>
      </c>
      <c r="E2266" s="6" t="s">
        <v>2045</v>
      </c>
      <c r="F2266" s="6" t="s">
        <v>411</v>
      </c>
      <c r="G2266" s="5">
        <v>523.63</v>
      </c>
      <c r="H2266" s="5">
        <v>1</v>
      </c>
      <c r="I2266" s="20">
        <f t="shared" si="59"/>
        <v>523.63</v>
      </c>
      <c r="J2266" s="6" t="s">
        <v>357</v>
      </c>
    </row>
    <row r="2267" spans="1:10" ht="30" hidden="1">
      <c r="A2267" s="9">
        <v>45070</v>
      </c>
      <c r="B2267" s="6" t="s">
        <v>3409</v>
      </c>
      <c r="C2267" s="5" t="s">
        <v>3408</v>
      </c>
      <c r="D2267" s="8" t="s">
        <v>3392</v>
      </c>
      <c r="E2267" s="6" t="s">
        <v>2045</v>
      </c>
      <c r="F2267" s="6" t="s">
        <v>411</v>
      </c>
      <c r="G2267" s="5">
        <v>345</v>
      </c>
      <c r="H2267" s="5">
        <v>1</v>
      </c>
      <c r="I2267" s="20">
        <f t="shared" si="59"/>
        <v>345</v>
      </c>
      <c r="J2267" s="6" t="s">
        <v>357</v>
      </c>
    </row>
    <row r="2268" spans="1:10" hidden="1">
      <c r="A2268" s="9">
        <v>45156</v>
      </c>
      <c r="B2268" s="6" t="s">
        <v>3411</v>
      </c>
      <c r="C2268" s="5" t="s">
        <v>3410</v>
      </c>
      <c r="D2268" s="8" t="s">
        <v>3392</v>
      </c>
      <c r="E2268" s="6" t="s">
        <v>2045</v>
      </c>
      <c r="F2268" s="6" t="s">
        <v>411</v>
      </c>
      <c r="G2268" s="5">
        <v>703.83</v>
      </c>
      <c r="H2268" s="5">
        <v>1</v>
      </c>
      <c r="I2268" s="20">
        <f t="shared" si="59"/>
        <v>703.83</v>
      </c>
      <c r="J2268" s="6" t="s">
        <v>357</v>
      </c>
    </row>
    <row r="2269" spans="1:10" ht="30" hidden="1">
      <c r="A2269" s="9">
        <v>45070</v>
      </c>
      <c r="B2269" s="6" t="s">
        <v>3413</v>
      </c>
      <c r="C2269" s="5" t="s">
        <v>3412</v>
      </c>
      <c r="D2269" s="8" t="s">
        <v>3392</v>
      </c>
      <c r="E2269" s="6" t="s">
        <v>2045</v>
      </c>
      <c r="F2269" s="6" t="s">
        <v>411</v>
      </c>
      <c r="G2269" s="5">
        <v>366</v>
      </c>
      <c r="H2269" s="5">
        <v>1</v>
      </c>
      <c r="I2269" s="20">
        <f t="shared" si="59"/>
        <v>366</v>
      </c>
      <c r="J2269" s="6" t="s">
        <v>357</v>
      </c>
    </row>
    <row r="2270" spans="1:10" hidden="1">
      <c r="A2270" s="9">
        <v>45156</v>
      </c>
      <c r="B2270" s="6" t="s">
        <v>3415</v>
      </c>
      <c r="C2270" s="5" t="s">
        <v>3414</v>
      </c>
      <c r="D2270" s="8" t="s">
        <v>3392</v>
      </c>
      <c r="E2270" s="6" t="s">
        <v>2045</v>
      </c>
      <c r="F2270" s="6" t="s">
        <v>411</v>
      </c>
      <c r="G2270" s="5">
        <v>736.69</v>
      </c>
      <c r="H2270" s="5">
        <v>1</v>
      </c>
      <c r="I2270" s="20">
        <f t="shared" si="59"/>
        <v>736.69</v>
      </c>
      <c r="J2270" s="6" t="s">
        <v>357</v>
      </c>
    </row>
    <row r="2271" spans="1:10" ht="30" hidden="1">
      <c r="A2271" s="9">
        <v>45070</v>
      </c>
      <c r="B2271" s="6" t="s">
        <v>3417</v>
      </c>
      <c r="C2271" s="5" t="s">
        <v>3416</v>
      </c>
      <c r="D2271" s="8" t="s">
        <v>3392</v>
      </c>
      <c r="E2271" s="6" t="s">
        <v>2045</v>
      </c>
      <c r="F2271" s="6" t="s">
        <v>411</v>
      </c>
      <c r="G2271" s="5">
        <v>434</v>
      </c>
      <c r="H2271" s="5">
        <v>1</v>
      </c>
      <c r="I2271" s="20">
        <f t="shared" si="59"/>
        <v>434</v>
      </c>
      <c r="J2271" s="6" t="s">
        <v>357</v>
      </c>
    </row>
    <row r="2272" spans="1:10" hidden="1">
      <c r="A2272" s="9">
        <v>45156</v>
      </c>
      <c r="B2272" s="6" t="s">
        <v>3419</v>
      </c>
      <c r="C2272" s="5" t="s">
        <v>3418</v>
      </c>
      <c r="D2272" s="8" t="s">
        <v>3392</v>
      </c>
      <c r="E2272" s="6" t="s">
        <v>2045</v>
      </c>
      <c r="F2272" s="6" t="s">
        <v>411</v>
      </c>
      <c r="G2272" s="5">
        <v>817.25</v>
      </c>
      <c r="H2272" s="5">
        <v>1</v>
      </c>
      <c r="I2272" s="20">
        <f t="shared" si="59"/>
        <v>817.25</v>
      </c>
      <c r="J2272" s="6" t="s">
        <v>357</v>
      </c>
    </row>
    <row r="2273" spans="1:10" ht="30" hidden="1">
      <c r="A2273" s="9">
        <v>45070</v>
      </c>
      <c r="B2273" s="6" t="s">
        <v>3421</v>
      </c>
      <c r="C2273" s="5" t="s">
        <v>3420</v>
      </c>
      <c r="D2273" s="8" t="s">
        <v>3392</v>
      </c>
      <c r="E2273" s="6" t="s">
        <v>2045</v>
      </c>
      <c r="F2273" s="6" t="s">
        <v>411</v>
      </c>
      <c r="G2273" s="5">
        <v>459</v>
      </c>
      <c r="H2273" s="5">
        <v>1</v>
      </c>
      <c r="I2273" s="20">
        <f t="shared" si="59"/>
        <v>459</v>
      </c>
      <c r="J2273" s="6" t="s">
        <v>357</v>
      </c>
    </row>
    <row r="2274" spans="1:10" hidden="1">
      <c r="A2274" s="9">
        <v>45156</v>
      </c>
      <c r="B2274" s="6" t="s">
        <v>3423</v>
      </c>
      <c r="C2274" s="5" t="s">
        <v>3422</v>
      </c>
      <c r="D2274" s="8" t="s">
        <v>3392</v>
      </c>
      <c r="E2274" s="6" t="s">
        <v>2045</v>
      </c>
      <c r="F2274" s="6" t="s">
        <v>411</v>
      </c>
      <c r="G2274" s="5">
        <v>939.14</v>
      </c>
      <c r="H2274" s="5">
        <v>1</v>
      </c>
      <c r="I2274" s="20">
        <f t="shared" si="59"/>
        <v>939.14</v>
      </c>
      <c r="J2274" s="6" t="s">
        <v>357</v>
      </c>
    </row>
    <row r="2275" spans="1:10" ht="30" hidden="1">
      <c r="A2275" s="9">
        <v>45070</v>
      </c>
      <c r="B2275" s="6" t="s">
        <v>3425</v>
      </c>
      <c r="C2275" s="5" t="s">
        <v>3424</v>
      </c>
      <c r="D2275" s="8" t="s">
        <v>3392</v>
      </c>
      <c r="E2275" s="6" t="s">
        <v>2045</v>
      </c>
      <c r="F2275" s="6" t="s">
        <v>411</v>
      </c>
      <c r="G2275" s="5">
        <v>551</v>
      </c>
      <c r="H2275" s="5">
        <v>1</v>
      </c>
      <c r="I2275" s="20">
        <f t="shared" si="59"/>
        <v>551</v>
      </c>
      <c r="J2275" s="6" t="s">
        <v>357</v>
      </c>
    </row>
    <row r="2276" spans="1:10" hidden="1">
      <c r="A2276" s="9">
        <v>45156</v>
      </c>
      <c r="B2276" s="6" t="s">
        <v>3427</v>
      </c>
      <c r="C2276" s="5" t="s">
        <v>3426</v>
      </c>
      <c r="D2276" s="8" t="s">
        <v>3392</v>
      </c>
      <c r="E2276" s="6" t="s">
        <v>2045</v>
      </c>
      <c r="F2276" s="6" t="s">
        <v>411</v>
      </c>
      <c r="G2276" s="5">
        <v>1071.6400000000001</v>
      </c>
      <c r="H2276" s="5">
        <v>1</v>
      </c>
      <c r="I2276" s="20">
        <f t="shared" si="59"/>
        <v>1071.6400000000001</v>
      </c>
      <c r="J2276" s="6" t="s">
        <v>357</v>
      </c>
    </row>
    <row r="2277" spans="1:10" ht="30" hidden="1">
      <c r="A2277" s="9">
        <v>45070</v>
      </c>
      <c r="B2277" s="6" t="s">
        <v>3429</v>
      </c>
      <c r="C2277" s="5" t="s">
        <v>3428</v>
      </c>
      <c r="D2277" s="8" t="s">
        <v>3392</v>
      </c>
      <c r="E2277" s="6" t="s">
        <v>2045</v>
      </c>
      <c r="F2277" s="6" t="s">
        <v>411</v>
      </c>
      <c r="G2277" s="5">
        <v>724</v>
      </c>
      <c r="H2277" s="5">
        <v>1</v>
      </c>
      <c r="I2277" s="20">
        <f t="shared" si="59"/>
        <v>724</v>
      </c>
      <c r="J2277" s="6" t="s">
        <v>357</v>
      </c>
    </row>
    <row r="2278" spans="1:10" hidden="1">
      <c r="A2278" s="9">
        <v>45156</v>
      </c>
      <c r="B2278" s="6" t="s">
        <v>3431</v>
      </c>
      <c r="C2278" s="5" t="s">
        <v>3430</v>
      </c>
      <c r="D2278" s="8" t="s">
        <v>3392</v>
      </c>
      <c r="E2278" s="6" t="s">
        <v>2045</v>
      </c>
      <c r="F2278" s="6" t="s">
        <v>411</v>
      </c>
      <c r="G2278" s="5">
        <v>1279.79</v>
      </c>
      <c r="H2278" s="5">
        <v>1</v>
      </c>
      <c r="I2278" s="20">
        <f t="shared" si="59"/>
        <v>1279.79</v>
      </c>
      <c r="J2278" s="6" t="s">
        <v>357</v>
      </c>
    </row>
    <row r="2279" spans="1:10" ht="30" hidden="1">
      <c r="A2279" s="9">
        <v>45070</v>
      </c>
      <c r="B2279" s="6" t="s">
        <v>3433</v>
      </c>
      <c r="C2279" s="5" t="s">
        <v>3432</v>
      </c>
      <c r="D2279" s="8" t="s">
        <v>3392</v>
      </c>
      <c r="E2279" s="6" t="s">
        <v>2045</v>
      </c>
      <c r="F2279" s="6" t="s">
        <v>411</v>
      </c>
      <c r="G2279" s="5">
        <v>724</v>
      </c>
      <c r="H2279" s="5">
        <v>1</v>
      </c>
      <c r="I2279" s="20">
        <f t="shared" si="59"/>
        <v>724</v>
      </c>
      <c r="J2279" s="6" t="s">
        <v>357</v>
      </c>
    </row>
    <row r="2280" spans="1:10" hidden="1">
      <c r="A2280" s="9">
        <v>45156</v>
      </c>
      <c r="B2280" s="6" t="s">
        <v>3435</v>
      </c>
      <c r="C2280" s="5" t="s">
        <v>3434</v>
      </c>
      <c r="D2280" s="8" t="s">
        <v>3392</v>
      </c>
      <c r="E2280" s="6" t="s">
        <v>2045</v>
      </c>
      <c r="F2280" s="6" t="s">
        <v>411</v>
      </c>
      <c r="G2280" s="5">
        <v>1279.79</v>
      </c>
      <c r="H2280" s="5">
        <v>1</v>
      </c>
      <c r="I2280" s="20">
        <f t="shared" si="59"/>
        <v>1279.79</v>
      </c>
      <c r="J2280" s="6" t="s">
        <v>357</v>
      </c>
    </row>
    <row r="2281" spans="1:10" ht="30" hidden="1">
      <c r="A2281" s="9">
        <v>45070</v>
      </c>
      <c r="B2281" s="6" t="s">
        <v>3437</v>
      </c>
      <c r="C2281" s="5" t="s">
        <v>3436</v>
      </c>
      <c r="D2281" s="8" t="s">
        <v>3392</v>
      </c>
      <c r="E2281" s="6" t="s">
        <v>2045</v>
      </c>
      <c r="F2281" s="6" t="s">
        <v>411</v>
      </c>
      <c r="G2281" s="5">
        <v>742</v>
      </c>
      <c r="H2281" s="5">
        <v>1</v>
      </c>
      <c r="I2281" s="20">
        <f t="shared" si="59"/>
        <v>742</v>
      </c>
      <c r="J2281" s="6" t="s">
        <v>357</v>
      </c>
    </row>
    <row r="2282" spans="1:10" hidden="1">
      <c r="A2282" s="9">
        <v>45156</v>
      </c>
      <c r="B2282" s="6" t="s">
        <v>3439</v>
      </c>
      <c r="C2282" s="5" t="s">
        <v>3438</v>
      </c>
      <c r="D2282" s="8" t="s">
        <v>3392</v>
      </c>
      <c r="E2282" s="6" t="s">
        <v>2045</v>
      </c>
      <c r="F2282" s="6" t="s">
        <v>411</v>
      </c>
      <c r="G2282" s="5">
        <v>1428.86</v>
      </c>
      <c r="H2282" s="5">
        <v>1</v>
      </c>
      <c r="I2282" s="20">
        <f t="shared" si="59"/>
        <v>1428.86</v>
      </c>
      <c r="J2282" s="6" t="s">
        <v>357</v>
      </c>
    </row>
    <row r="2283" spans="1:10" ht="30" hidden="1">
      <c r="A2283" s="9">
        <v>45070</v>
      </c>
      <c r="B2283" s="6" t="s">
        <v>3441</v>
      </c>
      <c r="C2283" s="5" t="s">
        <v>3440</v>
      </c>
      <c r="D2283" s="8" t="s">
        <v>3392</v>
      </c>
      <c r="E2283" s="6" t="s">
        <v>2045</v>
      </c>
      <c r="F2283" s="6" t="s">
        <v>411</v>
      </c>
      <c r="G2283" s="5">
        <v>868</v>
      </c>
      <c r="H2283" s="5">
        <v>1</v>
      </c>
      <c r="I2283" s="20">
        <f t="shared" si="59"/>
        <v>868</v>
      </c>
      <c r="J2283" s="6" t="s">
        <v>357</v>
      </c>
    </row>
    <row r="2284" spans="1:10" ht="30" hidden="1">
      <c r="A2284" s="9">
        <v>45156</v>
      </c>
      <c r="B2284" s="6" t="s">
        <v>3443</v>
      </c>
      <c r="C2284" s="5" t="s">
        <v>3442</v>
      </c>
      <c r="D2284" s="8" t="s">
        <v>3392</v>
      </c>
      <c r="E2284" s="6" t="s">
        <v>2045</v>
      </c>
      <c r="F2284" s="6" t="s">
        <v>411</v>
      </c>
      <c r="G2284" s="5">
        <v>1579.37</v>
      </c>
      <c r="H2284" s="5">
        <v>1</v>
      </c>
      <c r="I2284" s="20">
        <f t="shared" si="59"/>
        <v>1579.37</v>
      </c>
      <c r="J2284" s="6" t="s">
        <v>357</v>
      </c>
    </row>
    <row r="2285" spans="1:10" hidden="1">
      <c r="A2285" s="10">
        <v>43911</v>
      </c>
      <c r="B2285" s="6" t="s">
        <v>3446</v>
      </c>
      <c r="C2285" s="5" t="s">
        <v>3445</v>
      </c>
      <c r="D2285" s="8" t="s">
        <v>3392</v>
      </c>
      <c r="E2285" s="6" t="s">
        <v>3444</v>
      </c>
      <c r="F2285" s="6" t="s">
        <v>411</v>
      </c>
      <c r="G2285" s="5">
        <v>1025</v>
      </c>
      <c r="H2285" s="5">
        <v>1</v>
      </c>
      <c r="I2285" s="20">
        <f t="shared" si="59"/>
        <v>1025</v>
      </c>
      <c r="J2285" s="6" t="s">
        <v>357</v>
      </c>
    </row>
    <row r="2286" spans="1:10" hidden="1">
      <c r="A2286" s="9">
        <v>45456</v>
      </c>
      <c r="B2286" s="6" t="s">
        <v>3448</v>
      </c>
      <c r="C2286" s="5" t="s">
        <v>3447</v>
      </c>
      <c r="D2286" s="8" t="s">
        <v>3392</v>
      </c>
      <c r="E2286" s="6" t="s">
        <v>3444</v>
      </c>
      <c r="F2286" s="6" t="s">
        <v>411</v>
      </c>
      <c r="G2286" s="5">
        <v>314.60000000000002</v>
      </c>
      <c r="H2286" s="5">
        <v>1</v>
      </c>
      <c r="I2286" s="20">
        <f t="shared" si="59"/>
        <v>314.60000000000002</v>
      </c>
      <c r="J2286" s="6" t="s">
        <v>357</v>
      </c>
    </row>
    <row r="2287" spans="1:10" ht="30" hidden="1">
      <c r="A2287" s="9">
        <v>45070</v>
      </c>
      <c r="B2287" s="6" t="s">
        <v>3450</v>
      </c>
      <c r="C2287" s="5" t="s">
        <v>3449</v>
      </c>
      <c r="D2287" s="8" t="s">
        <v>3392</v>
      </c>
      <c r="E2287" s="6" t="s">
        <v>2045</v>
      </c>
      <c r="F2287" s="6" t="s">
        <v>411</v>
      </c>
      <c r="G2287" s="5">
        <v>1046</v>
      </c>
      <c r="H2287" s="5">
        <v>1</v>
      </c>
      <c r="I2287" s="20">
        <f t="shared" si="59"/>
        <v>1046</v>
      </c>
      <c r="J2287" s="6" t="s">
        <v>357</v>
      </c>
    </row>
    <row r="2288" spans="1:10" ht="30" hidden="1">
      <c r="A2288" s="9">
        <v>45156</v>
      </c>
      <c r="B2288" s="6" t="s">
        <v>3452</v>
      </c>
      <c r="C2288" s="5" t="s">
        <v>3451</v>
      </c>
      <c r="D2288" s="8" t="s">
        <v>3392</v>
      </c>
      <c r="E2288" s="6" t="s">
        <v>2045</v>
      </c>
      <c r="F2288" s="6" t="s">
        <v>411</v>
      </c>
      <c r="G2288" s="5">
        <v>2180.38</v>
      </c>
      <c r="H2288" s="5">
        <v>1</v>
      </c>
      <c r="I2288" s="20">
        <f t="shared" si="59"/>
        <v>2180.38</v>
      </c>
      <c r="J2288" s="6" t="s">
        <v>357</v>
      </c>
    </row>
    <row r="2289" spans="1:10" hidden="1">
      <c r="A2289" s="10">
        <v>43993</v>
      </c>
      <c r="B2289" s="6" t="s">
        <v>3454</v>
      </c>
      <c r="C2289" s="5" t="s">
        <v>3453</v>
      </c>
      <c r="D2289" s="8" t="s">
        <v>3392</v>
      </c>
      <c r="E2289" s="6" t="s">
        <v>3444</v>
      </c>
      <c r="F2289" s="6" t="s">
        <v>686</v>
      </c>
      <c r="G2289" s="5">
        <v>1211</v>
      </c>
      <c r="H2289" s="5">
        <v>1</v>
      </c>
      <c r="I2289" s="20">
        <f t="shared" si="59"/>
        <v>1211</v>
      </c>
      <c r="J2289" s="6" t="s">
        <v>357</v>
      </c>
    </row>
    <row r="2290" spans="1:10" hidden="1">
      <c r="A2290" s="9">
        <v>44943</v>
      </c>
      <c r="B2290" s="6" t="s">
        <v>3456</v>
      </c>
      <c r="C2290" s="5" t="s">
        <v>3455</v>
      </c>
      <c r="D2290" s="8" t="s">
        <v>3392</v>
      </c>
      <c r="E2290" s="6" t="s">
        <v>3444</v>
      </c>
      <c r="F2290" s="6" t="s">
        <v>411</v>
      </c>
      <c r="G2290" s="5">
        <v>1948.04</v>
      </c>
      <c r="H2290" s="5">
        <v>1</v>
      </c>
      <c r="I2290" s="20">
        <f t="shared" si="59"/>
        <v>1948.04</v>
      </c>
      <c r="J2290" s="6" t="s">
        <v>357</v>
      </c>
    </row>
    <row r="2291" spans="1:10" ht="30" hidden="1">
      <c r="A2291" s="9">
        <v>45070</v>
      </c>
      <c r="B2291" s="6" t="s">
        <v>3458</v>
      </c>
      <c r="C2291" s="5" t="s">
        <v>3457</v>
      </c>
      <c r="D2291" s="8" t="s">
        <v>3392</v>
      </c>
      <c r="E2291" s="6" t="s">
        <v>2045</v>
      </c>
      <c r="F2291" s="6" t="s">
        <v>411</v>
      </c>
      <c r="G2291" s="5">
        <v>1179</v>
      </c>
      <c r="H2291" s="5">
        <v>1</v>
      </c>
      <c r="I2291" s="20">
        <f t="shared" si="59"/>
        <v>1179</v>
      </c>
      <c r="J2291" s="6" t="s">
        <v>357</v>
      </c>
    </row>
    <row r="2292" spans="1:10" ht="30" hidden="1">
      <c r="A2292" s="9">
        <v>45156</v>
      </c>
      <c r="B2292" s="6" t="s">
        <v>3460</v>
      </c>
      <c r="C2292" s="5" t="s">
        <v>3459</v>
      </c>
      <c r="D2292" s="8" t="s">
        <v>3392</v>
      </c>
      <c r="E2292" s="6" t="s">
        <v>2045</v>
      </c>
      <c r="F2292" s="6" t="s">
        <v>411</v>
      </c>
      <c r="G2292" s="5">
        <v>2452.46</v>
      </c>
      <c r="H2292" s="5">
        <v>1</v>
      </c>
      <c r="I2292" s="20">
        <f t="shared" si="59"/>
        <v>2452.46</v>
      </c>
      <c r="J2292" s="6" t="s">
        <v>357</v>
      </c>
    </row>
    <row r="2293" spans="1:10" hidden="1">
      <c r="A2293" s="9">
        <v>45328</v>
      </c>
      <c r="B2293" s="6" t="s">
        <v>3462</v>
      </c>
      <c r="C2293" s="5" t="s">
        <v>3461</v>
      </c>
      <c r="D2293" s="8" t="s">
        <v>3392</v>
      </c>
      <c r="E2293" s="6" t="s">
        <v>3444</v>
      </c>
      <c r="F2293" s="6" t="s">
        <v>411</v>
      </c>
      <c r="G2293" s="5">
        <v>362.49</v>
      </c>
      <c r="H2293" s="5">
        <v>1</v>
      </c>
      <c r="I2293" s="20">
        <f t="shared" si="59"/>
        <v>362.49</v>
      </c>
      <c r="J2293" s="6" t="s">
        <v>357</v>
      </c>
    </row>
    <row r="2294" spans="1:10" hidden="1">
      <c r="A2294" s="10">
        <v>44102</v>
      </c>
      <c r="B2294" s="6" t="s">
        <v>3464</v>
      </c>
      <c r="C2294" s="5" t="s">
        <v>3463</v>
      </c>
      <c r="D2294" s="8" t="s">
        <v>3392</v>
      </c>
      <c r="E2294" s="6" t="s">
        <v>3444</v>
      </c>
      <c r="F2294" s="6" t="s">
        <v>686</v>
      </c>
      <c r="G2294" s="5">
        <v>1750</v>
      </c>
      <c r="H2294" s="5">
        <v>1</v>
      </c>
      <c r="I2294" s="20">
        <f t="shared" si="59"/>
        <v>1750</v>
      </c>
      <c r="J2294" s="6" t="s">
        <v>357</v>
      </c>
    </row>
    <row r="2295" spans="1:10" hidden="1">
      <c r="A2295" s="10">
        <v>44102</v>
      </c>
      <c r="B2295" s="6" t="s">
        <v>3466</v>
      </c>
      <c r="C2295" s="5" t="s">
        <v>3465</v>
      </c>
      <c r="D2295" s="8" t="s">
        <v>3392</v>
      </c>
      <c r="E2295" s="6" t="s">
        <v>3444</v>
      </c>
      <c r="F2295" s="6" t="s">
        <v>686</v>
      </c>
      <c r="G2295" s="5">
        <v>340</v>
      </c>
      <c r="H2295" s="5">
        <v>1</v>
      </c>
      <c r="I2295" s="20">
        <f t="shared" si="59"/>
        <v>340</v>
      </c>
      <c r="J2295" s="6" t="s">
        <v>357</v>
      </c>
    </row>
    <row r="2296" spans="1:10" hidden="1">
      <c r="A2296" s="9">
        <v>45539</v>
      </c>
      <c r="B2296" s="6" t="s">
        <v>3468</v>
      </c>
      <c r="C2296" s="5" t="s">
        <v>3467</v>
      </c>
      <c r="D2296" s="8" t="s">
        <v>3392</v>
      </c>
      <c r="E2296" s="6" t="s">
        <v>3444</v>
      </c>
      <c r="F2296" s="6" t="s">
        <v>686</v>
      </c>
      <c r="G2296" s="5">
        <v>458.95</v>
      </c>
      <c r="H2296" s="5">
        <v>1</v>
      </c>
      <c r="I2296" s="20">
        <f t="shared" si="59"/>
        <v>458.95</v>
      </c>
      <c r="J2296" s="6" t="s">
        <v>357</v>
      </c>
    </row>
    <row r="2297" spans="1:10" hidden="1">
      <c r="A2297" s="10">
        <v>44067</v>
      </c>
      <c r="B2297" s="6" t="s">
        <v>3470</v>
      </c>
      <c r="C2297" s="5" t="s">
        <v>3469</v>
      </c>
      <c r="D2297" s="8" t="s">
        <v>3392</v>
      </c>
      <c r="E2297" s="6" t="s">
        <v>3444</v>
      </c>
      <c r="F2297" s="6" t="s">
        <v>686</v>
      </c>
      <c r="G2297" s="5">
        <v>3290</v>
      </c>
      <c r="H2297" s="5">
        <v>1</v>
      </c>
      <c r="I2297" s="20">
        <f t="shared" si="59"/>
        <v>3290</v>
      </c>
      <c r="J2297" s="6" t="s">
        <v>357</v>
      </c>
    </row>
    <row r="2298" spans="1:10" ht="45" hidden="1">
      <c r="A2298" s="9">
        <v>45843</v>
      </c>
      <c r="B2298" s="216" t="s">
        <v>7263</v>
      </c>
      <c r="C2298" s="5" t="s">
        <v>7263</v>
      </c>
      <c r="D2298" s="8" t="s">
        <v>3392</v>
      </c>
      <c r="E2298" s="25" t="s">
        <v>3487</v>
      </c>
      <c r="F2298" s="25" t="s">
        <v>411</v>
      </c>
      <c r="G2298" s="31">
        <v>1050</v>
      </c>
      <c r="H2298" s="5">
        <v>1</v>
      </c>
      <c r="I2298" s="20">
        <f t="shared" si="59"/>
        <v>1050</v>
      </c>
      <c r="J2298" s="6" t="s">
        <v>357</v>
      </c>
    </row>
    <row r="2299" spans="1:10" ht="45" hidden="1">
      <c r="A2299" s="9">
        <v>45843</v>
      </c>
      <c r="B2299" s="216" t="s">
        <v>7264</v>
      </c>
      <c r="C2299" s="5" t="s">
        <v>7264</v>
      </c>
      <c r="D2299" s="8" t="s">
        <v>3392</v>
      </c>
      <c r="E2299" s="25" t="s">
        <v>3487</v>
      </c>
      <c r="F2299" s="25" t="s">
        <v>411</v>
      </c>
      <c r="G2299" s="31">
        <v>580</v>
      </c>
      <c r="H2299" s="5">
        <v>1</v>
      </c>
      <c r="I2299" s="20">
        <f t="shared" si="59"/>
        <v>580</v>
      </c>
      <c r="J2299" s="6" t="s">
        <v>357</v>
      </c>
    </row>
    <row r="2300" spans="1:10" hidden="1">
      <c r="A2300" s="9">
        <v>45988</v>
      </c>
      <c r="B2300" s="216" t="s">
        <v>7684</v>
      </c>
      <c r="C2300" s="30" t="s">
        <v>7685</v>
      </c>
      <c r="D2300" s="8" t="s">
        <v>3392</v>
      </c>
      <c r="E2300" s="25" t="s">
        <v>3444</v>
      </c>
      <c r="F2300" s="25" t="s">
        <v>411</v>
      </c>
      <c r="G2300" s="31">
        <v>158.04</v>
      </c>
      <c r="H2300" s="5">
        <v>1</v>
      </c>
      <c r="I2300" s="20">
        <f t="shared" si="59"/>
        <v>158.04</v>
      </c>
      <c r="J2300" s="6" t="s">
        <v>357</v>
      </c>
    </row>
    <row r="2301" spans="1:10" hidden="1">
      <c r="A2301" s="9">
        <v>45756</v>
      </c>
      <c r="B2301" s="6" t="s">
        <v>3472</v>
      </c>
      <c r="C2301" s="5" t="s">
        <v>3471</v>
      </c>
      <c r="D2301" s="8" t="s">
        <v>3392</v>
      </c>
      <c r="E2301" s="6" t="s">
        <v>3444</v>
      </c>
      <c r="F2301" s="6" t="s">
        <v>411</v>
      </c>
      <c r="G2301" s="5">
        <v>518.17999999999995</v>
      </c>
      <c r="H2301" s="5">
        <v>1</v>
      </c>
      <c r="I2301" s="20">
        <f t="shared" si="59"/>
        <v>518.17999999999995</v>
      </c>
      <c r="J2301" s="6" t="s">
        <v>357</v>
      </c>
    </row>
    <row r="2302" spans="1:10" hidden="1">
      <c r="A2302" s="10">
        <v>44102</v>
      </c>
      <c r="B2302" s="6" t="s">
        <v>3474</v>
      </c>
      <c r="C2302" s="5" t="s">
        <v>3473</v>
      </c>
      <c r="D2302" s="8" t="s">
        <v>3392</v>
      </c>
      <c r="E2302" s="6" t="s">
        <v>3444</v>
      </c>
      <c r="F2302" s="6" t="s">
        <v>686</v>
      </c>
      <c r="G2302" s="5">
        <v>410</v>
      </c>
      <c r="H2302" s="5">
        <v>1</v>
      </c>
      <c r="I2302" s="20">
        <f t="shared" si="59"/>
        <v>410</v>
      </c>
      <c r="J2302" s="6" t="s">
        <v>357</v>
      </c>
    </row>
    <row r="2303" spans="1:10" hidden="1">
      <c r="A2303" s="9">
        <v>45756</v>
      </c>
      <c r="B2303" s="6" t="s">
        <v>3476</v>
      </c>
      <c r="C2303" s="5" t="s">
        <v>3475</v>
      </c>
      <c r="D2303" s="8" t="s">
        <v>3392</v>
      </c>
      <c r="E2303" s="6" t="s">
        <v>3444</v>
      </c>
      <c r="F2303" s="6" t="s">
        <v>686</v>
      </c>
      <c r="G2303" s="5">
        <v>555.19000000000005</v>
      </c>
      <c r="H2303" s="5">
        <v>1</v>
      </c>
      <c r="I2303" s="20">
        <f t="shared" si="59"/>
        <v>555.19000000000005</v>
      </c>
      <c r="J2303" s="6" t="s">
        <v>357</v>
      </c>
    </row>
    <row r="2304" spans="1:10" hidden="1">
      <c r="A2304" s="10">
        <v>43700</v>
      </c>
      <c r="B2304" s="6" t="s">
        <v>3478</v>
      </c>
      <c r="C2304" s="5" t="s">
        <v>3477</v>
      </c>
      <c r="D2304" s="8" t="s">
        <v>3392</v>
      </c>
      <c r="E2304" s="6" t="s">
        <v>3444</v>
      </c>
      <c r="F2304" s="6" t="s">
        <v>411</v>
      </c>
      <c r="G2304" s="5">
        <v>535</v>
      </c>
      <c r="H2304" s="5">
        <v>1</v>
      </c>
      <c r="I2304" s="20">
        <f t="shared" si="59"/>
        <v>535</v>
      </c>
      <c r="J2304" s="6" t="s">
        <v>357</v>
      </c>
    </row>
    <row r="2305" spans="1:10" hidden="1">
      <c r="A2305" s="9">
        <v>45559</v>
      </c>
      <c r="B2305" s="6" t="s">
        <v>5779</v>
      </c>
      <c r="C2305" s="5" t="s">
        <v>5778</v>
      </c>
      <c r="D2305" s="8" t="s">
        <v>3392</v>
      </c>
      <c r="E2305" s="106" t="s">
        <v>3444</v>
      </c>
      <c r="F2305" s="106" t="s">
        <v>411</v>
      </c>
      <c r="G2305" s="107">
        <v>725.44</v>
      </c>
      <c r="H2305" s="5">
        <v>1</v>
      </c>
      <c r="I2305" s="20">
        <f t="shared" si="59"/>
        <v>725.44</v>
      </c>
      <c r="J2305" s="6" t="s">
        <v>357</v>
      </c>
    </row>
    <row r="2306" spans="1:10" hidden="1">
      <c r="A2306" s="9">
        <v>45705</v>
      </c>
      <c r="B2306" s="6" t="s">
        <v>3480</v>
      </c>
      <c r="C2306" s="5" t="s">
        <v>3479</v>
      </c>
      <c r="D2306" s="8" t="s">
        <v>3392</v>
      </c>
      <c r="E2306" s="6" t="s">
        <v>3444</v>
      </c>
      <c r="F2306" s="6" t="s">
        <v>411</v>
      </c>
      <c r="G2306" s="5">
        <v>170.27</v>
      </c>
      <c r="H2306" s="5">
        <v>1</v>
      </c>
      <c r="I2306" s="20">
        <f t="shared" si="59"/>
        <v>170.27</v>
      </c>
      <c r="J2306" s="6" t="s">
        <v>357</v>
      </c>
    </row>
    <row r="2307" spans="1:10" hidden="1">
      <c r="A2307" s="9">
        <v>45988</v>
      </c>
      <c r="B2307" s="216" t="s">
        <v>7686</v>
      </c>
      <c r="C2307" s="5" t="s">
        <v>7687</v>
      </c>
      <c r="D2307" s="8" t="s">
        <v>3392</v>
      </c>
      <c r="E2307" s="25" t="s">
        <v>3444</v>
      </c>
      <c r="F2307" s="25" t="s">
        <v>411</v>
      </c>
      <c r="G2307" s="31">
        <v>980.83</v>
      </c>
      <c r="H2307" s="5">
        <v>1</v>
      </c>
      <c r="I2307" s="20">
        <f t="shared" ref="I2307:I2348" si="60">H2307*G2307</f>
        <v>980.83</v>
      </c>
      <c r="J2307" s="6" t="s">
        <v>357</v>
      </c>
    </row>
    <row r="2308" spans="1:10" hidden="1">
      <c r="A2308" s="9">
        <v>45705</v>
      </c>
      <c r="B2308" s="6" t="s">
        <v>3482</v>
      </c>
      <c r="C2308" s="5" t="s">
        <v>3481</v>
      </c>
      <c r="D2308" s="8" t="s">
        <v>3392</v>
      </c>
      <c r="E2308" s="6" t="s">
        <v>3444</v>
      </c>
      <c r="F2308" s="6" t="s">
        <v>686</v>
      </c>
      <c r="G2308" s="5">
        <v>185.06</v>
      </c>
      <c r="H2308" s="5">
        <v>1</v>
      </c>
      <c r="I2308" s="20">
        <f t="shared" si="60"/>
        <v>185.06</v>
      </c>
      <c r="J2308" s="6" t="s">
        <v>357</v>
      </c>
    </row>
    <row r="2309" spans="1:10" hidden="1">
      <c r="A2309" s="10">
        <v>44389</v>
      </c>
      <c r="B2309" s="6" t="s">
        <v>3484</v>
      </c>
      <c r="C2309" s="5" t="s">
        <v>3483</v>
      </c>
      <c r="D2309" s="8" t="s">
        <v>3392</v>
      </c>
      <c r="E2309" s="6" t="s">
        <v>3444</v>
      </c>
      <c r="F2309" s="6" t="s">
        <v>411</v>
      </c>
      <c r="G2309" s="5">
        <v>980</v>
      </c>
      <c r="H2309" s="5">
        <v>1</v>
      </c>
      <c r="I2309" s="20">
        <f t="shared" si="60"/>
        <v>980</v>
      </c>
      <c r="J2309" s="6" t="s">
        <v>357</v>
      </c>
    </row>
    <row r="2310" spans="1:10" ht="90" hidden="1">
      <c r="A2310" s="10">
        <v>43804</v>
      </c>
      <c r="B2310" s="6" t="s">
        <v>3486</v>
      </c>
      <c r="C2310" s="5" t="s">
        <v>3485</v>
      </c>
      <c r="D2310" s="8" t="s">
        <v>3392</v>
      </c>
      <c r="E2310" s="6" t="s">
        <v>3487</v>
      </c>
      <c r="F2310" s="6" t="s">
        <v>411</v>
      </c>
      <c r="G2310" s="5">
        <v>5500</v>
      </c>
      <c r="H2310" s="5">
        <v>1</v>
      </c>
      <c r="I2310" s="20">
        <f t="shared" si="60"/>
        <v>5500</v>
      </c>
      <c r="J2310" s="6" t="s">
        <v>357</v>
      </c>
    </row>
    <row r="2311" spans="1:10" ht="105" hidden="1">
      <c r="A2311" s="10">
        <v>43804</v>
      </c>
      <c r="B2311" s="6" t="s">
        <v>3489</v>
      </c>
      <c r="C2311" s="5" t="s">
        <v>3488</v>
      </c>
      <c r="D2311" s="8" t="s">
        <v>3392</v>
      </c>
      <c r="E2311" s="6" t="s">
        <v>3487</v>
      </c>
      <c r="F2311" s="6" t="s">
        <v>411</v>
      </c>
      <c r="G2311" s="5">
        <v>48800</v>
      </c>
      <c r="H2311" s="5">
        <v>1</v>
      </c>
      <c r="I2311" s="20">
        <f t="shared" si="60"/>
        <v>48800</v>
      </c>
      <c r="J2311" s="6" t="s">
        <v>357</v>
      </c>
    </row>
    <row r="2312" spans="1:10" ht="135" hidden="1">
      <c r="A2312" s="10">
        <v>43697</v>
      </c>
      <c r="B2312" s="6" t="s">
        <v>3491</v>
      </c>
      <c r="C2312" s="5" t="s">
        <v>3490</v>
      </c>
      <c r="D2312" s="8" t="s">
        <v>3392</v>
      </c>
      <c r="E2312" s="6" t="s">
        <v>3487</v>
      </c>
      <c r="F2312" s="6" t="s">
        <v>411</v>
      </c>
      <c r="G2312" s="5">
        <v>40200</v>
      </c>
      <c r="H2312" s="5">
        <v>1</v>
      </c>
      <c r="I2312" s="20">
        <f t="shared" si="60"/>
        <v>40200</v>
      </c>
      <c r="J2312" s="6" t="s">
        <v>357</v>
      </c>
    </row>
    <row r="2313" spans="1:10" ht="105" hidden="1">
      <c r="A2313" s="10">
        <v>44223</v>
      </c>
      <c r="B2313" s="6" t="s">
        <v>3493</v>
      </c>
      <c r="C2313" s="5" t="s">
        <v>3492</v>
      </c>
      <c r="D2313" s="8" t="s">
        <v>3392</v>
      </c>
      <c r="E2313" s="6" t="s">
        <v>3487</v>
      </c>
      <c r="F2313" s="6" t="s">
        <v>686</v>
      </c>
      <c r="G2313" s="5">
        <v>17700</v>
      </c>
      <c r="H2313" s="5">
        <v>1</v>
      </c>
      <c r="I2313" s="20">
        <f t="shared" si="60"/>
        <v>17700</v>
      </c>
      <c r="J2313" s="6" t="s">
        <v>357</v>
      </c>
    </row>
    <row r="2314" spans="1:10" ht="30" hidden="1">
      <c r="A2314" s="10">
        <v>43700</v>
      </c>
      <c r="B2314" s="6" t="s">
        <v>3495</v>
      </c>
      <c r="C2314" s="5" t="s">
        <v>3494</v>
      </c>
      <c r="D2314" s="8" t="s">
        <v>3392</v>
      </c>
      <c r="E2314" s="6" t="s">
        <v>3487</v>
      </c>
      <c r="F2314" s="6" t="s">
        <v>411</v>
      </c>
      <c r="G2314" s="5">
        <v>495</v>
      </c>
      <c r="H2314" s="5">
        <v>1</v>
      </c>
      <c r="I2314" s="20">
        <f t="shared" si="60"/>
        <v>495</v>
      </c>
      <c r="J2314" s="6" t="s">
        <v>357</v>
      </c>
    </row>
    <row r="2315" spans="1:10" ht="30" hidden="1">
      <c r="A2315" s="10">
        <v>43700</v>
      </c>
      <c r="B2315" s="6" t="s">
        <v>3497</v>
      </c>
      <c r="C2315" s="5" t="s">
        <v>3496</v>
      </c>
      <c r="D2315" s="8" t="s">
        <v>3392</v>
      </c>
      <c r="E2315" s="6" t="s">
        <v>3487</v>
      </c>
      <c r="F2315" s="6" t="s">
        <v>411</v>
      </c>
      <c r="G2315" s="5">
        <v>330</v>
      </c>
      <c r="H2315" s="5">
        <v>1</v>
      </c>
      <c r="I2315" s="20">
        <f t="shared" si="60"/>
        <v>330</v>
      </c>
      <c r="J2315" s="6" t="s">
        <v>357</v>
      </c>
    </row>
    <row r="2316" spans="1:10" ht="30" hidden="1">
      <c r="A2316" s="10">
        <v>44426</v>
      </c>
      <c r="B2316" s="6" t="s">
        <v>3499</v>
      </c>
      <c r="C2316" s="5" t="s">
        <v>3498</v>
      </c>
      <c r="D2316" s="8" t="s">
        <v>3392</v>
      </c>
      <c r="E2316" s="6" t="s">
        <v>3487</v>
      </c>
      <c r="F2316" s="6" t="s">
        <v>686</v>
      </c>
      <c r="G2316" s="5">
        <v>120</v>
      </c>
      <c r="H2316" s="5">
        <v>1</v>
      </c>
      <c r="I2316" s="20">
        <f t="shared" si="60"/>
        <v>120</v>
      </c>
      <c r="J2316" s="6" t="s">
        <v>357</v>
      </c>
    </row>
    <row r="2317" spans="1:10" ht="30" hidden="1">
      <c r="A2317" s="10">
        <v>43797</v>
      </c>
      <c r="B2317" s="6" t="s">
        <v>3501</v>
      </c>
      <c r="C2317" s="5" t="s">
        <v>3500</v>
      </c>
      <c r="D2317" s="8" t="s">
        <v>3392</v>
      </c>
      <c r="E2317" s="6" t="s">
        <v>3487</v>
      </c>
      <c r="F2317" s="6" t="s">
        <v>411</v>
      </c>
      <c r="G2317" s="5">
        <v>66</v>
      </c>
      <c r="H2317" s="5">
        <v>1</v>
      </c>
      <c r="I2317" s="20">
        <f t="shared" si="60"/>
        <v>66</v>
      </c>
      <c r="J2317" s="6" t="s">
        <v>357</v>
      </c>
    </row>
    <row r="2318" spans="1:10" ht="30" hidden="1">
      <c r="A2318" s="10">
        <v>43700</v>
      </c>
      <c r="B2318" s="6" t="s">
        <v>3503</v>
      </c>
      <c r="C2318" s="5" t="s">
        <v>3502</v>
      </c>
      <c r="D2318" s="8" t="s">
        <v>3392</v>
      </c>
      <c r="E2318" s="6" t="s">
        <v>3487</v>
      </c>
      <c r="F2318" s="6" t="s">
        <v>411</v>
      </c>
      <c r="G2318" s="5">
        <v>385</v>
      </c>
      <c r="H2318" s="5">
        <v>1</v>
      </c>
      <c r="I2318" s="20">
        <f t="shared" si="60"/>
        <v>385</v>
      </c>
      <c r="J2318" s="6" t="s">
        <v>357</v>
      </c>
    </row>
    <row r="2319" spans="1:10" ht="30" hidden="1">
      <c r="A2319" s="10">
        <v>43700</v>
      </c>
      <c r="B2319" s="6" t="s">
        <v>3505</v>
      </c>
      <c r="C2319" s="5" t="s">
        <v>3504</v>
      </c>
      <c r="D2319" s="8" t="s">
        <v>3392</v>
      </c>
      <c r="E2319" s="6" t="s">
        <v>3487</v>
      </c>
      <c r="F2319" s="6" t="s">
        <v>411</v>
      </c>
      <c r="G2319" s="5">
        <v>105</v>
      </c>
      <c r="H2319" s="5">
        <v>1</v>
      </c>
      <c r="I2319" s="20">
        <f t="shared" si="60"/>
        <v>105</v>
      </c>
      <c r="J2319" s="6" t="s">
        <v>357</v>
      </c>
    </row>
    <row r="2320" spans="1:10" hidden="1">
      <c r="A2320" s="9">
        <v>45085</v>
      </c>
      <c r="B2320" s="6" t="s">
        <v>3508</v>
      </c>
      <c r="C2320" s="5" t="s">
        <v>3506</v>
      </c>
      <c r="D2320" s="8" t="s">
        <v>3507</v>
      </c>
      <c r="E2320" s="6" t="s">
        <v>3509</v>
      </c>
      <c r="F2320" s="6" t="s">
        <v>411</v>
      </c>
      <c r="G2320" s="5">
        <v>650</v>
      </c>
      <c r="H2320" s="5">
        <v>1</v>
      </c>
      <c r="I2320" s="20">
        <f t="shared" si="60"/>
        <v>650</v>
      </c>
      <c r="J2320" s="6" t="s">
        <v>357</v>
      </c>
    </row>
    <row r="2321" spans="1:10" hidden="1">
      <c r="A2321" s="10">
        <v>44337</v>
      </c>
      <c r="B2321" s="6" t="s">
        <v>3512</v>
      </c>
      <c r="C2321" s="5" t="s">
        <v>3510</v>
      </c>
      <c r="D2321" s="8" t="s">
        <v>3511</v>
      </c>
      <c r="E2321" s="6" t="s">
        <v>3513</v>
      </c>
      <c r="F2321" s="6" t="s">
        <v>411</v>
      </c>
      <c r="G2321" s="5">
        <v>250</v>
      </c>
      <c r="H2321" s="5">
        <v>1</v>
      </c>
      <c r="I2321" s="20">
        <f t="shared" si="60"/>
        <v>250</v>
      </c>
      <c r="J2321" s="6" t="s">
        <v>357</v>
      </c>
    </row>
    <row r="2322" spans="1:10" ht="30" hidden="1">
      <c r="A2322" s="9">
        <v>44848</v>
      </c>
      <c r="B2322" s="6" t="s">
        <v>3516</v>
      </c>
      <c r="C2322" s="5" t="s">
        <v>3514</v>
      </c>
      <c r="D2322" s="8" t="s">
        <v>3515</v>
      </c>
      <c r="E2322" s="6" t="s">
        <v>1435</v>
      </c>
      <c r="F2322" s="6" t="s">
        <v>411</v>
      </c>
      <c r="G2322" s="5">
        <v>566</v>
      </c>
      <c r="H2322" s="5">
        <f t="shared" ref="H2322:H2331" si="61">0.75*0.9</f>
        <v>0.67500000000000004</v>
      </c>
      <c r="I2322" s="20">
        <f t="shared" si="60"/>
        <v>382.05</v>
      </c>
      <c r="J2322" s="6" t="s">
        <v>357</v>
      </c>
    </row>
    <row r="2323" spans="1:10" ht="30" hidden="1">
      <c r="A2323" s="9">
        <v>44848</v>
      </c>
      <c r="B2323" s="6" t="s">
        <v>3517</v>
      </c>
      <c r="C2323" s="5" t="s">
        <v>2451</v>
      </c>
      <c r="D2323" s="8" t="s">
        <v>3515</v>
      </c>
      <c r="E2323" s="6" t="s">
        <v>1435</v>
      </c>
      <c r="F2323" s="6" t="s">
        <v>411</v>
      </c>
      <c r="G2323" s="5">
        <v>465</v>
      </c>
      <c r="H2323" s="5">
        <f t="shared" si="61"/>
        <v>0.67500000000000004</v>
      </c>
      <c r="I2323" s="20">
        <f t="shared" si="60"/>
        <v>313.875</v>
      </c>
      <c r="J2323" s="6" t="s">
        <v>357</v>
      </c>
    </row>
    <row r="2324" spans="1:10" ht="30" hidden="1">
      <c r="A2324" s="9">
        <v>44848</v>
      </c>
      <c r="B2324" s="6" t="s">
        <v>3519</v>
      </c>
      <c r="C2324" s="5" t="s">
        <v>3518</v>
      </c>
      <c r="D2324" s="8" t="s">
        <v>3515</v>
      </c>
      <c r="E2324" s="6" t="s">
        <v>1435</v>
      </c>
      <c r="F2324" s="6" t="s">
        <v>411</v>
      </c>
      <c r="G2324" s="5">
        <v>606</v>
      </c>
      <c r="H2324" s="5">
        <f t="shared" si="61"/>
        <v>0.67500000000000004</v>
      </c>
      <c r="I2324" s="20">
        <f t="shared" si="60"/>
        <v>409.05</v>
      </c>
      <c r="J2324" s="6" t="s">
        <v>357</v>
      </c>
    </row>
    <row r="2325" spans="1:10" ht="30" hidden="1">
      <c r="A2325" s="9">
        <v>44848</v>
      </c>
      <c r="B2325" s="6" t="s">
        <v>3521</v>
      </c>
      <c r="C2325" s="5" t="s">
        <v>3520</v>
      </c>
      <c r="D2325" s="8" t="s">
        <v>3515</v>
      </c>
      <c r="E2325" s="6" t="s">
        <v>1435</v>
      </c>
      <c r="F2325" s="6" t="s">
        <v>411</v>
      </c>
      <c r="G2325" s="5">
        <v>1577</v>
      </c>
      <c r="H2325" s="5">
        <f t="shared" si="61"/>
        <v>0.67500000000000004</v>
      </c>
      <c r="I2325" s="20">
        <f t="shared" si="60"/>
        <v>1064.4750000000001</v>
      </c>
      <c r="J2325" s="6" t="s">
        <v>357</v>
      </c>
    </row>
    <row r="2326" spans="1:10" hidden="1">
      <c r="A2326" s="9">
        <v>44848</v>
      </c>
      <c r="B2326" s="6" t="s">
        <v>3523</v>
      </c>
      <c r="C2326" s="5" t="s">
        <v>3522</v>
      </c>
      <c r="D2326" s="8" t="s">
        <v>3515</v>
      </c>
      <c r="E2326" s="6" t="s">
        <v>1435</v>
      </c>
      <c r="F2326" s="6" t="s">
        <v>411</v>
      </c>
      <c r="G2326" s="5">
        <v>1112</v>
      </c>
      <c r="H2326" s="5">
        <f t="shared" si="61"/>
        <v>0.67500000000000004</v>
      </c>
      <c r="I2326" s="20">
        <f t="shared" si="60"/>
        <v>750.6</v>
      </c>
      <c r="J2326" s="6" t="s">
        <v>357</v>
      </c>
    </row>
    <row r="2327" spans="1:10" ht="30" hidden="1">
      <c r="A2327" s="9">
        <v>44848</v>
      </c>
      <c r="B2327" s="6" t="s">
        <v>3525</v>
      </c>
      <c r="C2327" s="5" t="s">
        <v>3524</v>
      </c>
      <c r="D2327" s="8" t="s">
        <v>3515</v>
      </c>
      <c r="E2327" s="6" t="s">
        <v>1435</v>
      </c>
      <c r="F2327" s="6" t="s">
        <v>411</v>
      </c>
      <c r="G2327" s="5">
        <v>1718</v>
      </c>
      <c r="H2327" s="5">
        <f t="shared" si="61"/>
        <v>0.67500000000000004</v>
      </c>
      <c r="I2327" s="20">
        <f t="shared" si="60"/>
        <v>1159.6500000000001</v>
      </c>
      <c r="J2327" s="6" t="s">
        <v>357</v>
      </c>
    </row>
    <row r="2328" spans="1:10" hidden="1">
      <c r="A2328" s="9">
        <v>44848</v>
      </c>
      <c r="B2328" s="6" t="s">
        <v>3527</v>
      </c>
      <c r="C2328" s="5" t="s">
        <v>3526</v>
      </c>
      <c r="D2328" s="8" t="s">
        <v>3515</v>
      </c>
      <c r="E2328" s="6" t="s">
        <v>1435</v>
      </c>
      <c r="F2328" s="6" t="s">
        <v>411</v>
      </c>
      <c r="G2328" s="5">
        <v>2830</v>
      </c>
      <c r="H2328" s="5">
        <f t="shared" si="61"/>
        <v>0.67500000000000004</v>
      </c>
      <c r="I2328" s="20">
        <f t="shared" si="60"/>
        <v>1910.2500000000002</v>
      </c>
      <c r="J2328" s="6" t="s">
        <v>357</v>
      </c>
    </row>
    <row r="2329" spans="1:10" hidden="1">
      <c r="A2329" s="9">
        <v>44848</v>
      </c>
      <c r="B2329" s="6" t="s">
        <v>3529</v>
      </c>
      <c r="C2329" s="5" t="s">
        <v>3528</v>
      </c>
      <c r="D2329" s="8" t="s">
        <v>3515</v>
      </c>
      <c r="E2329" s="6" t="s">
        <v>1435</v>
      </c>
      <c r="F2329" s="6" t="s">
        <v>411</v>
      </c>
      <c r="G2329" s="5">
        <v>2285</v>
      </c>
      <c r="H2329" s="5">
        <f t="shared" si="61"/>
        <v>0.67500000000000004</v>
      </c>
      <c r="I2329" s="20">
        <f t="shared" si="60"/>
        <v>1542.375</v>
      </c>
      <c r="J2329" s="6" t="s">
        <v>357</v>
      </c>
    </row>
    <row r="2330" spans="1:10" ht="30" hidden="1">
      <c r="A2330" s="9">
        <v>44848</v>
      </c>
      <c r="B2330" s="6" t="s">
        <v>3531</v>
      </c>
      <c r="C2330" s="5" t="s">
        <v>3530</v>
      </c>
      <c r="D2330" s="8" t="s">
        <v>3515</v>
      </c>
      <c r="E2330" s="6" t="s">
        <v>1435</v>
      </c>
      <c r="F2330" s="6" t="s">
        <v>411</v>
      </c>
      <c r="G2330" s="5">
        <v>2426</v>
      </c>
      <c r="H2330" s="5">
        <f t="shared" si="61"/>
        <v>0.67500000000000004</v>
      </c>
      <c r="I2330" s="20">
        <f t="shared" si="60"/>
        <v>1637.5500000000002</v>
      </c>
      <c r="J2330" s="6" t="s">
        <v>357</v>
      </c>
    </row>
    <row r="2331" spans="1:10" ht="30" hidden="1">
      <c r="A2331" s="9">
        <v>44848</v>
      </c>
      <c r="B2331" s="6" t="s">
        <v>3533</v>
      </c>
      <c r="C2331" s="5" t="s">
        <v>3532</v>
      </c>
      <c r="D2331" s="8" t="s">
        <v>3515</v>
      </c>
      <c r="E2331" s="6" t="s">
        <v>1435</v>
      </c>
      <c r="F2331" s="6" t="s">
        <v>411</v>
      </c>
      <c r="G2331" s="5">
        <v>1920</v>
      </c>
      <c r="H2331" s="5">
        <f t="shared" si="61"/>
        <v>0.67500000000000004</v>
      </c>
      <c r="I2331" s="20">
        <f t="shared" si="60"/>
        <v>1296</v>
      </c>
      <c r="J2331" s="6" t="s">
        <v>357</v>
      </c>
    </row>
    <row r="2332" spans="1:10" hidden="1">
      <c r="A2332" s="9">
        <v>45408</v>
      </c>
      <c r="B2332" s="6" t="s">
        <v>3536</v>
      </c>
      <c r="C2332" s="5" t="s">
        <v>3534</v>
      </c>
      <c r="D2332" s="8" t="s">
        <v>3535</v>
      </c>
      <c r="E2332" s="25" t="s">
        <v>2163</v>
      </c>
      <c r="F2332" s="25" t="s">
        <v>411</v>
      </c>
      <c r="G2332" s="31">
        <v>25</v>
      </c>
      <c r="H2332" s="5">
        <v>1</v>
      </c>
      <c r="I2332" s="20">
        <f t="shared" si="60"/>
        <v>25</v>
      </c>
      <c r="J2332" s="6" t="s">
        <v>357</v>
      </c>
    </row>
    <row r="2333" spans="1:10" hidden="1">
      <c r="A2333" s="10">
        <v>44267</v>
      </c>
      <c r="B2333" s="6" t="s">
        <v>3539</v>
      </c>
      <c r="C2333" s="5" t="s">
        <v>3537</v>
      </c>
      <c r="D2333" s="8" t="s">
        <v>3538</v>
      </c>
      <c r="E2333" s="6" t="s">
        <v>1425</v>
      </c>
      <c r="F2333" s="6" t="s">
        <v>686</v>
      </c>
      <c r="G2333" s="5">
        <v>18</v>
      </c>
      <c r="H2333" s="5">
        <v>1</v>
      </c>
      <c r="I2333" s="20">
        <f t="shared" si="60"/>
        <v>18</v>
      </c>
      <c r="J2333" s="6" t="s">
        <v>357</v>
      </c>
    </row>
    <row r="2334" spans="1:10" hidden="1">
      <c r="A2334" s="10">
        <v>44267</v>
      </c>
      <c r="B2334" s="6" t="s">
        <v>3541</v>
      </c>
      <c r="C2334" s="5" t="s">
        <v>3540</v>
      </c>
      <c r="D2334" s="8" t="s">
        <v>3538</v>
      </c>
      <c r="E2334" s="6" t="s">
        <v>1425</v>
      </c>
      <c r="F2334" s="6" t="s">
        <v>411</v>
      </c>
      <c r="G2334" s="5">
        <v>18</v>
      </c>
      <c r="H2334" s="5">
        <v>1</v>
      </c>
      <c r="I2334" s="20">
        <f t="shared" si="60"/>
        <v>18</v>
      </c>
      <c r="J2334" s="6" t="s">
        <v>357</v>
      </c>
    </row>
    <row r="2335" spans="1:10" hidden="1">
      <c r="A2335" s="10">
        <v>44267</v>
      </c>
      <c r="B2335" s="6" t="s">
        <v>3543</v>
      </c>
      <c r="C2335" s="5" t="s">
        <v>3542</v>
      </c>
      <c r="D2335" s="8" t="s">
        <v>3538</v>
      </c>
      <c r="E2335" s="6" t="s">
        <v>1425</v>
      </c>
      <c r="F2335" s="6" t="s">
        <v>686</v>
      </c>
      <c r="G2335" s="5">
        <v>18</v>
      </c>
      <c r="H2335" s="5">
        <v>1</v>
      </c>
      <c r="I2335" s="20">
        <f t="shared" si="60"/>
        <v>18</v>
      </c>
      <c r="J2335" s="6" t="s">
        <v>357</v>
      </c>
    </row>
    <row r="2336" spans="1:10" hidden="1">
      <c r="A2336" s="9">
        <v>45343</v>
      </c>
      <c r="B2336" s="6" t="s">
        <v>3545</v>
      </c>
      <c r="C2336" s="5" t="s">
        <v>3544</v>
      </c>
      <c r="D2336" s="8" t="s">
        <v>3538</v>
      </c>
      <c r="E2336" s="6" t="s">
        <v>1425</v>
      </c>
      <c r="F2336" s="6" t="s">
        <v>411</v>
      </c>
      <c r="G2336" s="5">
        <v>50</v>
      </c>
      <c r="H2336" s="5">
        <v>1</v>
      </c>
      <c r="I2336" s="20">
        <f t="shared" si="60"/>
        <v>50</v>
      </c>
      <c r="J2336" s="6" t="s">
        <v>357</v>
      </c>
    </row>
    <row r="2337" spans="1:10" hidden="1">
      <c r="A2337" s="9">
        <v>45065</v>
      </c>
      <c r="B2337" s="6" t="s">
        <v>3547</v>
      </c>
      <c r="C2337" s="5" t="s">
        <v>3546</v>
      </c>
      <c r="D2337" s="8" t="s">
        <v>3538</v>
      </c>
      <c r="E2337" s="6" t="s">
        <v>3381</v>
      </c>
      <c r="F2337" s="6" t="s">
        <v>411</v>
      </c>
      <c r="G2337" s="27">
        <v>80</v>
      </c>
      <c r="H2337" s="5">
        <v>1</v>
      </c>
      <c r="I2337" s="20">
        <f t="shared" si="60"/>
        <v>80</v>
      </c>
      <c r="J2337" s="6" t="s">
        <v>357</v>
      </c>
    </row>
    <row r="2338" spans="1:10" hidden="1">
      <c r="A2338" s="9">
        <v>45757</v>
      </c>
      <c r="B2338" s="216" t="s">
        <v>6793</v>
      </c>
      <c r="C2338" s="5" t="s">
        <v>6794</v>
      </c>
      <c r="D2338" s="8" t="s">
        <v>6780</v>
      </c>
      <c r="E2338" s="25" t="s">
        <v>5351</v>
      </c>
      <c r="F2338" s="25" t="s">
        <v>411</v>
      </c>
      <c r="G2338" s="31">
        <f>1097*4.6</f>
        <v>5046.2</v>
      </c>
      <c r="H2338" s="5">
        <v>1</v>
      </c>
      <c r="I2338" s="20">
        <f t="shared" si="60"/>
        <v>5046.2</v>
      </c>
      <c r="J2338" s="6" t="s">
        <v>357</v>
      </c>
    </row>
    <row r="2339" spans="1:10" hidden="1">
      <c r="A2339" s="9">
        <v>45757</v>
      </c>
      <c r="B2339" s="216" t="s">
        <v>6791</v>
      </c>
      <c r="C2339" s="5" t="s">
        <v>6792</v>
      </c>
      <c r="D2339" s="8" t="s">
        <v>6780</v>
      </c>
      <c r="E2339" s="25" t="s">
        <v>5351</v>
      </c>
      <c r="F2339" s="25" t="s">
        <v>411</v>
      </c>
      <c r="G2339" s="31">
        <f>1428*4.6</f>
        <v>6568.7999999999993</v>
      </c>
      <c r="H2339" s="5">
        <v>1</v>
      </c>
      <c r="I2339" s="20">
        <f t="shared" si="60"/>
        <v>6568.7999999999993</v>
      </c>
      <c r="J2339" s="6" t="s">
        <v>357</v>
      </c>
    </row>
    <row r="2340" spans="1:10" hidden="1">
      <c r="A2340" s="9">
        <v>45757</v>
      </c>
      <c r="B2340" s="216" t="s">
        <v>6781</v>
      </c>
      <c r="C2340" s="5" t="s">
        <v>6782</v>
      </c>
      <c r="D2340" s="8" t="s">
        <v>6780</v>
      </c>
      <c r="E2340" s="25" t="s">
        <v>5351</v>
      </c>
      <c r="F2340" s="25" t="s">
        <v>411</v>
      </c>
      <c r="G2340" s="31">
        <f>7105*4.6</f>
        <v>32682.999999999996</v>
      </c>
      <c r="H2340" s="5">
        <v>1</v>
      </c>
      <c r="I2340" s="20">
        <f t="shared" si="60"/>
        <v>32682.999999999996</v>
      </c>
      <c r="J2340" s="6" t="s">
        <v>357</v>
      </c>
    </row>
    <row r="2341" spans="1:10" hidden="1">
      <c r="A2341" s="9">
        <v>45757</v>
      </c>
      <c r="B2341" s="216" t="s">
        <v>6789</v>
      </c>
      <c r="C2341" s="5" t="s">
        <v>6790</v>
      </c>
      <c r="D2341" s="8" t="s">
        <v>6780</v>
      </c>
      <c r="E2341" s="25" t="s">
        <v>5351</v>
      </c>
      <c r="F2341" s="25" t="s">
        <v>411</v>
      </c>
      <c r="G2341" s="31">
        <f>1513*4.6</f>
        <v>6959.7999999999993</v>
      </c>
      <c r="H2341" s="5">
        <v>1</v>
      </c>
      <c r="I2341" s="20">
        <f t="shared" si="60"/>
        <v>6959.7999999999993</v>
      </c>
      <c r="J2341" s="6" t="s">
        <v>357</v>
      </c>
    </row>
    <row r="2342" spans="1:10" hidden="1">
      <c r="A2342" s="9">
        <v>45757</v>
      </c>
      <c r="B2342" s="216" t="s">
        <v>6787</v>
      </c>
      <c r="C2342" s="5" t="s">
        <v>6788</v>
      </c>
      <c r="D2342" s="8" t="s">
        <v>6780</v>
      </c>
      <c r="E2342" s="25" t="s">
        <v>5351</v>
      </c>
      <c r="F2342" s="25" t="s">
        <v>411</v>
      </c>
      <c r="G2342" s="31">
        <f>1637*4.6</f>
        <v>7530.2</v>
      </c>
      <c r="H2342" s="5">
        <v>1</v>
      </c>
      <c r="I2342" s="20">
        <f t="shared" si="60"/>
        <v>7530.2</v>
      </c>
      <c r="J2342" s="6" t="s">
        <v>357</v>
      </c>
    </row>
    <row r="2343" spans="1:10" hidden="1">
      <c r="A2343" s="9">
        <v>45757</v>
      </c>
      <c r="B2343" s="216" t="s">
        <v>6795</v>
      </c>
      <c r="C2343" s="5" t="s">
        <v>6796</v>
      </c>
      <c r="D2343" s="8" t="s">
        <v>6780</v>
      </c>
      <c r="E2343" s="25" t="s">
        <v>5351</v>
      </c>
      <c r="F2343" s="25" t="s">
        <v>411</v>
      </c>
      <c r="G2343" s="31">
        <f>695*4.6</f>
        <v>3196.9999999999995</v>
      </c>
      <c r="H2343" s="5">
        <v>1</v>
      </c>
      <c r="I2343" s="20">
        <f t="shared" si="60"/>
        <v>3196.9999999999995</v>
      </c>
      <c r="J2343" s="6" t="s">
        <v>357</v>
      </c>
    </row>
    <row r="2344" spans="1:10" hidden="1">
      <c r="A2344" s="9">
        <v>45757</v>
      </c>
      <c r="B2344" s="216" t="s">
        <v>6785</v>
      </c>
      <c r="C2344" s="5" t="s">
        <v>6786</v>
      </c>
      <c r="D2344" s="8" t="s">
        <v>6780</v>
      </c>
      <c r="E2344" s="25" t="s">
        <v>5351</v>
      </c>
      <c r="F2344" s="25" t="s">
        <v>411</v>
      </c>
      <c r="G2344" s="31">
        <f>1845*4.6</f>
        <v>8487</v>
      </c>
      <c r="H2344" s="5">
        <v>1</v>
      </c>
      <c r="I2344" s="20">
        <f t="shared" si="60"/>
        <v>8487</v>
      </c>
      <c r="J2344" s="6" t="s">
        <v>357</v>
      </c>
    </row>
    <row r="2345" spans="1:10" hidden="1">
      <c r="A2345" s="9">
        <v>45757</v>
      </c>
      <c r="B2345" s="216" t="s">
        <v>6783</v>
      </c>
      <c r="C2345" s="5" t="s">
        <v>6784</v>
      </c>
      <c r="D2345" s="8" t="s">
        <v>6780</v>
      </c>
      <c r="E2345" s="25" t="s">
        <v>5351</v>
      </c>
      <c r="F2345" s="25" t="s">
        <v>411</v>
      </c>
      <c r="G2345" s="31">
        <f>3065*4.6</f>
        <v>14098.999999999998</v>
      </c>
      <c r="H2345" s="5">
        <v>1</v>
      </c>
      <c r="I2345" s="20">
        <f t="shared" si="60"/>
        <v>14098.999999999998</v>
      </c>
      <c r="J2345" s="6" t="s">
        <v>357</v>
      </c>
    </row>
    <row r="2346" spans="1:10" hidden="1">
      <c r="A2346" s="9">
        <v>45757</v>
      </c>
      <c r="B2346" s="216" t="s">
        <v>6778</v>
      </c>
      <c r="C2346" s="5" t="s">
        <v>6779</v>
      </c>
      <c r="D2346" s="8" t="s">
        <v>6780</v>
      </c>
      <c r="E2346" s="25" t="s">
        <v>5351</v>
      </c>
      <c r="F2346" s="25" t="s">
        <v>411</v>
      </c>
      <c r="G2346" s="31">
        <f>7087*4.6</f>
        <v>32600.199999999997</v>
      </c>
      <c r="H2346" s="5">
        <v>1</v>
      </c>
      <c r="I2346" s="20">
        <f t="shared" si="60"/>
        <v>32600.199999999997</v>
      </c>
      <c r="J2346" s="6" t="s">
        <v>357</v>
      </c>
    </row>
    <row r="2347" spans="1:10" ht="30" hidden="1">
      <c r="A2347" s="9">
        <v>46106</v>
      </c>
      <c r="B2347" s="24">
        <v>29450</v>
      </c>
      <c r="C2347" s="14" t="s">
        <v>3548</v>
      </c>
      <c r="D2347" s="23" t="s">
        <v>306</v>
      </c>
      <c r="E2347" s="6" t="s">
        <v>1541</v>
      </c>
      <c r="F2347" s="6" t="s">
        <v>3549</v>
      </c>
      <c r="G2347" s="5">
        <v>243</v>
      </c>
      <c r="H2347" s="5">
        <f t="shared" ref="H2347:H2410" si="62">0.9*0.8*0.7*0.93*(0.9*0.9*0.9*0.9*0.9)</f>
        <v>0.27677447280000012</v>
      </c>
      <c r="I2347" s="20">
        <f t="shared" si="60"/>
        <v>67.256196890400034</v>
      </c>
      <c r="J2347" s="6" t="s">
        <v>357</v>
      </c>
    </row>
    <row r="2348" spans="1:10" hidden="1">
      <c r="A2348" s="9">
        <v>46106</v>
      </c>
      <c r="B2348" s="24">
        <v>42878</v>
      </c>
      <c r="C2348" s="14" t="s">
        <v>3550</v>
      </c>
      <c r="D2348" s="23" t="s">
        <v>306</v>
      </c>
      <c r="E2348" s="6" t="s">
        <v>466</v>
      </c>
      <c r="F2348" s="6" t="s">
        <v>3551</v>
      </c>
      <c r="G2348" s="5">
        <v>1128</v>
      </c>
      <c r="H2348" s="5">
        <f t="shared" si="62"/>
        <v>0.27677447280000012</v>
      </c>
      <c r="I2348" s="20">
        <f t="shared" si="60"/>
        <v>312.20160531840014</v>
      </c>
      <c r="J2348" s="6" t="s">
        <v>357</v>
      </c>
    </row>
    <row r="2349" spans="1:10" ht="30" hidden="1">
      <c r="A2349" s="9">
        <v>46106</v>
      </c>
      <c r="B2349" s="24">
        <v>47926</v>
      </c>
      <c r="C2349" s="15" t="s">
        <v>3552</v>
      </c>
      <c r="D2349" s="28" t="s">
        <v>306</v>
      </c>
      <c r="E2349" s="6" t="s">
        <v>355</v>
      </c>
      <c r="F2349" s="6" t="s">
        <v>3553</v>
      </c>
      <c r="G2349" s="5">
        <v>4078</v>
      </c>
      <c r="H2349" s="5">
        <f t="shared" si="62"/>
        <v>0.27677447280000012</v>
      </c>
      <c r="I2349" s="20">
        <v>3340</v>
      </c>
      <c r="J2349" s="6" t="s">
        <v>357</v>
      </c>
    </row>
    <row r="2350" spans="1:10" ht="30" hidden="1">
      <c r="A2350" s="9">
        <v>46106</v>
      </c>
      <c r="B2350" s="24">
        <v>48503</v>
      </c>
      <c r="C2350" s="14" t="s">
        <v>3554</v>
      </c>
      <c r="D2350" s="23" t="s">
        <v>306</v>
      </c>
      <c r="E2350" s="6" t="s">
        <v>355</v>
      </c>
      <c r="F2350" s="6" t="s">
        <v>3553</v>
      </c>
      <c r="G2350" s="5">
        <v>1214</v>
      </c>
      <c r="H2350" s="5">
        <f t="shared" si="62"/>
        <v>0.27677447280000012</v>
      </c>
      <c r="I2350" s="20">
        <f t="shared" ref="I2350:I2413" si="63">H2350*G2350</f>
        <v>336.00420997920014</v>
      </c>
      <c r="J2350" s="6" t="s">
        <v>357</v>
      </c>
    </row>
    <row r="2351" spans="1:10" ht="30" hidden="1">
      <c r="A2351" s="9">
        <v>46106</v>
      </c>
      <c r="B2351" s="24">
        <v>48527</v>
      </c>
      <c r="C2351" s="15" t="s">
        <v>3555</v>
      </c>
      <c r="D2351" s="28" t="s">
        <v>306</v>
      </c>
      <c r="E2351" s="6" t="s">
        <v>355</v>
      </c>
      <c r="F2351" s="6" t="s">
        <v>3553</v>
      </c>
      <c r="G2351" s="5">
        <v>8315</v>
      </c>
      <c r="H2351" s="5">
        <f t="shared" si="62"/>
        <v>0.27677447280000012</v>
      </c>
      <c r="I2351" s="20">
        <f t="shared" si="63"/>
        <v>2301.3797413320008</v>
      </c>
      <c r="J2351" s="6" t="s">
        <v>357</v>
      </c>
    </row>
    <row r="2352" spans="1:10" ht="45" hidden="1">
      <c r="A2352" s="9">
        <v>46106</v>
      </c>
      <c r="B2352" s="24">
        <v>48549</v>
      </c>
      <c r="C2352" s="14" t="s">
        <v>3556</v>
      </c>
      <c r="D2352" s="23" t="s">
        <v>306</v>
      </c>
      <c r="E2352" s="6" t="s">
        <v>355</v>
      </c>
      <c r="F2352" s="6" t="s">
        <v>3553</v>
      </c>
      <c r="G2352" s="5">
        <v>1691</v>
      </c>
      <c r="H2352" s="5">
        <f t="shared" si="62"/>
        <v>0.27677447280000012</v>
      </c>
      <c r="I2352" s="20">
        <f t="shared" si="63"/>
        <v>468.02563350480017</v>
      </c>
      <c r="J2352" s="6" t="s">
        <v>357</v>
      </c>
    </row>
    <row r="2353" spans="1:10" ht="45" hidden="1">
      <c r="A2353" s="9">
        <v>46106</v>
      </c>
      <c r="B2353" s="24">
        <v>48550</v>
      </c>
      <c r="C2353" s="14" t="s">
        <v>3557</v>
      </c>
      <c r="D2353" s="23" t="s">
        <v>306</v>
      </c>
      <c r="E2353" s="6" t="s">
        <v>355</v>
      </c>
      <c r="F2353" s="6" t="s">
        <v>3553</v>
      </c>
      <c r="G2353" s="5">
        <v>3639</v>
      </c>
      <c r="H2353" s="5">
        <f t="shared" si="62"/>
        <v>0.27677447280000012</v>
      </c>
      <c r="I2353" s="20">
        <f t="shared" si="63"/>
        <v>1007.1823065192004</v>
      </c>
      <c r="J2353" s="6" t="s">
        <v>357</v>
      </c>
    </row>
    <row r="2354" spans="1:10" ht="60" hidden="1">
      <c r="A2354" s="9">
        <v>46106</v>
      </c>
      <c r="B2354" s="24">
        <v>48609</v>
      </c>
      <c r="C2354" s="14" t="s">
        <v>3558</v>
      </c>
      <c r="D2354" s="23" t="s">
        <v>306</v>
      </c>
      <c r="E2354" s="6" t="s">
        <v>355</v>
      </c>
      <c r="F2354" s="6" t="s">
        <v>3553</v>
      </c>
      <c r="G2354" s="5">
        <v>15906</v>
      </c>
      <c r="H2354" s="5">
        <f t="shared" si="62"/>
        <v>0.27677447280000012</v>
      </c>
      <c r="I2354" s="20">
        <f t="shared" si="63"/>
        <v>4402.3747643568022</v>
      </c>
      <c r="J2354" s="6" t="s">
        <v>357</v>
      </c>
    </row>
    <row r="2355" spans="1:10" ht="60" hidden="1">
      <c r="A2355" s="10">
        <v>45511</v>
      </c>
      <c r="B2355" s="108" t="s">
        <v>3560</v>
      </c>
      <c r="C2355" s="15" t="s">
        <v>3559</v>
      </c>
      <c r="D2355" s="28" t="s">
        <v>306</v>
      </c>
      <c r="E2355" s="6" t="s">
        <v>355</v>
      </c>
      <c r="F2355" s="6" t="s">
        <v>3553</v>
      </c>
      <c r="G2355" s="5">
        <f>4135.5+1765+27030</f>
        <v>32930.5</v>
      </c>
      <c r="H2355" s="5">
        <f t="shared" si="62"/>
        <v>0.27677447280000012</v>
      </c>
      <c r="I2355" s="20">
        <f t="shared" si="63"/>
        <v>9114.3217765404042</v>
      </c>
      <c r="J2355" s="6" t="s">
        <v>357</v>
      </c>
    </row>
    <row r="2356" spans="1:10" ht="60" hidden="1">
      <c r="A2356" s="10">
        <v>45511</v>
      </c>
      <c r="B2356" s="24" t="s">
        <v>3562</v>
      </c>
      <c r="C2356" s="15" t="s">
        <v>3561</v>
      </c>
      <c r="D2356" s="28" t="s">
        <v>306</v>
      </c>
      <c r="E2356" s="6" t="s">
        <v>355</v>
      </c>
      <c r="F2356" s="6" t="s">
        <v>3553</v>
      </c>
      <c r="G2356" s="5">
        <f>4135.5*2+1765*2+27030</f>
        <v>38831</v>
      </c>
      <c r="H2356" s="5">
        <f t="shared" si="62"/>
        <v>0.27677447280000012</v>
      </c>
      <c r="I2356" s="20">
        <f t="shared" si="63"/>
        <v>10747.429553296804</v>
      </c>
      <c r="J2356" s="6" t="s">
        <v>357</v>
      </c>
    </row>
    <row r="2357" spans="1:10" ht="60" hidden="1">
      <c r="A2357" s="10">
        <v>45511</v>
      </c>
      <c r="B2357" s="24" t="s">
        <v>3564</v>
      </c>
      <c r="C2357" s="14" t="s">
        <v>3563</v>
      </c>
      <c r="D2357" s="23" t="s">
        <v>306</v>
      </c>
      <c r="E2357" s="6" t="s">
        <v>355</v>
      </c>
      <c r="F2357" s="6" t="s">
        <v>3553</v>
      </c>
      <c r="G2357" s="5">
        <f>3674*2+1012.5</f>
        <v>8360.5</v>
      </c>
      <c r="H2357" s="5">
        <f t="shared" si="62"/>
        <v>0.27677447280000012</v>
      </c>
      <c r="I2357" s="20">
        <f t="shared" si="63"/>
        <v>2313.9729798444009</v>
      </c>
      <c r="J2357" s="6" t="s">
        <v>357</v>
      </c>
    </row>
    <row r="2358" spans="1:10" ht="30" hidden="1">
      <c r="A2358" s="10">
        <v>45511</v>
      </c>
      <c r="B2358" s="280" t="s">
        <v>3566</v>
      </c>
      <c r="C2358" s="14" t="s">
        <v>3565</v>
      </c>
      <c r="D2358" s="23" t="s">
        <v>306</v>
      </c>
      <c r="E2358" s="6" t="s">
        <v>1024</v>
      </c>
      <c r="F2358" s="6" t="s">
        <v>3567</v>
      </c>
      <c r="G2358" s="5">
        <v>292.5</v>
      </c>
      <c r="H2358" s="5">
        <f t="shared" si="62"/>
        <v>0.27677447280000012</v>
      </c>
      <c r="I2358" s="20">
        <f t="shared" si="63"/>
        <v>80.956533294000039</v>
      </c>
      <c r="J2358" s="6" t="s">
        <v>357</v>
      </c>
    </row>
    <row r="2359" spans="1:10" hidden="1">
      <c r="A2359" s="10">
        <v>45511</v>
      </c>
      <c r="B2359" s="109" t="s">
        <v>3569</v>
      </c>
      <c r="C2359" s="14" t="s">
        <v>3568</v>
      </c>
      <c r="D2359" s="23" t="s">
        <v>306</v>
      </c>
      <c r="E2359" s="6" t="s">
        <v>1024</v>
      </c>
      <c r="F2359" s="6" t="s">
        <v>3567</v>
      </c>
      <c r="G2359" s="5">
        <v>84</v>
      </c>
      <c r="H2359" s="5">
        <f t="shared" si="62"/>
        <v>0.27677447280000012</v>
      </c>
      <c r="I2359" s="20">
        <f t="shared" si="63"/>
        <v>23.249055715200008</v>
      </c>
      <c r="J2359" s="6" t="s">
        <v>357</v>
      </c>
    </row>
    <row r="2360" spans="1:10" hidden="1">
      <c r="A2360" s="9">
        <v>46106</v>
      </c>
      <c r="B2360" s="216" t="s">
        <v>6385</v>
      </c>
      <c r="C2360" s="5" t="s">
        <v>6386</v>
      </c>
      <c r="D2360" s="8" t="s">
        <v>306</v>
      </c>
      <c r="E2360" s="25" t="s">
        <v>6387</v>
      </c>
      <c r="F2360" s="25" t="s">
        <v>686</v>
      </c>
      <c r="G2360" s="31">
        <v>222.7</v>
      </c>
      <c r="H2360" s="5">
        <f t="shared" si="62"/>
        <v>0.27677447280000012</v>
      </c>
      <c r="I2360" s="20">
        <f t="shared" si="63"/>
        <v>61.637675092560023</v>
      </c>
      <c r="J2360" s="6" t="s">
        <v>357</v>
      </c>
    </row>
    <row r="2361" spans="1:10" ht="30" hidden="1">
      <c r="A2361" s="10">
        <v>45692</v>
      </c>
      <c r="B2361" s="240" t="s">
        <v>6390</v>
      </c>
      <c r="C2361" s="241" t="s">
        <v>6391</v>
      </c>
      <c r="D2361" s="242" t="s">
        <v>306</v>
      </c>
      <c r="E2361" s="25" t="s">
        <v>6387</v>
      </c>
      <c r="F2361" s="25" t="s">
        <v>411</v>
      </c>
      <c r="G2361" s="31">
        <v>552</v>
      </c>
      <c r="H2361" s="5">
        <f t="shared" si="62"/>
        <v>0.27677447280000012</v>
      </c>
      <c r="I2361" s="20">
        <f t="shared" si="63"/>
        <v>152.77950898560007</v>
      </c>
      <c r="J2361" s="243" t="s">
        <v>357</v>
      </c>
    </row>
    <row r="2362" spans="1:10" hidden="1">
      <c r="A2362" s="9">
        <v>46106</v>
      </c>
      <c r="B2362" s="216" t="s">
        <v>6388</v>
      </c>
      <c r="C2362" s="5" t="s">
        <v>6389</v>
      </c>
      <c r="D2362" s="8" t="s">
        <v>306</v>
      </c>
      <c r="E2362" s="25" t="s">
        <v>6387</v>
      </c>
      <c r="F2362" s="25" t="s">
        <v>411</v>
      </c>
      <c r="G2362" s="31">
        <v>349.8</v>
      </c>
      <c r="H2362" s="5">
        <f t="shared" si="62"/>
        <v>0.27677447280000012</v>
      </c>
      <c r="I2362" s="20">
        <f t="shared" si="63"/>
        <v>96.815710585440044</v>
      </c>
      <c r="J2362" s="6" t="s">
        <v>357</v>
      </c>
    </row>
    <row r="2363" spans="1:10" hidden="1">
      <c r="A2363" s="360">
        <v>46106</v>
      </c>
      <c r="B2363" s="245" t="s">
        <v>6392</v>
      </c>
      <c r="C2363" s="241" t="s">
        <v>6393</v>
      </c>
      <c r="D2363" s="242" t="s">
        <v>306</v>
      </c>
      <c r="E2363" s="25" t="s">
        <v>6387</v>
      </c>
      <c r="F2363" s="25" t="s">
        <v>411</v>
      </c>
      <c r="G2363" s="31">
        <v>666.8</v>
      </c>
      <c r="H2363" s="5">
        <f t="shared" si="62"/>
        <v>0.27677447280000012</v>
      </c>
      <c r="I2363" s="244">
        <f t="shared" si="63"/>
        <v>184.55321846304005</v>
      </c>
      <c r="J2363" s="111" t="s">
        <v>357</v>
      </c>
    </row>
    <row r="2364" spans="1:10" hidden="1">
      <c r="A2364" s="9">
        <v>46106</v>
      </c>
      <c r="B2364" s="110" t="s">
        <v>3571</v>
      </c>
      <c r="C2364" s="5" t="s">
        <v>3570</v>
      </c>
      <c r="D2364" s="8" t="s">
        <v>306</v>
      </c>
      <c r="E2364" s="6" t="s">
        <v>685</v>
      </c>
      <c r="F2364" s="6" t="s">
        <v>3567</v>
      </c>
      <c r="G2364" s="5">
        <v>3431.4</v>
      </c>
      <c r="H2364" s="5">
        <f t="shared" si="62"/>
        <v>0.27677447280000012</v>
      </c>
      <c r="I2364" s="20">
        <f t="shared" si="63"/>
        <v>949.72392596592044</v>
      </c>
      <c r="J2364" s="6" t="s">
        <v>357</v>
      </c>
    </row>
    <row r="2365" spans="1:10" hidden="1">
      <c r="A2365" s="9">
        <v>46106</v>
      </c>
      <c r="B2365" s="110" t="s">
        <v>3573</v>
      </c>
      <c r="C2365" s="5" t="s">
        <v>3572</v>
      </c>
      <c r="D2365" s="8" t="s">
        <v>306</v>
      </c>
      <c r="E2365" s="6" t="s">
        <v>685</v>
      </c>
      <c r="F2365" s="6" t="s">
        <v>3567</v>
      </c>
      <c r="G2365" s="5">
        <v>3788.6</v>
      </c>
      <c r="H2365" s="5">
        <f t="shared" si="62"/>
        <v>0.27677447280000012</v>
      </c>
      <c r="I2365" s="20">
        <f t="shared" si="63"/>
        <v>1048.5877676500804</v>
      </c>
      <c r="J2365" s="6" t="s">
        <v>357</v>
      </c>
    </row>
    <row r="2366" spans="1:10" hidden="1">
      <c r="A2366" s="9">
        <v>46106</v>
      </c>
      <c r="B2366" s="110" t="s">
        <v>3574</v>
      </c>
      <c r="C2366" s="5" t="s">
        <v>665</v>
      </c>
      <c r="D2366" s="8" t="s">
        <v>306</v>
      </c>
      <c r="E2366" s="6" t="s">
        <v>654</v>
      </c>
      <c r="F2366" s="6" t="s">
        <v>3567</v>
      </c>
      <c r="G2366" s="21">
        <v>829.8</v>
      </c>
      <c r="H2366" s="5">
        <f t="shared" si="62"/>
        <v>0.27677447280000012</v>
      </c>
      <c r="I2366" s="20">
        <f t="shared" si="63"/>
        <v>229.66745752944007</v>
      </c>
      <c r="J2366" s="6" t="s">
        <v>357</v>
      </c>
    </row>
    <row r="2367" spans="1:10" hidden="1">
      <c r="A2367" s="9">
        <v>46106</v>
      </c>
      <c r="B2367" s="110" t="s">
        <v>3575</v>
      </c>
      <c r="C2367" s="5" t="s">
        <v>677</v>
      </c>
      <c r="D2367" s="8" t="s">
        <v>306</v>
      </c>
      <c r="E2367" s="6" t="s">
        <v>654</v>
      </c>
      <c r="F2367" s="6" t="s">
        <v>3567</v>
      </c>
      <c r="G2367" s="5">
        <v>871</v>
      </c>
      <c r="H2367" s="5">
        <f t="shared" si="62"/>
        <v>0.27677447280000012</v>
      </c>
      <c r="I2367" s="20">
        <f t="shared" si="63"/>
        <v>241.0705658088001</v>
      </c>
      <c r="J2367" s="6" t="s">
        <v>357</v>
      </c>
    </row>
    <row r="2368" spans="1:10" hidden="1">
      <c r="A2368" s="9">
        <v>46106</v>
      </c>
      <c r="B2368" s="110" t="s">
        <v>3576</v>
      </c>
      <c r="C2368" s="5" t="s">
        <v>656</v>
      </c>
      <c r="D2368" s="8" t="s">
        <v>306</v>
      </c>
      <c r="E2368" s="6" t="s">
        <v>654</v>
      </c>
      <c r="F2368" s="6" t="s">
        <v>3567</v>
      </c>
      <c r="G2368" s="5">
        <v>836.7</v>
      </c>
      <c r="H2368" s="5">
        <f t="shared" si="62"/>
        <v>0.27677447280000012</v>
      </c>
      <c r="I2368" s="20">
        <f t="shared" si="63"/>
        <v>231.5772013917601</v>
      </c>
      <c r="J2368" s="6" t="s">
        <v>357</v>
      </c>
    </row>
    <row r="2369" spans="1:10" hidden="1">
      <c r="A2369" s="9">
        <v>46106</v>
      </c>
      <c r="B2369" s="6" t="s">
        <v>3577</v>
      </c>
      <c r="C2369" s="5" t="s">
        <v>662</v>
      </c>
      <c r="D2369" s="8" t="s">
        <v>306</v>
      </c>
      <c r="E2369" s="6" t="s">
        <v>654</v>
      </c>
      <c r="F2369" s="6" t="s">
        <v>3567</v>
      </c>
      <c r="G2369" s="5">
        <v>820.8</v>
      </c>
      <c r="H2369" s="5">
        <f t="shared" si="62"/>
        <v>0.27677447280000012</v>
      </c>
      <c r="I2369" s="20">
        <f t="shared" si="63"/>
        <v>227.17648727424009</v>
      </c>
      <c r="J2369" s="6" t="s">
        <v>357</v>
      </c>
    </row>
    <row r="2370" spans="1:10" hidden="1">
      <c r="A2370" s="9">
        <v>46106</v>
      </c>
      <c r="B2370" s="6" t="s">
        <v>3578</v>
      </c>
      <c r="C2370" s="5" t="s">
        <v>665</v>
      </c>
      <c r="D2370" s="8" t="s">
        <v>306</v>
      </c>
      <c r="E2370" s="6" t="s">
        <v>654</v>
      </c>
      <c r="F2370" s="6" t="s">
        <v>3567</v>
      </c>
      <c r="G2370" s="5">
        <v>836.7</v>
      </c>
      <c r="H2370" s="5">
        <f t="shared" si="62"/>
        <v>0.27677447280000012</v>
      </c>
      <c r="I2370" s="20">
        <f t="shared" si="63"/>
        <v>231.5772013917601</v>
      </c>
      <c r="J2370" s="6" t="s">
        <v>357</v>
      </c>
    </row>
    <row r="2371" spans="1:10" hidden="1">
      <c r="A2371" s="9">
        <v>46106</v>
      </c>
      <c r="B2371" s="6" t="s">
        <v>3579</v>
      </c>
      <c r="C2371" s="5" t="s">
        <v>668</v>
      </c>
      <c r="D2371" s="8" t="s">
        <v>306</v>
      </c>
      <c r="E2371" s="6" t="s">
        <v>654</v>
      </c>
      <c r="F2371" s="6" t="s">
        <v>3567</v>
      </c>
      <c r="G2371" s="5">
        <v>887.3</v>
      </c>
      <c r="H2371" s="5">
        <f t="shared" si="62"/>
        <v>0.27677447280000012</v>
      </c>
      <c r="I2371" s="20">
        <f t="shared" si="63"/>
        <v>245.5819897154401</v>
      </c>
      <c r="J2371" s="6" t="s">
        <v>357</v>
      </c>
    </row>
    <row r="2372" spans="1:10" hidden="1">
      <c r="A2372" s="9">
        <v>46106</v>
      </c>
      <c r="B2372" s="6" t="s">
        <v>3580</v>
      </c>
      <c r="C2372" s="5" t="s">
        <v>671</v>
      </c>
      <c r="D2372" s="8" t="s">
        <v>306</v>
      </c>
      <c r="E2372" s="6" t="s">
        <v>654</v>
      </c>
      <c r="F2372" s="6" t="s">
        <v>3567</v>
      </c>
      <c r="G2372" s="5">
        <v>915.8</v>
      </c>
      <c r="H2372" s="5">
        <f t="shared" si="62"/>
        <v>0.27677447280000012</v>
      </c>
      <c r="I2372" s="20">
        <f t="shared" si="63"/>
        <v>253.4700621902401</v>
      </c>
      <c r="J2372" s="6" t="s">
        <v>357</v>
      </c>
    </row>
    <row r="2373" spans="1:10" hidden="1">
      <c r="A2373" s="9">
        <v>46106</v>
      </c>
      <c r="B2373" s="110" t="s">
        <v>3581</v>
      </c>
      <c r="C2373" s="5" t="s">
        <v>674</v>
      </c>
      <c r="D2373" s="8" t="s">
        <v>306</v>
      </c>
      <c r="E2373" s="6" t="s">
        <v>654</v>
      </c>
      <c r="F2373" s="6" t="s">
        <v>3567</v>
      </c>
      <c r="G2373" s="5">
        <v>885.7</v>
      </c>
      <c r="H2373" s="5">
        <f t="shared" si="62"/>
        <v>0.27677447280000012</v>
      </c>
      <c r="I2373" s="20">
        <f t="shared" si="63"/>
        <v>245.13915055896013</v>
      </c>
      <c r="J2373" s="6" t="s">
        <v>357</v>
      </c>
    </row>
    <row r="2374" spans="1:10" hidden="1">
      <c r="A2374" s="9">
        <v>46106</v>
      </c>
      <c r="B2374" s="110" t="s">
        <v>3582</v>
      </c>
      <c r="C2374" s="5" t="s">
        <v>678</v>
      </c>
      <c r="D2374" s="8" t="s">
        <v>306</v>
      </c>
      <c r="E2374" s="6" t="s">
        <v>654</v>
      </c>
      <c r="F2374" s="6" t="s">
        <v>3567</v>
      </c>
      <c r="G2374" s="5">
        <v>741.2</v>
      </c>
      <c r="H2374" s="5">
        <f t="shared" si="62"/>
        <v>0.27677447280000012</v>
      </c>
      <c r="I2374" s="20">
        <f t="shared" si="63"/>
        <v>205.14523923936011</v>
      </c>
      <c r="J2374" s="6" t="s">
        <v>357</v>
      </c>
    </row>
    <row r="2375" spans="1:10" hidden="1">
      <c r="A2375" s="9">
        <v>46106</v>
      </c>
      <c r="B2375" s="110" t="s">
        <v>3583</v>
      </c>
      <c r="C2375" s="5" t="s">
        <v>657</v>
      </c>
      <c r="D2375" s="8" t="s">
        <v>306</v>
      </c>
      <c r="E2375" s="6" t="s">
        <v>654</v>
      </c>
      <c r="F2375" s="6" t="s">
        <v>3567</v>
      </c>
      <c r="G2375" s="5">
        <v>726.9</v>
      </c>
      <c r="H2375" s="5">
        <f t="shared" si="62"/>
        <v>0.27677447280000012</v>
      </c>
      <c r="I2375" s="20">
        <f t="shared" si="63"/>
        <v>201.18736427832008</v>
      </c>
      <c r="J2375" s="6" t="s">
        <v>357</v>
      </c>
    </row>
    <row r="2376" spans="1:10" hidden="1">
      <c r="A2376" s="9">
        <v>46106</v>
      </c>
      <c r="B2376" s="110" t="s">
        <v>3584</v>
      </c>
      <c r="C2376" s="5" t="s">
        <v>663</v>
      </c>
      <c r="D2376" s="8" t="s">
        <v>306</v>
      </c>
      <c r="E2376" s="6" t="s">
        <v>654</v>
      </c>
      <c r="F2376" s="6" t="s">
        <v>3567</v>
      </c>
      <c r="G2376" s="5">
        <v>698.5</v>
      </c>
      <c r="H2376" s="5">
        <f t="shared" si="62"/>
        <v>0.27677447280000012</v>
      </c>
      <c r="I2376" s="20">
        <f t="shared" si="63"/>
        <v>193.32696925080009</v>
      </c>
      <c r="J2376" s="6" t="s">
        <v>357</v>
      </c>
    </row>
    <row r="2377" spans="1:10" hidden="1">
      <c r="A2377" s="9">
        <v>46106</v>
      </c>
      <c r="B2377" s="110" t="s">
        <v>3585</v>
      </c>
      <c r="C2377" s="5" t="s">
        <v>666</v>
      </c>
      <c r="D2377" s="8" t="s">
        <v>306</v>
      </c>
      <c r="E2377" s="6" t="s">
        <v>654</v>
      </c>
      <c r="F2377" s="6" t="s">
        <v>3567</v>
      </c>
      <c r="G2377" s="5">
        <v>725.4</v>
      </c>
      <c r="H2377" s="5">
        <f t="shared" si="62"/>
        <v>0.27677447280000012</v>
      </c>
      <c r="I2377" s="20">
        <f t="shared" si="63"/>
        <v>200.77220256912008</v>
      </c>
      <c r="J2377" s="6" t="s">
        <v>357</v>
      </c>
    </row>
    <row r="2378" spans="1:10" hidden="1">
      <c r="A2378" s="9">
        <v>46106</v>
      </c>
      <c r="B2378" s="6" t="s">
        <v>3586</v>
      </c>
      <c r="C2378" s="5" t="s">
        <v>669</v>
      </c>
      <c r="D2378" s="8" t="s">
        <v>306</v>
      </c>
      <c r="E2378" s="6" t="s">
        <v>654</v>
      </c>
      <c r="F2378" s="6" t="s">
        <v>3567</v>
      </c>
      <c r="G2378" s="5">
        <v>747.5</v>
      </c>
      <c r="H2378" s="5">
        <f t="shared" si="62"/>
        <v>0.27677447280000012</v>
      </c>
      <c r="I2378" s="20">
        <f t="shared" si="63"/>
        <v>206.88891841800009</v>
      </c>
      <c r="J2378" s="6" t="s">
        <v>357</v>
      </c>
    </row>
    <row r="2379" spans="1:10" hidden="1">
      <c r="A2379" s="9">
        <v>46106</v>
      </c>
      <c r="B2379" s="110" t="s">
        <v>3587</v>
      </c>
      <c r="C2379" s="5" t="s">
        <v>672</v>
      </c>
      <c r="D2379" s="8" t="s">
        <v>306</v>
      </c>
      <c r="E2379" s="6" t="s">
        <v>654</v>
      </c>
      <c r="F2379" s="6" t="s">
        <v>3567</v>
      </c>
      <c r="G2379" s="5">
        <v>747.5</v>
      </c>
      <c r="H2379" s="5">
        <f t="shared" si="62"/>
        <v>0.27677447280000012</v>
      </c>
      <c r="I2379" s="20">
        <f t="shared" si="63"/>
        <v>206.88891841800009</v>
      </c>
      <c r="J2379" s="6" t="s">
        <v>357</v>
      </c>
    </row>
    <row r="2380" spans="1:10" hidden="1">
      <c r="A2380" s="9">
        <v>46106</v>
      </c>
      <c r="B2380" s="110" t="s">
        <v>3588</v>
      </c>
      <c r="C2380" s="5" t="s">
        <v>675</v>
      </c>
      <c r="D2380" s="8" t="s">
        <v>306</v>
      </c>
      <c r="E2380" s="6" t="s">
        <v>654</v>
      </c>
      <c r="F2380" s="6" t="s">
        <v>3567</v>
      </c>
      <c r="G2380" s="5">
        <v>718.5</v>
      </c>
      <c r="H2380" s="5">
        <f t="shared" si="62"/>
        <v>0.27677447280000012</v>
      </c>
      <c r="I2380" s="20">
        <f t="shared" si="63"/>
        <v>198.86245870680008</v>
      </c>
      <c r="J2380" s="6" t="s">
        <v>357</v>
      </c>
    </row>
    <row r="2381" spans="1:10" hidden="1">
      <c r="A2381" s="9">
        <v>46106</v>
      </c>
      <c r="B2381" s="110" t="s">
        <v>3590</v>
      </c>
      <c r="C2381" s="5" t="s">
        <v>3589</v>
      </c>
      <c r="D2381" s="8" t="s">
        <v>306</v>
      </c>
      <c r="E2381" s="6" t="s">
        <v>1024</v>
      </c>
      <c r="F2381" s="6" t="s">
        <v>3567</v>
      </c>
      <c r="G2381" s="5">
        <v>145.1</v>
      </c>
      <c r="H2381" s="5">
        <f t="shared" si="62"/>
        <v>0.27677447280000012</v>
      </c>
      <c r="I2381" s="20">
        <f t="shared" si="63"/>
        <v>40.159976003280015</v>
      </c>
      <c r="J2381" s="6" t="s">
        <v>357</v>
      </c>
    </row>
    <row r="2382" spans="1:10" hidden="1">
      <c r="A2382" s="9">
        <v>46106</v>
      </c>
      <c r="B2382" s="110" t="s">
        <v>3592</v>
      </c>
      <c r="C2382" s="5" t="s">
        <v>3591</v>
      </c>
      <c r="D2382" s="8" t="s">
        <v>306</v>
      </c>
      <c r="E2382" s="6" t="s">
        <v>1024</v>
      </c>
      <c r="F2382" s="6" t="s">
        <v>3567</v>
      </c>
      <c r="G2382" s="5">
        <v>141.4</v>
      </c>
      <c r="H2382" s="5">
        <f t="shared" si="62"/>
        <v>0.27677447280000012</v>
      </c>
      <c r="I2382" s="20">
        <f t="shared" si="63"/>
        <v>39.135910453920019</v>
      </c>
      <c r="J2382" s="6" t="s">
        <v>357</v>
      </c>
    </row>
    <row r="2383" spans="1:10" hidden="1">
      <c r="A2383" s="9">
        <v>46106</v>
      </c>
      <c r="B2383" s="6" t="s">
        <v>3594</v>
      </c>
      <c r="C2383" s="5" t="s">
        <v>3593</v>
      </c>
      <c r="D2383" s="8" t="s">
        <v>306</v>
      </c>
      <c r="E2383" s="6" t="s">
        <v>1024</v>
      </c>
      <c r="F2383" s="6" t="s">
        <v>3567</v>
      </c>
      <c r="G2383" s="5">
        <v>141.4</v>
      </c>
      <c r="H2383" s="5">
        <f t="shared" si="62"/>
        <v>0.27677447280000012</v>
      </c>
      <c r="I2383" s="20">
        <f t="shared" si="63"/>
        <v>39.135910453920019</v>
      </c>
      <c r="J2383" s="6" t="s">
        <v>357</v>
      </c>
    </row>
    <row r="2384" spans="1:10" hidden="1">
      <c r="A2384" s="9">
        <v>46106</v>
      </c>
      <c r="B2384" s="6" t="s">
        <v>3596</v>
      </c>
      <c r="C2384" s="5" t="s">
        <v>3595</v>
      </c>
      <c r="D2384" s="8" t="s">
        <v>306</v>
      </c>
      <c r="E2384" s="6" t="s">
        <v>1024</v>
      </c>
      <c r="F2384" s="6" t="s">
        <v>3567</v>
      </c>
      <c r="G2384" s="5">
        <v>141.4</v>
      </c>
      <c r="H2384" s="5">
        <f t="shared" si="62"/>
        <v>0.27677447280000012</v>
      </c>
      <c r="I2384" s="20">
        <f t="shared" si="63"/>
        <v>39.135910453920019</v>
      </c>
      <c r="J2384" s="6" t="s">
        <v>357</v>
      </c>
    </row>
    <row r="2385" spans="1:10" hidden="1">
      <c r="A2385" s="9">
        <v>46106</v>
      </c>
      <c r="B2385" s="6" t="s">
        <v>3598</v>
      </c>
      <c r="C2385" s="5" t="s">
        <v>3597</v>
      </c>
      <c r="D2385" s="8" t="s">
        <v>306</v>
      </c>
      <c r="E2385" s="6" t="s">
        <v>1024</v>
      </c>
      <c r="F2385" s="6" t="s">
        <v>3567</v>
      </c>
      <c r="G2385" s="5">
        <v>49.1</v>
      </c>
      <c r="H2385" s="5">
        <f t="shared" si="62"/>
        <v>0.27677447280000012</v>
      </c>
      <c r="I2385" s="20">
        <f t="shared" si="63"/>
        <v>13.589626614480006</v>
      </c>
      <c r="J2385" s="6" t="s">
        <v>357</v>
      </c>
    </row>
    <row r="2386" spans="1:10" hidden="1">
      <c r="A2386" s="9">
        <v>46106</v>
      </c>
      <c r="B2386" s="110" t="s">
        <v>3600</v>
      </c>
      <c r="C2386" s="5" t="s">
        <v>3599</v>
      </c>
      <c r="D2386" s="8" t="s">
        <v>306</v>
      </c>
      <c r="E2386" s="6" t="s">
        <v>1024</v>
      </c>
      <c r="F2386" s="6" t="s">
        <v>3567</v>
      </c>
      <c r="G2386" s="5">
        <v>49.1</v>
      </c>
      <c r="H2386" s="5">
        <f t="shared" si="62"/>
        <v>0.27677447280000012</v>
      </c>
      <c r="I2386" s="20">
        <f t="shared" si="63"/>
        <v>13.589626614480006</v>
      </c>
      <c r="J2386" s="6" t="s">
        <v>357</v>
      </c>
    </row>
    <row r="2387" spans="1:10" hidden="1">
      <c r="A2387" s="9">
        <v>46106</v>
      </c>
      <c r="B2387" s="6" t="s">
        <v>3602</v>
      </c>
      <c r="C2387" s="5" t="s">
        <v>3601</v>
      </c>
      <c r="D2387" s="8" t="s">
        <v>306</v>
      </c>
      <c r="E2387" s="6" t="s">
        <v>1024</v>
      </c>
      <c r="F2387" s="6" t="s">
        <v>3567</v>
      </c>
      <c r="G2387" s="5">
        <v>49.1</v>
      </c>
      <c r="H2387" s="5">
        <f t="shared" si="62"/>
        <v>0.27677447280000012</v>
      </c>
      <c r="I2387" s="20">
        <f t="shared" si="63"/>
        <v>13.589626614480006</v>
      </c>
      <c r="J2387" s="6" t="s">
        <v>357</v>
      </c>
    </row>
    <row r="2388" spans="1:10" hidden="1">
      <c r="A2388" s="9">
        <v>46106</v>
      </c>
      <c r="B2388" s="6" t="s">
        <v>3604</v>
      </c>
      <c r="C2388" s="5" t="s">
        <v>3603</v>
      </c>
      <c r="D2388" s="8" t="s">
        <v>306</v>
      </c>
      <c r="E2388" s="6" t="s">
        <v>1024</v>
      </c>
      <c r="F2388" s="6" t="s">
        <v>3567</v>
      </c>
      <c r="G2388" s="5">
        <v>49.1</v>
      </c>
      <c r="H2388" s="5">
        <f t="shared" si="62"/>
        <v>0.27677447280000012</v>
      </c>
      <c r="I2388" s="20">
        <f t="shared" si="63"/>
        <v>13.589626614480006</v>
      </c>
      <c r="J2388" s="6" t="s">
        <v>357</v>
      </c>
    </row>
    <row r="2389" spans="1:10" hidden="1">
      <c r="A2389" s="9">
        <v>46106</v>
      </c>
      <c r="B2389" s="6" t="s">
        <v>3606</v>
      </c>
      <c r="C2389" s="5" t="s">
        <v>3605</v>
      </c>
      <c r="D2389" s="8" t="s">
        <v>306</v>
      </c>
      <c r="E2389" s="6" t="s">
        <v>1024</v>
      </c>
      <c r="F2389" s="6" t="s">
        <v>3567</v>
      </c>
      <c r="G2389" s="5">
        <v>50.7</v>
      </c>
      <c r="H2389" s="5">
        <f t="shared" si="62"/>
        <v>0.27677447280000012</v>
      </c>
      <c r="I2389" s="20">
        <f t="shared" si="63"/>
        <v>14.032465770960007</v>
      </c>
      <c r="J2389" s="6" t="s">
        <v>357</v>
      </c>
    </row>
    <row r="2390" spans="1:10" hidden="1">
      <c r="A2390" s="9">
        <v>46106</v>
      </c>
      <c r="B2390" s="6" t="s">
        <v>3608</v>
      </c>
      <c r="C2390" s="5" t="s">
        <v>3607</v>
      </c>
      <c r="D2390" s="8" t="s">
        <v>306</v>
      </c>
      <c r="E2390" s="6" t="s">
        <v>1024</v>
      </c>
      <c r="F2390" s="6" t="s">
        <v>3567</v>
      </c>
      <c r="G2390" s="5">
        <v>58.6</v>
      </c>
      <c r="H2390" s="5">
        <f t="shared" si="62"/>
        <v>0.27677447280000012</v>
      </c>
      <c r="I2390" s="20">
        <f t="shared" si="63"/>
        <v>16.218984106080008</v>
      </c>
      <c r="J2390" s="6" t="s">
        <v>357</v>
      </c>
    </row>
    <row r="2391" spans="1:10" hidden="1">
      <c r="A2391" s="9">
        <v>46106</v>
      </c>
      <c r="B2391" s="6" t="s">
        <v>3610</v>
      </c>
      <c r="C2391" s="5" t="s">
        <v>3609</v>
      </c>
      <c r="D2391" s="8" t="s">
        <v>306</v>
      </c>
      <c r="E2391" s="6" t="s">
        <v>1024</v>
      </c>
      <c r="F2391" s="6" t="s">
        <v>3567</v>
      </c>
      <c r="G2391" s="5">
        <v>77.099999999999994</v>
      </c>
      <c r="H2391" s="5">
        <f t="shared" si="62"/>
        <v>0.27677447280000012</v>
      </c>
      <c r="I2391" s="20">
        <f t="shared" si="63"/>
        <v>21.339311852880009</v>
      </c>
      <c r="J2391" s="6" t="s">
        <v>357</v>
      </c>
    </row>
    <row r="2392" spans="1:10" hidden="1">
      <c r="A2392" s="9">
        <v>46106</v>
      </c>
      <c r="B2392" s="6" t="s">
        <v>3612</v>
      </c>
      <c r="C2392" s="5" t="s">
        <v>3611</v>
      </c>
      <c r="D2392" s="8" t="s">
        <v>306</v>
      </c>
      <c r="E2392" s="6" t="s">
        <v>1024</v>
      </c>
      <c r="F2392" s="6" t="s">
        <v>3567</v>
      </c>
      <c r="G2392" s="5">
        <v>102.4</v>
      </c>
      <c r="H2392" s="5">
        <f t="shared" si="62"/>
        <v>0.27677447280000012</v>
      </c>
      <c r="I2392" s="20">
        <f t="shared" si="63"/>
        <v>28.341706014720014</v>
      </c>
      <c r="J2392" s="6" t="s">
        <v>357</v>
      </c>
    </row>
    <row r="2393" spans="1:10" hidden="1">
      <c r="A2393" s="9">
        <v>46106</v>
      </c>
      <c r="B2393" s="6" t="s">
        <v>3614</v>
      </c>
      <c r="C2393" s="5" t="s">
        <v>3613</v>
      </c>
      <c r="D2393" s="8" t="s">
        <v>306</v>
      </c>
      <c r="E2393" s="6" t="s">
        <v>1024</v>
      </c>
      <c r="F2393" s="6" t="s">
        <v>3567</v>
      </c>
      <c r="G2393" s="5">
        <v>105</v>
      </c>
      <c r="H2393" s="5">
        <f t="shared" si="62"/>
        <v>0.27677447280000012</v>
      </c>
      <c r="I2393" s="20">
        <f t="shared" si="63"/>
        <v>29.061319644000012</v>
      </c>
      <c r="J2393" s="6" t="s">
        <v>357</v>
      </c>
    </row>
    <row r="2394" spans="1:10" hidden="1">
      <c r="A2394" s="9">
        <v>46106</v>
      </c>
      <c r="B2394" s="6" t="s">
        <v>3616</v>
      </c>
      <c r="C2394" s="5" t="s">
        <v>3615</v>
      </c>
      <c r="D2394" s="8" t="s">
        <v>306</v>
      </c>
      <c r="E2394" s="6" t="s">
        <v>1024</v>
      </c>
      <c r="F2394" s="6" t="s">
        <v>3567</v>
      </c>
      <c r="G2394" s="5">
        <v>343.5</v>
      </c>
      <c r="H2394" s="5">
        <f t="shared" si="62"/>
        <v>0.27677447280000012</v>
      </c>
      <c r="I2394" s="20">
        <f t="shared" si="63"/>
        <v>95.072031406800036</v>
      </c>
      <c r="J2394" s="6" t="s">
        <v>357</v>
      </c>
    </row>
    <row r="2395" spans="1:10" hidden="1">
      <c r="A2395" s="9">
        <v>46106</v>
      </c>
      <c r="B2395" s="6" t="s">
        <v>3618</v>
      </c>
      <c r="C2395" s="5" t="s">
        <v>3617</v>
      </c>
      <c r="D2395" s="8" t="s">
        <v>306</v>
      </c>
      <c r="E2395" s="6" t="s">
        <v>1024</v>
      </c>
      <c r="F2395" s="6" t="s">
        <v>3567</v>
      </c>
      <c r="G2395" s="5">
        <v>351.4</v>
      </c>
      <c r="H2395" s="5">
        <f t="shared" si="62"/>
        <v>0.27677447280000012</v>
      </c>
      <c r="I2395" s="20">
        <f t="shared" si="63"/>
        <v>97.258549741920035</v>
      </c>
      <c r="J2395" s="6" t="s">
        <v>357</v>
      </c>
    </row>
    <row r="2396" spans="1:10" hidden="1">
      <c r="A2396" s="9">
        <v>46106</v>
      </c>
      <c r="B2396" s="6" t="s">
        <v>3620</v>
      </c>
      <c r="C2396" s="5" t="s">
        <v>3619</v>
      </c>
      <c r="D2396" s="8" t="s">
        <v>306</v>
      </c>
      <c r="E2396" s="6" t="s">
        <v>1024</v>
      </c>
      <c r="F2396" s="6" t="s">
        <v>3567</v>
      </c>
      <c r="G2396" s="5">
        <v>351.4</v>
      </c>
      <c r="H2396" s="5">
        <f t="shared" si="62"/>
        <v>0.27677447280000012</v>
      </c>
      <c r="I2396" s="20">
        <f t="shared" si="63"/>
        <v>97.258549741920035</v>
      </c>
      <c r="J2396" s="6" t="s">
        <v>357</v>
      </c>
    </row>
    <row r="2397" spans="1:10" hidden="1">
      <c r="A2397" s="9">
        <v>46106</v>
      </c>
      <c r="B2397" s="6" t="s">
        <v>3622</v>
      </c>
      <c r="C2397" s="5" t="s">
        <v>3621</v>
      </c>
      <c r="D2397" s="8" t="s">
        <v>306</v>
      </c>
      <c r="E2397" s="6" t="s">
        <v>1024</v>
      </c>
      <c r="F2397" s="6" t="s">
        <v>3567</v>
      </c>
      <c r="G2397" s="5">
        <v>343.5</v>
      </c>
      <c r="H2397" s="5">
        <f t="shared" si="62"/>
        <v>0.27677447280000012</v>
      </c>
      <c r="I2397" s="20">
        <f t="shared" si="63"/>
        <v>95.072031406800036</v>
      </c>
      <c r="J2397" s="6" t="s">
        <v>357</v>
      </c>
    </row>
    <row r="2398" spans="1:10" hidden="1">
      <c r="A2398" s="9">
        <v>46106</v>
      </c>
      <c r="B2398" s="6" t="s">
        <v>3624</v>
      </c>
      <c r="C2398" s="5" t="s">
        <v>3623</v>
      </c>
      <c r="D2398" s="8" t="s">
        <v>306</v>
      </c>
      <c r="E2398" s="6" t="s">
        <v>1024</v>
      </c>
      <c r="F2398" s="6" t="s">
        <v>3567</v>
      </c>
      <c r="G2398" s="5">
        <v>154.1</v>
      </c>
      <c r="H2398" s="5">
        <f t="shared" si="62"/>
        <v>0.27677447280000012</v>
      </c>
      <c r="I2398" s="20">
        <f t="shared" si="63"/>
        <v>42.650946258480019</v>
      </c>
      <c r="J2398" s="6" t="s">
        <v>357</v>
      </c>
    </row>
    <row r="2399" spans="1:10" hidden="1">
      <c r="A2399" s="9">
        <v>46106</v>
      </c>
      <c r="B2399" s="6" t="s">
        <v>3626</v>
      </c>
      <c r="C2399" s="5" t="s">
        <v>3625</v>
      </c>
      <c r="D2399" s="8" t="s">
        <v>306</v>
      </c>
      <c r="E2399" s="6" t="s">
        <v>1024</v>
      </c>
      <c r="F2399" s="6" t="s">
        <v>3567</v>
      </c>
      <c r="G2399" s="5">
        <v>154.1</v>
      </c>
      <c r="H2399" s="5">
        <f t="shared" si="62"/>
        <v>0.27677447280000012</v>
      </c>
      <c r="I2399" s="20">
        <f t="shared" si="63"/>
        <v>42.650946258480019</v>
      </c>
      <c r="J2399" s="6" t="s">
        <v>357</v>
      </c>
    </row>
    <row r="2400" spans="1:10" hidden="1">
      <c r="A2400" s="9">
        <v>46106</v>
      </c>
      <c r="B2400" s="6" t="s">
        <v>3628</v>
      </c>
      <c r="C2400" s="5" t="s">
        <v>3627</v>
      </c>
      <c r="D2400" s="8" t="s">
        <v>306</v>
      </c>
      <c r="E2400" s="6" t="s">
        <v>1024</v>
      </c>
      <c r="F2400" s="6" t="s">
        <v>3567</v>
      </c>
      <c r="G2400" s="5">
        <v>154.1</v>
      </c>
      <c r="H2400" s="5">
        <f t="shared" si="62"/>
        <v>0.27677447280000012</v>
      </c>
      <c r="I2400" s="20">
        <f t="shared" si="63"/>
        <v>42.650946258480019</v>
      </c>
      <c r="J2400" s="6" t="s">
        <v>357</v>
      </c>
    </row>
    <row r="2401" spans="1:10" hidden="1">
      <c r="A2401" s="9">
        <v>46106</v>
      </c>
      <c r="B2401" s="6" t="s">
        <v>3630</v>
      </c>
      <c r="C2401" s="5" t="s">
        <v>3629</v>
      </c>
      <c r="D2401" s="8" t="s">
        <v>306</v>
      </c>
      <c r="E2401" s="6" t="s">
        <v>1024</v>
      </c>
      <c r="F2401" s="6" t="s">
        <v>3567</v>
      </c>
      <c r="G2401" s="5">
        <v>154.1</v>
      </c>
      <c r="H2401" s="5">
        <f t="shared" si="62"/>
        <v>0.27677447280000012</v>
      </c>
      <c r="I2401" s="20">
        <f t="shared" si="63"/>
        <v>42.650946258480019</v>
      </c>
      <c r="J2401" s="6" t="s">
        <v>357</v>
      </c>
    </row>
    <row r="2402" spans="1:10" hidden="1">
      <c r="A2402" s="9">
        <v>46106</v>
      </c>
      <c r="B2402" s="6" t="s">
        <v>3632</v>
      </c>
      <c r="C2402" s="5" t="s">
        <v>3631</v>
      </c>
      <c r="D2402" s="8" t="s">
        <v>306</v>
      </c>
      <c r="E2402" s="6" t="s">
        <v>1024</v>
      </c>
      <c r="F2402" s="6" t="s">
        <v>3567</v>
      </c>
      <c r="G2402" s="5">
        <v>154.1</v>
      </c>
      <c r="H2402" s="5">
        <f t="shared" si="62"/>
        <v>0.27677447280000012</v>
      </c>
      <c r="I2402" s="20">
        <f t="shared" si="63"/>
        <v>42.650946258480019</v>
      </c>
      <c r="J2402" s="6" t="s">
        <v>357</v>
      </c>
    </row>
    <row r="2403" spans="1:10" hidden="1">
      <c r="A2403" s="9">
        <v>46106</v>
      </c>
      <c r="B2403" s="6" t="s">
        <v>3634</v>
      </c>
      <c r="C2403" s="5" t="s">
        <v>3633</v>
      </c>
      <c r="D2403" s="8" t="s">
        <v>306</v>
      </c>
      <c r="E2403" s="6" t="s">
        <v>1024</v>
      </c>
      <c r="F2403" s="6" t="s">
        <v>3567</v>
      </c>
      <c r="G2403" s="5">
        <v>184.7</v>
      </c>
      <c r="H2403" s="5">
        <f t="shared" si="62"/>
        <v>0.27677447280000012</v>
      </c>
      <c r="I2403" s="20">
        <f t="shared" si="63"/>
        <v>51.120245126160022</v>
      </c>
      <c r="J2403" s="6" t="s">
        <v>357</v>
      </c>
    </row>
    <row r="2404" spans="1:10" hidden="1">
      <c r="A2404" s="9">
        <v>46106</v>
      </c>
      <c r="B2404" s="6" t="s">
        <v>3636</v>
      </c>
      <c r="C2404" s="5" t="s">
        <v>3635</v>
      </c>
      <c r="D2404" s="8" t="s">
        <v>306</v>
      </c>
      <c r="E2404" s="6" t="s">
        <v>1024</v>
      </c>
      <c r="F2404" s="6" t="s">
        <v>3567</v>
      </c>
      <c r="G2404" s="5">
        <v>239.5</v>
      </c>
      <c r="H2404" s="5">
        <f t="shared" si="62"/>
        <v>0.27677447280000012</v>
      </c>
      <c r="I2404" s="20">
        <f t="shared" si="63"/>
        <v>66.287486235600028</v>
      </c>
      <c r="J2404" s="6" t="s">
        <v>357</v>
      </c>
    </row>
    <row r="2405" spans="1:10" hidden="1">
      <c r="A2405" s="9">
        <v>46106</v>
      </c>
      <c r="B2405" s="6" t="s">
        <v>3638</v>
      </c>
      <c r="C2405" s="5" t="s">
        <v>3637</v>
      </c>
      <c r="D2405" s="8" t="s">
        <v>306</v>
      </c>
      <c r="E2405" s="6" t="s">
        <v>1024</v>
      </c>
      <c r="F2405" s="6" t="s">
        <v>3567</v>
      </c>
      <c r="G2405" s="5">
        <v>301.8</v>
      </c>
      <c r="H2405" s="5">
        <f t="shared" si="62"/>
        <v>0.27677447280000012</v>
      </c>
      <c r="I2405" s="20">
        <f t="shared" si="63"/>
        <v>83.530535891040032</v>
      </c>
      <c r="J2405" s="6" t="s">
        <v>357</v>
      </c>
    </row>
    <row r="2406" spans="1:10" hidden="1">
      <c r="A2406" s="9">
        <v>46106</v>
      </c>
      <c r="B2406" s="6" t="s">
        <v>3640</v>
      </c>
      <c r="C2406" s="5" t="s">
        <v>3639</v>
      </c>
      <c r="D2406" s="8" t="s">
        <v>306</v>
      </c>
      <c r="E2406" s="6" t="s">
        <v>1024</v>
      </c>
      <c r="F2406" s="6" t="s">
        <v>3567</v>
      </c>
      <c r="G2406" s="5">
        <v>301.8</v>
      </c>
      <c r="H2406" s="5">
        <f t="shared" si="62"/>
        <v>0.27677447280000012</v>
      </c>
      <c r="I2406" s="20">
        <f t="shared" si="63"/>
        <v>83.530535891040032</v>
      </c>
      <c r="J2406" s="6" t="s">
        <v>357</v>
      </c>
    </row>
    <row r="2407" spans="1:10" hidden="1">
      <c r="A2407" s="9">
        <v>46106</v>
      </c>
      <c r="B2407" s="6" t="s">
        <v>3642</v>
      </c>
      <c r="C2407" s="5" t="s">
        <v>3641</v>
      </c>
      <c r="D2407" s="8" t="s">
        <v>306</v>
      </c>
      <c r="E2407" s="6" t="s">
        <v>1024</v>
      </c>
      <c r="F2407" s="6" t="s">
        <v>3567</v>
      </c>
      <c r="G2407" s="5">
        <v>561.29999999999995</v>
      </c>
      <c r="H2407" s="5">
        <f t="shared" si="62"/>
        <v>0.27677447280000012</v>
      </c>
      <c r="I2407" s="20">
        <f t="shared" si="63"/>
        <v>155.35351158264004</v>
      </c>
      <c r="J2407" s="6" t="s">
        <v>357</v>
      </c>
    </row>
    <row r="2408" spans="1:10" hidden="1">
      <c r="A2408" s="9">
        <v>46106</v>
      </c>
      <c r="B2408" s="6" t="s">
        <v>3644</v>
      </c>
      <c r="C2408" s="5" t="s">
        <v>3643</v>
      </c>
      <c r="D2408" s="8" t="s">
        <v>306</v>
      </c>
      <c r="E2408" s="6" t="s">
        <v>1024</v>
      </c>
      <c r="F2408" s="6" t="s">
        <v>3567</v>
      </c>
      <c r="G2408" s="5">
        <v>561.29999999999995</v>
      </c>
      <c r="H2408" s="5">
        <f t="shared" si="62"/>
        <v>0.27677447280000012</v>
      </c>
      <c r="I2408" s="20">
        <f t="shared" si="63"/>
        <v>155.35351158264004</v>
      </c>
      <c r="J2408" s="6" t="s">
        <v>357</v>
      </c>
    </row>
    <row r="2409" spans="1:10" hidden="1">
      <c r="A2409" s="9">
        <v>46106</v>
      </c>
      <c r="B2409" s="6" t="s">
        <v>3646</v>
      </c>
      <c r="C2409" s="5" t="s">
        <v>3645</v>
      </c>
      <c r="D2409" s="8" t="s">
        <v>306</v>
      </c>
      <c r="E2409" s="6" t="s">
        <v>1024</v>
      </c>
      <c r="F2409" s="6" t="s">
        <v>3567</v>
      </c>
      <c r="G2409" s="5">
        <v>561.29999999999995</v>
      </c>
      <c r="H2409" s="5">
        <f t="shared" si="62"/>
        <v>0.27677447280000012</v>
      </c>
      <c r="I2409" s="20">
        <f t="shared" si="63"/>
        <v>155.35351158264004</v>
      </c>
      <c r="J2409" s="6" t="s">
        <v>357</v>
      </c>
    </row>
    <row r="2410" spans="1:10" hidden="1">
      <c r="A2410" s="9">
        <v>46106</v>
      </c>
      <c r="B2410" s="6" t="s">
        <v>3648</v>
      </c>
      <c r="C2410" s="5" t="s">
        <v>3647</v>
      </c>
      <c r="D2410" s="8" t="s">
        <v>306</v>
      </c>
      <c r="E2410" s="6" t="s">
        <v>1024</v>
      </c>
      <c r="F2410" s="6" t="s">
        <v>3567</v>
      </c>
      <c r="G2410" s="5">
        <v>561.29999999999995</v>
      </c>
      <c r="H2410" s="5">
        <f t="shared" si="62"/>
        <v>0.27677447280000012</v>
      </c>
      <c r="I2410" s="20">
        <f t="shared" si="63"/>
        <v>155.35351158264004</v>
      </c>
      <c r="J2410" s="6" t="s">
        <v>357</v>
      </c>
    </row>
    <row r="2411" spans="1:10" hidden="1">
      <c r="A2411" s="9">
        <v>46106</v>
      </c>
      <c r="B2411" s="6" t="s">
        <v>3650</v>
      </c>
      <c r="C2411" s="5" t="s">
        <v>3649</v>
      </c>
      <c r="D2411" s="8" t="s">
        <v>306</v>
      </c>
      <c r="E2411" s="6" t="s">
        <v>1024</v>
      </c>
      <c r="F2411" s="6" t="s">
        <v>3567</v>
      </c>
      <c r="G2411" s="5">
        <v>250.1</v>
      </c>
      <c r="H2411" s="5">
        <f t="shared" ref="H2411:H2474" si="64">0.9*0.8*0.7*0.93*(0.9*0.9*0.9*0.9*0.9)</f>
        <v>0.27677447280000012</v>
      </c>
      <c r="I2411" s="20">
        <f t="shared" si="63"/>
        <v>69.22129564728003</v>
      </c>
      <c r="J2411" s="6" t="s">
        <v>357</v>
      </c>
    </row>
    <row r="2412" spans="1:10" hidden="1">
      <c r="A2412" s="9">
        <v>46106</v>
      </c>
      <c r="B2412" s="6" t="s">
        <v>3652</v>
      </c>
      <c r="C2412" s="5" t="s">
        <v>3651</v>
      </c>
      <c r="D2412" s="8" t="s">
        <v>306</v>
      </c>
      <c r="E2412" s="6" t="s">
        <v>1024</v>
      </c>
      <c r="F2412" s="6" t="s">
        <v>3567</v>
      </c>
      <c r="G2412" s="5">
        <v>250.1</v>
      </c>
      <c r="H2412" s="5">
        <f t="shared" si="64"/>
        <v>0.27677447280000012</v>
      </c>
      <c r="I2412" s="20">
        <f t="shared" si="63"/>
        <v>69.22129564728003</v>
      </c>
      <c r="J2412" s="6" t="s">
        <v>357</v>
      </c>
    </row>
    <row r="2413" spans="1:10" hidden="1">
      <c r="A2413" s="9">
        <v>46106</v>
      </c>
      <c r="B2413" s="6" t="s">
        <v>3654</v>
      </c>
      <c r="C2413" s="5" t="s">
        <v>3653</v>
      </c>
      <c r="D2413" s="8" t="s">
        <v>306</v>
      </c>
      <c r="E2413" s="6" t="s">
        <v>1024</v>
      </c>
      <c r="F2413" s="6" t="s">
        <v>3567</v>
      </c>
      <c r="G2413" s="5">
        <v>250.1</v>
      </c>
      <c r="H2413" s="5">
        <f t="shared" si="64"/>
        <v>0.27677447280000012</v>
      </c>
      <c r="I2413" s="20">
        <f t="shared" si="63"/>
        <v>69.22129564728003</v>
      </c>
      <c r="J2413" s="6" t="s">
        <v>357</v>
      </c>
    </row>
    <row r="2414" spans="1:10" hidden="1">
      <c r="A2414" s="9">
        <v>46106</v>
      </c>
      <c r="B2414" s="6" t="s">
        <v>3656</v>
      </c>
      <c r="C2414" s="5" t="s">
        <v>3655</v>
      </c>
      <c r="D2414" s="8" t="s">
        <v>306</v>
      </c>
      <c r="E2414" s="6" t="s">
        <v>1024</v>
      </c>
      <c r="F2414" s="6" t="s">
        <v>3567</v>
      </c>
      <c r="G2414" s="5">
        <v>245.3</v>
      </c>
      <c r="H2414" s="5">
        <f t="shared" si="64"/>
        <v>0.27677447280000012</v>
      </c>
      <c r="I2414" s="20">
        <f t="shared" ref="I2414:I2477" si="65">H2414*G2414</f>
        <v>67.892778177840029</v>
      </c>
      <c r="J2414" s="6" t="s">
        <v>357</v>
      </c>
    </row>
    <row r="2415" spans="1:10" hidden="1">
      <c r="A2415" s="9">
        <v>46106</v>
      </c>
      <c r="B2415" s="6" t="s">
        <v>3658</v>
      </c>
      <c r="C2415" s="5" t="s">
        <v>3657</v>
      </c>
      <c r="D2415" s="8" t="s">
        <v>306</v>
      </c>
      <c r="E2415" s="6" t="s">
        <v>1024</v>
      </c>
      <c r="F2415" s="6" t="s">
        <v>3567</v>
      </c>
      <c r="G2415" s="5">
        <v>250.1</v>
      </c>
      <c r="H2415" s="5">
        <f t="shared" si="64"/>
        <v>0.27677447280000012</v>
      </c>
      <c r="I2415" s="20">
        <f t="shared" si="65"/>
        <v>69.22129564728003</v>
      </c>
      <c r="J2415" s="6" t="s">
        <v>357</v>
      </c>
    </row>
    <row r="2416" spans="1:10" hidden="1">
      <c r="A2416" s="9">
        <v>46106</v>
      </c>
      <c r="B2416" s="6" t="s">
        <v>3660</v>
      </c>
      <c r="C2416" s="5" t="s">
        <v>3659</v>
      </c>
      <c r="D2416" s="8" t="s">
        <v>306</v>
      </c>
      <c r="E2416" s="6" t="s">
        <v>1024</v>
      </c>
      <c r="F2416" s="6" t="s">
        <v>3567</v>
      </c>
      <c r="G2416" s="5">
        <v>299.10000000000002</v>
      </c>
      <c r="H2416" s="5">
        <f t="shared" si="64"/>
        <v>0.27677447280000012</v>
      </c>
      <c r="I2416" s="20">
        <f t="shared" si="65"/>
        <v>82.783244814480042</v>
      </c>
      <c r="J2416" s="6" t="s">
        <v>357</v>
      </c>
    </row>
    <row r="2417" spans="1:10" hidden="1">
      <c r="A2417" s="9">
        <v>46106</v>
      </c>
      <c r="B2417" s="6" t="s">
        <v>3662</v>
      </c>
      <c r="C2417" s="5" t="s">
        <v>3661</v>
      </c>
      <c r="D2417" s="8" t="s">
        <v>306</v>
      </c>
      <c r="E2417" s="6" t="s">
        <v>1024</v>
      </c>
      <c r="F2417" s="6" t="s">
        <v>3567</v>
      </c>
      <c r="G2417" s="5">
        <v>372.5</v>
      </c>
      <c r="H2417" s="5">
        <f t="shared" si="64"/>
        <v>0.27677447280000012</v>
      </c>
      <c r="I2417" s="20">
        <f t="shared" si="65"/>
        <v>103.09849111800004</v>
      </c>
      <c r="J2417" s="6" t="s">
        <v>357</v>
      </c>
    </row>
    <row r="2418" spans="1:10" hidden="1">
      <c r="A2418" s="9">
        <v>46106</v>
      </c>
      <c r="B2418" s="6" t="s">
        <v>3664</v>
      </c>
      <c r="C2418" s="5" t="s">
        <v>3663</v>
      </c>
      <c r="D2418" s="8" t="s">
        <v>306</v>
      </c>
      <c r="E2418" s="6" t="s">
        <v>1024</v>
      </c>
      <c r="F2418" s="6" t="s">
        <v>3567</v>
      </c>
      <c r="G2418" s="5">
        <v>507.5</v>
      </c>
      <c r="H2418" s="5">
        <f t="shared" si="64"/>
        <v>0.27677447280000012</v>
      </c>
      <c r="I2418" s="20">
        <f t="shared" si="65"/>
        <v>140.46304494600005</v>
      </c>
      <c r="J2418" s="6" t="s">
        <v>357</v>
      </c>
    </row>
    <row r="2419" spans="1:10" hidden="1">
      <c r="A2419" s="9">
        <v>46106</v>
      </c>
      <c r="B2419" s="6" t="s">
        <v>3666</v>
      </c>
      <c r="C2419" s="5" t="s">
        <v>3665</v>
      </c>
      <c r="D2419" s="8" t="s">
        <v>306</v>
      </c>
      <c r="E2419" s="6" t="s">
        <v>1024</v>
      </c>
      <c r="F2419" s="6" t="s">
        <v>3567</v>
      </c>
      <c r="G2419" s="5">
        <v>497.5</v>
      </c>
      <c r="H2419" s="5">
        <f t="shared" si="64"/>
        <v>0.27677447280000012</v>
      </c>
      <c r="I2419" s="20">
        <f t="shared" si="65"/>
        <v>137.69530021800006</v>
      </c>
      <c r="J2419" s="6" t="s">
        <v>357</v>
      </c>
    </row>
    <row r="2420" spans="1:10" hidden="1">
      <c r="A2420" s="9">
        <v>46106</v>
      </c>
      <c r="B2420" s="6" t="s">
        <v>3668</v>
      </c>
      <c r="C2420" s="5" t="s">
        <v>3667</v>
      </c>
      <c r="D2420" s="8" t="s">
        <v>306</v>
      </c>
      <c r="E2420" s="6" t="s">
        <v>1024</v>
      </c>
      <c r="F2420" s="6" t="s">
        <v>3567</v>
      </c>
      <c r="G2420" s="5">
        <v>1153.7</v>
      </c>
      <c r="H2420" s="5">
        <f t="shared" si="64"/>
        <v>0.27677447280000012</v>
      </c>
      <c r="I2420" s="20">
        <f t="shared" si="65"/>
        <v>319.31470926936015</v>
      </c>
      <c r="J2420" s="6" t="s">
        <v>357</v>
      </c>
    </row>
    <row r="2421" spans="1:10" hidden="1">
      <c r="A2421" s="9">
        <v>46106</v>
      </c>
      <c r="B2421" s="6" t="s">
        <v>3670</v>
      </c>
      <c r="C2421" s="5" t="s">
        <v>3669</v>
      </c>
      <c r="D2421" s="8" t="s">
        <v>306</v>
      </c>
      <c r="E2421" s="6" t="s">
        <v>1024</v>
      </c>
      <c r="F2421" s="6" t="s">
        <v>3567</v>
      </c>
      <c r="G2421" s="5">
        <v>914.7</v>
      </c>
      <c r="H2421" s="5">
        <f t="shared" si="64"/>
        <v>0.27677447280000012</v>
      </c>
      <c r="I2421" s="20">
        <f t="shared" si="65"/>
        <v>253.16561027016013</v>
      </c>
      <c r="J2421" s="6" t="s">
        <v>357</v>
      </c>
    </row>
    <row r="2422" spans="1:10" hidden="1">
      <c r="A2422" s="9">
        <v>46106</v>
      </c>
      <c r="B2422" s="6" t="s">
        <v>3672</v>
      </c>
      <c r="C2422" s="5" t="s">
        <v>3671</v>
      </c>
      <c r="D2422" s="8" t="s">
        <v>306</v>
      </c>
      <c r="E2422" s="6" t="s">
        <v>1024</v>
      </c>
      <c r="F2422" s="6" t="s">
        <v>3567</v>
      </c>
      <c r="G2422" s="5">
        <v>923.2</v>
      </c>
      <c r="H2422" s="5">
        <f t="shared" si="64"/>
        <v>0.27677447280000012</v>
      </c>
      <c r="I2422" s="20">
        <f t="shared" si="65"/>
        <v>255.51819328896011</v>
      </c>
      <c r="J2422" s="6" t="s">
        <v>357</v>
      </c>
    </row>
    <row r="2423" spans="1:10" hidden="1">
      <c r="A2423" s="9">
        <v>46106</v>
      </c>
      <c r="B2423" s="6" t="s">
        <v>3674</v>
      </c>
      <c r="C2423" s="5" t="s">
        <v>3673</v>
      </c>
      <c r="D2423" s="8" t="s">
        <v>306</v>
      </c>
      <c r="E2423" s="6" t="s">
        <v>1024</v>
      </c>
      <c r="F2423" s="6" t="s">
        <v>3567</v>
      </c>
      <c r="G2423" s="5">
        <v>923.2</v>
      </c>
      <c r="H2423" s="5">
        <f t="shared" si="64"/>
        <v>0.27677447280000012</v>
      </c>
      <c r="I2423" s="20">
        <f t="shared" si="65"/>
        <v>255.51819328896011</v>
      </c>
      <c r="J2423" s="6" t="s">
        <v>357</v>
      </c>
    </row>
    <row r="2424" spans="1:10" hidden="1">
      <c r="A2424" s="9">
        <v>46106</v>
      </c>
      <c r="B2424" s="6" t="s">
        <v>3676</v>
      </c>
      <c r="C2424" s="5" t="s">
        <v>3675</v>
      </c>
      <c r="D2424" s="8" t="s">
        <v>306</v>
      </c>
      <c r="E2424" s="6" t="s">
        <v>1024</v>
      </c>
      <c r="F2424" s="6" t="s">
        <v>3567</v>
      </c>
      <c r="G2424" s="5">
        <v>570.29999999999995</v>
      </c>
      <c r="H2424" s="5">
        <f t="shared" si="64"/>
        <v>0.27677447280000012</v>
      </c>
      <c r="I2424" s="20">
        <f t="shared" si="65"/>
        <v>157.84448183784005</v>
      </c>
      <c r="J2424" s="6" t="s">
        <v>357</v>
      </c>
    </row>
    <row r="2425" spans="1:10" hidden="1">
      <c r="A2425" s="9">
        <v>46106</v>
      </c>
      <c r="B2425" s="6" t="s">
        <v>3678</v>
      </c>
      <c r="C2425" s="5" t="s">
        <v>3677</v>
      </c>
      <c r="D2425" s="8" t="s">
        <v>306</v>
      </c>
      <c r="E2425" s="6" t="s">
        <v>1024</v>
      </c>
      <c r="F2425" s="6" t="s">
        <v>3567</v>
      </c>
      <c r="G2425" s="5">
        <v>584</v>
      </c>
      <c r="H2425" s="5">
        <f t="shared" si="64"/>
        <v>0.27677447280000012</v>
      </c>
      <c r="I2425" s="20">
        <f t="shared" si="65"/>
        <v>161.63629211520006</v>
      </c>
      <c r="J2425" s="6" t="s">
        <v>357</v>
      </c>
    </row>
    <row r="2426" spans="1:10" hidden="1">
      <c r="A2426" s="9">
        <v>46106</v>
      </c>
      <c r="B2426" s="6" t="s">
        <v>3680</v>
      </c>
      <c r="C2426" s="5" t="s">
        <v>3679</v>
      </c>
      <c r="D2426" s="8" t="s">
        <v>306</v>
      </c>
      <c r="E2426" s="6" t="s">
        <v>1024</v>
      </c>
      <c r="F2426" s="6" t="s">
        <v>3567</v>
      </c>
      <c r="G2426" s="5">
        <v>568.20000000000005</v>
      </c>
      <c r="H2426" s="5">
        <f t="shared" si="64"/>
        <v>0.27677447280000012</v>
      </c>
      <c r="I2426" s="20">
        <f t="shared" si="65"/>
        <v>157.26325544496007</v>
      </c>
      <c r="J2426" s="6" t="s">
        <v>357</v>
      </c>
    </row>
    <row r="2427" spans="1:10" hidden="1">
      <c r="A2427" s="9">
        <v>46106</v>
      </c>
      <c r="B2427" s="6" t="s">
        <v>3682</v>
      </c>
      <c r="C2427" s="5" t="s">
        <v>3681</v>
      </c>
      <c r="D2427" s="8" t="s">
        <v>306</v>
      </c>
      <c r="E2427" s="6" t="s">
        <v>1024</v>
      </c>
      <c r="F2427" s="6" t="s">
        <v>3567</v>
      </c>
      <c r="G2427" s="5">
        <v>578.20000000000005</v>
      </c>
      <c r="H2427" s="5">
        <f t="shared" si="64"/>
        <v>0.27677447280000012</v>
      </c>
      <c r="I2427" s="20">
        <f t="shared" si="65"/>
        <v>160.03100017296009</v>
      </c>
      <c r="J2427" s="6" t="s">
        <v>357</v>
      </c>
    </row>
    <row r="2428" spans="1:10" hidden="1">
      <c r="A2428" s="9">
        <v>46106</v>
      </c>
      <c r="B2428" s="6" t="s">
        <v>3684</v>
      </c>
      <c r="C2428" s="5" t="s">
        <v>3683</v>
      </c>
      <c r="D2428" s="8" t="s">
        <v>306</v>
      </c>
      <c r="E2428" s="6" t="s">
        <v>1024</v>
      </c>
      <c r="F2428" s="6" t="s">
        <v>3567</v>
      </c>
      <c r="G2428" s="5">
        <v>584</v>
      </c>
      <c r="H2428" s="5">
        <f t="shared" si="64"/>
        <v>0.27677447280000012</v>
      </c>
      <c r="I2428" s="20">
        <f t="shared" si="65"/>
        <v>161.63629211520006</v>
      </c>
      <c r="J2428" s="6" t="s">
        <v>357</v>
      </c>
    </row>
    <row r="2429" spans="1:10" hidden="1">
      <c r="A2429" s="9">
        <v>46106</v>
      </c>
      <c r="B2429" s="6" t="s">
        <v>3686</v>
      </c>
      <c r="C2429" s="5" t="s">
        <v>3685</v>
      </c>
      <c r="D2429" s="8" t="s">
        <v>306</v>
      </c>
      <c r="E2429" s="6" t="s">
        <v>1024</v>
      </c>
      <c r="F2429" s="6" t="s">
        <v>3567</v>
      </c>
      <c r="G2429" s="5">
        <v>684.7</v>
      </c>
      <c r="H2429" s="5">
        <f t="shared" si="64"/>
        <v>0.27677447280000012</v>
      </c>
      <c r="I2429" s="20">
        <f t="shared" si="65"/>
        <v>189.50748152616009</v>
      </c>
      <c r="J2429" s="6" t="s">
        <v>357</v>
      </c>
    </row>
    <row r="2430" spans="1:10" hidden="1">
      <c r="A2430" s="9">
        <v>46106</v>
      </c>
      <c r="B2430" s="6" t="s">
        <v>3688</v>
      </c>
      <c r="C2430" s="5" t="s">
        <v>3687</v>
      </c>
      <c r="D2430" s="8" t="s">
        <v>306</v>
      </c>
      <c r="E2430" s="6" t="s">
        <v>1024</v>
      </c>
      <c r="F2430" s="6" t="s">
        <v>3567</v>
      </c>
      <c r="G2430" s="5">
        <v>886.8</v>
      </c>
      <c r="H2430" s="5">
        <f t="shared" si="64"/>
        <v>0.27677447280000012</v>
      </c>
      <c r="I2430" s="20">
        <f t="shared" si="65"/>
        <v>245.44360247904009</v>
      </c>
      <c r="J2430" s="6" t="s">
        <v>357</v>
      </c>
    </row>
    <row r="2431" spans="1:10" hidden="1">
      <c r="A2431" s="9">
        <v>46106</v>
      </c>
      <c r="B2431" s="6" t="s">
        <v>3690</v>
      </c>
      <c r="C2431" s="5" t="s">
        <v>3689</v>
      </c>
      <c r="D2431" s="8" t="s">
        <v>306</v>
      </c>
      <c r="E2431" s="6" t="s">
        <v>1024</v>
      </c>
      <c r="F2431" s="6" t="s">
        <v>3567</v>
      </c>
      <c r="G2431" s="5">
        <v>1182.2</v>
      </c>
      <c r="H2431" s="5">
        <f t="shared" si="64"/>
        <v>0.27677447280000012</v>
      </c>
      <c r="I2431" s="20">
        <f t="shared" si="65"/>
        <v>327.20278174416018</v>
      </c>
      <c r="J2431" s="6" t="s">
        <v>357</v>
      </c>
    </row>
    <row r="2432" spans="1:10" hidden="1">
      <c r="A2432" s="9">
        <v>46106</v>
      </c>
      <c r="B2432" s="6" t="s">
        <v>3692</v>
      </c>
      <c r="C2432" s="5" t="s">
        <v>3691</v>
      </c>
      <c r="D2432" s="8" t="s">
        <v>306</v>
      </c>
      <c r="E2432" s="6" t="s">
        <v>1024</v>
      </c>
      <c r="F2432" s="6" t="s">
        <v>3567</v>
      </c>
      <c r="G2432" s="5">
        <v>1182.2</v>
      </c>
      <c r="H2432" s="5">
        <f t="shared" si="64"/>
        <v>0.27677447280000012</v>
      </c>
      <c r="I2432" s="20">
        <f t="shared" si="65"/>
        <v>327.20278174416018</v>
      </c>
      <c r="J2432" s="6" t="s">
        <v>357</v>
      </c>
    </row>
    <row r="2433" spans="1:10" hidden="1">
      <c r="A2433" s="9">
        <v>46106</v>
      </c>
      <c r="B2433" s="6" t="s">
        <v>3694</v>
      </c>
      <c r="C2433" s="5" t="s">
        <v>3693</v>
      </c>
      <c r="D2433" s="8" t="s">
        <v>306</v>
      </c>
      <c r="E2433" s="6" t="s">
        <v>1024</v>
      </c>
      <c r="F2433" s="6" t="s">
        <v>3567</v>
      </c>
      <c r="G2433" s="5">
        <v>315.5</v>
      </c>
      <c r="H2433" s="5">
        <f t="shared" si="64"/>
        <v>0.27677447280000012</v>
      </c>
      <c r="I2433" s="20">
        <f t="shared" si="65"/>
        <v>87.322346168400031</v>
      </c>
      <c r="J2433" s="6" t="s">
        <v>357</v>
      </c>
    </row>
    <row r="2434" spans="1:10" hidden="1">
      <c r="A2434" s="9">
        <v>46106</v>
      </c>
      <c r="B2434" s="6" t="s">
        <v>3696</v>
      </c>
      <c r="C2434" s="5" t="s">
        <v>3695</v>
      </c>
      <c r="D2434" s="8" t="s">
        <v>306</v>
      </c>
      <c r="E2434" s="6" t="s">
        <v>1024</v>
      </c>
      <c r="F2434" s="6" t="s">
        <v>3567</v>
      </c>
      <c r="G2434" s="5">
        <v>248</v>
      </c>
      <c r="H2434" s="5">
        <f t="shared" si="64"/>
        <v>0.27677447280000012</v>
      </c>
      <c r="I2434" s="20">
        <f t="shared" si="65"/>
        <v>68.640069254400032</v>
      </c>
      <c r="J2434" s="6" t="s">
        <v>357</v>
      </c>
    </row>
    <row r="2435" spans="1:10" hidden="1">
      <c r="A2435" s="9">
        <v>46106</v>
      </c>
      <c r="B2435" s="6" t="s">
        <v>3698</v>
      </c>
      <c r="C2435" s="5" t="s">
        <v>3697</v>
      </c>
      <c r="D2435" s="8" t="s">
        <v>306</v>
      </c>
      <c r="E2435" s="6" t="s">
        <v>1024</v>
      </c>
      <c r="F2435" s="6" t="s">
        <v>3567</v>
      </c>
      <c r="G2435" s="5">
        <v>248</v>
      </c>
      <c r="H2435" s="5">
        <f t="shared" si="64"/>
        <v>0.27677447280000012</v>
      </c>
      <c r="I2435" s="20">
        <f t="shared" si="65"/>
        <v>68.640069254400032</v>
      </c>
      <c r="J2435" s="6" t="s">
        <v>357</v>
      </c>
    </row>
    <row r="2436" spans="1:10" hidden="1">
      <c r="A2436" s="9">
        <v>46106</v>
      </c>
      <c r="B2436" s="6" t="s">
        <v>3700</v>
      </c>
      <c r="C2436" s="5" t="s">
        <v>3699</v>
      </c>
      <c r="D2436" s="8" t="s">
        <v>306</v>
      </c>
      <c r="E2436" s="6" t="s">
        <v>1024</v>
      </c>
      <c r="F2436" s="6" t="s">
        <v>3567</v>
      </c>
      <c r="G2436" s="5">
        <v>229</v>
      </c>
      <c r="H2436" s="5">
        <f t="shared" si="64"/>
        <v>0.27677447280000012</v>
      </c>
      <c r="I2436" s="20">
        <f t="shared" si="65"/>
        <v>63.381354271200024</v>
      </c>
      <c r="J2436" s="6" t="s">
        <v>357</v>
      </c>
    </row>
    <row r="2437" spans="1:10" hidden="1">
      <c r="A2437" s="9">
        <v>46106</v>
      </c>
      <c r="B2437" s="6" t="s">
        <v>3702</v>
      </c>
      <c r="C2437" s="5" t="s">
        <v>3701</v>
      </c>
      <c r="D2437" s="8" t="s">
        <v>306</v>
      </c>
      <c r="E2437" s="6" t="s">
        <v>1024</v>
      </c>
      <c r="F2437" s="6" t="s">
        <v>3567</v>
      </c>
      <c r="G2437" s="5">
        <v>206.3</v>
      </c>
      <c r="H2437" s="5">
        <f t="shared" si="64"/>
        <v>0.27677447280000012</v>
      </c>
      <c r="I2437" s="20">
        <f t="shared" si="65"/>
        <v>57.098573738640027</v>
      </c>
      <c r="J2437" s="6" t="s">
        <v>357</v>
      </c>
    </row>
    <row r="2438" spans="1:10" hidden="1">
      <c r="A2438" s="9">
        <v>46106</v>
      </c>
      <c r="B2438" s="6" t="s">
        <v>3704</v>
      </c>
      <c r="C2438" s="5" t="s">
        <v>3703</v>
      </c>
      <c r="D2438" s="8" t="s">
        <v>306</v>
      </c>
      <c r="E2438" s="6" t="s">
        <v>1024</v>
      </c>
      <c r="F2438" s="6" t="s">
        <v>3567</v>
      </c>
      <c r="G2438" s="5">
        <v>206.3</v>
      </c>
      <c r="H2438" s="5">
        <f t="shared" si="64"/>
        <v>0.27677447280000012</v>
      </c>
      <c r="I2438" s="20">
        <f t="shared" si="65"/>
        <v>57.098573738640027</v>
      </c>
      <c r="J2438" s="6" t="s">
        <v>357</v>
      </c>
    </row>
    <row r="2439" spans="1:10" hidden="1">
      <c r="A2439" s="9">
        <v>46106</v>
      </c>
      <c r="B2439" s="6" t="s">
        <v>3706</v>
      </c>
      <c r="C2439" s="5" t="s">
        <v>3705</v>
      </c>
      <c r="D2439" s="8" t="s">
        <v>306</v>
      </c>
      <c r="E2439" s="6" t="s">
        <v>1024</v>
      </c>
      <c r="F2439" s="6" t="s">
        <v>3567</v>
      </c>
      <c r="G2439" s="5">
        <v>204.7</v>
      </c>
      <c r="H2439" s="5">
        <f t="shared" si="64"/>
        <v>0.27677447280000012</v>
      </c>
      <c r="I2439" s="20">
        <f t="shared" si="65"/>
        <v>56.655734582160022</v>
      </c>
      <c r="J2439" s="6" t="s">
        <v>357</v>
      </c>
    </row>
    <row r="2440" spans="1:10" hidden="1">
      <c r="A2440" s="9">
        <v>46106</v>
      </c>
      <c r="B2440" s="6" t="s">
        <v>3708</v>
      </c>
      <c r="C2440" s="5" t="s">
        <v>3707</v>
      </c>
      <c r="D2440" s="8" t="s">
        <v>306</v>
      </c>
      <c r="E2440" s="6" t="s">
        <v>1024</v>
      </c>
      <c r="F2440" s="6" t="s">
        <v>3567</v>
      </c>
      <c r="G2440" s="5">
        <v>206.3</v>
      </c>
      <c r="H2440" s="5">
        <f t="shared" si="64"/>
        <v>0.27677447280000012</v>
      </c>
      <c r="I2440" s="20">
        <f t="shared" si="65"/>
        <v>57.098573738640027</v>
      </c>
      <c r="J2440" s="6" t="s">
        <v>357</v>
      </c>
    </row>
    <row r="2441" spans="1:10" hidden="1">
      <c r="A2441" s="9">
        <v>46106</v>
      </c>
      <c r="B2441" s="6" t="s">
        <v>3710</v>
      </c>
      <c r="C2441" s="5" t="s">
        <v>3709</v>
      </c>
      <c r="D2441" s="8" t="s">
        <v>306</v>
      </c>
      <c r="E2441" s="6" t="s">
        <v>1024</v>
      </c>
      <c r="F2441" s="6" t="s">
        <v>3567</v>
      </c>
      <c r="G2441" s="5">
        <v>207.9</v>
      </c>
      <c r="H2441" s="5">
        <f t="shared" si="64"/>
        <v>0.27677447280000012</v>
      </c>
      <c r="I2441" s="20">
        <f t="shared" si="65"/>
        <v>57.541412895120025</v>
      </c>
      <c r="J2441" s="6" t="s">
        <v>357</v>
      </c>
    </row>
    <row r="2442" spans="1:10" hidden="1">
      <c r="A2442" s="9">
        <v>46106</v>
      </c>
      <c r="B2442" s="6" t="s">
        <v>3712</v>
      </c>
      <c r="C2442" s="5" t="s">
        <v>3711</v>
      </c>
      <c r="D2442" s="8" t="s">
        <v>306</v>
      </c>
      <c r="E2442" s="6" t="s">
        <v>1024</v>
      </c>
      <c r="F2442" s="6" t="s">
        <v>3567</v>
      </c>
      <c r="G2442" s="5">
        <v>206.3</v>
      </c>
      <c r="H2442" s="5">
        <f t="shared" si="64"/>
        <v>0.27677447280000012</v>
      </c>
      <c r="I2442" s="20">
        <f t="shared" si="65"/>
        <v>57.098573738640027</v>
      </c>
      <c r="J2442" s="6" t="s">
        <v>357</v>
      </c>
    </row>
    <row r="2443" spans="1:10" hidden="1">
      <c r="A2443" s="9">
        <v>46106</v>
      </c>
      <c r="B2443" s="6" t="s">
        <v>3714</v>
      </c>
      <c r="C2443" s="5" t="s">
        <v>3713</v>
      </c>
      <c r="D2443" s="8" t="s">
        <v>306</v>
      </c>
      <c r="E2443" s="6" t="s">
        <v>1024</v>
      </c>
      <c r="F2443" s="6" t="s">
        <v>3567</v>
      </c>
      <c r="G2443" s="5">
        <v>206.3</v>
      </c>
      <c r="H2443" s="5">
        <f t="shared" si="64"/>
        <v>0.27677447280000012</v>
      </c>
      <c r="I2443" s="20">
        <f t="shared" si="65"/>
        <v>57.098573738640027</v>
      </c>
      <c r="J2443" s="6" t="s">
        <v>357</v>
      </c>
    </row>
    <row r="2444" spans="1:10" hidden="1">
      <c r="A2444" s="9">
        <v>46106</v>
      </c>
      <c r="B2444" s="6" t="s">
        <v>3716</v>
      </c>
      <c r="C2444" s="5" t="s">
        <v>3715</v>
      </c>
      <c r="D2444" s="8" t="s">
        <v>306</v>
      </c>
      <c r="E2444" s="6" t="s">
        <v>1024</v>
      </c>
      <c r="F2444" s="6" t="s">
        <v>3567</v>
      </c>
      <c r="G2444" s="5">
        <v>309.7</v>
      </c>
      <c r="H2444" s="5">
        <f t="shared" si="64"/>
        <v>0.27677447280000012</v>
      </c>
      <c r="I2444" s="20">
        <f t="shared" si="65"/>
        <v>85.71705422616003</v>
      </c>
      <c r="J2444" s="6" t="s">
        <v>357</v>
      </c>
    </row>
    <row r="2445" spans="1:10" hidden="1">
      <c r="A2445" s="9">
        <v>46106</v>
      </c>
      <c r="B2445" s="6" t="s">
        <v>3718</v>
      </c>
      <c r="C2445" s="5" t="s">
        <v>3717</v>
      </c>
      <c r="D2445" s="8" t="s">
        <v>306</v>
      </c>
      <c r="E2445" s="6" t="s">
        <v>1024</v>
      </c>
      <c r="F2445" s="6" t="s">
        <v>3567</v>
      </c>
      <c r="G2445" s="5">
        <v>369.3</v>
      </c>
      <c r="H2445" s="5">
        <f t="shared" si="64"/>
        <v>0.27677447280000012</v>
      </c>
      <c r="I2445" s="20">
        <f t="shared" si="65"/>
        <v>102.21281280504004</v>
      </c>
      <c r="J2445" s="6" t="s">
        <v>357</v>
      </c>
    </row>
    <row r="2446" spans="1:10" hidden="1">
      <c r="A2446" s="9">
        <v>46106</v>
      </c>
      <c r="B2446" s="6" t="s">
        <v>3720</v>
      </c>
      <c r="C2446" s="5" t="s">
        <v>3719</v>
      </c>
      <c r="D2446" s="8" t="s">
        <v>306</v>
      </c>
      <c r="E2446" s="6" t="s">
        <v>1024</v>
      </c>
      <c r="F2446" s="6" t="s">
        <v>3567</v>
      </c>
      <c r="G2446" s="5">
        <v>586.1</v>
      </c>
      <c r="H2446" s="5">
        <f t="shared" si="64"/>
        <v>0.27677447280000012</v>
      </c>
      <c r="I2446" s="20">
        <f t="shared" si="65"/>
        <v>162.21751850808008</v>
      </c>
      <c r="J2446" s="6" t="s">
        <v>357</v>
      </c>
    </row>
    <row r="2447" spans="1:10" hidden="1">
      <c r="A2447" s="9">
        <v>46106</v>
      </c>
      <c r="B2447" s="6" t="s">
        <v>3722</v>
      </c>
      <c r="C2447" s="5" t="s">
        <v>3721</v>
      </c>
      <c r="D2447" s="8" t="s">
        <v>306</v>
      </c>
      <c r="E2447" s="6" t="s">
        <v>1024</v>
      </c>
      <c r="F2447" s="6" t="s">
        <v>3567</v>
      </c>
      <c r="G2447" s="5">
        <v>586.1</v>
      </c>
      <c r="H2447" s="5">
        <f t="shared" si="64"/>
        <v>0.27677447280000012</v>
      </c>
      <c r="I2447" s="20">
        <f t="shared" si="65"/>
        <v>162.21751850808008</v>
      </c>
      <c r="J2447" s="6" t="s">
        <v>357</v>
      </c>
    </row>
    <row r="2448" spans="1:10" hidden="1">
      <c r="A2448" s="9">
        <v>46106</v>
      </c>
      <c r="B2448" s="6" t="s">
        <v>3724</v>
      </c>
      <c r="C2448" s="5" t="s">
        <v>3723</v>
      </c>
      <c r="D2448" s="8" t="s">
        <v>306</v>
      </c>
      <c r="E2448" s="6" t="s">
        <v>1024</v>
      </c>
      <c r="F2448" s="6" t="s">
        <v>3567</v>
      </c>
      <c r="G2448" s="5">
        <v>534.9</v>
      </c>
      <c r="H2448" s="5">
        <f t="shared" si="64"/>
        <v>0.27677447280000012</v>
      </c>
      <c r="I2448" s="20">
        <f t="shared" si="65"/>
        <v>148.04666550072005</v>
      </c>
      <c r="J2448" s="6" t="s">
        <v>357</v>
      </c>
    </row>
    <row r="2449" spans="1:10" hidden="1">
      <c r="A2449" s="9">
        <v>46106</v>
      </c>
      <c r="B2449" s="6" t="s">
        <v>3726</v>
      </c>
      <c r="C2449" s="5" t="s">
        <v>3725</v>
      </c>
      <c r="D2449" s="8" t="s">
        <v>306</v>
      </c>
      <c r="E2449" s="6" t="s">
        <v>1024</v>
      </c>
      <c r="F2449" s="6" t="s">
        <v>3567</v>
      </c>
      <c r="G2449" s="5">
        <v>534.9</v>
      </c>
      <c r="H2449" s="5">
        <f t="shared" si="64"/>
        <v>0.27677447280000012</v>
      </c>
      <c r="I2449" s="20">
        <f t="shared" si="65"/>
        <v>148.04666550072005</v>
      </c>
      <c r="J2449" s="6" t="s">
        <v>357</v>
      </c>
    </row>
    <row r="2450" spans="1:10" hidden="1">
      <c r="A2450" s="9">
        <v>46106</v>
      </c>
      <c r="B2450" s="6" t="s">
        <v>3728</v>
      </c>
      <c r="C2450" s="5" t="s">
        <v>3727</v>
      </c>
      <c r="D2450" s="8" t="s">
        <v>306</v>
      </c>
      <c r="E2450" s="6" t="s">
        <v>1024</v>
      </c>
      <c r="F2450" s="6" t="s">
        <v>3567</v>
      </c>
      <c r="G2450" s="5">
        <v>474.3</v>
      </c>
      <c r="H2450" s="5">
        <f t="shared" si="64"/>
        <v>0.27677447280000012</v>
      </c>
      <c r="I2450" s="20">
        <f t="shared" si="65"/>
        <v>131.27413244904005</v>
      </c>
      <c r="J2450" s="6" t="s">
        <v>357</v>
      </c>
    </row>
    <row r="2451" spans="1:10" hidden="1">
      <c r="A2451" s="9">
        <v>46106</v>
      </c>
      <c r="B2451" s="6" t="s">
        <v>3730</v>
      </c>
      <c r="C2451" s="5" t="s">
        <v>3729</v>
      </c>
      <c r="D2451" s="8" t="s">
        <v>306</v>
      </c>
      <c r="E2451" s="6" t="s">
        <v>1024</v>
      </c>
      <c r="F2451" s="6" t="s">
        <v>3567</v>
      </c>
      <c r="G2451" s="5">
        <v>440</v>
      </c>
      <c r="H2451" s="5">
        <f t="shared" si="64"/>
        <v>0.27677447280000012</v>
      </c>
      <c r="I2451" s="20">
        <f t="shared" si="65"/>
        <v>121.78076803200005</v>
      </c>
      <c r="J2451" s="6" t="s">
        <v>357</v>
      </c>
    </row>
    <row r="2452" spans="1:10" hidden="1">
      <c r="A2452" s="9">
        <v>46106</v>
      </c>
      <c r="B2452" s="6" t="s">
        <v>3732</v>
      </c>
      <c r="C2452" s="5" t="s">
        <v>3731</v>
      </c>
      <c r="D2452" s="8" t="s">
        <v>306</v>
      </c>
      <c r="E2452" s="6" t="s">
        <v>1024</v>
      </c>
      <c r="F2452" s="6" t="s">
        <v>3567</v>
      </c>
      <c r="G2452" s="5">
        <v>440</v>
      </c>
      <c r="H2452" s="5">
        <f t="shared" si="64"/>
        <v>0.27677447280000012</v>
      </c>
      <c r="I2452" s="20">
        <f t="shared" si="65"/>
        <v>121.78076803200005</v>
      </c>
      <c r="J2452" s="6" t="s">
        <v>357</v>
      </c>
    </row>
    <row r="2453" spans="1:10" hidden="1">
      <c r="A2453" s="9">
        <v>46106</v>
      </c>
      <c r="B2453" s="6" t="s">
        <v>3734</v>
      </c>
      <c r="C2453" s="5" t="s">
        <v>3733</v>
      </c>
      <c r="D2453" s="8" t="s">
        <v>306</v>
      </c>
      <c r="E2453" s="6" t="s">
        <v>1024</v>
      </c>
      <c r="F2453" s="6" t="s">
        <v>3567</v>
      </c>
      <c r="G2453" s="5">
        <v>444.2</v>
      </c>
      <c r="H2453" s="5">
        <f t="shared" si="64"/>
        <v>0.27677447280000012</v>
      </c>
      <c r="I2453" s="20">
        <f t="shared" si="65"/>
        <v>122.94322081776005</v>
      </c>
      <c r="J2453" s="6" t="s">
        <v>357</v>
      </c>
    </row>
    <row r="2454" spans="1:10" hidden="1">
      <c r="A2454" s="9">
        <v>46106</v>
      </c>
      <c r="B2454" s="6" t="s">
        <v>3736</v>
      </c>
      <c r="C2454" s="5" t="s">
        <v>3735</v>
      </c>
      <c r="D2454" s="8" t="s">
        <v>306</v>
      </c>
      <c r="E2454" s="6" t="s">
        <v>1024</v>
      </c>
      <c r="F2454" s="6" t="s">
        <v>3567</v>
      </c>
      <c r="G2454" s="5">
        <v>440</v>
      </c>
      <c r="H2454" s="5">
        <f t="shared" si="64"/>
        <v>0.27677447280000012</v>
      </c>
      <c r="I2454" s="20">
        <f t="shared" si="65"/>
        <v>121.78076803200005</v>
      </c>
      <c r="J2454" s="6" t="s">
        <v>357</v>
      </c>
    </row>
    <row r="2455" spans="1:10" hidden="1">
      <c r="A2455" s="9">
        <v>46106</v>
      </c>
      <c r="B2455" s="6" t="s">
        <v>3738</v>
      </c>
      <c r="C2455" s="5" t="s">
        <v>3737</v>
      </c>
      <c r="D2455" s="8" t="s">
        <v>306</v>
      </c>
      <c r="E2455" s="6" t="s">
        <v>1024</v>
      </c>
      <c r="F2455" s="6" t="s">
        <v>3567</v>
      </c>
      <c r="G2455" s="5">
        <v>478.5</v>
      </c>
      <c r="H2455" s="5">
        <f t="shared" si="64"/>
        <v>0.27677447280000012</v>
      </c>
      <c r="I2455" s="20">
        <f t="shared" si="65"/>
        <v>132.43658523480005</v>
      </c>
      <c r="J2455" s="6" t="s">
        <v>357</v>
      </c>
    </row>
    <row r="2456" spans="1:10" hidden="1">
      <c r="A2456" s="9">
        <v>46106</v>
      </c>
      <c r="B2456" s="6" t="s">
        <v>3740</v>
      </c>
      <c r="C2456" s="5" t="s">
        <v>3739</v>
      </c>
      <c r="D2456" s="8" t="s">
        <v>306</v>
      </c>
      <c r="E2456" s="6" t="s">
        <v>1024</v>
      </c>
      <c r="F2456" s="6" t="s">
        <v>3567</v>
      </c>
      <c r="G2456" s="5">
        <v>580.29999999999995</v>
      </c>
      <c r="H2456" s="5">
        <f t="shared" si="64"/>
        <v>0.27677447280000012</v>
      </c>
      <c r="I2456" s="20">
        <f t="shared" si="65"/>
        <v>160.61222656584005</v>
      </c>
      <c r="J2456" s="6" t="s">
        <v>357</v>
      </c>
    </row>
    <row r="2457" spans="1:10" hidden="1">
      <c r="A2457" s="9">
        <v>46106</v>
      </c>
      <c r="B2457" s="6" t="s">
        <v>3742</v>
      </c>
      <c r="C2457" s="5" t="s">
        <v>3741</v>
      </c>
      <c r="D2457" s="8" t="s">
        <v>306</v>
      </c>
      <c r="E2457" s="6" t="s">
        <v>1024</v>
      </c>
      <c r="F2457" s="6" t="s">
        <v>3567</v>
      </c>
      <c r="G2457" s="5">
        <v>652</v>
      </c>
      <c r="H2457" s="5">
        <f t="shared" si="64"/>
        <v>0.27677447280000012</v>
      </c>
      <c r="I2457" s="20">
        <f t="shared" si="65"/>
        <v>180.45695626560007</v>
      </c>
      <c r="J2457" s="6" t="s">
        <v>357</v>
      </c>
    </row>
    <row r="2458" spans="1:10" hidden="1">
      <c r="A2458" s="9">
        <v>46106</v>
      </c>
      <c r="B2458" s="6" t="s">
        <v>3744</v>
      </c>
      <c r="C2458" s="5" t="s">
        <v>3743</v>
      </c>
      <c r="D2458" s="8" t="s">
        <v>306</v>
      </c>
      <c r="E2458" s="6" t="s">
        <v>1024</v>
      </c>
      <c r="F2458" s="6" t="s">
        <v>3567</v>
      </c>
      <c r="G2458" s="5">
        <v>849.3</v>
      </c>
      <c r="H2458" s="5">
        <f t="shared" si="64"/>
        <v>0.27677447280000012</v>
      </c>
      <c r="I2458" s="20">
        <f t="shared" si="65"/>
        <v>235.06455974904009</v>
      </c>
      <c r="J2458" s="6" t="s">
        <v>357</v>
      </c>
    </row>
    <row r="2459" spans="1:10" hidden="1">
      <c r="A2459" s="9">
        <v>46106</v>
      </c>
      <c r="B2459" s="6" t="s">
        <v>3746</v>
      </c>
      <c r="C2459" s="5" t="s">
        <v>3745</v>
      </c>
      <c r="D2459" s="8" t="s">
        <v>306</v>
      </c>
      <c r="E2459" s="6" t="s">
        <v>1024</v>
      </c>
      <c r="F2459" s="6" t="s">
        <v>3567</v>
      </c>
      <c r="G2459" s="5">
        <v>904.7</v>
      </c>
      <c r="H2459" s="5">
        <f t="shared" si="64"/>
        <v>0.27677447280000012</v>
      </c>
      <c r="I2459" s="20">
        <f t="shared" si="65"/>
        <v>250.3978655421601</v>
      </c>
      <c r="J2459" s="6" t="s">
        <v>357</v>
      </c>
    </row>
    <row r="2460" spans="1:10" hidden="1">
      <c r="A2460" s="9">
        <v>46106</v>
      </c>
      <c r="B2460" s="6" t="s">
        <v>3748</v>
      </c>
      <c r="C2460" s="5" t="s">
        <v>3747</v>
      </c>
      <c r="D2460" s="8" t="s">
        <v>306</v>
      </c>
      <c r="E2460" s="6" t="s">
        <v>1024</v>
      </c>
      <c r="F2460" s="6" t="s">
        <v>3567</v>
      </c>
      <c r="G2460" s="5">
        <v>904.7</v>
      </c>
      <c r="H2460" s="5">
        <f t="shared" si="64"/>
        <v>0.27677447280000012</v>
      </c>
      <c r="I2460" s="20">
        <f t="shared" si="65"/>
        <v>250.3978655421601</v>
      </c>
      <c r="J2460" s="6" t="s">
        <v>357</v>
      </c>
    </row>
    <row r="2461" spans="1:10" hidden="1">
      <c r="A2461" s="9">
        <v>46106</v>
      </c>
      <c r="B2461" s="6" t="s">
        <v>3750</v>
      </c>
      <c r="C2461" s="5" t="s">
        <v>3749</v>
      </c>
      <c r="D2461" s="8" t="s">
        <v>306</v>
      </c>
      <c r="E2461" s="6" t="s">
        <v>1024</v>
      </c>
      <c r="F2461" s="6" t="s">
        <v>3567</v>
      </c>
      <c r="G2461" s="5">
        <v>896.3</v>
      </c>
      <c r="H2461" s="5">
        <f t="shared" si="64"/>
        <v>0.27677447280000012</v>
      </c>
      <c r="I2461" s="20">
        <f t="shared" si="65"/>
        <v>248.07295997064008</v>
      </c>
      <c r="J2461" s="6" t="s">
        <v>357</v>
      </c>
    </row>
    <row r="2462" spans="1:10" hidden="1">
      <c r="A2462" s="9">
        <v>46106</v>
      </c>
      <c r="B2462" s="6" t="s">
        <v>3752</v>
      </c>
      <c r="C2462" s="5" t="s">
        <v>3751</v>
      </c>
      <c r="D2462" s="8" t="s">
        <v>306</v>
      </c>
      <c r="E2462" s="6" t="s">
        <v>1024</v>
      </c>
      <c r="F2462" s="6" t="s">
        <v>3567</v>
      </c>
      <c r="G2462" s="5">
        <v>1319.9</v>
      </c>
      <c r="H2462" s="5">
        <f t="shared" si="64"/>
        <v>0.27677447280000012</v>
      </c>
      <c r="I2462" s="20">
        <f t="shared" si="65"/>
        <v>365.31462664872015</v>
      </c>
      <c r="J2462" s="6" t="s">
        <v>357</v>
      </c>
    </row>
    <row r="2463" spans="1:10" hidden="1">
      <c r="A2463" s="9">
        <v>46106</v>
      </c>
      <c r="B2463" s="6" t="s">
        <v>3754</v>
      </c>
      <c r="C2463" s="5" t="s">
        <v>3753</v>
      </c>
      <c r="D2463" s="8" t="s">
        <v>306</v>
      </c>
      <c r="E2463" s="6" t="s">
        <v>1024</v>
      </c>
      <c r="F2463" s="6" t="s">
        <v>3567</v>
      </c>
      <c r="G2463" s="5">
        <v>732.2</v>
      </c>
      <c r="H2463" s="5">
        <f t="shared" si="64"/>
        <v>0.27677447280000012</v>
      </c>
      <c r="I2463" s="20">
        <f t="shared" si="65"/>
        <v>202.6542689841601</v>
      </c>
      <c r="J2463" s="6" t="s">
        <v>357</v>
      </c>
    </row>
    <row r="2464" spans="1:10" hidden="1">
      <c r="A2464" s="9">
        <v>46106</v>
      </c>
      <c r="B2464" s="6" t="s">
        <v>3756</v>
      </c>
      <c r="C2464" s="5" t="s">
        <v>3755</v>
      </c>
      <c r="D2464" s="8" t="s">
        <v>306</v>
      </c>
      <c r="E2464" s="6" t="s">
        <v>1024</v>
      </c>
      <c r="F2464" s="6" t="s">
        <v>3567</v>
      </c>
      <c r="G2464" s="5">
        <v>725.9</v>
      </c>
      <c r="H2464" s="5">
        <f t="shared" si="64"/>
        <v>0.27677447280000012</v>
      </c>
      <c r="I2464" s="20">
        <f t="shared" si="65"/>
        <v>200.91058980552009</v>
      </c>
      <c r="J2464" s="6" t="s">
        <v>357</v>
      </c>
    </row>
    <row r="2465" spans="1:10" hidden="1">
      <c r="A2465" s="9">
        <v>46106</v>
      </c>
      <c r="B2465" s="6" t="s">
        <v>3758</v>
      </c>
      <c r="C2465" s="5" t="s">
        <v>3757</v>
      </c>
      <c r="D2465" s="8" t="s">
        <v>306</v>
      </c>
      <c r="E2465" s="6" t="s">
        <v>1024</v>
      </c>
      <c r="F2465" s="6" t="s">
        <v>3567</v>
      </c>
      <c r="G2465" s="5">
        <v>725.9</v>
      </c>
      <c r="H2465" s="5">
        <f t="shared" si="64"/>
        <v>0.27677447280000012</v>
      </c>
      <c r="I2465" s="20">
        <f t="shared" si="65"/>
        <v>200.91058980552009</v>
      </c>
      <c r="J2465" s="6" t="s">
        <v>357</v>
      </c>
    </row>
    <row r="2466" spans="1:10" hidden="1">
      <c r="A2466" s="9">
        <v>46106</v>
      </c>
      <c r="B2466" s="6" t="s">
        <v>3760</v>
      </c>
      <c r="C2466" s="5" t="s">
        <v>3759</v>
      </c>
      <c r="D2466" s="8" t="s">
        <v>306</v>
      </c>
      <c r="E2466" s="6" t="s">
        <v>1024</v>
      </c>
      <c r="F2466" s="6" t="s">
        <v>3567</v>
      </c>
      <c r="G2466" s="5">
        <v>732.2</v>
      </c>
      <c r="H2466" s="5">
        <f t="shared" si="64"/>
        <v>0.27677447280000012</v>
      </c>
      <c r="I2466" s="20">
        <f t="shared" si="65"/>
        <v>202.6542689841601</v>
      </c>
      <c r="J2466" s="6" t="s">
        <v>357</v>
      </c>
    </row>
    <row r="2467" spans="1:10" hidden="1">
      <c r="A2467" s="9">
        <v>46106</v>
      </c>
      <c r="B2467" s="6" t="s">
        <v>3762</v>
      </c>
      <c r="C2467" s="5" t="s">
        <v>3761</v>
      </c>
      <c r="D2467" s="8" t="s">
        <v>306</v>
      </c>
      <c r="E2467" s="6" t="s">
        <v>1024</v>
      </c>
      <c r="F2467" s="6" t="s">
        <v>3567</v>
      </c>
      <c r="G2467" s="5">
        <v>732.2</v>
      </c>
      <c r="H2467" s="5">
        <f t="shared" si="64"/>
        <v>0.27677447280000012</v>
      </c>
      <c r="I2467" s="20">
        <f t="shared" si="65"/>
        <v>202.6542689841601</v>
      </c>
      <c r="J2467" s="6" t="s">
        <v>357</v>
      </c>
    </row>
    <row r="2468" spans="1:10" hidden="1">
      <c r="A2468" s="9">
        <v>46106</v>
      </c>
      <c r="B2468" s="6" t="s">
        <v>3764</v>
      </c>
      <c r="C2468" s="5" t="s">
        <v>3763</v>
      </c>
      <c r="D2468" s="8" t="s">
        <v>306</v>
      </c>
      <c r="E2468" s="6" t="s">
        <v>1024</v>
      </c>
      <c r="F2468" s="6" t="s">
        <v>3567</v>
      </c>
      <c r="G2468" s="5">
        <v>732.2</v>
      </c>
      <c r="H2468" s="5">
        <f t="shared" si="64"/>
        <v>0.27677447280000012</v>
      </c>
      <c r="I2468" s="20">
        <f t="shared" si="65"/>
        <v>202.6542689841601</v>
      </c>
      <c r="J2468" s="6" t="s">
        <v>357</v>
      </c>
    </row>
    <row r="2469" spans="1:10" hidden="1">
      <c r="A2469" s="9">
        <v>46106</v>
      </c>
      <c r="B2469" s="6" t="s">
        <v>3766</v>
      </c>
      <c r="C2469" s="5" t="s">
        <v>3765</v>
      </c>
      <c r="D2469" s="8" t="s">
        <v>306</v>
      </c>
      <c r="E2469" s="6" t="s">
        <v>1024</v>
      </c>
      <c r="F2469" s="6" t="s">
        <v>3567</v>
      </c>
      <c r="G2469" s="5">
        <v>888.4</v>
      </c>
      <c r="H2469" s="5">
        <f t="shared" si="64"/>
        <v>0.27677447280000012</v>
      </c>
      <c r="I2469" s="20">
        <f t="shared" si="65"/>
        <v>245.8864416355201</v>
      </c>
      <c r="J2469" s="6" t="s">
        <v>357</v>
      </c>
    </row>
    <row r="2470" spans="1:10" hidden="1">
      <c r="A2470" s="9">
        <v>46106</v>
      </c>
      <c r="B2470" s="6" t="s">
        <v>3768</v>
      </c>
      <c r="C2470" s="5" t="s">
        <v>3767</v>
      </c>
      <c r="D2470" s="8" t="s">
        <v>306</v>
      </c>
      <c r="E2470" s="6" t="s">
        <v>1024</v>
      </c>
      <c r="F2470" s="6" t="s">
        <v>3567</v>
      </c>
      <c r="G2470" s="5">
        <v>1214.9000000000001</v>
      </c>
      <c r="H2470" s="5">
        <f t="shared" si="64"/>
        <v>0.27677447280000012</v>
      </c>
      <c r="I2470" s="20">
        <f t="shared" si="65"/>
        <v>336.25330700472017</v>
      </c>
      <c r="J2470" s="6" t="s">
        <v>357</v>
      </c>
    </row>
    <row r="2471" spans="1:10" hidden="1">
      <c r="A2471" s="9">
        <v>46106</v>
      </c>
      <c r="B2471" s="6" t="s">
        <v>3770</v>
      </c>
      <c r="C2471" s="5" t="s">
        <v>3769</v>
      </c>
      <c r="D2471" s="8" t="s">
        <v>306</v>
      </c>
      <c r="E2471" s="6" t="s">
        <v>1024</v>
      </c>
      <c r="F2471" s="6" t="s">
        <v>3567</v>
      </c>
      <c r="G2471" s="5">
        <v>1288.2</v>
      </c>
      <c r="H2471" s="5">
        <f t="shared" si="64"/>
        <v>0.27677447280000012</v>
      </c>
      <c r="I2471" s="20">
        <f t="shared" si="65"/>
        <v>356.54087586096017</v>
      </c>
      <c r="J2471" s="6" t="s">
        <v>357</v>
      </c>
    </row>
    <row r="2472" spans="1:10" hidden="1">
      <c r="A2472" s="9">
        <v>46106</v>
      </c>
      <c r="B2472" s="6" t="s">
        <v>3772</v>
      </c>
      <c r="C2472" s="5" t="s">
        <v>3771</v>
      </c>
      <c r="D2472" s="8" t="s">
        <v>306</v>
      </c>
      <c r="E2472" s="6" t="s">
        <v>1024</v>
      </c>
      <c r="F2472" s="6" t="s">
        <v>3567</v>
      </c>
      <c r="G2472" s="5">
        <v>1644.3</v>
      </c>
      <c r="H2472" s="5">
        <f t="shared" si="64"/>
        <v>0.27677447280000012</v>
      </c>
      <c r="I2472" s="20">
        <f t="shared" si="65"/>
        <v>455.10026562504015</v>
      </c>
      <c r="J2472" s="6" t="s">
        <v>357</v>
      </c>
    </row>
    <row r="2473" spans="1:10" hidden="1">
      <c r="A2473" s="9">
        <v>46106</v>
      </c>
      <c r="B2473" s="6" t="s">
        <v>3774</v>
      </c>
      <c r="C2473" s="5" t="s">
        <v>3773</v>
      </c>
      <c r="D2473" s="8" t="s">
        <v>306</v>
      </c>
      <c r="E2473" s="6" t="s">
        <v>1024</v>
      </c>
      <c r="F2473" s="6" t="s">
        <v>3567</v>
      </c>
      <c r="G2473" s="5">
        <v>1431.7</v>
      </c>
      <c r="H2473" s="5">
        <f t="shared" si="64"/>
        <v>0.27677447280000012</v>
      </c>
      <c r="I2473" s="20">
        <f t="shared" si="65"/>
        <v>396.2580127077602</v>
      </c>
      <c r="J2473" s="6" t="s">
        <v>357</v>
      </c>
    </row>
    <row r="2474" spans="1:10" hidden="1">
      <c r="A2474" s="9">
        <v>46106</v>
      </c>
      <c r="B2474" s="6" t="s">
        <v>3776</v>
      </c>
      <c r="C2474" s="5" t="s">
        <v>3775</v>
      </c>
      <c r="D2474" s="8" t="s">
        <v>306</v>
      </c>
      <c r="E2474" s="6" t="s">
        <v>1024</v>
      </c>
      <c r="F2474" s="6" t="s">
        <v>3567</v>
      </c>
      <c r="G2474" s="5">
        <v>1425.4</v>
      </c>
      <c r="H2474" s="5">
        <f t="shared" si="64"/>
        <v>0.27677447280000012</v>
      </c>
      <c r="I2474" s="20">
        <f t="shared" si="65"/>
        <v>394.51433352912017</v>
      </c>
      <c r="J2474" s="6" t="s">
        <v>357</v>
      </c>
    </row>
    <row r="2475" spans="1:10" hidden="1">
      <c r="A2475" s="9">
        <v>46106</v>
      </c>
      <c r="B2475" s="6" t="s">
        <v>3778</v>
      </c>
      <c r="C2475" s="5" t="s">
        <v>3777</v>
      </c>
      <c r="D2475" s="8" t="s">
        <v>306</v>
      </c>
      <c r="E2475" s="6" t="s">
        <v>1024</v>
      </c>
      <c r="F2475" s="6" t="s">
        <v>3567</v>
      </c>
      <c r="G2475" s="5">
        <v>1431.7</v>
      </c>
      <c r="H2475" s="5">
        <f t="shared" ref="H2475:H2538" si="66">0.9*0.8*0.7*0.93*(0.9*0.9*0.9*0.9*0.9)</f>
        <v>0.27677447280000012</v>
      </c>
      <c r="I2475" s="20">
        <f t="shared" si="65"/>
        <v>396.2580127077602</v>
      </c>
      <c r="J2475" s="6" t="s">
        <v>357</v>
      </c>
    </row>
    <row r="2476" spans="1:10" hidden="1">
      <c r="A2476" s="9">
        <v>46106</v>
      </c>
      <c r="B2476" s="6" t="s">
        <v>3780</v>
      </c>
      <c r="C2476" s="5" t="s">
        <v>3779</v>
      </c>
      <c r="D2476" s="8" t="s">
        <v>306</v>
      </c>
      <c r="E2476" s="6" t="s">
        <v>1024</v>
      </c>
      <c r="F2476" s="6" t="s">
        <v>3567</v>
      </c>
      <c r="G2476" s="5">
        <v>931.6</v>
      </c>
      <c r="H2476" s="5">
        <f t="shared" si="66"/>
        <v>0.27677447280000012</v>
      </c>
      <c r="I2476" s="20">
        <f t="shared" si="65"/>
        <v>257.8430988604801</v>
      </c>
      <c r="J2476" s="6" t="s">
        <v>357</v>
      </c>
    </row>
    <row r="2477" spans="1:10" hidden="1">
      <c r="A2477" s="9">
        <v>46106</v>
      </c>
      <c r="B2477" s="6" t="s">
        <v>3782</v>
      </c>
      <c r="C2477" s="5" t="s">
        <v>3781</v>
      </c>
      <c r="D2477" s="8" t="s">
        <v>306</v>
      </c>
      <c r="E2477" s="6" t="s">
        <v>1024</v>
      </c>
      <c r="F2477" s="6" t="s">
        <v>3567</v>
      </c>
      <c r="G2477" s="5">
        <v>923.2</v>
      </c>
      <c r="H2477" s="5">
        <f t="shared" si="66"/>
        <v>0.27677447280000012</v>
      </c>
      <c r="I2477" s="20">
        <f t="shared" si="65"/>
        <v>255.51819328896011</v>
      </c>
      <c r="J2477" s="6" t="s">
        <v>357</v>
      </c>
    </row>
    <row r="2478" spans="1:10" hidden="1">
      <c r="A2478" s="9">
        <v>46106</v>
      </c>
      <c r="B2478" s="6" t="s">
        <v>3784</v>
      </c>
      <c r="C2478" s="5" t="s">
        <v>3783</v>
      </c>
      <c r="D2478" s="8" t="s">
        <v>306</v>
      </c>
      <c r="E2478" s="6" t="s">
        <v>1024</v>
      </c>
      <c r="F2478" s="6" t="s">
        <v>3567</v>
      </c>
      <c r="G2478" s="5">
        <v>914.7</v>
      </c>
      <c r="H2478" s="5">
        <f t="shared" si="66"/>
        <v>0.27677447280000012</v>
      </c>
      <c r="I2478" s="20">
        <f t="shared" ref="I2478:I2541" si="67">H2478*G2478</f>
        <v>253.16561027016013</v>
      </c>
      <c r="J2478" s="6" t="s">
        <v>357</v>
      </c>
    </row>
    <row r="2479" spans="1:10" hidden="1">
      <c r="A2479" s="9">
        <v>46106</v>
      </c>
      <c r="B2479" s="6" t="s">
        <v>3786</v>
      </c>
      <c r="C2479" s="5" t="s">
        <v>3785</v>
      </c>
      <c r="D2479" s="8" t="s">
        <v>306</v>
      </c>
      <c r="E2479" s="6" t="s">
        <v>1024</v>
      </c>
      <c r="F2479" s="6" t="s">
        <v>3567</v>
      </c>
      <c r="G2479" s="5">
        <v>931.6</v>
      </c>
      <c r="H2479" s="5">
        <f t="shared" si="66"/>
        <v>0.27677447280000012</v>
      </c>
      <c r="I2479" s="20">
        <f t="shared" si="67"/>
        <v>257.8430988604801</v>
      </c>
      <c r="J2479" s="6" t="s">
        <v>357</v>
      </c>
    </row>
    <row r="2480" spans="1:10" hidden="1">
      <c r="A2480" s="9">
        <v>46106</v>
      </c>
      <c r="B2480" s="6" t="s">
        <v>3788</v>
      </c>
      <c r="C2480" s="5" t="s">
        <v>3787</v>
      </c>
      <c r="D2480" s="8" t="s">
        <v>306</v>
      </c>
      <c r="E2480" s="6" t="s">
        <v>1024</v>
      </c>
      <c r="F2480" s="6" t="s">
        <v>3567</v>
      </c>
      <c r="G2480" s="5">
        <v>1004.9</v>
      </c>
      <c r="H2480" s="5">
        <f t="shared" si="66"/>
        <v>0.27677447280000012</v>
      </c>
      <c r="I2480" s="20">
        <f t="shared" si="67"/>
        <v>278.1306677167201</v>
      </c>
      <c r="J2480" s="6" t="s">
        <v>357</v>
      </c>
    </row>
    <row r="2481" spans="1:10" hidden="1">
      <c r="A2481" s="9">
        <v>46106</v>
      </c>
      <c r="B2481" s="6" t="s">
        <v>3790</v>
      </c>
      <c r="C2481" s="5" t="s">
        <v>3789</v>
      </c>
      <c r="D2481" s="8" t="s">
        <v>306</v>
      </c>
      <c r="E2481" s="6" t="s">
        <v>1024</v>
      </c>
      <c r="F2481" s="6" t="s">
        <v>3567</v>
      </c>
      <c r="G2481" s="5">
        <v>1004.9</v>
      </c>
      <c r="H2481" s="5">
        <f t="shared" si="66"/>
        <v>0.27677447280000012</v>
      </c>
      <c r="I2481" s="20">
        <f t="shared" si="67"/>
        <v>278.1306677167201</v>
      </c>
      <c r="J2481" s="6" t="s">
        <v>357</v>
      </c>
    </row>
    <row r="2482" spans="1:10" hidden="1">
      <c r="A2482" s="9">
        <v>46106</v>
      </c>
      <c r="B2482" s="6" t="s">
        <v>3792</v>
      </c>
      <c r="C2482" s="5" t="s">
        <v>3791</v>
      </c>
      <c r="D2482" s="8" t="s">
        <v>306</v>
      </c>
      <c r="E2482" s="6" t="s">
        <v>1024</v>
      </c>
      <c r="F2482" s="6" t="s">
        <v>3567</v>
      </c>
      <c r="G2482" s="5">
        <v>1213.3</v>
      </c>
      <c r="H2482" s="5">
        <f t="shared" si="66"/>
        <v>0.27677447280000012</v>
      </c>
      <c r="I2482" s="20">
        <f t="shared" si="67"/>
        <v>335.81046784824014</v>
      </c>
      <c r="J2482" s="6" t="s">
        <v>357</v>
      </c>
    </row>
    <row r="2483" spans="1:10" hidden="1">
      <c r="A2483" s="9">
        <v>46106</v>
      </c>
      <c r="B2483" s="6" t="s">
        <v>3794</v>
      </c>
      <c r="C2483" s="5" t="s">
        <v>3793</v>
      </c>
      <c r="D2483" s="8" t="s">
        <v>306</v>
      </c>
      <c r="E2483" s="6" t="s">
        <v>1024</v>
      </c>
      <c r="F2483" s="6" t="s">
        <v>3567</v>
      </c>
      <c r="G2483" s="5">
        <v>2107.4</v>
      </c>
      <c r="H2483" s="5">
        <f t="shared" si="66"/>
        <v>0.27677447280000012</v>
      </c>
      <c r="I2483" s="20">
        <f t="shared" si="67"/>
        <v>583.27452397872025</v>
      </c>
      <c r="J2483" s="6" t="s">
        <v>357</v>
      </c>
    </row>
    <row r="2484" spans="1:10" hidden="1">
      <c r="A2484" s="9">
        <v>46106</v>
      </c>
      <c r="B2484" s="6" t="s">
        <v>3796</v>
      </c>
      <c r="C2484" s="5" t="s">
        <v>3795</v>
      </c>
      <c r="D2484" s="8" t="s">
        <v>306</v>
      </c>
      <c r="E2484" s="6" t="s">
        <v>1024</v>
      </c>
      <c r="F2484" s="6" t="s">
        <v>3567</v>
      </c>
      <c r="G2484" s="5">
        <v>1758.7</v>
      </c>
      <c r="H2484" s="5">
        <f t="shared" si="66"/>
        <v>0.27677447280000012</v>
      </c>
      <c r="I2484" s="20">
        <f t="shared" si="67"/>
        <v>486.76326531336019</v>
      </c>
      <c r="J2484" s="6" t="s">
        <v>357</v>
      </c>
    </row>
    <row r="2485" spans="1:10" hidden="1">
      <c r="A2485" s="9">
        <v>46106</v>
      </c>
      <c r="B2485" s="6" t="s">
        <v>3798</v>
      </c>
      <c r="C2485" s="5" t="s">
        <v>3797</v>
      </c>
      <c r="D2485" s="8" t="s">
        <v>306</v>
      </c>
      <c r="E2485" s="6" t="s">
        <v>1024</v>
      </c>
      <c r="F2485" s="6" t="s">
        <v>3567</v>
      </c>
      <c r="G2485" s="5">
        <v>156.69999999999999</v>
      </c>
      <c r="H2485" s="5">
        <f t="shared" si="66"/>
        <v>0.27677447280000012</v>
      </c>
      <c r="I2485" s="20">
        <f t="shared" si="67"/>
        <v>43.370559887760017</v>
      </c>
      <c r="J2485" s="6" t="s">
        <v>357</v>
      </c>
    </row>
    <row r="2486" spans="1:10" hidden="1">
      <c r="A2486" s="9">
        <v>46106</v>
      </c>
      <c r="B2486" s="6" t="s">
        <v>3800</v>
      </c>
      <c r="C2486" s="5" t="s">
        <v>3799</v>
      </c>
      <c r="D2486" s="8" t="s">
        <v>306</v>
      </c>
      <c r="E2486" s="6" t="s">
        <v>1024</v>
      </c>
      <c r="F2486" s="6" t="s">
        <v>3567</v>
      </c>
      <c r="G2486" s="5">
        <v>194.2</v>
      </c>
      <c r="H2486" s="5">
        <f t="shared" si="66"/>
        <v>0.27677447280000012</v>
      </c>
      <c r="I2486" s="20">
        <f t="shared" si="67"/>
        <v>53.749602617760019</v>
      </c>
      <c r="J2486" s="6" t="s">
        <v>357</v>
      </c>
    </row>
    <row r="2487" spans="1:10" hidden="1">
      <c r="A2487" s="9">
        <v>46106</v>
      </c>
      <c r="B2487" s="6" t="s">
        <v>3802</v>
      </c>
      <c r="C2487" s="5" t="s">
        <v>3801</v>
      </c>
      <c r="D2487" s="8" t="s">
        <v>306</v>
      </c>
      <c r="E2487" s="6" t="s">
        <v>1024</v>
      </c>
      <c r="F2487" s="6" t="s">
        <v>3567</v>
      </c>
      <c r="G2487" s="5">
        <v>205.8</v>
      </c>
      <c r="H2487" s="5">
        <f t="shared" si="66"/>
        <v>0.27677447280000012</v>
      </c>
      <c r="I2487" s="20">
        <f t="shared" si="67"/>
        <v>56.960186502240028</v>
      </c>
      <c r="J2487" s="6" t="s">
        <v>357</v>
      </c>
    </row>
    <row r="2488" spans="1:10" hidden="1">
      <c r="A2488" s="9">
        <v>46106</v>
      </c>
      <c r="B2488" s="6" t="s">
        <v>3804</v>
      </c>
      <c r="C2488" s="5" t="s">
        <v>3803</v>
      </c>
      <c r="D2488" s="8" t="s">
        <v>306</v>
      </c>
      <c r="E2488" s="6" t="s">
        <v>1024</v>
      </c>
      <c r="F2488" s="6" t="s">
        <v>3567</v>
      </c>
      <c r="G2488" s="5">
        <v>160.9</v>
      </c>
      <c r="H2488" s="5">
        <f t="shared" si="66"/>
        <v>0.27677447280000012</v>
      </c>
      <c r="I2488" s="20">
        <f t="shared" si="67"/>
        <v>44.53301267352002</v>
      </c>
      <c r="J2488" s="6" t="s">
        <v>357</v>
      </c>
    </row>
    <row r="2489" spans="1:10" hidden="1">
      <c r="A2489" s="9">
        <v>46106</v>
      </c>
      <c r="B2489" s="6" t="s">
        <v>3806</v>
      </c>
      <c r="C2489" s="5" t="s">
        <v>3805</v>
      </c>
      <c r="D2489" s="8" t="s">
        <v>306</v>
      </c>
      <c r="E2489" s="6" t="s">
        <v>1024</v>
      </c>
      <c r="F2489" s="6" t="s">
        <v>3567</v>
      </c>
      <c r="G2489" s="5">
        <v>166.2</v>
      </c>
      <c r="H2489" s="5">
        <f t="shared" si="66"/>
        <v>0.27677447280000012</v>
      </c>
      <c r="I2489" s="20">
        <f t="shared" si="67"/>
        <v>45.999917379360014</v>
      </c>
      <c r="J2489" s="6" t="s">
        <v>357</v>
      </c>
    </row>
    <row r="2490" spans="1:10" hidden="1">
      <c r="A2490" s="9">
        <v>46106</v>
      </c>
      <c r="B2490" s="6" t="s">
        <v>3808</v>
      </c>
      <c r="C2490" s="5" t="s">
        <v>3807</v>
      </c>
      <c r="D2490" s="8" t="s">
        <v>306</v>
      </c>
      <c r="E2490" s="6" t="s">
        <v>1024</v>
      </c>
      <c r="F2490" s="6" t="s">
        <v>3567</v>
      </c>
      <c r="G2490" s="5">
        <v>154.1</v>
      </c>
      <c r="H2490" s="5">
        <f t="shared" si="66"/>
        <v>0.27677447280000012</v>
      </c>
      <c r="I2490" s="20">
        <f t="shared" si="67"/>
        <v>42.650946258480019</v>
      </c>
      <c r="J2490" s="6" t="s">
        <v>357</v>
      </c>
    </row>
    <row r="2491" spans="1:10" hidden="1">
      <c r="A2491" s="9">
        <v>46106</v>
      </c>
      <c r="B2491" s="6" t="s">
        <v>3810</v>
      </c>
      <c r="C2491" s="5" t="s">
        <v>3809</v>
      </c>
      <c r="D2491" s="8" t="s">
        <v>306</v>
      </c>
      <c r="E2491" s="6" t="s">
        <v>1024</v>
      </c>
      <c r="F2491" s="6" t="s">
        <v>3567</v>
      </c>
      <c r="G2491" s="5">
        <v>154.1</v>
      </c>
      <c r="H2491" s="5">
        <f t="shared" si="66"/>
        <v>0.27677447280000012</v>
      </c>
      <c r="I2491" s="20">
        <f t="shared" si="67"/>
        <v>42.650946258480019</v>
      </c>
      <c r="J2491" s="6" t="s">
        <v>357</v>
      </c>
    </row>
    <row r="2492" spans="1:10" hidden="1">
      <c r="A2492" s="9">
        <v>46106</v>
      </c>
      <c r="B2492" s="6" t="s">
        <v>3812</v>
      </c>
      <c r="C2492" s="5" t="s">
        <v>3811</v>
      </c>
      <c r="D2492" s="8" t="s">
        <v>306</v>
      </c>
      <c r="E2492" s="6" t="s">
        <v>1024</v>
      </c>
      <c r="F2492" s="6" t="s">
        <v>3567</v>
      </c>
      <c r="G2492" s="5">
        <v>154.1</v>
      </c>
      <c r="H2492" s="5">
        <f t="shared" si="66"/>
        <v>0.27677447280000012</v>
      </c>
      <c r="I2492" s="20">
        <f t="shared" si="67"/>
        <v>42.650946258480019</v>
      </c>
      <c r="J2492" s="6" t="s">
        <v>357</v>
      </c>
    </row>
    <row r="2493" spans="1:10" hidden="1">
      <c r="A2493" s="9">
        <v>46106</v>
      </c>
      <c r="B2493" s="6" t="s">
        <v>3814</v>
      </c>
      <c r="C2493" s="5" t="s">
        <v>3813</v>
      </c>
      <c r="D2493" s="8" t="s">
        <v>306</v>
      </c>
      <c r="E2493" s="6" t="s">
        <v>1024</v>
      </c>
      <c r="F2493" s="6" t="s">
        <v>3567</v>
      </c>
      <c r="G2493" s="5">
        <v>159.4</v>
      </c>
      <c r="H2493" s="5">
        <f t="shared" si="66"/>
        <v>0.27677447280000012</v>
      </c>
      <c r="I2493" s="20">
        <f t="shared" si="67"/>
        <v>44.11785096432002</v>
      </c>
      <c r="J2493" s="6" t="s">
        <v>357</v>
      </c>
    </row>
    <row r="2494" spans="1:10" hidden="1">
      <c r="A2494" s="9">
        <v>46106</v>
      </c>
      <c r="B2494" s="6" t="s">
        <v>3816</v>
      </c>
      <c r="C2494" s="5" t="s">
        <v>3815</v>
      </c>
      <c r="D2494" s="8" t="s">
        <v>306</v>
      </c>
      <c r="E2494" s="6" t="s">
        <v>1024</v>
      </c>
      <c r="F2494" s="6" t="s">
        <v>3567</v>
      </c>
      <c r="G2494" s="5">
        <v>154.1</v>
      </c>
      <c r="H2494" s="5">
        <f t="shared" si="66"/>
        <v>0.27677447280000012</v>
      </c>
      <c r="I2494" s="20">
        <f t="shared" si="67"/>
        <v>42.650946258480019</v>
      </c>
      <c r="J2494" s="6" t="s">
        <v>357</v>
      </c>
    </row>
    <row r="2495" spans="1:10" hidden="1">
      <c r="A2495" s="9">
        <v>46106</v>
      </c>
      <c r="B2495" s="6" t="s">
        <v>3818</v>
      </c>
      <c r="C2495" s="5" t="s">
        <v>3817</v>
      </c>
      <c r="D2495" s="8" t="s">
        <v>306</v>
      </c>
      <c r="E2495" s="6" t="s">
        <v>1024</v>
      </c>
      <c r="F2495" s="6" t="s">
        <v>3567</v>
      </c>
      <c r="G2495" s="5">
        <v>159.4</v>
      </c>
      <c r="H2495" s="5">
        <f t="shared" si="66"/>
        <v>0.27677447280000012</v>
      </c>
      <c r="I2495" s="20">
        <f t="shared" si="67"/>
        <v>44.11785096432002</v>
      </c>
      <c r="J2495" s="6" t="s">
        <v>357</v>
      </c>
    </row>
    <row r="2496" spans="1:10" hidden="1">
      <c r="A2496" s="9">
        <v>46106</v>
      </c>
      <c r="B2496" s="6" t="s">
        <v>3820</v>
      </c>
      <c r="C2496" s="5" t="s">
        <v>3819</v>
      </c>
      <c r="D2496" s="8" t="s">
        <v>306</v>
      </c>
      <c r="E2496" s="6" t="s">
        <v>1024</v>
      </c>
      <c r="F2496" s="6" t="s">
        <v>3567</v>
      </c>
      <c r="G2496" s="5">
        <v>238</v>
      </c>
      <c r="H2496" s="5">
        <f t="shared" si="66"/>
        <v>0.27677447280000012</v>
      </c>
      <c r="I2496" s="20">
        <f t="shared" si="67"/>
        <v>65.872324526400021</v>
      </c>
      <c r="J2496" s="6" t="s">
        <v>357</v>
      </c>
    </row>
    <row r="2497" spans="1:10" hidden="1">
      <c r="A2497" s="9">
        <v>46106</v>
      </c>
      <c r="B2497" s="6" t="s">
        <v>3822</v>
      </c>
      <c r="C2497" s="5" t="s">
        <v>3821</v>
      </c>
      <c r="D2497" s="8" t="s">
        <v>306</v>
      </c>
      <c r="E2497" s="6" t="s">
        <v>1024</v>
      </c>
      <c r="F2497" s="6" t="s">
        <v>3567</v>
      </c>
      <c r="G2497" s="5">
        <v>232.7</v>
      </c>
      <c r="H2497" s="5">
        <f t="shared" si="66"/>
        <v>0.27677447280000012</v>
      </c>
      <c r="I2497" s="20">
        <f t="shared" si="67"/>
        <v>64.405419820560027</v>
      </c>
      <c r="J2497" s="6" t="s">
        <v>357</v>
      </c>
    </row>
    <row r="2498" spans="1:10" hidden="1">
      <c r="A2498" s="9">
        <v>46106</v>
      </c>
      <c r="B2498" s="6" t="s">
        <v>3824</v>
      </c>
      <c r="C2498" s="5" t="s">
        <v>3823</v>
      </c>
      <c r="D2498" s="8" t="s">
        <v>306</v>
      </c>
      <c r="E2498" s="6" t="s">
        <v>1024</v>
      </c>
      <c r="F2498" s="6" t="s">
        <v>3567</v>
      </c>
      <c r="G2498" s="5">
        <v>423.6</v>
      </c>
      <c r="H2498" s="5">
        <f t="shared" si="66"/>
        <v>0.27677447280000012</v>
      </c>
      <c r="I2498" s="20">
        <f t="shared" si="67"/>
        <v>117.24166667808005</v>
      </c>
      <c r="J2498" s="6" t="s">
        <v>357</v>
      </c>
    </row>
    <row r="2499" spans="1:10" hidden="1">
      <c r="A2499" s="9">
        <v>46106</v>
      </c>
      <c r="B2499" s="6" t="s">
        <v>3826</v>
      </c>
      <c r="C2499" s="5" t="s">
        <v>3825</v>
      </c>
      <c r="D2499" s="8" t="s">
        <v>306</v>
      </c>
      <c r="E2499" s="6" t="s">
        <v>1024</v>
      </c>
      <c r="F2499" s="6" t="s">
        <v>3567</v>
      </c>
      <c r="G2499" s="5">
        <v>442.1</v>
      </c>
      <c r="H2499" s="5">
        <f t="shared" si="66"/>
        <v>0.27677447280000012</v>
      </c>
      <c r="I2499" s="20">
        <f t="shared" si="67"/>
        <v>122.36199442488005</v>
      </c>
      <c r="J2499" s="6" t="s">
        <v>357</v>
      </c>
    </row>
    <row r="2500" spans="1:10" hidden="1">
      <c r="A2500" s="9">
        <v>46106</v>
      </c>
      <c r="B2500" s="6" t="s">
        <v>3828</v>
      </c>
      <c r="C2500" s="5" t="s">
        <v>3827</v>
      </c>
      <c r="D2500" s="8" t="s">
        <v>306</v>
      </c>
      <c r="E2500" s="6" t="s">
        <v>1024</v>
      </c>
      <c r="F2500" s="6" t="s">
        <v>3567</v>
      </c>
      <c r="G2500" s="5">
        <v>441.6</v>
      </c>
      <c r="H2500" s="5">
        <f t="shared" si="66"/>
        <v>0.27677447280000012</v>
      </c>
      <c r="I2500" s="20">
        <f t="shared" si="67"/>
        <v>122.22360718848006</v>
      </c>
      <c r="J2500" s="6" t="s">
        <v>357</v>
      </c>
    </row>
    <row r="2501" spans="1:10" hidden="1">
      <c r="A2501" s="9">
        <v>46106</v>
      </c>
      <c r="B2501" s="6" t="s">
        <v>3830</v>
      </c>
      <c r="C2501" s="5" t="s">
        <v>3829</v>
      </c>
      <c r="D2501" s="8" t="s">
        <v>306</v>
      </c>
      <c r="E2501" s="6" t="s">
        <v>1024</v>
      </c>
      <c r="F2501" s="6" t="s">
        <v>3567</v>
      </c>
      <c r="G2501" s="5">
        <v>419.9</v>
      </c>
      <c r="H2501" s="5">
        <f t="shared" si="66"/>
        <v>0.27677447280000012</v>
      </c>
      <c r="I2501" s="20">
        <f t="shared" si="67"/>
        <v>116.21760112872005</v>
      </c>
      <c r="J2501" s="6" t="s">
        <v>357</v>
      </c>
    </row>
    <row r="2502" spans="1:10" hidden="1">
      <c r="A2502" s="9">
        <v>46106</v>
      </c>
      <c r="B2502" s="6" t="s">
        <v>3832</v>
      </c>
      <c r="C2502" s="5" t="s">
        <v>3831</v>
      </c>
      <c r="D2502" s="8" t="s">
        <v>306</v>
      </c>
      <c r="E2502" s="6" t="s">
        <v>1024</v>
      </c>
      <c r="F2502" s="6" t="s">
        <v>3567</v>
      </c>
      <c r="G2502" s="5">
        <v>419.4</v>
      </c>
      <c r="H2502" s="5">
        <f t="shared" si="66"/>
        <v>0.27677447280000012</v>
      </c>
      <c r="I2502" s="20">
        <f t="shared" si="67"/>
        <v>116.07921389232004</v>
      </c>
      <c r="J2502" s="6" t="s">
        <v>357</v>
      </c>
    </row>
    <row r="2503" spans="1:10" hidden="1">
      <c r="A2503" s="9">
        <v>46106</v>
      </c>
      <c r="B2503" s="6" t="s">
        <v>3834</v>
      </c>
      <c r="C2503" s="5" t="s">
        <v>3833</v>
      </c>
      <c r="D2503" s="8" t="s">
        <v>306</v>
      </c>
      <c r="E2503" s="6" t="s">
        <v>1024</v>
      </c>
      <c r="F2503" s="6" t="s">
        <v>3567</v>
      </c>
      <c r="G2503" s="5">
        <v>419.4</v>
      </c>
      <c r="H2503" s="5">
        <f t="shared" si="66"/>
        <v>0.27677447280000012</v>
      </c>
      <c r="I2503" s="20">
        <f t="shared" si="67"/>
        <v>116.07921389232004</v>
      </c>
      <c r="J2503" s="6" t="s">
        <v>357</v>
      </c>
    </row>
    <row r="2504" spans="1:10" hidden="1">
      <c r="A2504" s="9">
        <v>46106</v>
      </c>
      <c r="B2504" s="6" t="s">
        <v>3836</v>
      </c>
      <c r="C2504" s="5" t="s">
        <v>3835</v>
      </c>
      <c r="D2504" s="8" t="s">
        <v>306</v>
      </c>
      <c r="E2504" s="6" t="s">
        <v>1024</v>
      </c>
      <c r="F2504" s="6" t="s">
        <v>3567</v>
      </c>
      <c r="G2504" s="5">
        <v>415.2</v>
      </c>
      <c r="H2504" s="5">
        <f t="shared" si="66"/>
        <v>0.27677447280000012</v>
      </c>
      <c r="I2504" s="20">
        <f t="shared" si="67"/>
        <v>114.91676110656005</v>
      </c>
      <c r="J2504" s="6" t="s">
        <v>357</v>
      </c>
    </row>
    <row r="2505" spans="1:10" hidden="1">
      <c r="A2505" s="9">
        <v>46106</v>
      </c>
      <c r="B2505" s="6" t="s">
        <v>3838</v>
      </c>
      <c r="C2505" s="5" t="s">
        <v>3837</v>
      </c>
      <c r="D2505" s="8" t="s">
        <v>306</v>
      </c>
      <c r="E2505" s="6" t="s">
        <v>1024</v>
      </c>
      <c r="F2505" s="6" t="s">
        <v>3567</v>
      </c>
      <c r="G2505" s="5">
        <v>419.4</v>
      </c>
      <c r="H2505" s="5">
        <f t="shared" si="66"/>
        <v>0.27677447280000012</v>
      </c>
      <c r="I2505" s="20">
        <f t="shared" si="67"/>
        <v>116.07921389232004</v>
      </c>
      <c r="J2505" s="6" t="s">
        <v>357</v>
      </c>
    </row>
    <row r="2506" spans="1:10" hidden="1">
      <c r="A2506" s="9">
        <v>46106</v>
      </c>
      <c r="B2506" s="6" t="s">
        <v>3840</v>
      </c>
      <c r="C2506" s="5" t="s">
        <v>3839</v>
      </c>
      <c r="D2506" s="8" t="s">
        <v>306</v>
      </c>
      <c r="E2506" s="6" t="s">
        <v>1024</v>
      </c>
      <c r="F2506" s="6" t="s">
        <v>3567</v>
      </c>
      <c r="G2506" s="5">
        <v>427.3</v>
      </c>
      <c r="H2506" s="5">
        <f t="shared" si="66"/>
        <v>0.27677447280000012</v>
      </c>
      <c r="I2506" s="20">
        <f t="shared" si="67"/>
        <v>118.26573222744005</v>
      </c>
      <c r="J2506" s="6" t="s">
        <v>357</v>
      </c>
    </row>
    <row r="2507" spans="1:10" hidden="1">
      <c r="A2507" s="9">
        <v>46106</v>
      </c>
      <c r="B2507" s="6" t="s">
        <v>3842</v>
      </c>
      <c r="C2507" s="5" t="s">
        <v>3841</v>
      </c>
      <c r="D2507" s="8" t="s">
        <v>306</v>
      </c>
      <c r="E2507" s="6" t="s">
        <v>1024</v>
      </c>
      <c r="F2507" s="6" t="s">
        <v>3567</v>
      </c>
      <c r="G2507" s="5">
        <v>415.2</v>
      </c>
      <c r="H2507" s="5">
        <f t="shared" si="66"/>
        <v>0.27677447280000012</v>
      </c>
      <c r="I2507" s="20">
        <f t="shared" si="67"/>
        <v>114.91676110656005</v>
      </c>
      <c r="J2507" s="6" t="s">
        <v>357</v>
      </c>
    </row>
    <row r="2508" spans="1:10" hidden="1">
      <c r="A2508" s="9">
        <v>46106</v>
      </c>
      <c r="B2508" s="6" t="s">
        <v>3844</v>
      </c>
      <c r="C2508" s="5" t="s">
        <v>3843</v>
      </c>
      <c r="D2508" s="8" t="s">
        <v>306</v>
      </c>
      <c r="E2508" s="6" t="s">
        <v>1024</v>
      </c>
      <c r="F2508" s="6" t="s">
        <v>3567</v>
      </c>
      <c r="G2508" s="5">
        <v>415.2</v>
      </c>
      <c r="H2508" s="5">
        <f t="shared" si="66"/>
        <v>0.27677447280000012</v>
      </c>
      <c r="I2508" s="20">
        <f t="shared" si="67"/>
        <v>114.91676110656005</v>
      </c>
      <c r="J2508" s="6" t="s">
        <v>357</v>
      </c>
    </row>
    <row r="2509" spans="1:10" hidden="1">
      <c r="A2509" s="9">
        <v>46106</v>
      </c>
      <c r="B2509" s="6" t="s">
        <v>3846</v>
      </c>
      <c r="C2509" s="5" t="s">
        <v>3845</v>
      </c>
      <c r="D2509" s="8" t="s">
        <v>306</v>
      </c>
      <c r="E2509" s="6" t="s">
        <v>1024</v>
      </c>
      <c r="F2509" s="6" t="s">
        <v>3567</v>
      </c>
      <c r="G2509" s="5">
        <v>614.1</v>
      </c>
      <c r="H2509" s="5">
        <f t="shared" si="66"/>
        <v>0.27677447280000012</v>
      </c>
      <c r="I2509" s="20">
        <f t="shared" si="67"/>
        <v>169.96720374648007</v>
      </c>
      <c r="J2509" s="6" t="s">
        <v>357</v>
      </c>
    </row>
    <row r="2510" spans="1:10" hidden="1">
      <c r="A2510" s="9">
        <v>46106</v>
      </c>
      <c r="B2510" s="6" t="s">
        <v>3848</v>
      </c>
      <c r="C2510" s="5" t="s">
        <v>3847</v>
      </c>
      <c r="D2510" s="8" t="s">
        <v>306</v>
      </c>
      <c r="E2510" s="6" t="s">
        <v>1024</v>
      </c>
      <c r="F2510" s="6" t="s">
        <v>3567</v>
      </c>
      <c r="G2510" s="5">
        <v>602.5</v>
      </c>
      <c r="H2510" s="5">
        <f t="shared" si="66"/>
        <v>0.27677447280000012</v>
      </c>
      <c r="I2510" s="20">
        <f t="shared" si="67"/>
        <v>166.75661986200006</v>
      </c>
      <c r="J2510" s="6" t="s">
        <v>357</v>
      </c>
    </row>
    <row r="2511" spans="1:10" hidden="1">
      <c r="A2511" s="9">
        <v>46106</v>
      </c>
      <c r="B2511" s="6" t="s">
        <v>3850</v>
      </c>
      <c r="C2511" s="5" t="s">
        <v>3849</v>
      </c>
      <c r="D2511" s="8" t="s">
        <v>306</v>
      </c>
      <c r="E2511" s="6" t="s">
        <v>1024</v>
      </c>
      <c r="F2511" s="6" t="s">
        <v>3567</v>
      </c>
      <c r="G2511" s="5">
        <v>686.9</v>
      </c>
      <c r="H2511" s="5">
        <f t="shared" si="66"/>
        <v>0.27677447280000012</v>
      </c>
      <c r="I2511" s="20">
        <f t="shared" si="67"/>
        <v>190.11638536632006</v>
      </c>
      <c r="J2511" s="6" t="s">
        <v>357</v>
      </c>
    </row>
    <row r="2512" spans="1:10" hidden="1">
      <c r="A2512" s="9">
        <v>46106</v>
      </c>
      <c r="B2512" s="6" t="s">
        <v>3852</v>
      </c>
      <c r="C2512" s="5" t="s">
        <v>3851</v>
      </c>
      <c r="D2512" s="8" t="s">
        <v>306</v>
      </c>
      <c r="E2512" s="6" t="s">
        <v>1024</v>
      </c>
      <c r="F2512" s="6" t="s">
        <v>3567</v>
      </c>
      <c r="G2512" s="5">
        <v>723.3</v>
      </c>
      <c r="H2512" s="5">
        <f t="shared" si="66"/>
        <v>0.27677447280000012</v>
      </c>
      <c r="I2512" s="20">
        <f t="shared" si="67"/>
        <v>200.19097617624007</v>
      </c>
      <c r="J2512" s="6" t="s">
        <v>357</v>
      </c>
    </row>
    <row r="2513" spans="1:10" hidden="1">
      <c r="A2513" s="9">
        <v>46106</v>
      </c>
      <c r="B2513" s="6" t="s">
        <v>3854</v>
      </c>
      <c r="C2513" s="5" t="s">
        <v>3853</v>
      </c>
      <c r="D2513" s="8" t="s">
        <v>306</v>
      </c>
      <c r="E2513" s="6" t="s">
        <v>1024</v>
      </c>
      <c r="F2513" s="6" t="s">
        <v>3567</v>
      </c>
      <c r="G2513" s="5">
        <v>874.6</v>
      </c>
      <c r="H2513" s="5">
        <f t="shared" si="66"/>
        <v>0.27677447280000012</v>
      </c>
      <c r="I2513" s="20">
        <f t="shared" si="67"/>
        <v>242.0669539108801</v>
      </c>
      <c r="J2513" s="6" t="s">
        <v>357</v>
      </c>
    </row>
    <row r="2514" spans="1:10" hidden="1">
      <c r="A2514" s="9">
        <v>46106</v>
      </c>
      <c r="B2514" s="6" t="s">
        <v>3856</v>
      </c>
      <c r="C2514" s="5" t="s">
        <v>3855</v>
      </c>
      <c r="D2514" s="8" t="s">
        <v>306</v>
      </c>
      <c r="E2514" s="6" t="s">
        <v>1024</v>
      </c>
      <c r="F2514" s="6" t="s">
        <v>3567</v>
      </c>
      <c r="G2514" s="5">
        <v>686.9</v>
      </c>
      <c r="H2514" s="5">
        <f t="shared" si="66"/>
        <v>0.27677447280000012</v>
      </c>
      <c r="I2514" s="20">
        <f t="shared" si="67"/>
        <v>190.11638536632006</v>
      </c>
      <c r="J2514" s="6" t="s">
        <v>357</v>
      </c>
    </row>
    <row r="2515" spans="1:10" hidden="1">
      <c r="A2515" s="9">
        <v>46106</v>
      </c>
      <c r="B2515" s="6" t="s">
        <v>3858</v>
      </c>
      <c r="C2515" s="5" t="s">
        <v>3857</v>
      </c>
      <c r="D2515" s="8" t="s">
        <v>306</v>
      </c>
      <c r="E2515" s="6" t="s">
        <v>1024</v>
      </c>
      <c r="F2515" s="6" t="s">
        <v>3567</v>
      </c>
      <c r="G2515" s="5">
        <v>692.1</v>
      </c>
      <c r="H2515" s="5">
        <f t="shared" si="66"/>
        <v>0.27677447280000012</v>
      </c>
      <c r="I2515" s="20">
        <f t="shared" si="67"/>
        <v>191.5556126248801</v>
      </c>
      <c r="J2515" s="6" t="s">
        <v>357</v>
      </c>
    </row>
    <row r="2516" spans="1:10" hidden="1">
      <c r="A2516" s="9">
        <v>46106</v>
      </c>
      <c r="B2516" s="6" t="s">
        <v>3860</v>
      </c>
      <c r="C2516" s="5" t="s">
        <v>3859</v>
      </c>
      <c r="D2516" s="8" t="s">
        <v>306</v>
      </c>
      <c r="E2516" s="6" t="s">
        <v>1024</v>
      </c>
      <c r="F2516" s="6" t="s">
        <v>3567</v>
      </c>
      <c r="G2516" s="5">
        <v>692.1</v>
      </c>
      <c r="H2516" s="5">
        <f t="shared" si="66"/>
        <v>0.27677447280000012</v>
      </c>
      <c r="I2516" s="20">
        <f t="shared" si="67"/>
        <v>191.5556126248801</v>
      </c>
      <c r="J2516" s="6" t="s">
        <v>357</v>
      </c>
    </row>
    <row r="2517" spans="1:10" hidden="1">
      <c r="A2517" s="9">
        <v>46106</v>
      </c>
      <c r="B2517" s="6" t="s">
        <v>3862</v>
      </c>
      <c r="C2517" s="5" t="s">
        <v>3861</v>
      </c>
      <c r="D2517" s="8" t="s">
        <v>306</v>
      </c>
      <c r="E2517" s="6" t="s">
        <v>1024</v>
      </c>
      <c r="F2517" s="6" t="s">
        <v>3567</v>
      </c>
      <c r="G2517" s="5">
        <v>692.1</v>
      </c>
      <c r="H2517" s="5">
        <f t="shared" si="66"/>
        <v>0.27677447280000012</v>
      </c>
      <c r="I2517" s="20">
        <f t="shared" si="67"/>
        <v>191.5556126248801</v>
      </c>
      <c r="J2517" s="6" t="s">
        <v>357</v>
      </c>
    </row>
    <row r="2518" spans="1:10" hidden="1">
      <c r="A2518" s="9">
        <v>46106</v>
      </c>
      <c r="B2518" s="6" t="s">
        <v>3864</v>
      </c>
      <c r="C2518" s="5" t="s">
        <v>3863</v>
      </c>
      <c r="D2518" s="8" t="s">
        <v>306</v>
      </c>
      <c r="E2518" s="6" t="s">
        <v>1024</v>
      </c>
      <c r="F2518" s="6" t="s">
        <v>3567</v>
      </c>
      <c r="G2518" s="5">
        <v>672.6</v>
      </c>
      <c r="H2518" s="5">
        <f t="shared" si="66"/>
        <v>0.27677447280000012</v>
      </c>
      <c r="I2518" s="20">
        <f t="shared" si="67"/>
        <v>186.15851040528008</v>
      </c>
      <c r="J2518" s="6" t="s">
        <v>357</v>
      </c>
    </row>
    <row r="2519" spans="1:10" hidden="1">
      <c r="A2519" s="9">
        <v>46106</v>
      </c>
      <c r="B2519" s="6" t="s">
        <v>3866</v>
      </c>
      <c r="C2519" s="5" t="s">
        <v>3865</v>
      </c>
      <c r="D2519" s="8" t="s">
        <v>306</v>
      </c>
      <c r="E2519" s="6" t="s">
        <v>1024</v>
      </c>
      <c r="F2519" s="6" t="s">
        <v>3567</v>
      </c>
      <c r="G2519" s="5">
        <v>698.5</v>
      </c>
      <c r="H2519" s="5">
        <f t="shared" si="66"/>
        <v>0.27677447280000012</v>
      </c>
      <c r="I2519" s="20">
        <f t="shared" si="67"/>
        <v>193.32696925080009</v>
      </c>
      <c r="J2519" s="6" t="s">
        <v>357</v>
      </c>
    </row>
    <row r="2520" spans="1:10" hidden="1">
      <c r="A2520" s="9">
        <v>46106</v>
      </c>
      <c r="B2520" s="6" t="s">
        <v>3868</v>
      </c>
      <c r="C2520" s="5" t="s">
        <v>3867</v>
      </c>
      <c r="D2520" s="8" t="s">
        <v>306</v>
      </c>
      <c r="E2520" s="6" t="s">
        <v>1024</v>
      </c>
      <c r="F2520" s="6" t="s">
        <v>3567</v>
      </c>
      <c r="G2520" s="5">
        <v>692.1</v>
      </c>
      <c r="H2520" s="5">
        <f t="shared" si="66"/>
        <v>0.27677447280000012</v>
      </c>
      <c r="I2520" s="20">
        <f t="shared" si="67"/>
        <v>191.5556126248801</v>
      </c>
      <c r="J2520" s="6" t="s">
        <v>357</v>
      </c>
    </row>
    <row r="2521" spans="1:10" hidden="1">
      <c r="A2521" s="9">
        <v>46106</v>
      </c>
      <c r="B2521" s="6" t="s">
        <v>3870</v>
      </c>
      <c r="C2521" s="5" t="s">
        <v>3869</v>
      </c>
      <c r="D2521" s="8" t="s">
        <v>306</v>
      </c>
      <c r="E2521" s="6" t="s">
        <v>1024</v>
      </c>
      <c r="F2521" s="6" t="s">
        <v>3567</v>
      </c>
      <c r="G2521" s="5">
        <v>678.9</v>
      </c>
      <c r="H2521" s="5">
        <f t="shared" si="66"/>
        <v>0.27677447280000012</v>
      </c>
      <c r="I2521" s="20">
        <f t="shared" si="67"/>
        <v>187.90218958392006</v>
      </c>
      <c r="J2521" s="6" t="s">
        <v>357</v>
      </c>
    </row>
    <row r="2522" spans="1:10" hidden="1">
      <c r="A2522" s="9">
        <v>46106</v>
      </c>
      <c r="B2522" s="6" t="s">
        <v>3872</v>
      </c>
      <c r="C2522" s="5" t="s">
        <v>3871</v>
      </c>
      <c r="D2522" s="8" t="s">
        <v>306</v>
      </c>
      <c r="E2522" s="6" t="s">
        <v>1024</v>
      </c>
      <c r="F2522" s="6" t="s">
        <v>3567</v>
      </c>
      <c r="G2522" s="5">
        <v>1008.1</v>
      </c>
      <c r="H2522" s="5">
        <f t="shared" si="66"/>
        <v>0.27677447280000012</v>
      </c>
      <c r="I2522" s="20">
        <f t="shared" si="67"/>
        <v>279.01634602968011</v>
      </c>
      <c r="J2522" s="6" t="s">
        <v>357</v>
      </c>
    </row>
    <row r="2523" spans="1:10" hidden="1">
      <c r="A2523" s="9">
        <v>46106</v>
      </c>
      <c r="B2523" s="6" t="s">
        <v>3874</v>
      </c>
      <c r="C2523" s="5" t="s">
        <v>3873</v>
      </c>
      <c r="D2523" s="8" t="s">
        <v>306</v>
      </c>
      <c r="E2523" s="6" t="s">
        <v>1024</v>
      </c>
      <c r="F2523" s="6" t="s">
        <v>3567</v>
      </c>
      <c r="G2523" s="5">
        <v>989.6</v>
      </c>
      <c r="H2523" s="5">
        <f t="shared" si="66"/>
        <v>0.27677447280000012</v>
      </c>
      <c r="I2523" s="20">
        <f t="shared" si="67"/>
        <v>273.89601828288011</v>
      </c>
      <c r="J2523" s="6" t="s">
        <v>357</v>
      </c>
    </row>
    <row r="2524" spans="1:10" hidden="1">
      <c r="A2524" s="9">
        <v>46106</v>
      </c>
      <c r="B2524" s="6" t="s">
        <v>3876</v>
      </c>
      <c r="C2524" s="5" t="s">
        <v>3875</v>
      </c>
      <c r="D2524" s="8" t="s">
        <v>306</v>
      </c>
      <c r="E2524" s="6" t="s">
        <v>1024</v>
      </c>
      <c r="F2524" s="6" t="s">
        <v>3567</v>
      </c>
      <c r="G2524" s="5">
        <v>1314.6</v>
      </c>
      <c r="H2524" s="5">
        <f t="shared" si="66"/>
        <v>0.27677447280000012</v>
      </c>
      <c r="I2524" s="20">
        <f t="shared" si="67"/>
        <v>363.84772194288013</v>
      </c>
      <c r="J2524" s="6" t="s">
        <v>357</v>
      </c>
    </row>
    <row r="2525" spans="1:10" hidden="1">
      <c r="A2525" s="9">
        <v>46106</v>
      </c>
      <c r="B2525" s="6" t="s">
        <v>3878</v>
      </c>
      <c r="C2525" s="5" t="s">
        <v>3877</v>
      </c>
      <c r="D2525" s="8" t="s">
        <v>306</v>
      </c>
      <c r="E2525" s="6" t="s">
        <v>1024</v>
      </c>
      <c r="F2525" s="6" t="s">
        <v>3567</v>
      </c>
      <c r="G2525" s="5">
        <v>1097.2</v>
      </c>
      <c r="H2525" s="5">
        <f t="shared" si="66"/>
        <v>0.27677447280000012</v>
      </c>
      <c r="I2525" s="20">
        <f t="shared" si="67"/>
        <v>303.67695155616013</v>
      </c>
      <c r="J2525" s="6" t="s">
        <v>357</v>
      </c>
    </row>
    <row r="2526" spans="1:10" hidden="1">
      <c r="A2526" s="9">
        <v>46106</v>
      </c>
      <c r="B2526" s="6" t="s">
        <v>3880</v>
      </c>
      <c r="C2526" s="5" t="s">
        <v>3879</v>
      </c>
      <c r="D2526" s="8" t="s">
        <v>306</v>
      </c>
      <c r="E2526" s="6" t="s">
        <v>1024</v>
      </c>
      <c r="F2526" s="6" t="s">
        <v>3567</v>
      </c>
      <c r="G2526" s="5">
        <v>1314.6</v>
      </c>
      <c r="H2526" s="5">
        <f t="shared" si="66"/>
        <v>0.27677447280000012</v>
      </c>
      <c r="I2526" s="20">
        <f t="shared" si="67"/>
        <v>363.84772194288013</v>
      </c>
      <c r="J2526" s="6" t="s">
        <v>357</v>
      </c>
    </row>
    <row r="2527" spans="1:10" hidden="1">
      <c r="A2527" s="9">
        <v>46106</v>
      </c>
      <c r="B2527" s="6" t="s">
        <v>3882</v>
      </c>
      <c r="C2527" s="5" t="s">
        <v>3881</v>
      </c>
      <c r="D2527" s="8" t="s">
        <v>306</v>
      </c>
      <c r="E2527" s="6" t="s">
        <v>1024</v>
      </c>
      <c r="F2527" s="6" t="s">
        <v>3567</v>
      </c>
      <c r="G2527" s="5">
        <v>1314.6</v>
      </c>
      <c r="H2527" s="5">
        <f t="shared" si="66"/>
        <v>0.27677447280000012</v>
      </c>
      <c r="I2527" s="20">
        <f t="shared" si="67"/>
        <v>363.84772194288013</v>
      </c>
      <c r="J2527" s="6" t="s">
        <v>357</v>
      </c>
    </row>
    <row r="2528" spans="1:10" hidden="1">
      <c r="A2528" s="9">
        <v>46106</v>
      </c>
      <c r="B2528" s="6" t="s">
        <v>3884</v>
      </c>
      <c r="C2528" s="5" t="s">
        <v>3883</v>
      </c>
      <c r="D2528" s="8" t="s">
        <v>306</v>
      </c>
      <c r="E2528" s="6" t="s">
        <v>1024</v>
      </c>
      <c r="F2528" s="6" t="s">
        <v>3567</v>
      </c>
      <c r="G2528" s="5">
        <v>1050.3</v>
      </c>
      <c r="H2528" s="5">
        <f t="shared" si="66"/>
        <v>0.27677447280000012</v>
      </c>
      <c r="I2528" s="20">
        <f t="shared" si="67"/>
        <v>290.69622878184009</v>
      </c>
      <c r="J2528" s="6" t="s">
        <v>357</v>
      </c>
    </row>
    <row r="2529" spans="1:10" hidden="1">
      <c r="A2529" s="9">
        <v>46106</v>
      </c>
      <c r="B2529" s="6" t="s">
        <v>3886</v>
      </c>
      <c r="C2529" s="5" t="s">
        <v>3885</v>
      </c>
      <c r="D2529" s="8" t="s">
        <v>306</v>
      </c>
      <c r="E2529" s="6" t="s">
        <v>1024</v>
      </c>
      <c r="F2529" s="6" t="s">
        <v>3567</v>
      </c>
      <c r="G2529" s="5">
        <v>1050.3</v>
      </c>
      <c r="H2529" s="5">
        <f t="shared" si="66"/>
        <v>0.27677447280000012</v>
      </c>
      <c r="I2529" s="20">
        <f t="shared" si="67"/>
        <v>290.69622878184009</v>
      </c>
      <c r="J2529" s="6" t="s">
        <v>357</v>
      </c>
    </row>
    <row r="2530" spans="1:10" hidden="1">
      <c r="A2530" s="9">
        <v>46106</v>
      </c>
      <c r="B2530" s="6" t="s">
        <v>3888</v>
      </c>
      <c r="C2530" s="5" t="s">
        <v>3887</v>
      </c>
      <c r="D2530" s="8" t="s">
        <v>306</v>
      </c>
      <c r="E2530" s="6" t="s">
        <v>1024</v>
      </c>
      <c r="F2530" s="6" t="s">
        <v>3567</v>
      </c>
      <c r="G2530" s="5">
        <v>1040.3</v>
      </c>
      <c r="H2530" s="5">
        <f t="shared" si="66"/>
        <v>0.27677447280000012</v>
      </c>
      <c r="I2530" s="20">
        <f t="shared" si="67"/>
        <v>287.92848405384012</v>
      </c>
      <c r="J2530" s="6" t="s">
        <v>357</v>
      </c>
    </row>
    <row r="2531" spans="1:10" hidden="1">
      <c r="A2531" s="9">
        <v>46106</v>
      </c>
      <c r="B2531" s="6" t="s">
        <v>3890</v>
      </c>
      <c r="C2531" s="5" t="s">
        <v>3889</v>
      </c>
      <c r="D2531" s="8" t="s">
        <v>306</v>
      </c>
      <c r="E2531" s="6" t="s">
        <v>1024</v>
      </c>
      <c r="F2531" s="6" t="s">
        <v>3567</v>
      </c>
      <c r="G2531" s="5">
        <v>1050.3</v>
      </c>
      <c r="H2531" s="5">
        <f t="shared" si="66"/>
        <v>0.27677447280000012</v>
      </c>
      <c r="I2531" s="20">
        <f t="shared" si="67"/>
        <v>290.69622878184009</v>
      </c>
      <c r="J2531" s="6" t="s">
        <v>357</v>
      </c>
    </row>
    <row r="2532" spans="1:10" hidden="1">
      <c r="A2532" s="9">
        <v>46106</v>
      </c>
      <c r="B2532" s="6" t="s">
        <v>3892</v>
      </c>
      <c r="C2532" s="5" t="s">
        <v>3891</v>
      </c>
      <c r="D2532" s="8" t="s">
        <v>306</v>
      </c>
      <c r="E2532" s="6" t="s">
        <v>1024</v>
      </c>
      <c r="F2532" s="6" t="s">
        <v>3567</v>
      </c>
      <c r="G2532" s="5">
        <v>1222.8</v>
      </c>
      <c r="H2532" s="5">
        <f t="shared" si="66"/>
        <v>0.27677447280000012</v>
      </c>
      <c r="I2532" s="20">
        <f t="shared" si="67"/>
        <v>338.43982533984013</v>
      </c>
      <c r="J2532" s="6" t="s">
        <v>357</v>
      </c>
    </row>
    <row r="2533" spans="1:10" hidden="1">
      <c r="A2533" s="9">
        <v>46106</v>
      </c>
      <c r="B2533" s="6" t="s">
        <v>3894</v>
      </c>
      <c r="C2533" s="5" t="s">
        <v>3893</v>
      </c>
      <c r="D2533" s="8" t="s">
        <v>306</v>
      </c>
      <c r="E2533" s="6" t="s">
        <v>1024</v>
      </c>
      <c r="F2533" s="6" t="s">
        <v>3567</v>
      </c>
      <c r="G2533" s="5">
        <v>1040.3</v>
      </c>
      <c r="H2533" s="5">
        <f t="shared" si="66"/>
        <v>0.27677447280000012</v>
      </c>
      <c r="I2533" s="20">
        <f t="shared" si="67"/>
        <v>287.92848405384012</v>
      </c>
      <c r="J2533" s="6" t="s">
        <v>357</v>
      </c>
    </row>
    <row r="2534" spans="1:10" hidden="1">
      <c r="A2534" s="9">
        <v>46106</v>
      </c>
      <c r="B2534" s="6" t="s">
        <v>3896</v>
      </c>
      <c r="C2534" s="5" t="s">
        <v>3895</v>
      </c>
      <c r="D2534" s="8" t="s">
        <v>306</v>
      </c>
      <c r="E2534" s="6" t="s">
        <v>1024</v>
      </c>
      <c r="F2534" s="6" t="s">
        <v>3567</v>
      </c>
      <c r="G2534" s="5">
        <v>1050.3</v>
      </c>
      <c r="H2534" s="5">
        <f t="shared" si="66"/>
        <v>0.27677447280000012</v>
      </c>
      <c r="I2534" s="20">
        <f t="shared" si="67"/>
        <v>290.69622878184009</v>
      </c>
      <c r="J2534" s="6" t="s">
        <v>357</v>
      </c>
    </row>
    <row r="2535" spans="1:10" hidden="1">
      <c r="A2535" s="9">
        <v>46106</v>
      </c>
      <c r="B2535" s="6" t="s">
        <v>3898</v>
      </c>
      <c r="C2535" s="5" t="s">
        <v>3897</v>
      </c>
      <c r="D2535" s="8" t="s">
        <v>306</v>
      </c>
      <c r="E2535" s="6" t="s">
        <v>1024</v>
      </c>
      <c r="F2535" s="6" t="s">
        <v>3567</v>
      </c>
      <c r="G2535" s="5">
        <v>1473.4</v>
      </c>
      <c r="H2535" s="5">
        <f t="shared" si="66"/>
        <v>0.27677447280000012</v>
      </c>
      <c r="I2535" s="20">
        <f t="shared" si="67"/>
        <v>407.79950822352021</v>
      </c>
      <c r="J2535" s="6" t="s">
        <v>357</v>
      </c>
    </row>
    <row r="2536" spans="1:10" hidden="1">
      <c r="A2536" s="9">
        <v>46106</v>
      </c>
      <c r="B2536" s="6" t="s">
        <v>3900</v>
      </c>
      <c r="C2536" s="5" t="s">
        <v>3899</v>
      </c>
      <c r="D2536" s="8" t="s">
        <v>306</v>
      </c>
      <c r="E2536" s="6" t="s">
        <v>1024</v>
      </c>
      <c r="F2536" s="6" t="s">
        <v>3567</v>
      </c>
      <c r="G2536" s="5">
        <v>1459.6</v>
      </c>
      <c r="H2536" s="5">
        <f t="shared" si="66"/>
        <v>0.27677447280000012</v>
      </c>
      <c r="I2536" s="20">
        <f t="shared" si="67"/>
        <v>403.98002049888015</v>
      </c>
      <c r="J2536" s="6" t="s">
        <v>357</v>
      </c>
    </row>
    <row r="2537" spans="1:10" hidden="1">
      <c r="A2537" s="9">
        <v>46106</v>
      </c>
      <c r="B2537" s="110" t="s">
        <v>3902</v>
      </c>
      <c r="C2537" s="5" t="s">
        <v>3901</v>
      </c>
      <c r="D2537" s="8" t="s">
        <v>306</v>
      </c>
      <c r="E2537" s="6" t="s">
        <v>1024</v>
      </c>
      <c r="F2537" s="6" t="s">
        <v>3567</v>
      </c>
      <c r="G2537" s="5">
        <v>238</v>
      </c>
      <c r="H2537" s="5">
        <f t="shared" si="66"/>
        <v>0.27677447280000012</v>
      </c>
      <c r="I2537" s="20">
        <f t="shared" si="67"/>
        <v>65.872324526400021</v>
      </c>
      <c r="J2537" s="6" t="s">
        <v>357</v>
      </c>
    </row>
    <row r="2538" spans="1:10" hidden="1">
      <c r="A2538" s="9">
        <v>46106</v>
      </c>
      <c r="B2538" s="6" t="s">
        <v>3904</v>
      </c>
      <c r="C2538" s="5" t="s">
        <v>3903</v>
      </c>
      <c r="D2538" s="8" t="s">
        <v>306</v>
      </c>
      <c r="E2538" s="6" t="s">
        <v>1024</v>
      </c>
      <c r="F2538" s="6" t="s">
        <v>3567</v>
      </c>
      <c r="G2538" s="5">
        <v>198.4</v>
      </c>
      <c r="H2538" s="5">
        <f t="shared" si="66"/>
        <v>0.27677447280000012</v>
      </c>
      <c r="I2538" s="20">
        <f t="shared" si="67"/>
        <v>54.912055403520021</v>
      </c>
      <c r="J2538" s="6" t="s">
        <v>357</v>
      </c>
    </row>
    <row r="2539" spans="1:10" hidden="1">
      <c r="A2539" s="9">
        <v>46106</v>
      </c>
      <c r="B2539" s="6" t="s">
        <v>3906</v>
      </c>
      <c r="C2539" s="5" t="s">
        <v>3905</v>
      </c>
      <c r="D2539" s="8" t="s">
        <v>306</v>
      </c>
      <c r="E2539" s="6" t="s">
        <v>1024</v>
      </c>
      <c r="F2539" s="6" t="s">
        <v>3567</v>
      </c>
      <c r="G2539" s="5">
        <v>250.6</v>
      </c>
      <c r="H2539" s="5">
        <f t="shared" ref="H2539:H2602" si="68">0.9*0.8*0.7*0.93*(0.9*0.9*0.9*0.9*0.9)</f>
        <v>0.27677447280000012</v>
      </c>
      <c r="I2539" s="20">
        <f t="shared" si="67"/>
        <v>69.359682883680023</v>
      </c>
      <c r="J2539" s="6" t="s">
        <v>357</v>
      </c>
    </row>
    <row r="2540" spans="1:10" hidden="1">
      <c r="A2540" s="9">
        <v>46106</v>
      </c>
      <c r="B2540" s="6" t="s">
        <v>3908</v>
      </c>
      <c r="C2540" s="5" t="s">
        <v>3907</v>
      </c>
      <c r="D2540" s="8" t="s">
        <v>306</v>
      </c>
      <c r="E2540" s="6" t="s">
        <v>1024</v>
      </c>
      <c r="F2540" s="6" t="s">
        <v>3567</v>
      </c>
      <c r="G2540" s="5">
        <v>198.4</v>
      </c>
      <c r="H2540" s="5">
        <f t="shared" si="68"/>
        <v>0.27677447280000012</v>
      </c>
      <c r="I2540" s="20">
        <f t="shared" si="67"/>
        <v>54.912055403520021</v>
      </c>
      <c r="J2540" s="6" t="s">
        <v>357</v>
      </c>
    </row>
    <row r="2541" spans="1:10" hidden="1">
      <c r="A2541" s="9">
        <v>46106</v>
      </c>
      <c r="B2541" s="6" t="s">
        <v>3910</v>
      </c>
      <c r="C2541" s="5" t="s">
        <v>3909</v>
      </c>
      <c r="D2541" s="8" t="s">
        <v>306</v>
      </c>
      <c r="E2541" s="6" t="s">
        <v>1024</v>
      </c>
      <c r="F2541" s="6" t="s">
        <v>3567</v>
      </c>
      <c r="G2541" s="5">
        <v>198.4</v>
      </c>
      <c r="H2541" s="5">
        <f t="shared" si="68"/>
        <v>0.27677447280000012</v>
      </c>
      <c r="I2541" s="20">
        <f t="shared" si="67"/>
        <v>54.912055403520021</v>
      </c>
      <c r="J2541" s="6" t="s">
        <v>357</v>
      </c>
    </row>
    <row r="2542" spans="1:10" hidden="1">
      <c r="A2542" s="9">
        <v>46106</v>
      </c>
      <c r="B2542" s="6" t="s">
        <v>3912</v>
      </c>
      <c r="C2542" s="5" t="s">
        <v>3911</v>
      </c>
      <c r="D2542" s="8" t="s">
        <v>306</v>
      </c>
      <c r="E2542" s="6" t="s">
        <v>1024</v>
      </c>
      <c r="F2542" s="6" t="s">
        <v>3567</v>
      </c>
      <c r="G2542" s="5">
        <v>198.4</v>
      </c>
      <c r="H2542" s="5">
        <f t="shared" si="68"/>
        <v>0.27677447280000012</v>
      </c>
      <c r="I2542" s="20">
        <f t="shared" ref="I2542:I2603" si="69">H2542*G2542</f>
        <v>54.912055403520021</v>
      </c>
      <c r="J2542" s="6" t="s">
        <v>357</v>
      </c>
    </row>
    <row r="2543" spans="1:10" hidden="1">
      <c r="A2543" s="9">
        <v>46106</v>
      </c>
      <c r="B2543" s="6" t="s">
        <v>3914</v>
      </c>
      <c r="C2543" s="5" t="s">
        <v>3913</v>
      </c>
      <c r="D2543" s="8" t="s">
        <v>306</v>
      </c>
      <c r="E2543" s="6" t="s">
        <v>1024</v>
      </c>
      <c r="F2543" s="6" t="s">
        <v>3567</v>
      </c>
      <c r="G2543" s="5">
        <v>157.80000000000001</v>
      </c>
      <c r="H2543" s="5">
        <f t="shared" si="68"/>
        <v>0.27677447280000012</v>
      </c>
      <c r="I2543" s="20">
        <f t="shared" si="69"/>
        <v>43.675011807840022</v>
      </c>
      <c r="J2543" s="6" t="s">
        <v>357</v>
      </c>
    </row>
    <row r="2544" spans="1:10" hidden="1">
      <c r="A2544" s="9">
        <v>46106</v>
      </c>
      <c r="B2544" s="6" t="s">
        <v>3916</v>
      </c>
      <c r="C2544" s="5" t="s">
        <v>3915</v>
      </c>
      <c r="D2544" s="8" t="s">
        <v>306</v>
      </c>
      <c r="E2544" s="6" t="s">
        <v>1024</v>
      </c>
      <c r="F2544" s="6" t="s">
        <v>3567</v>
      </c>
      <c r="G2544" s="5">
        <v>157.80000000000001</v>
      </c>
      <c r="H2544" s="5">
        <f t="shared" si="68"/>
        <v>0.27677447280000012</v>
      </c>
      <c r="I2544" s="20">
        <f t="shared" si="69"/>
        <v>43.675011807840022</v>
      </c>
      <c r="J2544" s="6" t="s">
        <v>357</v>
      </c>
    </row>
    <row r="2545" spans="1:10" hidden="1">
      <c r="A2545" s="9">
        <v>46106</v>
      </c>
      <c r="B2545" s="6" t="s">
        <v>3918</v>
      </c>
      <c r="C2545" s="5" t="s">
        <v>3917</v>
      </c>
      <c r="D2545" s="8" t="s">
        <v>306</v>
      </c>
      <c r="E2545" s="6" t="s">
        <v>1024</v>
      </c>
      <c r="F2545" s="6" t="s">
        <v>3567</v>
      </c>
      <c r="G2545" s="5">
        <v>198.4</v>
      </c>
      <c r="H2545" s="5">
        <f t="shared" si="68"/>
        <v>0.27677447280000012</v>
      </c>
      <c r="I2545" s="20">
        <f t="shared" si="69"/>
        <v>54.912055403520021</v>
      </c>
      <c r="J2545" s="6" t="s">
        <v>357</v>
      </c>
    </row>
    <row r="2546" spans="1:10" hidden="1">
      <c r="A2546" s="9">
        <v>46106</v>
      </c>
      <c r="B2546" s="6" t="s">
        <v>3920</v>
      </c>
      <c r="C2546" s="5" t="s">
        <v>3919</v>
      </c>
      <c r="D2546" s="8" t="s">
        <v>306</v>
      </c>
      <c r="E2546" s="6" t="s">
        <v>1024</v>
      </c>
      <c r="F2546" s="6" t="s">
        <v>3567</v>
      </c>
      <c r="G2546" s="5">
        <v>198.4</v>
      </c>
      <c r="H2546" s="5">
        <f t="shared" si="68"/>
        <v>0.27677447280000012</v>
      </c>
      <c r="I2546" s="20">
        <f t="shared" si="69"/>
        <v>54.912055403520021</v>
      </c>
      <c r="J2546" s="6" t="s">
        <v>357</v>
      </c>
    </row>
    <row r="2547" spans="1:10" hidden="1">
      <c r="A2547" s="9">
        <v>46106</v>
      </c>
      <c r="B2547" s="6" t="s">
        <v>3922</v>
      </c>
      <c r="C2547" s="5" t="s">
        <v>3921</v>
      </c>
      <c r="D2547" s="8" t="s">
        <v>306</v>
      </c>
      <c r="E2547" s="6" t="s">
        <v>1024</v>
      </c>
      <c r="F2547" s="6" t="s">
        <v>3567</v>
      </c>
      <c r="G2547" s="5">
        <v>198.4</v>
      </c>
      <c r="H2547" s="5">
        <f t="shared" si="68"/>
        <v>0.27677447280000012</v>
      </c>
      <c r="I2547" s="20">
        <f t="shared" si="69"/>
        <v>54.912055403520021</v>
      </c>
      <c r="J2547" s="6" t="s">
        <v>357</v>
      </c>
    </row>
    <row r="2548" spans="1:10" hidden="1">
      <c r="A2548" s="9">
        <v>46106</v>
      </c>
      <c r="B2548" s="6" t="s">
        <v>3924</v>
      </c>
      <c r="C2548" s="5" t="s">
        <v>3923</v>
      </c>
      <c r="D2548" s="8" t="s">
        <v>306</v>
      </c>
      <c r="E2548" s="6" t="s">
        <v>1024</v>
      </c>
      <c r="F2548" s="6" t="s">
        <v>3567</v>
      </c>
      <c r="G2548" s="5">
        <v>369.8</v>
      </c>
      <c r="H2548" s="5">
        <f t="shared" si="68"/>
        <v>0.27677447280000012</v>
      </c>
      <c r="I2548" s="20">
        <f t="shared" si="69"/>
        <v>102.35120004144005</v>
      </c>
      <c r="J2548" s="6" t="s">
        <v>357</v>
      </c>
    </row>
    <row r="2549" spans="1:10" hidden="1">
      <c r="A2549" s="9">
        <v>46106</v>
      </c>
      <c r="B2549" s="6" t="s">
        <v>3926</v>
      </c>
      <c r="C2549" s="5" t="s">
        <v>3925</v>
      </c>
      <c r="D2549" s="8" t="s">
        <v>306</v>
      </c>
      <c r="E2549" s="6" t="s">
        <v>1024</v>
      </c>
      <c r="F2549" s="6" t="s">
        <v>3567</v>
      </c>
      <c r="G2549" s="5">
        <v>293.89999999999998</v>
      </c>
      <c r="H2549" s="5">
        <f t="shared" si="68"/>
        <v>0.27677447280000012</v>
      </c>
      <c r="I2549" s="20">
        <f t="shared" si="69"/>
        <v>81.344017555920033</v>
      </c>
      <c r="J2549" s="6" t="s">
        <v>357</v>
      </c>
    </row>
    <row r="2550" spans="1:10" hidden="1">
      <c r="A2550" s="9">
        <v>46106</v>
      </c>
      <c r="B2550" s="6" t="s">
        <v>3928</v>
      </c>
      <c r="C2550" s="5" t="s">
        <v>3927</v>
      </c>
      <c r="D2550" s="8" t="s">
        <v>306</v>
      </c>
      <c r="E2550" s="6" t="s">
        <v>1024</v>
      </c>
      <c r="F2550" s="6" t="s">
        <v>3567</v>
      </c>
      <c r="G2550" s="5">
        <v>556.6</v>
      </c>
      <c r="H2550" s="5">
        <f t="shared" si="68"/>
        <v>0.27677447280000012</v>
      </c>
      <c r="I2550" s="20">
        <f t="shared" si="69"/>
        <v>154.05267156048006</v>
      </c>
      <c r="J2550" s="6" t="s">
        <v>357</v>
      </c>
    </row>
    <row r="2551" spans="1:10" hidden="1">
      <c r="A2551" s="9">
        <v>46106</v>
      </c>
      <c r="B2551" s="6" t="s">
        <v>3930</v>
      </c>
      <c r="C2551" s="5" t="s">
        <v>3929</v>
      </c>
      <c r="D2551" s="8" t="s">
        <v>306</v>
      </c>
      <c r="E2551" s="6" t="s">
        <v>1024</v>
      </c>
      <c r="F2551" s="6" t="s">
        <v>3567</v>
      </c>
      <c r="G2551" s="5">
        <v>529.70000000000005</v>
      </c>
      <c r="H2551" s="5">
        <f t="shared" si="68"/>
        <v>0.27677447280000012</v>
      </c>
      <c r="I2551" s="20">
        <f t="shared" si="69"/>
        <v>146.60743824216007</v>
      </c>
      <c r="J2551" s="6" t="s">
        <v>357</v>
      </c>
    </row>
    <row r="2552" spans="1:10" hidden="1">
      <c r="A2552" s="9">
        <v>46106</v>
      </c>
      <c r="B2552" s="6" t="s">
        <v>3932</v>
      </c>
      <c r="C2552" s="5" t="s">
        <v>3931</v>
      </c>
      <c r="D2552" s="8" t="s">
        <v>306</v>
      </c>
      <c r="E2552" s="6" t="s">
        <v>1024</v>
      </c>
      <c r="F2552" s="6" t="s">
        <v>3567</v>
      </c>
      <c r="G2552" s="5">
        <v>529.70000000000005</v>
      </c>
      <c r="H2552" s="5">
        <f t="shared" si="68"/>
        <v>0.27677447280000012</v>
      </c>
      <c r="I2552" s="20">
        <f t="shared" si="69"/>
        <v>146.60743824216007</v>
      </c>
      <c r="J2552" s="6" t="s">
        <v>357</v>
      </c>
    </row>
    <row r="2553" spans="1:10" hidden="1">
      <c r="A2553" s="9">
        <v>46106</v>
      </c>
      <c r="B2553" s="6" t="s">
        <v>3934</v>
      </c>
      <c r="C2553" s="5" t="s">
        <v>3933</v>
      </c>
      <c r="D2553" s="8" t="s">
        <v>306</v>
      </c>
      <c r="E2553" s="6" t="s">
        <v>1024</v>
      </c>
      <c r="F2553" s="6" t="s">
        <v>3567</v>
      </c>
      <c r="G2553" s="5">
        <v>529.70000000000005</v>
      </c>
      <c r="H2553" s="5">
        <f t="shared" si="68"/>
        <v>0.27677447280000012</v>
      </c>
      <c r="I2553" s="20">
        <f t="shared" si="69"/>
        <v>146.60743824216007</v>
      </c>
      <c r="J2553" s="6" t="s">
        <v>357</v>
      </c>
    </row>
    <row r="2554" spans="1:10" hidden="1">
      <c r="A2554" s="9">
        <v>46106</v>
      </c>
      <c r="B2554" s="6" t="s">
        <v>3936</v>
      </c>
      <c r="C2554" s="5" t="s">
        <v>3935</v>
      </c>
      <c r="D2554" s="8" t="s">
        <v>306</v>
      </c>
      <c r="E2554" s="6" t="s">
        <v>1024</v>
      </c>
      <c r="F2554" s="6" t="s">
        <v>3567</v>
      </c>
      <c r="G2554" s="5">
        <v>524.4</v>
      </c>
      <c r="H2554" s="5">
        <f t="shared" si="68"/>
        <v>0.27677447280000012</v>
      </c>
      <c r="I2554" s="20">
        <f t="shared" si="69"/>
        <v>145.14053353632005</v>
      </c>
      <c r="J2554" s="6" t="s">
        <v>357</v>
      </c>
    </row>
    <row r="2555" spans="1:10" hidden="1">
      <c r="A2555" s="9">
        <v>46106</v>
      </c>
      <c r="B2555" s="6" t="s">
        <v>3938</v>
      </c>
      <c r="C2555" s="5" t="s">
        <v>3937</v>
      </c>
      <c r="D2555" s="8" t="s">
        <v>306</v>
      </c>
      <c r="E2555" s="6" t="s">
        <v>1024</v>
      </c>
      <c r="F2555" s="6" t="s">
        <v>3567</v>
      </c>
      <c r="G2555" s="5">
        <v>529.70000000000005</v>
      </c>
      <c r="H2555" s="5">
        <f t="shared" si="68"/>
        <v>0.27677447280000012</v>
      </c>
      <c r="I2555" s="20">
        <f t="shared" si="69"/>
        <v>146.60743824216007</v>
      </c>
      <c r="J2555" s="6" t="s">
        <v>357</v>
      </c>
    </row>
    <row r="2556" spans="1:10" hidden="1">
      <c r="A2556" s="9">
        <v>46106</v>
      </c>
      <c r="B2556" s="6" t="s">
        <v>3940</v>
      </c>
      <c r="C2556" s="5" t="s">
        <v>3939</v>
      </c>
      <c r="D2556" s="8" t="s">
        <v>306</v>
      </c>
      <c r="E2556" s="6" t="s">
        <v>1024</v>
      </c>
      <c r="F2556" s="6" t="s">
        <v>3567</v>
      </c>
      <c r="G2556" s="5">
        <v>529.70000000000005</v>
      </c>
      <c r="H2556" s="5">
        <f t="shared" si="68"/>
        <v>0.27677447280000012</v>
      </c>
      <c r="I2556" s="20">
        <f t="shared" si="69"/>
        <v>146.60743824216007</v>
      </c>
      <c r="J2556" s="6" t="s">
        <v>357</v>
      </c>
    </row>
    <row r="2557" spans="1:10" hidden="1">
      <c r="A2557" s="9">
        <v>46106</v>
      </c>
      <c r="B2557" s="6" t="s">
        <v>3942</v>
      </c>
      <c r="C2557" s="5" t="s">
        <v>3941</v>
      </c>
      <c r="D2557" s="8" t="s">
        <v>306</v>
      </c>
      <c r="E2557" s="6" t="s">
        <v>1024</v>
      </c>
      <c r="F2557" s="6" t="s">
        <v>3567</v>
      </c>
      <c r="G2557" s="5">
        <v>529.70000000000005</v>
      </c>
      <c r="H2557" s="5">
        <f t="shared" si="68"/>
        <v>0.27677447280000012</v>
      </c>
      <c r="I2557" s="20">
        <f t="shared" si="69"/>
        <v>146.60743824216007</v>
      </c>
      <c r="J2557" s="6" t="s">
        <v>357</v>
      </c>
    </row>
    <row r="2558" spans="1:10" hidden="1">
      <c r="A2558" s="9">
        <v>46106</v>
      </c>
      <c r="B2558" s="6" t="s">
        <v>3944</v>
      </c>
      <c r="C2558" s="5" t="s">
        <v>3943</v>
      </c>
      <c r="D2558" s="8" t="s">
        <v>306</v>
      </c>
      <c r="E2558" s="6" t="s">
        <v>1024</v>
      </c>
      <c r="F2558" s="6" t="s">
        <v>3567</v>
      </c>
      <c r="G2558" s="5">
        <v>529.70000000000005</v>
      </c>
      <c r="H2558" s="5">
        <f t="shared" si="68"/>
        <v>0.27677447280000012</v>
      </c>
      <c r="I2558" s="20">
        <f t="shared" si="69"/>
        <v>146.60743824216007</v>
      </c>
      <c r="J2558" s="6" t="s">
        <v>357</v>
      </c>
    </row>
    <row r="2559" spans="1:10" hidden="1">
      <c r="A2559" s="9">
        <v>46106</v>
      </c>
      <c r="B2559" s="6" t="s">
        <v>3946</v>
      </c>
      <c r="C2559" s="5" t="s">
        <v>3945</v>
      </c>
      <c r="D2559" s="8" t="s">
        <v>306</v>
      </c>
      <c r="E2559" s="6" t="s">
        <v>1024</v>
      </c>
      <c r="F2559" s="6" t="s">
        <v>3567</v>
      </c>
      <c r="G2559" s="5">
        <v>603.5</v>
      </c>
      <c r="H2559" s="5">
        <f t="shared" si="68"/>
        <v>0.27677447280000012</v>
      </c>
      <c r="I2559" s="20">
        <f t="shared" si="69"/>
        <v>167.03339433480008</v>
      </c>
      <c r="J2559" s="6" t="s">
        <v>357</v>
      </c>
    </row>
    <row r="2560" spans="1:10" hidden="1">
      <c r="A2560" s="9">
        <v>46106</v>
      </c>
      <c r="B2560" s="6" t="s">
        <v>3948</v>
      </c>
      <c r="C2560" s="5" t="s">
        <v>3947</v>
      </c>
      <c r="D2560" s="8" t="s">
        <v>306</v>
      </c>
      <c r="E2560" s="6" t="s">
        <v>1024</v>
      </c>
      <c r="F2560" s="6" t="s">
        <v>3567</v>
      </c>
      <c r="G2560" s="5">
        <v>529.70000000000005</v>
      </c>
      <c r="H2560" s="5">
        <f t="shared" si="68"/>
        <v>0.27677447280000012</v>
      </c>
      <c r="I2560" s="20">
        <f t="shared" si="69"/>
        <v>146.60743824216007</v>
      </c>
      <c r="J2560" s="6" t="s">
        <v>357</v>
      </c>
    </row>
    <row r="2561" spans="1:10" hidden="1">
      <c r="A2561" s="9">
        <v>46106</v>
      </c>
      <c r="B2561" s="6" t="s">
        <v>3950</v>
      </c>
      <c r="C2561" s="5" t="s">
        <v>3949</v>
      </c>
      <c r="D2561" s="8" t="s">
        <v>306</v>
      </c>
      <c r="E2561" s="6" t="s">
        <v>1024</v>
      </c>
      <c r="F2561" s="6" t="s">
        <v>3567</v>
      </c>
      <c r="G2561" s="5">
        <v>956.9</v>
      </c>
      <c r="H2561" s="5">
        <f t="shared" si="68"/>
        <v>0.27677447280000012</v>
      </c>
      <c r="I2561" s="20">
        <f t="shared" si="69"/>
        <v>264.84549302232011</v>
      </c>
      <c r="J2561" s="6" t="s">
        <v>357</v>
      </c>
    </row>
    <row r="2562" spans="1:10" hidden="1">
      <c r="A2562" s="9">
        <v>46106</v>
      </c>
      <c r="B2562" s="6" t="s">
        <v>3952</v>
      </c>
      <c r="C2562" s="5" t="s">
        <v>3951</v>
      </c>
      <c r="D2562" s="8" t="s">
        <v>306</v>
      </c>
      <c r="E2562" s="6" t="s">
        <v>1024</v>
      </c>
      <c r="F2562" s="6" t="s">
        <v>3567</v>
      </c>
      <c r="G2562" s="5">
        <v>757.5</v>
      </c>
      <c r="H2562" s="5">
        <f t="shared" si="68"/>
        <v>0.27677447280000012</v>
      </c>
      <c r="I2562" s="20">
        <f t="shared" si="69"/>
        <v>209.65666314600008</v>
      </c>
      <c r="J2562" s="6" t="s">
        <v>357</v>
      </c>
    </row>
    <row r="2563" spans="1:10" hidden="1">
      <c r="A2563" s="9">
        <v>46106</v>
      </c>
      <c r="B2563" s="6" t="s">
        <v>3954</v>
      </c>
      <c r="C2563" s="5" t="s">
        <v>3953</v>
      </c>
      <c r="D2563" s="8" t="s">
        <v>306</v>
      </c>
      <c r="E2563" s="6" t="s">
        <v>1024</v>
      </c>
      <c r="F2563" s="6" t="s">
        <v>3567</v>
      </c>
      <c r="G2563" s="5">
        <v>814</v>
      </c>
      <c r="H2563" s="5">
        <f t="shared" si="68"/>
        <v>0.27677447280000012</v>
      </c>
      <c r="I2563" s="20">
        <f t="shared" si="69"/>
        <v>225.2944208592001</v>
      </c>
      <c r="J2563" s="6" t="s">
        <v>357</v>
      </c>
    </row>
    <row r="2564" spans="1:10" hidden="1">
      <c r="A2564" s="9">
        <v>46106</v>
      </c>
      <c r="B2564" s="6" t="s">
        <v>3956</v>
      </c>
      <c r="C2564" s="5" t="s">
        <v>3955</v>
      </c>
      <c r="D2564" s="8" t="s">
        <v>306</v>
      </c>
      <c r="E2564" s="6" t="s">
        <v>1024</v>
      </c>
      <c r="F2564" s="6" t="s">
        <v>3567</v>
      </c>
      <c r="G2564" s="5">
        <v>857.2</v>
      </c>
      <c r="H2564" s="5">
        <f t="shared" si="68"/>
        <v>0.27677447280000012</v>
      </c>
      <c r="I2564" s="20">
        <f t="shared" si="69"/>
        <v>237.2510780841601</v>
      </c>
      <c r="J2564" s="6" t="s">
        <v>357</v>
      </c>
    </row>
    <row r="2565" spans="1:10" hidden="1">
      <c r="A2565" s="9">
        <v>46106</v>
      </c>
      <c r="B2565" s="6" t="s">
        <v>3958</v>
      </c>
      <c r="C2565" s="5" t="s">
        <v>3957</v>
      </c>
      <c r="D2565" s="8" t="s">
        <v>306</v>
      </c>
      <c r="E2565" s="6" t="s">
        <v>1024</v>
      </c>
      <c r="F2565" s="6" t="s">
        <v>3567</v>
      </c>
      <c r="G2565" s="5">
        <v>998.6</v>
      </c>
      <c r="H2565" s="5">
        <f t="shared" si="68"/>
        <v>0.27677447280000012</v>
      </c>
      <c r="I2565" s="20">
        <f t="shared" si="69"/>
        <v>276.38698853808012</v>
      </c>
      <c r="J2565" s="6" t="s">
        <v>357</v>
      </c>
    </row>
    <row r="2566" spans="1:10" hidden="1">
      <c r="A2566" s="9">
        <v>46106</v>
      </c>
      <c r="B2566" s="6" t="s">
        <v>3960</v>
      </c>
      <c r="C2566" s="5" t="s">
        <v>3959</v>
      </c>
      <c r="D2566" s="8" t="s">
        <v>306</v>
      </c>
      <c r="E2566" s="6" t="s">
        <v>1024</v>
      </c>
      <c r="F2566" s="6" t="s">
        <v>3567</v>
      </c>
      <c r="G2566" s="5">
        <v>708</v>
      </c>
      <c r="H2566" s="5">
        <f t="shared" si="68"/>
        <v>0.27677447280000012</v>
      </c>
      <c r="I2566" s="20">
        <f t="shared" si="69"/>
        <v>195.95632674240008</v>
      </c>
      <c r="J2566" s="6" t="s">
        <v>357</v>
      </c>
    </row>
    <row r="2567" spans="1:10" hidden="1">
      <c r="A2567" s="9">
        <v>46106</v>
      </c>
      <c r="B2567" s="6" t="s">
        <v>3962</v>
      </c>
      <c r="C2567" s="5" t="s">
        <v>3961</v>
      </c>
      <c r="D2567" s="8" t="s">
        <v>306</v>
      </c>
      <c r="E2567" s="6" t="s">
        <v>1024</v>
      </c>
      <c r="F2567" s="6" t="s">
        <v>3567</v>
      </c>
      <c r="G2567" s="5">
        <v>714.8</v>
      </c>
      <c r="H2567" s="5">
        <f t="shared" si="68"/>
        <v>0.27677447280000012</v>
      </c>
      <c r="I2567" s="20">
        <f t="shared" si="69"/>
        <v>197.83839315744007</v>
      </c>
      <c r="J2567" s="6" t="s">
        <v>357</v>
      </c>
    </row>
    <row r="2568" spans="1:10" hidden="1">
      <c r="A2568" s="9">
        <v>46106</v>
      </c>
      <c r="B2568" s="6" t="s">
        <v>3964</v>
      </c>
      <c r="C2568" s="5" t="s">
        <v>3963</v>
      </c>
      <c r="D2568" s="8" t="s">
        <v>306</v>
      </c>
      <c r="E2568" s="6" t="s">
        <v>1024</v>
      </c>
      <c r="F2568" s="6" t="s">
        <v>3567</v>
      </c>
      <c r="G2568" s="5">
        <v>858.3</v>
      </c>
      <c r="H2568" s="5">
        <f t="shared" si="68"/>
        <v>0.27677447280000012</v>
      </c>
      <c r="I2568" s="20">
        <f t="shared" si="69"/>
        <v>237.5555300042401</v>
      </c>
      <c r="J2568" s="6" t="s">
        <v>357</v>
      </c>
    </row>
    <row r="2569" spans="1:10" hidden="1">
      <c r="A2569" s="9">
        <v>46106</v>
      </c>
      <c r="B2569" s="6" t="s">
        <v>3966</v>
      </c>
      <c r="C2569" s="5" t="s">
        <v>3965</v>
      </c>
      <c r="D2569" s="8" t="s">
        <v>306</v>
      </c>
      <c r="E2569" s="6" t="s">
        <v>1024</v>
      </c>
      <c r="F2569" s="6" t="s">
        <v>3567</v>
      </c>
      <c r="G2569" s="5">
        <v>714.8</v>
      </c>
      <c r="H2569" s="5">
        <f t="shared" si="68"/>
        <v>0.27677447280000012</v>
      </c>
      <c r="I2569" s="20">
        <f t="shared" si="69"/>
        <v>197.83839315744007</v>
      </c>
      <c r="J2569" s="6" t="s">
        <v>357</v>
      </c>
    </row>
    <row r="2570" spans="1:10" hidden="1">
      <c r="A2570" s="9">
        <v>46106</v>
      </c>
      <c r="B2570" s="6" t="s">
        <v>3968</v>
      </c>
      <c r="C2570" s="5" t="s">
        <v>3967</v>
      </c>
      <c r="D2570" s="8" t="s">
        <v>306</v>
      </c>
      <c r="E2570" s="6" t="s">
        <v>1024</v>
      </c>
      <c r="F2570" s="6" t="s">
        <v>3567</v>
      </c>
      <c r="G2570" s="5">
        <v>843</v>
      </c>
      <c r="H2570" s="5">
        <f t="shared" si="68"/>
        <v>0.27677447280000012</v>
      </c>
      <c r="I2570" s="20">
        <f t="shared" si="69"/>
        <v>233.32088057040011</v>
      </c>
      <c r="J2570" s="6" t="s">
        <v>357</v>
      </c>
    </row>
    <row r="2571" spans="1:10" hidden="1">
      <c r="A2571" s="9">
        <v>46106</v>
      </c>
      <c r="B2571" s="6" t="s">
        <v>3970</v>
      </c>
      <c r="C2571" s="5" t="s">
        <v>3969</v>
      </c>
      <c r="D2571" s="8" t="s">
        <v>306</v>
      </c>
      <c r="E2571" s="6" t="s">
        <v>1024</v>
      </c>
      <c r="F2571" s="6" t="s">
        <v>3567</v>
      </c>
      <c r="G2571" s="5">
        <v>857.2</v>
      </c>
      <c r="H2571" s="5">
        <f t="shared" si="68"/>
        <v>0.27677447280000012</v>
      </c>
      <c r="I2571" s="20">
        <f t="shared" si="69"/>
        <v>237.2510780841601</v>
      </c>
      <c r="J2571" s="6" t="s">
        <v>357</v>
      </c>
    </row>
    <row r="2572" spans="1:10" hidden="1">
      <c r="A2572" s="9">
        <v>46106</v>
      </c>
      <c r="B2572" s="6" t="s">
        <v>3972</v>
      </c>
      <c r="C2572" s="5" t="s">
        <v>3971</v>
      </c>
      <c r="D2572" s="8" t="s">
        <v>306</v>
      </c>
      <c r="E2572" s="6" t="s">
        <v>1024</v>
      </c>
      <c r="F2572" s="6" t="s">
        <v>3567</v>
      </c>
      <c r="G2572" s="5">
        <v>857.2</v>
      </c>
      <c r="H2572" s="5">
        <f t="shared" si="68"/>
        <v>0.27677447280000012</v>
      </c>
      <c r="I2572" s="20">
        <f t="shared" si="69"/>
        <v>237.2510780841601</v>
      </c>
      <c r="J2572" s="6" t="s">
        <v>357</v>
      </c>
    </row>
    <row r="2573" spans="1:10" hidden="1">
      <c r="A2573" s="9">
        <v>46106</v>
      </c>
      <c r="B2573" s="6" t="s">
        <v>3974</v>
      </c>
      <c r="C2573" s="5" t="s">
        <v>3973</v>
      </c>
      <c r="D2573" s="8" t="s">
        <v>306</v>
      </c>
      <c r="E2573" s="6" t="s">
        <v>1024</v>
      </c>
      <c r="F2573" s="6" t="s">
        <v>3567</v>
      </c>
      <c r="G2573" s="5">
        <v>833.5</v>
      </c>
      <c r="H2573" s="5">
        <f t="shared" si="68"/>
        <v>0.27677447280000012</v>
      </c>
      <c r="I2573" s="20">
        <f t="shared" si="69"/>
        <v>230.69152307880009</v>
      </c>
      <c r="J2573" s="6" t="s">
        <v>357</v>
      </c>
    </row>
    <row r="2574" spans="1:10" hidden="1">
      <c r="A2574" s="9">
        <v>46106</v>
      </c>
      <c r="B2574" s="6" t="s">
        <v>3976</v>
      </c>
      <c r="C2574" s="5" t="s">
        <v>3975</v>
      </c>
      <c r="D2574" s="8" t="s">
        <v>306</v>
      </c>
      <c r="E2574" s="6" t="s">
        <v>1024</v>
      </c>
      <c r="F2574" s="6" t="s">
        <v>3567</v>
      </c>
      <c r="G2574" s="5">
        <v>1249.2</v>
      </c>
      <c r="H2574" s="5">
        <f t="shared" si="68"/>
        <v>0.27677447280000012</v>
      </c>
      <c r="I2574" s="20">
        <f t="shared" si="69"/>
        <v>345.74667142176014</v>
      </c>
      <c r="J2574" s="6" t="s">
        <v>357</v>
      </c>
    </row>
    <row r="2575" spans="1:10" hidden="1">
      <c r="A2575" s="9">
        <v>46106</v>
      </c>
      <c r="B2575" s="6" t="s">
        <v>3978</v>
      </c>
      <c r="C2575" s="5" t="s">
        <v>3977</v>
      </c>
      <c r="D2575" s="8" t="s">
        <v>306</v>
      </c>
      <c r="E2575" s="6" t="s">
        <v>1024</v>
      </c>
      <c r="F2575" s="6" t="s">
        <v>3567</v>
      </c>
      <c r="G2575" s="5">
        <v>1484.4</v>
      </c>
      <c r="H2575" s="5">
        <f t="shared" si="68"/>
        <v>0.27677447280000012</v>
      </c>
      <c r="I2575" s="20">
        <f t="shared" si="69"/>
        <v>410.84402742432019</v>
      </c>
      <c r="J2575" s="6" t="s">
        <v>357</v>
      </c>
    </row>
    <row r="2576" spans="1:10" hidden="1">
      <c r="A2576" s="9">
        <v>46106</v>
      </c>
      <c r="B2576" s="6" t="s">
        <v>3980</v>
      </c>
      <c r="C2576" s="5" t="s">
        <v>3979</v>
      </c>
      <c r="D2576" s="8" t="s">
        <v>306</v>
      </c>
      <c r="E2576" s="6" t="s">
        <v>1024</v>
      </c>
      <c r="F2576" s="6" t="s">
        <v>3567</v>
      </c>
      <c r="G2576" s="5">
        <v>1541.9</v>
      </c>
      <c r="H2576" s="5">
        <f t="shared" si="68"/>
        <v>0.27677447280000012</v>
      </c>
      <c r="I2576" s="20">
        <f t="shared" si="69"/>
        <v>426.75855961032022</v>
      </c>
      <c r="J2576" s="6" t="s">
        <v>357</v>
      </c>
    </row>
    <row r="2577" spans="1:10" hidden="1">
      <c r="A2577" s="9">
        <v>46106</v>
      </c>
      <c r="B2577" s="6" t="s">
        <v>3982</v>
      </c>
      <c r="C2577" s="5" t="s">
        <v>3981</v>
      </c>
      <c r="D2577" s="8" t="s">
        <v>306</v>
      </c>
      <c r="E2577" s="6" t="s">
        <v>1024</v>
      </c>
      <c r="F2577" s="6" t="s">
        <v>3567</v>
      </c>
      <c r="G2577" s="5">
        <v>1624.2</v>
      </c>
      <c r="H2577" s="5">
        <f t="shared" si="68"/>
        <v>0.27677447280000012</v>
      </c>
      <c r="I2577" s="20">
        <f t="shared" si="69"/>
        <v>449.53709872176017</v>
      </c>
      <c r="J2577" s="6" t="s">
        <v>357</v>
      </c>
    </row>
    <row r="2578" spans="1:10" hidden="1">
      <c r="A2578" s="9">
        <v>46106</v>
      </c>
      <c r="B2578" s="6" t="s">
        <v>3984</v>
      </c>
      <c r="C2578" s="5" t="s">
        <v>3983</v>
      </c>
      <c r="D2578" s="8" t="s">
        <v>306</v>
      </c>
      <c r="E2578" s="6" t="s">
        <v>1024</v>
      </c>
      <c r="F2578" s="6" t="s">
        <v>3567</v>
      </c>
      <c r="G2578" s="5">
        <v>1640.6</v>
      </c>
      <c r="H2578" s="5">
        <f t="shared" si="68"/>
        <v>0.27677447280000012</v>
      </c>
      <c r="I2578" s="20">
        <f t="shared" si="69"/>
        <v>454.07620007568016</v>
      </c>
      <c r="J2578" s="6" t="s">
        <v>357</v>
      </c>
    </row>
    <row r="2579" spans="1:10" hidden="1">
      <c r="A2579" s="9">
        <v>46106</v>
      </c>
      <c r="B2579" s="6" t="s">
        <v>3986</v>
      </c>
      <c r="C2579" s="5" t="s">
        <v>3985</v>
      </c>
      <c r="D2579" s="8" t="s">
        <v>306</v>
      </c>
      <c r="E2579" s="6" t="s">
        <v>1024</v>
      </c>
      <c r="F2579" s="6" t="s">
        <v>3567</v>
      </c>
      <c r="G2579" s="5">
        <v>1624.2</v>
      </c>
      <c r="H2579" s="5">
        <f t="shared" si="68"/>
        <v>0.27677447280000012</v>
      </c>
      <c r="I2579" s="20">
        <f t="shared" si="69"/>
        <v>449.53709872176017</v>
      </c>
      <c r="J2579" s="6" t="s">
        <v>357</v>
      </c>
    </row>
    <row r="2580" spans="1:10" hidden="1">
      <c r="A2580" s="9">
        <v>46106</v>
      </c>
      <c r="B2580" s="6" t="s">
        <v>3988</v>
      </c>
      <c r="C2580" s="5" t="s">
        <v>3987</v>
      </c>
      <c r="D2580" s="8" t="s">
        <v>306</v>
      </c>
      <c r="E2580" s="6" t="s">
        <v>1024</v>
      </c>
      <c r="F2580" s="6" t="s">
        <v>3567</v>
      </c>
      <c r="G2580" s="5">
        <v>1286.0999999999999</v>
      </c>
      <c r="H2580" s="5">
        <f t="shared" si="68"/>
        <v>0.27677447280000012</v>
      </c>
      <c r="I2580" s="20">
        <f t="shared" si="69"/>
        <v>355.9596494680801</v>
      </c>
      <c r="J2580" s="6" t="s">
        <v>357</v>
      </c>
    </row>
    <row r="2581" spans="1:10" hidden="1">
      <c r="A2581" s="9">
        <v>46106</v>
      </c>
      <c r="B2581" s="6" t="s">
        <v>3990</v>
      </c>
      <c r="C2581" s="5" t="s">
        <v>3989</v>
      </c>
      <c r="D2581" s="8" t="s">
        <v>306</v>
      </c>
      <c r="E2581" s="6" t="s">
        <v>1024</v>
      </c>
      <c r="F2581" s="6" t="s">
        <v>3567</v>
      </c>
      <c r="G2581" s="5">
        <v>1227</v>
      </c>
      <c r="H2581" s="5">
        <f t="shared" si="68"/>
        <v>0.27677447280000012</v>
      </c>
      <c r="I2581" s="20">
        <f t="shared" si="69"/>
        <v>339.60227812560015</v>
      </c>
      <c r="J2581" s="6" t="s">
        <v>357</v>
      </c>
    </row>
    <row r="2582" spans="1:10" hidden="1">
      <c r="A2582" s="9">
        <v>46106</v>
      </c>
      <c r="B2582" s="6" t="s">
        <v>3992</v>
      </c>
      <c r="C2582" s="5" t="s">
        <v>3991</v>
      </c>
      <c r="D2582" s="8" t="s">
        <v>306</v>
      </c>
      <c r="E2582" s="6" t="s">
        <v>1024</v>
      </c>
      <c r="F2582" s="6" t="s">
        <v>3567</v>
      </c>
      <c r="G2582" s="5">
        <v>1097.2</v>
      </c>
      <c r="H2582" s="5">
        <f t="shared" si="68"/>
        <v>0.27677447280000012</v>
      </c>
      <c r="I2582" s="20">
        <f t="shared" si="69"/>
        <v>303.67695155616013</v>
      </c>
      <c r="J2582" s="6" t="s">
        <v>357</v>
      </c>
    </row>
    <row r="2583" spans="1:10" hidden="1">
      <c r="A2583" s="9">
        <v>46106</v>
      </c>
      <c r="B2583" s="6" t="s">
        <v>3994</v>
      </c>
      <c r="C2583" s="5" t="s">
        <v>3993</v>
      </c>
      <c r="D2583" s="8" t="s">
        <v>306</v>
      </c>
      <c r="E2583" s="6" t="s">
        <v>1024</v>
      </c>
      <c r="F2583" s="6" t="s">
        <v>3567</v>
      </c>
      <c r="G2583" s="5">
        <v>1227</v>
      </c>
      <c r="H2583" s="5">
        <f t="shared" si="68"/>
        <v>0.27677447280000012</v>
      </c>
      <c r="I2583" s="20">
        <f t="shared" si="69"/>
        <v>339.60227812560015</v>
      </c>
      <c r="J2583" s="6" t="s">
        <v>357</v>
      </c>
    </row>
    <row r="2584" spans="1:10" hidden="1">
      <c r="A2584" s="9">
        <v>46106</v>
      </c>
      <c r="B2584" s="6" t="s">
        <v>3996</v>
      </c>
      <c r="C2584" s="5" t="s">
        <v>3995</v>
      </c>
      <c r="D2584" s="8" t="s">
        <v>306</v>
      </c>
      <c r="E2584" s="6" t="s">
        <v>1024</v>
      </c>
      <c r="F2584" s="6" t="s">
        <v>3567</v>
      </c>
      <c r="G2584" s="5">
        <v>1286.0999999999999</v>
      </c>
      <c r="H2584" s="5">
        <f t="shared" si="68"/>
        <v>0.27677447280000012</v>
      </c>
      <c r="I2584" s="20">
        <f t="shared" si="69"/>
        <v>355.9596494680801</v>
      </c>
      <c r="J2584" s="6" t="s">
        <v>357</v>
      </c>
    </row>
    <row r="2585" spans="1:10" hidden="1">
      <c r="A2585" s="9">
        <v>46106</v>
      </c>
      <c r="B2585" s="6" t="s">
        <v>3998</v>
      </c>
      <c r="C2585" s="5" t="s">
        <v>3997</v>
      </c>
      <c r="D2585" s="8" t="s">
        <v>306</v>
      </c>
      <c r="E2585" s="6" t="s">
        <v>1024</v>
      </c>
      <c r="F2585" s="6" t="s">
        <v>3567</v>
      </c>
      <c r="G2585" s="5">
        <v>1286.0999999999999</v>
      </c>
      <c r="H2585" s="5">
        <f t="shared" si="68"/>
        <v>0.27677447280000012</v>
      </c>
      <c r="I2585" s="20">
        <f t="shared" si="69"/>
        <v>355.9596494680801</v>
      </c>
      <c r="J2585" s="6" t="s">
        <v>357</v>
      </c>
    </row>
    <row r="2586" spans="1:10" hidden="1">
      <c r="A2586" s="9">
        <v>46106</v>
      </c>
      <c r="B2586" s="6" t="s">
        <v>4000</v>
      </c>
      <c r="C2586" s="5" t="s">
        <v>3999</v>
      </c>
      <c r="D2586" s="8" t="s">
        <v>306</v>
      </c>
      <c r="E2586" s="6" t="s">
        <v>1024</v>
      </c>
      <c r="F2586" s="6" t="s">
        <v>3567</v>
      </c>
      <c r="G2586" s="5">
        <v>1286.0999999999999</v>
      </c>
      <c r="H2586" s="5">
        <f t="shared" si="68"/>
        <v>0.27677447280000012</v>
      </c>
      <c r="I2586" s="20">
        <f t="shared" si="69"/>
        <v>355.9596494680801</v>
      </c>
      <c r="J2586" s="6" t="s">
        <v>357</v>
      </c>
    </row>
    <row r="2587" spans="1:10" hidden="1">
      <c r="A2587" s="9">
        <v>46106</v>
      </c>
      <c r="B2587" s="6" t="s">
        <v>4002</v>
      </c>
      <c r="C2587" s="5" t="s">
        <v>4001</v>
      </c>
      <c r="D2587" s="8" t="s">
        <v>306</v>
      </c>
      <c r="E2587" s="6" t="s">
        <v>1024</v>
      </c>
      <c r="F2587" s="6" t="s">
        <v>3567</v>
      </c>
      <c r="G2587" s="5">
        <v>1812</v>
      </c>
      <c r="H2587" s="5">
        <f t="shared" si="68"/>
        <v>0.27677447280000012</v>
      </c>
      <c r="I2587" s="20">
        <f t="shared" si="69"/>
        <v>501.5153447136002</v>
      </c>
      <c r="J2587" s="6" t="s">
        <v>357</v>
      </c>
    </row>
    <row r="2588" spans="1:10" hidden="1">
      <c r="A2588" s="9">
        <v>46106</v>
      </c>
      <c r="B2588" s="6" t="s">
        <v>4004</v>
      </c>
      <c r="C2588" s="5" t="s">
        <v>4003</v>
      </c>
      <c r="D2588" s="8" t="s">
        <v>306</v>
      </c>
      <c r="E2588" s="6" t="s">
        <v>1024</v>
      </c>
      <c r="F2588" s="6" t="s">
        <v>3567</v>
      </c>
      <c r="G2588" s="5">
        <v>1812</v>
      </c>
      <c r="H2588" s="5">
        <f t="shared" si="68"/>
        <v>0.27677447280000012</v>
      </c>
      <c r="I2588" s="20">
        <f t="shared" si="69"/>
        <v>501.5153447136002</v>
      </c>
      <c r="J2588" s="6" t="s">
        <v>357</v>
      </c>
    </row>
    <row r="2589" spans="1:10" ht="30" hidden="1">
      <c r="A2589" s="9">
        <v>46106</v>
      </c>
      <c r="B2589" s="110" t="s">
        <v>4006</v>
      </c>
      <c r="C2589" s="5" t="s">
        <v>4005</v>
      </c>
      <c r="D2589" s="8" t="s">
        <v>306</v>
      </c>
      <c r="E2589" s="6" t="s">
        <v>1881</v>
      </c>
      <c r="F2589" s="6" t="s">
        <v>3567</v>
      </c>
      <c r="G2589" s="5">
        <v>1419.6</v>
      </c>
      <c r="H2589" s="5">
        <f t="shared" si="68"/>
        <v>0.27677447280000012</v>
      </c>
      <c r="I2589" s="20">
        <f t="shared" si="69"/>
        <v>392.90904158688016</v>
      </c>
      <c r="J2589" s="6" t="s">
        <v>357</v>
      </c>
    </row>
    <row r="2590" spans="1:10" ht="45" hidden="1">
      <c r="A2590" s="9">
        <v>46106</v>
      </c>
      <c r="B2590" s="110" t="s">
        <v>4008</v>
      </c>
      <c r="C2590" s="5" t="s">
        <v>4007</v>
      </c>
      <c r="D2590" s="8" t="s">
        <v>306</v>
      </c>
      <c r="E2590" s="6" t="s">
        <v>1881</v>
      </c>
      <c r="F2590" s="6" t="s">
        <v>3567</v>
      </c>
      <c r="G2590" s="5">
        <v>2045.2</v>
      </c>
      <c r="H2590" s="5">
        <f t="shared" si="68"/>
        <v>0.27677447280000012</v>
      </c>
      <c r="I2590" s="20">
        <f t="shared" si="69"/>
        <v>566.05915177056022</v>
      </c>
      <c r="J2590" s="6" t="s">
        <v>357</v>
      </c>
    </row>
    <row r="2591" spans="1:10" ht="45" hidden="1">
      <c r="A2591" s="9">
        <v>46106</v>
      </c>
      <c r="B2591" s="110" t="s">
        <v>4010</v>
      </c>
      <c r="C2591" s="5" t="s">
        <v>4009</v>
      </c>
      <c r="D2591" s="8" t="s">
        <v>306</v>
      </c>
      <c r="E2591" s="6" t="s">
        <v>1881</v>
      </c>
      <c r="F2591" s="6" t="s">
        <v>3567</v>
      </c>
      <c r="G2591" s="21">
        <v>2647.6</v>
      </c>
      <c r="H2591" s="5">
        <f t="shared" si="68"/>
        <v>0.27677447280000012</v>
      </c>
      <c r="I2591" s="20">
        <f t="shared" si="69"/>
        <v>732.78809418528033</v>
      </c>
      <c r="J2591" s="6" t="s">
        <v>357</v>
      </c>
    </row>
    <row r="2592" spans="1:10" hidden="1">
      <c r="A2592" s="9">
        <v>46106</v>
      </c>
      <c r="B2592" s="110" t="s">
        <v>4011</v>
      </c>
      <c r="C2592" s="5" t="s">
        <v>3613</v>
      </c>
      <c r="D2592" s="8" t="s">
        <v>306</v>
      </c>
      <c r="E2592" s="6" t="s">
        <v>1024</v>
      </c>
      <c r="F2592" s="6" t="s">
        <v>3567</v>
      </c>
      <c r="G2592" s="5">
        <v>306.5</v>
      </c>
      <c r="H2592" s="5">
        <f t="shared" si="68"/>
        <v>0.27677447280000012</v>
      </c>
      <c r="I2592" s="20">
        <f t="shared" si="69"/>
        <v>84.831375913200034</v>
      </c>
      <c r="J2592" s="6" t="s">
        <v>357</v>
      </c>
    </row>
    <row r="2593" spans="1:10" hidden="1">
      <c r="A2593" s="9">
        <v>46106</v>
      </c>
      <c r="B2593" s="6" t="s">
        <v>4013</v>
      </c>
      <c r="C2593" s="5" t="s">
        <v>4012</v>
      </c>
      <c r="D2593" s="8" t="s">
        <v>306</v>
      </c>
      <c r="E2593" s="6" t="s">
        <v>1024</v>
      </c>
      <c r="F2593" s="6" t="s">
        <v>3567</v>
      </c>
      <c r="G2593" s="5">
        <v>262.7</v>
      </c>
      <c r="H2593" s="5">
        <f t="shared" si="68"/>
        <v>0.27677447280000012</v>
      </c>
      <c r="I2593" s="20">
        <f t="shared" si="69"/>
        <v>72.708654004560032</v>
      </c>
      <c r="J2593" s="6" t="s">
        <v>357</v>
      </c>
    </row>
    <row r="2594" spans="1:10" hidden="1">
      <c r="A2594" s="9">
        <v>46106</v>
      </c>
      <c r="B2594" s="6" t="s">
        <v>4015</v>
      </c>
      <c r="C2594" s="5" t="s">
        <v>4014</v>
      </c>
      <c r="D2594" s="8" t="s">
        <v>306</v>
      </c>
      <c r="E2594" s="6" t="s">
        <v>1024</v>
      </c>
      <c r="F2594" s="6" t="s">
        <v>3567</v>
      </c>
      <c r="G2594" s="5">
        <v>262.7</v>
      </c>
      <c r="H2594" s="5">
        <f t="shared" si="68"/>
        <v>0.27677447280000012</v>
      </c>
      <c r="I2594" s="20">
        <f t="shared" si="69"/>
        <v>72.708654004560032</v>
      </c>
      <c r="J2594" s="6" t="s">
        <v>357</v>
      </c>
    </row>
    <row r="2595" spans="1:10" hidden="1">
      <c r="A2595" s="9">
        <v>46106</v>
      </c>
      <c r="B2595" s="6" t="s">
        <v>4017</v>
      </c>
      <c r="C2595" s="5" t="s">
        <v>4016</v>
      </c>
      <c r="D2595" s="8" t="s">
        <v>306</v>
      </c>
      <c r="E2595" s="6" t="s">
        <v>1024</v>
      </c>
      <c r="F2595" s="6" t="s">
        <v>3567</v>
      </c>
      <c r="G2595" s="5">
        <v>294.39999999999998</v>
      </c>
      <c r="H2595" s="5">
        <f t="shared" si="68"/>
        <v>0.27677447280000012</v>
      </c>
      <c r="I2595" s="20">
        <f t="shared" si="69"/>
        <v>81.482404792320025</v>
      </c>
      <c r="J2595" s="6" t="s">
        <v>357</v>
      </c>
    </row>
    <row r="2596" spans="1:10" hidden="1">
      <c r="A2596" s="9">
        <v>46106</v>
      </c>
      <c r="B2596" s="6" t="s">
        <v>4018</v>
      </c>
      <c r="C2596" s="5" t="s">
        <v>3639</v>
      </c>
      <c r="D2596" s="8" t="s">
        <v>306</v>
      </c>
      <c r="E2596" s="6" t="s">
        <v>1024</v>
      </c>
      <c r="F2596" s="6" t="s">
        <v>3567</v>
      </c>
      <c r="G2596" s="5">
        <v>511.7</v>
      </c>
      <c r="H2596" s="5">
        <f t="shared" si="68"/>
        <v>0.27677447280000012</v>
      </c>
      <c r="I2596" s="20">
        <f t="shared" si="69"/>
        <v>141.62549773176005</v>
      </c>
      <c r="J2596" s="6" t="s">
        <v>357</v>
      </c>
    </row>
    <row r="2597" spans="1:10" hidden="1">
      <c r="A2597" s="9">
        <v>46106</v>
      </c>
      <c r="B2597" s="6" t="s">
        <v>4020</v>
      </c>
      <c r="C2597" s="5" t="s">
        <v>4019</v>
      </c>
      <c r="D2597" s="8" t="s">
        <v>306</v>
      </c>
      <c r="E2597" s="6" t="s">
        <v>1024</v>
      </c>
      <c r="F2597" s="6" t="s">
        <v>3567</v>
      </c>
      <c r="G2597" s="5">
        <v>519.1</v>
      </c>
      <c r="H2597" s="5">
        <f t="shared" si="68"/>
        <v>0.27677447280000012</v>
      </c>
      <c r="I2597" s="20">
        <f t="shared" si="69"/>
        <v>143.67362883048006</v>
      </c>
      <c r="J2597" s="6" t="s">
        <v>357</v>
      </c>
    </row>
    <row r="2598" spans="1:10" hidden="1">
      <c r="A2598" s="9">
        <v>46106</v>
      </c>
      <c r="B2598" s="6" t="s">
        <v>4022</v>
      </c>
      <c r="C2598" s="5" t="s">
        <v>4021</v>
      </c>
      <c r="D2598" s="8" t="s">
        <v>306</v>
      </c>
      <c r="E2598" s="6" t="s">
        <v>1024</v>
      </c>
      <c r="F2598" s="6" t="s">
        <v>3567</v>
      </c>
      <c r="G2598" s="5">
        <v>537</v>
      </c>
      <c r="H2598" s="5">
        <f t="shared" si="68"/>
        <v>0.27677447280000012</v>
      </c>
      <c r="I2598" s="20">
        <f t="shared" si="69"/>
        <v>148.62789189360007</v>
      </c>
      <c r="J2598" s="6" t="s">
        <v>357</v>
      </c>
    </row>
    <row r="2599" spans="1:10" hidden="1">
      <c r="A2599" s="9">
        <v>46106</v>
      </c>
      <c r="B2599" s="6" t="s">
        <v>4024</v>
      </c>
      <c r="C2599" s="5" t="s">
        <v>4023</v>
      </c>
      <c r="D2599" s="8" t="s">
        <v>306</v>
      </c>
      <c r="E2599" s="6" t="s">
        <v>1024</v>
      </c>
      <c r="F2599" s="6" t="s">
        <v>3567</v>
      </c>
      <c r="G2599" s="5">
        <v>537</v>
      </c>
      <c r="H2599" s="5">
        <f t="shared" si="68"/>
        <v>0.27677447280000012</v>
      </c>
      <c r="I2599" s="20">
        <f t="shared" si="69"/>
        <v>148.62789189360007</v>
      </c>
      <c r="J2599" s="6" t="s">
        <v>357</v>
      </c>
    </row>
    <row r="2600" spans="1:10" hidden="1">
      <c r="A2600" s="9">
        <v>46106</v>
      </c>
      <c r="B2600" s="6" t="s">
        <v>4025</v>
      </c>
      <c r="C2600" s="5" t="s">
        <v>3665</v>
      </c>
      <c r="D2600" s="8" t="s">
        <v>306</v>
      </c>
      <c r="E2600" s="6" t="s">
        <v>1024</v>
      </c>
      <c r="F2600" s="6" t="s">
        <v>3567</v>
      </c>
      <c r="G2600" s="5">
        <v>767.6</v>
      </c>
      <c r="H2600" s="5">
        <f t="shared" si="68"/>
        <v>0.27677447280000012</v>
      </c>
      <c r="I2600" s="20">
        <f t="shared" si="69"/>
        <v>212.45208532128009</v>
      </c>
      <c r="J2600" s="6" t="s">
        <v>357</v>
      </c>
    </row>
    <row r="2601" spans="1:10" hidden="1">
      <c r="A2601" s="9">
        <v>46106</v>
      </c>
      <c r="B2601" s="6" t="s">
        <v>4027</v>
      </c>
      <c r="C2601" s="5" t="s">
        <v>4026</v>
      </c>
      <c r="D2601" s="8" t="s">
        <v>306</v>
      </c>
      <c r="E2601" s="6" t="s">
        <v>1024</v>
      </c>
      <c r="F2601" s="6" t="s">
        <v>3567</v>
      </c>
      <c r="G2601" s="5">
        <v>767.6</v>
      </c>
      <c r="H2601" s="5">
        <f t="shared" si="68"/>
        <v>0.27677447280000012</v>
      </c>
      <c r="I2601" s="20">
        <f t="shared" si="69"/>
        <v>212.45208532128009</v>
      </c>
      <c r="J2601" s="6" t="s">
        <v>357</v>
      </c>
    </row>
    <row r="2602" spans="1:10" hidden="1">
      <c r="A2602" s="9">
        <v>46106</v>
      </c>
      <c r="B2602" s="6" t="s">
        <v>4029</v>
      </c>
      <c r="C2602" s="5" t="s">
        <v>4028</v>
      </c>
      <c r="D2602" s="8" t="s">
        <v>306</v>
      </c>
      <c r="E2602" s="6" t="s">
        <v>1024</v>
      </c>
      <c r="F2602" s="6" t="s">
        <v>3567</v>
      </c>
      <c r="G2602" s="5">
        <v>790.2</v>
      </c>
      <c r="H2602" s="5">
        <f t="shared" si="68"/>
        <v>0.27677447280000012</v>
      </c>
      <c r="I2602" s="20">
        <f t="shared" si="69"/>
        <v>218.70718840656011</v>
      </c>
      <c r="J2602" s="6" t="s">
        <v>357</v>
      </c>
    </row>
    <row r="2603" spans="1:10" hidden="1">
      <c r="A2603" s="9">
        <v>46106</v>
      </c>
      <c r="B2603" s="6" t="s">
        <v>4031</v>
      </c>
      <c r="C2603" s="5" t="s">
        <v>4030</v>
      </c>
      <c r="D2603" s="8" t="s">
        <v>306</v>
      </c>
      <c r="E2603" s="6" t="s">
        <v>1024</v>
      </c>
      <c r="F2603" s="6" t="s">
        <v>3567</v>
      </c>
      <c r="G2603" s="5">
        <v>805.5</v>
      </c>
      <c r="H2603" s="5">
        <f t="shared" ref="H2603:H2666" si="70">0.9*0.8*0.7*0.93*(0.9*0.9*0.9*0.9*0.9)</f>
        <v>0.27677447280000012</v>
      </c>
      <c r="I2603" s="20">
        <f t="shared" si="69"/>
        <v>222.9418378404001</v>
      </c>
      <c r="J2603" s="6" t="s">
        <v>357</v>
      </c>
    </row>
    <row r="2604" spans="1:10" hidden="1">
      <c r="A2604" s="9">
        <v>46106</v>
      </c>
      <c r="B2604" s="6" t="s">
        <v>4032</v>
      </c>
      <c r="C2604" s="5" t="s">
        <v>3691</v>
      </c>
      <c r="D2604" s="8" t="s">
        <v>306</v>
      </c>
      <c r="E2604" s="6" t="s">
        <v>1024</v>
      </c>
      <c r="F2604" s="6" t="s">
        <v>3567</v>
      </c>
      <c r="G2604" s="5">
        <v>1119.9000000000001</v>
      </c>
      <c r="H2604" s="5">
        <f t="shared" si="70"/>
        <v>0.27677447280000012</v>
      </c>
      <c r="I2604" s="20">
        <f>H2604*G2605</f>
        <v>310.12579677240012</v>
      </c>
      <c r="J2604" s="6" t="s">
        <v>357</v>
      </c>
    </row>
    <row r="2605" spans="1:10" hidden="1">
      <c r="A2605" s="9">
        <v>46106</v>
      </c>
      <c r="B2605" s="6" t="s">
        <v>4034</v>
      </c>
      <c r="C2605" s="5" t="s">
        <v>4033</v>
      </c>
      <c r="D2605" s="8" t="s">
        <v>306</v>
      </c>
      <c r="E2605" s="6" t="s">
        <v>1024</v>
      </c>
      <c r="F2605" s="6" t="s">
        <v>3567</v>
      </c>
      <c r="G2605" s="5">
        <v>1120.5</v>
      </c>
      <c r="H2605" s="5">
        <f t="shared" si="70"/>
        <v>0.27677447280000012</v>
      </c>
      <c r="I2605" s="20">
        <f>H2605*G2606</f>
        <v>315.35683430832017</v>
      </c>
      <c r="J2605" s="6" t="s">
        <v>357</v>
      </c>
    </row>
    <row r="2606" spans="1:10" hidden="1">
      <c r="A2606" s="9">
        <v>46106</v>
      </c>
      <c r="B2606" s="6" t="s">
        <v>4036</v>
      </c>
      <c r="C2606" s="5" t="s">
        <v>4035</v>
      </c>
      <c r="D2606" s="8" t="s">
        <v>306</v>
      </c>
      <c r="E2606" s="6" t="s">
        <v>1024</v>
      </c>
      <c r="F2606" s="6" t="s">
        <v>3567</v>
      </c>
      <c r="G2606" s="5">
        <v>1139.4000000000001</v>
      </c>
      <c r="H2606" s="5">
        <f t="shared" si="70"/>
        <v>0.27677447280000012</v>
      </c>
      <c r="I2606" s="20">
        <f>H2606*G2607</f>
        <v>325.4314251182401</v>
      </c>
      <c r="J2606" s="6" t="s">
        <v>357</v>
      </c>
    </row>
    <row r="2607" spans="1:10" hidden="1">
      <c r="A2607" s="9">
        <v>46106</v>
      </c>
      <c r="B2607" s="6" t="s">
        <v>4038</v>
      </c>
      <c r="C2607" s="5" t="s">
        <v>4037</v>
      </c>
      <c r="D2607" s="8" t="s">
        <v>306</v>
      </c>
      <c r="E2607" s="6" t="s">
        <v>1024</v>
      </c>
      <c r="F2607" s="6" t="s">
        <v>3567</v>
      </c>
      <c r="G2607" s="5">
        <v>1175.8</v>
      </c>
      <c r="H2607" s="5">
        <f t="shared" si="70"/>
        <v>0.27677447280000012</v>
      </c>
      <c r="I2607" s="20">
        <f>H2607*G2608</f>
        <v>810.31262401656033</v>
      </c>
      <c r="J2607" s="6" t="s">
        <v>357</v>
      </c>
    </row>
    <row r="2608" spans="1:10" hidden="1">
      <c r="A2608" s="9">
        <v>46106</v>
      </c>
      <c r="B2608" s="6" t="s">
        <v>4039</v>
      </c>
      <c r="C2608" s="5" t="s">
        <v>3769</v>
      </c>
      <c r="D2608" s="8" t="s">
        <v>306</v>
      </c>
      <c r="E2608" s="6" t="s">
        <v>1024</v>
      </c>
      <c r="F2608" s="6" t="s">
        <v>3567</v>
      </c>
      <c r="G2608" s="5">
        <v>2927.7</v>
      </c>
      <c r="H2608" s="5">
        <f t="shared" si="70"/>
        <v>0.27677447280000012</v>
      </c>
      <c r="I2608" s="20">
        <f t="shared" ref="I2608:I2639" si="71">H2608*G2608</f>
        <v>810.31262401656033</v>
      </c>
      <c r="J2608" s="6" t="s">
        <v>357</v>
      </c>
    </row>
    <row r="2609" spans="1:10" hidden="1">
      <c r="A2609" s="9">
        <v>46106</v>
      </c>
      <c r="B2609" s="6" t="s">
        <v>4041</v>
      </c>
      <c r="C2609" s="5" t="s">
        <v>4040</v>
      </c>
      <c r="D2609" s="8" t="s">
        <v>306</v>
      </c>
      <c r="E2609" s="6" t="s">
        <v>1024</v>
      </c>
      <c r="F2609" s="6" t="s">
        <v>3567</v>
      </c>
      <c r="G2609" s="5">
        <v>2319.5</v>
      </c>
      <c r="H2609" s="5">
        <f t="shared" si="70"/>
        <v>0.27677447280000012</v>
      </c>
      <c r="I2609" s="20">
        <f t="shared" si="71"/>
        <v>641.97838965960023</v>
      </c>
      <c r="J2609" s="6" t="s">
        <v>357</v>
      </c>
    </row>
    <row r="2610" spans="1:10" hidden="1">
      <c r="A2610" s="9">
        <v>46106</v>
      </c>
      <c r="B2610" s="6" t="s">
        <v>4043</v>
      </c>
      <c r="C2610" s="5" t="s">
        <v>4042</v>
      </c>
      <c r="D2610" s="8" t="s">
        <v>306</v>
      </c>
      <c r="E2610" s="6" t="s">
        <v>1024</v>
      </c>
      <c r="F2610" s="6" t="s">
        <v>3567</v>
      </c>
      <c r="G2610" s="5">
        <v>2319.5</v>
      </c>
      <c r="H2610" s="5">
        <f t="shared" si="70"/>
        <v>0.27677447280000012</v>
      </c>
      <c r="I2610" s="20">
        <f t="shared" si="71"/>
        <v>641.97838965960023</v>
      </c>
      <c r="J2610" s="6" t="s">
        <v>357</v>
      </c>
    </row>
    <row r="2611" spans="1:10" hidden="1">
      <c r="A2611" s="9">
        <v>46106</v>
      </c>
      <c r="B2611" s="6" t="s">
        <v>4045</v>
      </c>
      <c r="C2611" s="5" t="s">
        <v>4044</v>
      </c>
      <c r="D2611" s="8" t="s">
        <v>306</v>
      </c>
      <c r="E2611" s="6" t="s">
        <v>1024</v>
      </c>
      <c r="F2611" s="6" t="s">
        <v>3567</v>
      </c>
      <c r="G2611" s="5">
        <v>3458.9</v>
      </c>
      <c r="H2611" s="5">
        <f t="shared" si="70"/>
        <v>0.27677447280000012</v>
      </c>
      <c r="I2611" s="20">
        <f t="shared" si="71"/>
        <v>957.33522396792046</v>
      </c>
      <c r="J2611" s="6" t="s">
        <v>357</v>
      </c>
    </row>
    <row r="2612" spans="1:10" hidden="1">
      <c r="A2612" s="9">
        <v>46106</v>
      </c>
      <c r="B2612" s="6" t="s">
        <v>4047</v>
      </c>
      <c r="C2612" s="5" t="s">
        <v>4046</v>
      </c>
      <c r="D2612" s="8" t="s">
        <v>306</v>
      </c>
      <c r="E2612" s="6" t="s">
        <v>1024</v>
      </c>
      <c r="F2612" s="6" t="s">
        <v>3567</v>
      </c>
      <c r="G2612" s="5">
        <v>459.5</v>
      </c>
      <c r="H2612" s="5">
        <f t="shared" si="70"/>
        <v>0.27677447280000012</v>
      </c>
      <c r="I2612" s="20">
        <f t="shared" si="71"/>
        <v>127.17787025160005</v>
      </c>
      <c r="J2612" s="6" t="s">
        <v>357</v>
      </c>
    </row>
    <row r="2613" spans="1:10" hidden="1">
      <c r="A2613" s="9">
        <v>46106</v>
      </c>
      <c r="B2613" s="6" t="s">
        <v>4049</v>
      </c>
      <c r="C2613" s="5" t="s">
        <v>4048</v>
      </c>
      <c r="D2613" s="8" t="s">
        <v>306</v>
      </c>
      <c r="E2613" s="6" t="s">
        <v>1024</v>
      </c>
      <c r="F2613" s="6" t="s">
        <v>3567</v>
      </c>
      <c r="G2613" s="5">
        <v>586.6</v>
      </c>
      <c r="H2613" s="5">
        <f t="shared" si="70"/>
        <v>0.27677447280000012</v>
      </c>
      <c r="I2613" s="20">
        <f t="shared" si="71"/>
        <v>162.35590574448008</v>
      </c>
      <c r="J2613" s="6" t="s">
        <v>357</v>
      </c>
    </row>
    <row r="2614" spans="1:10" hidden="1">
      <c r="A2614" s="9">
        <v>46106</v>
      </c>
      <c r="B2614" s="6" t="s">
        <v>4051</v>
      </c>
      <c r="C2614" s="5" t="s">
        <v>4050</v>
      </c>
      <c r="D2614" s="8" t="s">
        <v>306</v>
      </c>
      <c r="E2614" s="6" t="s">
        <v>1024</v>
      </c>
      <c r="F2614" s="6" t="s">
        <v>3567</v>
      </c>
      <c r="G2614" s="5">
        <v>608.79999999999995</v>
      </c>
      <c r="H2614" s="5">
        <f t="shared" si="70"/>
        <v>0.27677447280000012</v>
      </c>
      <c r="I2614" s="20">
        <f t="shared" si="71"/>
        <v>168.50029904064004</v>
      </c>
      <c r="J2614" s="6" t="s">
        <v>357</v>
      </c>
    </row>
    <row r="2615" spans="1:10" hidden="1">
      <c r="A2615" s="9">
        <v>46106</v>
      </c>
      <c r="B2615" s="6" t="s">
        <v>4053</v>
      </c>
      <c r="C2615" s="5" t="s">
        <v>4052</v>
      </c>
      <c r="D2615" s="8" t="s">
        <v>306</v>
      </c>
      <c r="E2615" s="6" t="s">
        <v>1024</v>
      </c>
      <c r="F2615" s="6" t="s">
        <v>3567</v>
      </c>
      <c r="G2615" s="5">
        <v>1186.4000000000001</v>
      </c>
      <c r="H2615" s="5">
        <f t="shared" si="70"/>
        <v>0.27677447280000012</v>
      </c>
      <c r="I2615" s="20">
        <f t="shared" si="71"/>
        <v>328.36523452992014</v>
      </c>
      <c r="J2615" s="6" t="s">
        <v>357</v>
      </c>
    </row>
    <row r="2616" spans="1:10" hidden="1">
      <c r="A2616" s="9">
        <v>46106</v>
      </c>
      <c r="B2616" s="6" t="s">
        <v>4055</v>
      </c>
      <c r="C2616" s="5" t="s">
        <v>4054</v>
      </c>
      <c r="D2616" s="8" t="s">
        <v>306</v>
      </c>
      <c r="E2616" s="6" t="s">
        <v>1024</v>
      </c>
      <c r="F2616" s="6" t="s">
        <v>3567</v>
      </c>
      <c r="G2616" s="5">
        <v>1242.8</v>
      </c>
      <c r="H2616" s="5">
        <f t="shared" si="70"/>
        <v>0.27677447280000012</v>
      </c>
      <c r="I2616" s="20">
        <f t="shared" si="71"/>
        <v>343.97531479584012</v>
      </c>
      <c r="J2616" s="6" t="s">
        <v>357</v>
      </c>
    </row>
    <row r="2617" spans="1:10" hidden="1">
      <c r="A2617" s="9">
        <v>46106</v>
      </c>
      <c r="B2617" s="6" t="s">
        <v>4057</v>
      </c>
      <c r="C2617" s="5" t="s">
        <v>4056</v>
      </c>
      <c r="D2617" s="8" t="s">
        <v>306</v>
      </c>
      <c r="E2617" s="6" t="s">
        <v>1024</v>
      </c>
      <c r="F2617" s="6" t="s">
        <v>3567</v>
      </c>
      <c r="G2617" s="5">
        <v>1792</v>
      </c>
      <c r="H2617" s="5">
        <f t="shared" si="70"/>
        <v>0.27677447280000012</v>
      </c>
      <c r="I2617" s="20">
        <f t="shared" si="71"/>
        <v>495.97985525760021</v>
      </c>
      <c r="J2617" s="6" t="s">
        <v>357</v>
      </c>
    </row>
    <row r="2618" spans="1:10" hidden="1">
      <c r="A2618" s="9">
        <v>46106</v>
      </c>
      <c r="B2618" s="6" t="s">
        <v>4059</v>
      </c>
      <c r="C2618" s="5" t="s">
        <v>4058</v>
      </c>
      <c r="D2618" s="8" t="s">
        <v>306</v>
      </c>
      <c r="E2618" s="6" t="s">
        <v>1024</v>
      </c>
      <c r="F2618" s="6" t="s">
        <v>3567</v>
      </c>
      <c r="G2618" s="5">
        <v>1859.5</v>
      </c>
      <c r="H2618" s="5">
        <f t="shared" si="70"/>
        <v>0.27677447280000012</v>
      </c>
      <c r="I2618" s="20">
        <f t="shared" si="71"/>
        <v>514.66213217160021</v>
      </c>
      <c r="J2618" s="6" t="s">
        <v>357</v>
      </c>
    </row>
    <row r="2619" spans="1:10" hidden="1">
      <c r="A2619" s="9">
        <v>46106</v>
      </c>
      <c r="B2619" s="6" t="s">
        <v>4061</v>
      </c>
      <c r="C2619" s="5" t="s">
        <v>4060</v>
      </c>
      <c r="D2619" s="8" t="s">
        <v>306</v>
      </c>
      <c r="E2619" s="6" t="s">
        <v>1024</v>
      </c>
      <c r="F2619" s="6" t="s">
        <v>3567</v>
      </c>
      <c r="G2619" s="5">
        <v>1949.7</v>
      </c>
      <c r="H2619" s="5">
        <f t="shared" si="70"/>
        <v>0.27677447280000012</v>
      </c>
      <c r="I2619" s="20">
        <f t="shared" si="71"/>
        <v>539.62718961816029</v>
      </c>
      <c r="J2619" s="6" t="s">
        <v>357</v>
      </c>
    </row>
    <row r="2620" spans="1:10" hidden="1">
      <c r="A2620" s="9">
        <v>46106</v>
      </c>
      <c r="B2620" s="6" t="s">
        <v>4063</v>
      </c>
      <c r="C2620" s="5" t="s">
        <v>4062</v>
      </c>
      <c r="D2620" s="8" t="s">
        <v>306</v>
      </c>
      <c r="E2620" s="6" t="s">
        <v>1024</v>
      </c>
      <c r="F2620" s="6" t="s">
        <v>3567</v>
      </c>
      <c r="G2620" s="5">
        <v>2044.1</v>
      </c>
      <c r="H2620" s="5">
        <f t="shared" si="70"/>
        <v>0.27677447280000012</v>
      </c>
      <c r="I2620" s="20">
        <f t="shared" si="71"/>
        <v>565.75469985048016</v>
      </c>
      <c r="J2620" s="6" t="s">
        <v>357</v>
      </c>
    </row>
    <row r="2621" spans="1:10" hidden="1">
      <c r="A2621" s="9">
        <v>46106</v>
      </c>
      <c r="B2621" s="6" t="s">
        <v>4065</v>
      </c>
      <c r="C2621" s="5" t="s">
        <v>4064</v>
      </c>
      <c r="D2621" s="8" t="s">
        <v>306</v>
      </c>
      <c r="E2621" s="6" t="s">
        <v>1024</v>
      </c>
      <c r="F2621" s="6" t="s">
        <v>3567</v>
      </c>
      <c r="G2621" s="5">
        <v>2344.8000000000002</v>
      </c>
      <c r="H2621" s="5">
        <f t="shared" si="70"/>
        <v>0.27677447280000012</v>
      </c>
      <c r="I2621" s="20">
        <f t="shared" si="71"/>
        <v>648.98078382144035</v>
      </c>
      <c r="J2621" s="6" t="s">
        <v>357</v>
      </c>
    </row>
    <row r="2622" spans="1:10" hidden="1">
      <c r="A2622" s="9">
        <v>46106</v>
      </c>
      <c r="B2622" s="6" t="s">
        <v>4067</v>
      </c>
      <c r="C2622" s="5" t="s">
        <v>4066</v>
      </c>
      <c r="D2622" s="8" t="s">
        <v>306</v>
      </c>
      <c r="E2622" s="6" t="s">
        <v>1024</v>
      </c>
      <c r="F2622" s="6" t="s">
        <v>3567</v>
      </c>
      <c r="G2622" s="5">
        <v>2832.2</v>
      </c>
      <c r="H2622" s="5">
        <f t="shared" si="70"/>
        <v>0.27677447280000012</v>
      </c>
      <c r="I2622" s="20">
        <f t="shared" si="71"/>
        <v>783.88066186416029</v>
      </c>
      <c r="J2622" s="6" t="s">
        <v>357</v>
      </c>
    </row>
    <row r="2623" spans="1:10" hidden="1">
      <c r="A2623" s="9">
        <v>46106</v>
      </c>
      <c r="B2623" s="6" t="s">
        <v>4069</v>
      </c>
      <c r="C2623" s="5" t="s">
        <v>4068</v>
      </c>
      <c r="D2623" s="8" t="s">
        <v>306</v>
      </c>
      <c r="E2623" s="6" t="s">
        <v>1024</v>
      </c>
      <c r="F2623" s="6" t="s">
        <v>3567</v>
      </c>
      <c r="G2623" s="5">
        <v>2960.9</v>
      </c>
      <c r="H2623" s="5">
        <f t="shared" si="70"/>
        <v>0.27677447280000012</v>
      </c>
      <c r="I2623" s="20">
        <f t="shared" si="71"/>
        <v>819.50153651352036</v>
      </c>
      <c r="J2623" s="6" t="s">
        <v>357</v>
      </c>
    </row>
    <row r="2624" spans="1:10" hidden="1">
      <c r="A2624" s="9">
        <v>46106</v>
      </c>
      <c r="B2624" s="6" t="s">
        <v>4071</v>
      </c>
      <c r="C2624" s="5" t="s">
        <v>4070</v>
      </c>
      <c r="D2624" s="8" t="s">
        <v>306</v>
      </c>
      <c r="E2624" s="6" t="s">
        <v>1024</v>
      </c>
      <c r="F2624" s="6" t="s">
        <v>3567</v>
      </c>
      <c r="G2624" s="5">
        <v>3390.8</v>
      </c>
      <c r="H2624" s="5">
        <f t="shared" si="70"/>
        <v>0.27677447280000012</v>
      </c>
      <c r="I2624" s="20">
        <f t="shared" si="71"/>
        <v>938.48688237024044</v>
      </c>
      <c r="J2624" s="6" t="s">
        <v>357</v>
      </c>
    </row>
    <row r="2625" spans="1:10" hidden="1">
      <c r="A2625" s="9">
        <v>46106</v>
      </c>
      <c r="B2625" s="216" t="s">
        <v>7150</v>
      </c>
      <c r="C2625" s="5" t="s">
        <v>7151</v>
      </c>
      <c r="D2625" s="8" t="s">
        <v>306</v>
      </c>
      <c r="E2625" s="25" t="s">
        <v>1024</v>
      </c>
      <c r="F2625" s="25" t="s">
        <v>3567</v>
      </c>
      <c r="G2625" s="31">
        <v>265.89999999999998</v>
      </c>
      <c r="H2625" s="5">
        <f t="shared" si="70"/>
        <v>0.27677447280000012</v>
      </c>
      <c r="I2625" s="20">
        <f t="shared" si="71"/>
        <v>73.594332317520028</v>
      </c>
      <c r="J2625" s="6" t="s">
        <v>357</v>
      </c>
    </row>
    <row r="2626" spans="1:10" hidden="1">
      <c r="A2626" s="9">
        <v>46106</v>
      </c>
      <c r="B2626" s="216" t="s">
        <v>7153</v>
      </c>
      <c r="C2626" s="5" t="s">
        <v>7152</v>
      </c>
      <c r="D2626" s="8" t="s">
        <v>306</v>
      </c>
      <c r="E2626" s="25" t="s">
        <v>1024</v>
      </c>
      <c r="F2626" s="25" t="s">
        <v>3567</v>
      </c>
      <c r="G2626" s="31">
        <v>272.8</v>
      </c>
      <c r="H2626" s="5">
        <f t="shared" si="70"/>
        <v>0.27677447280000012</v>
      </c>
      <c r="I2626" s="20">
        <f t="shared" si="71"/>
        <v>75.504076179840041</v>
      </c>
      <c r="J2626" s="6" t="s">
        <v>357</v>
      </c>
    </row>
    <row r="2627" spans="1:10" hidden="1">
      <c r="A2627" s="9">
        <v>46106</v>
      </c>
      <c r="B2627" s="216" t="s">
        <v>7154</v>
      </c>
      <c r="C2627" s="5" t="s">
        <v>7158</v>
      </c>
      <c r="D2627" s="8" t="s">
        <v>306</v>
      </c>
      <c r="E2627" s="25" t="s">
        <v>1024</v>
      </c>
      <c r="F2627" s="25" t="s">
        <v>3567</v>
      </c>
      <c r="G2627" s="31">
        <v>139.80000000000001</v>
      </c>
      <c r="H2627" s="5">
        <f t="shared" si="70"/>
        <v>0.27677447280000012</v>
      </c>
      <c r="I2627" s="20">
        <f t="shared" si="71"/>
        <v>38.693071297440021</v>
      </c>
      <c r="J2627" s="6" t="s">
        <v>357</v>
      </c>
    </row>
    <row r="2628" spans="1:10" hidden="1">
      <c r="A2628" s="9">
        <v>46106</v>
      </c>
      <c r="B2628" s="216" t="s">
        <v>7155</v>
      </c>
      <c r="C2628" s="5" t="s">
        <v>7185</v>
      </c>
      <c r="D2628" s="8" t="s">
        <v>306</v>
      </c>
      <c r="E2628" s="25" t="s">
        <v>1024</v>
      </c>
      <c r="F2628" s="25" t="s">
        <v>3567</v>
      </c>
      <c r="G2628" s="31">
        <v>139.80000000000001</v>
      </c>
      <c r="H2628" s="5">
        <f t="shared" si="70"/>
        <v>0.27677447280000012</v>
      </c>
      <c r="I2628" s="20">
        <f t="shared" si="71"/>
        <v>38.693071297440021</v>
      </c>
      <c r="J2628" s="6" t="s">
        <v>357</v>
      </c>
    </row>
    <row r="2629" spans="1:10" hidden="1">
      <c r="A2629" s="9">
        <v>46106</v>
      </c>
      <c r="B2629" s="216" t="s">
        <v>7156</v>
      </c>
      <c r="C2629" s="5" t="s">
        <v>7159</v>
      </c>
      <c r="D2629" s="8" t="s">
        <v>306</v>
      </c>
      <c r="E2629" s="25" t="s">
        <v>1024</v>
      </c>
      <c r="F2629" s="25" t="s">
        <v>3567</v>
      </c>
      <c r="G2629" s="31">
        <v>139.80000000000001</v>
      </c>
      <c r="H2629" s="5">
        <f t="shared" si="70"/>
        <v>0.27677447280000012</v>
      </c>
      <c r="I2629" s="20">
        <f t="shared" si="71"/>
        <v>38.693071297440021</v>
      </c>
      <c r="J2629" s="6" t="s">
        <v>357</v>
      </c>
    </row>
    <row r="2630" spans="1:10" hidden="1">
      <c r="A2630" s="9">
        <v>46106</v>
      </c>
      <c r="B2630" s="216" t="s">
        <v>7157</v>
      </c>
      <c r="C2630" s="5" t="s">
        <v>7160</v>
      </c>
      <c r="D2630" s="8" t="s">
        <v>306</v>
      </c>
      <c r="E2630" s="25" t="s">
        <v>1024</v>
      </c>
      <c r="F2630" s="25" t="s">
        <v>3567</v>
      </c>
      <c r="G2630" s="31">
        <v>139.80000000000001</v>
      </c>
      <c r="H2630" s="5">
        <f t="shared" si="70"/>
        <v>0.27677447280000012</v>
      </c>
      <c r="I2630" s="20">
        <f t="shared" si="71"/>
        <v>38.693071297440021</v>
      </c>
      <c r="J2630" s="6" t="s">
        <v>357</v>
      </c>
    </row>
    <row r="2631" spans="1:10" hidden="1">
      <c r="A2631" s="9">
        <v>46106</v>
      </c>
      <c r="B2631" s="216" t="s">
        <v>7161</v>
      </c>
      <c r="C2631" s="5" t="s">
        <v>7173</v>
      </c>
      <c r="D2631" s="8" t="s">
        <v>306</v>
      </c>
      <c r="E2631" s="25" t="s">
        <v>1024</v>
      </c>
      <c r="F2631" s="25" t="s">
        <v>3567</v>
      </c>
      <c r="G2631" s="31">
        <v>139.80000000000001</v>
      </c>
      <c r="H2631" s="5">
        <f t="shared" si="70"/>
        <v>0.27677447280000012</v>
      </c>
      <c r="I2631" s="20">
        <f t="shared" si="71"/>
        <v>38.693071297440021</v>
      </c>
      <c r="J2631" s="6" t="s">
        <v>357</v>
      </c>
    </row>
    <row r="2632" spans="1:10" hidden="1">
      <c r="A2632" s="9">
        <v>46106</v>
      </c>
      <c r="B2632" s="216" t="s">
        <v>7162</v>
      </c>
      <c r="C2632" s="5" t="s">
        <v>7174</v>
      </c>
      <c r="D2632" s="8" t="s">
        <v>306</v>
      </c>
      <c r="E2632" s="25" t="s">
        <v>1024</v>
      </c>
      <c r="F2632" s="25" t="s">
        <v>3567</v>
      </c>
      <c r="G2632" s="31">
        <v>139.80000000000001</v>
      </c>
      <c r="H2632" s="5">
        <f t="shared" si="70"/>
        <v>0.27677447280000012</v>
      </c>
      <c r="I2632" s="20">
        <f t="shared" si="71"/>
        <v>38.693071297440021</v>
      </c>
      <c r="J2632" s="6" t="s">
        <v>357</v>
      </c>
    </row>
    <row r="2633" spans="1:10" hidden="1">
      <c r="A2633" s="9">
        <v>46106</v>
      </c>
      <c r="B2633" s="216" t="s">
        <v>7163</v>
      </c>
      <c r="C2633" s="5" t="s">
        <v>7175</v>
      </c>
      <c r="D2633" s="8" t="s">
        <v>306</v>
      </c>
      <c r="E2633" s="25" t="s">
        <v>1024</v>
      </c>
      <c r="F2633" s="25" t="s">
        <v>3567</v>
      </c>
      <c r="G2633" s="31">
        <v>139.80000000000001</v>
      </c>
      <c r="H2633" s="5">
        <f t="shared" si="70"/>
        <v>0.27677447280000012</v>
      </c>
      <c r="I2633" s="20">
        <f t="shared" si="71"/>
        <v>38.693071297440021</v>
      </c>
      <c r="J2633" s="6" t="s">
        <v>357</v>
      </c>
    </row>
    <row r="2634" spans="1:10" hidden="1">
      <c r="A2634" s="9">
        <v>46106</v>
      </c>
      <c r="B2634" s="216" t="s">
        <v>7164</v>
      </c>
      <c r="C2634" s="5" t="s">
        <v>7176</v>
      </c>
      <c r="D2634" s="8" t="s">
        <v>306</v>
      </c>
      <c r="E2634" s="25" t="s">
        <v>1024</v>
      </c>
      <c r="F2634" s="25" t="s">
        <v>3567</v>
      </c>
      <c r="G2634" s="31">
        <v>136.69999999999999</v>
      </c>
      <c r="H2634" s="5">
        <f t="shared" si="70"/>
        <v>0.27677447280000012</v>
      </c>
      <c r="I2634" s="20">
        <f t="shared" si="71"/>
        <v>37.835070431760016</v>
      </c>
      <c r="J2634" s="6" t="s">
        <v>357</v>
      </c>
    </row>
    <row r="2635" spans="1:10" hidden="1">
      <c r="A2635" s="9">
        <v>46106</v>
      </c>
      <c r="B2635" s="216" t="s">
        <v>7165</v>
      </c>
      <c r="C2635" s="5" t="s">
        <v>7177</v>
      </c>
      <c r="D2635" s="8" t="s">
        <v>306</v>
      </c>
      <c r="E2635" s="25" t="s">
        <v>1024</v>
      </c>
      <c r="F2635" s="25" t="s">
        <v>3567</v>
      </c>
      <c r="G2635" s="31">
        <v>139.80000000000001</v>
      </c>
      <c r="H2635" s="5">
        <f t="shared" si="70"/>
        <v>0.27677447280000012</v>
      </c>
      <c r="I2635" s="20">
        <f t="shared" si="71"/>
        <v>38.693071297440021</v>
      </c>
      <c r="J2635" s="6" t="s">
        <v>357</v>
      </c>
    </row>
    <row r="2636" spans="1:10" hidden="1">
      <c r="A2636" s="9">
        <v>46106</v>
      </c>
      <c r="B2636" s="216" t="s">
        <v>7166</v>
      </c>
      <c r="C2636" s="5" t="s">
        <v>7178</v>
      </c>
      <c r="D2636" s="8" t="s">
        <v>306</v>
      </c>
      <c r="E2636" s="25" t="s">
        <v>1024</v>
      </c>
      <c r="F2636" s="25" t="s">
        <v>3567</v>
      </c>
      <c r="G2636" s="31">
        <v>139.80000000000001</v>
      </c>
      <c r="H2636" s="5">
        <f t="shared" si="70"/>
        <v>0.27677447280000012</v>
      </c>
      <c r="I2636" s="20">
        <f t="shared" si="71"/>
        <v>38.693071297440021</v>
      </c>
      <c r="J2636" s="6" t="s">
        <v>357</v>
      </c>
    </row>
    <row r="2637" spans="1:10" hidden="1">
      <c r="A2637" s="9">
        <v>46106</v>
      </c>
      <c r="B2637" s="216" t="s">
        <v>7167</v>
      </c>
      <c r="C2637" s="5" t="s">
        <v>7179</v>
      </c>
      <c r="D2637" s="8" t="s">
        <v>306</v>
      </c>
      <c r="E2637" s="25" t="s">
        <v>1024</v>
      </c>
      <c r="F2637" s="25" t="s">
        <v>3567</v>
      </c>
      <c r="G2637" s="31">
        <v>136.69999999999999</v>
      </c>
      <c r="H2637" s="5">
        <f t="shared" si="70"/>
        <v>0.27677447280000012</v>
      </c>
      <c r="I2637" s="20">
        <f t="shared" si="71"/>
        <v>37.835070431760016</v>
      </c>
      <c r="J2637" s="6" t="s">
        <v>357</v>
      </c>
    </row>
    <row r="2638" spans="1:10" hidden="1">
      <c r="A2638" s="9">
        <v>46106</v>
      </c>
      <c r="B2638" s="216" t="s">
        <v>7168</v>
      </c>
      <c r="C2638" s="5" t="s">
        <v>7180</v>
      </c>
      <c r="D2638" s="8" t="s">
        <v>306</v>
      </c>
      <c r="E2638" s="25" t="s">
        <v>1024</v>
      </c>
      <c r="F2638" s="25" t="s">
        <v>3567</v>
      </c>
      <c r="G2638" s="31">
        <v>139.80000000000001</v>
      </c>
      <c r="H2638" s="5">
        <f t="shared" si="70"/>
        <v>0.27677447280000012</v>
      </c>
      <c r="I2638" s="20">
        <f t="shared" si="71"/>
        <v>38.693071297440021</v>
      </c>
      <c r="J2638" s="6" t="s">
        <v>357</v>
      </c>
    </row>
    <row r="2639" spans="1:10" hidden="1">
      <c r="A2639" s="9">
        <v>46106</v>
      </c>
      <c r="B2639" s="216" t="s">
        <v>7169</v>
      </c>
      <c r="C2639" s="5" t="s">
        <v>7181</v>
      </c>
      <c r="D2639" s="8" t="s">
        <v>306</v>
      </c>
      <c r="E2639" s="25" t="s">
        <v>1024</v>
      </c>
      <c r="F2639" s="25" t="s">
        <v>3567</v>
      </c>
      <c r="G2639" s="31">
        <v>158.80000000000001</v>
      </c>
      <c r="H2639" s="5">
        <f t="shared" si="70"/>
        <v>0.27677447280000012</v>
      </c>
      <c r="I2639" s="20">
        <f t="shared" si="71"/>
        <v>43.951786280640022</v>
      </c>
      <c r="J2639" s="6" t="s">
        <v>357</v>
      </c>
    </row>
    <row r="2640" spans="1:10" hidden="1">
      <c r="A2640" s="9">
        <v>46106</v>
      </c>
      <c r="B2640" s="216" t="s">
        <v>7170</v>
      </c>
      <c r="C2640" s="5" t="s">
        <v>7182</v>
      </c>
      <c r="D2640" s="8" t="s">
        <v>306</v>
      </c>
      <c r="E2640" s="25" t="s">
        <v>1024</v>
      </c>
      <c r="F2640" s="25" t="s">
        <v>3567</v>
      </c>
      <c r="G2640" s="31">
        <v>173.1</v>
      </c>
      <c r="H2640" s="5">
        <f t="shared" si="70"/>
        <v>0.27677447280000012</v>
      </c>
      <c r="I2640" s="20">
        <f t="shared" ref="I2640:I2671" si="72">H2640*G2640</f>
        <v>47.90966124168002</v>
      </c>
      <c r="J2640" s="6" t="s">
        <v>357</v>
      </c>
    </row>
    <row r="2641" spans="1:10" hidden="1">
      <c r="A2641" s="9">
        <v>46106</v>
      </c>
      <c r="B2641" s="216" t="s">
        <v>7171</v>
      </c>
      <c r="C2641" s="5" t="s">
        <v>7183</v>
      </c>
      <c r="D2641" s="8" t="s">
        <v>306</v>
      </c>
      <c r="E2641" s="25" t="s">
        <v>1024</v>
      </c>
      <c r="F2641" s="25" t="s">
        <v>3567</v>
      </c>
      <c r="G2641" s="31">
        <v>204.7</v>
      </c>
      <c r="H2641" s="5">
        <f t="shared" si="70"/>
        <v>0.27677447280000012</v>
      </c>
      <c r="I2641" s="20">
        <f t="shared" si="72"/>
        <v>56.655734582160022</v>
      </c>
      <c r="J2641" s="6" t="s">
        <v>357</v>
      </c>
    </row>
    <row r="2642" spans="1:10" hidden="1">
      <c r="A2642" s="9">
        <v>46106</v>
      </c>
      <c r="B2642" s="216" t="s">
        <v>7172</v>
      </c>
      <c r="C2642" s="5" t="s">
        <v>7184</v>
      </c>
      <c r="D2642" s="8" t="s">
        <v>306</v>
      </c>
      <c r="E2642" s="25" t="s">
        <v>1024</v>
      </c>
      <c r="F2642" s="25" t="s">
        <v>3567</v>
      </c>
      <c r="G2642" s="31">
        <v>205.8</v>
      </c>
      <c r="H2642" s="5">
        <f t="shared" si="70"/>
        <v>0.27677447280000012</v>
      </c>
      <c r="I2642" s="20">
        <f t="shared" si="72"/>
        <v>56.960186502240028</v>
      </c>
      <c r="J2642" s="6" t="s">
        <v>357</v>
      </c>
    </row>
    <row r="2643" spans="1:10" hidden="1">
      <c r="A2643" s="9">
        <v>46106</v>
      </c>
      <c r="B2643" s="216" t="s">
        <v>7203</v>
      </c>
      <c r="C2643" s="5" t="s">
        <v>7186</v>
      </c>
      <c r="D2643" s="8" t="s">
        <v>306</v>
      </c>
      <c r="E2643" s="25" t="s">
        <v>1024</v>
      </c>
      <c r="F2643" s="25" t="s">
        <v>3567</v>
      </c>
      <c r="G2643" s="31">
        <v>409.4</v>
      </c>
      <c r="H2643" s="5">
        <f t="shared" si="70"/>
        <v>0.27677447280000012</v>
      </c>
      <c r="I2643" s="20">
        <f t="shared" si="72"/>
        <v>113.31146916432004</v>
      </c>
      <c r="J2643" s="6" t="s">
        <v>357</v>
      </c>
    </row>
    <row r="2644" spans="1:10" hidden="1">
      <c r="A2644" s="9">
        <v>46106</v>
      </c>
      <c r="B2644" s="216" t="s">
        <v>7204</v>
      </c>
      <c r="C2644" s="5" t="s">
        <v>7187</v>
      </c>
      <c r="D2644" s="8" t="s">
        <v>306</v>
      </c>
      <c r="E2644" s="25" t="s">
        <v>1024</v>
      </c>
      <c r="F2644" s="25" t="s">
        <v>3567</v>
      </c>
      <c r="G2644" s="31">
        <v>398.8</v>
      </c>
      <c r="H2644" s="5">
        <f t="shared" si="70"/>
        <v>0.27677447280000012</v>
      </c>
      <c r="I2644" s="20">
        <f t="shared" si="72"/>
        <v>110.37765975264004</v>
      </c>
      <c r="J2644" s="6" t="s">
        <v>357</v>
      </c>
    </row>
    <row r="2645" spans="1:10" hidden="1">
      <c r="A2645" s="9">
        <v>46106</v>
      </c>
      <c r="B2645" s="216" t="s">
        <v>7205</v>
      </c>
      <c r="C2645" s="5" t="s">
        <v>7188</v>
      </c>
      <c r="D2645" s="8" t="s">
        <v>306</v>
      </c>
      <c r="E2645" s="25" t="s">
        <v>1024</v>
      </c>
      <c r="F2645" s="25" t="s">
        <v>3567</v>
      </c>
      <c r="G2645" s="31">
        <v>213.7</v>
      </c>
      <c r="H2645" s="5">
        <f t="shared" si="70"/>
        <v>0.27677447280000012</v>
      </c>
      <c r="I2645" s="20">
        <f t="shared" si="72"/>
        <v>59.146704837360019</v>
      </c>
      <c r="J2645" s="6" t="s">
        <v>357</v>
      </c>
    </row>
    <row r="2646" spans="1:10" hidden="1">
      <c r="A2646" s="9">
        <v>46106</v>
      </c>
      <c r="B2646" s="216" t="s">
        <v>7206</v>
      </c>
      <c r="C2646" s="5" t="s">
        <v>7189</v>
      </c>
      <c r="D2646" s="8" t="s">
        <v>306</v>
      </c>
      <c r="E2646" s="25" t="s">
        <v>1024</v>
      </c>
      <c r="F2646" s="25" t="s">
        <v>3567</v>
      </c>
      <c r="G2646" s="31">
        <v>334</v>
      </c>
      <c r="H2646" s="5">
        <f t="shared" si="70"/>
        <v>0.27677447280000012</v>
      </c>
      <c r="I2646" s="20">
        <f t="shared" si="72"/>
        <v>92.442673915200032</v>
      </c>
      <c r="J2646" s="6" t="s">
        <v>357</v>
      </c>
    </row>
    <row r="2647" spans="1:10" hidden="1">
      <c r="A2647" s="9">
        <v>46106</v>
      </c>
      <c r="B2647" s="216" t="s">
        <v>7207</v>
      </c>
      <c r="C2647" s="5" t="s">
        <v>7190</v>
      </c>
      <c r="D2647" s="8" t="s">
        <v>306</v>
      </c>
      <c r="E2647" s="25" t="s">
        <v>1024</v>
      </c>
      <c r="F2647" s="25" t="s">
        <v>3567</v>
      </c>
      <c r="G2647" s="31">
        <v>215.3</v>
      </c>
      <c r="H2647" s="5">
        <f t="shared" si="70"/>
        <v>0.27677447280000012</v>
      </c>
      <c r="I2647" s="20">
        <f t="shared" si="72"/>
        <v>59.589543993840024</v>
      </c>
      <c r="J2647" s="6" t="s">
        <v>357</v>
      </c>
    </row>
    <row r="2648" spans="1:10" hidden="1">
      <c r="A2648" s="9">
        <v>46106</v>
      </c>
      <c r="B2648" s="216" t="s">
        <v>7208</v>
      </c>
      <c r="C2648" s="5" t="s">
        <v>7191</v>
      </c>
      <c r="D2648" s="8" t="s">
        <v>306</v>
      </c>
      <c r="E2648" s="25" t="s">
        <v>1024</v>
      </c>
      <c r="F2648" s="25" t="s">
        <v>3567</v>
      </c>
      <c r="G2648" s="31">
        <v>215.3</v>
      </c>
      <c r="H2648" s="5">
        <f t="shared" si="70"/>
        <v>0.27677447280000012</v>
      </c>
      <c r="I2648" s="20">
        <f t="shared" si="72"/>
        <v>59.589543993840024</v>
      </c>
      <c r="J2648" s="6" t="s">
        <v>357</v>
      </c>
    </row>
    <row r="2649" spans="1:10" hidden="1">
      <c r="A2649" s="9">
        <v>46106</v>
      </c>
      <c r="B2649" s="216" t="s">
        <v>7209</v>
      </c>
      <c r="C2649" s="5" t="s">
        <v>7192</v>
      </c>
      <c r="D2649" s="8" t="s">
        <v>306</v>
      </c>
      <c r="E2649" s="25" t="s">
        <v>1024</v>
      </c>
      <c r="F2649" s="25" t="s">
        <v>3567</v>
      </c>
      <c r="G2649" s="31">
        <v>202.6</v>
      </c>
      <c r="H2649" s="5">
        <f t="shared" si="70"/>
        <v>0.27677447280000012</v>
      </c>
      <c r="I2649" s="20">
        <f t="shared" si="72"/>
        <v>56.074508189280024</v>
      </c>
      <c r="J2649" s="6" t="s">
        <v>357</v>
      </c>
    </row>
    <row r="2650" spans="1:10" hidden="1">
      <c r="A2650" s="9">
        <v>46106</v>
      </c>
      <c r="B2650" s="216" t="s">
        <v>7210</v>
      </c>
      <c r="C2650" s="5" t="s">
        <v>7193</v>
      </c>
      <c r="D2650" s="8" t="s">
        <v>306</v>
      </c>
      <c r="E2650" s="25" t="s">
        <v>1024</v>
      </c>
      <c r="F2650" s="25" t="s">
        <v>3567</v>
      </c>
      <c r="G2650" s="31">
        <v>201</v>
      </c>
      <c r="H2650" s="5">
        <f t="shared" si="70"/>
        <v>0.27677447280000012</v>
      </c>
      <c r="I2650" s="20">
        <f t="shared" si="72"/>
        <v>55.631669032800026</v>
      </c>
      <c r="J2650" s="6" t="s">
        <v>357</v>
      </c>
    </row>
    <row r="2651" spans="1:10" hidden="1">
      <c r="A2651" s="9">
        <v>46106</v>
      </c>
      <c r="B2651" s="216" t="s">
        <v>7211</v>
      </c>
      <c r="C2651" s="5" t="s">
        <v>7194</v>
      </c>
      <c r="D2651" s="8" t="s">
        <v>306</v>
      </c>
      <c r="E2651" s="25" t="s">
        <v>1024</v>
      </c>
      <c r="F2651" s="25" t="s">
        <v>3567</v>
      </c>
      <c r="G2651" s="31">
        <v>370.4</v>
      </c>
      <c r="H2651" s="5">
        <f t="shared" si="70"/>
        <v>0.27677447280000012</v>
      </c>
      <c r="I2651" s="20">
        <f t="shared" si="72"/>
        <v>102.51726472512004</v>
      </c>
      <c r="J2651" s="6" t="s">
        <v>357</v>
      </c>
    </row>
    <row r="2652" spans="1:10" hidden="1">
      <c r="A2652" s="9">
        <v>46106</v>
      </c>
      <c r="B2652" s="216" t="s">
        <v>7212</v>
      </c>
      <c r="C2652" s="5" t="s">
        <v>7195</v>
      </c>
      <c r="D2652" s="8" t="s">
        <v>306</v>
      </c>
      <c r="E2652" s="25" t="s">
        <v>1024</v>
      </c>
      <c r="F2652" s="25" t="s">
        <v>3567</v>
      </c>
      <c r="G2652" s="31">
        <v>215.3</v>
      </c>
      <c r="H2652" s="5">
        <f t="shared" si="70"/>
        <v>0.27677447280000012</v>
      </c>
      <c r="I2652" s="20">
        <f t="shared" si="72"/>
        <v>59.589543993840024</v>
      </c>
      <c r="J2652" s="6" t="s">
        <v>357</v>
      </c>
    </row>
    <row r="2653" spans="1:10" hidden="1">
      <c r="A2653" s="9">
        <v>46106</v>
      </c>
      <c r="B2653" s="216" t="s">
        <v>7213</v>
      </c>
      <c r="C2653" s="5" t="s">
        <v>7196</v>
      </c>
      <c r="D2653" s="8" t="s">
        <v>306</v>
      </c>
      <c r="E2653" s="25" t="s">
        <v>1024</v>
      </c>
      <c r="F2653" s="25" t="s">
        <v>3567</v>
      </c>
      <c r="G2653" s="31">
        <v>208.9</v>
      </c>
      <c r="H2653" s="5">
        <f t="shared" si="70"/>
        <v>0.27677447280000012</v>
      </c>
      <c r="I2653" s="20">
        <f t="shared" si="72"/>
        <v>57.818187367920025</v>
      </c>
      <c r="J2653" s="6" t="s">
        <v>357</v>
      </c>
    </row>
    <row r="2654" spans="1:10" hidden="1">
      <c r="A2654" s="9">
        <v>46106</v>
      </c>
      <c r="B2654" s="216" t="s">
        <v>7214</v>
      </c>
      <c r="C2654" s="5" t="s">
        <v>7197</v>
      </c>
      <c r="D2654" s="8" t="s">
        <v>306</v>
      </c>
      <c r="E2654" s="25" t="s">
        <v>1024</v>
      </c>
      <c r="F2654" s="25" t="s">
        <v>3567</v>
      </c>
      <c r="G2654" s="31">
        <v>215.3</v>
      </c>
      <c r="H2654" s="5">
        <f t="shared" si="70"/>
        <v>0.27677447280000012</v>
      </c>
      <c r="I2654" s="20">
        <f t="shared" si="72"/>
        <v>59.589543993840024</v>
      </c>
      <c r="J2654" s="6" t="s">
        <v>357</v>
      </c>
    </row>
    <row r="2655" spans="1:10" hidden="1">
      <c r="A2655" s="9">
        <v>46106</v>
      </c>
      <c r="B2655" s="216" t="s">
        <v>7215</v>
      </c>
      <c r="C2655" s="5" t="s">
        <v>7198</v>
      </c>
      <c r="D2655" s="8" t="s">
        <v>306</v>
      </c>
      <c r="E2655" s="25" t="s">
        <v>1024</v>
      </c>
      <c r="F2655" s="25" t="s">
        <v>3567</v>
      </c>
      <c r="G2655" s="31">
        <v>215.3</v>
      </c>
      <c r="H2655" s="5">
        <f t="shared" si="70"/>
        <v>0.27677447280000012</v>
      </c>
      <c r="I2655" s="20">
        <f t="shared" si="72"/>
        <v>59.589543993840024</v>
      </c>
      <c r="J2655" s="6" t="s">
        <v>357</v>
      </c>
    </row>
    <row r="2656" spans="1:10" hidden="1">
      <c r="A2656" s="9">
        <v>46106</v>
      </c>
      <c r="B2656" s="216" t="s">
        <v>7216</v>
      </c>
      <c r="C2656" s="5" t="s">
        <v>7199</v>
      </c>
      <c r="D2656" s="8" t="s">
        <v>306</v>
      </c>
      <c r="E2656" s="25" t="s">
        <v>1024</v>
      </c>
      <c r="F2656" s="25" t="s">
        <v>3567</v>
      </c>
      <c r="G2656" s="31">
        <v>215.3</v>
      </c>
      <c r="H2656" s="5">
        <f t="shared" si="70"/>
        <v>0.27677447280000012</v>
      </c>
      <c r="I2656" s="20">
        <f t="shared" si="72"/>
        <v>59.589543993840024</v>
      </c>
      <c r="J2656" s="6" t="s">
        <v>357</v>
      </c>
    </row>
    <row r="2657" spans="1:10" hidden="1">
      <c r="A2657" s="9">
        <v>46106</v>
      </c>
      <c r="B2657" s="216" t="s">
        <v>7217</v>
      </c>
      <c r="C2657" s="5" t="s">
        <v>7200</v>
      </c>
      <c r="D2657" s="8" t="s">
        <v>306</v>
      </c>
      <c r="E2657" s="25" t="s">
        <v>1024</v>
      </c>
      <c r="F2657" s="25" t="s">
        <v>3567</v>
      </c>
      <c r="G2657" s="31">
        <v>215.3</v>
      </c>
      <c r="H2657" s="5">
        <f t="shared" si="70"/>
        <v>0.27677447280000012</v>
      </c>
      <c r="I2657" s="20">
        <f t="shared" si="72"/>
        <v>59.589543993840024</v>
      </c>
      <c r="J2657" s="6" t="s">
        <v>357</v>
      </c>
    </row>
    <row r="2658" spans="1:10" hidden="1">
      <c r="A2658" s="9">
        <v>46106</v>
      </c>
      <c r="B2658" s="216" t="s">
        <v>7218</v>
      </c>
      <c r="C2658" s="5" t="s">
        <v>7201</v>
      </c>
      <c r="D2658" s="8" t="s">
        <v>306</v>
      </c>
      <c r="E2658" s="25" t="s">
        <v>1024</v>
      </c>
      <c r="F2658" s="25" t="s">
        <v>3567</v>
      </c>
      <c r="G2658" s="31">
        <v>215.3</v>
      </c>
      <c r="H2658" s="5">
        <f t="shared" si="70"/>
        <v>0.27677447280000012</v>
      </c>
      <c r="I2658" s="20">
        <f t="shared" si="72"/>
        <v>59.589543993840024</v>
      </c>
      <c r="J2658" s="6" t="s">
        <v>357</v>
      </c>
    </row>
    <row r="2659" spans="1:10" hidden="1">
      <c r="A2659" s="9">
        <v>46106</v>
      </c>
      <c r="B2659" s="216" t="s">
        <v>7219</v>
      </c>
      <c r="C2659" s="5" t="s">
        <v>7202</v>
      </c>
      <c r="D2659" s="8" t="s">
        <v>306</v>
      </c>
      <c r="E2659" s="25" t="s">
        <v>1024</v>
      </c>
      <c r="F2659" s="25" t="s">
        <v>3567</v>
      </c>
      <c r="G2659" s="31">
        <v>355.1</v>
      </c>
      <c r="H2659" s="5">
        <f t="shared" si="70"/>
        <v>0.27677447280000012</v>
      </c>
      <c r="I2659" s="20">
        <f t="shared" si="72"/>
        <v>98.282615291280052</v>
      </c>
      <c r="J2659" s="6" t="s">
        <v>357</v>
      </c>
    </row>
    <row r="2660" spans="1:10" hidden="1">
      <c r="A2660" s="9">
        <v>46106</v>
      </c>
      <c r="B2660" s="110" t="s">
        <v>4072</v>
      </c>
      <c r="C2660" s="5" t="s">
        <v>320</v>
      </c>
      <c r="D2660" s="8" t="s">
        <v>306</v>
      </c>
      <c r="E2660" s="6" t="s">
        <v>685</v>
      </c>
      <c r="F2660" s="6" t="s">
        <v>3567</v>
      </c>
      <c r="G2660" s="5">
        <v>690</v>
      </c>
      <c r="H2660" s="5">
        <f t="shared" si="70"/>
        <v>0.27677447280000012</v>
      </c>
      <c r="I2660" s="20">
        <f t="shared" si="72"/>
        <v>190.97438623200009</v>
      </c>
      <c r="J2660" s="6" t="s">
        <v>357</v>
      </c>
    </row>
    <row r="2661" spans="1:10" hidden="1">
      <c r="A2661" s="9">
        <v>46106</v>
      </c>
      <c r="B2661" s="110" t="s">
        <v>4073</v>
      </c>
      <c r="C2661" s="5" t="s">
        <v>699</v>
      </c>
      <c r="D2661" s="8" t="s">
        <v>306</v>
      </c>
      <c r="E2661" s="6" t="s">
        <v>685</v>
      </c>
      <c r="F2661" s="6" t="s">
        <v>3567</v>
      </c>
      <c r="G2661" s="5">
        <v>847.7</v>
      </c>
      <c r="H2661" s="5">
        <f t="shared" si="70"/>
        <v>0.27677447280000012</v>
      </c>
      <c r="I2661" s="20">
        <f t="shared" si="72"/>
        <v>234.62172059256011</v>
      </c>
      <c r="J2661" s="6" t="s">
        <v>357</v>
      </c>
    </row>
    <row r="2662" spans="1:10" hidden="1">
      <c r="A2662" s="9">
        <v>46106</v>
      </c>
      <c r="B2662" s="110" t="s">
        <v>4074</v>
      </c>
      <c r="C2662" s="5" t="s">
        <v>688</v>
      </c>
      <c r="D2662" s="8" t="s">
        <v>306</v>
      </c>
      <c r="E2662" s="6" t="s">
        <v>685</v>
      </c>
      <c r="F2662" s="6" t="s">
        <v>3567</v>
      </c>
      <c r="G2662" s="5">
        <v>857.8</v>
      </c>
      <c r="H2662" s="5">
        <f t="shared" si="70"/>
        <v>0.27677447280000012</v>
      </c>
      <c r="I2662" s="20">
        <f t="shared" si="72"/>
        <v>237.41714276784009</v>
      </c>
      <c r="J2662" s="6" t="s">
        <v>357</v>
      </c>
    </row>
    <row r="2663" spans="1:10" hidden="1">
      <c r="A2663" s="9">
        <v>46106</v>
      </c>
      <c r="B2663" s="110" t="s">
        <v>4075</v>
      </c>
      <c r="C2663" s="5" t="s">
        <v>712</v>
      </c>
      <c r="D2663" s="8" t="s">
        <v>306</v>
      </c>
      <c r="E2663" s="6" t="s">
        <v>685</v>
      </c>
      <c r="F2663" s="6" t="s">
        <v>3567</v>
      </c>
      <c r="G2663" s="5">
        <v>1441.2</v>
      </c>
      <c r="H2663" s="5">
        <f t="shared" si="70"/>
        <v>0.27677447280000012</v>
      </c>
      <c r="I2663" s="20">
        <f t="shared" si="72"/>
        <v>398.88737019936019</v>
      </c>
      <c r="J2663" s="6" t="s">
        <v>357</v>
      </c>
    </row>
    <row r="2664" spans="1:10" hidden="1">
      <c r="A2664" s="9">
        <v>46106</v>
      </c>
      <c r="B2664" s="110" t="s">
        <v>4076</v>
      </c>
      <c r="C2664" s="5" t="s">
        <v>703</v>
      </c>
      <c r="D2664" s="8" t="s">
        <v>306</v>
      </c>
      <c r="E2664" s="6" t="s">
        <v>685</v>
      </c>
      <c r="F2664" s="6" t="s">
        <v>3567</v>
      </c>
      <c r="G2664" s="5">
        <v>1101.5</v>
      </c>
      <c r="H2664" s="5">
        <f t="shared" si="70"/>
        <v>0.27677447280000012</v>
      </c>
      <c r="I2664" s="20">
        <f t="shared" si="72"/>
        <v>304.86708178920014</v>
      </c>
      <c r="J2664" s="6" t="s">
        <v>357</v>
      </c>
    </row>
    <row r="2665" spans="1:10" hidden="1">
      <c r="A2665" s="9">
        <v>46106</v>
      </c>
      <c r="B2665" s="110" t="s">
        <v>4077</v>
      </c>
      <c r="C2665" s="5" t="s">
        <v>295</v>
      </c>
      <c r="D2665" s="8" t="s">
        <v>306</v>
      </c>
      <c r="E2665" s="6" t="s">
        <v>685</v>
      </c>
      <c r="F2665" s="6" t="s">
        <v>3567</v>
      </c>
      <c r="G2665" s="5">
        <v>329.2</v>
      </c>
      <c r="H2665" s="5">
        <f t="shared" si="70"/>
        <v>0.27677447280000012</v>
      </c>
      <c r="I2665" s="20">
        <f t="shared" si="72"/>
        <v>91.114156445760031</v>
      </c>
      <c r="J2665" s="6" t="s">
        <v>357</v>
      </c>
    </row>
    <row r="2666" spans="1:10" hidden="1">
      <c r="A2666" s="9">
        <v>46106</v>
      </c>
      <c r="B2666" s="110" t="s">
        <v>4078</v>
      </c>
      <c r="C2666" s="5" t="s">
        <v>697</v>
      </c>
      <c r="D2666" s="8" t="s">
        <v>306</v>
      </c>
      <c r="E2666" s="6" t="s">
        <v>685</v>
      </c>
      <c r="F2666" s="6" t="s">
        <v>3567</v>
      </c>
      <c r="G2666" s="5">
        <v>382.5</v>
      </c>
      <c r="H2666" s="5">
        <f t="shared" si="70"/>
        <v>0.27677447280000012</v>
      </c>
      <c r="I2666" s="20">
        <f t="shared" si="72"/>
        <v>105.86623584600004</v>
      </c>
      <c r="J2666" s="6" t="s">
        <v>357</v>
      </c>
    </row>
    <row r="2667" spans="1:10" hidden="1">
      <c r="A2667" s="9">
        <v>46106</v>
      </c>
      <c r="B2667" s="6" t="s">
        <v>4079</v>
      </c>
      <c r="C2667" s="5" t="s">
        <v>700</v>
      </c>
      <c r="D2667" s="8" t="s">
        <v>306</v>
      </c>
      <c r="E2667" s="6" t="s">
        <v>685</v>
      </c>
      <c r="F2667" s="6" t="s">
        <v>3567</v>
      </c>
      <c r="G2667" s="5">
        <v>757.5</v>
      </c>
      <c r="H2667" s="5">
        <f t="shared" ref="H2667:H2690" si="73">0.9*0.8*0.7*0.93*(0.9*0.9*0.9*0.9*0.9)</f>
        <v>0.27677447280000012</v>
      </c>
      <c r="I2667" s="20">
        <f t="shared" si="72"/>
        <v>209.65666314600008</v>
      </c>
      <c r="J2667" s="6" t="s">
        <v>357</v>
      </c>
    </row>
    <row r="2668" spans="1:10" hidden="1">
      <c r="A2668" s="9">
        <v>46106</v>
      </c>
      <c r="B2668" s="110" t="s">
        <v>4080</v>
      </c>
      <c r="C2668" s="5" t="s">
        <v>689</v>
      </c>
      <c r="D2668" s="8" t="s">
        <v>306</v>
      </c>
      <c r="E2668" s="6" t="s">
        <v>685</v>
      </c>
      <c r="F2668" s="6" t="s">
        <v>3567</v>
      </c>
      <c r="G2668" s="5">
        <v>885.2</v>
      </c>
      <c r="H2668" s="5">
        <f t="shared" si="73"/>
        <v>0.27677447280000012</v>
      </c>
      <c r="I2668" s="20">
        <f t="shared" si="72"/>
        <v>245.00076332256012</v>
      </c>
      <c r="J2668" s="6" t="s">
        <v>357</v>
      </c>
    </row>
    <row r="2669" spans="1:10" hidden="1">
      <c r="A2669" s="9">
        <v>46106</v>
      </c>
      <c r="B2669" s="110" t="s">
        <v>4081</v>
      </c>
      <c r="C2669" s="5" t="s">
        <v>330</v>
      </c>
      <c r="D2669" s="8" t="s">
        <v>306</v>
      </c>
      <c r="E2669" s="6" t="s">
        <v>685</v>
      </c>
      <c r="F2669" s="6" t="s">
        <v>3567</v>
      </c>
      <c r="G2669" s="5">
        <v>552.29999999999995</v>
      </c>
      <c r="H2669" s="5">
        <f t="shared" si="73"/>
        <v>0.27677447280000012</v>
      </c>
      <c r="I2669" s="20">
        <f t="shared" si="72"/>
        <v>152.86254132744006</v>
      </c>
      <c r="J2669" s="6" t="s">
        <v>357</v>
      </c>
    </row>
    <row r="2670" spans="1:10" hidden="1">
      <c r="A2670" s="9">
        <v>46106</v>
      </c>
      <c r="B2670" s="110" t="s">
        <v>4082</v>
      </c>
      <c r="C2670" s="5" t="s">
        <v>711</v>
      </c>
      <c r="D2670" s="8" t="s">
        <v>306</v>
      </c>
      <c r="E2670" s="6" t="s">
        <v>685</v>
      </c>
      <c r="F2670" s="6" t="s">
        <v>3567</v>
      </c>
      <c r="G2670" s="5">
        <v>760.7</v>
      </c>
      <c r="H2670" s="5">
        <f t="shared" si="73"/>
        <v>0.27677447280000012</v>
      </c>
      <c r="I2670" s="20">
        <f t="shared" si="72"/>
        <v>210.5423414589601</v>
      </c>
      <c r="J2670" s="6" t="s">
        <v>357</v>
      </c>
    </row>
    <row r="2671" spans="1:10" hidden="1">
      <c r="A2671" s="9">
        <v>46106</v>
      </c>
      <c r="B2671" s="110" t="s">
        <v>4083</v>
      </c>
      <c r="C2671" s="5" t="s">
        <v>713</v>
      </c>
      <c r="D2671" s="8" t="s">
        <v>306</v>
      </c>
      <c r="E2671" s="6" t="s">
        <v>685</v>
      </c>
      <c r="F2671" s="6" t="s">
        <v>3567</v>
      </c>
      <c r="G2671" s="5">
        <v>976.5</v>
      </c>
      <c r="H2671" s="5">
        <f t="shared" si="73"/>
        <v>0.27677447280000012</v>
      </c>
      <c r="I2671" s="20">
        <f t="shared" si="72"/>
        <v>270.27027268920011</v>
      </c>
      <c r="J2671" s="6" t="s">
        <v>357</v>
      </c>
    </row>
    <row r="2672" spans="1:10" hidden="1">
      <c r="A2672" s="9">
        <v>46106</v>
      </c>
      <c r="B2672" s="110" t="s">
        <v>4084</v>
      </c>
      <c r="C2672" s="5" t="s">
        <v>704</v>
      </c>
      <c r="D2672" s="8" t="s">
        <v>306</v>
      </c>
      <c r="E2672" s="6" t="s">
        <v>685</v>
      </c>
      <c r="F2672" s="6" t="s">
        <v>3567</v>
      </c>
      <c r="G2672" s="5">
        <v>1214.9000000000001</v>
      </c>
      <c r="H2672" s="5">
        <f t="shared" si="73"/>
        <v>0.27677447280000012</v>
      </c>
      <c r="I2672" s="20">
        <f t="shared" ref="I2672:I2690" si="74">H2672*G2672</f>
        <v>336.25330700472017</v>
      </c>
      <c r="J2672" s="6" t="s">
        <v>357</v>
      </c>
    </row>
    <row r="2673" spans="1:10" hidden="1">
      <c r="A2673" s="9">
        <v>46106</v>
      </c>
      <c r="B2673" s="110" t="s">
        <v>4085</v>
      </c>
      <c r="C2673" s="5" t="s">
        <v>701</v>
      </c>
      <c r="D2673" s="8" t="s">
        <v>306</v>
      </c>
      <c r="E2673" s="6" t="s">
        <v>685</v>
      </c>
      <c r="F2673" s="6" t="s">
        <v>3567</v>
      </c>
      <c r="G2673" s="5">
        <v>829.3</v>
      </c>
      <c r="H2673" s="5">
        <f t="shared" si="73"/>
        <v>0.27677447280000012</v>
      </c>
      <c r="I2673" s="20">
        <f t="shared" si="74"/>
        <v>229.52907029304009</v>
      </c>
      <c r="J2673" s="6" t="s">
        <v>357</v>
      </c>
    </row>
    <row r="2674" spans="1:10" hidden="1">
      <c r="A2674" s="9">
        <v>46106</v>
      </c>
      <c r="B2674" s="6" t="s">
        <v>4086</v>
      </c>
      <c r="C2674" s="5" t="s">
        <v>690</v>
      </c>
      <c r="D2674" s="8" t="s">
        <v>306</v>
      </c>
      <c r="E2674" s="6" t="s">
        <v>685</v>
      </c>
      <c r="F2674" s="6" t="s">
        <v>3567</v>
      </c>
      <c r="G2674" s="5">
        <v>1077.2</v>
      </c>
      <c r="H2674" s="5">
        <f t="shared" si="73"/>
        <v>0.27677447280000012</v>
      </c>
      <c r="I2674" s="20">
        <f t="shared" si="74"/>
        <v>298.14146210016014</v>
      </c>
      <c r="J2674" s="6" t="s">
        <v>357</v>
      </c>
    </row>
    <row r="2675" spans="1:10" hidden="1">
      <c r="A2675" s="9">
        <v>46106</v>
      </c>
      <c r="B2675" s="110" t="s">
        <v>4087</v>
      </c>
      <c r="C2675" s="5" t="s">
        <v>714</v>
      </c>
      <c r="D2675" s="8" t="s">
        <v>306</v>
      </c>
      <c r="E2675" s="6" t="s">
        <v>685</v>
      </c>
      <c r="F2675" s="6" t="s">
        <v>3567</v>
      </c>
      <c r="G2675" s="5">
        <v>1010.2</v>
      </c>
      <c r="H2675" s="5">
        <f t="shared" si="73"/>
        <v>0.27677447280000012</v>
      </c>
      <c r="I2675" s="20">
        <f t="shared" si="74"/>
        <v>279.59757242256012</v>
      </c>
      <c r="J2675" s="6" t="s">
        <v>357</v>
      </c>
    </row>
    <row r="2676" spans="1:10" hidden="1">
      <c r="A2676" s="9">
        <v>46106</v>
      </c>
      <c r="B2676" s="110" t="s">
        <v>4088</v>
      </c>
      <c r="C2676" s="5" t="s">
        <v>339</v>
      </c>
      <c r="D2676" s="8" t="s">
        <v>306</v>
      </c>
      <c r="E2676" s="6" t="s">
        <v>685</v>
      </c>
      <c r="F2676" s="6" t="s">
        <v>3567</v>
      </c>
      <c r="G2676" s="5">
        <v>1312.5</v>
      </c>
      <c r="H2676" s="5">
        <f t="shared" si="73"/>
        <v>0.27677447280000012</v>
      </c>
      <c r="I2676" s="20">
        <f t="shared" si="74"/>
        <v>363.26649555000017</v>
      </c>
      <c r="J2676" s="6" t="s">
        <v>357</v>
      </c>
    </row>
    <row r="2677" spans="1:10" hidden="1">
      <c r="A2677" s="9">
        <v>46106</v>
      </c>
      <c r="B2677" s="110" t="s">
        <v>4089</v>
      </c>
      <c r="C2677" s="5" t="s">
        <v>692</v>
      </c>
      <c r="D2677" s="8" t="s">
        <v>306</v>
      </c>
      <c r="E2677" s="6" t="s">
        <v>685</v>
      </c>
      <c r="F2677" s="6" t="s">
        <v>3567</v>
      </c>
      <c r="G2677" s="5">
        <v>856.2</v>
      </c>
      <c r="H2677" s="5">
        <f t="shared" si="73"/>
        <v>0.27677447280000012</v>
      </c>
      <c r="I2677" s="20">
        <f t="shared" si="74"/>
        <v>236.97430361136011</v>
      </c>
      <c r="J2677" s="6" t="s">
        <v>357</v>
      </c>
    </row>
    <row r="2678" spans="1:10" hidden="1">
      <c r="A2678" s="9">
        <v>46106</v>
      </c>
      <c r="B2678" s="110" t="s">
        <v>4090</v>
      </c>
      <c r="C2678" s="5" t="s">
        <v>695</v>
      </c>
      <c r="D2678" s="8" t="s">
        <v>306</v>
      </c>
      <c r="E2678" s="6" t="s">
        <v>685</v>
      </c>
      <c r="F2678" s="6" t="s">
        <v>3567</v>
      </c>
      <c r="G2678" s="5">
        <v>405.7</v>
      </c>
      <c r="H2678" s="5">
        <f t="shared" si="73"/>
        <v>0.27677447280000012</v>
      </c>
      <c r="I2678" s="20">
        <f t="shared" si="74"/>
        <v>112.28740361496004</v>
      </c>
      <c r="J2678" s="6" t="s">
        <v>357</v>
      </c>
    </row>
    <row r="2679" spans="1:10" hidden="1">
      <c r="A2679" s="9">
        <v>46106</v>
      </c>
      <c r="B2679" s="6" t="s">
        <v>4091</v>
      </c>
      <c r="C2679" s="5" t="s">
        <v>318</v>
      </c>
      <c r="D2679" s="8" t="s">
        <v>306</v>
      </c>
      <c r="E2679" s="6" t="s">
        <v>685</v>
      </c>
      <c r="F2679" s="6" t="s">
        <v>3567</v>
      </c>
      <c r="G2679" s="5">
        <v>595.1</v>
      </c>
      <c r="H2679" s="5">
        <f t="shared" si="73"/>
        <v>0.27677447280000012</v>
      </c>
      <c r="I2679" s="20">
        <f t="shared" si="74"/>
        <v>164.70848876328009</v>
      </c>
      <c r="J2679" s="6" t="s">
        <v>357</v>
      </c>
    </row>
    <row r="2680" spans="1:10" hidden="1">
      <c r="A2680" s="9">
        <v>46106</v>
      </c>
      <c r="B2680" s="110" t="s">
        <v>4092</v>
      </c>
      <c r="C2680" s="5" t="s">
        <v>706</v>
      </c>
      <c r="D2680" s="8" t="s">
        <v>306</v>
      </c>
      <c r="E2680" s="6" t="s">
        <v>685</v>
      </c>
      <c r="F2680" s="6" t="s">
        <v>3567</v>
      </c>
      <c r="G2680" s="5">
        <v>975.4</v>
      </c>
      <c r="H2680" s="5">
        <f t="shared" si="73"/>
        <v>0.27677447280000012</v>
      </c>
      <c r="I2680" s="20">
        <f t="shared" si="74"/>
        <v>269.96582076912011</v>
      </c>
      <c r="J2680" s="6" t="s">
        <v>357</v>
      </c>
    </row>
    <row r="2681" spans="1:10" hidden="1">
      <c r="A2681" s="9">
        <v>46106</v>
      </c>
      <c r="B2681" s="6" t="s">
        <v>4093</v>
      </c>
      <c r="C2681" s="5" t="s">
        <v>709</v>
      </c>
      <c r="D2681" s="8" t="s">
        <v>306</v>
      </c>
      <c r="E2681" s="6" t="s">
        <v>685</v>
      </c>
      <c r="F2681" s="6" t="s">
        <v>3567</v>
      </c>
      <c r="G2681" s="5">
        <v>747</v>
      </c>
      <c r="H2681" s="5">
        <f t="shared" si="73"/>
        <v>0.27677447280000012</v>
      </c>
      <c r="I2681" s="20">
        <f t="shared" si="74"/>
        <v>206.75053118160008</v>
      </c>
      <c r="J2681" s="6" t="s">
        <v>357</v>
      </c>
    </row>
    <row r="2682" spans="1:10" hidden="1">
      <c r="A2682" s="9">
        <v>46106</v>
      </c>
      <c r="B2682" s="6" t="s">
        <v>4094</v>
      </c>
      <c r="C2682" s="5" t="s">
        <v>710</v>
      </c>
      <c r="D2682" s="8" t="s">
        <v>306</v>
      </c>
      <c r="E2682" s="6" t="s">
        <v>685</v>
      </c>
      <c r="F2682" s="6" t="s">
        <v>3567</v>
      </c>
      <c r="G2682" s="5">
        <v>1131</v>
      </c>
      <c r="H2682" s="5">
        <f t="shared" si="73"/>
        <v>0.27677447280000012</v>
      </c>
      <c r="I2682" s="20">
        <f t="shared" si="74"/>
        <v>313.03192873680013</v>
      </c>
      <c r="J2682" s="6" t="s">
        <v>357</v>
      </c>
    </row>
    <row r="2683" spans="1:10" hidden="1">
      <c r="A2683" s="9">
        <v>46106</v>
      </c>
      <c r="B2683" s="110" t="s">
        <v>4095</v>
      </c>
      <c r="C2683" s="5" t="s">
        <v>694</v>
      </c>
      <c r="D2683" s="8" t="s">
        <v>306</v>
      </c>
      <c r="E2683" s="6" t="s">
        <v>685</v>
      </c>
      <c r="F2683" s="6" t="s">
        <v>3567</v>
      </c>
      <c r="G2683" s="5">
        <v>781.3</v>
      </c>
      <c r="H2683" s="5">
        <f t="shared" si="73"/>
        <v>0.27677447280000012</v>
      </c>
      <c r="I2683" s="20">
        <f t="shared" si="74"/>
        <v>216.24389559864008</v>
      </c>
      <c r="J2683" s="6" t="s">
        <v>357</v>
      </c>
    </row>
    <row r="2684" spans="1:10" hidden="1">
      <c r="A2684" s="9">
        <v>46106</v>
      </c>
      <c r="B2684" s="110" t="s">
        <v>4096</v>
      </c>
      <c r="C2684" s="5" t="s">
        <v>696</v>
      </c>
      <c r="D2684" s="8" t="s">
        <v>306</v>
      </c>
      <c r="E2684" s="6" t="s">
        <v>685</v>
      </c>
      <c r="F2684" s="6" t="s">
        <v>3567</v>
      </c>
      <c r="G2684" s="5">
        <v>507</v>
      </c>
      <c r="H2684" s="5">
        <f t="shared" si="73"/>
        <v>0.27677447280000012</v>
      </c>
      <c r="I2684" s="20">
        <f t="shared" si="74"/>
        <v>140.32465770960005</v>
      </c>
      <c r="J2684" s="6" t="s">
        <v>357</v>
      </c>
    </row>
    <row r="2685" spans="1:10" hidden="1">
      <c r="A2685" s="9">
        <v>46106</v>
      </c>
      <c r="B2685" s="6" t="s">
        <v>4097</v>
      </c>
      <c r="C2685" s="5" t="s">
        <v>698</v>
      </c>
      <c r="D2685" s="8" t="s">
        <v>306</v>
      </c>
      <c r="E2685" s="6" t="s">
        <v>685</v>
      </c>
      <c r="F2685" s="6" t="s">
        <v>3567</v>
      </c>
      <c r="G2685" s="5">
        <v>613.5</v>
      </c>
      <c r="H2685" s="5">
        <f t="shared" si="73"/>
        <v>0.27677447280000012</v>
      </c>
      <c r="I2685" s="20">
        <f t="shared" si="74"/>
        <v>169.80113906280008</v>
      </c>
      <c r="J2685" s="6" t="s">
        <v>357</v>
      </c>
    </row>
    <row r="2686" spans="1:10" hidden="1">
      <c r="A2686" s="9">
        <v>46106</v>
      </c>
      <c r="B2686" s="110" t="s">
        <v>4098</v>
      </c>
      <c r="C2686" s="5" t="s">
        <v>708</v>
      </c>
      <c r="D2686" s="8" t="s">
        <v>306</v>
      </c>
      <c r="E2686" s="6" t="s">
        <v>685</v>
      </c>
      <c r="F2686" s="6" t="s">
        <v>3567</v>
      </c>
      <c r="G2686" s="5">
        <v>1227.5</v>
      </c>
      <c r="H2686" s="5">
        <f t="shared" si="73"/>
        <v>0.27677447280000012</v>
      </c>
      <c r="I2686" s="20">
        <f t="shared" si="74"/>
        <v>339.74066536200013</v>
      </c>
      <c r="J2686" s="6" t="s">
        <v>357</v>
      </c>
    </row>
    <row r="2687" spans="1:10" hidden="1">
      <c r="A2687" s="9">
        <v>46106</v>
      </c>
      <c r="B2687" s="6" t="s">
        <v>4099</v>
      </c>
      <c r="C2687" s="5" t="s">
        <v>332</v>
      </c>
      <c r="D2687" s="8" t="s">
        <v>306</v>
      </c>
      <c r="E2687" s="6" t="s">
        <v>685</v>
      </c>
      <c r="F2687" s="6" t="s">
        <v>3567</v>
      </c>
      <c r="G2687" s="5">
        <v>463.7</v>
      </c>
      <c r="H2687" s="5">
        <f t="shared" si="73"/>
        <v>0.27677447280000012</v>
      </c>
      <c r="I2687" s="20">
        <f t="shared" si="74"/>
        <v>128.34032303736004</v>
      </c>
      <c r="J2687" s="6" t="s">
        <v>357</v>
      </c>
    </row>
    <row r="2688" spans="1:10" hidden="1">
      <c r="A2688" s="9">
        <v>46106</v>
      </c>
      <c r="B2688" s="110" t="s">
        <v>4100</v>
      </c>
      <c r="C2688" s="5" t="s">
        <v>345</v>
      </c>
      <c r="D2688" s="8" t="s">
        <v>306</v>
      </c>
      <c r="E2688" s="6" t="s">
        <v>685</v>
      </c>
      <c r="F2688" s="6" t="s">
        <v>3567</v>
      </c>
      <c r="G2688" s="5">
        <v>507</v>
      </c>
      <c r="H2688" s="5">
        <f t="shared" si="73"/>
        <v>0.27677447280000012</v>
      </c>
      <c r="I2688" s="20">
        <f t="shared" si="74"/>
        <v>140.32465770960005</v>
      </c>
      <c r="J2688" s="6" t="s">
        <v>357</v>
      </c>
    </row>
    <row r="2689" spans="1:10" hidden="1">
      <c r="A2689" s="142">
        <v>46106</v>
      </c>
      <c r="B2689" s="140" t="s">
        <v>5908</v>
      </c>
      <c r="C2689" s="138" t="s">
        <v>5907</v>
      </c>
      <c r="D2689" s="139" t="s">
        <v>306</v>
      </c>
      <c r="E2689" s="25" t="s">
        <v>685</v>
      </c>
      <c r="F2689" s="25" t="s">
        <v>3567</v>
      </c>
      <c r="G2689" s="31">
        <v>1574.1</v>
      </c>
      <c r="H2689" s="5">
        <f t="shared" si="73"/>
        <v>0.27677447280000012</v>
      </c>
      <c r="I2689" s="141">
        <f t="shared" si="74"/>
        <v>435.67069763448018</v>
      </c>
      <c r="J2689" s="140" t="s">
        <v>357</v>
      </c>
    </row>
    <row r="2690" spans="1:10" hidden="1">
      <c r="A2690" s="142">
        <v>46106</v>
      </c>
      <c r="B2690" s="140" t="s">
        <v>5909</v>
      </c>
      <c r="C2690" s="138" t="s">
        <v>5910</v>
      </c>
      <c r="D2690" s="139" t="s">
        <v>306</v>
      </c>
      <c r="E2690" s="25" t="s">
        <v>685</v>
      </c>
      <c r="F2690" s="25" t="s">
        <v>3567</v>
      </c>
      <c r="G2690" s="31">
        <v>1485.5</v>
      </c>
      <c r="H2690" s="5">
        <f t="shared" si="73"/>
        <v>0.27677447280000012</v>
      </c>
      <c r="I2690" s="141">
        <f t="shared" si="74"/>
        <v>411.14847934440019</v>
      </c>
      <c r="J2690" s="140" t="s">
        <v>357</v>
      </c>
    </row>
    <row r="2691" spans="1:10" hidden="1">
      <c r="A2691" s="9">
        <v>46106</v>
      </c>
      <c r="B2691" s="110" t="s">
        <v>4102</v>
      </c>
      <c r="C2691" s="5" t="s">
        <v>4101</v>
      </c>
      <c r="D2691" s="8" t="s">
        <v>306</v>
      </c>
      <c r="E2691" s="6" t="s">
        <v>1541</v>
      </c>
      <c r="F2691" s="6" t="s">
        <v>3567</v>
      </c>
      <c r="G2691" s="5">
        <v>74.400000000000006</v>
      </c>
      <c r="H2691" s="5">
        <v>0.2767744728</v>
      </c>
      <c r="I2691" s="20">
        <v>19.512600332400002</v>
      </c>
      <c r="J2691" s="6" t="s">
        <v>357</v>
      </c>
    </row>
    <row r="2692" spans="1:10" hidden="1">
      <c r="A2692" s="9">
        <v>46106</v>
      </c>
      <c r="B2692" s="6" t="s">
        <v>4104</v>
      </c>
      <c r="C2692" s="5" t="s">
        <v>4103</v>
      </c>
      <c r="D2692" s="8" t="s">
        <v>306</v>
      </c>
      <c r="E2692" s="6" t="s">
        <v>1541</v>
      </c>
      <c r="F2692" s="6" t="s">
        <v>3567</v>
      </c>
      <c r="G2692" s="5">
        <v>111.9</v>
      </c>
      <c r="H2692" s="5">
        <v>0.2767744728</v>
      </c>
      <c r="I2692" s="20">
        <v>29.338094116800001</v>
      </c>
      <c r="J2692" s="6" t="s">
        <v>357</v>
      </c>
    </row>
    <row r="2693" spans="1:10" hidden="1">
      <c r="A2693" s="9">
        <v>46106</v>
      </c>
      <c r="B2693" s="6" t="s">
        <v>4106</v>
      </c>
      <c r="C2693" s="5" t="s">
        <v>4105</v>
      </c>
      <c r="D2693" s="8" t="s">
        <v>306</v>
      </c>
      <c r="E2693" s="6" t="s">
        <v>1541</v>
      </c>
      <c r="F2693" s="6" t="s">
        <v>3567</v>
      </c>
      <c r="G2693" s="5">
        <v>109.2</v>
      </c>
      <c r="H2693" s="5">
        <v>0.2767744728</v>
      </c>
      <c r="I2693" s="20">
        <v>28.646157934800001</v>
      </c>
      <c r="J2693" s="6" t="s">
        <v>357</v>
      </c>
    </row>
    <row r="2694" spans="1:10" hidden="1">
      <c r="A2694" s="9">
        <v>46106</v>
      </c>
      <c r="B2694" s="6" t="s">
        <v>4107</v>
      </c>
      <c r="C2694" s="5" t="s">
        <v>1539</v>
      </c>
      <c r="D2694" s="8" t="s">
        <v>306</v>
      </c>
      <c r="E2694" s="6" t="s">
        <v>1541</v>
      </c>
      <c r="F2694" s="6" t="s">
        <v>3567</v>
      </c>
      <c r="G2694" s="5">
        <v>114.5</v>
      </c>
      <c r="H2694" s="5">
        <v>0.2767744728</v>
      </c>
      <c r="I2694" s="20">
        <v>30.0300302988</v>
      </c>
      <c r="J2694" s="6" t="s">
        <v>357</v>
      </c>
    </row>
    <row r="2695" spans="1:10" hidden="1">
      <c r="A2695" s="9">
        <v>46106</v>
      </c>
      <c r="B2695" s="6" t="s">
        <v>4109</v>
      </c>
      <c r="C2695" s="5" t="s">
        <v>4108</v>
      </c>
      <c r="D2695" s="8" t="s">
        <v>306</v>
      </c>
      <c r="E2695" s="6" t="s">
        <v>1541</v>
      </c>
      <c r="F2695" s="6" t="s">
        <v>3567</v>
      </c>
      <c r="G2695" s="5">
        <v>166.2</v>
      </c>
      <c r="H2695" s="5">
        <v>0.2767744728</v>
      </c>
      <c r="I2695" s="20">
        <v>43.591979465999998</v>
      </c>
      <c r="J2695" s="6" t="s">
        <v>357</v>
      </c>
    </row>
    <row r="2696" spans="1:10" hidden="1">
      <c r="A2696" s="9">
        <v>46106</v>
      </c>
      <c r="B2696" s="6" t="s">
        <v>4110</v>
      </c>
      <c r="C2696" s="5" t="s">
        <v>1545</v>
      </c>
      <c r="D2696" s="8" t="s">
        <v>306</v>
      </c>
      <c r="E2696" s="6" t="s">
        <v>1541</v>
      </c>
      <c r="F2696" s="6" t="s">
        <v>3567</v>
      </c>
      <c r="G2696" s="5">
        <v>173.1</v>
      </c>
      <c r="H2696" s="5">
        <f>0.9*0.8*0.7*0.93*(0.9*0.9*0.9*0.9*0.9)</f>
        <v>0.27677447280000012</v>
      </c>
      <c r="I2696" s="20">
        <f>H2696*G2696</f>
        <v>47.90966124168002</v>
      </c>
      <c r="J2696" s="6" t="s">
        <v>357</v>
      </c>
    </row>
    <row r="2697" spans="1:10" hidden="1">
      <c r="A2697" s="9">
        <v>46106</v>
      </c>
      <c r="B2697" s="6" t="s">
        <v>4112</v>
      </c>
      <c r="C2697" s="5" t="s">
        <v>4111</v>
      </c>
      <c r="D2697" s="8" t="s">
        <v>306</v>
      </c>
      <c r="E2697" s="6" t="s">
        <v>1541</v>
      </c>
      <c r="F2697" s="6" t="s">
        <v>3567</v>
      </c>
      <c r="G2697" s="5">
        <v>253.2</v>
      </c>
      <c r="H2697" s="5">
        <v>0.2767744728</v>
      </c>
      <c r="I2697" s="20">
        <v>66.425873472000006</v>
      </c>
      <c r="J2697" s="6" t="s">
        <v>357</v>
      </c>
    </row>
    <row r="2698" spans="1:10" hidden="1">
      <c r="A2698" s="9">
        <v>46106</v>
      </c>
      <c r="B2698" s="6" t="s">
        <v>4114</v>
      </c>
      <c r="C2698" s="5" t="s">
        <v>4113</v>
      </c>
      <c r="D2698" s="8" t="s">
        <v>306</v>
      </c>
      <c r="E2698" s="6" t="s">
        <v>1541</v>
      </c>
      <c r="F2698" s="6" t="s">
        <v>3567</v>
      </c>
      <c r="G2698" s="5">
        <v>270.10000000000002</v>
      </c>
      <c r="H2698" s="5">
        <v>0.2767744728</v>
      </c>
      <c r="I2698" s="20">
        <v>70.854265036800001</v>
      </c>
      <c r="J2698" s="6" t="s">
        <v>357</v>
      </c>
    </row>
    <row r="2699" spans="1:10" hidden="1">
      <c r="A2699" s="9">
        <v>46106</v>
      </c>
      <c r="B2699" s="110" t="s">
        <v>4116</v>
      </c>
      <c r="C2699" s="5" t="s">
        <v>4115</v>
      </c>
      <c r="D2699" s="8" t="s">
        <v>306</v>
      </c>
      <c r="E2699" s="6" t="s">
        <v>1541</v>
      </c>
      <c r="F2699" s="6" t="s">
        <v>3567</v>
      </c>
      <c r="G2699" s="5">
        <v>117.2</v>
      </c>
      <c r="H2699" s="5">
        <v>0.2767744728</v>
      </c>
      <c r="I2699" s="20">
        <v>30.445192007999999</v>
      </c>
      <c r="J2699" s="6" t="s">
        <v>357</v>
      </c>
    </row>
    <row r="2700" spans="1:10" hidden="1">
      <c r="A2700" s="9">
        <v>46106</v>
      </c>
      <c r="B2700" s="6" t="s">
        <v>4118</v>
      </c>
      <c r="C2700" s="5" t="s">
        <v>4117</v>
      </c>
      <c r="D2700" s="8" t="s">
        <v>306</v>
      </c>
      <c r="E2700" s="6" t="s">
        <v>1541</v>
      </c>
      <c r="F2700" s="6" t="s">
        <v>3567</v>
      </c>
      <c r="G2700" s="5">
        <v>124</v>
      </c>
      <c r="H2700" s="5">
        <v>0.2767744728</v>
      </c>
      <c r="I2700" s="20">
        <v>32.521000553999997</v>
      </c>
      <c r="J2700" s="6" t="s">
        <v>357</v>
      </c>
    </row>
    <row r="2701" spans="1:10" hidden="1">
      <c r="A2701" s="9">
        <v>46106</v>
      </c>
      <c r="B2701" s="6" t="s">
        <v>4120</v>
      </c>
      <c r="C2701" s="5" t="s">
        <v>4119</v>
      </c>
      <c r="D2701" s="8" t="s">
        <v>306</v>
      </c>
      <c r="E2701" s="6" t="s">
        <v>1541</v>
      </c>
      <c r="F2701" s="6" t="s">
        <v>3567</v>
      </c>
      <c r="G2701" s="5">
        <v>227.4</v>
      </c>
      <c r="H2701" s="5">
        <v>0.2767744728</v>
      </c>
      <c r="I2701" s="20">
        <v>59.6448988884</v>
      </c>
      <c r="J2701" s="6" t="s">
        <v>357</v>
      </c>
    </row>
    <row r="2702" spans="1:10" hidden="1">
      <c r="A2702" s="9">
        <v>46106</v>
      </c>
      <c r="B2702" s="6" t="s">
        <v>4121</v>
      </c>
      <c r="C2702" s="5" t="s">
        <v>2627</v>
      </c>
      <c r="D2702" s="8" t="s">
        <v>306</v>
      </c>
      <c r="E2702" s="6" t="s">
        <v>1541</v>
      </c>
      <c r="F2702" s="6" t="s">
        <v>3567</v>
      </c>
      <c r="G2702" s="5">
        <v>190.5</v>
      </c>
      <c r="H2702" s="5">
        <f>0.9*0.8*0.7*0.93*(0.9*0.9*0.9*0.9*0.9)</f>
        <v>0.27677447280000012</v>
      </c>
      <c r="I2702" s="20">
        <f>H2702*G2702</f>
        <v>52.725537068400023</v>
      </c>
      <c r="J2702" s="6" t="s">
        <v>357</v>
      </c>
    </row>
    <row r="2703" spans="1:10" hidden="1">
      <c r="A2703" s="9">
        <v>46106</v>
      </c>
      <c r="B2703" s="6" t="s">
        <v>4122</v>
      </c>
      <c r="C2703" s="5" t="s">
        <v>314</v>
      </c>
      <c r="D2703" s="8" t="s">
        <v>306</v>
      </c>
      <c r="E2703" s="6" t="s">
        <v>1541</v>
      </c>
      <c r="F2703" s="6" t="s">
        <v>3567</v>
      </c>
      <c r="G2703" s="5">
        <v>198.9</v>
      </c>
      <c r="H2703" s="5">
        <v>0.2767744728</v>
      </c>
      <c r="I2703" s="20">
        <v>52.171988122800002</v>
      </c>
      <c r="J2703" s="6" t="s">
        <v>357</v>
      </c>
    </row>
    <row r="2704" spans="1:10" hidden="1">
      <c r="A2704" s="9">
        <v>46106</v>
      </c>
      <c r="B2704" s="6" t="s">
        <v>4124</v>
      </c>
      <c r="C2704" s="5" t="s">
        <v>4123</v>
      </c>
      <c r="D2704" s="8" t="s">
        <v>306</v>
      </c>
      <c r="E2704" s="6" t="s">
        <v>1541</v>
      </c>
      <c r="F2704" s="6" t="s">
        <v>3567</v>
      </c>
      <c r="G2704" s="5">
        <v>324.5</v>
      </c>
      <c r="H2704" s="5">
        <v>0.2767744728</v>
      </c>
      <c r="I2704" s="20">
        <v>85.108150386000005</v>
      </c>
      <c r="J2704" s="6" t="s">
        <v>357</v>
      </c>
    </row>
    <row r="2705" spans="1:10" hidden="1">
      <c r="A2705" s="9">
        <v>46106</v>
      </c>
      <c r="B2705" s="6" t="s">
        <v>4125</v>
      </c>
      <c r="C2705" s="5" t="s">
        <v>2629</v>
      </c>
      <c r="D2705" s="8" t="s">
        <v>306</v>
      </c>
      <c r="E2705" s="6" t="s">
        <v>1541</v>
      </c>
      <c r="F2705" s="6" t="s">
        <v>3567</v>
      </c>
      <c r="G2705" s="5">
        <v>285.39999999999998</v>
      </c>
      <c r="H2705" s="5">
        <f>0.9*0.8*0.7*0.93*(0.9*0.9*0.9*0.9*0.9)</f>
        <v>0.27677447280000012</v>
      </c>
      <c r="I2705" s="20">
        <f>H2705*G2705</f>
        <v>78.991434537120028</v>
      </c>
      <c r="J2705" s="6" t="s">
        <v>357</v>
      </c>
    </row>
    <row r="2706" spans="1:10" hidden="1">
      <c r="A2706" s="9">
        <v>46106</v>
      </c>
      <c r="B2706" s="6" t="s">
        <v>4126</v>
      </c>
      <c r="C2706" s="5" t="s">
        <v>343</v>
      </c>
      <c r="D2706" s="8" t="s">
        <v>306</v>
      </c>
      <c r="E2706" s="6" t="s">
        <v>1541</v>
      </c>
      <c r="F2706" s="6" t="s">
        <v>3567</v>
      </c>
      <c r="G2706" s="5">
        <v>294.89999999999998</v>
      </c>
      <c r="H2706" s="5">
        <v>0.2767744728</v>
      </c>
      <c r="I2706" s="20">
        <v>77.3584651476</v>
      </c>
      <c r="J2706" s="6" t="s">
        <v>357</v>
      </c>
    </row>
    <row r="2707" spans="1:10" hidden="1">
      <c r="A2707" s="9">
        <v>46106</v>
      </c>
      <c r="B2707" s="6" t="s">
        <v>4127</v>
      </c>
      <c r="C2707" s="5" t="s">
        <v>1543</v>
      </c>
      <c r="D2707" s="8" t="s">
        <v>306</v>
      </c>
      <c r="E2707" s="6" t="s">
        <v>1541</v>
      </c>
      <c r="F2707" s="6" t="s">
        <v>3567</v>
      </c>
      <c r="G2707" s="5">
        <v>514.4</v>
      </c>
      <c r="H2707" s="5">
        <v>0.2767744728</v>
      </c>
      <c r="I2707" s="20">
        <v>134.92755549</v>
      </c>
      <c r="J2707" s="6" t="s">
        <v>357</v>
      </c>
    </row>
    <row r="2708" spans="1:10" hidden="1">
      <c r="A2708" s="9">
        <v>46106</v>
      </c>
      <c r="B2708" s="6" t="s">
        <v>4128</v>
      </c>
      <c r="C2708" s="5" t="s">
        <v>2625</v>
      </c>
      <c r="D2708" s="8" t="s">
        <v>306</v>
      </c>
      <c r="E2708" s="6" t="s">
        <v>1541</v>
      </c>
      <c r="F2708" s="6" t="s">
        <v>3567</v>
      </c>
      <c r="G2708" s="5">
        <v>777.1</v>
      </c>
      <c r="H2708" s="5">
        <v>0.2767744728</v>
      </c>
      <c r="I2708" s="20">
        <v>203.84439921719999</v>
      </c>
      <c r="J2708" s="6" t="s">
        <v>357</v>
      </c>
    </row>
    <row r="2709" spans="1:10" hidden="1">
      <c r="A2709" s="9">
        <v>46106</v>
      </c>
      <c r="B2709" s="6" t="s">
        <v>4130</v>
      </c>
      <c r="C2709" s="5" t="s">
        <v>4129</v>
      </c>
      <c r="D2709" s="8" t="s">
        <v>306</v>
      </c>
      <c r="E2709" s="6" t="s">
        <v>1541</v>
      </c>
      <c r="F2709" s="6" t="s">
        <v>3567</v>
      </c>
      <c r="G2709" s="5">
        <v>363</v>
      </c>
      <c r="H2709" s="5">
        <f>0.9*0.8*0.7*0.93*(0.9*0.9*0.9*0.9*0.9)</f>
        <v>0.27677447280000012</v>
      </c>
      <c r="I2709" s="20">
        <f>H2709*G2709</f>
        <v>100.46913362640004</v>
      </c>
      <c r="J2709" s="6" t="s">
        <v>357</v>
      </c>
    </row>
    <row r="2710" spans="1:10" hidden="1">
      <c r="A2710" s="9">
        <v>46106</v>
      </c>
      <c r="B2710" s="6" t="s">
        <v>4132</v>
      </c>
      <c r="C2710" s="5" t="s">
        <v>4131</v>
      </c>
      <c r="D2710" s="8" t="s">
        <v>306</v>
      </c>
      <c r="E2710" s="6" t="s">
        <v>1541</v>
      </c>
      <c r="F2710" s="6" t="s">
        <v>3567</v>
      </c>
      <c r="G2710" s="5">
        <v>371.9</v>
      </c>
      <c r="H2710" s="5">
        <f>0.9*0.8*0.7*0.93*(0.9*0.9*0.9*0.9*0.9)</f>
        <v>0.27677447280000012</v>
      </c>
      <c r="I2710" s="20">
        <f>H2710*G2710</f>
        <v>102.93242643432004</v>
      </c>
      <c r="J2710" s="6" t="s">
        <v>357</v>
      </c>
    </row>
    <row r="2711" spans="1:10" hidden="1">
      <c r="A2711" s="9">
        <v>46106</v>
      </c>
      <c r="B2711" s="110" t="s">
        <v>4134</v>
      </c>
      <c r="C2711" s="5" t="s">
        <v>4133</v>
      </c>
      <c r="D2711" s="8" t="s">
        <v>306</v>
      </c>
      <c r="E2711" s="6" t="s">
        <v>1541</v>
      </c>
      <c r="F2711" s="6" t="s">
        <v>3567</v>
      </c>
      <c r="G2711" s="5">
        <v>627.20000000000005</v>
      </c>
      <c r="H2711" s="5">
        <v>0.2767744728</v>
      </c>
      <c r="I2711" s="20">
        <v>164.54242407960001</v>
      </c>
      <c r="J2711" s="6" t="s">
        <v>357</v>
      </c>
    </row>
    <row r="2712" spans="1:10" hidden="1">
      <c r="A2712" s="9">
        <v>46106</v>
      </c>
      <c r="B2712" s="6" t="s">
        <v>4136</v>
      </c>
      <c r="C2712" s="5" t="s">
        <v>4135</v>
      </c>
      <c r="D2712" s="8" t="s">
        <v>306</v>
      </c>
      <c r="E2712" s="6" t="s">
        <v>1541</v>
      </c>
      <c r="F2712" s="6" t="s">
        <v>3567</v>
      </c>
      <c r="G2712" s="5">
        <v>931.6</v>
      </c>
      <c r="H2712" s="5">
        <v>0.2767744728</v>
      </c>
      <c r="I2712" s="20">
        <v>244.39185948240001</v>
      </c>
      <c r="J2712" s="6" t="s">
        <v>357</v>
      </c>
    </row>
    <row r="2713" spans="1:10" hidden="1">
      <c r="A2713" s="10">
        <v>44882</v>
      </c>
      <c r="B2713" s="110" t="s">
        <v>4138</v>
      </c>
      <c r="C2713" s="5" t="s">
        <v>4137</v>
      </c>
      <c r="D2713" s="8" t="s">
        <v>306</v>
      </c>
      <c r="E2713" s="6" t="s">
        <v>4139</v>
      </c>
      <c r="F2713" s="6" t="s">
        <v>411</v>
      </c>
      <c r="G2713" s="5">
        <v>141</v>
      </c>
      <c r="H2713" s="5">
        <v>1</v>
      </c>
      <c r="I2713" s="20">
        <f t="shared" ref="I2713:I2776" si="75">H2713*G2713</f>
        <v>141</v>
      </c>
      <c r="J2713" s="6" t="s">
        <v>357</v>
      </c>
    </row>
    <row r="2714" spans="1:10" ht="60" hidden="1">
      <c r="A2714" s="10">
        <v>45897</v>
      </c>
      <c r="B2714" s="296" t="s">
        <v>7462</v>
      </c>
      <c r="C2714" s="297" t="s">
        <v>7463</v>
      </c>
      <c r="D2714" s="8" t="s">
        <v>306</v>
      </c>
      <c r="E2714" s="6" t="s">
        <v>1837</v>
      </c>
      <c r="F2714" s="6" t="s">
        <v>4140</v>
      </c>
      <c r="G2714" s="6">
        <v>27000</v>
      </c>
      <c r="H2714" s="5">
        <v>1</v>
      </c>
      <c r="I2714" s="20">
        <f t="shared" si="75"/>
        <v>27000</v>
      </c>
      <c r="J2714" s="6" t="s">
        <v>4141</v>
      </c>
    </row>
    <row r="2715" spans="1:10" hidden="1">
      <c r="A2715" s="10">
        <v>45321</v>
      </c>
      <c r="B2715" s="110" t="s">
        <v>4143</v>
      </c>
      <c r="C2715" s="5" t="s">
        <v>4142</v>
      </c>
      <c r="D2715" s="8" t="s">
        <v>306</v>
      </c>
      <c r="E2715" s="6" t="s">
        <v>1013</v>
      </c>
      <c r="F2715" s="6" t="s">
        <v>762</v>
      </c>
      <c r="G2715" s="5">
        <v>681.69</v>
      </c>
      <c r="H2715" s="5">
        <v>1</v>
      </c>
      <c r="I2715" s="20">
        <f t="shared" si="75"/>
        <v>681.69</v>
      </c>
      <c r="J2715" s="6" t="s">
        <v>357</v>
      </c>
    </row>
    <row r="2716" spans="1:10" hidden="1">
      <c r="A2716" s="10">
        <v>45321</v>
      </c>
      <c r="B2716" s="110" t="s">
        <v>4145</v>
      </c>
      <c r="C2716" s="5" t="s">
        <v>4144</v>
      </c>
      <c r="D2716" s="8" t="s">
        <v>306</v>
      </c>
      <c r="E2716" s="6" t="s">
        <v>1013</v>
      </c>
      <c r="F2716" s="6" t="s">
        <v>762</v>
      </c>
      <c r="G2716" s="5">
        <v>742.64</v>
      </c>
      <c r="H2716" s="5">
        <v>1</v>
      </c>
      <c r="I2716" s="20">
        <f t="shared" si="75"/>
        <v>742.64</v>
      </c>
      <c r="J2716" s="6" t="s">
        <v>357</v>
      </c>
    </row>
    <row r="2717" spans="1:10" hidden="1">
      <c r="A2717" s="10">
        <v>45321</v>
      </c>
      <c r="B2717" s="110" t="s">
        <v>4147</v>
      </c>
      <c r="C2717" s="5" t="s">
        <v>4146</v>
      </c>
      <c r="D2717" s="8" t="s">
        <v>306</v>
      </c>
      <c r="E2717" s="6" t="s">
        <v>1013</v>
      </c>
      <c r="F2717" s="6" t="s">
        <v>762</v>
      </c>
      <c r="G2717" s="5">
        <v>925.37</v>
      </c>
      <c r="H2717" s="5">
        <v>1</v>
      </c>
      <c r="I2717" s="20">
        <f t="shared" si="75"/>
        <v>925.37</v>
      </c>
      <c r="J2717" s="6" t="s">
        <v>357</v>
      </c>
    </row>
    <row r="2718" spans="1:10" hidden="1">
      <c r="A2718" s="10">
        <v>45742</v>
      </c>
      <c r="B2718" s="223" t="s">
        <v>4149</v>
      </c>
      <c r="C2718" s="5" t="s">
        <v>4148</v>
      </c>
      <c r="D2718" s="8" t="s">
        <v>306</v>
      </c>
      <c r="E2718" s="6" t="s">
        <v>1013</v>
      </c>
      <c r="F2718" s="6" t="s">
        <v>762</v>
      </c>
      <c r="G2718" s="21">
        <v>1200</v>
      </c>
      <c r="H2718" s="5">
        <v>1</v>
      </c>
      <c r="I2718" s="20">
        <f t="shared" si="75"/>
        <v>1200</v>
      </c>
      <c r="J2718" s="6" t="s">
        <v>357</v>
      </c>
    </row>
    <row r="2719" spans="1:10" ht="30" hidden="1">
      <c r="A2719" s="10">
        <v>45877</v>
      </c>
      <c r="B2719" s="309" t="s">
        <v>7672</v>
      </c>
      <c r="C2719" s="143" t="s">
        <v>7673</v>
      </c>
      <c r="D2719" s="8" t="s">
        <v>306</v>
      </c>
      <c r="E2719" s="25" t="s">
        <v>1013</v>
      </c>
      <c r="F2719" s="25" t="s">
        <v>762</v>
      </c>
      <c r="G2719" s="308">
        <v>4400</v>
      </c>
      <c r="H2719" s="5">
        <v>1</v>
      </c>
      <c r="I2719" s="20">
        <f t="shared" si="75"/>
        <v>4400</v>
      </c>
      <c r="J2719" s="6" t="s">
        <v>357</v>
      </c>
    </row>
    <row r="2720" spans="1:10" ht="30" hidden="1">
      <c r="A2720" s="10">
        <v>44972</v>
      </c>
      <c r="B2720" s="110" t="s">
        <v>4151</v>
      </c>
      <c r="C2720" s="5" t="s">
        <v>4150</v>
      </c>
      <c r="D2720" s="8" t="s">
        <v>306</v>
      </c>
      <c r="E2720" s="6" t="s">
        <v>1013</v>
      </c>
      <c r="F2720" s="6" t="s">
        <v>762</v>
      </c>
      <c r="G2720" s="5">
        <v>5200</v>
      </c>
      <c r="H2720" s="5">
        <v>1</v>
      </c>
      <c r="I2720" s="20">
        <f t="shared" si="75"/>
        <v>5200</v>
      </c>
      <c r="J2720" s="6" t="s">
        <v>357</v>
      </c>
    </row>
    <row r="2721" spans="1:10" ht="30" hidden="1">
      <c r="A2721" s="10">
        <v>45321</v>
      </c>
      <c r="B2721" s="110" t="s">
        <v>4153</v>
      </c>
      <c r="C2721" s="5" t="s">
        <v>4152</v>
      </c>
      <c r="D2721" s="8" t="s">
        <v>306</v>
      </c>
      <c r="E2721" s="6" t="s">
        <v>1013</v>
      </c>
      <c r="F2721" s="6" t="s">
        <v>762</v>
      </c>
      <c r="G2721" s="5">
        <v>6562.23</v>
      </c>
      <c r="H2721" s="5">
        <v>1</v>
      </c>
      <c r="I2721" s="20">
        <f t="shared" si="75"/>
        <v>6562.23</v>
      </c>
      <c r="J2721" s="6" t="s">
        <v>357</v>
      </c>
    </row>
    <row r="2722" spans="1:10" ht="30" hidden="1">
      <c r="A2722" s="10">
        <v>45877</v>
      </c>
      <c r="B2722" s="309" t="s">
        <v>7669</v>
      </c>
      <c r="C2722" s="143" t="s">
        <v>7670</v>
      </c>
      <c r="D2722" s="8" t="s">
        <v>306</v>
      </c>
      <c r="E2722" s="25" t="s">
        <v>1013</v>
      </c>
      <c r="F2722" s="25" t="s">
        <v>762</v>
      </c>
      <c r="G2722" s="31">
        <v>7810.22</v>
      </c>
      <c r="H2722" s="5">
        <v>1</v>
      </c>
      <c r="I2722" s="20">
        <f t="shared" si="75"/>
        <v>7810.22</v>
      </c>
      <c r="J2722" s="6" t="s">
        <v>357</v>
      </c>
    </row>
    <row r="2723" spans="1:10" ht="30" hidden="1">
      <c r="A2723" s="10">
        <v>44972</v>
      </c>
      <c r="B2723" s="110" t="s">
        <v>4155</v>
      </c>
      <c r="C2723" s="5" t="s">
        <v>4154</v>
      </c>
      <c r="D2723" s="8" t="s">
        <v>306</v>
      </c>
      <c r="E2723" s="6" t="s">
        <v>1013</v>
      </c>
      <c r="F2723" s="6" t="s">
        <v>762</v>
      </c>
      <c r="G2723" s="5">
        <v>10160</v>
      </c>
      <c r="H2723" s="5">
        <v>1</v>
      </c>
      <c r="I2723" s="20">
        <f t="shared" si="75"/>
        <v>10160</v>
      </c>
      <c r="J2723" s="6" t="s">
        <v>357</v>
      </c>
    </row>
    <row r="2724" spans="1:10" hidden="1">
      <c r="A2724" s="10">
        <v>45321</v>
      </c>
      <c r="B2724" s="110" t="s">
        <v>4157</v>
      </c>
      <c r="C2724" s="5" t="s">
        <v>4156</v>
      </c>
      <c r="D2724" s="8" t="s">
        <v>306</v>
      </c>
      <c r="E2724" s="6" t="s">
        <v>1013</v>
      </c>
      <c r="F2724" s="6" t="s">
        <v>762</v>
      </c>
      <c r="G2724" s="5">
        <v>12947.01</v>
      </c>
      <c r="H2724" s="5">
        <v>1</v>
      </c>
      <c r="I2724" s="20">
        <f t="shared" si="75"/>
        <v>12947.01</v>
      </c>
      <c r="J2724" s="6" t="s">
        <v>357</v>
      </c>
    </row>
    <row r="2725" spans="1:10" hidden="1">
      <c r="A2725" s="10">
        <v>45527</v>
      </c>
      <c r="B2725" s="6" t="s">
        <v>5710</v>
      </c>
      <c r="C2725" s="5" t="s">
        <v>5711</v>
      </c>
      <c r="D2725" s="8" t="s">
        <v>306</v>
      </c>
      <c r="E2725" s="106" t="s">
        <v>1013</v>
      </c>
      <c r="F2725" s="106" t="s">
        <v>762</v>
      </c>
      <c r="G2725" s="107">
        <v>3300</v>
      </c>
      <c r="H2725" s="5">
        <v>1</v>
      </c>
      <c r="I2725" s="20">
        <f t="shared" si="75"/>
        <v>3300</v>
      </c>
      <c r="J2725" s="6" t="s">
        <v>357</v>
      </c>
    </row>
    <row r="2726" spans="1:10" hidden="1">
      <c r="A2726" s="10">
        <v>45527</v>
      </c>
      <c r="B2726" s="6" t="s">
        <v>5709</v>
      </c>
      <c r="C2726" s="5" t="s">
        <v>5712</v>
      </c>
      <c r="D2726" s="8" t="s">
        <v>306</v>
      </c>
      <c r="E2726" s="106" t="s">
        <v>1013</v>
      </c>
      <c r="F2726" s="106" t="s">
        <v>762</v>
      </c>
      <c r="G2726" s="107">
        <v>3700</v>
      </c>
      <c r="H2726" s="5">
        <v>1</v>
      </c>
      <c r="I2726" s="20">
        <f t="shared" si="75"/>
        <v>3700</v>
      </c>
      <c r="J2726" s="6" t="s">
        <v>357</v>
      </c>
    </row>
    <row r="2727" spans="1:10" ht="30" hidden="1">
      <c r="A2727" s="10">
        <v>45911</v>
      </c>
      <c r="B2727" s="110" t="s">
        <v>4159</v>
      </c>
      <c r="C2727" s="5" t="s">
        <v>4158</v>
      </c>
      <c r="D2727" s="8" t="s">
        <v>306</v>
      </c>
      <c r="E2727" s="6" t="s">
        <v>1013</v>
      </c>
      <c r="F2727" s="6" t="s">
        <v>762</v>
      </c>
      <c r="G2727" s="5">
        <v>10000</v>
      </c>
      <c r="H2727" s="5">
        <v>1</v>
      </c>
      <c r="I2727" s="20">
        <f t="shared" si="75"/>
        <v>10000</v>
      </c>
      <c r="J2727" s="6" t="s">
        <v>357</v>
      </c>
    </row>
    <row r="2728" spans="1:10" hidden="1">
      <c r="A2728" s="10">
        <v>45527</v>
      </c>
      <c r="B2728" s="110" t="s">
        <v>4161</v>
      </c>
      <c r="C2728" s="5" t="s">
        <v>4160</v>
      </c>
      <c r="D2728" s="8" t="s">
        <v>306</v>
      </c>
      <c r="E2728" s="6" t="s">
        <v>1013</v>
      </c>
      <c r="F2728" s="6" t="s">
        <v>762</v>
      </c>
      <c r="G2728" s="21">
        <v>3850</v>
      </c>
      <c r="H2728" s="5">
        <v>1</v>
      </c>
      <c r="I2728" s="20">
        <f t="shared" si="75"/>
        <v>3850</v>
      </c>
      <c r="J2728" s="6" t="s">
        <v>357</v>
      </c>
    </row>
    <row r="2729" spans="1:10" hidden="1">
      <c r="A2729" s="10">
        <v>45527</v>
      </c>
      <c r="B2729" s="110" t="s">
        <v>4163</v>
      </c>
      <c r="C2729" s="5" t="s">
        <v>4162</v>
      </c>
      <c r="D2729" s="8" t="s">
        <v>306</v>
      </c>
      <c r="E2729" s="6" t="s">
        <v>1013</v>
      </c>
      <c r="F2729" s="6" t="s">
        <v>762</v>
      </c>
      <c r="G2729" s="5">
        <v>4400</v>
      </c>
      <c r="H2729" s="5">
        <v>1</v>
      </c>
      <c r="I2729" s="20">
        <f t="shared" si="75"/>
        <v>4400</v>
      </c>
      <c r="J2729" s="6" t="s">
        <v>357</v>
      </c>
    </row>
    <row r="2730" spans="1:10" ht="30" hidden="1">
      <c r="A2730" s="10">
        <v>45527</v>
      </c>
      <c r="B2730" s="338" t="s">
        <v>4165</v>
      </c>
      <c r="C2730" s="5" t="s">
        <v>4164</v>
      </c>
      <c r="D2730" s="8" t="s">
        <v>306</v>
      </c>
      <c r="E2730" s="6" t="s">
        <v>1013</v>
      </c>
      <c r="F2730" s="6" t="s">
        <v>762</v>
      </c>
      <c r="G2730" s="5">
        <v>5000</v>
      </c>
      <c r="H2730" s="5">
        <v>1</v>
      </c>
      <c r="I2730" s="20">
        <f t="shared" si="75"/>
        <v>5000</v>
      </c>
      <c r="J2730" s="6" t="s">
        <v>357</v>
      </c>
    </row>
    <row r="2731" spans="1:10" ht="30" hidden="1">
      <c r="A2731" s="10">
        <v>45321</v>
      </c>
      <c r="B2731" s="110" t="s">
        <v>4167</v>
      </c>
      <c r="C2731" s="5" t="s">
        <v>4166</v>
      </c>
      <c r="D2731" s="8" t="s">
        <v>306</v>
      </c>
      <c r="E2731" s="6" t="s">
        <v>1013</v>
      </c>
      <c r="F2731" s="6" t="s">
        <v>762</v>
      </c>
      <c r="G2731" s="5">
        <v>4100</v>
      </c>
      <c r="H2731" s="5">
        <v>1</v>
      </c>
      <c r="I2731" s="20">
        <f t="shared" si="75"/>
        <v>4100</v>
      </c>
      <c r="J2731" s="6" t="s">
        <v>357</v>
      </c>
    </row>
    <row r="2732" spans="1:10" ht="30" hidden="1">
      <c r="A2732" s="10">
        <v>45897</v>
      </c>
      <c r="B2732" s="216" t="s">
        <v>7464</v>
      </c>
      <c r="C2732" s="5" t="s">
        <v>7465</v>
      </c>
      <c r="D2732" s="8" t="s">
        <v>306</v>
      </c>
      <c r="E2732" s="25" t="s">
        <v>1013</v>
      </c>
      <c r="F2732" s="25" t="s">
        <v>762</v>
      </c>
      <c r="G2732" s="31">
        <v>39000</v>
      </c>
      <c r="H2732" s="5">
        <v>1</v>
      </c>
      <c r="I2732" s="20">
        <f t="shared" si="75"/>
        <v>39000</v>
      </c>
      <c r="J2732" s="6" t="s">
        <v>357</v>
      </c>
    </row>
    <row r="2733" spans="1:10" hidden="1">
      <c r="A2733" s="10">
        <v>43783</v>
      </c>
      <c r="B2733" s="110" t="s">
        <v>4169</v>
      </c>
      <c r="C2733" s="5" t="s">
        <v>4168</v>
      </c>
      <c r="D2733" s="8" t="s">
        <v>306</v>
      </c>
      <c r="E2733" s="6" t="s">
        <v>1837</v>
      </c>
      <c r="F2733" s="6" t="s">
        <v>4170</v>
      </c>
      <c r="G2733" s="5">
        <v>763.78</v>
      </c>
      <c r="H2733" s="5">
        <v>1</v>
      </c>
      <c r="I2733" s="20">
        <f t="shared" si="75"/>
        <v>763.78</v>
      </c>
      <c r="J2733" s="6" t="s">
        <v>357</v>
      </c>
    </row>
    <row r="2734" spans="1:10" hidden="1">
      <c r="A2734" s="10">
        <v>45317</v>
      </c>
      <c r="B2734" s="110" t="s">
        <v>4172</v>
      </c>
      <c r="C2734" s="5" t="s">
        <v>4171</v>
      </c>
      <c r="D2734" s="8" t="s">
        <v>306</v>
      </c>
      <c r="E2734" s="6" t="s">
        <v>1837</v>
      </c>
      <c r="F2734" s="6" t="s">
        <v>4173</v>
      </c>
      <c r="G2734" s="5">
        <v>2350</v>
      </c>
      <c r="H2734" s="5">
        <v>1</v>
      </c>
      <c r="I2734" s="20">
        <f t="shared" si="75"/>
        <v>2350</v>
      </c>
      <c r="J2734" s="6" t="s">
        <v>357</v>
      </c>
    </row>
    <row r="2735" spans="1:10" hidden="1">
      <c r="A2735" s="10">
        <v>45317</v>
      </c>
      <c r="B2735" s="6" t="s">
        <v>4175</v>
      </c>
      <c r="C2735" s="5" t="s">
        <v>4174</v>
      </c>
      <c r="D2735" s="8" t="s">
        <v>306</v>
      </c>
      <c r="E2735" s="6" t="s">
        <v>1837</v>
      </c>
      <c r="F2735" s="6" t="s">
        <v>4173</v>
      </c>
      <c r="G2735" s="5">
        <v>2560</v>
      </c>
      <c r="H2735" s="5">
        <v>1</v>
      </c>
      <c r="I2735" s="20">
        <f t="shared" si="75"/>
        <v>2560</v>
      </c>
      <c r="J2735" s="6" t="s">
        <v>357</v>
      </c>
    </row>
    <row r="2736" spans="1:10" hidden="1">
      <c r="A2736" s="10">
        <v>45317</v>
      </c>
      <c r="B2736" s="110" t="s">
        <v>4177</v>
      </c>
      <c r="C2736" s="5" t="s">
        <v>4176</v>
      </c>
      <c r="D2736" s="8" t="s">
        <v>306</v>
      </c>
      <c r="E2736" s="6" t="s">
        <v>1837</v>
      </c>
      <c r="F2736" s="6" t="s">
        <v>4173</v>
      </c>
      <c r="G2736" s="5">
        <v>690</v>
      </c>
      <c r="H2736" s="5">
        <v>1</v>
      </c>
      <c r="I2736" s="20">
        <f t="shared" si="75"/>
        <v>690</v>
      </c>
      <c r="J2736" s="6" t="s">
        <v>357</v>
      </c>
    </row>
    <row r="2737" spans="1:10" hidden="1">
      <c r="A2737" s="10">
        <v>45317</v>
      </c>
      <c r="B2737" s="110" t="s">
        <v>4179</v>
      </c>
      <c r="C2737" s="5" t="s">
        <v>4178</v>
      </c>
      <c r="D2737" s="8" t="s">
        <v>306</v>
      </c>
      <c r="E2737" s="6" t="s">
        <v>1837</v>
      </c>
      <c r="F2737" s="6" t="s">
        <v>4173</v>
      </c>
      <c r="G2737" s="5">
        <v>750</v>
      </c>
      <c r="H2737" s="5">
        <v>1</v>
      </c>
      <c r="I2737" s="20">
        <f t="shared" si="75"/>
        <v>750</v>
      </c>
      <c r="J2737" s="6" t="s">
        <v>357</v>
      </c>
    </row>
    <row r="2738" spans="1:10" hidden="1">
      <c r="A2738" s="10">
        <v>45317</v>
      </c>
      <c r="B2738" s="110" t="s">
        <v>4181</v>
      </c>
      <c r="C2738" s="5" t="s">
        <v>4180</v>
      </c>
      <c r="D2738" s="8" t="s">
        <v>306</v>
      </c>
      <c r="E2738" s="6" t="s">
        <v>1837</v>
      </c>
      <c r="F2738" s="6" t="s">
        <v>4173</v>
      </c>
      <c r="G2738" s="5">
        <v>880</v>
      </c>
      <c r="H2738" s="5">
        <v>1</v>
      </c>
      <c r="I2738" s="20">
        <f t="shared" si="75"/>
        <v>880</v>
      </c>
      <c r="J2738" s="6" t="s">
        <v>357</v>
      </c>
    </row>
    <row r="2739" spans="1:10" hidden="1">
      <c r="A2739" s="10">
        <v>45317</v>
      </c>
      <c r="B2739" s="110" t="s">
        <v>4183</v>
      </c>
      <c r="C2739" s="5" t="s">
        <v>4182</v>
      </c>
      <c r="D2739" s="8" t="s">
        <v>306</v>
      </c>
      <c r="E2739" s="6" t="s">
        <v>1837</v>
      </c>
      <c r="F2739" s="6" t="s">
        <v>4173</v>
      </c>
      <c r="G2739" s="5">
        <v>940</v>
      </c>
      <c r="H2739" s="5">
        <v>1</v>
      </c>
      <c r="I2739" s="20">
        <f t="shared" si="75"/>
        <v>940</v>
      </c>
      <c r="J2739" s="6" t="s">
        <v>357</v>
      </c>
    </row>
    <row r="2740" spans="1:10" hidden="1">
      <c r="A2740" s="10">
        <v>45317</v>
      </c>
      <c r="B2740" s="110" t="s">
        <v>4185</v>
      </c>
      <c r="C2740" s="5" t="s">
        <v>4184</v>
      </c>
      <c r="D2740" s="8" t="s">
        <v>306</v>
      </c>
      <c r="E2740" s="6" t="s">
        <v>1837</v>
      </c>
      <c r="F2740" s="6" t="s">
        <v>4173</v>
      </c>
      <c r="G2740" s="5">
        <v>1000</v>
      </c>
      <c r="H2740" s="5">
        <v>1</v>
      </c>
      <c r="I2740" s="20">
        <f t="shared" si="75"/>
        <v>1000</v>
      </c>
      <c r="J2740" s="6" t="s">
        <v>357</v>
      </c>
    </row>
    <row r="2741" spans="1:10" hidden="1">
      <c r="A2741" s="10">
        <v>45317</v>
      </c>
      <c r="B2741" s="110" t="s">
        <v>4187</v>
      </c>
      <c r="C2741" s="5" t="s">
        <v>4186</v>
      </c>
      <c r="D2741" s="8" t="s">
        <v>306</v>
      </c>
      <c r="E2741" s="6" t="s">
        <v>1837</v>
      </c>
      <c r="F2741" s="6" t="s">
        <v>4173</v>
      </c>
      <c r="G2741" s="5">
        <v>1090</v>
      </c>
      <c r="H2741" s="5">
        <v>1</v>
      </c>
      <c r="I2741" s="20">
        <f t="shared" si="75"/>
        <v>1090</v>
      </c>
      <c r="J2741" s="6" t="s">
        <v>357</v>
      </c>
    </row>
    <row r="2742" spans="1:10" hidden="1">
      <c r="A2742" s="10">
        <v>45317</v>
      </c>
      <c r="B2742" s="110" t="s">
        <v>4189</v>
      </c>
      <c r="C2742" s="5" t="s">
        <v>4188</v>
      </c>
      <c r="D2742" s="8" t="s">
        <v>306</v>
      </c>
      <c r="E2742" s="6" t="s">
        <v>1837</v>
      </c>
      <c r="F2742" s="6" t="s">
        <v>4173</v>
      </c>
      <c r="G2742" s="5">
        <v>1620</v>
      </c>
      <c r="H2742" s="5">
        <v>1</v>
      </c>
      <c r="I2742" s="20">
        <f t="shared" si="75"/>
        <v>1620</v>
      </c>
      <c r="J2742" s="6" t="s">
        <v>357</v>
      </c>
    </row>
    <row r="2743" spans="1:10" hidden="1">
      <c r="A2743" s="10">
        <v>45317</v>
      </c>
      <c r="B2743" s="110" t="s">
        <v>4191</v>
      </c>
      <c r="C2743" s="5" t="s">
        <v>4190</v>
      </c>
      <c r="D2743" s="8" t="s">
        <v>306</v>
      </c>
      <c r="E2743" s="6" t="s">
        <v>1837</v>
      </c>
      <c r="F2743" s="6" t="s">
        <v>4173</v>
      </c>
      <c r="G2743" s="5">
        <v>1720</v>
      </c>
      <c r="H2743" s="5">
        <v>1</v>
      </c>
      <c r="I2743" s="20">
        <f t="shared" si="75"/>
        <v>1720</v>
      </c>
      <c r="J2743" s="6" t="s">
        <v>357</v>
      </c>
    </row>
    <row r="2744" spans="1:10" hidden="1">
      <c r="A2744" s="10">
        <v>45317</v>
      </c>
      <c r="B2744" s="110" t="s">
        <v>4193</v>
      </c>
      <c r="C2744" s="5" t="s">
        <v>4192</v>
      </c>
      <c r="D2744" s="8" t="s">
        <v>306</v>
      </c>
      <c r="E2744" s="6" t="s">
        <v>1837</v>
      </c>
      <c r="F2744" s="6" t="s">
        <v>4194</v>
      </c>
      <c r="G2744" s="5">
        <v>4600</v>
      </c>
      <c r="H2744" s="5">
        <v>1</v>
      </c>
      <c r="I2744" s="20">
        <f t="shared" si="75"/>
        <v>4600</v>
      </c>
      <c r="J2744" s="6" t="s">
        <v>357</v>
      </c>
    </row>
    <row r="2745" spans="1:10" hidden="1">
      <c r="A2745" s="10">
        <v>45293</v>
      </c>
      <c r="B2745" s="110" t="s">
        <v>4196</v>
      </c>
      <c r="C2745" s="5" t="s">
        <v>4195</v>
      </c>
      <c r="D2745" s="8" t="s">
        <v>306</v>
      </c>
      <c r="E2745" s="6" t="s">
        <v>1837</v>
      </c>
      <c r="F2745" s="6" t="s">
        <v>4197</v>
      </c>
      <c r="G2745" s="5">
        <f>15793.55*1.3</f>
        <v>20531.614999999998</v>
      </c>
      <c r="H2745" s="5">
        <v>1</v>
      </c>
      <c r="I2745" s="20">
        <f t="shared" si="75"/>
        <v>20531.614999999998</v>
      </c>
      <c r="J2745" s="6" t="s">
        <v>357</v>
      </c>
    </row>
    <row r="2746" spans="1:10" hidden="1">
      <c r="A2746" s="10">
        <v>45293</v>
      </c>
      <c r="B2746" s="110" t="s">
        <v>4199</v>
      </c>
      <c r="C2746" s="5" t="s">
        <v>4198</v>
      </c>
      <c r="D2746" s="8" t="s">
        <v>306</v>
      </c>
      <c r="E2746" s="6" t="s">
        <v>1837</v>
      </c>
      <c r="F2746" s="6" t="s">
        <v>4197</v>
      </c>
      <c r="G2746" s="5">
        <f>16343.99*1.3</f>
        <v>21247.187000000002</v>
      </c>
      <c r="H2746" s="5">
        <v>1</v>
      </c>
      <c r="I2746" s="20">
        <f t="shared" si="75"/>
        <v>21247.187000000002</v>
      </c>
      <c r="J2746" s="6" t="s">
        <v>357</v>
      </c>
    </row>
    <row r="2747" spans="1:10" hidden="1">
      <c r="A2747" s="10">
        <v>45293</v>
      </c>
      <c r="B2747" s="110" t="s">
        <v>4201</v>
      </c>
      <c r="C2747" s="5" t="s">
        <v>4200</v>
      </c>
      <c r="D2747" s="8" t="s">
        <v>306</v>
      </c>
      <c r="E2747" s="6" t="s">
        <v>1837</v>
      </c>
      <c r="F2747" s="6" t="s">
        <v>4197</v>
      </c>
      <c r="G2747" s="5">
        <f>20584.69*1.3</f>
        <v>26760.096999999998</v>
      </c>
      <c r="H2747" s="5">
        <v>1</v>
      </c>
      <c r="I2747" s="20">
        <f t="shared" si="75"/>
        <v>26760.096999999998</v>
      </c>
      <c r="J2747" s="6" t="s">
        <v>357</v>
      </c>
    </row>
    <row r="2748" spans="1:10" hidden="1">
      <c r="A2748" s="10">
        <v>45293</v>
      </c>
      <c r="B2748" s="110" t="s">
        <v>4203</v>
      </c>
      <c r="C2748" s="5" t="s">
        <v>4202</v>
      </c>
      <c r="D2748" s="8" t="s">
        <v>306</v>
      </c>
      <c r="E2748" s="6" t="s">
        <v>1837</v>
      </c>
      <c r="F2748" s="6" t="s">
        <v>4197</v>
      </c>
      <c r="G2748" s="5">
        <f>3206.2*1.3</f>
        <v>4168.0599999999995</v>
      </c>
      <c r="H2748" s="5">
        <v>1</v>
      </c>
      <c r="I2748" s="20">
        <f t="shared" si="75"/>
        <v>4168.0599999999995</v>
      </c>
      <c r="J2748" s="6" t="s">
        <v>357</v>
      </c>
    </row>
    <row r="2749" spans="1:10" hidden="1">
      <c r="A2749" s="10">
        <v>45754</v>
      </c>
      <c r="B2749" s="110" t="s">
        <v>4205</v>
      </c>
      <c r="C2749" s="5" t="s">
        <v>4204</v>
      </c>
      <c r="D2749" s="8" t="s">
        <v>306</v>
      </c>
      <c r="E2749" s="6" t="s">
        <v>1837</v>
      </c>
      <c r="F2749" s="6" t="s">
        <v>4197</v>
      </c>
      <c r="G2749" s="5">
        <v>3724.31</v>
      </c>
      <c r="H2749" s="5">
        <v>1</v>
      </c>
      <c r="I2749" s="20">
        <f t="shared" si="75"/>
        <v>3724.31</v>
      </c>
      <c r="J2749" s="6" t="s">
        <v>357</v>
      </c>
    </row>
    <row r="2750" spans="1:10" hidden="1">
      <c r="A2750" s="10">
        <v>45293</v>
      </c>
      <c r="B2750" s="110" t="s">
        <v>4207</v>
      </c>
      <c r="C2750" s="5" t="s">
        <v>4206</v>
      </c>
      <c r="D2750" s="8" t="s">
        <v>306</v>
      </c>
      <c r="E2750" s="6" t="s">
        <v>1837</v>
      </c>
      <c r="F2750" s="6" t="s">
        <v>4197</v>
      </c>
      <c r="G2750" s="5">
        <f>3501.3*1.3</f>
        <v>4551.6900000000005</v>
      </c>
      <c r="H2750" s="5">
        <v>1</v>
      </c>
      <c r="I2750" s="20">
        <f t="shared" si="75"/>
        <v>4551.6900000000005</v>
      </c>
      <c r="J2750" s="6" t="s">
        <v>357</v>
      </c>
    </row>
    <row r="2751" spans="1:10" hidden="1">
      <c r="A2751" s="10">
        <v>45754</v>
      </c>
      <c r="B2751" s="110" t="s">
        <v>4209</v>
      </c>
      <c r="C2751" s="5" t="s">
        <v>4208</v>
      </c>
      <c r="D2751" s="8" t="s">
        <v>306</v>
      </c>
      <c r="E2751" s="6" t="s">
        <v>1837</v>
      </c>
      <c r="F2751" s="6" t="s">
        <v>4197</v>
      </c>
      <c r="G2751" s="5">
        <v>5437.46</v>
      </c>
      <c r="H2751" s="5">
        <v>1</v>
      </c>
      <c r="I2751" s="20">
        <f t="shared" si="75"/>
        <v>5437.46</v>
      </c>
      <c r="J2751" s="6" t="s">
        <v>357</v>
      </c>
    </row>
    <row r="2752" spans="1:10" hidden="1">
      <c r="A2752" s="10">
        <v>45293</v>
      </c>
      <c r="B2752" s="110" t="s">
        <v>4211</v>
      </c>
      <c r="C2752" s="5" t="s">
        <v>4210</v>
      </c>
      <c r="D2752" s="8" t="s">
        <v>306</v>
      </c>
      <c r="E2752" s="6" t="s">
        <v>1837</v>
      </c>
      <c r="F2752" s="6" t="s">
        <v>4197</v>
      </c>
      <c r="G2752" s="5">
        <f>4703.75*1.3</f>
        <v>6114.875</v>
      </c>
      <c r="H2752" s="5">
        <v>1</v>
      </c>
      <c r="I2752" s="20">
        <f t="shared" si="75"/>
        <v>6114.875</v>
      </c>
      <c r="J2752" s="6" t="s">
        <v>357</v>
      </c>
    </row>
    <row r="2753" spans="1:10" hidden="1">
      <c r="A2753" s="10">
        <v>45754</v>
      </c>
      <c r="B2753" s="110" t="s">
        <v>4213</v>
      </c>
      <c r="C2753" s="5" t="s">
        <v>4212</v>
      </c>
      <c r="D2753" s="8" t="s">
        <v>306</v>
      </c>
      <c r="E2753" s="6" t="s">
        <v>1837</v>
      </c>
      <c r="F2753" s="6" t="s">
        <v>4197</v>
      </c>
      <c r="G2753" s="5">
        <v>8154.88</v>
      </c>
      <c r="H2753" s="5">
        <v>1</v>
      </c>
      <c r="I2753" s="20">
        <f t="shared" si="75"/>
        <v>8154.88</v>
      </c>
      <c r="J2753" s="6" t="s">
        <v>357</v>
      </c>
    </row>
    <row r="2754" spans="1:10" hidden="1">
      <c r="A2754" s="10">
        <v>45293</v>
      </c>
      <c r="B2754" s="110" t="s">
        <v>4215</v>
      </c>
      <c r="C2754" s="5" t="s">
        <v>4214</v>
      </c>
      <c r="D2754" s="8" t="s">
        <v>306</v>
      </c>
      <c r="E2754" s="6" t="s">
        <v>1837</v>
      </c>
      <c r="F2754" s="6" t="s">
        <v>4197</v>
      </c>
      <c r="G2754" s="5">
        <f>7054.94*1.3</f>
        <v>9171.4220000000005</v>
      </c>
      <c r="H2754" s="5">
        <v>1</v>
      </c>
      <c r="I2754" s="20">
        <f t="shared" si="75"/>
        <v>9171.4220000000005</v>
      </c>
      <c r="J2754" s="6" t="s">
        <v>357</v>
      </c>
    </row>
    <row r="2755" spans="1:10" hidden="1">
      <c r="A2755" s="10">
        <v>45293</v>
      </c>
      <c r="B2755" s="110" t="s">
        <v>4217</v>
      </c>
      <c r="C2755" s="5" t="s">
        <v>4216</v>
      </c>
      <c r="D2755" s="8" t="s">
        <v>306</v>
      </c>
      <c r="E2755" s="6" t="s">
        <v>1837</v>
      </c>
      <c r="F2755" s="6" t="s">
        <v>4197</v>
      </c>
      <c r="G2755" s="5">
        <f>8510.56*1.3</f>
        <v>11063.727999999999</v>
      </c>
      <c r="H2755" s="5">
        <v>1</v>
      </c>
      <c r="I2755" s="20">
        <f t="shared" si="75"/>
        <v>11063.727999999999</v>
      </c>
      <c r="J2755" s="6" t="s">
        <v>357</v>
      </c>
    </row>
    <row r="2756" spans="1:10" hidden="1">
      <c r="A2756" s="10">
        <v>45754</v>
      </c>
      <c r="B2756" s="110" t="s">
        <v>4219</v>
      </c>
      <c r="C2756" s="5" t="s">
        <v>4218</v>
      </c>
      <c r="D2756" s="8" t="s">
        <v>306</v>
      </c>
      <c r="E2756" s="6" t="s">
        <v>1837</v>
      </c>
      <c r="F2756" s="6" t="s">
        <v>4197</v>
      </c>
      <c r="G2756" s="5">
        <v>11473.54</v>
      </c>
      <c r="H2756" s="5">
        <v>1</v>
      </c>
      <c r="I2756" s="20">
        <f t="shared" si="75"/>
        <v>11473.54</v>
      </c>
      <c r="J2756" s="6" t="s">
        <v>357</v>
      </c>
    </row>
    <row r="2757" spans="1:10" hidden="1">
      <c r="A2757" s="10">
        <v>45293</v>
      </c>
      <c r="B2757" s="110" t="s">
        <v>4221</v>
      </c>
      <c r="C2757" s="5" t="s">
        <v>4220</v>
      </c>
      <c r="D2757" s="8" t="s">
        <v>306</v>
      </c>
      <c r="E2757" s="6" t="s">
        <v>1837</v>
      </c>
      <c r="F2757" s="6" t="s">
        <v>4197</v>
      </c>
      <c r="G2757" s="5">
        <f>12439.18*1.3</f>
        <v>16170.934000000001</v>
      </c>
      <c r="H2757" s="5">
        <v>1</v>
      </c>
      <c r="I2757" s="20">
        <f t="shared" si="75"/>
        <v>16170.934000000001</v>
      </c>
      <c r="J2757" s="6" t="s">
        <v>357</v>
      </c>
    </row>
    <row r="2758" spans="1:10" hidden="1">
      <c r="A2758" s="10">
        <v>45293</v>
      </c>
      <c r="B2758" s="110" t="s">
        <v>4223</v>
      </c>
      <c r="C2758" s="5" t="s">
        <v>4222</v>
      </c>
      <c r="D2758" s="8" t="s">
        <v>306</v>
      </c>
      <c r="E2758" s="6" t="s">
        <v>1837</v>
      </c>
      <c r="F2758" s="6" t="s">
        <v>4197</v>
      </c>
      <c r="G2758" s="5">
        <f>1744.36*1.3</f>
        <v>2267.6680000000001</v>
      </c>
      <c r="H2758" s="5">
        <v>1</v>
      </c>
      <c r="I2758" s="20">
        <f t="shared" si="75"/>
        <v>2267.6680000000001</v>
      </c>
      <c r="J2758" s="6" t="s">
        <v>357</v>
      </c>
    </row>
    <row r="2759" spans="1:10" hidden="1">
      <c r="A2759" s="10">
        <v>45293</v>
      </c>
      <c r="B2759" s="110" t="s">
        <v>4225</v>
      </c>
      <c r="C2759" s="5" t="s">
        <v>4224</v>
      </c>
      <c r="D2759" s="8" t="s">
        <v>306</v>
      </c>
      <c r="E2759" s="6" t="s">
        <v>1837</v>
      </c>
      <c r="F2759" s="6" t="s">
        <v>4197</v>
      </c>
      <c r="G2759" s="5">
        <f>1936.59*1.3</f>
        <v>2517.567</v>
      </c>
      <c r="H2759" s="5">
        <v>1</v>
      </c>
      <c r="I2759" s="20">
        <f t="shared" si="75"/>
        <v>2517.567</v>
      </c>
      <c r="J2759" s="6" t="s">
        <v>357</v>
      </c>
    </row>
    <row r="2760" spans="1:10" hidden="1">
      <c r="A2760" s="10">
        <v>45754</v>
      </c>
      <c r="B2760" s="110" t="s">
        <v>4227</v>
      </c>
      <c r="C2760" s="5" t="s">
        <v>4226</v>
      </c>
      <c r="D2760" s="8" t="s">
        <v>306</v>
      </c>
      <c r="E2760" s="6" t="s">
        <v>1837</v>
      </c>
      <c r="F2760" s="6" t="s">
        <v>4197</v>
      </c>
      <c r="G2760" s="5">
        <v>2333.3000000000002</v>
      </c>
      <c r="H2760" s="5">
        <v>1</v>
      </c>
      <c r="I2760" s="20">
        <f t="shared" si="75"/>
        <v>2333.3000000000002</v>
      </c>
      <c r="J2760" s="6" t="s">
        <v>357</v>
      </c>
    </row>
    <row r="2761" spans="1:10" hidden="1">
      <c r="A2761" s="10">
        <v>45754</v>
      </c>
      <c r="B2761" s="110" t="s">
        <v>4229</v>
      </c>
      <c r="C2761" s="5" t="s">
        <v>4228</v>
      </c>
      <c r="D2761" s="8" t="s">
        <v>306</v>
      </c>
      <c r="E2761" s="6" t="s">
        <v>1837</v>
      </c>
      <c r="F2761" s="6" t="s">
        <v>4197</v>
      </c>
      <c r="G2761" s="5">
        <v>2360.7399999999998</v>
      </c>
      <c r="H2761" s="5">
        <v>1</v>
      </c>
      <c r="I2761" s="20">
        <f t="shared" si="75"/>
        <v>2360.7399999999998</v>
      </c>
      <c r="J2761" s="6" t="s">
        <v>357</v>
      </c>
    </row>
    <row r="2762" spans="1:10" hidden="1">
      <c r="A2762" s="10">
        <v>45293</v>
      </c>
      <c r="B2762" s="110" t="s">
        <v>4231</v>
      </c>
      <c r="C2762" s="5" t="s">
        <v>4230</v>
      </c>
      <c r="D2762" s="8" t="s">
        <v>306</v>
      </c>
      <c r="E2762" s="6" t="s">
        <v>1837</v>
      </c>
      <c r="F2762" s="6" t="s">
        <v>4197</v>
      </c>
      <c r="G2762" s="5">
        <f>2346.18*1.3</f>
        <v>3050.0340000000001</v>
      </c>
      <c r="H2762" s="5">
        <v>1</v>
      </c>
      <c r="I2762" s="20">
        <f t="shared" si="75"/>
        <v>3050.0340000000001</v>
      </c>
      <c r="J2762" s="6" t="s">
        <v>357</v>
      </c>
    </row>
    <row r="2763" spans="1:10" hidden="1">
      <c r="A2763" s="10">
        <v>45293</v>
      </c>
      <c r="B2763" s="110" t="s">
        <v>4233</v>
      </c>
      <c r="C2763" s="5" t="s">
        <v>4232</v>
      </c>
      <c r="D2763" s="8" t="s">
        <v>306</v>
      </c>
      <c r="E2763" s="6" t="s">
        <v>1837</v>
      </c>
      <c r="F2763" s="6" t="s">
        <v>4197</v>
      </c>
      <c r="G2763" s="5">
        <f>2535.66*1.3</f>
        <v>3296.3579999999997</v>
      </c>
      <c r="H2763" s="5">
        <v>1</v>
      </c>
      <c r="I2763" s="20">
        <f t="shared" si="75"/>
        <v>3296.3579999999997</v>
      </c>
      <c r="J2763" s="6" t="s">
        <v>357</v>
      </c>
    </row>
    <row r="2764" spans="1:10" hidden="1">
      <c r="A2764" s="10">
        <v>43798</v>
      </c>
      <c r="B2764" s="110" t="s">
        <v>4235</v>
      </c>
      <c r="C2764" s="5" t="s">
        <v>4234</v>
      </c>
      <c r="D2764" s="8" t="s">
        <v>306</v>
      </c>
      <c r="E2764" s="6" t="s">
        <v>1837</v>
      </c>
      <c r="F2764" s="6" t="s">
        <v>4236</v>
      </c>
      <c r="G2764" s="5">
        <v>23235.040000000001</v>
      </c>
      <c r="H2764" s="5">
        <v>1</v>
      </c>
      <c r="I2764" s="20">
        <f t="shared" si="75"/>
        <v>23235.040000000001</v>
      </c>
      <c r="J2764" s="6" t="s">
        <v>357</v>
      </c>
    </row>
    <row r="2765" spans="1:10" hidden="1">
      <c r="A2765" s="10">
        <v>43836</v>
      </c>
      <c r="B2765" s="110" t="s">
        <v>4238</v>
      </c>
      <c r="C2765" s="5" t="s">
        <v>4237</v>
      </c>
      <c r="D2765" s="8" t="s">
        <v>306</v>
      </c>
      <c r="E2765" s="6" t="s">
        <v>1837</v>
      </c>
      <c r="F2765" s="6" t="s">
        <v>4236</v>
      </c>
      <c r="G2765" s="5">
        <v>30630</v>
      </c>
      <c r="H2765" s="5">
        <v>1</v>
      </c>
      <c r="I2765" s="20">
        <f t="shared" si="75"/>
        <v>30630</v>
      </c>
      <c r="J2765" s="6" t="s">
        <v>357</v>
      </c>
    </row>
    <row r="2766" spans="1:10" hidden="1">
      <c r="A2766" s="10">
        <v>45754</v>
      </c>
      <c r="B2766" s="110" t="s">
        <v>4240</v>
      </c>
      <c r="C2766" s="5" t="s">
        <v>4239</v>
      </c>
      <c r="D2766" s="8" t="s">
        <v>306</v>
      </c>
      <c r="E2766" s="6" t="s">
        <v>1837</v>
      </c>
      <c r="F2766" s="6" t="s">
        <v>4236</v>
      </c>
      <c r="G2766" s="5">
        <v>37094.47</v>
      </c>
      <c r="H2766" s="5">
        <v>1</v>
      </c>
      <c r="I2766" s="20">
        <f t="shared" si="75"/>
        <v>37094.47</v>
      </c>
      <c r="J2766" s="6" t="s">
        <v>357</v>
      </c>
    </row>
    <row r="2767" spans="1:10" hidden="1">
      <c r="A2767" s="10">
        <v>45848</v>
      </c>
      <c r="B2767" s="110" t="s">
        <v>4242</v>
      </c>
      <c r="C2767" s="5" t="s">
        <v>4241</v>
      </c>
      <c r="D2767" s="8" t="s">
        <v>306</v>
      </c>
      <c r="E2767" s="6" t="s">
        <v>1837</v>
      </c>
      <c r="F2767" s="6" t="s">
        <v>4236</v>
      </c>
      <c r="G2767" s="5">
        <v>43000</v>
      </c>
      <c r="H2767" s="5">
        <v>1</v>
      </c>
      <c r="I2767" s="20">
        <f t="shared" si="75"/>
        <v>43000</v>
      </c>
      <c r="J2767" s="6" t="s">
        <v>357</v>
      </c>
    </row>
    <row r="2768" spans="1:10" hidden="1">
      <c r="A2768" s="10">
        <v>45959</v>
      </c>
      <c r="B2768" s="110" t="s">
        <v>4244</v>
      </c>
      <c r="C2768" s="5" t="s">
        <v>4243</v>
      </c>
      <c r="D2768" s="8" t="s">
        <v>306</v>
      </c>
      <c r="E2768" s="6" t="s">
        <v>1837</v>
      </c>
      <c r="F2768" s="6" t="s">
        <v>4236</v>
      </c>
      <c r="G2768" s="21">
        <v>52000</v>
      </c>
      <c r="H2768" s="5">
        <v>1</v>
      </c>
      <c r="I2768" s="20">
        <f t="shared" si="75"/>
        <v>52000</v>
      </c>
      <c r="J2768" s="6" t="s">
        <v>357</v>
      </c>
    </row>
    <row r="2769" spans="1:10" hidden="1">
      <c r="A2769" s="10">
        <v>45946</v>
      </c>
      <c r="B2769" s="110" t="s">
        <v>4246</v>
      </c>
      <c r="C2769" s="5" t="s">
        <v>4245</v>
      </c>
      <c r="D2769" s="8" t="s">
        <v>306</v>
      </c>
      <c r="E2769" s="6" t="s">
        <v>1837</v>
      </c>
      <c r="F2769" s="6" t="s">
        <v>4236</v>
      </c>
      <c r="G2769" s="5">
        <v>5110</v>
      </c>
      <c r="H2769" s="5">
        <v>1</v>
      </c>
      <c r="I2769" s="20">
        <f t="shared" si="75"/>
        <v>5110</v>
      </c>
      <c r="J2769" s="6" t="s">
        <v>357</v>
      </c>
    </row>
    <row r="2770" spans="1:10" hidden="1">
      <c r="A2770" s="10">
        <v>45008</v>
      </c>
      <c r="B2770" s="110" t="s">
        <v>4248</v>
      </c>
      <c r="C2770" s="5" t="s">
        <v>4247</v>
      </c>
      <c r="D2770" s="8" t="s">
        <v>306</v>
      </c>
      <c r="E2770" s="6" t="s">
        <v>1837</v>
      </c>
      <c r="F2770" s="6" t="s">
        <v>4236</v>
      </c>
      <c r="G2770" s="5">
        <v>6200</v>
      </c>
      <c r="H2770" s="5">
        <v>1</v>
      </c>
      <c r="I2770" s="20">
        <f t="shared" si="75"/>
        <v>6200</v>
      </c>
      <c r="J2770" s="6" t="s">
        <v>357</v>
      </c>
    </row>
    <row r="2771" spans="1:10" hidden="1">
      <c r="A2771" s="10">
        <v>45946</v>
      </c>
      <c r="B2771" s="110" t="s">
        <v>4250</v>
      </c>
      <c r="C2771" s="5" t="s">
        <v>4249</v>
      </c>
      <c r="D2771" s="8" t="s">
        <v>306</v>
      </c>
      <c r="E2771" s="6" t="s">
        <v>1837</v>
      </c>
      <c r="F2771" s="6" t="s">
        <v>4236</v>
      </c>
      <c r="G2771" s="5">
        <v>7230</v>
      </c>
      <c r="H2771" s="5">
        <v>1</v>
      </c>
      <c r="I2771" s="20">
        <f t="shared" si="75"/>
        <v>7230</v>
      </c>
      <c r="J2771" s="6" t="s">
        <v>357</v>
      </c>
    </row>
    <row r="2772" spans="1:10" hidden="1">
      <c r="A2772" s="358">
        <v>45946</v>
      </c>
      <c r="B2772" s="307" t="s">
        <v>7645</v>
      </c>
      <c r="C2772" s="304" t="s">
        <v>7647</v>
      </c>
      <c r="D2772" s="305" t="s">
        <v>306</v>
      </c>
      <c r="E2772" s="25" t="s">
        <v>1837</v>
      </c>
      <c r="F2772" s="25" t="s">
        <v>4236</v>
      </c>
      <c r="G2772" s="31">
        <v>7970</v>
      </c>
      <c r="H2772" s="304">
        <v>1</v>
      </c>
      <c r="I2772" s="306">
        <f t="shared" si="75"/>
        <v>7970</v>
      </c>
      <c r="J2772" s="111" t="s">
        <v>357</v>
      </c>
    </row>
    <row r="2773" spans="1:10" hidden="1">
      <c r="A2773" s="358">
        <v>45946</v>
      </c>
      <c r="B2773" s="307" t="s">
        <v>7644</v>
      </c>
      <c r="C2773" s="304" t="s">
        <v>7646</v>
      </c>
      <c r="D2773" s="305" t="s">
        <v>306</v>
      </c>
      <c r="E2773" s="25" t="s">
        <v>1837</v>
      </c>
      <c r="F2773" s="25" t="s">
        <v>4236</v>
      </c>
      <c r="G2773" s="31">
        <v>9610</v>
      </c>
      <c r="H2773" s="304">
        <v>1</v>
      </c>
      <c r="I2773" s="306">
        <f t="shared" si="75"/>
        <v>9610</v>
      </c>
      <c r="J2773" s="111" t="s">
        <v>357</v>
      </c>
    </row>
    <row r="2774" spans="1:10" hidden="1">
      <c r="A2774" s="10">
        <v>45946</v>
      </c>
      <c r="B2774" s="110" t="s">
        <v>4252</v>
      </c>
      <c r="C2774" s="5" t="s">
        <v>4251</v>
      </c>
      <c r="D2774" s="8" t="s">
        <v>306</v>
      </c>
      <c r="E2774" s="6" t="s">
        <v>1837</v>
      </c>
      <c r="F2774" s="6" t="s">
        <v>4236</v>
      </c>
      <c r="G2774" s="5">
        <v>11060</v>
      </c>
      <c r="H2774" s="5">
        <v>1</v>
      </c>
      <c r="I2774" s="20">
        <f t="shared" si="75"/>
        <v>11060</v>
      </c>
      <c r="J2774" s="6" t="s">
        <v>357</v>
      </c>
    </row>
    <row r="2775" spans="1:10" hidden="1">
      <c r="A2775" s="10">
        <v>45946</v>
      </c>
      <c r="B2775" s="110" t="s">
        <v>4254</v>
      </c>
      <c r="C2775" s="5" t="s">
        <v>4253</v>
      </c>
      <c r="D2775" s="8" t="s">
        <v>306</v>
      </c>
      <c r="E2775" s="6" t="s">
        <v>1837</v>
      </c>
      <c r="F2775" s="6" t="s">
        <v>4236</v>
      </c>
      <c r="G2775" s="5">
        <v>16150</v>
      </c>
      <c r="H2775" s="5">
        <v>1</v>
      </c>
      <c r="I2775" s="20">
        <f t="shared" si="75"/>
        <v>16150</v>
      </c>
      <c r="J2775" s="6" t="s">
        <v>357</v>
      </c>
    </row>
    <row r="2776" spans="1:10" hidden="1">
      <c r="A2776" s="10">
        <v>43906</v>
      </c>
      <c r="B2776" s="110" t="s">
        <v>4256</v>
      </c>
      <c r="C2776" s="5" t="s">
        <v>4255</v>
      </c>
      <c r="D2776" s="8" t="s">
        <v>306</v>
      </c>
      <c r="E2776" s="6" t="s">
        <v>1837</v>
      </c>
      <c r="F2776" s="6" t="s">
        <v>4236</v>
      </c>
      <c r="G2776" s="5">
        <v>18510</v>
      </c>
      <c r="H2776" s="5">
        <v>1</v>
      </c>
      <c r="I2776" s="20">
        <f t="shared" si="75"/>
        <v>18510</v>
      </c>
      <c r="J2776" s="6" t="s">
        <v>357</v>
      </c>
    </row>
    <row r="2777" spans="1:10" hidden="1">
      <c r="A2777" s="10">
        <v>44266</v>
      </c>
      <c r="B2777" s="110" t="s">
        <v>4258</v>
      </c>
      <c r="C2777" s="5" t="s">
        <v>4257</v>
      </c>
      <c r="D2777" s="8" t="s">
        <v>306</v>
      </c>
      <c r="E2777" s="6" t="s">
        <v>1837</v>
      </c>
      <c r="F2777" s="6" t="s">
        <v>4236</v>
      </c>
      <c r="G2777" s="5">
        <v>1550</v>
      </c>
      <c r="H2777" s="5">
        <v>1</v>
      </c>
      <c r="I2777" s="20">
        <f t="shared" ref="I2777:I2840" si="76">H2777*G2777</f>
        <v>1550</v>
      </c>
      <c r="J2777" s="6" t="s">
        <v>357</v>
      </c>
    </row>
    <row r="2778" spans="1:10" hidden="1">
      <c r="A2778" s="10">
        <v>45008</v>
      </c>
      <c r="B2778" s="110" t="s">
        <v>4260</v>
      </c>
      <c r="C2778" s="5" t="s">
        <v>4259</v>
      </c>
      <c r="D2778" s="8" t="s">
        <v>306</v>
      </c>
      <c r="E2778" s="6" t="s">
        <v>1837</v>
      </c>
      <c r="F2778" s="6" t="s">
        <v>4236</v>
      </c>
      <c r="G2778" s="5">
        <v>3100</v>
      </c>
      <c r="H2778" s="5">
        <v>1</v>
      </c>
      <c r="I2778" s="20">
        <f t="shared" si="76"/>
        <v>3100</v>
      </c>
      <c r="J2778" s="6" t="s">
        <v>357</v>
      </c>
    </row>
    <row r="2779" spans="1:10" hidden="1">
      <c r="A2779" s="10">
        <v>45946</v>
      </c>
      <c r="B2779" s="110" t="s">
        <v>4262</v>
      </c>
      <c r="C2779" s="5" t="s">
        <v>4261</v>
      </c>
      <c r="D2779" s="8" t="s">
        <v>306</v>
      </c>
      <c r="E2779" s="6" t="s">
        <v>1837</v>
      </c>
      <c r="F2779" s="6" t="s">
        <v>4236</v>
      </c>
      <c r="G2779" s="5">
        <v>3060</v>
      </c>
      <c r="H2779" s="5">
        <v>1</v>
      </c>
      <c r="I2779" s="20">
        <f t="shared" si="76"/>
        <v>3060</v>
      </c>
      <c r="J2779" s="6" t="s">
        <v>357</v>
      </c>
    </row>
    <row r="2780" spans="1:10" hidden="1">
      <c r="A2780" s="10">
        <v>45946</v>
      </c>
      <c r="B2780" s="110" t="s">
        <v>4264</v>
      </c>
      <c r="C2780" s="5" t="s">
        <v>4263</v>
      </c>
      <c r="D2780" s="8" t="s">
        <v>306</v>
      </c>
      <c r="E2780" s="6" t="s">
        <v>1837</v>
      </c>
      <c r="F2780" s="6" t="s">
        <v>4236</v>
      </c>
      <c r="G2780" s="5">
        <v>3130</v>
      </c>
      <c r="H2780" s="5">
        <v>1</v>
      </c>
      <c r="I2780" s="20">
        <f t="shared" si="76"/>
        <v>3130</v>
      </c>
      <c r="J2780" s="6" t="s">
        <v>357</v>
      </c>
    </row>
    <row r="2781" spans="1:10" hidden="1">
      <c r="A2781" s="10">
        <v>44114</v>
      </c>
      <c r="B2781" s="110" t="s">
        <v>4266</v>
      </c>
      <c r="C2781" s="5" t="s">
        <v>4265</v>
      </c>
      <c r="D2781" s="8" t="s">
        <v>306</v>
      </c>
      <c r="E2781" s="6" t="s">
        <v>1837</v>
      </c>
      <c r="F2781" s="6" t="s">
        <v>4236</v>
      </c>
      <c r="G2781" s="5">
        <v>2850</v>
      </c>
      <c r="H2781" s="5">
        <v>1</v>
      </c>
      <c r="I2781" s="20">
        <f t="shared" si="76"/>
        <v>2850</v>
      </c>
      <c r="J2781" s="6" t="s">
        <v>357</v>
      </c>
    </row>
    <row r="2782" spans="1:10" hidden="1">
      <c r="A2782" s="10">
        <v>45008</v>
      </c>
      <c r="B2782" s="110" t="s">
        <v>4268</v>
      </c>
      <c r="C2782" s="5" t="s">
        <v>4267</v>
      </c>
      <c r="D2782" s="8" t="s">
        <v>306</v>
      </c>
      <c r="E2782" s="6" t="s">
        <v>1837</v>
      </c>
      <c r="F2782" s="6" t="s">
        <v>4236</v>
      </c>
      <c r="G2782" s="5">
        <v>3800</v>
      </c>
      <c r="H2782" s="5">
        <v>1</v>
      </c>
      <c r="I2782" s="20">
        <f t="shared" si="76"/>
        <v>3800</v>
      </c>
      <c r="J2782" s="6" t="s">
        <v>357</v>
      </c>
    </row>
    <row r="2783" spans="1:10" hidden="1">
      <c r="A2783" s="10">
        <v>46009</v>
      </c>
      <c r="B2783" s="216" t="s">
        <v>7709</v>
      </c>
      <c r="C2783" s="5" t="s">
        <v>7710</v>
      </c>
      <c r="D2783" s="8" t="s">
        <v>306</v>
      </c>
      <c r="E2783" s="25" t="s">
        <v>1837</v>
      </c>
      <c r="F2783" s="25" t="s">
        <v>7700</v>
      </c>
      <c r="G2783" s="31">
        <v>6064</v>
      </c>
      <c r="H2783" s="5">
        <v>1</v>
      </c>
      <c r="I2783" s="20">
        <f t="shared" si="76"/>
        <v>6064</v>
      </c>
      <c r="J2783" s="6" t="s">
        <v>357</v>
      </c>
    </row>
    <row r="2784" spans="1:10" hidden="1">
      <c r="A2784" s="10">
        <v>46009</v>
      </c>
      <c r="B2784" s="216" t="s">
        <v>7698</v>
      </c>
      <c r="C2784" s="5" t="s">
        <v>7699</v>
      </c>
      <c r="D2784" s="8" t="s">
        <v>306</v>
      </c>
      <c r="E2784" s="25" t="s">
        <v>1837</v>
      </c>
      <c r="F2784" s="25" t="s">
        <v>7700</v>
      </c>
      <c r="G2784" s="31">
        <v>4031</v>
      </c>
      <c r="H2784" s="5">
        <v>1</v>
      </c>
      <c r="I2784" s="20">
        <f t="shared" si="76"/>
        <v>4031</v>
      </c>
      <c r="J2784" s="6" t="s">
        <v>357</v>
      </c>
    </row>
    <row r="2785" spans="1:10" hidden="1">
      <c r="A2785" s="10">
        <v>46009</v>
      </c>
      <c r="B2785" s="216" t="s">
        <v>7701</v>
      </c>
      <c r="C2785" s="5" t="s">
        <v>7702</v>
      </c>
      <c r="D2785" s="8" t="s">
        <v>306</v>
      </c>
      <c r="E2785" s="25" t="s">
        <v>1837</v>
      </c>
      <c r="F2785" s="25" t="s">
        <v>7700</v>
      </c>
      <c r="G2785" s="31">
        <v>4163</v>
      </c>
      <c r="H2785" s="5">
        <v>1</v>
      </c>
      <c r="I2785" s="20">
        <f t="shared" si="76"/>
        <v>4163</v>
      </c>
      <c r="J2785" s="6" t="s">
        <v>357</v>
      </c>
    </row>
    <row r="2786" spans="1:10" hidden="1">
      <c r="A2786" s="10">
        <v>46009</v>
      </c>
      <c r="B2786" s="216" t="s">
        <v>7703</v>
      </c>
      <c r="C2786" s="5" t="s">
        <v>7704</v>
      </c>
      <c r="D2786" s="8" t="s">
        <v>306</v>
      </c>
      <c r="E2786" s="25" t="s">
        <v>1837</v>
      </c>
      <c r="F2786" s="25" t="s">
        <v>7700</v>
      </c>
      <c r="G2786" s="31">
        <v>4209</v>
      </c>
      <c r="H2786" s="5">
        <v>1</v>
      </c>
      <c r="I2786" s="20">
        <f t="shared" si="76"/>
        <v>4209</v>
      </c>
      <c r="J2786" s="6" t="s">
        <v>357</v>
      </c>
    </row>
    <row r="2787" spans="1:10" hidden="1">
      <c r="A2787" s="10">
        <v>46009</v>
      </c>
      <c r="B2787" s="216" t="s">
        <v>7705</v>
      </c>
      <c r="C2787" s="5" t="s">
        <v>7706</v>
      </c>
      <c r="D2787" s="8" t="s">
        <v>306</v>
      </c>
      <c r="E2787" s="25" t="s">
        <v>1837</v>
      </c>
      <c r="F2787" s="25" t="s">
        <v>7700</v>
      </c>
      <c r="G2787" s="31">
        <v>4431</v>
      </c>
      <c r="H2787" s="5">
        <v>1</v>
      </c>
      <c r="I2787" s="20">
        <f t="shared" si="76"/>
        <v>4431</v>
      </c>
      <c r="J2787" s="6" t="s">
        <v>357</v>
      </c>
    </row>
    <row r="2788" spans="1:10" hidden="1">
      <c r="A2788" s="10">
        <v>46009</v>
      </c>
      <c r="B2788" s="216" t="s">
        <v>7707</v>
      </c>
      <c r="C2788" s="5" t="s">
        <v>7708</v>
      </c>
      <c r="D2788" s="8" t="s">
        <v>306</v>
      </c>
      <c r="E2788" s="25" t="s">
        <v>1837</v>
      </c>
      <c r="F2788" s="25" t="s">
        <v>7700</v>
      </c>
      <c r="G2788" s="31">
        <v>4630</v>
      </c>
      <c r="H2788" s="5">
        <v>1</v>
      </c>
      <c r="I2788" s="20">
        <f t="shared" si="76"/>
        <v>4630</v>
      </c>
      <c r="J2788" s="6" t="s">
        <v>357</v>
      </c>
    </row>
    <row r="2789" spans="1:10" hidden="1">
      <c r="A2789" s="10">
        <v>45527</v>
      </c>
      <c r="B2789" s="110" t="s">
        <v>4270</v>
      </c>
      <c r="C2789" s="5" t="s">
        <v>4269</v>
      </c>
      <c r="D2789" s="8" t="s">
        <v>306</v>
      </c>
      <c r="E2789" s="6" t="s">
        <v>1837</v>
      </c>
      <c r="F2789" s="6" t="s">
        <v>4271</v>
      </c>
      <c r="G2789" s="5">
        <v>49825</v>
      </c>
      <c r="H2789" s="5">
        <v>1</v>
      </c>
      <c r="I2789" s="20">
        <f t="shared" si="76"/>
        <v>49825</v>
      </c>
      <c r="J2789" s="6" t="s">
        <v>357</v>
      </c>
    </row>
    <row r="2790" spans="1:10" hidden="1">
      <c r="A2790" s="10">
        <v>45527</v>
      </c>
      <c r="B2790" s="110" t="s">
        <v>4273</v>
      </c>
      <c r="C2790" s="5" t="s">
        <v>4272</v>
      </c>
      <c r="D2790" s="8" t="s">
        <v>306</v>
      </c>
      <c r="E2790" s="6" t="s">
        <v>1837</v>
      </c>
      <c r="F2790" s="6" t="s">
        <v>4271</v>
      </c>
      <c r="G2790" s="5">
        <v>57646</v>
      </c>
      <c r="H2790" s="5">
        <v>1</v>
      </c>
      <c r="I2790" s="20">
        <f t="shared" si="76"/>
        <v>57646</v>
      </c>
      <c r="J2790" s="6" t="s">
        <v>357</v>
      </c>
    </row>
    <row r="2791" spans="1:10" hidden="1">
      <c r="A2791" s="10">
        <v>45511</v>
      </c>
      <c r="B2791" s="110" t="s">
        <v>4275</v>
      </c>
      <c r="C2791" s="5" t="s">
        <v>4274</v>
      </c>
      <c r="D2791" s="8" t="s">
        <v>306</v>
      </c>
      <c r="E2791" s="6" t="s">
        <v>1912</v>
      </c>
      <c r="F2791" s="6" t="s">
        <v>4276</v>
      </c>
      <c r="G2791" s="5">
        <v>1843.7</v>
      </c>
      <c r="H2791" s="5">
        <v>1</v>
      </c>
      <c r="I2791" s="20">
        <f t="shared" si="76"/>
        <v>1843.7</v>
      </c>
      <c r="J2791" s="6" t="s">
        <v>357</v>
      </c>
    </row>
    <row r="2792" spans="1:10" ht="30" hidden="1">
      <c r="A2792" s="9">
        <v>46106</v>
      </c>
      <c r="B2792" s="110" t="s">
        <v>4278</v>
      </c>
      <c r="C2792" s="5" t="s">
        <v>4277</v>
      </c>
      <c r="D2792" s="8" t="s">
        <v>306</v>
      </c>
      <c r="E2792" s="6" t="s">
        <v>466</v>
      </c>
      <c r="F2792" s="6" t="s">
        <v>4279</v>
      </c>
      <c r="G2792" s="5">
        <v>1028</v>
      </c>
      <c r="H2792" s="5">
        <f t="shared" ref="H2792:H2823" si="77">0.9*0.8*0.7*0.93*(0.9*0.9*0.9*0.9*0.9)</f>
        <v>0.27677447280000012</v>
      </c>
      <c r="I2792" s="20">
        <f t="shared" si="76"/>
        <v>284.52415803840012</v>
      </c>
      <c r="J2792" s="6" t="s">
        <v>357</v>
      </c>
    </row>
    <row r="2793" spans="1:10" ht="30" hidden="1">
      <c r="A2793" s="9">
        <v>46106</v>
      </c>
      <c r="B2793" s="6" t="s">
        <v>4281</v>
      </c>
      <c r="C2793" s="5" t="s">
        <v>4280</v>
      </c>
      <c r="D2793" s="8" t="s">
        <v>306</v>
      </c>
      <c r="E2793" s="6" t="s">
        <v>466</v>
      </c>
      <c r="F2793" s="6" t="s">
        <v>4279</v>
      </c>
      <c r="G2793" s="5">
        <v>1028</v>
      </c>
      <c r="H2793" s="5">
        <f t="shared" si="77"/>
        <v>0.27677447280000012</v>
      </c>
      <c r="I2793" s="20">
        <f t="shared" si="76"/>
        <v>284.52415803840012</v>
      </c>
      <c r="J2793" s="6" t="s">
        <v>357</v>
      </c>
    </row>
    <row r="2794" spans="1:10" ht="30" hidden="1">
      <c r="A2794" s="9">
        <v>46106</v>
      </c>
      <c r="B2794" s="6" t="s">
        <v>4283</v>
      </c>
      <c r="C2794" s="5" t="s">
        <v>4282</v>
      </c>
      <c r="D2794" s="8" t="s">
        <v>306</v>
      </c>
      <c r="E2794" s="6" t="s">
        <v>466</v>
      </c>
      <c r="F2794" s="6" t="s">
        <v>4279</v>
      </c>
      <c r="G2794" s="5">
        <v>1028</v>
      </c>
      <c r="H2794" s="5">
        <f t="shared" si="77"/>
        <v>0.27677447280000012</v>
      </c>
      <c r="I2794" s="20">
        <f t="shared" si="76"/>
        <v>284.52415803840012</v>
      </c>
      <c r="J2794" s="6" t="s">
        <v>357</v>
      </c>
    </row>
    <row r="2795" spans="1:10" ht="30" hidden="1">
      <c r="A2795" s="9">
        <v>46106</v>
      </c>
      <c r="B2795" s="6" t="s">
        <v>4285</v>
      </c>
      <c r="C2795" s="5" t="s">
        <v>4284</v>
      </c>
      <c r="D2795" s="8" t="s">
        <v>306</v>
      </c>
      <c r="E2795" s="6" t="s">
        <v>466</v>
      </c>
      <c r="F2795" s="6" t="s">
        <v>4279</v>
      </c>
      <c r="G2795" s="5">
        <v>1028</v>
      </c>
      <c r="H2795" s="5">
        <f t="shared" si="77"/>
        <v>0.27677447280000012</v>
      </c>
      <c r="I2795" s="20">
        <f t="shared" si="76"/>
        <v>284.52415803840012</v>
      </c>
      <c r="J2795" s="6" t="s">
        <v>357</v>
      </c>
    </row>
    <row r="2796" spans="1:10" ht="30" hidden="1">
      <c r="A2796" s="9">
        <v>46106</v>
      </c>
      <c r="B2796" s="6" t="s">
        <v>4287</v>
      </c>
      <c r="C2796" s="5" t="s">
        <v>4286</v>
      </c>
      <c r="D2796" s="8" t="s">
        <v>306</v>
      </c>
      <c r="E2796" s="6" t="s">
        <v>466</v>
      </c>
      <c r="F2796" s="6" t="s">
        <v>4279</v>
      </c>
      <c r="G2796" s="5">
        <v>1028</v>
      </c>
      <c r="H2796" s="5">
        <f t="shared" si="77"/>
        <v>0.27677447280000012</v>
      </c>
      <c r="I2796" s="20">
        <f t="shared" si="76"/>
        <v>284.52415803840012</v>
      </c>
      <c r="J2796" s="6" t="s">
        <v>357</v>
      </c>
    </row>
    <row r="2797" spans="1:10" ht="30" hidden="1">
      <c r="A2797" s="9">
        <v>46106</v>
      </c>
      <c r="B2797" s="6" t="s">
        <v>4289</v>
      </c>
      <c r="C2797" s="5" t="s">
        <v>4288</v>
      </c>
      <c r="D2797" s="8" t="s">
        <v>306</v>
      </c>
      <c r="E2797" s="6" t="s">
        <v>466</v>
      </c>
      <c r="F2797" s="6" t="s">
        <v>4279</v>
      </c>
      <c r="G2797" s="5">
        <v>1028</v>
      </c>
      <c r="H2797" s="5">
        <f t="shared" si="77"/>
        <v>0.27677447280000012</v>
      </c>
      <c r="I2797" s="20">
        <f t="shared" si="76"/>
        <v>284.52415803840012</v>
      </c>
      <c r="J2797" s="6" t="s">
        <v>357</v>
      </c>
    </row>
    <row r="2798" spans="1:10" ht="30" hidden="1">
      <c r="A2798" s="9">
        <v>46106</v>
      </c>
      <c r="B2798" s="6" t="s">
        <v>4291</v>
      </c>
      <c r="C2798" s="5" t="s">
        <v>4290</v>
      </c>
      <c r="D2798" s="8" t="s">
        <v>306</v>
      </c>
      <c r="E2798" s="6" t="s">
        <v>466</v>
      </c>
      <c r="F2798" s="6" t="s">
        <v>4279</v>
      </c>
      <c r="G2798" s="5">
        <v>1028</v>
      </c>
      <c r="H2798" s="5">
        <f t="shared" si="77"/>
        <v>0.27677447280000012</v>
      </c>
      <c r="I2798" s="20">
        <f t="shared" si="76"/>
        <v>284.52415803840012</v>
      </c>
      <c r="J2798" s="6" t="s">
        <v>357</v>
      </c>
    </row>
    <row r="2799" spans="1:10" ht="30" hidden="1">
      <c r="A2799" s="9">
        <v>46106</v>
      </c>
      <c r="B2799" s="6" t="s">
        <v>4293</v>
      </c>
      <c r="C2799" s="5" t="s">
        <v>4292</v>
      </c>
      <c r="D2799" s="8" t="s">
        <v>306</v>
      </c>
      <c r="E2799" s="6" t="s">
        <v>466</v>
      </c>
      <c r="F2799" s="6" t="s">
        <v>4279</v>
      </c>
      <c r="G2799" s="5">
        <v>1028</v>
      </c>
      <c r="H2799" s="5">
        <f t="shared" si="77"/>
        <v>0.27677447280000012</v>
      </c>
      <c r="I2799" s="20">
        <f t="shared" si="76"/>
        <v>284.52415803840012</v>
      </c>
      <c r="J2799" s="6" t="s">
        <v>357</v>
      </c>
    </row>
    <row r="2800" spans="1:10" ht="30" hidden="1">
      <c r="A2800" s="9">
        <v>46106</v>
      </c>
      <c r="B2800" s="110" t="s">
        <v>4295</v>
      </c>
      <c r="C2800" s="5" t="s">
        <v>4294</v>
      </c>
      <c r="D2800" s="8" t="s">
        <v>306</v>
      </c>
      <c r="E2800" s="6" t="s">
        <v>466</v>
      </c>
      <c r="F2800" s="6" t="s">
        <v>4279</v>
      </c>
      <c r="G2800" s="5">
        <v>1633</v>
      </c>
      <c r="H2800" s="5">
        <f t="shared" si="77"/>
        <v>0.27677447280000012</v>
      </c>
      <c r="I2800" s="20">
        <f t="shared" si="76"/>
        <v>451.97271408240022</v>
      </c>
      <c r="J2800" s="6" t="s">
        <v>357</v>
      </c>
    </row>
    <row r="2801" spans="1:10" ht="30" hidden="1">
      <c r="A2801" s="9">
        <v>46106</v>
      </c>
      <c r="B2801" s="6" t="s">
        <v>4297</v>
      </c>
      <c r="C2801" s="5" t="s">
        <v>4296</v>
      </c>
      <c r="D2801" s="8" t="s">
        <v>306</v>
      </c>
      <c r="E2801" s="6" t="s">
        <v>466</v>
      </c>
      <c r="F2801" s="6" t="s">
        <v>4279</v>
      </c>
      <c r="G2801" s="5">
        <v>1633</v>
      </c>
      <c r="H2801" s="5">
        <f t="shared" si="77"/>
        <v>0.27677447280000012</v>
      </c>
      <c r="I2801" s="20">
        <f t="shared" si="76"/>
        <v>451.97271408240022</v>
      </c>
      <c r="J2801" s="6" t="s">
        <v>357</v>
      </c>
    </row>
    <row r="2802" spans="1:10" ht="30" hidden="1">
      <c r="A2802" s="9">
        <v>46106</v>
      </c>
      <c r="B2802" s="6" t="s">
        <v>4299</v>
      </c>
      <c r="C2802" s="5" t="s">
        <v>4298</v>
      </c>
      <c r="D2802" s="8" t="s">
        <v>306</v>
      </c>
      <c r="E2802" s="6" t="s">
        <v>466</v>
      </c>
      <c r="F2802" s="6" t="s">
        <v>4279</v>
      </c>
      <c r="G2802" s="5">
        <v>1633</v>
      </c>
      <c r="H2802" s="5">
        <f t="shared" si="77"/>
        <v>0.27677447280000012</v>
      </c>
      <c r="I2802" s="20">
        <f t="shared" si="76"/>
        <v>451.97271408240022</v>
      </c>
      <c r="J2802" s="6" t="s">
        <v>357</v>
      </c>
    </row>
    <row r="2803" spans="1:10" ht="30" hidden="1">
      <c r="A2803" s="9">
        <v>46106</v>
      </c>
      <c r="B2803" s="6" t="s">
        <v>4301</v>
      </c>
      <c r="C2803" s="5" t="s">
        <v>4300</v>
      </c>
      <c r="D2803" s="8" t="s">
        <v>306</v>
      </c>
      <c r="E2803" s="6" t="s">
        <v>466</v>
      </c>
      <c r="F2803" s="6" t="s">
        <v>4279</v>
      </c>
      <c r="G2803" s="5">
        <v>1633</v>
      </c>
      <c r="H2803" s="5">
        <f t="shared" si="77"/>
        <v>0.27677447280000012</v>
      </c>
      <c r="I2803" s="20">
        <f t="shared" si="76"/>
        <v>451.97271408240022</v>
      </c>
      <c r="J2803" s="6" t="s">
        <v>357</v>
      </c>
    </row>
    <row r="2804" spans="1:10" ht="30" hidden="1">
      <c r="A2804" s="9">
        <v>46106</v>
      </c>
      <c r="B2804" s="6" t="s">
        <v>4303</v>
      </c>
      <c r="C2804" s="5" t="s">
        <v>4302</v>
      </c>
      <c r="D2804" s="8" t="s">
        <v>306</v>
      </c>
      <c r="E2804" s="6" t="s">
        <v>466</v>
      </c>
      <c r="F2804" s="6" t="s">
        <v>4279</v>
      </c>
      <c r="G2804" s="5">
        <v>1633</v>
      </c>
      <c r="H2804" s="5">
        <f t="shared" si="77"/>
        <v>0.27677447280000012</v>
      </c>
      <c r="I2804" s="20">
        <f t="shared" si="76"/>
        <v>451.97271408240022</v>
      </c>
      <c r="J2804" s="6" t="s">
        <v>357</v>
      </c>
    </row>
    <row r="2805" spans="1:10" ht="30" hidden="1">
      <c r="A2805" s="9">
        <v>46106</v>
      </c>
      <c r="B2805" s="6" t="s">
        <v>4305</v>
      </c>
      <c r="C2805" s="5" t="s">
        <v>4304</v>
      </c>
      <c r="D2805" s="8" t="s">
        <v>306</v>
      </c>
      <c r="E2805" s="6" t="s">
        <v>466</v>
      </c>
      <c r="F2805" s="6" t="s">
        <v>4279</v>
      </c>
      <c r="G2805" s="5">
        <v>1633</v>
      </c>
      <c r="H2805" s="5">
        <f t="shared" si="77"/>
        <v>0.27677447280000012</v>
      </c>
      <c r="I2805" s="20">
        <f t="shared" si="76"/>
        <v>451.97271408240022</v>
      </c>
      <c r="J2805" s="6" t="s">
        <v>357</v>
      </c>
    </row>
    <row r="2806" spans="1:10" ht="30" hidden="1">
      <c r="A2806" s="9">
        <v>46106</v>
      </c>
      <c r="B2806" s="6" t="s">
        <v>4307</v>
      </c>
      <c r="C2806" s="5" t="s">
        <v>4306</v>
      </c>
      <c r="D2806" s="8" t="s">
        <v>306</v>
      </c>
      <c r="E2806" s="6" t="s">
        <v>466</v>
      </c>
      <c r="F2806" s="6" t="s">
        <v>4279</v>
      </c>
      <c r="G2806" s="5">
        <v>1633</v>
      </c>
      <c r="H2806" s="5">
        <f t="shared" si="77"/>
        <v>0.27677447280000012</v>
      </c>
      <c r="I2806" s="20">
        <f t="shared" si="76"/>
        <v>451.97271408240022</v>
      </c>
      <c r="J2806" s="6" t="s">
        <v>357</v>
      </c>
    </row>
    <row r="2807" spans="1:10" ht="30" hidden="1">
      <c r="A2807" s="9">
        <v>46106</v>
      </c>
      <c r="B2807" s="6" t="s">
        <v>4309</v>
      </c>
      <c r="C2807" s="5" t="s">
        <v>4308</v>
      </c>
      <c r="D2807" s="8" t="s">
        <v>306</v>
      </c>
      <c r="E2807" s="6" t="s">
        <v>466</v>
      </c>
      <c r="F2807" s="6" t="s">
        <v>4279</v>
      </c>
      <c r="G2807" s="5">
        <v>1633</v>
      </c>
      <c r="H2807" s="5">
        <f t="shared" si="77"/>
        <v>0.27677447280000012</v>
      </c>
      <c r="I2807" s="20">
        <f t="shared" si="76"/>
        <v>451.97271408240022</v>
      </c>
      <c r="J2807" s="6" t="s">
        <v>357</v>
      </c>
    </row>
    <row r="2808" spans="1:10" ht="30" hidden="1">
      <c r="A2808" s="9">
        <v>46106</v>
      </c>
      <c r="B2808" s="111" t="s">
        <v>4311</v>
      </c>
      <c r="C2808" s="5" t="s">
        <v>4310</v>
      </c>
      <c r="D2808" s="8" t="s">
        <v>306</v>
      </c>
      <c r="E2808" s="6" t="s">
        <v>466</v>
      </c>
      <c r="F2808" s="6" t="s">
        <v>4279</v>
      </c>
      <c r="G2808" s="5">
        <v>1207</v>
      </c>
      <c r="H2808" s="5">
        <f t="shared" si="77"/>
        <v>0.27677447280000012</v>
      </c>
      <c r="I2808" s="20">
        <f t="shared" si="76"/>
        <v>334.06678866960016</v>
      </c>
      <c r="J2808" s="6" t="s">
        <v>357</v>
      </c>
    </row>
    <row r="2809" spans="1:10" ht="30" hidden="1">
      <c r="A2809" s="9">
        <v>46106</v>
      </c>
      <c r="B2809" s="6" t="s">
        <v>4313</v>
      </c>
      <c r="C2809" s="5" t="s">
        <v>4312</v>
      </c>
      <c r="D2809" s="8" t="s">
        <v>306</v>
      </c>
      <c r="E2809" s="6" t="s">
        <v>466</v>
      </c>
      <c r="F2809" s="6" t="s">
        <v>4279</v>
      </c>
      <c r="G2809" s="5">
        <v>1207</v>
      </c>
      <c r="H2809" s="5">
        <f t="shared" si="77"/>
        <v>0.27677447280000012</v>
      </c>
      <c r="I2809" s="20">
        <f t="shared" si="76"/>
        <v>334.06678866960016</v>
      </c>
      <c r="J2809" s="6" t="s">
        <v>357</v>
      </c>
    </row>
    <row r="2810" spans="1:10" ht="30" hidden="1">
      <c r="A2810" s="9">
        <v>46106</v>
      </c>
      <c r="B2810" s="6" t="s">
        <v>4315</v>
      </c>
      <c r="C2810" s="5" t="s">
        <v>4314</v>
      </c>
      <c r="D2810" s="8" t="s">
        <v>306</v>
      </c>
      <c r="E2810" s="6" t="s">
        <v>466</v>
      </c>
      <c r="F2810" s="6" t="s">
        <v>4279</v>
      </c>
      <c r="G2810" s="5">
        <v>1207</v>
      </c>
      <c r="H2810" s="5">
        <f t="shared" si="77"/>
        <v>0.27677447280000012</v>
      </c>
      <c r="I2810" s="20">
        <f t="shared" si="76"/>
        <v>334.06678866960016</v>
      </c>
      <c r="J2810" s="6" t="s">
        <v>357</v>
      </c>
    </row>
    <row r="2811" spans="1:10" ht="30" hidden="1">
      <c r="A2811" s="9">
        <v>46106</v>
      </c>
      <c r="B2811" s="6" t="s">
        <v>4317</v>
      </c>
      <c r="C2811" s="5" t="s">
        <v>4316</v>
      </c>
      <c r="D2811" s="8" t="s">
        <v>306</v>
      </c>
      <c r="E2811" s="6" t="s">
        <v>466</v>
      </c>
      <c r="F2811" s="6" t="s">
        <v>4279</v>
      </c>
      <c r="G2811" s="5">
        <v>1207</v>
      </c>
      <c r="H2811" s="5">
        <f t="shared" si="77"/>
        <v>0.27677447280000012</v>
      </c>
      <c r="I2811" s="20">
        <f t="shared" si="76"/>
        <v>334.06678866960016</v>
      </c>
      <c r="J2811" s="6" t="s">
        <v>357</v>
      </c>
    </row>
    <row r="2812" spans="1:10" ht="30" hidden="1">
      <c r="A2812" s="9">
        <v>46106</v>
      </c>
      <c r="B2812" s="6" t="s">
        <v>4319</v>
      </c>
      <c r="C2812" s="5" t="s">
        <v>4318</v>
      </c>
      <c r="D2812" s="8" t="s">
        <v>306</v>
      </c>
      <c r="E2812" s="6" t="s">
        <v>466</v>
      </c>
      <c r="F2812" s="6" t="s">
        <v>4279</v>
      </c>
      <c r="G2812" s="5">
        <v>1207</v>
      </c>
      <c r="H2812" s="5">
        <f t="shared" si="77"/>
        <v>0.27677447280000012</v>
      </c>
      <c r="I2812" s="20">
        <f t="shared" si="76"/>
        <v>334.06678866960016</v>
      </c>
      <c r="J2812" s="6" t="s">
        <v>357</v>
      </c>
    </row>
    <row r="2813" spans="1:10" ht="30" hidden="1">
      <c r="A2813" s="9">
        <v>46106</v>
      </c>
      <c r="B2813" s="6" t="s">
        <v>4321</v>
      </c>
      <c r="C2813" s="5" t="s">
        <v>4320</v>
      </c>
      <c r="D2813" s="8" t="s">
        <v>306</v>
      </c>
      <c r="E2813" s="6" t="s">
        <v>466</v>
      </c>
      <c r="F2813" s="6" t="s">
        <v>4279</v>
      </c>
      <c r="G2813" s="5">
        <v>1207</v>
      </c>
      <c r="H2813" s="5">
        <f t="shared" si="77"/>
        <v>0.27677447280000012</v>
      </c>
      <c r="I2813" s="20">
        <f t="shared" si="76"/>
        <v>334.06678866960016</v>
      </c>
      <c r="J2813" s="6" t="s">
        <v>357</v>
      </c>
    </row>
    <row r="2814" spans="1:10" ht="30" hidden="1">
      <c r="A2814" s="9">
        <v>46106</v>
      </c>
      <c r="B2814" s="6" t="s">
        <v>4323</v>
      </c>
      <c r="C2814" s="5" t="s">
        <v>4322</v>
      </c>
      <c r="D2814" s="8" t="s">
        <v>306</v>
      </c>
      <c r="E2814" s="6" t="s">
        <v>466</v>
      </c>
      <c r="F2814" s="6" t="s">
        <v>4279</v>
      </c>
      <c r="G2814" s="5">
        <v>1207</v>
      </c>
      <c r="H2814" s="5">
        <f t="shared" si="77"/>
        <v>0.27677447280000012</v>
      </c>
      <c r="I2814" s="20">
        <f t="shared" si="76"/>
        <v>334.06678866960016</v>
      </c>
      <c r="J2814" s="6" t="s">
        <v>357</v>
      </c>
    </row>
    <row r="2815" spans="1:10" ht="30" hidden="1">
      <c r="A2815" s="9">
        <v>46106</v>
      </c>
      <c r="B2815" s="6" t="s">
        <v>4325</v>
      </c>
      <c r="C2815" s="5" t="s">
        <v>4324</v>
      </c>
      <c r="D2815" s="8" t="s">
        <v>306</v>
      </c>
      <c r="E2815" s="6" t="s">
        <v>466</v>
      </c>
      <c r="F2815" s="6" t="s">
        <v>4279</v>
      </c>
      <c r="G2815" s="5">
        <v>1207</v>
      </c>
      <c r="H2815" s="5">
        <f t="shared" si="77"/>
        <v>0.27677447280000012</v>
      </c>
      <c r="I2815" s="20">
        <f t="shared" si="76"/>
        <v>334.06678866960016</v>
      </c>
      <c r="J2815" s="6" t="s">
        <v>357</v>
      </c>
    </row>
    <row r="2816" spans="1:10" ht="30" hidden="1">
      <c r="A2816" s="9">
        <v>46106</v>
      </c>
      <c r="B2816" s="111" t="s">
        <v>4327</v>
      </c>
      <c r="C2816" s="5" t="s">
        <v>4326</v>
      </c>
      <c r="D2816" s="8" t="s">
        <v>306</v>
      </c>
      <c r="E2816" s="6" t="s">
        <v>466</v>
      </c>
      <c r="F2816" s="6" t="s">
        <v>4279</v>
      </c>
      <c r="G2816" s="5">
        <v>2108</v>
      </c>
      <c r="H2816" s="5">
        <f t="shared" si="77"/>
        <v>0.27677447280000012</v>
      </c>
      <c r="I2816" s="20">
        <f t="shared" si="76"/>
        <v>583.44058866240027</v>
      </c>
      <c r="J2816" s="6" t="s">
        <v>357</v>
      </c>
    </row>
    <row r="2817" spans="1:10" ht="30" hidden="1">
      <c r="A2817" s="9">
        <v>46106</v>
      </c>
      <c r="B2817" s="6" t="s">
        <v>4329</v>
      </c>
      <c r="C2817" s="5" t="s">
        <v>4328</v>
      </c>
      <c r="D2817" s="8" t="s">
        <v>306</v>
      </c>
      <c r="E2817" s="6" t="s">
        <v>466</v>
      </c>
      <c r="F2817" s="6" t="s">
        <v>4279</v>
      </c>
      <c r="G2817" s="5">
        <v>2108</v>
      </c>
      <c r="H2817" s="5">
        <f t="shared" si="77"/>
        <v>0.27677447280000012</v>
      </c>
      <c r="I2817" s="20">
        <f t="shared" si="76"/>
        <v>583.44058866240027</v>
      </c>
      <c r="J2817" s="6" t="s">
        <v>357</v>
      </c>
    </row>
    <row r="2818" spans="1:10" ht="30" hidden="1">
      <c r="A2818" s="9">
        <v>46106</v>
      </c>
      <c r="B2818" s="6" t="s">
        <v>4331</v>
      </c>
      <c r="C2818" s="5" t="s">
        <v>4330</v>
      </c>
      <c r="D2818" s="8" t="s">
        <v>306</v>
      </c>
      <c r="E2818" s="6" t="s">
        <v>466</v>
      </c>
      <c r="F2818" s="6" t="s">
        <v>4279</v>
      </c>
      <c r="G2818" s="5">
        <v>2108</v>
      </c>
      <c r="H2818" s="5">
        <f t="shared" si="77"/>
        <v>0.27677447280000012</v>
      </c>
      <c r="I2818" s="20">
        <f t="shared" si="76"/>
        <v>583.44058866240027</v>
      </c>
      <c r="J2818" s="6" t="s">
        <v>357</v>
      </c>
    </row>
    <row r="2819" spans="1:10" ht="30" hidden="1">
      <c r="A2819" s="9">
        <v>46106</v>
      </c>
      <c r="B2819" s="6" t="s">
        <v>4333</v>
      </c>
      <c r="C2819" s="5" t="s">
        <v>4332</v>
      </c>
      <c r="D2819" s="8" t="s">
        <v>306</v>
      </c>
      <c r="E2819" s="6" t="s">
        <v>466</v>
      </c>
      <c r="F2819" s="6" t="s">
        <v>4279</v>
      </c>
      <c r="G2819" s="5">
        <v>2108</v>
      </c>
      <c r="H2819" s="5">
        <f t="shared" si="77"/>
        <v>0.27677447280000012</v>
      </c>
      <c r="I2819" s="20">
        <f t="shared" si="76"/>
        <v>583.44058866240027</v>
      </c>
      <c r="J2819" s="6" t="s">
        <v>357</v>
      </c>
    </row>
    <row r="2820" spans="1:10" ht="30" hidden="1">
      <c r="A2820" s="9">
        <v>46106</v>
      </c>
      <c r="B2820" s="6" t="s">
        <v>4335</v>
      </c>
      <c r="C2820" s="5" t="s">
        <v>4334</v>
      </c>
      <c r="D2820" s="8" t="s">
        <v>306</v>
      </c>
      <c r="E2820" s="6" t="s">
        <v>466</v>
      </c>
      <c r="F2820" s="6" t="s">
        <v>4279</v>
      </c>
      <c r="G2820" s="5">
        <v>2108</v>
      </c>
      <c r="H2820" s="5">
        <f t="shared" si="77"/>
        <v>0.27677447280000012</v>
      </c>
      <c r="I2820" s="20">
        <f t="shared" si="76"/>
        <v>583.44058866240027</v>
      </c>
      <c r="J2820" s="6" t="s">
        <v>357</v>
      </c>
    </row>
    <row r="2821" spans="1:10" ht="30" hidden="1">
      <c r="A2821" s="9">
        <v>46106</v>
      </c>
      <c r="B2821" s="6" t="s">
        <v>4337</v>
      </c>
      <c r="C2821" s="5" t="s">
        <v>4336</v>
      </c>
      <c r="D2821" s="8" t="s">
        <v>306</v>
      </c>
      <c r="E2821" s="6" t="s">
        <v>466</v>
      </c>
      <c r="F2821" s="6" t="s">
        <v>4279</v>
      </c>
      <c r="G2821" s="5">
        <v>2108</v>
      </c>
      <c r="H2821" s="5">
        <f t="shared" si="77"/>
        <v>0.27677447280000012</v>
      </c>
      <c r="I2821" s="20">
        <f t="shared" si="76"/>
        <v>583.44058866240027</v>
      </c>
      <c r="J2821" s="6" t="s">
        <v>357</v>
      </c>
    </row>
    <row r="2822" spans="1:10" ht="30" hidden="1">
      <c r="A2822" s="9">
        <v>46106</v>
      </c>
      <c r="B2822" s="6" t="s">
        <v>4339</v>
      </c>
      <c r="C2822" s="5" t="s">
        <v>4338</v>
      </c>
      <c r="D2822" s="8" t="s">
        <v>306</v>
      </c>
      <c r="E2822" s="6" t="s">
        <v>466</v>
      </c>
      <c r="F2822" s="6" t="s">
        <v>4279</v>
      </c>
      <c r="G2822" s="5">
        <v>2108</v>
      </c>
      <c r="H2822" s="5">
        <f t="shared" si="77"/>
        <v>0.27677447280000012</v>
      </c>
      <c r="I2822" s="20">
        <f t="shared" si="76"/>
        <v>583.44058866240027</v>
      </c>
      <c r="J2822" s="6" t="s">
        <v>357</v>
      </c>
    </row>
    <row r="2823" spans="1:10" ht="30" hidden="1">
      <c r="A2823" s="9">
        <v>46106</v>
      </c>
      <c r="B2823" s="111" t="s">
        <v>4341</v>
      </c>
      <c r="C2823" s="5" t="s">
        <v>4340</v>
      </c>
      <c r="D2823" s="8" t="s">
        <v>306</v>
      </c>
      <c r="E2823" s="6" t="s">
        <v>466</v>
      </c>
      <c r="F2823" s="6" t="s">
        <v>4279</v>
      </c>
      <c r="G2823" s="5">
        <v>2108</v>
      </c>
      <c r="H2823" s="5">
        <f t="shared" si="77"/>
        <v>0.27677447280000012</v>
      </c>
      <c r="I2823" s="20">
        <f t="shared" si="76"/>
        <v>583.44058866240027</v>
      </c>
      <c r="J2823" s="6" t="s">
        <v>357</v>
      </c>
    </row>
    <row r="2824" spans="1:10" ht="30" hidden="1">
      <c r="A2824" s="9">
        <v>46106</v>
      </c>
      <c r="B2824" s="111" t="s">
        <v>4343</v>
      </c>
      <c r="C2824" s="5" t="s">
        <v>4342</v>
      </c>
      <c r="D2824" s="8" t="s">
        <v>306</v>
      </c>
      <c r="E2824" s="6" t="s">
        <v>466</v>
      </c>
      <c r="F2824" s="6" t="s">
        <v>4279</v>
      </c>
      <c r="G2824" s="5">
        <v>1689</v>
      </c>
      <c r="H2824" s="5">
        <f t="shared" ref="H2824:H2855" si="78">0.9*0.8*0.7*0.93*(0.9*0.9*0.9*0.9*0.9)</f>
        <v>0.27677447280000012</v>
      </c>
      <c r="I2824" s="20">
        <f t="shared" si="76"/>
        <v>467.4720845592002</v>
      </c>
      <c r="J2824" s="6" t="s">
        <v>357</v>
      </c>
    </row>
    <row r="2825" spans="1:10" ht="30" hidden="1">
      <c r="A2825" s="9">
        <v>46106</v>
      </c>
      <c r="B2825" s="6" t="s">
        <v>4345</v>
      </c>
      <c r="C2825" s="5" t="s">
        <v>4344</v>
      </c>
      <c r="D2825" s="8" t="s">
        <v>306</v>
      </c>
      <c r="E2825" s="6" t="s">
        <v>466</v>
      </c>
      <c r="F2825" s="6" t="s">
        <v>4279</v>
      </c>
      <c r="G2825" s="5">
        <v>1689</v>
      </c>
      <c r="H2825" s="5">
        <f t="shared" si="78"/>
        <v>0.27677447280000012</v>
      </c>
      <c r="I2825" s="20">
        <f t="shared" si="76"/>
        <v>467.4720845592002</v>
      </c>
      <c r="J2825" s="6" t="s">
        <v>357</v>
      </c>
    </row>
    <row r="2826" spans="1:10" ht="30" hidden="1">
      <c r="A2826" s="9">
        <v>46106</v>
      </c>
      <c r="B2826" s="6" t="s">
        <v>4347</v>
      </c>
      <c r="C2826" s="5" t="s">
        <v>4346</v>
      </c>
      <c r="D2826" s="8" t="s">
        <v>306</v>
      </c>
      <c r="E2826" s="6" t="s">
        <v>466</v>
      </c>
      <c r="F2826" s="6" t="s">
        <v>4279</v>
      </c>
      <c r="G2826" s="5">
        <v>1689</v>
      </c>
      <c r="H2826" s="5">
        <f t="shared" si="78"/>
        <v>0.27677447280000012</v>
      </c>
      <c r="I2826" s="20">
        <f t="shared" si="76"/>
        <v>467.4720845592002</v>
      </c>
      <c r="J2826" s="6" t="s">
        <v>357</v>
      </c>
    </row>
    <row r="2827" spans="1:10" ht="30" hidden="1">
      <c r="A2827" s="9">
        <v>46106</v>
      </c>
      <c r="B2827" s="6" t="s">
        <v>4349</v>
      </c>
      <c r="C2827" s="5" t="s">
        <v>4348</v>
      </c>
      <c r="D2827" s="8" t="s">
        <v>306</v>
      </c>
      <c r="E2827" s="6" t="s">
        <v>466</v>
      </c>
      <c r="F2827" s="6" t="s">
        <v>4279</v>
      </c>
      <c r="G2827" s="5">
        <v>1689</v>
      </c>
      <c r="H2827" s="5">
        <f t="shared" si="78"/>
        <v>0.27677447280000012</v>
      </c>
      <c r="I2827" s="20">
        <f t="shared" si="76"/>
        <v>467.4720845592002</v>
      </c>
      <c r="J2827" s="6" t="s">
        <v>357</v>
      </c>
    </row>
    <row r="2828" spans="1:10" ht="30" hidden="1">
      <c r="A2828" s="9">
        <v>46106</v>
      </c>
      <c r="B2828" s="6" t="s">
        <v>4351</v>
      </c>
      <c r="C2828" s="5" t="s">
        <v>4350</v>
      </c>
      <c r="D2828" s="8" t="s">
        <v>306</v>
      </c>
      <c r="E2828" s="6" t="s">
        <v>466</v>
      </c>
      <c r="F2828" s="6" t="s">
        <v>4279</v>
      </c>
      <c r="G2828" s="5">
        <v>1689</v>
      </c>
      <c r="H2828" s="5">
        <f t="shared" si="78"/>
        <v>0.27677447280000012</v>
      </c>
      <c r="I2828" s="20">
        <f t="shared" si="76"/>
        <v>467.4720845592002</v>
      </c>
      <c r="J2828" s="6" t="s">
        <v>357</v>
      </c>
    </row>
    <row r="2829" spans="1:10" ht="30" hidden="1">
      <c r="A2829" s="9">
        <v>46106</v>
      </c>
      <c r="B2829" s="6" t="s">
        <v>4353</v>
      </c>
      <c r="C2829" s="5" t="s">
        <v>4352</v>
      </c>
      <c r="D2829" s="8" t="s">
        <v>306</v>
      </c>
      <c r="E2829" s="6" t="s">
        <v>466</v>
      </c>
      <c r="F2829" s="6" t="s">
        <v>4279</v>
      </c>
      <c r="G2829" s="5">
        <v>1689</v>
      </c>
      <c r="H2829" s="5">
        <f t="shared" si="78"/>
        <v>0.27677447280000012</v>
      </c>
      <c r="I2829" s="20">
        <f t="shared" si="76"/>
        <v>467.4720845592002</v>
      </c>
      <c r="J2829" s="6" t="s">
        <v>357</v>
      </c>
    </row>
    <row r="2830" spans="1:10" ht="30" hidden="1">
      <c r="A2830" s="9">
        <v>46106</v>
      </c>
      <c r="B2830" s="6" t="s">
        <v>4355</v>
      </c>
      <c r="C2830" s="5" t="s">
        <v>4354</v>
      </c>
      <c r="D2830" s="8" t="s">
        <v>306</v>
      </c>
      <c r="E2830" s="6" t="s">
        <v>466</v>
      </c>
      <c r="F2830" s="6" t="s">
        <v>4279</v>
      </c>
      <c r="G2830" s="5">
        <v>1689</v>
      </c>
      <c r="H2830" s="5">
        <f t="shared" si="78"/>
        <v>0.27677447280000012</v>
      </c>
      <c r="I2830" s="20">
        <f t="shared" si="76"/>
        <v>467.4720845592002</v>
      </c>
      <c r="J2830" s="6" t="s">
        <v>357</v>
      </c>
    </row>
    <row r="2831" spans="1:10" ht="30" hidden="1">
      <c r="A2831" s="9">
        <v>46106</v>
      </c>
      <c r="B2831" s="6" t="s">
        <v>4357</v>
      </c>
      <c r="C2831" s="5" t="s">
        <v>4356</v>
      </c>
      <c r="D2831" s="8" t="s">
        <v>306</v>
      </c>
      <c r="E2831" s="6" t="s">
        <v>466</v>
      </c>
      <c r="F2831" s="6" t="s">
        <v>4279</v>
      </c>
      <c r="G2831" s="5">
        <v>1689</v>
      </c>
      <c r="H2831" s="5">
        <f t="shared" si="78"/>
        <v>0.27677447280000012</v>
      </c>
      <c r="I2831" s="20">
        <f t="shared" si="76"/>
        <v>467.4720845592002</v>
      </c>
      <c r="J2831" s="6" t="s">
        <v>357</v>
      </c>
    </row>
    <row r="2832" spans="1:10" ht="30" hidden="1">
      <c r="A2832" s="9">
        <v>46106</v>
      </c>
      <c r="B2832" s="111" t="s">
        <v>4359</v>
      </c>
      <c r="C2832" s="5" t="s">
        <v>4358</v>
      </c>
      <c r="D2832" s="8" t="s">
        <v>306</v>
      </c>
      <c r="E2832" s="6" t="s">
        <v>466</v>
      </c>
      <c r="F2832" s="6" t="s">
        <v>4279</v>
      </c>
      <c r="G2832" s="5">
        <v>2514</v>
      </c>
      <c r="H2832" s="5">
        <f t="shared" si="78"/>
        <v>0.27677447280000012</v>
      </c>
      <c r="I2832" s="20">
        <f t="shared" si="76"/>
        <v>695.81102461920034</v>
      </c>
      <c r="J2832" s="6" t="s">
        <v>357</v>
      </c>
    </row>
    <row r="2833" spans="1:10" ht="30" hidden="1">
      <c r="A2833" s="9">
        <v>46106</v>
      </c>
      <c r="B2833" s="6" t="s">
        <v>4361</v>
      </c>
      <c r="C2833" s="5" t="s">
        <v>4360</v>
      </c>
      <c r="D2833" s="8" t="s">
        <v>306</v>
      </c>
      <c r="E2833" s="6" t="s">
        <v>466</v>
      </c>
      <c r="F2833" s="6" t="s">
        <v>4279</v>
      </c>
      <c r="G2833" s="5">
        <v>2514</v>
      </c>
      <c r="H2833" s="5">
        <f t="shared" si="78"/>
        <v>0.27677447280000012</v>
      </c>
      <c r="I2833" s="20">
        <f t="shared" si="76"/>
        <v>695.81102461920034</v>
      </c>
      <c r="J2833" s="6" t="s">
        <v>357</v>
      </c>
    </row>
    <row r="2834" spans="1:10" ht="30" hidden="1">
      <c r="A2834" s="9">
        <v>46106</v>
      </c>
      <c r="B2834" s="6" t="s">
        <v>4363</v>
      </c>
      <c r="C2834" s="5" t="s">
        <v>4362</v>
      </c>
      <c r="D2834" s="8" t="s">
        <v>306</v>
      </c>
      <c r="E2834" s="6" t="s">
        <v>466</v>
      </c>
      <c r="F2834" s="6" t="s">
        <v>4279</v>
      </c>
      <c r="G2834" s="5">
        <v>2514</v>
      </c>
      <c r="H2834" s="5">
        <f t="shared" si="78"/>
        <v>0.27677447280000012</v>
      </c>
      <c r="I2834" s="20">
        <f t="shared" si="76"/>
        <v>695.81102461920034</v>
      </c>
      <c r="J2834" s="6" t="s">
        <v>357</v>
      </c>
    </row>
    <row r="2835" spans="1:10" ht="30" hidden="1">
      <c r="A2835" s="9">
        <v>46106</v>
      </c>
      <c r="B2835" s="6" t="s">
        <v>4365</v>
      </c>
      <c r="C2835" s="5" t="s">
        <v>4364</v>
      </c>
      <c r="D2835" s="8" t="s">
        <v>306</v>
      </c>
      <c r="E2835" s="6" t="s">
        <v>466</v>
      </c>
      <c r="F2835" s="6" t="s">
        <v>4279</v>
      </c>
      <c r="G2835" s="5">
        <v>2514</v>
      </c>
      <c r="H2835" s="5">
        <f t="shared" si="78"/>
        <v>0.27677447280000012</v>
      </c>
      <c r="I2835" s="20">
        <f t="shared" si="76"/>
        <v>695.81102461920034</v>
      </c>
      <c r="J2835" s="6" t="s">
        <v>357</v>
      </c>
    </row>
    <row r="2836" spans="1:10" ht="30" hidden="1">
      <c r="A2836" s="9">
        <v>46106</v>
      </c>
      <c r="B2836" s="6" t="s">
        <v>4367</v>
      </c>
      <c r="C2836" s="5" t="s">
        <v>4366</v>
      </c>
      <c r="D2836" s="8" t="s">
        <v>306</v>
      </c>
      <c r="E2836" s="6" t="s">
        <v>466</v>
      </c>
      <c r="F2836" s="6" t="s">
        <v>4279</v>
      </c>
      <c r="G2836" s="5">
        <v>2514</v>
      </c>
      <c r="H2836" s="5">
        <f t="shared" si="78"/>
        <v>0.27677447280000012</v>
      </c>
      <c r="I2836" s="20">
        <f t="shared" si="76"/>
        <v>695.81102461920034</v>
      </c>
      <c r="J2836" s="6" t="s">
        <v>357</v>
      </c>
    </row>
    <row r="2837" spans="1:10" ht="30" hidden="1">
      <c r="A2837" s="9">
        <v>46106</v>
      </c>
      <c r="B2837" s="6" t="s">
        <v>4369</v>
      </c>
      <c r="C2837" s="5" t="s">
        <v>4368</v>
      </c>
      <c r="D2837" s="8" t="s">
        <v>306</v>
      </c>
      <c r="E2837" s="6" t="s">
        <v>466</v>
      </c>
      <c r="F2837" s="6" t="s">
        <v>4279</v>
      </c>
      <c r="G2837" s="5">
        <v>2514</v>
      </c>
      <c r="H2837" s="5">
        <f t="shared" si="78"/>
        <v>0.27677447280000012</v>
      </c>
      <c r="I2837" s="20">
        <f t="shared" si="76"/>
        <v>695.81102461920034</v>
      </c>
      <c r="J2837" s="6" t="s">
        <v>357</v>
      </c>
    </row>
    <row r="2838" spans="1:10" ht="30" hidden="1">
      <c r="A2838" s="9">
        <v>46106</v>
      </c>
      <c r="B2838" s="6" t="s">
        <v>4371</v>
      </c>
      <c r="C2838" s="5" t="s">
        <v>4370</v>
      </c>
      <c r="D2838" s="8" t="s">
        <v>306</v>
      </c>
      <c r="E2838" s="6" t="s">
        <v>466</v>
      </c>
      <c r="F2838" s="6" t="s">
        <v>4279</v>
      </c>
      <c r="G2838" s="5">
        <v>2514</v>
      </c>
      <c r="H2838" s="5">
        <f t="shared" si="78"/>
        <v>0.27677447280000012</v>
      </c>
      <c r="I2838" s="20">
        <f t="shared" si="76"/>
        <v>695.81102461920034</v>
      </c>
      <c r="J2838" s="6" t="s">
        <v>357</v>
      </c>
    </row>
    <row r="2839" spans="1:10" ht="30" hidden="1">
      <c r="A2839" s="9">
        <v>46106</v>
      </c>
      <c r="B2839" s="6" t="s">
        <v>4373</v>
      </c>
      <c r="C2839" s="5" t="s">
        <v>4372</v>
      </c>
      <c r="D2839" s="8" t="s">
        <v>306</v>
      </c>
      <c r="E2839" s="6" t="s">
        <v>466</v>
      </c>
      <c r="F2839" s="6" t="s">
        <v>4279</v>
      </c>
      <c r="G2839" s="5">
        <v>2514</v>
      </c>
      <c r="H2839" s="5">
        <f t="shared" si="78"/>
        <v>0.27677447280000012</v>
      </c>
      <c r="I2839" s="20">
        <f t="shared" si="76"/>
        <v>695.81102461920034</v>
      </c>
      <c r="J2839" s="6" t="s">
        <v>357</v>
      </c>
    </row>
    <row r="2840" spans="1:10" hidden="1">
      <c r="A2840" s="10">
        <v>45511</v>
      </c>
      <c r="B2840" s="111" t="s">
        <v>4375</v>
      </c>
      <c r="C2840" s="5" t="s">
        <v>4374</v>
      </c>
      <c r="D2840" s="8" t="s">
        <v>306</v>
      </c>
      <c r="E2840" s="6" t="s">
        <v>466</v>
      </c>
      <c r="F2840" s="6" t="s">
        <v>4279</v>
      </c>
      <c r="G2840" s="5">
        <v>6680</v>
      </c>
      <c r="H2840" s="5">
        <f t="shared" si="78"/>
        <v>0.27677447280000012</v>
      </c>
      <c r="I2840" s="20">
        <f t="shared" si="76"/>
        <v>1848.8534783040009</v>
      </c>
      <c r="J2840" s="6" t="s">
        <v>357</v>
      </c>
    </row>
    <row r="2841" spans="1:10" hidden="1">
      <c r="A2841" s="10">
        <v>45511</v>
      </c>
      <c r="B2841" s="6" t="s">
        <v>4377</v>
      </c>
      <c r="C2841" s="5" t="s">
        <v>4376</v>
      </c>
      <c r="D2841" s="8" t="s">
        <v>306</v>
      </c>
      <c r="E2841" s="6" t="s">
        <v>466</v>
      </c>
      <c r="F2841" s="6" t="s">
        <v>4279</v>
      </c>
      <c r="G2841" s="5">
        <v>6490</v>
      </c>
      <c r="H2841" s="5">
        <f t="shared" si="78"/>
        <v>0.27677447280000012</v>
      </c>
      <c r="I2841" s="20">
        <f t="shared" ref="I2841:I2904" si="79">H2841*G2841</f>
        <v>1796.2663284720009</v>
      </c>
      <c r="J2841" s="6" t="s">
        <v>357</v>
      </c>
    </row>
    <row r="2842" spans="1:10" hidden="1">
      <c r="A2842" s="10">
        <v>45511</v>
      </c>
      <c r="B2842" s="111" t="s">
        <v>4379</v>
      </c>
      <c r="C2842" s="5" t="s">
        <v>4378</v>
      </c>
      <c r="D2842" s="8" t="s">
        <v>306</v>
      </c>
      <c r="E2842" s="6" t="s">
        <v>466</v>
      </c>
      <c r="F2842" s="6" t="s">
        <v>4279</v>
      </c>
      <c r="G2842" s="5">
        <v>2350</v>
      </c>
      <c r="H2842" s="5">
        <f t="shared" si="78"/>
        <v>0.27677447280000012</v>
      </c>
      <c r="I2842" s="20">
        <f t="shared" si="79"/>
        <v>650.42001108000022</v>
      </c>
      <c r="J2842" s="6" t="s">
        <v>357</v>
      </c>
    </row>
    <row r="2843" spans="1:10" hidden="1">
      <c r="A2843" s="10">
        <v>45511</v>
      </c>
      <c r="B2843" s="6" t="s">
        <v>4381</v>
      </c>
      <c r="C2843" s="5" t="s">
        <v>4380</v>
      </c>
      <c r="D2843" s="8" t="s">
        <v>306</v>
      </c>
      <c r="E2843" s="6" t="s">
        <v>466</v>
      </c>
      <c r="F2843" s="6" t="s">
        <v>4279</v>
      </c>
      <c r="G2843" s="5">
        <v>2350</v>
      </c>
      <c r="H2843" s="5">
        <f t="shared" si="78"/>
        <v>0.27677447280000012</v>
      </c>
      <c r="I2843" s="20">
        <f t="shared" si="79"/>
        <v>650.42001108000022</v>
      </c>
      <c r="J2843" s="6" t="s">
        <v>357</v>
      </c>
    </row>
    <row r="2844" spans="1:10" ht="30" hidden="1">
      <c r="A2844" s="9">
        <v>46106</v>
      </c>
      <c r="B2844" s="111" t="s">
        <v>4383</v>
      </c>
      <c r="C2844" s="5" t="s">
        <v>4382</v>
      </c>
      <c r="D2844" s="8" t="s">
        <v>306</v>
      </c>
      <c r="E2844" s="6" t="s">
        <v>466</v>
      </c>
      <c r="F2844" s="6" t="s">
        <v>4279</v>
      </c>
      <c r="G2844" s="5">
        <v>1390</v>
      </c>
      <c r="H2844" s="5">
        <f t="shared" si="78"/>
        <v>0.27677447280000012</v>
      </c>
      <c r="I2844" s="20">
        <f t="shared" si="79"/>
        <v>384.71651719200014</v>
      </c>
      <c r="J2844" s="6" t="s">
        <v>357</v>
      </c>
    </row>
    <row r="2845" spans="1:10" ht="30" hidden="1">
      <c r="A2845" s="9">
        <v>46106</v>
      </c>
      <c r="B2845" s="6" t="s">
        <v>4385</v>
      </c>
      <c r="C2845" s="5" t="s">
        <v>4384</v>
      </c>
      <c r="D2845" s="8" t="s">
        <v>306</v>
      </c>
      <c r="E2845" s="6" t="s">
        <v>466</v>
      </c>
      <c r="F2845" s="6" t="s">
        <v>4279</v>
      </c>
      <c r="G2845" s="5">
        <v>1390</v>
      </c>
      <c r="H2845" s="5">
        <f t="shared" si="78"/>
        <v>0.27677447280000012</v>
      </c>
      <c r="I2845" s="20">
        <f t="shared" si="79"/>
        <v>384.71651719200014</v>
      </c>
      <c r="J2845" s="6" t="s">
        <v>357</v>
      </c>
    </row>
    <row r="2846" spans="1:10" ht="30" hidden="1">
      <c r="A2846" s="9">
        <v>46106</v>
      </c>
      <c r="B2846" s="6" t="s">
        <v>4387</v>
      </c>
      <c r="C2846" s="5" t="s">
        <v>4386</v>
      </c>
      <c r="D2846" s="8" t="s">
        <v>306</v>
      </c>
      <c r="E2846" s="6" t="s">
        <v>466</v>
      </c>
      <c r="F2846" s="6" t="s">
        <v>4279</v>
      </c>
      <c r="G2846" s="5">
        <v>1390</v>
      </c>
      <c r="H2846" s="5">
        <f t="shared" si="78"/>
        <v>0.27677447280000012</v>
      </c>
      <c r="I2846" s="20">
        <f t="shared" si="79"/>
        <v>384.71651719200014</v>
      </c>
      <c r="J2846" s="6" t="s">
        <v>357</v>
      </c>
    </row>
    <row r="2847" spans="1:10" ht="30" hidden="1">
      <c r="A2847" s="9">
        <v>46106</v>
      </c>
      <c r="B2847" s="6" t="s">
        <v>4389</v>
      </c>
      <c r="C2847" s="5" t="s">
        <v>4388</v>
      </c>
      <c r="D2847" s="8" t="s">
        <v>306</v>
      </c>
      <c r="E2847" s="6" t="s">
        <v>466</v>
      </c>
      <c r="F2847" s="6" t="s">
        <v>4279</v>
      </c>
      <c r="G2847" s="5">
        <v>1390</v>
      </c>
      <c r="H2847" s="5">
        <f t="shared" si="78"/>
        <v>0.27677447280000012</v>
      </c>
      <c r="I2847" s="20">
        <f t="shared" si="79"/>
        <v>384.71651719200014</v>
      </c>
      <c r="J2847" s="6" t="s">
        <v>357</v>
      </c>
    </row>
    <row r="2848" spans="1:10" ht="30" hidden="1">
      <c r="A2848" s="9">
        <v>46106</v>
      </c>
      <c r="B2848" s="6" t="s">
        <v>4391</v>
      </c>
      <c r="C2848" s="5" t="s">
        <v>4390</v>
      </c>
      <c r="D2848" s="8" t="s">
        <v>306</v>
      </c>
      <c r="E2848" s="6" t="s">
        <v>466</v>
      </c>
      <c r="F2848" s="6" t="s">
        <v>4279</v>
      </c>
      <c r="G2848" s="5">
        <v>1390</v>
      </c>
      <c r="H2848" s="5">
        <f t="shared" si="78"/>
        <v>0.27677447280000012</v>
      </c>
      <c r="I2848" s="20">
        <f t="shared" si="79"/>
        <v>384.71651719200014</v>
      </c>
      <c r="J2848" s="6" t="s">
        <v>357</v>
      </c>
    </row>
    <row r="2849" spans="1:10" ht="30" hidden="1">
      <c r="A2849" s="9">
        <v>46106</v>
      </c>
      <c r="B2849" s="6" t="s">
        <v>4393</v>
      </c>
      <c r="C2849" s="5" t="s">
        <v>4392</v>
      </c>
      <c r="D2849" s="8" t="s">
        <v>306</v>
      </c>
      <c r="E2849" s="6" t="s">
        <v>466</v>
      </c>
      <c r="F2849" s="6" t="s">
        <v>4279</v>
      </c>
      <c r="G2849" s="5">
        <v>1390</v>
      </c>
      <c r="H2849" s="5">
        <f t="shared" si="78"/>
        <v>0.27677447280000012</v>
      </c>
      <c r="I2849" s="20">
        <f t="shared" si="79"/>
        <v>384.71651719200014</v>
      </c>
      <c r="J2849" s="6" t="s">
        <v>357</v>
      </c>
    </row>
    <row r="2850" spans="1:10" ht="30" hidden="1">
      <c r="A2850" s="9">
        <v>46106</v>
      </c>
      <c r="B2850" s="6" t="s">
        <v>4395</v>
      </c>
      <c r="C2850" s="5" t="s">
        <v>4394</v>
      </c>
      <c r="D2850" s="8" t="s">
        <v>306</v>
      </c>
      <c r="E2850" s="6" t="s">
        <v>466</v>
      </c>
      <c r="F2850" s="6" t="s">
        <v>4279</v>
      </c>
      <c r="G2850" s="5">
        <v>1390</v>
      </c>
      <c r="H2850" s="5">
        <f t="shared" si="78"/>
        <v>0.27677447280000012</v>
      </c>
      <c r="I2850" s="20">
        <f t="shared" si="79"/>
        <v>384.71651719200014</v>
      </c>
      <c r="J2850" s="6" t="s">
        <v>357</v>
      </c>
    </row>
    <row r="2851" spans="1:10" ht="30" hidden="1">
      <c r="A2851" s="9">
        <v>46106</v>
      </c>
      <c r="B2851" s="6" t="s">
        <v>4397</v>
      </c>
      <c r="C2851" s="5" t="s">
        <v>4396</v>
      </c>
      <c r="D2851" s="8" t="s">
        <v>306</v>
      </c>
      <c r="E2851" s="6" t="s">
        <v>466</v>
      </c>
      <c r="F2851" s="6" t="s">
        <v>4279</v>
      </c>
      <c r="G2851" s="5">
        <v>1390</v>
      </c>
      <c r="H2851" s="5">
        <f t="shared" si="78"/>
        <v>0.27677447280000012</v>
      </c>
      <c r="I2851" s="20">
        <f t="shared" si="79"/>
        <v>384.71651719200014</v>
      </c>
      <c r="J2851" s="6" t="s">
        <v>357</v>
      </c>
    </row>
    <row r="2852" spans="1:10" hidden="1">
      <c r="A2852" s="10">
        <v>45511</v>
      </c>
      <c r="B2852" s="111" t="s">
        <v>4399</v>
      </c>
      <c r="C2852" s="5" t="s">
        <v>4398</v>
      </c>
      <c r="D2852" s="8" t="s">
        <v>306</v>
      </c>
      <c r="E2852" s="6" t="s">
        <v>466</v>
      </c>
      <c r="F2852" s="6" t="s">
        <v>4279</v>
      </c>
      <c r="G2852" s="5" t="s">
        <v>4400</v>
      </c>
      <c r="H2852" s="5">
        <f t="shared" si="78"/>
        <v>0.27677447280000012</v>
      </c>
      <c r="I2852" s="20" t="e">
        <f t="shared" si="79"/>
        <v>#VALUE!</v>
      </c>
      <c r="J2852" s="6" t="s">
        <v>357</v>
      </c>
    </row>
    <row r="2853" spans="1:10" hidden="1">
      <c r="A2853" s="10">
        <v>45511</v>
      </c>
      <c r="B2853" s="6" t="s">
        <v>4402</v>
      </c>
      <c r="C2853" s="5" t="s">
        <v>4401</v>
      </c>
      <c r="D2853" s="8" t="s">
        <v>306</v>
      </c>
      <c r="E2853" s="6" t="s">
        <v>466</v>
      </c>
      <c r="F2853" s="6" t="s">
        <v>4279</v>
      </c>
      <c r="G2853" s="5">
        <v>10630</v>
      </c>
      <c r="H2853" s="5">
        <f t="shared" si="78"/>
        <v>0.27677447280000012</v>
      </c>
      <c r="I2853" s="20">
        <f t="shared" si="79"/>
        <v>2942.112645864001</v>
      </c>
      <c r="J2853" s="6" t="s">
        <v>357</v>
      </c>
    </row>
    <row r="2854" spans="1:10" hidden="1">
      <c r="A2854" s="9">
        <v>46106</v>
      </c>
      <c r="B2854" s="111" t="s">
        <v>4404</v>
      </c>
      <c r="C2854" s="5" t="s">
        <v>4403</v>
      </c>
      <c r="D2854" s="8" t="s">
        <v>306</v>
      </c>
      <c r="E2854" s="6" t="s">
        <v>466</v>
      </c>
      <c r="F2854" s="6" t="s">
        <v>4279</v>
      </c>
      <c r="G2854" s="5">
        <v>4613</v>
      </c>
      <c r="H2854" s="5">
        <f t="shared" si="78"/>
        <v>0.27677447280000012</v>
      </c>
      <c r="I2854" s="20">
        <f t="shared" si="79"/>
        <v>1276.7606430264004</v>
      </c>
      <c r="J2854" s="6" t="s">
        <v>357</v>
      </c>
    </row>
    <row r="2855" spans="1:10" hidden="1">
      <c r="A2855" s="9">
        <v>46106</v>
      </c>
      <c r="B2855" s="6" t="s">
        <v>4406</v>
      </c>
      <c r="C2855" s="5" t="s">
        <v>4405</v>
      </c>
      <c r="D2855" s="8" t="s">
        <v>306</v>
      </c>
      <c r="E2855" s="6" t="s">
        <v>466</v>
      </c>
      <c r="F2855" s="6" t="s">
        <v>4279</v>
      </c>
      <c r="G2855" s="5">
        <v>3584</v>
      </c>
      <c r="H2855" s="5">
        <f t="shared" si="78"/>
        <v>0.27677447280000012</v>
      </c>
      <c r="I2855" s="20">
        <f t="shared" si="79"/>
        <v>991.95971051520041</v>
      </c>
      <c r="J2855" s="6" t="s">
        <v>357</v>
      </c>
    </row>
    <row r="2856" spans="1:10" ht="30" hidden="1">
      <c r="A2856" s="9">
        <v>46106</v>
      </c>
      <c r="B2856" s="111" t="s">
        <v>4408</v>
      </c>
      <c r="C2856" s="5" t="s">
        <v>4407</v>
      </c>
      <c r="D2856" s="8" t="s">
        <v>306</v>
      </c>
      <c r="E2856" s="6" t="s">
        <v>466</v>
      </c>
      <c r="F2856" s="6" t="s">
        <v>4279</v>
      </c>
      <c r="G2856" s="5">
        <v>2204</v>
      </c>
      <c r="H2856" s="5">
        <f t="shared" ref="H2856:H2887" si="80">0.9*0.8*0.7*0.93*(0.9*0.9*0.9*0.9*0.9)</f>
        <v>0.27677447280000012</v>
      </c>
      <c r="I2856" s="20">
        <f t="shared" si="79"/>
        <v>610.01093805120024</v>
      </c>
      <c r="J2856" s="6" t="s">
        <v>357</v>
      </c>
    </row>
    <row r="2857" spans="1:10" ht="30" hidden="1">
      <c r="A2857" s="9">
        <v>46106</v>
      </c>
      <c r="B2857" s="6" t="s">
        <v>4410</v>
      </c>
      <c r="C2857" s="5" t="s">
        <v>4409</v>
      </c>
      <c r="D2857" s="8" t="s">
        <v>306</v>
      </c>
      <c r="E2857" s="6" t="s">
        <v>466</v>
      </c>
      <c r="F2857" s="6" t="s">
        <v>4279</v>
      </c>
      <c r="G2857" s="5">
        <v>2204</v>
      </c>
      <c r="H2857" s="5">
        <f t="shared" si="80"/>
        <v>0.27677447280000012</v>
      </c>
      <c r="I2857" s="20">
        <f t="shared" si="79"/>
        <v>610.01093805120024</v>
      </c>
      <c r="J2857" s="6" t="s">
        <v>357</v>
      </c>
    </row>
    <row r="2858" spans="1:10" ht="30" hidden="1">
      <c r="A2858" s="9">
        <v>46106</v>
      </c>
      <c r="B2858" s="6" t="s">
        <v>4412</v>
      </c>
      <c r="C2858" s="5" t="s">
        <v>4411</v>
      </c>
      <c r="D2858" s="8" t="s">
        <v>306</v>
      </c>
      <c r="E2858" s="6" t="s">
        <v>466</v>
      </c>
      <c r="F2858" s="6" t="s">
        <v>4279</v>
      </c>
      <c r="G2858" s="5">
        <v>2204</v>
      </c>
      <c r="H2858" s="5">
        <f t="shared" si="80"/>
        <v>0.27677447280000012</v>
      </c>
      <c r="I2858" s="20">
        <f t="shared" si="79"/>
        <v>610.01093805120024</v>
      </c>
      <c r="J2858" s="6" t="s">
        <v>357</v>
      </c>
    </row>
    <row r="2859" spans="1:10" ht="30" hidden="1">
      <c r="A2859" s="9">
        <v>46106</v>
      </c>
      <c r="B2859" s="6" t="s">
        <v>4414</v>
      </c>
      <c r="C2859" s="5" t="s">
        <v>4413</v>
      </c>
      <c r="D2859" s="8" t="s">
        <v>306</v>
      </c>
      <c r="E2859" s="6" t="s">
        <v>466</v>
      </c>
      <c r="F2859" s="6" t="s">
        <v>4279</v>
      </c>
      <c r="G2859" s="5">
        <v>2204</v>
      </c>
      <c r="H2859" s="5">
        <f t="shared" si="80"/>
        <v>0.27677447280000012</v>
      </c>
      <c r="I2859" s="20">
        <f t="shared" si="79"/>
        <v>610.01093805120024</v>
      </c>
      <c r="J2859" s="6" t="s">
        <v>357</v>
      </c>
    </row>
    <row r="2860" spans="1:10" ht="30" hidden="1">
      <c r="A2860" s="9">
        <v>46106</v>
      </c>
      <c r="B2860" s="6" t="s">
        <v>4416</v>
      </c>
      <c r="C2860" s="5" t="s">
        <v>4415</v>
      </c>
      <c r="D2860" s="8" t="s">
        <v>306</v>
      </c>
      <c r="E2860" s="6" t="s">
        <v>466</v>
      </c>
      <c r="F2860" s="6" t="s">
        <v>4279</v>
      </c>
      <c r="G2860" s="5">
        <v>2204</v>
      </c>
      <c r="H2860" s="5">
        <f t="shared" si="80"/>
        <v>0.27677447280000012</v>
      </c>
      <c r="I2860" s="20">
        <f t="shared" si="79"/>
        <v>610.01093805120024</v>
      </c>
      <c r="J2860" s="6" t="s">
        <v>357</v>
      </c>
    </row>
    <row r="2861" spans="1:10" ht="30" hidden="1">
      <c r="A2861" s="9">
        <v>46106</v>
      </c>
      <c r="B2861" s="6" t="s">
        <v>4418</v>
      </c>
      <c r="C2861" s="5" t="s">
        <v>4417</v>
      </c>
      <c r="D2861" s="8" t="s">
        <v>306</v>
      </c>
      <c r="E2861" s="6" t="s">
        <v>466</v>
      </c>
      <c r="F2861" s="6" t="s">
        <v>4279</v>
      </c>
      <c r="G2861" s="5">
        <v>2204</v>
      </c>
      <c r="H2861" s="5">
        <f t="shared" si="80"/>
        <v>0.27677447280000012</v>
      </c>
      <c r="I2861" s="20">
        <f t="shared" si="79"/>
        <v>610.01093805120024</v>
      </c>
      <c r="J2861" s="6" t="s">
        <v>357</v>
      </c>
    </row>
    <row r="2862" spans="1:10" ht="30" hidden="1">
      <c r="A2862" s="9">
        <v>46106</v>
      </c>
      <c r="B2862" s="6" t="s">
        <v>4420</v>
      </c>
      <c r="C2862" s="5" t="s">
        <v>4419</v>
      </c>
      <c r="D2862" s="8" t="s">
        <v>306</v>
      </c>
      <c r="E2862" s="6" t="s">
        <v>466</v>
      </c>
      <c r="F2862" s="6" t="s">
        <v>4279</v>
      </c>
      <c r="G2862" s="5">
        <v>2204</v>
      </c>
      <c r="H2862" s="5">
        <f t="shared" si="80"/>
        <v>0.27677447280000012</v>
      </c>
      <c r="I2862" s="20">
        <f t="shared" si="79"/>
        <v>610.01093805120024</v>
      </c>
      <c r="J2862" s="6" t="s">
        <v>357</v>
      </c>
    </row>
    <row r="2863" spans="1:10" ht="30" hidden="1">
      <c r="A2863" s="9">
        <v>46106</v>
      </c>
      <c r="B2863" s="6" t="s">
        <v>4422</v>
      </c>
      <c r="C2863" s="5" t="s">
        <v>4421</v>
      </c>
      <c r="D2863" s="8" t="s">
        <v>306</v>
      </c>
      <c r="E2863" s="6" t="s">
        <v>466</v>
      </c>
      <c r="F2863" s="6" t="s">
        <v>4279</v>
      </c>
      <c r="G2863" s="5">
        <v>2204</v>
      </c>
      <c r="H2863" s="5">
        <f t="shared" si="80"/>
        <v>0.27677447280000012</v>
      </c>
      <c r="I2863" s="20">
        <f t="shared" si="79"/>
        <v>610.01093805120024</v>
      </c>
      <c r="J2863" s="6" t="s">
        <v>357</v>
      </c>
    </row>
    <row r="2864" spans="1:10" ht="30" hidden="1">
      <c r="A2864" s="9">
        <v>46106</v>
      </c>
      <c r="B2864" s="111" t="s">
        <v>4424</v>
      </c>
      <c r="C2864" s="5" t="s">
        <v>4423</v>
      </c>
      <c r="D2864" s="8" t="s">
        <v>306</v>
      </c>
      <c r="E2864" s="6" t="s">
        <v>466</v>
      </c>
      <c r="F2864" s="6" t="s">
        <v>4279</v>
      </c>
      <c r="G2864" s="5">
        <v>1960</v>
      </c>
      <c r="H2864" s="5">
        <f t="shared" si="80"/>
        <v>0.27677447280000012</v>
      </c>
      <c r="I2864" s="20">
        <f t="shared" si="79"/>
        <v>542.47796668800027</v>
      </c>
      <c r="J2864" s="6" t="s">
        <v>357</v>
      </c>
    </row>
    <row r="2865" spans="1:10" ht="30" hidden="1">
      <c r="A2865" s="9">
        <v>46106</v>
      </c>
      <c r="B2865" s="6" t="s">
        <v>4426</v>
      </c>
      <c r="C2865" s="5" t="s">
        <v>4425</v>
      </c>
      <c r="D2865" s="8" t="s">
        <v>306</v>
      </c>
      <c r="E2865" s="6" t="s">
        <v>466</v>
      </c>
      <c r="F2865" s="6" t="s">
        <v>4279</v>
      </c>
      <c r="G2865" s="5">
        <v>2035</v>
      </c>
      <c r="H2865" s="5">
        <f t="shared" si="80"/>
        <v>0.27677447280000012</v>
      </c>
      <c r="I2865" s="20">
        <f t="shared" si="79"/>
        <v>563.23605214800023</v>
      </c>
      <c r="J2865" s="6" t="s">
        <v>357</v>
      </c>
    </row>
    <row r="2866" spans="1:10" ht="30" hidden="1">
      <c r="A2866" s="9">
        <v>46106</v>
      </c>
      <c r="B2866" s="111" t="s">
        <v>4428</v>
      </c>
      <c r="C2866" s="5" t="s">
        <v>4427</v>
      </c>
      <c r="D2866" s="8" t="s">
        <v>306</v>
      </c>
      <c r="E2866" s="6" t="s">
        <v>466</v>
      </c>
      <c r="F2866" s="6" t="s">
        <v>4279</v>
      </c>
      <c r="G2866" s="5">
        <v>3013</v>
      </c>
      <c r="H2866" s="5">
        <f t="shared" si="80"/>
        <v>0.27677447280000012</v>
      </c>
      <c r="I2866" s="20">
        <f t="shared" si="79"/>
        <v>833.92148654640039</v>
      </c>
      <c r="J2866" s="6" t="s">
        <v>357</v>
      </c>
    </row>
    <row r="2867" spans="1:10" ht="30" hidden="1">
      <c r="A2867" s="9">
        <v>46106</v>
      </c>
      <c r="B2867" s="6" t="s">
        <v>4430</v>
      </c>
      <c r="C2867" s="5" t="s">
        <v>4429</v>
      </c>
      <c r="D2867" s="8" t="s">
        <v>306</v>
      </c>
      <c r="E2867" s="6" t="s">
        <v>466</v>
      </c>
      <c r="F2867" s="6" t="s">
        <v>4279</v>
      </c>
      <c r="G2867" s="5">
        <v>3013</v>
      </c>
      <c r="H2867" s="5">
        <f t="shared" si="80"/>
        <v>0.27677447280000012</v>
      </c>
      <c r="I2867" s="20">
        <f t="shared" si="79"/>
        <v>833.92148654640039</v>
      </c>
      <c r="J2867" s="6" t="s">
        <v>357</v>
      </c>
    </row>
    <row r="2868" spans="1:10" ht="30" hidden="1">
      <c r="A2868" s="9">
        <v>46106</v>
      </c>
      <c r="B2868" s="111" t="s">
        <v>4432</v>
      </c>
      <c r="C2868" s="5" t="s">
        <v>4431</v>
      </c>
      <c r="D2868" s="8" t="s">
        <v>306</v>
      </c>
      <c r="E2868" s="6" t="s">
        <v>466</v>
      </c>
      <c r="F2868" s="6" t="s">
        <v>4279</v>
      </c>
      <c r="G2868" s="5">
        <v>2116</v>
      </c>
      <c r="H2868" s="5">
        <f t="shared" si="80"/>
        <v>0.27677447280000012</v>
      </c>
      <c r="I2868" s="20">
        <f t="shared" si="79"/>
        <v>585.65478444480027</v>
      </c>
      <c r="J2868" s="6" t="s">
        <v>357</v>
      </c>
    </row>
    <row r="2869" spans="1:10" ht="30" hidden="1">
      <c r="A2869" s="9">
        <v>46106</v>
      </c>
      <c r="B2869" s="6" t="s">
        <v>4434</v>
      </c>
      <c r="C2869" s="5" t="s">
        <v>4433</v>
      </c>
      <c r="D2869" s="8" t="s">
        <v>306</v>
      </c>
      <c r="E2869" s="6" t="s">
        <v>466</v>
      </c>
      <c r="F2869" s="6" t="s">
        <v>4279</v>
      </c>
      <c r="G2869" s="5">
        <v>2122</v>
      </c>
      <c r="H2869" s="5">
        <f t="shared" si="80"/>
        <v>0.27677447280000012</v>
      </c>
      <c r="I2869" s="20">
        <f t="shared" si="79"/>
        <v>587.31543128160024</v>
      </c>
      <c r="J2869" s="6" t="s">
        <v>357</v>
      </c>
    </row>
    <row r="2870" spans="1:10" ht="30" hidden="1">
      <c r="A2870" s="9">
        <v>46106</v>
      </c>
      <c r="B2870" s="111" t="s">
        <v>4436</v>
      </c>
      <c r="C2870" s="5" t="s">
        <v>4435</v>
      </c>
      <c r="D2870" s="8" t="s">
        <v>306</v>
      </c>
      <c r="E2870" s="6" t="s">
        <v>466</v>
      </c>
      <c r="F2870" s="6" t="s">
        <v>4279</v>
      </c>
      <c r="G2870" s="5">
        <v>3596</v>
      </c>
      <c r="H2870" s="5">
        <f t="shared" si="80"/>
        <v>0.27677447280000012</v>
      </c>
      <c r="I2870" s="20">
        <f t="shared" si="79"/>
        <v>995.28100418880047</v>
      </c>
      <c r="J2870" s="6" t="s">
        <v>357</v>
      </c>
    </row>
    <row r="2871" spans="1:10" ht="30" hidden="1">
      <c r="A2871" s="9">
        <v>46106</v>
      </c>
      <c r="B2871" s="111" t="s">
        <v>4438</v>
      </c>
      <c r="C2871" s="5" t="s">
        <v>4437</v>
      </c>
      <c r="D2871" s="8" t="s">
        <v>306</v>
      </c>
      <c r="E2871" s="6" t="s">
        <v>466</v>
      </c>
      <c r="F2871" s="6" t="s">
        <v>4279</v>
      </c>
      <c r="G2871" s="5">
        <v>3028</v>
      </c>
      <c r="H2871" s="5">
        <f t="shared" si="80"/>
        <v>0.27677447280000012</v>
      </c>
      <c r="I2871" s="20">
        <f t="shared" si="79"/>
        <v>838.07310363840031</v>
      </c>
      <c r="J2871" s="6" t="s">
        <v>357</v>
      </c>
    </row>
    <row r="2872" spans="1:10" hidden="1">
      <c r="A2872" s="10">
        <v>45511</v>
      </c>
      <c r="B2872" s="111" t="s">
        <v>4440</v>
      </c>
      <c r="C2872" s="5" t="s">
        <v>4439</v>
      </c>
      <c r="D2872" s="8" t="s">
        <v>306</v>
      </c>
      <c r="E2872" s="6" t="s">
        <v>466</v>
      </c>
      <c r="F2872" s="6" t="s">
        <v>4279</v>
      </c>
      <c r="G2872" s="5">
        <v>7885.5</v>
      </c>
      <c r="H2872" s="5">
        <f t="shared" si="80"/>
        <v>0.27677447280000012</v>
      </c>
      <c r="I2872" s="20">
        <f t="shared" si="79"/>
        <v>2182.5051052644008</v>
      </c>
      <c r="J2872" s="6" t="s">
        <v>357</v>
      </c>
    </row>
    <row r="2873" spans="1:10" hidden="1">
      <c r="A2873" s="9">
        <v>46106</v>
      </c>
      <c r="B2873" s="111" t="s">
        <v>4442</v>
      </c>
      <c r="C2873" s="5" t="s">
        <v>4441</v>
      </c>
      <c r="D2873" s="8" t="s">
        <v>306</v>
      </c>
      <c r="E2873" s="6" t="s">
        <v>466</v>
      </c>
      <c r="F2873" s="6" t="s">
        <v>4279</v>
      </c>
      <c r="G2873" s="5">
        <v>3699</v>
      </c>
      <c r="H2873" s="5">
        <f t="shared" si="80"/>
        <v>0.27677447280000012</v>
      </c>
      <c r="I2873" s="20">
        <f t="shared" si="79"/>
        <v>1023.7887748872005</v>
      </c>
      <c r="J2873" s="6" t="s">
        <v>357</v>
      </c>
    </row>
    <row r="2874" spans="1:10" ht="30" hidden="1">
      <c r="A2874" s="9">
        <v>46106</v>
      </c>
      <c r="B2874" s="111" t="s">
        <v>4444</v>
      </c>
      <c r="C2874" s="5" t="s">
        <v>4443</v>
      </c>
      <c r="D2874" s="8" t="s">
        <v>306</v>
      </c>
      <c r="E2874" s="6" t="s">
        <v>466</v>
      </c>
      <c r="F2874" s="6" t="s">
        <v>4279</v>
      </c>
      <c r="G2874" s="5">
        <v>2214</v>
      </c>
      <c r="H2874" s="5">
        <f t="shared" si="80"/>
        <v>0.27677447280000012</v>
      </c>
      <c r="I2874" s="20">
        <f t="shared" si="79"/>
        <v>612.77868277920027</v>
      </c>
      <c r="J2874" s="6" t="s">
        <v>357</v>
      </c>
    </row>
    <row r="2875" spans="1:10" ht="30" hidden="1">
      <c r="A2875" s="9">
        <v>46106</v>
      </c>
      <c r="B2875" s="6" t="s">
        <v>4446</v>
      </c>
      <c r="C2875" s="5" t="s">
        <v>4445</v>
      </c>
      <c r="D2875" s="8" t="s">
        <v>306</v>
      </c>
      <c r="E2875" s="6" t="s">
        <v>466</v>
      </c>
      <c r="F2875" s="6" t="s">
        <v>4279</v>
      </c>
      <c r="G2875" s="5">
        <v>2214</v>
      </c>
      <c r="H2875" s="5">
        <f t="shared" si="80"/>
        <v>0.27677447280000012</v>
      </c>
      <c r="I2875" s="20">
        <f t="shared" si="79"/>
        <v>612.77868277920027</v>
      </c>
      <c r="J2875" s="6" t="s">
        <v>357</v>
      </c>
    </row>
    <row r="2876" spans="1:10" hidden="1">
      <c r="A2876" s="10">
        <v>45511</v>
      </c>
      <c r="B2876" s="111" t="s">
        <v>4448</v>
      </c>
      <c r="C2876" s="5" t="s">
        <v>4447</v>
      </c>
      <c r="D2876" s="8" t="s">
        <v>306</v>
      </c>
      <c r="E2876" s="6" t="s">
        <v>466</v>
      </c>
      <c r="F2876" s="6" t="s">
        <v>4279</v>
      </c>
      <c r="G2876" s="5" t="s">
        <v>4400</v>
      </c>
      <c r="H2876" s="5">
        <f t="shared" si="80"/>
        <v>0.27677447280000012</v>
      </c>
      <c r="I2876" s="20" t="e">
        <f t="shared" si="79"/>
        <v>#VALUE!</v>
      </c>
      <c r="J2876" s="6" t="s">
        <v>357</v>
      </c>
    </row>
    <row r="2877" spans="1:10" hidden="1">
      <c r="A2877" s="9">
        <v>46106</v>
      </c>
      <c r="B2877" s="111" t="s">
        <v>4450</v>
      </c>
      <c r="C2877" s="5" t="s">
        <v>4449</v>
      </c>
      <c r="D2877" s="8" t="s">
        <v>306</v>
      </c>
      <c r="E2877" s="6" t="s">
        <v>466</v>
      </c>
      <c r="F2877" s="6" t="s">
        <v>4279</v>
      </c>
      <c r="G2877" s="5">
        <v>5837</v>
      </c>
      <c r="H2877" s="5">
        <f t="shared" si="80"/>
        <v>0.27677447280000012</v>
      </c>
      <c r="I2877" s="20">
        <f t="shared" si="79"/>
        <v>1615.5325977336006</v>
      </c>
      <c r="J2877" s="6" t="s">
        <v>357</v>
      </c>
    </row>
    <row r="2878" spans="1:10" ht="30" hidden="1">
      <c r="A2878" s="9">
        <v>46106</v>
      </c>
      <c r="B2878" s="111" t="s">
        <v>4452</v>
      </c>
      <c r="C2878" s="5" t="s">
        <v>4451</v>
      </c>
      <c r="D2878" s="8" t="s">
        <v>306</v>
      </c>
      <c r="E2878" s="6" t="s">
        <v>466</v>
      </c>
      <c r="F2878" s="6" t="s">
        <v>4279</v>
      </c>
      <c r="G2878" s="5">
        <v>3236</v>
      </c>
      <c r="H2878" s="5">
        <f t="shared" si="80"/>
        <v>0.27677447280000012</v>
      </c>
      <c r="I2878" s="20">
        <f t="shared" si="79"/>
        <v>895.64219398080036</v>
      </c>
      <c r="J2878" s="6" t="s">
        <v>357</v>
      </c>
    </row>
    <row r="2879" spans="1:10" ht="30" hidden="1">
      <c r="A2879" s="9">
        <v>46106</v>
      </c>
      <c r="B2879" s="6" t="s">
        <v>4454</v>
      </c>
      <c r="C2879" s="5" t="s">
        <v>4453</v>
      </c>
      <c r="D2879" s="8" t="s">
        <v>306</v>
      </c>
      <c r="E2879" s="6" t="s">
        <v>466</v>
      </c>
      <c r="F2879" s="6" t="s">
        <v>4279</v>
      </c>
      <c r="G2879" s="5">
        <v>3236</v>
      </c>
      <c r="H2879" s="5">
        <f t="shared" si="80"/>
        <v>0.27677447280000012</v>
      </c>
      <c r="I2879" s="20">
        <f t="shared" si="79"/>
        <v>895.64219398080036</v>
      </c>
      <c r="J2879" s="6" t="s">
        <v>357</v>
      </c>
    </row>
    <row r="2880" spans="1:10" ht="30" hidden="1">
      <c r="A2880" s="9">
        <v>46106</v>
      </c>
      <c r="B2880" s="111" t="s">
        <v>4456</v>
      </c>
      <c r="C2880" s="5" t="s">
        <v>4455</v>
      </c>
      <c r="D2880" s="8" t="s">
        <v>306</v>
      </c>
      <c r="E2880" s="6" t="s">
        <v>466</v>
      </c>
      <c r="F2880" s="6" t="s">
        <v>4279</v>
      </c>
      <c r="G2880" s="5">
        <v>2633</v>
      </c>
      <c r="H2880" s="5">
        <f t="shared" si="80"/>
        <v>0.27677447280000012</v>
      </c>
      <c r="I2880" s="20">
        <f t="shared" si="79"/>
        <v>728.74718688240034</v>
      </c>
      <c r="J2880" s="6" t="s">
        <v>357</v>
      </c>
    </row>
    <row r="2881" spans="1:10" ht="30" hidden="1">
      <c r="A2881" s="9">
        <v>46106</v>
      </c>
      <c r="B2881" s="111" t="s">
        <v>4458</v>
      </c>
      <c r="C2881" s="5" t="s">
        <v>4457</v>
      </c>
      <c r="D2881" s="8" t="s">
        <v>306</v>
      </c>
      <c r="E2881" s="6" t="s">
        <v>466</v>
      </c>
      <c r="F2881" s="6" t="s">
        <v>4279</v>
      </c>
      <c r="G2881" s="5">
        <v>2633</v>
      </c>
      <c r="H2881" s="5">
        <f t="shared" si="80"/>
        <v>0.27677447280000012</v>
      </c>
      <c r="I2881" s="20">
        <f t="shared" si="79"/>
        <v>728.74718688240034</v>
      </c>
      <c r="J2881" s="6" t="s">
        <v>357</v>
      </c>
    </row>
    <row r="2882" spans="1:10" hidden="1">
      <c r="A2882" s="9">
        <v>46106</v>
      </c>
      <c r="B2882" s="111" t="s">
        <v>4460</v>
      </c>
      <c r="C2882" s="5" t="s">
        <v>4459</v>
      </c>
      <c r="D2882" s="8" t="s">
        <v>306</v>
      </c>
      <c r="E2882" s="6" t="s">
        <v>466</v>
      </c>
      <c r="F2882" s="6" t="s">
        <v>4279</v>
      </c>
      <c r="G2882" s="5">
        <v>5698</v>
      </c>
      <c r="H2882" s="5">
        <f t="shared" si="80"/>
        <v>0.27677447280000012</v>
      </c>
      <c r="I2882" s="20">
        <f t="shared" si="79"/>
        <v>1577.0609460144008</v>
      </c>
      <c r="J2882" s="6" t="s">
        <v>357</v>
      </c>
    </row>
    <row r="2883" spans="1:10" ht="30" hidden="1">
      <c r="A2883" s="9">
        <v>46106</v>
      </c>
      <c r="B2883" s="111" t="s">
        <v>4462</v>
      </c>
      <c r="C2883" s="5" t="s">
        <v>4461</v>
      </c>
      <c r="D2883" s="8" t="s">
        <v>306</v>
      </c>
      <c r="E2883" s="6" t="s">
        <v>466</v>
      </c>
      <c r="F2883" s="6" t="s">
        <v>4279</v>
      </c>
      <c r="G2883" s="5">
        <v>4484</v>
      </c>
      <c r="H2883" s="5">
        <f t="shared" si="80"/>
        <v>0.27677447280000012</v>
      </c>
      <c r="I2883" s="20">
        <f t="shared" si="79"/>
        <v>1241.0567360352006</v>
      </c>
      <c r="J2883" s="6" t="s">
        <v>357</v>
      </c>
    </row>
    <row r="2884" spans="1:10" ht="30" hidden="1">
      <c r="A2884" s="9">
        <v>46106</v>
      </c>
      <c r="B2884" s="6" t="s">
        <v>4464</v>
      </c>
      <c r="C2884" s="5" t="s">
        <v>4463</v>
      </c>
      <c r="D2884" s="8" t="s">
        <v>306</v>
      </c>
      <c r="E2884" s="6" t="s">
        <v>466</v>
      </c>
      <c r="F2884" s="6" t="s">
        <v>4279</v>
      </c>
      <c r="G2884" s="5">
        <v>4484</v>
      </c>
      <c r="H2884" s="5">
        <f t="shared" si="80"/>
        <v>0.27677447280000012</v>
      </c>
      <c r="I2884" s="20">
        <f t="shared" si="79"/>
        <v>1241.0567360352006</v>
      </c>
      <c r="J2884" s="6" t="s">
        <v>357</v>
      </c>
    </row>
    <row r="2885" spans="1:10" ht="30" hidden="1">
      <c r="A2885" s="9">
        <v>46106</v>
      </c>
      <c r="B2885" s="111" t="s">
        <v>4466</v>
      </c>
      <c r="C2885" s="5" t="s">
        <v>4465</v>
      </c>
      <c r="D2885" s="8" t="s">
        <v>306</v>
      </c>
      <c r="E2885" s="6" t="s">
        <v>466</v>
      </c>
      <c r="F2885" s="6" t="s">
        <v>4279</v>
      </c>
      <c r="G2885" s="5">
        <v>2965</v>
      </c>
      <c r="H2885" s="5">
        <f t="shared" si="80"/>
        <v>0.27677447280000012</v>
      </c>
      <c r="I2885" s="20">
        <f t="shared" si="79"/>
        <v>820.63631185200029</v>
      </c>
      <c r="J2885" s="6" t="s">
        <v>357</v>
      </c>
    </row>
    <row r="2886" spans="1:10" ht="30" hidden="1">
      <c r="A2886" s="9">
        <v>46106</v>
      </c>
      <c r="B2886" s="111" t="s">
        <v>4468</v>
      </c>
      <c r="C2886" s="5" t="s">
        <v>4467</v>
      </c>
      <c r="D2886" s="8" t="s">
        <v>306</v>
      </c>
      <c r="E2886" s="6" t="s">
        <v>466</v>
      </c>
      <c r="F2886" s="6" t="s">
        <v>4279</v>
      </c>
      <c r="G2886" s="5">
        <v>2966</v>
      </c>
      <c r="H2886" s="5">
        <f t="shared" si="80"/>
        <v>0.27677447280000012</v>
      </c>
      <c r="I2886" s="20">
        <f t="shared" si="79"/>
        <v>820.91308632480036</v>
      </c>
      <c r="J2886" s="6" t="s">
        <v>357</v>
      </c>
    </row>
    <row r="2887" spans="1:10" ht="30" hidden="1">
      <c r="A2887" s="9">
        <v>46106</v>
      </c>
      <c r="B2887" s="111" t="s">
        <v>4470</v>
      </c>
      <c r="C2887" s="5" t="s">
        <v>4469</v>
      </c>
      <c r="D2887" s="8" t="s">
        <v>306</v>
      </c>
      <c r="E2887" s="6" t="s">
        <v>466</v>
      </c>
      <c r="F2887" s="6" t="s">
        <v>4279</v>
      </c>
      <c r="G2887" s="5">
        <v>5316</v>
      </c>
      <c r="H2887" s="5">
        <f t="shared" si="80"/>
        <v>0.27677447280000012</v>
      </c>
      <c r="I2887" s="20">
        <f t="shared" si="79"/>
        <v>1471.3330974048006</v>
      </c>
      <c r="J2887" s="6" t="s">
        <v>357</v>
      </c>
    </row>
    <row r="2888" spans="1:10" ht="30" hidden="1">
      <c r="A2888" s="9">
        <v>46106</v>
      </c>
      <c r="B2888" s="6" t="s">
        <v>4472</v>
      </c>
      <c r="C2888" s="5" t="s">
        <v>4471</v>
      </c>
      <c r="D2888" s="8" t="s">
        <v>306</v>
      </c>
      <c r="E2888" s="6" t="s">
        <v>466</v>
      </c>
      <c r="F2888" s="6" t="s">
        <v>4279</v>
      </c>
      <c r="G2888" s="5">
        <v>5316</v>
      </c>
      <c r="H2888" s="5">
        <f t="shared" ref="H2888:H2901" si="81">0.9*0.8*0.7*0.93*(0.9*0.9*0.9*0.9*0.9)</f>
        <v>0.27677447280000012</v>
      </c>
      <c r="I2888" s="20">
        <f t="shared" si="79"/>
        <v>1471.3330974048006</v>
      </c>
      <c r="J2888" s="6" t="s">
        <v>357</v>
      </c>
    </row>
    <row r="2889" spans="1:10" hidden="1">
      <c r="A2889" s="10">
        <v>45511</v>
      </c>
      <c r="B2889" s="111" t="s">
        <v>4474</v>
      </c>
      <c r="C2889" s="5" t="s">
        <v>4473</v>
      </c>
      <c r="D2889" s="8" t="s">
        <v>306</v>
      </c>
      <c r="E2889" s="6" t="s">
        <v>466</v>
      </c>
      <c r="F2889" s="6" t="s">
        <v>4279</v>
      </c>
      <c r="G2889" s="5">
        <v>9238</v>
      </c>
      <c r="H2889" s="5">
        <f t="shared" si="81"/>
        <v>0.27677447280000012</v>
      </c>
      <c r="I2889" s="20">
        <f t="shared" si="79"/>
        <v>2556.8425797264013</v>
      </c>
      <c r="J2889" s="6" t="s">
        <v>357</v>
      </c>
    </row>
    <row r="2890" spans="1:10" hidden="1">
      <c r="A2890" s="9">
        <v>46106</v>
      </c>
      <c r="B2890" s="111" t="s">
        <v>4476</v>
      </c>
      <c r="C2890" s="5" t="s">
        <v>4475</v>
      </c>
      <c r="D2890" s="8" t="s">
        <v>306</v>
      </c>
      <c r="E2890" s="6" t="s">
        <v>466</v>
      </c>
      <c r="F2890" s="6" t="s">
        <v>4279</v>
      </c>
      <c r="G2890" s="5">
        <v>4392</v>
      </c>
      <c r="H2890" s="5">
        <f t="shared" si="81"/>
        <v>0.27677447280000012</v>
      </c>
      <c r="I2890" s="20">
        <f t="shared" si="79"/>
        <v>1215.5934845376005</v>
      </c>
      <c r="J2890" s="6" t="s">
        <v>357</v>
      </c>
    </row>
    <row r="2891" spans="1:10" ht="30" hidden="1">
      <c r="A2891" s="9">
        <v>46106</v>
      </c>
      <c r="B2891" s="111" t="s">
        <v>4478</v>
      </c>
      <c r="C2891" s="5" t="s">
        <v>4477</v>
      </c>
      <c r="D2891" s="8" t="s">
        <v>306</v>
      </c>
      <c r="E2891" s="6" t="s">
        <v>466</v>
      </c>
      <c r="F2891" s="6" t="s">
        <v>4279</v>
      </c>
      <c r="G2891" s="5">
        <v>3008</v>
      </c>
      <c r="H2891" s="5">
        <f t="shared" si="81"/>
        <v>0.27677447280000012</v>
      </c>
      <c r="I2891" s="20">
        <f t="shared" si="79"/>
        <v>832.53761418240038</v>
      </c>
      <c r="J2891" s="6" t="s">
        <v>357</v>
      </c>
    </row>
    <row r="2892" spans="1:10" ht="30" hidden="1">
      <c r="A2892" s="9">
        <v>46106</v>
      </c>
      <c r="B2892" s="6" t="s">
        <v>4480</v>
      </c>
      <c r="C2892" s="5" t="s">
        <v>4479</v>
      </c>
      <c r="D2892" s="8" t="s">
        <v>306</v>
      </c>
      <c r="E2892" s="6" t="s">
        <v>466</v>
      </c>
      <c r="F2892" s="6" t="s">
        <v>4279</v>
      </c>
      <c r="G2892" s="5">
        <v>3008</v>
      </c>
      <c r="H2892" s="5">
        <f t="shared" si="81"/>
        <v>0.27677447280000012</v>
      </c>
      <c r="I2892" s="20">
        <f t="shared" si="79"/>
        <v>832.53761418240038</v>
      </c>
      <c r="J2892" s="6" t="s">
        <v>357</v>
      </c>
    </row>
    <row r="2893" spans="1:10" hidden="1">
      <c r="A2893" s="10">
        <v>45511</v>
      </c>
      <c r="B2893" s="111" t="s">
        <v>4482</v>
      </c>
      <c r="C2893" s="5" t="s">
        <v>4481</v>
      </c>
      <c r="D2893" s="8" t="s">
        <v>306</v>
      </c>
      <c r="E2893" s="6" t="s">
        <v>466</v>
      </c>
      <c r="F2893" s="6" t="s">
        <v>4279</v>
      </c>
      <c r="G2893" s="5">
        <v>11753</v>
      </c>
      <c r="H2893" s="5">
        <f t="shared" si="81"/>
        <v>0.27677447280000012</v>
      </c>
      <c r="I2893" s="20">
        <f t="shared" si="79"/>
        <v>3252.9303788184016</v>
      </c>
      <c r="J2893" s="6" t="s">
        <v>357</v>
      </c>
    </row>
    <row r="2894" spans="1:10" ht="30" hidden="1">
      <c r="A2894" s="9">
        <v>46106</v>
      </c>
      <c r="B2894" s="111" t="s">
        <v>4484</v>
      </c>
      <c r="C2894" s="5" t="s">
        <v>4483</v>
      </c>
      <c r="D2894" s="8" t="s">
        <v>306</v>
      </c>
      <c r="E2894" s="6" t="s">
        <v>466</v>
      </c>
      <c r="F2894" s="6" t="s">
        <v>4279</v>
      </c>
      <c r="G2894" s="5">
        <v>4773</v>
      </c>
      <c r="H2894" s="5">
        <f t="shared" si="81"/>
        <v>0.27677447280000012</v>
      </c>
      <c r="I2894" s="20">
        <f t="shared" si="79"/>
        <v>1321.0445586744006</v>
      </c>
      <c r="J2894" s="6" t="s">
        <v>357</v>
      </c>
    </row>
    <row r="2895" spans="1:10" ht="30" hidden="1">
      <c r="A2895" s="9">
        <v>46106</v>
      </c>
      <c r="B2895" s="6" t="s">
        <v>4486</v>
      </c>
      <c r="C2895" s="5" t="s">
        <v>4485</v>
      </c>
      <c r="D2895" s="8" t="s">
        <v>306</v>
      </c>
      <c r="E2895" s="6" t="s">
        <v>466</v>
      </c>
      <c r="F2895" s="6" t="s">
        <v>4279</v>
      </c>
      <c r="G2895" s="5">
        <v>4773</v>
      </c>
      <c r="H2895" s="5">
        <f t="shared" si="81"/>
        <v>0.27677447280000012</v>
      </c>
      <c r="I2895" s="20">
        <f t="shared" si="79"/>
        <v>1321.0445586744006</v>
      </c>
      <c r="J2895" s="6" t="s">
        <v>357</v>
      </c>
    </row>
    <row r="2896" spans="1:10" hidden="1">
      <c r="A2896" s="9">
        <v>46106</v>
      </c>
      <c r="B2896" s="111" t="s">
        <v>4488</v>
      </c>
      <c r="C2896" s="5" t="s">
        <v>4487</v>
      </c>
      <c r="D2896" s="8" t="s">
        <v>306</v>
      </c>
      <c r="E2896" s="6" t="s">
        <v>466</v>
      </c>
      <c r="F2896" s="6" t="s">
        <v>4279</v>
      </c>
      <c r="G2896" s="5">
        <v>5201</v>
      </c>
      <c r="H2896" s="5">
        <f t="shared" si="81"/>
        <v>0.27677447280000012</v>
      </c>
      <c r="I2896" s="20">
        <f t="shared" si="79"/>
        <v>1439.5040330328006</v>
      </c>
      <c r="J2896" s="6" t="s">
        <v>357</v>
      </c>
    </row>
    <row r="2897" spans="1:10" hidden="1">
      <c r="A2897" s="9">
        <v>46106</v>
      </c>
      <c r="B2897" s="6" t="s">
        <v>4490</v>
      </c>
      <c r="C2897" s="5" t="s">
        <v>4489</v>
      </c>
      <c r="D2897" s="8" t="s">
        <v>306</v>
      </c>
      <c r="E2897" s="6" t="s">
        <v>466</v>
      </c>
      <c r="F2897" s="6" t="s">
        <v>4279</v>
      </c>
      <c r="G2897" s="5">
        <v>9651</v>
      </c>
      <c r="H2897" s="5">
        <f t="shared" si="81"/>
        <v>0.27677447280000012</v>
      </c>
      <c r="I2897" s="20">
        <f t="shared" si="79"/>
        <v>2671.1504369928011</v>
      </c>
      <c r="J2897" s="6" t="s">
        <v>357</v>
      </c>
    </row>
    <row r="2898" spans="1:10" hidden="1">
      <c r="A2898" s="9">
        <v>46106</v>
      </c>
      <c r="B2898" s="216" t="s">
        <v>7693</v>
      </c>
      <c r="C2898" s="5" t="s">
        <v>7692</v>
      </c>
      <c r="D2898" s="8" t="s">
        <v>306</v>
      </c>
      <c r="E2898" s="25" t="s">
        <v>466</v>
      </c>
      <c r="F2898" s="25" t="s">
        <v>4279</v>
      </c>
      <c r="G2898" s="31">
        <v>4842</v>
      </c>
      <c r="H2898" s="5">
        <f t="shared" si="81"/>
        <v>0.27677447280000012</v>
      </c>
      <c r="I2898" s="20">
        <f t="shared" si="79"/>
        <v>1340.1419972976005</v>
      </c>
      <c r="J2898" s="6" t="s">
        <v>357</v>
      </c>
    </row>
    <row r="2899" spans="1:10" hidden="1">
      <c r="A2899" s="9">
        <v>46106</v>
      </c>
      <c r="B2899" s="216" t="s">
        <v>7694</v>
      </c>
      <c r="C2899" s="5" t="s">
        <v>7695</v>
      </c>
      <c r="D2899" s="8" t="s">
        <v>306</v>
      </c>
      <c r="E2899" s="25" t="s">
        <v>466</v>
      </c>
      <c r="F2899" s="25" t="s">
        <v>4279</v>
      </c>
      <c r="G2899" s="31">
        <v>8527</v>
      </c>
      <c r="H2899" s="5">
        <f t="shared" si="81"/>
        <v>0.27677447280000012</v>
      </c>
      <c r="I2899" s="20">
        <f t="shared" si="79"/>
        <v>2360.0559295656008</v>
      </c>
      <c r="J2899" s="6" t="s">
        <v>357</v>
      </c>
    </row>
    <row r="2900" spans="1:10" hidden="1">
      <c r="A2900" s="9">
        <v>46106</v>
      </c>
      <c r="B2900" s="6" t="s">
        <v>4492</v>
      </c>
      <c r="C2900" s="5" t="s">
        <v>4491</v>
      </c>
      <c r="D2900" s="8" t="s">
        <v>306</v>
      </c>
      <c r="E2900" s="6" t="s">
        <v>466</v>
      </c>
      <c r="F2900" s="6" t="s">
        <v>4279</v>
      </c>
      <c r="G2900" s="5">
        <v>8402</v>
      </c>
      <c r="H2900" s="5">
        <f t="shared" si="81"/>
        <v>0.27677447280000012</v>
      </c>
      <c r="I2900" s="20">
        <f t="shared" si="79"/>
        <v>2325.4591204656008</v>
      </c>
      <c r="J2900" s="6" t="s">
        <v>357</v>
      </c>
    </row>
    <row r="2901" spans="1:10" hidden="1">
      <c r="A2901" s="9">
        <v>46106</v>
      </c>
      <c r="B2901" s="6" t="s">
        <v>4494</v>
      </c>
      <c r="C2901" s="5" t="s">
        <v>4493</v>
      </c>
      <c r="D2901" s="8" t="s">
        <v>306</v>
      </c>
      <c r="E2901" s="6" t="s">
        <v>466</v>
      </c>
      <c r="F2901" s="6" t="s">
        <v>4279</v>
      </c>
      <c r="G2901" s="5">
        <v>15052</v>
      </c>
      <c r="H2901" s="5">
        <f t="shared" si="81"/>
        <v>0.27677447280000012</v>
      </c>
      <c r="I2901" s="20">
        <f t="shared" si="79"/>
        <v>4166.0093645856014</v>
      </c>
      <c r="J2901" s="6" t="s">
        <v>357</v>
      </c>
    </row>
    <row r="2902" spans="1:10" hidden="1">
      <c r="A2902" s="10">
        <v>45511</v>
      </c>
      <c r="B2902" s="111" t="s">
        <v>307</v>
      </c>
      <c r="C2902" s="5" t="s">
        <v>305</v>
      </c>
      <c r="D2902" s="8" t="s">
        <v>306</v>
      </c>
      <c r="E2902" s="6" t="s">
        <v>410</v>
      </c>
      <c r="F2902" s="6" t="s">
        <v>411</v>
      </c>
      <c r="G2902" s="5">
        <v>65</v>
      </c>
      <c r="H2902" s="5">
        <v>1</v>
      </c>
      <c r="I2902" s="20">
        <f t="shared" si="79"/>
        <v>65</v>
      </c>
      <c r="J2902" s="6" t="s">
        <v>357</v>
      </c>
    </row>
    <row r="2903" spans="1:10" ht="30" hidden="1">
      <c r="A2903" s="10">
        <v>45511</v>
      </c>
      <c r="B2903" s="111" t="s">
        <v>4496</v>
      </c>
      <c r="C2903" s="5" t="s">
        <v>4495</v>
      </c>
      <c r="D2903" s="8" t="s">
        <v>306</v>
      </c>
      <c r="E2903" s="6" t="s">
        <v>410</v>
      </c>
      <c r="F2903" s="6" t="s">
        <v>3567</v>
      </c>
      <c r="G2903" s="5">
        <v>600</v>
      </c>
      <c r="H2903" s="5">
        <v>1</v>
      </c>
      <c r="I2903" s="20">
        <f t="shared" si="79"/>
        <v>600</v>
      </c>
      <c r="J2903" s="6" t="s">
        <v>357</v>
      </c>
    </row>
    <row r="2904" spans="1:10" hidden="1">
      <c r="A2904" s="9">
        <v>46106</v>
      </c>
      <c r="B2904" s="111" t="s">
        <v>4498</v>
      </c>
      <c r="C2904" s="14" t="s">
        <v>4497</v>
      </c>
      <c r="D2904" s="23" t="s">
        <v>306</v>
      </c>
      <c r="E2904" s="6" t="s">
        <v>466</v>
      </c>
      <c r="F2904" s="6" t="s">
        <v>3551</v>
      </c>
      <c r="G2904" s="5">
        <v>243</v>
      </c>
      <c r="H2904" s="5">
        <f t="shared" ref="H2904:H2935" si="82">0.9*0.8*0.7*0.93*(0.9*0.9*0.9*0.9*0.9)</f>
        <v>0.27677447280000012</v>
      </c>
      <c r="I2904" s="20">
        <f t="shared" si="79"/>
        <v>67.256196890400034</v>
      </c>
      <c r="J2904" s="6" t="s">
        <v>357</v>
      </c>
    </row>
    <row r="2905" spans="1:10" hidden="1">
      <c r="A2905" s="148">
        <v>46106</v>
      </c>
      <c r="B2905" s="146" t="s">
        <v>5954</v>
      </c>
      <c r="C2905" s="144" t="s">
        <v>1404</v>
      </c>
      <c r="D2905" s="145" t="s">
        <v>306</v>
      </c>
      <c r="E2905" s="25" t="s">
        <v>466</v>
      </c>
      <c r="F2905" s="25" t="s">
        <v>3551</v>
      </c>
      <c r="G2905" s="31">
        <v>17540</v>
      </c>
      <c r="H2905" s="144">
        <f t="shared" si="82"/>
        <v>0.27677447280000012</v>
      </c>
      <c r="I2905" s="147">
        <f t="shared" ref="I2905:I2968" si="83">H2905*G2905</f>
        <v>4854.6242529120018</v>
      </c>
      <c r="J2905" s="146" t="s">
        <v>357</v>
      </c>
    </row>
    <row r="2906" spans="1:10" hidden="1">
      <c r="A2906" s="148">
        <v>46106</v>
      </c>
      <c r="B2906" s="146" t="s">
        <v>5955</v>
      </c>
      <c r="C2906" s="144" t="s">
        <v>1405</v>
      </c>
      <c r="D2906" s="145" t="s">
        <v>306</v>
      </c>
      <c r="E2906" s="25" t="s">
        <v>466</v>
      </c>
      <c r="F2906" s="25" t="s">
        <v>3551</v>
      </c>
      <c r="G2906" s="31">
        <v>24218</v>
      </c>
      <c r="H2906" s="144">
        <f t="shared" si="82"/>
        <v>0.27677447280000012</v>
      </c>
      <c r="I2906" s="147">
        <f t="shared" si="83"/>
        <v>6702.9241822704025</v>
      </c>
      <c r="J2906" s="146" t="s">
        <v>357</v>
      </c>
    </row>
    <row r="2907" spans="1:10" hidden="1">
      <c r="A2907" s="148">
        <v>46106</v>
      </c>
      <c r="B2907" s="146" t="s">
        <v>5946</v>
      </c>
      <c r="C2907" s="144" t="s">
        <v>1410</v>
      </c>
      <c r="D2907" s="145" t="s">
        <v>306</v>
      </c>
      <c r="E2907" s="25" t="s">
        <v>466</v>
      </c>
      <c r="F2907" s="25" t="s">
        <v>3551</v>
      </c>
      <c r="G2907" s="31">
        <v>14039</v>
      </c>
      <c r="H2907" s="5">
        <f t="shared" si="82"/>
        <v>0.27677447280000012</v>
      </c>
      <c r="I2907" s="147">
        <f t="shared" si="83"/>
        <v>3885.6368236392018</v>
      </c>
      <c r="J2907" s="146" t="s">
        <v>357</v>
      </c>
    </row>
    <row r="2908" spans="1:10" hidden="1">
      <c r="A2908" s="148">
        <v>46106</v>
      </c>
      <c r="B2908" s="146" t="s">
        <v>5947</v>
      </c>
      <c r="C2908" s="144" t="s">
        <v>1411</v>
      </c>
      <c r="D2908" s="145" t="s">
        <v>306</v>
      </c>
      <c r="E2908" s="25" t="s">
        <v>466</v>
      </c>
      <c r="F2908" s="25" t="s">
        <v>3551</v>
      </c>
      <c r="G2908" s="31">
        <v>21000</v>
      </c>
      <c r="H2908" s="5">
        <f t="shared" si="82"/>
        <v>0.27677447280000012</v>
      </c>
      <c r="I2908" s="147">
        <f t="shared" si="83"/>
        <v>5812.2639288000028</v>
      </c>
      <c r="J2908" s="146" t="s">
        <v>357</v>
      </c>
    </row>
    <row r="2909" spans="1:10" hidden="1">
      <c r="A2909" s="9">
        <v>46106</v>
      </c>
      <c r="B2909" s="111" t="s">
        <v>4499</v>
      </c>
      <c r="C2909" s="5" t="s">
        <v>1343</v>
      </c>
      <c r="D2909" s="8" t="s">
        <v>306</v>
      </c>
      <c r="E2909" s="6" t="s">
        <v>466</v>
      </c>
      <c r="F2909" s="6" t="s">
        <v>3551</v>
      </c>
      <c r="G2909" s="5">
        <v>801</v>
      </c>
      <c r="H2909" s="5">
        <f t="shared" si="82"/>
        <v>0.27677447280000012</v>
      </c>
      <c r="I2909" s="20">
        <f t="shared" si="83"/>
        <v>221.69635271280009</v>
      </c>
      <c r="J2909" s="6" t="s">
        <v>357</v>
      </c>
    </row>
    <row r="2910" spans="1:10" hidden="1">
      <c r="A2910" s="9">
        <v>46106</v>
      </c>
      <c r="B2910" s="6" t="s">
        <v>4500</v>
      </c>
      <c r="C2910" s="5" t="s">
        <v>508</v>
      </c>
      <c r="D2910" s="8" t="s">
        <v>306</v>
      </c>
      <c r="E2910" s="6" t="s">
        <v>466</v>
      </c>
      <c r="F2910" s="6" t="s">
        <v>3551</v>
      </c>
      <c r="G2910" s="5">
        <v>801</v>
      </c>
      <c r="H2910" s="5">
        <f t="shared" si="82"/>
        <v>0.27677447280000012</v>
      </c>
      <c r="I2910" s="20">
        <f t="shared" si="83"/>
        <v>221.69635271280009</v>
      </c>
      <c r="J2910" s="6" t="s">
        <v>357</v>
      </c>
    </row>
    <row r="2911" spans="1:10" hidden="1">
      <c r="A2911" s="9">
        <v>46106</v>
      </c>
      <c r="B2911" s="6" t="s">
        <v>4501</v>
      </c>
      <c r="C2911" s="5" t="s">
        <v>510</v>
      </c>
      <c r="D2911" s="8" t="s">
        <v>306</v>
      </c>
      <c r="E2911" s="6" t="s">
        <v>466</v>
      </c>
      <c r="F2911" s="6" t="s">
        <v>3551</v>
      </c>
      <c r="G2911" s="5">
        <v>801</v>
      </c>
      <c r="H2911" s="5">
        <f t="shared" si="82"/>
        <v>0.27677447280000012</v>
      </c>
      <c r="I2911" s="20">
        <f t="shared" si="83"/>
        <v>221.69635271280009</v>
      </c>
      <c r="J2911" s="6" t="s">
        <v>357</v>
      </c>
    </row>
    <row r="2912" spans="1:10" hidden="1">
      <c r="A2912" s="9">
        <v>46106</v>
      </c>
      <c r="B2912" s="6" t="s">
        <v>4502</v>
      </c>
      <c r="C2912" s="5" t="s">
        <v>513</v>
      </c>
      <c r="D2912" s="8" t="s">
        <v>306</v>
      </c>
      <c r="E2912" s="6" t="s">
        <v>466</v>
      </c>
      <c r="F2912" s="6" t="s">
        <v>3551</v>
      </c>
      <c r="G2912" s="5">
        <v>801</v>
      </c>
      <c r="H2912" s="5">
        <f t="shared" si="82"/>
        <v>0.27677447280000012</v>
      </c>
      <c r="I2912" s="20">
        <f t="shared" si="83"/>
        <v>221.69635271280009</v>
      </c>
      <c r="J2912" s="6" t="s">
        <v>357</v>
      </c>
    </row>
    <row r="2913" spans="1:10" hidden="1">
      <c r="A2913" s="9">
        <v>46106</v>
      </c>
      <c r="B2913" s="6" t="s">
        <v>4503</v>
      </c>
      <c r="C2913" s="5" t="s">
        <v>515</v>
      </c>
      <c r="D2913" s="8" t="s">
        <v>306</v>
      </c>
      <c r="E2913" s="6" t="s">
        <v>466</v>
      </c>
      <c r="F2913" s="6" t="s">
        <v>3551</v>
      </c>
      <c r="G2913" s="5">
        <v>801</v>
      </c>
      <c r="H2913" s="5">
        <f t="shared" si="82"/>
        <v>0.27677447280000012</v>
      </c>
      <c r="I2913" s="20">
        <f t="shared" si="83"/>
        <v>221.69635271280009</v>
      </c>
      <c r="J2913" s="6" t="s">
        <v>357</v>
      </c>
    </row>
    <row r="2914" spans="1:10" hidden="1">
      <c r="A2914" s="9">
        <v>46106</v>
      </c>
      <c r="B2914" s="6" t="s">
        <v>4504</v>
      </c>
      <c r="C2914" s="5" t="s">
        <v>517</v>
      </c>
      <c r="D2914" s="8" t="s">
        <v>306</v>
      </c>
      <c r="E2914" s="6" t="s">
        <v>466</v>
      </c>
      <c r="F2914" s="6" t="s">
        <v>3551</v>
      </c>
      <c r="G2914" s="5">
        <v>801</v>
      </c>
      <c r="H2914" s="5">
        <f t="shared" si="82"/>
        <v>0.27677447280000012</v>
      </c>
      <c r="I2914" s="20">
        <f t="shared" si="83"/>
        <v>221.69635271280009</v>
      </c>
      <c r="J2914" s="6" t="s">
        <v>357</v>
      </c>
    </row>
    <row r="2915" spans="1:10" hidden="1">
      <c r="A2915" s="9">
        <v>46106</v>
      </c>
      <c r="B2915" s="6" t="s">
        <v>4505</v>
      </c>
      <c r="C2915" s="5" t="s">
        <v>519</v>
      </c>
      <c r="D2915" s="8" t="s">
        <v>306</v>
      </c>
      <c r="E2915" s="6" t="s">
        <v>466</v>
      </c>
      <c r="F2915" s="6" t="s">
        <v>3551</v>
      </c>
      <c r="G2915" s="5">
        <v>801</v>
      </c>
      <c r="H2915" s="5">
        <f t="shared" si="82"/>
        <v>0.27677447280000012</v>
      </c>
      <c r="I2915" s="20">
        <f t="shared" si="83"/>
        <v>221.69635271280009</v>
      </c>
      <c r="J2915" s="6" t="s">
        <v>357</v>
      </c>
    </row>
    <row r="2916" spans="1:10" hidden="1">
      <c r="A2916" s="9">
        <v>46106</v>
      </c>
      <c r="B2916" s="6" t="s">
        <v>4506</v>
      </c>
      <c r="C2916" s="5" t="s">
        <v>521</v>
      </c>
      <c r="D2916" s="8" t="s">
        <v>306</v>
      </c>
      <c r="E2916" s="6" t="s">
        <v>466</v>
      </c>
      <c r="F2916" s="6" t="s">
        <v>3551</v>
      </c>
      <c r="G2916" s="5">
        <v>801</v>
      </c>
      <c r="H2916" s="5">
        <f t="shared" si="82"/>
        <v>0.27677447280000012</v>
      </c>
      <c r="I2916" s="20">
        <f t="shared" si="83"/>
        <v>221.69635271280009</v>
      </c>
      <c r="J2916" s="6" t="s">
        <v>357</v>
      </c>
    </row>
    <row r="2917" spans="1:10" hidden="1">
      <c r="A2917" s="9">
        <v>46106</v>
      </c>
      <c r="B2917" s="111" t="s">
        <v>4508</v>
      </c>
      <c r="C2917" s="5" t="s">
        <v>4507</v>
      </c>
      <c r="D2917" s="8" t="s">
        <v>306</v>
      </c>
      <c r="E2917" s="6" t="s">
        <v>466</v>
      </c>
      <c r="F2917" s="6" t="s">
        <v>3551</v>
      </c>
      <c r="G2917" s="5">
        <v>1354</v>
      </c>
      <c r="H2917" s="5">
        <f t="shared" si="82"/>
        <v>0.27677447280000012</v>
      </c>
      <c r="I2917" s="20">
        <f t="shared" si="83"/>
        <v>374.75263617120015</v>
      </c>
      <c r="J2917" s="6" t="s">
        <v>357</v>
      </c>
    </row>
    <row r="2918" spans="1:10" hidden="1">
      <c r="A2918" s="9">
        <v>46106</v>
      </c>
      <c r="B2918" s="6" t="s">
        <v>4509</v>
      </c>
      <c r="C2918" s="5" t="s">
        <v>509</v>
      </c>
      <c r="D2918" s="8" t="s">
        <v>306</v>
      </c>
      <c r="E2918" s="6" t="s">
        <v>466</v>
      </c>
      <c r="F2918" s="6" t="s">
        <v>3551</v>
      </c>
      <c r="G2918" s="5">
        <v>1354</v>
      </c>
      <c r="H2918" s="5">
        <f t="shared" si="82"/>
        <v>0.27677447280000012</v>
      </c>
      <c r="I2918" s="20">
        <f t="shared" si="83"/>
        <v>374.75263617120015</v>
      </c>
      <c r="J2918" s="6" t="s">
        <v>357</v>
      </c>
    </row>
    <row r="2919" spans="1:10" hidden="1">
      <c r="A2919" s="9">
        <v>46106</v>
      </c>
      <c r="B2919" s="6" t="s">
        <v>4510</v>
      </c>
      <c r="C2919" s="5" t="s">
        <v>511</v>
      </c>
      <c r="D2919" s="8" t="s">
        <v>306</v>
      </c>
      <c r="E2919" s="6" t="s">
        <v>466</v>
      </c>
      <c r="F2919" s="6" t="s">
        <v>3551</v>
      </c>
      <c r="G2919" s="5">
        <v>1354</v>
      </c>
      <c r="H2919" s="5">
        <f t="shared" si="82"/>
        <v>0.27677447280000012</v>
      </c>
      <c r="I2919" s="20">
        <f t="shared" si="83"/>
        <v>374.75263617120015</v>
      </c>
      <c r="J2919" s="6" t="s">
        <v>357</v>
      </c>
    </row>
    <row r="2920" spans="1:10" hidden="1">
      <c r="A2920" s="9">
        <v>46106</v>
      </c>
      <c r="B2920" s="6" t="s">
        <v>4511</v>
      </c>
      <c r="C2920" s="5" t="s">
        <v>514</v>
      </c>
      <c r="D2920" s="8" t="s">
        <v>306</v>
      </c>
      <c r="E2920" s="6" t="s">
        <v>466</v>
      </c>
      <c r="F2920" s="6" t="s">
        <v>3551</v>
      </c>
      <c r="G2920" s="5">
        <v>1354</v>
      </c>
      <c r="H2920" s="5">
        <f t="shared" si="82"/>
        <v>0.27677447280000012</v>
      </c>
      <c r="I2920" s="20">
        <f t="shared" si="83"/>
        <v>374.75263617120015</v>
      </c>
      <c r="J2920" s="6" t="s">
        <v>357</v>
      </c>
    </row>
    <row r="2921" spans="1:10" hidden="1">
      <c r="A2921" s="9">
        <v>46106</v>
      </c>
      <c r="B2921" s="6" t="s">
        <v>4512</v>
      </c>
      <c r="C2921" s="5" t="s">
        <v>516</v>
      </c>
      <c r="D2921" s="8" t="s">
        <v>306</v>
      </c>
      <c r="E2921" s="6" t="s">
        <v>466</v>
      </c>
      <c r="F2921" s="6" t="s">
        <v>3551</v>
      </c>
      <c r="G2921" s="5">
        <v>1354</v>
      </c>
      <c r="H2921" s="5">
        <f t="shared" si="82"/>
        <v>0.27677447280000012</v>
      </c>
      <c r="I2921" s="20">
        <f t="shared" si="83"/>
        <v>374.75263617120015</v>
      </c>
      <c r="J2921" s="6" t="s">
        <v>357</v>
      </c>
    </row>
    <row r="2922" spans="1:10" hidden="1">
      <c r="A2922" s="9">
        <v>46106</v>
      </c>
      <c r="B2922" s="6" t="s">
        <v>4514</v>
      </c>
      <c r="C2922" s="5" t="s">
        <v>4513</v>
      </c>
      <c r="D2922" s="8" t="s">
        <v>306</v>
      </c>
      <c r="E2922" s="6" t="s">
        <v>466</v>
      </c>
      <c r="F2922" s="6" t="s">
        <v>3551</v>
      </c>
      <c r="G2922" s="5">
        <v>1354</v>
      </c>
      <c r="H2922" s="5">
        <f t="shared" si="82"/>
        <v>0.27677447280000012</v>
      </c>
      <c r="I2922" s="20">
        <f t="shared" si="83"/>
        <v>374.75263617120015</v>
      </c>
      <c r="J2922" s="6" t="s">
        <v>357</v>
      </c>
    </row>
    <row r="2923" spans="1:10" hidden="1">
      <c r="A2923" s="9">
        <v>46106</v>
      </c>
      <c r="B2923" s="6" t="s">
        <v>4515</v>
      </c>
      <c r="C2923" s="5" t="s">
        <v>520</v>
      </c>
      <c r="D2923" s="8" t="s">
        <v>306</v>
      </c>
      <c r="E2923" s="6" t="s">
        <v>466</v>
      </c>
      <c r="F2923" s="6" t="s">
        <v>3551</v>
      </c>
      <c r="G2923" s="5">
        <v>1354</v>
      </c>
      <c r="H2923" s="5">
        <f t="shared" si="82"/>
        <v>0.27677447280000012</v>
      </c>
      <c r="I2923" s="20">
        <f t="shared" si="83"/>
        <v>374.75263617120015</v>
      </c>
      <c r="J2923" s="6" t="s">
        <v>357</v>
      </c>
    </row>
    <row r="2924" spans="1:10" hidden="1">
      <c r="A2924" s="9">
        <v>46106</v>
      </c>
      <c r="B2924" s="6" t="s">
        <v>4516</v>
      </c>
      <c r="C2924" s="5" t="s">
        <v>522</v>
      </c>
      <c r="D2924" s="8" t="s">
        <v>306</v>
      </c>
      <c r="E2924" s="6" t="s">
        <v>466</v>
      </c>
      <c r="F2924" s="6" t="s">
        <v>3551</v>
      </c>
      <c r="G2924" s="5">
        <v>1354</v>
      </c>
      <c r="H2924" s="5">
        <f t="shared" si="82"/>
        <v>0.27677447280000012</v>
      </c>
      <c r="I2924" s="20">
        <f t="shared" si="83"/>
        <v>374.75263617120015</v>
      </c>
      <c r="J2924" s="6" t="s">
        <v>357</v>
      </c>
    </row>
    <row r="2925" spans="1:10" hidden="1">
      <c r="A2925" s="9">
        <v>46106</v>
      </c>
      <c r="B2925" s="111" t="s">
        <v>4517</v>
      </c>
      <c r="C2925" s="5" t="s">
        <v>523</v>
      </c>
      <c r="D2925" s="8" t="s">
        <v>306</v>
      </c>
      <c r="E2925" s="6" t="s">
        <v>466</v>
      </c>
      <c r="F2925" s="6" t="s">
        <v>3551</v>
      </c>
      <c r="G2925" s="5">
        <v>809</v>
      </c>
      <c r="H2925" s="5">
        <f t="shared" si="82"/>
        <v>0.27677447280000012</v>
      </c>
      <c r="I2925" s="20">
        <f t="shared" si="83"/>
        <v>223.91054849520009</v>
      </c>
      <c r="J2925" s="6" t="s">
        <v>357</v>
      </c>
    </row>
    <row r="2926" spans="1:10" hidden="1">
      <c r="A2926" s="9">
        <v>46106</v>
      </c>
      <c r="B2926" s="6" t="s">
        <v>4518</v>
      </c>
      <c r="C2926" s="5" t="s">
        <v>532</v>
      </c>
      <c r="D2926" s="8" t="s">
        <v>306</v>
      </c>
      <c r="E2926" s="6" t="s">
        <v>466</v>
      </c>
      <c r="F2926" s="6" t="s">
        <v>3551</v>
      </c>
      <c r="G2926" s="5">
        <v>809</v>
      </c>
      <c r="H2926" s="5">
        <f t="shared" si="82"/>
        <v>0.27677447280000012</v>
      </c>
      <c r="I2926" s="20">
        <f t="shared" si="83"/>
        <v>223.91054849520009</v>
      </c>
      <c r="J2926" s="6" t="s">
        <v>357</v>
      </c>
    </row>
    <row r="2927" spans="1:10" hidden="1">
      <c r="A2927" s="9">
        <v>46106</v>
      </c>
      <c r="B2927" s="6" t="s">
        <v>4519</v>
      </c>
      <c r="C2927" s="5" t="s">
        <v>536</v>
      </c>
      <c r="D2927" s="8" t="s">
        <v>306</v>
      </c>
      <c r="E2927" s="6" t="s">
        <v>466</v>
      </c>
      <c r="F2927" s="6" t="s">
        <v>3551</v>
      </c>
      <c r="G2927" s="5">
        <v>809</v>
      </c>
      <c r="H2927" s="5">
        <f t="shared" si="82"/>
        <v>0.27677447280000012</v>
      </c>
      <c r="I2927" s="20">
        <f t="shared" si="83"/>
        <v>223.91054849520009</v>
      </c>
      <c r="J2927" s="6" t="s">
        <v>357</v>
      </c>
    </row>
    <row r="2928" spans="1:10" hidden="1">
      <c r="A2928" s="9">
        <v>46106</v>
      </c>
      <c r="B2928" s="6" t="s">
        <v>4520</v>
      </c>
      <c r="C2928" s="5" t="s">
        <v>328</v>
      </c>
      <c r="D2928" s="8" t="s">
        <v>306</v>
      </c>
      <c r="E2928" s="6" t="s">
        <v>466</v>
      </c>
      <c r="F2928" s="6" t="s">
        <v>3551</v>
      </c>
      <c r="G2928" s="5">
        <v>809</v>
      </c>
      <c r="H2928" s="5">
        <f t="shared" si="82"/>
        <v>0.27677447280000012</v>
      </c>
      <c r="I2928" s="20">
        <f t="shared" si="83"/>
        <v>223.91054849520009</v>
      </c>
      <c r="J2928" s="6" t="s">
        <v>357</v>
      </c>
    </row>
    <row r="2929" spans="1:10" hidden="1">
      <c r="A2929" s="9">
        <v>46106</v>
      </c>
      <c r="B2929" s="6" t="s">
        <v>4521</v>
      </c>
      <c r="C2929" s="5" t="s">
        <v>543</v>
      </c>
      <c r="D2929" s="8" t="s">
        <v>306</v>
      </c>
      <c r="E2929" s="6" t="s">
        <v>466</v>
      </c>
      <c r="F2929" s="6" t="s">
        <v>3551</v>
      </c>
      <c r="G2929" s="5">
        <v>809</v>
      </c>
      <c r="H2929" s="5">
        <f t="shared" si="82"/>
        <v>0.27677447280000012</v>
      </c>
      <c r="I2929" s="20">
        <f t="shared" si="83"/>
        <v>223.91054849520009</v>
      </c>
      <c r="J2929" s="6" t="s">
        <v>357</v>
      </c>
    </row>
    <row r="2930" spans="1:10" hidden="1">
      <c r="A2930" s="9">
        <v>46106</v>
      </c>
      <c r="B2930" s="6" t="s">
        <v>4522</v>
      </c>
      <c r="C2930" s="5" t="s">
        <v>547</v>
      </c>
      <c r="D2930" s="8" t="s">
        <v>306</v>
      </c>
      <c r="E2930" s="6" t="s">
        <v>466</v>
      </c>
      <c r="F2930" s="6" t="s">
        <v>3551</v>
      </c>
      <c r="G2930" s="5">
        <v>809</v>
      </c>
      <c r="H2930" s="5">
        <f t="shared" si="82"/>
        <v>0.27677447280000012</v>
      </c>
      <c r="I2930" s="20">
        <f t="shared" si="83"/>
        <v>223.91054849520009</v>
      </c>
      <c r="J2930" s="6" t="s">
        <v>357</v>
      </c>
    </row>
    <row r="2931" spans="1:10" hidden="1">
      <c r="A2931" s="9">
        <v>46106</v>
      </c>
      <c r="B2931" s="6" t="s">
        <v>4523</v>
      </c>
      <c r="C2931" s="5" t="s">
        <v>551</v>
      </c>
      <c r="D2931" s="8" t="s">
        <v>306</v>
      </c>
      <c r="E2931" s="6" t="s">
        <v>466</v>
      </c>
      <c r="F2931" s="6" t="s">
        <v>3551</v>
      </c>
      <c r="G2931" s="5">
        <v>809</v>
      </c>
      <c r="H2931" s="5">
        <f t="shared" si="82"/>
        <v>0.27677447280000012</v>
      </c>
      <c r="I2931" s="20">
        <f t="shared" si="83"/>
        <v>223.91054849520009</v>
      </c>
      <c r="J2931" s="6" t="s">
        <v>357</v>
      </c>
    </row>
    <row r="2932" spans="1:10" hidden="1">
      <c r="A2932" s="9">
        <v>46106</v>
      </c>
      <c r="B2932" s="6" t="s">
        <v>4524</v>
      </c>
      <c r="C2932" s="5" t="s">
        <v>337</v>
      </c>
      <c r="D2932" s="8" t="s">
        <v>306</v>
      </c>
      <c r="E2932" s="6" t="s">
        <v>466</v>
      </c>
      <c r="F2932" s="6" t="s">
        <v>3551</v>
      </c>
      <c r="G2932" s="5">
        <v>809</v>
      </c>
      <c r="H2932" s="5">
        <f t="shared" si="82"/>
        <v>0.27677447280000012</v>
      </c>
      <c r="I2932" s="20">
        <f t="shared" si="83"/>
        <v>223.91054849520009</v>
      </c>
      <c r="J2932" s="6" t="s">
        <v>357</v>
      </c>
    </row>
    <row r="2933" spans="1:10" hidden="1">
      <c r="A2933" s="9">
        <v>46106</v>
      </c>
      <c r="B2933" s="6" t="s">
        <v>4525</v>
      </c>
      <c r="C2933" s="5" t="s">
        <v>524</v>
      </c>
      <c r="D2933" s="8" t="s">
        <v>306</v>
      </c>
      <c r="E2933" s="6" t="s">
        <v>466</v>
      </c>
      <c r="F2933" s="6" t="s">
        <v>3551</v>
      </c>
      <c r="G2933" s="5">
        <v>1409</v>
      </c>
      <c r="H2933" s="5">
        <f t="shared" si="82"/>
        <v>0.27677447280000012</v>
      </c>
      <c r="I2933" s="20">
        <f t="shared" si="83"/>
        <v>389.97523217520018</v>
      </c>
      <c r="J2933" s="6" t="s">
        <v>357</v>
      </c>
    </row>
    <row r="2934" spans="1:10" hidden="1">
      <c r="A2934" s="9">
        <v>46106</v>
      </c>
      <c r="B2934" s="6" t="s">
        <v>4526</v>
      </c>
      <c r="C2934" s="5" t="s">
        <v>533</v>
      </c>
      <c r="D2934" s="8" t="s">
        <v>306</v>
      </c>
      <c r="E2934" s="6" t="s">
        <v>466</v>
      </c>
      <c r="F2934" s="6" t="s">
        <v>3551</v>
      </c>
      <c r="G2934" s="5">
        <v>1409</v>
      </c>
      <c r="H2934" s="5">
        <f t="shared" si="82"/>
        <v>0.27677447280000012</v>
      </c>
      <c r="I2934" s="20">
        <f t="shared" si="83"/>
        <v>389.97523217520018</v>
      </c>
      <c r="J2934" s="6" t="s">
        <v>357</v>
      </c>
    </row>
    <row r="2935" spans="1:10" hidden="1">
      <c r="A2935" s="9">
        <v>46106</v>
      </c>
      <c r="B2935" s="6" t="s">
        <v>4527</v>
      </c>
      <c r="C2935" s="5" t="s">
        <v>537</v>
      </c>
      <c r="D2935" s="8" t="s">
        <v>306</v>
      </c>
      <c r="E2935" s="6" t="s">
        <v>466</v>
      </c>
      <c r="F2935" s="6" t="s">
        <v>3551</v>
      </c>
      <c r="G2935" s="5">
        <v>1409</v>
      </c>
      <c r="H2935" s="5">
        <f t="shared" si="82"/>
        <v>0.27677447280000012</v>
      </c>
      <c r="I2935" s="20">
        <f t="shared" si="83"/>
        <v>389.97523217520018</v>
      </c>
      <c r="J2935" s="6" t="s">
        <v>357</v>
      </c>
    </row>
    <row r="2936" spans="1:10" hidden="1">
      <c r="A2936" s="9">
        <v>46106</v>
      </c>
      <c r="B2936" s="6" t="s">
        <v>4528</v>
      </c>
      <c r="C2936" s="5" t="s">
        <v>540</v>
      </c>
      <c r="D2936" s="8" t="s">
        <v>306</v>
      </c>
      <c r="E2936" s="6" t="s">
        <v>466</v>
      </c>
      <c r="F2936" s="6" t="s">
        <v>3551</v>
      </c>
      <c r="G2936" s="5">
        <v>1409</v>
      </c>
      <c r="H2936" s="5">
        <f t="shared" ref="H2936:H2967" si="84">0.9*0.8*0.7*0.93*(0.9*0.9*0.9*0.9*0.9)</f>
        <v>0.27677447280000012</v>
      </c>
      <c r="I2936" s="20">
        <f t="shared" si="83"/>
        <v>389.97523217520018</v>
      </c>
      <c r="J2936" s="6" t="s">
        <v>357</v>
      </c>
    </row>
    <row r="2937" spans="1:10" hidden="1">
      <c r="A2937" s="9">
        <v>46106</v>
      </c>
      <c r="B2937" s="6" t="s">
        <v>4529</v>
      </c>
      <c r="C2937" s="5" t="s">
        <v>544</v>
      </c>
      <c r="D2937" s="8" t="s">
        <v>306</v>
      </c>
      <c r="E2937" s="6" t="s">
        <v>466</v>
      </c>
      <c r="F2937" s="6" t="s">
        <v>3551</v>
      </c>
      <c r="G2937" s="5">
        <v>1409</v>
      </c>
      <c r="H2937" s="5">
        <f t="shared" si="84"/>
        <v>0.27677447280000012</v>
      </c>
      <c r="I2937" s="20">
        <f t="shared" si="83"/>
        <v>389.97523217520018</v>
      </c>
      <c r="J2937" s="6" t="s">
        <v>357</v>
      </c>
    </row>
    <row r="2938" spans="1:10" hidden="1">
      <c r="A2938" s="9">
        <v>46106</v>
      </c>
      <c r="B2938" s="6" t="s">
        <v>4530</v>
      </c>
      <c r="C2938" s="5" t="s">
        <v>548</v>
      </c>
      <c r="D2938" s="8" t="s">
        <v>306</v>
      </c>
      <c r="E2938" s="6" t="s">
        <v>466</v>
      </c>
      <c r="F2938" s="6" t="s">
        <v>3551</v>
      </c>
      <c r="G2938" s="5">
        <v>1409</v>
      </c>
      <c r="H2938" s="5">
        <f t="shared" si="84"/>
        <v>0.27677447280000012</v>
      </c>
      <c r="I2938" s="20">
        <f t="shared" si="83"/>
        <v>389.97523217520018</v>
      </c>
      <c r="J2938" s="6" t="s">
        <v>357</v>
      </c>
    </row>
    <row r="2939" spans="1:10" hidden="1">
      <c r="A2939" s="9">
        <v>46106</v>
      </c>
      <c r="B2939" s="6" t="s">
        <v>4531</v>
      </c>
      <c r="C2939" s="5" t="s">
        <v>552</v>
      </c>
      <c r="D2939" s="8" t="s">
        <v>306</v>
      </c>
      <c r="E2939" s="6" t="s">
        <v>466</v>
      </c>
      <c r="F2939" s="6" t="s">
        <v>3551</v>
      </c>
      <c r="G2939" s="5">
        <v>1409</v>
      </c>
      <c r="H2939" s="5">
        <f t="shared" si="84"/>
        <v>0.27677447280000012</v>
      </c>
      <c r="I2939" s="20">
        <f t="shared" si="83"/>
        <v>389.97523217520018</v>
      </c>
      <c r="J2939" s="6" t="s">
        <v>357</v>
      </c>
    </row>
    <row r="2940" spans="1:10" hidden="1">
      <c r="A2940" s="9">
        <v>46106</v>
      </c>
      <c r="B2940" s="6" t="s">
        <v>4532</v>
      </c>
      <c r="C2940" s="5" t="s">
        <v>555</v>
      </c>
      <c r="D2940" s="8" t="s">
        <v>306</v>
      </c>
      <c r="E2940" s="6" t="s">
        <v>466</v>
      </c>
      <c r="F2940" s="6" t="s">
        <v>3551</v>
      </c>
      <c r="G2940" s="5">
        <v>1409</v>
      </c>
      <c r="H2940" s="5">
        <f t="shared" si="84"/>
        <v>0.27677447280000012</v>
      </c>
      <c r="I2940" s="20">
        <f t="shared" si="83"/>
        <v>389.97523217520018</v>
      </c>
      <c r="J2940" s="6" t="s">
        <v>357</v>
      </c>
    </row>
    <row r="2941" spans="1:10" hidden="1">
      <c r="A2941" s="9">
        <v>46106</v>
      </c>
      <c r="B2941" s="111" t="s">
        <v>4533</v>
      </c>
      <c r="C2941" s="5" t="s">
        <v>1366</v>
      </c>
      <c r="D2941" s="8" t="s">
        <v>306</v>
      </c>
      <c r="E2941" s="6" t="s">
        <v>466</v>
      </c>
      <c r="F2941" s="6" t="s">
        <v>3551</v>
      </c>
      <c r="G2941" s="5">
        <v>1035</v>
      </c>
      <c r="H2941" s="5">
        <f t="shared" si="84"/>
        <v>0.27677447280000012</v>
      </c>
      <c r="I2941" s="20">
        <f t="shared" si="83"/>
        <v>286.4615793480001</v>
      </c>
      <c r="J2941" s="6" t="s">
        <v>357</v>
      </c>
    </row>
    <row r="2942" spans="1:10" hidden="1">
      <c r="A2942" s="9">
        <v>46106</v>
      </c>
      <c r="B2942" s="6" t="s">
        <v>4534</v>
      </c>
      <c r="C2942" s="5" t="s">
        <v>1370</v>
      </c>
      <c r="D2942" s="8" t="s">
        <v>306</v>
      </c>
      <c r="E2942" s="6" t="s">
        <v>466</v>
      </c>
      <c r="F2942" s="6" t="s">
        <v>3551</v>
      </c>
      <c r="G2942" s="5">
        <v>1035</v>
      </c>
      <c r="H2942" s="5">
        <f t="shared" si="84"/>
        <v>0.27677447280000012</v>
      </c>
      <c r="I2942" s="20">
        <f t="shared" si="83"/>
        <v>286.4615793480001</v>
      </c>
      <c r="J2942" s="6" t="s">
        <v>357</v>
      </c>
    </row>
    <row r="2943" spans="1:10" hidden="1">
      <c r="A2943" s="9">
        <v>46106</v>
      </c>
      <c r="B2943" s="6" t="s">
        <v>4535</v>
      </c>
      <c r="C2943" s="5" t="s">
        <v>1372</v>
      </c>
      <c r="D2943" s="8" t="s">
        <v>306</v>
      </c>
      <c r="E2943" s="6" t="s">
        <v>466</v>
      </c>
      <c r="F2943" s="6" t="s">
        <v>3551</v>
      </c>
      <c r="G2943" s="5">
        <v>1035</v>
      </c>
      <c r="H2943" s="5">
        <f t="shared" si="84"/>
        <v>0.27677447280000012</v>
      </c>
      <c r="I2943" s="20">
        <f t="shared" si="83"/>
        <v>286.4615793480001</v>
      </c>
      <c r="J2943" s="6" t="s">
        <v>357</v>
      </c>
    </row>
    <row r="2944" spans="1:10" hidden="1">
      <c r="A2944" s="9">
        <v>46106</v>
      </c>
      <c r="B2944" s="6" t="s">
        <v>4536</v>
      </c>
      <c r="C2944" s="5" t="s">
        <v>1374</v>
      </c>
      <c r="D2944" s="8" t="s">
        <v>306</v>
      </c>
      <c r="E2944" s="6" t="s">
        <v>466</v>
      </c>
      <c r="F2944" s="6" t="s">
        <v>3551</v>
      </c>
      <c r="G2944" s="5">
        <v>1035</v>
      </c>
      <c r="H2944" s="5">
        <f t="shared" si="84"/>
        <v>0.27677447280000012</v>
      </c>
      <c r="I2944" s="20">
        <f t="shared" si="83"/>
        <v>286.4615793480001</v>
      </c>
      <c r="J2944" s="6" t="s">
        <v>357</v>
      </c>
    </row>
    <row r="2945" spans="1:10" hidden="1">
      <c r="A2945" s="9">
        <v>46106</v>
      </c>
      <c r="B2945" s="6" t="s">
        <v>4537</v>
      </c>
      <c r="C2945" s="5" t="s">
        <v>1376</v>
      </c>
      <c r="D2945" s="8" t="s">
        <v>306</v>
      </c>
      <c r="E2945" s="6" t="s">
        <v>466</v>
      </c>
      <c r="F2945" s="6" t="s">
        <v>3551</v>
      </c>
      <c r="G2945" s="5">
        <v>1035</v>
      </c>
      <c r="H2945" s="5">
        <f t="shared" si="84"/>
        <v>0.27677447280000012</v>
      </c>
      <c r="I2945" s="20">
        <f t="shared" si="83"/>
        <v>286.4615793480001</v>
      </c>
      <c r="J2945" s="6" t="s">
        <v>357</v>
      </c>
    </row>
    <row r="2946" spans="1:10" hidden="1">
      <c r="A2946" s="9">
        <v>46106</v>
      </c>
      <c r="B2946" s="6" t="s">
        <v>4538</v>
      </c>
      <c r="C2946" s="5" t="s">
        <v>1378</v>
      </c>
      <c r="D2946" s="8" t="s">
        <v>306</v>
      </c>
      <c r="E2946" s="6" t="s">
        <v>466</v>
      </c>
      <c r="F2946" s="6" t="s">
        <v>3551</v>
      </c>
      <c r="G2946" s="5">
        <v>1035</v>
      </c>
      <c r="H2946" s="5">
        <f t="shared" si="84"/>
        <v>0.27677447280000012</v>
      </c>
      <c r="I2946" s="20">
        <f t="shared" si="83"/>
        <v>286.4615793480001</v>
      </c>
      <c r="J2946" s="6" t="s">
        <v>357</v>
      </c>
    </row>
    <row r="2947" spans="1:10" hidden="1">
      <c r="A2947" s="9">
        <v>46106</v>
      </c>
      <c r="B2947" s="6" t="s">
        <v>4539</v>
      </c>
      <c r="C2947" s="5" t="s">
        <v>1380</v>
      </c>
      <c r="D2947" s="8" t="s">
        <v>306</v>
      </c>
      <c r="E2947" s="6" t="s">
        <v>466</v>
      </c>
      <c r="F2947" s="6" t="s">
        <v>3551</v>
      </c>
      <c r="G2947" s="5">
        <v>1035</v>
      </c>
      <c r="H2947" s="5">
        <f t="shared" si="84"/>
        <v>0.27677447280000012</v>
      </c>
      <c r="I2947" s="20">
        <f t="shared" si="83"/>
        <v>286.4615793480001</v>
      </c>
      <c r="J2947" s="6" t="s">
        <v>357</v>
      </c>
    </row>
    <row r="2948" spans="1:10" hidden="1">
      <c r="A2948" s="9">
        <v>46106</v>
      </c>
      <c r="B2948" s="6" t="s">
        <v>4540</v>
      </c>
      <c r="C2948" s="5" t="s">
        <v>1382</v>
      </c>
      <c r="D2948" s="8" t="s">
        <v>306</v>
      </c>
      <c r="E2948" s="6" t="s">
        <v>466</v>
      </c>
      <c r="F2948" s="6" t="s">
        <v>3551</v>
      </c>
      <c r="G2948" s="5">
        <v>1035</v>
      </c>
      <c r="H2948" s="5">
        <f t="shared" si="84"/>
        <v>0.27677447280000012</v>
      </c>
      <c r="I2948" s="20">
        <f t="shared" si="83"/>
        <v>286.4615793480001</v>
      </c>
      <c r="J2948" s="6" t="s">
        <v>357</v>
      </c>
    </row>
    <row r="2949" spans="1:10" hidden="1">
      <c r="A2949" s="9">
        <v>46106</v>
      </c>
      <c r="B2949" s="111" t="s">
        <v>4541</v>
      </c>
      <c r="C2949" s="5" t="s">
        <v>1367</v>
      </c>
      <c r="D2949" s="8" t="s">
        <v>306</v>
      </c>
      <c r="E2949" s="6" t="s">
        <v>466</v>
      </c>
      <c r="F2949" s="6" t="s">
        <v>3551</v>
      </c>
      <c r="G2949" s="5">
        <v>2209</v>
      </c>
      <c r="H2949" s="5">
        <f t="shared" si="84"/>
        <v>0.27677447280000012</v>
      </c>
      <c r="I2949" s="20">
        <f t="shared" si="83"/>
        <v>611.39481041520025</v>
      </c>
      <c r="J2949" s="6" t="s">
        <v>357</v>
      </c>
    </row>
    <row r="2950" spans="1:10" hidden="1">
      <c r="A2950" s="9">
        <v>46106</v>
      </c>
      <c r="B2950" s="6" t="s">
        <v>4542</v>
      </c>
      <c r="C2950" s="5" t="s">
        <v>1371</v>
      </c>
      <c r="D2950" s="8" t="s">
        <v>306</v>
      </c>
      <c r="E2950" s="6" t="s">
        <v>466</v>
      </c>
      <c r="F2950" s="6" t="s">
        <v>3551</v>
      </c>
      <c r="G2950" s="5">
        <v>1767</v>
      </c>
      <c r="H2950" s="5">
        <f t="shared" si="84"/>
        <v>0.27677447280000012</v>
      </c>
      <c r="I2950" s="20">
        <f t="shared" si="83"/>
        <v>489.0604934376002</v>
      </c>
      <c r="J2950" s="6" t="s">
        <v>357</v>
      </c>
    </row>
    <row r="2951" spans="1:10" hidden="1">
      <c r="A2951" s="9">
        <v>46106</v>
      </c>
      <c r="B2951" s="6" t="s">
        <v>4543</v>
      </c>
      <c r="C2951" s="5" t="s">
        <v>1373</v>
      </c>
      <c r="D2951" s="8" t="s">
        <v>306</v>
      </c>
      <c r="E2951" s="6" t="s">
        <v>466</v>
      </c>
      <c r="F2951" s="6" t="s">
        <v>3551</v>
      </c>
      <c r="G2951" s="5">
        <v>1767</v>
      </c>
      <c r="H2951" s="5">
        <f t="shared" si="84"/>
        <v>0.27677447280000012</v>
      </c>
      <c r="I2951" s="20">
        <f t="shared" si="83"/>
        <v>489.0604934376002</v>
      </c>
      <c r="J2951" s="6" t="s">
        <v>357</v>
      </c>
    </row>
    <row r="2952" spans="1:10" hidden="1">
      <c r="A2952" s="9">
        <v>46106</v>
      </c>
      <c r="B2952" s="6" t="s">
        <v>4544</v>
      </c>
      <c r="C2952" s="5" t="s">
        <v>1375</v>
      </c>
      <c r="D2952" s="8" t="s">
        <v>306</v>
      </c>
      <c r="E2952" s="6" t="s">
        <v>466</v>
      </c>
      <c r="F2952" s="6" t="s">
        <v>3551</v>
      </c>
      <c r="G2952" s="5">
        <v>1767</v>
      </c>
      <c r="H2952" s="5">
        <f t="shared" si="84"/>
        <v>0.27677447280000012</v>
      </c>
      <c r="I2952" s="20">
        <f t="shared" si="83"/>
        <v>489.0604934376002</v>
      </c>
      <c r="J2952" s="6" t="s">
        <v>357</v>
      </c>
    </row>
    <row r="2953" spans="1:10" hidden="1">
      <c r="A2953" s="9">
        <v>46106</v>
      </c>
      <c r="B2953" s="6" t="s">
        <v>4545</v>
      </c>
      <c r="C2953" s="5" t="s">
        <v>1379</v>
      </c>
      <c r="D2953" s="8" t="s">
        <v>306</v>
      </c>
      <c r="E2953" s="6" t="s">
        <v>466</v>
      </c>
      <c r="F2953" s="6" t="s">
        <v>3551</v>
      </c>
      <c r="G2953" s="5">
        <v>1767</v>
      </c>
      <c r="H2953" s="5">
        <f t="shared" si="84"/>
        <v>0.27677447280000012</v>
      </c>
      <c r="I2953" s="20">
        <f t="shared" si="83"/>
        <v>489.0604934376002</v>
      </c>
      <c r="J2953" s="6" t="s">
        <v>357</v>
      </c>
    </row>
    <row r="2954" spans="1:10" hidden="1">
      <c r="A2954" s="9">
        <v>46106</v>
      </c>
      <c r="B2954" s="6" t="s">
        <v>4546</v>
      </c>
      <c r="C2954" s="5" t="s">
        <v>1381</v>
      </c>
      <c r="D2954" s="8" t="s">
        <v>306</v>
      </c>
      <c r="E2954" s="6" t="s">
        <v>466</v>
      </c>
      <c r="F2954" s="6" t="s">
        <v>3551</v>
      </c>
      <c r="G2954" s="5">
        <v>1767</v>
      </c>
      <c r="H2954" s="5">
        <f t="shared" si="84"/>
        <v>0.27677447280000012</v>
      </c>
      <c r="I2954" s="20">
        <f t="shared" si="83"/>
        <v>489.0604934376002</v>
      </c>
      <c r="J2954" s="6" t="s">
        <v>357</v>
      </c>
    </row>
    <row r="2955" spans="1:10" hidden="1">
      <c r="A2955" s="9">
        <v>46106</v>
      </c>
      <c r="B2955" s="6" t="s">
        <v>4547</v>
      </c>
      <c r="C2955" s="5" t="s">
        <v>1383</v>
      </c>
      <c r="D2955" s="8" t="s">
        <v>306</v>
      </c>
      <c r="E2955" s="6" t="s">
        <v>466</v>
      </c>
      <c r="F2955" s="6" t="s">
        <v>3551</v>
      </c>
      <c r="G2955" s="5">
        <v>1767</v>
      </c>
      <c r="H2955" s="5">
        <f t="shared" si="84"/>
        <v>0.27677447280000012</v>
      </c>
      <c r="I2955" s="20">
        <f t="shared" si="83"/>
        <v>489.0604934376002</v>
      </c>
      <c r="J2955" s="6" t="s">
        <v>357</v>
      </c>
    </row>
    <row r="2956" spans="1:10" hidden="1">
      <c r="A2956" s="148">
        <v>46106</v>
      </c>
      <c r="B2956" s="146" t="s">
        <v>5956</v>
      </c>
      <c r="C2956" s="144" t="s">
        <v>1414</v>
      </c>
      <c r="D2956" s="145" t="s">
        <v>306</v>
      </c>
      <c r="E2956" s="25" t="s">
        <v>466</v>
      </c>
      <c r="F2956" s="25" t="s">
        <v>3551</v>
      </c>
      <c r="G2956" s="31">
        <v>20685</v>
      </c>
      <c r="H2956" s="144">
        <f t="shared" si="84"/>
        <v>0.27677447280000012</v>
      </c>
      <c r="I2956" s="147">
        <f t="shared" si="83"/>
        <v>5725.0799698680021</v>
      </c>
      <c r="J2956" s="146" t="s">
        <v>357</v>
      </c>
    </row>
    <row r="2957" spans="1:10" hidden="1">
      <c r="A2957" s="148">
        <v>46106</v>
      </c>
      <c r="B2957" s="146" t="s">
        <v>5957</v>
      </c>
      <c r="C2957" s="144" t="s">
        <v>1415</v>
      </c>
      <c r="D2957" s="145" t="s">
        <v>306</v>
      </c>
      <c r="E2957" s="25" t="s">
        <v>466</v>
      </c>
      <c r="F2957" s="25" t="s">
        <v>3551</v>
      </c>
      <c r="G2957" s="31">
        <v>27416</v>
      </c>
      <c r="H2957" s="144">
        <f t="shared" si="84"/>
        <v>0.27677447280000012</v>
      </c>
      <c r="I2957" s="147">
        <f t="shared" si="83"/>
        <v>7588.0489462848036</v>
      </c>
      <c r="J2957" s="146" t="s">
        <v>357</v>
      </c>
    </row>
    <row r="2958" spans="1:10" hidden="1">
      <c r="A2958" s="148">
        <v>46106</v>
      </c>
      <c r="B2958" s="146" t="s">
        <v>5948</v>
      </c>
      <c r="C2958" s="144" t="s">
        <v>1418</v>
      </c>
      <c r="D2958" s="145" t="s">
        <v>306</v>
      </c>
      <c r="E2958" s="25" t="s">
        <v>466</v>
      </c>
      <c r="F2958" s="25" t="s">
        <v>3551</v>
      </c>
      <c r="G2958" s="31">
        <v>18506</v>
      </c>
      <c r="H2958" s="5">
        <f t="shared" si="84"/>
        <v>0.27677447280000012</v>
      </c>
      <c r="I2958" s="147">
        <f t="shared" si="83"/>
        <v>5121.9883936368024</v>
      </c>
      <c r="J2958" s="146" t="s">
        <v>357</v>
      </c>
    </row>
    <row r="2959" spans="1:10" hidden="1">
      <c r="A2959" s="148">
        <v>46106</v>
      </c>
      <c r="B2959" s="146" t="s">
        <v>5949</v>
      </c>
      <c r="C2959" s="144" t="s">
        <v>1419</v>
      </c>
      <c r="D2959" s="145" t="s">
        <v>306</v>
      </c>
      <c r="E2959" s="25" t="s">
        <v>466</v>
      </c>
      <c r="F2959" s="25" t="s">
        <v>3551</v>
      </c>
      <c r="G2959" s="31">
        <v>23462</v>
      </c>
      <c r="H2959" s="5">
        <f t="shared" si="84"/>
        <v>0.27677447280000012</v>
      </c>
      <c r="I2959" s="147">
        <f t="shared" si="83"/>
        <v>6493.6826808336027</v>
      </c>
      <c r="J2959" s="146" t="s">
        <v>357</v>
      </c>
    </row>
    <row r="2960" spans="1:10" hidden="1">
      <c r="A2960" s="148">
        <v>46106</v>
      </c>
      <c r="B2960" s="146" t="s">
        <v>5958</v>
      </c>
      <c r="C2960" s="144" t="s">
        <v>1416</v>
      </c>
      <c r="D2960" s="145" t="s">
        <v>306</v>
      </c>
      <c r="E2960" s="25" t="s">
        <v>466</v>
      </c>
      <c r="F2960" s="25" t="s">
        <v>3551</v>
      </c>
      <c r="G2960" s="31">
        <v>25636</v>
      </c>
      <c r="H2960" s="144">
        <f t="shared" si="84"/>
        <v>0.27677447280000012</v>
      </c>
      <c r="I2960" s="147">
        <f t="shared" si="83"/>
        <v>7095.3903847008032</v>
      </c>
      <c r="J2960" s="146" t="s">
        <v>357</v>
      </c>
    </row>
    <row r="2961" spans="1:10" hidden="1">
      <c r="A2961" s="148">
        <v>46106</v>
      </c>
      <c r="B2961" s="146" t="s">
        <v>5959</v>
      </c>
      <c r="C2961" s="144" t="s">
        <v>1417</v>
      </c>
      <c r="D2961" s="145" t="s">
        <v>306</v>
      </c>
      <c r="E2961" s="25" t="s">
        <v>466</v>
      </c>
      <c r="F2961" s="25" t="s">
        <v>3551</v>
      </c>
      <c r="G2961" s="31">
        <v>42226</v>
      </c>
      <c r="H2961" s="144">
        <f t="shared" si="84"/>
        <v>0.27677447280000012</v>
      </c>
      <c r="I2961" s="147">
        <f t="shared" si="83"/>
        <v>11687.078888452805</v>
      </c>
      <c r="J2961" s="146" t="s">
        <v>357</v>
      </c>
    </row>
    <row r="2962" spans="1:10" hidden="1">
      <c r="A2962" s="148">
        <v>46106</v>
      </c>
      <c r="B2962" s="146" t="s">
        <v>5950</v>
      </c>
      <c r="C2962" s="144" t="s">
        <v>1420</v>
      </c>
      <c r="D2962" s="145" t="s">
        <v>306</v>
      </c>
      <c r="E2962" s="25" t="s">
        <v>466</v>
      </c>
      <c r="F2962" s="25" t="s">
        <v>3551</v>
      </c>
      <c r="G2962" s="31">
        <v>23069</v>
      </c>
      <c r="H2962" s="5">
        <f t="shared" si="84"/>
        <v>0.27677447280000012</v>
      </c>
      <c r="I2962" s="147">
        <f t="shared" si="83"/>
        <v>6384.9103130232024</v>
      </c>
      <c r="J2962" s="146" t="s">
        <v>357</v>
      </c>
    </row>
    <row r="2963" spans="1:10" hidden="1">
      <c r="A2963" s="148">
        <v>46106</v>
      </c>
      <c r="B2963" s="146" t="s">
        <v>5951</v>
      </c>
      <c r="C2963" s="144" t="s">
        <v>1421</v>
      </c>
      <c r="D2963" s="145" t="s">
        <v>306</v>
      </c>
      <c r="E2963" s="25" t="s">
        <v>466</v>
      </c>
      <c r="F2963" s="25" t="s">
        <v>3551</v>
      </c>
      <c r="G2963" s="31">
        <v>38005</v>
      </c>
      <c r="H2963" s="5">
        <f t="shared" si="84"/>
        <v>0.27677447280000012</v>
      </c>
      <c r="I2963" s="147">
        <f t="shared" si="83"/>
        <v>10518.813838764005</v>
      </c>
      <c r="J2963" s="146" t="s">
        <v>357</v>
      </c>
    </row>
    <row r="2964" spans="1:10" hidden="1">
      <c r="A2964" s="9">
        <v>46106</v>
      </c>
      <c r="B2964" s="111" t="s">
        <v>4548</v>
      </c>
      <c r="C2964" s="5" t="s">
        <v>573</v>
      </c>
      <c r="D2964" s="8" t="s">
        <v>306</v>
      </c>
      <c r="E2964" s="6" t="s">
        <v>466</v>
      </c>
      <c r="F2964" s="6" t="s">
        <v>3551</v>
      </c>
      <c r="G2964" s="5">
        <v>1238</v>
      </c>
      <c r="H2964" s="5">
        <f t="shared" si="84"/>
        <v>0.27677447280000012</v>
      </c>
      <c r="I2964" s="20">
        <f t="shared" si="83"/>
        <v>342.64679732640013</v>
      </c>
      <c r="J2964" s="6" t="s">
        <v>357</v>
      </c>
    </row>
    <row r="2965" spans="1:10" hidden="1">
      <c r="A2965" s="9">
        <v>46106</v>
      </c>
      <c r="B2965" s="6" t="s">
        <v>4549</v>
      </c>
      <c r="C2965" s="5" t="s">
        <v>575</v>
      </c>
      <c r="D2965" s="8" t="s">
        <v>306</v>
      </c>
      <c r="E2965" s="6" t="s">
        <v>466</v>
      </c>
      <c r="F2965" s="6" t="s">
        <v>3551</v>
      </c>
      <c r="G2965" s="5">
        <v>1238</v>
      </c>
      <c r="H2965" s="5">
        <f t="shared" si="84"/>
        <v>0.27677447280000012</v>
      </c>
      <c r="I2965" s="20">
        <f t="shared" si="83"/>
        <v>342.64679732640013</v>
      </c>
      <c r="J2965" s="6" t="s">
        <v>357</v>
      </c>
    </row>
    <row r="2966" spans="1:10" hidden="1">
      <c r="A2966" s="9">
        <v>46106</v>
      </c>
      <c r="B2966" s="111" t="s">
        <v>4550</v>
      </c>
      <c r="C2966" s="5" t="s">
        <v>574</v>
      </c>
      <c r="D2966" s="8" t="s">
        <v>306</v>
      </c>
      <c r="E2966" s="6" t="s">
        <v>466</v>
      </c>
      <c r="F2966" s="6" t="s">
        <v>3551</v>
      </c>
      <c r="G2966" s="5">
        <v>2274</v>
      </c>
      <c r="H2966" s="5">
        <f t="shared" si="84"/>
        <v>0.27677447280000012</v>
      </c>
      <c r="I2966" s="20">
        <f t="shared" si="83"/>
        <v>629.3851511472003</v>
      </c>
      <c r="J2966" s="6" t="s">
        <v>357</v>
      </c>
    </row>
    <row r="2967" spans="1:10" hidden="1">
      <c r="A2967" s="9">
        <v>46106</v>
      </c>
      <c r="B2967" s="6" t="s">
        <v>4551</v>
      </c>
      <c r="C2967" s="5" t="s">
        <v>576</v>
      </c>
      <c r="D2967" s="8" t="s">
        <v>306</v>
      </c>
      <c r="E2967" s="6" t="s">
        <v>466</v>
      </c>
      <c r="F2967" s="6" t="s">
        <v>3551</v>
      </c>
      <c r="G2967" s="5">
        <v>2274</v>
      </c>
      <c r="H2967" s="5">
        <f t="shared" si="84"/>
        <v>0.27677447280000012</v>
      </c>
      <c r="I2967" s="20">
        <f t="shared" si="83"/>
        <v>629.3851511472003</v>
      </c>
      <c r="J2967" s="6" t="s">
        <v>357</v>
      </c>
    </row>
    <row r="2968" spans="1:10" hidden="1">
      <c r="A2968" s="9">
        <v>46106</v>
      </c>
      <c r="B2968" s="111" t="s">
        <v>4552</v>
      </c>
      <c r="C2968" s="5" t="s">
        <v>581</v>
      </c>
      <c r="D2968" s="8" t="s">
        <v>306</v>
      </c>
      <c r="E2968" s="6" t="s">
        <v>466</v>
      </c>
      <c r="F2968" s="6" t="s">
        <v>3551</v>
      </c>
      <c r="G2968" s="5">
        <v>1294</v>
      </c>
      <c r="H2968" s="5">
        <f t="shared" ref="H2968:H2999" si="85">0.9*0.8*0.7*0.93*(0.9*0.9*0.9*0.9*0.9)</f>
        <v>0.27677447280000012</v>
      </c>
      <c r="I2968" s="20">
        <f t="shared" si="83"/>
        <v>358.14616780320017</v>
      </c>
      <c r="J2968" s="6" t="s">
        <v>357</v>
      </c>
    </row>
    <row r="2969" spans="1:10" hidden="1">
      <c r="A2969" s="9">
        <v>46106</v>
      </c>
      <c r="B2969" s="6" t="s">
        <v>4553</v>
      </c>
      <c r="C2969" s="5" t="s">
        <v>583</v>
      </c>
      <c r="D2969" s="8" t="s">
        <v>306</v>
      </c>
      <c r="E2969" s="6" t="s">
        <v>466</v>
      </c>
      <c r="F2969" s="6" t="s">
        <v>3551</v>
      </c>
      <c r="G2969" s="5">
        <v>1294</v>
      </c>
      <c r="H2969" s="5">
        <f t="shared" si="85"/>
        <v>0.27677447280000012</v>
      </c>
      <c r="I2969" s="20">
        <f t="shared" ref="I2969:I3032" si="86">H2969*G2969</f>
        <v>358.14616780320017</v>
      </c>
      <c r="J2969" s="6" t="s">
        <v>357</v>
      </c>
    </row>
    <row r="2970" spans="1:10" hidden="1">
      <c r="A2970" s="9">
        <v>46106</v>
      </c>
      <c r="B2970" s="111" t="s">
        <v>4554</v>
      </c>
      <c r="C2970" s="5" t="s">
        <v>557</v>
      </c>
      <c r="D2970" s="8" t="s">
        <v>306</v>
      </c>
      <c r="E2970" s="6" t="s">
        <v>466</v>
      </c>
      <c r="F2970" s="6" t="s">
        <v>3551</v>
      </c>
      <c r="G2970" s="5">
        <v>1686</v>
      </c>
      <c r="H2970" s="5">
        <f t="shared" si="85"/>
        <v>0.27677447280000012</v>
      </c>
      <c r="I2970" s="20">
        <f t="shared" si="86"/>
        <v>466.64176114080021</v>
      </c>
      <c r="J2970" s="6" t="s">
        <v>357</v>
      </c>
    </row>
    <row r="2971" spans="1:10" hidden="1">
      <c r="A2971" s="9">
        <v>46106</v>
      </c>
      <c r="B2971" s="6" t="s">
        <v>4555</v>
      </c>
      <c r="C2971" s="5" t="s">
        <v>558</v>
      </c>
      <c r="D2971" s="8" t="s">
        <v>306</v>
      </c>
      <c r="E2971" s="6" t="s">
        <v>466</v>
      </c>
      <c r="F2971" s="6" t="s">
        <v>3551</v>
      </c>
      <c r="G2971" s="5">
        <v>1686</v>
      </c>
      <c r="H2971" s="5">
        <f t="shared" si="85"/>
        <v>0.27677447280000012</v>
      </c>
      <c r="I2971" s="20">
        <f t="shared" si="86"/>
        <v>466.64176114080021</v>
      </c>
      <c r="J2971" s="6" t="s">
        <v>357</v>
      </c>
    </row>
    <row r="2972" spans="1:10" hidden="1">
      <c r="A2972" s="9">
        <v>46106</v>
      </c>
      <c r="B2972" s="111" t="s">
        <v>4556</v>
      </c>
      <c r="C2972" s="5" t="s">
        <v>1384</v>
      </c>
      <c r="D2972" s="8" t="s">
        <v>306</v>
      </c>
      <c r="E2972" s="6" t="s">
        <v>466</v>
      </c>
      <c r="F2972" s="6" t="s">
        <v>3551</v>
      </c>
      <c r="G2972" s="5">
        <v>1542</v>
      </c>
      <c r="H2972" s="5">
        <f t="shared" si="85"/>
        <v>0.27677447280000012</v>
      </c>
      <c r="I2972" s="20">
        <f t="shared" si="86"/>
        <v>426.7862370576002</v>
      </c>
      <c r="J2972" s="6" t="s">
        <v>357</v>
      </c>
    </row>
    <row r="2973" spans="1:10" hidden="1">
      <c r="A2973" s="9">
        <v>46106</v>
      </c>
      <c r="B2973" s="6" t="s">
        <v>4557</v>
      </c>
      <c r="C2973" s="5" t="s">
        <v>1386</v>
      </c>
      <c r="D2973" s="8" t="s">
        <v>306</v>
      </c>
      <c r="E2973" s="6" t="s">
        <v>466</v>
      </c>
      <c r="F2973" s="6" t="s">
        <v>3551</v>
      </c>
      <c r="G2973" s="5">
        <v>1542</v>
      </c>
      <c r="H2973" s="5">
        <f t="shared" si="85"/>
        <v>0.27677447280000012</v>
      </c>
      <c r="I2973" s="20">
        <f t="shared" si="86"/>
        <v>426.7862370576002</v>
      </c>
      <c r="J2973" s="6" t="s">
        <v>357</v>
      </c>
    </row>
    <row r="2974" spans="1:10" hidden="1">
      <c r="A2974" s="9">
        <v>46106</v>
      </c>
      <c r="B2974" s="111" t="s">
        <v>4558</v>
      </c>
      <c r="C2974" s="5" t="s">
        <v>1385</v>
      </c>
      <c r="D2974" s="8" t="s">
        <v>306</v>
      </c>
      <c r="E2974" s="6" t="s">
        <v>466</v>
      </c>
      <c r="F2974" s="6" t="s">
        <v>3551</v>
      </c>
      <c r="G2974" s="5">
        <v>2426</v>
      </c>
      <c r="H2974" s="5">
        <f t="shared" si="85"/>
        <v>0.27677447280000012</v>
      </c>
      <c r="I2974" s="20">
        <f t="shared" si="86"/>
        <v>671.45487101280025</v>
      </c>
      <c r="J2974" s="6" t="s">
        <v>357</v>
      </c>
    </row>
    <row r="2975" spans="1:10" hidden="1">
      <c r="A2975" s="9">
        <v>46106</v>
      </c>
      <c r="B2975" s="6" t="s">
        <v>4560</v>
      </c>
      <c r="C2975" s="5" t="s">
        <v>4559</v>
      </c>
      <c r="D2975" s="8" t="s">
        <v>306</v>
      </c>
      <c r="E2975" s="6" t="s">
        <v>466</v>
      </c>
      <c r="F2975" s="6" t="s">
        <v>3551</v>
      </c>
      <c r="G2975" s="5">
        <v>2426</v>
      </c>
      <c r="H2975" s="5">
        <f t="shared" si="85"/>
        <v>0.27677447280000012</v>
      </c>
      <c r="I2975" s="20">
        <f t="shared" si="86"/>
        <v>671.45487101280025</v>
      </c>
      <c r="J2975" s="6" t="s">
        <v>357</v>
      </c>
    </row>
    <row r="2976" spans="1:10" hidden="1">
      <c r="A2976" s="9">
        <v>46106</v>
      </c>
      <c r="B2976" s="6" t="s">
        <v>4561</v>
      </c>
      <c r="C2976" s="5" t="s">
        <v>577</v>
      </c>
      <c r="D2976" s="8" t="s">
        <v>306</v>
      </c>
      <c r="E2976" s="6" t="s">
        <v>466</v>
      </c>
      <c r="F2976" s="6" t="s">
        <v>3551</v>
      </c>
      <c r="G2976" s="5">
        <v>1640</v>
      </c>
      <c r="H2976" s="5">
        <f t="shared" si="85"/>
        <v>0.27677447280000012</v>
      </c>
      <c r="I2976" s="20">
        <f t="shared" si="86"/>
        <v>453.9101353920002</v>
      </c>
      <c r="J2976" s="6" t="s">
        <v>357</v>
      </c>
    </row>
    <row r="2977" spans="1:10" hidden="1">
      <c r="A2977" s="9">
        <v>46106</v>
      </c>
      <c r="B2977" s="6" t="s">
        <v>4562</v>
      </c>
      <c r="C2977" s="5" t="s">
        <v>579</v>
      </c>
      <c r="D2977" s="8" t="s">
        <v>306</v>
      </c>
      <c r="E2977" s="6" t="s">
        <v>466</v>
      </c>
      <c r="F2977" s="6" t="s">
        <v>3551</v>
      </c>
      <c r="G2977" s="5">
        <v>1640</v>
      </c>
      <c r="H2977" s="5">
        <f t="shared" si="85"/>
        <v>0.27677447280000012</v>
      </c>
      <c r="I2977" s="20">
        <f t="shared" si="86"/>
        <v>453.9101353920002</v>
      </c>
      <c r="J2977" s="6" t="s">
        <v>357</v>
      </c>
    </row>
    <row r="2978" spans="1:10" hidden="1">
      <c r="A2978" s="9">
        <v>46106</v>
      </c>
      <c r="B2978" s="6" t="s">
        <v>4563</v>
      </c>
      <c r="C2978" s="5" t="s">
        <v>578</v>
      </c>
      <c r="D2978" s="8" t="s">
        <v>306</v>
      </c>
      <c r="E2978" s="6" t="s">
        <v>466</v>
      </c>
      <c r="F2978" s="6" t="s">
        <v>3551</v>
      </c>
      <c r="G2978" s="5">
        <v>3426</v>
      </c>
      <c r="H2978" s="5">
        <f t="shared" si="85"/>
        <v>0.27677447280000012</v>
      </c>
      <c r="I2978" s="20">
        <f t="shared" si="86"/>
        <v>948.22934381280038</v>
      </c>
      <c r="J2978" s="6" t="s">
        <v>357</v>
      </c>
    </row>
    <row r="2979" spans="1:10" hidden="1">
      <c r="A2979" s="9">
        <v>46106</v>
      </c>
      <c r="B2979" s="6" t="s">
        <v>4564</v>
      </c>
      <c r="C2979" s="5" t="s">
        <v>580</v>
      </c>
      <c r="D2979" s="8" t="s">
        <v>306</v>
      </c>
      <c r="E2979" s="6" t="s">
        <v>466</v>
      </c>
      <c r="F2979" s="6" t="s">
        <v>3551</v>
      </c>
      <c r="G2979" s="5">
        <v>3426</v>
      </c>
      <c r="H2979" s="5">
        <f t="shared" si="85"/>
        <v>0.27677447280000012</v>
      </c>
      <c r="I2979" s="20">
        <f t="shared" si="86"/>
        <v>948.22934381280038</v>
      </c>
      <c r="J2979" s="6" t="s">
        <v>357</v>
      </c>
    </row>
    <row r="2980" spans="1:10" hidden="1">
      <c r="A2980" s="9">
        <v>46106</v>
      </c>
      <c r="B2980" s="6" t="s">
        <v>4565</v>
      </c>
      <c r="C2980" s="5" t="s">
        <v>585</v>
      </c>
      <c r="D2980" s="8" t="s">
        <v>306</v>
      </c>
      <c r="E2980" s="6" t="s">
        <v>466</v>
      </c>
      <c r="F2980" s="6" t="s">
        <v>3551</v>
      </c>
      <c r="G2980" s="5">
        <v>1837</v>
      </c>
      <c r="H2980" s="5">
        <f t="shared" si="85"/>
        <v>0.27677447280000012</v>
      </c>
      <c r="I2980" s="20">
        <f t="shared" si="86"/>
        <v>508.43470653360021</v>
      </c>
      <c r="J2980" s="6" t="s">
        <v>357</v>
      </c>
    </row>
    <row r="2981" spans="1:10" hidden="1">
      <c r="A2981" s="9">
        <v>46106</v>
      </c>
      <c r="B2981" s="6" t="s">
        <v>4566</v>
      </c>
      <c r="C2981" s="5" t="s">
        <v>587</v>
      </c>
      <c r="D2981" s="8" t="s">
        <v>306</v>
      </c>
      <c r="E2981" s="6" t="s">
        <v>466</v>
      </c>
      <c r="F2981" s="6" t="s">
        <v>3551</v>
      </c>
      <c r="G2981" s="5">
        <v>1837</v>
      </c>
      <c r="H2981" s="5">
        <f t="shared" si="85"/>
        <v>0.27677447280000012</v>
      </c>
      <c r="I2981" s="20">
        <f t="shared" si="86"/>
        <v>508.43470653360021</v>
      </c>
      <c r="J2981" s="6" t="s">
        <v>357</v>
      </c>
    </row>
    <row r="2982" spans="1:10" hidden="1">
      <c r="A2982" s="9">
        <v>46106</v>
      </c>
      <c r="B2982" s="6" t="s">
        <v>4567</v>
      </c>
      <c r="C2982" s="5" t="s">
        <v>559</v>
      </c>
      <c r="D2982" s="8" t="s">
        <v>306</v>
      </c>
      <c r="E2982" s="6" t="s">
        <v>466</v>
      </c>
      <c r="F2982" s="6" t="s">
        <v>3551</v>
      </c>
      <c r="G2982" s="5">
        <v>3969</v>
      </c>
      <c r="H2982" s="5">
        <f t="shared" si="85"/>
        <v>0.27677447280000012</v>
      </c>
      <c r="I2982" s="20">
        <f t="shared" si="86"/>
        <v>1098.5178825432004</v>
      </c>
      <c r="J2982" s="6" t="s">
        <v>357</v>
      </c>
    </row>
    <row r="2983" spans="1:10" hidden="1">
      <c r="A2983" s="9">
        <v>46106</v>
      </c>
      <c r="B2983" s="6" t="s">
        <v>4568</v>
      </c>
      <c r="C2983" s="5" t="s">
        <v>560</v>
      </c>
      <c r="D2983" s="8" t="s">
        <v>306</v>
      </c>
      <c r="E2983" s="6" t="s">
        <v>466</v>
      </c>
      <c r="F2983" s="6" t="s">
        <v>3551</v>
      </c>
      <c r="G2983" s="5">
        <v>3969</v>
      </c>
      <c r="H2983" s="5">
        <f t="shared" si="85"/>
        <v>0.27677447280000012</v>
      </c>
      <c r="I2983" s="20">
        <f t="shared" si="86"/>
        <v>1098.5178825432004</v>
      </c>
      <c r="J2983" s="6" t="s">
        <v>357</v>
      </c>
    </row>
    <row r="2984" spans="1:10" hidden="1">
      <c r="A2984" s="9">
        <v>46106</v>
      </c>
      <c r="B2984" s="6" t="s">
        <v>4569</v>
      </c>
      <c r="C2984" s="5" t="s">
        <v>1394</v>
      </c>
      <c r="D2984" s="8" t="s">
        <v>306</v>
      </c>
      <c r="E2984" s="6" t="s">
        <v>466</v>
      </c>
      <c r="F2984" s="6" t="s">
        <v>3551</v>
      </c>
      <c r="G2984" s="5">
        <v>2169</v>
      </c>
      <c r="H2984" s="5">
        <f t="shared" si="85"/>
        <v>0.27677447280000012</v>
      </c>
      <c r="I2984" s="20">
        <f t="shared" si="86"/>
        <v>600.32383150320027</v>
      </c>
      <c r="J2984" s="6" t="s">
        <v>357</v>
      </c>
    </row>
    <row r="2985" spans="1:10" hidden="1">
      <c r="A2985" s="9">
        <v>46106</v>
      </c>
      <c r="B2985" s="6" t="s">
        <v>4570</v>
      </c>
      <c r="C2985" s="5" t="s">
        <v>1396</v>
      </c>
      <c r="D2985" s="8" t="s">
        <v>306</v>
      </c>
      <c r="E2985" s="6" t="s">
        <v>466</v>
      </c>
      <c r="F2985" s="6" t="s">
        <v>3551</v>
      </c>
      <c r="G2985" s="5">
        <v>2169</v>
      </c>
      <c r="H2985" s="5">
        <f t="shared" si="85"/>
        <v>0.27677447280000012</v>
      </c>
      <c r="I2985" s="20">
        <f t="shared" si="86"/>
        <v>600.32383150320027</v>
      </c>
      <c r="J2985" s="6" t="s">
        <v>357</v>
      </c>
    </row>
    <row r="2986" spans="1:10" hidden="1">
      <c r="A2986" s="9">
        <v>46106</v>
      </c>
      <c r="B2986" s="6" t="s">
        <v>4571</v>
      </c>
      <c r="C2986" s="5" t="s">
        <v>1395</v>
      </c>
      <c r="D2986" s="8" t="s">
        <v>306</v>
      </c>
      <c r="E2986" s="6" t="s">
        <v>466</v>
      </c>
      <c r="F2986" s="6" t="s">
        <v>3551</v>
      </c>
      <c r="G2986" s="5">
        <v>4365</v>
      </c>
      <c r="H2986" s="5">
        <f t="shared" si="85"/>
        <v>0.27677447280000012</v>
      </c>
      <c r="I2986" s="20">
        <f t="shared" si="86"/>
        <v>1208.1205737720004</v>
      </c>
      <c r="J2986" s="6" t="s">
        <v>357</v>
      </c>
    </row>
    <row r="2987" spans="1:10" hidden="1">
      <c r="A2987" s="9">
        <v>46106</v>
      </c>
      <c r="B2987" s="6" t="s">
        <v>4572</v>
      </c>
      <c r="C2987" s="5" t="s">
        <v>2500</v>
      </c>
      <c r="D2987" s="8" t="s">
        <v>306</v>
      </c>
      <c r="E2987" s="6" t="s">
        <v>466</v>
      </c>
      <c r="F2987" s="6" t="s">
        <v>3551</v>
      </c>
      <c r="G2987" s="5">
        <v>4365</v>
      </c>
      <c r="H2987" s="5">
        <f t="shared" si="85"/>
        <v>0.27677447280000012</v>
      </c>
      <c r="I2987" s="20">
        <f t="shared" si="86"/>
        <v>1208.1205737720004</v>
      </c>
      <c r="J2987" s="6" t="s">
        <v>357</v>
      </c>
    </row>
    <row r="2988" spans="1:10" hidden="1">
      <c r="A2988" s="9">
        <v>46106</v>
      </c>
      <c r="B2988" s="6" t="s">
        <v>4573</v>
      </c>
      <c r="C2988" s="5" t="s">
        <v>588</v>
      </c>
      <c r="D2988" s="8" t="s">
        <v>306</v>
      </c>
      <c r="E2988" s="6" t="s">
        <v>466</v>
      </c>
      <c r="F2988" s="6" t="s">
        <v>3551</v>
      </c>
      <c r="G2988" s="5">
        <v>3085</v>
      </c>
      <c r="H2988" s="5">
        <f t="shared" si="85"/>
        <v>0.27677447280000012</v>
      </c>
      <c r="I2988" s="20">
        <f t="shared" si="86"/>
        <v>853.84924858800036</v>
      </c>
      <c r="J2988" s="6" t="s">
        <v>357</v>
      </c>
    </row>
    <row r="2989" spans="1:10" hidden="1">
      <c r="A2989" s="9">
        <v>46106</v>
      </c>
      <c r="B2989" s="6" t="s">
        <v>4574</v>
      </c>
      <c r="C2989" s="5" t="s">
        <v>589</v>
      </c>
      <c r="D2989" s="8" t="s">
        <v>306</v>
      </c>
      <c r="E2989" s="6" t="s">
        <v>466</v>
      </c>
      <c r="F2989" s="6" t="s">
        <v>3551</v>
      </c>
      <c r="G2989" s="5">
        <v>3085</v>
      </c>
      <c r="H2989" s="5">
        <f t="shared" si="85"/>
        <v>0.27677447280000012</v>
      </c>
      <c r="I2989" s="20">
        <f t="shared" si="86"/>
        <v>853.84924858800036</v>
      </c>
      <c r="J2989" s="6" t="s">
        <v>357</v>
      </c>
    </row>
    <row r="2990" spans="1:10" hidden="1">
      <c r="A2990" s="9">
        <v>46106</v>
      </c>
      <c r="B2990" s="6" t="s">
        <v>4575</v>
      </c>
      <c r="C2990" s="5" t="s">
        <v>561</v>
      </c>
      <c r="D2990" s="8" t="s">
        <v>306</v>
      </c>
      <c r="E2990" s="6" t="s">
        <v>466</v>
      </c>
      <c r="F2990" s="6" t="s">
        <v>3551</v>
      </c>
      <c r="G2990" s="5">
        <v>5442</v>
      </c>
      <c r="H2990" s="5">
        <f t="shared" si="85"/>
        <v>0.27677447280000012</v>
      </c>
      <c r="I2990" s="20">
        <f t="shared" si="86"/>
        <v>1506.2066809776006</v>
      </c>
      <c r="J2990" s="6" t="s">
        <v>357</v>
      </c>
    </row>
    <row r="2991" spans="1:10" hidden="1">
      <c r="A2991" s="9">
        <v>46106</v>
      </c>
      <c r="B2991" s="6" t="s">
        <v>4576</v>
      </c>
      <c r="C2991" s="5" t="s">
        <v>562</v>
      </c>
      <c r="D2991" s="8" t="s">
        <v>306</v>
      </c>
      <c r="E2991" s="6" t="s">
        <v>466</v>
      </c>
      <c r="F2991" s="6" t="s">
        <v>3551</v>
      </c>
      <c r="G2991" s="5">
        <v>5442</v>
      </c>
      <c r="H2991" s="5">
        <f t="shared" si="85"/>
        <v>0.27677447280000012</v>
      </c>
      <c r="I2991" s="20">
        <f t="shared" si="86"/>
        <v>1506.2066809776006</v>
      </c>
      <c r="J2991" s="6" t="s">
        <v>357</v>
      </c>
    </row>
    <row r="2992" spans="1:10" hidden="1">
      <c r="A2992" s="9">
        <v>46106</v>
      </c>
      <c r="B2992" s="6" t="s">
        <v>4577</v>
      </c>
      <c r="C2992" s="5" t="s">
        <v>592</v>
      </c>
      <c r="D2992" s="8" t="s">
        <v>306</v>
      </c>
      <c r="E2992" s="6" t="s">
        <v>466</v>
      </c>
      <c r="F2992" s="6" t="s">
        <v>3551</v>
      </c>
      <c r="G2992" s="5">
        <v>3308</v>
      </c>
      <c r="H2992" s="5">
        <f t="shared" si="85"/>
        <v>0.27677447280000012</v>
      </c>
      <c r="I2992" s="20">
        <f t="shared" si="86"/>
        <v>915.56995602240033</v>
      </c>
      <c r="J2992" s="6" t="s">
        <v>357</v>
      </c>
    </row>
    <row r="2993" spans="1:10" hidden="1">
      <c r="A2993" s="9">
        <v>46106</v>
      </c>
      <c r="B2993" s="6" t="s">
        <v>4578</v>
      </c>
      <c r="C2993" s="5" t="s">
        <v>594</v>
      </c>
      <c r="D2993" s="8" t="s">
        <v>306</v>
      </c>
      <c r="E2993" s="6" t="s">
        <v>466</v>
      </c>
      <c r="F2993" s="6" t="s">
        <v>3551</v>
      </c>
      <c r="G2993" s="5">
        <v>3308</v>
      </c>
      <c r="H2993" s="5">
        <f t="shared" si="85"/>
        <v>0.27677447280000012</v>
      </c>
      <c r="I2993" s="20">
        <f t="shared" si="86"/>
        <v>915.56995602240033</v>
      </c>
      <c r="J2993" s="6" t="s">
        <v>357</v>
      </c>
    </row>
    <row r="2994" spans="1:10" hidden="1">
      <c r="A2994" s="9">
        <v>46106</v>
      </c>
      <c r="B2994" s="6" t="s">
        <v>4579</v>
      </c>
      <c r="C2994" s="5" t="s">
        <v>593</v>
      </c>
      <c r="D2994" s="8" t="s">
        <v>306</v>
      </c>
      <c r="E2994" s="6" t="s">
        <v>466</v>
      </c>
      <c r="F2994" s="6" t="s">
        <v>3551</v>
      </c>
      <c r="G2994" s="5">
        <v>6528</v>
      </c>
      <c r="H2994" s="5">
        <f t="shared" si="85"/>
        <v>0.27677447280000012</v>
      </c>
      <c r="I2994" s="20">
        <f t="shared" si="86"/>
        <v>1806.7837584384008</v>
      </c>
      <c r="J2994" s="6" t="s">
        <v>357</v>
      </c>
    </row>
    <row r="2995" spans="1:10" hidden="1">
      <c r="A2995" s="9">
        <v>46106</v>
      </c>
      <c r="B2995" s="6" t="s">
        <v>4580</v>
      </c>
      <c r="C2995" s="5" t="s">
        <v>595</v>
      </c>
      <c r="D2995" s="8" t="s">
        <v>306</v>
      </c>
      <c r="E2995" s="6" t="s">
        <v>466</v>
      </c>
      <c r="F2995" s="6" t="s">
        <v>3551</v>
      </c>
      <c r="G2995" s="5">
        <v>6528</v>
      </c>
      <c r="H2995" s="5">
        <f t="shared" si="85"/>
        <v>0.27677447280000012</v>
      </c>
      <c r="I2995" s="20">
        <f t="shared" si="86"/>
        <v>1806.7837584384008</v>
      </c>
      <c r="J2995" s="6" t="s">
        <v>357</v>
      </c>
    </row>
    <row r="2996" spans="1:10" hidden="1">
      <c r="A2996" s="9">
        <v>46106</v>
      </c>
      <c r="B2996" s="6" t="s">
        <v>4581</v>
      </c>
      <c r="C2996" s="5" t="s">
        <v>590</v>
      </c>
      <c r="D2996" s="8" t="s">
        <v>306</v>
      </c>
      <c r="E2996" s="6" t="s">
        <v>466</v>
      </c>
      <c r="F2996" s="6" t="s">
        <v>3551</v>
      </c>
      <c r="G2996" s="5">
        <v>4106</v>
      </c>
      <c r="H2996" s="5">
        <f t="shared" si="85"/>
        <v>0.27677447280000012</v>
      </c>
      <c r="I2996" s="20">
        <f t="shared" si="86"/>
        <v>1136.4359853168005</v>
      </c>
      <c r="J2996" s="6" t="s">
        <v>357</v>
      </c>
    </row>
    <row r="2997" spans="1:10" hidden="1">
      <c r="A2997" s="153">
        <v>46106</v>
      </c>
      <c r="B2997" s="151" t="s">
        <v>5961</v>
      </c>
      <c r="C2997" s="149" t="s">
        <v>591</v>
      </c>
      <c r="D2997" s="150" t="s">
        <v>306</v>
      </c>
      <c r="E2997" s="25" t="s">
        <v>466</v>
      </c>
      <c r="F2997" s="25" t="s">
        <v>3551</v>
      </c>
      <c r="G2997" s="31">
        <v>4106</v>
      </c>
      <c r="H2997" s="5">
        <f t="shared" si="85"/>
        <v>0.27677447280000012</v>
      </c>
      <c r="I2997" s="152">
        <f t="shared" si="86"/>
        <v>1136.4359853168005</v>
      </c>
      <c r="J2997" s="151" t="s">
        <v>357</v>
      </c>
    </row>
    <row r="2998" spans="1:10" hidden="1">
      <c r="A2998" s="9">
        <v>46106</v>
      </c>
      <c r="B2998" s="6" t="s">
        <v>4582</v>
      </c>
      <c r="C2998" s="5" t="s">
        <v>563</v>
      </c>
      <c r="D2998" s="8" t="s">
        <v>306</v>
      </c>
      <c r="E2998" s="6" t="s">
        <v>466</v>
      </c>
      <c r="F2998" s="6" t="s">
        <v>3551</v>
      </c>
      <c r="G2998" s="5">
        <v>5983</v>
      </c>
      <c r="H2998" s="5">
        <f t="shared" si="85"/>
        <v>0.27677447280000012</v>
      </c>
      <c r="I2998" s="20">
        <f t="shared" si="86"/>
        <v>1655.9416707624007</v>
      </c>
      <c r="J2998" s="6" t="s">
        <v>357</v>
      </c>
    </row>
    <row r="2999" spans="1:10" hidden="1">
      <c r="A2999" s="153">
        <v>46106</v>
      </c>
      <c r="B2999" s="151" t="s">
        <v>5962</v>
      </c>
      <c r="C2999" s="149" t="s">
        <v>564</v>
      </c>
      <c r="D2999" s="150" t="s">
        <v>306</v>
      </c>
      <c r="E2999" s="25" t="s">
        <v>466</v>
      </c>
      <c r="F2999" s="25" t="s">
        <v>3551</v>
      </c>
      <c r="G2999" s="31">
        <v>5983</v>
      </c>
      <c r="H2999" s="5">
        <f t="shared" si="85"/>
        <v>0.27677447280000012</v>
      </c>
      <c r="I2999" s="152">
        <f t="shared" si="86"/>
        <v>1655.9416707624007</v>
      </c>
      <c r="J2999" s="151" t="s">
        <v>357</v>
      </c>
    </row>
    <row r="3000" spans="1:10" hidden="1">
      <c r="A3000" s="9">
        <v>46106</v>
      </c>
      <c r="B3000" s="6" t="s">
        <v>4583</v>
      </c>
      <c r="C3000" s="5" t="s">
        <v>596</v>
      </c>
      <c r="D3000" s="8" t="s">
        <v>306</v>
      </c>
      <c r="E3000" s="6" t="s">
        <v>466</v>
      </c>
      <c r="F3000" s="6" t="s">
        <v>3551</v>
      </c>
      <c r="G3000" s="5">
        <v>4264</v>
      </c>
      <c r="H3000" s="5">
        <f t="shared" ref="H3000:H3007" si="87">0.9*0.8*0.7*0.93*(0.9*0.9*0.9*0.9*0.9)</f>
        <v>0.27677447280000012</v>
      </c>
      <c r="I3000" s="20">
        <f t="shared" si="86"/>
        <v>1180.1663520192005</v>
      </c>
      <c r="J3000" s="6" t="s">
        <v>357</v>
      </c>
    </row>
    <row r="3001" spans="1:10" hidden="1">
      <c r="A3001" s="9">
        <v>46106</v>
      </c>
      <c r="B3001" s="6" t="s">
        <v>4584</v>
      </c>
      <c r="C3001" s="5" t="s">
        <v>598</v>
      </c>
      <c r="D3001" s="8" t="s">
        <v>306</v>
      </c>
      <c r="E3001" s="6" t="s">
        <v>466</v>
      </c>
      <c r="F3001" s="6" t="s">
        <v>3551</v>
      </c>
      <c r="G3001" s="5">
        <v>4264</v>
      </c>
      <c r="H3001" s="5">
        <f t="shared" si="87"/>
        <v>0.27677447280000012</v>
      </c>
      <c r="I3001" s="20">
        <f t="shared" si="86"/>
        <v>1180.1663520192005</v>
      </c>
      <c r="J3001" s="6" t="s">
        <v>357</v>
      </c>
    </row>
    <row r="3002" spans="1:10" hidden="1">
      <c r="A3002" s="9">
        <v>46106</v>
      </c>
      <c r="B3002" s="6" t="s">
        <v>4585</v>
      </c>
      <c r="C3002" s="5" t="s">
        <v>597</v>
      </c>
      <c r="D3002" s="8" t="s">
        <v>306</v>
      </c>
      <c r="E3002" s="6" t="s">
        <v>466</v>
      </c>
      <c r="F3002" s="6" t="s">
        <v>3551</v>
      </c>
      <c r="G3002" s="5">
        <v>7503</v>
      </c>
      <c r="H3002" s="5">
        <f t="shared" si="87"/>
        <v>0.27677447280000012</v>
      </c>
      <c r="I3002" s="20">
        <f t="shared" si="86"/>
        <v>2076.6388694184006</v>
      </c>
      <c r="J3002" s="6" t="s">
        <v>357</v>
      </c>
    </row>
    <row r="3003" spans="1:10" hidden="1">
      <c r="A3003" s="9">
        <v>46106</v>
      </c>
      <c r="B3003" s="6" t="s">
        <v>5630</v>
      </c>
      <c r="C3003" s="5" t="s">
        <v>599</v>
      </c>
      <c r="D3003" s="8" t="s">
        <v>306</v>
      </c>
      <c r="E3003" s="6" t="s">
        <v>466</v>
      </c>
      <c r="F3003" s="6" t="s">
        <v>3551</v>
      </c>
      <c r="G3003" s="5">
        <v>7507</v>
      </c>
      <c r="H3003" s="5">
        <f t="shared" si="87"/>
        <v>0.27677447280000012</v>
      </c>
      <c r="I3003" s="20">
        <f t="shared" si="86"/>
        <v>2077.7459673096009</v>
      </c>
      <c r="J3003" s="6" t="s">
        <v>357</v>
      </c>
    </row>
    <row r="3004" spans="1:10" hidden="1">
      <c r="A3004" s="148">
        <v>46106</v>
      </c>
      <c r="B3004" s="146" t="s">
        <v>5952</v>
      </c>
      <c r="C3004" s="144" t="s">
        <v>1406</v>
      </c>
      <c r="D3004" s="145" t="s">
        <v>306</v>
      </c>
      <c r="E3004" s="25" t="s">
        <v>466</v>
      </c>
      <c r="F3004" s="25" t="s">
        <v>3551</v>
      </c>
      <c r="G3004" s="31">
        <v>12390</v>
      </c>
      <c r="H3004" s="144">
        <f t="shared" si="87"/>
        <v>0.27677447280000012</v>
      </c>
      <c r="I3004" s="147">
        <f t="shared" si="86"/>
        <v>3429.2357179920014</v>
      </c>
      <c r="J3004" s="146" t="s">
        <v>357</v>
      </c>
    </row>
    <row r="3005" spans="1:10" hidden="1">
      <c r="A3005" s="148">
        <v>46106</v>
      </c>
      <c r="B3005" s="146" t="s">
        <v>5953</v>
      </c>
      <c r="C3005" s="144" t="s">
        <v>1407</v>
      </c>
      <c r="D3005" s="145" t="s">
        <v>306</v>
      </c>
      <c r="E3005" s="25" t="s">
        <v>466</v>
      </c>
      <c r="F3005" s="25" t="s">
        <v>3551</v>
      </c>
      <c r="G3005" s="31">
        <v>20081</v>
      </c>
      <c r="H3005" s="144">
        <f t="shared" si="87"/>
        <v>0.27677447280000012</v>
      </c>
      <c r="I3005" s="147">
        <f t="shared" si="86"/>
        <v>5557.9081882968021</v>
      </c>
      <c r="J3005" s="146" t="s">
        <v>357</v>
      </c>
    </row>
    <row r="3006" spans="1:10" hidden="1">
      <c r="A3006" s="148">
        <v>46106</v>
      </c>
      <c r="B3006" s="146" t="s">
        <v>5944</v>
      </c>
      <c r="C3006" s="144" t="s">
        <v>1412</v>
      </c>
      <c r="D3006" s="145" t="s">
        <v>306</v>
      </c>
      <c r="E3006" s="25" t="s">
        <v>466</v>
      </c>
      <c r="F3006" s="25" t="s">
        <v>3551</v>
      </c>
      <c r="G3006" s="31">
        <v>10266</v>
      </c>
      <c r="H3006" s="5">
        <f t="shared" si="87"/>
        <v>0.27677447280000012</v>
      </c>
      <c r="I3006" s="147">
        <f t="shared" si="86"/>
        <v>2841.3667377648012</v>
      </c>
      <c r="J3006" s="146" t="s">
        <v>357</v>
      </c>
    </row>
    <row r="3007" spans="1:10" hidden="1">
      <c r="A3007" s="148">
        <v>46106</v>
      </c>
      <c r="B3007" s="146" t="s">
        <v>5945</v>
      </c>
      <c r="C3007" s="144" t="s">
        <v>1413</v>
      </c>
      <c r="D3007" s="145" t="s">
        <v>306</v>
      </c>
      <c r="E3007" s="25" t="s">
        <v>466</v>
      </c>
      <c r="F3007" s="25" t="s">
        <v>3551</v>
      </c>
      <c r="G3007" s="31">
        <v>15703</v>
      </c>
      <c r="H3007" s="5">
        <f t="shared" si="87"/>
        <v>0.27677447280000012</v>
      </c>
      <c r="I3007" s="147">
        <f t="shared" si="86"/>
        <v>4346.1895463784022</v>
      </c>
      <c r="J3007" s="146" t="s">
        <v>357</v>
      </c>
    </row>
    <row r="3008" spans="1:10" ht="30" hidden="1">
      <c r="A3008" s="9">
        <v>46106</v>
      </c>
      <c r="B3008" s="216" t="s">
        <v>7652</v>
      </c>
      <c r="C3008" s="5" t="s">
        <v>7653</v>
      </c>
      <c r="D3008" s="8" t="s">
        <v>306</v>
      </c>
      <c r="E3008" s="25" t="s">
        <v>466</v>
      </c>
      <c r="F3008" s="25" t="s">
        <v>3551</v>
      </c>
      <c r="G3008" s="31">
        <v>1620</v>
      </c>
      <c r="H3008" s="5">
        <f>0.9*0.8*0.7*0.93*(0.9*0.9*0.9*0.9*0.9*0.9)</f>
        <v>0.2490970255200001</v>
      </c>
      <c r="I3008" s="20">
        <f t="shared" si="86"/>
        <v>403.53718134240017</v>
      </c>
      <c r="J3008" s="6" t="s">
        <v>357</v>
      </c>
    </row>
    <row r="3009" spans="1:10" hidden="1">
      <c r="A3009" s="9">
        <v>46106</v>
      </c>
      <c r="B3009" s="6" t="s">
        <v>4587</v>
      </c>
      <c r="C3009" s="5" t="s">
        <v>2676</v>
      </c>
      <c r="D3009" s="8" t="s">
        <v>306</v>
      </c>
      <c r="E3009" s="6" t="s">
        <v>654</v>
      </c>
      <c r="F3009" s="6" t="s">
        <v>7446</v>
      </c>
      <c r="G3009" s="5">
        <v>325.60000000000002</v>
      </c>
      <c r="H3009" s="5">
        <f t="shared" ref="H3009:H3072" si="88">0.9*0.8*0.7*0.93*(0.9*0.9*0.9*0.9*0.9)</f>
        <v>0.27677447280000012</v>
      </c>
      <c r="I3009" s="20">
        <f t="shared" si="86"/>
        <v>90.117768343680041</v>
      </c>
      <c r="J3009" s="6" t="s">
        <v>357</v>
      </c>
    </row>
    <row r="3010" spans="1:10" hidden="1">
      <c r="A3010" s="9">
        <v>46106</v>
      </c>
      <c r="B3010" s="6" t="s">
        <v>4589</v>
      </c>
      <c r="C3010" s="5" t="s">
        <v>4588</v>
      </c>
      <c r="D3010" s="8" t="s">
        <v>306</v>
      </c>
      <c r="E3010" s="6" t="s">
        <v>654</v>
      </c>
      <c r="F3010" s="6" t="s">
        <v>7446</v>
      </c>
      <c r="G3010" s="5">
        <v>351.7</v>
      </c>
      <c r="H3010" s="5">
        <f t="shared" si="88"/>
        <v>0.27677447280000012</v>
      </c>
      <c r="I3010" s="20">
        <f t="shared" si="86"/>
        <v>97.341582083760031</v>
      </c>
      <c r="J3010" s="6" t="s">
        <v>357</v>
      </c>
    </row>
    <row r="3011" spans="1:10" hidden="1">
      <c r="A3011" s="9">
        <v>46106</v>
      </c>
      <c r="B3011" s="6" t="s">
        <v>4591</v>
      </c>
      <c r="C3011" s="5" t="s">
        <v>4590</v>
      </c>
      <c r="D3011" s="8" t="s">
        <v>306</v>
      </c>
      <c r="E3011" s="6" t="s">
        <v>1024</v>
      </c>
      <c r="F3011" s="6" t="s">
        <v>7446</v>
      </c>
      <c r="G3011" s="5">
        <v>27</v>
      </c>
      <c r="H3011" s="5">
        <f t="shared" si="88"/>
        <v>0.27677447280000012</v>
      </c>
      <c r="I3011" s="20">
        <f t="shared" si="86"/>
        <v>7.4729107656000036</v>
      </c>
      <c r="J3011" s="6" t="s">
        <v>357</v>
      </c>
    </row>
    <row r="3012" spans="1:10" hidden="1">
      <c r="A3012" s="9">
        <v>46106</v>
      </c>
      <c r="B3012" s="6" t="s">
        <v>4593</v>
      </c>
      <c r="C3012" s="5" t="s">
        <v>4592</v>
      </c>
      <c r="D3012" s="8" t="s">
        <v>306</v>
      </c>
      <c r="E3012" s="6" t="s">
        <v>1024</v>
      </c>
      <c r="F3012" s="6" t="s">
        <v>7446</v>
      </c>
      <c r="G3012" s="5">
        <v>27</v>
      </c>
      <c r="H3012" s="5">
        <f t="shared" si="88"/>
        <v>0.27677447280000012</v>
      </c>
      <c r="I3012" s="20">
        <f t="shared" si="86"/>
        <v>7.4729107656000036</v>
      </c>
      <c r="J3012" s="6" t="s">
        <v>357</v>
      </c>
    </row>
    <row r="3013" spans="1:10" hidden="1">
      <c r="A3013" s="9">
        <v>46106</v>
      </c>
      <c r="B3013" s="6" t="s">
        <v>4595</v>
      </c>
      <c r="C3013" s="5" t="s">
        <v>4594</v>
      </c>
      <c r="D3013" s="8" t="s">
        <v>306</v>
      </c>
      <c r="E3013" s="6" t="s">
        <v>1024</v>
      </c>
      <c r="F3013" s="6" t="s">
        <v>7446</v>
      </c>
      <c r="G3013" s="5">
        <v>27</v>
      </c>
      <c r="H3013" s="5">
        <f t="shared" si="88"/>
        <v>0.27677447280000012</v>
      </c>
      <c r="I3013" s="20">
        <f t="shared" si="86"/>
        <v>7.4729107656000036</v>
      </c>
      <c r="J3013" s="6" t="s">
        <v>357</v>
      </c>
    </row>
    <row r="3014" spans="1:10" hidden="1">
      <c r="A3014" s="9">
        <v>46106</v>
      </c>
      <c r="B3014" s="6" t="s">
        <v>4597</v>
      </c>
      <c r="C3014" s="5" t="s">
        <v>4596</v>
      </c>
      <c r="D3014" s="8" t="s">
        <v>306</v>
      </c>
      <c r="E3014" s="6" t="s">
        <v>1024</v>
      </c>
      <c r="F3014" s="6" t="s">
        <v>7446</v>
      </c>
      <c r="G3014" s="5">
        <v>27</v>
      </c>
      <c r="H3014" s="5">
        <f t="shared" si="88"/>
        <v>0.27677447280000012</v>
      </c>
      <c r="I3014" s="20">
        <f t="shared" si="86"/>
        <v>7.4729107656000036</v>
      </c>
      <c r="J3014" s="6" t="s">
        <v>357</v>
      </c>
    </row>
    <row r="3015" spans="1:10" hidden="1">
      <c r="A3015" s="9">
        <v>46106</v>
      </c>
      <c r="B3015" s="6" t="s">
        <v>4599</v>
      </c>
      <c r="C3015" s="5" t="s">
        <v>4598</v>
      </c>
      <c r="D3015" s="8" t="s">
        <v>306</v>
      </c>
      <c r="E3015" s="6" t="s">
        <v>1024</v>
      </c>
      <c r="F3015" s="6" t="s">
        <v>7446</v>
      </c>
      <c r="G3015" s="5">
        <v>27</v>
      </c>
      <c r="H3015" s="5">
        <f t="shared" si="88"/>
        <v>0.27677447280000012</v>
      </c>
      <c r="I3015" s="20">
        <f t="shared" si="86"/>
        <v>7.4729107656000036</v>
      </c>
      <c r="J3015" s="6" t="s">
        <v>357</v>
      </c>
    </row>
    <row r="3016" spans="1:10" hidden="1">
      <c r="A3016" s="9">
        <v>46106</v>
      </c>
      <c r="B3016" s="6" t="s">
        <v>4601</v>
      </c>
      <c r="C3016" s="5" t="s">
        <v>4600</v>
      </c>
      <c r="D3016" s="8" t="s">
        <v>306</v>
      </c>
      <c r="E3016" s="6" t="s">
        <v>1024</v>
      </c>
      <c r="F3016" s="6" t="s">
        <v>7446</v>
      </c>
      <c r="G3016" s="5">
        <v>27</v>
      </c>
      <c r="H3016" s="5">
        <f t="shared" si="88"/>
        <v>0.27677447280000012</v>
      </c>
      <c r="I3016" s="20">
        <f t="shared" si="86"/>
        <v>7.4729107656000036</v>
      </c>
      <c r="J3016" s="6" t="s">
        <v>357</v>
      </c>
    </row>
    <row r="3017" spans="1:10" hidden="1">
      <c r="A3017" s="9">
        <v>46106</v>
      </c>
      <c r="B3017" s="6" t="s">
        <v>4603</v>
      </c>
      <c r="C3017" s="5" t="s">
        <v>4602</v>
      </c>
      <c r="D3017" s="8" t="s">
        <v>306</v>
      </c>
      <c r="E3017" s="6" t="s">
        <v>1024</v>
      </c>
      <c r="F3017" s="6" t="s">
        <v>7446</v>
      </c>
      <c r="G3017" s="5">
        <v>38.299999999999997</v>
      </c>
      <c r="H3017" s="5">
        <f t="shared" si="88"/>
        <v>0.27677447280000012</v>
      </c>
      <c r="I3017" s="20">
        <f t="shared" si="86"/>
        <v>10.600462308240004</v>
      </c>
      <c r="J3017" s="6" t="s">
        <v>357</v>
      </c>
    </row>
    <row r="3018" spans="1:10" hidden="1">
      <c r="A3018" s="9">
        <v>46106</v>
      </c>
      <c r="B3018" s="6" t="s">
        <v>4605</v>
      </c>
      <c r="C3018" s="5" t="s">
        <v>4604</v>
      </c>
      <c r="D3018" s="8" t="s">
        <v>306</v>
      </c>
      <c r="E3018" s="6" t="s">
        <v>1024</v>
      </c>
      <c r="F3018" s="6" t="s">
        <v>7446</v>
      </c>
      <c r="G3018" s="5">
        <v>56.5</v>
      </c>
      <c r="H3018" s="5">
        <f t="shared" si="88"/>
        <v>0.27677447280000012</v>
      </c>
      <c r="I3018" s="20">
        <f t="shared" si="86"/>
        <v>15.637757713200006</v>
      </c>
      <c r="J3018" s="6" t="s">
        <v>357</v>
      </c>
    </row>
    <row r="3019" spans="1:10" hidden="1">
      <c r="A3019" s="9">
        <v>46106</v>
      </c>
      <c r="B3019" s="6" t="s">
        <v>4607</v>
      </c>
      <c r="C3019" s="5" t="s">
        <v>4606</v>
      </c>
      <c r="D3019" s="8" t="s">
        <v>306</v>
      </c>
      <c r="E3019" s="6" t="s">
        <v>1024</v>
      </c>
      <c r="F3019" s="6" t="s">
        <v>7446</v>
      </c>
      <c r="G3019" s="5">
        <v>56.5</v>
      </c>
      <c r="H3019" s="5">
        <f t="shared" si="88"/>
        <v>0.27677447280000012</v>
      </c>
      <c r="I3019" s="20">
        <f t="shared" si="86"/>
        <v>15.637757713200006</v>
      </c>
      <c r="J3019" s="6" t="s">
        <v>357</v>
      </c>
    </row>
    <row r="3020" spans="1:10" hidden="1">
      <c r="A3020" s="9">
        <v>46106</v>
      </c>
      <c r="B3020" s="6" t="s">
        <v>4609</v>
      </c>
      <c r="C3020" s="5" t="s">
        <v>4608</v>
      </c>
      <c r="D3020" s="8" t="s">
        <v>306</v>
      </c>
      <c r="E3020" s="6" t="s">
        <v>1024</v>
      </c>
      <c r="F3020" s="6" t="s">
        <v>7446</v>
      </c>
      <c r="G3020" s="5">
        <v>82.8</v>
      </c>
      <c r="H3020" s="5">
        <f t="shared" si="88"/>
        <v>0.27677447280000012</v>
      </c>
      <c r="I3020" s="20">
        <f t="shared" si="86"/>
        <v>22.916926347840008</v>
      </c>
      <c r="J3020" s="6" t="s">
        <v>357</v>
      </c>
    </row>
    <row r="3021" spans="1:10" hidden="1">
      <c r="A3021" s="9">
        <v>46106</v>
      </c>
      <c r="B3021" s="6" t="s">
        <v>4611</v>
      </c>
      <c r="C3021" s="5" t="s">
        <v>4610</v>
      </c>
      <c r="D3021" s="8" t="s">
        <v>306</v>
      </c>
      <c r="E3021" s="6" t="s">
        <v>1024</v>
      </c>
      <c r="F3021" s="6" t="s">
        <v>7446</v>
      </c>
      <c r="G3021" s="5">
        <v>82.8</v>
      </c>
      <c r="H3021" s="5">
        <f t="shared" si="88"/>
        <v>0.27677447280000012</v>
      </c>
      <c r="I3021" s="20">
        <f t="shared" si="86"/>
        <v>22.916926347840008</v>
      </c>
      <c r="J3021" s="6" t="s">
        <v>357</v>
      </c>
    </row>
    <row r="3022" spans="1:10" hidden="1">
      <c r="A3022" s="9">
        <v>46106</v>
      </c>
      <c r="B3022" s="6" t="s">
        <v>4613</v>
      </c>
      <c r="C3022" s="5" t="s">
        <v>4612</v>
      </c>
      <c r="D3022" s="8" t="s">
        <v>306</v>
      </c>
      <c r="E3022" s="6" t="s">
        <v>1024</v>
      </c>
      <c r="F3022" s="6" t="s">
        <v>7446</v>
      </c>
      <c r="G3022" s="5">
        <v>82.8</v>
      </c>
      <c r="H3022" s="5">
        <f t="shared" si="88"/>
        <v>0.27677447280000012</v>
      </c>
      <c r="I3022" s="20">
        <f t="shared" si="86"/>
        <v>22.916926347840008</v>
      </c>
      <c r="J3022" s="6" t="s">
        <v>357</v>
      </c>
    </row>
    <row r="3023" spans="1:10" hidden="1">
      <c r="A3023" s="9">
        <v>46106</v>
      </c>
      <c r="B3023" s="6" t="s">
        <v>4615</v>
      </c>
      <c r="C3023" s="5" t="s">
        <v>4614</v>
      </c>
      <c r="D3023" s="8" t="s">
        <v>306</v>
      </c>
      <c r="E3023" s="6" t="s">
        <v>1024</v>
      </c>
      <c r="F3023" s="6" t="s">
        <v>7446</v>
      </c>
      <c r="G3023" s="5">
        <v>82.8</v>
      </c>
      <c r="H3023" s="5">
        <f t="shared" si="88"/>
        <v>0.27677447280000012</v>
      </c>
      <c r="I3023" s="20">
        <f t="shared" si="86"/>
        <v>22.916926347840008</v>
      </c>
      <c r="J3023" s="6" t="s">
        <v>357</v>
      </c>
    </row>
    <row r="3024" spans="1:10" hidden="1">
      <c r="A3024" s="9">
        <v>46106</v>
      </c>
      <c r="B3024" s="6" t="s">
        <v>4617</v>
      </c>
      <c r="C3024" s="5" t="s">
        <v>4616</v>
      </c>
      <c r="D3024" s="8" t="s">
        <v>306</v>
      </c>
      <c r="E3024" s="6" t="s">
        <v>1024</v>
      </c>
      <c r="F3024" s="6" t="s">
        <v>7446</v>
      </c>
      <c r="G3024" s="5">
        <v>82.8</v>
      </c>
      <c r="H3024" s="5">
        <f t="shared" si="88"/>
        <v>0.27677447280000012</v>
      </c>
      <c r="I3024" s="20">
        <f t="shared" si="86"/>
        <v>22.916926347840008</v>
      </c>
      <c r="J3024" s="6" t="s">
        <v>357</v>
      </c>
    </row>
    <row r="3025" spans="1:10" hidden="1">
      <c r="A3025" s="9">
        <v>46106</v>
      </c>
      <c r="B3025" s="6" t="s">
        <v>4619</v>
      </c>
      <c r="C3025" s="5" t="s">
        <v>4618</v>
      </c>
      <c r="D3025" s="8" t="s">
        <v>306</v>
      </c>
      <c r="E3025" s="6" t="s">
        <v>1024</v>
      </c>
      <c r="F3025" s="6" t="s">
        <v>7446</v>
      </c>
      <c r="G3025" s="5">
        <v>82.8</v>
      </c>
      <c r="H3025" s="5">
        <f t="shared" si="88"/>
        <v>0.27677447280000012</v>
      </c>
      <c r="I3025" s="20">
        <f t="shared" si="86"/>
        <v>22.916926347840008</v>
      </c>
      <c r="J3025" s="6" t="s">
        <v>357</v>
      </c>
    </row>
    <row r="3026" spans="1:10" hidden="1">
      <c r="A3026" s="9">
        <v>46106</v>
      </c>
      <c r="B3026" s="6" t="s">
        <v>4621</v>
      </c>
      <c r="C3026" s="5" t="s">
        <v>4620</v>
      </c>
      <c r="D3026" s="8" t="s">
        <v>306</v>
      </c>
      <c r="E3026" s="6" t="s">
        <v>1024</v>
      </c>
      <c r="F3026" s="6" t="s">
        <v>7446</v>
      </c>
      <c r="G3026" s="5">
        <v>84.4</v>
      </c>
      <c r="H3026" s="5">
        <f t="shared" si="88"/>
        <v>0.27677447280000012</v>
      </c>
      <c r="I3026" s="20">
        <f t="shared" si="86"/>
        <v>23.359765504320013</v>
      </c>
      <c r="J3026" s="6" t="s">
        <v>357</v>
      </c>
    </row>
    <row r="3027" spans="1:10" hidden="1">
      <c r="A3027" s="9">
        <v>46106</v>
      </c>
      <c r="B3027" s="6" t="s">
        <v>4623</v>
      </c>
      <c r="C3027" s="5" t="s">
        <v>4622</v>
      </c>
      <c r="D3027" s="8" t="s">
        <v>306</v>
      </c>
      <c r="E3027" s="6" t="s">
        <v>1024</v>
      </c>
      <c r="F3027" s="6" t="s">
        <v>7446</v>
      </c>
      <c r="G3027" s="5">
        <v>108.7</v>
      </c>
      <c r="H3027" s="5">
        <f t="shared" si="88"/>
        <v>0.27677447280000012</v>
      </c>
      <c r="I3027" s="20">
        <f t="shared" si="86"/>
        <v>30.085385193360015</v>
      </c>
      <c r="J3027" s="6" t="s">
        <v>357</v>
      </c>
    </row>
    <row r="3028" spans="1:10" hidden="1">
      <c r="A3028" s="9">
        <v>46106</v>
      </c>
      <c r="B3028" s="6" t="s">
        <v>4625</v>
      </c>
      <c r="C3028" s="5" t="s">
        <v>4624</v>
      </c>
      <c r="D3028" s="8" t="s">
        <v>306</v>
      </c>
      <c r="E3028" s="6" t="s">
        <v>1024</v>
      </c>
      <c r="F3028" s="6" t="s">
        <v>7446</v>
      </c>
      <c r="G3028" s="5">
        <v>105.1</v>
      </c>
      <c r="H3028" s="5">
        <f t="shared" si="88"/>
        <v>0.27677447280000012</v>
      </c>
      <c r="I3028" s="20">
        <f t="shared" si="86"/>
        <v>29.08899709128001</v>
      </c>
      <c r="J3028" s="6" t="s">
        <v>357</v>
      </c>
    </row>
    <row r="3029" spans="1:10" hidden="1">
      <c r="A3029" s="9">
        <v>46106</v>
      </c>
      <c r="B3029" s="6" t="s">
        <v>4627</v>
      </c>
      <c r="C3029" s="5" t="s">
        <v>4626</v>
      </c>
      <c r="D3029" s="8" t="s">
        <v>306</v>
      </c>
      <c r="E3029" s="6" t="s">
        <v>1024</v>
      </c>
      <c r="F3029" s="6" t="s">
        <v>7446</v>
      </c>
      <c r="G3029" s="5">
        <v>123.2</v>
      </c>
      <c r="H3029" s="5">
        <f t="shared" si="88"/>
        <v>0.27677447280000012</v>
      </c>
      <c r="I3029" s="20">
        <f t="shared" si="86"/>
        <v>34.098615048960013</v>
      </c>
      <c r="J3029" s="6" t="s">
        <v>357</v>
      </c>
    </row>
    <row r="3030" spans="1:10" hidden="1">
      <c r="A3030" s="9">
        <v>46106</v>
      </c>
      <c r="B3030" s="6" t="s">
        <v>4629</v>
      </c>
      <c r="C3030" s="5" t="s">
        <v>4628</v>
      </c>
      <c r="D3030" s="8" t="s">
        <v>306</v>
      </c>
      <c r="E3030" s="6" t="s">
        <v>1024</v>
      </c>
      <c r="F3030" s="6" t="s">
        <v>7446</v>
      </c>
      <c r="G3030" s="5">
        <v>123.2</v>
      </c>
      <c r="H3030" s="5">
        <f t="shared" si="88"/>
        <v>0.27677447280000012</v>
      </c>
      <c r="I3030" s="20">
        <f t="shared" si="86"/>
        <v>34.098615048960013</v>
      </c>
      <c r="J3030" s="6" t="s">
        <v>357</v>
      </c>
    </row>
    <row r="3031" spans="1:10" hidden="1">
      <c r="A3031" s="9">
        <v>46106</v>
      </c>
      <c r="B3031" s="6" t="s">
        <v>4631</v>
      </c>
      <c r="C3031" s="5" t="s">
        <v>4630</v>
      </c>
      <c r="D3031" s="8" t="s">
        <v>306</v>
      </c>
      <c r="E3031" s="6" t="s">
        <v>1024</v>
      </c>
      <c r="F3031" s="6" t="s">
        <v>7446</v>
      </c>
      <c r="G3031" s="5">
        <v>123.2</v>
      </c>
      <c r="H3031" s="5">
        <f t="shared" si="88"/>
        <v>0.27677447280000012</v>
      </c>
      <c r="I3031" s="20">
        <f t="shared" si="86"/>
        <v>34.098615048960013</v>
      </c>
      <c r="J3031" s="6" t="s">
        <v>357</v>
      </c>
    </row>
    <row r="3032" spans="1:10" hidden="1">
      <c r="A3032" s="9">
        <v>46106</v>
      </c>
      <c r="B3032" s="6" t="s">
        <v>4633</v>
      </c>
      <c r="C3032" s="5" t="s">
        <v>4632</v>
      </c>
      <c r="D3032" s="8" t="s">
        <v>306</v>
      </c>
      <c r="E3032" s="6" t="s">
        <v>1024</v>
      </c>
      <c r="F3032" s="6" t="s">
        <v>7446</v>
      </c>
      <c r="G3032" s="5">
        <v>123.2</v>
      </c>
      <c r="H3032" s="5">
        <f t="shared" si="88"/>
        <v>0.27677447280000012</v>
      </c>
      <c r="I3032" s="20">
        <f t="shared" si="86"/>
        <v>34.098615048960013</v>
      </c>
      <c r="J3032" s="6" t="s">
        <v>357</v>
      </c>
    </row>
    <row r="3033" spans="1:10" hidden="1">
      <c r="A3033" s="9">
        <v>46106</v>
      </c>
      <c r="B3033" s="6" t="s">
        <v>4635</v>
      </c>
      <c r="C3033" s="5" t="s">
        <v>4634</v>
      </c>
      <c r="D3033" s="8" t="s">
        <v>306</v>
      </c>
      <c r="E3033" s="6" t="s">
        <v>1024</v>
      </c>
      <c r="F3033" s="6" t="s">
        <v>7446</v>
      </c>
      <c r="G3033" s="5">
        <v>123.2</v>
      </c>
      <c r="H3033" s="5">
        <f t="shared" si="88"/>
        <v>0.27677447280000012</v>
      </c>
      <c r="I3033" s="20">
        <f t="shared" ref="I3033:I3096" si="89">H3033*G3033</f>
        <v>34.098615048960013</v>
      </c>
      <c r="J3033" s="6" t="s">
        <v>357</v>
      </c>
    </row>
    <row r="3034" spans="1:10" hidden="1">
      <c r="A3034" s="9">
        <v>46106</v>
      </c>
      <c r="B3034" s="6" t="s">
        <v>4637</v>
      </c>
      <c r="C3034" s="5" t="s">
        <v>4636</v>
      </c>
      <c r="D3034" s="8" t="s">
        <v>306</v>
      </c>
      <c r="E3034" s="6" t="s">
        <v>1024</v>
      </c>
      <c r="F3034" s="6" t="s">
        <v>7446</v>
      </c>
      <c r="G3034" s="5">
        <v>124.8</v>
      </c>
      <c r="H3034" s="5">
        <f t="shared" si="88"/>
        <v>0.27677447280000012</v>
      </c>
      <c r="I3034" s="20">
        <f t="shared" si="89"/>
        <v>34.541454205440012</v>
      </c>
      <c r="J3034" s="6" t="s">
        <v>357</v>
      </c>
    </row>
    <row r="3035" spans="1:10" hidden="1">
      <c r="A3035" s="9">
        <v>46106</v>
      </c>
      <c r="B3035" s="6" t="s">
        <v>4639</v>
      </c>
      <c r="C3035" s="5" t="s">
        <v>4638</v>
      </c>
      <c r="D3035" s="8" t="s">
        <v>306</v>
      </c>
      <c r="E3035" s="6" t="s">
        <v>1024</v>
      </c>
      <c r="F3035" s="6" t="s">
        <v>7446</v>
      </c>
      <c r="G3035" s="5">
        <v>126.8</v>
      </c>
      <c r="H3035" s="5">
        <f t="shared" si="88"/>
        <v>0.27677447280000012</v>
      </c>
      <c r="I3035" s="20">
        <f t="shared" si="89"/>
        <v>35.095003151040011</v>
      </c>
      <c r="J3035" s="6" t="s">
        <v>357</v>
      </c>
    </row>
    <row r="3036" spans="1:10" hidden="1">
      <c r="A3036" s="9">
        <v>46106</v>
      </c>
      <c r="B3036" s="6" t="s">
        <v>4641</v>
      </c>
      <c r="C3036" s="5" t="s">
        <v>4640</v>
      </c>
      <c r="D3036" s="8" t="s">
        <v>306</v>
      </c>
      <c r="E3036" s="6" t="s">
        <v>1024</v>
      </c>
      <c r="F3036" s="6" t="s">
        <v>7446</v>
      </c>
      <c r="G3036" s="5">
        <v>161</v>
      </c>
      <c r="H3036" s="5">
        <f t="shared" si="88"/>
        <v>0.27677447280000012</v>
      </c>
      <c r="I3036" s="20">
        <f t="shared" si="89"/>
        <v>44.560690120800018</v>
      </c>
      <c r="J3036" s="6" t="s">
        <v>357</v>
      </c>
    </row>
    <row r="3037" spans="1:10" hidden="1">
      <c r="A3037" s="9">
        <v>46106</v>
      </c>
      <c r="B3037" s="6" t="s">
        <v>4643</v>
      </c>
      <c r="C3037" s="5" t="s">
        <v>4642</v>
      </c>
      <c r="D3037" s="8" t="s">
        <v>306</v>
      </c>
      <c r="E3037" s="6" t="s">
        <v>1024</v>
      </c>
      <c r="F3037" s="6" t="s">
        <v>7446</v>
      </c>
      <c r="G3037" s="5">
        <v>158.4</v>
      </c>
      <c r="H3037" s="5">
        <f t="shared" si="88"/>
        <v>0.27677447280000012</v>
      </c>
      <c r="I3037" s="20">
        <f t="shared" si="89"/>
        <v>43.84107649152002</v>
      </c>
      <c r="J3037" s="6" t="s">
        <v>357</v>
      </c>
    </row>
    <row r="3038" spans="1:10" hidden="1">
      <c r="A3038" s="9">
        <v>46106</v>
      </c>
      <c r="B3038" s="216" t="s">
        <v>7489</v>
      </c>
      <c r="C3038" s="143" t="s">
        <v>3597</v>
      </c>
      <c r="D3038" s="8" t="s">
        <v>306</v>
      </c>
      <c r="E3038" s="6" t="s">
        <v>1024</v>
      </c>
      <c r="F3038" s="6" t="s">
        <v>7446</v>
      </c>
      <c r="G3038" s="31">
        <v>53.9</v>
      </c>
      <c r="H3038" s="5">
        <f t="shared" si="88"/>
        <v>0.27677447280000012</v>
      </c>
      <c r="I3038" s="20">
        <f t="shared" si="89"/>
        <v>14.918144083920005</v>
      </c>
      <c r="J3038" s="6" t="s">
        <v>357</v>
      </c>
    </row>
    <row r="3039" spans="1:10" hidden="1">
      <c r="A3039" s="9">
        <v>46106</v>
      </c>
      <c r="B3039" s="240" t="s">
        <v>7490</v>
      </c>
      <c r="C3039" s="143" t="s">
        <v>3599</v>
      </c>
      <c r="D3039" s="8" t="s">
        <v>306</v>
      </c>
      <c r="E3039" s="6" t="s">
        <v>1024</v>
      </c>
      <c r="F3039" s="6" t="s">
        <v>7446</v>
      </c>
      <c r="G3039" s="31">
        <v>53.9</v>
      </c>
      <c r="H3039" s="5">
        <f t="shared" si="88"/>
        <v>0.27677447280000012</v>
      </c>
      <c r="I3039" s="20">
        <f t="shared" si="89"/>
        <v>14.918144083920005</v>
      </c>
      <c r="J3039" s="6" t="s">
        <v>357</v>
      </c>
    </row>
    <row r="3040" spans="1:10" hidden="1">
      <c r="A3040" s="9">
        <v>46106</v>
      </c>
      <c r="B3040" s="240" t="s">
        <v>7491</v>
      </c>
      <c r="C3040" s="143" t="s">
        <v>3601</v>
      </c>
      <c r="D3040" s="8" t="s">
        <v>306</v>
      </c>
      <c r="E3040" s="6" t="s">
        <v>1024</v>
      </c>
      <c r="F3040" s="6" t="s">
        <v>7446</v>
      </c>
      <c r="G3040" s="31">
        <v>53.9</v>
      </c>
      <c r="H3040" s="5">
        <f t="shared" si="88"/>
        <v>0.27677447280000012</v>
      </c>
      <c r="I3040" s="20">
        <f t="shared" si="89"/>
        <v>14.918144083920005</v>
      </c>
      <c r="J3040" s="6" t="s">
        <v>357</v>
      </c>
    </row>
    <row r="3041" spans="1:10" hidden="1">
      <c r="A3041" s="9">
        <v>46106</v>
      </c>
      <c r="B3041" s="240" t="s">
        <v>7492</v>
      </c>
      <c r="C3041" s="143" t="s">
        <v>3603</v>
      </c>
      <c r="D3041" s="8" t="s">
        <v>306</v>
      </c>
      <c r="E3041" s="6" t="s">
        <v>1024</v>
      </c>
      <c r="F3041" s="6" t="s">
        <v>7446</v>
      </c>
      <c r="G3041" s="31">
        <v>53.9</v>
      </c>
      <c r="H3041" s="5">
        <f t="shared" si="88"/>
        <v>0.27677447280000012</v>
      </c>
      <c r="I3041" s="20">
        <f t="shared" si="89"/>
        <v>14.918144083920005</v>
      </c>
      <c r="J3041" s="6" t="s">
        <v>357</v>
      </c>
    </row>
    <row r="3042" spans="1:10" hidden="1">
      <c r="A3042" s="9">
        <v>46106</v>
      </c>
      <c r="B3042" s="240" t="s">
        <v>7493</v>
      </c>
      <c r="C3042" s="143" t="s">
        <v>7510</v>
      </c>
      <c r="D3042" s="8" t="s">
        <v>306</v>
      </c>
      <c r="E3042" s="6" t="s">
        <v>1024</v>
      </c>
      <c r="F3042" s="6" t="s">
        <v>7446</v>
      </c>
      <c r="G3042" s="31">
        <v>53.9</v>
      </c>
      <c r="H3042" s="5">
        <f t="shared" si="88"/>
        <v>0.27677447280000012</v>
      </c>
      <c r="I3042" s="20">
        <f t="shared" si="89"/>
        <v>14.918144083920005</v>
      </c>
      <c r="J3042" s="6" t="s">
        <v>357</v>
      </c>
    </row>
    <row r="3043" spans="1:10" hidden="1">
      <c r="A3043" s="9">
        <v>46106</v>
      </c>
      <c r="B3043" s="6" t="s">
        <v>4644</v>
      </c>
      <c r="C3043" s="5" t="s">
        <v>3609</v>
      </c>
      <c r="D3043" s="8" t="s">
        <v>306</v>
      </c>
      <c r="E3043" s="6" t="s">
        <v>1024</v>
      </c>
      <c r="F3043" s="6" t="s">
        <v>7446</v>
      </c>
      <c r="G3043" s="5">
        <v>55.4</v>
      </c>
      <c r="H3043" s="5">
        <f t="shared" si="88"/>
        <v>0.27677447280000012</v>
      </c>
      <c r="I3043" s="20">
        <f t="shared" si="89"/>
        <v>15.333305793120006</v>
      </c>
      <c r="J3043" s="6" t="s">
        <v>357</v>
      </c>
    </row>
    <row r="3044" spans="1:10" hidden="1">
      <c r="A3044" s="9">
        <v>46106</v>
      </c>
      <c r="B3044" s="240" t="s">
        <v>7494</v>
      </c>
      <c r="C3044" s="143" t="s">
        <v>3613</v>
      </c>
      <c r="D3044" s="8" t="s">
        <v>306</v>
      </c>
      <c r="E3044" s="6" t="s">
        <v>1024</v>
      </c>
      <c r="F3044" s="6" t="s">
        <v>7446</v>
      </c>
      <c r="G3044" s="31">
        <v>101.5</v>
      </c>
      <c r="H3044" s="5">
        <f t="shared" si="88"/>
        <v>0.27677447280000012</v>
      </c>
      <c r="I3044" s="20">
        <f t="shared" si="89"/>
        <v>28.092608989200013</v>
      </c>
      <c r="J3044" s="6" t="s">
        <v>357</v>
      </c>
    </row>
    <row r="3045" spans="1:10" hidden="1">
      <c r="A3045" s="301">
        <v>46106</v>
      </c>
      <c r="B3045" s="300" t="s">
        <v>7495</v>
      </c>
      <c r="C3045" s="143" t="s">
        <v>3623</v>
      </c>
      <c r="D3045" s="8" t="s">
        <v>306</v>
      </c>
      <c r="E3045" s="6" t="s">
        <v>1024</v>
      </c>
      <c r="F3045" s="6" t="s">
        <v>7446</v>
      </c>
      <c r="G3045" s="31">
        <v>122.2</v>
      </c>
      <c r="H3045" s="5">
        <f t="shared" si="88"/>
        <v>0.27677447280000012</v>
      </c>
      <c r="I3045" s="299">
        <f t="shared" si="89"/>
        <v>33.821840576160014</v>
      </c>
      <c r="J3045" s="6" t="s">
        <v>357</v>
      </c>
    </row>
    <row r="3046" spans="1:10" hidden="1">
      <c r="A3046" s="301">
        <v>46106</v>
      </c>
      <c r="B3046" s="300" t="s">
        <v>7496</v>
      </c>
      <c r="C3046" s="143" t="s">
        <v>3625</v>
      </c>
      <c r="D3046" s="8" t="s">
        <v>306</v>
      </c>
      <c r="E3046" s="6" t="s">
        <v>1024</v>
      </c>
      <c r="F3046" s="6" t="s">
        <v>7446</v>
      </c>
      <c r="G3046" s="31">
        <v>122.2</v>
      </c>
      <c r="H3046" s="5">
        <f t="shared" si="88"/>
        <v>0.27677447280000012</v>
      </c>
      <c r="I3046" s="299">
        <f t="shared" si="89"/>
        <v>33.821840576160014</v>
      </c>
      <c r="J3046" s="6" t="s">
        <v>357</v>
      </c>
    </row>
    <row r="3047" spans="1:10" hidden="1">
      <c r="A3047" s="301">
        <v>46106</v>
      </c>
      <c r="B3047" s="300" t="s">
        <v>7497</v>
      </c>
      <c r="C3047" s="143" t="s">
        <v>3627</v>
      </c>
      <c r="D3047" s="8" t="s">
        <v>306</v>
      </c>
      <c r="E3047" s="6" t="s">
        <v>1024</v>
      </c>
      <c r="F3047" s="6" t="s">
        <v>7446</v>
      </c>
      <c r="G3047" s="31">
        <v>122.2</v>
      </c>
      <c r="H3047" s="5">
        <f t="shared" si="88"/>
        <v>0.27677447280000012</v>
      </c>
      <c r="I3047" s="299">
        <f t="shared" si="89"/>
        <v>33.821840576160014</v>
      </c>
      <c r="J3047" s="6" t="s">
        <v>357</v>
      </c>
    </row>
    <row r="3048" spans="1:10" hidden="1">
      <c r="A3048" s="301">
        <v>46106</v>
      </c>
      <c r="B3048" s="300" t="s">
        <v>7498</v>
      </c>
      <c r="C3048" s="143" t="s">
        <v>3629</v>
      </c>
      <c r="D3048" s="8" t="s">
        <v>306</v>
      </c>
      <c r="E3048" s="6" t="s">
        <v>1024</v>
      </c>
      <c r="F3048" s="6" t="s">
        <v>7446</v>
      </c>
      <c r="G3048" s="31">
        <v>122.2</v>
      </c>
      <c r="H3048" s="5">
        <f t="shared" si="88"/>
        <v>0.27677447280000012</v>
      </c>
      <c r="I3048" s="299">
        <f t="shared" si="89"/>
        <v>33.821840576160014</v>
      </c>
      <c r="J3048" s="6" t="s">
        <v>357</v>
      </c>
    </row>
    <row r="3049" spans="1:10" hidden="1">
      <c r="A3049" s="301">
        <v>46106</v>
      </c>
      <c r="B3049" s="300" t="s">
        <v>7499</v>
      </c>
      <c r="C3049" s="143" t="s">
        <v>3633</v>
      </c>
      <c r="D3049" s="8" t="s">
        <v>306</v>
      </c>
      <c r="E3049" s="6" t="s">
        <v>1024</v>
      </c>
      <c r="F3049" s="6" t="s">
        <v>7446</v>
      </c>
      <c r="G3049" s="31">
        <v>122.2</v>
      </c>
      <c r="H3049" s="5">
        <f t="shared" si="88"/>
        <v>0.27677447280000012</v>
      </c>
      <c r="I3049" s="299">
        <f t="shared" si="89"/>
        <v>33.821840576160014</v>
      </c>
      <c r="J3049" s="6" t="s">
        <v>357</v>
      </c>
    </row>
    <row r="3050" spans="1:10" hidden="1">
      <c r="A3050" s="301">
        <v>46106</v>
      </c>
      <c r="B3050" s="300" t="s">
        <v>7500</v>
      </c>
      <c r="C3050" s="143" t="s">
        <v>3635</v>
      </c>
      <c r="D3050" s="8" t="s">
        <v>306</v>
      </c>
      <c r="E3050" s="6" t="s">
        <v>1024</v>
      </c>
      <c r="F3050" s="6" t="s">
        <v>7446</v>
      </c>
      <c r="G3050" s="31">
        <v>125.8</v>
      </c>
      <c r="H3050" s="5">
        <f t="shared" si="88"/>
        <v>0.27677447280000012</v>
      </c>
      <c r="I3050" s="299">
        <f t="shared" si="89"/>
        <v>34.818228678240011</v>
      </c>
      <c r="J3050" s="6" t="s">
        <v>357</v>
      </c>
    </row>
    <row r="3051" spans="1:10" hidden="1">
      <c r="A3051" s="301">
        <v>46106</v>
      </c>
      <c r="B3051" s="300" t="s">
        <v>7501</v>
      </c>
      <c r="C3051" s="143" t="s">
        <v>3639</v>
      </c>
      <c r="D3051" s="8" t="s">
        <v>306</v>
      </c>
      <c r="E3051" s="6" t="s">
        <v>1024</v>
      </c>
      <c r="F3051" s="6" t="s">
        <v>7446</v>
      </c>
      <c r="G3051" s="31">
        <v>191.5</v>
      </c>
      <c r="H3051" s="5">
        <f t="shared" si="88"/>
        <v>0.27677447280000012</v>
      </c>
      <c r="I3051" s="299">
        <f t="shared" si="89"/>
        <v>53.002311541200022</v>
      </c>
      <c r="J3051" s="6" t="s">
        <v>357</v>
      </c>
    </row>
    <row r="3052" spans="1:10" hidden="1">
      <c r="A3052" s="301">
        <v>46106</v>
      </c>
      <c r="B3052" s="300" t="s">
        <v>7502</v>
      </c>
      <c r="C3052" s="143" t="s">
        <v>3649</v>
      </c>
      <c r="D3052" s="8" t="s">
        <v>306</v>
      </c>
      <c r="E3052" s="6" t="s">
        <v>1024</v>
      </c>
      <c r="F3052" s="6" t="s">
        <v>7446</v>
      </c>
      <c r="G3052" s="31">
        <v>189.5</v>
      </c>
      <c r="H3052" s="5">
        <f t="shared" si="88"/>
        <v>0.27677447280000012</v>
      </c>
      <c r="I3052" s="299">
        <f t="shared" si="89"/>
        <v>52.448762595600023</v>
      </c>
      <c r="J3052" s="6" t="s">
        <v>357</v>
      </c>
    </row>
    <row r="3053" spans="1:10" hidden="1">
      <c r="A3053" s="301">
        <v>46106</v>
      </c>
      <c r="B3053" s="300" t="s">
        <v>7503</v>
      </c>
      <c r="C3053" s="143" t="s">
        <v>3651</v>
      </c>
      <c r="D3053" s="8" t="s">
        <v>306</v>
      </c>
      <c r="E3053" s="6" t="s">
        <v>1024</v>
      </c>
      <c r="F3053" s="6" t="s">
        <v>7446</v>
      </c>
      <c r="G3053" s="31">
        <v>189.5</v>
      </c>
      <c r="H3053" s="5">
        <f t="shared" si="88"/>
        <v>0.27677447280000012</v>
      </c>
      <c r="I3053" s="299">
        <f t="shared" si="89"/>
        <v>52.448762595600023</v>
      </c>
      <c r="J3053" s="6" t="s">
        <v>357</v>
      </c>
    </row>
    <row r="3054" spans="1:10" hidden="1">
      <c r="A3054" s="301">
        <v>46106</v>
      </c>
      <c r="B3054" s="300" t="s">
        <v>7504</v>
      </c>
      <c r="C3054" s="143" t="s">
        <v>7509</v>
      </c>
      <c r="D3054" s="8" t="s">
        <v>306</v>
      </c>
      <c r="E3054" s="6" t="s">
        <v>1024</v>
      </c>
      <c r="F3054" s="6" t="s">
        <v>7446</v>
      </c>
      <c r="G3054" s="31">
        <v>189.5</v>
      </c>
      <c r="H3054" s="5">
        <f t="shared" si="88"/>
        <v>0.27677447280000012</v>
      </c>
      <c r="I3054" s="299">
        <f t="shared" si="89"/>
        <v>52.448762595600023</v>
      </c>
      <c r="J3054" s="6" t="s">
        <v>357</v>
      </c>
    </row>
    <row r="3055" spans="1:10" hidden="1">
      <c r="A3055" s="301">
        <v>46106</v>
      </c>
      <c r="B3055" s="300" t="s">
        <v>7505</v>
      </c>
      <c r="C3055" s="143" t="s">
        <v>3655</v>
      </c>
      <c r="D3055" s="8" t="s">
        <v>306</v>
      </c>
      <c r="E3055" s="6" t="s">
        <v>1024</v>
      </c>
      <c r="F3055" s="6" t="s">
        <v>7446</v>
      </c>
      <c r="G3055" s="31">
        <v>189.5</v>
      </c>
      <c r="H3055" s="5">
        <f t="shared" si="88"/>
        <v>0.27677447280000012</v>
      </c>
      <c r="I3055" s="299">
        <f t="shared" si="89"/>
        <v>52.448762595600023</v>
      </c>
      <c r="J3055" s="6" t="s">
        <v>357</v>
      </c>
    </row>
    <row r="3056" spans="1:10" hidden="1">
      <c r="A3056" s="301">
        <v>46106</v>
      </c>
      <c r="B3056" s="300" t="s">
        <v>7506</v>
      </c>
      <c r="C3056" s="143" t="s">
        <v>3659</v>
      </c>
      <c r="D3056" s="8" t="s">
        <v>306</v>
      </c>
      <c r="E3056" s="6" t="s">
        <v>1024</v>
      </c>
      <c r="F3056" s="6" t="s">
        <v>7446</v>
      </c>
      <c r="G3056" s="31">
        <v>189.5</v>
      </c>
      <c r="H3056" s="5">
        <f t="shared" si="88"/>
        <v>0.27677447280000012</v>
      </c>
      <c r="I3056" s="299">
        <f t="shared" si="89"/>
        <v>52.448762595600023</v>
      </c>
      <c r="J3056" s="6" t="s">
        <v>357</v>
      </c>
    </row>
    <row r="3057" spans="1:10" hidden="1">
      <c r="A3057" s="301">
        <v>46106</v>
      </c>
      <c r="B3057" s="300" t="s">
        <v>7507</v>
      </c>
      <c r="C3057" s="143" t="s">
        <v>3661</v>
      </c>
      <c r="D3057" s="8" t="s">
        <v>306</v>
      </c>
      <c r="E3057" s="6" t="s">
        <v>1024</v>
      </c>
      <c r="F3057" s="6" t="s">
        <v>7446</v>
      </c>
      <c r="G3057" s="31">
        <v>194.6</v>
      </c>
      <c r="H3057" s="5">
        <f t="shared" si="88"/>
        <v>0.27677447280000012</v>
      </c>
      <c r="I3057" s="299">
        <f t="shared" si="89"/>
        <v>53.86031240688002</v>
      </c>
      <c r="J3057" s="6" t="s">
        <v>357</v>
      </c>
    </row>
    <row r="3058" spans="1:10" hidden="1">
      <c r="A3058" s="301">
        <v>46106</v>
      </c>
      <c r="B3058" s="300" t="s">
        <v>7508</v>
      </c>
      <c r="C3058" s="143" t="s">
        <v>3665</v>
      </c>
      <c r="D3058" s="8" t="s">
        <v>306</v>
      </c>
      <c r="E3058" s="6" t="s">
        <v>1024</v>
      </c>
      <c r="F3058" s="6" t="s">
        <v>7446</v>
      </c>
      <c r="G3058" s="31">
        <v>348.3</v>
      </c>
      <c r="H3058" s="5">
        <f t="shared" si="88"/>
        <v>0.27677447280000012</v>
      </c>
      <c r="I3058" s="299">
        <f t="shared" si="89"/>
        <v>96.400548876240038</v>
      </c>
      <c r="J3058" s="6" t="s">
        <v>357</v>
      </c>
    </row>
    <row r="3059" spans="1:10" hidden="1">
      <c r="A3059" s="9">
        <v>46106</v>
      </c>
      <c r="B3059" s="6" t="s">
        <v>4646</v>
      </c>
      <c r="C3059" s="5" t="s">
        <v>4645</v>
      </c>
      <c r="D3059" s="8" t="s">
        <v>306</v>
      </c>
      <c r="E3059" s="6" t="s">
        <v>1024</v>
      </c>
      <c r="F3059" s="6" t="s">
        <v>7446</v>
      </c>
      <c r="G3059" s="5">
        <v>27.5</v>
      </c>
      <c r="H3059" s="5">
        <f t="shared" si="88"/>
        <v>0.27677447280000012</v>
      </c>
      <c r="I3059" s="20">
        <f t="shared" si="89"/>
        <v>7.6112980020000034</v>
      </c>
      <c r="J3059" s="6" t="s">
        <v>357</v>
      </c>
    </row>
    <row r="3060" spans="1:10" hidden="1">
      <c r="A3060" s="9">
        <v>46106</v>
      </c>
      <c r="B3060" s="6" t="s">
        <v>4648</v>
      </c>
      <c r="C3060" s="5" t="s">
        <v>4647</v>
      </c>
      <c r="D3060" s="8" t="s">
        <v>306</v>
      </c>
      <c r="E3060" s="6" t="s">
        <v>1024</v>
      </c>
      <c r="F3060" s="6" t="s">
        <v>7446</v>
      </c>
      <c r="G3060" s="5">
        <v>27.5</v>
      </c>
      <c r="H3060" s="5">
        <f t="shared" si="88"/>
        <v>0.27677447280000012</v>
      </c>
      <c r="I3060" s="20">
        <f t="shared" si="89"/>
        <v>7.6112980020000034</v>
      </c>
      <c r="J3060" s="6" t="s">
        <v>357</v>
      </c>
    </row>
    <row r="3061" spans="1:10" hidden="1">
      <c r="A3061" s="9">
        <v>46106</v>
      </c>
      <c r="B3061" s="6" t="s">
        <v>4650</v>
      </c>
      <c r="C3061" s="5" t="s">
        <v>4649</v>
      </c>
      <c r="D3061" s="8" t="s">
        <v>306</v>
      </c>
      <c r="E3061" s="6" t="s">
        <v>1024</v>
      </c>
      <c r="F3061" s="6" t="s">
        <v>7446</v>
      </c>
      <c r="G3061" s="5">
        <v>27.5</v>
      </c>
      <c r="H3061" s="5">
        <f t="shared" si="88"/>
        <v>0.27677447280000012</v>
      </c>
      <c r="I3061" s="20">
        <f t="shared" si="89"/>
        <v>7.6112980020000034</v>
      </c>
      <c r="J3061" s="6" t="s">
        <v>357</v>
      </c>
    </row>
    <row r="3062" spans="1:10" hidden="1">
      <c r="A3062" s="9">
        <v>46106</v>
      </c>
      <c r="B3062" s="6" t="s">
        <v>4652</v>
      </c>
      <c r="C3062" s="5" t="s">
        <v>4651</v>
      </c>
      <c r="D3062" s="8" t="s">
        <v>306</v>
      </c>
      <c r="E3062" s="6" t="s">
        <v>1024</v>
      </c>
      <c r="F3062" s="6" t="s">
        <v>7446</v>
      </c>
      <c r="G3062" s="5">
        <v>27.5</v>
      </c>
      <c r="H3062" s="5">
        <f t="shared" si="88"/>
        <v>0.27677447280000012</v>
      </c>
      <c r="I3062" s="20">
        <f t="shared" si="89"/>
        <v>7.6112980020000034</v>
      </c>
      <c r="J3062" s="6" t="s">
        <v>357</v>
      </c>
    </row>
    <row r="3063" spans="1:10" hidden="1">
      <c r="A3063" s="9">
        <v>46106</v>
      </c>
      <c r="B3063" s="6" t="s">
        <v>4654</v>
      </c>
      <c r="C3063" s="5" t="s">
        <v>4653</v>
      </c>
      <c r="D3063" s="8" t="s">
        <v>306</v>
      </c>
      <c r="E3063" s="6" t="s">
        <v>1024</v>
      </c>
      <c r="F3063" s="6" t="s">
        <v>7446</v>
      </c>
      <c r="G3063" s="5">
        <v>27.5</v>
      </c>
      <c r="H3063" s="5">
        <f t="shared" si="88"/>
        <v>0.27677447280000012</v>
      </c>
      <c r="I3063" s="20">
        <f t="shared" si="89"/>
        <v>7.6112980020000034</v>
      </c>
      <c r="J3063" s="6" t="s">
        <v>357</v>
      </c>
    </row>
    <row r="3064" spans="1:10" hidden="1">
      <c r="A3064" s="9">
        <v>46106</v>
      </c>
      <c r="B3064" s="6" t="s">
        <v>4656</v>
      </c>
      <c r="C3064" s="5" t="s">
        <v>4655</v>
      </c>
      <c r="D3064" s="8" t="s">
        <v>306</v>
      </c>
      <c r="E3064" s="6" t="s">
        <v>1024</v>
      </c>
      <c r="F3064" s="6" t="s">
        <v>7446</v>
      </c>
      <c r="G3064" s="21">
        <v>27.5</v>
      </c>
      <c r="H3064" s="5">
        <f t="shared" si="88"/>
        <v>0.27677447280000012</v>
      </c>
      <c r="I3064" s="20">
        <f t="shared" si="89"/>
        <v>7.6112980020000034</v>
      </c>
      <c r="J3064" s="6" t="s">
        <v>357</v>
      </c>
    </row>
    <row r="3065" spans="1:10" hidden="1">
      <c r="A3065" s="9">
        <v>46106</v>
      </c>
      <c r="B3065" s="6" t="s">
        <v>4658</v>
      </c>
      <c r="C3065" s="5" t="s">
        <v>4657</v>
      </c>
      <c r="D3065" s="8" t="s">
        <v>306</v>
      </c>
      <c r="E3065" s="6" t="s">
        <v>1024</v>
      </c>
      <c r="F3065" s="6" t="s">
        <v>7446</v>
      </c>
      <c r="G3065" s="5">
        <v>42.5</v>
      </c>
      <c r="H3065" s="5">
        <f t="shared" si="88"/>
        <v>0.27677447280000012</v>
      </c>
      <c r="I3065" s="20">
        <f t="shared" si="89"/>
        <v>11.762915094000006</v>
      </c>
      <c r="J3065" s="6" t="s">
        <v>357</v>
      </c>
    </row>
    <row r="3066" spans="1:10" hidden="1">
      <c r="A3066" s="9">
        <v>46106</v>
      </c>
      <c r="B3066" s="6" t="s">
        <v>4660</v>
      </c>
      <c r="C3066" s="5" t="s">
        <v>4659</v>
      </c>
      <c r="D3066" s="8" t="s">
        <v>306</v>
      </c>
      <c r="E3066" s="6" t="s">
        <v>1024</v>
      </c>
      <c r="F3066" s="6" t="s">
        <v>7446</v>
      </c>
      <c r="G3066" s="5">
        <v>76.099999999999994</v>
      </c>
      <c r="H3066" s="5">
        <f t="shared" si="88"/>
        <v>0.27677447280000012</v>
      </c>
      <c r="I3066" s="20">
        <f t="shared" si="89"/>
        <v>21.062537380080006</v>
      </c>
      <c r="J3066" s="6" t="s">
        <v>357</v>
      </c>
    </row>
    <row r="3067" spans="1:10" hidden="1">
      <c r="A3067" s="9">
        <v>46106</v>
      </c>
      <c r="B3067" s="6" t="s">
        <v>4662</v>
      </c>
      <c r="C3067" s="5" t="s">
        <v>4661</v>
      </c>
      <c r="D3067" s="8" t="s">
        <v>306</v>
      </c>
      <c r="E3067" s="6" t="s">
        <v>1024</v>
      </c>
      <c r="F3067" s="6" t="s">
        <v>7446</v>
      </c>
      <c r="G3067" s="5">
        <v>76.099999999999994</v>
      </c>
      <c r="H3067" s="5">
        <f t="shared" si="88"/>
        <v>0.27677447280000012</v>
      </c>
      <c r="I3067" s="20">
        <f t="shared" si="89"/>
        <v>21.062537380080006</v>
      </c>
      <c r="J3067" s="6" t="s">
        <v>357</v>
      </c>
    </row>
    <row r="3068" spans="1:10" hidden="1">
      <c r="A3068" s="9">
        <v>46106</v>
      </c>
      <c r="B3068" s="6" t="s">
        <v>4664</v>
      </c>
      <c r="C3068" s="5" t="s">
        <v>4663</v>
      </c>
      <c r="D3068" s="8" t="s">
        <v>306</v>
      </c>
      <c r="E3068" s="6" t="s">
        <v>1024</v>
      </c>
      <c r="F3068" s="6" t="s">
        <v>7446</v>
      </c>
      <c r="G3068" s="5">
        <v>95.3</v>
      </c>
      <c r="H3068" s="5">
        <f t="shared" si="88"/>
        <v>0.27677447280000012</v>
      </c>
      <c r="I3068" s="20">
        <f t="shared" si="89"/>
        <v>26.376607257840011</v>
      </c>
      <c r="J3068" s="6" t="s">
        <v>357</v>
      </c>
    </row>
    <row r="3069" spans="1:10" hidden="1">
      <c r="A3069" s="9">
        <v>46106</v>
      </c>
      <c r="B3069" s="6" t="s">
        <v>4666</v>
      </c>
      <c r="C3069" s="5" t="s">
        <v>4665</v>
      </c>
      <c r="D3069" s="8" t="s">
        <v>306</v>
      </c>
      <c r="E3069" s="6" t="s">
        <v>1024</v>
      </c>
      <c r="F3069" s="6" t="s">
        <v>7446</v>
      </c>
      <c r="G3069" s="5">
        <v>95.3</v>
      </c>
      <c r="H3069" s="5">
        <f t="shared" si="88"/>
        <v>0.27677447280000012</v>
      </c>
      <c r="I3069" s="20">
        <f t="shared" si="89"/>
        <v>26.376607257840011</v>
      </c>
      <c r="J3069" s="6" t="s">
        <v>357</v>
      </c>
    </row>
    <row r="3070" spans="1:10" hidden="1">
      <c r="A3070" s="9">
        <v>46106</v>
      </c>
      <c r="B3070" s="6" t="s">
        <v>4668</v>
      </c>
      <c r="C3070" s="5" t="s">
        <v>4667</v>
      </c>
      <c r="D3070" s="8" t="s">
        <v>306</v>
      </c>
      <c r="E3070" s="6" t="s">
        <v>1024</v>
      </c>
      <c r="F3070" s="6" t="s">
        <v>7446</v>
      </c>
      <c r="G3070" s="5">
        <v>95.3</v>
      </c>
      <c r="H3070" s="5">
        <f t="shared" si="88"/>
        <v>0.27677447280000012</v>
      </c>
      <c r="I3070" s="20">
        <f t="shared" si="89"/>
        <v>26.376607257840011</v>
      </c>
      <c r="J3070" s="6" t="s">
        <v>357</v>
      </c>
    </row>
    <row r="3071" spans="1:10" hidden="1">
      <c r="A3071" s="9">
        <v>46106</v>
      </c>
      <c r="B3071" s="6" t="s">
        <v>4670</v>
      </c>
      <c r="C3071" s="5" t="s">
        <v>4669</v>
      </c>
      <c r="D3071" s="8" t="s">
        <v>306</v>
      </c>
      <c r="E3071" s="6" t="s">
        <v>1024</v>
      </c>
      <c r="F3071" s="6" t="s">
        <v>7446</v>
      </c>
      <c r="G3071" s="5">
        <v>95.3</v>
      </c>
      <c r="H3071" s="5">
        <f t="shared" si="88"/>
        <v>0.27677447280000012</v>
      </c>
      <c r="I3071" s="20">
        <f t="shared" si="89"/>
        <v>26.376607257840011</v>
      </c>
      <c r="J3071" s="6" t="s">
        <v>357</v>
      </c>
    </row>
    <row r="3072" spans="1:10" hidden="1">
      <c r="A3072" s="9">
        <v>46106</v>
      </c>
      <c r="B3072" s="6" t="s">
        <v>4672</v>
      </c>
      <c r="C3072" s="5" t="s">
        <v>4671</v>
      </c>
      <c r="D3072" s="8" t="s">
        <v>306</v>
      </c>
      <c r="E3072" s="6" t="s">
        <v>1024</v>
      </c>
      <c r="F3072" s="6" t="s">
        <v>7446</v>
      </c>
      <c r="G3072" s="5">
        <v>95.3</v>
      </c>
      <c r="H3072" s="5">
        <f t="shared" si="88"/>
        <v>0.27677447280000012</v>
      </c>
      <c r="I3072" s="20">
        <f t="shared" si="89"/>
        <v>26.376607257840011</v>
      </c>
      <c r="J3072" s="6" t="s">
        <v>357</v>
      </c>
    </row>
    <row r="3073" spans="1:10" hidden="1">
      <c r="A3073" s="9">
        <v>46106</v>
      </c>
      <c r="B3073" s="6" t="s">
        <v>4674</v>
      </c>
      <c r="C3073" s="5" t="s">
        <v>4673</v>
      </c>
      <c r="D3073" s="8" t="s">
        <v>306</v>
      </c>
      <c r="E3073" s="6" t="s">
        <v>1024</v>
      </c>
      <c r="F3073" s="6" t="s">
        <v>7446</v>
      </c>
      <c r="G3073" s="5">
        <v>117.5</v>
      </c>
      <c r="H3073" s="5">
        <f t="shared" ref="H3073:H3136" si="90">0.9*0.8*0.7*0.93*(0.9*0.9*0.9*0.9*0.9)</f>
        <v>0.27677447280000012</v>
      </c>
      <c r="I3073" s="20">
        <f t="shared" si="89"/>
        <v>32.521000554000011</v>
      </c>
      <c r="J3073" s="6" t="s">
        <v>357</v>
      </c>
    </row>
    <row r="3074" spans="1:10" hidden="1">
      <c r="A3074" s="9">
        <v>46106</v>
      </c>
      <c r="B3074" s="6" t="s">
        <v>4676</v>
      </c>
      <c r="C3074" s="5" t="s">
        <v>4675</v>
      </c>
      <c r="D3074" s="8" t="s">
        <v>306</v>
      </c>
      <c r="E3074" s="6" t="s">
        <v>1024</v>
      </c>
      <c r="F3074" s="6" t="s">
        <v>7446</v>
      </c>
      <c r="G3074" s="5">
        <v>152.19999999999999</v>
      </c>
      <c r="H3074" s="5">
        <f t="shared" si="90"/>
        <v>0.27677447280000012</v>
      </c>
      <c r="I3074" s="20">
        <f t="shared" si="89"/>
        <v>42.125074760160011</v>
      </c>
      <c r="J3074" s="6" t="s">
        <v>357</v>
      </c>
    </row>
    <row r="3075" spans="1:10" hidden="1">
      <c r="A3075" s="9">
        <v>46106</v>
      </c>
      <c r="B3075" s="6" t="s">
        <v>4678</v>
      </c>
      <c r="C3075" s="5" t="s">
        <v>4677</v>
      </c>
      <c r="D3075" s="8" t="s">
        <v>306</v>
      </c>
      <c r="E3075" s="6" t="s">
        <v>1024</v>
      </c>
      <c r="F3075" s="6" t="s">
        <v>7446</v>
      </c>
      <c r="G3075" s="5">
        <v>171.3</v>
      </c>
      <c r="H3075" s="5">
        <f t="shared" si="90"/>
        <v>0.27677447280000012</v>
      </c>
      <c r="I3075" s="20">
        <f t="shared" si="89"/>
        <v>47.411467190640025</v>
      </c>
      <c r="J3075" s="6" t="s">
        <v>357</v>
      </c>
    </row>
    <row r="3076" spans="1:10" hidden="1">
      <c r="A3076" s="9">
        <v>46106</v>
      </c>
      <c r="B3076" s="6" t="s">
        <v>4680</v>
      </c>
      <c r="C3076" s="5" t="s">
        <v>4679</v>
      </c>
      <c r="D3076" s="8" t="s">
        <v>306</v>
      </c>
      <c r="E3076" s="6" t="s">
        <v>1024</v>
      </c>
      <c r="F3076" s="6" t="s">
        <v>7446</v>
      </c>
      <c r="G3076" s="5">
        <v>171.3</v>
      </c>
      <c r="H3076" s="5">
        <f t="shared" si="90"/>
        <v>0.27677447280000012</v>
      </c>
      <c r="I3076" s="20">
        <f t="shared" si="89"/>
        <v>47.411467190640025</v>
      </c>
      <c r="J3076" s="6" t="s">
        <v>357</v>
      </c>
    </row>
    <row r="3077" spans="1:10" hidden="1">
      <c r="A3077" s="9">
        <v>46106</v>
      </c>
      <c r="B3077" s="6" t="s">
        <v>4682</v>
      </c>
      <c r="C3077" s="5" t="s">
        <v>4681</v>
      </c>
      <c r="D3077" s="8" t="s">
        <v>306</v>
      </c>
      <c r="E3077" s="6" t="s">
        <v>1024</v>
      </c>
      <c r="F3077" s="6" t="s">
        <v>7446</v>
      </c>
      <c r="G3077" s="5">
        <v>148.1</v>
      </c>
      <c r="H3077" s="5">
        <f t="shared" si="90"/>
        <v>0.27677447280000012</v>
      </c>
      <c r="I3077" s="20">
        <f t="shared" si="89"/>
        <v>40.990299421680014</v>
      </c>
      <c r="J3077" s="6" t="s">
        <v>357</v>
      </c>
    </row>
    <row r="3078" spans="1:10" hidden="1">
      <c r="A3078" s="9">
        <v>46106</v>
      </c>
      <c r="B3078" s="6" t="s">
        <v>4684</v>
      </c>
      <c r="C3078" s="5" t="s">
        <v>4683</v>
      </c>
      <c r="D3078" s="8" t="s">
        <v>306</v>
      </c>
      <c r="E3078" s="6" t="s">
        <v>1024</v>
      </c>
      <c r="F3078" s="6" t="s">
        <v>7446</v>
      </c>
      <c r="G3078" s="5">
        <v>148.1</v>
      </c>
      <c r="H3078" s="5">
        <f t="shared" si="90"/>
        <v>0.27677447280000012</v>
      </c>
      <c r="I3078" s="20">
        <f t="shared" si="89"/>
        <v>40.990299421680014</v>
      </c>
      <c r="J3078" s="6" t="s">
        <v>357</v>
      </c>
    </row>
    <row r="3079" spans="1:10" hidden="1">
      <c r="A3079" s="9">
        <v>46106</v>
      </c>
      <c r="B3079" s="6" t="s">
        <v>4686</v>
      </c>
      <c r="C3079" s="5" t="s">
        <v>4685</v>
      </c>
      <c r="D3079" s="8" t="s">
        <v>306</v>
      </c>
      <c r="E3079" s="6" t="s">
        <v>1024</v>
      </c>
      <c r="F3079" s="6" t="s">
        <v>7446</v>
      </c>
      <c r="G3079" s="5">
        <v>148.1</v>
      </c>
      <c r="H3079" s="5">
        <f t="shared" si="90"/>
        <v>0.27677447280000012</v>
      </c>
      <c r="I3079" s="20">
        <f t="shared" si="89"/>
        <v>40.990299421680014</v>
      </c>
      <c r="J3079" s="6" t="s">
        <v>357</v>
      </c>
    </row>
    <row r="3080" spans="1:10" hidden="1">
      <c r="A3080" s="9">
        <v>46106</v>
      </c>
      <c r="B3080" s="6" t="s">
        <v>4688</v>
      </c>
      <c r="C3080" s="5" t="s">
        <v>4687</v>
      </c>
      <c r="D3080" s="8" t="s">
        <v>306</v>
      </c>
      <c r="E3080" s="6" t="s">
        <v>1024</v>
      </c>
      <c r="F3080" s="6" t="s">
        <v>7446</v>
      </c>
      <c r="G3080" s="5">
        <v>148.1</v>
      </c>
      <c r="H3080" s="5">
        <f t="shared" si="90"/>
        <v>0.27677447280000012</v>
      </c>
      <c r="I3080" s="20">
        <f t="shared" si="89"/>
        <v>40.990299421680014</v>
      </c>
      <c r="J3080" s="6" t="s">
        <v>357</v>
      </c>
    </row>
    <row r="3081" spans="1:10" hidden="1">
      <c r="A3081" s="9">
        <v>46106</v>
      </c>
      <c r="B3081" s="6" t="s">
        <v>4690</v>
      </c>
      <c r="C3081" s="5" t="s">
        <v>4689</v>
      </c>
      <c r="D3081" s="8" t="s">
        <v>306</v>
      </c>
      <c r="E3081" s="6" t="s">
        <v>1024</v>
      </c>
      <c r="F3081" s="6" t="s">
        <v>7446</v>
      </c>
      <c r="G3081" s="5">
        <v>148.1</v>
      </c>
      <c r="H3081" s="5">
        <f t="shared" si="90"/>
        <v>0.27677447280000012</v>
      </c>
      <c r="I3081" s="20">
        <f t="shared" si="89"/>
        <v>40.990299421680014</v>
      </c>
      <c r="J3081" s="6" t="s">
        <v>357</v>
      </c>
    </row>
    <row r="3082" spans="1:10" hidden="1">
      <c r="A3082" s="9">
        <v>46106</v>
      </c>
      <c r="B3082" s="6" t="s">
        <v>4692</v>
      </c>
      <c r="C3082" s="5" t="s">
        <v>4691</v>
      </c>
      <c r="D3082" s="8" t="s">
        <v>306</v>
      </c>
      <c r="E3082" s="6" t="s">
        <v>1024</v>
      </c>
      <c r="F3082" s="6" t="s">
        <v>7446</v>
      </c>
      <c r="G3082" s="5">
        <v>182.7</v>
      </c>
      <c r="H3082" s="5">
        <f t="shared" si="90"/>
        <v>0.27677447280000012</v>
      </c>
      <c r="I3082" s="20">
        <f t="shared" si="89"/>
        <v>50.566696180560015</v>
      </c>
      <c r="J3082" s="6" t="s">
        <v>357</v>
      </c>
    </row>
    <row r="3083" spans="1:10" hidden="1">
      <c r="A3083" s="9">
        <v>46106</v>
      </c>
      <c r="B3083" s="6" t="s">
        <v>4694</v>
      </c>
      <c r="C3083" s="5" t="s">
        <v>4693</v>
      </c>
      <c r="D3083" s="8" t="s">
        <v>306</v>
      </c>
      <c r="E3083" s="6" t="s">
        <v>1024</v>
      </c>
      <c r="F3083" s="6" t="s">
        <v>7446</v>
      </c>
      <c r="G3083" s="21">
        <v>237.1</v>
      </c>
      <c r="H3083" s="5">
        <f t="shared" si="90"/>
        <v>0.27677447280000012</v>
      </c>
      <c r="I3083" s="20">
        <f t="shared" si="89"/>
        <v>65.62322750088002</v>
      </c>
      <c r="J3083" s="6" t="s">
        <v>357</v>
      </c>
    </row>
    <row r="3084" spans="1:10" hidden="1">
      <c r="A3084" s="9">
        <v>46106</v>
      </c>
      <c r="B3084" s="6" t="s">
        <v>4696</v>
      </c>
      <c r="C3084" s="5" t="s">
        <v>4695</v>
      </c>
      <c r="D3084" s="8" t="s">
        <v>306</v>
      </c>
      <c r="E3084" s="6" t="s">
        <v>1024</v>
      </c>
      <c r="F3084" s="6" t="s">
        <v>7446</v>
      </c>
      <c r="G3084" s="5">
        <v>290.89999999999998</v>
      </c>
      <c r="H3084" s="5">
        <f t="shared" si="90"/>
        <v>0.27677447280000012</v>
      </c>
      <c r="I3084" s="20">
        <f t="shared" si="89"/>
        <v>80.513694137520034</v>
      </c>
      <c r="J3084" s="6" t="s">
        <v>357</v>
      </c>
    </row>
    <row r="3085" spans="1:10" hidden="1">
      <c r="A3085" s="9">
        <v>46106</v>
      </c>
      <c r="B3085" s="6" t="s">
        <v>4698</v>
      </c>
      <c r="C3085" s="5" t="s">
        <v>4697</v>
      </c>
      <c r="D3085" s="8" t="s">
        <v>306</v>
      </c>
      <c r="E3085" s="6" t="s">
        <v>1024</v>
      </c>
      <c r="F3085" s="6" t="s">
        <v>7446</v>
      </c>
      <c r="G3085" s="21">
        <v>290.89999999999998</v>
      </c>
      <c r="H3085" s="5">
        <f t="shared" si="90"/>
        <v>0.27677447280000012</v>
      </c>
      <c r="I3085" s="20">
        <f t="shared" si="89"/>
        <v>80.513694137520034</v>
      </c>
      <c r="J3085" s="6" t="s">
        <v>357</v>
      </c>
    </row>
    <row r="3086" spans="1:10" hidden="1">
      <c r="A3086" s="9">
        <v>46106</v>
      </c>
      <c r="B3086" s="6" t="s">
        <v>4699</v>
      </c>
      <c r="C3086" s="5" t="s">
        <v>320</v>
      </c>
      <c r="D3086" s="8" t="s">
        <v>306</v>
      </c>
      <c r="E3086" s="6" t="s">
        <v>685</v>
      </c>
      <c r="F3086" s="6" t="s">
        <v>7446</v>
      </c>
      <c r="G3086" s="5">
        <v>377.8</v>
      </c>
      <c r="H3086" s="5">
        <f t="shared" si="90"/>
        <v>0.27677447280000012</v>
      </c>
      <c r="I3086" s="20">
        <f t="shared" si="89"/>
        <v>104.56539582384005</v>
      </c>
      <c r="J3086" s="6" t="s">
        <v>357</v>
      </c>
    </row>
    <row r="3087" spans="1:10" hidden="1">
      <c r="A3087" s="9">
        <v>46106</v>
      </c>
      <c r="B3087" s="6" t="s">
        <v>4701</v>
      </c>
      <c r="C3087" s="5" t="s">
        <v>692</v>
      </c>
      <c r="D3087" s="8" t="s">
        <v>306</v>
      </c>
      <c r="E3087" s="6" t="s">
        <v>685</v>
      </c>
      <c r="F3087" s="6" t="s">
        <v>7446</v>
      </c>
      <c r="G3087" s="5">
        <v>343.3</v>
      </c>
      <c r="H3087" s="5">
        <f t="shared" si="90"/>
        <v>0.27677447280000012</v>
      </c>
      <c r="I3087" s="20">
        <f t="shared" si="89"/>
        <v>95.016676512240039</v>
      </c>
      <c r="J3087" s="6" t="s">
        <v>357</v>
      </c>
    </row>
    <row r="3088" spans="1:10" hidden="1">
      <c r="A3088" s="9">
        <v>46106</v>
      </c>
      <c r="B3088" s="6" t="s">
        <v>4702</v>
      </c>
      <c r="C3088" s="5" t="s">
        <v>695</v>
      </c>
      <c r="D3088" s="8" t="s">
        <v>306</v>
      </c>
      <c r="E3088" s="6" t="s">
        <v>685</v>
      </c>
      <c r="F3088" s="6" t="s">
        <v>7446</v>
      </c>
      <c r="G3088" s="5">
        <v>291.60000000000002</v>
      </c>
      <c r="H3088" s="5">
        <f t="shared" si="90"/>
        <v>0.27677447280000012</v>
      </c>
      <c r="I3088" s="20">
        <f t="shared" si="89"/>
        <v>80.707436268480038</v>
      </c>
      <c r="J3088" s="6" t="s">
        <v>357</v>
      </c>
    </row>
    <row r="3089" spans="1:10" hidden="1">
      <c r="A3089" s="9">
        <v>46106</v>
      </c>
      <c r="B3089" s="6" t="s">
        <v>4703</v>
      </c>
      <c r="C3089" s="5" t="s">
        <v>318</v>
      </c>
      <c r="D3089" s="8" t="s">
        <v>306</v>
      </c>
      <c r="E3089" s="6" t="s">
        <v>685</v>
      </c>
      <c r="F3089" s="6" t="s">
        <v>7446</v>
      </c>
      <c r="G3089" s="5">
        <v>346.5</v>
      </c>
      <c r="H3089" s="5">
        <f t="shared" si="90"/>
        <v>0.27677447280000012</v>
      </c>
      <c r="I3089" s="20">
        <f t="shared" si="89"/>
        <v>95.902354825200035</v>
      </c>
      <c r="J3089" s="6" t="s">
        <v>357</v>
      </c>
    </row>
    <row r="3090" spans="1:10" hidden="1">
      <c r="A3090" s="9">
        <v>46106</v>
      </c>
      <c r="B3090" s="6" t="s">
        <v>4704</v>
      </c>
      <c r="C3090" s="5" t="s">
        <v>706</v>
      </c>
      <c r="D3090" s="8" t="s">
        <v>306</v>
      </c>
      <c r="E3090" s="6" t="s">
        <v>685</v>
      </c>
      <c r="F3090" s="6" t="s">
        <v>7446</v>
      </c>
      <c r="G3090" s="5">
        <v>586.79999999999995</v>
      </c>
      <c r="H3090" s="5">
        <f t="shared" si="90"/>
        <v>0.27677447280000012</v>
      </c>
      <c r="I3090" s="20">
        <f t="shared" si="89"/>
        <v>162.41126063904005</v>
      </c>
      <c r="J3090" s="6" t="s">
        <v>357</v>
      </c>
    </row>
    <row r="3091" spans="1:10" hidden="1">
      <c r="A3091" s="9">
        <v>46106</v>
      </c>
      <c r="B3091" s="6" t="s">
        <v>4705</v>
      </c>
      <c r="C3091" s="5" t="s">
        <v>709</v>
      </c>
      <c r="D3091" s="8" t="s">
        <v>306</v>
      </c>
      <c r="E3091" s="6" t="s">
        <v>685</v>
      </c>
      <c r="F3091" s="6" t="s">
        <v>7446</v>
      </c>
      <c r="G3091" s="5">
        <v>542.4</v>
      </c>
      <c r="H3091" s="5">
        <f t="shared" si="90"/>
        <v>0.27677447280000012</v>
      </c>
      <c r="I3091" s="20">
        <f t="shared" si="89"/>
        <v>150.12247404672004</v>
      </c>
      <c r="J3091" s="6" t="s">
        <v>357</v>
      </c>
    </row>
    <row r="3092" spans="1:10" hidden="1">
      <c r="A3092" s="9">
        <v>46106</v>
      </c>
      <c r="B3092" s="6" t="s">
        <v>4706</v>
      </c>
      <c r="C3092" s="5" t="s">
        <v>710</v>
      </c>
      <c r="D3092" s="8" t="s">
        <v>306</v>
      </c>
      <c r="E3092" s="6" t="s">
        <v>685</v>
      </c>
      <c r="F3092" s="6" t="s">
        <v>7446</v>
      </c>
      <c r="G3092" s="5">
        <v>815.1</v>
      </c>
      <c r="H3092" s="5">
        <f t="shared" si="90"/>
        <v>0.27677447280000012</v>
      </c>
      <c r="I3092" s="20">
        <f t="shared" si="89"/>
        <v>225.5988727792801</v>
      </c>
      <c r="J3092" s="6" t="s">
        <v>357</v>
      </c>
    </row>
    <row r="3093" spans="1:10" hidden="1">
      <c r="A3093" s="9">
        <v>46106</v>
      </c>
      <c r="B3093" s="6" t="s">
        <v>4707</v>
      </c>
      <c r="C3093" s="5" t="s">
        <v>693</v>
      </c>
      <c r="D3093" s="8" t="s">
        <v>306</v>
      </c>
      <c r="E3093" s="6" t="s">
        <v>685</v>
      </c>
      <c r="F3093" s="6" t="s">
        <v>7446</v>
      </c>
      <c r="G3093" s="5">
        <v>312</v>
      </c>
      <c r="H3093" s="5">
        <f t="shared" si="90"/>
        <v>0.27677447280000012</v>
      </c>
      <c r="I3093" s="20">
        <f t="shared" si="89"/>
        <v>86.35363551360004</v>
      </c>
      <c r="J3093" s="6" t="s">
        <v>357</v>
      </c>
    </row>
    <row r="3094" spans="1:10" hidden="1">
      <c r="A3094" s="9">
        <v>46106</v>
      </c>
      <c r="B3094" s="6" t="s">
        <v>4708</v>
      </c>
      <c r="C3094" s="5" t="s">
        <v>295</v>
      </c>
      <c r="D3094" s="8" t="s">
        <v>306</v>
      </c>
      <c r="E3094" s="6" t="s">
        <v>685</v>
      </c>
      <c r="F3094" s="6" t="s">
        <v>7446</v>
      </c>
      <c r="G3094" s="5">
        <v>204.9</v>
      </c>
      <c r="H3094" s="5">
        <f t="shared" si="90"/>
        <v>0.27677447280000012</v>
      </c>
      <c r="I3094" s="20">
        <f t="shared" si="89"/>
        <v>56.711089476720026</v>
      </c>
      <c r="J3094" s="6" t="s">
        <v>357</v>
      </c>
    </row>
    <row r="3095" spans="1:10" hidden="1">
      <c r="A3095" s="9">
        <v>46106</v>
      </c>
      <c r="B3095" s="6" t="s">
        <v>4709</v>
      </c>
      <c r="C3095" s="5" t="s">
        <v>697</v>
      </c>
      <c r="D3095" s="8" t="s">
        <v>306</v>
      </c>
      <c r="E3095" s="6" t="s">
        <v>685</v>
      </c>
      <c r="F3095" s="6" t="s">
        <v>7446</v>
      </c>
      <c r="G3095" s="5">
        <v>290.60000000000002</v>
      </c>
      <c r="H3095" s="5">
        <f t="shared" si="90"/>
        <v>0.27677447280000012</v>
      </c>
      <c r="I3095" s="20">
        <f t="shared" si="89"/>
        <v>80.430661795680038</v>
      </c>
      <c r="J3095" s="6" t="s">
        <v>357</v>
      </c>
    </row>
    <row r="3096" spans="1:10" hidden="1">
      <c r="A3096" s="9">
        <v>46106</v>
      </c>
      <c r="B3096" s="6" t="s">
        <v>4710</v>
      </c>
      <c r="C3096" s="5" t="s">
        <v>707</v>
      </c>
      <c r="D3096" s="8" t="s">
        <v>306</v>
      </c>
      <c r="E3096" s="6" t="s">
        <v>685</v>
      </c>
      <c r="F3096" s="6" t="s">
        <v>7446</v>
      </c>
      <c r="G3096" s="5">
        <v>548.20000000000005</v>
      </c>
      <c r="H3096" s="5">
        <f t="shared" si="90"/>
        <v>0.27677447280000012</v>
      </c>
      <c r="I3096" s="20">
        <f t="shared" si="89"/>
        <v>151.72776598896007</v>
      </c>
      <c r="J3096" s="6" t="s">
        <v>357</v>
      </c>
    </row>
    <row r="3097" spans="1:10" hidden="1">
      <c r="A3097" s="9">
        <v>46106</v>
      </c>
      <c r="B3097" s="6" t="s">
        <v>4711</v>
      </c>
      <c r="C3097" s="5" t="s">
        <v>330</v>
      </c>
      <c r="D3097" s="8" t="s">
        <v>306</v>
      </c>
      <c r="E3097" s="6" t="s">
        <v>685</v>
      </c>
      <c r="F3097" s="6" t="s">
        <v>7446</v>
      </c>
      <c r="G3097" s="5">
        <v>369.5</v>
      </c>
      <c r="H3097" s="5">
        <f t="shared" si="90"/>
        <v>0.27677447280000012</v>
      </c>
      <c r="I3097" s="20">
        <f t="shared" ref="I3097:I3160" si="91">H3097*G3097</f>
        <v>102.26816769960004</v>
      </c>
      <c r="J3097" s="6" t="s">
        <v>357</v>
      </c>
    </row>
    <row r="3098" spans="1:10" hidden="1">
      <c r="A3098" s="9">
        <v>46106</v>
      </c>
      <c r="B3098" s="6" t="s">
        <v>4712</v>
      </c>
      <c r="C3098" s="5" t="s">
        <v>711</v>
      </c>
      <c r="D3098" s="8" t="s">
        <v>306</v>
      </c>
      <c r="E3098" s="6" t="s">
        <v>685</v>
      </c>
      <c r="F3098" s="6" t="s">
        <v>7446</v>
      </c>
      <c r="G3098" s="5">
        <v>480.7</v>
      </c>
      <c r="H3098" s="5">
        <f t="shared" si="90"/>
        <v>0.27677447280000012</v>
      </c>
      <c r="I3098" s="20">
        <f t="shared" si="91"/>
        <v>133.04548907496005</v>
      </c>
      <c r="J3098" s="6" t="s">
        <v>357</v>
      </c>
    </row>
    <row r="3099" spans="1:10" hidden="1">
      <c r="A3099" s="9">
        <v>46106</v>
      </c>
      <c r="B3099" s="6" t="s">
        <v>4713</v>
      </c>
      <c r="C3099" s="5" t="s">
        <v>694</v>
      </c>
      <c r="D3099" s="8" t="s">
        <v>306</v>
      </c>
      <c r="E3099" s="6" t="s">
        <v>685</v>
      </c>
      <c r="F3099" s="6" t="s">
        <v>7446</v>
      </c>
      <c r="G3099" s="21">
        <v>395.1</v>
      </c>
      <c r="H3099" s="5">
        <f t="shared" si="90"/>
        <v>0.27677447280000012</v>
      </c>
      <c r="I3099" s="20">
        <f t="shared" si="91"/>
        <v>109.35359420328005</v>
      </c>
      <c r="J3099" s="6" t="s">
        <v>357</v>
      </c>
    </row>
    <row r="3100" spans="1:10" hidden="1">
      <c r="A3100" s="9">
        <v>46106</v>
      </c>
      <c r="B3100" s="6" t="s">
        <v>4714</v>
      </c>
      <c r="C3100" s="5" t="s">
        <v>696</v>
      </c>
      <c r="D3100" s="8" t="s">
        <v>306</v>
      </c>
      <c r="E3100" s="6" t="s">
        <v>685</v>
      </c>
      <c r="F3100" s="6" t="s">
        <v>7446</v>
      </c>
      <c r="G3100" s="5">
        <v>381.5</v>
      </c>
      <c r="H3100" s="5">
        <f t="shared" si="90"/>
        <v>0.27677447280000012</v>
      </c>
      <c r="I3100" s="20">
        <f t="shared" si="91"/>
        <v>105.58946137320004</v>
      </c>
      <c r="J3100" s="6" t="s">
        <v>357</v>
      </c>
    </row>
    <row r="3101" spans="1:10" hidden="1">
      <c r="A3101" s="9">
        <v>46106</v>
      </c>
      <c r="B3101" s="6" t="s">
        <v>4715</v>
      </c>
      <c r="C3101" s="5" t="s">
        <v>698</v>
      </c>
      <c r="D3101" s="8" t="s">
        <v>306</v>
      </c>
      <c r="E3101" s="6" t="s">
        <v>685</v>
      </c>
      <c r="F3101" s="6" t="s">
        <v>7446</v>
      </c>
      <c r="G3101" s="5">
        <v>464.6</v>
      </c>
      <c r="H3101" s="5">
        <f t="shared" si="90"/>
        <v>0.27677447280000012</v>
      </c>
      <c r="I3101" s="20">
        <f t="shared" si="91"/>
        <v>128.58942006288007</v>
      </c>
      <c r="J3101" s="6" t="s">
        <v>357</v>
      </c>
    </row>
    <row r="3102" spans="1:10" hidden="1">
      <c r="A3102" s="9">
        <v>46106</v>
      </c>
      <c r="B3102" s="6" t="s">
        <v>4716</v>
      </c>
      <c r="C3102" s="5" t="s">
        <v>708</v>
      </c>
      <c r="D3102" s="8" t="s">
        <v>306</v>
      </c>
      <c r="E3102" s="6" t="s">
        <v>685</v>
      </c>
      <c r="F3102" s="6" t="s">
        <v>7446</v>
      </c>
      <c r="G3102" s="5">
        <v>426.9</v>
      </c>
      <c r="H3102" s="5">
        <f t="shared" si="90"/>
        <v>0.27677447280000012</v>
      </c>
      <c r="I3102" s="20">
        <f t="shared" si="91"/>
        <v>118.15502243832005</v>
      </c>
      <c r="J3102" s="6" t="s">
        <v>357</v>
      </c>
    </row>
    <row r="3103" spans="1:10" hidden="1">
      <c r="A3103" s="9">
        <v>46106</v>
      </c>
      <c r="B3103" s="6" t="s">
        <v>4717</v>
      </c>
      <c r="C3103" s="5" t="s">
        <v>332</v>
      </c>
      <c r="D3103" s="8" t="s">
        <v>306</v>
      </c>
      <c r="E3103" s="6" t="s">
        <v>685</v>
      </c>
      <c r="F3103" s="6" t="s">
        <v>7446</v>
      </c>
      <c r="G3103" s="5">
        <v>320.89999999999998</v>
      </c>
      <c r="H3103" s="5">
        <f t="shared" si="90"/>
        <v>0.27677447280000012</v>
      </c>
      <c r="I3103" s="20">
        <f t="shared" si="91"/>
        <v>88.816928321520024</v>
      </c>
      <c r="J3103" s="6" t="s">
        <v>357</v>
      </c>
    </row>
    <row r="3104" spans="1:10" hidden="1">
      <c r="A3104" s="9">
        <v>46106</v>
      </c>
      <c r="B3104" s="6" t="s">
        <v>4718</v>
      </c>
      <c r="C3104" s="5" t="s">
        <v>345</v>
      </c>
      <c r="D3104" s="8" t="s">
        <v>306</v>
      </c>
      <c r="E3104" s="6" t="s">
        <v>685</v>
      </c>
      <c r="F3104" s="6" t="s">
        <v>7446</v>
      </c>
      <c r="G3104" s="5">
        <v>409.7</v>
      </c>
      <c r="H3104" s="5">
        <f t="shared" si="90"/>
        <v>0.27677447280000012</v>
      </c>
      <c r="I3104" s="20">
        <f t="shared" si="91"/>
        <v>113.39450150616004</v>
      </c>
      <c r="J3104" s="6" t="s">
        <v>357</v>
      </c>
    </row>
    <row r="3105" spans="1:10" hidden="1">
      <c r="A3105" s="9">
        <v>46106</v>
      </c>
      <c r="B3105" s="6" t="s">
        <v>4720</v>
      </c>
      <c r="C3105" s="15" t="s">
        <v>4719</v>
      </c>
      <c r="D3105" s="28" t="s">
        <v>306</v>
      </c>
      <c r="E3105" s="6" t="s">
        <v>466</v>
      </c>
      <c r="F3105" s="6" t="s">
        <v>4700</v>
      </c>
      <c r="G3105" s="21">
        <v>367</v>
      </c>
      <c r="H3105" s="5">
        <f t="shared" si="90"/>
        <v>0.27677447280000012</v>
      </c>
      <c r="I3105" s="20">
        <f t="shared" si="91"/>
        <v>101.57623151760004</v>
      </c>
      <c r="J3105" s="6" t="s">
        <v>357</v>
      </c>
    </row>
    <row r="3106" spans="1:10" hidden="1">
      <c r="A3106" s="9">
        <v>46106</v>
      </c>
      <c r="B3106" s="6" t="s">
        <v>4722</v>
      </c>
      <c r="C3106" s="15" t="s">
        <v>4721</v>
      </c>
      <c r="D3106" s="28" t="s">
        <v>306</v>
      </c>
      <c r="E3106" s="6" t="s">
        <v>466</v>
      </c>
      <c r="F3106" s="6" t="s">
        <v>4700</v>
      </c>
      <c r="G3106" s="5">
        <v>568</v>
      </c>
      <c r="H3106" s="5">
        <f t="shared" si="90"/>
        <v>0.27677447280000012</v>
      </c>
      <c r="I3106" s="20">
        <f t="shared" si="91"/>
        <v>157.20790055040007</v>
      </c>
      <c r="J3106" s="6" t="s">
        <v>357</v>
      </c>
    </row>
    <row r="3107" spans="1:10" hidden="1">
      <c r="A3107" s="9">
        <v>46106</v>
      </c>
      <c r="B3107" s="6" t="s">
        <v>4724</v>
      </c>
      <c r="C3107" s="15" t="s">
        <v>4723</v>
      </c>
      <c r="D3107" s="28" t="s">
        <v>306</v>
      </c>
      <c r="E3107" s="6" t="s">
        <v>466</v>
      </c>
      <c r="F3107" s="6" t="s">
        <v>4700</v>
      </c>
      <c r="G3107" s="5">
        <v>458</v>
      </c>
      <c r="H3107" s="5">
        <f t="shared" si="90"/>
        <v>0.27677447280000012</v>
      </c>
      <c r="I3107" s="20">
        <f t="shared" si="91"/>
        <v>126.76270854240005</v>
      </c>
      <c r="J3107" s="6" t="s">
        <v>357</v>
      </c>
    </row>
    <row r="3108" spans="1:10" ht="30" hidden="1">
      <c r="A3108" s="9">
        <v>46106</v>
      </c>
      <c r="B3108" s="6" t="s">
        <v>4726</v>
      </c>
      <c r="C3108" s="15" t="s">
        <v>4725</v>
      </c>
      <c r="D3108" s="28" t="s">
        <v>306</v>
      </c>
      <c r="E3108" s="6" t="s">
        <v>466</v>
      </c>
      <c r="F3108" s="6" t="s">
        <v>4700</v>
      </c>
      <c r="G3108" s="5">
        <v>636</v>
      </c>
      <c r="H3108" s="5">
        <f t="shared" si="90"/>
        <v>0.27677447280000012</v>
      </c>
      <c r="I3108" s="20">
        <f t="shared" si="91"/>
        <v>176.02856470080008</v>
      </c>
      <c r="J3108" s="6" t="s">
        <v>357</v>
      </c>
    </row>
    <row r="3109" spans="1:10" hidden="1">
      <c r="A3109" s="9">
        <v>46106</v>
      </c>
      <c r="B3109" s="6" t="s">
        <v>4728</v>
      </c>
      <c r="C3109" s="15" t="s">
        <v>4727</v>
      </c>
      <c r="D3109" s="28" t="s">
        <v>306</v>
      </c>
      <c r="E3109" s="6" t="s">
        <v>466</v>
      </c>
      <c r="F3109" s="6" t="s">
        <v>4700</v>
      </c>
      <c r="G3109" s="5">
        <v>243</v>
      </c>
      <c r="H3109" s="5">
        <f t="shared" si="90"/>
        <v>0.27677447280000012</v>
      </c>
      <c r="I3109" s="20">
        <f t="shared" si="91"/>
        <v>67.256196890400034</v>
      </c>
      <c r="J3109" s="6" t="s">
        <v>357</v>
      </c>
    </row>
    <row r="3110" spans="1:10" hidden="1">
      <c r="A3110" s="9">
        <v>46106</v>
      </c>
      <c r="B3110" s="6" t="s">
        <v>4729</v>
      </c>
      <c r="C3110" s="5" t="s">
        <v>468</v>
      </c>
      <c r="D3110" s="8" t="s">
        <v>306</v>
      </c>
      <c r="E3110" s="6" t="s">
        <v>466</v>
      </c>
      <c r="F3110" s="6" t="s">
        <v>4700</v>
      </c>
      <c r="G3110" s="21">
        <v>385</v>
      </c>
      <c r="H3110" s="5">
        <f t="shared" si="90"/>
        <v>0.27677447280000012</v>
      </c>
      <c r="I3110" s="20">
        <f t="shared" si="91"/>
        <v>106.55817202800004</v>
      </c>
      <c r="J3110" s="6" t="s">
        <v>357</v>
      </c>
    </row>
    <row r="3111" spans="1:10" hidden="1">
      <c r="A3111" s="9">
        <v>46106</v>
      </c>
      <c r="B3111" s="6" t="s">
        <v>4730</v>
      </c>
      <c r="C3111" s="5" t="s">
        <v>470</v>
      </c>
      <c r="D3111" s="8" t="s">
        <v>306</v>
      </c>
      <c r="E3111" s="6" t="s">
        <v>466</v>
      </c>
      <c r="F3111" s="6" t="s">
        <v>4700</v>
      </c>
      <c r="G3111" s="5">
        <v>385</v>
      </c>
      <c r="H3111" s="5">
        <f t="shared" si="90"/>
        <v>0.27677447280000012</v>
      </c>
      <c r="I3111" s="20">
        <f t="shared" si="91"/>
        <v>106.55817202800004</v>
      </c>
      <c r="J3111" s="6" t="s">
        <v>357</v>
      </c>
    </row>
    <row r="3112" spans="1:10" hidden="1">
      <c r="A3112" s="9">
        <v>46106</v>
      </c>
      <c r="B3112" s="6" t="s">
        <v>4731</v>
      </c>
      <c r="C3112" s="5" t="s">
        <v>472</v>
      </c>
      <c r="D3112" s="8" t="s">
        <v>306</v>
      </c>
      <c r="E3112" s="6" t="s">
        <v>466</v>
      </c>
      <c r="F3112" s="6" t="s">
        <v>4700</v>
      </c>
      <c r="G3112" s="5">
        <v>385</v>
      </c>
      <c r="H3112" s="5">
        <f t="shared" si="90"/>
        <v>0.27677447280000012</v>
      </c>
      <c r="I3112" s="20">
        <f t="shared" si="91"/>
        <v>106.55817202800004</v>
      </c>
      <c r="J3112" s="6" t="s">
        <v>357</v>
      </c>
    </row>
    <row r="3113" spans="1:10" hidden="1">
      <c r="A3113" s="9">
        <v>46106</v>
      </c>
      <c r="B3113" s="6" t="s">
        <v>4732</v>
      </c>
      <c r="C3113" s="5" t="s">
        <v>474</v>
      </c>
      <c r="D3113" s="8" t="s">
        <v>306</v>
      </c>
      <c r="E3113" s="6" t="s">
        <v>466</v>
      </c>
      <c r="F3113" s="6" t="s">
        <v>4700</v>
      </c>
      <c r="G3113" s="5">
        <v>385</v>
      </c>
      <c r="H3113" s="5">
        <f t="shared" si="90"/>
        <v>0.27677447280000012</v>
      </c>
      <c r="I3113" s="20">
        <f t="shared" si="91"/>
        <v>106.55817202800004</v>
      </c>
      <c r="J3113" s="6" t="s">
        <v>357</v>
      </c>
    </row>
    <row r="3114" spans="1:10" hidden="1">
      <c r="A3114" s="9">
        <v>46106</v>
      </c>
      <c r="B3114" s="6" t="s">
        <v>4733</v>
      </c>
      <c r="C3114" s="5" t="s">
        <v>476</v>
      </c>
      <c r="D3114" s="8" t="s">
        <v>306</v>
      </c>
      <c r="E3114" s="6" t="s">
        <v>466</v>
      </c>
      <c r="F3114" s="6" t="s">
        <v>4700</v>
      </c>
      <c r="G3114" s="5">
        <v>385</v>
      </c>
      <c r="H3114" s="5">
        <f t="shared" si="90"/>
        <v>0.27677447280000012</v>
      </c>
      <c r="I3114" s="20">
        <f t="shared" si="91"/>
        <v>106.55817202800004</v>
      </c>
      <c r="J3114" s="6" t="s">
        <v>357</v>
      </c>
    </row>
    <row r="3115" spans="1:10" hidden="1">
      <c r="A3115" s="9">
        <v>46106</v>
      </c>
      <c r="B3115" s="6" t="s">
        <v>4734</v>
      </c>
      <c r="C3115" s="5" t="s">
        <v>478</v>
      </c>
      <c r="D3115" s="8" t="s">
        <v>306</v>
      </c>
      <c r="E3115" s="6" t="s">
        <v>466</v>
      </c>
      <c r="F3115" s="6" t="s">
        <v>4700</v>
      </c>
      <c r="G3115" s="5">
        <v>385</v>
      </c>
      <c r="H3115" s="5">
        <f t="shared" si="90"/>
        <v>0.27677447280000012</v>
      </c>
      <c r="I3115" s="20">
        <f t="shared" si="91"/>
        <v>106.55817202800004</v>
      </c>
      <c r="J3115" s="6" t="s">
        <v>357</v>
      </c>
    </row>
    <row r="3116" spans="1:10" hidden="1">
      <c r="A3116" s="9">
        <v>46106</v>
      </c>
      <c r="B3116" s="6" t="s">
        <v>4735</v>
      </c>
      <c r="C3116" s="5" t="s">
        <v>480</v>
      </c>
      <c r="D3116" s="8" t="s">
        <v>306</v>
      </c>
      <c r="E3116" s="6" t="s">
        <v>466</v>
      </c>
      <c r="F3116" s="6" t="s">
        <v>4700</v>
      </c>
      <c r="G3116" s="5">
        <v>385</v>
      </c>
      <c r="H3116" s="5">
        <f t="shared" si="90"/>
        <v>0.27677447280000012</v>
      </c>
      <c r="I3116" s="20">
        <f t="shared" si="91"/>
        <v>106.55817202800004</v>
      </c>
      <c r="J3116" s="6" t="s">
        <v>357</v>
      </c>
    </row>
    <row r="3117" spans="1:10" hidden="1">
      <c r="A3117" s="9">
        <v>46106</v>
      </c>
      <c r="B3117" s="6" t="s">
        <v>4736</v>
      </c>
      <c r="C3117" s="5" t="s">
        <v>482</v>
      </c>
      <c r="D3117" s="8" t="s">
        <v>306</v>
      </c>
      <c r="E3117" s="6" t="s">
        <v>466</v>
      </c>
      <c r="F3117" s="6" t="s">
        <v>4700</v>
      </c>
      <c r="G3117" s="5">
        <v>385</v>
      </c>
      <c r="H3117" s="5">
        <f t="shared" si="90"/>
        <v>0.27677447280000012</v>
      </c>
      <c r="I3117" s="20">
        <f t="shared" si="91"/>
        <v>106.55817202800004</v>
      </c>
      <c r="J3117" s="6" t="s">
        <v>357</v>
      </c>
    </row>
    <row r="3118" spans="1:10" hidden="1">
      <c r="A3118" s="9">
        <v>46106</v>
      </c>
      <c r="B3118" s="6" t="s">
        <v>4737</v>
      </c>
      <c r="C3118" s="5" t="s">
        <v>484</v>
      </c>
      <c r="D3118" s="8" t="s">
        <v>306</v>
      </c>
      <c r="E3118" s="6" t="s">
        <v>466</v>
      </c>
      <c r="F3118" s="6" t="s">
        <v>4700</v>
      </c>
      <c r="G3118" s="5">
        <v>385</v>
      </c>
      <c r="H3118" s="5">
        <f t="shared" si="90"/>
        <v>0.27677447280000012</v>
      </c>
      <c r="I3118" s="20">
        <f t="shared" si="91"/>
        <v>106.55817202800004</v>
      </c>
      <c r="J3118" s="6" t="s">
        <v>357</v>
      </c>
    </row>
    <row r="3119" spans="1:10" hidden="1">
      <c r="A3119" s="9">
        <v>46106</v>
      </c>
      <c r="B3119" s="6" t="s">
        <v>4739</v>
      </c>
      <c r="C3119" s="5" t="s">
        <v>4738</v>
      </c>
      <c r="D3119" s="8" t="s">
        <v>306</v>
      </c>
      <c r="E3119" s="6" t="s">
        <v>466</v>
      </c>
      <c r="F3119" s="6" t="s">
        <v>4700</v>
      </c>
      <c r="G3119" s="5">
        <v>403</v>
      </c>
      <c r="H3119" s="5">
        <f t="shared" si="90"/>
        <v>0.27677447280000012</v>
      </c>
      <c r="I3119" s="20">
        <f t="shared" si="91"/>
        <v>111.54011253840005</v>
      </c>
      <c r="J3119" s="6" t="s">
        <v>357</v>
      </c>
    </row>
    <row r="3120" spans="1:10" hidden="1">
      <c r="A3120" s="9">
        <v>46106</v>
      </c>
      <c r="B3120" s="6" t="s">
        <v>4740</v>
      </c>
      <c r="C3120" s="5" t="s">
        <v>527</v>
      </c>
      <c r="D3120" s="8" t="s">
        <v>306</v>
      </c>
      <c r="E3120" s="6" t="s">
        <v>466</v>
      </c>
      <c r="F3120" s="6" t="s">
        <v>4700</v>
      </c>
      <c r="G3120" s="5">
        <v>403</v>
      </c>
      <c r="H3120" s="5">
        <f t="shared" si="90"/>
        <v>0.27677447280000012</v>
      </c>
      <c r="I3120" s="20">
        <f t="shared" si="91"/>
        <v>111.54011253840005</v>
      </c>
      <c r="J3120" s="6" t="s">
        <v>357</v>
      </c>
    </row>
    <row r="3121" spans="1:10" hidden="1">
      <c r="A3121" s="9">
        <v>46106</v>
      </c>
      <c r="B3121" s="6" t="s">
        <v>4741</v>
      </c>
      <c r="C3121" s="5" t="s">
        <v>531</v>
      </c>
      <c r="D3121" s="8" t="s">
        <v>306</v>
      </c>
      <c r="E3121" s="6" t="s">
        <v>466</v>
      </c>
      <c r="F3121" s="6" t="s">
        <v>4700</v>
      </c>
      <c r="G3121" s="5">
        <v>403</v>
      </c>
      <c r="H3121" s="5">
        <f t="shared" si="90"/>
        <v>0.27677447280000012</v>
      </c>
      <c r="I3121" s="20">
        <f t="shared" si="91"/>
        <v>111.54011253840005</v>
      </c>
      <c r="J3121" s="6" t="s">
        <v>357</v>
      </c>
    </row>
    <row r="3122" spans="1:10" hidden="1">
      <c r="A3122" s="9">
        <v>46106</v>
      </c>
      <c r="B3122" s="6" t="s">
        <v>4742</v>
      </c>
      <c r="C3122" s="5" t="s">
        <v>534</v>
      </c>
      <c r="D3122" s="8" t="s">
        <v>306</v>
      </c>
      <c r="E3122" s="6" t="s">
        <v>466</v>
      </c>
      <c r="F3122" s="6" t="s">
        <v>4700</v>
      </c>
      <c r="G3122" s="5">
        <v>403</v>
      </c>
      <c r="H3122" s="5">
        <f t="shared" si="90"/>
        <v>0.27677447280000012</v>
      </c>
      <c r="I3122" s="20">
        <f t="shared" si="91"/>
        <v>111.54011253840005</v>
      </c>
      <c r="J3122" s="6" t="s">
        <v>357</v>
      </c>
    </row>
    <row r="3123" spans="1:10" hidden="1">
      <c r="A3123" s="9">
        <v>46106</v>
      </c>
      <c r="B3123" s="6" t="s">
        <v>4743</v>
      </c>
      <c r="C3123" s="5" t="s">
        <v>539</v>
      </c>
      <c r="D3123" s="8" t="s">
        <v>306</v>
      </c>
      <c r="E3123" s="6" t="s">
        <v>466</v>
      </c>
      <c r="F3123" s="6" t="s">
        <v>4700</v>
      </c>
      <c r="G3123" s="5">
        <v>403</v>
      </c>
      <c r="H3123" s="5">
        <f t="shared" si="90"/>
        <v>0.27677447280000012</v>
      </c>
      <c r="I3123" s="20">
        <f t="shared" si="91"/>
        <v>111.54011253840005</v>
      </c>
      <c r="J3123" s="6" t="s">
        <v>357</v>
      </c>
    </row>
    <row r="3124" spans="1:10" hidden="1">
      <c r="A3124" s="9">
        <v>46106</v>
      </c>
      <c r="B3124" s="6" t="s">
        <v>4744</v>
      </c>
      <c r="C3124" s="5" t="s">
        <v>542</v>
      </c>
      <c r="D3124" s="8" t="s">
        <v>306</v>
      </c>
      <c r="E3124" s="6" t="s">
        <v>466</v>
      </c>
      <c r="F3124" s="6" t="s">
        <v>4700</v>
      </c>
      <c r="G3124" s="5">
        <v>403</v>
      </c>
      <c r="H3124" s="5">
        <f t="shared" si="90"/>
        <v>0.27677447280000012</v>
      </c>
      <c r="I3124" s="20">
        <f t="shared" si="91"/>
        <v>111.54011253840005</v>
      </c>
      <c r="J3124" s="6" t="s">
        <v>357</v>
      </c>
    </row>
    <row r="3125" spans="1:10" hidden="1">
      <c r="A3125" s="9">
        <v>46106</v>
      </c>
      <c r="B3125" s="6" t="s">
        <v>4745</v>
      </c>
      <c r="C3125" s="5" t="s">
        <v>545</v>
      </c>
      <c r="D3125" s="8" t="s">
        <v>306</v>
      </c>
      <c r="E3125" s="6" t="s">
        <v>466</v>
      </c>
      <c r="F3125" s="6" t="s">
        <v>4700</v>
      </c>
      <c r="G3125" s="5">
        <v>403</v>
      </c>
      <c r="H3125" s="5">
        <f t="shared" si="90"/>
        <v>0.27677447280000012</v>
      </c>
      <c r="I3125" s="20">
        <f t="shared" si="91"/>
        <v>111.54011253840005</v>
      </c>
      <c r="J3125" s="6" t="s">
        <v>357</v>
      </c>
    </row>
    <row r="3126" spans="1:10" hidden="1">
      <c r="A3126" s="9">
        <v>46106</v>
      </c>
      <c r="B3126" s="6" t="s">
        <v>4746</v>
      </c>
      <c r="C3126" s="5" t="s">
        <v>550</v>
      </c>
      <c r="D3126" s="8" t="s">
        <v>306</v>
      </c>
      <c r="E3126" s="6" t="s">
        <v>466</v>
      </c>
      <c r="F3126" s="6" t="s">
        <v>4700</v>
      </c>
      <c r="G3126" s="5">
        <v>403</v>
      </c>
      <c r="H3126" s="5">
        <f t="shared" si="90"/>
        <v>0.27677447280000012</v>
      </c>
      <c r="I3126" s="20">
        <f t="shared" si="91"/>
        <v>111.54011253840005</v>
      </c>
      <c r="J3126" s="6" t="s">
        <v>357</v>
      </c>
    </row>
    <row r="3127" spans="1:10" hidden="1">
      <c r="A3127" s="9">
        <v>46106</v>
      </c>
      <c r="B3127" s="6" t="s">
        <v>4747</v>
      </c>
      <c r="C3127" s="5" t="s">
        <v>554</v>
      </c>
      <c r="D3127" s="8" t="s">
        <v>306</v>
      </c>
      <c r="E3127" s="6" t="s">
        <v>466</v>
      </c>
      <c r="F3127" s="6" t="s">
        <v>4700</v>
      </c>
      <c r="G3127" s="5">
        <v>403</v>
      </c>
      <c r="H3127" s="5">
        <f t="shared" si="90"/>
        <v>0.27677447280000012</v>
      </c>
      <c r="I3127" s="20">
        <f t="shared" si="91"/>
        <v>111.54011253840005</v>
      </c>
      <c r="J3127" s="6" t="s">
        <v>357</v>
      </c>
    </row>
    <row r="3128" spans="1:10" hidden="1">
      <c r="A3128" s="9">
        <v>46106</v>
      </c>
      <c r="B3128" s="6" t="s">
        <v>4748</v>
      </c>
      <c r="C3128" s="5" t="s">
        <v>525</v>
      </c>
      <c r="D3128" s="8" t="s">
        <v>306</v>
      </c>
      <c r="E3128" s="6" t="s">
        <v>466</v>
      </c>
      <c r="F3128" s="6" t="s">
        <v>4700</v>
      </c>
      <c r="G3128" s="5">
        <v>512</v>
      </c>
      <c r="H3128" s="5">
        <f t="shared" si="90"/>
        <v>0.27677447280000012</v>
      </c>
      <c r="I3128" s="20">
        <f t="shared" si="91"/>
        <v>141.70853007360006</v>
      </c>
      <c r="J3128" s="6" t="s">
        <v>357</v>
      </c>
    </row>
    <row r="3129" spans="1:10" hidden="1">
      <c r="A3129" s="9">
        <v>46106</v>
      </c>
      <c r="B3129" s="6" t="s">
        <v>4749</v>
      </c>
      <c r="C3129" s="5" t="s">
        <v>526</v>
      </c>
      <c r="D3129" s="8" t="s">
        <v>306</v>
      </c>
      <c r="E3129" s="6" t="s">
        <v>466</v>
      </c>
      <c r="F3129" s="6" t="s">
        <v>4700</v>
      </c>
      <c r="G3129" s="5">
        <v>512</v>
      </c>
      <c r="H3129" s="5">
        <f t="shared" si="90"/>
        <v>0.27677447280000012</v>
      </c>
      <c r="I3129" s="20">
        <f t="shared" si="91"/>
        <v>141.70853007360006</v>
      </c>
      <c r="J3129" s="6" t="s">
        <v>357</v>
      </c>
    </row>
    <row r="3130" spans="1:10" hidden="1">
      <c r="A3130" s="9">
        <v>46106</v>
      </c>
      <c r="B3130" s="6" t="s">
        <v>4750</v>
      </c>
      <c r="C3130" s="5" t="s">
        <v>530</v>
      </c>
      <c r="D3130" s="8" t="s">
        <v>306</v>
      </c>
      <c r="E3130" s="6" t="s">
        <v>466</v>
      </c>
      <c r="F3130" s="6" t="s">
        <v>4700</v>
      </c>
      <c r="G3130" s="5">
        <v>512</v>
      </c>
      <c r="H3130" s="5">
        <f t="shared" si="90"/>
        <v>0.27677447280000012</v>
      </c>
      <c r="I3130" s="20">
        <f t="shared" si="91"/>
        <v>141.70853007360006</v>
      </c>
      <c r="J3130" s="6" t="s">
        <v>357</v>
      </c>
    </row>
    <row r="3131" spans="1:10" hidden="1">
      <c r="A3131" s="9">
        <v>46106</v>
      </c>
      <c r="B3131" s="6" t="s">
        <v>4751</v>
      </c>
      <c r="C3131" s="5" t="s">
        <v>535</v>
      </c>
      <c r="D3131" s="8" t="s">
        <v>306</v>
      </c>
      <c r="E3131" s="6" t="s">
        <v>466</v>
      </c>
      <c r="F3131" s="6" t="s">
        <v>4700</v>
      </c>
      <c r="G3131" s="5">
        <v>512</v>
      </c>
      <c r="H3131" s="5">
        <f t="shared" si="90"/>
        <v>0.27677447280000012</v>
      </c>
      <c r="I3131" s="20">
        <f t="shared" si="91"/>
        <v>141.70853007360006</v>
      </c>
      <c r="J3131" s="6" t="s">
        <v>357</v>
      </c>
    </row>
    <row r="3132" spans="1:10" hidden="1">
      <c r="A3132" s="9">
        <v>46106</v>
      </c>
      <c r="B3132" s="6" t="s">
        <v>4752</v>
      </c>
      <c r="C3132" s="5" t="s">
        <v>538</v>
      </c>
      <c r="D3132" s="8" t="s">
        <v>306</v>
      </c>
      <c r="E3132" s="6" t="s">
        <v>466</v>
      </c>
      <c r="F3132" s="6" t="s">
        <v>4700</v>
      </c>
      <c r="G3132" s="5">
        <v>512</v>
      </c>
      <c r="H3132" s="5">
        <f t="shared" si="90"/>
        <v>0.27677447280000012</v>
      </c>
      <c r="I3132" s="20">
        <f t="shared" si="91"/>
        <v>141.70853007360006</v>
      </c>
      <c r="J3132" s="6" t="s">
        <v>357</v>
      </c>
    </row>
    <row r="3133" spans="1:10" hidden="1">
      <c r="A3133" s="9">
        <v>46106</v>
      </c>
      <c r="B3133" s="6" t="s">
        <v>4753</v>
      </c>
      <c r="C3133" s="5" t="s">
        <v>541</v>
      </c>
      <c r="D3133" s="8" t="s">
        <v>306</v>
      </c>
      <c r="E3133" s="6" t="s">
        <v>466</v>
      </c>
      <c r="F3133" s="6" t="s">
        <v>4700</v>
      </c>
      <c r="G3133" s="5">
        <v>512</v>
      </c>
      <c r="H3133" s="5">
        <f t="shared" si="90"/>
        <v>0.27677447280000012</v>
      </c>
      <c r="I3133" s="20">
        <f t="shared" si="91"/>
        <v>141.70853007360006</v>
      </c>
      <c r="J3133" s="6" t="s">
        <v>357</v>
      </c>
    </row>
    <row r="3134" spans="1:10" hidden="1">
      <c r="A3134" s="9">
        <v>46106</v>
      </c>
      <c r="B3134" s="6" t="s">
        <v>4754</v>
      </c>
      <c r="C3134" s="5" t="s">
        <v>546</v>
      </c>
      <c r="D3134" s="8" t="s">
        <v>306</v>
      </c>
      <c r="E3134" s="6" t="s">
        <v>466</v>
      </c>
      <c r="F3134" s="6" t="s">
        <v>4700</v>
      </c>
      <c r="G3134" s="5">
        <v>512</v>
      </c>
      <c r="H3134" s="5">
        <f t="shared" si="90"/>
        <v>0.27677447280000012</v>
      </c>
      <c r="I3134" s="20">
        <f t="shared" si="91"/>
        <v>141.70853007360006</v>
      </c>
      <c r="J3134" s="6" t="s">
        <v>357</v>
      </c>
    </row>
    <row r="3135" spans="1:10" hidden="1">
      <c r="A3135" s="9">
        <v>46106</v>
      </c>
      <c r="B3135" s="6" t="s">
        <v>4755</v>
      </c>
      <c r="C3135" s="5" t="s">
        <v>549</v>
      </c>
      <c r="D3135" s="8" t="s">
        <v>306</v>
      </c>
      <c r="E3135" s="6" t="s">
        <v>466</v>
      </c>
      <c r="F3135" s="6" t="s">
        <v>4700</v>
      </c>
      <c r="G3135" s="5">
        <v>512</v>
      </c>
      <c r="H3135" s="5">
        <f t="shared" si="90"/>
        <v>0.27677447280000012</v>
      </c>
      <c r="I3135" s="20">
        <f t="shared" si="91"/>
        <v>141.70853007360006</v>
      </c>
      <c r="J3135" s="6" t="s">
        <v>357</v>
      </c>
    </row>
    <row r="3136" spans="1:10" hidden="1">
      <c r="A3136" s="9">
        <v>46106</v>
      </c>
      <c r="B3136" s="6" t="s">
        <v>4756</v>
      </c>
      <c r="C3136" s="5" t="s">
        <v>553</v>
      </c>
      <c r="D3136" s="8" t="s">
        <v>306</v>
      </c>
      <c r="E3136" s="6" t="s">
        <v>466</v>
      </c>
      <c r="F3136" s="6" t="s">
        <v>4700</v>
      </c>
      <c r="G3136" s="5">
        <v>512</v>
      </c>
      <c r="H3136" s="5">
        <f t="shared" si="90"/>
        <v>0.27677447280000012</v>
      </c>
      <c r="I3136" s="20">
        <f t="shared" si="91"/>
        <v>141.70853007360006</v>
      </c>
      <c r="J3136" s="6" t="s">
        <v>357</v>
      </c>
    </row>
    <row r="3137" spans="1:10" hidden="1">
      <c r="A3137" s="9">
        <v>46106</v>
      </c>
      <c r="B3137" s="6" t="s">
        <v>4758</v>
      </c>
      <c r="C3137" s="5" t="s">
        <v>4757</v>
      </c>
      <c r="D3137" s="8" t="s">
        <v>306</v>
      </c>
      <c r="E3137" s="6" t="s">
        <v>466</v>
      </c>
      <c r="F3137" s="6" t="s">
        <v>4700</v>
      </c>
      <c r="G3137" s="21">
        <v>554</v>
      </c>
      <c r="H3137" s="5">
        <f t="shared" ref="H3137:H3200" si="92">0.9*0.8*0.7*0.93*(0.9*0.9*0.9*0.9*0.9)</f>
        <v>0.27677447280000012</v>
      </c>
      <c r="I3137" s="20">
        <f t="shared" si="91"/>
        <v>153.33305793120007</v>
      </c>
      <c r="J3137" s="6" t="s">
        <v>357</v>
      </c>
    </row>
    <row r="3138" spans="1:10" hidden="1">
      <c r="A3138" s="9">
        <v>46106</v>
      </c>
      <c r="B3138" s="6" t="s">
        <v>4760</v>
      </c>
      <c r="C3138" s="5" t="s">
        <v>4759</v>
      </c>
      <c r="D3138" s="8" t="s">
        <v>306</v>
      </c>
      <c r="E3138" s="6" t="s">
        <v>466</v>
      </c>
      <c r="F3138" s="6" t="s">
        <v>4700</v>
      </c>
      <c r="G3138" s="5">
        <v>554</v>
      </c>
      <c r="H3138" s="5">
        <f t="shared" si="92"/>
        <v>0.27677447280000012</v>
      </c>
      <c r="I3138" s="20">
        <f t="shared" si="91"/>
        <v>153.33305793120007</v>
      </c>
      <c r="J3138" s="6" t="s">
        <v>357</v>
      </c>
    </row>
    <row r="3139" spans="1:10" hidden="1">
      <c r="A3139" s="9">
        <v>46106</v>
      </c>
      <c r="B3139" s="6" t="s">
        <v>4762</v>
      </c>
      <c r="C3139" s="5" t="s">
        <v>4761</v>
      </c>
      <c r="D3139" s="8" t="s">
        <v>306</v>
      </c>
      <c r="E3139" s="6" t="s">
        <v>466</v>
      </c>
      <c r="F3139" s="6" t="s">
        <v>4700</v>
      </c>
      <c r="G3139" s="5">
        <v>554</v>
      </c>
      <c r="H3139" s="5">
        <f t="shared" si="92"/>
        <v>0.27677447280000012</v>
      </c>
      <c r="I3139" s="20">
        <f t="shared" si="91"/>
        <v>153.33305793120007</v>
      </c>
      <c r="J3139" s="6" t="s">
        <v>357</v>
      </c>
    </row>
    <row r="3140" spans="1:10" hidden="1">
      <c r="A3140" s="9">
        <v>46106</v>
      </c>
      <c r="B3140" s="6" t="s">
        <v>4764</v>
      </c>
      <c r="C3140" s="5" t="s">
        <v>4763</v>
      </c>
      <c r="D3140" s="8" t="s">
        <v>306</v>
      </c>
      <c r="E3140" s="6" t="s">
        <v>466</v>
      </c>
      <c r="F3140" s="6" t="s">
        <v>4700</v>
      </c>
      <c r="G3140" s="5">
        <v>554</v>
      </c>
      <c r="H3140" s="5">
        <f t="shared" si="92"/>
        <v>0.27677447280000012</v>
      </c>
      <c r="I3140" s="20">
        <f t="shared" si="91"/>
        <v>153.33305793120007</v>
      </c>
      <c r="J3140" s="6" t="s">
        <v>357</v>
      </c>
    </row>
    <row r="3141" spans="1:10" hidden="1">
      <c r="A3141" s="9">
        <v>46106</v>
      </c>
      <c r="B3141" s="6" t="s">
        <v>4766</v>
      </c>
      <c r="C3141" s="5" t="s">
        <v>4765</v>
      </c>
      <c r="D3141" s="8" t="s">
        <v>306</v>
      </c>
      <c r="E3141" s="6" t="s">
        <v>466</v>
      </c>
      <c r="F3141" s="6" t="s">
        <v>4700</v>
      </c>
      <c r="G3141" s="5">
        <v>554</v>
      </c>
      <c r="H3141" s="5">
        <f t="shared" si="92"/>
        <v>0.27677447280000012</v>
      </c>
      <c r="I3141" s="20">
        <f t="shared" si="91"/>
        <v>153.33305793120007</v>
      </c>
      <c r="J3141" s="6" t="s">
        <v>357</v>
      </c>
    </row>
    <row r="3142" spans="1:10" hidden="1">
      <c r="A3142" s="9">
        <v>46106</v>
      </c>
      <c r="B3142" s="6" t="s">
        <v>4768</v>
      </c>
      <c r="C3142" s="5" t="s">
        <v>4767</v>
      </c>
      <c r="D3142" s="8" t="s">
        <v>306</v>
      </c>
      <c r="E3142" s="6" t="s">
        <v>466</v>
      </c>
      <c r="F3142" s="6" t="s">
        <v>4700</v>
      </c>
      <c r="G3142" s="5">
        <v>554</v>
      </c>
      <c r="H3142" s="5">
        <f t="shared" si="92"/>
        <v>0.27677447280000012</v>
      </c>
      <c r="I3142" s="20">
        <f t="shared" si="91"/>
        <v>153.33305793120007</v>
      </c>
      <c r="J3142" s="6" t="s">
        <v>357</v>
      </c>
    </row>
    <row r="3143" spans="1:10" hidden="1">
      <c r="A3143" s="9">
        <v>46106</v>
      </c>
      <c r="B3143" s="6" t="s">
        <v>4770</v>
      </c>
      <c r="C3143" s="5" t="s">
        <v>4769</v>
      </c>
      <c r="D3143" s="8" t="s">
        <v>306</v>
      </c>
      <c r="E3143" s="6" t="s">
        <v>466</v>
      </c>
      <c r="F3143" s="6" t="s">
        <v>4700</v>
      </c>
      <c r="G3143" s="5">
        <v>554</v>
      </c>
      <c r="H3143" s="5">
        <f t="shared" si="92"/>
        <v>0.27677447280000012</v>
      </c>
      <c r="I3143" s="20">
        <f t="shared" si="91"/>
        <v>153.33305793120007</v>
      </c>
      <c r="J3143" s="6" t="s">
        <v>357</v>
      </c>
    </row>
    <row r="3144" spans="1:10" hidden="1">
      <c r="A3144" s="9">
        <v>46106</v>
      </c>
      <c r="B3144" s="6" t="s">
        <v>4772</v>
      </c>
      <c r="C3144" s="5" t="s">
        <v>4771</v>
      </c>
      <c r="D3144" s="8" t="s">
        <v>306</v>
      </c>
      <c r="E3144" s="6" t="s">
        <v>466</v>
      </c>
      <c r="F3144" s="6" t="s">
        <v>4700</v>
      </c>
      <c r="G3144" s="5">
        <v>554</v>
      </c>
      <c r="H3144" s="5">
        <f t="shared" si="92"/>
        <v>0.27677447280000012</v>
      </c>
      <c r="I3144" s="20">
        <f t="shared" si="91"/>
        <v>153.33305793120007</v>
      </c>
      <c r="J3144" s="6" t="s">
        <v>357</v>
      </c>
    </row>
    <row r="3145" spans="1:10" hidden="1">
      <c r="A3145" s="9">
        <v>46106</v>
      </c>
      <c r="B3145" s="6" t="s">
        <v>4774</v>
      </c>
      <c r="C3145" s="5" t="s">
        <v>4773</v>
      </c>
      <c r="D3145" s="8" t="s">
        <v>306</v>
      </c>
      <c r="E3145" s="6" t="s">
        <v>466</v>
      </c>
      <c r="F3145" s="6" t="s">
        <v>4700</v>
      </c>
      <c r="G3145" s="5">
        <v>554</v>
      </c>
      <c r="H3145" s="5">
        <f t="shared" si="92"/>
        <v>0.27677447280000012</v>
      </c>
      <c r="I3145" s="20">
        <f t="shared" si="91"/>
        <v>153.33305793120007</v>
      </c>
      <c r="J3145" s="6" t="s">
        <v>357</v>
      </c>
    </row>
    <row r="3146" spans="1:10" hidden="1">
      <c r="A3146" s="9">
        <v>46106</v>
      </c>
      <c r="B3146" s="6" t="s">
        <v>4776</v>
      </c>
      <c r="C3146" s="5" t="s">
        <v>4775</v>
      </c>
      <c r="D3146" s="8" t="s">
        <v>306</v>
      </c>
      <c r="E3146" s="6" t="s">
        <v>466</v>
      </c>
      <c r="F3146" s="6" t="s">
        <v>4700</v>
      </c>
      <c r="G3146" s="21">
        <v>1028</v>
      </c>
      <c r="H3146" s="5">
        <f t="shared" si="92"/>
        <v>0.27677447280000012</v>
      </c>
      <c r="I3146" s="20">
        <f t="shared" si="91"/>
        <v>284.52415803840012</v>
      </c>
      <c r="J3146" s="6" t="s">
        <v>357</v>
      </c>
    </row>
    <row r="3147" spans="1:10" hidden="1">
      <c r="A3147" s="9">
        <v>46106</v>
      </c>
      <c r="B3147" s="6" t="s">
        <v>4778</v>
      </c>
      <c r="C3147" s="5" t="s">
        <v>4777</v>
      </c>
      <c r="D3147" s="8" t="s">
        <v>306</v>
      </c>
      <c r="E3147" s="6" t="s">
        <v>466</v>
      </c>
      <c r="F3147" s="6" t="s">
        <v>4700</v>
      </c>
      <c r="G3147" s="5">
        <v>990</v>
      </c>
      <c r="H3147" s="5">
        <f t="shared" si="92"/>
        <v>0.27677447280000012</v>
      </c>
      <c r="I3147" s="20">
        <f t="shared" si="91"/>
        <v>274.0067280720001</v>
      </c>
      <c r="J3147" s="6" t="s">
        <v>357</v>
      </c>
    </row>
    <row r="3148" spans="1:10" hidden="1">
      <c r="A3148" s="9">
        <v>46106</v>
      </c>
      <c r="B3148" s="6" t="s">
        <v>4780</v>
      </c>
      <c r="C3148" s="5" t="s">
        <v>4779</v>
      </c>
      <c r="D3148" s="8" t="s">
        <v>306</v>
      </c>
      <c r="E3148" s="6" t="s">
        <v>466</v>
      </c>
      <c r="F3148" s="6" t="s">
        <v>4700</v>
      </c>
      <c r="G3148" s="5">
        <v>990</v>
      </c>
      <c r="H3148" s="5">
        <f t="shared" si="92"/>
        <v>0.27677447280000012</v>
      </c>
      <c r="I3148" s="20">
        <f t="shared" si="91"/>
        <v>274.0067280720001</v>
      </c>
      <c r="J3148" s="6" t="s">
        <v>357</v>
      </c>
    </row>
    <row r="3149" spans="1:10" hidden="1">
      <c r="A3149" s="9">
        <v>46106</v>
      </c>
      <c r="B3149" s="6" t="s">
        <v>4782</v>
      </c>
      <c r="C3149" s="5" t="s">
        <v>4781</v>
      </c>
      <c r="D3149" s="8" t="s">
        <v>306</v>
      </c>
      <c r="E3149" s="6" t="s">
        <v>466</v>
      </c>
      <c r="F3149" s="6" t="s">
        <v>4700</v>
      </c>
      <c r="G3149" s="5">
        <v>990</v>
      </c>
      <c r="H3149" s="5">
        <f t="shared" si="92"/>
        <v>0.27677447280000012</v>
      </c>
      <c r="I3149" s="20">
        <f t="shared" si="91"/>
        <v>274.0067280720001</v>
      </c>
      <c r="J3149" s="6" t="s">
        <v>357</v>
      </c>
    </row>
    <row r="3150" spans="1:10" hidden="1">
      <c r="A3150" s="9">
        <v>46106</v>
      </c>
      <c r="B3150" s="6" t="s">
        <v>4784</v>
      </c>
      <c r="C3150" s="5" t="s">
        <v>4783</v>
      </c>
      <c r="D3150" s="8" t="s">
        <v>306</v>
      </c>
      <c r="E3150" s="6" t="s">
        <v>466</v>
      </c>
      <c r="F3150" s="6" t="s">
        <v>4700</v>
      </c>
      <c r="G3150" s="5">
        <v>990</v>
      </c>
      <c r="H3150" s="5">
        <f t="shared" si="92"/>
        <v>0.27677447280000012</v>
      </c>
      <c r="I3150" s="20">
        <f t="shared" si="91"/>
        <v>274.0067280720001</v>
      </c>
      <c r="J3150" s="6" t="s">
        <v>357</v>
      </c>
    </row>
    <row r="3151" spans="1:10" hidden="1">
      <c r="A3151" s="9">
        <v>46106</v>
      </c>
      <c r="B3151" s="6" t="s">
        <v>4786</v>
      </c>
      <c r="C3151" s="5" t="s">
        <v>4785</v>
      </c>
      <c r="D3151" s="8" t="s">
        <v>306</v>
      </c>
      <c r="E3151" s="6" t="s">
        <v>466</v>
      </c>
      <c r="F3151" s="6" t="s">
        <v>4700</v>
      </c>
      <c r="G3151" s="5">
        <v>990</v>
      </c>
      <c r="H3151" s="5">
        <f t="shared" si="92"/>
        <v>0.27677447280000012</v>
      </c>
      <c r="I3151" s="20">
        <f t="shared" si="91"/>
        <v>274.0067280720001</v>
      </c>
      <c r="J3151" s="6" t="s">
        <v>357</v>
      </c>
    </row>
    <row r="3152" spans="1:10" hidden="1">
      <c r="A3152" s="9">
        <v>46106</v>
      </c>
      <c r="B3152" s="6" t="s">
        <v>4788</v>
      </c>
      <c r="C3152" s="5" t="s">
        <v>4787</v>
      </c>
      <c r="D3152" s="8" t="s">
        <v>306</v>
      </c>
      <c r="E3152" s="6" t="s">
        <v>466</v>
      </c>
      <c r="F3152" s="6" t="s">
        <v>4700</v>
      </c>
      <c r="G3152" s="5">
        <v>990</v>
      </c>
      <c r="H3152" s="5">
        <f t="shared" si="92"/>
        <v>0.27677447280000012</v>
      </c>
      <c r="I3152" s="20">
        <f t="shared" si="91"/>
        <v>274.0067280720001</v>
      </c>
      <c r="J3152" s="6" t="s">
        <v>357</v>
      </c>
    </row>
    <row r="3153" spans="1:10" hidden="1">
      <c r="A3153" s="9">
        <v>46106</v>
      </c>
      <c r="B3153" s="6" t="s">
        <v>4790</v>
      </c>
      <c r="C3153" s="5" t="s">
        <v>4789</v>
      </c>
      <c r="D3153" s="8" t="s">
        <v>306</v>
      </c>
      <c r="E3153" s="6" t="s">
        <v>466</v>
      </c>
      <c r="F3153" s="6" t="s">
        <v>4700</v>
      </c>
      <c r="G3153" s="5">
        <v>990</v>
      </c>
      <c r="H3153" s="5">
        <f t="shared" si="92"/>
        <v>0.27677447280000012</v>
      </c>
      <c r="I3153" s="20">
        <f t="shared" si="91"/>
        <v>274.0067280720001</v>
      </c>
      <c r="J3153" s="6" t="s">
        <v>357</v>
      </c>
    </row>
    <row r="3154" spans="1:10" hidden="1">
      <c r="A3154" s="9">
        <v>46106</v>
      </c>
      <c r="B3154" s="6" t="s">
        <v>4792</v>
      </c>
      <c r="C3154" s="5" t="s">
        <v>4791</v>
      </c>
      <c r="D3154" s="8" t="s">
        <v>306</v>
      </c>
      <c r="E3154" s="6" t="s">
        <v>466</v>
      </c>
      <c r="F3154" s="6" t="s">
        <v>4700</v>
      </c>
      <c r="G3154" s="5">
        <v>990</v>
      </c>
      <c r="H3154" s="5">
        <f t="shared" si="92"/>
        <v>0.27677447280000012</v>
      </c>
      <c r="I3154" s="20">
        <f t="shared" si="91"/>
        <v>274.0067280720001</v>
      </c>
      <c r="J3154" s="6" t="s">
        <v>357</v>
      </c>
    </row>
    <row r="3155" spans="1:10" hidden="1">
      <c r="A3155" s="9">
        <v>46106</v>
      </c>
      <c r="B3155" s="6" t="s">
        <v>4794</v>
      </c>
      <c r="C3155" s="5" t="s">
        <v>4793</v>
      </c>
      <c r="D3155" s="8" t="s">
        <v>306</v>
      </c>
      <c r="E3155" s="6" t="s">
        <v>466</v>
      </c>
      <c r="F3155" s="6" t="s">
        <v>4700</v>
      </c>
      <c r="G3155" s="21">
        <v>543</v>
      </c>
      <c r="H3155" s="5">
        <f t="shared" si="92"/>
        <v>0.27677447280000012</v>
      </c>
      <c r="I3155" s="20">
        <f t="shared" si="91"/>
        <v>150.28853873040006</v>
      </c>
      <c r="J3155" s="6" t="s">
        <v>357</v>
      </c>
    </row>
    <row r="3156" spans="1:10" hidden="1">
      <c r="A3156" s="9">
        <v>46106</v>
      </c>
      <c r="B3156" s="6" t="s">
        <v>4796</v>
      </c>
      <c r="C3156" s="5" t="s">
        <v>4795</v>
      </c>
      <c r="D3156" s="8" t="s">
        <v>306</v>
      </c>
      <c r="E3156" s="6" t="s">
        <v>466</v>
      </c>
      <c r="F3156" s="6" t="s">
        <v>4700</v>
      </c>
      <c r="G3156" s="21">
        <v>418</v>
      </c>
      <c r="H3156" s="5">
        <f t="shared" si="92"/>
        <v>0.27677447280000012</v>
      </c>
      <c r="I3156" s="20">
        <f t="shared" si="91"/>
        <v>115.69172963040005</v>
      </c>
      <c r="J3156" s="6" t="s">
        <v>357</v>
      </c>
    </row>
    <row r="3157" spans="1:10" hidden="1">
      <c r="A3157" s="9">
        <v>46106</v>
      </c>
      <c r="B3157" s="6" t="s">
        <v>4798</v>
      </c>
      <c r="C3157" s="5" t="s">
        <v>4797</v>
      </c>
      <c r="D3157" s="8" t="s">
        <v>306</v>
      </c>
      <c r="E3157" s="6" t="s">
        <v>466</v>
      </c>
      <c r="F3157" s="6" t="s">
        <v>4700</v>
      </c>
      <c r="G3157" s="21">
        <v>418</v>
      </c>
      <c r="H3157" s="5">
        <f t="shared" si="92"/>
        <v>0.27677447280000012</v>
      </c>
      <c r="I3157" s="20">
        <f t="shared" si="91"/>
        <v>115.69172963040005</v>
      </c>
      <c r="J3157" s="6" t="s">
        <v>357</v>
      </c>
    </row>
    <row r="3158" spans="1:10" hidden="1">
      <c r="A3158" s="9">
        <v>46106</v>
      </c>
      <c r="B3158" s="6" t="s">
        <v>4800</v>
      </c>
      <c r="C3158" s="5" t="s">
        <v>4799</v>
      </c>
      <c r="D3158" s="8" t="s">
        <v>306</v>
      </c>
      <c r="E3158" s="6" t="s">
        <v>466</v>
      </c>
      <c r="F3158" s="6" t="s">
        <v>4700</v>
      </c>
      <c r="G3158" s="21">
        <v>418</v>
      </c>
      <c r="H3158" s="5">
        <f t="shared" si="92"/>
        <v>0.27677447280000012</v>
      </c>
      <c r="I3158" s="20">
        <f t="shared" si="91"/>
        <v>115.69172963040005</v>
      </c>
      <c r="J3158" s="6" t="s">
        <v>357</v>
      </c>
    </row>
    <row r="3159" spans="1:10" hidden="1">
      <c r="A3159" s="9">
        <v>46106</v>
      </c>
      <c r="B3159" s="6" t="s">
        <v>4802</v>
      </c>
      <c r="C3159" s="5" t="s">
        <v>4801</v>
      </c>
      <c r="D3159" s="8" t="s">
        <v>306</v>
      </c>
      <c r="E3159" s="6" t="s">
        <v>466</v>
      </c>
      <c r="F3159" s="6" t="s">
        <v>4700</v>
      </c>
      <c r="G3159" s="21">
        <v>418</v>
      </c>
      <c r="H3159" s="5">
        <f t="shared" si="92"/>
        <v>0.27677447280000012</v>
      </c>
      <c r="I3159" s="20">
        <f t="shared" si="91"/>
        <v>115.69172963040005</v>
      </c>
      <c r="J3159" s="6" t="s">
        <v>357</v>
      </c>
    </row>
    <row r="3160" spans="1:10" hidden="1">
      <c r="A3160" s="9">
        <v>46106</v>
      </c>
      <c r="B3160" s="6" t="s">
        <v>4804</v>
      </c>
      <c r="C3160" s="5" t="s">
        <v>4803</v>
      </c>
      <c r="D3160" s="8" t="s">
        <v>306</v>
      </c>
      <c r="E3160" s="6" t="s">
        <v>466</v>
      </c>
      <c r="F3160" s="6" t="s">
        <v>4700</v>
      </c>
      <c r="G3160" s="21">
        <v>418</v>
      </c>
      <c r="H3160" s="5">
        <f t="shared" si="92"/>
        <v>0.27677447280000012</v>
      </c>
      <c r="I3160" s="20">
        <f t="shared" si="91"/>
        <v>115.69172963040005</v>
      </c>
      <c r="J3160" s="6" t="s">
        <v>357</v>
      </c>
    </row>
    <row r="3161" spans="1:10" hidden="1">
      <c r="A3161" s="9">
        <v>46106</v>
      </c>
      <c r="B3161" s="6" t="s">
        <v>4806</v>
      </c>
      <c r="C3161" s="5" t="s">
        <v>4805</v>
      </c>
      <c r="D3161" s="8" t="s">
        <v>306</v>
      </c>
      <c r="E3161" s="6" t="s">
        <v>466</v>
      </c>
      <c r="F3161" s="6" t="s">
        <v>4700</v>
      </c>
      <c r="G3161" s="21">
        <v>418</v>
      </c>
      <c r="H3161" s="5">
        <f t="shared" si="92"/>
        <v>0.27677447280000012</v>
      </c>
      <c r="I3161" s="20">
        <f t="shared" ref="I3161:I3224" si="93">H3161*G3161</f>
        <v>115.69172963040005</v>
      </c>
      <c r="J3161" s="6" t="s">
        <v>357</v>
      </c>
    </row>
    <row r="3162" spans="1:10" hidden="1">
      <c r="A3162" s="9">
        <v>46106</v>
      </c>
      <c r="B3162" s="6" t="s">
        <v>4808</v>
      </c>
      <c r="C3162" s="5" t="s">
        <v>4807</v>
      </c>
      <c r="D3162" s="8" t="s">
        <v>306</v>
      </c>
      <c r="E3162" s="6" t="s">
        <v>466</v>
      </c>
      <c r="F3162" s="6" t="s">
        <v>4700</v>
      </c>
      <c r="G3162" s="21">
        <v>418</v>
      </c>
      <c r="H3162" s="5">
        <f t="shared" si="92"/>
        <v>0.27677447280000012</v>
      </c>
      <c r="I3162" s="20">
        <f t="shared" si="93"/>
        <v>115.69172963040005</v>
      </c>
      <c r="J3162" s="6" t="s">
        <v>357</v>
      </c>
    </row>
    <row r="3163" spans="1:10" hidden="1">
      <c r="A3163" s="9">
        <v>46106</v>
      </c>
      <c r="B3163" s="6" t="s">
        <v>4810</v>
      </c>
      <c r="C3163" s="5" t="s">
        <v>4809</v>
      </c>
      <c r="D3163" s="8" t="s">
        <v>306</v>
      </c>
      <c r="E3163" s="6" t="s">
        <v>466</v>
      </c>
      <c r="F3163" s="6" t="s">
        <v>4700</v>
      </c>
      <c r="G3163" s="21">
        <v>418</v>
      </c>
      <c r="H3163" s="5">
        <f t="shared" si="92"/>
        <v>0.27677447280000012</v>
      </c>
      <c r="I3163" s="20">
        <f t="shared" si="93"/>
        <v>115.69172963040005</v>
      </c>
      <c r="J3163" s="6" t="s">
        <v>357</v>
      </c>
    </row>
    <row r="3164" spans="1:10" hidden="1">
      <c r="A3164" s="9">
        <v>46106</v>
      </c>
      <c r="B3164" s="6" t="s">
        <v>4812</v>
      </c>
      <c r="C3164" s="5" t="s">
        <v>4811</v>
      </c>
      <c r="D3164" s="8" t="s">
        <v>306</v>
      </c>
      <c r="E3164" s="6" t="s">
        <v>466</v>
      </c>
      <c r="F3164" s="6" t="s">
        <v>4700</v>
      </c>
      <c r="G3164" s="5">
        <v>555</v>
      </c>
      <c r="H3164" s="5">
        <f t="shared" si="92"/>
        <v>0.27677447280000012</v>
      </c>
      <c r="I3164" s="20">
        <f t="shared" si="93"/>
        <v>153.60983240400006</v>
      </c>
      <c r="J3164" s="6" t="s">
        <v>357</v>
      </c>
    </row>
    <row r="3165" spans="1:10" hidden="1">
      <c r="A3165" s="9">
        <v>46106</v>
      </c>
      <c r="B3165" s="6" t="s">
        <v>4814</v>
      </c>
      <c r="C3165" s="5" t="s">
        <v>4813</v>
      </c>
      <c r="D3165" s="8" t="s">
        <v>306</v>
      </c>
      <c r="E3165" s="6" t="s">
        <v>466</v>
      </c>
      <c r="F3165" s="6" t="s">
        <v>4700</v>
      </c>
      <c r="G3165" s="5">
        <v>555</v>
      </c>
      <c r="H3165" s="5">
        <f t="shared" si="92"/>
        <v>0.27677447280000012</v>
      </c>
      <c r="I3165" s="20">
        <f t="shared" si="93"/>
        <v>153.60983240400006</v>
      </c>
      <c r="J3165" s="6" t="s">
        <v>357</v>
      </c>
    </row>
    <row r="3166" spans="1:10" hidden="1">
      <c r="A3166" s="9">
        <v>46106</v>
      </c>
      <c r="B3166" s="6" t="s">
        <v>4816</v>
      </c>
      <c r="C3166" s="5" t="s">
        <v>4815</v>
      </c>
      <c r="D3166" s="8" t="s">
        <v>306</v>
      </c>
      <c r="E3166" s="6" t="s">
        <v>466</v>
      </c>
      <c r="F3166" s="6" t="s">
        <v>4700</v>
      </c>
      <c r="G3166" s="5">
        <v>555</v>
      </c>
      <c r="H3166" s="5">
        <f t="shared" si="92"/>
        <v>0.27677447280000012</v>
      </c>
      <c r="I3166" s="20">
        <f t="shared" si="93"/>
        <v>153.60983240400006</v>
      </c>
      <c r="J3166" s="6" t="s">
        <v>357</v>
      </c>
    </row>
    <row r="3167" spans="1:10" hidden="1">
      <c r="A3167" s="9">
        <v>46106</v>
      </c>
      <c r="B3167" s="6" t="s">
        <v>4818</v>
      </c>
      <c r="C3167" s="5" t="s">
        <v>4817</v>
      </c>
      <c r="D3167" s="8" t="s">
        <v>306</v>
      </c>
      <c r="E3167" s="6" t="s">
        <v>466</v>
      </c>
      <c r="F3167" s="6" t="s">
        <v>4700</v>
      </c>
      <c r="G3167" s="5">
        <v>555</v>
      </c>
      <c r="H3167" s="5">
        <f t="shared" si="92"/>
        <v>0.27677447280000012</v>
      </c>
      <c r="I3167" s="20">
        <f t="shared" si="93"/>
        <v>153.60983240400006</v>
      </c>
      <c r="J3167" s="6" t="s">
        <v>357</v>
      </c>
    </row>
    <row r="3168" spans="1:10" hidden="1">
      <c r="A3168" s="9">
        <v>46106</v>
      </c>
      <c r="B3168" s="6" t="s">
        <v>4820</v>
      </c>
      <c r="C3168" s="5" t="s">
        <v>4819</v>
      </c>
      <c r="D3168" s="8" t="s">
        <v>306</v>
      </c>
      <c r="E3168" s="6" t="s">
        <v>466</v>
      </c>
      <c r="F3168" s="6" t="s">
        <v>4700</v>
      </c>
      <c r="G3168" s="5">
        <v>555</v>
      </c>
      <c r="H3168" s="5">
        <f t="shared" si="92"/>
        <v>0.27677447280000012</v>
      </c>
      <c r="I3168" s="20">
        <f t="shared" si="93"/>
        <v>153.60983240400006</v>
      </c>
      <c r="J3168" s="6" t="s">
        <v>357</v>
      </c>
    </row>
    <row r="3169" spans="1:10" hidden="1">
      <c r="A3169" s="9">
        <v>46106</v>
      </c>
      <c r="B3169" s="6" t="s">
        <v>4822</v>
      </c>
      <c r="C3169" s="5" t="s">
        <v>4821</v>
      </c>
      <c r="D3169" s="8" t="s">
        <v>306</v>
      </c>
      <c r="E3169" s="6" t="s">
        <v>466</v>
      </c>
      <c r="F3169" s="6" t="s">
        <v>4700</v>
      </c>
      <c r="G3169" s="5">
        <v>555</v>
      </c>
      <c r="H3169" s="5">
        <f t="shared" si="92"/>
        <v>0.27677447280000012</v>
      </c>
      <c r="I3169" s="20">
        <f t="shared" si="93"/>
        <v>153.60983240400006</v>
      </c>
      <c r="J3169" s="6" t="s">
        <v>357</v>
      </c>
    </row>
    <row r="3170" spans="1:10" hidden="1">
      <c r="A3170" s="9">
        <v>46106</v>
      </c>
      <c r="B3170" s="6" t="s">
        <v>4824</v>
      </c>
      <c r="C3170" s="5" t="s">
        <v>4823</v>
      </c>
      <c r="D3170" s="8" t="s">
        <v>306</v>
      </c>
      <c r="E3170" s="6" t="s">
        <v>466</v>
      </c>
      <c r="F3170" s="6" t="s">
        <v>4700</v>
      </c>
      <c r="G3170" s="5">
        <v>555</v>
      </c>
      <c r="H3170" s="5">
        <f t="shared" si="92"/>
        <v>0.27677447280000012</v>
      </c>
      <c r="I3170" s="20">
        <f t="shared" si="93"/>
        <v>153.60983240400006</v>
      </c>
      <c r="J3170" s="6" t="s">
        <v>357</v>
      </c>
    </row>
    <row r="3171" spans="1:10" hidden="1">
      <c r="A3171" s="9">
        <v>46106</v>
      </c>
      <c r="B3171" s="6" t="s">
        <v>4826</v>
      </c>
      <c r="C3171" s="5" t="s">
        <v>4825</v>
      </c>
      <c r="D3171" s="8" t="s">
        <v>306</v>
      </c>
      <c r="E3171" s="6" t="s">
        <v>466</v>
      </c>
      <c r="F3171" s="6" t="s">
        <v>4700</v>
      </c>
      <c r="G3171" s="5">
        <v>555</v>
      </c>
      <c r="H3171" s="5">
        <f t="shared" si="92"/>
        <v>0.27677447280000012</v>
      </c>
      <c r="I3171" s="20">
        <f t="shared" si="93"/>
        <v>153.60983240400006</v>
      </c>
      <c r="J3171" s="6" t="s">
        <v>357</v>
      </c>
    </row>
    <row r="3172" spans="1:10" hidden="1">
      <c r="A3172" s="9">
        <v>46106</v>
      </c>
      <c r="B3172" s="6" t="s">
        <v>4828</v>
      </c>
      <c r="C3172" s="5" t="s">
        <v>4827</v>
      </c>
      <c r="D3172" s="8" t="s">
        <v>306</v>
      </c>
      <c r="E3172" s="6" t="s">
        <v>466</v>
      </c>
      <c r="F3172" s="6" t="s">
        <v>4700</v>
      </c>
      <c r="G3172" s="5">
        <v>555</v>
      </c>
      <c r="H3172" s="5">
        <f t="shared" si="92"/>
        <v>0.27677447280000012</v>
      </c>
      <c r="I3172" s="20">
        <f t="shared" si="93"/>
        <v>153.60983240400006</v>
      </c>
      <c r="J3172" s="6" t="s">
        <v>357</v>
      </c>
    </row>
    <row r="3173" spans="1:10" hidden="1">
      <c r="A3173" s="9">
        <v>46106</v>
      </c>
      <c r="B3173" s="6" t="s">
        <v>4830</v>
      </c>
      <c r="C3173" s="5" t="s">
        <v>4829</v>
      </c>
      <c r="D3173" s="8" t="s">
        <v>306</v>
      </c>
      <c r="E3173" s="6" t="s">
        <v>466</v>
      </c>
      <c r="F3173" s="6" t="s">
        <v>4700</v>
      </c>
      <c r="G3173" s="5">
        <v>849</v>
      </c>
      <c r="H3173" s="5">
        <f t="shared" si="92"/>
        <v>0.27677447280000012</v>
      </c>
      <c r="I3173" s="20">
        <f t="shared" si="93"/>
        <v>234.9815274072001</v>
      </c>
      <c r="J3173" s="6" t="s">
        <v>357</v>
      </c>
    </row>
    <row r="3174" spans="1:10" hidden="1">
      <c r="A3174" s="9">
        <v>46106</v>
      </c>
      <c r="B3174" s="6" t="s">
        <v>4832</v>
      </c>
      <c r="C3174" s="5" t="s">
        <v>4831</v>
      </c>
      <c r="D3174" s="8" t="s">
        <v>306</v>
      </c>
      <c r="E3174" s="6" t="s">
        <v>466</v>
      </c>
      <c r="F3174" s="6" t="s">
        <v>4700</v>
      </c>
      <c r="G3174" s="5">
        <v>818</v>
      </c>
      <c r="H3174" s="5">
        <f t="shared" si="92"/>
        <v>0.27677447280000012</v>
      </c>
      <c r="I3174" s="20">
        <f t="shared" si="93"/>
        <v>226.4015187504001</v>
      </c>
      <c r="J3174" s="6" t="s">
        <v>357</v>
      </c>
    </row>
    <row r="3175" spans="1:10" hidden="1">
      <c r="A3175" s="9">
        <v>46106</v>
      </c>
      <c r="B3175" s="6" t="s">
        <v>4834</v>
      </c>
      <c r="C3175" s="5" t="s">
        <v>4833</v>
      </c>
      <c r="D3175" s="8" t="s">
        <v>306</v>
      </c>
      <c r="E3175" s="6" t="s">
        <v>466</v>
      </c>
      <c r="F3175" s="6" t="s">
        <v>4700</v>
      </c>
      <c r="G3175" s="5">
        <v>818</v>
      </c>
      <c r="H3175" s="5">
        <f t="shared" si="92"/>
        <v>0.27677447280000012</v>
      </c>
      <c r="I3175" s="20">
        <f t="shared" si="93"/>
        <v>226.4015187504001</v>
      </c>
      <c r="J3175" s="6" t="s">
        <v>357</v>
      </c>
    </row>
    <row r="3176" spans="1:10" hidden="1">
      <c r="A3176" s="9">
        <v>46106</v>
      </c>
      <c r="B3176" s="6" t="s">
        <v>4836</v>
      </c>
      <c r="C3176" s="5" t="s">
        <v>4835</v>
      </c>
      <c r="D3176" s="8" t="s">
        <v>306</v>
      </c>
      <c r="E3176" s="6" t="s">
        <v>466</v>
      </c>
      <c r="F3176" s="6" t="s">
        <v>4700</v>
      </c>
      <c r="G3176" s="5">
        <v>818</v>
      </c>
      <c r="H3176" s="5">
        <f t="shared" si="92"/>
        <v>0.27677447280000012</v>
      </c>
      <c r="I3176" s="20">
        <f t="shared" si="93"/>
        <v>226.4015187504001</v>
      </c>
      <c r="J3176" s="6" t="s">
        <v>357</v>
      </c>
    </row>
    <row r="3177" spans="1:10" hidden="1">
      <c r="A3177" s="9">
        <v>46106</v>
      </c>
      <c r="B3177" s="6" t="s">
        <v>4838</v>
      </c>
      <c r="C3177" s="5" t="s">
        <v>4837</v>
      </c>
      <c r="D3177" s="8" t="s">
        <v>306</v>
      </c>
      <c r="E3177" s="6" t="s">
        <v>466</v>
      </c>
      <c r="F3177" s="6" t="s">
        <v>4700</v>
      </c>
      <c r="G3177" s="5">
        <v>818</v>
      </c>
      <c r="H3177" s="5">
        <f t="shared" si="92"/>
        <v>0.27677447280000012</v>
      </c>
      <c r="I3177" s="20">
        <f t="shared" si="93"/>
        <v>226.4015187504001</v>
      </c>
      <c r="J3177" s="6" t="s">
        <v>357</v>
      </c>
    </row>
    <row r="3178" spans="1:10" hidden="1">
      <c r="A3178" s="9">
        <v>46106</v>
      </c>
      <c r="B3178" s="6" t="s">
        <v>4840</v>
      </c>
      <c r="C3178" s="5" t="s">
        <v>4839</v>
      </c>
      <c r="D3178" s="8" t="s">
        <v>306</v>
      </c>
      <c r="E3178" s="6" t="s">
        <v>466</v>
      </c>
      <c r="F3178" s="6" t="s">
        <v>4700</v>
      </c>
      <c r="G3178" s="5">
        <v>818</v>
      </c>
      <c r="H3178" s="5">
        <f t="shared" si="92"/>
        <v>0.27677447280000012</v>
      </c>
      <c r="I3178" s="20">
        <f t="shared" si="93"/>
        <v>226.4015187504001</v>
      </c>
      <c r="J3178" s="6" t="s">
        <v>357</v>
      </c>
    </row>
    <row r="3179" spans="1:10" hidden="1">
      <c r="A3179" s="9">
        <v>46106</v>
      </c>
      <c r="B3179" s="6" t="s">
        <v>4842</v>
      </c>
      <c r="C3179" s="5" t="s">
        <v>4841</v>
      </c>
      <c r="D3179" s="8" t="s">
        <v>306</v>
      </c>
      <c r="E3179" s="6" t="s">
        <v>466</v>
      </c>
      <c r="F3179" s="6" t="s">
        <v>4700</v>
      </c>
      <c r="G3179" s="5">
        <v>818</v>
      </c>
      <c r="H3179" s="5">
        <f t="shared" si="92"/>
        <v>0.27677447280000012</v>
      </c>
      <c r="I3179" s="20">
        <f t="shared" si="93"/>
        <v>226.4015187504001</v>
      </c>
      <c r="J3179" s="6" t="s">
        <v>357</v>
      </c>
    </row>
    <row r="3180" spans="1:10" hidden="1">
      <c r="A3180" s="9">
        <v>46106</v>
      </c>
      <c r="B3180" s="6" t="s">
        <v>4844</v>
      </c>
      <c r="C3180" s="5" t="s">
        <v>4843</v>
      </c>
      <c r="D3180" s="8" t="s">
        <v>306</v>
      </c>
      <c r="E3180" s="6" t="s">
        <v>466</v>
      </c>
      <c r="F3180" s="6" t="s">
        <v>4700</v>
      </c>
      <c r="G3180" s="5">
        <v>818</v>
      </c>
      <c r="H3180" s="5">
        <f t="shared" si="92"/>
        <v>0.27677447280000012</v>
      </c>
      <c r="I3180" s="20">
        <f t="shared" si="93"/>
        <v>226.4015187504001</v>
      </c>
      <c r="J3180" s="6" t="s">
        <v>357</v>
      </c>
    </row>
    <row r="3181" spans="1:10" hidden="1">
      <c r="A3181" s="9">
        <v>46106</v>
      </c>
      <c r="B3181" s="6" t="s">
        <v>4846</v>
      </c>
      <c r="C3181" s="5" t="s">
        <v>4845</v>
      </c>
      <c r="D3181" s="8" t="s">
        <v>306</v>
      </c>
      <c r="E3181" s="6" t="s">
        <v>466</v>
      </c>
      <c r="F3181" s="6" t="s">
        <v>4700</v>
      </c>
      <c r="G3181" s="5">
        <v>818</v>
      </c>
      <c r="H3181" s="5">
        <f t="shared" si="92"/>
        <v>0.27677447280000012</v>
      </c>
      <c r="I3181" s="20">
        <f t="shared" si="93"/>
        <v>226.4015187504001</v>
      </c>
      <c r="J3181" s="6" t="s">
        <v>357</v>
      </c>
    </row>
    <row r="3182" spans="1:10" hidden="1">
      <c r="A3182" s="9">
        <v>46106</v>
      </c>
      <c r="B3182" s="6" t="s">
        <v>4847</v>
      </c>
      <c r="C3182" s="5" t="s">
        <v>565</v>
      </c>
      <c r="D3182" s="8" t="s">
        <v>306</v>
      </c>
      <c r="E3182" s="6" t="s">
        <v>466</v>
      </c>
      <c r="F3182" s="6" t="s">
        <v>4700</v>
      </c>
      <c r="G3182" s="5">
        <v>947</v>
      </c>
      <c r="H3182" s="5">
        <f t="shared" si="92"/>
        <v>0.27677447280000012</v>
      </c>
      <c r="I3182" s="20">
        <f t="shared" si="93"/>
        <v>262.10542574160013</v>
      </c>
      <c r="J3182" s="6" t="s">
        <v>357</v>
      </c>
    </row>
    <row r="3183" spans="1:10" hidden="1">
      <c r="A3183" s="9">
        <v>46106</v>
      </c>
      <c r="B3183" s="6" t="s">
        <v>4848</v>
      </c>
      <c r="C3183" s="5" t="s">
        <v>567</v>
      </c>
      <c r="D3183" s="8" t="s">
        <v>306</v>
      </c>
      <c r="E3183" s="6" t="s">
        <v>466</v>
      </c>
      <c r="F3183" s="6" t="s">
        <v>4700</v>
      </c>
      <c r="G3183" s="5">
        <v>944</v>
      </c>
      <c r="H3183" s="5">
        <f t="shared" si="92"/>
        <v>0.27677447280000012</v>
      </c>
      <c r="I3183" s="20">
        <f t="shared" si="93"/>
        <v>261.27510232320009</v>
      </c>
      <c r="J3183" s="6" t="s">
        <v>357</v>
      </c>
    </row>
    <row r="3184" spans="1:10" hidden="1">
      <c r="A3184" s="9">
        <v>46106</v>
      </c>
      <c r="B3184" s="6" t="s">
        <v>4849</v>
      </c>
      <c r="C3184" s="5" t="s">
        <v>569</v>
      </c>
      <c r="D3184" s="8" t="s">
        <v>306</v>
      </c>
      <c r="E3184" s="6" t="s">
        <v>466</v>
      </c>
      <c r="F3184" s="6" t="s">
        <v>4700</v>
      </c>
      <c r="G3184" s="5">
        <v>1213</v>
      </c>
      <c r="H3184" s="5">
        <f t="shared" si="92"/>
        <v>0.27677447280000012</v>
      </c>
      <c r="I3184" s="20">
        <f t="shared" si="93"/>
        <v>335.72743550640013</v>
      </c>
      <c r="J3184" s="6" t="s">
        <v>357</v>
      </c>
    </row>
    <row r="3185" spans="1:10" hidden="1">
      <c r="A3185" s="9">
        <v>46106</v>
      </c>
      <c r="B3185" s="6" t="s">
        <v>4850</v>
      </c>
      <c r="C3185" s="5" t="s">
        <v>571</v>
      </c>
      <c r="D3185" s="8" t="s">
        <v>306</v>
      </c>
      <c r="E3185" s="6" t="s">
        <v>466</v>
      </c>
      <c r="F3185" s="6" t="s">
        <v>4700</v>
      </c>
      <c r="G3185" s="5">
        <v>1213</v>
      </c>
      <c r="H3185" s="5">
        <f t="shared" si="92"/>
        <v>0.27677447280000012</v>
      </c>
      <c r="I3185" s="20">
        <f t="shared" si="93"/>
        <v>335.72743550640013</v>
      </c>
      <c r="J3185" s="6" t="s">
        <v>357</v>
      </c>
    </row>
    <row r="3186" spans="1:10" hidden="1">
      <c r="A3186" s="9">
        <v>46106</v>
      </c>
      <c r="B3186" s="6" t="s">
        <v>4852</v>
      </c>
      <c r="C3186" s="5" t="s">
        <v>4851</v>
      </c>
      <c r="D3186" s="8" t="s">
        <v>306</v>
      </c>
      <c r="E3186" s="6" t="s">
        <v>466</v>
      </c>
      <c r="F3186" s="6" t="s">
        <v>4700</v>
      </c>
      <c r="G3186" s="5">
        <v>1319</v>
      </c>
      <c r="H3186" s="5">
        <f t="shared" si="92"/>
        <v>0.27677447280000012</v>
      </c>
      <c r="I3186" s="20">
        <f t="shared" si="93"/>
        <v>365.06552962320018</v>
      </c>
      <c r="J3186" s="6" t="s">
        <v>357</v>
      </c>
    </row>
    <row r="3187" spans="1:10" hidden="1">
      <c r="A3187" s="9">
        <v>46106</v>
      </c>
      <c r="B3187" s="6" t="s">
        <v>4854</v>
      </c>
      <c r="C3187" s="5" t="s">
        <v>4853</v>
      </c>
      <c r="D3187" s="8" t="s">
        <v>306</v>
      </c>
      <c r="E3187" s="6" t="s">
        <v>466</v>
      </c>
      <c r="F3187" s="6" t="s">
        <v>4700</v>
      </c>
      <c r="G3187" s="5">
        <v>1319</v>
      </c>
      <c r="H3187" s="5">
        <f t="shared" si="92"/>
        <v>0.27677447280000012</v>
      </c>
      <c r="I3187" s="20">
        <f t="shared" si="93"/>
        <v>365.06552962320018</v>
      </c>
      <c r="J3187" s="6" t="s">
        <v>357</v>
      </c>
    </row>
    <row r="3188" spans="1:10" hidden="1">
      <c r="A3188" s="9">
        <v>46106</v>
      </c>
      <c r="B3188" s="6" t="s">
        <v>4856</v>
      </c>
      <c r="C3188" s="5" t="s">
        <v>4855</v>
      </c>
      <c r="D3188" s="8" t="s">
        <v>306</v>
      </c>
      <c r="E3188" s="6" t="s">
        <v>466</v>
      </c>
      <c r="F3188" s="6" t="s">
        <v>4700</v>
      </c>
      <c r="G3188" s="5">
        <v>1319</v>
      </c>
      <c r="H3188" s="5">
        <f t="shared" si="92"/>
        <v>0.27677447280000012</v>
      </c>
      <c r="I3188" s="20">
        <f t="shared" si="93"/>
        <v>365.06552962320018</v>
      </c>
      <c r="J3188" s="6" t="s">
        <v>357</v>
      </c>
    </row>
    <row r="3189" spans="1:10" hidden="1">
      <c r="A3189" s="9">
        <v>46106</v>
      </c>
      <c r="B3189" s="6" t="s">
        <v>4858</v>
      </c>
      <c r="C3189" s="5" t="s">
        <v>4857</v>
      </c>
      <c r="D3189" s="8" t="s">
        <v>306</v>
      </c>
      <c r="E3189" s="6" t="s">
        <v>466</v>
      </c>
      <c r="F3189" s="6" t="s">
        <v>4700</v>
      </c>
      <c r="G3189" s="5">
        <v>1561</v>
      </c>
      <c r="H3189" s="5">
        <f t="shared" si="92"/>
        <v>0.27677447280000012</v>
      </c>
      <c r="I3189" s="20">
        <f t="shared" si="93"/>
        <v>432.04495204080018</v>
      </c>
      <c r="J3189" s="6" t="s">
        <v>357</v>
      </c>
    </row>
    <row r="3190" spans="1:10" hidden="1">
      <c r="A3190" s="9">
        <v>46106</v>
      </c>
      <c r="B3190" s="6" t="s">
        <v>4860</v>
      </c>
      <c r="C3190" s="5" t="s">
        <v>4859</v>
      </c>
      <c r="D3190" s="8" t="s">
        <v>306</v>
      </c>
      <c r="E3190" s="6" t="s">
        <v>466</v>
      </c>
      <c r="F3190" s="6" t="s">
        <v>4700</v>
      </c>
      <c r="G3190" s="5">
        <v>1561</v>
      </c>
      <c r="H3190" s="5">
        <f t="shared" si="92"/>
        <v>0.27677447280000012</v>
      </c>
      <c r="I3190" s="20">
        <f t="shared" si="93"/>
        <v>432.04495204080018</v>
      </c>
      <c r="J3190" s="6" t="s">
        <v>357</v>
      </c>
    </row>
    <row r="3191" spans="1:10" hidden="1">
      <c r="A3191" s="9">
        <v>46106</v>
      </c>
      <c r="B3191" s="33" t="s">
        <v>4861</v>
      </c>
      <c r="C3191" s="30" t="s">
        <v>337</v>
      </c>
      <c r="D3191" s="32" t="s">
        <v>306</v>
      </c>
      <c r="E3191" s="6" t="s">
        <v>466</v>
      </c>
      <c r="F3191" s="6" t="s">
        <v>4700</v>
      </c>
      <c r="G3191" s="5">
        <v>1218</v>
      </c>
      <c r="H3191" s="5">
        <f t="shared" si="92"/>
        <v>0.27677447280000012</v>
      </c>
      <c r="I3191" s="20">
        <f t="shared" si="93"/>
        <v>337.11130787040014</v>
      </c>
      <c r="J3191" s="6" t="s">
        <v>357</v>
      </c>
    </row>
    <row r="3192" spans="1:10" hidden="1">
      <c r="A3192" s="9">
        <v>46106</v>
      </c>
      <c r="B3192" s="6" t="s">
        <v>4862</v>
      </c>
      <c r="C3192" s="5" t="s">
        <v>581</v>
      </c>
      <c r="D3192" s="8" t="s">
        <v>306</v>
      </c>
      <c r="E3192" s="6" t="s">
        <v>466</v>
      </c>
      <c r="F3192" s="6" t="s">
        <v>4700</v>
      </c>
      <c r="G3192" s="5">
        <v>1218</v>
      </c>
      <c r="H3192" s="5">
        <f t="shared" si="92"/>
        <v>0.27677447280000012</v>
      </c>
      <c r="I3192" s="20">
        <f t="shared" si="93"/>
        <v>337.11130787040014</v>
      </c>
      <c r="J3192" s="6" t="s">
        <v>357</v>
      </c>
    </row>
    <row r="3193" spans="1:10" hidden="1">
      <c r="A3193" s="9">
        <v>46106</v>
      </c>
      <c r="B3193" s="6" t="s">
        <v>4863</v>
      </c>
      <c r="C3193" s="5" t="s">
        <v>583</v>
      </c>
      <c r="D3193" s="8" t="s">
        <v>306</v>
      </c>
      <c r="E3193" s="6" t="s">
        <v>466</v>
      </c>
      <c r="F3193" s="6" t="s">
        <v>4700</v>
      </c>
      <c r="G3193" s="5">
        <v>1211</v>
      </c>
      <c r="H3193" s="5">
        <f t="shared" si="92"/>
        <v>0.27677447280000012</v>
      </c>
      <c r="I3193" s="20">
        <f t="shared" si="93"/>
        <v>335.17388656080016</v>
      </c>
      <c r="J3193" s="6" t="s">
        <v>357</v>
      </c>
    </row>
    <row r="3194" spans="1:10" hidden="1">
      <c r="A3194" s="9">
        <v>46106</v>
      </c>
      <c r="B3194" s="6" t="s">
        <v>4864</v>
      </c>
      <c r="C3194" s="5" t="s">
        <v>585</v>
      </c>
      <c r="D3194" s="8" t="s">
        <v>306</v>
      </c>
      <c r="E3194" s="6" t="s">
        <v>466</v>
      </c>
      <c r="F3194" s="6" t="s">
        <v>4700</v>
      </c>
      <c r="G3194" s="5">
        <v>1583</v>
      </c>
      <c r="H3194" s="5">
        <f t="shared" si="92"/>
        <v>0.27677447280000012</v>
      </c>
      <c r="I3194" s="20">
        <f t="shared" si="93"/>
        <v>438.1339904424002</v>
      </c>
      <c r="J3194" s="6" t="s">
        <v>357</v>
      </c>
    </row>
    <row r="3195" spans="1:10" hidden="1">
      <c r="A3195" s="9">
        <v>46106</v>
      </c>
      <c r="B3195" s="6" t="s">
        <v>4865</v>
      </c>
      <c r="C3195" s="5" t="s">
        <v>587</v>
      </c>
      <c r="D3195" s="8" t="s">
        <v>306</v>
      </c>
      <c r="E3195" s="6" t="s">
        <v>466</v>
      </c>
      <c r="F3195" s="6" t="s">
        <v>4700</v>
      </c>
      <c r="G3195" s="5">
        <v>1583</v>
      </c>
      <c r="H3195" s="5">
        <f t="shared" si="92"/>
        <v>0.27677447280000012</v>
      </c>
      <c r="I3195" s="20">
        <f t="shared" si="93"/>
        <v>438.1339904424002</v>
      </c>
      <c r="J3195" s="6" t="s">
        <v>357</v>
      </c>
    </row>
    <row r="3196" spans="1:10" hidden="1">
      <c r="A3196" s="9">
        <v>46106</v>
      </c>
      <c r="B3196" s="6" t="s">
        <v>4866</v>
      </c>
      <c r="C3196" s="5" t="s">
        <v>548</v>
      </c>
      <c r="D3196" s="8" t="s">
        <v>306</v>
      </c>
      <c r="E3196" s="6" t="s">
        <v>466</v>
      </c>
      <c r="F3196" s="6" t="s">
        <v>4700</v>
      </c>
      <c r="G3196" s="21">
        <v>2004</v>
      </c>
      <c r="H3196" s="5">
        <f t="shared" si="92"/>
        <v>0.27677447280000012</v>
      </c>
      <c r="I3196" s="20">
        <f t="shared" si="93"/>
        <v>554.65604349120019</v>
      </c>
      <c r="J3196" s="6" t="s">
        <v>357</v>
      </c>
    </row>
    <row r="3197" spans="1:10" hidden="1">
      <c r="A3197" s="9">
        <v>46106</v>
      </c>
      <c r="B3197" s="6" t="s">
        <v>4867</v>
      </c>
      <c r="C3197" s="5" t="s">
        <v>552</v>
      </c>
      <c r="D3197" s="8" t="s">
        <v>306</v>
      </c>
      <c r="E3197" s="6" t="s">
        <v>466</v>
      </c>
      <c r="F3197" s="6" t="s">
        <v>4700</v>
      </c>
      <c r="G3197" s="21">
        <v>2080</v>
      </c>
      <c r="H3197" s="5">
        <f t="shared" si="92"/>
        <v>0.27677447280000012</v>
      </c>
      <c r="I3197" s="20">
        <f t="shared" si="93"/>
        <v>575.69090342400023</v>
      </c>
      <c r="J3197" s="6" t="s">
        <v>357</v>
      </c>
    </row>
    <row r="3198" spans="1:10" hidden="1">
      <c r="A3198" s="9">
        <v>46106</v>
      </c>
      <c r="B3198" s="6" t="s">
        <v>4868</v>
      </c>
      <c r="C3198" s="5" t="s">
        <v>555</v>
      </c>
      <c r="D3198" s="8" t="s">
        <v>306</v>
      </c>
      <c r="E3198" s="6" t="s">
        <v>466</v>
      </c>
      <c r="F3198" s="6" t="s">
        <v>4700</v>
      </c>
      <c r="G3198" s="21">
        <v>2004</v>
      </c>
      <c r="H3198" s="5">
        <f t="shared" si="92"/>
        <v>0.27677447280000012</v>
      </c>
      <c r="I3198" s="20">
        <f t="shared" si="93"/>
        <v>554.65604349120019</v>
      </c>
      <c r="J3198" s="6" t="s">
        <v>357</v>
      </c>
    </row>
    <row r="3199" spans="1:10" hidden="1">
      <c r="A3199" s="9">
        <v>46106</v>
      </c>
      <c r="B3199" s="6" t="s">
        <v>4869</v>
      </c>
      <c r="C3199" s="5" t="s">
        <v>557</v>
      </c>
      <c r="D3199" s="8" t="s">
        <v>306</v>
      </c>
      <c r="E3199" s="6" t="s">
        <v>466</v>
      </c>
      <c r="F3199" s="6" t="s">
        <v>4700</v>
      </c>
      <c r="G3199" s="5">
        <v>1589</v>
      </c>
      <c r="H3199" s="5">
        <f t="shared" si="92"/>
        <v>0.27677447280000012</v>
      </c>
      <c r="I3199" s="20">
        <f t="shared" si="93"/>
        <v>439.79463727920017</v>
      </c>
      <c r="J3199" s="6" t="s">
        <v>357</v>
      </c>
    </row>
    <row r="3200" spans="1:10" hidden="1">
      <c r="A3200" s="9">
        <v>46106</v>
      </c>
      <c r="B3200" s="6" t="s">
        <v>4870</v>
      </c>
      <c r="C3200" s="5" t="s">
        <v>558</v>
      </c>
      <c r="D3200" s="8" t="s">
        <v>306</v>
      </c>
      <c r="E3200" s="6" t="s">
        <v>466</v>
      </c>
      <c r="F3200" s="6" t="s">
        <v>4700</v>
      </c>
      <c r="G3200" s="5">
        <v>1589</v>
      </c>
      <c r="H3200" s="5">
        <f t="shared" si="92"/>
        <v>0.27677447280000012</v>
      </c>
      <c r="I3200" s="20">
        <f t="shared" si="93"/>
        <v>439.79463727920017</v>
      </c>
      <c r="J3200" s="6" t="s">
        <v>357</v>
      </c>
    </row>
    <row r="3201" spans="1:10" hidden="1">
      <c r="A3201" s="9">
        <v>46106</v>
      </c>
      <c r="B3201" s="6" t="s">
        <v>4871</v>
      </c>
      <c r="C3201" s="5" t="s">
        <v>559</v>
      </c>
      <c r="D3201" s="8" t="s">
        <v>306</v>
      </c>
      <c r="E3201" s="6" t="s">
        <v>466</v>
      </c>
      <c r="F3201" s="6" t="s">
        <v>4700</v>
      </c>
      <c r="G3201" s="5">
        <v>3744</v>
      </c>
      <c r="H3201" s="5">
        <f t="shared" ref="H3201:H3225" si="94">0.9*0.8*0.7*0.93*(0.9*0.9*0.9*0.9*0.9)</f>
        <v>0.27677447280000012</v>
      </c>
      <c r="I3201" s="20">
        <f t="shared" si="93"/>
        <v>1036.2436261632004</v>
      </c>
      <c r="J3201" s="6" t="s">
        <v>357</v>
      </c>
    </row>
    <row r="3202" spans="1:10" hidden="1">
      <c r="A3202" s="9">
        <v>46106</v>
      </c>
      <c r="B3202" s="6" t="s">
        <v>4872</v>
      </c>
      <c r="C3202" s="5" t="s">
        <v>560</v>
      </c>
      <c r="D3202" s="8" t="s">
        <v>306</v>
      </c>
      <c r="E3202" s="6" t="s">
        <v>466</v>
      </c>
      <c r="F3202" s="6" t="s">
        <v>4700</v>
      </c>
      <c r="G3202" s="5">
        <v>3799</v>
      </c>
      <c r="H3202" s="5">
        <f t="shared" si="94"/>
        <v>0.27677447280000012</v>
      </c>
      <c r="I3202" s="20">
        <f t="shared" si="93"/>
        <v>1051.4662221672004</v>
      </c>
      <c r="J3202" s="6" t="s">
        <v>357</v>
      </c>
    </row>
    <row r="3203" spans="1:10" hidden="1">
      <c r="A3203" s="9">
        <v>46106</v>
      </c>
      <c r="B3203" s="33" t="s">
        <v>4873</v>
      </c>
      <c r="C3203" s="30" t="s">
        <v>573</v>
      </c>
      <c r="D3203" s="32" t="s">
        <v>306</v>
      </c>
      <c r="E3203" s="6" t="s">
        <v>466</v>
      </c>
      <c r="F3203" s="6" t="s">
        <v>4700</v>
      </c>
      <c r="G3203" s="5">
        <v>1103</v>
      </c>
      <c r="H3203" s="5">
        <f t="shared" si="94"/>
        <v>0.27677447280000012</v>
      </c>
      <c r="I3203" s="20">
        <f t="shared" si="93"/>
        <v>305.28224349840013</v>
      </c>
      <c r="J3203" s="6" t="s">
        <v>357</v>
      </c>
    </row>
    <row r="3204" spans="1:10" hidden="1">
      <c r="A3204" s="9">
        <v>46106</v>
      </c>
      <c r="B3204" s="6" t="s">
        <v>4874</v>
      </c>
      <c r="C3204" s="5" t="s">
        <v>575</v>
      </c>
      <c r="D3204" s="8" t="s">
        <v>306</v>
      </c>
      <c r="E3204" s="6" t="s">
        <v>466</v>
      </c>
      <c r="F3204" s="6" t="s">
        <v>4700</v>
      </c>
      <c r="G3204" s="5">
        <v>1103</v>
      </c>
      <c r="H3204" s="5">
        <f t="shared" si="94"/>
        <v>0.27677447280000012</v>
      </c>
      <c r="I3204" s="20">
        <f t="shared" si="93"/>
        <v>305.28224349840013</v>
      </c>
      <c r="J3204" s="6" t="s">
        <v>357</v>
      </c>
    </row>
    <row r="3205" spans="1:10" hidden="1">
      <c r="A3205" s="9">
        <v>46106</v>
      </c>
      <c r="B3205" s="6" t="s">
        <v>4875</v>
      </c>
      <c r="C3205" s="5" t="s">
        <v>577</v>
      </c>
      <c r="D3205" s="8" t="s">
        <v>306</v>
      </c>
      <c r="E3205" s="6" t="s">
        <v>466</v>
      </c>
      <c r="F3205" s="6" t="s">
        <v>4700</v>
      </c>
      <c r="G3205" s="21">
        <v>1464</v>
      </c>
      <c r="H3205" s="5">
        <f t="shared" si="94"/>
        <v>0.27677447280000012</v>
      </c>
      <c r="I3205" s="20">
        <f t="shared" si="93"/>
        <v>405.19782817920014</v>
      </c>
      <c r="J3205" s="6" t="s">
        <v>357</v>
      </c>
    </row>
    <row r="3206" spans="1:10" hidden="1">
      <c r="A3206" s="9">
        <v>46106</v>
      </c>
      <c r="B3206" s="6" t="s">
        <v>4876</v>
      </c>
      <c r="C3206" s="5" t="s">
        <v>579</v>
      </c>
      <c r="D3206" s="8" t="s">
        <v>306</v>
      </c>
      <c r="E3206" s="6" t="s">
        <v>466</v>
      </c>
      <c r="F3206" s="6" t="s">
        <v>4700</v>
      </c>
      <c r="G3206" s="5">
        <v>1464</v>
      </c>
      <c r="H3206" s="5">
        <f t="shared" si="94"/>
        <v>0.27677447280000012</v>
      </c>
      <c r="I3206" s="20">
        <f t="shared" si="93"/>
        <v>405.19782817920014</v>
      </c>
      <c r="J3206" s="6" t="s">
        <v>357</v>
      </c>
    </row>
    <row r="3207" spans="1:10" hidden="1">
      <c r="A3207" s="9">
        <v>46106</v>
      </c>
      <c r="B3207" s="6" t="s">
        <v>4877</v>
      </c>
      <c r="C3207" s="5" t="s">
        <v>592</v>
      </c>
      <c r="D3207" s="8" t="s">
        <v>306</v>
      </c>
      <c r="E3207" s="6" t="s">
        <v>466</v>
      </c>
      <c r="F3207" s="6" t="s">
        <v>4700</v>
      </c>
      <c r="G3207" s="5">
        <v>3175</v>
      </c>
      <c r="H3207" s="5">
        <f t="shared" si="94"/>
        <v>0.27677447280000012</v>
      </c>
      <c r="I3207" s="20">
        <f t="shared" si="93"/>
        <v>878.75895114000036</v>
      </c>
      <c r="J3207" s="6" t="s">
        <v>357</v>
      </c>
    </row>
    <row r="3208" spans="1:10" hidden="1">
      <c r="A3208" s="9">
        <v>46106</v>
      </c>
      <c r="B3208" s="6" t="s">
        <v>4878</v>
      </c>
      <c r="C3208" s="5" t="s">
        <v>594</v>
      </c>
      <c r="D3208" s="8" t="s">
        <v>306</v>
      </c>
      <c r="E3208" s="6" t="s">
        <v>466</v>
      </c>
      <c r="F3208" s="6" t="s">
        <v>4700</v>
      </c>
      <c r="G3208" s="5">
        <v>3175</v>
      </c>
      <c r="H3208" s="5">
        <f t="shared" si="94"/>
        <v>0.27677447280000012</v>
      </c>
      <c r="I3208" s="20">
        <f t="shared" si="93"/>
        <v>878.75895114000036</v>
      </c>
      <c r="J3208" s="6" t="s">
        <v>357</v>
      </c>
    </row>
    <row r="3209" spans="1:10" hidden="1">
      <c r="A3209" s="9">
        <v>46106</v>
      </c>
      <c r="B3209" s="6" t="s">
        <v>4879</v>
      </c>
      <c r="C3209" s="5" t="s">
        <v>593</v>
      </c>
      <c r="D3209" s="8" t="s">
        <v>306</v>
      </c>
      <c r="E3209" s="6" t="s">
        <v>466</v>
      </c>
      <c r="F3209" s="6" t="s">
        <v>4700</v>
      </c>
      <c r="G3209" s="5">
        <v>6180</v>
      </c>
      <c r="H3209" s="5">
        <f t="shared" si="94"/>
        <v>0.27677447280000012</v>
      </c>
      <c r="I3209" s="20">
        <f t="shared" si="93"/>
        <v>1710.4662419040008</v>
      </c>
      <c r="J3209" s="6" t="s">
        <v>357</v>
      </c>
    </row>
    <row r="3210" spans="1:10" hidden="1">
      <c r="A3210" s="9">
        <v>46106</v>
      </c>
      <c r="B3210" s="6" t="s">
        <v>4880</v>
      </c>
      <c r="C3210" s="5" t="s">
        <v>595</v>
      </c>
      <c r="D3210" s="8" t="s">
        <v>306</v>
      </c>
      <c r="E3210" s="6" t="s">
        <v>466</v>
      </c>
      <c r="F3210" s="6" t="s">
        <v>4700</v>
      </c>
      <c r="G3210" s="5">
        <v>6180</v>
      </c>
      <c r="H3210" s="5">
        <f t="shared" si="94"/>
        <v>0.27677447280000012</v>
      </c>
      <c r="I3210" s="20">
        <f t="shared" si="93"/>
        <v>1710.4662419040008</v>
      </c>
      <c r="J3210" s="6" t="s">
        <v>357</v>
      </c>
    </row>
    <row r="3211" spans="1:10" hidden="1">
      <c r="A3211" s="9">
        <v>46106</v>
      </c>
      <c r="B3211" s="6" t="s">
        <v>4881</v>
      </c>
      <c r="C3211" s="5" t="s">
        <v>588</v>
      </c>
      <c r="D3211" s="8" t="s">
        <v>306</v>
      </c>
      <c r="E3211" s="6" t="s">
        <v>466</v>
      </c>
      <c r="F3211" s="6" t="s">
        <v>4700</v>
      </c>
      <c r="G3211" s="5">
        <v>2910</v>
      </c>
      <c r="H3211" s="5">
        <f t="shared" si="94"/>
        <v>0.27677447280000012</v>
      </c>
      <c r="I3211" s="20">
        <f t="shared" si="93"/>
        <v>805.41371584800038</v>
      </c>
      <c r="J3211" s="6" t="s">
        <v>357</v>
      </c>
    </row>
    <row r="3212" spans="1:10" hidden="1">
      <c r="A3212" s="9">
        <v>46106</v>
      </c>
      <c r="B3212" s="6" t="s">
        <v>4882</v>
      </c>
      <c r="C3212" s="5" t="s">
        <v>589</v>
      </c>
      <c r="D3212" s="8" t="s">
        <v>306</v>
      </c>
      <c r="E3212" s="6" t="s">
        <v>466</v>
      </c>
      <c r="F3212" s="6" t="s">
        <v>4700</v>
      </c>
      <c r="G3212" s="5">
        <v>2910</v>
      </c>
      <c r="H3212" s="5">
        <f t="shared" si="94"/>
        <v>0.27677447280000012</v>
      </c>
      <c r="I3212" s="20">
        <f t="shared" si="93"/>
        <v>805.41371584800038</v>
      </c>
      <c r="J3212" s="6" t="s">
        <v>357</v>
      </c>
    </row>
    <row r="3213" spans="1:10" hidden="1">
      <c r="A3213" s="9">
        <v>46106</v>
      </c>
      <c r="B3213" s="6" t="s">
        <v>4883</v>
      </c>
      <c r="C3213" s="5" t="s">
        <v>561</v>
      </c>
      <c r="D3213" s="8" t="s">
        <v>306</v>
      </c>
      <c r="E3213" s="6" t="s">
        <v>466</v>
      </c>
      <c r="F3213" s="6" t="s">
        <v>4700</v>
      </c>
      <c r="G3213" s="5">
        <v>5160</v>
      </c>
      <c r="H3213" s="5">
        <f t="shared" si="94"/>
        <v>0.27677447280000012</v>
      </c>
      <c r="I3213" s="20">
        <f t="shared" si="93"/>
        <v>1428.1562796480007</v>
      </c>
      <c r="J3213" s="6" t="s">
        <v>357</v>
      </c>
    </row>
    <row r="3214" spans="1:10" hidden="1">
      <c r="A3214" s="9">
        <v>46106</v>
      </c>
      <c r="B3214" s="6" t="s">
        <v>4884</v>
      </c>
      <c r="C3214" s="5" t="s">
        <v>562</v>
      </c>
      <c r="D3214" s="8" t="s">
        <v>306</v>
      </c>
      <c r="E3214" s="6" t="s">
        <v>466</v>
      </c>
      <c r="F3214" s="6" t="s">
        <v>4700</v>
      </c>
      <c r="G3214" s="5">
        <v>5160</v>
      </c>
      <c r="H3214" s="5">
        <f t="shared" si="94"/>
        <v>0.27677447280000012</v>
      </c>
      <c r="I3214" s="20">
        <f t="shared" si="93"/>
        <v>1428.1562796480007</v>
      </c>
      <c r="J3214" s="6" t="s">
        <v>357</v>
      </c>
    </row>
    <row r="3215" spans="1:10" hidden="1">
      <c r="A3215" s="9">
        <v>46106</v>
      </c>
      <c r="B3215" s="6" t="s">
        <v>4885</v>
      </c>
      <c r="C3215" s="5" t="s">
        <v>596</v>
      </c>
      <c r="D3215" s="8" t="s">
        <v>306</v>
      </c>
      <c r="E3215" s="6" t="s">
        <v>466</v>
      </c>
      <c r="F3215" s="6" t="s">
        <v>4700</v>
      </c>
      <c r="G3215" s="5">
        <v>4023</v>
      </c>
      <c r="H3215" s="5">
        <f t="shared" si="94"/>
        <v>0.27677447280000012</v>
      </c>
      <c r="I3215" s="20">
        <f t="shared" si="93"/>
        <v>1113.4637040744005</v>
      </c>
      <c r="J3215" s="6" t="s">
        <v>357</v>
      </c>
    </row>
    <row r="3216" spans="1:10" hidden="1">
      <c r="A3216" s="9">
        <v>46106</v>
      </c>
      <c r="B3216" s="6" t="s">
        <v>5643</v>
      </c>
      <c r="C3216" s="5" t="s">
        <v>598</v>
      </c>
      <c r="D3216" s="8" t="s">
        <v>306</v>
      </c>
      <c r="E3216" s="6" t="s">
        <v>466</v>
      </c>
      <c r="F3216" s="6" t="s">
        <v>4700</v>
      </c>
      <c r="G3216" s="5">
        <v>4023</v>
      </c>
      <c r="H3216" s="5">
        <f t="shared" si="94"/>
        <v>0.27677447280000012</v>
      </c>
      <c r="I3216" s="20">
        <f t="shared" si="93"/>
        <v>1113.4637040744005</v>
      </c>
      <c r="J3216" s="6" t="s">
        <v>357</v>
      </c>
    </row>
    <row r="3217" spans="1:10" hidden="1">
      <c r="A3217" s="9">
        <v>46106</v>
      </c>
      <c r="B3217" s="6" t="s">
        <v>4886</v>
      </c>
      <c r="C3217" s="5" t="s">
        <v>597</v>
      </c>
      <c r="D3217" s="8" t="s">
        <v>306</v>
      </c>
      <c r="E3217" s="6" t="s">
        <v>466</v>
      </c>
      <c r="F3217" s="6" t="s">
        <v>4700</v>
      </c>
      <c r="G3217" s="5">
        <v>7077</v>
      </c>
      <c r="H3217" s="5">
        <f t="shared" si="94"/>
        <v>0.27677447280000012</v>
      </c>
      <c r="I3217" s="20">
        <f t="shared" si="93"/>
        <v>1958.7329440056008</v>
      </c>
      <c r="J3217" s="6" t="s">
        <v>357</v>
      </c>
    </row>
    <row r="3218" spans="1:10" hidden="1">
      <c r="A3218" s="9">
        <v>46106</v>
      </c>
      <c r="B3218" s="6" t="s">
        <v>5644</v>
      </c>
      <c r="C3218" s="5" t="s">
        <v>4586</v>
      </c>
      <c r="D3218" s="8" t="s">
        <v>306</v>
      </c>
      <c r="E3218" s="6" t="s">
        <v>466</v>
      </c>
      <c r="F3218" s="6" t="s">
        <v>4700</v>
      </c>
      <c r="G3218" s="5">
        <v>7077</v>
      </c>
      <c r="H3218" s="5">
        <f t="shared" si="94"/>
        <v>0.27677447280000012</v>
      </c>
      <c r="I3218" s="20">
        <f t="shared" si="93"/>
        <v>1958.7329440056008</v>
      </c>
      <c r="J3218" s="6" t="s">
        <v>357</v>
      </c>
    </row>
    <row r="3219" spans="1:10" hidden="1">
      <c r="A3219" s="9">
        <v>46106</v>
      </c>
      <c r="B3219" s="33" t="s">
        <v>4887</v>
      </c>
      <c r="C3219" s="30" t="s">
        <v>590</v>
      </c>
      <c r="D3219" s="32" t="s">
        <v>306</v>
      </c>
      <c r="E3219" s="6" t="s">
        <v>466</v>
      </c>
      <c r="F3219" s="6" t="s">
        <v>4700</v>
      </c>
      <c r="G3219" s="5">
        <v>4016</v>
      </c>
      <c r="H3219" s="5">
        <f t="shared" si="94"/>
        <v>0.27677447280000012</v>
      </c>
      <c r="I3219" s="20">
        <f t="shared" si="93"/>
        <v>1111.5262827648005</v>
      </c>
      <c r="J3219" s="6" t="s">
        <v>357</v>
      </c>
    </row>
    <row r="3220" spans="1:10" hidden="1">
      <c r="A3220" s="9">
        <v>46106</v>
      </c>
      <c r="B3220" s="6" t="s">
        <v>5645</v>
      </c>
      <c r="C3220" s="5" t="s">
        <v>4888</v>
      </c>
      <c r="D3220" s="8" t="s">
        <v>306</v>
      </c>
      <c r="E3220" s="6" t="s">
        <v>466</v>
      </c>
      <c r="F3220" s="6" t="s">
        <v>4700</v>
      </c>
      <c r="G3220" s="5">
        <v>4016</v>
      </c>
      <c r="H3220" s="5">
        <f t="shared" si="94"/>
        <v>0.27677447280000012</v>
      </c>
      <c r="I3220" s="20">
        <f t="shared" si="93"/>
        <v>1111.5262827648005</v>
      </c>
      <c r="J3220" s="6" t="s">
        <v>357</v>
      </c>
    </row>
    <row r="3221" spans="1:10" hidden="1">
      <c r="A3221" s="9">
        <v>46106</v>
      </c>
      <c r="B3221" s="6" t="s">
        <v>4889</v>
      </c>
      <c r="C3221" s="5" t="s">
        <v>563</v>
      </c>
      <c r="D3221" s="8" t="s">
        <v>306</v>
      </c>
      <c r="E3221" s="6" t="s">
        <v>466</v>
      </c>
      <c r="F3221" s="6" t="s">
        <v>4700</v>
      </c>
      <c r="G3221" s="5">
        <v>5643</v>
      </c>
      <c r="H3221" s="5">
        <f t="shared" si="94"/>
        <v>0.27677447280000012</v>
      </c>
      <c r="I3221" s="20">
        <f t="shared" si="93"/>
        <v>1561.8383500104007</v>
      </c>
      <c r="J3221" s="6" t="s">
        <v>357</v>
      </c>
    </row>
    <row r="3222" spans="1:10" hidden="1">
      <c r="A3222" s="9">
        <v>46106</v>
      </c>
      <c r="B3222" s="6" t="s">
        <v>4891</v>
      </c>
      <c r="C3222" s="5" t="s">
        <v>4890</v>
      </c>
      <c r="D3222" s="8" t="s">
        <v>306</v>
      </c>
      <c r="E3222" s="6" t="s">
        <v>466</v>
      </c>
      <c r="F3222" s="6" t="s">
        <v>4700</v>
      </c>
      <c r="G3222" s="5">
        <v>5643</v>
      </c>
      <c r="H3222" s="5">
        <f t="shared" si="94"/>
        <v>0.27677447280000012</v>
      </c>
      <c r="I3222" s="20">
        <f t="shared" si="93"/>
        <v>1561.8383500104007</v>
      </c>
      <c r="J3222" s="6" t="s">
        <v>357</v>
      </c>
    </row>
    <row r="3223" spans="1:10" hidden="1">
      <c r="A3223" s="9">
        <v>46106</v>
      </c>
      <c r="B3223" s="6" t="s">
        <v>4893</v>
      </c>
      <c r="C3223" s="15" t="s">
        <v>4892</v>
      </c>
      <c r="D3223" s="15" t="s">
        <v>306</v>
      </c>
      <c r="E3223" s="6" t="s">
        <v>466</v>
      </c>
      <c r="F3223" s="6" t="s">
        <v>4700</v>
      </c>
      <c r="G3223" s="5">
        <v>222</v>
      </c>
      <c r="H3223" s="5">
        <f t="shared" si="94"/>
        <v>0.27677447280000012</v>
      </c>
      <c r="I3223" s="20">
        <f t="shared" si="93"/>
        <v>61.443932961600026</v>
      </c>
      <c r="J3223" s="6" t="s">
        <v>357</v>
      </c>
    </row>
    <row r="3224" spans="1:10" hidden="1">
      <c r="A3224" s="9">
        <v>46106</v>
      </c>
      <c r="B3224" s="6" t="s">
        <v>4895</v>
      </c>
      <c r="C3224" s="15" t="s">
        <v>4894</v>
      </c>
      <c r="D3224" s="15" t="s">
        <v>306</v>
      </c>
      <c r="E3224" s="6" t="s">
        <v>466</v>
      </c>
      <c r="F3224" s="6" t="s">
        <v>4700</v>
      </c>
      <c r="G3224" s="5">
        <v>222</v>
      </c>
      <c r="H3224" s="5">
        <f t="shared" si="94"/>
        <v>0.27677447280000012</v>
      </c>
      <c r="I3224" s="20">
        <f t="shared" si="93"/>
        <v>61.443932961600026</v>
      </c>
      <c r="J3224" s="6" t="s">
        <v>357</v>
      </c>
    </row>
    <row r="3225" spans="1:10" hidden="1">
      <c r="A3225" s="9">
        <v>46106</v>
      </c>
      <c r="B3225" s="6" t="s">
        <v>4897</v>
      </c>
      <c r="C3225" s="15" t="s">
        <v>4896</v>
      </c>
      <c r="D3225" s="15" t="s">
        <v>306</v>
      </c>
      <c r="E3225" s="6" t="s">
        <v>466</v>
      </c>
      <c r="F3225" s="6" t="s">
        <v>4700</v>
      </c>
      <c r="G3225" s="5">
        <v>594</v>
      </c>
      <c r="H3225" s="5">
        <f t="shared" si="94"/>
        <v>0.27677447280000012</v>
      </c>
      <c r="I3225" s="20">
        <f t="shared" ref="I3225:I3280" si="95">H3225*G3225</f>
        <v>164.40403684320006</v>
      </c>
      <c r="J3225" s="6" t="s">
        <v>357</v>
      </c>
    </row>
    <row r="3226" spans="1:10" hidden="1">
      <c r="A3226" s="10">
        <v>45582</v>
      </c>
      <c r="B3226" s="6" t="s">
        <v>5843</v>
      </c>
      <c r="C3226" s="5" t="s">
        <v>5842</v>
      </c>
      <c r="D3226" s="8" t="s">
        <v>306</v>
      </c>
      <c r="E3226" s="106" t="s">
        <v>740</v>
      </c>
      <c r="F3226" s="106" t="s">
        <v>411</v>
      </c>
      <c r="G3226" s="107">
        <v>281.74</v>
      </c>
      <c r="H3226" s="5">
        <v>1</v>
      </c>
      <c r="I3226" s="20">
        <f t="shared" si="95"/>
        <v>281.74</v>
      </c>
      <c r="J3226" s="6" t="s">
        <v>357</v>
      </c>
    </row>
    <row r="3227" spans="1:10" hidden="1">
      <c r="A3227" s="10">
        <v>45582</v>
      </c>
      <c r="B3227" s="6" t="s">
        <v>5845</v>
      </c>
      <c r="C3227" s="5" t="s">
        <v>5844</v>
      </c>
      <c r="D3227" s="8" t="s">
        <v>306</v>
      </c>
      <c r="E3227" s="106" t="s">
        <v>740</v>
      </c>
      <c r="F3227" s="106" t="s">
        <v>411</v>
      </c>
      <c r="G3227" s="107">
        <v>330.76</v>
      </c>
      <c r="H3227" s="5">
        <v>1</v>
      </c>
      <c r="I3227" s="20">
        <f t="shared" si="95"/>
        <v>330.76</v>
      </c>
      <c r="J3227" s="6" t="s">
        <v>357</v>
      </c>
    </row>
    <row r="3228" spans="1:10" hidden="1">
      <c r="A3228" s="10">
        <v>45582</v>
      </c>
      <c r="B3228" s="6" t="s">
        <v>5868</v>
      </c>
      <c r="C3228" s="5" t="s">
        <v>5853</v>
      </c>
      <c r="D3228" s="8" t="s">
        <v>306</v>
      </c>
      <c r="E3228" s="106" t="s">
        <v>740</v>
      </c>
      <c r="F3228" s="106" t="s">
        <v>411</v>
      </c>
      <c r="G3228" s="107">
        <v>3475.57</v>
      </c>
      <c r="H3228" s="5">
        <v>1</v>
      </c>
      <c r="I3228" s="20">
        <f t="shared" si="95"/>
        <v>3475.57</v>
      </c>
      <c r="J3228" s="6" t="s">
        <v>357</v>
      </c>
    </row>
    <row r="3229" spans="1:10" hidden="1">
      <c r="A3229" s="10">
        <v>45582</v>
      </c>
      <c r="B3229" s="6" t="s">
        <v>5866</v>
      </c>
      <c r="C3229" s="5" t="s">
        <v>5865</v>
      </c>
      <c r="D3229" s="8" t="s">
        <v>306</v>
      </c>
      <c r="E3229" s="106" t="s">
        <v>5872</v>
      </c>
      <c r="F3229" s="106" t="s">
        <v>411</v>
      </c>
      <c r="G3229" s="107">
        <v>2094.65</v>
      </c>
      <c r="H3229" s="5">
        <v>1</v>
      </c>
      <c r="I3229" s="20">
        <f t="shared" si="95"/>
        <v>2094.65</v>
      </c>
      <c r="J3229" s="6" t="s">
        <v>357</v>
      </c>
    </row>
    <row r="3230" spans="1:10" hidden="1">
      <c r="A3230" s="10">
        <v>45582</v>
      </c>
      <c r="B3230" s="6" t="s">
        <v>5867</v>
      </c>
      <c r="C3230" s="5" t="s">
        <v>5852</v>
      </c>
      <c r="D3230" s="8" t="s">
        <v>306</v>
      </c>
      <c r="E3230" s="106" t="s">
        <v>740</v>
      </c>
      <c r="F3230" s="106" t="s">
        <v>411</v>
      </c>
      <c r="G3230" s="107">
        <v>2964.31</v>
      </c>
      <c r="H3230" s="5">
        <v>1</v>
      </c>
      <c r="I3230" s="20">
        <f t="shared" si="95"/>
        <v>2964.31</v>
      </c>
      <c r="J3230" s="6" t="s">
        <v>357</v>
      </c>
    </row>
    <row r="3231" spans="1:10" hidden="1">
      <c r="A3231" s="10">
        <v>45582</v>
      </c>
      <c r="B3231" s="6" t="s">
        <v>5857</v>
      </c>
      <c r="C3231" s="5" t="s">
        <v>5846</v>
      </c>
      <c r="D3231" s="8" t="s">
        <v>306</v>
      </c>
      <c r="E3231" s="106" t="s">
        <v>740</v>
      </c>
      <c r="F3231" s="106" t="s">
        <v>411</v>
      </c>
      <c r="G3231" s="107">
        <v>496.14</v>
      </c>
      <c r="H3231" s="5">
        <v>1</v>
      </c>
      <c r="I3231" s="20">
        <f t="shared" si="95"/>
        <v>496.14</v>
      </c>
      <c r="J3231" s="6" t="s">
        <v>357</v>
      </c>
    </row>
    <row r="3232" spans="1:10" hidden="1">
      <c r="A3232" s="10">
        <v>45582</v>
      </c>
      <c r="B3232" s="6" t="s">
        <v>5858</v>
      </c>
      <c r="C3232" s="5" t="s">
        <v>5847</v>
      </c>
      <c r="D3232" s="8" t="s">
        <v>306</v>
      </c>
      <c r="E3232" s="106" t="s">
        <v>740</v>
      </c>
      <c r="F3232" s="106" t="s">
        <v>411</v>
      </c>
      <c r="G3232" s="107">
        <v>894.24</v>
      </c>
      <c r="H3232" s="5">
        <v>1</v>
      </c>
      <c r="I3232" s="20">
        <f t="shared" si="95"/>
        <v>894.24</v>
      </c>
      <c r="J3232" s="6" t="s">
        <v>357</v>
      </c>
    </row>
    <row r="3233" spans="1:10" hidden="1">
      <c r="A3233" s="10">
        <v>45582</v>
      </c>
      <c r="B3233" s="6" t="s">
        <v>5859</v>
      </c>
      <c r="C3233" s="5" t="s">
        <v>5848</v>
      </c>
      <c r="D3233" s="8" t="s">
        <v>306</v>
      </c>
      <c r="E3233" s="106" t="s">
        <v>740</v>
      </c>
      <c r="F3233" s="106" t="s">
        <v>411</v>
      </c>
      <c r="G3233" s="107">
        <v>958.53</v>
      </c>
      <c r="H3233" s="5">
        <v>1</v>
      </c>
      <c r="I3233" s="20">
        <f t="shared" si="95"/>
        <v>958.53</v>
      </c>
      <c r="J3233" s="6" t="s">
        <v>357</v>
      </c>
    </row>
    <row r="3234" spans="1:10" hidden="1">
      <c r="A3234" s="10">
        <v>45582</v>
      </c>
      <c r="B3234" s="6" t="s">
        <v>5869</v>
      </c>
      <c r="C3234" s="5" t="s">
        <v>5854</v>
      </c>
      <c r="D3234" s="8" t="s">
        <v>306</v>
      </c>
      <c r="E3234" s="106" t="s">
        <v>740</v>
      </c>
      <c r="F3234" s="106" t="s">
        <v>411</v>
      </c>
      <c r="G3234" s="107">
        <v>5169.0600000000004</v>
      </c>
      <c r="H3234" s="5">
        <v>1</v>
      </c>
      <c r="I3234" s="20">
        <f t="shared" si="95"/>
        <v>5169.0600000000004</v>
      </c>
      <c r="J3234" s="6" t="s">
        <v>357</v>
      </c>
    </row>
    <row r="3235" spans="1:10" hidden="1">
      <c r="A3235" s="10">
        <v>45582</v>
      </c>
      <c r="B3235" s="6" t="s">
        <v>5870</v>
      </c>
      <c r="C3235" s="5" t="s">
        <v>5855</v>
      </c>
      <c r="D3235" s="8" t="s">
        <v>306</v>
      </c>
      <c r="E3235" s="106" t="s">
        <v>740</v>
      </c>
      <c r="F3235" s="106" t="s">
        <v>411</v>
      </c>
      <c r="G3235" s="107">
        <v>6664.05</v>
      </c>
      <c r="H3235" s="5">
        <v>1</v>
      </c>
      <c r="I3235" s="20">
        <f t="shared" si="95"/>
        <v>6664.05</v>
      </c>
      <c r="J3235" s="6" t="s">
        <v>357</v>
      </c>
    </row>
    <row r="3236" spans="1:10" hidden="1">
      <c r="A3236" s="10">
        <v>45582</v>
      </c>
      <c r="B3236" s="6" t="s">
        <v>5871</v>
      </c>
      <c r="C3236" s="5" t="s">
        <v>5856</v>
      </c>
      <c r="D3236" s="8" t="s">
        <v>306</v>
      </c>
      <c r="E3236" s="106" t="s">
        <v>740</v>
      </c>
      <c r="F3236" s="106" t="s">
        <v>411</v>
      </c>
      <c r="G3236" s="107">
        <v>10837.47</v>
      </c>
      <c r="H3236" s="5">
        <v>1</v>
      </c>
      <c r="I3236" s="20">
        <f t="shared" si="95"/>
        <v>10837.47</v>
      </c>
      <c r="J3236" s="6" t="s">
        <v>357</v>
      </c>
    </row>
    <row r="3237" spans="1:10" hidden="1">
      <c r="A3237" s="10">
        <v>45582</v>
      </c>
      <c r="B3237" s="6" t="s">
        <v>5860</v>
      </c>
      <c r="C3237" s="5" t="s">
        <v>5849</v>
      </c>
      <c r="D3237" s="8" t="s">
        <v>306</v>
      </c>
      <c r="E3237" s="106" t="s">
        <v>740</v>
      </c>
      <c r="F3237" s="106" t="s">
        <v>411</v>
      </c>
      <c r="G3237" s="107">
        <v>1084.05</v>
      </c>
      <c r="H3237" s="5">
        <v>1</v>
      </c>
      <c r="I3237" s="20">
        <f t="shared" si="95"/>
        <v>1084.05</v>
      </c>
      <c r="J3237" s="6" t="s">
        <v>357</v>
      </c>
    </row>
    <row r="3238" spans="1:10" hidden="1">
      <c r="A3238" s="10">
        <v>45582</v>
      </c>
      <c r="B3238" s="6" t="s">
        <v>5861</v>
      </c>
      <c r="C3238" s="5" t="s">
        <v>5850</v>
      </c>
      <c r="D3238" s="8" t="s">
        <v>306</v>
      </c>
      <c r="E3238" s="106" t="s">
        <v>740</v>
      </c>
      <c r="F3238" s="106" t="s">
        <v>411</v>
      </c>
      <c r="G3238" s="107">
        <v>973.8</v>
      </c>
      <c r="H3238" s="5">
        <v>1</v>
      </c>
      <c r="I3238" s="20">
        <f t="shared" si="95"/>
        <v>973.8</v>
      </c>
      <c r="J3238" s="6" t="s">
        <v>357</v>
      </c>
    </row>
    <row r="3239" spans="1:10" hidden="1">
      <c r="A3239" s="10">
        <v>45582</v>
      </c>
      <c r="B3239" s="6" t="s">
        <v>5862</v>
      </c>
      <c r="C3239" s="5" t="s">
        <v>5851</v>
      </c>
      <c r="D3239" s="8" t="s">
        <v>306</v>
      </c>
      <c r="E3239" s="106" t="s">
        <v>740</v>
      </c>
      <c r="F3239" s="106" t="s">
        <v>411</v>
      </c>
      <c r="G3239" s="107">
        <v>1466.88</v>
      </c>
      <c r="H3239" s="5">
        <v>1</v>
      </c>
      <c r="I3239" s="20">
        <f t="shared" si="95"/>
        <v>1466.88</v>
      </c>
      <c r="J3239" s="6" t="s">
        <v>357</v>
      </c>
    </row>
    <row r="3240" spans="1:10" hidden="1">
      <c r="A3240" s="10">
        <v>45582</v>
      </c>
      <c r="B3240" s="6" t="s">
        <v>5863</v>
      </c>
      <c r="C3240" s="5" t="s">
        <v>5864</v>
      </c>
      <c r="D3240" s="8" t="s">
        <v>306</v>
      </c>
      <c r="E3240" s="106" t="s">
        <v>5872</v>
      </c>
      <c r="F3240" s="106" t="s">
        <v>411</v>
      </c>
      <c r="G3240" s="107">
        <v>1685.86</v>
      </c>
      <c r="H3240" s="5">
        <v>1</v>
      </c>
      <c r="I3240" s="20">
        <f t="shared" si="95"/>
        <v>1685.86</v>
      </c>
      <c r="J3240" s="6" t="s">
        <v>357</v>
      </c>
    </row>
    <row r="3241" spans="1:10" hidden="1">
      <c r="A3241" s="9">
        <v>46106</v>
      </c>
      <c r="B3241" s="24" t="s">
        <v>4899</v>
      </c>
      <c r="C3241" s="14" t="s">
        <v>4898</v>
      </c>
      <c r="D3241" s="23" t="s">
        <v>306</v>
      </c>
      <c r="E3241" s="6" t="s">
        <v>4900</v>
      </c>
      <c r="F3241" s="6" t="s">
        <v>4901</v>
      </c>
      <c r="G3241" s="5">
        <v>54.5</v>
      </c>
      <c r="H3241" s="5">
        <f t="shared" ref="H3241:H3274" si="96">0.9*0.8*0.7*0.93*(0.9*0.9*0.9*0.9*0.9)</f>
        <v>0.27677447280000012</v>
      </c>
      <c r="I3241" s="20">
        <f t="shared" si="95"/>
        <v>15.084208767600007</v>
      </c>
      <c r="J3241" s="6" t="s">
        <v>357</v>
      </c>
    </row>
    <row r="3242" spans="1:10" ht="45" hidden="1">
      <c r="A3242" s="9">
        <v>46106</v>
      </c>
      <c r="B3242" s="6" t="s">
        <v>4903</v>
      </c>
      <c r="C3242" s="5" t="s">
        <v>4902</v>
      </c>
      <c r="D3242" s="8" t="s">
        <v>306</v>
      </c>
      <c r="E3242" s="6" t="s">
        <v>4900</v>
      </c>
      <c r="F3242" s="6" t="s">
        <v>4901</v>
      </c>
      <c r="G3242" s="5">
        <v>510.5</v>
      </c>
      <c r="H3242" s="5">
        <f t="shared" si="96"/>
        <v>0.27677447280000012</v>
      </c>
      <c r="I3242" s="20">
        <f t="shared" si="95"/>
        <v>141.29336836440007</v>
      </c>
      <c r="J3242" s="6" t="s">
        <v>357</v>
      </c>
    </row>
    <row r="3243" spans="1:10" ht="45" hidden="1">
      <c r="A3243" s="9">
        <v>46106</v>
      </c>
      <c r="B3243" s="6" t="s">
        <v>4905</v>
      </c>
      <c r="C3243" s="5" t="s">
        <v>4904</v>
      </c>
      <c r="D3243" s="8" t="s">
        <v>306</v>
      </c>
      <c r="E3243" s="6" t="s">
        <v>4900</v>
      </c>
      <c r="F3243" s="6" t="s">
        <v>4901</v>
      </c>
      <c r="G3243" s="5">
        <v>510.5</v>
      </c>
      <c r="H3243" s="5">
        <f t="shared" si="96"/>
        <v>0.27677447280000012</v>
      </c>
      <c r="I3243" s="20">
        <f t="shared" si="95"/>
        <v>141.29336836440007</v>
      </c>
      <c r="J3243" s="6" t="s">
        <v>357</v>
      </c>
    </row>
    <row r="3244" spans="1:10" ht="30" hidden="1">
      <c r="A3244" s="9">
        <v>46106</v>
      </c>
      <c r="B3244" s="6" t="s">
        <v>4907</v>
      </c>
      <c r="C3244" s="5" t="s">
        <v>4906</v>
      </c>
      <c r="D3244" s="8" t="s">
        <v>306</v>
      </c>
      <c r="E3244" s="6" t="s">
        <v>4900</v>
      </c>
      <c r="F3244" s="6" t="s">
        <v>4901</v>
      </c>
      <c r="G3244" s="5">
        <v>397</v>
      </c>
      <c r="H3244" s="5">
        <f t="shared" si="96"/>
        <v>0.27677447280000012</v>
      </c>
      <c r="I3244" s="20">
        <f t="shared" si="95"/>
        <v>109.87946570160004</v>
      </c>
      <c r="J3244" s="6" t="s">
        <v>357</v>
      </c>
    </row>
    <row r="3245" spans="1:10" ht="30" hidden="1">
      <c r="A3245" s="9">
        <v>46106</v>
      </c>
      <c r="B3245" s="6" t="s">
        <v>4909</v>
      </c>
      <c r="C3245" s="5" t="s">
        <v>4908</v>
      </c>
      <c r="D3245" s="8" t="s">
        <v>306</v>
      </c>
      <c r="E3245" s="6" t="s">
        <v>4900</v>
      </c>
      <c r="F3245" s="6" t="s">
        <v>4901</v>
      </c>
      <c r="G3245" s="5">
        <v>499.5</v>
      </c>
      <c r="H3245" s="5">
        <f t="shared" si="96"/>
        <v>0.27677447280000012</v>
      </c>
      <c r="I3245" s="20">
        <f t="shared" si="95"/>
        <v>138.24884916360006</v>
      </c>
      <c r="J3245" s="6" t="s">
        <v>357</v>
      </c>
    </row>
    <row r="3246" spans="1:10" ht="30" hidden="1">
      <c r="A3246" s="9">
        <v>46106</v>
      </c>
      <c r="B3246" s="6" t="s">
        <v>4911</v>
      </c>
      <c r="C3246" s="5" t="s">
        <v>4910</v>
      </c>
      <c r="D3246" s="8" t="s">
        <v>306</v>
      </c>
      <c r="E3246" s="6" t="s">
        <v>4900</v>
      </c>
      <c r="F3246" s="6" t="s">
        <v>4901</v>
      </c>
      <c r="G3246" s="5">
        <v>518.5</v>
      </c>
      <c r="H3246" s="5">
        <f t="shared" si="96"/>
        <v>0.27677447280000012</v>
      </c>
      <c r="I3246" s="20">
        <f t="shared" si="95"/>
        <v>143.50756414680006</v>
      </c>
      <c r="J3246" s="6" t="s">
        <v>357</v>
      </c>
    </row>
    <row r="3247" spans="1:10" ht="30" hidden="1">
      <c r="A3247" s="9">
        <v>46106</v>
      </c>
      <c r="B3247" s="6" t="s">
        <v>4913</v>
      </c>
      <c r="C3247" s="5" t="s">
        <v>4912</v>
      </c>
      <c r="D3247" s="8" t="s">
        <v>306</v>
      </c>
      <c r="E3247" s="6" t="s">
        <v>4900</v>
      </c>
      <c r="F3247" s="6" t="s">
        <v>4901</v>
      </c>
      <c r="G3247" s="5">
        <v>672.5</v>
      </c>
      <c r="H3247" s="5">
        <f t="shared" si="96"/>
        <v>0.27677447280000012</v>
      </c>
      <c r="I3247" s="20">
        <f t="shared" si="95"/>
        <v>186.13083295800007</v>
      </c>
      <c r="J3247" s="6" t="s">
        <v>357</v>
      </c>
    </row>
    <row r="3248" spans="1:10" ht="30" hidden="1">
      <c r="A3248" s="9">
        <v>46106</v>
      </c>
      <c r="B3248" s="6" t="s">
        <v>4915</v>
      </c>
      <c r="C3248" s="5" t="s">
        <v>4914</v>
      </c>
      <c r="D3248" s="8" t="s">
        <v>306</v>
      </c>
      <c r="E3248" s="6" t="s">
        <v>4900</v>
      </c>
      <c r="F3248" s="6" t="s">
        <v>4901</v>
      </c>
      <c r="G3248" s="5">
        <v>828</v>
      </c>
      <c r="H3248" s="5">
        <f t="shared" si="96"/>
        <v>0.27677447280000012</v>
      </c>
      <c r="I3248" s="20">
        <f t="shared" si="95"/>
        <v>229.1692634784001</v>
      </c>
      <c r="J3248" s="6" t="s">
        <v>357</v>
      </c>
    </row>
    <row r="3249" spans="1:10" ht="30" hidden="1">
      <c r="A3249" s="9">
        <v>46106</v>
      </c>
      <c r="B3249" s="6" t="s">
        <v>4917</v>
      </c>
      <c r="C3249" s="5" t="s">
        <v>4916</v>
      </c>
      <c r="D3249" s="8" t="s">
        <v>306</v>
      </c>
      <c r="E3249" s="6" t="s">
        <v>4900</v>
      </c>
      <c r="F3249" s="6" t="s">
        <v>4901</v>
      </c>
      <c r="G3249" s="21">
        <v>445.5</v>
      </c>
      <c r="H3249" s="5">
        <f t="shared" si="96"/>
        <v>0.27677447280000012</v>
      </c>
      <c r="I3249" s="20">
        <f t="shared" si="95"/>
        <v>123.30302763240005</v>
      </c>
      <c r="J3249" s="6" t="s">
        <v>357</v>
      </c>
    </row>
    <row r="3250" spans="1:10" ht="30" hidden="1">
      <c r="A3250" s="9">
        <v>46106</v>
      </c>
      <c r="B3250" s="6" t="s">
        <v>4919</v>
      </c>
      <c r="C3250" s="5" t="s">
        <v>4918</v>
      </c>
      <c r="D3250" s="8" t="s">
        <v>306</v>
      </c>
      <c r="E3250" s="6" t="s">
        <v>4900</v>
      </c>
      <c r="F3250" s="6" t="s">
        <v>4901</v>
      </c>
      <c r="G3250" s="21">
        <v>445.5</v>
      </c>
      <c r="H3250" s="5">
        <f t="shared" si="96"/>
        <v>0.27677447280000012</v>
      </c>
      <c r="I3250" s="20">
        <f t="shared" si="95"/>
        <v>123.30302763240005</v>
      </c>
      <c r="J3250" s="6" t="s">
        <v>357</v>
      </c>
    </row>
    <row r="3251" spans="1:10" ht="30" hidden="1">
      <c r="A3251" s="9">
        <v>46106</v>
      </c>
      <c r="B3251" s="6" t="s">
        <v>4921</v>
      </c>
      <c r="C3251" s="5" t="s">
        <v>4920</v>
      </c>
      <c r="D3251" s="8" t="s">
        <v>306</v>
      </c>
      <c r="E3251" s="6" t="s">
        <v>4900</v>
      </c>
      <c r="F3251" s="6" t="s">
        <v>4901</v>
      </c>
      <c r="G3251" s="21">
        <v>445.5</v>
      </c>
      <c r="H3251" s="5">
        <f t="shared" si="96"/>
        <v>0.27677447280000012</v>
      </c>
      <c r="I3251" s="20">
        <f t="shared" si="95"/>
        <v>123.30302763240005</v>
      </c>
      <c r="J3251" s="6" t="s">
        <v>357</v>
      </c>
    </row>
    <row r="3252" spans="1:10" ht="30" hidden="1">
      <c r="A3252" s="9">
        <v>46106</v>
      </c>
      <c r="B3252" s="6" t="s">
        <v>4923</v>
      </c>
      <c r="C3252" s="5" t="s">
        <v>4922</v>
      </c>
      <c r="D3252" s="8" t="s">
        <v>306</v>
      </c>
      <c r="E3252" s="6" t="s">
        <v>4900</v>
      </c>
      <c r="F3252" s="6" t="s">
        <v>4901</v>
      </c>
      <c r="G3252" s="21">
        <v>445.5</v>
      </c>
      <c r="H3252" s="5">
        <f t="shared" si="96"/>
        <v>0.27677447280000012</v>
      </c>
      <c r="I3252" s="20">
        <f t="shared" si="95"/>
        <v>123.30302763240005</v>
      </c>
      <c r="J3252" s="6" t="s">
        <v>357</v>
      </c>
    </row>
    <row r="3253" spans="1:10" ht="30" hidden="1">
      <c r="A3253" s="9">
        <v>46106</v>
      </c>
      <c r="B3253" s="6" t="s">
        <v>4925</v>
      </c>
      <c r="C3253" s="5" t="s">
        <v>4924</v>
      </c>
      <c r="D3253" s="8" t="s">
        <v>306</v>
      </c>
      <c r="E3253" s="6" t="s">
        <v>4900</v>
      </c>
      <c r="F3253" s="6" t="s">
        <v>4901</v>
      </c>
      <c r="G3253" s="21">
        <v>445.5</v>
      </c>
      <c r="H3253" s="5">
        <f t="shared" si="96"/>
        <v>0.27677447280000012</v>
      </c>
      <c r="I3253" s="20">
        <f t="shared" si="95"/>
        <v>123.30302763240005</v>
      </c>
      <c r="J3253" s="6" t="s">
        <v>357</v>
      </c>
    </row>
    <row r="3254" spans="1:10" ht="30" hidden="1">
      <c r="A3254" s="9">
        <v>46106</v>
      </c>
      <c r="B3254" s="6" t="s">
        <v>4927</v>
      </c>
      <c r="C3254" s="5" t="s">
        <v>4926</v>
      </c>
      <c r="D3254" s="8" t="s">
        <v>306</v>
      </c>
      <c r="E3254" s="6" t="s">
        <v>4900</v>
      </c>
      <c r="F3254" s="6" t="s">
        <v>4901</v>
      </c>
      <c r="G3254" s="21">
        <v>445.5</v>
      </c>
      <c r="H3254" s="5">
        <f t="shared" si="96"/>
        <v>0.27677447280000012</v>
      </c>
      <c r="I3254" s="20">
        <f t="shared" si="95"/>
        <v>123.30302763240005</v>
      </c>
      <c r="J3254" s="6" t="s">
        <v>357</v>
      </c>
    </row>
    <row r="3255" spans="1:10" ht="30" hidden="1">
      <c r="A3255" s="9">
        <v>46106</v>
      </c>
      <c r="B3255" s="6" t="s">
        <v>4929</v>
      </c>
      <c r="C3255" s="5" t="s">
        <v>4928</v>
      </c>
      <c r="D3255" s="8" t="s">
        <v>306</v>
      </c>
      <c r="E3255" s="6" t="s">
        <v>4900</v>
      </c>
      <c r="F3255" s="6" t="s">
        <v>4901</v>
      </c>
      <c r="G3255" s="21">
        <v>445.5</v>
      </c>
      <c r="H3255" s="5">
        <f t="shared" si="96"/>
        <v>0.27677447280000012</v>
      </c>
      <c r="I3255" s="20">
        <f t="shared" si="95"/>
        <v>123.30302763240005</v>
      </c>
      <c r="J3255" s="6" t="s">
        <v>357</v>
      </c>
    </row>
    <row r="3256" spans="1:10" ht="30" hidden="1">
      <c r="A3256" s="9">
        <v>46106</v>
      </c>
      <c r="B3256" s="6" t="s">
        <v>4931</v>
      </c>
      <c r="C3256" s="5" t="s">
        <v>4930</v>
      </c>
      <c r="D3256" s="8" t="s">
        <v>306</v>
      </c>
      <c r="E3256" s="6" t="s">
        <v>4900</v>
      </c>
      <c r="F3256" s="6" t="s">
        <v>4901</v>
      </c>
      <c r="G3256" s="21">
        <v>445.5</v>
      </c>
      <c r="H3256" s="5">
        <f t="shared" si="96"/>
        <v>0.27677447280000012</v>
      </c>
      <c r="I3256" s="20">
        <f t="shared" si="95"/>
        <v>123.30302763240005</v>
      </c>
      <c r="J3256" s="6" t="s">
        <v>357</v>
      </c>
    </row>
    <row r="3257" spans="1:10" ht="30" hidden="1">
      <c r="A3257" s="9">
        <v>46106</v>
      </c>
      <c r="B3257" s="6" t="s">
        <v>4933</v>
      </c>
      <c r="C3257" s="5" t="s">
        <v>4932</v>
      </c>
      <c r="D3257" s="8" t="s">
        <v>306</v>
      </c>
      <c r="E3257" s="6" t="s">
        <v>4900</v>
      </c>
      <c r="F3257" s="6" t="s">
        <v>4901</v>
      </c>
      <c r="G3257" s="21">
        <v>445.5</v>
      </c>
      <c r="H3257" s="5">
        <f t="shared" si="96"/>
        <v>0.27677447280000012</v>
      </c>
      <c r="I3257" s="20">
        <f t="shared" si="95"/>
        <v>123.30302763240005</v>
      </c>
      <c r="J3257" s="6" t="s">
        <v>357</v>
      </c>
    </row>
    <row r="3258" spans="1:10" ht="30" hidden="1">
      <c r="A3258" s="9">
        <v>46106</v>
      </c>
      <c r="B3258" s="6" t="s">
        <v>4935</v>
      </c>
      <c r="C3258" s="5" t="s">
        <v>4934</v>
      </c>
      <c r="D3258" s="8" t="s">
        <v>306</v>
      </c>
      <c r="E3258" s="6" t="s">
        <v>4900</v>
      </c>
      <c r="F3258" s="6" t="s">
        <v>4901</v>
      </c>
      <c r="G3258" s="5">
        <v>560.5</v>
      </c>
      <c r="H3258" s="5">
        <f t="shared" si="96"/>
        <v>0.27677447280000012</v>
      </c>
      <c r="I3258" s="20">
        <f t="shared" si="95"/>
        <v>155.13209200440008</v>
      </c>
      <c r="J3258" s="6" t="s">
        <v>357</v>
      </c>
    </row>
    <row r="3259" spans="1:10" ht="30" hidden="1">
      <c r="A3259" s="9">
        <v>46106</v>
      </c>
      <c r="B3259" s="6" t="s">
        <v>4937</v>
      </c>
      <c r="C3259" s="5" t="s">
        <v>4936</v>
      </c>
      <c r="D3259" s="8" t="s">
        <v>306</v>
      </c>
      <c r="E3259" s="6" t="s">
        <v>4900</v>
      </c>
      <c r="F3259" s="6" t="s">
        <v>4901</v>
      </c>
      <c r="G3259" s="5">
        <v>589</v>
      </c>
      <c r="H3259" s="5">
        <f t="shared" si="96"/>
        <v>0.27677447280000012</v>
      </c>
      <c r="I3259" s="20">
        <f t="shared" si="95"/>
        <v>163.02016447920008</v>
      </c>
      <c r="J3259" s="6" t="s">
        <v>357</v>
      </c>
    </row>
    <row r="3260" spans="1:10" ht="30" hidden="1">
      <c r="A3260" s="9">
        <v>46106</v>
      </c>
      <c r="B3260" s="6" t="s">
        <v>4939</v>
      </c>
      <c r="C3260" s="5" t="s">
        <v>4938</v>
      </c>
      <c r="D3260" s="8" t="s">
        <v>306</v>
      </c>
      <c r="E3260" s="6" t="s">
        <v>4900</v>
      </c>
      <c r="F3260" s="6" t="s">
        <v>4901</v>
      </c>
      <c r="G3260" s="5">
        <v>589</v>
      </c>
      <c r="H3260" s="5">
        <f t="shared" si="96"/>
        <v>0.27677447280000012</v>
      </c>
      <c r="I3260" s="20">
        <f t="shared" si="95"/>
        <v>163.02016447920008</v>
      </c>
      <c r="J3260" s="6" t="s">
        <v>357</v>
      </c>
    </row>
    <row r="3261" spans="1:10" ht="30" hidden="1">
      <c r="A3261" s="9">
        <v>46106</v>
      </c>
      <c r="B3261" s="6" t="s">
        <v>4941</v>
      </c>
      <c r="C3261" s="5" t="s">
        <v>4940</v>
      </c>
      <c r="D3261" s="8" t="s">
        <v>306</v>
      </c>
      <c r="E3261" s="6" t="s">
        <v>4900</v>
      </c>
      <c r="F3261" s="6" t="s">
        <v>4901</v>
      </c>
      <c r="G3261" s="5">
        <v>667</v>
      </c>
      <c r="H3261" s="5">
        <f t="shared" si="96"/>
        <v>0.27677447280000012</v>
      </c>
      <c r="I3261" s="20">
        <f t="shared" si="95"/>
        <v>184.60857335760008</v>
      </c>
      <c r="J3261" s="6" t="s">
        <v>357</v>
      </c>
    </row>
    <row r="3262" spans="1:10" ht="30" hidden="1">
      <c r="A3262" s="9">
        <v>46106</v>
      </c>
      <c r="B3262" s="6" t="s">
        <v>4943</v>
      </c>
      <c r="C3262" s="5" t="s">
        <v>4942</v>
      </c>
      <c r="D3262" s="8" t="s">
        <v>306</v>
      </c>
      <c r="E3262" s="6" t="s">
        <v>4900</v>
      </c>
      <c r="F3262" s="6" t="s">
        <v>4901</v>
      </c>
      <c r="G3262" s="5">
        <v>757</v>
      </c>
      <c r="H3262" s="5">
        <f t="shared" si="96"/>
        <v>0.27677447280000012</v>
      </c>
      <c r="I3262" s="20">
        <f t="shared" si="95"/>
        <v>209.51827590960008</v>
      </c>
      <c r="J3262" s="6" t="s">
        <v>357</v>
      </c>
    </row>
    <row r="3263" spans="1:10" ht="30" hidden="1">
      <c r="A3263" s="9">
        <v>46106</v>
      </c>
      <c r="B3263" s="6" t="s">
        <v>4945</v>
      </c>
      <c r="C3263" s="5" t="s">
        <v>4944</v>
      </c>
      <c r="D3263" s="8" t="s">
        <v>306</v>
      </c>
      <c r="E3263" s="6" t="s">
        <v>4900</v>
      </c>
      <c r="F3263" s="6" t="s">
        <v>4901</v>
      </c>
      <c r="G3263" s="5">
        <v>932</v>
      </c>
      <c r="H3263" s="5">
        <f t="shared" si="96"/>
        <v>0.27677447280000012</v>
      </c>
      <c r="I3263" s="20">
        <f t="shared" si="95"/>
        <v>257.95380864960009</v>
      </c>
      <c r="J3263" s="6" t="s">
        <v>357</v>
      </c>
    </row>
    <row r="3264" spans="1:10" ht="30" hidden="1">
      <c r="A3264" s="9">
        <v>46106</v>
      </c>
      <c r="B3264" s="216" t="s">
        <v>7654</v>
      </c>
      <c r="C3264" s="5" t="s">
        <v>7655</v>
      </c>
      <c r="D3264" s="8" t="s">
        <v>306</v>
      </c>
      <c r="E3264" s="25" t="s">
        <v>4900</v>
      </c>
      <c r="F3264" s="25" t="s">
        <v>4948</v>
      </c>
      <c r="G3264" s="31">
        <v>865.5</v>
      </c>
      <c r="H3264" s="5">
        <f t="shared" si="96"/>
        <v>0.27677447280000012</v>
      </c>
      <c r="I3264" s="20">
        <f t="shared" si="95"/>
        <v>239.54830620840011</v>
      </c>
      <c r="J3264" s="6" t="s">
        <v>357</v>
      </c>
    </row>
    <row r="3265" spans="1:10" ht="30" hidden="1">
      <c r="A3265" s="9">
        <v>46106</v>
      </c>
      <c r="B3265" s="6" t="s">
        <v>4947</v>
      </c>
      <c r="C3265" s="5" t="s">
        <v>4946</v>
      </c>
      <c r="D3265" s="8" t="s">
        <v>306</v>
      </c>
      <c r="E3265" s="6" t="s">
        <v>4900</v>
      </c>
      <c r="F3265" s="6" t="s">
        <v>4948</v>
      </c>
      <c r="G3265" s="5">
        <v>1486.5</v>
      </c>
      <c r="H3265" s="5">
        <f t="shared" si="96"/>
        <v>0.27677447280000012</v>
      </c>
      <c r="I3265" s="20">
        <f t="shared" si="95"/>
        <v>411.42525381720014</v>
      </c>
      <c r="J3265" s="6" t="s">
        <v>357</v>
      </c>
    </row>
    <row r="3266" spans="1:10" ht="30" hidden="1">
      <c r="A3266" s="9">
        <v>46106</v>
      </c>
      <c r="B3266" s="6" t="s">
        <v>4950</v>
      </c>
      <c r="C3266" s="5" t="s">
        <v>4949</v>
      </c>
      <c r="D3266" s="8" t="s">
        <v>306</v>
      </c>
      <c r="E3266" s="6" t="s">
        <v>4900</v>
      </c>
      <c r="F3266" s="6" t="s">
        <v>4948</v>
      </c>
      <c r="G3266" s="5">
        <v>1749</v>
      </c>
      <c r="H3266" s="5">
        <f t="shared" si="96"/>
        <v>0.27677447280000012</v>
      </c>
      <c r="I3266" s="20">
        <f t="shared" si="95"/>
        <v>484.07855292720018</v>
      </c>
      <c r="J3266" s="6" t="s">
        <v>357</v>
      </c>
    </row>
    <row r="3267" spans="1:10" ht="30" hidden="1">
      <c r="A3267" s="9">
        <v>46106</v>
      </c>
      <c r="B3267" s="216" t="s">
        <v>7648</v>
      </c>
      <c r="C3267" s="5" t="s">
        <v>7649</v>
      </c>
      <c r="D3267" s="8" t="s">
        <v>306</v>
      </c>
      <c r="E3267" s="25" t="s">
        <v>4900</v>
      </c>
      <c r="F3267" s="25" t="s">
        <v>4948</v>
      </c>
      <c r="G3267" s="31">
        <v>1993</v>
      </c>
      <c r="H3267" s="5">
        <f t="shared" si="96"/>
        <v>0.27677447280000012</v>
      </c>
      <c r="I3267" s="20">
        <f t="shared" si="95"/>
        <v>551.61152429040021</v>
      </c>
      <c r="J3267" s="6" t="s">
        <v>357</v>
      </c>
    </row>
    <row r="3268" spans="1:10" ht="30" hidden="1">
      <c r="A3268" s="9">
        <v>46106</v>
      </c>
      <c r="B3268" s="216" t="s">
        <v>7650</v>
      </c>
      <c r="C3268" s="143" t="s">
        <v>7651</v>
      </c>
      <c r="D3268" s="8" t="s">
        <v>306</v>
      </c>
      <c r="E3268" s="25" t="s">
        <v>4900</v>
      </c>
      <c r="F3268" s="25" t="s">
        <v>4948</v>
      </c>
      <c r="G3268" s="31">
        <v>2093</v>
      </c>
      <c r="H3268" s="5">
        <f t="shared" si="96"/>
        <v>0.27677447280000012</v>
      </c>
      <c r="I3268" s="20">
        <f t="shared" si="95"/>
        <v>579.28897157040024</v>
      </c>
      <c r="J3268" s="6" t="s">
        <v>357</v>
      </c>
    </row>
    <row r="3269" spans="1:10" ht="30" hidden="1">
      <c r="A3269" s="10">
        <v>45876</v>
      </c>
      <c r="B3269" s="216" t="s">
        <v>7661</v>
      </c>
      <c r="C3269" s="5" t="s">
        <v>7662</v>
      </c>
      <c r="D3269" s="8" t="s">
        <v>306</v>
      </c>
      <c r="E3269" s="25" t="s">
        <v>4900</v>
      </c>
      <c r="F3269" s="25" t="s">
        <v>7658</v>
      </c>
      <c r="G3269" s="31">
        <v>5013</v>
      </c>
      <c r="H3269" s="5">
        <f t="shared" si="96"/>
        <v>0.27677447280000012</v>
      </c>
      <c r="I3269" s="20">
        <f t="shared" si="95"/>
        <v>1387.4704321464005</v>
      </c>
      <c r="J3269" s="6" t="s">
        <v>357</v>
      </c>
    </row>
    <row r="3270" spans="1:10" ht="30" hidden="1">
      <c r="A3270" s="10">
        <v>45876</v>
      </c>
      <c r="B3270" s="216" t="s">
        <v>7659</v>
      </c>
      <c r="C3270" s="5" t="s">
        <v>7660</v>
      </c>
      <c r="D3270" s="8" t="s">
        <v>306</v>
      </c>
      <c r="E3270" s="25" t="s">
        <v>4900</v>
      </c>
      <c r="F3270" s="25" t="s">
        <v>7658</v>
      </c>
      <c r="G3270" s="31">
        <v>4864.5</v>
      </c>
      <c r="H3270" s="5">
        <f t="shared" si="96"/>
        <v>0.27677447280000012</v>
      </c>
      <c r="I3270" s="20">
        <f t="shared" si="95"/>
        <v>1346.3694229356006</v>
      </c>
      <c r="J3270" s="6" t="s">
        <v>357</v>
      </c>
    </row>
    <row r="3271" spans="1:10" ht="30" hidden="1">
      <c r="A3271" s="9">
        <v>46106</v>
      </c>
      <c r="B3271" s="216" t="s">
        <v>7656</v>
      </c>
      <c r="C3271" s="5" t="s">
        <v>7657</v>
      </c>
      <c r="D3271" s="8" t="s">
        <v>306</v>
      </c>
      <c r="E3271" s="25" t="s">
        <v>4900</v>
      </c>
      <c r="F3271" s="25" t="s">
        <v>7658</v>
      </c>
      <c r="G3271" s="31">
        <v>872.5</v>
      </c>
      <c r="H3271" s="5">
        <f t="shared" si="96"/>
        <v>0.27677447280000012</v>
      </c>
      <c r="I3271" s="20">
        <f t="shared" si="95"/>
        <v>241.48572751800009</v>
      </c>
      <c r="J3271" s="6" t="s">
        <v>357</v>
      </c>
    </row>
    <row r="3272" spans="1:10" ht="30" hidden="1">
      <c r="A3272" s="9">
        <v>46106</v>
      </c>
      <c r="B3272" s="240" t="s">
        <v>7665</v>
      </c>
      <c r="C3272" s="5" t="s">
        <v>7666</v>
      </c>
      <c r="D3272" s="8" t="s">
        <v>306</v>
      </c>
      <c r="E3272" s="25" t="s">
        <v>4900</v>
      </c>
      <c r="F3272" s="25" t="s">
        <v>7658</v>
      </c>
      <c r="G3272" s="31">
        <v>614.5</v>
      </c>
      <c r="H3272" s="5">
        <f t="shared" si="96"/>
        <v>0.27677447280000012</v>
      </c>
      <c r="I3272" s="20">
        <f t="shared" si="95"/>
        <v>170.07791353560006</v>
      </c>
      <c r="J3272" s="6" t="s">
        <v>357</v>
      </c>
    </row>
    <row r="3273" spans="1:10" hidden="1">
      <c r="A3273" s="9">
        <v>46106</v>
      </c>
      <c r="B3273" s="24" t="s">
        <v>4952</v>
      </c>
      <c r="C3273" s="14" t="s">
        <v>4951</v>
      </c>
      <c r="D3273" s="23" t="s">
        <v>306</v>
      </c>
      <c r="E3273" s="6" t="s">
        <v>4900</v>
      </c>
      <c r="F3273" s="6" t="s">
        <v>4953</v>
      </c>
      <c r="G3273" s="5">
        <v>115</v>
      </c>
      <c r="H3273" s="5">
        <f>0.9*0.8*0.7*0.93*(0.9*0.9*0.9*0.9*0.9)</f>
        <v>0.27677447280000012</v>
      </c>
      <c r="I3273" s="20">
        <f t="shared" si="95"/>
        <v>31.829064372000012</v>
      </c>
      <c r="J3273" s="6" t="s">
        <v>357</v>
      </c>
    </row>
    <row r="3274" spans="1:10" ht="30" hidden="1">
      <c r="A3274" s="9">
        <v>46106</v>
      </c>
      <c r="B3274" s="216" t="s">
        <v>7663</v>
      </c>
      <c r="C3274" s="5" t="s">
        <v>7664</v>
      </c>
      <c r="D3274" s="8" t="s">
        <v>306</v>
      </c>
      <c r="E3274" s="25" t="s">
        <v>4900</v>
      </c>
      <c r="F3274" s="25" t="s">
        <v>7658</v>
      </c>
      <c r="G3274" s="31">
        <v>74.5</v>
      </c>
      <c r="H3274" s="5">
        <f t="shared" si="96"/>
        <v>0.27677447280000012</v>
      </c>
      <c r="I3274" s="20">
        <f t="shared" si="95"/>
        <v>20.619698223600007</v>
      </c>
      <c r="J3274" s="6" t="s">
        <v>357</v>
      </c>
    </row>
    <row r="3275" spans="1:10" hidden="1">
      <c r="A3275" s="10">
        <v>45881</v>
      </c>
      <c r="B3275" s="216" t="s">
        <v>7417</v>
      </c>
      <c r="C3275" s="5" t="s">
        <v>7418</v>
      </c>
      <c r="D3275" s="8" t="s">
        <v>306</v>
      </c>
      <c r="E3275" s="25" t="s">
        <v>4956</v>
      </c>
      <c r="F3275" s="25" t="s">
        <v>411</v>
      </c>
      <c r="G3275" s="31">
        <v>1200</v>
      </c>
      <c r="H3275" s="5">
        <v>1</v>
      </c>
      <c r="I3275" s="20">
        <f t="shared" si="95"/>
        <v>1200</v>
      </c>
      <c r="J3275" s="6" t="s">
        <v>357</v>
      </c>
    </row>
    <row r="3276" spans="1:10" hidden="1">
      <c r="A3276" s="10">
        <v>44413</v>
      </c>
      <c r="B3276" s="6" t="s">
        <v>4955</v>
      </c>
      <c r="C3276" s="5" t="s">
        <v>4954</v>
      </c>
      <c r="D3276" s="8" t="s">
        <v>306</v>
      </c>
      <c r="E3276" s="6" t="s">
        <v>4956</v>
      </c>
      <c r="F3276" s="6" t="s">
        <v>4957</v>
      </c>
      <c r="G3276" s="5">
        <v>1100</v>
      </c>
      <c r="H3276" s="5">
        <v>1</v>
      </c>
      <c r="I3276" s="20">
        <f t="shared" si="95"/>
        <v>1100</v>
      </c>
      <c r="J3276" s="6" t="s">
        <v>357</v>
      </c>
    </row>
    <row r="3277" spans="1:10" hidden="1">
      <c r="A3277" s="10">
        <v>43665</v>
      </c>
      <c r="B3277" s="6" t="s">
        <v>4959</v>
      </c>
      <c r="C3277" s="5" t="s">
        <v>4958</v>
      </c>
      <c r="D3277" s="8" t="s">
        <v>306</v>
      </c>
      <c r="E3277" s="6" t="s">
        <v>4956</v>
      </c>
      <c r="F3277" s="6" t="s">
        <v>4960</v>
      </c>
      <c r="G3277" s="5">
        <v>2000</v>
      </c>
      <c r="H3277" s="5">
        <v>1</v>
      </c>
      <c r="I3277" s="20">
        <f t="shared" si="95"/>
        <v>2000</v>
      </c>
      <c r="J3277" s="6" t="s">
        <v>357</v>
      </c>
    </row>
    <row r="3278" spans="1:10" hidden="1">
      <c r="A3278" s="9">
        <v>46106</v>
      </c>
      <c r="B3278" s="6" t="s">
        <v>4962</v>
      </c>
      <c r="C3278" s="5" t="s">
        <v>4961</v>
      </c>
      <c r="D3278" s="8" t="s">
        <v>306</v>
      </c>
      <c r="E3278" s="6" t="s">
        <v>1541</v>
      </c>
      <c r="F3278" s="6" t="s">
        <v>3549</v>
      </c>
      <c r="G3278" s="5">
        <v>652</v>
      </c>
      <c r="H3278" s="5">
        <v>0.2767744728</v>
      </c>
      <c r="I3278" s="20">
        <f t="shared" si="95"/>
        <v>180.45695626560001</v>
      </c>
      <c r="J3278" s="6" t="s">
        <v>357</v>
      </c>
    </row>
    <row r="3279" spans="1:10" hidden="1">
      <c r="A3279" s="9">
        <v>46106</v>
      </c>
      <c r="B3279" s="6" t="s">
        <v>4964</v>
      </c>
      <c r="C3279" s="5" t="s">
        <v>4963</v>
      </c>
      <c r="D3279" s="8" t="s">
        <v>306</v>
      </c>
      <c r="E3279" s="6" t="s">
        <v>1541</v>
      </c>
      <c r="F3279" s="6" t="s">
        <v>3549</v>
      </c>
      <c r="G3279" s="5">
        <v>852</v>
      </c>
      <c r="H3279" s="5">
        <f>0.9*0.8*0.7*0.93*(0.9*0.9*0.9*0.9*0.9)</f>
        <v>0.27677447280000012</v>
      </c>
      <c r="I3279" s="20">
        <f t="shared" si="95"/>
        <v>235.81185082560009</v>
      </c>
      <c r="J3279" s="6" t="s">
        <v>357</v>
      </c>
    </row>
    <row r="3280" spans="1:10" hidden="1">
      <c r="A3280" s="9">
        <v>46106</v>
      </c>
      <c r="B3280" s="6" t="s">
        <v>4966</v>
      </c>
      <c r="C3280" s="5" t="s">
        <v>4965</v>
      </c>
      <c r="D3280" s="8" t="s">
        <v>306</v>
      </c>
      <c r="E3280" s="6" t="s">
        <v>1541</v>
      </c>
      <c r="F3280" s="6" t="s">
        <v>3549</v>
      </c>
      <c r="G3280" s="5">
        <v>932</v>
      </c>
      <c r="H3280" s="5">
        <f>0.9*0.8*0.7*0.93*(0.9*0.9*0.9*0.9*0.9)</f>
        <v>0.27677447280000012</v>
      </c>
      <c r="I3280" s="20">
        <f t="shared" si="95"/>
        <v>257.95380864960009</v>
      </c>
      <c r="J3280" s="6" t="s">
        <v>357</v>
      </c>
    </row>
    <row r="3281" spans="1:10" hidden="1">
      <c r="A3281" s="9">
        <v>46106</v>
      </c>
      <c r="B3281" s="6" t="s">
        <v>4968</v>
      </c>
      <c r="C3281" s="5" t="s">
        <v>4967</v>
      </c>
      <c r="D3281" s="8" t="s">
        <v>306</v>
      </c>
      <c r="E3281" s="6" t="s">
        <v>1541</v>
      </c>
      <c r="F3281" s="6" t="s">
        <v>3549</v>
      </c>
      <c r="G3281" s="5">
        <v>18537</v>
      </c>
      <c r="H3281" s="5">
        <v>0.2767744728</v>
      </c>
      <c r="I3281" s="20">
        <v>4402.0979898839996</v>
      </c>
      <c r="J3281" s="6" t="s">
        <v>357</v>
      </c>
    </row>
    <row r="3282" spans="1:10" hidden="1">
      <c r="A3282" s="9">
        <v>46106</v>
      </c>
      <c r="B3282" s="6" t="s">
        <v>4970</v>
      </c>
      <c r="C3282" s="5" t="s">
        <v>4969</v>
      </c>
      <c r="D3282" s="8" t="s">
        <v>306</v>
      </c>
      <c r="E3282" s="6" t="s">
        <v>1541</v>
      </c>
      <c r="F3282" s="6" t="s">
        <v>3549</v>
      </c>
      <c r="G3282" s="5">
        <v>19703</v>
      </c>
      <c r="H3282" s="5">
        <v>0.2767744728</v>
      </c>
      <c r="I3282" s="20">
        <v>4678.8724626840003</v>
      </c>
      <c r="J3282" s="6" t="s">
        <v>357</v>
      </c>
    </row>
    <row r="3283" spans="1:10" hidden="1">
      <c r="A3283" s="9">
        <v>46106</v>
      </c>
      <c r="B3283" s="6" t="s">
        <v>4972</v>
      </c>
      <c r="C3283" s="5" t="s">
        <v>4971</v>
      </c>
      <c r="D3283" s="8" t="s">
        <v>306</v>
      </c>
      <c r="E3283" s="6" t="s">
        <v>1541</v>
      </c>
      <c r="F3283" s="6" t="s">
        <v>3549</v>
      </c>
      <c r="G3283" s="5">
        <v>844</v>
      </c>
      <c r="H3283" s="5">
        <f>0.9*0.8*0.7*0.93*(0.9*0.9*0.9*0.9*0.9)</f>
        <v>0.27677447280000012</v>
      </c>
      <c r="I3283" s="20">
        <f>H3283*G3283</f>
        <v>233.59765504320009</v>
      </c>
      <c r="J3283" s="6" t="s">
        <v>357</v>
      </c>
    </row>
    <row r="3284" spans="1:10" hidden="1">
      <c r="A3284" s="9">
        <v>46106</v>
      </c>
      <c r="B3284" s="6" t="s">
        <v>4974</v>
      </c>
      <c r="C3284" s="5" t="s">
        <v>4973</v>
      </c>
      <c r="D3284" s="8" t="s">
        <v>306</v>
      </c>
      <c r="E3284" s="6" t="s">
        <v>1541</v>
      </c>
      <c r="F3284" s="6" t="s">
        <v>3549</v>
      </c>
      <c r="G3284" s="5">
        <v>1003</v>
      </c>
      <c r="H3284" s="5">
        <f>0.9*0.8*0.7*0.93*(0.9*0.9*0.9*0.9*0.9)</f>
        <v>0.27677447280000012</v>
      </c>
      <c r="I3284" s="20">
        <f>H3284*G3284</f>
        <v>277.60479621840011</v>
      </c>
      <c r="J3284" s="6" t="s">
        <v>357</v>
      </c>
    </row>
    <row r="3285" spans="1:10" hidden="1">
      <c r="A3285" s="9">
        <v>46106</v>
      </c>
      <c r="B3285" s="6" t="s">
        <v>4976</v>
      </c>
      <c r="C3285" s="5" t="s">
        <v>4975</v>
      </c>
      <c r="D3285" s="8" t="s">
        <v>306</v>
      </c>
      <c r="E3285" s="6" t="s">
        <v>1541</v>
      </c>
      <c r="F3285" s="6" t="s">
        <v>3549</v>
      </c>
      <c r="G3285" s="5">
        <v>22028</v>
      </c>
      <c r="H3285" s="5">
        <v>0.2767744728</v>
      </c>
      <c r="I3285" s="20">
        <v>5231.0375359199998</v>
      </c>
      <c r="J3285" s="6" t="s">
        <v>357</v>
      </c>
    </row>
    <row r="3286" spans="1:10" hidden="1">
      <c r="A3286" s="9">
        <v>46106</v>
      </c>
      <c r="B3286" s="6" t="s">
        <v>4978</v>
      </c>
      <c r="C3286" s="5" t="s">
        <v>4977</v>
      </c>
      <c r="D3286" s="8" t="s">
        <v>306</v>
      </c>
      <c r="E3286" s="6" t="s">
        <v>1541</v>
      </c>
      <c r="F3286" s="6" t="s">
        <v>3549</v>
      </c>
      <c r="G3286" s="5">
        <v>32662</v>
      </c>
      <c r="H3286" s="5">
        <v>0.2767744728</v>
      </c>
      <c r="I3286" s="20">
        <v>7756.6046002200001</v>
      </c>
      <c r="J3286" s="6" t="s">
        <v>357</v>
      </c>
    </row>
    <row r="3287" spans="1:10" hidden="1">
      <c r="A3287" s="9">
        <v>46106</v>
      </c>
      <c r="B3287" s="6" t="s">
        <v>4980</v>
      </c>
      <c r="C3287" s="5" t="s">
        <v>4979</v>
      </c>
      <c r="D3287" s="8" t="s">
        <v>306</v>
      </c>
      <c r="E3287" s="6" t="s">
        <v>1541</v>
      </c>
      <c r="F3287" s="6" t="s">
        <v>3549</v>
      </c>
      <c r="G3287" s="5">
        <v>1176</v>
      </c>
      <c r="H3287" s="5">
        <f>0.9*0.8*0.7*0.93*(0.9*0.9*0.9*0.9*0.9)</f>
        <v>0.27677447280000012</v>
      </c>
      <c r="I3287" s="20">
        <f>H3287*G3287</f>
        <v>325.48678001280012</v>
      </c>
      <c r="J3287" s="6" t="s">
        <v>357</v>
      </c>
    </row>
    <row r="3288" spans="1:10" hidden="1">
      <c r="A3288" s="9">
        <v>46106</v>
      </c>
      <c r="B3288" s="6" t="s">
        <v>4982</v>
      </c>
      <c r="C3288" s="5" t="s">
        <v>4981</v>
      </c>
      <c r="D3288" s="8" t="s">
        <v>306</v>
      </c>
      <c r="E3288" s="6" t="s">
        <v>1541</v>
      </c>
      <c r="F3288" s="6" t="s">
        <v>3549</v>
      </c>
      <c r="G3288" s="5">
        <v>1333</v>
      </c>
      <c r="H3288" s="5">
        <f>0.9*0.8*0.7*0.93*(0.9*0.9*0.9*0.9*0.9)</f>
        <v>0.27677447280000012</v>
      </c>
      <c r="I3288" s="20">
        <f>H3288*G3288</f>
        <v>368.94037224240014</v>
      </c>
      <c r="J3288" s="6" t="s">
        <v>357</v>
      </c>
    </row>
    <row r="3289" spans="1:10" hidden="1">
      <c r="A3289" s="9">
        <v>46106</v>
      </c>
      <c r="B3289" s="6" t="s">
        <v>4984</v>
      </c>
      <c r="C3289" s="5" t="s">
        <v>4983</v>
      </c>
      <c r="D3289" s="8" t="s">
        <v>306</v>
      </c>
      <c r="E3289" s="6" t="s">
        <v>1541</v>
      </c>
      <c r="F3289" s="6" t="s">
        <v>3549</v>
      </c>
      <c r="G3289" s="5">
        <v>23810</v>
      </c>
      <c r="H3289" s="5">
        <v>0.2767744728</v>
      </c>
      <c r="I3289" s="20">
        <v>5654.5024793040002</v>
      </c>
      <c r="J3289" s="6" t="s">
        <v>357</v>
      </c>
    </row>
    <row r="3290" spans="1:10" hidden="1">
      <c r="A3290" s="9">
        <v>46106</v>
      </c>
      <c r="B3290" s="6" t="s">
        <v>4986</v>
      </c>
      <c r="C3290" s="5" t="s">
        <v>4985</v>
      </c>
      <c r="D3290" s="8" t="s">
        <v>306</v>
      </c>
      <c r="E3290" s="6" t="s">
        <v>1541</v>
      </c>
      <c r="F3290" s="6" t="s">
        <v>3549</v>
      </c>
      <c r="G3290" s="5">
        <v>31491</v>
      </c>
      <c r="H3290" s="5">
        <v>0.2767744728</v>
      </c>
      <c r="I3290" s="20">
        <v>7478.4462550560002</v>
      </c>
      <c r="J3290" s="6" t="s">
        <v>357</v>
      </c>
    </row>
    <row r="3291" spans="1:10" hidden="1">
      <c r="A3291" s="9">
        <v>46106</v>
      </c>
      <c r="B3291" s="6" t="s">
        <v>4988</v>
      </c>
      <c r="C3291" s="5" t="s">
        <v>4987</v>
      </c>
      <c r="D3291" s="8" t="s">
        <v>306</v>
      </c>
      <c r="E3291" s="6" t="s">
        <v>1541</v>
      </c>
      <c r="F3291" s="6" t="s">
        <v>3549</v>
      </c>
      <c r="G3291" s="5">
        <v>34876</v>
      </c>
      <c r="H3291" s="5">
        <v>0.2767744728</v>
      </c>
      <c r="I3291" s="20">
        <v>8282.4760985400007</v>
      </c>
      <c r="J3291" s="6" t="s">
        <v>357</v>
      </c>
    </row>
    <row r="3292" spans="1:10" hidden="1">
      <c r="A3292" s="9">
        <v>46106</v>
      </c>
      <c r="B3292" s="6" t="s">
        <v>4990</v>
      </c>
      <c r="C3292" s="5" t="s">
        <v>4989</v>
      </c>
      <c r="D3292" s="8" t="s">
        <v>306</v>
      </c>
      <c r="E3292" s="6" t="s">
        <v>1541</v>
      </c>
      <c r="F3292" s="6" t="s">
        <v>3549</v>
      </c>
      <c r="G3292" s="5">
        <v>48230</v>
      </c>
      <c r="H3292" s="5">
        <v>0.2767744728</v>
      </c>
      <c r="I3292" s="20">
        <v>11452.927684464001</v>
      </c>
      <c r="J3292" s="6" t="s">
        <v>357</v>
      </c>
    </row>
    <row r="3293" spans="1:10" hidden="1">
      <c r="A3293" s="9">
        <v>46106</v>
      </c>
      <c r="B3293" s="6" t="s">
        <v>4992</v>
      </c>
      <c r="C3293" s="5" t="s">
        <v>4991</v>
      </c>
      <c r="D3293" s="8" t="s">
        <v>306</v>
      </c>
      <c r="E3293" s="6" t="s">
        <v>1541</v>
      </c>
      <c r="F3293" s="6" t="s">
        <v>3549</v>
      </c>
      <c r="G3293" s="5">
        <v>2113</v>
      </c>
      <c r="H3293" s="5">
        <f>0.9*0.8*0.7*0.93*(0.9*0.9*0.9*0.9*0.9)</f>
        <v>0.27677447280000012</v>
      </c>
      <c r="I3293" s="20">
        <f>H3293*G3293</f>
        <v>584.82446102640029</v>
      </c>
      <c r="J3293" s="6" t="s">
        <v>357</v>
      </c>
    </row>
    <row r="3294" spans="1:10" hidden="1">
      <c r="A3294" s="9">
        <v>46106</v>
      </c>
      <c r="B3294" s="6" t="s">
        <v>4994</v>
      </c>
      <c r="C3294" s="5" t="s">
        <v>4993</v>
      </c>
      <c r="D3294" s="8" t="s">
        <v>306</v>
      </c>
      <c r="E3294" s="6" t="s">
        <v>1541</v>
      </c>
      <c r="F3294" s="6" t="s">
        <v>3549</v>
      </c>
      <c r="G3294" s="5">
        <v>2525</v>
      </c>
      <c r="H3294" s="5">
        <f>0.9*0.8*0.7*0.93*(0.9*0.9*0.9*0.9*0.9)</f>
        <v>0.27677447280000012</v>
      </c>
      <c r="I3294" s="20">
        <f>H3294*G3294</f>
        <v>698.85554382000032</v>
      </c>
      <c r="J3294" s="6" t="s">
        <v>357</v>
      </c>
    </row>
    <row r="3295" spans="1:10" hidden="1">
      <c r="A3295" s="9">
        <v>46106</v>
      </c>
      <c r="B3295" s="6" t="s">
        <v>4996</v>
      </c>
      <c r="C3295" s="5" t="s">
        <v>4995</v>
      </c>
      <c r="D3295" s="8" t="s">
        <v>306</v>
      </c>
      <c r="E3295" s="6" t="s">
        <v>740</v>
      </c>
      <c r="F3295" s="6" t="s">
        <v>3549</v>
      </c>
      <c r="G3295" s="5">
        <v>5117</v>
      </c>
      <c r="H3295" s="5">
        <f>0.9*0.8*0.7*0.93*(0.9*0.9*0.9*0.9*0.9)</f>
        <v>0.27677447280000012</v>
      </c>
      <c r="I3295" s="20">
        <f>H3295*G3295</f>
        <v>1416.2549773176006</v>
      </c>
      <c r="J3295" s="6" t="s">
        <v>357</v>
      </c>
    </row>
    <row r="3296" spans="1:10" hidden="1">
      <c r="A3296" s="9">
        <v>46106</v>
      </c>
      <c r="B3296" s="6" t="s">
        <v>4998</v>
      </c>
      <c r="C3296" s="5" t="s">
        <v>4997</v>
      </c>
      <c r="D3296" s="8" t="s">
        <v>306</v>
      </c>
      <c r="E3296" s="6" t="s">
        <v>740</v>
      </c>
      <c r="F3296" s="6" t="s">
        <v>3549</v>
      </c>
      <c r="G3296" s="5">
        <v>5641</v>
      </c>
      <c r="H3296" s="5">
        <f>0.9*0.8*0.7*0.93*(0.9*0.9*0.9*0.9*0.9)</f>
        <v>0.27677447280000012</v>
      </c>
      <c r="I3296" s="20">
        <f>H3296*G3296</f>
        <v>1561.2848010648006</v>
      </c>
      <c r="J3296" s="6" t="s">
        <v>357</v>
      </c>
    </row>
    <row r="3297" spans="1:10" hidden="1">
      <c r="A3297" s="9">
        <v>46106</v>
      </c>
      <c r="B3297" s="6" t="s">
        <v>5000</v>
      </c>
      <c r="C3297" s="5" t="s">
        <v>4999</v>
      </c>
      <c r="D3297" s="8" t="s">
        <v>306</v>
      </c>
      <c r="E3297" s="6" t="s">
        <v>740</v>
      </c>
      <c r="F3297" s="6" t="s">
        <v>3549</v>
      </c>
      <c r="G3297" s="5">
        <v>6815.5</v>
      </c>
      <c r="H3297" s="5">
        <f>0.9*0.8*0.7*0.93*(0.9*0.9*0.9*0.9*0.9)</f>
        <v>0.27677447280000012</v>
      </c>
      <c r="I3297" s="20">
        <f>H3297*G3297</f>
        <v>1886.3564193684008</v>
      </c>
      <c r="J3297" s="6" t="s">
        <v>357</v>
      </c>
    </row>
    <row r="3298" spans="1:10" hidden="1">
      <c r="A3298" s="9">
        <v>46106</v>
      </c>
      <c r="B3298" s="6" t="s">
        <v>5002</v>
      </c>
      <c r="C3298" s="5" t="s">
        <v>5001</v>
      </c>
      <c r="D3298" s="8" t="s">
        <v>306</v>
      </c>
      <c r="E3298" s="6" t="s">
        <v>1541</v>
      </c>
      <c r="F3298" s="6" t="s">
        <v>3549</v>
      </c>
      <c r="G3298" s="5">
        <v>35653</v>
      </c>
      <c r="H3298" s="5">
        <v>0.2767744728</v>
      </c>
      <c r="I3298" s="20">
        <v>8466.5311229519994</v>
      </c>
      <c r="J3298" s="6" t="s">
        <v>357</v>
      </c>
    </row>
    <row r="3299" spans="1:10" hidden="1">
      <c r="A3299" s="9">
        <v>46106</v>
      </c>
      <c r="B3299" s="6" t="s">
        <v>5004</v>
      </c>
      <c r="C3299" s="5" t="s">
        <v>5003</v>
      </c>
      <c r="D3299" s="8" t="s">
        <v>306</v>
      </c>
      <c r="E3299" s="6" t="s">
        <v>1541</v>
      </c>
      <c r="F3299" s="6" t="s">
        <v>3549</v>
      </c>
      <c r="G3299" s="5">
        <v>56488</v>
      </c>
      <c r="H3299" s="5">
        <v>0.2767744728</v>
      </c>
      <c r="I3299" s="20">
        <v>13413.874824252</v>
      </c>
      <c r="J3299" s="6" t="s">
        <v>357</v>
      </c>
    </row>
    <row r="3300" spans="1:10" hidden="1">
      <c r="A3300" s="9">
        <v>46106</v>
      </c>
      <c r="B3300" s="6" t="s">
        <v>5006</v>
      </c>
      <c r="C3300" s="5" t="s">
        <v>5005</v>
      </c>
      <c r="D3300" s="8" t="s">
        <v>306</v>
      </c>
      <c r="E3300" s="6" t="s">
        <v>1541</v>
      </c>
      <c r="F3300" s="6" t="s">
        <v>3549</v>
      </c>
      <c r="G3300" s="5">
        <v>2512</v>
      </c>
      <c r="H3300" s="5">
        <v>0.2767744728</v>
      </c>
      <c r="I3300" s="20">
        <v>596.44898888399996</v>
      </c>
      <c r="J3300" s="6" t="s">
        <v>357</v>
      </c>
    </row>
    <row r="3301" spans="1:10" hidden="1">
      <c r="A3301" s="9">
        <v>46106</v>
      </c>
      <c r="B3301" s="6" t="s">
        <v>5008</v>
      </c>
      <c r="C3301" s="5" t="s">
        <v>5007</v>
      </c>
      <c r="D3301" s="8" t="s">
        <v>306</v>
      </c>
      <c r="E3301" s="6" t="s">
        <v>1541</v>
      </c>
      <c r="F3301" s="6" t="s">
        <v>3549</v>
      </c>
      <c r="G3301" s="5">
        <v>3682</v>
      </c>
      <c r="H3301" s="5">
        <v>0.2767744728</v>
      </c>
      <c r="I3301" s="20">
        <v>874.33055957520003</v>
      </c>
      <c r="J3301" s="6" t="s">
        <v>357</v>
      </c>
    </row>
    <row r="3302" spans="1:10" hidden="1">
      <c r="A3302" s="9">
        <v>46106</v>
      </c>
      <c r="B3302" s="6" t="s">
        <v>5010</v>
      </c>
      <c r="C3302" s="5" t="s">
        <v>5009</v>
      </c>
      <c r="D3302" s="8" t="s">
        <v>306</v>
      </c>
      <c r="E3302" s="6" t="s">
        <v>740</v>
      </c>
      <c r="F3302" s="6" t="s">
        <v>3549</v>
      </c>
      <c r="G3302" s="5">
        <v>10845</v>
      </c>
      <c r="H3302" s="5">
        <f>0.9*0.8*0.7*0.93*(0.9*0.9*0.9*0.9*0.9)</f>
        <v>0.27677447280000012</v>
      </c>
      <c r="I3302" s="20">
        <f>H3302*G3302</f>
        <v>3001.6191575160015</v>
      </c>
      <c r="J3302" s="6" t="s">
        <v>357</v>
      </c>
    </row>
    <row r="3303" spans="1:10" hidden="1">
      <c r="A3303" s="9">
        <v>46106</v>
      </c>
      <c r="B3303" s="6" t="s">
        <v>5012</v>
      </c>
      <c r="C3303" s="5" t="s">
        <v>5011</v>
      </c>
      <c r="D3303" s="8" t="s">
        <v>306</v>
      </c>
      <c r="E3303" s="6" t="s">
        <v>1541</v>
      </c>
      <c r="F3303" s="6" t="s">
        <v>3549</v>
      </c>
      <c r="G3303" s="5">
        <v>450</v>
      </c>
      <c r="H3303" s="5">
        <f>0.9*0.8*0.7*0.93*(0.9*0.9*0.9*0.9*0.9)</f>
        <v>0.27677447280000012</v>
      </c>
      <c r="I3303" s="20">
        <f>H3303*G3303</f>
        <v>124.54851276000005</v>
      </c>
      <c r="J3303" s="6" t="s">
        <v>357</v>
      </c>
    </row>
    <row r="3304" spans="1:10" hidden="1">
      <c r="A3304" s="9">
        <v>46106</v>
      </c>
      <c r="B3304" s="6" t="s">
        <v>5014</v>
      </c>
      <c r="C3304" s="5" t="s">
        <v>5013</v>
      </c>
      <c r="D3304" s="8" t="s">
        <v>306</v>
      </c>
      <c r="E3304" s="6" t="s">
        <v>1541</v>
      </c>
      <c r="F3304" s="6" t="s">
        <v>3549</v>
      </c>
      <c r="G3304" s="5">
        <v>525</v>
      </c>
      <c r="H3304" s="5">
        <f>0.9*0.8*0.7*0.93*(0.9*0.9*0.9*0.9*0.9)</f>
        <v>0.27677447280000012</v>
      </c>
      <c r="I3304" s="20">
        <f>H3304*G3304</f>
        <v>145.30659822000007</v>
      </c>
      <c r="J3304" s="6" t="s">
        <v>357</v>
      </c>
    </row>
    <row r="3305" spans="1:10" hidden="1">
      <c r="A3305" s="9">
        <v>46106</v>
      </c>
      <c r="B3305" s="6" t="s">
        <v>5016</v>
      </c>
      <c r="C3305" s="5" t="s">
        <v>5015</v>
      </c>
      <c r="D3305" s="8" t="s">
        <v>306</v>
      </c>
      <c r="E3305" s="6" t="s">
        <v>1541</v>
      </c>
      <c r="F3305" s="6" t="s">
        <v>3549</v>
      </c>
      <c r="G3305" s="5">
        <v>2763</v>
      </c>
      <c r="H3305" s="5">
        <f>0.9*0.8*0.7*0.93*(0.9*0.9*0.9*0.9*0.9)</f>
        <v>0.27677447280000012</v>
      </c>
      <c r="I3305" s="20">
        <f>H3305*G3305</f>
        <v>764.72786834640033</v>
      </c>
      <c r="J3305" s="6" t="s">
        <v>357</v>
      </c>
    </row>
    <row r="3306" spans="1:10" hidden="1">
      <c r="A3306" s="9">
        <v>46106</v>
      </c>
      <c r="B3306" s="6" t="s">
        <v>5018</v>
      </c>
      <c r="C3306" s="5" t="s">
        <v>5017</v>
      </c>
      <c r="D3306" s="8" t="s">
        <v>306</v>
      </c>
      <c r="E3306" s="6" t="s">
        <v>1541</v>
      </c>
      <c r="F3306" s="6" t="s">
        <v>3549</v>
      </c>
      <c r="G3306" s="5">
        <v>4220</v>
      </c>
      <c r="H3306" s="5">
        <v>0.2767744728</v>
      </c>
      <c r="I3306" s="20">
        <v>1002.2003660088</v>
      </c>
      <c r="J3306" s="6" t="s">
        <v>357</v>
      </c>
    </row>
    <row r="3307" spans="1:10" hidden="1">
      <c r="A3307" s="9">
        <v>46106</v>
      </c>
      <c r="B3307" s="6" t="s">
        <v>5020</v>
      </c>
      <c r="C3307" s="5" t="s">
        <v>5019</v>
      </c>
      <c r="D3307" s="8" t="s">
        <v>306</v>
      </c>
      <c r="E3307" s="6" t="s">
        <v>740</v>
      </c>
      <c r="F3307" s="6" t="s">
        <v>3549</v>
      </c>
      <c r="G3307" s="5">
        <v>12250</v>
      </c>
      <c r="H3307" s="5">
        <v>0.33529999999999999</v>
      </c>
      <c r="I3307" s="20">
        <f>H3307*G3307</f>
        <v>4107.4250000000002</v>
      </c>
      <c r="J3307" s="6" t="s">
        <v>357</v>
      </c>
    </row>
    <row r="3308" spans="1:10" hidden="1">
      <c r="A3308" s="9">
        <v>46106</v>
      </c>
      <c r="B3308" s="6" t="s">
        <v>5022</v>
      </c>
      <c r="C3308" s="5" t="s">
        <v>5021</v>
      </c>
      <c r="D3308" s="8" t="s">
        <v>306</v>
      </c>
      <c r="E3308" s="6" t="s">
        <v>1541</v>
      </c>
      <c r="F3308" s="6" t="s">
        <v>3549</v>
      </c>
      <c r="G3308" s="5">
        <v>4472</v>
      </c>
      <c r="H3308" s="5">
        <v>0.2767744728</v>
      </c>
      <c r="I3308" s="20">
        <v>1061.8452648972</v>
      </c>
      <c r="J3308" s="6" t="s">
        <v>357</v>
      </c>
    </row>
    <row r="3309" spans="1:10" hidden="1">
      <c r="A3309" s="9">
        <v>46106</v>
      </c>
      <c r="B3309" s="6" t="s">
        <v>5024</v>
      </c>
      <c r="C3309" s="5" t="s">
        <v>5023</v>
      </c>
      <c r="D3309" s="8" t="s">
        <v>306</v>
      </c>
      <c r="E3309" s="6" t="s">
        <v>1541</v>
      </c>
      <c r="F3309" s="6" t="s">
        <v>3549</v>
      </c>
      <c r="G3309" s="5">
        <v>5063</v>
      </c>
      <c r="H3309" s="5">
        <v>0.2767744728</v>
      </c>
      <c r="I3309" s="20">
        <v>1202.4466970796</v>
      </c>
      <c r="J3309" s="6" t="s">
        <v>357</v>
      </c>
    </row>
    <row r="3310" spans="1:10" hidden="1">
      <c r="A3310" s="9">
        <v>46106</v>
      </c>
      <c r="B3310" s="6" t="s">
        <v>5026</v>
      </c>
      <c r="C3310" s="5" t="s">
        <v>5025</v>
      </c>
      <c r="D3310" s="8" t="s">
        <v>306</v>
      </c>
      <c r="E3310" s="6" t="s">
        <v>740</v>
      </c>
      <c r="F3310" s="6" t="s">
        <v>3549</v>
      </c>
      <c r="G3310" s="5">
        <v>14145</v>
      </c>
      <c r="H3310" s="5">
        <v>0.33529999999999999</v>
      </c>
      <c r="I3310" s="20">
        <f>H3310*G3310</f>
        <v>4742.8184999999994</v>
      </c>
      <c r="J3310" s="6" t="s">
        <v>357</v>
      </c>
    </row>
    <row r="3311" spans="1:10" hidden="1">
      <c r="A3311" s="9">
        <v>46106</v>
      </c>
      <c r="B3311" s="6" t="s">
        <v>5028</v>
      </c>
      <c r="C3311" s="5" t="s">
        <v>5027</v>
      </c>
      <c r="D3311" s="8" t="s">
        <v>306</v>
      </c>
      <c r="E3311" s="6" t="s">
        <v>1541</v>
      </c>
      <c r="F3311" s="6" t="s">
        <v>3549</v>
      </c>
      <c r="G3311" s="5">
        <v>497</v>
      </c>
      <c r="H3311" s="5">
        <f>0.9*0.8*0.7*0.93*(0.9*0.9*0.9*0.9*0.9)</f>
        <v>0.27677447280000012</v>
      </c>
      <c r="I3311" s="20">
        <f>H3311*G3311</f>
        <v>137.55691298160005</v>
      </c>
      <c r="J3311" s="6" t="s">
        <v>357</v>
      </c>
    </row>
    <row r="3312" spans="1:10" hidden="1">
      <c r="A3312" s="9">
        <v>46106</v>
      </c>
      <c r="B3312" s="6" t="s">
        <v>5030</v>
      </c>
      <c r="C3312" s="5" t="s">
        <v>5029</v>
      </c>
      <c r="D3312" s="8" t="s">
        <v>306</v>
      </c>
      <c r="E3312" s="6" t="s">
        <v>1541</v>
      </c>
      <c r="F3312" s="6" t="s">
        <v>3549</v>
      </c>
      <c r="G3312" s="5">
        <v>611</v>
      </c>
      <c r="H3312" s="5">
        <f>0.9*0.8*0.7*0.93*(0.9*0.9*0.9*0.9*0.9)</f>
        <v>0.27677447280000012</v>
      </c>
      <c r="I3312" s="20">
        <f>H3312*G3312</f>
        <v>169.10920288080007</v>
      </c>
      <c r="J3312" s="6" t="s">
        <v>357</v>
      </c>
    </row>
    <row r="3313" spans="1:10" hidden="1">
      <c r="A3313" s="9">
        <v>46106</v>
      </c>
      <c r="B3313" s="6" t="s">
        <v>5032</v>
      </c>
      <c r="C3313" s="5" t="s">
        <v>5031</v>
      </c>
      <c r="D3313" s="8" t="s">
        <v>306</v>
      </c>
      <c r="E3313" s="6" t="s">
        <v>1541</v>
      </c>
      <c r="F3313" s="6" t="s">
        <v>3549</v>
      </c>
      <c r="G3313" s="5">
        <v>4769</v>
      </c>
      <c r="H3313" s="5">
        <f>0.9*0.8*0.7*0.93*(0.9*0.9*0.9*0.9*0.9)</f>
        <v>0.27677447280000012</v>
      </c>
      <c r="I3313" s="20">
        <f>H3313*G3313</f>
        <v>1319.9374607832005</v>
      </c>
      <c r="J3313" s="6" t="s">
        <v>357</v>
      </c>
    </row>
    <row r="3314" spans="1:10" hidden="1">
      <c r="A3314" s="9">
        <v>46106</v>
      </c>
      <c r="B3314" s="6" t="s">
        <v>5034</v>
      </c>
      <c r="C3314" s="5" t="s">
        <v>5033</v>
      </c>
      <c r="D3314" s="8" t="s">
        <v>306</v>
      </c>
      <c r="E3314" s="6" t="s">
        <v>1541</v>
      </c>
      <c r="F3314" s="6" t="s">
        <v>3549</v>
      </c>
      <c r="G3314" s="5">
        <v>5859</v>
      </c>
      <c r="H3314" s="5">
        <v>0.2767744728</v>
      </c>
      <c r="I3314" s="20">
        <v>1132.5611426976</v>
      </c>
      <c r="J3314" s="6" t="s">
        <v>357</v>
      </c>
    </row>
    <row r="3315" spans="1:10" hidden="1">
      <c r="A3315" s="9">
        <v>46106</v>
      </c>
      <c r="B3315" s="6" t="s">
        <v>5036</v>
      </c>
      <c r="C3315" s="5" t="s">
        <v>5035</v>
      </c>
      <c r="D3315" s="8" t="s">
        <v>306</v>
      </c>
      <c r="E3315" s="6" t="s">
        <v>740</v>
      </c>
      <c r="F3315" s="6" t="s">
        <v>3549</v>
      </c>
      <c r="G3315" s="5">
        <v>12715</v>
      </c>
      <c r="H3315" s="5">
        <v>0.33529999999999999</v>
      </c>
      <c r="I3315" s="20">
        <f>H3315*G3315</f>
        <v>4263.3395</v>
      </c>
      <c r="J3315" s="6" t="s">
        <v>357</v>
      </c>
    </row>
    <row r="3316" spans="1:10" hidden="1">
      <c r="A3316" s="9">
        <v>46106</v>
      </c>
      <c r="B3316" s="6" t="s">
        <v>5038</v>
      </c>
      <c r="C3316" s="5" t="s">
        <v>5037</v>
      </c>
      <c r="D3316" s="8" t="s">
        <v>306</v>
      </c>
      <c r="E3316" s="6" t="s">
        <v>1541</v>
      </c>
      <c r="F3316" s="6" t="s">
        <v>3549</v>
      </c>
      <c r="G3316" s="5">
        <v>633</v>
      </c>
      <c r="H3316" s="5">
        <f>0.9*0.8*0.7*0.93*(0.9*0.9*0.9*0.9*0.9)</f>
        <v>0.27677447280000012</v>
      </c>
      <c r="I3316" s="20">
        <f>H3316*G3316</f>
        <v>175.19824128240006</v>
      </c>
      <c r="J3316" s="6" t="s">
        <v>357</v>
      </c>
    </row>
    <row r="3317" spans="1:10" hidden="1">
      <c r="A3317" s="9">
        <v>46106</v>
      </c>
      <c r="B3317" s="6" t="s">
        <v>5040</v>
      </c>
      <c r="C3317" s="5" t="s">
        <v>5039</v>
      </c>
      <c r="D3317" s="8" t="s">
        <v>306</v>
      </c>
      <c r="E3317" s="6" t="s">
        <v>1541</v>
      </c>
      <c r="F3317" s="6" t="s">
        <v>3549</v>
      </c>
      <c r="G3317" s="5">
        <v>713</v>
      </c>
      <c r="H3317" s="5">
        <f>0.9*0.8*0.7*0.93*(0.9*0.9*0.9*0.9*0.9)</f>
        <v>0.27677447280000012</v>
      </c>
      <c r="I3317" s="20">
        <f>H3317*G3317</f>
        <v>197.34019910640009</v>
      </c>
      <c r="J3317" s="6" t="s">
        <v>357</v>
      </c>
    </row>
    <row r="3318" spans="1:10" hidden="1">
      <c r="A3318" s="9">
        <v>46106</v>
      </c>
      <c r="B3318" s="6" t="s">
        <v>5042</v>
      </c>
      <c r="C3318" s="5" t="s">
        <v>5041</v>
      </c>
      <c r="D3318" s="8" t="s">
        <v>306</v>
      </c>
      <c r="E3318" s="6" t="s">
        <v>1541</v>
      </c>
      <c r="F3318" s="6" t="s">
        <v>3549</v>
      </c>
      <c r="G3318" s="5">
        <v>14408</v>
      </c>
      <c r="H3318" s="5">
        <v>0.2767744728</v>
      </c>
      <c r="I3318" s="20">
        <v>3420.9324838080001</v>
      </c>
      <c r="J3318" s="6" t="s">
        <v>357</v>
      </c>
    </row>
    <row r="3319" spans="1:10" hidden="1">
      <c r="A3319" s="9">
        <v>46106</v>
      </c>
      <c r="B3319" s="6" t="s">
        <v>5044</v>
      </c>
      <c r="C3319" s="5" t="s">
        <v>5043</v>
      </c>
      <c r="D3319" s="8" t="s">
        <v>306</v>
      </c>
      <c r="E3319" s="6" t="s">
        <v>1541</v>
      </c>
      <c r="F3319" s="6" t="s">
        <v>3549</v>
      </c>
      <c r="G3319" s="5">
        <v>15074</v>
      </c>
      <c r="H3319" s="5">
        <v>0.2767744728</v>
      </c>
      <c r="I3319" s="20">
        <v>3580.0778056680001</v>
      </c>
      <c r="J3319" s="6" t="s">
        <v>512</v>
      </c>
    </row>
    <row r="3320" spans="1:10" ht="30" hidden="1">
      <c r="A3320" s="9">
        <v>46106</v>
      </c>
      <c r="B3320" s="24" t="s">
        <v>5046</v>
      </c>
      <c r="C3320" s="14" t="s">
        <v>5045</v>
      </c>
      <c r="D3320" s="23" t="s">
        <v>306</v>
      </c>
      <c r="E3320" s="6" t="s">
        <v>602</v>
      </c>
      <c r="F3320" s="6" t="s">
        <v>5047</v>
      </c>
      <c r="G3320" s="5">
        <v>158.5</v>
      </c>
      <c r="H3320" s="5">
        <f t="shared" ref="H3320:H3325" si="97">0.9*0.8*0.7*0.93*(0.9*0.9*0.9*0.9*0.9)</f>
        <v>0.27677447280000012</v>
      </c>
      <c r="I3320" s="20">
        <f t="shared" ref="I3320:I3383" si="98">H3320*G3320</f>
        <v>43.868753938800019</v>
      </c>
      <c r="J3320" s="6" t="s">
        <v>512</v>
      </c>
    </row>
    <row r="3321" spans="1:10" ht="30" hidden="1">
      <c r="A3321" s="10">
        <v>45924</v>
      </c>
      <c r="B3321" s="216" t="s">
        <v>7546</v>
      </c>
      <c r="C3321" s="5" t="s">
        <v>7541</v>
      </c>
      <c r="D3321" s="8" t="s">
        <v>306</v>
      </c>
      <c r="E3321" s="6" t="s">
        <v>602</v>
      </c>
      <c r="F3321" s="6" t="s">
        <v>6437</v>
      </c>
      <c r="G3321" s="31">
        <f>77.5+111.5</f>
        <v>189</v>
      </c>
      <c r="H3321" s="5">
        <f t="shared" si="97"/>
        <v>0.27677447280000012</v>
      </c>
      <c r="I3321" s="20">
        <f t="shared" si="98"/>
        <v>52.310375359200023</v>
      </c>
      <c r="J3321" s="6" t="s">
        <v>357</v>
      </c>
    </row>
    <row r="3322" spans="1:10" ht="30" hidden="1">
      <c r="A3322" s="10">
        <v>45924</v>
      </c>
      <c r="B3322" s="216" t="s">
        <v>7547</v>
      </c>
      <c r="C3322" s="5" t="s">
        <v>7542</v>
      </c>
      <c r="D3322" s="8" t="s">
        <v>306</v>
      </c>
      <c r="E3322" s="6" t="s">
        <v>602</v>
      </c>
      <c r="F3322" s="6" t="s">
        <v>6437</v>
      </c>
      <c r="G3322" s="31">
        <f>115+111.5</f>
        <v>226.5</v>
      </c>
      <c r="H3322" s="5">
        <f t="shared" si="97"/>
        <v>0.27677447280000012</v>
      </c>
      <c r="I3322" s="20">
        <f t="shared" si="98"/>
        <v>62.689418089200025</v>
      </c>
      <c r="J3322" s="6" t="s">
        <v>357</v>
      </c>
    </row>
    <row r="3323" spans="1:10" ht="30" hidden="1">
      <c r="A3323" s="10">
        <v>45924</v>
      </c>
      <c r="B3323" s="216" t="s">
        <v>7548</v>
      </c>
      <c r="C3323" s="5" t="s">
        <v>7543</v>
      </c>
      <c r="D3323" s="8" t="s">
        <v>306</v>
      </c>
      <c r="E3323" s="6" t="s">
        <v>602</v>
      </c>
      <c r="F3323" s="6" t="s">
        <v>6437</v>
      </c>
      <c r="G3323" s="31">
        <f>170.5+111.5</f>
        <v>282</v>
      </c>
      <c r="H3323" s="5">
        <f t="shared" si="97"/>
        <v>0.27677447280000012</v>
      </c>
      <c r="I3323" s="20">
        <f t="shared" si="98"/>
        <v>78.050401329600035</v>
      </c>
      <c r="J3323" s="6" t="s">
        <v>357</v>
      </c>
    </row>
    <row r="3324" spans="1:10" ht="30" hidden="1">
      <c r="A3324" s="10">
        <v>45924</v>
      </c>
      <c r="B3324" s="216" t="s">
        <v>7549</v>
      </c>
      <c r="C3324" s="5" t="s">
        <v>7544</v>
      </c>
      <c r="D3324" s="8" t="s">
        <v>306</v>
      </c>
      <c r="E3324" s="6" t="s">
        <v>602</v>
      </c>
      <c r="F3324" s="6" t="s">
        <v>6437</v>
      </c>
      <c r="G3324" s="31">
        <f>530+111.5</f>
        <v>641.5</v>
      </c>
      <c r="H3324" s="5">
        <f t="shared" si="97"/>
        <v>0.27677447280000012</v>
      </c>
      <c r="I3324" s="20">
        <f t="shared" si="98"/>
        <v>177.55082430120007</v>
      </c>
      <c r="J3324" s="6" t="s">
        <v>357</v>
      </c>
    </row>
    <row r="3325" spans="1:10" ht="30" hidden="1">
      <c r="A3325" s="10">
        <v>45924</v>
      </c>
      <c r="B3325" s="216" t="s">
        <v>7550</v>
      </c>
      <c r="C3325" s="5" t="s">
        <v>7545</v>
      </c>
      <c r="D3325" s="8" t="s">
        <v>306</v>
      </c>
      <c r="E3325" s="25" t="s">
        <v>602</v>
      </c>
      <c r="F3325" s="25" t="s">
        <v>6437</v>
      </c>
      <c r="G3325" s="31">
        <f>1210+139</f>
        <v>1349</v>
      </c>
      <c r="H3325" s="5">
        <f t="shared" si="97"/>
        <v>0.27677447280000012</v>
      </c>
      <c r="I3325" s="20">
        <f t="shared" si="98"/>
        <v>373.36876380720014</v>
      </c>
      <c r="J3325" s="6" t="s">
        <v>357</v>
      </c>
    </row>
    <row r="3326" spans="1:10" ht="45" hidden="1">
      <c r="A3326" s="9">
        <v>46106</v>
      </c>
      <c r="B3326" s="240" t="s">
        <v>7667</v>
      </c>
      <c r="C3326" s="5" t="s">
        <v>7668</v>
      </c>
      <c r="D3326" s="8" t="s">
        <v>306</v>
      </c>
      <c r="E3326" s="25" t="s">
        <v>602</v>
      </c>
      <c r="F3326" s="25" t="s">
        <v>5097</v>
      </c>
      <c r="G3326" s="31">
        <v>285.5</v>
      </c>
      <c r="H3326" s="5">
        <f>0.9*0.8*0.7*0.93*(0.9*0.9*0.9*0.9*0.9*0.9)</f>
        <v>0.2490970255200001</v>
      </c>
      <c r="I3326" s="20">
        <f t="shared" si="98"/>
        <v>71.117200785960023</v>
      </c>
      <c r="J3326" s="6" t="s">
        <v>357</v>
      </c>
    </row>
    <row r="3327" spans="1:10" hidden="1">
      <c r="A3327" s="9">
        <v>46106</v>
      </c>
      <c r="B3327" s="6" t="s">
        <v>5048</v>
      </c>
      <c r="C3327" s="5" t="s">
        <v>326</v>
      </c>
      <c r="D3327" s="8" t="s">
        <v>306</v>
      </c>
      <c r="E3327" s="6" t="s">
        <v>602</v>
      </c>
      <c r="F3327" s="6" t="s">
        <v>5047</v>
      </c>
      <c r="G3327" s="5">
        <v>191</v>
      </c>
      <c r="H3327" s="5">
        <f t="shared" ref="H3327:H3358" si="99">0.9*0.8*0.7*0.93*(0.9*0.9*0.9*0.9*0.9)</f>
        <v>0.27677447280000012</v>
      </c>
      <c r="I3327" s="20">
        <f t="shared" si="98"/>
        <v>52.863924304800022</v>
      </c>
      <c r="J3327" s="6" t="s">
        <v>357</v>
      </c>
    </row>
    <row r="3328" spans="1:10" hidden="1">
      <c r="A3328" s="9">
        <v>46106</v>
      </c>
      <c r="B3328" s="6" t="s">
        <v>5050</v>
      </c>
      <c r="C3328" s="5" t="s">
        <v>5049</v>
      </c>
      <c r="D3328" s="8" t="s">
        <v>306</v>
      </c>
      <c r="E3328" s="6" t="s">
        <v>602</v>
      </c>
      <c r="F3328" s="6" t="s">
        <v>5047</v>
      </c>
      <c r="G3328" s="5">
        <v>3998</v>
      </c>
      <c r="H3328" s="5">
        <f t="shared" si="99"/>
        <v>0.27677447280000012</v>
      </c>
      <c r="I3328" s="20">
        <f t="shared" si="98"/>
        <v>1106.5443422544004</v>
      </c>
      <c r="J3328" s="6" t="s">
        <v>357</v>
      </c>
    </row>
    <row r="3329" spans="1:10" hidden="1">
      <c r="A3329" s="9">
        <v>46106</v>
      </c>
      <c r="B3329" s="6" t="s">
        <v>5052</v>
      </c>
      <c r="C3329" s="5" t="s">
        <v>5051</v>
      </c>
      <c r="D3329" s="8" t="s">
        <v>306</v>
      </c>
      <c r="E3329" s="6" t="s">
        <v>602</v>
      </c>
      <c r="F3329" s="6" t="s">
        <v>5047</v>
      </c>
      <c r="G3329" s="5">
        <v>3088.5</v>
      </c>
      <c r="H3329" s="5">
        <f t="shared" si="99"/>
        <v>0.27677447280000012</v>
      </c>
      <c r="I3329" s="20">
        <f t="shared" si="98"/>
        <v>854.81795924280038</v>
      </c>
      <c r="J3329" s="6" t="s">
        <v>357</v>
      </c>
    </row>
    <row r="3330" spans="1:10" hidden="1">
      <c r="A3330" s="9">
        <v>46106</v>
      </c>
      <c r="B3330" s="6" t="s">
        <v>5053</v>
      </c>
      <c r="C3330" s="5" t="s">
        <v>1694</v>
      </c>
      <c r="D3330" s="8" t="s">
        <v>306</v>
      </c>
      <c r="E3330" s="6" t="s">
        <v>602</v>
      </c>
      <c r="F3330" s="6" t="s">
        <v>5047</v>
      </c>
      <c r="G3330" s="5">
        <v>266.5</v>
      </c>
      <c r="H3330" s="5">
        <f t="shared" si="99"/>
        <v>0.27677447280000012</v>
      </c>
      <c r="I3330" s="20">
        <f t="shared" si="98"/>
        <v>73.760397001200033</v>
      </c>
      <c r="J3330" s="6" t="s">
        <v>357</v>
      </c>
    </row>
    <row r="3331" spans="1:10" hidden="1">
      <c r="A3331" s="9">
        <v>46106</v>
      </c>
      <c r="B3331" s="6" t="s">
        <v>5054</v>
      </c>
      <c r="C3331" s="5" t="s">
        <v>2440</v>
      </c>
      <c r="D3331" s="8" t="s">
        <v>306</v>
      </c>
      <c r="E3331" s="6" t="s">
        <v>602</v>
      </c>
      <c r="F3331" s="6" t="s">
        <v>5047</v>
      </c>
      <c r="G3331" s="5">
        <v>3829.5</v>
      </c>
      <c r="H3331" s="5">
        <f t="shared" si="99"/>
        <v>0.27677447280000012</v>
      </c>
      <c r="I3331" s="20">
        <f t="shared" si="98"/>
        <v>1059.9078435876004</v>
      </c>
      <c r="J3331" s="6" t="s">
        <v>357</v>
      </c>
    </row>
    <row r="3332" spans="1:10" hidden="1">
      <c r="A3332" s="9">
        <v>46106</v>
      </c>
      <c r="B3332" s="6" t="s">
        <v>5055</v>
      </c>
      <c r="C3332" s="5" t="s">
        <v>1700</v>
      </c>
      <c r="D3332" s="8" t="s">
        <v>306</v>
      </c>
      <c r="E3332" s="6" t="s">
        <v>602</v>
      </c>
      <c r="F3332" s="6" t="s">
        <v>5047</v>
      </c>
      <c r="G3332" s="5">
        <v>343.5</v>
      </c>
      <c r="H3332" s="5">
        <f t="shared" si="99"/>
        <v>0.27677447280000012</v>
      </c>
      <c r="I3332" s="20">
        <f t="shared" si="98"/>
        <v>95.072031406800036</v>
      </c>
      <c r="J3332" s="6" t="s">
        <v>357</v>
      </c>
    </row>
    <row r="3333" spans="1:10" hidden="1">
      <c r="A3333" s="9">
        <v>46106</v>
      </c>
      <c r="B3333" s="6" t="s">
        <v>5056</v>
      </c>
      <c r="C3333" s="5" t="s">
        <v>1706</v>
      </c>
      <c r="D3333" s="8" t="s">
        <v>306</v>
      </c>
      <c r="E3333" s="6" t="s">
        <v>602</v>
      </c>
      <c r="F3333" s="6" t="s">
        <v>5047</v>
      </c>
      <c r="G3333" s="5">
        <v>450.5</v>
      </c>
      <c r="H3333" s="5">
        <f t="shared" si="99"/>
        <v>0.27677447280000012</v>
      </c>
      <c r="I3333" s="20">
        <f t="shared" si="98"/>
        <v>124.68689999640006</v>
      </c>
      <c r="J3333" s="6" t="s">
        <v>357</v>
      </c>
    </row>
    <row r="3334" spans="1:10" hidden="1">
      <c r="A3334" s="9">
        <v>46106</v>
      </c>
      <c r="B3334" s="6" t="s">
        <v>5057</v>
      </c>
      <c r="C3334" s="5" t="s">
        <v>1710</v>
      </c>
      <c r="D3334" s="8" t="s">
        <v>306</v>
      </c>
      <c r="E3334" s="6" t="s">
        <v>602</v>
      </c>
      <c r="F3334" s="6" t="s">
        <v>5047</v>
      </c>
      <c r="G3334" s="5">
        <v>571.5</v>
      </c>
      <c r="H3334" s="5">
        <f t="shared" si="99"/>
        <v>0.27677447280000012</v>
      </c>
      <c r="I3334" s="20">
        <f t="shared" si="98"/>
        <v>158.17661120520006</v>
      </c>
      <c r="J3334" s="6" t="s">
        <v>357</v>
      </c>
    </row>
    <row r="3335" spans="1:10" hidden="1">
      <c r="A3335" s="9">
        <v>46106</v>
      </c>
      <c r="B3335" s="6" t="s">
        <v>5058</v>
      </c>
      <c r="C3335" s="5" t="s">
        <v>308</v>
      </c>
      <c r="D3335" s="8" t="s">
        <v>306</v>
      </c>
      <c r="E3335" s="6" t="s">
        <v>602</v>
      </c>
      <c r="F3335" s="6" t="s">
        <v>5047</v>
      </c>
      <c r="G3335" s="5">
        <v>846</v>
      </c>
      <c r="H3335" s="5">
        <f t="shared" si="99"/>
        <v>0.27677447280000012</v>
      </c>
      <c r="I3335" s="20">
        <f t="shared" si="98"/>
        <v>234.15120398880009</v>
      </c>
      <c r="J3335" s="6" t="s">
        <v>357</v>
      </c>
    </row>
    <row r="3336" spans="1:10" hidden="1">
      <c r="A3336" s="9">
        <v>46106</v>
      </c>
      <c r="B3336" s="6" t="s">
        <v>5059</v>
      </c>
      <c r="C3336" s="5" t="s">
        <v>1716</v>
      </c>
      <c r="D3336" s="8" t="s">
        <v>306</v>
      </c>
      <c r="E3336" s="6" t="s">
        <v>602</v>
      </c>
      <c r="F3336" s="6" t="s">
        <v>5047</v>
      </c>
      <c r="G3336" s="5">
        <v>1149</v>
      </c>
      <c r="H3336" s="5">
        <f t="shared" si="99"/>
        <v>0.27677447280000012</v>
      </c>
      <c r="I3336" s="20">
        <f t="shared" si="98"/>
        <v>318.01386924720015</v>
      </c>
      <c r="J3336" s="6" t="s">
        <v>357</v>
      </c>
    </row>
    <row r="3337" spans="1:10" hidden="1">
      <c r="A3337" s="9">
        <v>46106</v>
      </c>
      <c r="B3337" s="6" t="s">
        <v>5060</v>
      </c>
      <c r="C3337" s="5" t="s">
        <v>1722</v>
      </c>
      <c r="D3337" s="8" t="s">
        <v>306</v>
      </c>
      <c r="E3337" s="6" t="s">
        <v>602</v>
      </c>
      <c r="F3337" s="6" t="s">
        <v>5047</v>
      </c>
      <c r="G3337" s="5">
        <v>1299.5</v>
      </c>
      <c r="H3337" s="5">
        <f t="shared" si="99"/>
        <v>0.27677447280000012</v>
      </c>
      <c r="I3337" s="20">
        <f t="shared" si="98"/>
        <v>359.66842740360016</v>
      </c>
      <c r="J3337" s="6" t="s">
        <v>357</v>
      </c>
    </row>
    <row r="3338" spans="1:10" hidden="1">
      <c r="A3338" s="9">
        <v>46106</v>
      </c>
      <c r="B3338" s="6" t="s">
        <v>5062</v>
      </c>
      <c r="C3338" s="5" t="s">
        <v>5061</v>
      </c>
      <c r="D3338" s="8" t="s">
        <v>306</v>
      </c>
      <c r="E3338" s="6" t="s">
        <v>602</v>
      </c>
      <c r="F3338" s="6" t="s">
        <v>5047</v>
      </c>
      <c r="G3338" s="5">
        <v>2941</v>
      </c>
      <c r="H3338" s="5">
        <f t="shared" si="99"/>
        <v>0.27677447280000012</v>
      </c>
      <c r="I3338" s="20">
        <f t="shared" si="98"/>
        <v>813.9937245048003</v>
      </c>
      <c r="J3338" s="6" t="s">
        <v>357</v>
      </c>
    </row>
    <row r="3339" spans="1:10" hidden="1">
      <c r="A3339" s="9">
        <v>46106</v>
      </c>
      <c r="B3339" s="6" t="s">
        <v>5063</v>
      </c>
      <c r="C3339" s="5" t="s">
        <v>2434</v>
      </c>
      <c r="D3339" s="8" t="s">
        <v>306</v>
      </c>
      <c r="E3339" s="6" t="s">
        <v>602</v>
      </c>
      <c r="F3339" s="6" t="s">
        <v>5047</v>
      </c>
      <c r="G3339" s="5">
        <v>1777</v>
      </c>
      <c r="H3339" s="5">
        <f t="shared" si="99"/>
        <v>0.27677447280000012</v>
      </c>
      <c r="I3339" s="20">
        <f t="shared" si="98"/>
        <v>491.82823816560023</v>
      </c>
      <c r="J3339" s="6" t="s">
        <v>357</v>
      </c>
    </row>
    <row r="3340" spans="1:10" hidden="1">
      <c r="A3340" s="9">
        <v>46106</v>
      </c>
      <c r="B3340" s="6" t="s">
        <v>5065</v>
      </c>
      <c r="C3340" s="5" t="s">
        <v>5064</v>
      </c>
      <c r="D3340" s="8" t="s">
        <v>306</v>
      </c>
      <c r="E3340" s="6" t="s">
        <v>602</v>
      </c>
      <c r="F3340" s="6" t="s">
        <v>5047</v>
      </c>
      <c r="G3340" s="5">
        <v>2553.5</v>
      </c>
      <c r="H3340" s="5">
        <f t="shared" si="99"/>
        <v>0.27677447280000012</v>
      </c>
      <c r="I3340" s="20">
        <f t="shared" si="98"/>
        <v>706.74361629480029</v>
      </c>
      <c r="J3340" s="6" t="s">
        <v>357</v>
      </c>
    </row>
    <row r="3341" spans="1:10" hidden="1">
      <c r="A3341" s="9">
        <v>46106</v>
      </c>
      <c r="B3341" s="6" t="s">
        <v>5067</v>
      </c>
      <c r="C3341" s="5" t="s">
        <v>5066</v>
      </c>
      <c r="D3341" s="8" t="s">
        <v>306</v>
      </c>
      <c r="E3341" s="6" t="s">
        <v>602</v>
      </c>
      <c r="F3341" s="6" t="s">
        <v>5047</v>
      </c>
      <c r="G3341" s="5">
        <v>612.5</v>
      </c>
      <c r="H3341" s="5">
        <f t="shared" si="99"/>
        <v>0.27677447280000012</v>
      </c>
      <c r="I3341" s="20">
        <f t="shared" si="98"/>
        <v>169.52436459000006</v>
      </c>
      <c r="J3341" s="6" t="s">
        <v>357</v>
      </c>
    </row>
    <row r="3342" spans="1:10" hidden="1">
      <c r="A3342" s="9">
        <v>46106</v>
      </c>
      <c r="B3342" s="6" t="s">
        <v>5069</v>
      </c>
      <c r="C3342" s="5" t="s">
        <v>5068</v>
      </c>
      <c r="D3342" s="8" t="s">
        <v>306</v>
      </c>
      <c r="E3342" s="6" t="s">
        <v>602</v>
      </c>
      <c r="F3342" s="6" t="s">
        <v>5047</v>
      </c>
      <c r="G3342" s="5">
        <v>1178.5</v>
      </c>
      <c r="H3342" s="5">
        <f t="shared" si="99"/>
        <v>0.27677447280000012</v>
      </c>
      <c r="I3342" s="20">
        <f t="shared" si="98"/>
        <v>326.17871619480013</v>
      </c>
      <c r="J3342" s="6" t="s">
        <v>357</v>
      </c>
    </row>
    <row r="3343" spans="1:10" hidden="1">
      <c r="A3343" s="9">
        <v>46106</v>
      </c>
      <c r="B3343" s="6" t="s">
        <v>5071</v>
      </c>
      <c r="C3343" s="5" t="s">
        <v>5070</v>
      </c>
      <c r="D3343" s="8" t="s">
        <v>306</v>
      </c>
      <c r="E3343" s="6" t="s">
        <v>602</v>
      </c>
      <c r="F3343" s="6" t="s">
        <v>5047</v>
      </c>
      <c r="G3343" s="5">
        <v>896</v>
      </c>
      <c r="H3343" s="5">
        <f t="shared" si="99"/>
        <v>0.27677447280000012</v>
      </c>
      <c r="I3343" s="20">
        <f t="shared" si="98"/>
        <v>247.9899276288001</v>
      </c>
      <c r="J3343" s="6" t="s">
        <v>357</v>
      </c>
    </row>
    <row r="3344" spans="1:10" hidden="1">
      <c r="A3344" s="9">
        <v>46106</v>
      </c>
      <c r="B3344" s="6" t="s">
        <v>5073</v>
      </c>
      <c r="C3344" s="5" t="s">
        <v>5072</v>
      </c>
      <c r="D3344" s="8" t="s">
        <v>306</v>
      </c>
      <c r="E3344" s="6" t="s">
        <v>602</v>
      </c>
      <c r="F3344" s="6" t="s">
        <v>5047</v>
      </c>
      <c r="G3344" s="5">
        <v>1004</v>
      </c>
      <c r="H3344" s="5">
        <f t="shared" si="99"/>
        <v>0.27677447280000012</v>
      </c>
      <c r="I3344" s="20">
        <f t="shared" si="98"/>
        <v>277.88157069120012</v>
      </c>
      <c r="J3344" s="6" t="s">
        <v>357</v>
      </c>
    </row>
    <row r="3345" spans="1:10" hidden="1">
      <c r="A3345" s="9">
        <v>46106</v>
      </c>
      <c r="B3345" s="6" t="s">
        <v>5075</v>
      </c>
      <c r="C3345" s="5" t="s">
        <v>5074</v>
      </c>
      <c r="D3345" s="8" t="s">
        <v>306</v>
      </c>
      <c r="E3345" s="6" t="s">
        <v>602</v>
      </c>
      <c r="F3345" s="6" t="s">
        <v>5076</v>
      </c>
      <c r="G3345" s="5">
        <v>1647</v>
      </c>
      <c r="H3345" s="5">
        <f t="shared" si="99"/>
        <v>0.27677447280000012</v>
      </c>
      <c r="I3345" s="20">
        <f t="shared" si="98"/>
        <v>455.84755670160018</v>
      </c>
      <c r="J3345" s="6" t="s">
        <v>357</v>
      </c>
    </row>
    <row r="3346" spans="1:10" hidden="1">
      <c r="A3346" s="9">
        <v>46106</v>
      </c>
      <c r="B3346" s="6" t="s">
        <v>5078</v>
      </c>
      <c r="C3346" s="5" t="s">
        <v>5077</v>
      </c>
      <c r="D3346" s="8" t="s">
        <v>306</v>
      </c>
      <c r="E3346" s="6" t="s">
        <v>602</v>
      </c>
      <c r="F3346" s="6" t="s">
        <v>5047</v>
      </c>
      <c r="G3346" s="5">
        <v>340</v>
      </c>
      <c r="H3346" s="5">
        <f t="shared" si="99"/>
        <v>0.27677447280000012</v>
      </c>
      <c r="I3346" s="20">
        <f t="shared" si="98"/>
        <v>94.103320752000045</v>
      </c>
      <c r="J3346" s="6" t="s">
        <v>357</v>
      </c>
    </row>
    <row r="3347" spans="1:10" hidden="1">
      <c r="A3347" s="9">
        <v>46106</v>
      </c>
      <c r="B3347" s="6" t="s">
        <v>5080</v>
      </c>
      <c r="C3347" s="5" t="s">
        <v>5079</v>
      </c>
      <c r="D3347" s="8" t="s">
        <v>306</v>
      </c>
      <c r="E3347" s="6" t="s">
        <v>602</v>
      </c>
      <c r="F3347" s="6" t="s">
        <v>5047</v>
      </c>
      <c r="G3347" s="5">
        <v>360</v>
      </c>
      <c r="H3347" s="5">
        <f t="shared" si="99"/>
        <v>0.27677447280000012</v>
      </c>
      <c r="I3347" s="20">
        <f t="shared" si="98"/>
        <v>99.638810208000038</v>
      </c>
      <c r="J3347" s="6" t="s">
        <v>357</v>
      </c>
    </row>
    <row r="3348" spans="1:10" hidden="1">
      <c r="A3348" s="9">
        <v>46106</v>
      </c>
      <c r="B3348" s="6" t="s">
        <v>5081</v>
      </c>
      <c r="C3348" s="5" t="s">
        <v>2726</v>
      </c>
      <c r="D3348" s="8" t="s">
        <v>306</v>
      </c>
      <c r="E3348" s="6" t="s">
        <v>602</v>
      </c>
      <c r="F3348" s="6" t="s">
        <v>5047</v>
      </c>
      <c r="G3348" s="5">
        <v>518.5</v>
      </c>
      <c r="H3348" s="5">
        <f t="shared" si="99"/>
        <v>0.27677447280000012</v>
      </c>
      <c r="I3348" s="20">
        <f t="shared" si="98"/>
        <v>143.50756414680006</v>
      </c>
      <c r="J3348" s="6" t="s">
        <v>357</v>
      </c>
    </row>
    <row r="3349" spans="1:10" hidden="1">
      <c r="A3349" s="9">
        <v>46106</v>
      </c>
      <c r="B3349" s="6" t="s">
        <v>5082</v>
      </c>
      <c r="C3349" s="5" t="s">
        <v>2737</v>
      </c>
      <c r="D3349" s="8" t="s">
        <v>306</v>
      </c>
      <c r="E3349" s="6" t="s">
        <v>602</v>
      </c>
      <c r="F3349" s="6" t="s">
        <v>5047</v>
      </c>
      <c r="G3349" s="5">
        <v>668.5</v>
      </c>
      <c r="H3349" s="5">
        <f t="shared" si="99"/>
        <v>0.27677447280000012</v>
      </c>
      <c r="I3349" s="20">
        <f t="shared" si="98"/>
        <v>185.02373506680007</v>
      </c>
      <c r="J3349" s="6" t="s">
        <v>357</v>
      </c>
    </row>
    <row r="3350" spans="1:10" hidden="1">
      <c r="A3350" s="9">
        <v>46106</v>
      </c>
      <c r="B3350" s="6" t="s">
        <v>5084</v>
      </c>
      <c r="C3350" s="5" t="s">
        <v>5083</v>
      </c>
      <c r="D3350" s="8" t="s">
        <v>306</v>
      </c>
      <c r="E3350" s="6" t="s">
        <v>602</v>
      </c>
      <c r="F3350" s="6" t="s">
        <v>5047</v>
      </c>
      <c r="G3350" s="5">
        <v>1380</v>
      </c>
      <c r="H3350" s="5">
        <f t="shared" si="99"/>
        <v>0.27677447280000012</v>
      </c>
      <c r="I3350" s="20">
        <f t="shared" si="98"/>
        <v>381.94877246400017</v>
      </c>
      <c r="J3350" s="6" t="s">
        <v>357</v>
      </c>
    </row>
    <row r="3351" spans="1:10" hidden="1">
      <c r="A3351" s="9">
        <v>46106</v>
      </c>
      <c r="B3351" s="6" t="s">
        <v>5086</v>
      </c>
      <c r="C3351" s="5" t="s">
        <v>5085</v>
      </c>
      <c r="D3351" s="8" t="s">
        <v>306</v>
      </c>
      <c r="E3351" s="6" t="s">
        <v>602</v>
      </c>
      <c r="F3351" s="6" t="s">
        <v>5047</v>
      </c>
      <c r="G3351" s="5">
        <v>2184</v>
      </c>
      <c r="H3351" s="5">
        <f t="shared" si="99"/>
        <v>0.27677447280000012</v>
      </c>
      <c r="I3351" s="20">
        <f t="shared" si="98"/>
        <v>604.47544859520031</v>
      </c>
      <c r="J3351" s="6" t="s">
        <v>357</v>
      </c>
    </row>
    <row r="3352" spans="1:10" hidden="1">
      <c r="A3352" s="9">
        <v>46106</v>
      </c>
      <c r="B3352" s="6" t="s">
        <v>5661</v>
      </c>
      <c r="C3352" s="5" t="s">
        <v>5087</v>
      </c>
      <c r="D3352" s="8" t="s">
        <v>306</v>
      </c>
      <c r="E3352" s="6" t="s">
        <v>602</v>
      </c>
      <c r="F3352" s="6" t="s">
        <v>5047</v>
      </c>
      <c r="G3352" s="5">
        <v>2307</v>
      </c>
      <c r="H3352" s="5">
        <f t="shared" si="99"/>
        <v>0.27677447280000012</v>
      </c>
      <c r="I3352" s="20">
        <f t="shared" si="98"/>
        <v>638.51870874960025</v>
      </c>
      <c r="J3352" s="6" t="s">
        <v>512</v>
      </c>
    </row>
    <row r="3353" spans="1:10" hidden="1">
      <c r="A3353" s="9">
        <v>46106</v>
      </c>
      <c r="B3353" s="6" t="s">
        <v>5662</v>
      </c>
      <c r="C3353" s="5" t="s">
        <v>5088</v>
      </c>
      <c r="D3353" s="8" t="s">
        <v>306</v>
      </c>
      <c r="E3353" s="6" t="s">
        <v>602</v>
      </c>
      <c r="F3353" s="6" t="s">
        <v>5047</v>
      </c>
      <c r="G3353" s="5">
        <v>2606.5</v>
      </c>
      <c r="H3353" s="5">
        <f t="shared" si="99"/>
        <v>0.27677447280000012</v>
      </c>
      <c r="I3353" s="20">
        <f t="shared" si="98"/>
        <v>721.41266335320029</v>
      </c>
      <c r="J3353" s="6" t="s">
        <v>357</v>
      </c>
    </row>
    <row r="3354" spans="1:10" hidden="1">
      <c r="A3354" s="9">
        <v>46106</v>
      </c>
      <c r="B3354" s="6" t="s">
        <v>5631</v>
      </c>
      <c r="C3354" s="5" t="s">
        <v>5089</v>
      </c>
      <c r="D3354" s="8" t="s">
        <v>306</v>
      </c>
      <c r="E3354" s="6" t="s">
        <v>602</v>
      </c>
      <c r="F3354" s="6" t="s">
        <v>6437</v>
      </c>
      <c r="G3354" s="21">
        <v>101.5</v>
      </c>
      <c r="H3354" s="5">
        <f t="shared" si="99"/>
        <v>0.27677447280000012</v>
      </c>
      <c r="I3354" s="20">
        <f t="shared" si="98"/>
        <v>28.092608989200013</v>
      </c>
      <c r="J3354" s="6" t="s">
        <v>357</v>
      </c>
    </row>
    <row r="3355" spans="1:10" hidden="1">
      <c r="A3355" s="9">
        <v>46106</v>
      </c>
      <c r="B3355" s="6" t="s">
        <v>5632</v>
      </c>
      <c r="C3355" s="5" t="s">
        <v>326</v>
      </c>
      <c r="D3355" s="8" t="s">
        <v>306</v>
      </c>
      <c r="E3355" s="6" t="s">
        <v>602</v>
      </c>
      <c r="F3355" s="6" t="s">
        <v>6437</v>
      </c>
      <c r="G3355" s="21">
        <v>101.5</v>
      </c>
      <c r="H3355" s="5">
        <f t="shared" si="99"/>
        <v>0.27677447280000012</v>
      </c>
      <c r="I3355" s="20">
        <f t="shared" si="98"/>
        <v>28.092608989200013</v>
      </c>
      <c r="J3355" s="6" t="s">
        <v>357</v>
      </c>
    </row>
    <row r="3356" spans="1:10" hidden="1">
      <c r="A3356" s="9">
        <v>46106</v>
      </c>
      <c r="B3356" s="6" t="s">
        <v>5633</v>
      </c>
      <c r="C3356" s="5" t="s">
        <v>1696</v>
      </c>
      <c r="D3356" s="8" t="s">
        <v>306</v>
      </c>
      <c r="E3356" s="6" t="s">
        <v>602</v>
      </c>
      <c r="F3356" s="6" t="s">
        <v>6437</v>
      </c>
      <c r="G3356" s="5">
        <v>1731.5</v>
      </c>
      <c r="H3356" s="5">
        <f t="shared" si="99"/>
        <v>0.27677447280000012</v>
      </c>
      <c r="I3356" s="20">
        <f t="shared" si="98"/>
        <v>479.23499965320019</v>
      </c>
      <c r="J3356" s="6" t="s">
        <v>357</v>
      </c>
    </row>
    <row r="3357" spans="1:10" hidden="1">
      <c r="A3357" s="9">
        <v>46106</v>
      </c>
      <c r="B3357" s="6" t="s">
        <v>5634</v>
      </c>
      <c r="C3357" s="5" t="s">
        <v>1694</v>
      </c>
      <c r="D3357" s="8" t="s">
        <v>306</v>
      </c>
      <c r="E3357" s="6" t="s">
        <v>602</v>
      </c>
      <c r="F3357" s="6" t="s">
        <v>6437</v>
      </c>
      <c r="G3357" s="5">
        <v>135.5</v>
      </c>
      <c r="H3357" s="5">
        <f t="shared" si="99"/>
        <v>0.27677447280000012</v>
      </c>
      <c r="I3357" s="20">
        <f t="shared" si="98"/>
        <v>37.502941064400012</v>
      </c>
      <c r="J3357" s="6" t="s">
        <v>357</v>
      </c>
    </row>
    <row r="3358" spans="1:10" hidden="1">
      <c r="A3358" s="9">
        <v>46106</v>
      </c>
      <c r="B3358" s="6" t="s">
        <v>5635</v>
      </c>
      <c r="C3358" s="5" t="s">
        <v>1698</v>
      </c>
      <c r="D3358" s="8" t="s">
        <v>306</v>
      </c>
      <c r="E3358" s="6" t="s">
        <v>602</v>
      </c>
      <c r="F3358" s="6" t="s">
        <v>6437</v>
      </c>
      <c r="G3358" s="5">
        <v>2131</v>
      </c>
      <c r="H3358" s="5">
        <f t="shared" si="99"/>
        <v>0.27677447280000012</v>
      </c>
      <c r="I3358" s="20">
        <f t="shared" si="98"/>
        <v>589.80640153680019</v>
      </c>
      <c r="J3358" s="6" t="s">
        <v>357</v>
      </c>
    </row>
    <row r="3359" spans="1:10" hidden="1">
      <c r="A3359" s="9">
        <v>46106</v>
      </c>
      <c r="B3359" s="6" t="s">
        <v>5636</v>
      </c>
      <c r="C3359" s="5" t="s">
        <v>1700</v>
      </c>
      <c r="D3359" s="8" t="s">
        <v>306</v>
      </c>
      <c r="E3359" s="6" t="s">
        <v>602</v>
      </c>
      <c r="F3359" s="6" t="s">
        <v>6437</v>
      </c>
      <c r="G3359" s="5">
        <v>159</v>
      </c>
      <c r="H3359" s="5">
        <f t="shared" ref="H3359:H3387" si="100">0.9*0.8*0.7*0.93*(0.9*0.9*0.9*0.9*0.9)</f>
        <v>0.27677447280000012</v>
      </c>
      <c r="I3359" s="20">
        <f t="shared" si="98"/>
        <v>44.007141175200019</v>
      </c>
      <c r="J3359" s="6" t="s">
        <v>357</v>
      </c>
    </row>
    <row r="3360" spans="1:10" hidden="1">
      <c r="A3360" s="9">
        <v>46106</v>
      </c>
      <c r="B3360" s="6" t="s">
        <v>5637</v>
      </c>
      <c r="C3360" s="5" t="s">
        <v>5090</v>
      </c>
      <c r="D3360" s="8" t="s">
        <v>306</v>
      </c>
      <c r="E3360" s="6" t="s">
        <v>602</v>
      </c>
      <c r="F3360" s="6" t="s">
        <v>6437</v>
      </c>
      <c r="G3360" s="5">
        <v>4441.5</v>
      </c>
      <c r="H3360" s="5">
        <f t="shared" si="100"/>
        <v>0.27677447280000012</v>
      </c>
      <c r="I3360" s="20">
        <f t="shared" si="98"/>
        <v>1229.2938209412005</v>
      </c>
      <c r="J3360" s="6" t="s">
        <v>357</v>
      </c>
    </row>
    <row r="3361" spans="1:10" hidden="1">
      <c r="A3361" s="9">
        <v>46106</v>
      </c>
      <c r="B3361" s="6" t="s">
        <v>5638</v>
      </c>
      <c r="C3361" s="5" t="s">
        <v>5091</v>
      </c>
      <c r="D3361" s="8" t="s">
        <v>306</v>
      </c>
      <c r="E3361" s="6" t="s">
        <v>602</v>
      </c>
      <c r="F3361" s="6" t="s">
        <v>6437</v>
      </c>
      <c r="G3361" s="5">
        <v>5099.5</v>
      </c>
      <c r="H3361" s="5">
        <f t="shared" si="100"/>
        <v>0.27677447280000012</v>
      </c>
      <c r="I3361" s="20">
        <f t="shared" si="98"/>
        <v>1411.4114240436006</v>
      </c>
      <c r="J3361" s="6" t="s">
        <v>357</v>
      </c>
    </row>
    <row r="3362" spans="1:10" hidden="1">
      <c r="A3362" s="9">
        <v>46106</v>
      </c>
      <c r="B3362" s="6" t="s">
        <v>5639</v>
      </c>
      <c r="C3362" s="5" t="s">
        <v>1706</v>
      </c>
      <c r="D3362" s="8" t="s">
        <v>306</v>
      </c>
      <c r="E3362" s="6" t="s">
        <v>602</v>
      </c>
      <c r="F3362" s="6" t="s">
        <v>6437</v>
      </c>
      <c r="G3362" s="5">
        <v>204</v>
      </c>
      <c r="H3362" s="5">
        <f t="shared" si="100"/>
        <v>0.27677447280000012</v>
      </c>
      <c r="I3362" s="20">
        <f t="shared" si="98"/>
        <v>56.461992451200025</v>
      </c>
      <c r="J3362" s="6" t="s">
        <v>357</v>
      </c>
    </row>
    <row r="3363" spans="1:10" hidden="1">
      <c r="A3363" s="9">
        <v>46106</v>
      </c>
      <c r="B3363" s="6" t="s">
        <v>5640</v>
      </c>
      <c r="C3363" s="5" t="s">
        <v>2424</v>
      </c>
      <c r="D3363" s="8" t="s">
        <v>306</v>
      </c>
      <c r="E3363" s="6" t="s">
        <v>602</v>
      </c>
      <c r="F3363" s="6" t="s">
        <v>6437</v>
      </c>
      <c r="G3363" s="5">
        <v>6688.5</v>
      </c>
      <c r="H3363" s="5">
        <f t="shared" si="100"/>
        <v>0.27677447280000012</v>
      </c>
      <c r="I3363" s="20">
        <f t="shared" si="98"/>
        <v>1851.2060613228007</v>
      </c>
      <c r="J3363" s="6" t="s">
        <v>357</v>
      </c>
    </row>
    <row r="3364" spans="1:10" hidden="1">
      <c r="A3364" s="9">
        <v>46106</v>
      </c>
      <c r="B3364" s="6" t="s">
        <v>5642</v>
      </c>
      <c r="C3364" s="5" t="s">
        <v>1710</v>
      </c>
      <c r="D3364" s="8" t="s">
        <v>306</v>
      </c>
      <c r="E3364" s="6" t="s">
        <v>602</v>
      </c>
      <c r="F3364" s="6" t="s">
        <v>6437</v>
      </c>
      <c r="G3364" s="5">
        <v>308.5</v>
      </c>
      <c r="H3364" s="5">
        <f t="shared" si="100"/>
        <v>0.27677447280000012</v>
      </c>
      <c r="I3364" s="20">
        <f t="shared" si="98"/>
        <v>85.384924858800034</v>
      </c>
      <c r="J3364" s="6" t="s">
        <v>357</v>
      </c>
    </row>
    <row r="3365" spans="1:10" hidden="1">
      <c r="A3365" s="9">
        <v>46106</v>
      </c>
      <c r="B3365" s="6" t="s">
        <v>5641</v>
      </c>
      <c r="C3365" s="5" t="s">
        <v>5092</v>
      </c>
      <c r="D3365" s="8" t="s">
        <v>306</v>
      </c>
      <c r="E3365" s="6" t="s">
        <v>602</v>
      </c>
      <c r="F3365" s="6" t="s">
        <v>6437</v>
      </c>
      <c r="G3365" s="5">
        <v>452</v>
      </c>
      <c r="H3365" s="5">
        <f t="shared" si="100"/>
        <v>0.27677447280000012</v>
      </c>
      <c r="I3365" s="20">
        <f t="shared" si="98"/>
        <v>125.10206170560005</v>
      </c>
      <c r="J3365" s="6" t="s">
        <v>357</v>
      </c>
    </row>
    <row r="3366" spans="1:10" hidden="1">
      <c r="A3366" s="9">
        <v>46106</v>
      </c>
      <c r="B3366" s="6" t="s">
        <v>5646</v>
      </c>
      <c r="C3366" s="5" t="s">
        <v>308</v>
      </c>
      <c r="D3366" s="8" t="s">
        <v>306</v>
      </c>
      <c r="E3366" s="6" t="s">
        <v>602</v>
      </c>
      <c r="F3366" s="6" t="s">
        <v>6437</v>
      </c>
      <c r="G3366" s="5">
        <v>481</v>
      </c>
      <c r="H3366" s="5">
        <f t="shared" si="100"/>
        <v>0.27677447280000012</v>
      </c>
      <c r="I3366" s="20">
        <f t="shared" si="98"/>
        <v>133.12852141680006</v>
      </c>
      <c r="J3366" s="6" t="s">
        <v>357</v>
      </c>
    </row>
    <row r="3367" spans="1:10" hidden="1">
      <c r="A3367" s="9">
        <v>46106</v>
      </c>
      <c r="B3367" s="6" t="s">
        <v>5647</v>
      </c>
      <c r="C3367" s="5" t="s">
        <v>1716</v>
      </c>
      <c r="D3367" s="8" t="s">
        <v>306</v>
      </c>
      <c r="E3367" s="6" t="s">
        <v>602</v>
      </c>
      <c r="F3367" s="6" t="s">
        <v>6437</v>
      </c>
      <c r="G3367" s="5">
        <v>595.5</v>
      </c>
      <c r="H3367" s="5">
        <f t="shared" si="100"/>
        <v>0.27677447280000012</v>
      </c>
      <c r="I3367" s="20">
        <f t="shared" si="98"/>
        <v>164.81919855240008</v>
      </c>
      <c r="J3367" s="6" t="s">
        <v>357</v>
      </c>
    </row>
    <row r="3368" spans="1:10" hidden="1">
      <c r="A3368" s="9">
        <v>46106</v>
      </c>
      <c r="B3368" s="6" t="s">
        <v>5093</v>
      </c>
      <c r="C3368" s="5" t="s">
        <v>1720</v>
      </c>
      <c r="D3368" s="8" t="s">
        <v>306</v>
      </c>
      <c r="E3368" s="6" t="s">
        <v>602</v>
      </c>
      <c r="F3368" s="6" t="s">
        <v>6437</v>
      </c>
      <c r="G3368" s="5">
        <v>22165.5</v>
      </c>
      <c r="H3368" s="5">
        <f t="shared" si="100"/>
        <v>0.27677447280000012</v>
      </c>
      <c r="I3368" s="20">
        <f t="shared" si="98"/>
        <v>6134.8445768484025</v>
      </c>
      <c r="J3368" s="6" t="s">
        <v>357</v>
      </c>
    </row>
    <row r="3369" spans="1:10" hidden="1">
      <c r="A3369" s="9">
        <v>46106</v>
      </c>
      <c r="B3369" s="6" t="s">
        <v>5648</v>
      </c>
      <c r="C3369" s="5" t="s">
        <v>1722</v>
      </c>
      <c r="D3369" s="8" t="s">
        <v>306</v>
      </c>
      <c r="E3369" s="6" t="s">
        <v>602</v>
      </c>
      <c r="F3369" s="6" t="s">
        <v>6437</v>
      </c>
      <c r="G3369" s="5">
        <v>679.5</v>
      </c>
      <c r="H3369" s="5">
        <f t="shared" si="100"/>
        <v>0.27677447280000012</v>
      </c>
      <c r="I3369" s="20">
        <f t="shared" si="98"/>
        <v>188.06825426760008</v>
      </c>
      <c r="J3369" s="6" t="s">
        <v>357</v>
      </c>
    </row>
    <row r="3370" spans="1:10" hidden="1">
      <c r="A3370" s="9">
        <v>46106</v>
      </c>
      <c r="B3370" s="6" t="s">
        <v>5663</v>
      </c>
      <c r="C3370" s="5" t="s">
        <v>2434</v>
      </c>
      <c r="D3370" s="8" t="s">
        <v>306</v>
      </c>
      <c r="E3370" s="6" t="s">
        <v>602</v>
      </c>
      <c r="F3370" s="6" t="s">
        <v>6437</v>
      </c>
      <c r="G3370" s="5">
        <v>922</v>
      </c>
      <c r="H3370" s="5">
        <f t="shared" si="100"/>
        <v>0.27677447280000012</v>
      </c>
      <c r="I3370" s="20">
        <f t="shared" si="98"/>
        <v>255.18606392160009</v>
      </c>
      <c r="J3370" s="6" t="s">
        <v>357</v>
      </c>
    </row>
    <row r="3371" spans="1:10" hidden="1">
      <c r="A3371" s="9">
        <v>46106</v>
      </c>
      <c r="B3371" s="6" t="s">
        <v>5664</v>
      </c>
      <c r="C3371" s="5" t="s">
        <v>5064</v>
      </c>
      <c r="D3371" s="8" t="s">
        <v>306</v>
      </c>
      <c r="E3371" s="6" t="s">
        <v>602</v>
      </c>
      <c r="F3371" s="6" t="s">
        <v>6437</v>
      </c>
      <c r="G3371" s="5">
        <v>1346</v>
      </c>
      <c r="H3371" s="5">
        <f t="shared" si="100"/>
        <v>0.27677447280000012</v>
      </c>
      <c r="I3371" s="20">
        <f t="shared" si="98"/>
        <v>372.53844038880015</v>
      </c>
      <c r="J3371" s="6" t="s">
        <v>357</v>
      </c>
    </row>
    <row r="3372" spans="1:10" hidden="1">
      <c r="A3372" s="9">
        <v>46106</v>
      </c>
      <c r="B3372" s="6" t="s">
        <v>5666</v>
      </c>
      <c r="C3372" s="5" t="s">
        <v>5668</v>
      </c>
      <c r="D3372" s="8" t="s">
        <v>306</v>
      </c>
      <c r="E3372" s="6" t="s">
        <v>602</v>
      </c>
      <c r="F3372" s="6" t="s">
        <v>5094</v>
      </c>
      <c r="G3372" s="5">
        <v>68200</v>
      </c>
      <c r="H3372" s="5">
        <f t="shared" si="100"/>
        <v>0.27677447280000012</v>
      </c>
      <c r="I3372" s="20">
        <f t="shared" si="98"/>
        <v>18876.019044960009</v>
      </c>
      <c r="J3372" s="6" t="s">
        <v>357</v>
      </c>
    </row>
    <row r="3373" spans="1:10" hidden="1">
      <c r="A3373" s="9">
        <v>46106</v>
      </c>
      <c r="B3373" s="6" t="s">
        <v>5669</v>
      </c>
      <c r="C3373" s="5" t="s">
        <v>5095</v>
      </c>
      <c r="D3373" s="8" t="s">
        <v>306</v>
      </c>
      <c r="E3373" s="6" t="s">
        <v>602</v>
      </c>
      <c r="F3373" s="6" t="s">
        <v>5097</v>
      </c>
      <c r="G3373" s="5">
        <v>6444.5</v>
      </c>
      <c r="H3373" s="5">
        <f t="shared" si="100"/>
        <v>0.27677447280000012</v>
      </c>
      <c r="I3373" s="20">
        <f t="shared" si="98"/>
        <v>1783.6730899596007</v>
      </c>
      <c r="J3373" s="6" t="s">
        <v>357</v>
      </c>
    </row>
    <row r="3374" spans="1:10" hidden="1">
      <c r="A3374" s="9">
        <v>46106</v>
      </c>
      <c r="B3374" s="6" t="s">
        <v>5670</v>
      </c>
      <c r="C3374" s="5" t="s">
        <v>5673</v>
      </c>
      <c r="D3374" s="8" t="s">
        <v>306</v>
      </c>
      <c r="E3374" s="6" t="s">
        <v>602</v>
      </c>
      <c r="F3374" s="6" t="s">
        <v>5097</v>
      </c>
      <c r="G3374" s="5">
        <v>5460.5</v>
      </c>
      <c r="H3374" s="5">
        <f t="shared" si="100"/>
        <v>0.27677447280000012</v>
      </c>
      <c r="I3374" s="20">
        <f t="shared" si="98"/>
        <v>1511.3270087244007</v>
      </c>
      <c r="J3374" s="6" t="s">
        <v>357</v>
      </c>
    </row>
    <row r="3375" spans="1:10" hidden="1">
      <c r="A3375" s="9">
        <v>46106</v>
      </c>
      <c r="B3375" s="6" t="s">
        <v>5671</v>
      </c>
      <c r="C3375" s="5" t="s">
        <v>606</v>
      </c>
      <c r="D3375" s="8" t="s">
        <v>306</v>
      </c>
      <c r="E3375" s="6" t="s">
        <v>602</v>
      </c>
      <c r="F3375" s="6" t="s">
        <v>5097</v>
      </c>
      <c r="G3375" s="5">
        <v>6983.5</v>
      </c>
      <c r="H3375" s="5">
        <f t="shared" si="100"/>
        <v>0.27677447280000012</v>
      </c>
      <c r="I3375" s="20">
        <f t="shared" si="98"/>
        <v>1932.8545307988009</v>
      </c>
      <c r="J3375" s="6" t="s">
        <v>357</v>
      </c>
    </row>
    <row r="3376" spans="1:10" hidden="1">
      <c r="A3376" s="9">
        <v>46106</v>
      </c>
      <c r="B3376" s="6" t="s">
        <v>5672</v>
      </c>
      <c r="C3376" s="5" t="s">
        <v>5674</v>
      </c>
      <c r="D3376" s="8" t="s">
        <v>306</v>
      </c>
      <c r="E3376" s="6" t="s">
        <v>602</v>
      </c>
      <c r="F3376" s="6" t="s">
        <v>5097</v>
      </c>
      <c r="G3376" s="5">
        <v>8577.5</v>
      </c>
      <c r="H3376" s="5">
        <f t="shared" si="100"/>
        <v>0.27677447280000012</v>
      </c>
      <c r="I3376" s="20">
        <f t="shared" si="98"/>
        <v>2374.033040442001</v>
      </c>
      <c r="J3376" s="6" t="s">
        <v>357</v>
      </c>
    </row>
    <row r="3377" spans="1:10" hidden="1">
      <c r="A3377" s="9">
        <v>46106</v>
      </c>
      <c r="B3377" s="6" t="s">
        <v>5665</v>
      </c>
      <c r="C3377" s="5" t="s">
        <v>5675</v>
      </c>
      <c r="D3377" s="8" t="s">
        <v>306</v>
      </c>
      <c r="E3377" s="6" t="s">
        <v>602</v>
      </c>
      <c r="F3377" s="6" t="s">
        <v>5097</v>
      </c>
      <c r="G3377" s="5">
        <v>7268.5</v>
      </c>
      <c r="H3377" s="5">
        <f t="shared" si="100"/>
        <v>0.27677447280000012</v>
      </c>
      <c r="I3377" s="20">
        <f t="shared" si="98"/>
        <v>2011.7352555468008</v>
      </c>
      <c r="J3377" s="6" t="s">
        <v>357</v>
      </c>
    </row>
    <row r="3378" spans="1:10" hidden="1">
      <c r="A3378" s="9">
        <v>46106</v>
      </c>
      <c r="B3378" s="6" t="s">
        <v>5676</v>
      </c>
      <c r="C3378" s="5" t="s">
        <v>2729</v>
      </c>
      <c r="D3378" s="8" t="s">
        <v>306</v>
      </c>
      <c r="E3378" s="6" t="s">
        <v>602</v>
      </c>
      <c r="F3378" s="6" t="s">
        <v>5097</v>
      </c>
      <c r="G3378" s="5">
        <v>11491</v>
      </c>
      <c r="H3378" s="5">
        <f t="shared" si="100"/>
        <v>0.27677447280000012</v>
      </c>
      <c r="I3378" s="20">
        <f t="shared" si="98"/>
        <v>3180.4154669448012</v>
      </c>
      <c r="J3378" s="6" t="s">
        <v>357</v>
      </c>
    </row>
    <row r="3379" spans="1:10" hidden="1">
      <c r="A3379" s="9">
        <v>46106</v>
      </c>
      <c r="B3379" s="6" t="s">
        <v>5678</v>
      </c>
      <c r="C3379" s="5" t="s">
        <v>5677</v>
      </c>
      <c r="D3379" s="8" t="s">
        <v>306</v>
      </c>
      <c r="E3379" s="6" t="s">
        <v>602</v>
      </c>
      <c r="F3379" s="6" t="s">
        <v>5097</v>
      </c>
      <c r="G3379" s="5">
        <v>9737.5</v>
      </c>
      <c r="H3379" s="5">
        <f t="shared" si="100"/>
        <v>0.27677447280000012</v>
      </c>
      <c r="I3379" s="20">
        <f t="shared" si="98"/>
        <v>2695.0914288900012</v>
      </c>
      <c r="J3379" s="6" t="s">
        <v>357</v>
      </c>
    </row>
    <row r="3380" spans="1:10" hidden="1">
      <c r="A3380" s="9">
        <v>46106</v>
      </c>
      <c r="B3380" s="6" t="s">
        <v>5679</v>
      </c>
      <c r="C3380" s="5" t="s">
        <v>5680</v>
      </c>
      <c r="D3380" s="8" t="s">
        <v>306</v>
      </c>
      <c r="E3380" s="6" t="s">
        <v>602</v>
      </c>
      <c r="F3380" s="6" t="s">
        <v>5097</v>
      </c>
      <c r="G3380" s="5">
        <v>14218</v>
      </c>
      <c r="H3380" s="5">
        <f t="shared" si="100"/>
        <v>0.27677447280000012</v>
      </c>
      <c r="I3380" s="20">
        <f t="shared" si="98"/>
        <v>3935.1794542704015</v>
      </c>
      <c r="J3380" s="6" t="s">
        <v>357</v>
      </c>
    </row>
    <row r="3381" spans="1:10" hidden="1">
      <c r="A3381" s="9">
        <v>46106</v>
      </c>
      <c r="B3381" s="6" t="s">
        <v>5681</v>
      </c>
      <c r="C3381" s="5" t="s">
        <v>5682</v>
      </c>
      <c r="D3381" s="8" t="s">
        <v>306</v>
      </c>
      <c r="E3381" s="6" t="s">
        <v>602</v>
      </c>
      <c r="F3381" s="6" t="s">
        <v>5097</v>
      </c>
      <c r="G3381" s="5">
        <v>15714</v>
      </c>
      <c r="H3381" s="5">
        <f t="shared" si="100"/>
        <v>0.27677447280000012</v>
      </c>
      <c r="I3381" s="20">
        <f t="shared" si="98"/>
        <v>4349.2340655792023</v>
      </c>
      <c r="J3381" s="6" t="s">
        <v>357</v>
      </c>
    </row>
    <row r="3382" spans="1:10" hidden="1">
      <c r="A3382" s="9">
        <v>46106</v>
      </c>
      <c r="B3382" s="6" t="s">
        <v>5683</v>
      </c>
      <c r="C3382" s="5" t="s">
        <v>5685</v>
      </c>
      <c r="D3382" s="8" t="s">
        <v>306</v>
      </c>
      <c r="E3382" s="6" t="s">
        <v>602</v>
      </c>
      <c r="F3382" s="6" t="s">
        <v>5094</v>
      </c>
      <c r="G3382" s="5">
        <v>13316.5</v>
      </c>
      <c r="H3382" s="5">
        <f t="shared" si="100"/>
        <v>0.27677447280000012</v>
      </c>
      <c r="I3382" s="20">
        <f t="shared" si="98"/>
        <v>3685.6672670412017</v>
      </c>
      <c r="J3382" s="6" t="s">
        <v>357</v>
      </c>
    </row>
    <row r="3383" spans="1:10" hidden="1">
      <c r="A3383" s="9">
        <v>46106</v>
      </c>
      <c r="B3383" s="6" t="s">
        <v>5684</v>
      </c>
      <c r="C3383" s="5" t="s">
        <v>5686</v>
      </c>
      <c r="D3383" s="8" t="s">
        <v>306</v>
      </c>
      <c r="E3383" s="6" t="s">
        <v>602</v>
      </c>
      <c r="F3383" s="6" t="s">
        <v>5094</v>
      </c>
      <c r="G3383" s="5">
        <v>14580</v>
      </c>
      <c r="H3383" s="5">
        <f t="shared" si="100"/>
        <v>0.27677447280000012</v>
      </c>
      <c r="I3383" s="20">
        <f t="shared" si="98"/>
        <v>4035.3718134240016</v>
      </c>
      <c r="J3383" s="6" t="s">
        <v>357</v>
      </c>
    </row>
    <row r="3384" spans="1:10" hidden="1">
      <c r="A3384" s="9">
        <v>46106</v>
      </c>
      <c r="B3384" s="6" t="s">
        <v>5687</v>
      </c>
      <c r="C3384" s="5" t="s">
        <v>5688</v>
      </c>
      <c r="D3384" s="8" t="s">
        <v>306</v>
      </c>
      <c r="E3384" s="6" t="s">
        <v>602</v>
      </c>
      <c r="F3384" s="6" t="s">
        <v>5094</v>
      </c>
      <c r="G3384" s="5">
        <v>16767</v>
      </c>
      <c r="H3384" s="5">
        <f t="shared" si="100"/>
        <v>0.27677447280000012</v>
      </c>
      <c r="I3384" s="20">
        <f t="shared" ref="I3384:I3446" si="101">H3384*G3384</f>
        <v>4640.6775854376019</v>
      </c>
      <c r="J3384" s="6" t="s">
        <v>357</v>
      </c>
    </row>
    <row r="3385" spans="1:10" hidden="1">
      <c r="A3385" s="9">
        <v>46106</v>
      </c>
      <c r="B3385" s="6" t="s">
        <v>5667</v>
      </c>
      <c r="C3385" s="5" t="s">
        <v>5096</v>
      </c>
      <c r="D3385" s="8" t="s">
        <v>306</v>
      </c>
      <c r="E3385" s="6" t="s">
        <v>602</v>
      </c>
      <c r="F3385" s="6" t="s">
        <v>5094</v>
      </c>
      <c r="G3385" s="5">
        <v>23744</v>
      </c>
      <c r="H3385" s="5">
        <f t="shared" si="100"/>
        <v>0.27677447280000012</v>
      </c>
      <c r="I3385" s="20">
        <f t="shared" si="101"/>
        <v>6571.7330821632031</v>
      </c>
      <c r="J3385" s="6" t="s">
        <v>357</v>
      </c>
    </row>
    <row r="3386" spans="1:10" hidden="1">
      <c r="A3386" s="9">
        <v>46106</v>
      </c>
      <c r="B3386" s="216" t="s">
        <v>7539</v>
      </c>
      <c r="C3386" s="5" t="s">
        <v>7536</v>
      </c>
      <c r="D3386" s="8" t="s">
        <v>306</v>
      </c>
      <c r="E3386" s="25" t="s">
        <v>602</v>
      </c>
      <c r="F3386" s="25" t="s">
        <v>7537</v>
      </c>
      <c r="G3386" s="31">
        <v>435.5</v>
      </c>
      <c r="H3386" s="5">
        <f t="shared" si="100"/>
        <v>0.27677447280000012</v>
      </c>
      <c r="I3386" s="20">
        <f t="shared" si="101"/>
        <v>120.53528290440005</v>
      </c>
      <c r="J3386" s="6" t="s">
        <v>357</v>
      </c>
    </row>
    <row r="3387" spans="1:10" hidden="1">
      <c r="A3387" s="9">
        <v>46106</v>
      </c>
      <c r="B3387" s="216" t="s">
        <v>7540</v>
      </c>
      <c r="C3387" s="5" t="s">
        <v>7538</v>
      </c>
      <c r="D3387" s="8" t="s">
        <v>306</v>
      </c>
      <c r="E3387" s="25" t="s">
        <v>602</v>
      </c>
      <c r="F3387" s="25" t="s">
        <v>7537</v>
      </c>
      <c r="G3387" s="31">
        <v>506</v>
      </c>
      <c r="H3387" s="5">
        <f t="shared" si="100"/>
        <v>0.27677447280000012</v>
      </c>
      <c r="I3387" s="20">
        <f t="shared" si="101"/>
        <v>140.04788323680006</v>
      </c>
      <c r="J3387" s="6" t="s">
        <v>357</v>
      </c>
    </row>
    <row r="3388" spans="1:10" hidden="1">
      <c r="A3388" s="9">
        <v>46106</v>
      </c>
      <c r="B3388" s="6" t="s">
        <v>5099</v>
      </c>
      <c r="C3388" s="5" t="s">
        <v>5098</v>
      </c>
      <c r="D3388" s="8" t="s">
        <v>306</v>
      </c>
      <c r="E3388" s="6" t="s">
        <v>1247</v>
      </c>
      <c r="F3388" s="33" t="s">
        <v>5047</v>
      </c>
      <c r="G3388" s="5">
        <v>240.5</v>
      </c>
      <c r="H3388" s="5">
        <f t="shared" ref="H3388:H3430" si="102">0.9*0.8*0.7*0.93*(0.9*0.9*0.9*0.9*0.9)</f>
        <v>0.27677447280000012</v>
      </c>
      <c r="I3388" s="20">
        <f t="shared" si="101"/>
        <v>66.564260708400028</v>
      </c>
      <c r="J3388" s="6" t="s">
        <v>357</v>
      </c>
    </row>
    <row r="3389" spans="1:10" hidden="1">
      <c r="A3389" s="9">
        <v>46106</v>
      </c>
      <c r="B3389" s="6" t="s">
        <v>5101</v>
      </c>
      <c r="C3389" s="5" t="s">
        <v>5100</v>
      </c>
      <c r="D3389" s="8" t="s">
        <v>306</v>
      </c>
      <c r="E3389" s="6" t="s">
        <v>1247</v>
      </c>
      <c r="F3389" s="33" t="s">
        <v>5047</v>
      </c>
      <c r="G3389" s="5">
        <v>287</v>
      </c>
      <c r="H3389" s="5">
        <f t="shared" si="102"/>
        <v>0.27677447280000012</v>
      </c>
      <c r="I3389" s="20">
        <f t="shared" si="101"/>
        <v>79.434273693600034</v>
      </c>
      <c r="J3389" s="6" t="s">
        <v>357</v>
      </c>
    </row>
    <row r="3390" spans="1:10" hidden="1">
      <c r="A3390" s="9">
        <v>46106</v>
      </c>
      <c r="B3390" s="6" t="s">
        <v>5103</v>
      </c>
      <c r="C3390" s="5" t="s">
        <v>5102</v>
      </c>
      <c r="D3390" s="8" t="s">
        <v>306</v>
      </c>
      <c r="E3390" s="6" t="s">
        <v>1247</v>
      </c>
      <c r="F3390" s="6" t="s">
        <v>5047</v>
      </c>
      <c r="G3390" s="5">
        <v>362.5</v>
      </c>
      <c r="H3390" s="5">
        <f t="shared" si="102"/>
        <v>0.27677447280000012</v>
      </c>
      <c r="I3390" s="20">
        <f t="shared" si="101"/>
        <v>100.33074639000004</v>
      </c>
      <c r="J3390" s="6" t="s">
        <v>357</v>
      </c>
    </row>
    <row r="3391" spans="1:10" hidden="1">
      <c r="A3391" s="9">
        <v>46106</v>
      </c>
      <c r="B3391" s="6" t="s">
        <v>5105</v>
      </c>
      <c r="C3391" s="5" t="s">
        <v>5104</v>
      </c>
      <c r="D3391" s="8" t="s">
        <v>306</v>
      </c>
      <c r="E3391" s="6" t="s">
        <v>1247</v>
      </c>
      <c r="F3391" s="6" t="s">
        <v>5076</v>
      </c>
      <c r="G3391" s="5">
        <v>1119.5</v>
      </c>
      <c r="H3391" s="5">
        <f t="shared" si="102"/>
        <v>0.27677447280000012</v>
      </c>
      <c r="I3391" s="20">
        <f t="shared" si="101"/>
        <v>309.84902229960011</v>
      </c>
      <c r="J3391" s="6" t="s">
        <v>357</v>
      </c>
    </row>
    <row r="3392" spans="1:10" hidden="1">
      <c r="A3392" s="9">
        <v>46106</v>
      </c>
      <c r="B3392" s="6" t="s">
        <v>5107</v>
      </c>
      <c r="C3392" s="5" t="s">
        <v>5106</v>
      </c>
      <c r="D3392" s="8" t="s">
        <v>306</v>
      </c>
      <c r="E3392" s="6" t="s">
        <v>1247</v>
      </c>
      <c r="F3392" s="6" t="s">
        <v>5076</v>
      </c>
      <c r="G3392" s="5">
        <v>475.5</v>
      </c>
      <c r="H3392" s="5">
        <f t="shared" si="102"/>
        <v>0.27677447280000012</v>
      </c>
      <c r="I3392" s="20">
        <f t="shared" si="101"/>
        <v>131.60626181640006</v>
      </c>
      <c r="J3392" s="6" t="s">
        <v>357</v>
      </c>
    </row>
    <row r="3393" spans="1:10" hidden="1">
      <c r="A3393" s="9">
        <v>46106</v>
      </c>
      <c r="B3393" s="6" t="s">
        <v>5109</v>
      </c>
      <c r="C3393" s="5" t="s">
        <v>5108</v>
      </c>
      <c r="D3393" s="8" t="s">
        <v>306</v>
      </c>
      <c r="E3393" s="6" t="s">
        <v>1247</v>
      </c>
      <c r="F3393" s="6" t="s">
        <v>5047</v>
      </c>
      <c r="G3393" s="5">
        <v>790.5</v>
      </c>
      <c r="H3393" s="5">
        <f t="shared" si="102"/>
        <v>0.27677447280000012</v>
      </c>
      <c r="I3393" s="20">
        <f t="shared" si="101"/>
        <v>218.79022074840009</v>
      </c>
      <c r="J3393" s="6" t="s">
        <v>357</v>
      </c>
    </row>
    <row r="3394" spans="1:10" hidden="1">
      <c r="A3394" s="9">
        <v>46106</v>
      </c>
      <c r="B3394" s="6" t="s">
        <v>5111</v>
      </c>
      <c r="C3394" s="5" t="s">
        <v>5110</v>
      </c>
      <c r="D3394" s="8" t="s">
        <v>306</v>
      </c>
      <c r="E3394" s="6" t="s">
        <v>1247</v>
      </c>
      <c r="F3394" s="6" t="s">
        <v>5076</v>
      </c>
      <c r="G3394" s="5">
        <v>812</v>
      </c>
      <c r="H3394" s="5">
        <f t="shared" si="102"/>
        <v>0.27677447280000012</v>
      </c>
      <c r="I3394" s="20">
        <f t="shared" si="101"/>
        <v>224.7408719136001</v>
      </c>
      <c r="J3394" s="6" t="s">
        <v>357</v>
      </c>
    </row>
    <row r="3395" spans="1:10" hidden="1">
      <c r="A3395" s="9">
        <v>46106</v>
      </c>
      <c r="B3395" s="216" t="s">
        <v>7220</v>
      </c>
      <c r="C3395" s="5" t="s">
        <v>7243</v>
      </c>
      <c r="D3395" s="8" t="s">
        <v>306</v>
      </c>
      <c r="E3395" s="6" t="s">
        <v>1247</v>
      </c>
      <c r="F3395" s="6" t="s">
        <v>5076</v>
      </c>
      <c r="G3395" s="31">
        <v>236.5</v>
      </c>
      <c r="H3395" s="5">
        <f t="shared" si="102"/>
        <v>0.27677447280000012</v>
      </c>
      <c r="I3395" s="20">
        <f t="shared" si="101"/>
        <v>65.457162817200029</v>
      </c>
      <c r="J3395" s="6" t="s">
        <v>357</v>
      </c>
    </row>
    <row r="3396" spans="1:10" hidden="1">
      <c r="A3396" s="9">
        <v>46106</v>
      </c>
      <c r="B3396" s="216" t="s">
        <v>7221</v>
      </c>
      <c r="C3396" s="5" t="s">
        <v>7244</v>
      </c>
      <c r="D3396" s="8" t="s">
        <v>306</v>
      </c>
      <c r="E3396" s="6" t="s">
        <v>1247</v>
      </c>
      <c r="F3396" s="6" t="s">
        <v>5076</v>
      </c>
      <c r="G3396" s="31">
        <v>201</v>
      </c>
      <c r="H3396" s="5">
        <f t="shared" si="102"/>
        <v>0.27677447280000012</v>
      </c>
      <c r="I3396" s="20">
        <f t="shared" si="101"/>
        <v>55.631669032800026</v>
      </c>
      <c r="J3396" s="6" t="s">
        <v>357</v>
      </c>
    </row>
    <row r="3397" spans="1:10" hidden="1">
      <c r="A3397" s="9">
        <v>46106</v>
      </c>
      <c r="B3397" s="216" t="s">
        <v>7222</v>
      </c>
      <c r="C3397" s="5" t="s">
        <v>7245</v>
      </c>
      <c r="D3397" s="8" t="s">
        <v>306</v>
      </c>
      <c r="E3397" s="6" t="s">
        <v>1247</v>
      </c>
      <c r="F3397" s="6" t="s">
        <v>5076</v>
      </c>
      <c r="G3397" s="31">
        <v>149</v>
      </c>
      <c r="H3397" s="5">
        <f t="shared" si="102"/>
        <v>0.27677447280000012</v>
      </c>
      <c r="I3397" s="20">
        <f t="shared" si="101"/>
        <v>41.239396447200015</v>
      </c>
      <c r="J3397" s="6" t="s">
        <v>357</v>
      </c>
    </row>
    <row r="3398" spans="1:10" hidden="1">
      <c r="A3398" s="9">
        <v>46106</v>
      </c>
      <c r="B3398" s="216" t="s">
        <v>7223</v>
      </c>
      <c r="C3398" s="5" t="s">
        <v>7246</v>
      </c>
      <c r="D3398" s="8" t="s">
        <v>306</v>
      </c>
      <c r="E3398" s="6" t="s">
        <v>1247</v>
      </c>
      <c r="F3398" s="6" t="s">
        <v>5076</v>
      </c>
      <c r="G3398" s="31">
        <v>149</v>
      </c>
      <c r="H3398" s="5">
        <f t="shared" si="102"/>
        <v>0.27677447280000012</v>
      </c>
      <c r="I3398" s="20">
        <f t="shared" si="101"/>
        <v>41.239396447200015</v>
      </c>
      <c r="J3398" s="6" t="s">
        <v>357</v>
      </c>
    </row>
    <row r="3399" spans="1:10" hidden="1">
      <c r="A3399" s="9">
        <v>46106</v>
      </c>
      <c r="B3399" s="216" t="s">
        <v>7224</v>
      </c>
      <c r="C3399" s="5" t="s">
        <v>7247</v>
      </c>
      <c r="D3399" s="8" t="s">
        <v>306</v>
      </c>
      <c r="E3399" s="6" t="s">
        <v>1247</v>
      </c>
      <c r="F3399" s="6" t="s">
        <v>5076</v>
      </c>
      <c r="G3399" s="31">
        <v>149</v>
      </c>
      <c r="H3399" s="5">
        <f t="shared" si="102"/>
        <v>0.27677447280000012</v>
      </c>
      <c r="I3399" s="20">
        <f t="shared" si="101"/>
        <v>41.239396447200015</v>
      </c>
      <c r="J3399" s="6" t="s">
        <v>357</v>
      </c>
    </row>
    <row r="3400" spans="1:10" hidden="1">
      <c r="A3400" s="9">
        <v>46106</v>
      </c>
      <c r="B3400" s="216" t="s">
        <v>7225</v>
      </c>
      <c r="C3400" s="5" t="s">
        <v>7248</v>
      </c>
      <c r="D3400" s="8" t="s">
        <v>306</v>
      </c>
      <c r="E3400" s="6" t="s">
        <v>1247</v>
      </c>
      <c r="F3400" s="6" t="s">
        <v>5076</v>
      </c>
      <c r="G3400" s="31">
        <v>149</v>
      </c>
      <c r="H3400" s="5">
        <f t="shared" si="102"/>
        <v>0.27677447280000012</v>
      </c>
      <c r="I3400" s="20">
        <f t="shared" si="101"/>
        <v>41.239396447200015</v>
      </c>
      <c r="J3400" s="6" t="s">
        <v>357</v>
      </c>
    </row>
    <row r="3401" spans="1:10" hidden="1">
      <c r="A3401" s="9">
        <v>46106</v>
      </c>
      <c r="B3401" s="216" t="s">
        <v>7226</v>
      </c>
      <c r="C3401" s="5" t="s">
        <v>7249</v>
      </c>
      <c r="D3401" s="8" t="s">
        <v>306</v>
      </c>
      <c r="E3401" s="6" t="s">
        <v>1247</v>
      </c>
      <c r="F3401" s="6" t="s">
        <v>5076</v>
      </c>
      <c r="G3401" s="31">
        <v>149</v>
      </c>
      <c r="H3401" s="5">
        <f t="shared" si="102"/>
        <v>0.27677447280000012</v>
      </c>
      <c r="I3401" s="20">
        <f t="shared" si="101"/>
        <v>41.239396447200015</v>
      </c>
      <c r="J3401" s="6" t="s">
        <v>357</v>
      </c>
    </row>
    <row r="3402" spans="1:10" hidden="1">
      <c r="A3402" s="9">
        <v>46106</v>
      </c>
      <c r="B3402" s="216" t="s">
        <v>7227</v>
      </c>
      <c r="C3402" s="5" t="s">
        <v>7250</v>
      </c>
      <c r="D3402" s="8" t="s">
        <v>306</v>
      </c>
      <c r="E3402" s="6" t="s">
        <v>1247</v>
      </c>
      <c r="F3402" s="6" t="s">
        <v>5076</v>
      </c>
      <c r="G3402" s="31">
        <v>149</v>
      </c>
      <c r="H3402" s="5">
        <f t="shared" si="102"/>
        <v>0.27677447280000012</v>
      </c>
      <c r="I3402" s="20">
        <f t="shared" si="101"/>
        <v>41.239396447200015</v>
      </c>
      <c r="J3402" s="6" t="s">
        <v>357</v>
      </c>
    </row>
    <row r="3403" spans="1:10" hidden="1">
      <c r="A3403" s="9">
        <v>46106</v>
      </c>
      <c r="B3403" s="216" t="s">
        <v>7228</v>
      </c>
      <c r="C3403" s="5" t="s">
        <v>7251</v>
      </c>
      <c r="D3403" s="8" t="s">
        <v>306</v>
      </c>
      <c r="E3403" s="6" t="s">
        <v>1247</v>
      </c>
      <c r="F3403" s="6" t="s">
        <v>5076</v>
      </c>
      <c r="G3403" s="31">
        <v>149</v>
      </c>
      <c r="H3403" s="5">
        <f t="shared" si="102"/>
        <v>0.27677447280000012</v>
      </c>
      <c r="I3403" s="20">
        <f t="shared" si="101"/>
        <v>41.239396447200015</v>
      </c>
      <c r="J3403" s="6" t="s">
        <v>357</v>
      </c>
    </row>
    <row r="3404" spans="1:10" hidden="1">
      <c r="A3404" s="9">
        <v>46106</v>
      </c>
      <c r="B3404" s="216" t="s">
        <v>7229</v>
      </c>
      <c r="C3404" s="5" t="s">
        <v>7252</v>
      </c>
      <c r="D3404" s="8" t="s">
        <v>306</v>
      </c>
      <c r="E3404" s="6" t="s">
        <v>1247</v>
      </c>
      <c r="F3404" s="6" t="s">
        <v>5076</v>
      </c>
      <c r="G3404" s="31">
        <v>149</v>
      </c>
      <c r="H3404" s="5">
        <f t="shared" si="102"/>
        <v>0.27677447280000012</v>
      </c>
      <c r="I3404" s="20">
        <f t="shared" si="101"/>
        <v>41.239396447200015</v>
      </c>
      <c r="J3404" s="6" t="s">
        <v>357</v>
      </c>
    </row>
    <row r="3405" spans="1:10" hidden="1">
      <c r="A3405" s="9">
        <v>46106</v>
      </c>
      <c r="B3405" s="216" t="s">
        <v>7230</v>
      </c>
      <c r="C3405" s="5" t="s">
        <v>7253</v>
      </c>
      <c r="D3405" s="8" t="s">
        <v>306</v>
      </c>
      <c r="E3405" s="6" t="s">
        <v>1247</v>
      </c>
      <c r="F3405" s="6" t="s">
        <v>5076</v>
      </c>
      <c r="G3405" s="31">
        <v>149</v>
      </c>
      <c r="H3405" s="5">
        <f t="shared" si="102"/>
        <v>0.27677447280000012</v>
      </c>
      <c r="I3405" s="20">
        <f t="shared" si="101"/>
        <v>41.239396447200015</v>
      </c>
      <c r="J3405" s="6" t="s">
        <v>357</v>
      </c>
    </row>
    <row r="3406" spans="1:10" hidden="1">
      <c r="A3406" s="9">
        <v>46106</v>
      </c>
      <c r="B3406" s="216" t="s">
        <v>7231</v>
      </c>
      <c r="C3406" s="5" t="s">
        <v>7254</v>
      </c>
      <c r="D3406" s="8" t="s">
        <v>306</v>
      </c>
      <c r="E3406" s="6" t="s">
        <v>1247</v>
      </c>
      <c r="F3406" s="6" t="s">
        <v>5076</v>
      </c>
      <c r="G3406" s="31">
        <v>149</v>
      </c>
      <c r="H3406" s="5">
        <f t="shared" si="102"/>
        <v>0.27677447280000012</v>
      </c>
      <c r="I3406" s="20">
        <f t="shared" si="101"/>
        <v>41.239396447200015</v>
      </c>
      <c r="J3406" s="6" t="s">
        <v>357</v>
      </c>
    </row>
    <row r="3407" spans="1:10" hidden="1">
      <c r="A3407" s="9">
        <v>46106</v>
      </c>
      <c r="B3407" s="216" t="s">
        <v>7232</v>
      </c>
      <c r="C3407" s="5" t="s">
        <v>7255</v>
      </c>
      <c r="D3407" s="8" t="s">
        <v>306</v>
      </c>
      <c r="E3407" s="6" t="s">
        <v>1247</v>
      </c>
      <c r="F3407" s="6" t="s">
        <v>5076</v>
      </c>
      <c r="G3407" s="31">
        <v>158.5</v>
      </c>
      <c r="H3407" s="5">
        <f t="shared" si="102"/>
        <v>0.27677447280000012</v>
      </c>
      <c r="I3407" s="20">
        <f t="shared" si="101"/>
        <v>43.868753938800019</v>
      </c>
      <c r="J3407" s="6" t="s">
        <v>357</v>
      </c>
    </row>
    <row r="3408" spans="1:10" hidden="1">
      <c r="A3408" s="9">
        <v>46106</v>
      </c>
      <c r="B3408" s="216" t="s">
        <v>7233</v>
      </c>
      <c r="C3408" s="5" t="s">
        <v>5102</v>
      </c>
      <c r="D3408" s="8" t="s">
        <v>306</v>
      </c>
      <c r="E3408" s="6" t="s">
        <v>1247</v>
      </c>
      <c r="F3408" s="6" t="s">
        <v>5076</v>
      </c>
      <c r="G3408" s="31">
        <v>168.5</v>
      </c>
      <c r="H3408" s="5">
        <f t="shared" si="102"/>
        <v>0.27677447280000012</v>
      </c>
      <c r="I3408" s="20">
        <f t="shared" si="101"/>
        <v>46.636498666800023</v>
      </c>
      <c r="J3408" s="6" t="s">
        <v>357</v>
      </c>
    </row>
    <row r="3409" spans="1:10" hidden="1">
      <c r="A3409" s="9">
        <v>46106</v>
      </c>
      <c r="B3409" s="216" t="s">
        <v>7234</v>
      </c>
      <c r="C3409" s="5" t="s">
        <v>7256</v>
      </c>
      <c r="D3409" s="8" t="s">
        <v>306</v>
      </c>
      <c r="E3409" s="6" t="s">
        <v>1247</v>
      </c>
      <c r="F3409" s="6" t="s">
        <v>5076</v>
      </c>
      <c r="G3409" s="31">
        <v>211.5</v>
      </c>
      <c r="H3409" s="5">
        <f t="shared" si="102"/>
        <v>0.27677447280000012</v>
      </c>
      <c r="I3409" s="20">
        <f t="shared" si="101"/>
        <v>58.537800997200023</v>
      </c>
      <c r="J3409" s="6" t="s">
        <v>357</v>
      </c>
    </row>
    <row r="3410" spans="1:10" hidden="1">
      <c r="A3410" s="9">
        <v>46106</v>
      </c>
      <c r="B3410" s="216" t="s">
        <v>7236</v>
      </c>
      <c r="C3410" s="5" t="s">
        <v>7257</v>
      </c>
      <c r="D3410" s="8" t="s">
        <v>306</v>
      </c>
      <c r="E3410" s="6" t="s">
        <v>1247</v>
      </c>
      <c r="F3410" s="6" t="s">
        <v>5076</v>
      </c>
      <c r="G3410" s="31">
        <v>367</v>
      </c>
      <c r="H3410" s="5">
        <f t="shared" si="102"/>
        <v>0.27677447280000012</v>
      </c>
      <c r="I3410" s="20">
        <f t="shared" si="101"/>
        <v>101.57623151760004</v>
      </c>
      <c r="J3410" s="6" t="s">
        <v>357</v>
      </c>
    </row>
    <row r="3411" spans="1:10" hidden="1">
      <c r="A3411" s="9">
        <v>46106</v>
      </c>
      <c r="B3411" s="216" t="s">
        <v>7235</v>
      </c>
      <c r="C3411" s="5" t="s">
        <v>5106</v>
      </c>
      <c r="D3411" s="8" t="s">
        <v>306</v>
      </c>
      <c r="E3411" s="6" t="s">
        <v>1247</v>
      </c>
      <c r="F3411" s="6" t="s">
        <v>5076</v>
      </c>
      <c r="G3411" s="31">
        <v>242</v>
      </c>
      <c r="H3411" s="5">
        <f t="shared" si="102"/>
        <v>0.27677447280000012</v>
      </c>
      <c r="I3411" s="20">
        <f t="shared" si="101"/>
        <v>66.979422417600034</v>
      </c>
      <c r="J3411" s="6" t="s">
        <v>357</v>
      </c>
    </row>
    <row r="3412" spans="1:10" hidden="1">
      <c r="A3412" s="9">
        <v>46106</v>
      </c>
      <c r="B3412" s="216" t="s">
        <v>7237</v>
      </c>
      <c r="C3412" s="5" t="s">
        <v>7256</v>
      </c>
      <c r="D3412" s="8" t="s">
        <v>306</v>
      </c>
      <c r="E3412" s="6" t="s">
        <v>1247</v>
      </c>
      <c r="F3412" s="6" t="s">
        <v>5076</v>
      </c>
      <c r="G3412" s="31">
        <v>367</v>
      </c>
      <c r="H3412" s="5">
        <f t="shared" si="102"/>
        <v>0.27677447280000012</v>
      </c>
      <c r="I3412" s="20">
        <f t="shared" si="101"/>
        <v>101.57623151760004</v>
      </c>
      <c r="J3412" s="6" t="s">
        <v>357</v>
      </c>
    </row>
    <row r="3413" spans="1:10" hidden="1">
      <c r="A3413" s="9">
        <v>46106</v>
      </c>
      <c r="B3413" s="216" t="s">
        <v>7262</v>
      </c>
      <c r="C3413" s="5" t="s">
        <v>7258</v>
      </c>
      <c r="D3413" s="8" t="s">
        <v>306</v>
      </c>
      <c r="E3413" s="6" t="s">
        <v>1247</v>
      </c>
      <c r="F3413" s="6" t="s">
        <v>5076</v>
      </c>
      <c r="G3413" s="31">
        <v>383.5</v>
      </c>
      <c r="H3413" s="5">
        <f t="shared" si="102"/>
        <v>0.27677447280000012</v>
      </c>
      <c r="I3413" s="20">
        <f t="shared" si="101"/>
        <v>106.14301031880004</v>
      </c>
      <c r="J3413" s="6" t="s">
        <v>357</v>
      </c>
    </row>
    <row r="3414" spans="1:10" hidden="1">
      <c r="A3414" s="9">
        <v>46106</v>
      </c>
      <c r="B3414" s="216" t="s">
        <v>7238</v>
      </c>
      <c r="C3414" s="5" t="s">
        <v>7259</v>
      </c>
      <c r="D3414" s="8" t="s">
        <v>306</v>
      </c>
      <c r="E3414" s="6" t="s">
        <v>1247</v>
      </c>
      <c r="F3414" s="6" t="s">
        <v>5076</v>
      </c>
      <c r="G3414" s="31">
        <v>406</v>
      </c>
      <c r="H3414" s="5">
        <f t="shared" si="102"/>
        <v>0.27677447280000012</v>
      </c>
      <c r="I3414" s="20">
        <f t="shared" si="101"/>
        <v>112.37043595680005</v>
      </c>
      <c r="J3414" s="6" t="s">
        <v>357</v>
      </c>
    </row>
    <row r="3415" spans="1:10" hidden="1">
      <c r="A3415" s="9">
        <v>46106</v>
      </c>
      <c r="B3415" s="216" t="s">
        <v>7239</v>
      </c>
      <c r="C3415" s="5" t="s">
        <v>5110</v>
      </c>
      <c r="D3415" s="8" t="s">
        <v>306</v>
      </c>
      <c r="E3415" s="6" t="s">
        <v>1247</v>
      </c>
      <c r="F3415" s="6" t="s">
        <v>5076</v>
      </c>
      <c r="G3415" s="31">
        <v>415</v>
      </c>
      <c r="H3415" s="5">
        <f t="shared" si="102"/>
        <v>0.27677447280000012</v>
      </c>
      <c r="I3415" s="20">
        <f t="shared" si="101"/>
        <v>114.86140621200005</v>
      </c>
      <c r="J3415" s="6" t="s">
        <v>357</v>
      </c>
    </row>
    <row r="3416" spans="1:10" hidden="1">
      <c r="A3416" s="9">
        <v>46106</v>
      </c>
      <c r="B3416" s="216" t="s">
        <v>7240</v>
      </c>
      <c r="C3416" s="5" t="s">
        <v>7260</v>
      </c>
      <c r="D3416" s="8" t="s">
        <v>306</v>
      </c>
      <c r="E3416" s="6" t="s">
        <v>1247</v>
      </c>
      <c r="F3416" s="6" t="s">
        <v>5076</v>
      </c>
      <c r="G3416" s="31">
        <v>552.5</v>
      </c>
      <c r="H3416" s="5">
        <f t="shared" si="102"/>
        <v>0.27677447280000012</v>
      </c>
      <c r="I3416" s="20">
        <f t="shared" si="101"/>
        <v>152.91789622200005</v>
      </c>
      <c r="J3416" s="6" t="s">
        <v>357</v>
      </c>
    </row>
    <row r="3417" spans="1:10" hidden="1">
      <c r="A3417" s="9">
        <v>46106</v>
      </c>
      <c r="B3417" s="216" t="s">
        <v>7241</v>
      </c>
      <c r="C3417" s="5" t="s">
        <v>7261</v>
      </c>
      <c r="D3417" s="8" t="s">
        <v>306</v>
      </c>
      <c r="E3417" s="6" t="s">
        <v>1247</v>
      </c>
      <c r="F3417" s="6" t="s">
        <v>5076</v>
      </c>
      <c r="G3417" s="31">
        <v>552.5</v>
      </c>
      <c r="H3417" s="5">
        <f t="shared" si="102"/>
        <v>0.27677447280000012</v>
      </c>
      <c r="I3417" s="20">
        <f t="shared" si="101"/>
        <v>152.91789622200005</v>
      </c>
      <c r="J3417" s="6" t="s">
        <v>357</v>
      </c>
    </row>
    <row r="3418" spans="1:10" hidden="1">
      <c r="A3418" s="9">
        <v>46106</v>
      </c>
      <c r="B3418" s="216" t="s">
        <v>7242</v>
      </c>
      <c r="C3418" s="5" t="s">
        <v>5104</v>
      </c>
      <c r="D3418" s="8" t="s">
        <v>306</v>
      </c>
      <c r="E3418" s="6" t="s">
        <v>1247</v>
      </c>
      <c r="F3418" s="6" t="s">
        <v>5076</v>
      </c>
      <c r="G3418" s="31">
        <v>709</v>
      </c>
      <c r="H3418" s="5">
        <f t="shared" si="102"/>
        <v>0.27677447280000012</v>
      </c>
      <c r="I3418" s="20">
        <f t="shared" si="101"/>
        <v>196.23310121520009</v>
      </c>
      <c r="J3418" s="6" t="s">
        <v>357</v>
      </c>
    </row>
    <row r="3419" spans="1:10" ht="30" hidden="1">
      <c r="A3419" s="9">
        <v>46106</v>
      </c>
      <c r="B3419" s="6" t="s">
        <v>5113</v>
      </c>
      <c r="C3419" s="14" t="s">
        <v>5112</v>
      </c>
      <c r="D3419" s="23" t="s">
        <v>306</v>
      </c>
      <c r="E3419" s="6" t="s">
        <v>466</v>
      </c>
      <c r="F3419" s="6" t="s">
        <v>3551</v>
      </c>
      <c r="G3419" s="5">
        <v>483</v>
      </c>
      <c r="H3419" s="5">
        <f t="shared" si="102"/>
        <v>0.27677447280000012</v>
      </c>
      <c r="I3419" s="20">
        <f t="shared" si="101"/>
        <v>133.68207036240005</v>
      </c>
      <c r="J3419" s="6" t="s">
        <v>357</v>
      </c>
    </row>
    <row r="3420" spans="1:10" hidden="1">
      <c r="A3420" s="9">
        <v>46106</v>
      </c>
      <c r="B3420" s="6" t="s">
        <v>5115</v>
      </c>
      <c r="C3420" s="132" t="s">
        <v>5904</v>
      </c>
      <c r="D3420" s="23" t="s">
        <v>306</v>
      </c>
      <c r="E3420" s="6" t="s">
        <v>466</v>
      </c>
      <c r="F3420" s="6" t="s">
        <v>3551</v>
      </c>
      <c r="G3420" s="5">
        <v>652</v>
      </c>
      <c r="H3420" s="5">
        <f t="shared" si="102"/>
        <v>0.27677447280000012</v>
      </c>
      <c r="I3420" s="20">
        <f t="shared" si="101"/>
        <v>180.45695626560007</v>
      </c>
      <c r="J3420" s="6" t="s">
        <v>357</v>
      </c>
    </row>
    <row r="3421" spans="1:10" hidden="1">
      <c r="A3421" s="9">
        <v>46106</v>
      </c>
      <c r="B3421" s="6" t="s">
        <v>5117</v>
      </c>
      <c r="C3421" s="14" t="s">
        <v>5116</v>
      </c>
      <c r="D3421" s="23" t="s">
        <v>306</v>
      </c>
      <c r="E3421" s="6" t="s">
        <v>466</v>
      </c>
      <c r="F3421" s="6" t="s">
        <v>3551</v>
      </c>
      <c r="G3421" s="5">
        <v>213</v>
      </c>
      <c r="H3421" s="5">
        <f t="shared" si="102"/>
        <v>0.27677447280000012</v>
      </c>
      <c r="I3421" s="20">
        <f t="shared" si="101"/>
        <v>58.952962706400022</v>
      </c>
      <c r="J3421" s="6" t="s">
        <v>357</v>
      </c>
    </row>
    <row r="3422" spans="1:10" ht="30" hidden="1">
      <c r="A3422" s="9">
        <v>46106</v>
      </c>
      <c r="B3422" s="6" t="s">
        <v>5119</v>
      </c>
      <c r="C3422" s="15" t="s">
        <v>5118</v>
      </c>
      <c r="D3422" s="28" t="s">
        <v>306</v>
      </c>
      <c r="E3422" s="6" t="s">
        <v>466</v>
      </c>
      <c r="F3422" s="6" t="s">
        <v>3551</v>
      </c>
      <c r="G3422" s="5">
        <v>2001</v>
      </c>
      <c r="H3422" s="5">
        <f t="shared" si="102"/>
        <v>0.27677447280000012</v>
      </c>
      <c r="I3422" s="20">
        <f t="shared" si="101"/>
        <v>553.82572007280021</v>
      </c>
      <c r="J3422" s="6" t="s">
        <v>357</v>
      </c>
    </row>
    <row r="3423" spans="1:10" ht="30" hidden="1">
      <c r="A3423" s="9">
        <v>46106</v>
      </c>
      <c r="B3423" s="6" t="s">
        <v>5121</v>
      </c>
      <c r="C3423" s="15" t="s">
        <v>5120</v>
      </c>
      <c r="D3423" s="28" t="s">
        <v>306</v>
      </c>
      <c r="E3423" s="6" t="s">
        <v>466</v>
      </c>
      <c r="F3423" s="6" t="s">
        <v>3551</v>
      </c>
      <c r="G3423" s="5">
        <v>555</v>
      </c>
      <c r="H3423" s="5">
        <f t="shared" si="102"/>
        <v>0.27677447280000012</v>
      </c>
      <c r="I3423" s="20">
        <f t="shared" si="101"/>
        <v>153.60983240400006</v>
      </c>
      <c r="J3423" s="6" t="s">
        <v>357</v>
      </c>
    </row>
    <row r="3424" spans="1:10" hidden="1">
      <c r="A3424" s="9">
        <v>46106</v>
      </c>
      <c r="B3424" s="6" t="s">
        <v>5123</v>
      </c>
      <c r="C3424" s="15" t="s">
        <v>5122</v>
      </c>
      <c r="D3424" s="28" t="s">
        <v>306</v>
      </c>
      <c r="E3424" s="6" t="s">
        <v>466</v>
      </c>
      <c r="F3424" s="6" t="s">
        <v>3551</v>
      </c>
      <c r="G3424" s="5">
        <v>777</v>
      </c>
      <c r="H3424" s="5">
        <f t="shared" si="102"/>
        <v>0.27677447280000012</v>
      </c>
      <c r="I3424" s="20">
        <f t="shared" si="101"/>
        <v>215.0537653656001</v>
      </c>
      <c r="J3424" s="6" t="s">
        <v>357</v>
      </c>
    </row>
    <row r="3425" spans="1:10" ht="30" hidden="1">
      <c r="A3425" s="9">
        <v>46106</v>
      </c>
      <c r="B3425" s="6" t="s">
        <v>5125</v>
      </c>
      <c r="C3425" s="5" t="s">
        <v>5124</v>
      </c>
      <c r="D3425" s="8" t="s">
        <v>306</v>
      </c>
      <c r="E3425" s="6" t="s">
        <v>466</v>
      </c>
      <c r="F3425" s="6" t="s">
        <v>4279</v>
      </c>
      <c r="G3425" s="5">
        <v>5426</v>
      </c>
      <c r="H3425" s="5">
        <f t="shared" si="102"/>
        <v>0.27677447280000012</v>
      </c>
      <c r="I3425" s="20">
        <f t="shared" si="101"/>
        <v>1501.7782894128006</v>
      </c>
      <c r="J3425" s="6" t="s">
        <v>357</v>
      </c>
    </row>
    <row r="3426" spans="1:10" ht="30" hidden="1">
      <c r="A3426" s="9">
        <v>46106</v>
      </c>
      <c r="B3426" s="6" t="s">
        <v>5127</v>
      </c>
      <c r="C3426" s="5" t="s">
        <v>5126</v>
      </c>
      <c r="D3426" s="8" t="s">
        <v>306</v>
      </c>
      <c r="E3426" s="6" t="s">
        <v>466</v>
      </c>
      <c r="F3426" s="6" t="s">
        <v>4279</v>
      </c>
      <c r="G3426" s="5">
        <v>5712</v>
      </c>
      <c r="H3426" s="5">
        <f t="shared" si="102"/>
        <v>0.27677447280000012</v>
      </c>
      <c r="I3426" s="20">
        <f t="shared" si="101"/>
        <v>1580.9357886336006</v>
      </c>
      <c r="J3426" s="6" t="s">
        <v>357</v>
      </c>
    </row>
    <row r="3427" spans="1:10" ht="45" hidden="1">
      <c r="A3427" s="10">
        <v>45996</v>
      </c>
      <c r="B3427" s="216" t="s">
        <v>7690</v>
      </c>
      <c r="C3427" s="14" t="s">
        <v>7688</v>
      </c>
      <c r="D3427" s="8" t="s">
        <v>306</v>
      </c>
      <c r="E3427" s="25" t="s">
        <v>466</v>
      </c>
      <c r="F3427" s="25" t="s">
        <v>4279</v>
      </c>
      <c r="G3427" s="31">
        <v>7635</v>
      </c>
      <c r="H3427" s="5">
        <f t="shared" si="102"/>
        <v>0.27677447280000012</v>
      </c>
      <c r="I3427" s="20">
        <f t="shared" si="101"/>
        <v>2113.1730998280009</v>
      </c>
      <c r="J3427" s="6" t="s">
        <v>357</v>
      </c>
    </row>
    <row r="3428" spans="1:10" ht="45" hidden="1">
      <c r="A3428" s="10">
        <v>45996</v>
      </c>
      <c r="B3428" s="216" t="s">
        <v>7691</v>
      </c>
      <c r="C3428" s="14" t="s">
        <v>7689</v>
      </c>
      <c r="D3428" s="8" t="s">
        <v>306</v>
      </c>
      <c r="E3428" s="25" t="s">
        <v>466</v>
      </c>
      <c r="F3428" s="25" t="s">
        <v>4279</v>
      </c>
      <c r="G3428" s="31">
        <v>8955</v>
      </c>
      <c r="H3428" s="5">
        <f t="shared" si="102"/>
        <v>0.27677447280000012</v>
      </c>
      <c r="I3428" s="20">
        <f t="shared" si="101"/>
        <v>2478.515403924001</v>
      </c>
      <c r="J3428" s="6" t="s">
        <v>357</v>
      </c>
    </row>
    <row r="3429" spans="1:10" hidden="1">
      <c r="A3429" s="135">
        <v>46106</v>
      </c>
      <c r="B3429" s="133" t="s">
        <v>5906</v>
      </c>
      <c r="C3429" s="15" t="s">
        <v>5905</v>
      </c>
      <c r="D3429" s="28" t="s">
        <v>306</v>
      </c>
      <c r="E3429" s="25" t="s">
        <v>466</v>
      </c>
      <c r="F3429" s="25" t="s">
        <v>3551</v>
      </c>
      <c r="G3429" s="31">
        <v>754</v>
      </c>
      <c r="H3429" s="5">
        <f t="shared" si="102"/>
        <v>0.27677447280000012</v>
      </c>
      <c r="I3429" s="134">
        <f t="shared" si="101"/>
        <v>208.68795249120009</v>
      </c>
      <c r="J3429" s="133" t="s">
        <v>357</v>
      </c>
    </row>
    <row r="3430" spans="1:10" ht="30" hidden="1">
      <c r="A3430" s="9">
        <v>46106</v>
      </c>
      <c r="B3430" s="6" t="s">
        <v>5128</v>
      </c>
      <c r="C3430" s="15" t="s">
        <v>5960</v>
      </c>
      <c r="D3430" s="28" t="s">
        <v>306</v>
      </c>
      <c r="E3430" s="6" t="s">
        <v>466</v>
      </c>
      <c r="F3430" s="6" t="s">
        <v>3551</v>
      </c>
      <c r="G3430" s="5">
        <v>1061</v>
      </c>
      <c r="H3430" s="5">
        <f t="shared" si="102"/>
        <v>0.27677447280000012</v>
      </c>
      <c r="I3430" s="20">
        <f t="shared" si="101"/>
        <v>293.65771564080012</v>
      </c>
      <c r="J3430" s="6" t="s">
        <v>357</v>
      </c>
    </row>
    <row r="3431" spans="1:10" hidden="1">
      <c r="A3431" s="10">
        <v>45511</v>
      </c>
      <c r="B3431" s="6" t="s">
        <v>5130</v>
      </c>
      <c r="C3431" s="5" t="s">
        <v>5129</v>
      </c>
      <c r="D3431" s="8" t="s">
        <v>306</v>
      </c>
      <c r="E3431" s="6" t="s">
        <v>2045</v>
      </c>
      <c r="F3431" s="6" t="s">
        <v>4276</v>
      </c>
      <c r="G3431" s="5">
        <v>7534.5</v>
      </c>
      <c r="H3431" s="5">
        <f>0.9*0.8*0.7*0.93*(0.9*0.9*0.9*0.9)</f>
        <v>0.30752719200000006</v>
      </c>
      <c r="I3431" s="20">
        <f t="shared" si="101"/>
        <v>2317.0636281240004</v>
      </c>
      <c r="J3431" s="6" t="s">
        <v>357</v>
      </c>
    </row>
    <row r="3432" spans="1:10" hidden="1">
      <c r="A3432" s="10">
        <v>45889</v>
      </c>
      <c r="B3432" s="6" t="s">
        <v>5131</v>
      </c>
      <c r="C3432" s="5" t="s">
        <v>1471</v>
      </c>
      <c r="D3432" s="8" t="s">
        <v>306</v>
      </c>
      <c r="E3432" s="111" t="s">
        <v>6491</v>
      </c>
      <c r="F3432" s="6" t="s">
        <v>411</v>
      </c>
      <c r="G3432" s="5">
        <v>7500</v>
      </c>
      <c r="H3432" s="5">
        <v>1</v>
      </c>
      <c r="I3432" s="20">
        <f t="shared" si="101"/>
        <v>7500</v>
      </c>
      <c r="J3432" s="6" t="s">
        <v>357</v>
      </c>
    </row>
    <row r="3433" spans="1:10" hidden="1">
      <c r="A3433" s="10">
        <v>44019</v>
      </c>
      <c r="B3433" s="6" t="s">
        <v>5132</v>
      </c>
      <c r="C3433" s="5" t="s">
        <v>1471</v>
      </c>
      <c r="D3433" s="8" t="s">
        <v>306</v>
      </c>
      <c r="E3433" s="111" t="s">
        <v>6491</v>
      </c>
      <c r="F3433" s="6" t="s">
        <v>411</v>
      </c>
      <c r="G3433" s="5">
        <v>290</v>
      </c>
      <c r="H3433" s="5">
        <v>1</v>
      </c>
      <c r="I3433" s="20">
        <f t="shared" si="101"/>
        <v>290</v>
      </c>
      <c r="J3433" s="6" t="s">
        <v>357</v>
      </c>
    </row>
    <row r="3434" spans="1:10" hidden="1">
      <c r="A3434" s="10">
        <v>45511</v>
      </c>
      <c r="B3434" s="6" t="s">
        <v>5133</v>
      </c>
      <c r="C3434" s="5" t="s">
        <v>1471</v>
      </c>
      <c r="D3434" s="8" t="s">
        <v>306</v>
      </c>
      <c r="E3434" s="111" t="s">
        <v>6491</v>
      </c>
      <c r="F3434" s="6" t="s">
        <v>411</v>
      </c>
      <c r="G3434" s="5">
        <v>3579</v>
      </c>
      <c r="H3434" s="5">
        <v>0.5</v>
      </c>
      <c r="I3434" s="20">
        <f t="shared" si="101"/>
        <v>1789.5</v>
      </c>
      <c r="J3434" s="6" t="s">
        <v>357</v>
      </c>
    </row>
    <row r="3435" spans="1:10" hidden="1">
      <c r="A3435" s="10">
        <v>45742</v>
      </c>
      <c r="B3435" s="216" t="s">
        <v>6493</v>
      </c>
      <c r="C3435" s="5" t="s">
        <v>1471</v>
      </c>
      <c r="D3435" s="8" t="s">
        <v>306</v>
      </c>
      <c r="E3435" s="25" t="s">
        <v>6491</v>
      </c>
      <c r="F3435" s="25" t="s">
        <v>411</v>
      </c>
      <c r="G3435" s="31">
        <v>1700</v>
      </c>
      <c r="H3435" s="5">
        <v>1</v>
      </c>
      <c r="I3435" s="20">
        <f t="shared" si="101"/>
        <v>1700</v>
      </c>
      <c r="J3435" s="6" t="s">
        <v>357</v>
      </c>
    </row>
    <row r="3436" spans="1:10" hidden="1">
      <c r="A3436" s="10">
        <v>45450</v>
      </c>
      <c r="B3436" s="6" t="s">
        <v>5610</v>
      </c>
      <c r="C3436" s="5" t="s">
        <v>1471</v>
      </c>
      <c r="D3436" s="8" t="s">
        <v>306</v>
      </c>
      <c r="E3436" s="25" t="s">
        <v>6491</v>
      </c>
      <c r="F3436" s="106" t="s">
        <v>411</v>
      </c>
      <c r="G3436" s="107">
        <v>1200</v>
      </c>
      <c r="H3436" s="5">
        <v>1</v>
      </c>
      <c r="I3436" s="20">
        <f t="shared" si="101"/>
        <v>1200</v>
      </c>
      <c r="J3436" s="6" t="s">
        <v>357</v>
      </c>
    </row>
    <row r="3437" spans="1:10" hidden="1">
      <c r="A3437" s="359">
        <v>45597</v>
      </c>
      <c r="B3437" s="156" t="s">
        <v>5964</v>
      </c>
      <c r="C3437" s="154" t="s">
        <v>5963</v>
      </c>
      <c r="D3437" s="155" t="s">
        <v>306</v>
      </c>
      <c r="E3437" s="25" t="s">
        <v>355</v>
      </c>
      <c r="F3437" s="25" t="s">
        <v>5222</v>
      </c>
      <c r="G3437" s="31">
        <v>8339</v>
      </c>
      <c r="H3437" s="5">
        <f t="shared" ref="H3437:H3468" si="103">0.9*0.8*0.7*0.93*(0.9*0.9*0.9*0.9*0.9)</f>
        <v>0.27677447280000012</v>
      </c>
      <c r="I3437" s="157">
        <f t="shared" si="101"/>
        <v>2308.0223286792011</v>
      </c>
      <c r="J3437" s="156" t="s">
        <v>357</v>
      </c>
    </row>
    <row r="3438" spans="1:10" hidden="1">
      <c r="A3438" s="9">
        <v>46106</v>
      </c>
      <c r="B3438" s="6" t="s">
        <v>5134</v>
      </c>
      <c r="C3438" s="5" t="s">
        <v>1629</v>
      </c>
      <c r="D3438" s="8" t="s">
        <v>306</v>
      </c>
      <c r="E3438" s="6" t="s">
        <v>355</v>
      </c>
      <c r="F3438" s="6" t="s">
        <v>3553</v>
      </c>
      <c r="G3438" s="5">
        <v>22135</v>
      </c>
      <c r="H3438" s="5">
        <f t="shared" si="103"/>
        <v>0.27677447280000012</v>
      </c>
      <c r="I3438" s="20">
        <f t="shared" si="101"/>
        <v>6126.4029554280023</v>
      </c>
      <c r="J3438" s="6" t="s">
        <v>357</v>
      </c>
    </row>
    <row r="3439" spans="1:10" hidden="1">
      <c r="A3439" s="9">
        <v>46106</v>
      </c>
      <c r="B3439" s="6" t="s">
        <v>5136</v>
      </c>
      <c r="C3439" s="5" t="s">
        <v>5135</v>
      </c>
      <c r="D3439" s="8" t="s">
        <v>306</v>
      </c>
      <c r="E3439" s="6" t="s">
        <v>355</v>
      </c>
      <c r="F3439" s="6" t="s">
        <v>3553</v>
      </c>
      <c r="G3439" s="5">
        <v>26347</v>
      </c>
      <c r="H3439" s="5">
        <f t="shared" si="103"/>
        <v>0.27677447280000012</v>
      </c>
      <c r="I3439" s="20">
        <f t="shared" si="101"/>
        <v>7292.1770348616028</v>
      </c>
      <c r="J3439" s="6" t="s">
        <v>357</v>
      </c>
    </row>
    <row r="3440" spans="1:10" hidden="1">
      <c r="A3440" s="9">
        <v>46106</v>
      </c>
      <c r="B3440" s="6" t="s">
        <v>5137</v>
      </c>
      <c r="C3440" s="5" t="s">
        <v>1609</v>
      </c>
      <c r="D3440" s="8" t="s">
        <v>306</v>
      </c>
      <c r="E3440" s="6" t="s">
        <v>355</v>
      </c>
      <c r="F3440" s="6" t="s">
        <v>3553</v>
      </c>
      <c r="G3440" s="5">
        <v>18814</v>
      </c>
      <c r="H3440" s="5">
        <f t="shared" si="103"/>
        <v>0.27677447280000012</v>
      </c>
      <c r="I3440" s="20">
        <f t="shared" si="101"/>
        <v>5207.2349312592023</v>
      </c>
      <c r="J3440" s="6" t="s">
        <v>357</v>
      </c>
    </row>
    <row r="3441" spans="1:10" hidden="1">
      <c r="A3441" s="9">
        <v>46106</v>
      </c>
      <c r="B3441" s="6" t="s">
        <v>5138</v>
      </c>
      <c r="C3441" s="5" t="s">
        <v>1611</v>
      </c>
      <c r="D3441" s="8" t="s">
        <v>306</v>
      </c>
      <c r="E3441" s="6" t="s">
        <v>355</v>
      </c>
      <c r="F3441" s="6" t="s">
        <v>3553</v>
      </c>
      <c r="G3441" s="5">
        <v>22388</v>
      </c>
      <c r="H3441" s="5">
        <f t="shared" si="103"/>
        <v>0.27677447280000012</v>
      </c>
      <c r="I3441" s="20">
        <f t="shared" si="101"/>
        <v>6196.4268970464027</v>
      </c>
      <c r="J3441" s="6" t="s">
        <v>357</v>
      </c>
    </row>
    <row r="3442" spans="1:10" hidden="1">
      <c r="A3442" s="9">
        <v>46106</v>
      </c>
      <c r="B3442" s="6" t="s">
        <v>5139</v>
      </c>
      <c r="C3442" s="5" t="s">
        <v>1633</v>
      </c>
      <c r="D3442" s="8" t="s">
        <v>306</v>
      </c>
      <c r="E3442" s="6" t="s">
        <v>355</v>
      </c>
      <c r="F3442" s="6" t="s">
        <v>3553</v>
      </c>
      <c r="G3442" s="5">
        <v>22907</v>
      </c>
      <c r="H3442" s="5">
        <f t="shared" si="103"/>
        <v>0.27677447280000012</v>
      </c>
      <c r="I3442" s="20">
        <f t="shared" si="101"/>
        <v>6340.0728484296023</v>
      </c>
      <c r="J3442" s="6" t="s">
        <v>357</v>
      </c>
    </row>
    <row r="3443" spans="1:10" hidden="1">
      <c r="A3443" s="9">
        <v>46106</v>
      </c>
      <c r="B3443" s="6" t="s">
        <v>5140</v>
      </c>
      <c r="C3443" s="5" t="s">
        <v>1635</v>
      </c>
      <c r="D3443" s="8" t="s">
        <v>306</v>
      </c>
      <c r="E3443" s="6" t="s">
        <v>355</v>
      </c>
      <c r="F3443" s="6" t="s">
        <v>3553</v>
      </c>
      <c r="G3443" s="5">
        <v>28712</v>
      </c>
      <c r="H3443" s="5">
        <f t="shared" si="103"/>
        <v>0.27677447280000012</v>
      </c>
      <c r="I3443" s="20">
        <f t="shared" si="101"/>
        <v>7946.7486630336034</v>
      </c>
      <c r="J3443" s="6" t="s">
        <v>357</v>
      </c>
    </row>
    <row r="3444" spans="1:10" hidden="1">
      <c r="A3444" s="9">
        <v>46106</v>
      </c>
      <c r="B3444" s="6" t="s">
        <v>5141</v>
      </c>
      <c r="C3444" s="5" t="s">
        <v>1613</v>
      </c>
      <c r="D3444" s="8" t="s">
        <v>306</v>
      </c>
      <c r="E3444" s="6" t="s">
        <v>355</v>
      </c>
      <c r="F3444" s="6" t="s">
        <v>3553</v>
      </c>
      <c r="G3444" s="5">
        <v>19478</v>
      </c>
      <c r="H3444" s="5">
        <f t="shared" si="103"/>
        <v>0.27677447280000012</v>
      </c>
      <c r="I3444" s="20">
        <f t="shared" si="101"/>
        <v>5391.013181198402</v>
      </c>
      <c r="J3444" s="6" t="s">
        <v>357</v>
      </c>
    </row>
    <row r="3445" spans="1:10" hidden="1">
      <c r="A3445" s="9">
        <v>46106</v>
      </c>
      <c r="B3445" s="6" t="s">
        <v>5142</v>
      </c>
      <c r="C3445" s="5" t="s">
        <v>1615</v>
      </c>
      <c r="D3445" s="8" t="s">
        <v>306</v>
      </c>
      <c r="E3445" s="6" t="s">
        <v>355</v>
      </c>
      <c r="F3445" s="6" t="s">
        <v>3553</v>
      </c>
      <c r="G3445" s="5">
        <v>24408</v>
      </c>
      <c r="H3445" s="5">
        <f t="shared" si="103"/>
        <v>0.27677447280000012</v>
      </c>
      <c r="I3445" s="20">
        <f t="shared" si="101"/>
        <v>6755.5113321024028</v>
      </c>
      <c r="J3445" s="6" t="s">
        <v>357</v>
      </c>
    </row>
    <row r="3446" spans="1:10" hidden="1">
      <c r="A3446" s="9">
        <v>46106</v>
      </c>
      <c r="B3446" s="6" t="s">
        <v>5143</v>
      </c>
      <c r="C3446" s="5" t="s">
        <v>1637</v>
      </c>
      <c r="D3446" s="8" t="s">
        <v>306</v>
      </c>
      <c r="E3446" s="6" t="s">
        <v>355</v>
      </c>
      <c r="F3446" s="6" t="s">
        <v>3553</v>
      </c>
      <c r="G3446" s="5">
        <v>24851</v>
      </c>
      <c r="H3446" s="5">
        <f t="shared" si="103"/>
        <v>0.27677447280000012</v>
      </c>
      <c r="I3446" s="20">
        <f t="shared" si="101"/>
        <v>6878.1224235528025</v>
      </c>
      <c r="J3446" s="6" t="s">
        <v>357</v>
      </c>
    </row>
    <row r="3447" spans="1:10" hidden="1">
      <c r="A3447" s="9">
        <v>46106</v>
      </c>
      <c r="B3447" s="6" t="s">
        <v>5144</v>
      </c>
      <c r="C3447" s="5" t="s">
        <v>1639</v>
      </c>
      <c r="D3447" s="8" t="s">
        <v>306</v>
      </c>
      <c r="E3447" s="6" t="s">
        <v>355</v>
      </c>
      <c r="F3447" s="6" t="s">
        <v>3553</v>
      </c>
      <c r="G3447" s="5">
        <v>30478</v>
      </c>
      <c r="H3447" s="5">
        <f t="shared" si="103"/>
        <v>0.27677447280000012</v>
      </c>
      <c r="I3447" s="20">
        <f t="shared" ref="I3447:I3510" si="104">H3447*G3447</f>
        <v>8435.5323819984042</v>
      </c>
      <c r="J3447" s="6" t="s">
        <v>357</v>
      </c>
    </row>
    <row r="3448" spans="1:10" hidden="1">
      <c r="A3448" s="9">
        <v>46106</v>
      </c>
      <c r="B3448" s="6" t="s">
        <v>5145</v>
      </c>
      <c r="C3448" s="5" t="s">
        <v>1617</v>
      </c>
      <c r="D3448" s="8" t="s">
        <v>306</v>
      </c>
      <c r="E3448" s="6" t="s">
        <v>355</v>
      </c>
      <c r="F3448" s="6" t="s">
        <v>3553</v>
      </c>
      <c r="G3448" s="5">
        <v>21092</v>
      </c>
      <c r="H3448" s="5">
        <f t="shared" si="103"/>
        <v>0.27677447280000012</v>
      </c>
      <c r="I3448" s="20">
        <f t="shared" si="104"/>
        <v>5837.727180297602</v>
      </c>
      <c r="J3448" s="6" t="s">
        <v>357</v>
      </c>
    </row>
    <row r="3449" spans="1:10" hidden="1">
      <c r="A3449" s="9">
        <v>46106</v>
      </c>
      <c r="B3449" s="6" t="s">
        <v>5146</v>
      </c>
      <c r="C3449" s="5" t="s">
        <v>1619</v>
      </c>
      <c r="D3449" s="8" t="s">
        <v>306</v>
      </c>
      <c r="E3449" s="6" t="s">
        <v>355</v>
      </c>
      <c r="F3449" s="6" t="s">
        <v>3553</v>
      </c>
      <c r="G3449" s="5">
        <v>25650</v>
      </c>
      <c r="H3449" s="5">
        <f t="shared" si="103"/>
        <v>0.27677447280000012</v>
      </c>
      <c r="I3449" s="20">
        <f t="shared" si="104"/>
        <v>7099.2652273200029</v>
      </c>
      <c r="J3449" s="6" t="s">
        <v>357</v>
      </c>
    </row>
    <row r="3450" spans="1:10" hidden="1">
      <c r="A3450" s="9">
        <v>46106</v>
      </c>
      <c r="B3450" s="6" t="s">
        <v>5147</v>
      </c>
      <c r="C3450" s="5" t="s">
        <v>1641</v>
      </c>
      <c r="D3450" s="8" t="s">
        <v>306</v>
      </c>
      <c r="E3450" s="6" t="s">
        <v>355</v>
      </c>
      <c r="F3450" s="6" t="s">
        <v>3553</v>
      </c>
      <c r="G3450" s="5">
        <v>26654</v>
      </c>
      <c r="H3450" s="5">
        <f t="shared" si="103"/>
        <v>0.27677447280000012</v>
      </c>
      <c r="I3450" s="20">
        <f t="shared" si="104"/>
        <v>7377.1467980112029</v>
      </c>
      <c r="J3450" s="6" t="s">
        <v>357</v>
      </c>
    </row>
    <row r="3451" spans="1:10" hidden="1">
      <c r="A3451" s="9">
        <v>46106</v>
      </c>
      <c r="B3451" s="6" t="s">
        <v>5148</v>
      </c>
      <c r="C3451" s="5" t="s">
        <v>1643</v>
      </c>
      <c r="D3451" s="8" t="s">
        <v>306</v>
      </c>
      <c r="E3451" s="6" t="s">
        <v>355</v>
      </c>
      <c r="F3451" s="6" t="s">
        <v>3553</v>
      </c>
      <c r="G3451" s="5">
        <v>32195</v>
      </c>
      <c r="H3451" s="5">
        <f t="shared" si="103"/>
        <v>0.27677447280000012</v>
      </c>
      <c r="I3451" s="20">
        <f t="shared" si="104"/>
        <v>8910.7541517960035</v>
      </c>
      <c r="J3451" s="6" t="s">
        <v>357</v>
      </c>
    </row>
    <row r="3452" spans="1:10" hidden="1">
      <c r="A3452" s="9">
        <v>46106</v>
      </c>
      <c r="B3452" s="6" t="s">
        <v>5149</v>
      </c>
      <c r="C3452" s="5" t="s">
        <v>1621</v>
      </c>
      <c r="D3452" s="8" t="s">
        <v>306</v>
      </c>
      <c r="E3452" s="6" t="s">
        <v>355</v>
      </c>
      <c r="F3452" s="6" t="s">
        <v>3553</v>
      </c>
      <c r="G3452" s="5">
        <v>22658</v>
      </c>
      <c r="H3452" s="5">
        <f t="shared" si="103"/>
        <v>0.27677447280000012</v>
      </c>
      <c r="I3452" s="20">
        <f t="shared" si="104"/>
        <v>6271.1560047024022</v>
      </c>
      <c r="J3452" s="6" t="s">
        <v>357</v>
      </c>
    </row>
    <row r="3453" spans="1:10" hidden="1">
      <c r="A3453" s="9">
        <v>46106</v>
      </c>
      <c r="B3453" s="6" t="s">
        <v>5150</v>
      </c>
      <c r="C3453" s="5" t="s">
        <v>1623</v>
      </c>
      <c r="D3453" s="8" t="s">
        <v>306</v>
      </c>
      <c r="E3453" s="6" t="s">
        <v>355</v>
      </c>
      <c r="F3453" s="6" t="s">
        <v>3553</v>
      </c>
      <c r="G3453" s="5">
        <v>27356</v>
      </c>
      <c r="H3453" s="5">
        <f t="shared" si="103"/>
        <v>0.27677447280000012</v>
      </c>
      <c r="I3453" s="20">
        <f t="shared" si="104"/>
        <v>7571.442477916803</v>
      </c>
      <c r="J3453" s="6" t="s">
        <v>357</v>
      </c>
    </row>
    <row r="3454" spans="1:10" hidden="1">
      <c r="A3454" s="9">
        <v>46106</v>
      </c>
      <c r="B3454" s="6" t="s">
        <v>5151</v>
      </c>
      <c r="C3454" s="5" t="s">
        <v>1645</v>
      </c>
      <c r="D3454" s="8" t="s">
        <v>306</v>
      </c>
      <c r="E3454" s="6" t="s">
        <v>355</v>
      </c>
      <c r="F3454" s="6" t="s">
        <v>3553</v>
      </c>
      <c r="G3454" s="5">
        <v>36266</v>
      </c>
      <c r="H3454" s="5">
        <f t="shared" si="103"/>
        <v>0.27677447280000012</v>
      </c>
      <c r="I3454" s="20">
        <f t="shared" si="104"/>
        <v>10037.503030564803</v>
      </c>
      <c r="J3454" s="6" t="s">
        <v>357</v>
      </c>
    </row>
    <row r="3455" spans="1:10" hidden="1">
      <c r="A3455" s="9">
        <v>46106</v>
      </c>
      <c r="B3455" s="6" t="s">
        <v>5152</v>
      </c>
      <c r="C3455" s="5" t="s">
        <v>1647</v>
      </c>
      <c r="D3455" s="8" t="s">
        <v>306</v>
      </c>
      <c r="E3455" s="6" t="s">
        <v>355</v>
      </c>
      <c r="F3455" s="6" t="s">
        <v>3553</v>
      </c>
      <c r="G3455" s="5">
        <v>43492</v>
      </c>
      <c r="H3455" s="5">
        <f t="shared" si="103"/>
        <v>0.27677447280000012</v>
      </c>
      <c r="I3455" s="20">
        <f t="shared" si="104"/>
        <v>12037.475371017605</v>
      </c>
      <c r="J3455" s="6" t="s">
        <v>357</v>
      </c>
    </row>
    <row r="3456" spans="1:10" hidden="1">
      <c r="A3456" s="9">
        <v>46106</v>
      </c>
      <c r="B3456" s="6" t="s">
        <v>5154</v>
      </c>
      <c r="C3456" s="5" t="s">
        <v>5153</v>
      </c>
      <c r="D3456" s="8" t="s">
        <v>306</v>
      </c>
      <c r="E3456" s="6" t="s">
        <v>355</v>
      </c>
      <c r="F3456" s="6" t="s">
        <v>3553</v>
      </c>
      <c r="G3456" s="5">
        <v>30834</v>
      </c>
      <c r="H3456" s="5">
        <f t="shared" si="103"/>
        <v>0.27677447280000012</v>
      </c>
      <c r="I3456" s="20">
        <f t="shared" si="104"/>
        <v>8534.064094315203</v>
      </c>
      <c r="J3456" s="6" t="s">
        <v>357</v>
      </c>
    </row>
    <row r="3457" spans="1:10" hidden="1">
      <c r="A3457" s="9">
        <v>46106</v>
      </c>
      <c r="B3457" s="6" t="s">
        <v>5156</v>
      </c>
      <c r="C3457" s="5" t="s">
        <v>5155</v>
      </c>
      <c r="D3457" s="8" t="s">
        <v>306</v>
      </c>
      <c r="E3457" s="6" t="s">
        <v>355</v>
      </c>
      <c r="F3457" s="6" t="s">
        <v>3553</v>
      </c>
      <c r="G3457" s="5">
        <v>36963</v>
      </c>
      <c r="H3457" s="5">
        <f t="shared" si="103"/>
        <v>0.27677447280000012</v>
      </c>
      <c r="I3457" s="20">
        <f t="shared" si="104"/>
        <v>10230.414838106404</v>
      </c>
      <c r="J3457" s="6" t="s">
        <v>357</v>
      </c>
    </row>
    <row r="3458" spans="1:10" ht="30" hidden="1">
      <c r="A3458" s="9">
        <v>46106</v>
      </c>
      <c r="B3458" s="6" t="s">
        <v>5158</v>
      </c>
      <c r="C3458" s="15" t="s">
        <v>5157</v>
      </c>
      <c r="D3458" s="28" t="s">
        <v>306</v>
      </c>
      <c r="E3458" s="6" t="s">
        <v>355</v>
      </c>
      <c r="F3458" s="6" t="s">
        <v>3553</v>
      </c>
      <c r="G3458" s="5">
        <v>1111</v>
      </c>
      <c r="H3458" s="5">
        <f t="shared" si="103"/>
        <v>0.27677447280000012</v>
      </c>
      <c r="I3458" s="20">
        <f t="shared" si="104"/>
        <v>307.49643928080013</v>
      </c>
      <c r="J3458" s="6" t="s">
        <v>357</v>
      </c>
    </row>
    <row r="3459" spans="1:10" hidden="1">
      <c r="A3459" s="9">
        <v>46106</v>
      </c>
      <c r="B3459" s="6" t="s">
        <v>5159</v>
      </c>
      <c r="C3459" s="5" t="s">
        <v>2181</v>
      </c>
      <c r="D3459" s="8" t="s">
        <v>306</v>
      </c>
      <c r="E3459" s="6" t="s">
        <v>355</v>
      </c>
      <c r="F3459" s="6" t="s">
        <v>3553</v>
      </c>
      <c r="G3459" s="5">
        <v>45128</v>
      </c>
      <c r="H3459" s="5">
        <f t="shared" si="103"/>
        <v>0.27677447280000012</v>
      </c>
      <c r="I3459" s="20">
        <f t="shared" si="104"/>
        <v>12490.278408518405</v>
      </c>
      <c r="J3459" s="6" t="s">
        <v>357</v>
      </c>
    </row>
    <row r="3460" spans="1:10" hidden="1">
      <c r="A3460" s="9">
        <v>46106</v>
      </c>
      <c r="B3460" s="6" t="s">
        <v>5160</v>
      </c>
      <c r="C3460" s="5" t="s">
        <v>2184</v>
      </c>
      <c r="D3460" s="8" t="s">
        <v>306</v>
      </c>
      <c r="E3460" s="6" t="s">
        <v>355</v>
      </c>
      <c r="F3460" s="6" t="s">
        <v>3553</v>
      </c>
      <c r="G3460" s="5">
        <v>52596</v>
      </c>
      <c r="H3460" s="5">
        <f t="shared" si="103"/>
        <v>0.27677447280000012</v>
      </c>
      <c r="I3460" s="20">
        <f t="shared" si="104"/>
        <v>14557.230171388806</v>
      </c>
      <c r="J3460" s="6" t="s">
        <v>357</v>
      </c>
    </row>
    <row r="3461" spans="1:10" hidden="1">
      <c r="A3461" s="9">
        <v>46106</v>
      </c>
      <c r="B3461" s="6" t="s">
        <v>5162</v>
      </c>
      <c r="C3461" s="5" t="s">
        <v>5161</v>
      </c>
      <c r="D3461" s="8" t="s">
        <v>306</v>
      </c>
      <c r="E3461" s="6" t="s">
        <v>355</v>
      </c>
      <c r="F3461" s="6" t="s">
        <v>3553</v>
      </c>
      <c r="G3461" s="5">
        <v>38356</v>
      </c>
      <c r="H3461" s="5">
        <f t="shared" si="103"/>
        <v>0.27677447280000012</v>
      </c>
      <c r="I3461" s="20">
        <f t="shared" si="104"/>
        <v>10615.961678716805</v>
      </c>
      <c r="J3461" s="6" t="s">
        <v>357</v>
      </c>
    </row>
    <row r="3462" spans="1:10" hidden="1">
      <c r="A3462" s="9">
        <v>46106</v>
      </c>
      <c r="B3462" s="6" t="s">
        <v>5164</v>
      </c>
      <c r="C3462" s="5" t="s">
        <v>5163</v>
      </c>
      <c r="D3462" s="8" t="s">
        <v>306</v>
      </c>
      <c r="E3462" s="6" t="s">
        <v>355</v>
      </c>
      <c r="F3462" s="6" t="s">
        <v>3553</v>
      </c>
      <c r="G3462" s="5">
        <v>44707</v>
      </c>
      <c r="H3462" s="5">
        <f t="shared" si="103"/>
        <v>0.27677447280000012</v>
      </c>
      <c r="I3462" s="20">
        <f t="shared" si="104"/>
        <v>12373.756355469604</v>
      </c>
      <c r="J3462" s="6" t="s">
        <v>357</v>
      </c>
    </row>
    <row r="3463" spans="1:10" hidden="1">
      <c r="A3463" s="9">
        <v>46106</v>
      </c>
      <c r="B3463" s="6" t="s">
        <v>5166</v>
      </c>
      <c r="C3463" s="5" t="s">
        <v>5165</v>
      </c>
      <c r="D3463" s="8" t="s">
        <v>306</v>
      </c>
      <c r="E3463" s="6" t="s">
        <v>355</v>
      </c>
      <c r="F3463" s="6" t="s">
        <v>3553</v>
      </c>
      <c r="G3463" s="5">
        <v>56857</v>
      </c>
      <c r="H3463" s="5">
        <f t="shared" si="103"/>
        <v>0.27677447280000012</v>
      </c>
      <c r="I3463" s="20">
        <f t="shared" si="104"/>
        <v>15736.566199989607</v>
      </c>
      <c r="J3463" s="6" t="s">
        <v>357</v>
      </c>
    </row>
    <row r="3464" spans="1:10" hidden="1">
      <c r="A3464" s="9">
        <v>46106</v>
      </c>
      <c r="B3464" s="6" t="s">
        <v>5168</v>
      </c>
      <c r="C3464" s="5" t="s">
        <v>5167</v>
      </c>
      <c r="D3464" s="8" t="s">
        <v>306</v>
      </c>
      <c r="E3464" s="6" t="s">
        <v>355</v>
      </c>
      <c r="F3464" s="6" t="s">
        <v>3553</v>
      </c>
      <c r="G3464" s="5">
        <v>66517</v>
      </c>
      <c r="H3464" s="5">
        <f t="shared" si="103"/>
        <v>0.27677447280000012</v>
      </c>
      <c r="I3464" s="20">
        <f t="shared" si="104"/>
        <v>18410.207607237608</v>
      </c>
      <c r="J3464" s="6" t="s">
        <v>357</v>
      </c>
    </row>
    <row r="3465" spans="1:10" hidden="1">
      <c r="A3465" s="9">
        <v>46106</v>
      </c>
      <c r="B3465" s="6" t="s">
        <v>5170</v>
      </c>
      <c r="C3465" s="5" t="s">
        <v>5169</v>
      </c>
      <c r="D3465" s="8" t="s">
        <v>306</v>
      </c>
      <c r="E3465" s="6" t="s">
        <v>355</v>
      </c>
      <c r="F3465" s="6" t="s">
        <v>3553</v>
      </c>
      <c r="G3465" s="5">
        <v>48330</v>
      </c>
      <c r="H3465" s="5">
        <f t="shared" si="103"/>
        <v>0.27677447280000012</v>
      </c>
      <c r="I3465" s="20">
        <f t="shared" si="104"/>
        <v>13376.510270424005</v>
      </c>
      <c r="J3465" s="6" t="s">
        <v>357</v>
      </c>
    </row>
    <row r="3466" spans="1:10" hidden="1">
      <c r="A3466" s="9">
        <v>46106</v>
      </c>
      <c r="B3466" s="6" t="s">
        <v>5172</v>
      </c>
      <c r="C3466" s="5" t="s">
        <v>5171</v>
      </c>
      <c r="D3466" s="8" t="s">
        <v>306</v>
      </c>
      <c r="E3466" s="6" t="s">
        <v>355</v>
      </c>
      <c r="F3466" s="6" t="s">
        <v>3553</v>
      </c>
      <c r="G3466" s="5">
        <v>56538</v>
      </c>
      <c r="H3466" s="5">
        <f t="shared" si="103"/>
        <v>0.27677447280000012</v>
      </c>
      <c r="I3466" s="20">
        <f t="shared" si="104"/>
        <v>15648.275143166407</v>
      </c>
      <c r="J3466" s="6" t="s">
        <v>357</v>
      </c>
    </row>
    <row r="3467" spans="1:10" hidden="1">
      <c r="A3467" s="9">
        <v>46106</v>
      </c>
      <c r="B3467" s="6" t="s">
        <v>5174</v>
      </c>
      <c r="C3467" s="5" t="s">
        <v>5173</v>
      </c>
      <c r="D3467" s="8" t="s">
        <v>306</v>
      </c>
      <c r="E3467" s="6" t="s">
        <v>355</v>
      </c>
      <c r="F3467" s="6" t="s">
        <v>3553</v>
      </c>
      <c r="G3467" s="5">
        <v>68688</v>
      </c>
      <c r="H3467" s="5">
        <f t="shared" si="103"/>
        <v>0.27677447280000012</v>
      </c>
      <c r="I3467" s="20">
        <f t="shared" si="104"/>
        <v>19011.084987686409</v>
      </c>
      <c r="J3467" s="6" t="s">
        <v>357</v>
      </c>
    </row>
    <row r="3468" spans="1:10" hidden="1">
      <c r="A3468" s="9">
        <v>46106</v>
      </c>
      <c r="B3468" s="6" t="s">
        <v>5176</v>
      </c>
      <c r="C3468" s="5" t="s">
        <v>5175</v>
      </c>
      <c r="D3468" s="8" t="s">
        <v>306</v>
      </c>
      <c r="E3468" s="6" t="s">
        <v>355</v>
      </c>
      <c r="F3468" s="6" t="s">
        <v>3553</v>
      </c>
      <c r="G3468" s="5">
        <v>77177</v>
      </c>
      <c r="H3468" s="5">
        <f t="shared" si="103"/>
        <v>0.27677447280000012</v>
      </c>
      <c r="I3468" s="20">
        <f t="shared" si="104"/>
        <v>21360.623487285608</v>
      </c>
      <c r="J3468" s="6" t="s">
        <v>357</v>
      </c>
    </row>
    <row r="3469" spans="1:10" hidden="1">
      <c r="A3469" s="9">
        <v>46106</v>
      </c>
      <c r="B3469" s="6" t="s">
        <v>5178</v>
      </c>
      <c r="C3469" s="5" t="s">
        <v>5177</v>
      </c>
      <c r="D3469" s="8" t="s">
        <v>306</v>
      </c>
      <c r="E3469" s="6" t="s">
        <v>355</v>
      </c>
      <c r="F3469" s="6" t="s">
        <v>3553</v>
      </c>
      <c r="G3469" s="5">
        <v>58379</v>
      </c>
      <c r="H3469" s="5">
        <f t="shared" ref="H3469:H3500" si="105">0.9*0.8*0.7*0.93*(0.9*0.9*0.9*0.9*0.9)</f>
        <v>0.27677447280000012</v>
      </c>
      <c r="I3469" s="20">
        <f t="shared" si="104"/>
        <v>16157.816947591207</v>
      </c>
      <c r="J3469" s="6" t="s">
        <v>357</v>
      </c>
    </row>
    <row r="3470" spans="1:10" hidden="1">
      <c r="A3470" s="9">
        <v>46106</v>
      </c>
      <c r="B3470" s="6" t="s">
        <v>5180</v>
      </c>
      <c r="C3470" s="5" t="s">
        <v>5179</v>
      </c>
      <c r="D3470" s="8" t="s">
        <v>306</v>
      </c>
      <c r="E3470" s="6" t="s">
        <v>355</v>
      </c>
      <c r="F3470" s="6" t="s">
        <v>3553</v>
      </c>
      <c r="G3470" s="5">
        <v>66814</v>
      </c>
      <c r="H3470" s="5">
        <f t="shared" si="105"/>
        <v>0.27677447280000012</v>
      </c>
      <c r="I3470" s="20">
        <f t="shared" si="104"/>
        <v>18492.409625659209</v>
      </c>
      <c r="J3470" s="6" t="s">
        <v>357</v>
      </c>
    </row>
    <row r="3471" spans="1:10" hidden="1">
      <c r="A3471" s="9">
        <v>46106</v>
      </c>
      <c r="B3471" s="33" t="s">
        <v>5182</v>
      </c>
      <c r="C3471" s="34" t="s">
        <v>5181</v>
      </c>
      <c r="D3471" s="35" t="s">
        <v>306</v>
      </c>
      <c r="E3471" s="6" t="s">
        <v>466</v>
      </c>
      <c r="F3471" s="6" t="s">
        <v>5183</v>
      </c>
      <c r="G3471" s="5">
        <v>987</v>
      </c>
      <c r="H3471" s="5">
        <f t="shared" si="105"/>
        <v>0.27677447280000012</v>
      </c>
      <c r="I3471" s="20">
        <f t="shared" si="104"/>
        <v>273.17640465360012</v>
      </c>
      <c r="J3471" s="6" t="s">
        <v>357</v>
      </c>
    </row>
    <row r="3472" spans="1:10" hidden="1">
      <c r="A3472" s="9">
        <v>46106</v>
      </c>
      <c r="B3472" s="33" t="s">
        <v>5184</v>
      </c>
      <c r="C3472" s="34" t="s">
        <v>5114</v>
      </c>
      <c r="D3472" s="35" t="s">
        <v>306</v>
      </c>
      <c r="E3472" s="6" t="s">
        <v>466</v>
      </c>
      <c r="F3472" s="6" t="s">
        <v>5183</v>
      </c>
      <c r="G3472" s="5">
        <v>1620</v>
      </c>
      <c r="H3472" s="5">
        <f t="shared" si="105"/>
        <v>0.27677447280000012</v>
      </c>
      <c r="I3472" s="20">
        <f t="shared" si="104"/>
        <v>448.37464593600021</v>
      </c>
      <c r="J3472" s="6" t="s">
        <v>357</v>
      </c>
    </row>
    <row r="3473" spans="1:10" hidden="1">
      <c r="A3473" s="9">
        <v>46106</v>
      </c>
      <c r="B3473" s="6" t="s">
        <v>5650</v>
      </c>
      <c r="C3473" s="5" t="s">
        <v>5649</v>
      </c>
      <c r="D3473" s="8" t="s">
        <v>306</v>
      </c>
      <c r="E3473" s="6" t="s">
        <v>466</v>
      </c>
      <c r="F3473" s="6" t="s">
        <v>5183</v>
      </c>
      <c r="G3473" s="5">
        <v>46652</v>
      </c>
      <c r="H3473" s="5">
        <f t="shared" si="105"/>
        <v>0.27677447280000012</v>
      </c>
      <c r="I3473" s="20">
        <f t="shared" si="104"/>
        <v>12912.082705065606</v>
      </c>
      <c r="J3473" s="6" t="s">
        <v>357</v>
      </c>
    </row>
    <row r="3474" spans="1:10" hidden="1">
      <c r="A3474" s="9">
        <v>46106</v>
      </c>
      <c r="B3474" s="6" t="s">
        <v>5651</v>
      </c>
      <c r="C3474" s="5" t="s">
        <v>5652</v>
      </c>
      <c r="D3474" s="8" t="s">
        <v>306</v>
      </c>
      <c r="E3474" s="6" t="s">
        <v>466</v>
      </c>
      <c r="F3474" s="6" t="s">
        <v>5185</v>
      </c>
      <c r="G3474" s="5">
        <v>52472</v>
      </c>
      <c r="H3474" s="5">
        <f t="shared" si="105"/>
        <v>0.27677447280000012</v>
      </c>
      <c r="I3474" s="20">
        <f t="shared" si="104"/>
        <v>14522.910136761606</v>
      </c>
      <c r="J3474" s="6" t="s">
        <v>357</v>
      </c>
    </row>
    <row r="3475" spans="1:10" hidden="1">
      <c r="A3475" s="9">
        <v>46106</v>
      </c>
      <c r="B3475" s="6" t="s">
        <v>5655</v>
      </c>
      <c r="C3475" s="5" t="s">
        <v>5653</v>
      </c>
      <c r="D3475" s="8" t="s">
        <v>306</v>
      </c>
      <c r="E3475" s="6" t="s">
        <v>466</v>
      </c>
      <c r="F3475" s="6" t="s">
        <v>5183</v>
      </c>
      <c r="G3475" s="5">
        <v>15108</v>
      </c>
      <c r="H3475" s="5">
        <f t="shared" si="105"/>
        <v>0.27677447280000012</v>
      </c>
      <c r="I3475" s="20">
        <f t="shared" si="104"/>
        <v>4181.5087350624017</v>
      </c>
      <c r="J3475" s="6" t="s">
        <v>357</v>
      </c>
    </row>
    <row r="3476" spans="1:10" hidden="1">
      <c r="A3476" s="9">
        <v>46106</v>
      </c>
      <c r="B3476" s="6" t="s">
        <v>5657</v>
      </c>
      <c r="C3476" s="5" t="s">
        <v>5186</v>
      </c>
      <c r="D3476" s="8" t="s">
        <v>306</v>
      </c>
      <c r="E3476" s="6" t="s">
        <v>466</v>
      </c>
      <c r="F3476" s="6" t="s">
        <v>5183</v>
      </c>
      <c r="G3476" s="5">
        <v>17103</v>
      </c>
      <c r="H3476" s="5">
        <f t="shared" si="105"/>
        <v>0.27677447280000012</v>
      </c>
      <c r="I3476" s="20">
        <f t="shared" si="104"/>
        <v>4733.673808298402</v>
      </c>
      <c r="J3476" s="6" t="s">
        <v>357</v>
      </c>
    </row>
    <row r="3477" spans="1:10" hidden="1">
      <c r="A3477" s="9">
        <v>46106</v>
      </c>
      <c r="B3477" s="6" t="s">
        <v>5659</v>
      </c>
      <c r="C3477" s="5" t="s">
        <v>5188</v>
      </c>
      <c r="D3477" s="8" t="s">
        <v>306</v>
      </c>
      <c r="E3477" s="6" t="s">
        <v>466</v>
      </c>
      <c r="F3477" s="6" t="s">
        <v>5183</v>
      </c>
      <c r="G3477" s="5">
        <v>19662</v>
      </c>
      <c r="H3477" s="5">
        <f t="shared" si="105"/>
        <v>0.27677447280000012</v>
      </c>
      <c r="I3477" s="20">
        <f t="shared" si="104"/>
        <v>5441.9396841936023</v>
      </c>
      <c r="J3477" s="6" t="s">
        <v>357</v>
      </c>
    </row>
    <row r="3478" spans="1:10" hidden="1">
      <c r="A3478" s="9">
        <v>46106</v>
      </c>
      <c r="B3478" s="6" t="s">
        <v>5656</v>
      </c>
      <c r="C3478" s="5" t="s">
        <v>5654</v>
      </c>
      <c r="D3478" s="8" t="s">
        <v>306</v>
      </c>
      <c r="E3478" s="6" t="s">
        <v>466</v>
      </c>
      <c r="F3478" s="6" t="s">
        <v>5183</v>
      </c>
      <c r="G3478" s="5">
        <v>22600</v>
      </c>
      <c r="H3478" s="5">
        <f t="shared" si="105"/>
        <v>0.27677447280000012</v>
      </c>
      <c r="I3478" s="20">
        <f t="shared" si="104"/>
        <v>6255.1030852800022</v>
      </c>
      <c r="J3478" s="6" t="s">
        <v>357</v>
      </c>
    </row>
    <row r="3479" spans="1:10" hidden="1">
      <c r="A3479" s="9">
        <v>46106</v>
      </c>
      <c r="B3479" s="6" t="s">
        <v>5658</v>
      </c>
      <c r="C3479" s="5" t="s">
        <v>5187</v>
      </c>
      <c r="D3479" s="8" t="s">
        <v>306</v>
      </c>
      <c r="E3479" s="6" t="s">
        <v>466</v>
      </c>
      <c r="F3479" s="6" t="s">
        <v>5183</v>
      </c>
      <c r="G3479" s="5">
        <v>22826</v>
      </c>
      <c r="H3479" s="5">
        <f t="shared" si="105"/>
        <v>0.27677447280000012</v>
      </c>
      <c r="I3479" s="20">
        <f t="shared" si="104"/>
        <v>6317.6541161328023</v>
      </c>
      <c r="J3479" s="6" t="s">
        <v>357</v>
      </c>
    </row>
    <row r="3480" spans="1:10" hidden="1">
      <c r="A3480" s="9">
        <v>46106</v>
      </c>
      <c r="B3480" s="6" t="s">
        <v>5660</v>
      </c>
      <c r="C3480" s="5" t="s">
        <v>5189</v>
      </c>
      <c r="D3480" s="8" t="s">
        <v>306</v>
      </c>
      <c r="E3480" s="6" t="s">
        <v>466</v>
      </c>
      <c r="F3480" s="6" t="s">
        <v>5183</v>
      </c>
      <c r="G3480" s="5">
        <v>35307</v>
      </c>
      <c r="H3480" s="5">
        <f t="shared" si="105"/>
        <v>0.27677447280000012</v>
      </c>
      <c r="I3480" s="20">
        <f t="shared" si="104"/>
        <v>9772.0763111496035</v>
      </c>
      <c r="J3480" s="6" t="s">
        <v>357</v>
      </c>
    </row>
    <row r="3481" spans="1:10" hidden="1">
      <c r="A3481" s="9">
        <v>46106</v>
      </c>
      <c r="B3481" s="6" t="s">
        <v>5695</v>
      </c>
      <c r="C3481" s="5" t="s">
        <v>5689</v>
      </c>
      <c r="D3481" s="8" t="s">
        <v>306</v>
      </c>
      <c r="E3481" s="6" t="s">
        <v>466</v>
      </c>
      <c r="F3481" s="6" t="s">
        <v>5183</v>
      </c>
      <c r="G3481" s="5">
        <v>19916</v>
      </c>
      <c r="H3481" s="5">
        <f t="shared" si="105"/>
        <v>0.27677447280000012</v>
      </c>
      <c r="I3481" s="20">
        <f t="shared" si="104"/>
        <v>5512.2404002848025</v>
      </c>
      <c r="J3481" s="6" t="s">
        <v>357</v>
      </c>
    </row>
    <row r="3482" spans="1:10" hidden="1">
      <c r="A3482" s="9">
        <v>46106</v>
      </c>
      <c r="B3482" s="6" t="s">
        <v>5698</v>
      </c>
      <c r="C3482" s="5" t="s">
        <v>5190</v>
      </c>
      <c r="D3482" s="8" t="s">
        <v>306</v>
      </c>
      <c r="E3482" s="6" t="s">
        <v>466</v>
      </c>
      <c r="F3482" s="6" t="s">
        <v>5183</v>
      </c>
      <c r="G3482" s="5">
        <v>21798</v>
      </c>
      <c r="H3482" s="5">
        <f t="shared" si="105"/>
        <v>0.27677447280000012</v>
      </c>
      <c r="I3482" s="20">
        <f t="shared" si="104"/>
        <v>6033.1299580944024</v>
      </c>
      <c r="J3482" s="6" t="s">
        <v>357</v>
      </c>
    </row>
    <row r="3483" spans="1:10" hidden="1">
      <c r="A3483" s="9">
        <v>46106</v>
      </c>
      <c r="B3483" s="6" t="s">
        <v>5700</v>
      </c>
      <c r="C3483" s="5" t="s">
        <v>5192</v>
      </c>
      <c r="D3483" s="8" t="s">
        <v>306</v>
      </c>
      <c r="E3483" s="6" t="s">
        <v>466</v>
      </c>
      <c r="F3483" s="6" t="s">
        <v>5183</v>
      </c>
      <c r="G3483" s="5">
        <v>25143</v>
      </c>
      <c r="H3483" s="5">
        <f t="shared" si="105"/>
        <v>0.27677447280000012</v>
      </c>
      <c r="I3483" s="20">
        <f t="shared" si="104"/>
        <v>6958.9405696104031</v>
      </c>
      <c r="J3483" s="6" t="s">
        <v>357</v>
      </c>
    </row>
    <row r="3484" spans="1:10" hidden="1">
      <c r="A3484" s="9">
        <v>46106</v>
      </c>
      <c r="B3484" s="6" t="s">
        <v>5696</v>
      </c>
      <c r="C3484" s="5" t="s">
        <v>5690</v>
      </c>
      <c r="D3484" s="8" t="s">
        <v>306</v>
      </c>
      <c r="E3484" s="6" t="s">
        <v>466</v>
      </c>
      <c r="F3484" s="6" t="s">
        <v>5183</v>
      </c>
      <c r="G3484" s="5">
        <v>25250</v>
      </c>
      <c r="H3484" s="5">
        <f t="shared" si="105"/>
        <v>0.27677447280000012</v>
      </c>
      <c r="I3484" s="20">
        <f t="shared" si="104"/>
        <v>6988.5554382000028</v>
      </c>
      <c r="J3484" s="6" t="s">
        <v>357</v>
      </c>
    </row>
    <row r="3485" spans="1:10" hidden="1">
      <c r="A3485" s="9">
        <v>46106</v>
      </c>
      <c r="B3485" s="6" t="s">
        <v>5699</v>
      </c>
      <c r="C3485" s="5" t="s">
        <v>5191</v>
      </c>
      <c r="D3485" s="8" t="s">
        <v>306</v>
      </c>
      <c r="E3485" s="6" t="s">
        <v>466</v>
      </c>
      <c r="F3485" s="6" t="s">
        <v>5183</v>
      </c>
      <c r="G3485" s="5">
        <v>27487</v>
      </c>
      <c r="H3485" s="5">
        <f t="shared" si="105"/>
        <v>0.27677447280000012</v>
      </c>
      <c r="I3485" s="20">
        <f t="shared" si="104"/>
        <v>7607.6999338536034</v>
      </c>
      <c r="J3485" s="6" t="s">
        <v>357</v>
      </c>
    </row>
    <row r="3486" spans="1:10" hidden="1">
      <c r="A3486" s="9">
        <v>46106</v>
      </c>
      <c r="B3486" s="6" t="s">
        <v>5697</v>
      </c>
      <c r="C3486" s="5" t="s">
        <v>5193</v>
      </c>
      <c r="D3486" s="8" t="s">
        <v>306</v>
      </c>
      <c r="E3486" s="6" t="s">
        <v>466</v>
      </c>
      <c r="F3486" s="6" t="s">
        <v>5183</v>
      </c>
      <c r="G3486" s="5">
        <v>39510</v>
      </c>
      <c r="H3486" s="5">
        <f t="shared" si="105"/>
        <v>0.27677447280000012</v>
      </c>
      <c r="I3486" s="20">
        <f t="shared" si="104"/>
        <v>10935.359420328004</v>
      </c>
      <c r="J3486" s="6" t="s">
        <v>357</v>
      </c>
    </row>
    <row r="3487" spans="1:10" hidden="1">
      <c r="A3487" s="9">
        <v>46106</v>
      </c>
      <c r="B3487" s="6" t="s">
        <v>5701</v>
      </c>
      <c r="C3487" s="5" t="s">
        <v>5691</v>
      </c>
      <c r="D3487" s="8" t="s">
        <v>306</v>
      </c>
      <c r="E3487" s="6" t="s">
        <v>466</v>
      </c>
      <c r="F3487" s="6" t="s">
        <v>5183</v>
      </c>
      <c r="G3487" s="5">
        <v>30216</v>
      </c>
      <c r="H3487" s="5">
        <f t="shared" si="105"/>
        <v>0.27677447280000012</v>
      </c>
      <c r="I3487" s="20">
        <f t="shared" si="104"/>
        <v>8363.0174701248034</v>
      </c>
      <c r="J3487" s="6" t="s">
        <v>357</v>
      </c>
    </row>
    <row r="3488" spans="1:10" hidden="1">
      <c r="A3488" s="9">
        <v>46106</v>
      </c>
      <c r="B3488" s="6" t="s">
        <v>5702</v>
      </c>
      <c r="C3488" s="5" t="s">
        <v>5692</v>
      </c>
      <c r="D3488" s="8" t="s">
        <v>306</v>
      </c>
      <c r="E3488" s="6" t="s">
        <v>466</v>
      </c>
      <c r="F3488" s="6" t="s">
        <v>5183</v>
      </c>
      <c r="G3488" s="5">
        <v>35991</v>
      </c>
      <c r="H3488" s="5">
        <f t="shared" si="105"/>
        <v>0.27677447280000012</v>
      </c>
      <c r="I3488" s="20">
        <f t="shared" si="104"/>
        <v>9961.3900505448037</v>
      </c>
      <c r="J3488" s="6" t="s">
        <v>357</v>
      </c>
    </row>
    <row r="3489" spans="1:10" hidden="1">
      <c r="A3489" s="9">
        <v>46106</v>
      </c>
      <c r="B3489" s="6" t="s">
        <v>5703</v>
      </c>
      <c r="C3489" s="5" t="s">
        <v>5693</v>
      </c>
      <c r="D3489" s="8" t="s">
        <v>306</v>
      </c>
      <c r="E3489" s="6" t="s">
        <v>466</v>
      </c>
      <c r="F3489" s="6" t="s">
        <v>5183</v>
      </c>
      <c r="G3489" s="5">
        <v>11049</v>
      </c>
      <c r="H3489" s="5">
        <f t="shared" si="105"/>
        <v>0.27677447280000012</v>
      </c>
      <c r="I3489" s="20">
        <f t="shared" si="104"/>
        <v>3058.0811499672013</v>
      </c>
      <c r="J3489" s="6" t="s">
        <v>357</v>
      </c>
    </row>
    <row r="3490" spans="1:10" hidden="1">
      <c r="A3490" s="9">
        <v>46106</v>
      </c>
      <c r="B3490" s="6" t="s">
        <v>5705</v>
      </c>
      <c r="C3490" s="5" t="s">
        <v>5194</v>
      </c>
      <c r="D3490" s="8" t="s">
        <v>306</v>
      </c>
      <c r="E3490" s="6" t="s">
        <v>466</v>
      </c>
      <c r="F3490" s="6" t="s">
        <v>5183</v>
      </c>
      <c r="G3490" s="5">
        <v>12464</v>
      </c>
      <c r="H3490" s="5">
        <f t="shared" si="105"/>
        <v>0.27677447280000012</v>
      </c>
      <c r="I3490" s="20">
        <f t="shared" si="104"/>
        <v>3449.7170289792016</v>
      </c>
      <c r="J3490" s="6" t="s">
        <v>357</v>
      </c>
    </row>
    <row r="3491" spans="1:10" hidden="1">
      <c r="A3491" s="9">
        <v>46106</v>
      </c>
      <c r="B3491" s="6" t="s">
        <v>5707</v>
      </c>
      <c r="C3491" s="5" t="s">
        <v>5196</v>
      </c>
      <c r="D3491" s="8" t="s">
        <v>306</v>
      </c>
      <c r="E3491" s="6" t="s">
        <v>466</v>
      </c>
      <c r="F3491" s="6" t="s">
        <v>5183</v>
      </c>
      <c r="G3491" s="5">
        <v>14345</v>
      </c>
      <c r="H3491" s="5">
        <f t="shared" si="105"/>
        <v>0.27677447280000012</v>
      </c>
      <c r="I3491" s="20">
        <f t="shared" si="104"/>
        <v>3970.3298123160016</v>
      </c>
      <c r="J3491" s="6" t="s">
        <v>357</v>
      </c>
    </row>
    <row r="3492" spans="1:10" hidden="1">
      <c r="A3492" s="9">
        <v>46106</v>
      </c>
      <c r="B3492" s="6" t="s">
        <v>5704</v>
      </c>
      <c r="C3492" s="5" t="s">
        <v>5694</v>
      </c>
      <c r="D3492" s="8" t="s">
        <v>306</v>
      </c>
      <c r="E3492" s="6" t="s">
        <v>466</v>
      </c>
      <c r="F3492" s="6" t="s">
        <v>5183</v>
      </c>
      <c r="G3492" s="5">
        <v>16899</v>
      </c>
      <c r="H3492" s="5">
        <f t="shared" si="105"/>
        <v>0.27677447280000012</v>
      </c>
      <c r="I3492" s="20">
        <f t="shared" si="104"/>
        <v>4677.2118158472022</v>
      </c>
      <c r="J3492" s="6" t="s">
        <v>357</v>
      </c>
    </row>
    <row r="3493" spans="1:10" hidden="1">
      <c r="A3493" s="9">
        <v>46106</v>
      </c>
      <c r="B3493" s="6" t="s">
        <v>5706</v>
      </c>
      <c r="C3493" s="5" t="s">
        <v>5195</v>
      </c>
      <c r="D3493" s="8" t="s">
        <v>306</v>
      </c>
      <c r="E3493" s="6" t="s">
        <v>466</v>
      </c>
      <c r="F3493" s="6" t="s">
        <v>5183</v>
      </c>
      <c r="G3493" s="5">
        <v>18261</v>
      </c>
      <c r="H3493" s="5">
        <f t="shared" si="105"/>
        <v>0.27677447280000012</v>
      </c>
      <c r="I3493" s="20">
        <f t="shared" si="104"/>
        <v>5054.1786478008025</v>
      </c>
      <c r="J3493" s="6" t="s">
        <v>357</v>
      </c>
    </row>
    <row r="3494" spans="1:10" hidden="1">
      <c r="A3494" s="9">
        <v>46106</v>
      </c>
      <c r="B3494" s="6" t="s">
        <v>5708</v>
      </c>
      <c r="C3494" s="5" t="s">
        <v>5197</v>
      </c>
      <c r="D3494" s="8" t="s">
        <v>306</v>
      </c>
      <c r="E3494" s="6" t="s">
        <v>466</v>
      </c>
      <c r="F3494" s="6" t="s">
        <v>5183</v>
      </c>
      <c r="G3494" s="5">
        <v>26233</v>
      </c>
      <c r="H3494" s="5">
        <f t="shared" si="105"/>
        <v>0.27677447280000012</v>
      </c>
      <c r="I3494" s="20">
        <f t="shared" si="104"/>
        <v>7260.6247449624034</v>
      </c>
      <c r="J3494" s="6" t="s">
        <v>357</v>
      </c>
    </row>
    <row r="3495" spans="1:10" hidden="1">
      <c r="A3495" s="9">
        <v>46106</v>
      </c>
      <c r="B3495" s="6" t="s">
        <v>5199</v>
      </c>
      <c r="C3495" s="14" t="s">
        <v>5198</v>
      </c>
      <c r="D3495" s="8" t="s">
        <v>306</v>
      </c>
      <c r="E3495" s="6" t="s">
        <v>466</v>
      </c>
      <c r="F3495" s="6" t="s">
        <v>4279</v>
      </c>
      <c r="G3495" s="5">
        <v>243</v>
      </c>
      <c r="H3495" s="5">
        <f t="shared" si="105"/>
        <v>0.27677447280000012</v>
      </c>
      <c r="I3495" s="20">
        <f t="shared" si="104"/>
        <v>67.256196890400034</v>
      </c>
      <c r="J3495" s="6" t="s">
        <v>357</v>
      </c>
    </row>
    <row r="3496" spans="1:10" ht="30" hidden="1">
      <c r="A3496" s="9">
        <v>46106</v>
      </c>
      <c r="B3496" s="6" t="s">
        <v>5201</v>
      </c>
      <c r="C3496" s="14" t="s">
        <v>5200</v>
      </c>
      <c r="D3496" s="8" t="s">
        <v>306</v>
      </c>
      <c r="E3496" s="6" t="s">
        <v>466</v>
      </c>
      <c r="F3496" s="6" t="s">
        <v>4279</v>
      </c>
      <c r="G3496" s="5">
        <v>850</v>
      </c>
      <c r="H3496" s="5">
        <f t="shared" si="105"/>
        <v>0.27677447280000012</v>
      </c>
      <c r="I3496" s="20">
        <f t="shared" si="104"/>
        <v>235.25830188000009</v>
      </c>
      <c r="J3496" s="6" t="s">
        <v>357</v>
      </c>
    </row>
    <row r="3497" spans="1:10" ht="30" hidden="1">
      <c r="A3497" s="9">
        <v>46106</v>
      </c>
      <c r="B3497" s="6" t="s">
        <v>5203</v>
      </c>
      <c r="C3497" s="14" t="s">
        <v>5202</v>
      </c>
      <c r="D3497" s="8" t="s">
        <v>306</v>
      </c>
      <c r="E3497" s="6" t="s">
        <v>466</v>
      </c>
      <c r="F3497" s="6" t="s">
        <v>4279</v>
      </c>
      <c r="G3497" s="5">
        <v>483</v>
      </c>
      <c r="H3497" s="5">
        <f t="shared" si="105"/>
        <v>0.27677447280000012</v>
      </c>
      <c r="I3497" s="20">
        <f t="shared" si="104"/>
        <v>133.68207036240005</v>
      </c>
      <c r="J3497" s="6" t="s">
        <v>357</v>
      </c>
    </row>
    <row r="3498" spans="1:10" ht="30" hidden="1">
      <c r="A3498" s="9">
        <v>46106</v>
      </c>
      <c r="B3498" s="6" t="s">
        <v>5205</v>
      </c>
      <c r="C3498" s="14" t="s">
        <v>5204</v>
      </c>
      <c r="D3498" s="8" t="s">
        <v>306</v>
      </c>
      <c r="E3498" s="6" t="s">
        <v>466</v>
      </c>
      <c r="F3498" s="6" t="s">
        <v>4279</v>
      </c>
      <c r="G3498" s="5">
        <v>652</v>
      </c>
      <c r="H3498" s="5">
        <f t="shared" si="105"/>
        <v>0.27677447280000012</v>
      </c>
      <c r="I3498" s="20">
        <f t="shared" si="104"/>
        <v>180.45695626560007</v>
      </c>
      <c r="J3498" s="6" t="s">
        <v>357</v>
      </c>
    </row>
    <row r="3499" spans="1:10" hidden="1">
      <c r="A3499" s="9">
        <v>46106</v>
      </c>
      <c r="B3499" s="6" t="s">
        <v>5207</v>
      </c>
      <c r="C3499" s="14" t="s">
        <v>5206</v>
      </c>
      <c r="D3499" s="8" t="s">
        <v>306</v>
      </c>
      <c r="E3499" s="6" t="s">
        <v>466</v>
      </c>
      <c r="F3499" s="6" t="s">
        <v>4279</v>
      </c>
      <c r="G3499" s="5">
        <v>555</v>
      </c>
      <c r="H3499" s="5">
        <f t="shared" si="105"/>
        <v>0.27677447280000012</v>
      </c>
      <c r="I3499" s="20">
        <f t="shared" si="104"/>
        <v>153.60983240400006</v>
      </c>
      <c r="J3499" s="6" t="s">
        <v>357</v>
      </c>
    </row>
    <row r="3500" spans="1:10" ht="30" hidden="1">
      <c r="A3500" s="9">
        <v>46106</v>
      </c>
      <c r="B3500" s="6" t="s">
        <v>5209</v>
      </c>
      <c r="C3500" s="14" t="s">
        <v>5208</v>
      </c>
      <c r="D3500" s="8" t="s">
        <v>306</v>
      </c>
      <c r="E3500" s="6" t="s">
        <v>466</v>
      </c>
      <c r="F3500" s="6" t="s">
        <v>4279</v>
      </c>
      <c r="G3500" s="5">
        <v>777</v>
      </c>
      <c r="H3500" s="5">
        <f t="shared" si="105"/>
        <v>0.27677447280000012</v>
      </c>
      <c r="I3500" s="20">
        <f t="shared" si="104"/>
        <v>215.0537653656001</v>
      </c>
      <c r="J3500" s="6" t="s">
        <v>357</v>
      </c>
    </row>
    <row r="3501" spans="1:10" ht="30" hidden="1">
      <c r="A3501" s="9">
        <v>46106</v>
      </c>
      <c r="B3501" s="6" t="s">
        <v>5211</v>
      </c>
      <c r="C3501" s="14" t="s">
        <v>5210</v>
      </c>
      <c r="D3501" s="8" t="s">
        <v>306</v>
      </c>
      <c r="E3501" s="6" t="s">
        <v>466</v>
      </c>
      <c r="F3501" s="6" t="s">
        <v>4279</v>
      </c>
      <c r="G3501" s="5">
        <v>4775</v>
      </c>
      <c r="H3501" s="5">
        <f t="shared" ref="H3501:H3532" si="106">0.9*0.8*0.7*0.93*(0.9*0.9*0.9*0.9*0.9)</f>
        <v>0.27677447280000012</v>
      </c>
      <c r="I3501" s="20">
        <f t="shared" si="104"/>
        <v>1321.5981076200005</v>
      </c>
      <c r="J3501" s="6" t="s">
        <v>357</v>
      </c>
    </row>
    <row r="3502" spans="1:10" ht="30" hidden="1">
      <c r="A3502" s="9">
        <v>46106</v>
      </c>
      <c r="B3502" s="6" t="s">
        <v>5213</v>
      </c>
      <c r="C3502" s="14" t="s">
        <v>5212</v>
      </c>
      <c r="D3502" s="8" t="s">
        <v>306</v>
      </c>
      <c r="E3502" s="6" t="s">
        <v>466</v>
      </c>
      <c r="F3502" s="6" t="s">
        <v>4279</v>
      </c>
      <c r="G3502" s="5">
        <v>5945</v>
      </c>
      <c r="H3502" s="5">
        <f t="shared" si="106"/>
        <v>0.27677447280000012</v>
      </c>
      <c r="I3502" s="20">
        <f t="shared" si="104"/>
        <v>1645.4242407960007</v>
      </c>
      <c r="J3502" s="6" t="s">
        <v>357</v>
      </c>
    </row>
    <row r="3503" spans="1:10" ht="30" hidden="1">
      <c r="A3503" s="9">
        <v>46106</v>
      </c>
      <c r="B3503" s="6" t="s">
        <v>5215</v>
      </c>
      <c r="C3503" s="14" t="s">
        <v>5214</v>
      </c>
      <c r="D3503" s="8" t="s">
        <v>306</v>
      </c>
      <c r="E3503" s="6" t="s">
        <v>466</v>
      </c>
      <c r="F3503" s="6" t="s">
        <v>4279</v>
      </c>
      <c r="G3503" s="5">
        <v>754</v>
      </c>
      <c r="H3503" s="5">
        <f t="shared" si="106"/>
        <v>0.27677447280000012</v>
      </c>
      <c r="I3503" s="20">
        <f t="shared" si="104"/>
        <v>208.68795249120009</v>
      </c>
      <c r="J3503" s="6" t="s">
        <v>357</v>
      </c>
    </row>
    <row r="3504" spans="1:10" ht="30" hidden="1">
      <c r="A3504" s="9">
        <v>46106</v>
      </c>
      <c r="B3504" s="6" t="s">
        <v>5217</v>
      </c>
      <c r="C3504" s="14" t="s">
        <v>5216</v>
      </c>
      <c r="D3504" s="8" t="s">
        <v>306</v>
      </c>
      <c r="E3504" s="6" t="s">
        <v>466</v>
      </c>
      <c r="F3504" s="6" t="s">
        <v>4279</v>
      </c>
      <c r="G3504" s="5">
        <v>1061</v>
      </c>
      <c r="H3504" s="5">
        <f t="shared" si="106"/>
        <v>0.27677447280000012</v>
      </c>
      <c r="I3504" s="20">
        <f t="shared" si="104"/>
        <v>293.65771564080012</v>
      </c>
      <c r="J3504" s="6" t="s">
        <v>357</v>
      </c>
    </row>
    <row r="3505" spans="1:10" ht="30" hidden="1">
      <c r="A3505" s="9">
        <v>46106</v>
      </c>
      <c r="B3505" s="6" t="s">
        <v>5219</v>
      </c>
      <c r="C3505" s="14" t="s">
        <v>5218</v>
      </c>
      <c r="D3505" s="8" t="s">
        <v>306</v>
      </c>
      <c r="E3505" s="6" t="s">
        <v>466</v>
      </c>
      <c r="F3505" s="6" t="s">
        <v>4279</v>
      </c>
      <c r="G3505" s="5">
        <v>11316</v>
      </c>
      <c r="H3505" s="5">
        <f t="shared" si="106"/>
        <v>0.27677447280000012</v>
      </c>
      <c r="I3505" s="20">
        <f t="shared" si="104"/>
        <v>3131.9799342048013</v>
      </c>
      <c r="J3505" s="6" t="s">
        <v>357</v>
      </c>
    </row>
    <row r="3506" spans="1:10" ht="30" hidden="1">
      <c r="A3506" s="158">
        <v>46106</v>
      </c>
      <c r="B3506" s="156" t="s">
        <v>5971</v>
      </c>
      <c r="C3506" s="159" t="s">
        <v>5970</v>
      </c>
      <c r="D3506" s="160" t="s">
        <v>306</v>
      </c>
      <c r="E3506" s="25" t="s">
        <v>355</v>
      </c>
      <c r="F3506" s="25" t="s">
        <v>5222</v>
      </c>
      <c r="G3506" s="31">
        <v>480</v>
      </c>
      <c r="H3506" s="5">
        <f t="shared" si="106"/>
        <v>0.27677447280000012</v>
      </c>
      <c r="I3506" s="157">
        <f t="shared" si="104"/>
        <v>132.85174694400007</v>
      </c>
      <c r="J3506" s="156" t="s">
        <v>357</v>
      </c>
    </row>
    <row r="3507" spans="1:10" ht="30" hidden="1">
      <c r="A3507" s="158">
        <v>46106</v>
      </c>
      <c r="B3507" s="156" t="s">
        <v>5969</v>
      </c>
      <c r="C3507" s="159" t="s">
        <v>5157</v>
      </c>
      <c r="D3507" s="160" t="s">
        <v>306</v>
      </c>
      <c r="E3507" s="25" t="s">
        <v>355</v>
      </c>
      <c r="F3507" s="25" t="s">
        <v>5222</v>
      </c>
      <c r="G3507" s="31">
        <v>1214</v>
      </c>
      <c r="H3507" s="5">
        <f t="shared" si="106"/>
        <v>0.27677447280000012</v>
      </c>
      <c r="I3507" s="157">
        <f t="shared" si="104"/>
        <v>336.00420997920014</v>
      </c>
      <c r="J3507" s="156" t="s">
        <v>357</v>
      </c>
    </row>
    <row r="3508" spans="1:10" ht="30" hidden="1">
      <c r="A3508" s="158">
        <v>46106</v>
      </c>
      <c r="B3508" s="156" t="s">
        <v>5967</v>
      </c>
      <c r="C3508" s="159" t="s">
        <v>5968</v>
      </c>
      <c r="D3508" s="160" t="s">
        <v>306</v>
      </c>
      <c r="E3508" s="25" t="s">
        <v>355</v>
      </c>
      <c r="F3508" s="25" t="s">
        <v>5222</v>
      </c>
      <c r="G3508" s="31">
        <v>8315</v>
      </c>
      <c r="H3508" s="5">
        <f t="shared" si="106"/>
        <v>0.27677447280000012</v>
      </c>
      <c r="I3508" s="157">
        <f t="shared" si="104"/>
        <v>2301.3797413320008</v>
      </c>
      <c r="J3508" s="156" t="s">
        <v>357</v>
      </c>
    </row>
    <row r="3509" spans="1:10" ht="30" hidden="1">
      <c r="A3509" s="158">
        <v>46106</v>
      </c>
      <c r="B3509" s="156" t="s">
        <v>5966</v>
      </c>
      <c r="C3509" s="159" t="s">
        <v>5965</v>
      </c>
      <c r="D3509" s="160" t="s">
        <v>306</v>
      </c>
      <c r="E3509" s="25" t="s">
        <v>355</v>
      </c>
      <c r="F3509" s="25" t="s">
        <v>5222</v>
      </c>
      <c r="G3509" s="31">
        <v>15906</v>
      </c>
      <c r="H3509" s="5">
        <f t="shared" si="106"/>
        <v>0.27677447280000012</v>
      </c>
      <c r="I3509" s="157">
        <f t="shared" si="104"/>
        <v>4402.3747643568022</v>
      </c>
      <c r="J3509" s="156" t="s">
        <v>357</v>
      </c>
    </row>
    <row r="3510" spans="1:10" ht="30" hidden="1">
      <c r="A3510" s="9">
        <v>46106</v>
      </c>
      <c r="B3510" s="6" t="s">
        <v>5221</v>
      </c>
      <c r="C3510" s="5" t="s">
        <v>5220</v>
      </c>
      <c r="D3510" s="8" t="s">
        <v>306</v>
      </c>
      <c r="E3510" s="6" t="s">
        <v>355</v>
      </c>
      <c r="F3510" s="6" t="s">
        <v>5222</v>
      </c>
      <c r="G3510" s="5">
        <v>45731</v>
      </c>
      <c r="H3510" s="5">
        <f t="shared" si="106"/>
        <v>0.27677447280000012</v>
      </c>
      <c r="I3510" s="20">
        <f t="shared" si="104"/>
        <v>12657.173415616806</v>
      </c>
      <c r="J3510" s="6" t="s">
        <v>357</v>
      </c>
    </row>
    <row r="3511" spans="1:10" ht="30" hidden="1">
      <c r="A3511" s="9">
        <v>46106</v>
      </c>
      <c r="B3511" s="6" t="s">
        <v>5224</v>
      </c>
      <c r="C3511" s="5" t="s">
        <v>5223</v>
      </c>
      <c r="D3511" s="8" t="s">
        <v>306</v>
      </c>
      <c r="E3511" s="6" t="s">
        <v>355</v>
      </c>
      <c r="F3511" s="6" t="s">
        <v>5222</v>
      </c>
      <c r="G3511" s="5">
        <v>53531</v>
      </c>
      <c r="H3511" s="5">
        <f t="shared" si="106"/>
        <v>0.27677447280000012</v>
      </c>
      <c r="I3511" s="20">
        <f t="shared" ref="I3511:I3574" si="107">H3511*G3511</f>
        <v>14816.014303456806</v>
      </c>
      <c r="J3511" s="6" t="s">
        <v>357</v>
      </c>
    </row>
    <row r="3512" spans="1:10" hidden="1">
      <c r="A3512" s="9">
        <v>46106</v>
      </c>
      <c r="B3512" s="6" t="s">
        <v>5226</v>
      </c>
      <c r="C3512" s="5" t="s">
        <v>5225</v>
      </c>
      <c r="D3512" s="8" t="s">
        <v>306</v>
      </c>
      <c r="E3512" s="6" t="s">
        <v>355</v>
      </c>
      <c r="F3512" s="6" t="s">
        <v>5222</v>
      </c>
      <c r="G3512" s="5">
        <v>34175</v>
      </c>
      <c r="H3512" s="5">
        <f t="shared" si="106"/>
        <v>0.27677447280000012</v>
      </c>
      <c r="I3512" s="20">
        <f t="shared" si="107"/>
        <v>9458.7676079400044</v>
      </c>
      <c r="J3512" s="6" t="s">
        <v>357</v>
      </c>
    </row>
    <row r="3513" spans="1:10" hidden="1">
      <c r="A3513" s="9">
        <v>46106</v>
      </c>
      <c r="B3513" s="6" t="s">
        <v>5228</v>
      </c>
      <c r="C3513" s="5" t="s">
        <v>5227</v>
      </c>
      <c r="D3513" s="8" t="s">
        <v>306</v>
      </c>
      <c r="E3513" s="6" t="s">
        <v>355</v>
      </c>
      <c r="F3513" s="6" t="s">
        <v>5222</v>
      </c>
      <c r="G3513" s="5">
        <v>41813</v>
      </c>
      <c r="H3513" s="5">
        <f t="shared" si="106"/>
        <v>0.27677447280000012</v>
      </c>
      <c r="I3513" s="20">
        <f t="shared" si="107"/>
        <v>11572.771031186405</v>
      </c>
      <c r="J3513" s="6" t="s">
        <v>357</v>
      </c>
    </row>
    <row r="3514" spans="1:10" ht="30" hidden="1">
      <c r="A3514" s="9">
        <v>46106</v>
      </c>
      <c r="B3514" s="6" t="s">
        <v>5230</v>
      </c>
      <c r="C3514" s="5" t="s">
        <v>5229</v>
      </c>
      <c r="D3514" s="8" t="s">
        <v>306</v>
      </c>
      <c r="E3514" s="6" t="s">
        <v>355</v>
      </c>
      <c r="F3514" s="6" t="s">
        <v>5222</v>
      </c>
      <c r="G3514" s="5">
        <v>48325</v>
      </c>
      <c r="H3514" s="5">
        <f t="shared" si="106"/>
        <v>0.27677447280000012</v>
      </c>
      <c r="I3514" s="20">
        <f t="shared" si="107"/>
        <v>13375.126398060005</v>
      </c>
      <c r="J3514" s="6" t="s">
        <v>357</v>
      </c>
    </row>
    <row r="3515" spans="1:10" ht="30" hidden="1">
      <c r="A3515" s="9">
        <v>46106</v>
      </c>
      <c r="B3515" s="6" t="s">
        <v>5232</v>
      </c>
      <c r="C3515" s="5" t="s">
        <v>5231</v>
      </c>
      <c r="D3515" s="8" t="s">
        <v>306</v>
      </c>
      <c r="E3515" s="6" t="s">
        <v>355</v>
      </c>
      <c r="F3515" s="6" t="s">
        <v>5222</v>
      </c>
      <c r="G3515" s="5">
        <v>54350</v>
      </c>
      <c r="H3515" s="5">
        <f t="shared" si="106"/>
        <v>0.27677447280000012</v>
      </c>
      <c r="I3515" s="20">
        <f t="shared" si="107"/>
        <v>15042.692596680006</v>
      </c>
      <c r="J3515" s="6" t="s">
        <v>357</v>
      </c>
    </row>
    <row r="3516" spans="1:10" hidden="1">
      <c r="A3516" s="9">
        <v>46106</v>
      </c>
      <c r="B3516" s="6" t="s">
        <v>5234</v>
      </c>
      <c r="C3516" s="5" t="s">
        <v>5233</v>
      </c>
      <c r="D3516" s="8" t="s">
        <v>306</v>
      </c>
      <c r="E3516" s="6" t="s">
        <v>355</v>
      </c>
      <c r="F3516" s="6" t="s">
        <v>5222</v>
      </c>
      <c r="G3516" s="5">
        <v>35606</v>
      </c>
      <c r="H3516" s="5">
        <f t="shared" si="106"/>
        <v>0.27677447280000012</v>
      </c>
      <c r="I3516" s="20">
        <f t="shared" si="107"/>
        <v>9854.8318785168049</v>
      </c>
      <c r="J3516" s="6" t="s">
        <v>357</v>
      </c>
    </row>
    <row r="3517" spans="1:10" hidden="1">
      <c r="A3517" s="9">
        <v>46106</v>
      </c>
      <c r="B3517" s="6" t="s">
        <v>5236</v>
      </c>
      <c r="C3517" s="5" t="s">
        <v>5235</v>
      </c>
      <c r="D3517" s="8" t="s">
        <v>306</v>
      </c>
      <c r="E3517" s="6" t="s">
        <v>355</v>
      </c>
      <c r="F3517" s="6" t="s">
        <v>5222</v>
      </c>
      <c r="G3517" s="5">
        <v>42994</v>
      </c>
      <c r="H3517" s="5">
        <f t="shared" si="106"/>
        <v>0.27677447280000012</v>
      </c>
      <c r="I3517" s="20">
        <f t="shared" si="107"/>
        <v>11899.641683563204</v>
      </c>
      <c r="J3517" s="6" t="s">
        <v>357</v>
      </c>
    </row>
    <row r="3518" spans="1:10" ht="30" hidden="1">
      <c r="A3518" s="9">
        <v>46106</v>
      </c>
      <c r="B3518" s="6" t="s">
        <v>5238</v>
      </c>
      <c r="C3518" s="5" t="s">
        <v>5237</v>
      </c>
      <c r="D3518" s="8" t="s">
        <v>306</v>
      </c>
      <c r="E3518" s="6" t="s">
        <v>355</v>
      </c>
      <c r="F3518" s="6" t="s">
        <v>5222</v>
      </c>
      <c r="G3518" s="5">
        <v>50256</v>
      </c>
      <c r="H3518" s="5">
        <f t="shared" si="106"/>
        <v>0.27677447280000012</v>
      </c>
      <c r="I3518" s="20">
        <f t="shared" si="107"/>
        <v>13909.577905036806</v>
      </c>
      <c r="J3518" s="6" t="s">
        <v>357</v>
      </c>
    </row>
    <row r="3519" spans="1:10" ht="30" hidden="1">
      <c r="A3519" s="9">
        <v>46106</v>
      </c>
      <c r="B3519" s="6" t="s">
        <v>5240</v>
      </c>
      <c r="C3519" s="5" t="s">
        <v>5239</v>
      </c>
      <c r="D3519" s="8" t="s">
        <v>306</v>
      </c>
      <c r="E3519" s="6" t="s">
        <v>355</v>
      </c>
      <c r="F3519" s="6" t="s">
        <v>5222</v>
      </c>
      <c r="G3519" s="5">
        <v>60481</v>
      </c>
      <c r="H3519" s="5">
        <f t="shared" si="106"/>
        <v>0.27677447280000012</v>
      </c>
      <c r="I3519" s="20">
        <f t="shared" si="107"/>
        <v>16739.596889416807</v>
      </c>
      <c r="J3519" s="6" t="s">
        <v>357</v>
      </c>
    </row>
    <row r="3520" spans="1:10" hidden="1">
      <c r="A3520" s="9">
        <v>46106</v>
      </c>
      <c r="B3520" s="6" t="s">
        <v>5242</v>
      </c>
      <c r="C3520" s="5" t="s">
        <v>5241</v>
      </c>
      <c r="D3520" s="8" t="s">
        <v>306</v>
      </c>
      <c r="E3520" s="6" t="s">
        <v>355</v>
      </c>
      <c r="F3520" s="6" t="s">
        <v>5222</v>
      </c>
      <c r="G3520" s="5">
        <v>38769</v>
      </c>
      <c r="H3520" s="5">
        <f t="shared" si="106"/>
        <v>0.27677447280000012</v>
      </c>
      <c r="I3520" s="20">
        <f t="shared" si="107"/>
        <v>10730.269535983205</v>
      </c>
      <c r="J3520" s="6" t="s">
        <v>357</v>
      </c>
    </row>
    <row r="3521" spans="1:10" hidden="1">
      <c r="A3521" s="9">
        <v>46106</v>
      </c>
      <c r="B3521" s="6" t="s">
        <v>5244</v>
      </c>
      <c r="C3521" s="5" t="s">
        <v>5243</v>
      </c>
      <c r="D3521" s="8" t="s">
        <v>306</v>
      </c>
      <c r="E3521" s="6" t="s">
        <v>355</v>
      </c>
      <c r="F3521" s="6" t="s">
        <v>5222</v>
      </c>
      <c r="G3521" s="5">
        <v>48669</v>
      </c>
      <c r="H3521" s="5">
        <f t="shared" si="106"/>
        <v>0.27677447280000012</v>
      </c>
      <c r="I3521" s="20">
        <f t="shared" si="107"/>
        <v>13470.336816703206</v>
      </c>
      <c r="J3521" s="6" t="s">
        <v>357</v>
      </c>
    </row>
    <row r="3522" spans="1:10" ht="30" hidden="1">
      <c r="A3522" s="9">
        <v>46106</v>
      </c>
      <c r="B3522" s="6" t="s">
        <v>5246</v>
      </c>
      <c r="C3522" s="5" t="s">
        <v>5245</v>
      </c>
      <c r="D3522" s="8" t="s">
        <v>306</v>
      </c>
      <c r="E3522" s="6" t="s">
        <v>355</v>
      </c>
      <c r="F3522" s="6" t="s">
        <v>5222</v>
      </c>
      <c r="G3522" s="5">
        <v>54394</v>
      </c>
      <c r="H3522" s="5">
        <f t="shared" si="106"/>
        <v>0.27677447280000012</v>
      </c>
      <c r="I3522" s="20">
        <f t="shared" si="107"/>
        <v>15054.870673483207</v>
      </c>
      <c r="J3522" s="6" t="s">
        <v>357</v>
      </c>
    </row>
    <row r="3523" spans="1:10" ht="30" hidden="1">
      <c r="A3523" s="9">
        <v>46106</v>
      </c>
      <c r="B3523" s="6" t="s">
        <v>5248</v>
      </c>
      <c r="C3523" s="5" t="s">
        <v>5247</v>
      </c>
      <c r="D3523" s="8" t="s">
        <v>306</v>
      </c>
      <c r="E3523" s="6" t="s">
        <v>355</v>
      </c>
      <c r="F3523" s="6" t="s">
        <v>5222</v>
      </c>
      <c r="G3523" s="5">
        <v>61363</v>
      </c>
      <c r="H3523" s="5">
        <f t="shared" si="106"/>
        <v>0.27677447280000012</v>
      </c>
      <c r="I3523" s="20">
        <f t="shared" si="107"/>
        <v>16983.711974426406</v>
      </c>
      <c r="J3523" s="6" t="s">
        <v>357</v>
      </c>
    </row>
    <row r="3524" spans="1:10" hidden="1">
      <c r="A3524" s="9">
        <v>46106</v>
      </c>
      <c r="B3524" s="6" t="s">
        <v>5250</v>
      </c>
      <c r="C3524" s="5" t="s">
        <v>5249</v>
      </c>
      <c r="D3524" s="8" t="s">
        <v>306</v>
      </c>
      <c r="E3524" s="6" t="s">
        <v>355</v>
      </c>
      <c r="F3524" s="6" t="s">
        <v>5222</v>
      </c>
      <c r="G3524" s="5">
        <v>41000</v>
      </c>
      <c r="H3524" s="5">
        <f t="shared" si="106"/>
        <v>0.27677447280000012</v>
      </c>
      <c r="I3524" s="20">
        <f t="shared" si="107"/>
        <v>11347.753384800004</v>
      </c>
      <c r="J3524" s="6" t="s">
        <v>357</v>
      </c>
    </row>
    <row r="3525" spans="1:10" hidden="1">
      <c r="A3525" s="9">
        <v>46106</v>
      </c>
      <c r="B3525" s="6" t="s">
        <v>5252</v>
      </c>
      <c r="C3525" s="5" t="s">
        <v>5251</v>
      </c>
      <c r="D3525" s="8" t="s">
        <v>306</v>
      </c>
      <c r="E3525" s="6" t="s">
        <v>355</v>
      </c>
      <c r="F3525" s="6" t="s">
        <v>5222</v>
      </c>
      <c r="G3525" s="5">
        <v>51775</v>
      </c>
      <c r="H3525" s="5">
        <f t="shared" si="106"/>
        <v>0.27677447280000012</v>
      </c>
      <c r="I3525" s="20">
        <f t="shared" si="107"/>
        <v>14329.998329220007</v>
      </c>
      <c r="J3525" s="6" t="s">
        <v>357</v>
      </c>
    </row>
    <row r="3526" spans="1:10" ht="30" hidden="1">
      <c r="A3526" s="9">
        <v>46106</v>
      </c>
      <c r="B3526" s="6" t="s">
        <v>5254</v>
      </c>
      <c r="C3526" s="5" t="s">
        <v>5253</v>
      </c>
      <c r="D3526" s="8" t="s">
        <v>306</v>
      </c>
      <c r="E3526" s="6" t="s">
        <v>355</v>
      </c>
      <c r="F3526" s="6" t="s">
        <v>5222</v>
      </c>
      <c r="G3526" s="5">
        <v>74081</v>
      </c>
      <c r="H3526" s="5">
        <f t="shared" si="106"/>
        <v>0.27677447280000012</v>
      </c>
      <c r="I3526" s="20">
        <f t="shared" si="107"/>
        <v>20503.729719496809</v>
      </c>
      <c r="J3526" s="6" t="s">
        <v>357</v>
      </c>
    </row>
    <row r="3527" spans="1:10" ht="30" hidden="1">
      <c r="A3527" s="9">
        <v>46106</v>
      </c>
      <c r="B3527" s="6" t="s">
        <v>5256</v>
      </c>
      <c r="C3527" s="5" t="s">
        <v>5255</v>
      </c>
      <c r="D3527" s="8" t="s">
        <v>306</v>
      </c>
      <c r="E3527" s="6" t="s">
        <v>355</v>
      </c>
      <c r="F3527" s="6" t="s">
        <v>5222</v>
      </c>
      <c r="G3527" s="5">
        <v>84831</v>
      </c>
      <c r="H3527" s="5">
        <f t="shared" si="106"/>
        <v>0.27677447280000012</v>
      </c>
      <c r="I3527" s="20">
        <f t="shared" si="107"/>
        <v>23479.055302096811</v>
      </c>
      <c r="J3527" s="6" t="s">
        <v>357</v>
      </c>
    </row>
    <row r="3528" spans="1:10" hidden="1">
      <c r="A3528" s="9">
        <v>46106</v>
      </c>
      <c r="B3528" s="6" t="s">
        <v>5258</v>
      </c>
      <c r="C3528" s="5" t="s">
        <v>5257</v>
      </c>
      <c r="D3528" s="8" t="s">
        <v>306</v>
      </c>
      <c r="E3528" s="6" t="s">
        <v>355</v>
      </c>
      <c r="F3528" s="6" t="s">
        <v>5222</v>
      </c>
      <c r="G3528" s="5">
        <v>63163</v>
      </c>
      <c r="H3528" s="5">
        <f t="shared" si="106"/>
        <v>0.27677447280000012</v>
      </c>
      <c r="I3528" s="20">
        <f t="shared" si="107"/>
        <v>17481.906025466407</v>
      </c>
      <c r="J3528" s="6" t="s">
        <v>357</v>
      </c>
    </row>
    <row r="3529" spans="1:10" hidden="1">
      <c r="A3529" s="9">
        <v>46106</v>
      </c>
      <c r="B3529" s="6" t="s">
        <v>5260</v>
      </c>
      <c r="C3529" s="5" t="s">
        <v>5259</v>
      </c>
      <c r="D3529" s="8" t="s">
        <v>306</v>
      </c>
      <c r="E3529" s="6" t="s">
        <v>355</v>
      </c>
      <c r="F3529" s="6" t="s">
        <v>5222</v>
      </c>
      <c r="G3529" s="5">
        <v>68081</v>
      </c>
      <c r="H3529" s="5">
        <f t="shared" si="106"/>
        <v>0.27677447280000012</v>
      </c>
      <c r="I3529" s="20">
        <f t="shared" si="107"/>
        <v>18843.082882696806</v>
      </c>
      <c r="J3529" s="6" t="s">
        <v>357</v>
      </c>
    </row>
    <row r="3530" spans="1:10" ht="30" hidden="1">
      <c r="A3530" s="9">
        <v>46106</v>
      </c>
      <c r="B3530" s="6" t="s">
        <v>5262</v>
      </c>
      <c r="C3530" s="5" t="s">
        <v>5261</v>
      </c>
      <c r="D3530" s="8" t="s">
        <v>306</v>
      </c>
      <c r="E3530" s="6" t="s">
        <v>355</v>
      </c>
      <c r="F3530" s="6" t="s">
        <v>5222</v>
      </c>
      <c r="G3530" s="5">
        <v>84163</v>
      </c>
      <c r="H3530" s="5">
        <f t="shared" si="106"/>
        <v>0.27677447280000012</v>
      </c>
      <c r="I3530" s="20">
        <f t="shared" si="107"/>
        <v>23294.16995426641</v>
      </c>
      <c r="J3530" s="6" t="s">
        <v>357</v>
      </c>
    </row>
    <row r="3531" spans="1:10" ht="30" hidden="1">
      <c r="A3531" s="9">
        <v>46106</v>
      </c>
      <c r="B3531" s="6" t="s">
        <v>5264</v>
      </c>
      <c r="C3531" s="5" t="s">
        <v>5263</v>
      </c>
      <c r="D3531" s="8" t="s">
        <v>306</v>
      </c>
      <c r="E3531" s="6" t="s">
        <v>355</v>
      </c>
      <c r="F3531" s="6" t="s">
        <v>5222</v>
      </c>
      <c r="G3531" s="5">
        <v>95431</v>
      </c>
      <c r="H3531" s="5">
        <f t="shared" si="106"/>
        <v>0.27677447280000012</v>
      </c>
      <c r="I3531" s="20">
        <f t="shared" si="107"/>
        <v>26412.864713776809</v>
      </c>
      <c r="J3531" s="6" t="s">
        <v>357</v>
      </c>
    </row>
    <row r="3532" spans="1:10" hidden="1">
      <c r="A3532" s="9">
        <v>46106</v>
      </c>
      <c r="B3532" s="6" t="s">
        <v>5266</v>
      </c>
      <c r="C3532" s="5" t="s">
        <v>5265</v>
      </c>
      <c r="D3532" s="8" t="s">
        <v>306</v>
      </c>
      <c r="E3532" s="6" t="s">
        <v>355</v>
      </c>
      <c r="F3532" s="6" t="s">
        <v>5222</v>
      </c>
      <c r="G3532" s="5">
        <v>75125</v>
      </c>
      <c r="H3532" s="5">
        <f t="shared" si="106"/>
        <v>0.27677447280000012</v>
      </c>
      <c r="I3532" s="20">
        <f t="shared" si="107"/>
        <v>20792.682269100009</v>
      </c>
      <c r="J3532" s="6" t="s">
        <v>357</v>
      </c>
    </row>
    <row r="3533" spans="1:10" hidden="1">
      <c r="A3533" s="9">
        <v>46106</v>
      </c>
      <c r="B3533" s="6" t="s">
        <v>5268</v>
      </c>
      <c r="C3533" s="5" t="s">
        <v>5267</v>
      </c>
      <c r="D3533" s="8" t="s">
        <v>306</v>
      </c>
      <c r="E3533" s="6" t="s">
        <v>355</v>
      </c>
      <c r="F3533" s="6" t="s">
        <v>5222</v>
      </c>
      <c r="G3533" s="5">
        <v>86681</v>
      </c>
      <c r="H3533" s="5">
        <f t="shared" ref="H3533:H3549" si="108">0.9*0.8*0.7*0.93*(0.9*0.9*0.9*0.9*0.9)</f>
        <v>0.27677447280000012</v>
      </c>
      <c r="I3533" s="20">
        <f t="shared" si="107"/>
        <v>23991.08807677681</v>
      </c>
      <c r="J3533" s="6" t="s">
        <v>357</v>
      </c>
    </row>
    <row r="3534" spans="1:10" ht="30" hidden="1">
      <c r="A3534" s="9">
        <v>46106</v>
      </c>
      <c r="B3534" s="6" t="s">
        <v>5270</v>
      </c>
      <c r="C3534" s="5" t="s">
        <v>5269</v>
      </c>
      <c r="D3534" s="8" t="s">
        <v>306</v>
      </c>
      <c r="E3534" s="6" t="s">
        <v>355</v>
      </c>
      <c r="F3534" s="6" t="s">
        <v>5222</v>
      </c>
      <c r="G3534" s="5">
        <v>98875</v>
      </c>
      <c r="H3534" s="5">
        <f t="shared" si="108"/>
        <v>0.27677447280000012</v>
      </c>
      <c r="I3534" s="20">
        <f t="shared" si="107"/>
        <v>27366.075998100012</v>
      </c>
      <c r="J3534" s="6" t="s">
        <v>357</v>
      </c>
    </row>
    <row r="3535" spans="1:10" ht="30" hidden="1">
      <c r="A3535" s="9">
        <v>46106</v>
      </c>
      <c r="B3535" s="6" t="s">
        <v>5272</v>
      </c>
      <c r="C3535" s="5" t="s">
        <v>5271</v>
      </c>
      <c r="D3535" s="8" t="s">
        <v>306</v>
      </c>
      <c r="E3535" s="6" t="s">
        <v>355</v>
      </c>
      <c r="F3535" s="6" t="s">
        <v>5222</v>
      </c>
      <c r="G3535" s="5">
        <v>109350</v>
      </c>
      <c r="H3535" s="5">
        <f t="shared" si="108"/>
        <v>0.27677447280000012</v>
      </c>
      <c r="I3535" s="20">
        <f t="shared" si="107"/>
        <v>30265.288600680011</v>
      </c>
      <c r="J3535" s="6" t="s">
        <v>357</v>
      </c>
    </row>
    <row r="3536" spans="1:10" hidden="1">
      <c r="A3536" s="9">
        <v>46106</v>
      </c>
      <c r="B3536" s="6" t="s">
        <v>5274</v>
      </c>
      <c r="C3536" s="5" t="s">
        <v>5273</v>
      </c>
      <c r="D3536" s="8" t="s">
        <v>306</v>
      </c>
      <c r="E3536" s="6" t="s">
        <v>355</v>
      </c>
      <c r="F3536" s="6" t="s">
        <v>5222</v>
      </c>
      <c r="G3536" s="5">
        <v>90263</v>
      </c>
      <c r="H3536" s="5">
        <f t="shared" si="108"/>
        <v>0.27677447280000012</v>
      </c>
      <c r="I3536" s="20">
        <f t="shared" si="107"/>
        <v>24982.494238346411</v>
      </c>
      <c r="J3536" s="6" t="s">
        <v>357</v>
      </c>
    </row>
    <row r="3537" spans="1:10" hidden="1">
      <c r="A3537" s="9">
        <v>46106</v>
      </c>
      <c r="B3537" s="6" t="s">
        <v>5276</v>
      </c>
      <c r="C3537" s="5" t="s">
        <v>5275</v>
      </c>
      <c r="D3537" s="8" t="s">
        <v>306</v>
      </c>
      <c r="E3537" s="6" t="s">
        <v>355</v>
      </c>
      <c r="F3537" s="6" t="s">
        <v>5222</v>
      </c>
      <c r="G3537" s="5">
        <v>99200</v>
      </c>
      <c r="H3537" s="5">
        <f t="shared" si="108"/>
        <v>0.27677447280000012</v>
      </c>
      <c r="I3537" s="20">
        <f t="shared" si="107"/>
        <v>27456.027701760013</v>
      </c>
      <c r="J3537" s="6" t="s">
        <v>357</v>
      </c>
    </row>
    <row r="3538" spans="1:10" ht="30" hidden="1">
      <c r="A3538" s="9">
        <v>46106</v>
      </c>
      <c r="B3538" s="6" t="s">
        <v>5278</v>
      </c>
      <c r="C3538" s="5" t="s">
        <v>5277</v>
      </c>
      <c r="D3538" s="8" t="s">
        <v>306</v>
      </c>
      <c r="E3538" s="6" t="s">
        <v>355</v>
      </c>
      <c r="F3538" s="6" t="s">
        <v>5222</v>
      </c>
      <c r="G3538" s="5">
        <v>112113</v>
      </c>
      <c r="H3538" s="5">
        <f t="shared" si="108"/>
        <v>0.27677447280000012</v>
      </c>
      <c r="I3538" s="20">
        <f t="shared" si="107"/>
        <v>31030.016469026414</v>
      </c>
      <c r="J3538" s="6" t="s">
        <v>357</v>
      </c>
    </row>
    <row r="3539" spans="1:10" ht="30" hidden="1">
      <c r="A3539" s="9">
        <v>46106</v>
      </c>
      <c r="B3539" s="6" t="s">
        <v>5280</v>
      </c>
      <c r="C3539" s="5" t="s">
        <v>5279</v>
      </c>
      <c r="D3539" s="8" t="s">
        <v>306</v>
      </c>
      <c r="E3539" s="6" t="s">
        <v>355</v>
      </c>
      <c r="F3539" s="6" t="s">
        <v>5222</v>
      </c>
      <c r="G3539" s="5">
        <v>156563</v>
      </c>
      <c r="H3539" s="5">
        <f t="shared" si="108"/>
        <v>0.27677447280000012</v>
      </c>
      <c r="I3539" s="20">
        <f t="shared" si="107"/>
        <v>43332.641784986416</v>
      </c>
      <c r="J3539" s="6" t="s">
        <v>357</v>
      </c>
    </row>
    <row r="3540" spans="1:10" hidden="1">
      <c r="A3540" s="9">
        <v>46106</v>
      </c>
      <c r="B3540" s="6" t="s">
        <v>5282</v>
      </c>
      <c r="C3540" s="5" t="s">
        <v>5281</v>
      </c>
      <c r="D3540" s="8" t="s">
        <v>306</v>
      </c>
      <c r="E3540" s="6" t="s">
        <v>355</v>
      </c>
      <c r="F3540" s="6" t="s">
        <v>5222</v>
      </c>
      <c r="G3540" s="5">
        <v>101431</v>
      </c>
      <c r="H3540" s="5">
        <f t="shared" si="108"/>
        <v>0.27677447280000012</v>
      </c>
      <c r="I3540" s="20">
        <f t="shared" si="107"/>
        <v>28073.511550576812</v>
      </c>
      <c r="J3540" s="6" t="s">
        <v>357</v>
      </c>
    </row>
    <row r="3541" spans="1:10" hidden="1">
      <c r="A3541" s="9">
        <v>46106</v>
      </c>
      <c r="B3541" s="6" t="s">
        <v>5284</v>
      </c>
      <c r="C3541" s="5" t="s">
        <v>5283</v>
      </c>
      <c r="D3541" s="8" t="s">
        <v>306</v>
      </c>
      <c r="E3541" s="6" t="s">
        <v>355</v>
      </c>
      <c r="F3541" s="6" t="s">
        <v>5222</v>
      </c>
      <c r="G3541" s="5">
        <v>130563</v>
      </c>
      <c r="H3541" s="5">
        <f t="shared" si="108"/>
        <v>0.27677447280000012</v>
      </c>
      <c r="I3541" s="20">
        <f t="shared" si="107"/>
        <v>36136.505492186414</v>
      </c>
      <c r="J3541" s="6" t="s">
        <v>357</v>
      </c>
    </row>
    <row r="3542" spans="1:10" ht="30" hidden="1">
      <c r="A3542" s="9">
        <v>46106</v>
      </c>
      <c r="B3542" s="6" t="s">
        <v>5286</v>
      </c>
      <c r="C3542" s="5" t="s">
        <v>5285</v>
      </c>
      <c r="D3542" s="8" t="s">
        <v>306</v>
      </c>
      <c r="E3542" s="6" t="s">
        <v>355</v>
      </c>
      <c r="F3542" s="6" t="s">
        <v>5222</v>
      </c>
      <c r="G3542" s="5">
        <v>245000</v>
      </c>
      <c r="H3542" s="5">
        <f t="shared" si="108"/>
        <v>0.27677447280000012</v>
      </c>
      <c r="I3542" s="20">
        <f t="shared" si="107"/>
        <v>67809.745836000031</v>
      </c>
      <c r="J3542" s="6" t="s">
        <v>357</v>
      </c>
    </row>
    <row r="3543" spans="1:10" ht="30" hidden="1">
      <c r="A3543" s="9">
        <v>46106</v>
      </c>
      <c r="B3543" s="6" t="s">
        <v>5288</v>
      </c>
      <c r="C3543" s="5" t="s">
        <v>5287</v>
      </c>
      <c r="D3543" s="8" t="s">
        <v>306</v>
      </c>
      <c r="E3543" s="6" t="s">
        <v>355</v>
      </c>
      <c r="F3543" s="6" t="s">
        <v>5222</v>
      </c>
      <c r="G3543" s="5">
        <v>297000</v>
      </c>
      <c r="H3543" s="5">
        <f t="shared" si="108"/>
        <v>0.27677447280000012</v>
      </c>
      <c r="I3543" s="20">
        <f t="shared" si="107"/>
        <v>82202.018421600034</v>
      </c>
      <c r="J3543" s="6" t="s">
        <v>357</v>
      </c>
    </row>
    <row r="3544" spans="1:10" hidden="1">
      <c r="A3544" s="9">
        <v>46106</v>
      </c>
      <c r="B3544" s="6" t="s">
        <v>5290</v>
      </c>
      <c r="C3544" s="5" t="s">
        <v>5289</v>
      </c>
      <c r="D3544" s="8" t="s">
        <v>306</v>
      </c>
      <c r="E3544" s="6" t="s">
        <v>355</v>
      </c>
      <c r="F3544" s="6" t="s">
        <v>5222</v>
      </c>
      <c r="G3544" s="5">
        <v>239313</v>
      </c>
      <c r="H3544" s="5">
        <f t="shared" si="108"/>
        <v>0.27677447280000012</v>
      </c>
      <c r="I3544" s="20">
        <f t="shared" si="107"/>
        <v>66235.729409186431</v>
      </c>
      <c r="J3544" s="6" t="s">
        <v>357</v>
      </c>
    </row>
    <row r="3545" spans="1:10" hidden="1">
      <c r="A3545" s="9">
        <v>46106</v>
      </c>
      <c r="B3545" s="6" t="s">
        <v>5292</v>
      </c>
      <c r="C3545" s="5" t="s">
        <v>5291</v>
      </c>
      <c r="D3545" s="8" t="s">
        <v>306</v>
      </c>
      <c r="E3545" s="6" t="s">
        <v>355</v>
      </c>
      <c r="F3545" s="6" t="s">
        <v>5222</v>
      </c>
      <c r="G3545" s="5">
        <v>292063</v>
      </c>
      <c r="H3545" s="5">
        <f t="shared" si="108"/>
        <v>0.27677447280000012</v>
      </c>
      <c r="I3545" s="20">
        <f t="shared" si="107"/>
        <v>80835.582849386439</v>
      </c>
      <c r="J3545" s="6" t="s">
        <v>357</v>
      </c>
    </row>
    <row r="3546" spans="1:10" ht="30" hidden="1">
      <c r="A3546" s="9">
        <v>46106</v>
      </c>
      <c r="B3546" s="6" t="s">
        <v>5294</v>
      </c>
      <c r="C3546" s="5" t="s">
        <v>5293</v>
      </c>
      <c r="D3546" s="8" t="s">
        <v>306</v>
      </c>
      <c r="E3546" s="6" t="s">
        <v>355</v>
      </c>
      <c r="F3546" s="6" t="s">
        <v>5222</v>
      </c>
      <c r="G3546" s="5">
        <v>315750</v>
      </c>
      <c r="H3546" s="5">
        <f t="shared" si="108"/>
        <v>0.27677447280000012</v>
      </c>
      <c r="I3546" s="20">
        <f t="shared" si="107"/>
        <v>87391.539786600042</v>
      </c>
      <c r="J3546" s="6" t="s">
        <v>357</v>
      </c>
    </row>
    <row r="3547" spans="1:10" ht="30" hidden="1">
      <c r="A3547" s="9">
        <v>46106</v>
      </c>
      <c r="B3547" s="6" t="s">
        <v>5296</v>
      </c>
      <c r="C3547" s="5" t="s">
        <v>5295</v>
      </c>
      <c r="D3547" s="8" t="s">
        <v>306</v>
      </c>
      <c r="E3547" s="6" t="s">
        <v>355</v>
      </c>
      <c r="F3547" s="6" t="s">
        <v>5222</v>
      </c>
      <c r="G3547" s="5">
        <v>374063</v>
      </c>
      <c r="H3547" s="5">
        <f t="shared" si="108"/>
        <v>0.27677447280000012</v>
      </c>
      <c r="I3547" s="20">
        <f t="shared" si="107"/>
        <v>103531.08961898644</v>
      </c>
      <c r="J3547" s="6" t="s">
        <v>357</v>
      </c>
    </row>
    <row r="3548" spans="1:10" hidden="1">
      <c r="A3548" s="9">
        <v>46106</v>
      </c>
      <c r="B3548" s="6" t="s">
        <v>5298</v>
      </c>
      <c r="C3548" s="5" t="s">
        <v>5297</v>
      </c>
      <c r="D3548" s="8" t="s">
        <v>306</v>
      </c>
      <c r="E3548" s="6" t="s">
        <v>355</v>
      </c>
      <c r="F3548" s="6" t="s">
        <v>5222</v>
      </c>
      <c r="G3548" s="5">
        <v>306188</v>
      </c>
      <c r="H3548" s="5">
        <f t="shared" si="108"/>
        <v>0.27677447280000012</v>
      </c>
      <c r="I3548" s="20">
        <f t="shared" si="107"/>
        <v>84745.022277686439</v>
      </c>
      <c r="J3548" s="6" t="s">
        <v>357</v>
      </c>
    </row>
    <row r="3549" spans="1:10" hidden="1">
      <c r="A3549" s="9">
        <v>46106</v>
      </c>
      <c r="B3549" s="6" t="s">
        <v>5300</v>
      </c>
      <c r="C3549" s="5" t="s">
        <v>5299</v>
      </c>
      <c r="D3549" s="8" t="s">
        <v>306</v>
      </c>
      <c r="E3549" s="6" t="s">
        <v>355</v>
      </c>
      <c r="F3549" s="6" t="s">
        <v>5222</v>
      </c>
      <c r="G3549" s="5">
        <v>364625</v>
      </c>
      <c r="H3549" s="5">
        <f t="shared" si="108"/>
        <v>0.27677447280000012</v>
      </c>
      <c r="I3549" s="20">
        <f t="shared" si="107"/>
        <v>100918.89214470005</v>
      </c>
      <c r="J3549" s="6" t="s">
        <v>357</v>
      </c>
    </row>
    <row r="3550" spans="1:10" ht="30" hidden="1">
      <c r="A3550" s="10">
        <v>44095</v>
      </c>
      <c r="B3550" s="6" t="s">
        <v>5302</v>
      </c>
      <c r="C3550" s="5" t="s">
        <v>5301</v>
      </c>
      <c r="D3550" s="8" t="s">
        <v>306</v>
      </c>
      <c r="E3550" s="6" t="s">
        <v>5303</v>
      </c>
      <c r="F3550" s="6" t="s">
        <v>5304</v>
      </c>
      <c r="G3550" s="5">
        <v>97000</v>
      </c>
      <c r="H3550" s="5">
        <v>1</v>
      </c>
      <c r="I3550" s="20">
        <f t="shared" si="107"/>
        <v>97000</v>
      </c>
      <c r="J3550" s="6" t="s">
        <v>357</v>
      </c>
    </row>
    <row r="3551" spans="1:10" hidden="1">
      <c r="A3551" s="10">
        <v>45593</v>
      </c>
      <c r="B3551" s="6" t="s">
        <v>5880</v>
      </c>
      <c r="C3551" s="5" t="s">
        <v>5879</v>
      </c>
      <c r="D3551" s="8" t="s">
        <v>306</v>
      </c>
      <c r="E3551" s="25" t="s">
        <v>410</v>
      </c>
      <c r="F3551" s="25" t="s">
        <v>686</v>
      </c>
      <c r="G3551" s="31">
        <v>1580</v>
      </c>
      <c r="H3551" s="5">
        <v>1</v>
      </c>
      <c r="I3551" s="20">
        <f t="shared" si="107"/>
        <v>1580</v>
      </c>
      <c r="J3551" s="6" t="s">
        <v>512</v>
      </c>
    </row>
    <row r="3552" spans="1:10" ht="30" hidden="1">
      <c r="A3552" s="10">
        <v>45511</v>
      </c>
      <c r="B3552" s="6" t="s">
        <v>5306</v>
      </c>
      <c r="C3552" s="5" t="s">
        <v>5305</v>
      </c>
      <c r="D3552" s="8" t="s">
        <v>306</v>
      </c>
      <c r="E3552" s="6" t="s">
        <v>410</v>
      </c>
      <c r="F3552" s="6" t="s">
        <v>5307</v>
      </c>
      <c r="G3552" s="5">
        <v>541.5</v>
      </c>
      <c r="H3552" s="5">
        <f>0.9*0.8*0.7*0.93*(0.9*0.9*0.9*0.9*0.9)</f>
        <v>0.27677447280000012</v>
      </c>
      <c r="I3552" s="20">
        <f t="shared" si="107"/>
        <v>149.87337702120007</v>
      </c>
      <c r="J3552" s="6" t="s">
        <v>357</v>
      </c>
    </row>
    <row r="3553" spans="1:10" ht="30" hidden="1">
      <c r="A3553" s="10">
        <v>45511</v>
      </c>
      <c r="B3553" s="6" t="s">
        <v>5309</v>
      </c>
      <c r="C3553" s="5" t="s">
        <v>5308</v>
      </c>
      <c r="D3553" s="8" t="s">
        <v>306</v>
      </c>
      <c r="E3553" s="6" t="s">
        <v>410</v>
      </c>
      <c r="F3553" s="6" t="s">
        <v>5307</v>
      </c>
      <c r="G3553" s="5">
        <v>551.5</v>
      </c>
      <c r="H3553" s="5">
        <f>0.9*0.8*0.7*0.93*(0.9*0.9*0.9*0.9*0.9)</f>
        <v>0.27677447280000012</v>
      </c>
      <c r="I3553" s="20">
        <f t="shared" si="107"/>
        <v>152.64112174920007</v>
      </c>
      <c r="J3553" s="6" t="s">
        <v>357</v>
      </c>
    </row>
    <row r="3554" spans="1:10" ht="60" hidden="1">
      <c r="A3554" s="10">
        <v>45511</v>
      </c>
      <c r="B3554" s="6" t="s">
        <v>5311</v>
      </c>
      <c r="C3554" s="5" t="s">
        <v>5310</v>
      </c>
      <c r="D3554" s="8" t="s">
        <v>306</v>
      </c>
      <c r="E3554" s="6" t="s">
        <v>410</v>
      </c>
      <c r="F3554" s="6" t="s">
        <v>5307</v>
      </c>
      <c r="G3554" s="5">
        <v>544</v>
      </c>
      <c r="H3554" s="5">
        <f>0.9*0.8*0.7*0.93*(0.9*0.9*0.9*0.9*0.9)</f>
        <v>0.27677447280000012</v>
      </c>
      <c r="I3554" s="20">
        <f t="shared" si="107"/>
        <v>150.56531320320005</v>
      </c>
      <c r="J3554" s="6" t="s">
        <v>357</v>
      </c>
    </row>
    <row r="3555" spans="1:10" ht="30" hidden="1">
      <c r="A3555" s="10">
        <v>45511</v>
      </c>
      <c r="B3555" s="6" t="s">
        <v>5313</v>
      </c>
      <c r="C3555" s="5" t="s">
        <v>5312</v>
      </c>
      <c r="D3555" s="8" t="s">
        <v>306</v>
      </c>
      <c r="E3555" s="6" t="s">
        <v>410</v>
      </c>
      <c r="F3555" s="6" t="s">
        <v>686</v>
      </c>
      <c r="G3555" s="5">
        <v>1571</v>
      </c>
      <c r="H3555" s="5">
        <f>0.9*0.8*0.7*0.93*(0.9*0.9*0.9*0.9*0.9)</f>
        <v>0.27677447280000012</v>
      </c>
      <c r="I3555" s="20">
        <f t="shared" si="107"/>
        <v>434.81269676880021</v>
      </c>
      <c r="J3555" s="6" t="s">
        <v>357</v>
      </c>
    </row>
    <row r="3556" spans="1:10" ht="30" hidden="1">
      <c r="A3556" s="10">
        <v>45511</v>
      </c>
      <c r="B3556" s="6" t="s">
        <v>5315</v>
      </c>
      <c r="C3556" s="5" t="s">
        <v>5314</v>
      </c>
      <c r="D3556" s="8" t="s">
        <v>306</v>
      </c>
      <c r="E3556" s="6" t="s">
        <v>410</v>
      </c>
      <c r="F3556" s="6" t="s">
        <v>686</v>
      </c>
      <c r="G3556" s="5">
        <v>1005</v>
      </c>
      <c r="H3556" s="5">
        <f>0.9*0.8*0.7*0.93*(0.9*0.9*0.9*0.9*0.9)</f>
        <v>0.27677447280000012</v>
      </c>
      <c r="I3556" s="20">
        <f t="shared" si="107"/>
        <v>278.15834516400014</v>
      </c>
      <c r="J3556" s="6" t="s">
        <v>357</v>
      </c>
    </row>
    <row r="3557" spans="1:10" hidden="1">
      <c r="A3557" s="10">
        <v>43835</v>
      </c>
      <c r="B3557" s="6" t="s">
        <v>325</v>
      </c>
      <c r="C3557" s="5" t="s">
        <v>324</v>
      </c>
      <c r="D3557" s="8" t="s">
        <v>306</v>
      </c>
      <c r="E3557" s="6" t="s">
        <v>410</v>
      </c>
      <c r="F3557" s="6" t="s">
        <v>5316</v>
      </c>
      <c r="G3557" s="5">
        <v>25</v>
      </c>
      <c r="H3557" s="5">
        <v>1</v>
      </c>
      <c r="I3557" s="20">
        <f t="shared" si="107"/>
        <v>25</v>
      </c>
      <c r="J3557" s="6" t="s">
        <v>357</v>
      </c>
    </row>
    <row r="3558" spans="1:10" ht="60" hidden="1">
      <c r="A3558" s="10">
        <v>44310</v>
      </c>
      <c r="B3558" s="6" t="s">
        <v>5318</v>
      </c>
      <c r="C3558" s="5" t="s">
        <v>5317</v>
      </c>
      <c r="D3558" s="8" t="s">
        <v>306</v>
      </c>
      <c r="E3558" s="6" t="s">
        <v>5319</v>
      </c>
      <c r="F3558" s="6" t="s">
        <v>5320</v>
      </c>
      <c r="G3558" s="5">
        <v>20391</v>
      </c>
      <c r="H3558" s="36">
        <f t="shared" ref="H3558:H3564" si="109">0.9*0.8*0.7*0.93*(0.9*0.9*0.95)</f>
        <v>0.36068003999999998</v>
      </c>
      <c r="I3558" s="20">
        <f t="shared" si="107"/>
        <v>7354.6266956399995</v>
      </c>
      <c r="J3558" s="6" t="s">
        <v>357</v>
      </c>
    </row>
    <row r="3559" spans="1:10" ht="45" hidden="1">
      <c r="A3559" s="10">
        <v>44309</v>
      </c>
      <c r="B3559" s="6" t="s">
        <v>5322</v>
      </c>
      <c r="C3559" s="5" t="s">
        <v>5321</v>
      </c>
      <c r="D3559" s="8" t="s">
        <v>306</v>
      </c>
      <c r="E3559" s="6" t="s">
        <v>5319</v>
      </c>
      <c r="F3559" s="6" t="s">
        <v>5320</v>
      </c>
      <c r="G3559" s="5">
        <v>15265</v>
      </c>
      <c r="H3559" s="36">
        <f t="shared" si="109"/>
        <v>0.36068003999999998</v>
      </c>
      <c r="I3559" s="20">
        <f t="shared" si="107"/>
        <v>5505.7808105999993</v>
      </c>
      <c r="J3559" s="6" t="s">
        <v>357</v>
      </c>
    </row>
    <row r="3560" spans="1:10" ht="45" hidden="1">
      <c r="A3560" s="10">
        <v>44310</v>
      </c>
      <c r="B3560" s="6" t="s">
        <v>5324</v>
      </c>
      <c r="C3560" s="5" t="s">
        <v>5323</v>
      </c>
      <c r="D3560" s="8" t="s">
        <v>306</v>
      </c>
      <c r="E3560" s="6" t="s">
        <v>5319</v>
      </c>
      <c r="F3560" s="6" t="s">
        <v>5320</v>
      </c>
      <c r="G3560" s="5">
        <v>9714</v>
      </c>
      <c r="H3560" s="36">
        <f t="shared" si="109"/>
        <v>0.36068003999999998</v>
      </c>
      <c r="I3560" s="20">
        <f t="shared" si="107"/>
        <v>3503.64590856</v>
      </c>
      <c r="J3560" s="6" t="s">
        <v>357</v>
      </c>
    </row>
    <row r="3561" spans="1:10" ht="60" hidden="1">
      <c r="A3561" s="10">
        <v>44309</v>
      </c>
      <c r="B3561" s="6" t="s">
        <v>5326</v>
      </c>
      <c r="C3561" s="5" t="s">
        <v>5325</v>
      </c>
      <c r="D3561" s="8" t="s">
        <v>306</v>
      </c>
      <c r="E3561" s="6" t="s">
        <v>5319</v>
      </c>
      <c r="F3561" s="6" t="s">
        <v>5320</v>
      </c>
      <c r="G3561" s="5">
        <v>20875</v>
      </c>
      <c r="H3561" s="36">
        <f t="shared" si="109"/>
        <v>0.36068003999999998</v>
      </c>
      <c r="I3561" s="20">
        <f t="shared" si="107"/>
        <v>7529.1958349999995</v>
      </c>
      <c r="J3561" s="6" t="s">
        <v>357</v>
      </c>
    </row>
    <row r="3562" spans="1:10" ht="75" hidden="1">
      <c r="A3562" s="10">
        <v>44164</v>
      </c>
      <c r="B3562" s="6" t="s">
        <v>5328</v>
      </c>
      <c r="C3562" s="5" t="s">
        <v>5327</v>
      </c>
      <c r="D3562" s="8" t="s">
        <v>306</v>
      </c>
      <c r="E3562" s="6" t="s">
        <v>5319</v>
      </c>
      <c r="F3562" s="6" t="s">
        <v>5320</v>
      </c>
      <c r="G3562" s="5">
        <v>37367</v>
      </c>
      <c r="H3562" s="36">
        <f t="shared" si="109"/>
        <v>0.36068003999999998</v>
      </c>
      <c r="I3562" s="20">
        <f t="shared" si="107"/>
        <v>13477.531054679999</v>
      </c>
      <c r="J3562" s="6" t="s">
        <v>357</v>
      </c>
    </row>
    <row r="3563" spans="1:10" ht="45" hidden="1">
      <c r="A3563" s="10">
        <v>44426</v>
      </c>
      <c r="B3563" s="6" t="s">
        <v>5330</v>
      </c>
      <c r="C3563" s="5" t="s">
        <v>5329</v>
      </c>
      <c r="D3563" s="8" t="s">
        <v>306</v>
      </c>
      <c r="E3563" s="6" t="s">
        <v>5319</v>
      </c>
      <c r="F3563" s="6" t="s">
        <v>5320</v>
      </c>
      <c r="G3563" s="5">
        <v>13298</v>
      </c>
      <c r="H3563" s="36">
        <f t="shared" si="109"/>
        <v>0.36068003999999998</v>
      </c>
      <c r="I3563" s="20">
        <f t="shared" si="107"/>
        <v>4796.3231719199994</v>
      </c>
      <c r="J3563" s="6" t="s">
        <v>357</v>
      </c>
    </row>
    <row r="3564" spans="1:10" ht="75" hidden="1">
      <c r="A3564" s="10">
        <v>44309</v>
      </c>
      <c r="B3564" s="6" t="s">
        <v>5332</v>
      </c>
      <c r="C3564" s="5" t="s">
        <v>5331</v>
      </c>
      <c r="D3564" s="8" t="s">
        <v>306</v>
      </c>
      <c r="E3564" s="6" t="s">
        <v>5319</v>
      </c>
      <c r="F3564" s="6" t="s">
        <v>5320</v>
      </c>
      <c r="G3564" s="5">
        <v>20362</v>
      </c>
      <c r="H3564" s="36">
        <f t="shared" si="109"/>
        <v>0.36068003999999998</v>
      </c>
      <c r="I3564" s="20">
        <f t="shared" si="107"/>
        <v>7344.1669744799992</v>
      </c>
      <c r="J3564" s="6" t="s">
        <v>357</v>
      </c>
    </row>
    <row r="3565" spans="1:10" hidden="1">
      <c r="A3565" s="10">
        <v>45408</v>
      </c>
      <c r="B3565" s="6" t="s">
        <v>5334</v>
      </c>
      <c r="C3565" s="5" t="s">
        <v>5333</v>
      </c>
      <c r="D3565" s="8" t="s">
        <v>306</v>
      </c>
      <c r="E3565" s="6" t="s">
        <v>5335</v>
      </c>
      <c r="F3565" s="6" t="s">
        <v>5336</v>
      </c>
      <c r="G3565" s="5">
        <v>4316</v>
      </c>
      <c r="H3565" s="5">
        <v>0.5</v>
      </c>
      <c r="I3565" s="20">
        <f t="shared" si="107"/>
        <v>2158</v>
      </c>
      <c r="J3565" s="6" t="s">
        <v>357</v>
      </c>
    </row>
    <row r="3566" spans="1:10" hidden="1">
      <c r="A3566" s="10">
        <v>44413</v>
      </c>
      <c r="B3566" s="6" t="s">
        <v>5338</v>
      </c>
      <c r="C3566" s="5" t="s">
        <v>5337</v>
      </c>
      <c r="D3566" s="8" t="s">
        <v>306</v>
      </c>
      <c r="E3566" s="6" t="s">
        <v>5335</v>
      </c>
      <c r="F3566" s="6" t="s">
        <v>5336</v>
      </c>
      <c r="G3566" s="5">
        <v>620</v>
      </c>
      <c r="H3566" s="5">
        <v>1</v>
      </c>
      <c r="I3566" s="20">
        <f t="shared" si="107"/>
        <v>620</v>
      </c>
      <c r="J3566" s="6" t="s">
        <v>357</v>
      </c>
    </row>
    <row r="3567" spans="1:10" hidden="1">
      <c r="A3567" s="10">
        <v>43648</v>
      </c>
      <c r="B3567" s="6" t="s">
        <v>5340</v>
      </c>
      <c r="C3567" s="5" t="s">
        <v>5339</v>
      </c>
      <c r="D3567" s="8" t="s">
        <v>306</v>
      </c>
      <c r="E3567" s="6" t="s">
        <v>5335</v>
      </c>
      <c r="F3567" s="6" t="s">
        <v>5336</v>
      </c>
      <c r="G3567" s="5">
        <v>735</v>
      </c>
      <c r="H3567" s="5">
        <v>1</v>
      </c>
      <c r="I3567" s="20">
        <f t="shared" si="107"/>
        <v>735</v>
      </c>
      <c r="J3567" s="6" t="s">
        <v>357</v>
      </c>
    </row>
    <row r="3568" spans="1:10" hidden="1">
      <c r="A3568" s="10">
        <v>44413</v>
      </c>
      <c r="B3568" s="6" t="s">
        <v>5342</v>
      </c>
      <c r="C3568" s="5" t="s">
        <v>5341</v>
      </c>
      <c r="D3568" s="8" t="s">
        <v>306</v>
      </c>
      <c r="E3568" s="6" t="s">
        <v>5335</v>
      </c>
      <c r="F3568" s="6" t="s">
        <v>5336</v>
      </c>
      <c r="G3568" s="5">
        <v>620</v>
      </c>
      <c r="H3568" s="5">
        <v>1</v>
      </c>
      <c r="I3568" s="20">
        <f t="shared" si="107"/>
        <v>620</v>
      </c>
      <c r="J3568" s="6" t="s">
        <v>357</v>
      </c>
    </row>
    <row r="3569" spans="1:10" hidden="1">
      <c r="A3569" s="10">
        <v>43780</v>
      </c>
      <c r="B3569" s="33" t="s">
        <v>5344</v>
      </c>
      <c r="C3569" s="34" t="s">
        <v>5343</v>
      </c>
      <c r="D3569" s="35" t="s">
        <v>306</v>
      </c>
      <c r="E3569" s="6" t="s">
        <v>1837</v>
      </c>
      <c r="F3569" s="6" t="s">
        <v>686</v>
      </c>
      <c r="G3569" s="5">
        <v>65.489999999999995</v>
      </c>
      <c r="H3569" s="5">
        <v>1</v>
      </c>
      <c r="I3569" s="20">
        <f t="shared" si="107"/>
        <v>65.489999999999995</v>
      </c>
      <c r="J3569" s="6" t="s">
        <v>357</v>
      </c>
    </row>
    <row r="3570" spans="1:10" ht="30" hidden="1">
      <c r="A3570" s="10">
        <v>45140</v>
      </c>
      <c r="B3570" s="6" t="s">
        <v>5346</v>
      </c>
      <c r="C3570" s="5" t="s">
        <v>5345</v>
      </c>
      <c r="D3570" s="8" t="s">
        <v>306</v>
      </c>
      <c r="E3570" s="6" t="s">
        <v>1837</v>
      </c>
      <c r="F3570" s="6" t="s">
        <v>4236</v>
      </c>
      <c r="G3570" s="5">
        <v>150</v>
      </c>
      <c r="H3570" s="5">
        <v>1</v>
      </c>
      <c r="I3570" s="20">
        <f t="shared" si="107"/>
        <v>150</v>
      </c>
      <c r="J3570" s="6" t="s">
        <v>357</v>
      </c>
    </row>
    <row r="3571" spans="1:10" hidden="1">
      <c r="A3571" s="10">
        <v>43780</v>
      </c>
      <c r="B3571" s="33" t="s">
        <v>5348</v>
      </c>
      <c r="C3571" s="34" t="s">
        <v>5347</v>
      </c>
      <c r="D3571" s="35" t="s">
        <v>306</v>
      </c>
      <c r="E3571" s="6" t="s">
        <v>1837</v>
      </c>
      <c r="F3571" s="6" t="s">
        <v>4236</v>
      </c>
      <c r="G3571" s="5">
        <v>42.71</v>
      </c>
      <c r="H3571" s="5">
        <v>1</v>
      </c>
      <c r="I3571" s="20">
        <f t="shared" si="107"/>
        <v>42.71</v>
      </c>
      <c r="J3571" s="6" t="s">
        <v>357</v>
      </c>
    </row>
    <row r="3572" spans="1:10" hidden="1">
      <c r="A3572" s="10">
        <v>43906</v>
      </c>
      <c r="B3572" s="6" t="s">
        <v>5350</v>
      </c>
      <c r="C3572" s="5" t="s">
        <v>5349</v>
      </c>
      <c r="D3572" s="8" t="s">
        <v>306</v>
      </c>
      <c r="E3572" s="6" t="s">
        <v>5351</v>
      </c>
      <c r="F3572" s="6" t="s">
        <v>686</v>
      </c>
      <c r="G3572" s="5">
        <v>5690</v>
      </c>
      <c r="H3572" s="5">
        <v>1</v>
      </c>
      <c r="I3572" s="20">
        <f t="shared" si="107"/>
        <v>5690</v>
      </c>
      <c r="J3572" s="6" t="s">
        <v>357</v>
      </c>
    </row>
    <row r="3573" spans="1:10" hidden="1">
      <c r="A3573" s="10">
        <v>43780</v>
      </c>
      <c r="B3573" s="6" t="s">
        <v>5353</v>
      </c>
      <c r="C3573" s="5" t="s">
        <v>5352</v>
      </c>
      <c r="D3573" s="8" t="s">
        <v>306</v>
      </c>
      <c r="E3573" s="6" t="s">
        <v>5351</v>
      </c>
      <c r="F3573" s="6" t="s">
        <v>686</v>
      </c>
      <c r="G3573" s="5">
        <v>8533.93</v>
      </c>
      <c r="H3573" s="5">
        <v>1</v>
      </c>
      <c r="I3573" s="20">
        <f t="shared" si="107"/>
        <v>8533.93</v>
      </c>
      <c r="J3573" s="6" t="s">
        <v>357</v>
      </c>
    </row>
    <row r="3574" spans="1:10" hidden="1">
      <c r="A3574" s="10">
        <v>43906</v>
      </c>
      <c r="B3574" s="6" t="s">
        <v>5355</v>
      </c>
      <c r="C3574" s="5" t="s">
        <v>5354</v>
      </c>
      <c r="D3574" s="8" t="s">
        <v>306</v>
      </c>
      <c r="E3574" s="6" t="s">
        <v>5351</v>
      </c>
      <c r="F3574" s="6" t="s">
        <v>686</v>
      </c>
      <c r="G3574" s="5">
        <v>21341.58</v>
      </c>
      <c r="H3574" s="5">
        <v>1</v>
      </c>
      <c r="I3574" s="20">
        <f t="shared" si="107"/>
        <v>21341.58</v>
      </c>
      <c r="J3574" s="6" t="s">
        <v>357</v>
      </c>
    </row>
    <row r="3575" spans="1:10" hidden="1">
      <c r="A3575" s="10">
        <v>44225</v>
      </c>
      <c r="B3575" s="6" t="s">
        <v>5357</v>
      </c>
      <c r="C3575" s="5" t="s">
        <v>5356</v>
      </c>
      <c r="D3575" s="8" t="s">
        <v>306</v>
      </c>
      <c r="E3575" s="6" t="s">
        <v>5351</v>
      </c>
      <c r="F3575" s="6" t="s">
        <v>686</v>
      </c>
      <c r="G3575" s="5">
        <v>18120</v>
      </c>
      <c r="H3575" s="5">
        <v>1</v>
      </c>
      <c r="I3575" s="20">
        <f t="shared" ref="I3575:I3638" si="110">H3575*G3575</f>
        <v>18120</v>
      </c>
      <c r="J3575" s="6" t="s">
        <v>357</v>
      </c>
    </row>
    <row r="3576" spans="1:10" hidden="1">
      <c r="A3576" s="10">
        <v>43906</v>
      </c>
      <c r="B3576" s="6" t="s">
        <v>5359</v>
      </c>
      <c r="C3576" s="5" t="s">
        <v>5358</v>
      </c>
      <c r="D3576" s="8" t="s">
        <v>306</v>
      </c>
      <c r="E3576" s="6" t="s">
        <v>5351</v>
      </c>
      <c r="F3576" s="6" t="s">
        <v>686</v>
      </c>
      <c r="G3576" s="5">
        <v>23170</v>
      </c>
      <c r="H3576" s="5">
        <v>1</v>
      </c>
      <c r="I3576" s="20">
        <f t="shared" si="110"/>
        <v>23170</v>
      </c>
      <c r="J3576" s="6" t="s">
        <v>357</v>
      </c>
    </row>
    <row r="3577" spans="1:10" hidden="1">
      <c r="A3577" s="10">
        <v>43798</v>
      </c>
      <c r="B3577" s="6" t="s">
        <v>5361</v>
      </c>
      <c r="C3577" s="5" t="s">
        <v>5360</v>
      </c>
      <c r="D3577" s="8" t="s">
        <v>306</v>
      </c>
      <c r="E3577" s="6" t="s">
        <v>5351</v>
      </c>
      <c r="F3577" s="6" t="s">
        <v>686</v>
      </c>
      <c r="G3577" s="5">
        <v>26841.47</v>
      </c>
      <c r="H3577" s="5">
        <v>1</v>
      </c>
      <c r="I3577" s="20">
        <f t="shared" si="110"/>
        <v>26841.47</v>
      </c>
      <c r="J3577" s="6" t="s">
        <v>357</v>
      </c>
    </row>
    <row r="3578" spans="1:10" hidden="1">
      <c r="A3578" s="10">
        <v>44638</v>
      </c>
      <c r="B3578" s="6" t="s">
        <v>5363</v>
      </c>
      <c r="C3578" s="5" t="s">
        <v>5362</v>
      </c>
      <c r="D3578" s="8" t="s">
        <v>306</v>
      </c>
      <c r="E3578" s="6" t="s">
        <v>5351</v>
      </c>
      <c r="F3578" s="6" t="s">
        <v>686</v>
      </c>
      <c r="G3578" s="5">
        <v>21341.58</v>
      </c>
      <c r="H3578" s="5">
        <v>1</v>
      </c>
      <c r="I3578" s="20">
        <f t="shared" si="110"/>
        <v>21341.58</v>
      </c>
      <c r="J3578" s="6" t="s">
        <v>357</v>
      </c>
    </row>
    <row r="3579" spans="1:10" hidden="1">
      <c r="A3579" s="10">
        <v>43836</v>
      </c>
      <c r="B3579" s="6" t="s">
        <v>5365</v>
      </c>
      <c r="C3579" s="5" t="s">
        <v>5364</v>
      </c>
      <c r="D3579" s="8" t="s">
        <v>306</v>
      </c>
      <c r="E3579" s="6" t="s">
        <v>5351</v>
      </c>
      <c r="F3579" s="6" t="s">
        <v>686</v>
      </c>
      <c r="G3579" s="5">
        <v>30647.06</v>
      </c>
      <c r="H3579" s="5">
        <v>1</v>
      </c>
      <c r="I3579" s="20">
        <f t="shared" si="110"/>
        <v>30647.06</v>
      </c>
      <c r="J3579" s="6" t="s">
        <v>357</v>
      </c>
    </row>
    <row r="3580" spans="1:10" hidden="1">
      <c r="A3580" s="10">
        <v>44638</v>
      </c>
      <c r="B3580" s="6" t="s">
        <v>5367</v>
      </c>
      <c r="C3580" s="5" t="s">
        <v>5366</v>
      </c>
      <c r="D3580" s="8" t="s">
        <v>306</v>
      </c>
      <c r="E3580" s="6" t="s">
        <v>5351</v>
      </c>
      <c r="F3580" s="6" t="s">
        <v>686</v>
      </c>
      <c r="G3580" s="5">
        <v>77402</v>
      </c>
      <c r="H3580" s="5">
        <v>1</v>
      </c>
      <c r="I3580" s="20">
        <f t="shared" si="110"/>
        <v>77402</v>
      </c>
      <c r="J3580" s="6" t="s">
        <v>357</v>
      </c>
    </row>
    <row r="3581" spans="1:10" hidden="1">
      <c r="A3581" s="10">
        <v>43802</v>
      </c>
      <c r="B3581" s="6" t="s">
        <v>5369</v>
      </c>
      <c r="C3581" s="5" t="s">
        <v>5368</v>
      </c>
      <c r="D3581" s="8" t="s">
        <v>306</v>
      </c>
      <c r="E3581" s="6" t="s">
        <v>5351</v>
      </c>
      <c r="F3581" s="6" t="s">
        <v>686</v>
      </c>
      <c r="G3581" s="5">
        <v>56570.400000000001</v>
      </c>
      <c r="H3581" s="5">
        <v>1</v>
      </c>
      <c r="I3581" s="20">
        <f t="shared" si="110"/>
        <v>56570.400000000001</v>
      </c>
      <c r="J3581" s="6" t="s">
        <v>357</v>
      </c>
    </row>
    <row r="3582" spans="1:10" hidden="1">
      <c r="A3582" s="10">
        <v>45527</v>
      </c>
      <c r="B3582" s="6" t="s">
        <v>5371</v>
      </c>
      <c r="C3582" s="5" t="s">
        <v>5370</v>
      </c>
      <c r="D3582" s="8" t="s">
        <v>306</v>
      </c>
      <c r="E3582" s="6" t="s">
        <v>1837</v>
      </c>
      <c r="F3582" s="6" t="s">
        <v>4271</v>
      </c>
      <c r="G3582" s="5">
        <v>12071</v>
      </c>
      <c r="H3582" s="5">
        <v>1</v>
      </c>
      <c r="I3582" s="20">
        <f t="shared" si="110"/>
        <v>12071</v>
      </c>
      <c r="J3582" s="6" t="s">
        <v>357</v>
      </c>
    </row>
    <row r="3583" spans="1:10" hidden="1">
      <c r="A3583" s="10">
        <v>45527</v>
      </c>
      <c r="B3583" s="6" t="s">
        <v>5373</v>
      </c>
      <c r="C3583" s="5" t="s">
        <v>5372</v>
      </c>
      <c r="D3583" s="8" t="s">
        <v>306</v>
      </c>
      <c r="E3583" s="6" t="s">
        <v>1837</v>
      </c>
      <c r="F3583" s="6" t="s">
        <v>4271</v>
      </c>
      <c r="G3583" s="5">
        <v>10113</v>
      </c>
      <c r="H3583" s="5">
        <v>1</v>
      </c>
      <c r="I3583" s="20">
        <f t="shared" si="110"/>
        <v>10113</v>
      </c>
      <c r="J3583" s="6" t="s">
        <v>357</v>
      </c>
    </row>
    <row r="3584" spans="1:10" ht="30" hidden="1">
      <c r="A3584" s="10">
        <v>45877</v>
      </c>
      <c r="B3584" s="309" t="s">
        <v>7671</v>
      </c>
      <c r="C3584" s="143" t="s">
        <v>7670</v>
      </c>
      <c r="D3584" s="8" t="s">
        <v>306</v>
      </c>
      <c r="E3584" s="25" t="s">
        <v>1013</v>
      </c>
      <c r="F3584" s="25" t="s">
        <v>762</v>
      </c>
      <c r="G3584" s="308">
        <v>1323</v>
      </c>
      <c r="H3584" s="5">
        <f>0.9*0.8*0.7*0.93*(0.9*0.9*0.9*0.9*0.9)</f>
        <v>0.27677447280000012</v>
      </c>
      <c r="I3584" s="20">
        <f t="shared" si="110"/>
        <v>366.17262751440018</v>
      </c>
      <c r="J3584" s="6" t="s">
        <v>357</v>
      </c>
    </row>
    <row r="3585" spans="1:10" ht="30" hidden="1">
      <c r="A3585" s="10">
        <v>43993</v>
      </c>
      <c r="B3585" s="6" t="s">
        <v>5375</v>
      </c>
      <c r="C3585" s="5" t="s">
        <v>5374</v>
      </c>
      <c r="D3585" s="8" t="s">
        <v>306</v>
      </c>
      <c r="E3585" s="6" t="s">
        <v>1837</v>
      </c>
      <c r="F3585" s="6" t="s">
        <v>4236</v>
      </c>
      <c r="G3585" s="5">
        <v>382</v>
      </c>
      <c r="H3585" s="5">
        <v>1</v>
      </c>
      <c r="I3585" s="20">
        <f t="shared" si="110"/>
        <v>382</v>
      </c>
      <c r="J3585" s="6" t="s">
        <v>357</v>
      </c>
    </row>
    <row r="3586" spans="1:10" hidden="1">
      <c r="A3586" s="9">
        <v>46106</v>
      </c>
      <c r="B3586" s="6" t="s">
        <v>5377</v>
      </c>
      <c r="C3586" s="5" t="s">
        <v>5376</v>
      </c>
      <c r="D3586" s="8" t="s">
        <v>306</v>
      </c>
      <c r="E3586" s="6" t="s">
        <v>1424</v>
      </c>
      <c r="F3586" s="6" t="s">
        <v>411</v>
      </c>
      <c r="G3586" s="5">
        <v>79.3</v>
      </c>
      <c r="H3586" s="5">
        <f t="shared" ref="H3586:H3622" si="111">0.9*0.8*0.7*0.93*(0.9*0.9*0.9*0.9*0.9)</f>
        <v>0.27677447280000012</v>
      </c>
      <c r="I3586" s="20">
        <f t="shared" si="110"/>
        <v>21.948215693040009</v>
      </c>
      <c r="J3586" s="6" t="s">
        <v>357</v>
      </c>
    </row>
    <row r="3587" spans="1:10" hidden="1">
      <c r="A3587" s="9">
        <v>46106</v>
      </c>
      <c r="B3587" s="6" t="s">
        <v>5379</v>
      </c>
      <c r="C3587" s="5" t="s">
        <v>5378</v>
      </c>
      <c r="D3587" s="8" t="s">
        <v>306</v>
      </c>
      <c r="E3587" s="6" t="s">
        <v>1424</v>
      </c>
      <c r="F3587" s="6" t="s">
        <v>411</v>
      </c>
      <c r="G3587" s="5">
        <v>79.3</v>
      </c>
      <c r="H3587" s="5">
        <f t="shared" si="111"/>
        <v>0.27677447280000012</v>
      </c>
      <c r="I3587" s="20">
        <f t="shared" si="110"/>
        <v>21.948215693040009</v>
      </c>
      <c r="J3587" s="6" t="s">
        <v>357</v>
      </c>
    </row>
    <row r="3588" spans="1:10" hidden="1">
      <c r="A3588" s="9">
        <v>46106</v>
      </c>
      <c r="B3588" s="6" t="s">
        <v>5381</v>
      </c>
      <c r="C3588" s="5" t="s">
        <v>5380</v>
      </c>
      <c r="D3588" s="8" t="s">
        <v>306</v>
      </c>
      <c r="E3588" s="6" t="s">
        <v>1424</v>
      </c>
      <c r="F3588" s="6" t="s">
        <v>411</v>
      </c>
      <c r="G3588" s="5">
        <v>79.3</v>
      </c>
      <c r="H3588" s="5">
        <f t="shared" si="111"/>
        <v>0.27677447280000012</v>
      </c>
      <c r="I3588" s="20">
        <f t="shared" si="110"/>
        <v>21.948215693040009</v>
      </c>
      <c r="J3588" s="6" t="s">
        <v>357</v>
      </c>
    </row>
    <row r="3589" spans="1:10" hidden="1">
      <c r="A3589" s="9">
        <v>46106</v>
      </c>
      <c r="B3589" s="6" t="s">
        <v>5383</v>
      </c>
      <c r="C3589" s="5" t="s">
        <v>5382</v>
      </c>
      <c r="D3589" s="8" t="s">
        <v>306</v>
      </c>
      <c r="E3589" s="6" t="s">
        <v>1424</v>
      </c>
      <c r="F3589" s="6" t="s">
        <v>411</v>
      </c>
      <c r="G3589" s="5">
        <v>79.3</v>
      </c>
      <c r="H3589" s="5">
        <f t="shared" si="111"/>
        <v>0.27677447280000012</v>
      </c>
      <c r="I3589" s="20">
        <f t="shared" si="110"/>
        <v>21.948215693040009</v>
      </c>
      <c r="J3589" s="6" t="s">
        <v>357</v>
      </c>
    </row>
    <row r="3590" spans="1:10" hidden="1">
      <c r="A3590" s="9">
        <v>46106</v>
      </c>
      <c r="B3590" s="6" t="s">
        <v>5385</v>
      </c>
      <c r="C3590" s="5" t="s">
        <v>5384</v>
      </c>
      <c r="D3590" s="8" t="s">
        <v>306</v>
      </c>
      <c r="E3590" s="6" t="s">
        <v>1424</v>
      </c>
      <c r="F3590" s="6" t="s">
        <v>411</v>
      </c>
      <c r="G3590" s="5">
        <v>79.3</v>
      </c>
      <c r="H3590" s="5">
        <f t="shared" si="111"/>
        <v>0.27677447280000012</v>
      </c>
      <c r="I3590" s="20">
        <f t="shared" si="110"/>
        <v>21.948215693040009</v>
      </c>
      <c r="J3590" s="6" t="s">
        <v>357</v>
      </c>
    </row>
    <row r="3591" spans="1:10" hidden="1">
      <c r="A3591" s="9">
        <v>46106</v>
      </c>
      <c r="B3591" s="6" t="s">
        <v>5387</v>
      </c>
      <c r="C3591" s="5" t="s">
        <v>5386</v>
      </c>
      <c r="D3591" s="8" t="s">
        <v>306</v>
      </c>
      <c r="E3591" s="6" t="s">
        <v>1424</v>
      </c>
      <c r="F3591" s="6" t="s">
        <v>411</v>
      </c>
      <c r="G3591" s="5">
        <v>79.3</v>
      </c>
      <c r="H3591" s="5">
        <f t="shared" si="111"/>
        <v>0.27677447280000012</v>
      </c>
      <c r="I3591" s="20">
        <f t="shared" si="110"/>
        <v>21.948215693040009</v>
      </c>
      <c r="J3591" s="6" t="s">
        <v>357</v>
      </c>
    </row>
    <row r="3592" spans="1:10" hidden="1">
      <c r="A3592" s="9">
        <v>46106</v>
      </c>
      <c r="B3592" s="6" t="s">
        <v>5389</v>
      </c>
      <c r="C3592" s="5" t="s">
        <v>5388</v>
      </c>
      <c r="D3592" s="8" t="s">
        <v>306</v>
      </c>
      <c r="E3592" s="6" t="s">
        <v>1424</v>
      </c>
      <c r="F3592" s="6" t="s">
        <v>411</v>
      </c>
      <c r="G3592" s="5">
        <v>242</v>
      </c>
      <c r="H3592" s="5">
        <f t="shared" si="111"/>
        <v>0.27677447280000012</v>
      </c>
      <c r="I3592" s="20">
        <f t="shared" si="110"/>
        <v>66.979422417600034</v>
      </c>
      <c r="J3592" s="6" t="s">
        <v>357</v>
      </c>
    </row>
    <row r="3593" spans="1:10" hidden="1">
      <c r="A3593" s="9">
        <v>46106</v>
      </c>
      <c r="B3593" s="216" t="s">
        <v>7115</v>
      </c>
      <c r="C3593" s="5" t="s">
        <v>5408</v>
      </c>
      <c r="D3593" s="8" t="s">
        <v>306</v>
      </c>
      <c r="E3593" s="6" t="s">
        <v>1424</v>
      </c>
      <c r="F3593" s="6" t="s">
        <v>411</v>
      </c>
      <c r="G3593" s="31">
        <v>65.400000000000006</v>
      </c>
      <c r="H3593" s="5">
        <f t="shared" si="111"/>
        <v>0.27677447280000012</v>
      </c>
      <c r="I3593" s="20">
        <f t="shared" si="110"/>
        <v>18.101050521120008</v>
      </c>
      <c r="J3593" s="6" t="s">
        <v>357</v>
      </c>
    </row>
    <row r="3594" spans="1:10" hidden="1">
      <c r="A3594" s="9">
        <v>46106</v>
      </c>
      <c r="B3594" s="6" t="s">
        <v>5391</v>
      </c>
      <c r="C3594" s="5" t="s">
        <v>5390</v>
      </c>
      <c r="D3594" s="8" t="s">
        <v>306</v>
      </c>
      <c r="E3594" s="6" t="s">
        <v>5392</v>
      </c>
      <c r="F3594" s="6" t="s">
        <v>5393</v>
      </c>
      <c r="G3594" s="5">
        <v>50</v>
      </c>
      <c r="H3594" s="5">
        <f t="shared" si="111"/>
        <v>0.27677447280000012</v>
      </c>
      <c r="I3594" s="20">
        <f t="shared" si="110"/>
        <v>13.838723640000005</v>
      </c>
      <c r="J3594" s="6" t="s">
        <v>357</v>
      </c>
    </row>
    <row r="3595" spans="1:10" hidden="1">
      <c r="A3595" s="9">
        <v>46106</v>
      </c>
      <c r="B3595" s="6" t="s">
        <v>5395</v>
      </c>
      <c r="C3595" s="5" t="s">
        <v>5394</v>
      </c>
      <c r="D3595" s="8" t="s">
        <v>306</v>
      </c>
      <c r="E3595" s="6" t="s">
        <v>5392</v>
      </c>
      <c r="F3595" s="6" t="s">
        <v>5393</v>
      </c>
      <c r="G3595" s="5">
        <v>50</v>
      </c>
      <c r="H3595" s="5">
        <f t="shared" si="111"/>
        <v>0.27677447280000012</v>
      </c>
      <c r="I3595" s="20">
        <f t="shared" si="110"/>
        <v>13.838723640000005</v>
      </c>
      <c r="J3595" s="6" t="s">
        <v>357</v>
      </c>
    </row>
    <row r="3596" spans="1:10" hidden="1">
      <c r="A3596" s="9">
        <v>46106</v>
      </c>
      <c r="B3596" s="6" t="s">
        <v>5397</v>
      </c>
      <c r="C3596" s="5" t="s">
        <v>5396</v>
      </c>
      <c r="D3596" s="8" t="s">
        <v>306</v>
      </c>
      <c r="E3596" s="6" t="s">
        <v>5392</v>
      </c>
      <c r="F3596" s="6" t="s">
        <v>5393</v>
      </c>
      <c r="G3596" s="5">
        <v>50</v>
      </c>
      <c r="H3596" s="5">
        <f t="shared" si="111"/>
        <v>0.27677447280000012</v>
      </c>
      <c r="I3596" s="20">
        <f t="shared" si="110"/>
        <v>13.838723640000005</v>
      </c>
      <c r="J3596" s="6" t="s">
        <v>357</v>
      </c>
    </row>
    <row r="3597" spans="1:10" hidden="1">
      <c r="A3597" s="9">
        <v>46106</v>
      </c>
      <c r="B3597" s="6" t="s">
        <v>5399</v>
      </c>
      <c r="C3597" s="5" t="s">
        <v>5398</v>
      </c>
      <c r="D3597" s="8" t="s">
        <v>306</v>
      </c>
      <c r="E3597" s="6" t="s">
        <v>5392</v>
      </c>
      <c r="F3597" s="6" t="s">
        <v>5393</v>
      </c>
      <c r="G3597" s="5">
        <v>50</v>
      </c>
      <c r="H3597" s="5">
        <f t="shared" si="111"/>
        <v>0.27677447280000012</v>
      </c>
      <c r="I3597" s="20">
        <f t="shared" si="110"/>
        <v>13.838723640000005</v>
      </c>
      <c r="J3597" s="6" t="s">
        <v>357</v>
      </c>
    </row>
    <row r="3598" spans="1:10" hidden="1">
      <c r="A3598" s="9">
        <v>46106</v>
      </c>
      <c r="B3598" s="6" t="s">
        <v>5401</v>
      </c>
      <c r="C3598" s="5" t="s">
        <v>5400</v>
      </c>
      <c r="D3598" s="8" t="s">
        <v>306</v>
      </c>
      <c r="E3598" s="6" t="s">
        <v>5392</v>
      </c>
      <c r="F3598" s="6" t="s">
        <v>5393</v>
      </c>
      <c r="G3598" s="5">
        <v>50</v>
      </c>
      <c r="H3598" s="5">
        <f t="shared" si="111"/>
        <v>0.27677447280000012</v>
      </c>
      <c r="I3598" s="20">
        <f t="shared" si="110"/>
        <v>13.838723640000005</v>
      </c>
      <c r="J3598" s="6" t="s">
        <v>357</v>
      </c>
    </row>
    <row r="3599" spans="1:10" hidden="1">
      <c r="A3599" s="9">
        <v>46106</v>
      </c>
      <c r="B3599" s="6" t="s">
        <v>5403</v>
      </c>
      <c r="C3599" s="5" t="s">
        <v>5402</v>
      </c>
      <c r="D3599" s="8" t="s">
        <v>306</v>
      </c>
      <c r="E3599" s="6" t="s">
        <v>5392</v>
      </c>
      <c r="F3599" s="6" t="s">
        <v>5393</v>
      </c>
      <c r="G3599" s="5">
        <v>50</v>
      </c>
      <c r="H3599" s="5">
        <f t="shared" si="111"/>
        <v>0.27677447280000012</v>
      </c>
      <c r="I3599" s="20">
        <f t="shared" si="110"/>
        <v>13.838723640000005</v>
      </c>
      <c r="J3599" s="6" t="s">
        <v>357</v>
      </c>
    </row>
    <row r="3600" spans="1:10" hidden="1">
      <c r="A3600" s="9">
        <v>46106</v>
      </c>
      <c r="B3600" s="6" t="s">
        <v>5405</v>
      </c>
      <c r="C3600" s="5" t="s">
        <v>5404</v>
      </c>
      <c r="D3600" s="8" t="s">
        <v>306</v>
      </c>
      <c r="E3600" s="6" t="s">
        <v>1424</v>
      </c>
      <c r="F3600" s="6" t="s">
        <v>411</v>
      </c>
      <c r="G3600" s="5">
        <v>61.8</v>
      </c>
      <c r="H3600" s="5">
        <f t="shared" si="111"/>
        <v>0.27677447280000012</v>
      </c>
      <c r="I3600" s="20">
        <f t="shared" si="110"/>
        <v>17.104662419040007</v>
      </c>
      <c r="J3600" s="6" t="s">
        <v>357</v>
      </c>
    </row>
    <row r="3601" spans="1:10" hidden="1">
      <c r="A3601" s="9">
        <v>46106</v>
      </c>
      <c r="B3601" s="6" t="s">
        <v>5407</v>
      </c>
      <c r="C3601" s="5" t="s">
        <v>5406</v>
      </c>
      <c r="D3601" s="8" t="s">
        <v>306</v>
      </c>
      <c r="E3601" s="6" t="s">
        <v>1424</v>
      </c>
      <c r="F3601" s="6" t="s">
        <v>411</v>
      </c>
      <c r="G3601" s="5">
        <v>90</v>
      </c>
      <c r="H3601" s="5">
        <f t="shared" si="111"/>
        <v>0.27677447280000012</v>
      </c>
      <c r="I3601" s="20">
        <f t="shared" si="110"/>
        <v>24.909702552000009</v>
      </c>
      <c r="J3601" s="6" t="s">
        <v>357</v>
      </c>
    </row>
    <row r="3602" spans="1:10" hidden="1">
      <c r="A3602" s="9">
        <v>46106</v>
      </c>
      <c r="B3602" s="6" t="s">
        <v>5409</v>
      </c>
      <c r="C3602" s="5" t="s">
        <v>5408</v>
      </c>
      <c r="D3602" s="8" t="s">
        <v>306</v>
      </c>
      <c r="E3602" s="6" t="s">
        <v>1424</v>
      </c>
      <c r="F3602" s="6" t="s">
        <v>411</v>
      </c>
      <c r="G3602" s="5">
        <v>57.7</v>
      </c>
      <c r="H3602" s="5">
        <f t="shared" si="111"/>
        <v>0.27677447280000012</v>
      </c>
      <c r="I3602" s="20">
        <f t="shared" si="110"/>
        <v>15.969887080560007</v>
      </c>
      <c r="J3602" s="6" t="s">
        <v>357</v>
      </c>
    </row>
    <row r="3603" spans="1:10" hidden="1">
      <c r="A3603" s="9">
        <v>46106</v>
      </c>
      <c r="B3603" s="6" t="s">
        <v>5411</v>
      </c>
      <c r="C3603" s="5" t="s">
        <v>5410</v>
      </c>
      <c r="D3603" s="8" t="s">
        <v>306</v>
      </c>
      <c r="E3603" s="6" t="s">
        <v>1424</v>
      </c>
      <c r="F3603" s="6" t="s">
        <v>411</v>
      </c>
      <c r="G3603" s="5">
        <v>67</v>
      </c>
      <c r="H3603" s="5">
        <f t="shared" si="111"/>
        <v>0.27677447280000012</v>
      </c>
      <c r="I3603" s="20">
        <f t="shared" si="110"/>
        <v>18.543889677600006</v>
      </c>
      <c r="J3603" s="6" t="s">
        <v>357</v>
      </c>
    </row>
    <row r="3604" spans="1:10" hidden="1">
      <c r="A3604" s="9">
        <v>46106</v>
      </c>
      <c r="B3604" s="6" t="s">
        <v>5413</v>
      </c>
      <c r="C3604" s="5" t="s">
        <v>5412</v>
      </c>
      <c r="D3604" s="8" t="s">
        <v>306</v>
      </c>
      <c r="E3604" s="6" t="s">
        <v>1424</v>
      </c>
      <c r="F3604" s="6" t="s">
        <v>411</v>
      </c>
      <c r="G3604" s="5">
        <v>67</v>
      </c>
      <c r="H3604" s="5">
        <f t="shared" si="111"/>
        <v>0.27677447280000012</v>
      </c>
      <c r="I3604" s="20">
        <f t="shared" si="110"/>
        <v>18.543889677600006</v>
      </c>
      <c r="J3604" s="6" t="s">
        <v>357</v>
      </c>
    </row>
    <row r="3605" spans="1:10" hidden="1">
      <c r="A3605" s="9">
        <v>46106</v>
      </c>
      <c r="B3605" s="6" t="s">
        <v>5415</v>
      </c>
      <c r="C3605" s="5" t="s">
        <v>5414</v>
      </c>
      <c r="D3605" s="8" t="s">
        <v>306</v>
      </c>
      <c r="E3605" s="6" t="s">
        <v>1424</v>
      </c>
      <c r="F3605" s="6" t="s">
        <v>411</v>
      </c>
      <c r="G3605" s="5">
        <v>57.7</v>
      </c>
      <c r="H3605" s="5">
        <f t="shared" si="111"/>
        <v>0.27677447280000012</v>
      </c>
      <c r="I3605" s="20">
        <f t="shared" si="110"/>
        <v>15.969887080560007</v>
      </c>
      <c r="J3605" s="6" t="s">
        <v>357</v>
      </c>
    </row>
    <row r="3606" spans="1:10" hidden="1">
      <c r="A3606" s="9">
        <v>46106</v>
      </c>
      <c r="B3606" s="6" t="s">
        <v>5417</v>
      </c>
      <c r="C3606" s="5" t="s">
        <v>5416</v>
      </c>
      <c r="D3606" s="8" t="s">
        <v>306</v>
      </c>
      <c r="E3606" s="6" t="s">
        <v>1424</v>
      </c>
      <c r="F3606" s="6" t="s">
        <v>411</v>
      </c>
      <c r="G3606" s="5">
        <v>65</v>
      </c>
      <c r="H3606" s="5">
        <f t="shared" si="111"/>
        <v>0.27677447280000012</v>
      </c>
      <c r="I3606" s="20">
        <f t="shared" si="110"/>
        <v>17.990340732000007</v>
      </c>
      <c r="J3606" s="6" t="s">
        <v>357</v>
      </c>
    </row>
    <row r="3607" spans="1:10" hidden="1">
      <c r="A3607" s="9">
        <v>46106</v>
      </c>
      <c r="B3607" s="6" t="s">
        <v>5419</v>
      </c>
      <c r="C3607" s="5" t="s">
        <v>5418</v>
      </c>
      <c r="D3607" s="8" t="s">
        <v>306</v>
      </c>
      <c r="E3607" s="6" t="s">
        <v>1424</v>
      </c>
      <c r="F3607" s="6" t="s">
        <v>411</v>
      </c>
      <c r="G3607" s="5">
        <v>67</v>
      </c>
      <c r="H3607" s="5">
        <f t="shared" si="111"/>
        <v>0.27677447280000012</v>
      </c>
      <c r="I3607" s="20">
        <f t="shared" si="110"/>
        <v>18.543889677600006</v>
      </c>
      <c r="J3607" s="6" t="s">
        <v>357</v>
      </c>
    </row>
    <row r="3608" spans="1:10" hidden="1">
      <c r="A3608" s="9">
        <v>46106</v>
      </c>
      <c r="B3608" s="6" t="s">
        <v>5421</v>
      </c>
      <c r="C3608" s="5" t="s">
        <v>5420</v>
      </c>
      <c r="D3608" s="8" t="s">
        <v>306</v>
      </c>
      <c r="E3608" s="6" t="s">
        <v>1424</v>
      </c>
      <c r="F3608" s="6" t="s">
        <v>411</v>
      </c>
      <c r="G3608" s="5">
        <v>57.7</v>
      </c>
      <c r="H3608" s="5">
        <f t="shared" si="111"/>
        <v>0.27677447280000012</v>
      </c>
      <c r="I3608" s="20">
        <f t="shared" si="110"/>
        <v>15.969887080560007</v>
      </c>
      <c r="J3608" s="6" t="s">
        <v>357</v>
      </c>
    </row>
    <row r="3609" spans="1:10" hidden="1">
      <c r="A3609" s="9">
        <v>46106</v>
      </c>
      <c r="B3609" s="6" t="s">
        <v>5423</v>
      </c>
      <c r="C3609" s="5" t="s">
        <v>5422</v>
      </c>
      <c r="D3609" s="8" t="s">
        <v>306</v>
      </c>
      <c r="E3609" s="6" t="s">
        <v>1424</v>
      </c>
      <c r="F3609" s="6" t="s">
        <v>411</v>
      </c>
      <c r="G3609" s="5">
        <v>106</v>
      </c>
      <c r="H3609" s="5">
        <f t="shared" si="111"/>
        <v>0.27677447280000012</v>
      </c>
      <c r="I3609" s="20">
        <f t="shared" si="110"/>
        <v>29.338094116800011</v>
      </c>
      <c r="J3609" s="6" t="s">
        <v>357</v>
      </c>
    </row>
    <row r="3610" spans="1:10" hidden="1">
      <c r="A3610" s="9">
        <v>46106</v>
      </c>
      <c r="B3610" s="6" t="s">
        <v>5425</v>
      </c>
      <c r="C3610" s="5" t="s">
        <v>5424</v>
      </c>
      <c r="D3610" s="8" t="s">
        <v>306</v>
      </c>
      <c r="E3610" s="6" t="s">
        <v>1424</v>
      </c>
      <c r="F3610" s="6" t="s">
        <v>411</v>
      </c>
      <c r="G3610" s="5">
        <v>65</v>
      </c>
      <c r="H3610" s="5">
        <f t="shared" si="111"/>
        <v>0.27677447280000012</v>
      </c>
      <c r="I3610" s="20">
        <f t="shared" si="110"/>
        <v>17.990340732000007</v>
      </c>
      <c r="J3610" s="6" t="s">
        <v>357</v>
      </c>
    </row>
    <row r="3611" spans="1:10" hidden="1">
      <c r="A3611" s="9">
        <v>46106</v>
      </c>
      <c r="B3611" s="6" t="s">
        <v>5427</v>
      </c>
      <c r="C3611" s="5" t="s">
        <v>5426</v>
      </c>
      <c r="D3611" s="8" t="s">
        <v>306</v>
      </c>
      <c r="E3611" s="6" t="s">
        <v>1424</v>
      </c>
      <c r="F3611" s="6" t="s">
        <v>411</v>
      </c>
      <c r="G3611" s="5">
        <v>67</v>
      </c>
      <c r="H3611" s="5">
        <f t="shared" si="111"/>
        <v>0.27677447280000012</v>
      </c>
      <c r="I3611" s="20">
        <f t="shared" si="110"/>
        <v>18.543889677600006</v>
      </c>
      <c r="J3611" s="6" t="s">
        <v>357</v>
      </c>
    </row>
    <row r="3612" spans="1:10" hidden="1">
      <c r="A3612" s="9">
        <v>46106</v>
      </c>
      <c r="B3612" s="6" t="s">
        <v>5429</v>
      </c>
      <c r="C3612" s="5" t="s">
        <v>5428</v>
      </c>
      <c r="D3612" s="8" t="s">
        <v>306</v>
      </c>
      <c r="E3612" s="6" t="s">
        <v>1424</v>
      </c>
      <c r="F3612" s="6" t="s">
        <v>411</v>
      </c>
      <c r="G3612" s="5">
        <v>58.7</v>
      </c>
      <c r="H3612" s="5">
        <f t="shared" si="111"/>
        <v>0.27677447280000012</v>
      </c>
      <c r="I3612" s="20">
        <f t="shared" si="110"/>
        <v>16.246661553360006</v>
      </c>
      <c r="J3612" s="6" t="s">
        <v>357</v>
      </c>
    </row>
    <row r="3613" spans="1:10" hidden="1">
      <c r="A3613" s="9">
        <v>46106</v>
      </c>
      <c r="B3613" s="6" t="s">
        <v>5431</v>
      </c>
      <c r="C3613" s="5" t="s">
        <v>5430</v>
      </c>
      <c r="D3613" s="8" t="s">
        <v>306</v>
      </c>
      <c r="E3613" s="6" t="s">
        <v>1424</v>
      </c>
      <c r="F3613" s="6" t="s">
        <v>411</v>
      </c>
      <c r="G3613" s="5">
        <v>80</v>
      </c>
      <c r="H3613" s="5">
        <f t="shared" si="111"/>
        <v>0.27677447280000012</v>
      </c>
      <c r="I3613" s="20">
        <f t="shared" si="110"/>
        <v>22.141957824000009</v>
      </c>
      <c r="J3613" s="6" t="s">
        <v>357</v>
      </c>
    </row>
    <row r="3614" spans="1:10" ht="30" hidden="1">
      <c r="A3614" s="9">
        <v>46106</v>
      </c>
      <c r="B3614" s="6" t="s">
        <v>5433</v>
      </c>
      <c r="C3614" s="5" t="s">
        <v>5432</v>
      </c>
      <c r="D3614" s="8" t="s">
        <v>306</v>
      </c>
      <c r="E3614" s="6" t="s">
        <v>1425</v>
      </c>
      <c r="F3614" s="6" t="s">
        <v>5393</v>
      </c>
      <c r="G3614" s="5">
        <v>56.7</v>
      </c>
      <c r="H3614" s="5">
        <f t="shared" si="111"/>
        <v>0.27677447280000012</v>
      </c>
      <c r="I3614" s="20">
        <f t="shared" si="110"/>
        <v>15.693112607760007</v>
      </c>
      <c r="J3614" s="6" t="s">
        <v>357</v>
      </c>
    </row>
    <row r="3615" spans="1:10" ht="30" hidden="1">
      <c r="A3615" s="9">
        <v>46106</v>
      </c>
      <c r="B3615" s="6" t="s">
        <v>5435</v>
      </c>
      <c r="C3615" s="5" t="s">
        <v>5434</v>
      </c>
      <c r="D3615" s="8" t="s">
        <v>306</v>
      </c>
      <c r="E3615" s="6" t="s">
        <v>1425</v>
      </c>
      <c r="F3615" s="6" t="s">
        <v>5393</v>
      </c>
      <c r="G3615" s="5">
        <v>65.400000000000006</v>
      </c>
      <c r="H3615" s="5">
        <f t="shared" si="111"/>
        <v>0.27677447280000012</v>
      </c>
      <c r="I3615" s="20">
        <f t="shared" si="110"/>
        <v>18.101050521120008</v>
      </c>
      <c r="J3615" s="6" t="s">
        <v>357</v>
      </c>
    </row>
    <row r="3616" spans="1:10" ht="30" hidden="1">
      <c r="A3616" s="9">
        <v>46106</v>
      </c>
      <c r="B3616" s="6" t="s">
        <v>5437</v>
      </c>
      <c r="C3616" s="5" t="s">
        <v>5436</v>
      </c>
      <c r="D3616" s="8" t="s">
        <v>306</v>
      </c>
      <c r="E3616" s="6" t="s">
        <v>1425</v>
      </c>
      <c r="F3616" s="6" t="s">
        <v>5393</v>
      </c>
      <c r="G3616" s="5">
        <v>106</v>
      </c>
      <c r="H3616" s="5">
        <f t="shared" si="111"/>
        <v>0.27677447280000012</v>
      </c>
      <c r="I3616" s="20">
        <f t="shared" si="110"/>
        <v>29.338094116800011</v>
      </c>
      <c r="J3616" s="6" t="s">
        <v>357</v>
      </c>
    </row>
    <row r="3617" spans="1:10" hidden="1">
      <c r="A3617" s="9">
        <v>46106</v>
      </c>
      <c r="B3617" s="240" t="s">
        <v>7809</v>
      </c>
      <c r="C3617" s="5" t="s">
        <v>5388</v>
      </c>
      <c r="D3617" s="8" t="s">
        <v>306</v>
      </c>
      <c r="E3617" s="25" t="s">
        <v>1424</v>
      </c>
      <c r="F3617" s="25" t="s">
        <v>411</v>
      </c>
      <c r="G3617" s="31">
        <v>147</v>
      </c>
      <c r="H3617" s="5">
        <f t="shared" si="111"/>
        <v>0.27677447280000012</v>
      </c>
      <c r="I3617" s="20">
        <f t="shared" si="110"/>
        <v>40.685847501600016</v>
      </c>
      <c r="J3617" s="6" t="s">
        <v>357</v>
      </c>
    </row>
    <row r="3618" spans="1:10" hidden="1">
      <c r="A3618" s="9">
        <v>46106</v>
      </c>
      <c r="B3618" s="6" t="s">
        <v>5439</v>
      </c>
      <c r="C3618" s="5" t="s">
        <v>5438</v>
      </c>
      <c r="D3618" s="8" t="s">
        <v>306</v>
      </c>
      <c r="E3618" s="6" t="s">
        <v>5392</v>
      </c>
      <c r="F3618" s="6" t="s">
        <v>686</v>
      </c>
      <c r="G3618" s="5">
        <v>81.900000000000006</v>
      </c>
      <c r="H3618" s="5">
        <f t="shared" si="111"/>
        <v>0.27677447280000012</v>
      </c>
      <c r="I3618" s="20">
        <f t="shared" si="110"/>
        <v>22.66782932232001</v>
      </c>
      <c r="J3618" s="6" t="s">
        <v>357</v>
      </c>
    </row>
    <row r="3619" spans="1:10" hidden="1">
      <c r="A3619" s="9">
        <v>46106</v>
      </c>
      <c r="B3619" s="6" t="s">
        <v>5441</v>
      </c>
      <c r="C3619" s="5" t="s">
        <v>5440</v>
      </c>
      <c r="D3619" s="8" t="s">
        <v>306</v>
      </c>
      <c r="E3619" s="6" t="s">
        <v>5392</v>
      </c>
      <c r="F3619" s="6" t="s">
        <v>686</v>
      </c>
      <c r="G3619" s="5">
        <v>79.5</v>
      </c>
      <c r="H3619" s="5">
        <f t="shared" si="111"/>
        <v>0.27677447280000012</v>
      </c>
      <c r="I3619" s="20">
        <f t="shared" si="110"/>
        <v>22.003570587600009</v>
      </c>
      <c r="J3619" s="6" t="s">
        <v>357</v>
      </c>
    </row>
    <row r="3620" spans="1:10" hidden="1">
      <c r="A3620" s="9">
        <v>46106</v>
      </c>
      <c r="B3620" s="6" t="s">
        <v>5443</v>
      </c>
      <c r="C3620" s="5" t="s">
        <v>5442</v>
      </c>
      <c r="D3620" s="8" t="s">
        <v>306</v>
      </c>
      <c r="E3620" s="6" t="s">
        <v>5392</v>
      </c>
      <c r="F3620" s="6" t="s">
        <v>686</v>
      </c>
      <c r="G3620" s="5">
        <v>79.5</v>
      </c>
      <c r="H3620" s="5">
        <f t="shared" si="111"/>
        <v>0.27677447280000012</v>
      </c>
      <c r="I3620" s="20">
        <f t="shared" si="110"/>
        <v>22.003570587600009</v>
      </c>
      <c r="J3620" s="6" t="s">
        <v>512</v>
      </c>
    </row>
    <row r="3621" spans="1:10" hidden="1">
      <c r="A3621" s="9">
        <v>46106</v>
      </c>
      <c r="B3621" s="6" t="s">
        <v>5445</v>
      </c>
      <c r="C3621" s="5" t="s">
        <v>5444</v>
      </c>
      <c r="D3621" s="8" t="s">
        <v>306</v>
      </c>
      <c r="E3621" s="6" t="s">
        <v>5392</v>
      </c>
      <c r="F3621" s="6" t="s">
        <v>686</v>
      </c>
      <c r="G3621" s="5">
        <v>79.5</v>
      </c>
      <c r="H3621" s="5">
        <f t="shared" si="111"/>
        <v>0.27677447280000012</v>
      </c>
      <c r="I3621" s="20">
        <f t="shared" si="110"/>
        <v>22.003570587600009</v>
      </c>
      <c r="J3621" s="6" t="s">
        <v>357</v>
      </c>
    </row>
    <row r="3622" spans="1:10" hidden="1">
      <c r="A3622" s="9">
        <v>46106</v>
      </c>
      <c r="B3622" s="6" t="s">
        <v>5447</v>
      </c>
      <c r="C3622" s="5" t="s">
        <v>5446</v>
      </c>
      <c r="D3622" s="8" t="s">
        <v>306</v>
      </c>
      <c r="E3622" s="6" t="s">
        <v>5392</v>
      </c>
      <c r="F3622" s="6" t="s">
        <v>686</v>
      </c>
      <c r="G3622" s="5">
        <v>79.5</v>
      </c>
      <c r="H3622" s="5">
        <f t="shared" si="111"/>
        <v>0.27677447280000012</v>
      </c>
      <c r="I3622" s="20">
        <f t="shared" si="110"/>
        <v>22.003570587600009</v>
      </c>
      <c r="J3622" s="6" t="s">
        <v>357</v>
      </c>
    </row>
    <row r="3623" spans="1:10" hidden="1">
      <c r="A3623" s="9">
        <v>45869</v>
      </c>
      <c r="B3623" s="216" t="s">
        <v>7311</v>
      </c>
      <c r="C3623" s="5" t="s">
        <v>7311</v>
      </c>
      <c r="D3623" s="8" t="s">
        <v>7312</v>
      </c>
      <c r="E3623" s="25" t="s">
        <v>7313</v>
      </c>
      <c r="F3623" s="25" t="s">
        <v>411</v>
      </c>
      <c r="G3623" s="31">
        <v>29</v>
      </c>
      <c r="H3623" s="5">
        <v>1</v>
      </c>
      <c r="I3623" s="20">
        <f t="shared" si="110"/>
        <v>29</v>
      </c>
      <c r="J3623" s="6" t="s">
        <v>357</v>
      </c>
    </row>
    <row r="3624" spans="1:10" ht="330" hidden="1">
      <c r="A3624" s="10">
        <v>43775</v>
      </c>
      <c r="B3624" s="6" t="s">
        <v>5449</v>
      </c>
      <c r="C3624" s="8" t="s">
        <v>5448</v>
      </c>
      <c r="D3624" s="8" t="s">
        <v>188</v>
      </c>
      <c r="E3624" s="6" t="s">
        <v>5450</v>
      </c>
      <c r="F3624" s="6" t="s">
        <v>686</v>
      </c>
      <c r="G3624" s="5">
        <v>72293.33</v>
      </c>
      <c r="H3624" s="5">
        <v>1</v>
      </c>
      <c r="I3624" s="20">
        <f t="shared" si="110"/>
        <v>72293.33</v>
      </c>
      <c r="J3624" s="6" t="s">
        <v>357</v>
      </c>
    </row>
    <row r="3625" spans="1:10" ht="45" hidden="1">
      <c r="A3625" s="10">
        <v>43775</v>
      </c>
      <c r="B3625" s="6" t="s">
        <v>5452</v>
      </c>
      <c r="C3625" s="5" t="s">
        <v>5451</v>
      </c>
      <c r="D3625" s="8" t="s">
        <v>188</v>
      </c>
      <c r="E3625" s="6" t="s">
        <v>602</v>
      </c>
      <c r="F3625" s="6" t="s">
        <v>686</v>
      </c>
      <c r="G3625" s="5">
        <v>26.46</v>
      </c>
      <c r="H3625" s="5">
        <v>1</v>
      </c>
      <c r="I3625" s="20">
        <f t="shared" si="110"/>
        <v>26.46</v>
      </c>
      <c r="J3625" s="6" t="s">
        <v>357</v>
      </c>
    </row>
    <row r="3626" spans="1:10" ht="30" hidden="1">
      <c r="A3626" s="10">
        <v>43775</v>
      </c>
      <c r="B3626" s="6" t="s">
        <v>5454</v>
      </c>
      <c r="C3626" s="5" t="s">
        <v>5453</v>
      </c>
      <c r="D3626" s="8" t="s">
        <v>188</v>
      </c>
      <c r="E3626" s="6" t="s">
        <v>602</v>
      </c>
      <c r="F3626" s="6" t="s">
        <v>686</v>
      </c>
      <c r="G3626" s="5">
        <v>163.75</v>
      </c>
      <c r="H3626" s="5">
        <v>1</v>
      </c>
      <c r="I3626" s="20">
        <f t="shared" si="110"/>
        <v>163.75</v>
      </c>
      <c r="J3626" s="6" t="s">
        <v>357</v>
      </c>
    </row>
    <row r="3627" spans="1:10" ht="60" hidden="1">
      <c r="A3627" s="10">
        <v>43775</v>
      </c>
      <c r="B3627" s="6" t="s">
        <v>5456</v>
      </c>
      <c r="C3627" s="5" t="s">
        <v>5455</v>
      </c>
      <c r="D3627" s="8" t="s">
        <v>188</v>
      </c>
      <c r="E3627" s="6" t="s">
        <v>1247</v>
      </c>
      <c r="F3627" s="6" t="s">
        <v>686</v>
      </c>
      <c r="G3627" s="5">
        <v>70.23</v>
      </c>
      <c r="H3627" s="5">
        <v>1</v>
      </c>
      <c r="I3627" s="20">
        <f t="shared" si="110"/>
        <v>70.23</v>
      </c>
      <c r="J3627" s="6" t="s">
        <v>357</v>
      </c>
    </row>
    <row r="3628" spans="1:10" ht="45" hidden="1">
      <c r="A3628" s="10">
        <v>43775</v>
      </c>
      <c r="B3628" s="6" t="s">
        <v>5458</v>
      </c>
      <c r="C3628" s="5" t="s">
        <v>5457</v>
      </c>
      <c r="D3628" s="8" t="s">
        <v>188</v>
      </c>
      <c r="E3628" s="6" t="s">
        <v>1024</v>
      </c>
      <c r="F3628" s="6" t="s">
        <v>686</v>
      </c>
      <c r="G3628" s="5">
        <v>26.08</v>
      </c>
      <c r="H3628" s="5">
        <v>1</v>
      </c>
      <c r="I3628" s="20">
        <f t="shared" si="110"/>
        <v>26.08</v>
      </c>
      <c r="J3628" s="6" t="s">
        <v>357</v>
      </c>
    </row>
    <row r="3629" spans="1:10" hidden="1">
      <c r="A3629" s="10">
        <v>43712</v>
      </c>
      <c r="B3629" s="6" t="s">
        <v>5460</v>
      </c>
      <c r="C3629" s="5" t="s">
        <v>5459</v>
      </c>
      <c r="D3629" s="8" t="s">
        <v>188</v>
      </c>
      <c r="E3629" s="6" t="s">
        <v>5335</v>
      </c>
      <c r="F3629" s="6" t="s">
        <v>5461</v>
      </c>
      <c r="G3629" s="5">
        <v>1200</v>
      </c>
      <c r="H3629" s="5">
        <v>1</v>
      </c>
      <c r="I3629" s="20">
        <f t="shared" si="110"/>
        <v>1200</v>
      </c>
      <c r="J3629" s="6" t="s">
        <v>4141</v>
      </c>
    </row>
    <row r="3630" spans="1:10" hidden="1">
      <c r="A3630" s="9">
        <v>45402</v>
      </c>
      <c r="B3630" s="6" t="s">
        <v>5463</v>
      </c>
      <c r="C3630" s="5" t="s">
        <v>5462</v>
      </c>
      <c r="D3630" s="8" t="s">
        <v>188</v>
      </c>
      <c r="E3630" s="6" t="s">
        <v>5319</v>
      </c>
      <c r="F3630" s="6" t="s">
        <v>411</v>
      </c>
      <c r="G3630" s="5">
        <v>6250</v>
      </c>
      <c r="H3630" s="5">
        <v>1</v>
      </c>
      <c r="I3630" s="20">
        <f t="shared" si="110"/>
        <v>6250</v>
      </c>
      <c r="J3630" s="6" t="s">
        <v>357</v>
      </c>
    </row>
    <row r="3631" spans="1:10" hidden="1">
      <c r="A3631" s="10">
        <v>43704</v>
      </c>
      <c r="B3631" s="6" t="s">
        <v>5466</v>
      </c>
      <c r="C3631" s="5" t="s">
        <v>5464</v>
      </c>
      <c r="D3631" s="8" t="s">
        <v>5465</v>
      </c>
      <c r="E3631" s="6" t="s">
        <v>466</v>
      </c>
      <c r="F3631" s="6" t="s">
        <v>686</v>
      </c>
      <c r="G3631" s="21">
        <v>8550</v>
      </c>
      <c r="H3631" s="5">
        <f>0.75*0.9*0.9*0.9*0.95</f>
        <v>0.51941250000000005</v>
      </c>
      <c r="I3631" s="20">
        <f t="shared" si="110"/>
        <v>4440.9768750000003</v>
      </c>
      <c r="J3631" s="6" t="s">
        <v>357</v>
      </c>
    </row>
    <row r="3632" spans="1:10" hidden="1">
      <c r="A3632" s="10">
        <v>43704</v>
      </c>
      <c r="B3632" s="6" t="s">
        <v>5468</v>
      </c>
      <c r="C3632" s="5" t="s">
        <v>5467</v>
      </c>
      <c r="D3632" s="8" t="s">
        <v>5465</v>
      </c>
      <c r="E3632" s="6" t="s">
        <v>466</v>
      </c>
      <c r="F3632" s="6" t="s">
        <v>686</v>
      </c>
      <c r="G3632" s="5">
        <v>972</v>
      </c>
      <c r="H3632" s="5">
        <f>0.75*0.9*0.9*0.9*0.95</f>
        <v>0.51941250000000005</v>
      </c>
      <c r="I3632" s="20">
        <f t="shared" si="110"/>
        <v>504.86895000000004</v>
      </c>
      <c r="J3632" s="6" t="s">
        <v>357</v>
      </c>
    </row>
    <row r="3633" spans="1:10" hidden="1">
      <c r="A3633" s="10">
        <v>43704</v>
      </c>
      <c r="B3633" s="6" t="s">
        <v>5469</v>
      </c>
      <c r="C3633" s="5" t="s">
        <v>2552</v>
      </c>
      <c r="D3633" s="8" t="s">
        <v>5465</v>
      </c>
      <c r="E3633" s="6" t="s">
        <v>466</v>
      </c>
      <c r="F3633" s="6" t="s">
        <v>686</v>
      </c>
      <c r="G3633" s="21">
        <v>1991</v>
      </c>
      <c r="H3633" s="5">
        <f>0.75*0.9*0.9*0.9*0.95</f>
        <v>0.51941250000000005</v>
      </c>
      <c r="I3633" s="20">
        <f t="shared" si="110"/>
        <v>1034.1502875000001</v>
      </c>
      <c r="J3633" s="6" t="s">
        <v>357</v>
      </c>
    </row>
    <row r="3634" spans="1:10" hidden="1">
      <c r="A3634" s="10">
        <v>43704</v>
      </c>
      <c r="B3634" s="6" t="s">
        <v>5471</v>
      </c>
      <c r="C3634" s="5" t="s">
        <v>5470</v>
      </c>
      <c r="D3634" s="8" t="s">
        <v>5465</v>
      </c>
      <c r="E3634" s="6" t="s">
        <v>466</v>
      </c>
      <c r="F3634" s="6" t="s">
        <v>686</v>
      </c>
      <c r="G3634" s="21">
        <v>2930</v>
      </c>
      <c r="H3634" s="5">
        <f>0.75*0.9*0.9*0.9*0.95</f>
        <v>0.51941250000000005</v>
      </c>
      <c r="I3634" s="20">
        <f t="shared" si="110"/>
        <v>1521.8786250000001</v>
      </c>
      <c r="J3634" s="6" t="s">
        <v>357</v>
      </c>
    </row>
    <row r="3635" spans="1:10" ht="30" hidden="1">
      <c r="A3635" s="9">
        <v>46029</v>
      </c>
      <c r="B3635" s="216" t="s">
        <v>7712</v>
      </c>
      <c r="C3635" s="5" t="s">
        <v>7713</v>
      </c>
      <c r="D3635" s="8" t="s">
        <v>50</v>
      </c>
      <c r="E3635" s="25" t="s">
        <v>7714</v>
      </c>
      <c r="F3635" s="25" t="s">
        <v>7715</v>
      </c>
      <c r="G3635" s="31">
        <v>303</v>
      </c>
      <c r="H3635" s="5">
        <v>1</v>
      </c>
      <c r="I3635" s="20">
        <f t="shared" si="110"/>
        <v>303</v>
      </c>
      <c r="J3635" s="6" t="s">
        <v>357</v>
      </c>
    </row>
    <row r="3636" spans="1:10" ht="30" hidden="1">
      <c r="A3636" s="9">
        <v>46029</v>
      </c>
      <c r="B3636" s="216" t="s">
        <v>7716</v>
      </c>
      <c r="C3636" s="5" t="s">
        <v>7717</v>
      </c>
      <c r="D3636" s="8" t="s">
        <v>50</v>
      </c>
      <c r="E3636" s="25" t="s">
        <v>7714</v>
      </c>
      <c r="F3636" s="25" t="s">
        <v>7715</v>
      </c>
      <c r="G3636" s="31">
        <v>357</v>
      </c>
      <c r="H3636" s="5">
        <v>1</v>
      </c>
      <c r="I3636" s="20">
        <f t="shared" si="110"/>
        <v>357</v>
      </c>
      <c r="J3636" s="6" t="s">
        <v>357</v>
      </c>
    </row>
    <row r="3637" spans="1:10" ht="30" hidden="1">
      <c r="A3637" s="9">
        <v>46029</v>
      </c>
      <c r="B3637" s="216" t="s">
        <v>7718</v>
      </c>
      <c r="C3637" s="5" t="s">
        <v>7720</v>
      </c>
      <c r="D3637" s="8" t="s">
        <v>50</v>
      </c>
      <c r="E3637" s="25" t="s">
        <v>7714</v>
      </c>
      <c r="F3637" s="25" t="s">
        <v>7715</v>
      </c>
      <c r="G3637" s="31">
        <v>348</v>
      </c>
      <c r="H3637" s="5">
        <v>1</v>
      </c>
      <c r="I3637" s="20">
        <f t="shared" si="110"/>
        <v>348</v>
      </c>
      <c r="J3637" s="6" t="s">
        <v>357</v>
      </c>
    </row>
    <row r="3638" spans="1:10" ht="30" hidden="1">
      <c r="A3638" s="9">
        <v>46029</v>
      </c>
      <c r="B3638" s="216" t="s">
        <v>7719</v>
      </c>
      <c r="C3638" s="5" t="s">
        <v>7721</v>
      </c>
      <c r="D3638" s="8" t="s">
        <v>50</v>
      </c>
      <c r="E3638" s="25" t="s">
        <v>7714</v>
      </c>
      <c r="F3638" s="25" t="s">
        <v>7715</v>
      </c>
      <c r="G3638" s="31">
        <v>410</v>
      </c>
      <c r="H3638" s="5">
        <v>1</v>
      </c>
      <c r="I3638" s="20">
        <f t="shared" si="110"/>
        <v>410</v>
      </c>
      <c r="J3638" s="6" t="s">
        <v>357</v>
      </c>
    </row>
    <row r="3639" spans="1:10" ht="30" hidden="1">
      <c r="A3639" s="9">
        <v>46029</v>
      </c>
      <c r="B3639" s="216" t="s">
        <v>7724</v>
      </c>
      <c r="C3639" s="5" t="s">
        <v>7722</v>
      </c>
      <c r="D3639" s="8" t="s">
        <v>50</v>
      </c>
      <c r="E3639" s="25" t="s">
        <v>7714</v>
      </c>
      <c r="F3639" s="25" t="s">
        <v>7715</v>
      </c>
      <c r="G3639" s="31">
        <v>524</v>
      </c>
      <c r="H3639" s="5">
        <v>1</v>
      </c>
      <c r="I3639" s="20">
        <f t="shared" ref="I3639:I3702" si="112">H3639*G3639</f>
        <v>524</v>
      </c>
      <c r="J3639" s="6" t="s">
        <v>357</v>
      </c>
    </row>
    <row r="3640" spans="1:10" ht="30" hidden="1">
      <c r="A3640" s="9">
        <v>46029</v>
      </c>
      <c r="B3640" s="216" t="s">
        <v>7725</v>
      </c>
      <c r="C3640" s="5" t="s">
        <v>7723</v>
      </c>
      <c r="D3640" s="8" t="s">
        <v>50</v>
      </c>
      <c r="E3640" s="25" t="s">
        <v>7714</v>
      </c>
      <c r="F3640" s="25" t="s">
        <v>7715</v>
      </c>
      <c r="G3640" s="31">
        <v>626</v>
      </c>
      <c r="H3640" s="5">
        <v>1</v>
      </c>
      <c r="I3640" s="20">
        <f t="shared" si="112"/>
        <v>626</v>
      </c>
      <c r="J3640" s="6" t="s">
        <v>357</v>
      </c>
    </row>
    <row r="3641" spans="1:10" ht="45" hidden="1">
      <c r="A3641" s="113">
        <v>45574</v>
      </c>
      <c r="B3641" s="111" t="s">
        <v>5789</v>
      </c>
      <c r="C3641" s="138" t="s">
        <v>5911</v>
      </c>
      <c r="D3641" s="8" t="s">
        <v>50</v>
      </c>
      <c r="E3641" s="6" t="s">
        <v>5818</v>
      </c>
      <c r="F3641" s="6" t="s">
        <v>336</v>
      </c>
      <c r="G3641" s="5">
        <v>127</v>
      </c>
      <c r="H3641" s="5">
        <v>1</v>
      </c>
      <c r="I3641" s="20">
        <f t="shared" si="112"/>
        <v>127</v>
      </c>
      <c r="J3641" s="6" t="s">
        <v>357</v>
      </c>
    </row>
    <row r="3642" spans="1:10" ht="45" hidden="1">
      <c r="A3642" s="142">
        <v>45594</v>
      </c>
      <c r="B3642" s="111" t="s">
        <v>5927</v>
      </c>
      <c r="C3642" s="138" t="s">
        <v>5912</v>
      </c>
      <c r="D3642" s="8" t="s">
        <v>50</v>
      </c>
      <c r="E3642" s="6" t="s">
        <v>5818</v>
      </c>
      <c r="F3642" s="6" t="s">
        <v>336</v>
      </c>
      <c r="G3642" s="31">
        <v>158</v>
      </c>
      <c r="H3642" s="138">
        <v>1</v>
      </c>
      <c r="I3642" s="141">
        <f t="shared" si="112"/>
        <v>158</v>
      </c>
      <c r="J3642" s="6" t="s">
        <v>357</v>
      </c>
    </row>
    <row r="3643" spans="1:10" ht="60" hidden="1">
      <c r="A3643" s="9">
        <v>46091</v>
      </c>
      <c r="B3643" s="216" t="s">
        <v>7744</v>
      </c>
      <c r="C3643" s="5" t="s">
        <v>7771</v>
      </c>
      <c r="D3643" s="8" t="s">
        <v>50</v>
      </c>
      <c r="E3643" s="6" t="s">
        <v>5818</v>
      </c>
      <c r="F3643" s="6" t="s">
        <v>336</v>
      </c>
      <c r="G3643" s="31">
        <v>188</v>
      </c>
      <c r="H3643" s="138">
        <v>1</v>
      </c>
      <c r="I3643" s="20">
        <f t="shared" si="112"/>
        <v>188</v>
      </c>
      <c r="J3643" s="6" t="s">
        <v>357</v>
      </c>
    </row>
    <row r="3644" spans="1:10" ht="60" hidden="1">
      <c r="A3644" s="9">
        <v>46091</v>
      </c>
      <c r="B3644" s="216" t="s">
        <v>7747</v>
      </c>
      <c r="C3644" s="5" t="s">
        <v>7802</v>
      </c>
      <c r="D3644" s="8" t="s">
        <v>50</v>
      </c>
      <c r="E3644" s="6" t="s">
        <v>5818</v>
      </c>
      <c r="F3644" s="6" t="s">
        <v>336</v>
      </c>
      <c r="G3644" s="31">
        <v>387</v>
      </c>
      <c r="H3644" s="138">
        <v>1</v>
      </c>
      <c r="I3644" s="20">
        <f t="shared" si="112"/>
        <v>387</v>
      </c>
      <c r="J3644" s="6" t="s">
        <v>357</v>
      </c>
    </row>
    <row r="3645" spans="1:10" ht="45" hidden="1">
      <c r="A3645" s="113">
        <v>45574</v>
      </c>
      <c r="B3645" s="111" t="s">
        <v>5790</v>
      </c>
      <c r="C3645" s="5" t="s">
        <v>5784</v>
      </c>
      <c r="D3645" s="8" t="s">
        <v>50</v>
      </c>
      <c r="E3645" s="6" t="s">
        <v>5818</v>
      </c>
      <c r="F3645" s="6" t="s">
        <v>336</v>
      </c>
      <c r="G3645" s="5">
        <v>137</v>
      </c>
      <c r="H3645" s="5">
        <v>1</v>
      </c>
      <c r="I3645" s="20">
        <f t="shared" si="112"/>
        <v>137</v>
      </c>
      <c r="J3645" s="6" t="s">
        <v>357</v>
      </c>
    </row>
    <row r="3646" spans="1:10" ht="45" hidden="1">
      <c r="A3646" s="142">
        <v>45594</v>
      </c>
      <c r="B3646" s="111" t="s">
        <v>5928</v>
      </c>
      <c r="C3646" s="143" t="s">
        <v>5913</v>
      </c>
      <c r="D3646" s="8" t="s">
        <v>50</v>
      </c>
      <c r="E3646" s="6" t="s">
        <v>5818</v>
      </c>
      <c r="F3646" s="6" t="s">
        <v>336</v>
      </c>
      <c r="G3646" s="31">
        <v>171</v>
      </c>
      <c r="H3646" s="138">
        <v>1</v>
      </c>
      <c r="I3646" s="141">
        <f t="shared" si="112"/>
        <v>171</v>
      </c>
      <c r="J3646" s="6" t="s">
        <v>357</v>
      </c>
    </row>
    <row r="3647" spans="1:10" ht="60" hidden="1">
      <c r="A3647" s="9">
        <v>46091</v>
      </c>
      <c r="B3647" s="216" t="s">
        <v>7745</v>
      </c>
      <c r="C3647" s="5" t="s">
        <v>7772</v>
      </c>
      <c r="D3647" s="8" t="s">
        <v>50</v>
      </c>
      <c r="E3647" s="6" t="s">
        <v>5818</v>
      </c>
      <c r="F3647" s="6" t="s">
        <v>336</v>
      </c>
      <c r="G3647" s="31">
        <v>205</v>
      </c>
      <c r="H3647" s="138">
        <v>1</v>
      </c>
      <c r="I3647" s="20">
        <f t="shared" si="112"/>
        <v>205</v>
      </c>
      <c r="J3647" s="6" t="s">
        <v>357</v>
      </c>
    </row>
    <row r="3648" spans="1:10" ht="60" hidden="1">
      <c r="A3648" s="9">
        <v>46091</v>
      </c>
      <c r="B3648" s="216" t="s">
        <v>7746</v>
      </c>
      <c r="C3648" s="5" t="s">
        <v>7801</v>
      </c>
      <c r="D3648" s="8" t="s">
        <v>50</v>
      </c>
      <c r="E3648" s="6" t="s">
        <v>5818</v>
      </c>
      <c r="F3648" s="6" t="s">
        <v>336</v>
      </c>
      <c r="G3648" s="31">
        <v>424</v>
      </c>
      <c r="H3648" s="138">
        <v>1</v>
      </c>
      <c r="I3648" s="20">
        <f t="shared" si="112"/>
        <v>424</v>
      </c>
      <c r="J3648" s="6" t="s">
        <v>357</v>
      </c>
    </row>
    <row r="3649" spans="1:10" ht="45" hidden="1">
      <c r="A3649" s="113">
        <v>45574</v>
      </c>
      <c r="B3649" s="111" t="s">
        <v>5791</v>
      </c>
      <c r="C3649" s="5" t="s">
        <v>5785</v>
      </c>
      <c r="D3649" s="8" t="s">
        <v>50</v>
      </c>
      <c r="E3649" s="6" t="s">
        <v>5818</v>
      </c>
      <c r="F3649" s="6" t="s">
        <v>336</v>
      </c>
      <c r="G3649" s="5">
        <v>159</v>
      </c>
      <c r="H3649" s="5">
        <v>1</v>
      </c>
      <c r="I3649" s="20">
        <f t="shared" si="112"/>
        <v>159</v>
      </c>
      <c r="J3649" s="6" t="s">
        <v>357</v>
      </c>
    </row>
    <row r="3650" spans="1:10" ht="45" hidden="1">
      <c r="A3650" s="142">
        <v>45594</v>
      </c>
      <c r="B3650" s="111" t="s">
        <v>5929</v>
      </c>
      <c r="C3650" s="143" t="s">
        <v>5926</v>
      </c>
      <c r="D3650" s="8" t="s">
        <v>50</v>
      </c>
      <c r="E3650" s="6" t="s">
        <v>5818</v>
      </c>
      <c r="F3650" s="6" t="s">
        <v>336</v>
      </c>
      <c r="G3650" s="31">
        <v>201</v>
      </c>
      <c r="H3650" s="138">
        <v>1</v>
      </c>
      <c r="I3650" s="141">
        <f t="shared" si="112"/>
        <v>201</v>
      </c>
      <c r="J3650" s="6" t="s">
        <v>357</v>
      </c>
    </row>
    <row r="3651" spans="1:10" ht="60" hidden="1">
      <c r="A3651" s="9">
        <v>46091</v>
      </c>
      <c r="B3651" s="216" t="s">
        <v>7748</v>
      </c>
      <c r="C3651" s="5" t="s">
        <v>7773</v>
      </c>
      <c r="D3651" s="8" t="s">
        <v>50</v>
      </c>
      <c r="E3651" s="6" t="s">
        <v>5818</v>
      </c>
      <c r="F3651" s="6" t="s">
        <v>336</v>
      </c>
      <c r="G3651" s="31">
        <v>242</v>
      </c>
      <c r="H3651" s="138">
        <v>1</v>
      </c>
      <c r="I3651" s="20">
        <f t="shared" si="112"/>
        <v>242</v>
      </c>
      <c r="J3651" s="6" t="s">
        <v>357</v>
      </c>
    </row>
    <row r="3652" spans="1:10" ht="60" hidden="1">
      <c r="A3652" s="9">
        <v>46091</v>
      </c>
      <c r="B3652" s="216" t="s">
        <v>7749</v>
      </c>
      <c r="C3652" s="5" t="s">
        <v>7800</v>
      </c>
      <c r="D3652" s="8" t="s">
        <v>50</v>
      </c>
      <c r="E3652" s="6" t="s">
        <v>5818</v>
      </c>
      <c r="F3652" s="6" t="s">
        <v>336</v>
      </c>
      <c r="G3652" s="31">
        <v>509</v>
      </c>
      <c r="H3652" s="138">
        <v>1</v>
      </c>
      <c r="I3652" s="20">
        <f t="shared" si="112"/>
        <v>509</v>
      </c>
      <c r="J3652" s="6" t="s">
        <v>357</v>
      </c>
    </row>
    <row r="3653" spans="1:10" ht="45" hidden="1">
      <c r="A3653" s="9">
        <v>45574</v>
      </c>
      <c r="B3653" s="111" t="s">
        <v>5797</v>
      </c>
      <c r="C3653" s="5" t="s">
        <v>5787</v>
      </c>
      <c r="D3653" s="8" t="s">
        <v>50</v>
      </c>
      <c r="E3653" s="6" t="s">
        <v>5818</v>
      </c>
      <c r="F3653" s="6" t="s">
        <v>336</v>
      </c>
      <c r="G3653" s="5">
        <v>198</v>
      </c>
      <c r="H3653" s="5">
        <v>1</v>
      </c>
      <c r="I3653" s="20">
        <f t="shared" si="112"/>
        <v>198</v>
      </c>
      <c r="J3653" s="6" t="s">
        <v>357</v>
      </c>
    </row>
    <row r="3654" spans="1:10" ht="45" hidden="1">
      <c r="A3654" s="142">
        <v>45594</v>
      </c>
      <c r="B3654" s="111" t="s">
        <v>5930</v>
      </c>
      <c r="C3654" s="143" t="s">
        <v>5925</v>
      </c>
      <c r="D3654" s="8" t="s">
        <v>50</v>
      </c>
      <c r="E3654" s="6" t="s">
        <v>5818</v>
      </c>
      <c r="F3654" s="6" t="s">
        <v>336</v>
      </c>
      <c r="G3654" s="31">
        <v>252</v>
      </c>
      <c r="H3654" s="138">
        <v>1</v>
      </c>
      <c r="I3654" s="141">
        <f t="shared" si="112"/>
        <v>252</v>
      </c>
      <c r="J3654" s="6" t="s">
        <v>357</v>
      </c>
    </row>
    <row r="3655" spans="1:10" ht="60" hidden="1">
      <c r="A3655" s="9">
        <v>46091</v>
      </c>
      <c r="B3655" s="216" t="s">
        <v>7750</v>
      </c>
      <c r="C3655" s="5" t="s">
        <v>7774</v>
      </c>
      <c r="D3655" s="8" t="s">
        <v>50</v>
      </c>
      <c r="E3655" s="6" t="s">
        <v>5818</v>
      </c>
      <c r="F3655" s="6" t="s">
        <v>336</v>
      </c>
      <c r="G3655" s="31">
        <v>306</v>
      </c>
      <c r="H3655" s="138">
        <v>1</v>
      </c>
      <c r="I3655" s="20">
        <f t="shared" si="112"/>
        <v>306</v>
      </c>
      <c r="J3655" s="6" t="s">
        <v>357</v>
      </c>
    </row>
    <row r="3656" spans="1:10" ht="60" hidden="1">
      <c r="A3656" s="9">
        <v>46091</v>
      </c>
      <c r="B3656" s="216" t="s">
        <v>7751</v>
      </c>
      <c r="C3656" s="5" t="s">
        <v>7799</v>
      </c>
      <c r="D3656" s="8" t="s">
        <v>50</v>
      </c>
      <c r="E3656" s="6" t="s">
        <v>5818</v>
      </c>
      <c r="F3656" s="6" t="s">
        <v>336</v>
      </c>
      <c r="G3656" s="31">
        <v>651</v>
      </c>
      <c r="H3656" s="138">
        <v>1</v>
      </c>
      <c r="I3656" s="20">
        <f t="shared" si="112"/>
        <v>651</v>
      </c>
      <c r="J3656" s="6" t="s">
        <v>357</v>
      </c>
    </row>
    <row r="3657" spans="1:10" ht="45" hidden="1">
      <c r="A3657" s="113">
        <v>45574</v>
      </c>
      <c r="B3657" s="111" t="s">
        <v>5808</v>
      </c>
      <c r="C3657" s="5" t="s">
        <v>5792</v>
      </c>
      <c r="D3657" s="8" t="s">
        <v>50</v>
      </c>
      <c r="E3657" s="6" t="s">
        <v>5818</v>
      </c>
      <c r="F3657" s="6" t="s">
        <v>336</v>
      </c>
      <c r="G3657" s="5">
        <v>233</v>
      </c>
      <c r="H3657" s="5">
        <v>1</v>
      </c>
      <c r="I3657" s="20">
        <f t="shared" si="112"/>
        <v>233</v>
      </c>
      <c r="J3657" s="6" t="s">
        <v>357</v>
      </c>
    </row>
    <row r="3658" spans="1:10" ht="45" hidden="1">
      <c r="A3658" s="142">
        <v>45594</v>
      </c>
      <c r="B3658" s="111" t="s">
        <v>5931</v>
      </c>
      <c r="C3658" s="143" t="s">
        <v>5943</v>
      </c>
      <c r="D3658" s="8" t="s">
        <v>50</v>
      </c>
      <c r="E3658" s="6" t="s">
        <v>5818</v>
      </c>
      <c r="F3658" s="6" t="s">
        <v>336</v>
      </c>
      <c r="G3658" s="31">
        <v>297</v>
      </c>
      <c r="H3658" s="138">
        <v>1</v>
      </c>
      <c r="I3658" s="141">
        <f t="shared" si="112"/>
        <v>297</v>
      </c>
      <c r="J3658" s="6" t="s">
        <v>357</v>
      </c>
    </row>
    <row r="3659" spans="1:10" ht="60" hidden="1">
      <c r="A3659" s="9">
        <v>46091</v>
      </c>
      <c r="B3659" s="216" t="s">
        <v>7752</v>
      </c>
      <c r="C3659" s="5" t="s">
        <v>7775</v>
      </c>
      <c r="D3659" s="8" t="s">
        <v>50</v>
      </c>
      <c r="E3659" s="6" t="s">
        <v>5818</v>
      </c>
      <c r="F3659" s="6" t="s">
        <v>336</v>
      </c>
      <c r="G3659" s="31">
        <v>363</v>
      </c>
      <c r="H3659" s="138">
        <v>1</v>
      </c>
      <c r="I3659" s="20">
        <f t="shared" si="112"/>
        <v>363</v>
      </c>
      <c r="J3659" s="6" t="s">
        <v>357</v>
      </c>
    </row>
    <row r="3660" spans="1:10" ht="60" hidden="1">
      <c r="A3660" s="9">
        <v>46091</v>
      </c>
      <c r="B3660" s="216" t="s">
        <v>7753</v>
      </c>
      <c r="C3660" s="5" t="s">
        <v>7798</v>
      </c>
      <c r="D3660" s="8" t="s">
        <v>50</v>
      </c>
      <c r="E3660" s="6" t="s">
        <v>5818</v>
      </c>
      <c r="F3660" s="6" t="s">
        <v>336</v>
      </c>
      <c r="G3660" s="31">
        <v>780</v>
      </c>
      <c r="H3660" s="138">
        <v>1</v>
      </c>
      <c r="I3660" s="20">
        <f t="shared" si="112"/>
        <v>780</v>
      </c>
      <c r="J3660" s="6" t="s">
        <v>357</v>
      </c>
    </row>
    <row r="3661" spans="1:10" ht="45" hidden="1">
      <c r="A3661" s="113">
        <v>45574</v>
      </c>
      <c r="B3661" s="111" t="s">
        <v>5807</v>
      </c>
      <c r="C3661" s="5" t="s">
        <v>5794</v>
      </c>
      <c r="D3661" s="8" t="s">
        <v>50</v>
      </c>
      <c r="E3661" s="6" t="s">
        <v>5818</v>
      </c>
      <c r="F3661" s="6" t="s">
        <v>336</v>
      </c>
      <c r="G3661" s="5">
        <v>285</v>
      </c>
      <c r="H3661" s="5">
        <v>1</v>
      </c>
      <c r="I3661" s="20">
        <f t="shared" si="112"/>
        <v>285</v>
      </c>
      <c r="J3661" s="6" t="s">
        <v>357</v>
      </c>
    </row>
    <row r="3662" spans="1:10" ht="45" hidden="1">
      <c r="A3662" s="142">
        <v>45594</v>
      </c>
      <c r="B3662" s="111" t="s">
        <v>5932</v>
      </c>
      <c r="C3662" s="143" t="s">
        <v>5924</v>
      </c>
      <c r="D3662" s="8" t="s">
        <v>50</v>
      </c>
      <c r="E3662" s="6" t="s">
        <v>5818</v>
      </c>
      <c r="F3662" s="6" t="s">
        <v>336</v>
      </c>
      <c r="G3662" s="31">
        <v>365</v>
      </c>
      <c r="H3662" s="138">
        <v>1</v>
      </c>
      <c r="I3662" s="141">
        <f t="shared" si="112"/>
        <v>365</v>
      </c>
      <c r="J3662" s="6" t="s">
        <v>357</v>
      </c>
    </row>
    <row r="3663" spans="1:10" ht="60" hidden="1">
      <c r="A3663" s="9">
        <v>46091</v>
      </c>
      <c r="B3663" s="216" t="s">
        <v>7754</v>
      </c>
      <c r="C3663" s="5" t="s">
        <v>7776</v>
      </c>
      <c r="D3663" s="8" t="s">
        <v>50</v>
      </c>
      <c r="E3663" s="6" t="s">
        <v>5818</v>
      </c>
      <c r="F3663" s="6" t="s">
        <v>336</v>
      </c>
      <c r="G3663" s="31">
        <v>448</v>
      </c>
      <c r="H3663" s="138">
        <v>1</v>
      </c>
      <c r="I3663" s="20">
        <f t="shared" si="112"/>
        <v>448</v>
      </c>
      <c r="J3663" s="6" t="s">
        <v>357</v>
      </c>
    </row>
    <row r="3664" spans="1:10" ht="60" hidden="1">
      <c r="A3664" s="9">
        <v>46091</v>
      </c>
      <c r="B3664" s="216" t="s">
        <v>7755</v>
      </c>
      <c r="C3664" s="5" t="s">
        <v>7797</v>
      </c>
      <c r="D3664" s="8" t="s">
        <v>50</v>
      </c>
      <c r="E3664" s="6" t="s">
        <v>5818</v>
      </c>
      <c r="F3664" s="6" t="s">
        <v>336</v>
      </c>
      <c r="G3664" s="31">
        <v>972</v>
      </c>
      <c r="H3664" s="138">
        <v>1</v>
      </c>
      <c r="I3664" s="20">
        <f t="shared" si="112"/>
        <v>972</v>
      </c>
      <c r="J3664" s="6" t="s">
        <v>357</v>
      </c>
    </row>
    <row r="3665" spans="1:10" ht="45" hidden="1">
      <c r="A3665" s="113">
        <v>45574</v>
      </c>
      <c r="B3665" s="111" t="s">
        <v>5809</v>
      </c>
      <c r="C3665" s="5" t="s">
        <v>5801</v>
      </c>
      <c r="D3665" s="8" t="s">
        <v>50</v>
      </c>
      <c r="E3665" s="6" t="s">
        <v>5818</v>
      </c>
      <c r="F3665" s="6" t="s">
        <v>336</v>
      </c>
      <c r="G3665" s="5">
        <v>336</v>
      </c>
      <c r="H3665" s="5">
        <v>1</v>
      </c>
      <c r="I3665" s="20">
        <f t="shared" si="112"/>
        <v>336</v>
      </c>
      <c r="J3665" s="6" t="s">
        <v>357</v>
      </c>
    </row>
    <row r="3666" spans="1:10" ht="45" hidden="1">
      <c r="A3666" s="142">
        <v>45594</v>
      </c>
      <c r="B3666" s="111" t="s">
        <v>5933</v>
      </c>
      <c r="C3666" s="143" t="s">
        <v>5923</v>
      </c>
      <c r="D3666" s="8" t="s">
        <v>50</v>
      </c>
      <c r="E3666" s="6" t="s">
        <v>5818</v>
      </c>
      <c r="F3666" s="6" t="s">
        <v>336</v>
      </c>
      <c r="G3666" s="31">
        <v>433</v>
      </c>
      <c r="H3666" s="138">
        <v>1</v>
      </c>
      <c r="I3666" s="141">
        <f t="shared" si="112"/>
        <v>433</v>
      </c>
      <c r="J3666" s="6" t="s">
        <v>357</v>
      </c>
    </row>
    <row r="3667" spans="1:10" ht="60" hidden="1">
      <c r="A3667" s="9">
        <v>46091</v>
      </c>
      <c r="B3667" s="216" t="s">
        <v>7756</v>
      </c>
      <c r="C3667" s="5" t="s">
        <v>7777</v>
      </c>
      <c r="D3667" s="8" t="s">
        <v>50</v>
      </c>
      <c r="E3667" s="6" t="s">
        <v>5818</v>
      </c>
      <c r="F3667" s="6" t="s">
        <v>336</v>
      </c>
      <c r="G3667" s="31">
        <v>533</v>
      </c>
      <c r="H3667" s="138">
        <v>1</v>
      </c>
      <c r="I3667" s="20">
        <f t="shared" si="112"/>
        <v>533</v>
      </c>
      <c r="J3667" s="6" t="s">
        <v>357</v>
      </c>
    </row>
    <row r="3668" spans="1:10" ht="60" hidden="1">
      <c r="A3668" s="9">
        <v>46091</v>
      </c>
      <c r="B3668" s="216" t="s">
        <v>7757</v>
      </c>
      <c r="C3668" s="5" t="s">
        <v>7796</v>
      </c>
      <c r="D3668" s="8" t="s">
        <v>50</v>
      </c>
      <c r="E3668" s="6" t="s">
        <v>5818</v>
      </c>
      <c r="F3668" s="6" t="s">
        <v>336</v>
      </c>
      <c r="G3668" s="31">
        <v>1164</v>
      </c>
      <c r="H3668" s="138">
        <v>1</v>
      </c>
      <c r="I3668" s="20">
        <f t="shared" si="112"/>
        <v>1164</v>
      </c>
      <c r="J3668" s="6" t="s">
        <v>357</v>
      </c>
    </row>
    <row r="3669" spans="1:10" ht="45" hidden="1">
      <c r="A3669" s="113">
        <v>45574</v>
      </c>
      <c r="B3669" s="111" t="s">
        <v>5811</v>
      </c>
      <c r="C3669" s="5" t="s">
        <v>5803</v>
      </c>
      <c r="D3669" s="8" t="s">
        <v>50</v>
      </c>
      <c r="E3669" s="6" t="s">
        <v>5818</v>
      </c>
      <c r="F3669" s="6" t="s">
        <v>336</v>
      </c>
      <c r="G3669" s="5">
        <v>354</v>
      </c>
      <c r="H3669" s="5">
        <v>1</v>
      </c>
      <c r="I3669" s="20">
        <f t="shared" si="112"/>
        <v>354</v>
      </c>
      <c r="J3669" s="6" t="s">
        <v>357</v>
      </c>
    </row>
    <row r="3670" spans="1:10" ht="45" hidden="1">
      <c r="A3670" s="142">
        <v>45594</v>
      </c>
      <c r="B3670" s="111" t="s">
        <v>5934</v>
      </c>
      <c r="C3670" s="143" t="s">
        <v>5922</v>
      </c>
      <c r="D3670" s="8" t="s">
        <v>50</v>
      </c>
      <c r="E3670" s="6" t="s">
        <v>5818</v>
      </c>
      <c r="F3670" s="6" t="s">
        <v>336</v>
      </c>
      <c r="G3670" s="31">
        <v>456</v>
      </c>
      <c r="H3670" s="138">
        <v>1</v>
      </c>
      <c r="I3670" s="141">
        <f t="shared" si="112"/>
        <v>456</v>
      </c>
      <c r="J3670" s="6" t="s">
        <v>357</v>
      </c>
    </row>
    <row r="3671" spans="1:10" ht="60" hidden="1">
      <c r="A3671" s="9">
        <v>46091</v>
      </c>
      <c r="B3671" s="216" t="s">
        <v>7758</v>
      </c>
      <c r="C3671" s="5" t="s">
        <v>7778</v>
      </c>
      <c r="D3671" s="8" t="s">
        <v>50</v>
      </c>
      <c r="E3671" s="6" t="s">
        <v>5818</v>
      </c>
      <c r="F3671" s="6" t="s">
        <v>336</v>
      </c>
      <c r="G3671" s="31">
        <v>562</v>
      </c>
      <c r="H3671" s="138">
        <v>1</v>
      </c>
      <c r="I3671" s="20">
        <f t="shared" si="112"/>
        <v>562</v>
      </c>
      <c r="J3671" s="6" t="s">
        <v>357</v>
      </c>
    </row>
    <row r="3672" spans="1:10" ht="60" hidden="1">
      <c r="A3672" s="9">
        <v>46091</v>
      </c>
      <c r="B3672" s="216" t="s">
        <v>7759</v>
      </c>
      <c r="C3672" s="5" t="s">
        <v>7795</v>
      </c>
      <c r="D3672" s="8" t="s">
        <v>50</v>
      </c>
      <c r="E3672" s="6" t="s">
        <v>5818</v>
      </c>
      <c r="F3672" s="6" t="s">
        <v>336</v>
      </c>
      <c r="G3672" s="31">
        <v>1229</v>
      </c>
      <c r="H3672" s="138">
        <v>1</v>
      </c>
      <c r="I3672" s="20">
        <f t="shared" si="112"/>
        <v>1229</v>
      </c>
      <c r="J3672" s="6" t="s">
        <v>357</v>
      </c>
    </row>
    <row r="3673" spans="1:10" ht="45" hidden="1">
      <c r="A3673" s="113">
        <v>45574</v>
      </c>
      <c r="B3673" s="115" t="s">
        <v>5813</v>
      </c>
      <c r="C3673" s="114" t="s">
        <v>5805</v>
      </c>
      <c r="D3673" s="8" t="s">
        <v>50</v>
      </c>
      <c r="E3673" s="6" t="s">
        <v>5818</v>
      </c>
      <c r="F3673" s="6" t="s">
        <v>336</v>
      </c>
      <c r="G3673" s="107">
        <v>419</v>
      </c>
      <c r="H3673" s="114">
        <v>1</v>
      </c>
      <c r="I3673" s="116">
        <f t="shared" si="112"/>
        <v>419</v>
      </c>
      <c r="J3673" s="6" t="s">
        <v>357</v>
      </c>
    </row>
    <row r="3674" spans="1:10" ht="45" hidden="1">
      <c r="A3674" s="142">
        <v>45594</v>
      </c>
      <c r="B3674" s="115" t="s">
        <v>5935</v>
      </c>
      <c r="C3674" s="143" t="s">
        <v>5921</v>
      </c>
      <c r="D3674" s="8" t="s">
        <v>50</v>
      </c>
      <c r="E3674" s="6" t="s">
        <v>5818</v>
      </c>
      <c r="F3674" s="6" t="s">
        <v>336</v>
      </c>
      <c r="G3674" s="31">
        <v>541</v>
      </c>
      <c r="H3674" s="138">
        <v>1</v>
      </c>
      <c r="I3674" s="141">
        <f t="shared" si="112"/>
        <v>541</v>
      </c>
      <c r="J3674" s="6" t="s">
        <v>357</v>
      </c>
    </row>
    <row r="3675" spans="1:10" ht="60" hidden="1">
      <c r="A3675" s="9">
        <v>46091</v>
      </c>
      <c r="B3675" s="216" t="s">
        <v>7760</v>
      </c>
      <c r="C3675" s="5" t="s">
        <v>7779</v>
      </c>
      <c r="D3675" s="8" t="s">
        <v>50</v>
      </c>
      <c r="E3675" s="6" t="s">
        <v>5818</v>
      </c>
      <c r="F3675" s="6" t="s">
        <v>336</v>
      </c>
      <c r="G3675" s="31">
        <v>669</v>
      </c>
      <c r="H3675" s="138">
        <v>1</v>
      </c>
      <c r="I3675" s="20">
        <f t="shared" si="112"/>
        <v>669</v>
      </c>
      <c r="J3675" s="6" t="s">
        <v>357</v>
      </c>
    </row>
    <row r="3676" spans="1:10" ht="60" hidden="1">
      <c r="A3676" s="9">
        <v>46091</v>
      </c>
      <c r="B3676" s="216" t="s">
        <v>7761</v>
      </c>
      <c r="C3676" s="5" t="s">
        <v>7794</v>
      </c>
      <c r="D3676" s="8" t="s">
        <v>50</v>
      </c>
      <c r="E3676" s="6" t="s">
        <v>5818</v>
      </c>
      <c r="F3676" s="6" t="s">
        <v>336</v>
      </c>
      <c r="G3676" s="31">
        <v>1471</v>
      </c>
      <c r="H3676" s="138">
        <v>1</v>
      </c>
      <c r="I3676" s="20">
        <f t="shared" si="112"/>
        <v>1471</v>
      </c>
      <c r="J3676" s="6" t="s">
        <v>357</v>
      </c>
    </row>
    <row r="3677" spans="1:10" ht="45" hidden="1">
      <c r="A3677" s="9">
        <v>45574</v>
      </c>
      <c r="B3677" s="111" t="s">
        <v>5798</v>
      </c>
      <c r="C3677" s="5" t="s">
        <v>5788</v>
      </c>
      <c r="D3677" s="8" t="s">
        <v>50</v>
      </c>
      <c r="E3677" s="6" t="s">
        <v>5818</v>
      </c>
      <c r="F3677" s="6" t="s">
        <v>336</v>
      </c>
      <c r="G3677" s="5">
        <v>202</v>
      </c>
      <c r="H3677" s="5">
        <v>1</v>
      </c>
      <c r="I3677" s="20">
        <f t="shared" si="112"/>
        <v>202</v>
      </c>
      <c r="J3677" s="6" t="s">
        <v>357</v>
      </c>
    </row>
    <row r="3678" spans="1:10" ht="45" hidden="1">
      <c r="A3678" s="142">
        <v>45594</v>
      </c>
      <c r="B3678" s="111" t="s">
        <v>5936</v>
      </c>
      <c r="C3678" s="143" t="s">
        <v>5920</v>
      </c>
      <c r="D3678" s="8" t="s">
        <v>50</v>
      </c>
      <c r="E3678" s="6" t="s">
        <v>5818</v>
      </c>
      <c r="F3678" s="6" t="s">
        <v>336</v>
      </c>
      <c r="G3678" s="31">
        <v>234</v>
      </c>
      <c r="H3678" s="138">
        <v>1</v>
      </c>
      <c r="I3678" s="141">
        <f t="shared" si="112"/>
        <v>234</v>
      </c>
      <c r="J3678" s="6" t="s">
        <v>357</v>
      </c>
    </row>
    <row r="3679" spans="1:10" ht="60" hidden="1">
      <c r="A3679" s="9">
        <v>46091</v>
      </c>
      <c r="B3679" s="216" t="s">
        <v>7762</v>
      </c>
      <c r="C3679" s="5" t="s">
        <v>7780</v>
      </c>
      <c r="D3679" s="8" t="s">
        <v>50</v>
      </c>
      <c r="E3679" s="6" t="s">
        <v>5818</v>
      </c>
      <c r="F3679" s="6" t="s">
        <v>336</v>
      </c>
      <c r="G3679" s="31">
        <v>317</v>
      </c>
      <c r="H3679" s="138">
        <v>1</v>
      </c>
      <c r="I3679" s="20">
        <f t="shared" si="112"/>
        <v>317</v>
      </c>
      <c r="J3679" s="6" t="s">
        <v>357</v>
      </c>
    </row>
    <row r="3680" spans="1:10" ht="60" hidden="1">
      <c r="A3680" s="9">
        <v>46091</v>
      </c>
      <c r="B3680" s="216" t="s">
        <v>7763</v>
      </c>
      <c r="C3680" s="5" t="s">
        <v>7793</v>
      </c>
      <c r="D3680" s="8" t="s">
        <v>50</v>
      </c>
      <c r="E3680" s="6" t="s">
        <v>5818</v>
      </c>
      <c r="F3680" s="6" t="s">
        <v>336</v>
      </c>
      <c r="G3680" s="31">
        <v>613</v>
      </c>
      <c r="H3680" s="138">
        <v>1</v>
      </c>
      <c r="I3680" s="20">
        <f t="shared" si="112"/>
        <v>613</v>
      </c>
      <c r="J3680" s="6" t="s">
        <v>357</v>
      </c>
    </row>
    <row r="3681" spans="1:10" ht="45" hidden="1">
      <c r="A3681" s="113">
        <v>45574</v>
      </c>
      <c r="B3681" s="111" t="s">
        <v>5800</v>
      </c>
      <c r="C3681" s="5" t="s">
        <v>5793</v>
      </c>
      <c r="D3681" s="8" t="s">
        <v>50</v>
      </c>
      <c r="E3681" s="6" t="s">
        <v>5818</v>
      </c>
      <c r="F3681" s="6" t="s">
        <v>336</v>
      </c>
      <c r="G3681" s="5">
        <v>237</v>
      </c>
      <c r="H3681" s="5">
        <v>1</v>
      </c>
      <c r="I3681" s="20">
        <f t="shared" si="112"/>
        <v>237</v>
      </c>
      <c r="J3681" s="6" t="s">
        <v>357</v>
      </c>
    </row>
    <row r="3682" spans="1:10" ht="45" hidden="1">
      <c r="A3682" s="142">
        <v>45594</v>
      </c>
      <c r="B3682" s="111" t="s">
        <v>5937</v>
      </c>
      <c r="C3682" s="143" t="s">
        <v>5919</v>
      </c>
      <c r="D3682" s="8" t="s">
        <v>50</v>
      </c>
      <c r="E3682" s="6" t="s">
        <v>5818</v>
      </c>
      <c r="F3682" s="6" t="s">
        <v>336</v>
      </c>
      <c r="G3682" s="31">
        <v>256</v>
      </c>
      <c r="H3682" s="138">
        <v>1</v>
      </c>
      <c r="I3682" s="141">
        <f t="shared" si="112"/>
        <v>256</v>
      </c>
      <c r="J3682" s="6" t="s">
        <v>357</v>
      </c>
    </row>
    <row r="3683" spans="1:10" ht="60" hidden="1">
      <c r="A3683" s="9">
        <v>46091</v>
      </c>
      <c r="B3683" s="216" t="s">
        <v>7764</v>
      </c>
      <c r="C3683" s="5" t="s">
        <v>7781</v>
      </c>
      <c r="D3683" s="8" t="s">
        <v>50</v>
      </c>
      <c r="E3683" s="6" t="s">
        <v>5818</v>
      </c>
      <c r="F3683" s="6" t="s">
        <v>336</v>
      </c>
      <c r="G3683" s="31">
        <v>374</v>
      </c>
      <c r="H3683" s="138">
        <v>1</v>
      </c>
      <c r="I3683" s="20">
        <f t="shared" si="112"/>
        <v>374</v>
      </c>
      <c r="J3683" s="6" t="s">
        <v>357</v>
      </c>
    </row>
    <row r="3684" spans="1:10" ht="60" hidden="1">
      <c r="A3684" s="9">
        <v>46091</v>
      </c>
      <c r="B3684" s="216" t="s">
        <v>7765</v>
      </c>
      <c r="C3684" s="5" t="s">
        <v>7792</v>
      </c>
      <c r="D3684" s="8" t="s">
        <v>50</v>
      </c>
      <c r="E3684" s="6" t="s">
        <v>5818</v>
      </c>
      <c r="F3684" s="6" t="s">
        <v>336</v>
      </c>
      <c r="G3684" s="31">
        <v>806</v>
      </c>
      <c r="H3684" s="138">
        <v>1</v>
      </c>
      <c r="I3684" s="20">
        <f t="shared" si="112"/>
        <v>806</v>
      </c>
      <c r="J3684" s="6" t="s">
        <v>357</v>
      </c>
    </row>
    <row r="3685" spans="1:10" ht="45" hidden="1">
      <c r="A3685" s="113">
        <v>45574</v>
      </c>
      <c r="B3685" s="111" t="s">
        <v>5799</v>
      </c>
      <c r="C3685" s="5" t="s">
        <v>5795</v>
      </c>
      <c r="D3685" s="8" t="s">
        <v>50</v>
      </c>
      <c r="E3685" s="6" t="s">
        <v>5818</v>
      </c>
      <c r="F3685" s="6" t="s">
        <v>336</v>
      </c>
      <c r="G3685" s="5">
        <v>289</v>
      </c>
      <c r="H3685" s="5">
        <v>1</v>
      </c>
      <c r="I3685" s="20">
        <f t="shared" si="112"/>
        <v>289</v>
      </c>
      <c r="J3685" s="6" t="s">
        <v>357</v>
      </c>
    </row>
    <row r="3686" spans="1:10" ht="45" hidden="1">
      <c r="A3686" s="142">
        <v>45594</v>
      </c>
      <c r="B3686" s="111" t="s">
        <v>5938</v>
      </c>
      <c r="C3686" s="143" t="s">
        <v>5918</v>
      </c>
      <c r="D3686" s="8" t="s">
        <v>50</v>
      </c>
      <c r="E3686" s="6" t="s">
        <v>5818</v>
      </c>
      <c r="F3686" s="6" t="s">
        <v>336</v>
      </c>
      <c r="G3686" s="31">
        <v>302</v>
      </c>
      <c r="H3686" s="138">
        <v>1</v>
      </c>
      <c r="I3686" s="141">
        <f t="shared" si="112"/>
        <v>302</v>
      </c>
      <c r="J3686" s="6" t="s">
        <v>357</v>
      </c>
    </row>
    <row r="3687" spans="1:10" ht="60" hidden="1">
      <c r="A3687" s="9">
        <v>46091</v>
      </c>
      <c r="B3687" s="216" t="s">
        <v>7766</v>
      </c>
      <c r="C3687" s="5" t="s">
        <v>7782</v>
      </c>
      <c r="D3687" s="8" t="s">
        <v>50</v>
      </c>
      <c r="E3687" s="6" t="s">
        <v>5818</v>
      </c>
      <c r="F3687" s="6" t="s">
        <v>336</v>
      </c>
      <c r="G3687" s="31">
        <v>459</v>
      </c>
      <c r="H3687" s="138">
        <v>1</v>
      </c>
      <c r="I3687" s="20">
        <f t="shared" si="112"/>
        <v>459</v>
      </c>
      <c r="J3687" s="6" t="s">
        <v>357</v>
      </c>
    </row>
    <row r="3688" spans="1:10" ht="60" hidden="1">
      <c r="A3688" s="9">
        <v>46091</v>
      </c>
      <c r="B3688" s="216" t="s">
        <v>7767</v>
      </c>
      <c r="C3688" s="5" t="s">
        <v>7791</v>
      </c>
      <c r="D3688" s="8" t="s">
        <v>50</v>
      </c>
      <c r="E3688" s="6" t="s">
        <v>5818</v>
      </c>
      <c r="F3688" s="6" t="s">
        <v>336</v>
      </c>
      <c r="G3688" s="31">
        <v>998</v>
      </c>
      <c r="H3688" s="138">
        <v>1</v>
      </c>
      <c r="I3688" s="20">
        <f t="shared" si="112"/>
        <v>998</v>
      </c>
      <c r="J3688" s="6" t="s">
        <v>357</v>
      </c>
    </row>
    <row r="3689" spans="1:10" ht="45" hidden="1">
      <c r="A3689" s="113">
        <v>45574</v>
      </c>
      <c r="B3689" s="111" t="s">
        <v>5810</v>
      </c>
      <c r="C3689" s="5" t="s">
        <v>5802</v>
      </c>
      <c r="D3689" s="8" t="s">
        <v>50</v>
      </c>
      <c r="E3689" s="6" t="s">
        <v>5818</v>
      </c>
      <c r="F3689" s="6" t="s">
        <v>336</v>
      </c>
      <c r="G3689" s="5">
        <v>341</v>
      </c>
      <c r="H3689" s="5">
        <v>1</v>
      </c>
      <c r="I3689" s="20">
        <f t="shared" si="112"/>
        <v>341</v>
      </c>
      <c r="J3689" s="6" t="s">
        <v>357</v>
      </c>
    </row>
    <row r="3690" spans="1:10" ht="45" hidden="1">
      <c r="A3690" s="142">
        <v>45594</v>
      </c>
      <c r="B3690" s="111" t="s">
        <v>5939</v>
      </c>
      <c r="C3690" s="143" t="s">
        <v>5917</v>
      </c>
      <c r="D3690" s="8" t="s">
        <v>50</v>
      </c>
      <c r="E3690" s="6" t="s">
        <v>5818</v>
      </c>
      <c r="F3690" s="6" t="s">
        <v>336</v>
      </c>
      <c r="G3690" s="31">
        <v>370</v>
      </c>
      <c r="H3690" s="138">
        <v>1</v>
      </c>
      <c r="I3690" s="141">
        <f t="shared" si="112"/>
        <v>370</v>
      </c>
      <c r="J3690" s="6" t="s">
        <v>357</v>
      </c>
    </row>
    <row r="3691" spans="1:10" ht="60" hidden="1">
      <c r="A3691" s="9">
        <v>46091</v>
      </c>
      <c r="B3691" s="216" t="s">
        <v>7768</v>
      </c>
      <c r="C3691" s="5" t="s">
        <v>7783</v>
      </c>
      <c r="D3691" s="8" t="s">
        <v>50</v>
      </c>
      <c r="E3691" s="6" t="s">
        <v>5818</v>
      </c>
      <c r="F3691" s="6" t="s">
        <v>336</v>
      </c>
      <c r="G3691" s="31">
        <v>544</v>
      </c>
      <c r="H3691" s="138">
        <v>1</v>
      </c>
      <c r="I3691" s="20">
        <f t="shared" si="112"/>
        <v>544</v>
      </c>
      <c r="J3691" s="6" t="s">
        <v>357</v>
      </c>
    </row>
    <row r="3692" spans="1:10" ht="60" hidden="1">
      <c r="A3692" s="9">
        <v>46091</v>
      </c>
      <c r="B3692" s="216" t="s">
        <v>7769</v>
      </c>
      <c r="C3692" s="5" t="s">
        <v>7790</v>
      </c>
      <c r="D3692" s="8" t="s">
        <v>50</v>
      </c>
      <c r="E3692" s="6" t="s">
        <v>5818</v>
      </c>
      <c r="F3692" s="6" t="s">
        <v>336</v>
      </c>
      <c r="G3692" s="31">
        <v>1190</v>
      </c>
      <c r="H3692" s="138">
        <v>1</v>
      </c>
      <c r="I3692" s="20">
        <f t="shared" si="112"/>
        <v>1190</v>
      </c>
      <c r="J3692" s="6" t="s">
        <v>357</v>
      </c>
    </row>
    <row r="3693" spans="1:10" ht="45" hidden="1">
      <c r="A3693" s="113">
        <v>45574</v>
      </c>
      <c r="B3693" s="111" t="s">
        <v>5812</v>
      </c>
      <c r="C3693" s="5" t="s">
        <v>5804</v>
      </c>
      <c r="D3693" s="8" t="s">
        <v>50</v>
      </c>
      <c r="E3693" s="6" t="s">
        <v>5818</v>
      </c>
      <c r="F3693" s="6" t="s">
        <v>336</v>
      </c>
      <c r="G3693" s="5">
        <v>358</v>
      </c>
      <c r="H3693" s="5">
        <v>1</v>
      </c>
      <c r="I3693" s="20">
        <f t="shared" si="112"/>
        <v>358</v>
      </c>
      <c r="J3693" s="6" t="s">
        <v>357</v>
      </c>
    </row>
    <row r="3694" spans="1:10" ht="45" hidden="1">
      <c r="A3694" s="142">
        <v>45594</v>
      </c>
      <c r="B3694" s="111" t="s">
        <v>5940</v>
      </c>
      <c r="C3694" s="143" t="s">
        <v>5916</v>
      </c>
      <c r="D3694" s="8" t="s">
        <v>50</v>
      </c>
      <c r="E3694" s="6" t="s">
        <v>5818</v>
      </c>
      <c r="F3694" s="6" t="s">
        <v>336</v>
      </c>
      <c r="G3694" s="31">
        <v>437</v>
      </c>
      <c r="H3694" s="138">
        <v>1</v>
      </c>
      <c r="I3694" s="141">
        <f t="shared" si="112"/>
        <v>437</v>
      </c>
      <c r="J3694" s="6" t="s">
        <v>357</v>
      </c>
    </row>
    <row r="3695" spans="1:10" ht="60" hidden="1">
      <c r="A3695" s="9">
        <v>46091</v>
      </c>
      <c r="B3695" s="216" t="s">
        <v>7770</v>
      </c>
      <c r="C3695" s="5" t="s">
        <v>7784</v>
      </c>
      <c r="D3695" s="8" t="s">
        <v>50</v>
      </c>
      <c r="E3695" s="6" t="s">
        <v>5818</v>
      </c>
      <c r="F3695" s="6" t="s">
        <v>336</v>
      </c>
      <c r="G3695" s="31">
        <v>573</v>
      </c>
      <c r="H3695" s="138">
        <v>1</v>
      </c>
      <c r="I3695" s="20">
        <f t="shared" si="112"/>
        <v>573</v>
      </c>
      <c r="J3695" s="6" t="s">
        <v>357</v>
      </c>
    </row>
    <row r="3696" spans="1:10" ht="60" hidden="1">
      <c r="A3696" s="9">
        <v>46091</v>
      </c>
      <c r="B3696" s="216" t="s">
        <v>7803</v>
      </c>
      <c r="C3696" s="5" t="s">
        <v>7789</v>
      </c>
      <c r="D3696" s="8" t="s">
        <v>50</v>
      </c>
      <c r="E3696" s="6" t="s">
        <v>5818</v>
      </c>
      <c r="F3696" s="6" t="s">
        <v>336</v>
      </c>
      <c r="G3696" s="31">
        <v>1255</v>
      </c>
      <c r="H3696" s="138">
        <v>1</v>
      </c>
      <c r="I3696" s="20">
        <f t="shared" si="112"/>
        <v>1255</v>
      </c>
      <c r="J3696" s="6" t="s">
        <v>357</v>
      </c>
    </row>
    <row r="3697" spans="1:10" ht="45" hidden="1">
      <c r="A3697" s="113">
        <v>45574</v>
      </c>
      <c r="B3697" s="115" t="s">
        <v>5814</v>
      </c>
      <c r="C3697" s="114" t="s">
        <v>5806</v>
      </c>
      <c r="D3697" s="8" t="s">
        <v>50</v>
      </c>
      <c r="E3697" s="6" t="s">
        <v>5818</v>
      </c>
      <c r="F3697" s="6" t="s">
        <v>336</v>
      </c>
      <c r="G3697" s="107">
        <v>424</v>
      </c>
      <c r="H3697" s="114">
        <v>1</v>
      </c>
      <c r="I3697" s="20">
        <f t="shared" si="112"/>
        <v>424</v>
      </c>
      <c r="J3697" s="6" t="s">
        <v>357</v>
      </c>
    </row>
    <row r="3698" spans="1:10" ht="45" hidden="1">
      <c r="A3698" s="142">
        <v>45594</v>
      </c>
      <c r="B3698" s="115" t="s">
        <v>5941</v>
      </c>
      <c r="C3698" s="143" t="s">
        <v>5915</v>
      </c>
      <c r="D3698" s="8" t="s">
        <v>50</v>
      </c>
      <c r="E3698" s="6" t="s">
        <v>5818</v>
      </c>
      <c r="F3698" s="6" t="s">
        <v>336</v>
      </c>
      <c r="G3698" s="31">
        <v>460</v>
      </c>
      <c r="H3698" s="138">
        <v>1</v>
      </c>
      <c r="I3698" s="141">
        <f t="shared" si="112"/>
        <v>460</v>
      </c>
      <c r="J3698" s="6" t="s">
        <v>357</v>
      </c>
    </row>
    <row r="3699" spans="1:10" ht="60" hidden="1">
      <c r="A3699" s="9">
        <v>46091</v>
      </c>
      <c r="B3699" s="216" t="s">
        <v>7804</v>
      </c>
      <c r="C3699" s="5" t="s">
        <v>7785</v>
      </c>
      <c r="D3699" s="8" t="s">
        <v>50</v>
      </c>
      <c r="E3699" s="6" t="s">
        <v>5818</v>
      </c>
      <c r="F3699" s="6" t="s">
        <v>336</v>
      </c>
      <c r="G3699" s="31">
        <v>681</v>
      </c>
      <c r="H3699" s="138">
        <v>1</v>
      </c>
      <c r="I3699" s="20">
        <f t="shared" si="112"/>
        <v>681</v>
      </c>
      <c r="J3699" s="6" t="s">
        <v>357</v>
      </c>
    </row>
    <row r="3700" spans="1:10" ht="60" hidden="1">
      <c r="A3700" s="9">
        <v>46091</v>
      </c>
      <c r="B3700" s="216" t="s">
        <v>7805</v>
      </c>
      <c r="C3700" s="5" t="s">
        <v>7788</v>
      </c>
      <c r="D3700" s="8" t="s">
        <v>50</v>
      </c>
      <c r="E3700" s="6" t="s">
        <v>5818</v>
      </c>
      <c r="F3700" s="6" t="s">
        <v>336</v>
      </c>
      <c r="G3700" s="31">
        <v>1498</v>
      </c>
      <c r="H3700" s="138">
        <v>1</v>
      </c>
      <c r="I3700" s="20">
        <f t="shared" si="112"/>
        <v>1498</v>
      </c>
      <c r="J3700" s="6" t="s">
        <v>357</v>
      </c>
    </row>
    <row r="3701" spans="1:10" ht="45" hidden="1">
      <c r="A3701" s="113">
        <v>45574</v>
      </c>
      <c r="B3701" s="111" t="s">
        <v>5796</v>
      </c>
      <c r="C3701" s="5" t="s">
        <v>5786</v>
      </c>
      <c r="D3701" s="8" t="s">
        <v>50</v>
      </c>
      <c r="E3701" s="6" t="s">
        <v>5818</v>
      </c>
      <c r="F3701" s="6" t="s">
        <v>336</v>
      </c>
      <c r="G3701" s="5">
        <v>185</v>
      </c>
      <c r="H3701" s="5">
        <v>1</v>
      </c>
      <c r="I3701" s="20">
        <f t="shared" si="112"/>
        <v>185</v>
      </c>
      <c r="J3701" s="6" t="s">
        <v>357</v>
      </c>
    </row>
    <row r="3702" spans="1:10" ht="45" hidden="1">
      <c r="A3702" s="142">
        <v>45594</v>
      </c>
      <c r="B3702" s="111" t="s">
        <v>5942</v>
      </c>
      <c r="C3702" s="143" t="s">
        <v>5914</v>
      </c>
      <c r="D3702" s="8" t="s">
        <v>50</v>
      </c>
      <c r="E3702" s="6" t="s">
        <v>5818</v>
      </c>
      <c r="F3702" s="6" t="s">
        <v>336</v>
      </c>
      <c r="G3702" s="31">
        <v>545</v>
      </c>
      <c r="H3702" s="138">
        <v>1</v>
      </c>
      <c r="I3702" s="141">
        <f t="shared" si="112"/>
        <v>545</v>
      </c>
      <c r="J3702" s="6" t="s">
        <v>357</v>
      </c>
    </row>
    <row r="3703" spans="1:10" ht="60" hidden="1">
      <c r="A3703" s="9">
        <v>46091</v>
      </c>
      <c r="B3703" s="216" t="s">
        <v>7806</v>
      </c>
      <c r="C3703" s="5" t="s">
        <v>7787</v>
      </c>
      <c r="D3703" s="8" t="s">
        <v>50</v>
      </c>
      <c r="E3703" s="6" t="s">
        <v>5818</v>
      </c>
      <c r="F3703" s="6" t="s">
        <v>336</v>
      </c>
      <c r="G3703" s="31">
        <v>613</v>
      </c>
      <c r="H3703" s="138">
        <v>1</v>
      </c>
      <c r="I3703" s="20">
        <f t="shared" ref="I3703:I3766" si="113">H3703*G3703</f>
        <v>613</v>
      </c>
      <c r="J3703" s="6" t="s">
        <v>357</v>
      </c>
    </row>
    <row r="3704" spans="1:10" ht="60" hidden="1">
      <c r="A3704" s="9">
        <v>46091</v>
      </c>
      <c r="B3704" s="216" t="s">
        <v>7807</v>
      </c>
      <c r="C3704" s="5" t="s">
        <v>7786</v>
      </c>
      <c r="D3704" s="8" t="s">
        <v>50</v>
      </c>
      <c r="E3704" s="6" t="s">
        <v>5818</v>
      </c>
      <c r="F3704" s="6" t="s">
        <v>336</v>
      </c>
      <c r="G3704" s="31">
        <v>289</v>
      </c>
      <c r="H3704" s="138">
        <v>1</v>
      </c>
      <c r="I3704" s="20">
        <f t="shared" si="113"/>
        <v>289</v>
      </c>
      <c r="J3704" s="6" t="s">
        <v>357</v>
      </c>
    </row>
    <row r="3705" spans="1:10" hidden="1">
      <c r="A3705" s="279">
        <v>45843</v>
      </c>
      <c r="B3705" s="278" t="s">
        <v>7277</v>
      </c>
      <c r="C3705" s="275" t="s">
        <v>7277</v>
      </c>
      <c r="D3705" s="276" t="s">
        <v>50</v>
      </c>
      <c r="E3705" s="25" t="s">
        <v>1425</v>
      </c>
      <c r="F3705" s="25" t="s">
        <v>411</v>
      </c>
      <c r="G3705" s="31">
        <v>37</v>
      </c>
      <c r="H3705" s="275">
        <v>1</v>
      </c>
      <c r="I3705" s="277">
        <f t="shared" si="113"/>
        <v>37</v>
      </c>
      <c r="J3705" s="111" t="s">
        <v>357</v>
      </c>
    </row>
    <row r="3706" spans="1:10" ht="30" hidden="1">
      <c r="A3706" s="9">
        <v>45828</v>
      </c>
      <c r="B3706" s="216" t="s">
        <v>7128</v>
      </c>
      <c r="C3706" s="268" t="s">
        <v>7131</v>
      </c>
      <c r="D3706" s="8" t="s">
        <v>50</v>
      </c>
      <c r="E3706" s="25" t="s">
        <v>7129</v>
      </c>
      <c r="F3706" s="25" t="s">
        <v>7127</v>
      </c>
      <c r="G3706" s="31">
        <v>970</v>
      </c>
      <c r="H3706" s="5">
        <v>1</v>
      </c>
      <c r="I3706" s="20">
        <f t="shared" si="113"/>
        <v>970</v>
      </c>
      <c r="J3706" s="6" t="s">
        <v>357</v>
      </c>
    </row>
    <row r="3707" spans="1:10" ht="30" hidden="1">
      <c r="A3707" s="9">
        <v>45828</v>
      </c>
      <c r="B3707" s="216" t="s">
        <v>7130</v>
      </c>
      <c r="C3707" s="268" t="s">
        <v>7132</v>
      </c>
      <c r="D3707" s="269" t="s">
        <v>50</v>
      </c>
      <c r="E3707" s="25" t="s">
        <v>7129</v>
      </c>
      <c r="F3707" s="25" t="s">
        <v>7127</v>
      </c>
      <c r="G3707" s="31">
        <v>1123</v>
      </c>
      <c r="H3707" s="5">
        <v>1</v>
      </c>
      <c r="I3707" s="20">
        <f t="shared" si="113"/>
        <v>1123</v>
      </c>
      <c r="J3707" s="270" t="s">
        <v>357</v>
      </c>
    </row>
    <row r="3708" spans="1:10" hidden="1">
      <c r="A3708" s="10">
        <v>44337</v>
      </c>
      <c r="B3708" s="6" t="s">
        <v>5474</v>
      </c>
      <c r="C3708" s="5" t="s">
        <v>5473</v>
      </c>
      <c r="D3708" s="8" t="s">
        <v>50</v>
      </c>
      <c r="E3708" s="6" t="s">
        <v>5475</v>
      </c>
      <c r="F3708" s="6" t="s">
        <v>411</v>
      </c>
      <c r="G3708" s="5">
        <v>50</v>
      </c>
      <c r="H3708" s="5">
        <v>1</v>
      </c>
      <c r="I3708" s="20">
        <f t="shared" si="113"/>
        <v>50</v>
      </c>
      <c r="J3708" s="6" t="s">
        <v>357</v>
      </c>
    </row>
    <row r="3709" spans="1:10" hidden="1">
      <c r="A3709" s="10">
        <v>43835</v>
      </c>
      <c r="B3709" s="6" t="s">
        <v>5477</v>
      </c>
      <c r="C3709" s="5" t="s">
        <v>5476</v>
      </c>
      <c r="D3709" s="8" t="s">
        <v>50</v>
      </c>
      <c r="E3709" s="6" t="s">
        <v>5478</v>
      </c>
      <c r="F3709" s="6" t="s">
        <v>411</v>
      </c>
      <c r="G3709" s="5">
        <v>1200</v>
      </c>
      <c r="H3709" s="5">
        <v>1</v>
      </c>
      <c r="I3709" s="20">
        <f t="shared" si="113"/>
        <v>1200</v>
      </c>
      <c r="J3709" s="6" t="s">
        <v>357</v>
      </c>
    </row>
    <row r="3710" spans="1:10" hidden="1">
      <c r="A3710" s="10">
        <v>44393</v>
      </c>
      <c r="B3710" s="6" t="s">
        <v>5480</v>
      </c>
      <c r="C3710" s="5" t="s">
        <v>5479</v>
      </c>
      <c r="D3710" s="8" t="s">
        <v>50</v>
      </c>
      <c r="E3710" s="6" t="s">
        <v>5478</v>
      </c>
      <c r="F3710" s="6" t="s">
        <v>411</v>
      </c>
      <c r="G3710" s="5">
        <v>400</v>
      </c>
      <c r="H3710" s="5">
        <v>1</v>
      </c>
      <c r="I3710" s="20">
        <f t="shared" si="113"/>
        <v>400</v>
      </c>
      <c r="J3710" s="6" t="s">
        <v>357</v>
      </c>
    </row>
    <row r="3711" spans="1:10" hidden="1">
      <c r="A3711" s="279">
        <v>45843</v>
      </c>
      <c r="B3711" s="278" t="s">
        <v>7276</v>
      </c>
      <c r="C3711" s="275" t="s">
        <v>7276</v>
      </c>
      <c r="D3711" s="276" t="s">
        <v>50</v>
      </c>
      <c r="E3711" s="25" t="s">
        <v>2163</v>
      </c>
      <c r="F3711" s="25" t="s">
        <v>411</v>
      </c>
      <c r="G3711" s="31">
        <v>13</v>
      </c>
      <c r="H3711" s="275">
        <v>1</v>
      </c>
      <c r="I3711" s="277">
        <f t="shared" si="113"/>
        <v>13</v>
      </c>
      <c r="J3711" s="111" t="s">
        <v>357</v>
      </c>
    </row>
    <row r="3712" spans="1:10" hidden="1">
      <c r="A3712" s="10">
        <v>43439</v>
      </c>
      <c r="B3712" s="6" t="s">
        <v>5482</v>
      </c>
      <c r="C3712" s="5" t="s">
        <v>5481</v>
      </c>
      <c r="D3712" s="8" t="s">
        <v>50</v>
      </c>
      <c r="E3712" s="6" t="s">
        <v>5483</v>
      </c>
      <c r="F3712" s="6" t="s">
        <v>411</v>
      </c>
      <c r="G3712" s="5">
        <v>20</v>
      </c>
      <c r="H3712" s="5">
        <v>1</v>
      </c>
      <c r="I3712" s="20">
        <f t="shared" si="113"/>
        <v>20</v>
      </c>
      <c r="J3712" s="6" t="s">
        <v>357</v>
      </c>
    </row>
    <row r="3713" spans="1:10" hidden="1">
      <c r="A3713" s="10">
        <v>43439</v>
      </c>
      <c r="B3713" s="6" t="s">
        <v>5485</v>
      </c>
      <c r="C3713" s="5" t="s">
        <v>5484</v>
      </c>
      <c r="D3713" s="8" t="s">
        <v>50</v>
      </c>
      <c r="E3713" s="6" t="s">
        <v>5483</v>
      </c>
      <c r="F3713" s="6" t="s">
        <v>411</v>
      </c>
      <c r="G3713" s="5">
        <v>57.5</v>
      </c>
      <c r="H3713" s="5">
        <v>1</v>
      </c>
      <c r="I3713" s="20">
        <f t="shared" si="113"/>
        <v>57.5</v>
      </c>
      <c r="J3713" s="6" t="s">
        <v>357</v>
      </c>
    </row>
    <row r="3714" spans="1:10" ht="30" hidden="1">
      <c r="A3714" s="10">
        <v>44176</v>
      </c>
      <c r="B3714" s="6" t="s">
        <v>5487</v>
      </c>
      <c r="C3714" s="5" t="s">
        <v>5486</v>
      </c>
      <c r="D3714" s="8" t="s">
        <v>50</v>
      </c>
      <c r="E3714" s="6" t="s">
        <v>2924</v>
      </c>
      <c r="F3714" s="6" t="s">
        <v>2925</v>
      </c>
      <c r="G3714" s="5">
        <f>40.95*4.1</f>
        <v>167.89500000000001</v>
      </c>
      <c r="H3714" s="5">
        <v>1</v>
      </c>
      <c r="I3714" s="20">
        <f t="shared" si="113"/>
        <v>167.89500000000001</v>
      </c>
      <c r="J3714" s="6" t="s">
        <v>357</v>
      </c>
    </row>
    <row r="3715" spans="1:10" ht="30" hidden="1">
      <c r="A3715" s="10">
        <v>44176</v>
      </c>
      <c r="B3715" s="6" t="s">
        <v>5489</v>
      </c>
      <c r="C3715" s="5" t="s">
        <v>5488</v>
      </c>
      <c r="D3715" s="8" t="s">
        <v>50</v>
      </c>
      <c r="E3715" s="6" t="s">
        <v>2924</v>
      </c>
      <c r="F3715" s="6" t="s">
        <v>2925</v>
      </c>
      <c r="G3715" s="5">
        <f>50.4*4.1</f>
        <v>206.64</v>
      </c>
      <c r="H3715" s="5">
        <v>1</v>
      </c>
      <c r="I3715" s="20">
        <f t="shared" si="113"/>
        <v>206.64</v>
      </c>
      <c r="J3715" s="6" t="s">
        <v>357</v>
      </c>
    </row>
    <row r="3716" spans="1:10" ht="45" hidden="1">
      <c r="A3716" s="9">
        <v>45944</v>
      </c>
      <c r="B3716" s="302" t="s">
        <v>7636</v>
      </c>
      <c r="C3716" s="303" t="s">
        <v>7638</v>
      </c>
      <c r="D3716" s="8" t="s">
        <v>50</v>
      </c>
      <c r="E3716" s="25" t="s">
        <v>6467</v>
      </c>
      <c r="F3716" s="25" t="s">
        <v>6468</v>
      </c>
      <c r="G3716" s="31">
        <v>1410</v>
      </c>
      <c r="H3716" s="5">
        <v>1</v>
      </c>
      <c r="I3716" s="20">
        <f t="shared" si="113"/>
        <v>1410</v>
      </c>
      <c r="J3716" s="6" t="s">
        <v>357</v>
      </c>
    </row>
    <row r="3717" spans="1:10" ht="45" hidden="1">
      <c r="A3717" s="9">
        <v>45944</v>
      </c>
      <c r="B3717" s="302" t="s">
        <v>7637</v>
      </c>
      <c r="C3717" s="303" t="s">
        <v>7639</v>
      </c>
      <c r="D3717" s="8" t="s">
        <v>50</v>
      </c>
      <c r="E3717" s="25" t="s">
        <v>6467</v>
      </c>
      <c r="F3717" s="25" t="s">
        <v>6468</v>
      </c>
      <c r="G3717" s="31">
        <v>1694</v>
      </c>
      <c r="H3717" s="5">
        <v>1</v>
      </c>
      <c r="I3717" s="20">
        <f t="shared" si="113"/>
        <v>1694</v>
      </c>
      <c r="J3717" s="6" t="s">
        <v>357</v>
      </c>
    </row>
    <row r="3718" spans="1:10" ht="45" hidden="1">
      <c r="A3718" s="9">
        <v>45726</v>
      </c>
      <c r="B3718" s="216" t="s">
        <v>6476</v>
      </c>
      <c r="C3718" s="255" t="s">
        <v>6477</v>
      </c>
      <c r="D3718" s="8" t="s">
        <v>50</v>
      </c>
      <c r="E3718" s="25" t="s">
        <v>6467</v>
      </c>
      <c r="F3718" s="25" t="s">
        <v>6468</v>
      </c>
      <c r="G3718" s="31">
        <v>1791</v>
      </c>
      <c r="H3718" s="5">
        <v>1</v>
      </c>
      <c r="I3718" s="20">
        <f t="shared" si="113"/>
        <v>1791</v>
      </c>
      <c r="J3718" s="6" t="s">
        <v>357</v>
      </c>
    </row>
    <row r="3719" spans="1:10" ht="45" hidden="1">
      <c r="A3719" s="9">
        <v>45944</v>
      </c>
      <c r="B3719" s="302" t="s">
        <v>7640</v>
      </c>
      <c r="C3719" s="303" t="s">
        <v>7642</v>
      </c>
      <c r="D3719" s="8" t="s">
        <v>50</v>
      </c>
      <c r="E3719" s="25" t="s">
        <v>6467</v>
      </c>
      <c r="F3719" s="25" t="s">
        <v>6468</v>
      </c>
      <c r="G3719" s="31">
        <v>1511</v>
      </c>
      <c r="H3719" s="5">
        <v>1</v>
      </c>
      <c r="I3719" s="20">
        <f t="shared" si="113"/>
        <v>1511</v>
      </c>
      <c r="J3719" s="6" t="s">
        <v>357</v>
      </c>
    </row>
    <row r="3720" spans="1:10" ht="45" hidden="1">
      <c r="A3720" s="9">
        <v>45944</v>
      </c>
      <c r="B3720" s="302" t="s">
        <v>7641</v>
      </c>
      <c r="C3720" s="303" t="s">
        <v>7643</v>
      </c>
      <c r="D3720" s="8" t="s">
        <v>50</v>
      </c>
      <c r="E3720" s="25" t="s">
        <v>6467</v>
      </c>
      <c r="F3720" s="25" t="s">
        <v>6468</v>
      </c>
      <c r="G3720" s="31">
        <v>1817</v>
      </c>
      <c r="H3720" s="5">
        <v>1</v>
      </c>
      <c r="I3720" s="20">
        <f t="shared" si="113"/>
        <v>1817</v>
      </c>
      <c r="J3720" s="6" t="s">
        <v>357</v>
      </c>
    </row>
    <row r="3721" spans="1:10" ht="45" hidden="1">
      <c r="A3721" s="9">
        <v>45717</v>
      </c>
      <c r="B3721" s="216" t="s">
        <v>6470</v>
      </c>
      <c r="C3721" s="249" t="s">
        <v>6475</v>
      </c>
      <c r="D3721" s="250" t="s">
        <v>50</v>
      </c>
      <c r="E3721" s="25" t="s">
        <v>6467</v>
      </c>
      <c r="F3721" s="25" t="s">
        <v>6468</v>
      </c>
      <c r="G3721" s="31">
        <v>1014</v>
      </c>
      <c r="H3721" s="5">
        <v>1</v>
      </c>
      <c r="I3721" s="20">
        <f t="shared" si="113"/>
        <v>1014</v>
      </c>
      <c r="J3721" s="251" t="s">
        <v>357</v>
      </c>
    </row>
    <row r="3722" spans="1:10" ht="45" hidden="1">
      <c r="A3722" s="9">
        <v>45715</v>
      </c>
      <c r="B3722" s="216" t="s">
        <v>6466</v>
      </c>
      <c r="C3722" s="248" t="s">
        <v>6469</v>
      </c>
      <c r="D3722" s="8" t="s">
        <v>50</v>
      </c>
      <c r="E3722" s="25" t="s">
        <v>6467</v>
      </c>
      <c r="F3722" s="25" t="s">
        <v>6468</v>
      </c>
      <c r="G3722" s="31">
        <v>1211</v>
      </c>
      <c r="H3722" s="5">
        <v>1</v>
      </c>
      <c r="I3722" s="20">
        <f t="shared" si="113"/>
        <v>1211</v>
      </c>
      <c r="J3722" s="6" t="s">
        <v>357</v>
      </c>
    </row>
    <row r="3723" spans="1:10" ht="45" hidden="1">
      <c r="A3723" s="254">
        <v>45717</v>
      </c>
      <c r="B3723" s="253" t="s">
        <v>6472</v>
      </c>
      <c r="C3723" s="249" t="s">
        <v>6474</v>
      </c>
      <c r="D3723" s="250" t="s">
        <v>50</v>
      </c>
      <c r="E3723" s="25" t="s">
        <v>6467</v>
      </c>
      <c r="F3723" s="25" t="s">
        <v>6468</v>
      </c>
      <c r="G3723" s="31">
        <v>1134</v>
      </c>
      <c r="H3723" s="249">
        <v>1</v>
      </c>
      <c r="I3723" s="252">
        <f t="shared" si="113"/>
        <v>1134</v>
      </c>
      <c r="J3723" s="111" t="s">
        <v>357</v>
      </c>
    </row>
    <row r="3724" spans="1:10" ht="45" hidden="1">
      <c r="A3724" s="254">
        <v>45717</v>
      </c>
      <c r="B3724" s="253" t="s">
        <v>6471</v>
      </c>
      <c r="C3724" s="249" t="s">
        <v>6473</v>
      </c>
      <c r="D3724" s="250" t="s">
        <v>50</v>
      </c>
      <c r="E3724" s="25" t="s">
        <v>6467</v>
      </c>
      <c r="F3724" s="25" t="s">
        <v>6468</v>
      </c>
      <c r="G3724" s="31">
        <v>1356</v>
      </c>
      <c r="H3724" s="249">
        <v>1</v>
      </c>
      <c r="I3724" s="252">
        <f t="shared" si="113"/>
        <v>1356</v>
      </c>
      <c r="J3724" s="111" t="s">
        <v>357</v>
      </c>
    </row>
    <row r="3725" spans="1:10" hidden="1">
      <c r="A3725" s="10">
        <v>44471</v>
      </c>
      <c r="B3725" s="6" t="s">
        <v>5490</v>
      </c>
      <c r="C3725" s="5" t="s">
        <v>5490</v>
      </c>
      <c r="D3725" s="8" t="s">
        <v>50</v>
      </c>
      <c r="E3725" s="6" t="s">
        <v>5392</v>
      </c>
      <c r="F3725" s="6" t="s">
        <v>686</v>
      </c>
      <c r="G3725" s="5">
        <v>56</v>
      </c>
      <c r="H3725" s="5">
        <v>1</v>
      </c>
      <c r="I3725" s="20">
        <f t="shared" si="113"/>
        <v>56</v>
      </c>
      <c r="J3725" s="6" t="s">
        <v>357</v>
      </c>
    </row>
    <row r="3726" spans="1:10" hidden="1">
      <c r="A3726" s="10">
        <v>45843</v>
      </c>
      <c r="B3726" s="6" t="s">
        <v>5492</v>
      </c>
      <c r="C3726" s="5" t="s">
        <v>5491</v>
      </c>
      <c r="D3726" s="8" t="s">
        <v>50</v>
      </c>
      <c r="E3726" s="6" t="s">
        <v>5493</v>
      </c>
      <c r="F3726" s="6" t="s">
        <v>411</v>
      </c>
      <c r="G3726" s="5">
        <v>200</v>
      </c>
      <c r="H3726" s="5">
        <v>1</v>
      </c>
      <c r="I3726" s="20">
        <f t="shared" si="113"/>
        <v>200</v>
      </c>
      <c r="J3726" s="105" t="s">
        <v>5494</v>
      </c>
    </row>
    <row r="3727" spans="1:10" hidden="1">
      <c r="A3727" s="9">
        <v>45842</v>
      </c>
      <c r="B3727" s="216" t="s">
        <v>7420</v>
      </c>
      <c r="C3727" s="5" t="s">
        <v>7420</v>
      </c>
      <c r="D3727" s="8" t="s">
        <v>298</v>
      </c>
      <c r="E3727" s="25" t="s">
        <v>5495</v>
      </c>
      <c r="F3727" s="25" t="s">
        <v>411</v>
      </c>
      <c r="G3727" s="31">
        <v>1.52</v>
      </c>
      <c r="H3727" s="5">
        <v>1</v>
      </c>
      <c r="I3727" s="20">
        <f t="shared" si="113"/>
        <v>1.52</v>
      </c>
      <c r="J3727" s="6" t="s">
        <v>115</v>
      </c>
    </row>
    <row r="3728" spans="1:10" hidden="1">
      <c r="A3728" s="10">
        <v>44298</v>
      </c>
      <c r="B3728" s="6" t="s">
        <v>311</v>
      </c>
      <c r="C3728" s="5" t="s">
        <v>310</v>
      </c>
      <c r="D3728" s="8" t="s">
        <v>298</v>
      </c>
      <c r="E3728" s="6" t="s">
        <v>5495</v>
      </c>
      <c r="F3728" s="6" t="s">
        <v>411</v>
      </c>
      <c r="G3728" s="5">
        <f>ROUNDUP(61/90*1.2,0)</f>
        <v>1</v>
      </c>
      <c r="H3728" s="5">
        <v>1</v>
      </c>
      <c r="I3728" s="20">
        <f t="shared" si="113"/>
        <v>1</v>
      </c>
      <c r="J3728" s="6" t="s">
        <v>115</v>
      </c>
    </row>
    <row r="3729" spans="1:10" hidden="1">
      <c r="A3729" s="10">
        <v>44298</v>
      </c>
      <c r="B3729" s="6" t="s">
        <v>5497</v>
      </c>
      <c r="C3729" s="5" t="s">
        <v>5496</v>
      </c>
      <c r="D3729" s="8" t="s">
        <v>298</v>
      </c>
      <c r="E3729" s="6" t="s">
        <v>5495</v>
      </c>
      <c r="F3729" s="6" t="s">
        <v>411</v>
      </c>
      <c r="G3729" s="5">
        <f>ROUNDUP(96/90*1.2,0)</f>
        <v>2</v>
      </c>
      <c r="H3729" s="5">
        <v>1</v>
      </c>
      <c r="I3729" s="20">
        <f t="shared" si="113"/>
        <v>2</v>
      </c>
      <c r="J3729" s="6" t="s">
        <v>115</v>
      </c>
    </row>
    <row r="3730" spans="1:10" hidden="1">
      <c r="A3730" s="9">
        <v>45842</v>
      </c>
      <c r="B3730" s="216" t="s">
        <v>7424</v>
      </c>
      <c r="C3730" s="5" t="s">
        <v>7424</v>
      </c>
      <c r="D3730" s="8" t="s">
        <v>298</v>
      </c>
      <c r="E3730" s="25" t="s">
        <v>5495</v>
      </c>
      <c r="F3730" s="25" t="s">
        <v>411</v>
      </c>
      <c r="G3730" s="31">
        <v>6.38</v>
      </c>
      <c r="H3730" s="5">
        <v>1</v>
      </c>
      <c r="I3730" s="20">
        <f t="shared" si="113"/>
        <v>6.38</v>
      </c>
      <c r="J3730" s="6" t="s">
        <v>115</v>
      </c>
    </row>
    <row r="3731" spans="1:10" hidden="1">
      <c r="A3731" s="10">
        <v>44298</v>
      </c>
      <c r="B3731" s="6" t="s">
        <v>299</v>
      </c>
      <c r="C3731" s="5" t="s">
        <v>297</v>
      </c>
      <c r="D3731" s="8" t="s">
        <v>298</v>
      </c>
      <c r="E3731" s="6" t="s">
        <v>5495</v>
      </c>
      <c r="F3731" s="6" t="s">
        <v>411</v>
      </c>
      <c r="G3731" s="5">
        <f>ROUNDUP(443/90*1.2,0)</f>
        <v>6</v>
      </c>
      <c r="H3731" s="5">
        <v>1</v>
      </c>
      <c r="I3731" s="20">
        <f t="shared" si="113"/>
        <v>6</v>
      </c>
      <c r="J3731" s="6" t="s">
        <v>115</v>
      </c>
    </row>
    <row r="3732" spans="1:10" hidden="1">
      <c r="A3732" s="10">
        <v>44298</v>
      </c>
      <c r="B3732" s="6" t="s">
        <v>5499</v>
      </c>
      <c r="C3732" s="5" t="s">
        <v>5498</v>
      </c>
      <c r="D3732" s="8" t="s">
        <v>298</v>
      </c>
      <c r="E3732" s="6" t="s">
        <v>5495</v>
      </c>
      <c r="F3732" s="6" t="s">
        <v>411</v>
      </c>
      <c r="G3732" s="5">
        <f>G3731*1.1</f>
        <v>6.6000000000000005</v>
      </c>
      <c r="H3732" s="5">
        <v>1</v>
      </c>
      <c r="I3732" s="20">
        <f t="shared" si="113"/>
        <v>6.6000000000000005</v>
      </c>
      <c r="J3732" s="6" t="s">
        <v>115</v>
      </c>
    </row>
    <row r="3733" spans="1:10" hidden="1">
      <c r="A3733" s="9">
        <v>45842</v>
      </c>
      <c r="B3733" s="216" t="s">
        <v>7425</v>
      </c>
      <c r="C3733" s="5" t="s">
        <v>7425</v>
      </c>
      <c r="D3733" s="8" t="s">
        <v>298</v>
      </c>
      <c r="E3733" s="25" t="s">
        <v>5495</v>
      </c>
      <c r="F3733" s="25" t="s">
        <v>411</v>
      </c>
      <c r="G3733" s="31">
        <v>9.64</v>
      </c>
      <c r="H3733" s="5">
        <v>1</v>
      </c>
      <c r="I3733" s="20">
        <f t="shared" si="113"/>
        <v>9.64</v>
      </c>
      <c r="J3733" s="6" t="s">
        <v>115</v>
      </c>
    </row>
    <row r="3734" spans="1:10" hidden="1">
      <c r="A3734" s="10">
        <v>44298</v>
      </c>
      <c r="B3734" s="6" t="s">
        <v>317</v>
      </c>
      <c r="C3734" s="5" t="s">
        <v>316</v>
      </c>
      <c r="D3734" s="8" t="s">
        <v>298</v>
      </c>
      <c r="E3734" s="6" t="s">
        <v>5495</v>
      </c>
      <c r="F3734" s="6" t="s">
        <v>411</v>
      </c>
      <c r="G3734" s="5">
        <f>ROUNDUP(704/90*1.2,-1)</f>
        <v>10</v>
      </c>
      <c r="H3734" s="5">
        <v>1</v>
      </c>
      <c r="I3734" s="20">
        <f t="shared" si="113"/>
        <v>10</v>
      </c>
      <c r="J3734" s="6" t="s">
        <v>115</v>
      </c>
    </row>
    <row r="3735" spans="1:10" hidden="1">
      <c r="A3735" s="10">
        <v>44298</v>
      </c>
      <c r="B3735" s="6" t="s">
        <v>5501</v>
      </c>
      <c r="C3735" s="5" t="s">
        <v>5500</v>
      </c>
      <c r="D3735" s="8" t="s">
        <v>298</v>
      </c>
      <c r="E3735" s="6" t="s">
        <v>5495</v>
      </c>
      <c r="F3735" s="6" t="s">
        <v>411</v>
      </c>
      <c r="G3735" s="5">
        <f>G3734*1.1</f>
        <v>11</v>
      </c>
      <c r="H3735" s="5">
        <v>1</v>
      </c>
      <c r="I3735" s="20">
        <f t="shared" si="113"/>
        <v>11</v>
      </c>
      <c r="J3735" s="6" t="s">
        <v>115</v>
      </c>
    </row>
    <row r="3736" spans="1:10" hidden="1">
      <c r="A3736" s="9">
        <v>45842</v>
      </c>
      <c r="B3736" s="216" t="s">
        <v>7421</v>
      </c>
      <c r="C3736" s="5" t="s">
        <v>7421</v>
      </c>
      <c r="D3736" s="8" t="s">
        <v>298</v>
      </c>
      <c r="E3736" s="25" t="s">
        <v>5495</v>
      </c>
      <c r="F3736" s="25" t="s">
        <v>411</v>
      </c>
      <c r="G3736" s="31">
        <v>2.04</v>
      </c>
      <c r="H3736" s="5">
        <v>1</v>
      </c>
      <c r="I3736" s="20">
        <f t="shared" si="113"/>
        <v>2.04</v>
      </c>
      <c r="J3736" s="6" t="s">
        <v>115</v>
      </c>
    </row>
    <row r="3737" spans="1:10" hidden="1">
      <c r="A3737" s="9">
        <v>45842</v>
      </c>
      <c r="B3737" s="216" t="s">
        <v>7426</v>
      </c>
      <c r="C3737" s="5" t="s">
        <v>7426</v>
      </c>
      <c r="D3737" s="8" t="s">
        <v>298</v>
      </c>
      <c r="E3737" s="25" t="s">
        <v>5495</v>
      </c>
      <c r="F3737" s="25" t="s">
        <v>411</v>
      </c>
      <c r="G3737" s="31">
        <v>14.68</v>
      </c>
      <c r="H3737" s="5">
        <v>1</v>
      </c>
      <c r="I3737" s="20">
        <f t="shared" si="113"/>
        <v>14.68</v>
      </c>
      <c r="J3737" s="6" t="s">
        <v>115</v>
      </c>
    </row>
    <row r="3738" spans="1:10" hidden="1">
      <c r="A3738" s="10">
        <v>44298</v>
      </c>
      <c r="B3738" s="6" t="s">
        <v>5503</v>
      </c>
      <c r="C3738" s="5" t="s">
        <v>5502</v>
      </c>
      <c r="D3738" s="8" t="s">
        <v>298</v>
      </c>
      <c r="E3738" s="6" t="s">
        <v>5495</v>
      </c>
      <c r="F3738" s="6" t="s">
        <v>411</v>
      </c>
      <c r="G3738" s="5">
        <v>16</v>
      </c>
      <c r="H3738" s="5">
        <v>1</v>
      </c>
      <c r="I3738" s="20">
        <f t="shared" si="113"/>
        <v>16</v>
      </c>
      <c r="J3738" s="6" t="s">
        <v>115</v>
      </c>
    </row>
    <row r="3739" spans="1:10" hidden="1">
      <c r="A3739" s="9">
        <v>45842</v>
      </c>
      <c r="B3739" s="216" t="s">
        <v>7427</v>
      </c>
      <c r="C3739" s="5" t="s">
        <v>7427</v>
      </c>
      <c r="D3739" s="8" t="s">
        <v>298</v>
      </c>
      <c r="E3739" s="25" t="s">
        <v>5495</v>
      </c>
      <c r="F3739" s="25" t="s">
        <v>411</v>
      </c>
      <c r="G3739" s="31">
        <v>19.829999999999998</v>
      </c>
      <c r="H3739" s="5">
        <v>1</v>
      </c>
      <c r="I3739" s="20">
        <f t="shared" si="113"/>
        <v>19.829999999999998</v>
      </c>
      <c r="J3739" s="6" t="s">
        <v>115</v>
      </c>
    </row>
    <row r="3740" spans="1:10" hidden="1">
      <c r="A3740" s="10">
        <v>44298</v>
      </c>
      <c r="B3740" s="6" t="s">
        <v>342</v>
      </c>
      <c r="C3740" s="5" t="s">
        <v>341</v>
      </c>
      <c r="D3740" s="8" t="s">
        <v>298</v>
      </c>
      <c r="E3740" s="6" t="s">
        <v>5495</v>
      </c>
      <c r="F3740" s="6" t="s">
        <v>411</v>
      </c>
      <c r="G3740" s="5">
        <f>ROUNDUP(1540/90*1.1,0)</f>
        <v>19</v>
      </c>
      <c r="H3740" s="5">
        <v>1</v>
      </c>
      <c r="I3740" s="20">
        <f t="shared" si="113"/>
        <v>19</v>
      </c>
      <c r="J3740" s="6" t="s">
        <v>115</v>
      </c>
    </row>
    <row r="3741" spans="1:10" hidden="1">
      <c r="A3741" s="10">
        <v>44298</v>
      </c>
      <c r="B3741" s="6" t="s">
        <v>5505</v>
      </c>
      <c r="C3741" s="5" t="s">
        <v>5504</v>
      </c>
      <c r="D3741" s="8" t="s">
        <v>298</v>
      </c>
      <c r="E3741" s="6" t="s">
        <v>5495</v>
      </c>
      <c r="F3741" s="6" t="s">
        <v>411</v>
      </c>
      <c r="G3741" s="5">
        <f>G3740*1.1</f>
        <v>20.900000000000002</v>
      </c>
      <c r="H3741" s="5">
        <v>1</v>
      </c>
      <c r="I3741" s="20">
        <f t="shared" si="113"/>
        <v>20.900000000000002</v>
      </c>
      <c r="J3741" s="6" t="s">
        <v>115</v>
      </c>
    </row>
    <row r="3742" spans="1:10" hidden="1">
      <c r="A3742" s="9">
        <v>45842</v>
      </c>
      <c r="B3742" s="216" t="s">
        <v>7422</v>
      </c>
      <c r="C3742" s="5" t="s">
        <v>7422</v>
      </c>
      <c r="D3742" s="8" t="s">
        <v>298</v>
      </c>
      <c r="E3742" s="25" t="s">
        <v>5495</v>
      </c>
      <c r="F3742" s="25" t="s">
        <v>411</v>
      </c>
      <c r="G3742" s="31">
        <v>2.91</v>
      </c>
      <c r="H3742" s="5">
        <v>1</v>
      </c>
      <c r="I3742" s="20">
        <f t="shared" si="113"/>
        <v>2.91</v>
      </c>
      <c r="J3742" s="6" t="s">
        <v>115</v>
      </c>
    </row>
    <row r="3743" spans="1:10" hidden="1">
      <c r="A3743" s="9">
        <v>45842</v>
      </c>
      <c r="B3743" s="216" t="s">
        <v>7428</v>
      </c>
      <c r="C3743" s="5" t="s">
        <v>7428</v>
      </c>
      <c r="D3743" s="8" t="s">
        <v>298</v>
      </c>
      <c r="E3743" s="25" t="s">
        <v>5495</v>
      </c>
      <c r="F3743" s="25" t="s">
        <v>411</v>
      </c>
      <c r="G3743" s="31">
        <v>26.67</v>
      </c>
      <c r="H3743" s="5">
        <v>1</v>
      </c>
      <c r="I3743" s="20">
        <f t="shared" si="113"/>
        <v>26.67</v>
      </c>
      <c r="J3743" s="6" t="s">
        <v>115</v>
      </c>
    </row>
    <row r="3744" spans="1:10" hidden="1">
      <c r="A3744" s="10">
        <v>44298</v>
      </c>
      <c r="B3744" s="6" t="s">
        <v>5507</v>
      </c>
      <c r="C3744" s="5" t="s">
        <v>5506</v>
      </c>
      <c r="D3744" s="8" t="s">
        <v>298</v>
      </c>
      <c r="E3744" s="6" t="s">
        <v>5495</v>
      </c>
      <c r="F3744" s="6" t="s">
        <v>411</v>
      </c>
      <c r="G3744" s="5">
        <f>ROUNDUP(2070/90*1.1,0)</f>
        <v>26</v>
      </c>
      <c r="H3744" s="5">
        <v>1</v>
      </c>
      <c r="I3744" s="20">
        <f t="shared" si="113"/>
        <v>26</v>
      </c>
      <c r="J3744" s="6" t="s">
        <v>115</v>
      </c>
    </row>
    <row r="3745" spans="1:10" hidden="1">
      <c r="A3745" s="9">
        <v>45842</v>
      </c>
      <c r="B3745" s="216" t="s">
        <v>7423</v>
      </c>
      <c r="C3745" s="5" t="s">
        <v>7423</v>
      </c>
      <c r="D3745" s="8" t="s">
        <v>298</v>
      </c>
      <c r="E3745" s="25" t="s">
        <v>5495</v>
      </c>
      <c r="F3745" s="25" t="s">
        <v>411</v>
      </c>
      <c r="G3745" s="31">
        <v>4.03</v>
      </c>
      <c r="H3745" s="5">
        <v>1</v>
      </c>
      <c r="I3745" s="20">
        <f t="shared" si="113"/>
        <v>4.03</v>
      </c>
      <c r="J3745" s="6" t="s">
        <v>115</v>
      </c>
    </row>
    <row r="3746" spans="1:10" hidden="1">
      <c r="A3746" s="9">
        <v>45842</v>
      </c>
      <c r="B3746" s="216" t="s">
        <v>7429</v>
      </c>
      <c r="C3746" s="5" t="s">
        <v>7429</v>
      </c>
      <c r="D3746" s="8" t="s">
        <v>298</v>
      </c>
      <c r="E3746" s="25" t="s">
        <v>5495</v>
      </c>
      <c r="F3746" s="25" t="s">
        <v>411</v>
      </c>
      <c r="G3746" s="31">
        <v>37.53</v>
      </c>
      <c r="H3746" s="5">
        <v>1</v>
      </c>
      <c r="I3746" s="20">
        <f t="shared" si="113"/>
        <v>37.53</v>
      </c>
      <c r="J3746" s="6" t="s">
        <v>115</v>
      </c>
    </row>
    <row r="3747" spans="1:10" hidden="1">
      <c r="A3747" s="10">
        <v>44298</v>
      </c>
      <c r="B3747" s="6" t="s">
        <v>5509</v>
      </c>
      <c r="C3747" s="5" t="s">
        <v>5508</v>
      </c>
      <c r="D3747" s="8" t="s">
        <v>298</v>
      </c>
      <c r="E3747" s="6" t="s">
        <v>5495</v>
      </c>
      <c r="F3747" s="6" t="s">
        <v>411</v>
      </c>
      <c r="G3747" s="5">
        <f>ROUNDUP(2992/90*1.1,0)</f>
        <v>37</v>
      </c>
      <c r="H3747" s="5">
        <v>1</v>
      </c>
      <c r="I3747" s="20">
        <f t="shared" si="113"/>
        <v>37</v>
      </c>
      <c r="J3747" s="6" t="s">
        <v>115</v>
      </c>
    </row>
    <row r="3748" spans="1:10" hidden="1">
      <c r="A3748" s="9">
        <v>45842</v>
      </c>
      <c r="B3748" s="216" t="s">
        <v>7430</v>
      </c>
      <c r="C3748" s="5" t="s">
        <v>7430</v>
      </c>
      <c r="D3748" s="8" t="s">
        <v>298</v>
      </c>
      <c r="E3748" s="25" t="s">
        <v>5495</v>
      </c>
      <c r="F3748" s="25" t="s">
        <v>411</v>
      </c>
      <c r="G3748" s="31">
        <v>51.43</v>
      </c>
      <c r="H3748" s="5">
        <v>1</v>
      </c>
      <c r="I3748" s="20">
        <f t="shared" si="113"/>
        <v>51.43</v>
      </c>
      <c r="J3748" s="6" t="s">
        <v>115</v>
      </c>
    </row>
    <row r="3749" spans="1:10" hidden="1">
      <c r="A3749" s="10">
        <v>44298</v>
      </c>
      <c r="B3749" s="6" t="s">
        <v>5511</v>
      </c>
      <c r="C3749" s="5" t="s">
        <v>5510</v>
      </c>
      <c r="D3749" s="8" t="s">
        <v>298</v>
      </c>
      <c r="E3749" s="6" t="s">
        <v>5495</v>
      </c>
      <c r="F3749" s="6" t="s">
        <v>411</v>
      </c>
      <c r="G3749" s="5">
        <f>ROUNDUP(47.3*1.1,0)</f>
        <v>53</v>
      </c>
      <c r="H3749" s="5">
        <v>1</v>
      </c>
      <c r="I3749" s="20">
        <f t="shared" si="113"/>
        <v>53</v>
      </c>
      <c r="J3749" s="6" t="s">
        <v>115</v>
      </c>
    </row>
    <row r="3750" spans="1:10" hidden="1">
      <c r="A3750" s="10">
        <v>45070</v>
      </c>
      <c r="B3750" s="6" t="s">
        <v>5514</v>
      </c>
      <c r="C3750" s="5" t="s">
        <v>5512</v>
      </c>
      <c r="D3750" s="8" t="s">
        <v>5513</v>
      </c>
      <c r="E3750" s="6" t="s">
        <v>1912</v>
      </c>
      <c r="F3750" s="6" t="s">
        <v>5515</v>
      </c>
      <c r="G3750" s="5">
        <v>2465</v>
      </c>
      <c r="H3750" s="5">
        <f t="shared" ref="H3750:H3773" si="114">0.75*0.9*0.9</f>
        <v>0.60750000000000004</v>
      </c>
      <c r="I3750" s="20">
        <f t="shared" si="113"/>
        <v>1497.4875000000002</v>
      </c>
      <c r="J3750" s="6" t="s">
        <v>357</v>
      </c>
    </row>
    <row r="3751" spans="1:10" hidden="1">
      <c r="A3751" s="10">
        <v>45070</v>
      </c>
      <c r="B3751" s="6" t="s">
        <v>5517</v>
      </c>
      <c r="C3751" s="5" t="s">
        <v>5516</v>
      </c>
      <c r="D3751" s="8" t="s">
        <v>5513</v>
      </c>
      <c r="E3751" s="6" t="s">
        <v>1912</v>
      </c>
      <c r="F3751" s="6" t="s">
        <v>5515</v>
      </c>
      <c r="G3751" s="5">
        <v>430</v>
      </c>
      <c r="H3751" s="5">
        <f t="shared" si="114"/>
        <v>0.60750000000000004</v>
      </c>
      <c r="I3751" s="20">
        <f t="shared" si="113"/>
        <v>261.22500000000002</v>
      </c>
      <c r="J3751" s="6" t="s">
        <v>357</v>
      </c>
    </row>
    <row r="3752" spans="1:10" hidden="1">
      <c r="A3752" s="10">
        <v>45070</v>
      </c>
      <c r="B3752" s="6" t="s">
        <v>5519</v>
      </c>
      <c r="C3752" s="5" t="s">
        <v>5518</v>
      </c>
      <c r="D3752" s="8" t="s">
        <v>5513</v>
      </c>
      <c r="E3752" s="6" t="s">
        <v>1912</v>
      </c>
      <c r="F3752" s="6" t="s">
        <v>5515</v>
      </c>
      <c r="G3752" s="5">
        <v>552</v>
      </c>
      <c r="H3752" s="5">
        <f t="shared" si="114"/>
        <v>0.60750000000000004</v>
      </c>
      <c r="I3752" s="20">
        <f t="shared" si="113"/>
        <v>335.34000000000003</v>
      </c>
      <c r="J3752" s="6" t="s">
        <v>357</v>
      </c>
    </row>
    <row r="3753" spans="1:10" hidden="1">
      <c r="A3753" s="10">
        <v>45070</v>
      </c>
      <c r="B3753" s="6" t="s">
        <v>5521</v>
      </c>
      <c r="C3753" s="5" t="s">
        <v>5520</v>
      </c>
      <c r="D3753" s="8" t="s">
        <v>5513</v>
      </c>
      <c r="E3753" s="6" t="s">
        <v>1912</v>
      </c>
      <c r="F3753" s="6" t="s">
        <v>5515</v>
      </c>
      <c r="G3753" s="5">
        <v>493</v>
      </c>
      <c r="H3753" s="5">
        <f t="shared" si="114"/>
        <v>0.60750000000000004</v>
      </c>
      <c r="I3753" s="20">
        <f t="shared" si="113"/>
        <v>299.4975</v>
      </c>
      <c r="J3753" s="6" t="s">
        <v>357</v>
      </c>
    </row>
    <row r="3754" spans="1:10" hidden="1">
      <c r="A3754" s="10">
        <v>45070</v>
      </c>
      <c r="B3754" s="6" t="s">
        <v>5523</v>
      </c>
      <c r="C3754" s="5" t="s">
        <v>5522</v>
      </c>
      <c r="D3754" s="8" t="s">
        <v>5513</v>
      </c>
      <c r="E3754" s="6" t="s">
        <v>1912</v>
      </c>
      <c r="F3754" s="6" t="s">
        <v>5515</v>
      </c>
      <c r="G3754" s="5">
        <v>616.25</v>
      </c>
      <c r="H3754" s="5">
        <f t="shared" si="114"/>
        <v>0.60750000000000004</v>
      </c>
      <c r="I3754" s="20">
        <f t="shared" si="113"/>
        <v>374.37187500000005</v>
      </c>
      <c r="J3754" s="6" t="s">
        <v>357</v>
      </c>
    </row>
    <row r="3755" spans="1:10" hidden="1">
      <c r="A3755" s="10">
        <v>45070</v>
      </c>
      <c r="B3755" s="6" t="s">
        <v>5525</v>
      </c>
      <c r="C3755" s="5" t="s">
        <v>5524</v>
      </c>
      <c r="D3755" s="8" t="s">
        <v>5513</v>
      </c>
      <c r="E3755" s="6" t="s">
        <v>1912</v>
      </c>
      <c r="F3755" s="6" t="s">
        <v>5515</v>
      </c>
      <c r="G3755" s="5">
        <v>739.5</v>
      </c>
      <c r="H3755" s="5">
        <f t="shared" si="114"/>
        <v>0.60750000000000004</v>
      </c>
      <c r="I3755" s="20">
        <f t="shared" si="113"/>
        <v>449.24625000000003</v>
      </c>
      <c r="J3755" s="6" t="s">
        <v>357</v>
      </c>
    </row>
    <row r="3756" spans="1:10" hidden="1">
      <c r="A3756" s="10">
        <v>45070</v>
      </c>
      <c r="B3756" s="6" t="s">
        <v>5527</v>
      </c>
      <c r="C3756" s="5" t="s">
        <v>5526</v>
      </c>
      <c r="D3756" s="8" t="s">
        <v>5513</v>
      </c>
      <c r="E3756" s="6" t="s">
        <v>1912</v>
      </c>
      <c r="F3756" s="6" t="s">
        <v>5515</v>
      </c>
      <c r="G3756" s="5">
        <v>986</v>
      </c>
      <c r="H3756" s="5">
        <f t="shared" si="114"/>
        <v>0.60750000000000004</v>
      </c>
      <c r="I3756" s="20">
        <f t="shared" si="113"/>
        <v>598.995</v>
      </c>
      <c r="J3756" s="6" t="s">
        <v>357</v>
      </c>
    </row>
    <row r="3757" spans="1:10" hidden="1">
      <c r="A3757" s="10">
        <v>45070</v>
      </c>
      <c r="B3757" s="6" t="s">
        <v>5529</v>
      </c>
      <c r="C3757" s="5" t="s">
        <v>5528</v>
      </c>
      <c r="D3757" s="8" t="s">
        <v>5513</v>
      </c>
      <c r="E3757" s="6" t="s">
        <v>1912</v>
      </c>
      <c r="F3757" s="6" t="s">
        <v>5515</v>
      </c>
      <c r="G3757" s="5">
        <v>1232.5</v>
      </c>
      <c r="H3757" s="5">
        <f t="shared" si="114"/>
        <v>0.60750000000000004</v>
      </c>
      <c r="I3757" s="20">
        <f t="shared" si="113"/>
        <v>748.74375000000009</v>
      </c>
      <c r="J3757" s="6" t="s">
        <v>357</v>
      </c>
    </row>
    <row r="3758" spans="1:10" hidden="1">
      <c r="A3758" s="10">
        <v>45070</v>
      </c>
      <c r="B3758" s="6" t="s">
        <v>5531</v>
      </c>
      <c r="C3758" s="5" t="s">
        <v>5530</v>
      </c>
      <c r="D3758" s="8" t="s">
        <v>5513</v>
      </c>
      <c r="E3758" s="6" t="s">
        <v>1912</v>
      </c>
      <c r="F3758" s="6" t="s">
        <v>5515</v>
      </c>
      <c r="G3758" s="5">
        <v>350</v>
      </c>
      <c r="H3758" s="5">
        <f t="shared" si="114"/>
        <v>0.60750000000000004</v>
      </c>
      <c r="I3758" s="20">
        <f t="shared" si="113"/>
        <v>212.625</v>
      </c>
      <c r="J3758" s="6" t="s">
        <v>357</v>
      </c>
    </row>
    <row r="3759" spans="1:10" hidden="1">
      <c r="A3759" s="10">
        <v>45070</v>
      </c>
      <c r="B3759" s="6" t="s">
        <v>5533</v>
      </c>
      <c r="C3759" s="5" t="s">
        <v>5532</v>
      </c>
      <c r="D3759" s="8" t="s">
        <v>5513</v>
      </c>
      <c r="E3759" s="6" t="s">
        <v>1912</v>
      </c>
      <c r="F3759" s="6" t="s">
        <v>5515</v>
      </c>
      <c r="G3759" s="5">
        <v>1479</v>
      </c>
      <c r="H3759" s="5">
        <f t="shared" si="114"/>
        <v>0.60750000000000004</v>
      </c>
      <c r="I3759" s="20">
        <f t="shared" si="113"/>
        <v>898.49250000000006</v>
      </c>
      <c r="J3759" s="6" t="s">
        <v>357</v>
      </c>
    </row>
    <row r="3760" spans="1:10" hidden="1">
      <c r="A3760" s="10">
        <v>45070</v>
      </c>
      <c r="B3760" s="6" t="s">
        <v>5535</v>
      </c>
      <c r="C3760" s="5" t="s">
        <v>5534</v>
      </c>
      <c r="D3760" s="8" t="s">
        <v>5513</v>
      </c>
      <c r="E3760" s="6" t="s">
        <v>1912</v>
      </c>
      <c r="F3760" s="6" t="s">
        <v>5515</v>
      </c>
      <c r="G3760" s="5">
        <v>1848.75</v>
      </c>
      <c r="H3760" s="5">
        <f t="shared" si="114"/>
        <v>0.60750000000000004</v>
      </c>
      <c r="I3760" s="20">
        <f t="shared" si="113"/>
        <v>1123.1156250000001</v>
      </c>
      <c r="J3760" s="6" t="s">
        <v>357</v>
      </c>
    </row>
    <row r="3761" spans="1:10" hidden="1">
      <c r="A3761" s="10">
        <v>45070</v>
      </c>
      <c r="B3761" s="6" t="s">
        <v>5537</v>
      </c>
      <c r="C3761" s="5" t="s">
        <v>5536</v>
      </c>
      <c r="D3761" s="8" t="s">
        <v>5513</v>
      </c>
      <c r="E3761" s="6" t="s">
        <v>1912</v>
      </c>
      <c r="F3761" s="6" t="s">
        <v>5515</v>
      </c>
      <c r="G3761" s="5">
        <v>1972</v>
      </c>
      <c r="H3761" s="5">
        <f t="shared" si="114"/>
        <v>0.60750000000000004</v>
      </c>
      <c r="I3761" s="20">
        <f t="shared" si="113"/>
        <v>1197.99</v>
      </c>
      <c r="J3761" s="6" t="s">
        <v>357</v>
      </c>
    </row>
    <row r="3762" spans="1:10" hidden="1">
      <c r="A3762" s="10">
        <v>45070</v>
      </c>
      <c r="B3762" s="6" t="s">
        <v>5539</v>
      </c>
      <c r="C3762" s="5" t="s">
        <v>5538</v>
      </c>
      <c r="D3762" s="8" t="s">
        <v>5513</v>
      </c>
      <c r="E3762" s="6" t="s">
        <v>1912</v>
      </c>
      <c r="F3762" s="6" t="s">
        <v>5515</v>
      </c>
      <c r="G3762" s="5">
        <v>2640</v>
      </c>
      <c r="H3762" s="5">
        <f t="shared" si="114"/>
        <v>0.60750000000000004</v>
      </c>
      <c r="I3762" s="20">
        <f t="shared" si="113"/>
        <v>1603.8000000000002</v>
      </c>
      <c r="J3762" s="6" t="s">
        <v>357</v>
      </c>
    </row>
    <row r="3763" spans="1:10" hidden="1">
      <c r="A3763" s="10">
        <v>45070</v>
      </c>
      <c r="B3763" s="6" t="s">
        <v>5541</v>
      </c>
      <c r="C3763" s="5" t="s">
        <v>5540</v>
      </c>
      <c r="D3763" s="8" t="s">
        <v>5513</v>
      </c>
      <c r="E3763" s="6" t="s">
        <v>1912</v>
      </c>
      <c r="F3763" s="6" t="s">
        <v>5515</v>
      </c>
      <c r="G3763" s="5">
        <v>405</v>
      </c>
      <c r="H3763" s="5">
        <f t="shared" si="114"/>
        <v>0.60750000000000004</v>
      </c>
      <c r="I3763" s="20">
        <f t="shared" si="113"/>
        <v>246.03750000000002</v>
      </c>
      <c r="J3763" s="6" t="s">
        <v>357</v>
      </c>
    </row>
    <row r="3764" spans="1:10" hidden="1">
      <c r="A3764" s="10">
        <v>45070</v>
      </c>
      <c r="B3764" s="6" t="s">
        <v>5543</v>
      </c>
      <c r="C3764" s="5" t="s">
        <v>5542</v>
      </c>
      <c r="D3764" s="8" t="s">
        <v>5513</v>
      </c>
      <c r="E3764" s="6" t="s">
        <v>1912</v>
      </c>
      <c r="F3764" s="6" t="s">
        <v>5515</v>
      </c>
      <c r="G3764" s="5">
        <v>540</v>
      </c>
      <c r="H3764" s="5">
        <f t="shared" si="114"/>
        <v>0.60750000000000004</v>
      </c>
      <c r="I3764" s="20">
        <f t="shared" si="113"/>
        <v>328.05</v>
      </c>
      <c r="J3764" s="6" t="s">
        <v>357</v>
      </c>
    </row>
    <row r="3765" spans="1:10" hidden="1">
      <c r="A3765" s="10">
        <v>45070</v>
      </c>
      <c r="B3765" s="6" t="s">
        <v>5545</v>
      </c>
      <c r="C3765" s="5" t="s">
        <v>5544</v>
      </c>
      <c r="D3765" s="8" t="s">
        <v>5513</v>
      </c>
      <c r="E3765" s="6" t="s">
        <v>1912</v>
      </c>
      <c r="F3765" s="6" t="s">
        <v>5515</v>
      </c>
      <c r="G3765" s="5">
        <v>624</v>
      </c>
      <c r="H3765" s="5">
        <f t="shared" si="114"/>
        <v>0.60750000000000004</v>
      </c>
      <c r="I3765" s="20">
        <f t="shared" si="113"/>
        <v>379.08000000000004</v>
      </c>
      <c r="J3765" s="6" t="s">
        <v>357</v>
      </c>
    </row>
    <row r="3766" spans="1:10" hidden="1">
      <c r="A3766" s="10">
        <v>45070</v>
      </c>
      <c r="B3766" s="6" t="s">
        <v>5547</v>
      </c>
      <c r="C3766" s="5" t="s">
        <v>5546</v>
      </c>
      <c r="D3766" s="8" t="s">
        <v>5513</v>
      </c>
      <c r="E3766" s="6" t="s">
        <v>1912</v>
      </c>
      <c r="F3766" s="6" t="s">
        <v>5515</v>
      </c>
      <c r="G3766" s="5">
        <v>660</v>
      </c>
      <c r="H3766" s="5">
        <f t="shared" si="114"/>
        <v>0.60750000000000004</v>
      </c>
      <c r="I3766" s="20">
        <f t="shared" si="113"/>
        <v>400.95000000000005</v>
      </c>
      <c r="J3766" s="6" t="s">
        <v>357</v>
      </c>
    </row>
    <row r="3767" spans="1:10" hidden="1">
      <c r="A3767" s="10">
        <v>45070</v>
      </c>
      <c r="B3767" s="6" t="s">
        <v>5549</v>
      </c>
      <c r="C3767" s="5" t="s">
        <v>5548</v>
      </c>
      <c r="D3767" s="8" t="s">
        <v>5513</v>
      </c>
      <c r="E3767" s="6" t="s">
        <v>1912</v>
      </c>
      <c r="F3767" s="6" t="s">
        <v>5515</v>
      </c>
      <c r="G3767" s="5">
        <v>1080</v>
      </c>
      <c r="H3767" s="5">
        <f t="shared" si="114"/>
        <v>0.60750000000000004</v>
      </c>
      <c r="I3767" s="20">
        <f t="shared" ref="I3767:I3796" si="115">H3767*G3767</f>
        <v>656.1</v>
      </c>
      <c r="J3767" s="6" t="s">
        <v>357</v>
      </c>
    </row>
    <row r="3768" spans="1:10" hidden="1">
      <c r="A3768" s="10">
        <v>45070</v>
      </c>
      <c r="B3768" s="6" t="s">
        <v>5551</v>
      </c>
      <c r="C3768" s="5" t="s">
        <v>5550</v>
      </c>
      <c r="D3768" s="8" t="s">
        <v>5513</v>
      </c>
      <c r="E3768" s="6" t="s">
        <v>1912</v>
      </c>
      <c r="F3768" s="6" t="s">
        <v>5515</v>
      </c>
      <c r="G3768" s="5">
        <v>1248</v>
      </c>
      <c r="H3768" s="5">
        <f t="shared" si="114"/>
        <v>0.60750000000000004</v>
      </c>
      <c r="I3768" s="20">
        <f t="shared" si="115"/>
        <v>758.16000000000008</v>
      </c>
      <c r="J3768" s="6" t="s">
        <v>357</v>
      </c>
    </row>
    <row r="3769" spans="1:10" hidden="1">
      <c r="A3769" s="10">
        <v>45070</v>
      </c>
      <c r="B3769" s="6" t="s">
        <v>5553</v>
      </c>
      <c r="C3769" s="5" t="s">
        <v>5552</v>
      </c>
      <c r="D3769" s="8" t="s">
        <v>5513</v>
      </c>
      <c r="E3769" s="6" t="s">
        <v>1912</v>
      </c>
      <c r="F3769" s="6" t="s">
        <v>5515</v>
      </c>
      <c r="G3769" s="5">
        <v>1320</v>
      </c>
      <c r="H3769" s="5">
        <f t="shared" si="114"/>
        <v>0.60750000000000004</v>
      </c>
      <c r="I3769" s="20">
        <f t="shared" si="115"/>
        <v>801.90000000000009</v>
      </c>
      <c r="J3769" s="6" t="s">
        <v>357</v>
      </c>
    </row>
    <row r="3770" spans="1:10" hidden="1">
      <c r="A3770" s="10">
        <v>45070</v>
      </c>
      <c r="B3770" s="6" t="s">
        <v>5555</v>
      </c>
      <c r="C3770" s="5" t="s">
        <v>5554</v>
      </c>
      <c r="D3770" s="8" t="s">
        <v>5513</v>
      </c>
      <c r="E3770" s="6" t="s">
        <v>1912</v>
      </c>
      <c r="F3770" s="6" t="s">
        <v>5515</v>
      </c>
      <c r="G3770" s="5">
        <v>378</v>
      </c>
      <c r="H3770" s="5">
        <f t="shared" si="114"/>
        <v>0.60750000000000004</v>
      </c>
      <c r="I3770" s="20">
        <f t="shared" si="115"/>
        <v>229.63500000000002</v>
      </c>
      <c r="J3770" s="6" t="s">
        <v>357</v>
      </c>
    </row>
    <row r="3771" spans="1:10" hidden="1">
      <c r="A3771" s="10">
        <v>45070</v>
      </c>
      <c r="B3771" s="6" t="s">
        <v>5557</v>
      </c>
      <c r="C3771" s="5" t="s">
        <v>5556</v>
      </c>
      <c r="D3771" s="8" t="s">
        <v>5513</v>
      </c>
      <c r="E3771" s="6" t="s">
        <v>1912</v>
      </c>
      <c r="F3771" s="6" t="s">
        <v>5515</v>
      </c>
      <c r="G3771" s="5">
        <v>1872</v>
      </c>
      <c r="H3771" s="5">
        <f t="shared" si="114"/>
        <v>0.60750000000000004</v>
      </c>
      <c r="I3771" s="20">
        <f t="shared" si="115"/>
        <v>1137.24</v>
      </c>
      <c r="J3771" s="6" t="s">
        <v>357</v>
      </c>
    </row>
    <row r="3772" spans="1:10" hidden="1">
      <c r="A3772" s="10">
        <v>45070</v>
      </c>
      <c r="B3772" s="6" t="s">
        <v>5559</v>
      </c>
      <c r="C3772" s="5" t="s">
        <v>5558</v>
      </c>
      <c r="D3772" s="8" t="s">
        <v>5513</v>
      </c>
      <c r="E3772" s="6" t="s">
        <v>1912</v>
      </c>
      <c r="F3772" s="6" t="s">
        <v>5515</v>
      </c>
      <c r="G3772" s="5">
        <v>1980</v>
      </c>
      <c r="H3772" s="5">
        <f t="shared" si="114"/>
        <v>0.60750000000000004</v>
      </c>
      <c r="I3772" s="20">
        <f t="shared" si="115"/>
        <v>1202.8500000000001</v>
      </c>
      <c r="J3772" s="6" t="s">
        <v>357</v>
      </c>
    </row>
    <row r="3773" spans="1:10" hidden="1">
      <c r="A3773" s="10">
        <v>45070</v>
      </c>
      <c r="B3773" s="6" t="s">
        <v>5561</v>
      </c>
      <c r="C3773" s="5" t="s">
        <v>5560</v>
      </c>
      <c r="D3773" s="8" t="s">
        <v>5513</v>
      </c>
      <c r="E3773" s="6" t="s">
        <v>1912</v>
      </c>
      <c r="F3773" s="6" t="s">
        <v>5515</v>
      </c>
      <c r="G3773" s="5">
        <v>2496</v>
      </c>
      <c r="H3773" s="5">
        <f t="shared" si="114"/>
        <v>0.60750000000000004</v>
      </c>
      <c r="I3773" s="20">
        <f t="shared" si="115"/>
        <v>1516.3200000000002</v>
      </c>
      <c r="J3773" s="6" t="s">
        <v>357</v>
      </c>
    </row>
    <row r="3774" spans="1:10" hidden="1">
      <c r="A3774" s="10">
        <v>44274</v>
      </c>
      <c r="B3774" s="6" t="s">
        <v>5564</v>
      </c>
      <c r="C3774" s="5" t="s">
        <v>5562</v>
      </c>
      <c r="D3774" s="8" t="s">
        <v>5563</v>
      </c>
      <c r="E3774" s="6" t="s">
        <v>762</v>
      </c>
      <c r="F3774" s="6" t="s">
        <v>5565</v>
      </c>
      <c r="G3774" s="5">
        <v>21300</v>
      </c>
      <c r="H3774" s="5">
        <f t="shared" ref="H3774:H3789" si="116">0.5*0.9*0.95*0.95*0.95</f>
        <v>0.38581874999999993</v>
      </c>
      <c r="I3774" s="20">
        <f t="shared" si="115"/>
        <v>8217.9393749999981</v>
      </c>
      <c r="J3774" s="6" t="s">
        <v>357</v>
      </c>
    </row>
    <row r="3775" spans="1:10" hidden="1">
      <c r="A3775" s="10">
        <v>44274</v>
      </c>
      <c r="B3775" s="6" t="s">
        <v>5567</v>
      </c>
      <c r="C3775" s="5" t="s">
        <v>5566</v>
      </c>
      <c r="D3775" s="8" t="s">
        <v>5563</v>
      </c>
      <c r="E3775" s="6" t="s">
        <v>762</v>
      </c>
      <c r="F3775" s="6" t="s">
        <v>5565</v>
      </c>
      <c r="G3775" s="5">
        <v>25650</v>
      </c>
      <c r="H3775" s="5">
        <f t="shared" si="116"/>
        <v>0.38581874999999993</v>
      </c>
      <c r="I3775" s="20">
        <f t="shared" si="115"/>
        <v>9896.2509374999991</v>
      </c>
      <c r="J3775" s="6" t="s">
        <v>357</v>
      </c>
    </row>
    <row r="3776" spans="1:10" hidden="1">
      <c r="A3776" s="10">
        <v>44274</v>
      </c>
      <c r="B3776" s="6" t="s">
        <v>5569</v>
      </c>
      <c r="C3776" s="5" t="s">
        <v>5568</v>
      </c>
      <c r="D3776" s="8" t="s">
        <v>5563</v>
      </c>
      <c r="E3776" s="6" t="s">
        <v>762</v>
      </c>
      <c r="F3776" s="6" t="s">
        <v>5565</v>
      </c>
      <c r="G3776" s="21">
        <v>30000</v>
      </c>
      <c r="H3776" s="5">
        <f t="shared" si="116"/>
        <v>0.38581874999999993</v>
      </c>
      <c r="I3776" s="20">
        <f t="shared" si="115"/>
        <v>11574.562499999998</v>
      </c>
      <c r="J3776" s="6" t="s">
        <v>357</v>
      </c>
    </row>
    <row r="3777" spans="1:10" hidden="1">
      <c r="A3777" s="10">
        <v>44274</v>
      </c>
      <c r="B3777" s="6" t="s">
        <v>5571</v>
      </c>
      <c r="C3777" s="5" t="s">
        <v>5570</v>
      </c>
      <c r="D3777" s="8" t="s">
        <v>5563</v>
      </c>
      <c r="E3777" s="6" t="s">
        <v>762</v>
      </c>
      <c r="F3777" s="6" t="s">
        <v>5565</v>
      </c>
      <c r="G3777" s="5">
        <v>36000</v>
      </c>
      <c r="H3777" s="5">
        <f t="shared" si="116"/>
        <v>0.38581874999999993</v>
      </c>
      <c r="I3777" s="20">
        <f t="shared" si="115"/>
        <v>13889.474999999997</v>
      </c>
      <c r="J3777" s="6" t="s">
        <v>357</v>
      </c>
    </row>
    <row r="3778" spans="1:10" hidden="1">
      <c r="A3778" s="10">
        <v>44274</v>
      </c>
      <c r="B3778" s="6" t="s">
        <v>5573</v>
      </c>
      <c r="C3778" s="5" t="s">
        <v>5572</v>
      </c>
      <c r="D3778" s="8" t="s">
        <v>5563</v>
      </c>
      <c r="E3778" s="6" t="s">
        <v>762</v>
      </c>
      <c r="F3778" s="6" t="s">
        <v>5565</v>
      </c>
      <c r="G3778" s="5">
        <v>4980</v>
      </c>
      <c r="H3778" s="5">
        <f t="shared" si="116"/>
        <v>0.38581874999999993</v>
      </c>
      <c r="I3778" s="20">
        <f t="shared" si="115"/>
        <v>1921.3773749999996</v>
      </c>
      <c r="J3778" s="6" t="s">
        <v>357</v>
      </c>
    </row>
    <row r="3779" spans="1:10" hidden="1">
      <c r="A3779" s="10">
        <v>44274</v>
      </c>
      <c r="B3779" s="6" t="s">
        <v>5575</v>
      </c>
      <c r="C3779" s="5" t="s">
        <v>5574</v>
      </c>
      <c r="D3779" s="8" t="s">
        <v>5563</v>
      </c>
      <c r="E3779" s="6" t="s">
        <v>762</v>
      </c>
      <c r="F3779" s="6" t="s">
        <v>5565</v>
      </c>
      <c r="G3779" s="5">
        <v>42000</v>
      </c>
      <c r="H3779" s="5">
        <f t="shared" si="116"/>
        <v>0.38581874999999993</v>
      </c>
      <c r="I3779" s="20">
        <f t="shared" si="115"/>
        <v>16204.387499999997</v>
      </c>
      <c r="J3779" s="6" t="s">
        <v>357</v>
      </c>
    </row>
    <row r="3780" spans="1:10" hidden="1">
      <c r="A3780" s="10">
        <v>44274</v>
      </c>
      <c r="B3780" s="6" t="s">
        <v>5577</v>
      </c>
      <c r="C3780" s="5" t="s">
        <v>5576</v>
      </c>
      <c r="D3780" s="8" t="s">
        <v>5563</v>
      </c>
      <c r="E3780" s="6" t="s">
        <v>762</v>
      </c>
      <c r="F3780" s="6" t="s">
        <v>5565</v>
      </c>
      <c r="G3780" s="5">
        <v>46000</v>
      </c>
      <c r="H3780" s="5">
        <f t="shared" si="116"/>
        <v>0.38581874999999993</v>
      </c>
      <c r="I3780" s="20">
        <f t="shared" si="115"/>
        <v>17747.662499999999</v>
      </c>
      <c r="J3780" s="6" t="s">
        <v>357</v>
      </c>
    </row>
    <row r="3781" spans="1:10" hidden="1">
      <c r="A3781" s="10">
        <v>44274</v>
      </c>
      <c r="B3781" s="6" t="s">
        <v>5579</v>
      </c>
      <c r="C3781" s="5" t="s">
        <v>5578</v>
      </c>
      <c r="D3781" s="8" t="s">
        <v>5563</v>
      </c>
      <c r="E3781" s="6" t="s">
        <v>762</v>
      </c>
      <c r="F3781" s="6" t="s">
        <v>5565</v>
      </c>
      <c r="G3781" s="5">
        <v>57000</v>
      </c>
      <c r="H3781" s="5">
        <f t="shared" si="116"/>
        <v>0.38581874999999993</v>
      </c>
      <c r="I3781" s="20">
        <f t="shared" si="115"/>
        <v>21991.668749999997</v>
      </c>
      <c r="J3781" s="6" t="s">
        <v>357</v>
      </c>
    </row>
    <row r="3782" spans="1:10" hidden="1">
      <c r="A3782" s="10">
        <v>44274</v>
      </c>
      <c r="B3782" s="6" t="s">
        <v>5581</v>
      </c>
      <c r="C3782" s="5" t="s">
        <v>5580</v>
      </c>
      <c r="D3782" s="8" t="s">
        <v>5563</v>
      </c>
      <c r="E3782" s="6" t="s">
        <v>762</v>
      </c>
      <c r="F3782" s="6" t="s">
        <v>5565</v>
      </c>
      <c r="G3782" s="5">
        <v>6860</v>
      </c>
      <c r="H3782" s="5">
        <f t="shared" si="116"/>
        <v>0.38581874999999993</v>
      </c>
      <c r="I3782" s="20">
        <f t="shared" si="115"/>
        <v>2646.7166249999996</v>
      </c>
      <c r="J3782" s="6" t="s">
        <v>357</v>
      </c>
    </row>
    <row r="3783" spans="1:10" hidden="1">
      <c r="A3783" s="10">
        <v>44274</v>
      </c>
      <c r="B3783" s="6" t="s">
        <v>5583</v>
      </c>
      <c r="C3783" s="5" t="s">
        <v>5582</v>
      </c>
      <c r="D3783" s="8" t="s">
        <v>5563</v>
      </c>
      <c r="E3783" s="6" t="s">
        <v>762</v>
      </c>
      <c r="F3783" s="6" t="s">
        <v>5565</v>
      </c>
      <c r="G3783" s="5">
        <v>64000</v>
      </c>
      <c r="H3783" s="5">
        <f t="shared" si="116"/>
        <v>0.38581874999999993</v>
      </c>
      <c r="I3783" s="20">
        <f t="shared" si="115"/>
        <v>24692.399999999994</v>
      </c>
      <c r="J3783" s="6" t="s">
        <v>357</v>
      </c>
    </row>
    <row r="3784" spans="1:10" hidden="1">
      <c r="A3784" s="10">
        <v>44274</v>
      </c>
      <c r="B3784" s="6" t="s">
        <v>5585</v>
      </c>
      <c r="C3784" s="5" t="s">
        <v>5584</v>
      </c>
      <c r="D3784" s="8" t="s">
        <v>5563</v>
      </c>
      <c r="E3784" s="6" t="s">
        <v>762</v>
      </c>
      <c r="F3784" s="6" t="s">
        <v>5565</v>
      </c>
      <c r="G3784" s="5">
        <v>10300</v>
      </c>
      <c r="H3784" s="5">
        <f t="shared" si="116"/>
        <v>0.38581874999999993</v>
      </c>
      <c r="I3784" s="20">
        <f t="shared" si="115"/>
        <v>3973.9331249999991</v>
      </c>
      <c r="J3784" s="6" t="s">
        <v>357</v>
      </c>
    </row>
    <row r="3785" spans="1:10" hidden="1">
      <c r="A3785" s="10">
        <v>44274</v>
      </c>
      <c r="B3785" s="6" t="s">
        <v>5587</v>
      </c>
      <c r="C3785" s="5" t="s">
        <v>5586</v>
      </c>
      <c r="D3785" s="8" t="s">
        <v>5563</v>
      </c>
      <c r="E3785" s="6" t="s">
        <v>762</v>
      </c>
      <c r="F3785" s="6" t="s">
        <v>5565</v>
      </c>
      <c r="G3785" s="5">
        <v>12800</v>
      </c>
      <c r="H3785" s="5">
        <f t="shared" si="116"/>
        <v>0.38581874999999993</v>
      </c>
      <c r="I3785" s="20">
        <f t="shared" si="115"/>
        <v>4938.4799999999996</v>
      </c>
      <c r="J3785" s="6" t="s">
        <v>357</v>
      </c>
    </row>
    <row r="3786" spans="1:10" hidden="1">
      <c r="A3786" s="10">
        <v>44274</v>
      </c>
      <c r="B3786" s="6" t="s">
        <v>5589</v>
      </c>
      <c r="C3786" s="5" t="s">
        <v>5588</v>
      </c>
      <c r="D3786" s="8" t="s">
        <v>5563</v>
      </c>
      <c r="E3786" s="6" t="s">
        <v>762</v>
      </c>
      <c r="F3786" s="6" t="s">
        <v>5565</v>
      </c>
      <c r="G3786" s="5">
        <v>8700</v>
      </c>
      <c r="H3786" s="5">
        <f t="shared" si="116"/>
        <v>0.38581874999999993</v>
      </c>
      <c r="I3786" s="20">
        <f t="shared" si="115"/>
        <v>3356.6231249999996</v>
      </c>
      <c r="J3786" s="6" t="s">
        <v>357</v>
      </c>
    </row>
    <row r="3787" spans="1:10" hidden="1">
      <c r="A3787" s="10">
        <v>44274</v>
      </c>
      <c r="B3787" s="6" t="s">
        <v>5591</v>
      </c>
      <c r="C3787" s="5" t="s">
        <v>5590</v>
      </c>
      <c r="D3787" s="8" t="s">
        <v>5563</v>
      </c>
      <c r="E3787" s="6" t="s">
        <v>762</v>
      </c>
      <c r="F3787" s="6" t="s">
        <v>5565</v>
      </c>
      <c r="G3787" s="5">
        <v>12800</v>
      </c>
      <c r="H3787" s="5">
        <f t="shared" si="116"/>
        <v>0.38581874999999993</v>
      </c>
      <c r="I3787" s="20">
        <f t="shared" si="115"/>
        <v>4938.4799999999996</v>
      </c>
      <c r="J3787" s="6" t="s">
        <v>357</v>
      </c>
    </row>
    <row r="3788" spans="1:10" hidden="1">
      <c r="A3788" s="10">
        <v>44274</v>
      </c>
      <c r="B3788" s="6" t="s">
        <v>5593</v>
      </c>
      <c r="C3788" s="5" t="s">
        <v>5592</v>
      </c>
      <c r="D3788" s="8" t="s">
        <v>5563</v>
      </c>
      <c r="E3788" s="6" t="s">
        <v>762</v>
      </c>
      <c r="F3788" s="6" t="s">
        <v>5565</v>
      </c>
      <c r="G3788" s="5">
        <v>13950</v>
      </c>
      <c r="H3788" s="5">
        <f t="shared" si="116"/>
        <v>0.38581874999999993</v>
      </c>
      <c r="I3788" s="20">
        <f t="shared" si="115"/>
        <v>5382.1715624999988</v>
      </c>
      <c r="J3788" s="6" t="s">
        <v>357</v>
      </c>
    </row>
    <row r="3789" spans="1:10" hidden="1">
      <c r="A3789" s="10">
        <v>44274</v>
      </c>
      <c r="B3789" s="6" t="s">
        <v>5595</v>
      </c>
      <c r="C3789" s="5" t="s">
        <v>5594</v>
      </c>
      <c r="D3789" s="8" t="s">
        <v>5563</v>
      </c>
      <c r="E3789" s="6" t="s">
        <v>762</v>
      </c>
      <c r="F3789" s="6" t="s">
        <v>5565</v>
      </c>
      <c r="G3789" s="5">
        <v>18500</v>
      </c>
      <c r="H3789" s="5">
        <f t="shared" si="116"/>
        <v>0.38581874999999993</v>
      </c>
      <c r="I3789" s="20">
        <f t="shared" si="115"/>
        <v>7137.6468749999985</v>
      </c>
      <c r="J3789" s="6" t="s">
        <v>357</v>
      </c>
    </row>
    <row r="3790" spans="1:10" ht="30" hidden="1">
      <c r="A3790" s="9">
        <v>45843</v>
      </c>
      <c r="B3790" s="216" t="s">
        <v>7269</v>
      </c>
      <c r="C3790" s="5" t="s">
        <v>7270</v>
      </c>
      <c r="D3790" s="8" t="s">
        <v>7271</v>
      </c>
      <c r="E3790" s="25" t="s">
        <v>7272</v>
      </c>
      <c r="F3790" s="25" t="s">
        <v>411</v>
      </c>
      <c r="G3790" s="31">
        <v>194</v>
      </c>
      <c r="H3790" s="5">
        <v>1</v>
      </c>
      <c r="I3790" s="20">
        <f t="shared" si="115"/>
        <v>194</v>
      </c>
      <c r="J3790" s="6" t="s">
        <v>357</v>
      </c>
    </row>
    <row r="3791" spans="1:10" hidden="1">
      <c r="A3791" s="10">
        <v>43805</v>
      </c>
      <c r="B3791" s="6" t="s">
        <v>5604</v>
      </c>
      <c r="C3791" s="5" t="s">
        <v>5602</v>
      </c>
      <c r="D3791" s="8" t="s">
        <v>5603</v>
      </c>
      <c r="E3791" s="6" t="s">
        <v>1853</v>
      </c>
      <c r="F3791" s="6" t="s">
        <v>411</v>
      </c>
      <c r="G3791" s="5">
        <v>18000</v>
      </c>
      <c r="H3791" s="5">
        <v>1</v>
      </c>
      <c r="I3791" s="20">
        <f t="shared" si="115"/>
        <v>18000</v>
      </c>
      <c r="J3791" s="6" t="s">
        <v>357</v>
      </c>
    </row>
    <row r="3792" spans="1:10" hidden="1">
      <c r="A3792" s="267" t="s">
        <v>6478</v>
      </c>
      <c r="B3792" s="6">
        <v>1</v>
      </c>
      <c r="C3792" s="5" t="s">
        <v>5596</v>
      </c>
      <c r="D3792" s="246" t="s">
        <v>6394</v>
      </c>
      <c r="E3792" s="6" t="s">
        <v>5597</v>
      </c>
      <c r="F3792" s="6" t="s">
        <v>411</v>
      </c>
      <c r="G3792" s="5">
        <v>1</v>
      </c>
      <c r="H3792" s="5">
        <v>1</v>
      </c>
      <c r="I3792" s="20">
        <f t="shared" si="115"/>
        <v>1</v>
      </c>
      <c r="J3792" s="6" t="s">
        <v>357</v>
      </c>
    </row>
    <row r="3793" spans="1:10" hidden="1">
      <c r="A3793" s="267" t="s">
        <v>6478</v>
      </c>
      <c r="B3793" s="6">
        <v>100</v>
      </c>
      <c r="C3793" s="5" t="s">
        <v>5598</v>
      </c>
      <c r="D3793" s="246" t="s">
        <v>6394</v>
      </c>
      <c r="E3793" s="6" t="s">
        <v>5597</v>
      </c>
      <c r="F3793" s="6" t="s">
        <v>411</v>
      </c>
      <c r="G3793" s="5">
        <v>100</v>
      </c>
      <c r="H3793" s="5">
        <v>1</v>
      </c>
      <c r="I3793" s="20">
        <f t="shared" si="115"/>
        <v>100</v>
      </c>
      <c r="J3793" s="6" t="s">
        <v>4141</v>
      </c>
    </row>
    <row r="3794" spans="1:10" hidden="1">
      <c r="A3794" s="267" t="s">
        <v>6478</v>
      </c>
      <c r="B3794" s="216" t="s">
        <v>6279</v>
      </c>
      <c r="C3794" s="5" t="s">
        <v>5596</v>
      </c>
      <c r="D3794" s="246" t="s">
        <v>6394</v>
      </c>
      <c r="E3794" s="25" t="s">
        <v>5597</v>
      </c>
      <c r="F3794" s="25" t="s">
        <v>686</v>
      </c>
      <c r="G3794" s="31">
        <v>1</v>
      </c>
      <c r="H3794" s="5">
        <v>1</v>
      </c>
      <c r="I3794" s="20">
        <f t="shared" si="115"/>
        <v>1</v>
      </c>
      <c r="J3794" s="6" t="s">
        <v>357</v>
      </c>
    </row>
    <row r="3795" spans="1:10" hidden="1">
      <c r="A3795" s="267" t="s">
        <v>6478</v>
      </c>
      <c r="B3795" s="6" t="s">
        <v>5600</v>
      </c>
      <c r="C3795" s="5" t="s">
        <v>5599</v>
      </c>
      <c r="D3795" s="246" t="s">
        <v>6394</v>
      </c>
      <c r="E3795" s="6" t="s">
        <v>1853</v>
      </c>
      <c r="F3795" s="6" t="s">
        <v>411</v>
      </c>
      <c r="G3795" s="5">
        <v>2000</v>
      </c>
      <c r="H3795" s="5">
        <v>1</v>
      </c>
      <c r="I3795" s="20">
        <f t="shared" si="115"/>
        <v>2000</v>
      </c>
      <c r="J3795" s="6" t="s">
        <v>4141</v>
      </c>
    </row>
    <row r="3796" spans="1:10" hidden="1">
      <c r="A3796" s="267" t="s">
        <v>6478</v>
      </c>
      <c r="B3796" s="6" t="s">
        <v>5601</v>
      </c>
      <c r="C3796" s="5" t="s">
        <v>5599</v>
      </c>
      <c r="D3796" s="246" t="s">
        <v>6394</v>
      </c>
      <c r="E3796" s="6" t="s">
        <v>1853</v>
      </c>
      <c r="F3796" s="6" t="s">
        <v>411</v>
      </c>
      <c r="G3796" s="5">
        <v>5000</v>
      </c>
      <c r="H3796" s="5">
        <v>1</v>
      </c>
      <c r="I3796" s="20">
        <f t="shared" si="115"/>
        <v>5000</v>
      </c>
      <c r="J3796" s="6" t="s">
        <v>4141</v>
      </c>
    </row>
  </sheetData>
  <conditionalFormatting sqref="B1:B1048576">
    <cfRule type="duplicateValues" dxfId="0" priority="1"/>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3E9A4-818A-41C8-B0B2-4AF465D234BB}">
  <sheetPr codeName="Discount"/>
  <dimension ref="A1:C30"/>
  <sheetViews>
    <sheetView workbookViewId="0">
      <selection activeCell="B8" sqref="B8"/>
    </sheetView>
  </sheetViews>
  <sheetFormatPr defaultRowHeight="15"/>
  <cols>
    <col min="1" max="1" width="17.42578125" bestFit="1" customWidth="1"/>
    <col min="2" max="2" width="16.140625" bestFit="1" customWidth="1"/>
    <col min="3" max="3" width="21" bestFit="1" customWidth="1"/>
  </cols>
  <sheetData>
    <row r="1" spans="1:3">
      <c r="A1" s="185" t="s">
        <v>6207</v>
      </c>
      <c r="B1" s="186" t="s">
        <v>6208</v>
      </c>
      <c r="C1" s="187" t="s">
        <v>6209</v>
      </c>
    </row>
    <row r="2" spans="1:3">
      <c r="A2" s="167" t="s">
        <v>6202</v>
      </c>
      <c r="B2" s="77">
        <v>1</v>
      </c>
      <c r="C2" s="187" t="s">
        <v>6210</v>
      </c>
    </row>
    <row r="3" spans="1:3">
      <c r="A3" s="167" t="s">
        <v>6203</v>
      </c>
      <c r="B3" s="77">
        <f>0.9</f>
        <v>0.9</v>
      </c>
      <c r="C3" s="187" t="s">
        <v>6211</v>
      </c>
    </row>
    <row r="4" spans="1:3">
      <c r="A4" s="167" t="s">
        <v>6204</v>
      </c>
      <c r="B4" s="77">
        <f>0.9*0.9</f>
        <v>0.81</v>
      </c>
      <c r="C4" s="187" t="s">
        <v>6211</v>
      </c>
    </row>
    <row r="5" spans="1:3">
      <c r="A5" s="167" t="s">
        <v>6205</v>
      </c>
      <c r="B5" s="77">
        <f>0.9*0.9*0.9</f>
        <v>0.72900000000000009</v>
      </c>
      <c r="C5" s="187" t="s">
        <v>6211</v>
      </c>
    </row>
    <row r="6" spans="1:3">
      <c r="A6" s="298" t="s">
        <v>7466</v>
      </c>
      <c r="B6" s="77">
        <f>1.25/1.35</f>
        <v>0.92592592592592582</v>
      </c>
      <c r="C6" s="187"/>
    </row>
    <row r="7" spans="1:3">
      <c r="A7" s="342" t="s">
        <v>7711</v>
      </c>
      <c r="B7" s="77">
        <f>1.1</f>
        <v>1.1000000000000001</v>
      </c>
    </row>
    <row r="8" spans="1:3">
      <c r="A8" s="189" t="s">
        <v>411</v>
      </c>
      <c r="B8" s="77">
        <v>0</v>
      </c>
    </row>
    <row r="9" spans="1:3">
      <c r="A9" s="189" t="s">
        <v>411</v>
      </c>
      <c r="B9" s="77">
        <v>0</v>
      </c>
    </row>
    <row r="10" spans="1:3">
      <c r="A10" s="189" t="s">
        <v>411</v>
      </c>
      <c r="B10" s="77">
        <v>0</v>
      </c>
    </row>
    <row r="11" spans="1:3">
      <c r="A11" s="189" t="s">
        <v>411</v>
      </c>
      <c r="B11" s="77">
        <v>0</v>
      </c>
    </row>
    <row r="12" spans="1:3">
      <c r="A12" s="189" t="s">
        <v>411</v>
      </c>
      <c r="B12" s="77">
        <v>0</v>
      </c>
    </row>
    <row r="13" spans="1:3">
      <c r="A13" s="189" t="s">
        <v>411</v>
      </c>
      <c r="B13" s="77">
        <v>0</v>
      </c>
    </row>
    <row r="14" spans="1:3">
      <c r="A14" s="189" t="s">
        <v>411</v>
      </c>
      <c r="B14" s="77">
        <v>0</v>
      </c>
    </row>
    <row r="15" spans="1:3">
      <c r="A15" s="189" t="s">
        <v>411</v>
      </c>
      <c r="B15" s="77">
        <v>0</v>
      </c>
    </row>
    <row r="16" spans="1:3">
      <c r="A16" s="189" t="s">
        <v>411</v>
      </c>
      <c r="B16" s="77">
        <v>0</v>
      </c>
    </row>
    <row r="17" spans="1:2">
      <c r="A17" s="189" t="s">
        <v>411</v>
      </c>
      <c r="B17" s="77">
        <v>0</v>
      </c>
    </row>
    <row r="18" spans="1:2">
      <c r="A18" s="189" t="s">
        <v>411</v>
      </c>
      <c r="B18" s="77">
        <v>0</v>
      </c>
    </row>
    <row r="19" spans="1:2">
      <c r="A19" s="189" t="s">
        <v>411</v>
      </c>
      <c r="B19" s="77">
        <v>0</v>
      </c>
    </row>
    <row r="20" spans="1:2">
      <c r="A20" s="189" t="s">
        <v>411</v>
      </c>
      <c r="B20" s="77">
        <v>0</v>
      </c>
    </row>
    <row r="21" spans="1:2">
      <c r="A21" s="189" t="s">
        <v>411</v>
      </c>
      <c r="B21" s="77">
        <v>0</v>
      </c>
    </row>
    <row r="22" spans="1:2">
      <c r="A22" s="189" t="s">
        <v>411</v>
      </c>
      <c r="B22" s="77">
        <v>0</v>
      </c>
    </row>
    <row r="23" spans="1:2">
      <c r="A23" s="189" t="s">
        <v>411</v>
      </c>
      <c r="B23" s="77">
        <v>0</v>
      </c>
    </row>
    <row r="24" spans="1:2">
      <c r="A24" s="189" t="s">
        <v>411</v>
      </c>
      <c r="B24" s="77">
        <v>0</v>
      </c>
    </row>
    <row r="25" spans="1:2">
      <c r="A25" s="189" t="s">
        <v>411</v>
      </c>
      <c r="B25" s="77">
        <v>0</v>
      </c>
    </row>
    <row r="26" spans="1:2">
      <c r="A26" s="189" t="s">
        <v>411</v>
      </c>
      <c r="B26" s="77">
        <v>0</v>
      </c>
    </row>
    <row r="27" spans="1:2">
      <c r="A27" s="189" t="s">
        <v>411</v>
      </c>
      <c r="B27" s="77">
        <v>0</v>
      </c>
    </row>
    <row r="28" spans="1:2">
      <c r="A28" s="189" t="s">
        <v>411</v>
      </c>
      <c r="B28" s="77">
        <v>0</v>
      </c>
    </row>
    <row r="29" spans="1:2">
      <c r="A29" s="189" t="s">
        <v>411</v>
      </c>
      <c r="B29" s="77">
        <v>0</v>
      </c>
    </row>
    <row r="30" spans="1:2" ht="15.75" thickBot="1">
      <c r="A30" s="190" t="s">
        <v>411</v>
      </c>
      <c r="B30" s="78">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K59"/>
  <sheetViews>
    <sheetView zoomScaleNormal="100" workbookViewId="0">
      <selection activeCell="B12" sqref="B12"/>
    </sheetView>
  </sheetViews>
  <sheetFormatPr defaultColWidth="9" defaultRowHeight="15"/>
  <cols>
    <col min="1" max="1" width="30" customWidth="1"/>
    <col min="2" max="2" width="45.5703125" style="1" customWidth="1"/>
    <col min="3" max="3" width="9.140625" style="1"/>
    <col min="4" max="4" width="33.85546875" style="1" customWidth="1"/>
    <col min="5" max="5" width="9.140625" style="1"/>
    <col min="6" max="6" width="14.85546875" style="1" customWidth="1"/>
  </cols>
  <sheetData>
    <row r="1" spans="1:11">
      <c r="K1" t="s">
        <v>38</v>
      </c>
    </row>
    <row r="2" spans="1:11" ht="19.5" thickBot="1">
      <c r="A2" s="50" t="s">
        <v>39</v>
      </c>
    </row>
    <row r="3" spans="1:11" ht="28.5">
      <c r="A3" s="50" t="s">
        <v>40</v>
      </c>
      <c r="B3" s="366" t="str">
        <f>SUMMARY!F4</f>
        <v>TK-Q106-26</v>
      </c>
      <c r="D3" s="50" t="s">
        <v>41</v>
      </c>
      <c r="E3" s="383" t="s">
        <v>6379</v>
      </c>
      <c r="F3" s="378"/>
      <c r="G3" s="378"/>
      <c r="H3" s="378"/>
      <c r="I3" s="378"/>
      <c r="J3" s="378"/>
      <c r="K3" s="379"/>
    </row>
    <row r="4" spans="1:11" ht="29.25" thickBot="1">
      <c r="A4" s="50"/>
      <c r="B4" s="367"/>
      <c r="D4" s="50"/>
      <c r="E4" s="380" t="s">
        <v>6380</v>
      </c>
      <c r="F4" s="381"/>
      <c r="G4" s="381"/>
      <c r="H4" s="381"/>
      <c r="I4" s="381"/>
      <c r="J4" s="381"/>
      <c r="K4" s="382"/>
    </row>
    <row r="8" spans="1:11" ht="18.75">
      <c r="A8" s="50" t="s">
        <v>43</v>
      </c>
      <c r="B8" s="51"/>
      <c r="D8" s="50" t="s">
        <v>44</v>
      </c>
      <c r="E8" s="377">
        <f>SUMMARY!E3</f>
        <v>46141</v>
      </c>
      <c r="F8" s="378"/>
      <c r="G8" s="378"/>
      <c r="H8" s="378"/>
      <c r="I8" s="378"/>
      <c r="J8" s="378"/>
      <c r="K8" s="379"/>
    </row>
    <row r="9" spans="1:11">
      <c r="A9" s="1"/>
      <c r="B9" s="52"/>
      <c r="E9" s="380"/>
      <c r="F9" s="381"/>
      <c r="G9" s="381"/>
      <c r="H9" s="381"/>
      <c r="I9" s="381"/>
      <c r="J9" s="381"/>
      <c r="K9" s="382"/>
    </row>
    <row r="10" spans="1:11" ht="18.75">
      <c r="A10" s="50" t="s">
        <v>45</v>
      </c>
      <c r="B10" s="51"/>
      <c r="D10" s="50"/>
    </row>
    <row r="11" spans="1:11">
      <c r="A11" s="53"/>
      <c r="B11" s="52"/>
    </row>
    <row r="12" spans="1:11" ht="18.75">
      <c r="A12" s="50" t="s">
        <v>46</v>
      </c>
      <c r="B12" s="54"/>
      <c r="D12" s="50"/>
    </row>
    <row r="13" spans="1:11" ht="18.75">
      <c r="A13" s="50"/>
      <c r="B13" s="52"/>
      <c r="D13" s="50"/>
    </row>
    <row r="14" spans="1:11" ht="18.75">
      <c r="A14" s="50"/>
      <c r="B14" s="55"/>
      <c r="C14" s="56"/>
      <c r="D14" s="56"/>
      <c r="E14" s="56"/>
      <c r="F14" s="56"/>
      <c r="G14" s="57"/>
      <c r="H14" s="57"/>
      <c r="I14" s="57"/>
      <c r="J14" s="57"/>
      <c r="K14" s="57"/>
    </row>
    <row r="15" spans="1:11" ht="18.75">
      <c r="A15" s="50" t="s">
        <v>47</v>
      </c>
      <c r="B15" s="368" t="str">
        <f>SUMMARY!E5</f>
        <v>SHELL STATION JALAN TUN JUGAH AIRPORT 1A, BLOCK 16, JALAN TUN JUGAH, 93350 KUCHING, SARAWAK</v>
      </c>
      <c r="C15" s="369"/>
      <c r="D15" s="369"/>
      <c r="E15" s="369"/>
      <c r="F15" s="369"/>
      <c r="G15" s="369"/>
      <c r="H15" s="369"/>
      <c r="I15" s="369"/>
      <c r="J15" s="369"/>
      <c r="K15" s="370"/>
    </row>
    <row r="16" spans="1:11" ht="18.75">
      <c r="A16" s="50"/>
      <c r="B16" s="371"/>
      <c r="C16" s="372"/>
      <c r="D16" s="372"/>
      <c r="E16" s="372"/>
      <c r="F16" s="372"/>
      <c r="G16" s="372"/>
      <c r="H16" s="372"/>
      <c r="I16" s="372"/>
      <c r="J16" s="372"/>
      <c r="K16" s="373"/>
    </row>
    <row r="17" spans="1:11" ht="18.75">
      <c r="A17" s="50"/>
      <c r="B17" s="371"/>
      <c r="C17" s="372"/>
      <c r="D17" s="372"/>
      <c r="E17" s="372"/>
      <c r="F17" s="372"/>
      <c r="G17" s="372"/>
      <c r="H17" s="372"/>
      <c r="I17" s="372"/>
      <c r="J17" s="372"/>
      <c r="K17" s="373"/>
    </row>
    <row r="18" spans="1:11" ht="18.75">
      <c r="A18" s="50"/>
      <c r="B18" s="371"/>
      <c r="C18" s="372"/>
      <c r="D18" s="372"/>
      <c r="E18" s="372"/>
      <c r="F18" s="372"/>
      <c r="G18" s="372"/>
      <c r="H18" s="372"/>
      <c r="I18" s="372"/>
      <c r="J18" s="372"/>
      <c r="K18" s="373"/>
    </row>
    <row r="19" spans="1:11" ht="18.75">
      <c r="A19" s="50"/>
      <c r="B19" s="371"/>
      <c r="C19" s="372"/>
      <c r="D19" s="372"/>
      <c r="E19" s="372"/>
      <c r="F19" s="372"/>
      <c r="G19" s="372"/>
      <c r="H19" s="372"/>
      <c r="I19" s="372"/>
      <c r="J19" s="372"/>
      <c r="K19" s="373"/>
    </row>
    <row r="20" spans="1:11" ht="18.75">
      <c r="A20" s="50"/>
      <c r="B20" s="374"/>
      <c r="C20" s="375"/>
      <c r="D20" s="375"/>
      <c r="E20" s="375"/>
      <c r="F20" s="375"/>
      <c r="G20" s="375"/>
      <c r="H20" s="375"/>
      <c r="I20" s="375"/>
      <c r="J20" s="375"/>
      <c r="K20" s="376"/>
    </row>
    <row r="21" spans="1:11" ht="18.75">
      <c r="A21" s="50"/>
      <c r="C21" s="58"/>
      <c r="D21" s="58"/>
      <c r="E21" s="58"/>
      <c r="F21" s="58"/>
      <c r="G21" s="59"/>
      <c r="H21" s="59"/>
      <c r="I21" s="59"/>
    </row>
    <row r="22" spans="1:11" ht="18.75">
      <c r="A22" s="50" t="s">
        <v>48</v>
      </c>
      <c r="B22" s="60"/>
      <c r="C22" s="58"/>
      <c r="D22" s="58"/>
      <c r="E22" s="58"/>
      <c r="F22" s="58"/>
      <c r="G22" s="59"/>
      <c r="H22" s="59"/>
      <c r="I22" s="59"/>
      <c r="J22" s="59"/>
      <c r="K22" s="76"/>
    </row>
    <row r="23" spans="1:11" ht="18.75">
      <c r="A23" s="50"/>
      <c r="B23" s="61"/>
      <c r="K23" s="77"/>
    </row>
    <row r="24" spans="1:11" ht="18.75">
      <c r="A24" s="50"/>
      <c r="B24" s="61"/>
      <c r="K24" s="77"/>
    </row>
    <row r="25" spans="1:11" ht="18.75">
      <c r="A25" s="50"/>
      <c r="B25" s="61"/>
      <c r="K25" s="77"/>
    </row>
    <row r="26" spans="1:11" ht="18.75">
      <c r="A26" s="50"/>
      <c r="B26" s="61"/>
      <c r="K26" s="77"/>
    </row>
    <row r="27" spans="1:11" ht="18.75">
      <c r="A27" s="50"/>
      <c r="B27" s="61"/>
      <c r="K27" s="77"/>
    </row>
    <row r="28" spans="1:11" ht="18.75">
      <c r="A28" s="50"/>
      <c r="B28" s="61"/>
      <c r="K28" s="77"/>
    </row>
    <row r="29" spans="1:11" ht="18.75">
      <c r="A29" s="50"/>
      <c r="B29" s="61"/>
      <c r="K29" s="77"/>
    </row>
    <row r="30" spans="1:11" ht="18.75">
      <c r="A30" s="50"/>
      <c r="B30" s="62"/>
      <c r="C30" s="56"/>
      <c r="D30" s="56"/>
      <c r="E30" s="56"/>
      <c r="F30" s="56"/>
      <c r="G30" s="57"/>
      <c r="H30" s="57"/>
      <c r="I30" s="57"/>
      <c r="J30" s="57"/>
      <c r="K30" s="78"/>
    </row>
    <row r="31" spans="1:11" ht="18.75">
      <c r="A31" s="63"/>
      <c r="B31" s="56"/>
      <c r="C31" s="56"/>
      <c r="D31" s="56"/>
      <c r="E31" s="56"/>
      <c r="F31" s="56"/>
      <c r="G31" s="57"/>
      <c r="H31" s="57"/>
      <c r="I31" s="57"/>
      <c r="J31" s="57"/>
      <c r="K31" s="57"/>
    </row>
    <row r="32" spans="1:11" ht="18.75">
      <c r="A32" s="64"/>
      <c r="B32" s="58"/>
      <c r="C32" s="58"/>
      <c r="D32" s="58"/>
      <c r="E32" s="58"/>
      <c r="F32" s="58"/>
      <c r="G32" s="59"/>
      <c r="H32" s="59"/>
      <c r="I32" s="59"/>
      <c r="J32" s="59"/>
      <c r="K32" s="76"/>
    </row>
    <row r="33" spans="1:11" ht="18.75">
      <c r="A33" s="64" t="s">
        <v>49</v>
      </c>
      <c r="B33" s="1" t="s">
        <v>50</v>
      </c>
      <c r="C33" s="3"/>
      <c r="D33" s="1" t="s">
        <v>51</v>
      </c>
      <c r="E33" s="3"/>
      <c r="F33" s="65"/>
      <c r="K33" s="77"/>
    </row>
    <row r="34" spans="1:11" ht="18.75">
      <c r="A34" s="66"/>
      <c r="B34" s="56"/>
      <c r="C34" s="56"/>
      <c r="D34" s="56"/>
      <c r="E34" s="56"/>
      <c r="F34" s="56"/>
      <c r="G34" s="57"/>
      <c r="H34" s="57"/>
      <c r="I34" s="57"/>
      <c r="J34" s="57"/>
      <c r="K34" s="78"/>
    </row>
    <row r="35" spans="1:11" ht="18.75">
      <c r="A35" s="67"/>
      <c r="B35" s="58"/>
      <c r="C35" s="58"/>
      <c r="D35" s="58"/>
      <c r="E35" s="58"/>
      <c r="F35" s="58"/>
      <c r="G35" s="59"/>
      <c r="H35" s="59"/>
      <c r="I35" s="59"/>
      <c r="J35" s="59"/>
      <c r="K35" s="76"/>
    </row>
    <row r="36" spans="1:11" ht="18.75">
      <c r="A36" s="64" t="s">
        <v>52</v>
      </c>
      <c r="B36" s="1" t="s">
        <v>53</v>
      </c>
      <c r="C36" s="3"/>
      <c r="D36" s="1" t="s">
        <v>54</v>
      </c>
      <c r="E36" s="3"/>
      <c r="F36" s="1" t="s">
        <v>55</v>
      </c>
      <c r="G36" s="68"/>
      <c r="H36" s="68"/>
      <c r="I36" s="68"/>
      <c r="K36" s="77"/>
    </row>
    <row r="37" spans="1:11" ht="18.75">
      <c r="A37" s="66"/>
      <c r="B37" s="56"/>
      <c r="C37" s="56"/>
      <c r="D37" s="56"/>
      <c r="E37" s="56"/>
      <c r="F37" s="56"/>
      <c r="G37" s="57"/>
      <c r="H37" s="57"/>
      <c r="I37" s="57"/>
      <c r="J37" s="57"/>
      <c r="K37" s="78"/>
    </row>
    <row r="38" spans="1:11" ht="18.75">
      <c r="A38" s="67"/>
      <c r="B38" s="58"/>
      <c r="C38" s="58"/>
      <c r="D38" s="58"/>
      <c r="E38" s="58"/>
      <c r="F38" s="58"/>
      <c r="G38" s="59"/>
      <c r="H38" s="59"/>
      <c r="I38" s="59"/>
      <c r="J38" s="59"/>
      <c r="K38" s="76"/>
    </row>
    <row r="39" spans="1:11" ht="18.75">
      <c r="A39" s="64" t="s">
        <v>24</v>
      </c>
      <c r="B39" s="1" t="s">
        <v>56</v>
      </c>
      <c r="C39" s="3"/>
      <c r="K39" s="77"/>
    </row>
    <row r="40" spans="1:11" ht="18.75">
      <c r="A40" s="64"/>
      <c r="B40" s="1" t="s">
        <v>57</v>
      </c>
      <c r="C40" s="68"/>
      <c r="D40" s="68"/>
      <c r="E40" s="68"/>
      <c r="F40" s="68"/>
      <c r="K40" s="77"/>
    </row>
    <row r="41" spans="1:11" ht="18.75">
      <c r="A41" s="66"/>
      <c r="B41" s="56"/>
      <c r="C41" s="56"/>
      <c r="D41" s="56"/>
      <c r="E41" s="56"/>
      <c r="F41" s="56"/>
      <c r="G41" s="57"/>
      <c r="H41" s="57"/>
      <c r="I41" s="57"/>
      <c r="J41" s="57"/>
      <c r="K41" s="78"/>
    </row>
    <row r="42" spans="1:11" ht="18.75">
      <c r="A42" s="67"/>
      <c r="B42" s="58"/>
      <c r="C42" s="58"/>
      <c r="D42" s="58"/>
      <c r="E42" s="58"/>
      <c r="F42" s="58"/>
      <c r="G42" s="59"/>
      <c r="H42" s="59"/>
      <c r="I42" s="59"/>
      <c r="J42" s="59"/>
      <c r="K42" s="76"/>
    </row>
    <row r="43" spans="1:11" ht="18.75">
      <c r="A43" s="64" t="s">
        <v>25</v>
      </c>
      <c r="B43" s="1" t="s">
        <v>58</v>
      </c>
      <c r="C43" s="3"/>
      <c r="D43" s="1" t="s">
        <v>59</v>
      </c>
      <c r="E43" s="3"/>
      <c r="F43" s="65"/>
      <c r="K43" s="77"/>
    </row>
    <row r="44" spans="1:11" ht="18.75">
      <c r="A44" s="66"/>
      <c r="B44" s="56"/>
      <c r="C44" s="56"/>
      <c r="D44" s="56"/>
      <c r="E44" s="56"/>
      <c r="F44" s="56"/>
      <c r="G44" s="57"/>
      <c r="H44" s="57"/>
      <c r="I44" s="57"/>
      <c r="J44" s="57"/>
      <c r="K44" s="78"/>
    </row>
    <row r="45" spans="1:11" ht="18.75">
      <c r="A45" s="67"/>
      <c r="B45" s="58"/>
      <c r="C45" s="58"/>
      <c r="D45" s="58"/>
      <c r="E45" s="58"/>
      <c r="F45" s="58"/>
      <c r="G45" s="59"/>
      <c r="H45" s="59"/>
      <c r="I45" s="59"/>
      <c r="J45" s="59"/>
      <c r="K45" s="76"/>
    </row>
    <row r="46" spans="1:11" ht="18.75">
      <c r="A46" s="64" t="s">
        <v>27</v>
      </c>
      <c r="C46" s="68"/>
      <c r="D46" s="68"/>
      <c r="E46" s="68"/>
      <c r="F46" s="68"/>
      <c r="K46" s="77"/>
    </row>
    <row r="47" spans="1:11" ht="18.75">
      <c r="A47" s="66"/>
      <c r="B47" s="56"/>
      <c r="C47" s="56"/>
      <c r="D47" s="56"/>
      <c r="E47" s="56"/>
      <c r="F47" s="56"/>
      <c r="G47" s="57"/>
      <c r="H47" s="57"/>
      <c r="I47" s="57"/>
      <c r="J47" s="57"/>
      <c r="K47" s="78"/>
    </row>
    <row r="48" spans="1:11" ht="18.75">
      <c r="A48" s="67"/>
      <c r="B48" s="58"/>
      <c r="C48" s="58"/>
      <c r="D48" s="58"/>
      <c r="E48" s="58"/>
      <c r="F48" s="58"/>
      <c r="G48" s="59"/>
      <c r="H48" s="59"/>
      <c r="I48" s="59"/>
      <c r="J48" s="59"/>
      <c r="K48" s="76"/>
    </row>
    <row r="49" spans="1:11" ht="30.75">
      <c r="A49" s="64" t="s">
        <v>35</v>
      </c>
      <c r="B49" s="6" t="s">
        <v>60</v>
      </c>
      <c r="C49" s="3"/>
      <c r="D49" s="6" t="s">
        <v>61</v>
      </c>
      <c r="E49" s="3"/>
      <c r="F49" s="1" t="s">
        <v>57</v>
      </c>
      <c r="G49" s="68"/>
      <c r="H49" s="68"/>
      <c r="I49" s="68"/>
      <c r="J49" s="68"/>
      <c r="K49" s="77"/>
    </row>
    <row r="50" spans="1:11" ht="18.75">
      <c r="A50" s="64"/>
      <c r="B50" s="6" t="s">
        <v>62</v>
      </c>
      <c r="C50" s="3"/>
      <c r="D50" s="6"/>
      <c r="K50" s="77"/>
    </row>
    <row r="51" spans="1:11">
      <c r="A51" s="69"/>
      <c r="K51" s="77"/>
    </row>
    <row r="52" spans="1:11" ht="18.75">
      <c r="A52" s="70"/>
      <c r="B52" s="58"/>
      <c r="C52" s="58"/>
      <c r="D52" s="58"/>
      <c r="E52" s="58"/>
      <c r="F52" s="58"/>
      <c r="G52" s="59"/>
      <c r="H52" s="59"/>
      <c r="I52" s="59"/>
      <c r="J52" s="59"/>
      <c r="K52" s="76"/>
    </row>
    <row r="53" spans="1:11" ht="18.75">
      <c r="A53" s="71" t="s">
        <v>29</v>
      </c>
      <c r="B53" t="s">
        <v>63</v>
      </c>
      <c r="C53"/>
      <c r="D53"/>
      <c r="E53"/>
      <c r="F53"/>
      <c r="G53" s="72"/>
      <c r="K53" s="77"/>
    </row>
    <row r="54" spans="1:11" ht="18.75">
      <c r="A54" s="71"/>
      <c r="B54" t="s">
        <v>31</v>
      </c>
      <c r="C54" s="73"/>
      <c r="D54" s="73"/>
      <c r="E54" s="73"/>
      <c r="F54" s="73"/>
      <c r="G54" s="2"/>
      <c r="K54" s="77"/>
    </row>
    <row r="55" spans="1:11" ht="18.75">
      <c r="A55" s="71"/>
      <c r="B55" s="73" t="s">
        <v>57</v>
      </c>
      <c r="C55"/>
      <c r="D55"/>
      <c r="E55"/>
      <c r="F55"/>
      <c r="K55" s="77"/>
    </row>
    <row r="56" spans="1:11" ht="18.75">
      <c r="A56" s="71"/>
      <c r="B56" s="73"/>
      <c r="C56" s="68"/>
      <c r="D56" s="68"/>
      <c r="E56" s="68"/>
      <c r="F56" s="68"/>
      <c r="G56" s="68"/>
      <c r="K56" s="77"/>
    </row>
    <row r="57" spans="1:11" ht="18.75">
      <c r="A57" s="71"/>
      <c r="B57" s="73"/>
      <c r="C57" s="74"/>
      <c r="D57" s="74"/>
      <c r="E57" s="74"/>
      <c r="F57" s="74"/>
      <c r="K57" s="77"/>
    </row>
    <row r="58" spans="1:11" ht="18.75">
      <c r="A58" s="71"/>
      <c r="B58" s="73"/>
      <c r="C58" s="68"/>
      <c r="D58" s="68"/>
      <c r="E58" s="68"/>
      <c r="F58" s="68"/>
      <c r="G58" s="68"/>
      <c r="K58" s="77"/>
    </row>
    <row r="59" spans="1:11">
      <c r="A59" s="75"/>
      <c r="B59" s="56"/>
      <c r="C59" s="56"/>
      <c r="D59" s="56"/>
      <c r="E59" s="56"/>
      <c r="F59" s="56"/>
      <c r="G59" s="57"/>
      <c r="H59" s="57"/>
      <c r="I59" s="57"/>
      <c r="J59" s="57"/>
      <c r="K59" s="78"/>
    </row>
  </sheetData>
  <mergeCells count="5">
    <mergeCell ref="B3:B4"/>
    <mergeCell ref="B15:K20"/>
    <mergeCell ref="E8:K9"/>
    <mergeCell ref="E3:K3"/>
    <mergeCell ref="E4:K4"/>
  </mergeCells>
  <pageMargins left="0.7" right="0.7" top="0.75" bottom="0.75" header="0.3" footer="0.3"/>
  <pageSetup scale="48"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H314"/>
  <sheetViews>
    <sheetView topLeftCell="A241" workbookViewId="0">
      <selection activeCell="A272" activeCellId="2" sqref="A214 A216 A272"/>
    </sheetView>
  </sheetViews>
  <sheetFormatPr defaultColWidth="9.140625" defaultRowHeight="14.25"/>
  <cols>
    <col min="1" max="1" width="110" style="44" customWidth="1"/>
    <col min="2" max="2" width="21.140625" style="44" customWidth="1"/>
    <col min="3" max="16384" width="9.140625" style="44"/>
  </cols>
  <sheetData>
    <row r="1" spans="1:1" ht="15">
      <c r="A1" s="45" t="s">
        <v>20</v>
      </c>
    </row>
    <row r="2" spans="1:1">
      <c r="A2" s="46" t="s">
        <v>64</v>
      </c>
    </row>
    <row r="3" spans="1:1">
      <c r="A3" s="247" t="s">
        <v>65</v>
      </c>
    </row>
    <row r="4" spans="1:1">
      <c r="A4" s="247" t="s">
        <v>66</v>
      </c>
    </row>
    <row r="5" spans="1:1">
      <c r="A5" s="44" t="s">
        <v>67</v>
      </c>
    </row>
    <row r="6" spans="1:1">
      <c r="A6" s="44" t="s">
        <v>68</v>
      </c>
    </row>
    <row r="7" spans="1:1">
      <c r="A7" s="44" t="s">
        <v>69</v>
      </c>
    </row>
    <row r="9" spans="1:1">
      <c r="A9" s="46" t="s">
        <v>70</v>
      </c>
    </row>
    <row r="10" spans="1:1">
      <c r="A10" s="44" t="s">
        <v>71</v>
      </c>
    </row>
    <row r="12" spans="1:1">
      <c r="A12" s="44" t="s">
        <v>72</v>
      </c>
    </row>
    <row r="13" spans="1:1">
      <c r="A13" s="44" t="s">
        <v>75</v>
      </c>
    </row>
    <row r="14" spans="1:1">
      <c r="A14" s="44" t="s">
        <v>73</v>
      </c>
    </row>
    <row r="15" spans="1:1">
      <c r="A15" s="44" t="s">
        <v>74</v>
      </c>
    </row>
    <row r="17" spans="1:1">
      <c r="A17" s="44" t="s">
        <v>76</v>
      </c>
    </row>
    <row r="18" spans="1:1">
      <c r="A18" s="44" t="s">
        <v>77</v>
      </c>
    </row>
    <row r="19" spans="1:1">
      <c r="A19" s="44" t="s">
        <v>78</v>
      </c>
    </row>
    <row r="21" spans="1:1">
      <c r="A21" s="247" t="s">
        <v>6438</v>
      </c>
    </row>
    <row r="22" spans="1:1">
      <c r="A22" s="44" t="s">
        <v>79</v>
      </c>
    </row>
    <row r="24" spans="1:1">
      <c r="A24" s="46" t="s">
        <v>80</v>
      </c>
    </row>
    <row r="25" spans="1:1">
      <c r="A25" s="46" t="s">
        <v>81</v>
      </c>
    </row>
    <row r="26" spans="1:1">
      <c r="A26" s="44" t="s">
        <v>83</v>
      </c>
    </row>
    <row r="27" spans="1:1">
      <c r="A27" s="44" t="s">
        <v>84</v>
      </c>
    </row>
    <row r="28" spans="1:1">
      <c r="A28" s="247" t="s">
        <v>85</v>
      </c>
    </row>
    <row r="29" spans="1:1">
      <c r="A29" s="44" t="s">
        <v>82</v>
      </c>
    </row>
    <row r="30" spans="1:1">
      <c r="A30" s="44" t="s">
        <v>5973</v>
      </c>
    </row>
    <row r="31" spans="1:1">
      <c r="A31" s="44" t="s">
        <v>6439</v>
      </c>
    </row>
    <row r="33" spans="1:1">
      <c r="A33" s="44" t="s">
        <v>6440</v>
      </c>
    </row>
    <row r="34" spans="1:1">
      <c r="A34" s="44" t="s">
        <v>6441</v>
      </c>
    </row>
    <row r="35" spans="1:1">
      <c r="A35" s="44" t="s">
        <v>6442</v>
      </c>
    </row>
    <row r="36" spans="1:1">
      <c r="A36" s="44" t="s">
        <v>6443</v>
      </c>
    </row>
    <row r="38" spans="1:1">
      <c r="A38" s="44" t="s">
        <v>6444</v>
      </c>
    </row>
    <row r="39" spans="1:1">
      <c r="A39" s="44" t="s">
        <v>6445</v>
      </c>
    </row>
    <row r="40" spans="1:1">
      <c r="A40" s="44" t="s">
        <v>6446</v>
      </c>
    </row>
    <row r="42" spans="1:1">
      <c r="A42" s="44" t="s">
        <v>6447</v>
      </c>
    </row>
    <row r="43" spans="1:1">
      <c r="A43" s="44" t="s">
        <v>6448</v>
      </c>
    </row>
    <row r="44" spans="1:1">
      <c r="A44" s="44" t="s">
        <v>6449</v>
      </c>
    </row>
    <row r="45" spans="1:1">
      <c r="A45" s="44" t="s">
        <v>6450</v>
      </c>
    </row>
    <row r="47" spans="1:1">
      <c r="A47" s="44" t="s">
        <v>86</v>
      </c>
    </row>
    <row r="48" spans="1:1">
      <c r="A48" s="44" t="s">
        <v>6451</v>
      </c>
    </row>
    <row r="49" spans="1:1">
      <c r="A49" s="44" t="s">
        <v>6452</v>
      </c>
    </row>
    <row r="50" spans="1:1">
      <c r="A50" s="44" t="s">
        <v>5974</v>
      </c>
    </row>
    <row r="52" spans="1:1">
      <c r="A52" s="44" t="s">
        <v>6453</v>
      </c>
    </row>
    <row r="53" spans="1:1">
      <c r="A53" s="44" t="s">
        <v>87</v>
      </c>
    </row>
    <row r="54" spans="1:1">
      <c r="A54" s="46" t="s">
        <v>88</v>
      </c>
    </row>
    <row r="55" spans="1:1">
      <c r="A55" s="247" t="s">
        <v>91</v>
      </c>
    </row>
    <row r="56" spans="1:1">
      <c r="A56" s="44" t="s">
        <v>90</v>
      </c>
    </row>
    <row r="57" spans="1:1">
      <c r="A57" s="44" t="s">
        <v>92</v>
      </c>
    </row>
    <row r="58" spans="1:1">
      <c r="A58" s="44" t="s">
        <v>89</v>
      </c>
    </row>
    <row r="59" spans="1:1">
      <c r="A59" s="46" t="s">
        <v>93</v>
      </c>
    </row>
    <row r="60" spans="1:1">
      <c r="A60" s="44" t="s">
        <v>94</v>
      </c>
    </row>
    <row r="61" spans="1:1">
      <c r="A61" s="44" t="s">
        <v>95</v>
      </c>
    </row>
    <row r="62" spans="1:1">
      <c r="A62" s="44" t="s">
        <v>96</v>
      </c>
    </row>
    <row r="63" spans="1:1">
      <c r="A63" s="46" t="s">
        <v>97</v>
      </c>
    </row>
    <row r="64" spans="1:1">
      <c r="A64" s="44" t="s">
        <v>98</v>
      </c>
    </row>
    <row r="65" spans="1:1">
      <c r="A65" s="44" t="s">
        <v>6454</v>
      </c>
    </row>
    <row r="67" spans="1:1">
      <c r="A67" s="44" t="s">
        <v>99</v>
      </c>
    </row>
    <row r="68" spans="1:1">
      <c r="A68" s="44" t="s">
        <v>100</v>
      </c>
    </row>
    <row r="69" spans="1:1">
      <c r="A69" s="44" t="s">
        <v>101</v>
      </c>
    </row>
    <row r="71" spans="1:1">
      <c r="A71" s="44" t="s">
        <v>102</v>
      </c>
    </row>
    <row r="72" spans="1:1">
      <c r="A72" s="46" t="s">
        <v>103</v>
      </c>
    </row>
    <row r="73" spans="1:1">
      <c r="A73" s="46" t="s">
        <v>104</v>
      </c>
    </row>
    <row r="74" spans="1:1">
      <c r="A74" s="44" t="s">
        <v>105</v>
      </c>
    </row>
    <row r="75" spans="1:1">
      <c r="A75" s="46" t="s">
        <v>106</v>
      </c>
    </row>
    <row r="76" spans="1:1">
      <c r="A76" s="44" t="s">
        <v>6458</v>
      </c>
    </row>
    <row r="77" spans="1:1">
      <c r="A77" s="44" t="s">
        <v>6461</v>
      </c>
    </row>
    <row r="78" spans="1:1">
      <c r="A78" s="44" t="s">
        <v>6459</v>
      </c>
    </row>
    <row r="79" spans="1:1">
      <c r="A79" s="44" t="s">
        <v>6460</v>
      </c>
    </row>
    <row r="81" spans="1:1">
      <c r="A81" s="44" t="s">
        <v>6457</v>
      </c>
    </row>
    <row r="82" spans="1:1">
      <c r="A82" s="44" t="s">
        <v>6455</v>
      </c>
    </row>
    <row r="83" spans="1:1">
      <c r="A83" s="44" t="s">
        <v>6456</v>
      </c>
    </row>
    <row r="85" spans="1:1">
      <c r="A85" s="44" t="s">
        <v>107</v>
      </c>
    </row>
    <row r="87" spans="1:1">
      <c r="A87" s="44" t="s">
        <v>108</v>
      </c>
    </row>
    <row r="89" spans="1:1">
      <c r="A89" s="44" t="s">
        <v>109</v>
      </c>
    </row>
    <row r="90" spans="1:1">
      <c r="A90" s="44" t="s">
        <v>111</v>
      </c>
    </row>
    <row r="91" spans="1:1">
      <c r="A91" s="44" t="s">
        <v>110</v>
      </c>
    </row>
    <row r="92" spans="1:1">
      <c r="A92" s="44" t="s">
        <v>112</v>
      </c>
    </row>
    <row r="93" spans="1:1">
      <c r="A93" s="46" t="s">
        <v>113</v>
      </c>
    </row>
    <row r="94" spans="1:1">
      <c r="A94" s="46" t="s">
        <v>114</v>
      </c>
    </row>
    <row r="95" spans="1:1">
      <c r="A95" s="46" t="s">
        <v>115</v>
      </c>
    </row>
    <row r="96" spans="1:1">
      <c r="A96" s="44" t="s">
        <v>116</v>
      </c>
    </row>
    <row r="97" spans="1:1">
      <c r="A97" s="44" t="s">
        <v>117</v>
      </c>
    </row>
    <row r="98" spans="1:1">
      <c r="A98" s="44" t="s">
        <v>118</v>
      </c>
    </row>
    <row r="99" spans="1:1">
      <c r="A99" s="44" t="s">
        <v>119</v>
      </c>
    </row>
    <row r="100" spans="1:1">
      <c r="A100" s="44" t="s">
        <v>22</v>
      </c>
    </row>
    <row r="101" spans="1:1">
      <c r="A101" s="44" t="s">
        <v>120</v>
      </c>
    </row>
    <row r="102" spans="1:1">
      <c r="A102" s="44" t="s">
        <v>121</v>
      </c>
    </row>
    <row r="104" spans="1:1">
      <c r="A104" s="44" t="s">
        <v>122</v>
      </c>
    </row>
    <row r="105" spans="1:1">
      <c r="A105" s="44" t="s">
        <v>123</v>
      </c>
    </row>
    <row r="106" spans="1:1">
      <c r="A106" s="44" t="s">
        <v>124</v>
      </c>
    </row>
    <row r="107" spans="1:1">
      <c r="A107" s="44" t="s">
        <v>125</v>
      </c>
    </row>
    <row r="108" spans="1:1">
      <c r="A108" s="44" t="s">
        <v>21</v>
      </c>
    </row>
    <row r="109" spans="1:1">
      <c r="A109" s="44" t="s">
        <v>126</v>
      </c>
    </row>
    <row r="110" spans="1:1">
      <c r="A110" s="44" t="s">
        <v>127</v>
      </c>
    </row>
    <row r="112" spans="1:1">
      <c r="A112" s="44" t="s">
        <v>6431</v>
      </c>
    </row>
    <row r="113" spans="1:1">
      <c r="A113" s="44" t="s">
        <v>6430</v>
      </c>
    </row>
    <row r="114" spans="1:1">
      <c r="A114" s="44" t="s">
        <v>6429</v>
      </c>
    </row>
    <row r="116" spans="1:1">
      <c r="A116" s="44" t="s">
        <v>128</v>
      </c>
    </row>
    <row r="118" spans="1:1">
      <c r="A118" s="44" t="s">
        <v>129</v>
      </c>
    </row>
    <row r="120" spans="1:1">
      <c r="A120" s="44" t="s">
        <v>130</v>
      </c>
    </row>
    <row r="121" spans="1:1">
      <c r="A121" s="46" t="s">
        <v>131</v>
      </c>
    </row>
    <row r="122" spans="1:1">
      <c r="A122" s="46" t="s">
        <v>132</v>
      </c>
    </row>
    <row r="123" spans="1:1">
      <c r="A123" s="46" t="s">
        <v>133</v>
      </c>
    </row>
    <row r="124" spans="1:1">
      <c r="A124" s="44" t="s">
        <v>134</v>
      </c>
    </row>
    <row r="125" spans="1:1">
      <c r="A125" s="44" t="s">
        <v>135</v>
      </c>
    </row>
    <row r="127" spans="1:1">
      <c r="A127" s="44" t="s">
        <v>6434</v>
      </c>
    </row>
    <row r="128" spans="1:1">
      <c r="A128" s="44" t="s">
        <v>6432</v>
      </c>
    </row>
    <row r="129" spans="1:1">
      <c r="A129" s="44" t="s">
        <v>6433</v>
      </c>
    </row>
    <row r="131" spans="1:1">
      <c r="A131" s="44" t="s">
        <v>136</v>
      </c>
    </row>
    <row r="132" spans="1:1">
      <c r="A132" s="44" t="s">
        <v>137</v>
      </c>
    </row>
    <row r="134" spans="1:1">
      <c r="A134" s="44" t="s">
        <v>138</v>
      </c>
    </row>
    <row r="136" spans="1:1">
      <c r="A136" s="44" t="s">
        <v>139</v>
      </c>
    </row>
    <row r="138" spans="1:1">
      <c r="A138" s="44" t="s">
        <v>140</v>
      </c>
    </row>
    <row r="139" spans="1:1">
      <c r="A139" s="44" t="s">
        <v>5975</v>
      </c>
    </row>
    <row r="141" spans="1:1">
      <c r="A141" s="44" t="s">
        <v>141</v>
      </c>
    </row>
    <row r="142" spans="1:1">
      <c r="A142" s="44" t="s">
        <v>142</v>
      </c>
    </row>
    <row r="144" spans="1:1">
      <c r="A144" s="44" t="s">
        <v>143</v>
      </c>
    </row>
    <row r="146" spans="1:1">
      <c r="A146" s="46" t="s">
        <v>42</v>
      </c>
    </row>
    <row r="147" spans="1:1">
      <c r="A147" s="46" t="s">
        <v>144</v>
      </c>
    </row>
    <row r="148" spans="1:1">
      <c r="A148" s="44" t="s">
        <v>145</v>
      </c>
    </row>
    <row r="149" spans="1:1">
      <c r="A149" s="44" t="s">
        <v>146</v>
      </c>
    </row>
    <row r="150" spans="1:1">
      <c r="A150" s="44" t="s">
        <v>147</v>
      </c>
    </row>
    <row r="152" spans="1:1">
      <c r="A152" s="44" t="s">
        <v>148</v>
      </c>
    </row>
    <row r="153" spans="1:1">
      <c r="A153" s="44" t="s">
        <v>149</v>
      </c>
    </row>
    <row r="154" spans="1:1">
      <c r="A154" s="44" t="s">
        <v>150</v>
      </c>
    </row>
    <row r="155" spans="1:1">
      <c r="A155" s="44" t="s">
        <v>23</v>
      </c>
    </row>
    <row r="156" spans="1:1">
      <c r="A156" s="44" t="s">
        <v>151</v>
      </c>
    </row>
    <row r="158" spans="1:1">
      <c r="A158" s="44" t="s">
        <v>152</v>
      </c>
    </row>
    <row r="159" spans="1:1">
      <c r="A159" s="46" t="s">
        <v>153</v>
      </c>
    </row>
    <row r="160" spans="1:1">
      <c r="A160" s="44" t="s">
        <v>154</v>
      </c>
    </row>
    <row r="161" spans="1:1">
      <c r="A161" s="44" t="s">
        <v>155</v>
      </c>
    </row>
    <row r="163" spans="1:1">
      <c r="A163" s="44" t="s">
        <v>156</v>
      </c>
    </row>
    <row r="165" spans="1:1">
      <c r="A165" s="44" t="s">
        <v>157</v>
      </c>
    </row>
    <row r="167" spans="1:1">
      <c r="A167" s="44" t="s">
        <v>158</v>
      </c>
    </row>
    <row r="168" spans="1:1">
      <c r="A168" s="44" t="s">
        <v>159</v>
      </c>
    </row>
    <row r="169" spans="1:1">
      <c r="A169" s="44" t="s">
        <v>6463</v>
      </c>
    </row>
    <row r="171" spans="1:1">
      <c r="A171" s="44" t="s">
        <v>6436</v>
      </c>
    </row>
    <row r="172" spans="1:1">
      <c r="A172" s="44" t="s">
        <v>6435</v>
      </c>
    </row>
    <row r="173" spans="1:1">
      <c r="A173" s="44" t="s">
        <v>160</v>
      </c>
    </row>
    <row r="174" spans="1:1">
      <c r="A174" s="44" t="s">
        <v>161</v>
      </c>
    </row>
    <row r="175" spans="1:1">
      <c r="A175" s="44" t="s">
        <v>5976</v>
      </c>
    </row>
    <row r="176" spans="1:1">
      <c r="A176" s="46" t="s">
        <v>162</v>
      </c>
    </row>
    <row r="177" spans="1:2">
      <c r="A177" s="44" t="s">
        <v>163</v>
      </c>
    </row>
    <row r="178" spans="1:2">
      <c r="A178" s="44" t="s">
        <v>164</v>
      </c>
    </row>
    <row r="179" spans="1:2">
      <c r="A179" s="46" t="s">
        <v>165</v>
      </c>
    </row>
    <row r="180" spans="1:2">
      <c r="A180" s="46" t="s">
        <v>166</v>
      </c>
    </row>
    <row r="181" spans="1:2">
      <c r="A181" s="44" t="s">
        <v>167</v>
      </c>
    </row>
    <row r="183" spans="1:2">
      <c r="A183" s="44" t="s">
        <v>168</v>
      </c>
    </row>
    <row r="184" spans="1:2">
      <c r="A184" s="44" t="s">
        <v>169</v>
      </c>
    </row>
    <row r="185" spans="1:2">
      <c r="A185" s="46" t="s">
        <v>170</v>
      </c>
    </row>
    <row r="186" spans="1:2">
      <c r="A186" s="46" t="s">
        <v>171</v>
      </c>
    </row>
    <row r="187" spans="1:2">
      <c r="A187" s="46" t="s">
        <v>172</v>
      </c>
    </row>
    <row r="188" spans="1:2">
      <c r="A188" s="46" t="s">
        <v>173</v>
      </c>
    </row>
    <row r="189" spans="1:2" ht="15">
      <c r="A189" s="47" t="s">
        <v>24</v>
      </c>
    </row>
    <row r="190" spans="1:2">
      <c r="A190" s="44" t="s">
        <v>174</v>
      </c>
    </row>
    <row r="191" spans="1:2">
      <c r="A191" s="44" t="s">
        <v>175</v>
      </c>
      <c r="B191" s="44" t="s">
        <v>176</v>
      </c>
    </row>
    <row r="192" spans="1:2">
      <c r="A192" s="44" t="s">
        <v>177</v>
      </c>
    </row>
    <row r="193" spans="1:2">
      <c r="A193" s="44" t="s">
        <v>178</v>
      </c>
    </row>
    <row r="194" spans="1:2">
      <c r="A194" s="44" t="s">
        <v>179</v>
      </c>
    </row>
    <row r="195" spans="1:2" ht="15">
      <c r="A195" s="47" t="s">
        <v>25</v>
      </c>
    </row>
    <row r="196" spans="1:2">
      <c r="A196" s="44" t="s">
        <v>26</v>
      </c>
    </row>
    <row r="197" spans="1:2" ht="15">
      <c r="A197" s="47" t="s">
        <v>27</v>
      </c>
    </row>
    <row r="198" spans="1:2">
      <c r="A198" s="44" t="s">
        <v>180</v>
      </c>
      <c r="B198" s="44" t="s">
        <v>181</v>
      </c>
    </row>
    <row r="199" spans="1:2">
      <c r="A199" s="44" t="s">
        <v>28</v>
      </c>
      <c r="B199" s="44" t="s">
        <v>182</v>
      </c>
    </row>
    <row r="200" spans="1:2">
      <c r="A200" s="44" t="s">
        <v>183</v>
      </c>
      <c r="B200" s="44" t="s">
        <v>182</v>
      </c>
    </row>
    <row r="201" spans="1:2">
      <c r="A201" s="44" t="s">
        <v>184</v>
      </c>
      <c r="B201" s="44" t="s">
        <v>185</v>
      </c>
    </row>
    <row r="202" spans="1:2">
      <c r="A202" s="44" t="s">
        <v>186</v>
      </c>
      <c r="B202" s="44" t="s">
        <v>185</v>
      </c>
    </row>
    <row r="203" spans="1:2">
      <c r="A203" s="44" t="s">
        <v>187</v>
      </c>
      <c r="B203" s="44" t="s">
        <v>188</v>
      </c>
    </row>
    <row r="204" spans="1:2">
      <c r="A204" s="44" t="s">
        <v>189</v>
      </c>
      <c r="B204" s="44" t="s">
        <v>188</v>
      </c>
    </row>
    <row r="206" spans="1:2" ht="15">
      <c r="A206" s="47" t="s">
        <v>190</v>
      </c>
    </row>
    <row r="207" spans="1:2">
      <c r="A207" s="44" t="s">
        <v>33</v>
      </c>
    </row>
    <row r="208" spans="1:2">
      <c r="A208" s="46" t="s">
        <v>191</v>
      </c>
    </row>
    <row r="209" spans="1:8">
      <c r="A209" s="44" t="s">
        <v>192</v>
      </c>
    </row>
    <row r="210" spans="1:8">
      <c r="A210" s="46" t="s">
        <v>193</v>
      </c>
    </row>
    <row r="211" spans="1:8">
      <c r="A211" s="44" t="s">
        <v>194</v>
      </c>
    </row>
    <row r="212" spans="1:8">
      <c r="A212" s="44" t="s">
        <v>6462</v>
      </c>
    </row>
    <row r="213" spans="1:8">
      <c r="A213" s="44" t="s">
        <v>195</v>
      </c>
    </row>
    <row r="214" spans="1:8">
      <c r="A214" s="44" t="s">
        <v>196</v>
      </c>
    </row>
    <row r="215" spans="1:8">
      <c r="A215" s="44" t="s">
        <v>197</v>
      </c>
    </row>
    <row r="216" spans="1:8">
      <c r="A216" s="44" t="s">
        <v>6464</v>
      </c>
      <c r="H216" s="48"/>
    </row>
    <row r="217" spans="1:8">
      <c r="A217" s="44" t="s">
        <v>198</v>
      </c>
    </row>
    <row r="218" spans="1:8">
      <c r="A218" s="44" t="s">
        <v>199</v>
      </c>
    </row>
    <row r="219" spans="1:8">
      <c r="A219" s="44" t="s">
        <v>200</v>
      </c>
    </row>
    <row r="220" spans="1:8">
      <c r="A220" s="44" t="s">
        <v>201</v>
      </c>
    </row>
    <row r="221" spans="1:8">
      <c r="A221" s="44" t="s">
        <v>202</v>
      </c>
    </row>
    <row r="222" spans="1:8">
      <c r="A222" s="44" t="s">
        <v>203</v>
      </c>
    </row>
    <row r="223" spans="1:8">
      <c r="A223" s="44" t="s">
        <v>204</v>
      </c>
    </row>
    <row r="224" spans="1:8">
      <c r="A224" s="44" t="s">
        <v>205</v>
      </c>
    </row>
    <row r="225" spans="1:1">
      <c r="A225" s="44" t="s">
        <v>206</v>
      </c>
    </row>
    <row r="226" spans="1:1">
      <c r="A226" s="44" t="s">
        <v>207</v>
      </c>
    </row>
    <row r="227" spans="1:1">
      <c r="A227" s="44" t="s">
        <v>208</v>
      </c>
    </row>
    <row r="228" spans="1:1">
      <c r="A228" s="46" t="s">
        <v>209</v>
      </c>
    </row>
    <row r="229" spans="1:1">
      <c r="A229" s="44" t="s">
        <v>210</v>
      </c>
    </row>
    <row r="230" spans="1:1">
      <c r="A230" s="44" t="s">
        <v>211</v>
      </c>
    </row>
    <row r="231" spans="1:1">
      <c r="A231" s="44" t="s">
        <v>212</v>
      </c>
    </row>
    <row r="232" spans="1:1">
      <c r="A232" s="44" t="s">
        <v>6465</v>
      </c>
    </row>
    <row r="233" spans="1:1">
      <c r="A233" s="46" t="s">
        <v>213</v>
      </c>
    </row>
    <row r="234" spans="1:1">
      <c r="A234" s="44" t="s">
        <v>214</v>
      </c>
    </row>
    <row r="235" spans="1:1">
      <c r="A235" s="44" t="s">
        <v>215</v>
      </c>
    </row>
    <row r="236" spans="1:1">
      <c r="A236" s="44" t="s">
        <v>216</v>
      </c>
    </row>
    <row r="237" spans="1:1">
      <c r="A237" s="46" t="s">
        <v>217</v>
      </c>
    </row>
    <row r="238" spans="1:1">
      <c r="A238" s="44" t="s">
        <v>218</v>
      </c>
    </row>
    <row r="239" spans="1:1">
      <c r="A239" s="46" t="s">
        <v>219</v>
      </c>
    </row>
    <row r="240" spans="1:1">
      <c r="A240" s="44" t="s">
        <v>220</v>
      </c>
    </row>
    <row r="241" spans="1:1">
      <c r="A241" s="44" t="s">
        <v>221</v>
      </c>
    </row>
    <row r="242" spans="1:1">
      <c r="A242" s="46" t="s">
        <v>222</v>
      </c>
    </row>
    <row r="243" spans="1:1">
      <c r="A243" s="44" t="s">
        <v>223</v>
      </c>
    </row>
    <row r="244" spans="1:1">
      <c r="A244" s="44" t="s">
        <v>224</v>
      </c>
    </row>
    <row r="245" spans="1:1">
      <c r="A245" s="44" t="s">
        <v>225</v>
      </c>
    </row>
    <row r="246" spans="1:1">
      <c r="A246" s="46" t="s">
        <v>226</v>
      </c>
    </row>
    <row r="247" spans="1:1">
      <c r="A247" s="44" t="s">
        <v>227</v>
      </c>
    </row>
    <row r="248" spans="1:1">
      <c r="A248" s="44" t="s">
        <v>228</v>
      </c>
    </row>
    <row r="249" spans="1:1">
      <c r="A249" s="44" t="s">
        <v>229</v>
      </c>
    </row>
    <row r="250" spans="1:1">
      <c r="A250" s="44" t="s">
        <v>230</v>
      </c>
    </row>
    <row r="251" spans="1:1">
      <c r="A251" s="44" t="s">
        <v>231</v>
      </c>
    </row>
    <row r="253" spans="1:1">
      <c r="A253" s="44" t="s">
        <v>232</v>
      </c>
    </row>
    <row r="254" spans="1:1">
      <c r="A254" s="44" t="s">
        <v>233</v>
      </c>
    </row>
    <row r="255" spans="1:1">
      <c r="A255" s="44" t="s">
        <v>234</v>
      </c>
    </row>
    <row r="256" spans="1:1">
      <c r="A256" s="44" t="s">
        <v>235</v>
      </c>
    </row>
    <row r="257" spans="1:1">
      <c r="A257" s="44" t="s">
        <v>236</v>
      </c>
    </row>
    <row r="258" spans="1:1">
      <c r="A258" s="44" t="s">
        <v>236</v>
      </c>
    </row>
    <row r="259" spans="1:1">
      <c r="A259" s="44" t="s">
        <v>237</v>
      </c>
    </row>
    <row r="260" spans="1:1">
      <c r="A260" s="44" t="s">
        <v>238</v>
      </c>
    </row>
    <row r="261" spans="1:1">
      <c r="A261" s="44" t="s">
        <v>239</v>
      </c>
    </row>
    <row r="262" spans="1:1">
      <c r="A262" s="44" t="s">
        <v>240</v>
      </c>
    </row>
    <row r="263" spans="1:1">
      <c r="A263" s="44" t="s">
        <v>241</v>
      </c>
    </row>
    <row r="264" spans="1:1">
      <c r="A264" s="44" t="s">
        <v>242</v>
      </c>
    </row>
    <row r="265" spans="1:1">
      <c r="A265" s="44" t="s">
        <v>243</v>
      </c>
    </row>
    <row r="267" spans="1:1">
      <c r="A267" s="44" t="s">
        <v>244</v>
      </c>
    </row>
    <row r="269" spans="1:1">
      <c r="A269" s="44" t="s">
        <v>245</v>
      </c>
    </row>
    <row r="270" spans="1:1">
      <c r="A270" s="44" t="s">
        <v>246</v>
      </c>
    </row>
    <row r="271" spans="1:1">
      <c r="A271" s="44" t="s">
        <v>247</v>
      </c>
    </row>
    <row r="272" spans="1:1">
      <c r="A272" s="44" t="s">
        <v>34</v>
      </c>
    </row>
    <row r="273" spans="1:2">
      <c r="A273" s="44" t="s">
        <v>248</v>
      </c>
    </row>
    <row r="274" spans="1:2">
      <c r="A274" s="44" t="s">
        <v>249</v>
      </c>
    </row>
    <row r="276" spans="1:2" ht="15">
      <c r="A276" s="47" t="s">
        <v>250</v>
      </c>
    </row>
    <row r="277" spans="1:2">
      <c r="A277" s="44" t="s">
        <v>36</v>
      </c>
      <c r="B277" s="44" t="s">
        <v>182</v>
      </c>
    </row>
    <row r="278" spans="1:2">
      <c r="A278" s="44" t="s">
        <v>37</v>
      </c>
    </row>
    <row r="280" spans="1:2">
      <c r="A280" s="44" t="s">
        <v>251</v>
      </c>
    </row>
    <row r="281" spans="1:2">
      <c r="A281" s="44" t="s">
        <v>62</v>
      </c>
    </row>
    <row r="283" spans="1:2">
      <c r="A283" s="44" t="s">
        <v>252</v>
      </c>
      <c r="B283" s="44" t="s">
        <v>185</v>
      </c>
    </row>
    <row r="284" spans="1:2">
      <c r="A284" s="44" t="s">
        <v>253</v>
      </c>
    </row>
    <row r="286" spans="1:2">
      <c r="A286" s="44" t="s">
        <v>254</v>
      </c>
    </row>
    <row r="288" spans="1:2" ht="15">
      <c r="A288" s="47" t="s">
        <v>29</v>
      </c>
    </row>
    <row r="289" spans="1:2">
      <c r="A289" s="44" t="s">
        <v>255</v>
      </c>
      <c r="B289" s="44" t="s">
        <v>256</v>
      </c>
    </row>
    <row r="290" spans="1:2">
      <c r="A290" s="44" t="s">
        <v>257</v>
      </c>
    </row>
    <row r="291" spans="1:2">
      <c r="A291" s="44" t="s">
        <v>258</v>
      </c>
    </row>
    <row r="292" spans="1:2">
      <c r="A292" s="44" t="s">
        <v>259</v>
      </c>
      <c r="B292" s="44" t="s">
        <v>185</v>
      </c>
    </row>
    <row r="293" spans="1:2">
      <c r="A293" s="44" t="s">
        <v>260</v>
      </c>
      <c r="B293" s="44" t="s">
        <v>185</v>
      </c>
    </row>
    <row r="294" spans="1:2">
      <c r="A294" s="44" t="s">
        <v>261</v>
      </c>
      <c r="B294" s="44" t="s">
        <v>185</v>
      </c>
    </row>
    <row r="295" spans="1:2">
      <c r="A295" s="44" t="s">
        <v>262</v>
      </c>
      <c r="B295" s="44" t="s">
        <v>185</v>
      </c>
    </row>
    <row r="296" spans="1:2">
      <c r="A296" s="44" t="s">
        <v>263</v>
      </c>
      <c r="B296" s="44" t="s">
        <v>185</v>
      </c>
    </row>
    <row r="297" spans="1:2">
      <c r="A297" s="44" t="s">
        <v>264</v>
      </c>
      <c r="B297" s="44" t="s">
        <v>185</v>
      </c>
    </row>
    <row r="298" spans="1:2">
      <c r="A298" s="44" t="s">
        <v>265</v>
      </c>
      <c r="B298" s="44" t="s">
        <v>266</v>
      </c>
    </row>
    <row r="299" spans="1:2">
      <c r="A299" s="44" t="s">
        <v>267</v>
      </c>
      <c r="B299" s="44" t="s">
        <v>188</v>
      </c>
    </row>
    <row r="300" spans="1:2">
      <c r="A300" s="44" t="s">
        <v>268</v>
      </c>
      <c r="B300" s="44" t="s">
        <v>269</v>
      </c>
    </row>
    <row r="302" spans="1:2">
      <c r="A302" s="44" t="s">
        <v>270</v>
      </c>
    </row>
    <row r="303" spans="1:2">
      <c r="A303" s="44" t="s">
        <v>30</v>
      </c>
    </row>
    <row r="304" spans="1:2">
      <c r="A304" s="44" t="s">
        <v>31</v>
      </c>
    </row>
    <row r="305" spans="1:2" ht="15.75">
      <c r="A305" s="49" t="s">
        <v>271</v>
      </c>
    </row>
    <row r="306" spans="1:2" ht="28.5">
      <c r="A306" s="49" t="s">
        <v>272</v>
      </c>
    </row>
    <row r="311" spans="1:2">
      <c r="A311" s="44" t="s">
        <v>273</v>
      </c>
      <c r="B311" s="44" t="s">
        <v>274</v>
      </c>
    </row>
    <row r="313" spans="1:2">
      <c r="A313" s="44" t="s">
        <v>275</v>
      </c>
      <c r="B313" s="44" t="s">
        <v>276</v>
      </c>
    </row>
    <row r="314" spans="1:2">
      <c r="A314" s="44" t="s">
        <v>277</v>
      </c>
      <c r="B314" s="44" t="s">
        <v>276</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093426C-0F29-45B0-AEAF-3999047779C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SUMMARY</vt:lpstr>
      <vt:lpstr>1</vt:lpstr>
      <vt:lpstr>2</vt:lpstr>
      <vt:lpstr>3</vt:lpstr>
      <vt:lpstr>4</vt:lpstr>
      <vt:lpstr>5</vt:lpstr>
      <vt:lpstr>6</vt:lpstr>
      <vt:lpstr>DB Components</vt:lpstr>
      <vt:lpstr>DBs</vt:lpstr>
      <vt:lpstr>Unit Price</vt:lpstr>
      <vt:lpstr>Discount Structure</vt:lpstr>
      <vt:lpstr>Form</vt:lpstr>
      <vt:lpstr>Detail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LiewDrawing</cp:lastModifiedBy>
  <cp:lastPrinted>2024-11-18T03:52:32Z</cp:lastPrinted>
  <dcterms:created xsi:type="dcterms:W3CDTF">2019-05-23T14:38:00Z</dcterms:created>
  <dcterms:modified xsi:type="dcterms:W3CDTF">2026-04-29T12:08:54Z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F5F9B8F4FA064E788D904BF56C6F4FDA_13</vt:lpwstr>
  </property>
  <property fmtid="{D5CDD505-2E9C-101B-9397-08002B2CF9AE}" pid="3" name="KSOProductBuildVer">
    <vt:lpwstr>1033-12.2.0.16909</vt:lpwstr>
  </property>
</Properties>
</file>